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48.xml" ContentType="application/vnd.openxmlformats-officedocument.spreadsheetml.table+xml"/>
  <Override PartName="/xl/queryTables/queryTable1.xml" ContentType="application/vnd.openxmlformats-officedocument.spreadsheetml.queryTable+xml"/>
  <Override PartName="/xl/tables/table49.xml" ContentType="application/vnd.openxmlformats-officedocument.spreadsheetml.table+xml"/>
  <Override PartName="/xl/queryTables/queryTable2.xml" ContentType="application/vnd.openxmlformats-officedocument.spreadsheetml.queryTable+xml"/>
  <Override PartName="/xl/tables/table50.xml" ContentType="application/vnd.openxmlformats-officedocument.spreadsheetml.table+xml"/>
  <Override PartName="/xl/queryTables/queryTable3.xml" ContentType="application/vnd.openxmlformats-officedocument.spreadsheetml.queryTable+xml"/>
  <Override PartName="/xl/tables/table51.xml" ContentType="application/vnd.openxmlformats-officedocument.spreadsheetml.table+xml"/>
  <Override PartName="/xl/queryTables/queryTable4.xml" ContentType="application/vnd.openxmlformats-officedocument.spreadsheetml.queryTable+xml"/>
  <Override PartName="/xl/tables/table52.xml" ContentType="application/vnd.openxmlformats-officedocument.spreadsheetml.table+xml"/>
  <Override PartName="/xl/queryTables/queryTable5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Owner\Dropbox\SDDA\Website\"/>
    </mc:Choice>
  </mc:AlternateContent>
  <xr:revisionPtr revIDLastSave="0" documentId="13_ncr:1_{55A83FF8-A29E-411B-B263-E89FBEC79CE9}" xr6:coauthVersionLast="47" xr6:coauthVersionMax="47" xr10:uidLastSave="{00000000-0000-0000-0000-000000000000}"/>
  <bookViews>
    <workbookView xWindow="28680" yWindow="-120" windowWidth="29040" windowHeight="15720" tabRatio="806" xr2:uid="{00000000-000D-0000-FFFF-FFFF00000000}"/>
  </bookViews>
  <sheets>
    <sheet name="Trial Info" sheetId="9" r:id="rId1"/>
    <sheet name="Summary" sheetId="11" r:id="rId2"/>
    <sheet name="Started" sheetId="4" r:id="rId3"/>
    <sheet name="Str - Order" sheetId="15" r:id="rId4"/>
    <sheet name="Advanced" sheetId="12" r:id="rId5"/>
    <sheet name="Adv - Order" sheetId="18" r:id="rId6"/>
    <sheet name="Excellent" sheetId="14" r:id="rId7"/>
    <sheet name="Ext - Order" sheetId="19" r:id="rId8"/>
    <sheet name="Elite" sheetId="22" r:id="rId9"/>
    <sheet name="Elite - Order" sheetId="23" r:id="rId10"/>
    <sheet name="Games" sheetId="26" r:id="rId11"/>
    <sheet name="H-i-T" sheetId="17" r:id="rId12"/>
    <sheet name="Entry Fees" sheetId="16" r:id="rId13"/>
    <sheet name="Labels" sheetId="20" r:id="rId14"/>
    <sheet name="FormattedResults" sheetId="10" state="hidden" r:id="rId15"/>
    <sheet name="DogInfo" sheetId="27" state="hidden" r:id="rId16"/>
    <sheet name="SDDA Dogs" sheetId="1" state="hidden" r:id="rId17"/>
    <sheet name="Processed and Future Trials" sheetId="29" r:id="rId18"/>
    <sheet name="Judges" sheetId="30" state="hidden" r:id="rId19"/>
  </sheets>
  <definedNames>
    <definedName name="\" localSheetId="5">#REF!</definedName>
    <definedName name="\" localSheetId="4">#REF!</definedName>
    <definedName name="\" localSheetId="8">#REF!</definedName>
    <definedName name="\" localSheetId="6">#REF!</definedName>
    <definedName name="\" localSheetId="7">#REF!</definedName>
    <definedName name="\" localSheetId="13">#REF!</definedName>
    <definedName name="\">#REF!</definedName>
    <definedName name="_xlnm._FilterDatabase" localSheetId="4" hidden="1">Advanced!$Z$4:$AC$54</definedName>
    <definedName name="_xlnm._FilterDatabase" localSheetId="15" hidden="1">DogInfo!#REF!</definedName>
    <definedName name="_xlnm._FilterDatabase" localSheetId="8" hidden="1">Elite!$Y$4:$AB$34</definedName>
    <definedName name="_xlnm._FilterDatabase" localSheetId="6" hidden="1">Excellent!$Z$4:$AC$54</definedName>
    <definedName name="_xlnm._FilterDatabase" localSheetId="14" hidden="1">FormattedResults!$A$1:$G$1361</definedName>
    <definedName name="_xlnm._FilterDatabase" localSheetId="13" hidden="1">Labels!$A$1:$O$2721</definedName>
    <definedName name="_xlnm._FilterDatabase" localSheetId="2" hidden="1">Started!$A$4:$BB$34</definedName>
    <definedName name="_xlnm._FilterDatabase" localSheetId="1" hidden="1">Summary!#REF!</definedName>
    <definedName name="AccessFilePath">'Trial Info'!$E$1</definedName>
    <definedName name="AdvancedDay1FirstTitles">Advanced!$AQ$55</definedName>
    <definedName name="AdvancedDay2FirstTitles">Advanced!$AQ$115</definedName>
    <definedName name="Answers" localSheetId="5">#REF!</definedName>
    <definedName name="Answers" localSheetId="8">#REF!</definedName>
    <definedName name="Answers" localSheetId="9">#REF!</definedName>
    <definedName name="Answers" localSheetId="7">#REF!</definedName>
    <definedName name="Answers" localSheetId="13">#REF!</definedName>
    <definedName name="Answers">#REF!</definedName>
    <definedName name="BreedNames" localSheetId="5">#REF!</definedName>
    <definedName name="BreedNames" localSheetId="4">#REF!</definedName>
    <definedName name="BreedNames" localSheetId="8">#REF!</definedName>
    <definedName name="BreedNames" localSheetId="9">#REF!</definedName>
    <definedName name="BreedNames" localSheetId="6">#REF!</definedName>
    <definedName name="BreedNames" localSheetId="7">#REF!</definedName>
    <definedName name="BreedNames" localSheetId="13">#REF!</definedName>
    <definedName name="BreedNames">#REF!</definedName>
    <definedName name="ChampTitles">Summary!$U$2:$U$12</definedName>
    <definedName name="DataAdvanced" localSheetId="5">#REF!</definedName>
    <definedName name="DataAdvanced" localSheetId="8">#REF!</definedName>
    <definedName name="DataAdvanced" localSheetId="9">#REF!</definedName>
    <definedName name="DataAdvanced" localSheetId="7">#REF!</definedName>
    <definedName name="DataAdvanced" localSheetId="13">#REF!</definedName>
    <definedName name="DataAdvanced">#REF!</definedName>
    <definedName name="DataStarted" localSheetId="4">Advanced!$A$4:$AD$54</definedName>
    <definedName name="DataStarted" localSheetId="8">Elite!$A$4:$AC$34</definedName>
    <definedName name="DataStarted" localSheetId="6">Excellent!$A$4:$AD$54</definedName>
    <definedName name="DataStarted">Started!$A$4:$AD$34</definedName>
    <definedName name="Elite" localSheetId="8">#REF!</definedName>
    <definedName name="Elite" localSheetId="9">#REF!</definedName>
    <definedName name="Elite">#REF!</definedName>
    <definedName name="EliteDay1FirstTitles">Elite!$AP$35</definedName>
    <definedName name="EliteDay2FirstTitles">Elite!$AP$75</definedName>
    <definedName name="EntryFeeGamesAerial">'Trial Info'!$B$21</definedName>
    <definedName name="EntryFeeGamesDistance">'Trial Info'!$B$22</definedName>
    <definedName name="EntryFeeGamesFEO">'Trial Info'!$B$25</definedName>
    <definedName name="EntryFeeGamesSpeed">'Trial Info'!$B$23</definedName>
    <definedName name="EntryFeeGamesTeam">'Trial Info'!$B$24</definedName>
    <definedName name="ExcellentDay1FirstTitles">Excellent!$AQ$55</definedName>
    <definedName name="ExcellentDay2FirstTitles">Excellent!$AQ$115</definedName>
    <definedName name="ExternalData_1" localSheetId="15" hidden="1">DogInfo!$A$1:$B$8454</definedName>
    <definedName name="ExternalData_1" localSheetId="18" hidden="1">Judges!$A$1:$B$44</definedName>
    <definedName name="ExternalData_1" localSheetId="17" hidden="1">'Processed and Future Trials'!$A$2:$D$53</definedName>
    <definedName name="ExternalData_1" localSheetId="16" hidden="1">'SDDA Dogs'!$A$1:$O$7113</definedName>
    <definedName name="ExternalData_2" localSheetId="17" hidden="1">'Processed and Future Trials'!$G$2:$K$260</definedName>
    <definedName name="FeoFee">'Trial Info'!$B$19</definedName>
    <definedName name="FeoFeeElite">'Trial Info'!$B$20</definedName>
    <definedName name="FilePath">'Trial Info'!$E$1</definedName>
    <definedName name="GamesRunningOrderType">Games!$B$2</definedName>
    <definedName name="JudgeD1CSA">'Trial Info'!$B$32</definedName>
    <definedName name="JudgeD1CSE">'Trial Info'!$B$33</definedName>
    <definedName name="JudgeD1CSL">'Trial Info'!$B$34</definedName>
    <definedName name="JudgeD1CSS">'Trial Info'!$B$31</definedName>
    <definedName name="JudgeD1ESA">'Trial Info'!$D$32</definedName>
    <definedName name="JudgeD1ESE">'Trial Info'!$D$33</definedName>
    <definedName name="JudgeD1ESL">'Trial Info'!$D$34</definedName>
    <definedName name="JudgeD1ESS">'Trial Info'!$D$31</definedName>
    <definedName name="JudgeD1GamesAerial">'Trial Info'!$B$75</definedName>
    <definedName name="JudgeD1GamesDistance">'Trial Info'!$B$76</definedName>
    <definedName name="JudgeD1GamesSpeed">'Trial Info'!$B$77</definedName>
    <definedName name="JudgeD1GamesTeam">'Trial Info'!$B$78</definedName>
    <definedName name="JudgeD1ISA">'Trial Info'!$C$32</definedName>
    <definedName name="JudgeD1ISE">'Trial Info'!$C$33</definedName>
    <definedName name="JudgeD1ISL">'Trial Info'!$C$34</definedName>
    <definedName name="JudgeD1ISS">'Trial Info'!$C$31</definedName>
    <definedName name="JudgeD2CSA">'Trial Info'!$B$49</definedName>
    <definedName name="JudgeD2CSE">'Trial Info'!$B$50</definedName>
    <definedName name="JudgeD2CSL">'Trial Info'!$B$51</definedName>
    <definedName name="JudgeD2CSS">'Trial Info'!$B$48</definedName>
    <definedName name="JudgeD2ESA">'Trial Info'!$D$49</definedName>
    <definedName name="JudgeD2ESE">'Trial Info'!$D$50</definedName>
    <definedName name="JudgeD2ESL">'Trial Info'!$D$51</definedName>
    <definedName name="JudgeD2ESS">'Trial Info'!$D$48</definedName>
    <definedName name="JudgeD2GamesAerial">'Trial Info'!$B$91</definedName>
    <definedName name="JudgeD2GamesDistance">'Trial Info'!$B$92</definedName>
    <definedName name="JudgeD2GamesSpeed">'Trial Info'!$B$93</definedName>
    <definedName name="JudgeD2GamesTeam">'Trial Info'!$B$94</definedName>
    <definedName name="JudgeD2ISA">'Trial Info'!$C$49</definedName>
    <definedName name="JudgeD2ISE">'Trial Info'!$C$50</definedName>
    <definedName name="JudgeD2ISL">'Trial Info'!$C$51</definedName>
    <definedName name="JudgeD2ISS">'Trial Info'!$C$48</definedName>
    <definedName name="JudgeDay1GamesAerial">'Trial Info'!$B$75</definedName>
    <definedName name="JudgesFeeFEOGames">'Trial Info'!$B$13</definedName>
    <definedName name="JudgesFeeRegular">'Trial Info'!$B$12</definedName>
    <definedName name="JudgesList">Judges!$A$1:$B$44</definedName>
    <definedName name="Levels" localSheetId="5">#REF!</definedName>
    <definedName name="Levels" localSheetId="8">#REF!</definedName>
    <definedName name="Levels" localSheetId="9">#REF!</definedName>
    <definedName name="Levels" localSheetId="7">#REF!</definedName>
    <definedName name="Levels" localSheetId="13">#REF!</definedName>
    <definedName name="Levels">#REF!</definedName>
    <definedName name="ListGamesValidEntries">'Trial Info'!$Q$2:$Q$6</definedName>
    <definedName name="MaxTmCSA">'Trial Info'!$L$9</definedName>
    <definedName name="MaxTmCSE">'Trial Info'!$L$5</definedName>
    <definedName name="MaxTmCSL">'Trial Info'!$L$15</definedName>
    <definedName name="MaxTmCSS">'Trial Info'!$L$2</definedName>
    <definedName name="MaxTmESA">'Trial Info'!$L$11</definedName>
    <definedName name="MaxTmESE">'Trial Info'!$L$7</definedName>
    <definedName name="MaxTmESL">'Trial Info'!$L$17</definedName>
    <definedName name="MaxTmESS">'Trial Info'!$L$8</definedName>
    <definedName name="MaxTmISA">'Trial Info'!$L$4</definedName>
    <definedName name="MaxTmISE">'Trial Info'!$L$6</definedName>
    <definedName name="MaxTmISL">'Trial Info'!$L$16</definedName>
    <definedName name="MaxTmISS">'Trial Info'!$L$3</definedName>
    <definedName name="MaxTmL">'Trial Info'!$L$15</definedName>
    <definedName name="MinScoreCSA">'Trial Info'!$O$9</definedName>
    <definedName name="MinScoreCSE">'Trial Info'!$O$5</definedName>
    <definedName name="MinScoreCSL">'Trial Info'!$O$15</definedName>
    <definedName name="MinScoreCSS">'Trial Info'!$O$2</definedName>
    <definedName name="MinScoreESA">'Trial Info'!$O$11</definedName>
    <definedName name="MinScoreESE">'Trial Info'!$O$7</definedName>
    <definedName name="MinScoreESL">'Trial Info'!$O$17</definedName>
    <definedName name="MinScoreESS">'Trial Info'!$O$8</definedName>
    <definedName name="MinScoreISA">'Trial Info'!$O$4</definedName>
    <definedName name="MinScoreISE">'Trial Info'!$O$6</definedName>
    <definedName name="MinScoreISL">'Trial Info'!$O$16</definedName>
    <definedName name="MinScoreISS">'Trial Info'!$O$3</definedName>
    <definedName name="MinScoreL">'Trial Info'!$O$15</definedName>
    <definedName name="_xlnm.Print_Area" localSheetId="5">'Adv - Order'!$D$2:$I$54,'Adv - Order'!$D$110:$I$162,'Adv - Order'!$D$218:$I$270,'Adv - Order'!$D$272:$I$324,'Adv - Order'!$D$381:$I$433,'Adv - Order'!$D$490:$I$542,'Adv - Order'!$B$56:$I$108,'Adv - Order'!$B$164:$I$216,'Adv - Order'!$C$326:$J$378,'Adv - Order'!$B$435:$I$487</definedName>
    <definedName name="_xlnm.Print_Area" localSheetId="4">Advanced!$A$2:$BB$55,Advanced!$A$62:$BB$115</definedName>
    <definedName name="_xlnm.Print_Area" localSheetId="8">Elite!$A$2:$BA$35,Elite!$A$42:$BA$75</definedName>
    <definedName name="_xlnm.Print_Area" localSheetId="9">'Elite - Order'!$D$2:$I$34,'Elite - Order'!$D$36:$I$68,'Elite - Order'!$D$70:$I$102,'Elite - Order'!$D$104:$I$136,'Elite - Order'!$D$138:$I$170,'Elite - Order'!$D$172:$I$204,'Elite - Order'!$L$2:$S$34,'Elite - Order'!$L$36:$S$68,'Elite - Order'!$L$104:$S$136,'Elite - Order'!$L$138:$S$170</definedName>
    <definedName name="_xlnm.Print_Area" localSheetId="12">'Entry Fees'!$G:$J</definedName>
    <definedName name="_xlnm.Print_Area" localSheetId="6">Excellent!$A$2:$BB$55,Excellent!$A$62:$BB$115</definedName>
    <definedName name="_xlnm.Print_Area" localSheetId="7">'Ext - Order'!$D$2:$I$54,'Ext - Order'!$D$111:$I$163,'Ext - Order'!$D$220:$I$272,'Ext - Order'!$D$274:$I$326,'Ext - Order'!$D$383:$I$435,'Ext - Order'!$D$492:$I$544,'Ext - Order'!$B$56:$I$108,'Ext - Order'!$B$165:$I$217,'Ext - Order'!$B$328:$I$380,'Ext - Order'!$B$437:$I$489</definedName>
    <definedName name="_xlnm.Print_Area" localSheetId="10">Games!$C$7:$G$56,Games!$C$66:$G$115</definedName>
    <definedName name="_xlnm.Print_Area" localSheetId="2">Started!$A$2:$AQ$35,Started!$AU$2:$BB$35,Started!$A$42:$AQ$75,Started!$AU$42:$BB$75</definedName>
    <definedName name="_xlnm.Print_Area" localSheetId="3">'Str - Order'!$D$2:$I$34,'Str - Order'!$D$36:$I$68,'Str - Order'!$D$70:$I$102,'Str - Order'!$D$104:$I$136,'Str - Order'!$D$138:$I$170,'Str - Order'!$D$172:$I$204,'Str - Order'!$L$2:$S$34,'Str - Order'!$L$36:$S$68,'Str - Order'!$L$104:$S$136,'Str - Order'!$L$138:$S$170</definedName>
    <definedName name="_xlnm.Print_Area" localSheetId="1">Summary!$A$1:$M$12</definedName>
    <definedName name="_xlnm.Print_Area" localSheetId="0">'Trial Info'!$A$2:$E$59</definedName>
    <definedName name="_xlnm.Print_Titles" localSheetId="4">Advanced!$A:$D</definedName>
    <definedName name="_xlnm.Print_Titles" localSheetId="8">Elite!$A:$D</definedName>
    <definedName name="_xlnm.Print_Titles" localSheetId="12">'Entry Fees'!$1:$4</definedName>
    <definedName name="_xlnm.Print_Titles" localSheetId="6">Excellent!$A:$D</definedName>
    <definedName name="_xlnm.Print_Titles" localSheetId="10">Games!$2:$3</definedName>
    <definedName name="_xlnm.Print_Titles" localSheetId="16">'SDDA Dogs'!#REF!</definedName>
    <definedName name="_xlnm.Print_Titles" localSheetId="2">Started!$A:$D</definedName>
    <definedName name="RangeGamesDay1">#REF!</definedName>
    <definedName name="Ready">'Trial Info'!$G$4</definedName>
    <definedName name="SddaFee">'Trial Info'!$B$9</definedName>
    <definedName name="SddaFeeElite">'Trial Info'!$B$10</definedName>
    <definedName name="SddaFeeGamesTeams">'Trial Info'!#REF!</definedName>
    <definedName name="Sex" localSheetId="5">#REF!</definedName>
    <definedName name="Sex" localSheetId="8">#REF!</definedName>
    <definedName name="Sex" localSheetId="9">#REF!</definedName>
    <definedName name="Sex" localSheetId="7">#REF!</definedName>
    <definedName name="Sex" localSheetId="13">#REF!</definedName>
    <definedName name="Sex">#REF!</definedName>
    <definedName name="SpecialTitles">Summary!$U:$U</definedName>
    <definedName name="StartedB2BDay1">'Trial Info'!#REF!</definedName>
    <definedName name="StartedDay1FirstTitles">Started!$AQ$35</definedName>
    <definedName name="StartedDay2FirstTitles">Started!$AQ$75</definedName>
    <definedName name="Streams" localSheetId="5">#REF!</definedName>
    <definedName name="Streams" localSheetId="8">#REF!</definedName>
    <definedName name="Streams" localSheetId="9">#REF!</definedName>
    <definedName name="Streams" localSheetId="7">#REF!</definedName>
    <definedName name="Streams" localSheetId="13">#REF!</definedName>
    <definedName name="Streams">#REF!</definedName>
    <definedName name="TotalFeesGames">Table47[[#Totals],[Sdda Fees]]</definedName>
    <definedName name="TotalRunsGames">Table47[[#Totals],[Number of Runs]]</definedName>
    <definedName name="TrialCityDay1">'Trial Info'!$D$28</definedName>
    <definedName name="TrialCityDay2">'Trial Info'!$D$45</definedName>
    <definedName name="TrialDate">'Trial Info'!$B$29</definedName>
    <definedName name="TrialDateDay2">'Trial Info'!$B$46</definedName>
    <definedName name="TrialEmail">'Trial Info'!$B$6</definedName>
    <definedName name="TrialEmailDay1">'Trial Info'!$D$29</definedName>
    <definedName name="TrialEmailDay2">'Trial Info'!$D$46</definedName>
    <definedName name="TrialFeeAdv">'Trial Info'!$B$16</definedName>
    <definedName name="TrialFeeElite">'Trial Info'!$B$18</definedName>
    <definedName name="TrialFeeExc">'Trial Info'!$B$17</definedName>
    <definedName name="TrialFeeStr">'Trial Info'!$B$15</definedName>
    <definedName name="TrialHost">'Trial Info'!$B$5</definedName>
    <definedName name="TrialNumber">'Trial Info'!$B$28</definedName>
    <definedName name="TrialNumberDay2">'Trial Info'!$B$45</definedName>
    <definedName name="TrialSecretary">'Trial Info'!$B$6</definedName>
    <definedName name="TrialVenue">'Trial Info'!$B$7</definedName>
    <definedName name="UpdatedBy">'Trial Info'!$B$1</definedName>
    <definedName name="UseFail">'Trial Info'!$B$8</definedName>
    <definedName name="UseFailValue">'Trial Info'!$D$8</definedName>
    <definedName name="ValidScores">'Trial Info'!$K$20:$K$74</definedName>
  </definedNames>
  <calcPr calcId="191029"/>
  <pivotCaches>
    <pivotCache cacheId="6" r:id="rId20"/>
    <pivotCache cacheId="11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9" l="1"/>
  <c r="I35" i="9"/>
  <c r="H36" i="9"/>
  <c r="E66" i="26"/>
  <c r="E67" i="26"/>
  <c r="E7" i="26"/>
  <c r="J33" i="9" a="1"/>
  <c r="J33" i="9" s="1"/>
  <c r="I33" i="9" a="1"/>
  <c r="I33" i="9" s="1"/>
  <c r="I34" i="9"/>
  <c r="J34" i="9"/>
  <c r="H37" i="9"/>
  <c r="O1921" i="20"/>
  <c r="O1920" i="20"/>
  <c r="O1919" i="20"/>
  <c r="O1918" i="20"/>
  <c r="O1915" i="20"/>
  <c r="O1914" i="20"/>
  <c r="O1913" i="20"/>
  <c r="O1912" i="20"/>
  <c r="O1909" i="20"/>
  <c r="O1908" i="20"/>
  <c r="O1907" i="20"/>
  <c r="O1906" i="20"/>
  <c r="O1903" i="20"/>
  <c r="O1902" i="20"/>
  <c r="O1901" i="20"/>
  <c r="O1900" i="20"/>
  <c r="O1897" i="20"/>
  <c r="O1896" i="20"/>
  <c r="O1895" i="20"/>
  <c r="O1894" i="20"/>
  <c r="O1891" i="20"/>
  <c r="O1890" i="20"/>
  <c r="O1889" i="20"/>
  <c r="O1888" i="20"/>
  <c r="O1885" i="20"/>
  <c r="O1884" i="20"/>
  <c r="O1883" i="20"/>
  <c r="O1882" i="20"/>
  <c r="O1879" i="20"/>
  <c r="O1878" i="20"/>
  <c r="O1877" i="20"/>
  <c r="O1876" i="20"/>
  <c r="O1873" i="20"/>
  <c r="O1872" i="20"/>
  <c r="O1871" i="20"/>
  <c r="O1870" i="20"/>
  <c r="O1867" i="20"/>
  <c r="O1866" i="20"/>
  <c r="O1865" i="20"/>
  <c r="O1864" i="20"/>
  <c r="O1861" i="20"/>
  <c r="O1860" i="20"/>
  <c r="O1859" i="20"/>
  <c r="O1858" i="20"/>
  <c r="O1855" i="20"/>
  <c r="O1854" i="20"/>
  <c r="O1853" i="20"/>
  <c r="O1852" i="20"/>
  <c r="O1849" i="20"/>
  <c r="O1848" i="20"/>
  <c r="O1847" i="20"/>
  <c r="O1846" i="20"/>
  <c r="O1843" i="20"/>
  <c r="O1842" i="20"/>
  <c r="O1841" i="20"/>
  <c r="O1840" i="20"/>
  <c r="O1837" i="20"/>
  <c r="O1836" i="20"/>
  <c r="O1835" i="20"/>
  <c r="O1834" i="20"/>
  <c r="O1831" i="20"/>
  <c r="O1830" i="20"/>
  <c r="O1829" i="20"/>
  <c r="O1828" i="20"/>
  <c r="O1825" i="20"/>
  <c r="O1824" i="20"/>
  <c r="O1823" i="20"/>
  <c r="O1822" i="20"/>
  <c r="O1819" i="20"/>
  <c r="O1818" i="20"/>
  <c r="O1817" i="20"/>
  <c r="O1816" i="20"/>
  <c r="O1813" i="20"/>
  <c r="O1812" i="20"/>
  <c r="O1811" i="20"/>
  <c r="O1810" i="20"/>
  <c r="O1807" i="20"/>
  <c r="O1806" i="20"/>
  <c r="O1805" i="20"/>
  <c r="O1804" i="20"/>
  <c r="O1801" i="20"/>
  <c r="O1800" i="20"/>
  <c r="O1799" i="20"/>
  <c r="O1798" i="20"/>
  <c r="O1795" i="20"/>
  <c r="O1794" i="20"/>
  <c r="O1793" i="20"/>
  <c r="O1792" i="20"/>
  <c r="O1789" i="20"/>
  <c r="O1788" i="20"/>
  <c r="O1787" i="20"/>
  <c r="O1786" i="20"/>
  <c r="O1783" i="20"/>
  <c r="O1782" i="20"/>
  <c r="O1781" i="20"/>
  <c r="O1780" i="20"/>
  <c r="O1777" i="20"/>
  <c r="O1776" i="20"/>
  <c r="O1775" i="20"/>
  <c r="O1774" i="20"/>
  <c r="B1778" i="20"/>
  <c r="D1778" i="20"/>
  <c r="H1778" i="20" s="1"/>
  <c r="H1779" i="20" s="1"/>
  <c r="H1780" i="20" s="1"/>
  <c r="H1781" i="20" s="1"/>
  <c r="H1782" i="20" s="1"/>
  <c r="H1783" i="20" s="1"/>
  <c r="E1778" i="20"/>
  <c r="G1778" i="20"/>
  <c r="G1779" i="20" s="1"/>
  <c r="G1780" i="20" s="1"/>
  <c r="G1781" i="20" s="1"/>
  <c r="G1782" i="20" s="1"/>
  <c r="G1783" i="20" s="1"/>
  <c r="K1778" i="20"/>
  <c r="L1778" i="20"/>
  <c r="O1778" i="20"/>
  <c r="B1779" i="20"/>
  <c r="B1780" i="20" s="1"/>
  <c r="B1781" i="20" s="1"/>
  <c r="B1782" i="20" s="1"/>
  <c r="B1783" i="20" s="1"/>
  <c r="C1779" i="20"/>
  <c r="C1780" i="20" s="1"/>
  <c r="C1781" i="20" s="1"/>
  <c r="C1782" i="20" s="1"/>
  <c r="C1783" i="20" s="1"/>
  <c r="E1779" i="20"/>
  <c r="E1780" i="20" s="1"/>
  <c r="E1781" i="20" s="1"/>
  <c r="E1782" i="20" s="1"/>
  <c r="E1783" i="20" s="1"/>
  <c r="F1779" i="20"/>
  <c r="F1780" i="20" s="1"/>
  <c r="F1781" i="20" s="1"/>
  <c r="F1782" i="20" s="1"/>
  <c r="F1783" i="20" s="1"/>
  <c r="K1779" i="20"/>
  <c r="K1780" i="20" s="1"/>
  <c r="K1781" i="20" s="1"/>
  <c r="K1782" i="20" s="1"/>
  <c r="K1783" i="20" s="1"/>
  <c r="L1779" i="20"/>
  <c r="L1780" i="20" s="1"/>
  <c r="L1781" i="20" s="1"/>
  <c r="L1782" i="20" s="1"/>
  <c r="L1783" i="20" s="1"/>
  <c r="O1779" i="20"/>
  <c r="B1784" i="20"/>
  <c r="B1785" i="20" s="1"/>
  <c r="B1786" i="20" s="1"/>
  <c r="B1787" i="20" s="1"/>
  <c r="B1788" i="20" s="1"/>
  <c r="B1789" i="20" s="1"/>
  <c r="D1784" i="20"/>
  <c r="H1784" i="20" s="1"/>
  <c r="H1785" i="20" s="1"/>
  <c r="H1786" i="20" s="1"/>
  <c r="H1787" i="20" s="1"/>
  <c r="H1788" i="20" s="1"/>
  <c r="H1789" i="20" s="1"/>
  <c r="E1784" i="20"/>
  <c r="E1785" i="20" s="1"/>
  <c r="E1786" i="20" s="1"/>
  <c r="E1787" i="20" s="1"/>
  <c r="E1788" i="20" s="1"/>
  <c r="E1789" i="20" s="1"/>
  <c r="G1784" i="20"/>
  <c r="G1785" i="20" s="1"/>
  <c r="G1786" i="20" s="1"/>
  <c r="G1787" i="20" s="1"/>
  <c r="G1788" i="20" s="1"/>
  <c r="G1789" i="20" s="1"/>
  <c r="K1784" i="20"/>
  <c r="K1785" i="20" s="1"/>
  <c r="K1786" i="20" s="1"/>
  <c r="K1787" i="20" s="1"/>
  <c r="K1788" i="20" s="1"/>
  <c r="K1789" i="20" s="1"/>
  <c r="L1784" i="20"/>
  <c r="L1785" i="20" s="1"/>
  <c r="L1786" i="20" s="1"/>
  <c r="L1787" i="20" s="1"/>
  <c r="L1788" i="20" s="1"/>
  <c r="L1789" i="20" s="1"/>
  <c r="O1784" i="20"/>
  <c r="C1785" i="20"/>
  <c r="C1786" i="20" s="1"/>
  <c r="C1787" i="20" s="1"/>
  <c r="C1788" i="20" s="1"/>
  <c r="C1789" i="20" s="1"/>
  <c r="F1785" i="20"/>
  <c r="F1786" i="20" s="1"/>
  <c r="F1787" i="20" s="1"/>
  <c r="F1788" i="20" s="1"/>
  <c r="F1789" i="20" s="1"/>
  <c r="O1785" i="20"/>
  <c r="O1771" i="20"/>
  <c r="O1770" i="20"/>
  <c r="O1769" i="20"/>
  <c r="O1768" i="20"/>
  <c r="O1765" i="20"/>
  <c r="O1764" i="20"/>
  <c r="O1763" i="20"/>
  <c r="O1762" i="20"/>
  <c r="O1759" i="20"/>
  <c r="O1758" i="20"/>
  <c r="O1757" i="20"/>
  <c r="O1756" i="20"/>
  <c r="O1753" i="20"/>
  <c r="O1752" i="20"/>
  <c r="O1751" i="20"/>
  <c r="O1750" i="20"/>
  <c r="O1744" i="20"/>
  <c r="O1745" i="20"/>
  <c r="O1746" i="20"/>
  <c r="O1747" i="20"/>
  <c r="O957" i="20"/>
  <c r="F957" i="20"/>
  <c r="C957" i="20"/>
  <c r="O961" i="20"/>
  <c r="O960" i="20"/>
  <c r="O959" i="20"/>
  <c r="O958" i="20"/>
  <c r="O955" i="20"/>
  <c r="O954" i="20"/>
  <c r="O953" i="20"/>
  <c r="O952" i="20"/>
  <c r="O949" i="20"/>
  <c r="O948" i="20"/>
  <c r="O947" i="20"/>
  <c r="O946" i="20"/>
  <c r="O943" i="20"/>
  <c r="O942" i="20"/>
  <c r="O941" i="20"/>
  <c r="O940" i="20"/>
  <c r="O937" i="20"/>
  <c r="O936" i="20"/>
  <c r="O935" i="20"/>
  <c r="O934" i="20"/>
  <c r="O931" i="20"/>
  <c r="O930" i="20"/>
  <c r="O929" i="20"/>
  <c r="O928" i="20"/>
  <c r="O925" i="20"/>
  <c r="O924" i="20"/>
  <c r="O923" i="20"/>
  <c r="O922" i="20"/>
  <c r="O919" i="20"/>
  <c r="O918" i="20"/>
  <c r="O917" i="20"/>
  <c r="O916" i="20"/>
  <c r="O913" i="20"/>
  <c r="O912" i="20"/>
  <c r="O911" i="20"/>
  <c r="O910" i="20"/>
  <c r="O907" i="20"/>
  <c r="O906" i="20"/>
  <c r="O905" i="20"/>
  <c r="O904" i="20"/>
  <c r="O901" i="20"/>
  <c r="O900" i="20"/>
  <c r="O899" i="20"/>
  <c r="O898" i="20"/>
  <c r="O895" i="20"/>
  <c r="O894" i="20"/>
  <c r="O893" i="20"/>
  <c r="O892" i="20"/>
  <c r="O889" i="20"/>
  <c r="O888" i="20"/>
  <c r="O887" i="20"/>
  <c r="O886" i="20"/>
  <c r="O883" i="20"/>
  <c r="O882" i="20"/>
  <c r="O881" i="20"/>
  <c r="O880" i="20"/>
  <c r="O877" i="20"/>
  <c r="O876" i="20"/>
  <c r="O875" i="20"/>
  <c r="O874" i="20"/>
  <c r="O871" i="20"/>
  <c r="O870" i="20"/>
  <c r="O869" i="20"/>
  <c r="O868" i="20"/>
  <c r="O865" i="20"/>
  <c r="O864" i="20"/>
  <c r="O863" i="20"/>
  <c r="O862" i="20"/>
  <c r="O859" i="20"/>
  <c r="O858" i="20"/>
  <c r="O857" i="20"/>
  <c r="O856" i="20"/>
  <c r="O853" i="20"/>
  <c r="O852" i="20"/>
  <c r="O851" i="20"/>
  <c r="O850" i="20"/>
  <c r="O847" i="20"/>
  <c r="O846" i="20"/>
  <c r="O845" i="20"/>
  <c r="O844" i="20"/>
  <c r="O841" i="20"/>
  <c r="O840" i="20"/>
  <c r="O839" i="20"/>
  <c r="O838" i="20"/>
  <c r="O835" i="20"/>
  <c r="O834" i="20"/>
  <c r="O833" i="20"/>
  <c r="O832" i="20"/>
  <c r="O829" i="20"/>
  <c r="O828" i="20"/>
  <c r="O827" i="20"/>
  <c r="O826" i="20"/>
  <c r="O823" i="20"/>
  <c r="O822" i="20"/>
  <c r="O821" i="20"/>
  <c r="O820" i="20"/>
  <c r="O817" i="20"/>
  <c r="O816" i="20"/>
  <c r="O815" i="20"/>
  <c r="O814" i="20"/>
  <c r="O811" i="20"/>
  <c r="O810" i="20"/>
  <c r="O809" i="20"/>
  <c r="O808" i="20"/>
  <c r="O805" i="20"/>
  <c r="O804" i="20"/>
  <c r="O803" i="20"/>
  <c r="O802" i="20"/>
  <c r="O799" i="20"/>
  <c r="O798" i="20"/>
  <c r="O797" i="20"/>
  <c r="O796" i="20"/>
  <c r="O793" i="20"/>
  <c r="O792" i="20"/>
  <c r="O791" i="20"/>
  <c r="O790" i="20"/>
  <c r="O784" i="20"/>
  <c r="O785" i="20"/>
  <c r="O786" i="20"/>
  <c r="O787" i="20"/>
  <c r="D17" i="4"/>
  <c r="AK5" i="12"/>
  <c r="L224" i="20"/>
  <c r="L222" i="20"/>
  <c r="L220" i="20"/>
  <c r="L218" i="20"/>
  <c r="L216" i="20"/>
  <c r="L214" i="20"/>
  <c r="L212" i="20"/>
  <c r="L210" i="20"/>
  <c r="L208" i="20"/>
  <c r="L206" i="20"/>
  <c r="L204" i="20"/>
  <c r="L202" i="20"/>
  <c r="L200" i="20"/>
  <c r="L198" i="20"/>
  <c r="L196" i="20"/>
  <c r="L194" i="20"/>
  <c r="L192" i="20"/>
  <c r="L190" i="20"/>
  <c r="L188" i="20"/>
  <c r="L186" i="20"/>
  <c r="L184" i="20"/>
  <c r="F2621" i="20"/>
  <c r="C2621" i="20"/>
  <c r="F2619" i="20"/>
  <c r="C2619" i="20"/>
  <c r="F2617" i="20"/>
  <c r="C2617" i="20"/>
  <c r="F2615" i="20"/>
  <c r="C2615" i="20"/>
  <c r="F2613" i="20"/>
  <c r="C2613" i="20"/>
  <c r="F2611" i="20"/>
  <c r="C2611" i="20"/>
  <c r="F2609" i="20"/>
  <c r="C2609" i="20"/>
  <c r="F2607" i="20"/>
  <c r="C2607" i="20"/>
  <c r="F2605" i="20"/>
  <c r="C2605" i="20"/>
  <c r="F2603" i="20"/>
  <c r="C2603" i="20"/>
  <c r="F2601" i="20"/>
  <c r="C2601" i="20"/>
  <c r="F2599" i="20"/>
  <c r="C2599" i="20"/>
  <c r="F2597" i="20"/>
  <c r="C2597" i="20"/>
  <c r="F2595" i="20"/>
  <c r="C2595" i="20"/>
  <c r="F2593" i="20"/>
  <c r="C2593" i="20"/>
  <c r="F2591" i="20"/>
  <c r="C2591" i="20"/>
  <c r="F2589" i="20"/>
  <c r="C2589" i="20"/>
  <c r="F2587" i="20"/>
  <c r="C2587" i="20"/>
  <c r="F2585" i="20"/>
  <c r="C2585" i="20"/>
  <c r="F2583" i="20"/>
  <c r="C2583" i="20"/>
  <c r="F2581" i="20"/>
  <c r="C2581" i="20"/>
  <c r="F2579" i="20"/>
  <c r="C2579" i="20"/>
  <c r="F2577" i="20"/>
  <c r="C2577" i="20"/>
  <c r="F2567" i="20"/>
  <c r="C2567" i="20"/>
  <c r="F2575" i="20"/>
  <c r="C2575" i="20"/>
  <c r="F2573" i="20"/>
  <c r="C2573" i="20"/>
  <c r="F2571" i="20"/>
  <c r="C2571" i="20"/>
  <c r="F2569" i="20"/>
  <c r="C2569" i="20"/>
  <c r="F2565" i="20"/>
  <c r="C2565" i="20"/>
  <c r="F2563" i="20"/>
  <c r="C2563" i="20"/>
  <c r="F2561" i="20"/>
  <c r="C2561" i="20"/>
  <c r="F2559" i="20"/>
  <c r="C2559" i="20"/>
  <c r="F2557" i="20"/>
  <c r="C2557" i="20"/>
  <c r="F2555" i="20"/>
  <c r="C2555" i="20"/>
  <c r="F2553" i="20"/>
  <c r="C2553" i="20"/>
  <c r="F2551" i="20"/>
  <c r="C2551" i="20"/>
  <c r="F2549" i="20"/>
  <c r="C2549" i="20"/>
  <c r="F2547" i="20"/>
  <c r="C2547" i="20"/>
  <c r="F2545" i="20"/>
  <c r="C2545" i="20"/>
  <c r="F2543" i="20"/>
  <c r="C2543" i="20"/>
  <c r="F2541" i="20"/>
  <c r="C2541" i="20"/>
  <c r="F2539" i="20"/>
  <c r="C2539" i="20"/>
  <c r="F2537" i="20"/>
  <c r="C2537" i="20"/>
  <c r="F2535" i="20"/>
  <c r="C2535" i="20"/>
  <c r="F2533" i="20"/>
  <c r="C2533" i="20"/>
  <c r="F2531" i="20"/>
  <c r="C2531" i="20"/>
  <c r="F2529" i="20"/>
  <c r="C2529" i="20"/>
  <c r="F2527" i="20"/>
  <c r="C2527" i="20"/>
  <c r="F2525" i="20"/>
  <c r="C2525" i="20"/>
  <c r="F2523" i="20"/>
  <c r="C2523" i="20"/>
  <c r="O2620" i="20"/>
  <c r="O2621" i="20" s="1"/>
  <c r="G2620" i="20"/>
  <c r="G2621" i="20" s="1"/>
  <c r="D2620" i="20"/>
  <c r="D2621" i="20" s="1"/>
  <c r="B2620" i="20"/>
  <c r="B2621" i="20" s="1"/>
  <c r="O2618" i="20"/>
  <c r="O2619" i="20" s="1"/>
  <c r="G2618" i="20"/>
  <c r="G2619" i="20" s="1"/>
  <c r="D2618" i="20"/>
  <c r="D2619" i="20" s="1"/>
  <c r="B2618" i="20"/>
  <c r="B2619" i="20" s="1"/>
  <c r="O2616" i="20"/>
  <c r="O2617" i="20" s="1"/>
  <c r="G2616" i="20"/>
  <c r="G2617" i="20" s="1"/>
  <c r="D2616" i="20"/>
  <c r="D2617" i="20" s="1"/>
  <c r="B2616" i="20"/>
  <c r="B2617" i="20" s="1"/>
  <c r="O2614" i="20"/>
  <c r="O2615" i="20" s="1"/>
  <c r="G2614" i="20"/>
  <c r="G2615" i="20" s="1"/>
  <c r="D2614" i="20"/>
  <c r="D2615" i="20" s="1"/>
  <c r="B2614" i="20"/>
  <c r="B2615" i="20" s="1"/>
  <c r="O2612" i="20"/>
  <c r="O2613" i="20" s="1"/>
  <c r="G2612" i="20"/>
  <c r="G2613" i="20" s="1"/>
  <c r="D2612" i="20"/>
  <c r="D2613" i="20" s="1"/>
  <c r="B2612" i="20"/>
  <c r="B2613" i="20" s="1"/>
  <c r="O2610" i="20"/>
  <c r="O2611" i="20" s="1"/>
  <c r="G2610" i="20"/>
  <c r="G2611" i="20" s="1"/>
  <c r="D2610" i="20"/>
  <c r="D2611" i="20" s="1"/>
  <c r="B2610" i="20"/>
  <c r="B2611" i="20" s="1"/>
  <c r="O2608" i="20"/>
  <c r="O2609" i="20" s="1"/>
  <c r="G2608" i="20"/>
  <c r="G2609" i="20" s="1"/>
  <c r="D2608" i="20"/>
  <c r="D2609" i="20" s="1"/>
  <c r="B2608" i="20"/>
  <c r="B2609" i="20" s="1"/>
  <c r="O2606" i="20"/>
  <c r="O2607" i="20" s="1"/>
  <c r="G2606" i="20"/>
  <c r="G2607" i="20" s="1"/>
  <c r="D2606" i="20"/>
  <c r="D2607" i="20" s="1"/>
  <c r="B2606" i="20"/>
  <c r="B2607" i="20" s="1"/>
  <c r="O2604" i="20"/>
  <c r="O2605" i="20" s="1"/>
  <c r="G2604" i="20"/>
  <c r="G2605" i="20" s="1"/>
  <c r="D2604" i="20"/>
  <c r="D2605" i="20" s="1"/>
  <c r="B2604" i="20"/>
  <c r="B2605" i="20" s="1"/>
  <c r="O2602" i="20"/>
  <c r="O2603" i="20" s="1"/>
  <c r="G2602" i="20"/>
  <c r="G2603" i="20" s="1"/>
  <c r="D2602" i="20"/>
  <c r="D2603" i="20" s="1"/>
  <c r="B2602" i="20"/>
  <c r="B2603" i="20" s="1"/>
  <c r="O2600" i="20"/>
  <c r="O2601" i="20" s="1"/>
  <c r="G2600" i="20"/>
  <c r="G2601" i="20" s="1"/>
  <c r="D2600" i="20"/>
  <c r="D2601" i="20" s="1"/>
  <c r="B2600" i="20"/>
  <c r="B2601" i="20" s="1"/>
  <c r="O2598" i="20"/>
  <c r="O2599" i="20" s="1"/>
  <c r="G2598" i="20"/>
  <c r="G2599" i="20" s="1"/>
  <c r="D2598" i="20"/>
  <c r="D2599" i="20" s="1"/>
  <c r="B2598" i="20"/>
  <c r="B2599" i="20" s="1"/>
  <c r="O2596" i="20"/>
  <c r="O2597" i="20" s="1"/>
  <c r="G2596" i="20"/>
  <c r="G2597" i="20" s="1"/>
  <c r="D2596" i="20"/>
  <c r="D2597" i="20" s="1"/>
  <c r="B2596" i="20"/>
  <c r="B2597" i="20" s="1"/>
  <c r="O2594" i="20"/>
  <c r="O2595" i="20" s="1"/>
  <c r="G2594" i="20"/>
  <c r="G2595" i="20" s="1"/>
  <c r="D2594" i="20"/>
  <c r="D2595" i="20" s="1"/>
  <c r="B2594" i="20"/>
  <c r="B2595" i="20" s="1"/>
  <c r="O2592" i="20"/>
  <c r="O2593" i="20" s="1"/>
  <c r="G2592" i="20"/>
  <c r="G2593" i="20" s="1"/>
  <c r="D2592" i="20"/>
  <c r="D2593" i="20" s="1"/>
  <c r="B2592" i="20"/>
  <c r="B2593" i="20" s="1"/>
  <c r="O2590" i="20"/>
  <c r="O2591" i="20" s="1"/>
  <c r="G2590" i="20"/>
  <c r="G2591" i="20" s="1"/>
  <c r="D2590" i="20"/>
  <c r="D2591" i="20" s="1"/>
  <c r="B2590" i="20"/>
  <c r="B2591" i="20" s="1"/>
  <c r="O2588" i="20"/>
  <c r="O2589" i="20" s="1"/>
  <c r="G2588" i="20"/>
  <c r="G2589" i="20" s="1"/>
  <c r="D2588" i="20"/>
  <c r="D2589" i="20" s="1"/>
  <c r="B2588" i="20"/>
  <c r="B2589" i="20" s="1"/>
  <c r="O2586" i="20"/>
  <c r="O2587" i="20" s="1"/>
  <c r="G2586" i="20"/>
  <c r="G2587" i="20" s="1"/>
  <c r="D2586" i="20"/>
  <c r="D2587" i="20" s="1"/>
  <c r="B2586" i="20"/>
  <c r="B2587" i="20" s="1"/>
  <c r="O2584" i="20"/>
  <c r="O2585" i="20" s="1"/>
  <c r="G2584" i="20"/>
  <c r="G2585" i="20" s="1"/>
  <c r="D2584" i="20"/>
  <c r="D2585" i="20" s="1"/>
  <c r="B2584" i="20"/>
  <c r="B2585" i="20" s="1"/>
  <c r="O2582" i="20"/>
  <c r="O2583" i="20" s="1"/>
  <c r="G2582" i="20"/>
  <c r="G2583" i="20" s="1"/>
  <c r="D2582" i="20"/>
  <c r="D2583" i="20" s="1"/>
  <c r="B2582" i="20"/>
  <c r="B2583" i="20" s="1"/>
  <c r="O2580" i="20"/>
  <c r="O2581" i="20" s="1"/>
  <c r="G2580" i="20"/>
  <c r="G2581" i="20" s="1"/>
  <c r="D2580" i="20"/>
  <c r="D2581" i="20" s="1"/>
  <c r="B2580" i="20"/>
  <c r="B2581" i="20" s="1"/>
  <c r="O2578" i="20"/>
  <c r="O2579" i="20" s="1"/>
  <c r="G2578" i="20"/>
  <c r="G2579" i="20" s="1"/>
  <c r="D2578" i="20"/>
  <c r="D2579" i="20" s="1"/>
  <c r="B2578" i="20"/>
  <c r="B2579" i="20" s="1"/>
  <c r="O2576" i="20"/>
  <c r="O2577" i="20" s="1"/>
  <c r="G2576" i="20"/>
  <c r="G2577" i="20" s="1"/>
  <c r="D2576" i="20"/>
  <c r="D2577" i="20" s="1"/>
  <c r="B2576" i="20"/>
  <c r="B2577" i="20" s="1"/>
  <c r="O2574" i="20"/>
  <c r="O2575" i="20" s="1"/>
  <c r="G2574" i="20"/>
  <c r="G2575" i="20" s="1"/>
  <c r="D2574" i="20"/>
  <c r="D2575" i="20" s="1"/>
  <c r="B2574" i="20"/>
  <c r="B2575" i="20" s="1"/>
  <c r="O2572" i="20"/>
  <c r="O2573" i="20" s="1"/>
  <c r="G2572" i="20"/>
  <c r="G2573" i="20" s="1"/>
  <c r="D2572" i="20"/>
  <c r="B2572" i="20"/>
  <c r="B2573" i="20" s="1"/>
  <c r="O2570" i="20"/>
  <c r="O2571" i="20" s="1"/>
  <c r="G2570" i="20"/>
  <c r="G2571" i="20" s="1"/>
  <c r="D2570" i="20"/>
  <c r="D2571" i="20" s="1"/>
  <c r="B2570" i="20"/>
  <c r="B2571" i="20" s="1"/>
  <c r="O2568" i="20"/>
  <c r="O2569" i="20" s="1"/>
  <c r="G2568" i="20"/>
  <c r="G2569" i="20" s="1"/>
  <c r="D2568" i="20"/>
  <c r="D2569" i="20" s="1"/>
  <c r="B2568" i="20"/>
  <c r="B2569" i="20" s="1"/>
  <c r="O2566" i="20"/>
  <c r="O2567" i="20" s="1"/>
  <c r="G2566" i="20"/>
  <c r="G2567" i="20" s="1"/>
  <c r="D2566" i="20"/>
  <c r="D2567" i="20" s="1"/>
  <c r="B2566" i="20"/>
  <c r="B2567" i="20" s="1"/>
  <c r="O2564" i="20"/>
  <c r="O2565" i="20" s="1"/>
  <c r="G2564" i="20"/>
  <c r="G2565" i="20" s="1"/>
  <c r="D2564" i="20"/>
  <c r="D2565" i="20" s="1"/>
  <c r="B2564" i="20"/>
  <c r="B2565" i="20" s="1"/>
  <c r="O2562" i="20"/>
  <c r="O2563" i="20" s="1"/>
  <c r="G2562" i="20"/>
  <c r="G2563" i="20" s="1"/>
  <c r="D2562" i="20"/>
  <c r="D2563" i="20" s="1"/>
  <c r="B2562" i="20"/>
  <c r="B2563" i="20" s="1"/>
  <c r="O2560" i="20"/>
  <c r="O2561" i="20" s="1"/>
  <c r="G2560" i="20"/>
  <c r="G2561" i="20" s="1"/>
  <c r="D2560" i="20"/>
  <c r="D2561" i="20" s="1"/>
  <c r="B2560" i="20"/>
  <c r="B2561" i="20" s="1"/>
  <c r="O2558" i="20"/>
  <c r="O2559" i="20" s="1"/>
  <c r="G2558" i="20"/>
  <c r="G2559" i="20" s="1"/>
  <c r="D2558" i="20"/>
  <c r="D2559" i="20" s="1"/>
  <c r="B2558" i="20"/>
  <c r="B2559" i="20" s="1"/>
  <c r="O2556" i="20"/>
  <c r="O2557" i="20" s="1"/>
  <c r="G2556" i="20"/>
  <c r="G2557" i="20" s="1"/>
  <c r="D2556" i="20"/>
  <c r="D2557" i="20" s="1"/>
  <c r="B2556" i="20"/>
  <c r="B2557" i="20" s="1"/>
  <c r="O2554" i="20"/>
  <c r="O2555" i="20" s="1"/>
  <c r="G2554" i="20"/>
  <c r="G2555" i="20" s="1"/>
  <c r="D2554" i="20"/>
  <c r="D2555" i="20" s="1"/>
  <c r="B2554" i="20"/>
  <c r="B2555" i="20" s="1"/>
  <c r="O2552" i="20"/>
  <c r="O2553" i="20" s="1"/>
  <c r="G2552" i="20"/>
  <c r="G2553" i="20" s="1"/>
  <c r="D2552" i="20"/>
  <c r="D2553" i="20" s="1"/>
  <c r="B2552" i="20"/>
  <c r="B2553" i="20" s="1"/>
  <c r="O2550" i="20"/>
  <c r="O2551" i="20" s="1"/>
  <c r="G2550" i="20"/>
  <c r="G2551" i="20" s="1"/>
  <c r="D2550" i="20"/>
  <c r="D2551" i="20" s="1"/>
  <c r="B2550" i="20"/>
  <c r="B2551" i="20" s="1"/>
  <c r="O2548" i="20"/>
  <c r="O2549" i="20" s="1"/>
  <c r="G2548" i="20"/>
  <c r="G2549" i="20" s="1"/>
  <c r="D2548" i="20"/>
  <c r="D2549" i="20" s="1"/>
  <c r="B2548" i="20"/>
  <c r="B2549" i="20" s="1"/>
  <c r="O2546" i="20"/>
  <c r="O2547" i="20" s="1"/>
  <c r="G2546" i="20"/>
  <c r="G2547" i="20" s="1"/>
  <c r="D2546" i="20"/>
  <c r="D2547" i="20" s="1"/>
  <c r="B2546" i="20"/>
  <c r="B2547" i="20" s="1"/>
  <c r="O2544" i="20"/>
  <c r="O2545" i="20" s="1"/>
  <c r="G2544" i="20"/>
  <c r="G2545" i="20" s="1"/>
  <c r="D2544" i="20"/>
  <c r="D2545" i="20" s="1"/>
  <c r="B2544" i="20"/>
  <c r="B2545" i="20" s="1"/>
  <c r="O2542" i="20"/>
  <c r="O2543" i="20" s="1"/>
  <c r="G2542" i="20"/>
  <c r="G2543" i="20" s="1"/>
  <c r="D2542" i="20"/>
  <c r="D2543" i="20" s="1"/>
  <c r="B2542" i="20"/>
  <c r="B2543" i="20" s="1"/>
  <c r="O2540" i="20"/>
  <c r="O2541" i="20" s="1"/>
  <c r="G2540" i="20"/>
  <c r="G2541" i="20" s="1"/>
  <c r="D2540" i="20"/>
  <c r="D2541" i="20" s="1"/>
  <c r="B2540" i="20"/>
  <c r="B2541" i="20" s="1"/>
  <c r="O2538" i="20"/>
  <c r="O2539" i="20" s="1"/>
  <c r="G2538" i="20"/>
  <c r="G2539" i="20" s="1"/>
  <c r="D2538" i="20"/>
  <c r="D2539" i="20" s="1"/>
  <c r="B2538" i="20"/>
  <c r="B2539" i="20" s="1"/>
  <c r="O2536" i="20"/>
  <c r="O2537" i="20" s="1"/>
  <c r="G2536" i="20"/>
  <c r="G2537" i="20" s="1"/>
  <c r="D2536" i="20"/>
  <c r="D2537" i="20" s="1"/>
  <c r="B2536" i="20"/>
  <c r="B2537" i="20" s="1"/>
  <c r="O2534" i="20"/>
  <c r="O2535" i="20" s="1"/>
  <c r="G2534" i="20"/>
  <c r="G2535" i="20" s="1"/>
  <c r="D2534" i="20"/>
  <c r="D2535" i="20" s="1"/>
  <c r="B2534" i="20"/>
  <c r="B2535" i="20" s="1"/>
  <c r="O2532" i="20"/>
  <c r="O2533" i="20" s="1"/>
  <c r="G2532" i="20"/>
  <c r="G2533" i="20" s="1"/>
  <c r="D2532" i="20"/>
  <c r="D2533" i="20" s="1"/>
  <c r="B2532" i="20"/>
  <c r="B2533" i="20" s="1"/>
  <c r="O2530" i="20"/>
  <c r="O2531" i="20" s="1"/>
  <c r="G2530" i="20"/>
  <c r="G2531" i="20" s="1"/>
  <c r="D2530" i="20"/>
  <c r="D2531" i="20" s="1"/>
  <c r="B2530" i="20"/>
  <c r="B2531" i="20" s="1"/>
  <c r="O2528" i="20"/>
  <c r="O2529" i="20" s="1"/>
  <c r="G2528" i="20"/>
  <c r="G2529" i="20" s="1"/>
  <c r="D2528" i="20"/>
  <c r="D2529" i="20" s="1"/>
  <c r="B2528" i="20"/>
  <c r="B2529" i="20" s="1"/>
  <c r="O2526" i="20"/>
  <c r="O2527" i="20" s="1"/>
  <c r="G2526" i="20"/>
  <c r="G2527" i="20" s="1"/>
  <c r="D2526" i="20"/>
  <c r="D2527" i="20" s="1"/>
  <c r="B2526" i="20"/>
  <c r="B2527" i="20" s="1"/>
  <c r="O2524" i="20"/>
  <c r="O2525" i="20" s="1"/>
  <c r="G2524" i="20"/>
  <c r="G2525" i="20" s="1"/>
  <c r="D2524" i="20"/>
  <c r="D2525" i="20" s="1"/>
  <c r="B2524" i="20"/>
  <c r="B2525" i="20" s="1"/>
  <c r="O2522" i="20"/>
  <c r="O2523" i="20" s="1"/>
  <c r="G2522" i="20"/>
  <c r="G2523" i="20" s="1"/>
  <c r="D2522" i="20"/>
  <c r="D2523" i="20" s="1"/>
  <c r="B2522" i="20"/>
  <c r="B2523" i="20" s="1"/>
  <c r="F2521" i="20"/>
  <c r="C2521" i="20"/>
  <c r="O2520" i="20"/>
  <c r="O2521" i="20" s="1"/>
  <c r="G2520" i="20"/>
  <c r="G2521" i="20" s="1"/>
  <c r="D2520" i="20"/>
  <c r="D2521" i="20" s="1"/>
  <c r="B2520" i="20"/>
  <c r="B2521" i="20" s="1"/>
  <c r="F2519" i="20"/>
  <c r="C2519" i="20"/>
  <c r="O2518" i="20"/>
  <c r="O2519" i="20" s="1"/>
  <c r="G2518" i="20"/>
  <c r="G2519" i="20" s="1"/>
  <c r="D2518" i="20"/>
  <c r="D2519" i="20" s="1"/>
  <c r="B2518" i="20"/>
  <c r="B2519" i="20" s="1"/>
  <c r="F2517" i="20"/>
  <c r="C2517" i="20"/>
  <c r="O2516" i="20"/>
  <c r="O2517" i="20" s="1"/>
  <c r="G2516" i="20"/>
  <c r="G2517" i="20" s="1"/>
  <c r="D2516" i="20"/>
  <c r="D2517" i="20" s="1"/>
  <c r="B2516" i="20"/>
  <c r="B2517" i="20" s="1"/>
  <c r="F2515" i="20"/>
  <c r="C2515" i="20"/>
  <c r="O2514" i="20"/>
  <c r="O2515" i="20" s="1"/>
  <c r="G2514" i="20"/>
  <c r="G2515" i="20" s="1"/>
  <c r="D2514" i="20"/>
  <c r="D2515" i="20" s="1"/>
  <c r="B2514" i="20"/>
  <c r="B2515" i="20" s="1"/>
  <c r="F2513" i="20"/>
  <c r="C2513" i="20"/>
  <c r="O2512" i="20"/>
  <c r="O2513" i="20" s="1"/>
  <c r="G2512" i="20"/>
  <c r="G2513" i="20" s="1"/>
  <c r="D2512" i="20"/>
  <c r="D2513" i="20" s="1"/>
  <c r="B2512" i="20"/>
  <c r="B2513" i="20" s="1"/>
  <c r="F2511" i="20"/>
  <c r="C2511" i="20"/>
  <c r="O2510" i="20"/>
  <c r="O2511" i="20" s="1"/>
  <c r="G2510" i="20"/>
  <c r="G2511" i="20" s="1"/>
  <c r="D2510" i="20"/>
  <c r="D2511" i="20" s="1"/>
  <c r="B2510" i="20"/>
  <c r="B2511" i="20" s="1"/>
  <c r="F2509" i="20"/>
  <c r="C2509" i="20"/>
  <c r="O2508" i="20"/>
  <c r="O2509" i="20" s="1"/>
  <c r="G2508" i="20"/>
  <c r="G2509" i="20" s="1"/>
  <c r="D2508" i="20"/>
  <c r="D2509" i="20" s="1"/>
  <c r="B2508" i="20"/>
  <c r="B2509" i="20" s="1"/>
  <c r="F2507" i="20"/>
  <c r="C2507" i="20"/>
  <c r="O2506" i="20"/>
  <c r="O2507" i="20" s="1"/>
  <c r="G2506" i="20"/>
  <c r="G2507" i="20" s="1"/>
  <c r="D2506" i="20"/>
  <c r="D2507" i="20" s="1"/>
  <c r="B2506" i="20"/>
  <c r="B2507" i="20" s="1"/>
  <c r="F2505" i="20"/>
  <c r="C2505" i="20"/>
  <c r="O2504" i="20"/>
  <c r="O2505" i="20" s="1"/>
  <c r="G2504" i="20"/>
  <c r="G2505" i="20" s="1"/>
  <c r="D2504" i="20"/>
  <c r="D2505" i="20" s="1"/>
  <c r="B2504" i="20"/>
  <c r="B2505" i="20" s="1"/>
  <c r="F2503" i="20"/>
  <c r="C2503" i="20"/>
  <c r="O2502" i="20"/>
  <c r="O2503" i="20" s="1"/>
  <c r="G2502" i="20"/>
  <c r="G2503" i="20" s="1"/>
  <c r="D2502" i="20"/>
  <c r="D2503" i="20" s="1"/>
  <c r="B2502" i="20"/>
  <c r="B2503" i="20" s="1"/>
  <c r="F2501" i="20"/>
  <c r="C2501" i="20"/>
  <c r="O2500" i="20"/>
  <c r="O2501" i="20" s="1"/>
  <c r="G2500" i="20"/>
  <c r="G2501" i="20" s="1"/>
  <c r="D2500" i="20"/>
  <c r="D2501" i="20" s="1"/>
  <c r="B2500" i="20"/>
  <c r="B2501" i="20" s="1"/>
  <c r="F2499" i="20"/>
  <c r="C2499" i="20"/>
  <c r="O2498" i="20"/>
  <c r="O2499" i="20" s="1"/>
  <c r="G2498" i="20"/>
  <c r="G2499" i="20" s="1"/>
  <c r="D2498" i="20"/>
  <c r="D2499" i="20" s="1"/>
  <c r="B2498" i="20"/>
  <c r="B2499" i="20" s="1"/>
  <c r="F2497" i="20"/>
  <c r="C2497" i="20"/>
  <c r="O2496" i="20"/>
  <c r="O2497" i="20" s="1"/>
  <c r="G2496" i="20"/>
  <c r="G2497" i="20" s="1"/>
  <c r="D2496" i="20"/>
  <c r="D2497" i="20" s="1"/>
  <c r="B2496" i="20"/>
  <c r="B2497" i="20" s="1"/>
  <c r="F2495" i="20"/>
  <c r="C2495" i="20"/>
  <c r="O2494" i="20"/>
  <c r="O2495" i="20" s="1"/>
  <c r="G2494" i="20"/>
  <c r="G2495" i="20" s="1"/>
  <c r="D2494" i="20"/>
  <c r="D2495" i="20" s="1"/>
  <c r="B2494" i="20"/>
  <c r="B2495" i="20" s="1"/>
  <c r="F2493" i="20"/>
  <c r="C2493" i="20"/>
  <c r="O2492" i="20"/>
  <c r="O2493" i="20" s="1"/>
  <c r="G2492" i="20"/>
  <c r="G2493" i="20" s="1"/>
  <c r="D2492" i="20"/>
  <c r="D2493" i="20" s="1"/>
  <c r="B2492" i="20"/>
  <c r="B2493" i="20" s="1"/>
  <c r="F2491" i="20"/>
  <c r="C2491" i="20"/>
  <c r="O2490" i="20"/>
  <c r="O2491" i="20" s="1"/>
  <c r="G2490" i="20"/>
  <c r="G2491" i="20" s="1"/>
  <c r="D2490" i="20"/>
  <c r="D2491" i="20" s="1"/>
  <c r="B2490" i="20"/>
  <c r="B2491" i="20" s="1"/>
  <c r="F2489" i="20"/>
  <c r="C2489" i="20"/>
  <c r="O2488" i="20"/>
  <c r="O2489" i="20" s="1"/>
  <c r="G2488" i="20"/>
  <c r="G2489" i="20" s="1"/>
  <c r="D2488" i="20"/>
  <c r="D2489" i="20" s="1"/>
  <c r="B2488" i="20"/>
  <c r="B2489" i="20" s="1"/>
  <c r="F2487" i="20"/>
  <c r="C2487" i="20"/>
  <c r="O2486" i="20"/>
  <c r="O2487" i="20" s="1"/>
  <c r="G2486" i="20"/>
  <c r="G2487" i="20" s="1"/>
  <c r="D2486" i="20"/>
  <c r="D2487" i="20" s="1"/>
  <c r="B2486" i="20"/>
  <c r="B2487" i="20" s="1"/>
  <c r="F2485" i="20"/>
  <c r="C2485" i="20"/>
  <c r="O2484" i="20"/>
  <c r="O2485" i="20" s="1"/>
  <c r="G2484" i="20"/>
  <c r="G2485" i="20" s="1"/>
  <c r="D2484" i="20"/>
  <c r="D2485" i="20" s="1"/>
  <c r="B2484" i="20"/>
  <c r="B2485" i="20" s="1"/>
  <c r="F2483" i="20"/>
  <c r="C2483" i="20"/>
  <c r="O2482" i="20"/>
  <c r="O2483" i="20" s="1"/>
  <c r="G2482" i="20"/>
  <c r="G2483" i="20" s="1"/>
  <c r="D2482" i="20"/>
  <c r="D2483" i="20" s="1"/>
  <c r="B2482" i="20"/>
  <c r="B2483" i="20" s="1"/>
  <c r="F2481" i="20"/>
  <c r="C2481" i="20"/>
  <c r="O2480" i="20"/>
  <c r="O2481" i="20" s="1"/>
  <c r="G2480" i="20"/>
  <c r="G2481" i="20" s="1"/>
  <c r="D2480" i="20"/>
  <c r="D2481" i="20" s="1"/>
  <c r="B2480" i="20"/>
  <c r="B2481" i="20" s="1"/>
  <c r="F2479" i="20"/>
  <c r="C2479" i="20"/>
  <c r="O2478" i="20"/>
  <c r="O2479" i="20" s="1"/>
  <c r="G2478" i="20"/>
  <c r="G2479" i="20" s="1"/>
  <c r="D2478" i="20"/>
  <c r="D2479" i="20" s="1"/>
  <c r="B2478" i="20"/>
  <c r="B2479" i="20" s="1"/>
  <c r="F2477" i="20"/>
  <c r="C2477" i="20"/>
  <c r="O2476" i="20"/>
  <c r="O2477" i="20" s="1"/>
  <c r="G2476" i="20"/>
  <c r="G2477" i="20" s="1"/>
  <c r="D2476" i="20"/>
  <c r="D2477" i="20" s="1"/>
  <c r="B2476" i="20"/>
  <c r="B2477" i="20" s="1"/>
  <c r="F2475" i="20"/>
  <c r="C2475" i="20"/>
  <c r="O2474" i="20"/>
  <c r="O2475" i="20" s="1"/>
  <c r="G2474" i="20"/>
  <c r="G2475" i="20" s="1"/>
  <c r="D2474" i="20"/>
  <c r="D2475" i="20" s="1"/>
  <c r="B2474" i="20"/>
  <c r="B2475" i="20" s="1"/>
  <c r="F2473" i="20"/>
  <c r="C2473" i="20"/>
  <c r="O2472" i="20"/>
  <c r="O2473" i="20" s="1"/>
  <c r="G2472" i="20"/>
  <c r="G2473" i="20" s="1"/>
  <c r="D2472" i="20"/>
  <c r="D2473" i="20" s="1"/>
  <c r="B2472" i="20"/>
  <c r="B2473" i="20" s="1"/>
  <c r="F2471" i="20"/>
  <c r="C2471" i="20"/>
  <c r="O2470" i="20"/>
  <c r="O2471" i="20" s="1"/>
  <c r="G2470" i="20"/>
  <c r="G2471" i="20" s="1"/>
  <c r="D2470" i="20"/>
  <c r="D2471" i="20" s="1"/>
  <c r="B2470" i="20"/>
  <c r="B2471" i="20" s="1"/>
  <c r="F2469" i="20"/>
  <c r="C2469" i="20"/>
  <c r="O2468" i="20"/>
  <c r="O2469" i="20" s="1"/>
  <c r="G2468" i="20"/>
  <c r="G2469" i="20" s="1"/>
  <c r="D2468" i="20"/>
  <c r="D2469" i="20" s="1"/>
  <c r="B2468" i="20"/>
  <c r="B2469" i="20" s="1"/>
  <c r="F2467" i="20"/>
  <c r="C2467" i="20"/>
  <c r="O2466" i="20"/>
  <c r="O2467" i="20" s="1"/>
  <c r="G2466" i="20"/>
  <c r="G2467" i="20" s="1"/>
  <c r="D2466" i="20"/>
  <c r="D2467" i="20" s="1"/>
  <c r="B2466" i="20"/>
  <c r="B2467" i="20" s="1"/>
  <c r="F2465" i="20"/>
  <c r="C2465" i="20"/>
  <c r="O2464" i="20"/>
  <c r="O2465" i="20" s="1"/>
  <c r="G2464" i="20"/>
  <c r="G2465" i="20" s="1"/>
  <c r="D2464" i="20"/>
  <c r="D2465" i="20" s="1"/>
  <c r="B2464" i="20"/>
  <c r="B2465" i="20" s="1"/>
  <c r="F2463" i="20"/>
  <c r="C2463" i="20"/>
  <c r="O2462" i="20"/>
  <c r="O2463" i="20" s="1"/>
  <c r="G2462" i="20"/>
  <c r="G2463" i="20" s="1"/>
  <c r="D2462" i="20"/>
  <c r="D2463" i="20" s="1"/>
  <c r="B2462" i="20"/>
  <c r="B2463" i="20" s="1"/>
  <c r="F2461" i="20"/>
  <c r="C2461" i="20"/>
  <c r="O2460" i="20"/>
  <c r="O2461" i="20" s="1"/>
  <c r="G2460" i="20"/>
  <c r="G2461" i="20" s="1"/>
  <c r="D2460" i="20"/>
  <c r="D2461" i="20" s="1"/>
  <c r="B2460" i="20"/>
  <c r="B2461" i="20" s="1"/>
  <c r="F2459" i="20"/>
  <c r="C2459" i="20"/>
  <c r="O2458" i="20"/>
  <c r="O2459" i="20" s="1"/>
  <c r="G2458" i="20"/>
  <c r="G2459" i="20" s="1"/>
  <c r="D2458" i="20"/>
  <c r="D2459" i="20" s="1"/>
  <c r="B2458" i="20"/>
  <c r="B2459" i="20" s="1"/>
  <c r="F2457" i="20"/>
  <c r="C2457" i="20"/>
  <c r="O2456" i="20"/>
  <c r="O2457" i="20" s="1"/>
  <c r="G2456" i="20"/>
  <c r="G2457" i="20" s="1"/>
  <c r="D2456" i="20"/>
  <c r="D2457" i="20" s="1"/>
  <c r="B2456" i="20"/>
  <c r="B2457" i="20" s="1"/>
  <c r="F2455" i="20"/>
  <c r="C2455" i="20"/>
  <c r="O2454" i="20"/>
  <c r="O2455" i="20" s="1"/>
  <c r="G2454" i="20"/>
  <c r="G2455" i="20" s="1"/>
  <c r="D2454" i="20"/>
  <c r="D2455" i="20" s="1"/>
  <c r="B2454" i="20"/>
  <c r="B2455" i="20" s="1"/>
  <c r="F2453" i="20"/>
  <c r="C2453" i="20"/>
  <c r="O2452" i="20"/>
  <c r="O2453" i="20" s="1"/>
  <c r="G2452" i="20"/>
  <c r="G2453" i="20" s="1"/>
  <c r="D2452" i="20"/>
  <c r="D2453" i="20" s="1"/>
  <c r="B2452" i="20"/>
  <c r="B2453" i="20" s="1"/>
  <c r="F2451" i="20"/>
  <c r="C2451" i="20"/>
  <c r="O2450" i="20"/>
  <c r="O2451" i="20" s="1"/>
  <c r="G2450" i="20"/>
  <c r="G2451" i="20" s="1"/>
  <c r="D2450" i="20"/>
  <c r="D2451" i="20" s="1"/>
  <c r="B2450" i="20"/>
  <c r="B2451" i="20" s="1"/>
  <c r="F2449" i="20"/>
  <c r="C2449" i="20"/>
  <c r="O2448" i="20"/>
  <c r="O2449" i="20" s="1"/>
  <c r="G2448" i="20"/>
  <c r="G2449" i="20" s="1"/>
  <c r="D2448" i="20"/>
  <c r="D2449" i="20" s="1"/>
  <c r="B2448" i="20"/>
  <c r="B2449" i="20" s="1"/>
  <c r="F2447" i="20"/>
  <c r="C2447" i="20"/>
  <c r="O2446" i="20"/>
  <c r="O2447" i="20" s="1"/>
  <c r="G2446" i="20"/>
  <c r="G2447" i="20" s="1"/>
  <c r="D2446" i="20"/>
  <c r="D2447" i="20" s="1"/>
  <c r="B2446" i="20"/>
  <c r="B2447" i="20" s="1"/>
  <c r="F2445" i="20"/>
  <c r="C2445" i="20"/>
  <c r="O2444" i="20"/>
  <c r="O2445" i="20" s="1"/>
  <c r="G2444" i="20"/>
  <c r="G2445" i="20" s="1"/>
  <c r="D2444" i="20"/>
  <c r="D2445" i="20" s="1"/>
  <c r="B2444" i="20"/>
  <c r="B2445" i="20" s="1"/>
  <c r="F2443" i="20"/>
  <c r="C2443" i="20"/>
  <c r="O2442" i="20"/>
  <c r="O2443" i="20" s="1"/>
  <c r="G2442" i="20"/>
  <c r="G2443" i="20" s="1"/>
  <c r="D2442" i="20"/>
  <c r="D2443" i="20" s="1"/>
  <c r="B2442" i="20"/>
  <c r="B2443" i="20" s="1"/>
  <c r="F2441" i="20"/>
  <c r="C2441" i="20"/>
  <c r="O2440" i="20"/>
  <c r="O2441" i="20" s="1"/>
  <c r="G2440" i="20"/>
  <c r="G2441" i="20" s="1"/>
  <c r="D2440" i="20"/>
  <c r="D2441" i="20" s="1"/>
  <c r="B2440" i="20"/>
  <c r="B2441" i="20" s="1"/>
  <c r="F2439" i="20"/>
  <c r="C2439" i="20"/>
  <c r="O2438" i="20"/>
  <c r="O2439" i="20" s="1"/>
  <c r="G2438" i="20"/>
  <c r="G2439" i="20" s="1"/>
  <c r="D2438" i="20"/>
  <c r="D2439" i="20" s="1"/>
  <c r="B2438" i="20"/>
  <c r="B2439" i="20" s="1"/>
  <c r="F2437" i="20"/>
  <c r="C2437" i="20"/>
  <c r="O2436" i="20"/>
  <c r="O2437" i="20" s="1"/>
  <c r="G2436" i="20"/>
  <c r="G2437" i="20" s="1"/>
  <c r="D2436" i="20"/>
  <c r="D2437" i="20" s="1"/>
  <c r="B2436" i="20"/>
  <c r="B2437" i="20" s="1"/>
  <c r="F2435" i="20"/>
  <c r="C2435" i="20"/>
  <c r="O2434" i="20"/>
  <c r="O2435" i="20" s="1"/>
  <c r="G2434" i="20"/>
  <c r="G2435" i="20" s="1"/>
  <c r="D2434" i="20"/>
  <c r="D2435" i="20" s="1"/>
  <c r="B2434" i="20"/>
  <c r="B2435" i="20" s="1"/>
  <c r="F2433" i="20"/>
  <c r="C2433" i="20"/>
  <c r="O2432" i="20"/>
  <c r="O2433" i="20" s="1"/>
  <c r="G2432" i="20"/>
  <c r="G2433" i="20" s="1"/>
  <c r="D2432" i="20"/>
  <c r="D2433" i="20" s="1"/>
  <c r="B2432" i="20"/>
  <c r="B2433" i="20" s="1"/>
  <c r="F2431" i="20"/>
  <c r="C2431" i="20"/>
  <c r="O2430" i="20"/>
  <c r="O2431" i="20" s="1"/>
  <c r="G2430" i="20"/>
  <c r="G2431" i="20" s="1"/>
  <c r="D2430" i="20"/>
  <c r="D2431" i="20" s="1"/>
  <c r="B2430" i="20"/>
  <c r="B2431" i="20" s="1"/>
  <c r="F2429" i="20"/>
  <c r="C2429" i="20"/>
  <c r="O2428" i="20"/>
  <c r="O2429" i="20" s="1"/>
  <c r="G2428" i="20"/>
  <c r="G2429" i="20" s="1"/>
  <c r="D2428" i="20"/>
  <c r="D2429" i="20" s="1"/>
  <c r="B2428" i="20"/>
  <c r="B2429" i="20" s="1"/>
  <c r="F2427" i="20"/>
  <c r="C2427" i="20"/>
  <c r="O2426" i="20"/>
  <c r="O2427" i="20" s="1"/>
  <c r="G2426" i="20"/>
  <c r="G2427" i="20" s="1"/>
  <c r="D2426" i="20"/>
  <c r="D2427" i="20" s="1"/>
  <c r="B2426" i="20"/>
  <c r="B2427" i="20" s="1"/>
  <c r="F2425" i="20"/>
  <c r="C2425" i="20"/>
  <c r="O2424" i="20"/>
  <c r="O2425" i="20" s="1"/>
  <c r="G2424" i="20"/>
  <c r="G2425" i="20" s="1"/>
  <c r="D2424" i="20"/>
  <c r="D2425" i="20" s="1"/>
  <c r="B2424" i="20"/>
  <c r="B2425" i="20" s="1"/>
  <c r="F2423" i="20"/>
  <c r="C2423" i="20"/>
  <c r="O2422" i="20"/>
  <c r="O2423" i="20" s="1"/>
  <c r="G2422" i="20"/>
  <c r="G2423" i="20" s="1"/>
  <c r="D2422" i="20"/>
  <c r="D2423" i="20" s="1"/>
  <c r="B2422" i="20"/>
  <c r="B2423" i="20" s="1"/>
  <c r="B2322" i="20"/>
  <c r="D2322" i="20"/>
  <c r="D2323" i="20" s="1"/>
  <c r="G2322" i="20"/>
  <c r="G2323" i="20" s="1"/>
  <c r="O2322" i="20"/>
  <c r="O2323" i="20" s="1"/>
  <c r="B2324" i="20"/>
  <c r="B2325" i="20" s="1"/>
  <c r="D2324" i="20"/>
  <c r="D2325" i="20" s="1"/>
  <c r="G2324" i="20"/>
  <c r="G2325" i="20" s="1"/>
  <c r="O2324" i="20"/>
  <c r="O2325" i="20" s="1"/>
  <c r="B2326" i="20"/>
  <c r="B2327" i="20" s="1"/>
  <c r="D2326" i="20"/>
  <c r="D2327" i="20" s="1"/>
  <c r="G2326" i="20"/>
  <c r="G2327" i="20" s="1"/>
  <c r="O2326" i="20"/>
  <c r="O2327" i="20" s="1"/>
  <c r="B2328" i="20"/>
  <c r="B2329" i="20" s="1"/>
  <c r="D2328" i="20"/>
  <c r="D2329" i="20" s="1"/>
  <c r="G2328" i="20"/>
  <c r="G2329" i="20" s="1"/>
  <c r="O2328" i="20"/>
  <c r="O2329" i="20" s="1"/>
  <c r="B2330" i="20"/>
  <c r="B2331" i="20" s="1"/>
  <c r="D2330" i="20"/>
  <c r="D2331" i="20" s="1"/>
  <c r="G2330" i="20"/>
  <c r="G2331" i="20" s="1"/>
  <c r="O2330" i="20"/>
  <c r="O2331" i="20" s="1"/>
  <c r="B2332" i="20"/>
  <c r="B2333" i="20" s="1"/>
  <c r="D2332" i="20"/>
  <c r="D2333" i="20" s="1"/>
  <c r="G2332" i="20"/>
  <c r="G2333" i="20" s="1"/>
  <c r="O2332" i="20"/>
  <c r="O2333" i="20" s="1"/>
  <c r="B2334" i="20"/>
  <c r="B2335" i="20" s="1"/>
  <c r="D2334" i="20"/>
  <c r="D2335" i="20" s="1"/>
  <c r="G2334" i="20"/>
  <c r="G2335" i="20" s="1"/>
  <c r="O2334" i="20"/>
  <c r="O2335" i="20" s="1"/>
  <c r="B2336" i="20"/>
  <c r="B2337" i="20" s="1"/>
  <c r="D2336" i="20"/>
  <c r="D2337" i="20" s="1"/>
  <c r="G2336" i="20"/>
  <c r="G2337" i="20" s="1"/>
  <c r="O2336" i="20"/>
  <c r="O2337" i="20" s="1"/>
  <c r="B2338" i="20"/>
  <c r="B2339" i="20" s="1"/>
  <c r="D2338" i="20"/>
  <c r="D2339" i="20" s="1"/>
  <c r="G2338" i="20"/>
  <c r="G2339" i="20" s="1"/>
  <c r="O2338" i="20"/>
  <c r="O2339" i="20" s="1"/>
  <c r="B2340" i="20"/>
  <c r="B2341" i="20" s="1"/>
  <c r="D2340" i="20"/>
  <c r="D2341" i="20" s="1"/>
  <c r="G2340" i="20"/>
  <c r="G2341" i="20" s="1"/>
  <c r="O2340" i="20"/>
  <c r="O2341" i="20" s="1"/>
  <c r="B2342" i="20"/>
  <c r="B2343" i="20" s="1"/>
  <c r="D2342" i="20"/>
  <c r="D2343" i="20" s="1"/>
  <c r="G2342" i="20"/>
  <c r="G2343" i="20" s="1"/>
  <c r="O2342" i="20"/>
  <c r="O2343" i="20" s="1"/>
  <c r="B2344" i="20"/>
  <c r="B2345" i="20" s="1"/>
  <c r="D2344" i="20"/>
  <c r="D2345" i="20" s="1"/>
  <c r="G2344" i="20"/>
  <c r="G2345" i="20" s="1"/>
  <c r="O2344" i="20"/>
  <c r="O2345" i="20" s="1"/>
  <c r="B2346" i="20"/>
  <c r="B2347" i="20" s="1"/>
  <c r="D2346" i="20"/>
  <c r="D2347" i="20" s="1"/>
  <c r="G2346" i="20"/>
  <c r="G2347" i="20" s="1"/>
  <c r="O2346" i="20"/>
  <c r="O2347" i="20" s="1"/>
  <c r="B2348" i="20"/>
  <c r="B2349" i="20" s="1"/>
  <c r="D2348" i="20"/>
  <c r="D2349" i="20" s="1"/>
  <c r="G2348" i="20"/>
  <c r="G2349" i="20" s="1"/>
  <c r="O2348" i="20"/>
  <c r="O2349" i="20" s="1"/>
  <c r="B2350" i="20"/>
  <c r="B2351" i="20" s="1"/>
  <c r="D2350" i="20"/>
  <c r="D2351" i="20" s="1"/>
  <c r="G2350" i="20"/>
  <c r="G2351" i="20" s="1"/>
  <c r="O2350" i="20"/>
  <c r="O2351" i="20" s="1"/>
  <c r="B2352" i="20"/>
  <c r="B2353" i="20" s="1"/>
  <c r="D2352" i="20"/>
  <c r="D2353" i="20" s="1"/>
  <c r="G2352" i="20"/>
  <c r="G2353" i="20" s="1"/>
  <c r="O2352" i="20"/>
  <c r="O2353" i="20" s="1"/>
  <c r="B2354" i="20"/>
  <c r="B2355" i="20" s="1"/>
  <c r="D2354" i="20"/>
  <c r="D2355" i="20" s="1"/>
  <c r="G2354" i="20"/>
  <c r="G2355" i="20" s="1"/>
  <c r="O2354" i="20"/>
  <c r="O2355" i="20" s="1"/>
  <c r="B2356" i="20"/>
  <c r="B2357" i="20" s="1"/>
  <c r="D2356" i="20"/>
  <c r="D2357" i="20" s="1"/>
  <c r="G2356" i="20"/>
  <c r="G2357" i="20" s="1"/>
  <c r="O2356" i="20"/>
  <c r="O2357" i="20" s="1"/>
  <c r="B2358" i="20"/>
  <c r="B2359" i="20" s="1"/>
  <c r="D2358" i="20"/>
  <c r="D2359" i="20" s="1"/>
  <c r="G2358" i="20"/>
  <c r="G2359" i="20" s="1"/>
  <c r="O2358" i="20"/>
  <c r="O2359" i="20" s="1"/>
  <c r="B2360" i="20"/>
  <c r="B2361" i="20" s="1"/>
  <c r="D2360" i="20"/>
  <c r="D2361" i="20" s="1"/>
  <c r="G2360" i="20"/>
  <c r="G2361" i="20" s="1"/>
  <c r="O2360" i="20"/>
  <c r="O2361" i="20" s="1"/>
  <c r="B2362" i="20"/>
  <c r="B2363" i="20" s="1"/>
  <c r="D2362" i="20"/>
  <c r="D2363" i="20" s="1"/>
  <c r="G2362" i="20"/>
  <c r="G2363" i="20" s="1"/>
  <c r="O2362" i="20"/>
  <c r="O2363" i="20" s="1"/>
  <c r="B2364" i="20"/>
  <c r="B2365" i="20" s="1"/>
  <c r="D2364" i="20"/>
  <c r="D2365" i="20" s="1"/>
  <c r="G2364" i="20"/>
  <c r="G2365" i="20" s="1"/>
  <c r="O2364" i="20"/>
  <c r="O2365" i="20" s="1"/>
  <c r="B2366" i="20"/>
  <c r="B2367" i="20" s="1"/>
  <c r="D2366" i="20"/>
  <c r="D2367" i="20" s="1"/>
  <c r="G2366" i="20"/>
  <c r="G2367" i="20" s="1"/>
  <c r="O2366" i="20"/>
  <c r="O2367" i="20" s="1"/>
  <c r="B2368" i="20"/>
  <c r="B2369" i="20" s="1"/>
  <c r="D2368" i="20"/>
  <c r="D2369" i="20" s="1"/>
  <c r="G2368" i="20"/>
  <c r="G2369" i="20" s="1"/>
  <c r="O2368" i="20"/>
  <c r="O2369" i="20" s="1"/>
  <c r="B2370" i="20"/>
  <c r="B2371" i="20" s="1"/>
  <c r="D2370" i="20"/>
  <c r="D2371" i="20" s="1"/>
  <c r="G2370" i="20"/>
  <c r="G2371" i="20" s="1"/>
  <c r="O2370" i="20"/>
  <c r="O2371" i="20" s="1"/>
  <c r="B2372" i="20"/>
  <c r="B2373" i="20" s="1"/>
  <c r="D2372" i="20"/>
  <c r="D2373" i="20" s="1"/>
  <c r="G2372" i="20"/>
  <c r="G2373" i="20" s="1"/>
  <c r="O2372" i="20"/>
  <c r="O2373" i="20" s="1"/>
  <c r="B2374" i="20"/>
  <c r="B2375" i="20" s="1"/>
  <c r="D2374" i="20"/>
  <c r="D2375" i="20" s="1"/>
  <c r="G2374" i="20"/>
  <c r="G2375" i="20" s="1"/>
  <c r="O2374" i="20"/>
  <c r="O2375" i="20" s="1"/>
  <c r="B2376" i="20"/>
  <c r="B2377" i="20" s="1"/>
  <c r="D2376" i="20"/>
  <c r="D2377" i="20" s="1"/>
  <c r="G2376" i="20"/>
  <c r="G2377" i="20" s="1"/>
  <c r="O2376" i="20"/>
  <c r="O2377" i="20" s="1"/>
  <c r="B2378" i="20"/>
  <c r="B2379" i="20" s="1"/>
  <c r="D2378" i="20"/>
  <c r="D2379" i="20" s="1"/>
  <c r="G2378" i="20"/>
  <c r="G2379" i="20" s="1"/>
  <c r="O2378" i="20"/>
  <c r="O2379" i="20" s="1"/>
  <c r="B2380" i="20"/>
  <c r="B2381" i="20" s="1"/>
  <c r="D2380" i="20"/>
  <c r="D2381" i="20" s="1"/>
  <c r="G2380" i="20"/>
  <c r="G2381" i="20" s="1"/>
  <c r="O2380" i="20"/>
  <c r="O2381" i="20" s="1"/>
  <c r="B2382" i="20"/>
  <c r="B2383" i="20" s="1"/>
  <c r="D2382" i="20"/>
  <c r="D2383" i="20" s="1"/>
  <c r="G2382" i="20"/>
  <c r="G2383" i="20" s="1"/>
  <c r="O2382" i="20"/>
  <c r="O2383" i="20" s="1"/>
  <c r="B2384" i="20"/>
  <c r="B2385" i="20" s="1"/>
  <c r="D2384" i="20"/>
  <c r="D2385" i="20" s="1"/>
  <c r="G2384" i="20"/>
  <c r="G2385" i="20" s="1"/>
  <c r="O2384" i="20"/>
  <c r="O2385" i="20" s="1"/>
  <c r="B2386" i="20"/>
  <c r="B2387" i="20" s="1"/>
  <c r="D2386" i="20"/>
  <c r="D2387" i="20" s="1"/>
  <c r="G2386" i="20"/>
  <c r="G2387" i="20" s="1"/>
  <c r="O2386" i="20"/>
  <c r="O2387" i="20" s="1"/>
  <c r="B2388" i="20"/>
  <c r="B2389" i="20" s="1"/>
  <c r="D2388" i="20"/>
  <c r="D2389" i="20" s="1"/>
  <c r="G2388" i="20"/>
  <c r="G2389" i="20" s="1"/>
  <c r="O2388" i="20"/>
  <c r="O2389" i="20" s="1"/>
  <c r="B2390" i="20"/>
  <c r="B2391" i="20" s="1"/>
  <c r="D2390" i="20"/>
  <c r="D2391" i="20" s="1"/>
  <c r="G2390" i="20"/>
  <c r="G2391" i="20" s="1"/>
  <c r="O2390" i="20"/>
  <c r="O2391" i="20" s="1"/>
  <c r="B2392" i="20"/>
  <c r="B2393" i="20" s="1"/>
  <c r="D2392" i="20"/>
  <c r="D2393" i="20" s="1"/>
  <c r="G2392" i="20"/>
  <c r="G2393" i="20" s="1"/>
  <c r="O2392" i="20"/>
  <c r="O2393" i="20" s="1"/>
  <c r="B2394" i="20"/>
  <c r="B2395" i="20" s="1"/>
  <c r="D2394" i="20"/>
  <c r="D2395" i="20" s="1"/>
  <c r="G2394" i="20"/>
  <c r="G2395" i="20" s="1"/>
  <c r="O2394" i="20"/>
  <c r="O2395" i="20" s="1"/>
  <c r="B2396" i="20"/>
  <c r="B2397" i="20" s="1"/>
  <c r="D2396" i="20"/>
  <c r="D2397" i="20" s="1"/>
  <c r="G2396" i="20"/>
  <c r="G2397" i="20" s="1"/>
  <c r="O2396" i="20"/>
  <c r="O2397" i="20" s="1"/>
  <c r="B2398" i="20"/>
  <c r="B2399" i="20" s="1"/>
  <c r="D2398" i="20"/>
  <c r="D2399" i="20" s="1"/>
  <c r="G2398" i="20"/>
  <c r="G2399" i="20" s="1"/>
  <c r="O2398" i="20"/>
  <c r="O2399" i="20" s="1"/>
  <c r="B2400" i="20"/>
  <c r="B2401" i="20" s="1"/>
  <c r="D2400" i="20"/>
  <c r="D2401" i="20" s="1"/>
  <c r="G2400" i="20"/>
  <c r="G2401" i="20" s="1"/>
  <c r="O2400" i="20"/>
  <c r="O2401" i="20" s="1"/>
  <c r="B2402" i="20"/>
  <c r="B2403" i="20" s="1"/>
  <c r="D2402" i="20"/>
  <c r="D2403" i="20" s="1"/>
  <c r="G2402" i="20"/>
  <c r="G2403" i="20" s="1"/>
  <c r="O2402" i="20"/>
  <c r="O2403" i="20" s="1"/>
  <c r="B2404" i="20"/>
  <c r="B2405" i="20" s="1"/>
  <c r="D2404" i="20"/>
  <c r="D2405" i="20" s="1"/>
  <c r="G2404" i="20"/>
  <c r="G2405" i="20" s="1"/>
  <c r="O2404" i="20"/>
  <c r="O2405" i="20" s="1"/>
  <c r="B2406" i="20"/>
  <c r="B2407" i="20" s="1"/>
  <c r="D2406" i="20"/>
  <c r="D2407" i="20" s="1"/>
  <c r="G2406" i="20"/>
  <c r="G2407" i="20" s="1"/>
  <c r="O2406" i="20"/>
  <c r="O2407" i="20" s="1"/>
  <c r="B2408" i="20"/>
  <c r="B2409" i="20" s="1"/>
  <c r="D2408" i="20"/>
  <c r="D2409" i="20" s="1"/>
  <c r="G2408" i="20"/>
  <c r="G2409" i="20" s="1"/>
  <c r="O2408" i="20"/>
  <c r="O2409" i="20" s="1"/>
  <c r="B2410" i="20"/>
  <c r="B2411" i="20" s="1"/>
  <c r="D2410" i="20"/>
  <c r="D2411" i="20" s="1"/>
  <c r="G2410" i="20"/>
  <c r="G2411" i="20" s="1"/>
  <c r="O2410" i="20"/>
  <c r="O2411" i="20" s="1"/>
  <c r="B2412" i="20"/>
  <c r="B2413" i="20" s="1"/>
  <c r="D2412" i="20"/>
  <c r="D2413" i="20" s="1"/>
  <c r="G2412" i="20"/>
  <c r="G2413" i="20" s="1"/>
  <c r="O2412" i="20"/>
  <c r="O2413" i="20" s="1"/>
  <c r="B2414" i="20"/>
  <c r="B2415" i="20" s="1"/>
  <c r="D2414" i="20"/>
  <c r="D2415" i="20" s="1"/>
  <c r="G2414" i="20"/>
  <c r="G2415" i="20" s="1"/>
  <c r="O2414" i="20"/>
  <c r="O2415" i="20" s="1"/>
  <c r="B2416" i="20"/>
  <c r="B2417" i="20" s="1"/>
  <c r="D2416" i="20"/>
  <c r="D2417" i="20" s="1"/>
  <c r="G2416" i="20"/>
  <c r="G2417" i="20" s="1"/>
  <c r="O2416" i="20"/>
  <c r="O2417" i="20" s="1"/>
  <c r="B2418" i="20"/>
  <c r="B2419" i="20" s="1"/>
  <c r="D2418" i="20"/>
  <c r="D2419" i="20" s="1"/>
  <c r="G2418" i="20"/>
  <c r="G2419" i="20" s="1"/>
  <c r="O2418" i="20"/>
  <c r="O2419" i="20" s="1"/>
  <c r="B2420" i="20"/>
  <c r="B2421" i="20" s="1"/>
  <c r="D2420" i="20"/>
  <c r="D2421" i="20" s="1"/>
  <c r="G2420" i="20"/>
  <c r="G2421" i="20" s="1"/>
  <c r="O2420" i="20"/>
  <c r="O2421" i="20" s="1"/>
  <c r="B2323" i="20"/>
  <c r="C2323" i="20"/>
  <c r="F2323" i="20"/>
  <c r="C2325" i="20"/>
  <c r="F2325" i="20"/>
  <c r="C2327" i="20"/>
  <c r="F2327" i="20"/>
  <c r="C2329" i="20"/>
  <c r="F2329" i="20"/>
  <c r="C2331" i="20"/>
  <c r="F2331" i="20"/>
  <c r="C2333" i="20"/>
  <c r="F2333" i="20"/>
  <c r="C2335" i="20"/>
  <c r="F2335" i="20"/>
  <c r="C2337" i="20"/>
  <c r="F2337" i="20"/>
  <c r="C2339" i="20"/>
  <c r="F2339" i="20"/>
  <c r="C2341" i="20"/>
  <c r="F2341" i="20"/>
  <c r="C2343" i="20"/>
  <c r="F2343" i="20"/>
  <c r="C2345" i="20"/>
  <c r="F2345" i="20"/>
  <c r="C2347" i="20"/>
  <c r="F2347" i="20"/>
  <c r="C2349" i="20"/>
  <c r="F2349" i="20"/>
  <c r="C2351" i="20"/>
  <c r="F2351" i="20"/>
  <c r="C2353" i="20"/>
  <c r="F2353" i="20"/>
  <c r="C2355" i="20"/>
  <c r="F2355" i="20"/>
  <c r="C2357" i="20"/>
  <c r="F2357" i="20"/>
  <c r="C2359" i="20"/>
  <c r="F2359" i="20"/>
  <c r="C2361" i="20"/>
  <c r="F2361" i="20"/>
  <c r="C2363" i="20"/>
  <c r="F2363" i="20"/>
  <c r="C2365" i="20"/>
  <c r="F2365" i="20"/>
  <c r="C2367" i="20"/>
  <c r="F2367" i="20"/>
  <c r="C2369" i="20"/>
  <c r="F2369" i="20"/>
  <c r="C2371" i="20"/>
  <c r="F2371" i="20"/>
  <c r="C2373" i="20"/>
  <c r="F2373" i="20"/>
  <c r="C2375" i="20"/>
  <c r="F2375" i="20"/>
  <c r="C2377" i="20"/>
  <c r="F2377" i="20"/>
  <c r="C2379" i="20"/>
  <c r="F2379" i="20"/>
  <c r="C2381" i="20"/>
  <c r="F2381" i="20"/>
  <c r="C2383" i="20"/>
  <c r="F2383" i="20"/>
  <c r="C2385" i="20"/>
  <c r="F2385" i="20"/>
  <c r="C2387" i="20"/>
  <c r="F2387" i="20"/>
  <c r="C2389" i="20"/>
  <c r="F2389" i="20"/>
  <c r="C2391" i="20"/>
  <c r="F2391" i="20"/>
  <c r="C2393" i="20"/>
  <c r="F2393" i="20"/>
  <c r="C2395" i="20"/>
  <c r="F2395" i="20"/>
  <c r="C2397" i="20"/>
  <c r="F2397" i="20"/>
  <c r="C2399" i="20"/>
  <c r="F2399" i="20"/>
  <c r="C2401" i="20"/>
  <c r="F2401" i="20"/>
  <c r="C2403" i="20"/>
  <c r="F2403" i="20"/>
  <c r="C2405" i="20"/>
  <c r="F2405" i="20"/>
  <c r="C2407" i="20"/>
  <c r="F2407" i="20"/>
  <c r="C2409" i="20"/>
  <c r="F2409" i="20"/>
  <c r="C2411" i="20"/>
  <c r="F2411" i="20"/>
  <c r="C2413" i="20"/>
  <c r="F2413" i="20"/>
  <c r="C2415" i="20"/>
  <c r="F2415" i="20"/>
  <c r="C2417" i="20"/>
  <c r="F2417" i="20"/>
  <c r="C2419" i="20"/>
  <c r="F2419" i="20"/>
  <c r="C2421" i="20"/>
  <c r="F2421" i="20"/>
  <c r="B2622" i="20"/>
  <c r="D2622" i="20"/>
  <c r="D2623" i="20" s="1"/>
  <c r="G2622" i="20"/>
  <c r="G2623" i="20" s="1"/>
  <c r="O2622" i="20"/>
  <c r="O2623" i="20" s="1"/>
  <c r="B2624" i="20"/>
  <c r="B2625" i="20" s="1"/>
  <c r="D2624" i="20"/>
  <c r="D2625" i="20" s="1"/>
  <c r="G2624" i="20"/>
  <c r="G2625" i="20" s="1"/>
  <c r="O2624" i="20"/>
  <c r="O2625" i="20" s="1"/>
  <c r="B2626" i="20"/>
  <c r="B2627" i="20" s="1"/>
  <c r="D2626" i="20"/>
  <c r="D2627" i="20" s="1"/>
  <c r="G2626" i="20"/>
  <c r="G2627" i="20" s="1"/>
  <c r="O2626" i="20"/>
  <c r="O2627" i="20" s="1"/>
  <c r="B2628" i="20"/>
  <c r="B2629" i="20" s="1"/>
  <c r="D2628" i="20"/>
  <c r="D2629" i="20" s="1"/>
  <c r="G2628" i="20"/>
  <c r="G2629" i="20" s="1"/>
  <c r="O2628" i="20"/>
  <c r="O2629" i="20" s="1"/>
  <c r="B2630" i="20"/>
  <c r="B2631" i="20" s="1"/>
  <c r="D2630" i="20"/>
  <c r="D2631" i="20" s="1"/>
  <c r="G2630" i="20"/>
  <c r="G2631" i="20" s="1"/>
  <c r="O2630" i="20"/>
  <c r="O2631" i="20" s="1"/>
  <c r="B2632" i="20"/>
  <c r="B2633" i="20" s="1"/>
  <c r="D2632" i="20"/>
  <c r="D2633" i="20" s="1"/>
  <c r="G2632" i="20"/>
  <c r="G2633" i="20" s="1"/>
  <c r="O2632" i="20"/>
  <c r="O2633" i="20" s="1"/>
  <c r="B2634" i="20"/>
  <c r="B2635" i="20" s="1"/>
  <c r="D2634" i="20"/>
  <c r="D2635" i="20" s="1"/>
  <c r="G2634" i="20"/>
  <c r="G2635" i="20" s="1"/>
  <c r="O2634" i="20"/>
  <c r="O2635" i="20" s="1"/>
  <c r="B2636" i="20"/>
  <c r="B2637" i="20" s="1"/>
  <c r="D2636" i="20"/>
  <c r="D2637" i="20" s="1"/>
  <c r="G2636" i="20"/>
  <c r="G2637" i="20" s="1"/>
  <c r="O2636" i="20"/>
  <c r="O2637" i="20" s="1"/>
  <c r="B2638" i="20"/>
  <c r="B2639" i="20" s="1"/>
  <c r="D2638" i="20"/>
  <c r="D2639" i="20" s="1"/>
  <c r="G2638" i="20"/>
  <c r="G2639" i="20" s="1"/>
  <c r="O2638" i="20"/>
  <c r="O2639" i="20" s="1"/>
  <c r="B2640" i="20"/>
  <c r="B2641" i="20" s="1"/>
  <c r="D2640" i="20"/>
  <c r="D2641" i="20" s="1"/>
  <c r="G2640" i="20"/>
  <c r="G2641" i="20" s="1"/>
  <c r="O2640" i="20"/>
  <c r="O2641" i="20" s="1"/>
  <c r="B2642" i="20"/>
  <c r="B2643" i="20" s="1"/>
  <c r="D2642" i="20"/>
  <c r="D2643" i="20" s="1"/>
  <c r="G2642" i="20"/>
  <c r="G2643" i="20" s="1"/>
  <c r="O2642" i="20"/>
  <c r="O2643" i="20" s="1"/>
  <c r="B2644" i="20"/>
  <c r="B2645" i="20" s="1"/>
  <c r="D2644" i="20"/>
  <c r="D2645" i="20" s="1"/>
  <c r="G2644" i="20"/>
  <c r="G2645" i="20" s="1"/>
  <c r="O2644" i="20"/>
  <c r="O2645" i="20" s="1"/>
  <c r="B2646" i="20"/>
  <c r="B2647" i="20" s="1"/>
  <c r="D2646" i="20"/>
  <c r="D2647" i="20" s="1"/>
  <c r="G2646" i="20"/>
  <c r="G2647" i="20" s="1"/>
  <c r="O2646" i="20"/>
  <c r="O2647" i="20" s="1"/>
  <c r="B2648" i="20"/>
  <c r="B2649" i="20" s="1"/>
  <c r="D2648" i="20"/>
  <c r="D2649" i="20" s="1"/>
  <c r="G2648" i="20"/>
  <c r="G2649" i="20" s="1"/>
  <c r="O2648" i="20"/>
  <c r="O2649" i="20" s="1"/>
  <c r="B2650" i="20"/>
  <c r="B2651" i="20" s="1"/>
  <c r="D2650" i="20"/>
  <c r="D2651" i="20" s="1"/>
  <c r="G2650" i="20"/>
  <c r="G2651" i="20" s="1"/>
  <c r="O2650" i="20"/>
  <c r="O2651" i="20" s="1"/>
  <c r="B2652" i="20"/>
  <c r="B2653" i="20" s="1"/>
  <c r="D2652" i="20"/>
  <c r="D2653" i="20" s="1"/>
  <c r="G2652" i="20"/>
  <c r="G2653" i="20" s="1"/>
  <c r="O2652" i="20"/>
  <c r="O2653" i="20" s="1"/>
  <c r="B2654" i="20"/>
  <c r="B2655" i="20" s="1"/>
  <c r="D2654" i="20"/>
  <c r="D2655" i="20" s="1"/>
  <c r="G2654" i="20"/>
  <c r="G2655" i="20" s="1"/>
  <c r="O2654" i="20"/>
  <c r="O2655" i="20" s="1"/>
  <c r="B2656" i="20"/>
  <c r="B2657" i="20" s="1"/>
  <c r="D2656" i="20"/>
  <c r="D2657" i="20" s="1"/>
  <c r="G2656" i="20"/>
  <c r="G2657" i="20" s="1"/>
  <c r="O2656" i="20"/>
  <c r="O2657" i="20" s="1"/>
  <c r="B2658" i="20"/>
  <c r="B2659" i="20" s="1"/>
  <c r="D2658" i="20"/>
  <c r="D2659" i="20" s="1"/>
  <c r="G2658" i="20"/>
  <c r="G2659" i="20" s="1"/>
  <c r="O2658" i="20"/>
  <c r="O2659" i="20" s="1"/>
  <c r="B2660" i="20"/>
  <c r="B2661" i="20" s="1"/>
  <c r="D2660" i="20"/>
  <c r="D2661" i="20" s="1"/>
  <c r="G2660" i="20"/>
  <c r="G2661" i="20" s="1"/>
  <c r="O2660" i="20"/>
  <c r="O2661" i="20" s="1"/>
  <c r="B2662" i="20"/>
  <c r="B2663" i="20" s="1"/>
  <c r="D2662" i="20"/>
  <c r="D2663" i="20" s="1"/>
  <c r="G2662" i="20"/>
  <c r="G2663" i="20" s="1"/>
  <c r="O2662" i="20"/>
  <c r="O2663" i="20" s="1"/>
  <c r="B2664" i="20"/>
  <c r="B2665" i="20" s="1"/>
  <c r="D2664" i="20"/>
  <c r="D2665" i="20" s="1"/>
  <c r="G2664" i="20"/>
  <c r="G2665" i="20" s="1"/>
  <c r="O2664" i="20"/>
  <c r="O2665" i="20" s="1"/>
  <c r="B2666" i="20"/>
  <c r="B2667" i="20" s="1"/>
  <c r="D2666" i="20"/>
  <c r="D2667" i="20" s="1"/>
  <c r="G2666" i="20"/>
  <c r="G2667" i="20" s="1"/>
  <c r="O2666" i="20"/>
  <c r="B2668" i="20"/>
  <c r="B2669" i="20" s="1"/>
  <c r="D2668" i="20"/>
  <c r="D2669" i="20" s="1"/>
  <c r="G2668" i="20"/>
  <c r="G2669" i="20" s="1"/>
  <c r="O2668" i="20"/>
  <c r="O2669" i="20" s="1"/>
  <c r="B2670" i="20"/>
  <c r="B2671" i="20" s="1"/>
  <c r="D2670" i="20"/>
  <c r="D2671" i="20" s="1"/>
  <c r="G2670" i="20"/>
  <c r="G2671" i="20" s="1"/>
  <c r="O2670" i="20"/>
  <c r="O2671" i="20" s="1"/>
  <c r="B2672" i="20"/>
  <c r="B2673" i="20" s="1"/>
  <c r="D2672" i="20"/>
  <c r="D2673" i="20" s="1"/>
  <c r="G2672" i="20"/>
  <c r="G2673" i="20" s="1"/>
  <c r="O2672" i="20"/>
  <c r="O2673" i="20" s="1"/>
  <c r="B2674" i="20"/>
  <c r="B2675" i="20" s="1"/>
  <c r="D2674" i="20"/>
  <c r="D2675" i="20" s="1"/>
  <c r="G2674" i="20"/>
  <c r="G2675" i="20" s="1"/>
  <c r="O2674" i="20"/>
  <c r="O2675" i="20" s="1"/>
  <c r="B2676" i="20"/>
  <c r="B2677" i="20" s="1"/>
  <c r="D2676" i="20"/>
  <c r="D2677" i="20" s="1"/>
  <c r="G2676" i="20"/>
  <c r="G2677" i="20" s="1"/>
  <c r="O2676" i="20"/>
  <c r="O2677" i="20" s="1"/>
  <c r="B2678" i="20"/>
  <c r="B2679" i="20" s="1"/>
  <c r="D2678" i="20"/>
  <c r="D2679" i="20" s="1"/>
  <c r="G2678" i="20"/>
  <c r="G2679" i="20" s="1"/>
  <c r="O2678" i="20"/>
  <c r="O2679" i="20" s="1"/>
  <c r="B2680" i="20"/>
  <c r="B2681" i="20" s="1"/>
  <c r="D2680" i="20"/>
  <c r="D2681" i="20" s="1"/>
  <c r="G2680" i="20"/>
  <c r="G2681" i="20" s="1"/>
  <c r="O2680" i="20"/>
  <c r="O2681" i="20" s="1"/>
  <c r="B2682" i="20"/>
  <c r="B2683" i="20" s="1"/>
  <c r="D2682" i="20"/>
  <c r="D2683" i="20" s="1"/>
  <c r="G2682" i="20"/>
  <c r="G2683" i="20" s="1"/>
  <c r="O2682" i="20"/>
  <c r="O2683" i="20" s="1"/>
  <c r="B2684" i="20"/>
  <c r="B2685" i="20" s="1"/>
  <c r="D2684" i="20"/>
  <c r="D2685" i="20" s="1"/>
  <c r="G2684" i="20"/>
  <c r="G2685" i="20" s="1"/>
  <c r="O2684" i="20"/>
  <c r="O2685" i="20" s="1"/>
  <c r="B2686" i="20"/>
  <c r="B2687" i="20" s="1"/>
  <c r="D2686" i="20"/>
  <c r="D2687" i="20" s="1"/>
  <c r="G2686" i="20"/>
  <c r="G2687" i="20" s="1"/>
  <c r="O2686" i="20"/>
  <c r="O2687" i="20" s="1"/>
  <c r="B2688" i="20"/>
  <c r="B2689" i="20" s="1"/>
  <c r="D2688" i="20"/>
  <c r="D2689" i="20" s="1"/>
  <c r="G2688" i="20"/>
  <c r="G2689" i="20" s="1"/>
  <c r="O2688" i="20"/>
  <c r="O2689" i="20" s="1"/>
  <c r="B2690" i="20"/>
  <c r="B2691" i="20" s="1"/>
  <c r="D2690" i="20"/>
  <c r="D2691" i="20" s="1"/>
  <c r="G2690" i="20"/>
  <c r="G2691" i="20" s="1"/>
  <c r="O2690" i="20"/>
  <c r="O2691" i="20" s="1"/>
  <c r="B2692" i="20"/>
  <c r="B2693" i="20" s="1"/>
  <c r="D2692" i="20"/>
  <c r="D2693" i="20" s="1"/>
  <c r="G2692" i="20"/>
  <c r="G2693" i="20" s="1"/>
  <c r="O2692" i="20"/>
  <c r="O2693" i="20" s="1"/>
  <c r="B2694" i="20"/>
  <c r="B2695" i="20" s="1"/>
  <c r="D2694" i="20"/>
  <c r="D2695" i="20" s="1"/>
  <c r="G2694" i="20"/>
  <c r="G2695" i="20" s="1"/>
  <c r="O2694" i="20"/>
  <c r="O2695" i="20" s="1"/>
  <c r="B2696" i="20"/>
  <c r="B2697" i="20" s="1"/>
  <c r="D2696" i="20"/>
  <c r="D2697" i="20" s="1"/>
  <c r="G2696" i="20"/>
  <c r="G2697" i="20" s="1"/>
  <c r="O2696" i="20"/>
  <c r="O2697" i="20" s="1"/>
  <c r="B2698" i="20"/>
  <c r="B2699" i="20" s="1"/>
  <c r="D2698" i="20"/>
  <c r="D2699" i="20" s="1"/>
  <c r="G2698" i="20"/>
  <c r="G2699" i="20" s="1"/>
  <c r="O2698" i="20"/>
  <c r="O2699" i="20" s="1"/>
  <c r="B2700" i="20"/>
  <c r="B2701" i="20" s="1"/>
  <c r="D2700" i="20"/>
  <c r="D2701" i="20" s="1"/>
  <c r="G2700" i="20"/>
  <c r="G2701" i="20" s="1"/>
  <c r="O2700" i="20"/>
  <c r="O2701" i="20" s="1"/>
  <c r="B2702" i="20"/>
  <c r="B2703" i="20" s="1"/>
  <c r="D2702" i="20"/>
  <c r="D2703" i="20" s="1"/>
  <c r="G2702" i="20"/>
  <c r="G2703" i="20" s="1"/>
  <c r="O2702" i="20"/>
  <c r="O2703" i="20" s="1"/>
  <c r="B2704" i="20"/>
  <c r="B2705" i="20" s="1"/>
  <c r="D2704" i="20"/>
  <c r="D2705" i="20" s="1"/>
  <c r="G2704" i="20"/>
  <c r="G2705" i="20" s="1"/>
  <c r="O2704" i="20"/>
  <c r="O2705" i="20" s="1"/>
  <c r="B2706" i="20"/>
  <c r="B2707" i="20" s="1"/>
  <c r="D2706" i="20"/>
  <c r="D2707" i="20" s="1"/>
  <c r="G2706" i="20"/>
  <c r="G2707" i="20" s="1"/>
  <c r="O2706" i="20"/>
  <c r="O2707" i="20" s="1"/>
  <c r="B2708" i="20"/>
  <c r="B2709" i="20" s="1"/>
  <c r="D2708" i="20"/>
  <c r="D2709" i="20" s="1"/>
  <c r="G2708" i="20"/>
  <c r="G2709" i="20" s="1"/>
  <c r="O2708" i="20"/>
  <c r="O2709" i="20" s="1"/>
  <c r="B2710" i="20"/>
  <c r="B2711" i="20" s="1"/>
  <c r="D2710" i="20"/>
  <c r="D2711" i="20" s="1"/>
  <c r="G2710" i="20"/>
  <c r="G2711" i="20" s="1"/>
  <c r="O2710" i="20"/>
  <c r="O2711" i="20" s="1"/>
  <c r="B2712" i="20"/>
  <c r="B2713" i="20" s="1"/>
  <c r="D2712" i="20"/>
  <c r="D2713" i="20" s="1"/>
  <c r="G2712" i="20"/>
  <c r="G2713" i="20" s="1"/>
  <c r="O2712" i="20"/>
  <c r="O2713" i="20" s="1"/>
  <c r="B2714" i="20"/>
  <c r="B2715" i="20" s="1"/>
  <c r="D2714" i="20"/>
  <c r="D2715" i="20" s="1"/>
  <c r="G2714" i="20"/>
  <c r="G2715" i="20" s="1"/>
  <c r="O2714" i="20"/>
  <c r="O2715" i="20" s="1"/>
  <c r="B2716" i="20"/>
  <c r="B2717" i="20" s="1"/>
  <c r="D2716" i="20"/>
  <c r="D2717" i="20" s="1"/>
  <c r="G2716" i="20"/>
  <c r="G2717" i="20" s="1"/>
  <c r="O2716" i="20"/>
  <c r="O2717" i="20" s="1"/>
  <c r="B2718" i="20"/>
  <c r="B2719" i="20" s="1"/>
  <c r="D2718" i="20"/>
  <c r="D2719" i="20" s="1"/>
  <c r="G2718" i="20"/>
  <c r="G2719" i="20" s="1"/>
  <c r="O2718" i="20"/>
  <c r="O2719" i="20" s="1"/>
  <c r="B2720" i="20"/>
  <c r="B2721" i="20" s="1"/>
  <c r="D2720" i="20"/>
  <c r="D2721" i="20" s="1"/>
  <c r="G2720" i="20"/>
  <c r="G2721" i="20" s="1"/>
  <c r="O2720" i="20"/>
  <c r="O2721" i="20" s="1"/>
  <c r="B2623" i="20"/>
  <c r="C2623" i="20"/>
  <c r="F2623" i="20"/>
  <c r="C2625" i="20"/>
  <c r="F2625" i="20"/>
  <c r="C2627" i="20"/>
  <c r="F2627" i="20"/>
  <c r="C2629" i="20"/>
  <c r="F2629" i="20"/>
  <c r="C2631" i="20"/>
  <c r="F2631" i="20"/>
  <c r="C2633" i="20"/>
  <c r="F2633" i="20"/>
  <c r="C2635" i="20"/>
  <c r="F2635" i="20"/>
  <c r="C2637" i="20"/>
  <c r="F2637" i="20"/>
  <c r="C2639" i="20"/>
  <c r="F2639" i="20"/>
  <c r="C2641" i="20"/>
  <c r="F2641" i="20"/>
  <c r="C2643" i="20"/>
  <c r="F2643" i="20"/>
  <c r="C2645" i="20"/>
  <c r="F2645" i="20"/>
  <c r="C2647" i="20"/>
  <c r="F2647" i="20"/>
  <c r="C2649" i="20"/>
  <c r="F2649" i="20"/>
  <c r="C2651" i="20"/>
  <c r="F2651" i="20"/>
  <c r="C2653" i="20"/>
  <c r="F2653" i="20"/>
  <c r="C2655" i="20"/>
  <c r="F2655" i="20"/>
  <c r="C2657" i="20"/>
  <c r="F2657" i="20"/>
  <c r="C2659" i="20"/>
  <c r="F2659" i="20"/>
  <c r="C2661" i="20"/>
  <c r="F2661" i="20"/>
  <c r="C2663" i="20"/>
  <c r="F2663" i="20"/>
  <c r="C2665" i="20"/>
  <c r="F2665" i="20"/>
  <c r="C2667" i="20"/>
  <c r="F2667" i="20"/>
  <c r="C2669" i="20"/>
  <c r="F2669" i="20"/>
  <c r="C2671" i="20"/>
  <c r="F2671" i="20"/>
  <c r="C2673" i="20"/>
  <c r="F2673" i="20"/>
  <c r="C2675" i="20"/>
  <c r="F2675" i="20"/>
  <c r="C2677" i="20"/>
  <c r="F2677" i="20"/>
  <c r="C2679" i="20"/>
  <c r="F2679" i="20"/>
  <c r="C2681" i="20"/>
  <c r="F2681" i="20"/>
  <c r="C2683" i="20"/>
  <c r="F2683" i="20"/>
  <c r="C2685" i="20"/>
  <c r="F2685" i="20"/>
  <c r="C2687" i="20"/>
  <c r="F2687" i="20"/>
  <c r="C2689" i="20"/>
  <c r="F2689" i="20"/>
  <c r="C2691" i="20"/>
  <c r="F2691" i="20"/>
  <c r="C2693" i="20"/>
  <c r="F2693" i="20"/>
  <c r="C2695" i="20"/>
  <c r="F2695" i="20"/>
  <c r="C2697" i="20"/>
  <c r="F2697" i="20"/>
  <c r="C2699" i="20"/>
  <c r="F2699" i="20"/>
  <c r="C2701" i="20"/>
  <c r="F2701" i="20"/>
  <c r="C2703" i="20"/>
  <c r="F2703" i="20"/>
  <c r="C2705" i="20"/>
  <c r="F2705" i="20"/>
  <c r="C2707" i="20"/>
  <c r="F2707" i="20"/>
  <c r="C2709" i="20"/>
  <c r="F2709" i="20"/>
  <c r="C2711" i="20"/>
  <c r="F2711" i="20"/>
  <c r="C2713" i="20"/>
  <c r="F2713" i="20"/>
  <c r="C2715" i="20"/>
  <c r="F2715" i="20"/>
  <c r="C2717" i="20"/>
  <c r="F2717" i="20"/>
  <c r="C2719" i="20"/>
  <c r="F2719" i="20"/>
  <c r="C2721" i="20"/>
  <c r="F2721" i="20"/>
  <c r="B2022" i="20"/>
  <c r="D2022" i="20"/>
  <c r="G2022" i="20"/>
  <c r="O2022" i="20"/>
  <c r="B2024" i="20"/>
  <c r="D2024" i="20"/>
  <c r="G2024" i="20"/>
  <c r="O2024" i="20"/>
  <c r="J35" i="11"/>
  <c r="E1" i="9"/>
  <c r="AR114" i="14"/>
  <c r="AR113" i="14"/>
  <c r="AR112" i="14"/>
  <c r="AR111" i="14"/>
  <c r="AR110" i="14"/>
  <c r="AR109" i="14"/>
  <c r="AR108" i="14"/>
  <c r="AR107" i="14"/>
  <c r="AR106" i="14"/>
  <c r="AR105" i="14"/>
  <c r="AR104" i="14"/>
  <c r="AR103" i="14"/>
  <c r="AR102" i="14"/>
  <c r="AR101" i="14"/>
  <c r="AR100" i="14"/>
  <c r="AR99" i="14"/>
  <c r="AR98" i="14"/>
  <c r="AR97" i="14"/>
  <c r="AR96" i="14"/>
  <c r="AR95" i="14"/>
  <c r="AR94" i="14"/>
  <c r="AR93" i="14"/>
  <c r="AR92" i="14"/>
  <c r="AR91" i="14"/>
  <c r="AR90" i="14"/>
  <c r="AR89" i="14"/>
  <c r="AR88" i="14"/>
  <c r="AR87" i="14"/>
  <c r="AR86" i="14"/>
  <c r="AR85" i="14"/>
  <c r="AR84" i="14"/>
  <c r="AR83" i="14"/>
  <c r="AR82" i="14"/>
  <c r="AR81" i="14"/>
  <c r="AR80" i="14"/>
  <c r="AR79" i="14"/>
  <c r="AR78" i="14"/>
  <c r="AR77" i="14"/>
  <c r="AR76" i="14"/>
  <c r="AR75" i="14"/>
  <c r="AR74" i="14"/>
  <c r="AR73" i="14"/>
  <c r="AR72" i="14"/>
  <c r="AR71" i="14"/>
  <c r="AR70" i="14"/>
  <c r="AR69" i="14"/>
  <c r="AR68" i="14"/>
  <c r="AR67" i="14"/>
  <c r="AR66" i="14"/>
  <c r="AR65" i="14"/>
  <c r="AR6" i="14"/>
  <c r="AR7" i="14"/>
  <c r="AR8" i="14"/>
  <c r="AR9" i="14"/>
  <c r="AR10" i="14"/>
  <c r="AR11" i="14"/>
  <c r="AR12" i="14"/>
  <c r="AR13" i="14"/>
  <c r="AR14" i="14"/>
  <c r="AR15" i="14"/>
  <c r="AR16" i="14"/>
  <c r="AR17" i="14"/>
  <c r="AR18" i="14"/>
  <c r="AR19" i="14"/>
  <c r="AR20" i="14"/>
  <c r="AR21" i="14"/>
  <c r="AR22" i="14"/>
  <c r="AR23" i="14"/>
  <c r="AR24" i="14"/>
  <c r="AR25" i="14"/>
  <c r="AR26" i="14"/>
  <c r="AR27" i="14"/>
  <c r="AR28" i="14"/>
  <c r="AR29" i="14"/>
  <c r="AR30" i="14"/>
  <c r="AR31" i="14"/>
  <c r="AR32" i="14"/>
  <c r="AR33" i="14"/>
  <c r="AR34" i="14"/>
  <c r="AR35" i="14"/>
  <c r="AR36" i="14"/>
  <c r="AR37" i="14"/>
  <c r="AR38" i="14"/>
  <c r="AR39" i="14"/>
  <c r="AR40" i="14"/>
  <c r="AR41" i="14"/>
  <c r="AR42" i="14"/>
  <c r="AR43" i="14"/>
  <c r="AR44" i="14"/>
  <c r="AR45" i="14"/>
  <c r="AR46" i="14"/>
  <c r="AR47" i="14"/>
  <c r="AR48" i="14"/>
  <c r="AR49" i="14"/>
  <c r="AR50" i="14"/>
  <c r="AR51" i="14"/>
  <c r="AR52" i="14"/>
  <c r="AR53" i="14"/>
  <c r="AR54" i="14"/>
  <c r="AR5" i="14"/>
  <c r="AR114" i="12"/>
  <c r="AR113" i="12"/>
  <c r="AR112" i="12"/>
  <c r="AR111" i="12"/>
  <c r="AR110" i="12"/>
  <c r="AR109" i="12"/>
  <c r="AR108" i="12"/>
  <c r="AR107" i="12"/>
  <c r="AR106" i="12"/>
  <c r="AR105" i="12"/>
  <c r="AR104" i="12"/>
  <c r="AR103" i="12"/>
  <c r="AR102" i="12"/>
  <c r="AR101" i="12"/>
  <c r="AR100" i="12"/>
  <c r="AR99" i="12"/>
  <c r="AR98" i="12"/>
  <c r="AR97" i="12"/>
  <c r="AR96" i="12"/>
  <c r="AR95" i="12"/>
  <c r="AR94" i="12"/>
  <c r="AR93" i="12"/>
  <c r="AR92" i="12"/>
  <c r="AR91" i="12"/>
  <c r="AR90" i="12"/>
  <c r="AR89" i="12"/>
  <c r="AR88" i="12"/>
  <c r="AR87" i="12"/>
  <c r="AR86" i="12"/>
  <c r="AR85" i="12"/>
  <c r="AR84" i="12"/>
  <c r="AR83" i="12"/>
  <c r="AR82" i="12"/>
  <c r="AR81" i="12"/>
  <c r="AR80" i="12"/>
  <c r="AR79" i="12"/>
  <c r="AR78" i="12"/>
  <c r="AR77" i="12"/>
  <c r="AR76" i="12"/>
  <c r="AR75" i="12"/>
  <c r="AR74" i="12"/>
  <c r="AR73" i="12"/>
  <c r="AR72" i="12"/>
  <c r="AR71" i="12"/>
  <c r="AR70" i="12"/>
  <c r="AR69" i="12"/>
  <c r="AR68" i="12"/>
  <c r="AR67" i="12"/>
  <c r="AR66" i="12"/>
  <c r="AR65" i="12"/>
  <c r="AR6" i="12"/>
  <c r="AR7" i="12"/>
  <c r="AR8" i="12"/>
  <c r="AR9" i="12"/>
  <c r="AR10" i="12"/>
  <c r="AR11" i="12"/>
  <c r="AR12" i="12"/>
  <c r="AR13" i="12"/>
  <c r="AR14" i="12"/>
  <c r="AR15" i="12"/>
  <c r="AR16" i="12"/>
  <c r="AR17" i="12"/>
  <c r="AR18" i="12"/>
  <c r="AR19" i="12"/>
  <c r="AR20" i="12"/>
  <c r="AR21" i="12"/>
  <c r="AR22" i="12"/>
  <c r="AR23" i="12"/>
  <c r="AR24" i="12"/>
  <c r="AR25" i="12"/>
  <c r="AR26" i="12"/>
  <c r="AR27" i="12"/>
  <c r="AR28" i="12"/>
  <c r="AR29" i="12"/>
  <c r="AR30" i="12"/>
  <c r="AR31" i="12"/>
  <c r="AR32" i="12"/>
  <c r="AR33" i="12"/>
  <c r="AR34" i="12"/>
  <c r="AR35" i="12"/>
  <c r="AR36" i="12"/>
  <c r="AR37" i="12"/>
  <c r="AR38" i="12"/>
  <c r="AR39" i="12"/>
  <c r="AR40" i="12"/>
  <c r="AR41" i="12"/>
  <c r="AR42" i="12"/>
  <c r="AR43" i="12"/>
  <c r="AR44" i="12"/>
  <c r="AR45" i="12"/>
  <c r="AR46" i="12"/>
  <c r="AR47" i="12"/>
  <c r="AR48" i="12"/>
  <c r="AR49" i="12"/>
  <c r="AR50" i="12"/>
  <c r="AR51" i="12"/>
  <c r="AR52" i="12"/>
  <c r="AR53" i="12"/>
  <c r="AR54" i="12"/>
  <c r="AR5" i="12"/>
  <c r="B29" i="9"/>
  <c r="I10" i="9" s="1"/>
  <c r="B46" i="9"/>
  <c r="M1778" i="20" s="1"/>
  <c r="M1779" i="20" s="1"/>
  <c r="M1780" i="20" s="1"/>
  <c r="M1781" i="20" s="1"/>
  <c r="M1782" i="20" s="1"/>
  <c r="M1783" i="20" s="1"/>
  <c r="D29" i="9"/>
  <c r="I7" i="9" s="1"/>
  <c r="D46" i="9"/>
  <c r="J7" i="9" s="1"/>
  <c r="D45" i="9"/>
  <c r="N2607" i="20" s="1"/>
  <c r="D28" i="9"/>
  <c r="M1784" i="20" l="1"/>
  <c r="M1785" i="20" s="1"/>
  <c r="M1786" i="20" s="1"/>
  <c r="M1787" i="20" s="1"/>
  <c r="M1788" i="20" s="1"/>
  <c r="M1789" i="20" s="1"/>
  <c r="I1784" i="20"/>
  <c r="I1785" i="20" s="1"/>
  <c r="I1786" i="20" s="1"/>
  <c r="I1787" i="20" s="1"/>
  <c r="I1788" i="20" s="1"/>
  <c r="I1789" i="20" s="1"/>
  <c r="I1778" i="20"/>
  <c r="I1779" i="20" s="1"/>
  <c r="I1780" i="20" s="1"/>
  <c r="I1781" i="20" s="1"/>
  <c r="I1782" i="20" s="1"/>
  <c r="I1783" i="20" s="1"/>
  <c r="D1785" i="20"/>
  <c r="D1786" i="20" s="1"/>
  <c r="D1787" i="20" s="1"/>
  <c r="D1788" i="20" s="1"/>
  <c r="D1789" i="20" s="1"/>
  <c r="J1784" i="20"/>
  <c r="J1785" i="20" s="1"/>
  <c r="J1786" i="20" s="1"/>
  <c r="J1787" i="20" s="1"/>
  <c r="J1788" i="20" s="1"/>
  <c r="J1789" i="20" s="1"/>
  <c r="D1779" i="20"/>
  <c r="D1780" i="20" s="1"/>
  <c r="D1781" i="20" s="1"/>
  <c r="D1782" i="20" s="1"/>
  <c r="D1783" i="20" s="1"/>
  <c r="J1778" i="20"/>
  <c r="J1779" i="20" s="1"/>
  <c r="J1780" i="20" s="1"/>
  <c r="J1781" i="20" s="1"/>
  <c r="J1782" i="20" s="1"/>
  <c r="J1783" i="20" s="1"/>
  <c r="N2721" i="20"/>
  <c r="N2713" i="20"/>
  <c r="N2705" i="20"/>
  <c r="N2697" i="20"/>
  <c r="N2689" i="20"/>
  <c r="N2681" i="20"/>
  <c r="N2673" i="20"/>
  <c r="N2665" i="20"/>
  <c r="N2663" i="20"/>
  <c r="N2661" i="20"/>
  <c r="N2653" i="20"/>
  <c r="N2651" i="20"/>
  <c r="N2649" i="20"/>
  <c r="N2641" i="20"/>
  <c r="N2633" i="20"/>
  <c r="N2625" i="20"/>
  <c r="N2716" i="20"/>
  <c r="N2708" i="20"/>
  <c r="N2700" i="20"/>
  <c r="N2692" i="20"/>
  <c r="N2684" i="20"/>
  <c r="N2676" i="20"/>
  <c r="N2668" i="20"/>
  <c r="N2660" i="20"/>
  <c r="N2652" i="20"/>
  <c r="N2644" i="20"/>
  <c r="N2636" i="20"/>
  <c r="N2628" i="20"/>
  <c r="N2415" i="20"/>
  <c r="N2407" i="20"/>
  <c r="N2399" i="20"/>
  <c r="N2391" i="20"/>
  <c r="N2383" i="20"/>
  <c r="N2375" i="20"/>
  <c r="N2367" i="20"/>
  <c r="N2359" i="20"/>
  <c r="N2351" i="20"/>
  <c r="N2343" i="20"/>
  <c r="N2335" i="20"/>
  <c r="N2327" i="20"/>
  <c r="N2414" i="20"/>
  <c r="N2406" i="20"/>
  <c r="N2398" i="20"/>
  <c r="N2390" i="20"/>
  <c r="N2382" i="20"/>
  <c r="N2478" i="20"/>
  <c r="N2479" i="20"/>
  <c r="N2482" i="20"/>
  <c r="N2483" i="20"/>
  <c r="N2486" i="20"/>
  <c r="N2487" i="20"/>
  <c r="N2490" i="20"/>
  <c r="N2491" i="20"/>
  <c r="N2494" i="20"/>
  <c r="N2495" i="20"/>
  <c r="N2498" i="20"/>
  <c r="N2499" i="20"/>
  <c r="N2502" i="20"/>
  <c r="N2503" i="20"/>
  <c r="N2506" i="20"/>
  <c r="N2507" i="20"/>
  <c r="N2510" i="20"/>
  <c r="N2511" i="20"/>
  <c r="N2527" i="20"/>
  <c r="N2559" i="20"/>
  <c r="N2591" i="20"/>
  <c r="N2717" i="20"/>
  <c r="N2709" i="20"/>
  <c r="N2701" i="20"/>
  <c r="N2693" i="20"/>
  <c r="N2685" i="20"/>
  <c r="N2677" i="20"/>
  <c r="N2669" i="20"/>
  <c r="N2657" i="20"/>
  <c r="N2645" i="20"/>
  <c r="N2637" i="20"/>
  <c r="N2629" i="20"/>
  <c r="N2720" i="20"/>
  <c r="N2712" i="20"/>
  <c r="N2704" i="20"/>
  <c r="N2696" i="20"/>
  <c r="N2688" i="20"/>
  <c r="N2680" i="20"/>
  <c r="N2672" i="20"/>
  <c r="N2664" i="20"/>
  <c r="N2656" i="20"/>
  <c r="N2648" i="20"/>
  <c r="N2640" i="20"/>
  <c r="N2632" i="20"/>
  <c r="N2624" i="20"/>
  <c r="N2419" i="20"/>
  <c r="N2411" i="20"/>
  <c r="N2403" i="20"/>
  <c r="N2395" i="20"/>
  <c r="N2387" i="20"/>
  <c r="N2379" i="20"/>
  <c r="N2371" i="20"/>
  <c r="N2363" i="20"/>
  <c r="N2355" i="20"/>
  <c r="N2347" i="20"/>
  <c r="N2339" i="20"/>
  <c r="N2331" i="20"/>
  <c r="N2323" i="20"/>
  <c r="N2418" i="20"/>
  <c r="N2410" i="20"/>
  <c r="N2402" i="20"/>
  <c r="N2394" i="20"/>
  <c r="N2386" i="20"/>
  <c r="N2543" i="20"/>
  <c r="N2567" i="20"/>
  <c r="J10" i="9"/>
  <c r="M2620" i="20"/>
  <c r="M2621" i="20" s="1"/>
  <c r="M2616" i="20"/>
  <c r="M2617" i="20" s="1"/>
  <c r="M2612" i="20"/>
  <c r="M2613" i="20" s="1"/>
  <c r="M2608" i="20"/>
  <c r="M2609" i="20" s="1"/>
  <c r="M2604" i="20"/>
  <c r="M2605" i="20" s="1"/>
  <c r="M2600" i="20"/>
  <c r="M2601" i="20" s="1"/>
  <c r="M2596" i="20"/>
  <c r="M2597" i="20" s="1"/>
  <c r="M2592" i="20"/>
  <c r="M2593" i="20" s="1"/>
  <c r="M2588" i="20"/>
  <c r="M2589" i="20" s="1"/>
  <c r="M2584" i="20"/>
  <c r="M2585" i="20" s="1"/>
  <c r="M2580" i="20"/>
  <c r="M2581" i="20" s="1"/>
  <c r="M2576" i="20"/>
  <c r="M2577" i="20" s="1"/>
  <c r="M2572" i="20"/>
  <c r="M2573" i="20" s="1"/>
  <c r="M2568" i="20"/>
  <c r="M2569" i="20" s="1"/>
  <c r="M2564" i="20"/>
  <c r="M2565" i="20" s="1"/>
  <c r="M2560" i="20"/>
  <c r="M2561" i="20" s="1"/>
  <c r="M2556" i="20"/>
  <c r="M2557" i="20" s="1"/>
  <c r="M2552" i="20"/>
  <c r="M2553" i="20" s="1"/>
  <c r="M2548" i="20"/>
  <c r="M2549" i="20" s="1"/>
  <c r="M2544" i="20"/>
  <c r="M2545" i="20" s="1"/>
  <c r="M2540" i="20"/>
  <c r="M2541" i="20" s="1"/>
  <c r="M2536" i="20"/>
  <c r="M2537" i="20" s="1"/>
  <c r="M2532" i="20"/>
  <c r="M2533" i="20" s="1"/>
  <c r="M2528" i="20"/>
  <c r="M2529" i="20" s="1"/>
  <c r="M2524" i="20"/>
  <c r="M2525" i="20" s="1"/>
  <c r="M2618" i="20"/>
  <c r="M2619" i="20" s="1"/>
  <c r="M2614" i="20"/>
  <c r="M2615" i="20" s="1"/>
  <c r="M2610" i="20"/>
  <c r="M2611" i="20" s="1"/>
  <c r="M2606" i="20"/>
  <c r="M2607" i="20" s="1"/>
  <c r="M2602" i="20"/>
  <c r="M2603" i="20" s="1"/>
  <c r="M2598" i="20"/>
  <c r="M2599" i="20" s="1"/>
  <c r="M2594" i="20"/>
  <c r="M2595" i="20" s="1"/>
  <c r="M2590" i="20"/>
  <c r="M2591" i="20" s="1"/>
  <c r="M2586" i="20"/>
  <c r="M2587" i="20" s="1"/>
  <c r="M2582" i="20"/>
  <c r="M2583" i="20" s="1"/>
  <c r="M2578" i="20"/>
  <c r="M2579" i="20" s="1"/>
  <c r="M2574" i="20"/>
  <c r="M2575" i="20" s="1"/>
  <c r="M2570" i="20"/>
  <c r="M2571" i="20" s="1"/>
  <c r="M2566" i="20"/>
  <c r="M2567" i="20" s="1"/>
  <c r="M2562" i="20"/>
  <c r="M2563" i="20" s="1"/>
  <c r="M2558" i="20"/>
  <c r="M2559" i="20" s="1"/>
  <c r="M2554" i="20"/>
  <c r="M2555" i="20" s="1"/>
  <c r="M2550" i="20"/>
  <c r="M2551" i="20" s="1"/>
  <c r="M2546" i="20"/>
  <c r="M2547" i="20" s="1"/>
  <c r="M2542" i="20"/>
  <c r="M2543" i="20" s="1"/>
  <c r="M2538" i="20"/>
  <c r="M2539" i="20" s="1"/>
  <c r="M2534" i="20"/>
  <c r="M2535" i="20" s="1"/>
  <c r="M2530" i="20"/>
  <c r="M2531" i="20" s="1"/>
  <c r="M2526" i="20"/>
  <c r="M2527" i="20" s="1"/>
  <c r="M2522" i="20"/>
  <c r="M2523" i="20" s="1"/>
  <c r="M2520" i="20"/>
  <c r="M2521" i="20" s="1"/>
  <c r="M2518" i="20"/>
  <c r="M2519" i="20" s="1"/>
  <c r="M2516" i="20"/>
  <c r="M2517" i="20" s="1"/>
  <c r="M2514" i="20"/>
  <c r="M2515" i="20" s="1"/>
  <c r="M2512" i="20"/>
  <c r="M2513" i="20" s="1"/>
  <c r="M2510" i="20"/>
  <c r="M2511" i="20" s="1"/>
  <c r="M2508" i="20"/>
  <c r="M2509" i="20" s="1"/>
  <c r="M2506" i="20"/>
  <c r="M2507" i="20" s="1"/>
  <c r="M2504" i="20"/>
  <c r="M2505" i="20" s="1"/>
  <c r="M2502" i="20"/>
  <c r="M2503" i="20" s="1"/>
  <c r="M2500" i="20"/>
  <c r="M2501" i="20" s="1"/>
  <c r="M2498" i="20"/>
  <c r="M2499" i="20" s="1"/>
  <c r="M2496" i="20"/>
  <c r="M2497" i="20" s="1"/>
  <c r="M2494" i="20"/>
  <c r="M2495" i="20" s="1"/>
  <c r="M2492" i="20"/>
  <c r="M2493" i="20" s="1"/>
  <c r="M2490" i="20"/>
  <c r="M2491" i="20" s="1"/>
  <c r="M2488" i="20"/>
  <c r="M2489" i="20" s="1"/>
  <c r="M2486" i="20"/>
  <c r="M2487" i="20" s="1"/>
  <c r="M2484" i="20"/>
  <c r="M2485" i="20" s="1"/>
  <c r="M2482" i="20"/>
  <c r="M2483" i="20" s="1"/>
  <c r="M2480" i="20"/>
  <c r="M2481" i="20" s="1"/>
  <c r="M2478" i="20"/>
  <c r="M2479" i="20" s="1"/>
  <c r="M2322" i="20"/>
  <c r="M2323" i="20" s="1"/>
  <c r="M2326" i="20"/>
  <c r="M2327" i="20" s="1"/>
  <c r="M2330" i="20"/>
  <c r="M2331" i="20" s="1"/>
  <c r="M2334" i="20"/>
  <c r="M2335" i="20" s="1"/>
  <c r="M2338" i="20"/>
  <c r="M2339" i="20" s="1"/>
  <c r="M2342" i="20"/>
  <c r="M2343" i="20" s="1"/>
  <c r="M2346" i="20"/>
  <c r="M2347" i="20" s="1"/>
  <c r="M2350" i="20"/>
  <c r="M2351" i="20" s="1"/>
  <c r="M2354" i="20"/>
  <c r="M2355" i="20" s="1"/>
  <c r="M2358" i="20"/>
  <c r="M2359" i="20" s="1"/>
  <c r="M2362" i="20"/>
  <c r="M2363" i="20" s="1"/>
  <c r="M2366" i="20"/>
  <c r="M2367" i="20" s="1"/>
  <c r="M2370" i="20"/>
  <c r="M2371" i="20" s="1"/>
  <c r="M2374" i="20"/>
  <c r="M2375" i="20" s="1"/>
  <c r="M2378" i="20"/>
  <c r="M2379" i="20" s="1"/>
  <c r="M2718" i="20"/>
  <c r="M2719" i="20" s="1"/>
  <c r="M2714" i="20"/>
  <c r="M2715" i="20" s="1"/>
  <c r="M2710" i="20"/>
  <c r="M2711" i="20" s="1"/>
  <c r="M2706" i="20"/>
  <c r="M2707" i="20" s="1"/>
  <c r="M2702" i="20"/>
  <c r="M2703" i="20" s="1"/>
  <c r="M2698" i="20"/>
  <c r="M2699" i="20" s="1"/>
  <c r="M2694" i="20"/>
  <c r="M2695" i="20" s="1"/>
  <c r="M2690" i="20"/>
  <c r="M2691" i="20" s="1"/>
  <c r="M2686" i="20"/>
  <c r="M2687" i="20" s="1"/>
  <c r="M2682" i="20"/>
  <c r="M2683" i="20" s="1"/>
  <c r="M2678" i="20"/>
  <c r="M2679" i="20" s="1"/>
  <c r="M2674" i="20"/>
  <c r="M2675" i="20" s="1"/>
  <c r="M2670" i="20"/>
  <c r="M2671" i="20" s="1"/>
  <c r="M2666" i="20"/>
  <c r="M2667" i="20" s="1"/>
  <c r="M2662" i="20"/>
  <c r="M2663" i="20" s="1"/>
  <c r="M2658" i="20"/>
  <c r="M2659" i="20" s="1"/>
  <c r="M2654" i="20"/>
  <c r="M2655" i="20" s="1"/>
  <c r="M2650" i="20"/>
  <c r="M2651" i="20" s="1"/>
  <c r="M2646" i="20"/>
  <c r="M2647" i="20" s="1"/>
  <c r="M2642" i="20"/>
  <c r="M2643" i="20" s="1"/>
  <c r="M2638" i="20"/>
  <c r="M2639" i="20" s="1"/>
  <c r="M2634" i="20"/>
  <c r="M2635" i="20" s="1"/>
  <c r="M2630" i="20"/>
  <c r="M2631" i="20" s="1"/>
  <c r="M2626" i="20"/>
  <c r="M2627" i="20" s="1"/>
  <c r="M2622" i="20"/>
  <c r="M2623" i="20" s="1"/>
  <c r="M2420" i="20"/>
  <c r="M2421" i="20" s="1"/>
  <c r="M2416" i="20"/>
  <c r="M2417" i="20" s="1"/>
  <c r="M2412" i="20"/>
  <c r="M2413" i="20" s="1"/>
  <c r="M2408" i="20"/>
  <c r="M2409" i="20" s="1"/>
  <c r="M2404" i="20"/>
  <c r="M2405" i="20" s="1"/>
  <c r="M2400" i="20"/>
  <c r="M2401" i="20" s="1"/>
  <c r="M2396" i="20"/>
  <c r="M2397" i="20" s="1"/>
  <c r="M2392" i="20"/>
  <c r="M2393" i="20" s="1"/>
  <c r="M2388" i="20"/>
  <c r="M2389" i="20" s="1"/>
  <c r="M2384" i="20"/>
  <c r="M2385" i="20" s="1"/>
  <c r="M2422" i="20"/>
  <c r="M2423" i="20" s="1"/>
  <c r="M2424" i="20"/>
  <c r="M2425" i="20" s="1"/>
  <c r="M2426" i="20"/>
  <c r="M2427" i="20" s="1"/>
  <c r="M2428" i="20"/>
  <c r="M2429" i="20" s="1"/>
  <c r="M2430" i="20"/>
  <c r="M2431" i="20" s="1"/>
  <c r="M2432" i="20"/>
  <c r="M2433" i="20" s="1"/>
  <c r="M2434" i="20"/>
  <c r="M2435" i="20" s="1"/>
  <c r="M2436" i="20"/>
  <c r="M2437" i="20" s="1"/>
  <c r="M2438" i="20"/>
  <c r="M2439" i="20" s="1"/>
  <c r="M2440" i="20"/>
  <c r="M2441" i="20" s="1"/>
  <c r="M2442" i="20"/>
  <c r="M2443" i="20" s="1"/>
  <c r="M2444" i="20"/>
  <c r="M2445" i="20" s="1"/>
  <c r="M2446" i="20"/>
  <c r="M2447" i="20" s="1"/>
  <c r="M2448" i="20"/>
  <c r="M2449" i="20" s="1"/>
  <c r="M2450" i="20"/>
  <c r="M2451" i="20" s="1"/>
  <c r="M2452" i="20"/>
  <c r="M2453" i="20" s="1"/>
  <c r="M2454" i="20"/>
  <c r="M2455" i="20" s="1"/>
  <c r="M2456" i="20"/>
  <c r="M2457" i="20" s="1"/>
  <c r="M2458" i="20"/>
  <c r="M2459" i="20" s="1"/>
  <c r="M2460" i="20"/>
  <c r="M2461" i="20" s="1"/>
  <c r="M2462" i="20"/>
  <c r="M2463" i="20" s="1"/>
  <c r="M2464" i="20"/>
  <c r="M2465" i="20" s="1"/>
  <c r="M2466" i="20"/>
  <c r="M2467" i="20" s="1"/>
  <c r="M2468" i="20"/>
  <c r="M2469" i="20" s="1"/>
  <c r="M2470" i="20"/>
  <c r="M2471" i="20" s="1"/>
  <c r="M2472" i="20"/>
  <c r="M2473" i="20" s="1"/>
  <c r="M2474" i="20"/>
  <c r="M2475" i="20" s="1"/>
  <c r="M2476" i="20"/>
  <c r="M2477" i="20" s="1"/>
  <c r="N962" i="20"/>
  <c r="N2621" i="20"/>
  <c r="N2617" i="20"/>
  <c r="N2613" i="20"/>
  <c r="N2609" i="20"/>
  <c r="N2605" i="20"/>
  <c r="N2601" i="20"/>
  <c r="N2597" i="20"/>
  <c r="N2593" i="20"/>
  <c r="N2589" i="20"/>
  <c r="N2585" i="20"/>
  <c r="N2581" i="20"/>
  <c r="N2577" i="20"/>
  <c r="N2575" i="20"/>
  <c r="N2571" i="20"/>
  <c r="N2565" i="20"/>
  <c r="N2561" i="20"/>
  <c r="N2557" i="20"/>
  <c r="N2553" i="20"/>
  <c r="N2549" i="20"/>
  <c r="N2545" i="20"/>
  <c r="N2541" i="20"/>
  <c r="N2537" i="20"/>
  <c r="N2533" i="20"/>
  <c r="N2529" i="20"/>
  <c r="N2525" i="20"/>
  <c r="N2618" i="20"/>
  <c r="N2614" i="20"/>
  <c r="N2610" i="20"/>
  <c r="N2606" i="20"/>
  <c r="N2602" i="20"/>
  <c r="N2598" i="20"/>
  <c r="N2594" i="20"/>
  <c r="N2590" i="20"/>
  <c r="N2586" i="20"/>
  <c r="N2582" i="20"/>
  <c r="N2578" i="20"/>
  <c r="N2574" i="20"/>
  <c r="N2570" i="20"/>
  <c r="N2566" i="20"/>
  <c r="N2562" i="20"/>
  <c r="N2558" i="20"/>
  <c r="N2554" i="20"/>
  <c r="N2550" i="20"/>
  <c r="N2546" i="20"/>
  <c r="N2542" i="20"/>
  <c r="N2538" i="20"/>
  <c r="N2534" i="20"/>
  <c r="N2530" i="20"/>
  <c r="N2526" i="20"/>
  <c r="N2522" i="20"/>
  <c r="N2521" i="20"/>
  <c r="N2520" i="20"/>
  <c r="N2519" i="20"/>
  <c r="N2518" i="20"/>
  <c r="N2517" i="20"/>
  <c r="N2516" i="20"/>
  <c r="N2515" i="20"/>
  <c r="N2514" i="20"/>
  <c r="N2513" i="20"/>
  <c r="N2512" i="20"/>
  <c r="N2619" i="20"/>
  <c r="N2611" i="20"/>
  <c r="N2603" i="20"/>
  <c r="N2595" i="20"/>
  <c r="N2587" i="20"/>
  <c r="N2579" i="20"/>
  <c r="N2573" i="20"/>
  <c r="N2563" i="20"/>
  <c r="N2555" i="20"/>
  <c r="N2547" i="20"/>
  <c r="N2539" i="20"/>
  <c r="N2531" i="20"/>
  <c r="N2523" i="20"/>
  <c r="N2620" i="20"/>
  <c r="N2616" i="20"/>
  <c r="N2612" i="20"/>
  <c r="N2608" i="20"/>
  <c r="N2604" i="20"/>
  <c r="N2600" i="20"/>
  <c r="N2596" i="20"/>
  <c r="N2592" i="20"/>
  <c r="N2588" i="20"/>
  <c r="N2584" i="20"/>
  <c r="N2580" i="20"/>
  <c r="N2576" i="20"/>
  <c r="N2572" i="20"/>
  <c r="N2568" i="20"/>
  <c r="N2564" i="20"/>
  <c r="N2560" i="20"/>
  <c r="N2556" i="20"/>
  <c r="N2552" i="20"/>
  <c r="N2548" i="20"/>
  <c r="N2544" i="20"/>
  <c r="N2540" i="20"/>
  <c r="N2536" i="20"/>
  <c r="N2532" i="20"/>
  <c r="N2528" i="20"/>
  <c r="N2524" i="20"/>
  <c r="N2476" i="20"/>
  <c r="N2475" i="20"/>
  <c r="N2474" i="20"/>
  <c r="N2473" i="20"/>
  <c r="N2472" i="20"/>
  <c r="N2471" i="20"/>
  <c r="N2470" i="20"/>
  <c r="N2469" i="20"/>
  <c r="N2468" i="20"/>
  <c r="N2467" i="20"/>
  <c r="N2466" i="20"/>
  <c r="N2465" i="20"/>
  <c r="N2464" i="20"/>
  <c r="N2463" i="20"/>
  <c r="N2462" i="20"/>
  <c r="N2461" i="20"/>
  <c r="N2460" i="20"/>
  <c r="N2459" i="20"/>
  <c r="N2458" i="20"/>
  <c r="N2457" i="20"/>
  <c r="N2456" i="20"/>
  <c r="N2455" i="20"/>
  <c r="N2454" i="20"/>
  <c r="N2453" i="20"/>
  <c r="N2452" i="20"/>
  <c r="N2451" i="20"/>
  <c r="N2450" i="20"/>
  <c r="N2449" i="20"/>
  <c r="N2448" i="20"/>
  <c r="N2447" i="20"/>
  <c r="N2446" i="20"/>
  <c r="N2445" i="20"/>
  <c r="N2444" i="20"/>
  <c r="N2443" i="20"/>
  <c r="N2442" i="20"/>
  <c r="N2441" i="20"/>
  <c r="N2440" i="20"/>
  <c r="N2439" i="20"/>
  <c r="N2438" i="20"/>
  <c r="N2437" i="20"/>
  <c r="N2436" i="20"/>
  <c r="N2435" i="20"/>
  <c r="N2434" i="20"/>
  <c r="N2433" i="20"/>
  <c r="N2432" i="20"/>
  <c r="N2431" i="20"/>
  <c r="N2430" i="20"/>
  <c r="N2429" i="20"/>
  <c r="N2428" i="20"/>
  <c r="N2427" i="20"/>
  <c r="N2426" i="20"/>
  <c r="N2425" i="20"/>
  <c r="N2424" i="20"/>
  <c r="N2423" i="20"/>
  <c r="N2422" i="20"/>
  <c r="N2324" i="20"/>
  <c r="N2328" i="20"/>
  <c r="N2332" i="20"/>
  <c r="N2336" i="20"/>
  <c r="N2340" i="20"/>
  <c r="N2344" i="20"/>
  <c r="N2348" i="20"/>
  <c r="N2352" i="20"/>
  <c r="N2356" i="20"/>
  <c r="N2360" i="20"/>
  <c r="N2364" i="20"/>
  <c r="N2368" i="20"/>
  <c r="N2372" i="20"/>
  <c r="N2376" i="20"/>
  <c r="N2380" i="20"/>
  <c r="M2024" i="20"/>
  <c r="M2022" i="20"/>
  <c r="N2719" i="20"/>
  <c r="N2715" i="20"/>
  <c r="N2711" i="20"/>
  <c r="N2707" i="20"/>
  <c r="N2703" i="20"/>
  <c r="N2699" i="20"/>
  <c r="N2695" i="20"/>
  <c r="N2691" i="20"/>
  <c r="N2687" i="20"/>
  <c r="N2683" i="20"/>
  <c r="N2679" i="20"/>
  <c r="N2675" i="20"/>
  <c r="N2671" i="20"/>
  <c r="N2667" i="20"/>
  <c r="N2659" i="20"/>
  <c r="N2655" i="20"/>
  <c r="N2647" i="20"/>
  <c r="N2643" i="20"/>
  <c r="N2639" i="20"/>
  <c r="N2635" i="20"/>
  <c r="N2631" i="20"/>
  <c r="N2627" i="20"/>
  <c r="N2623" i="20"/>
  <c r="M2720" i="20"/>
  <c r="M2721" i="20" s="1"/>
  <c r="N2718" i="20"/>
  <c r="M2716" i="20"/>
  <c r="M2717" i="20" s="1"/>
  <c r="N2714" i="20"/>
  <c r="M2712" i="20"/>
  <c r="M2713" i="20" s="1"/>
  <c r="N2710" i="20"/>
  <c r="M2708" i="20"/>
  <c r="M2709" i="20" s="1"/>
  <c r="N2706" i="20"/>
  <c r="M2704" i="20"/>
  <c r="M2705" i="20" s="1"/>
  <c r="N2702" i="20"/>
  <c r="M2700" i="20"/>
  <c r="M2701" i="20" s="1"/>
  <c r="N2698" i="20"/>
  <c r="M2696" i="20"/>
  <c r="M2697" i="20" s="1"/>
  <c r="N2694" i="20"/>
  <c r="M2692" i="20"/>
  <c r="M2693" i="20" s="1"/>
  <c r="N2690" i="20"/>
  <c r="M2688" i="20"/>
  <c r="M2689" i="20" s="1"/>
  <c r="N2686" i="20"/>
  <c r="M2684" i="20"/>
  <c r="M2685" i="20" s="1"/>
  <c r="N2682" i="20"/>
  <c r="M2680" i="20"/>
  <c r="M2681" i="20" s="1"/>
  <c r="N2678" i="20"/>
  <c r="M2676" i="20"/>
  <c r="M2677" i="20" s="1"/>
  <c r="N2674" i="20"/>
  <c r="M2672" i="20"/>
  <c r="M2673" i="20" s="1"/>
  <c r="N2670" i="20"/>
  <c r="M2668" i="20"/>
  <c r="M2669" i="20" s="1"/>
  <c r="N2666" i="20"/>
  <c r="M2664" i="20"/>
  <c r="M2665" i="20" s="1"/>
  <c r="N2662" i="20"/>
  <c r="M2660" i="20"/>
  <c r="M2661" i="20" s="1"/>
  <c r="N2658" i="20"/>
  <c r="M2656" i="20"/>
  <c r="M2657" i="20" s="1"/>
  <c r="N2654" i="20"/>
  <c r="M2652" i="20"/>
  <c r="M2653" i="20" s="1"/>
  <c r="N2650" i="20"/>
  <c r="M2648" i="20"/>
  <c r="M2649" i="20" s="1"/>
  <c r="N2646" i="20"/>
  <c r="M2644" i="20"/>
  <c r="M2645" i="20" s="1"/>
  <c r="N2642" i="20"/>
  <c r="M2640" i="20"/>
  <c r="M2641" i="20" s="1"/>
  <c r="N2638" i="20"/>
  <c r="M2636" i="20"/>
  <c r="M2637" i="20" s="1"/>
  <c r="N2634" i="20"/>
  <c r="M2632" i="20"/>
  <c r="M2633" i="20" s="1"/>
  <c r="N2630" i="20"/>
  <c r="M2628" i="20"/>
  <c r="M2629" i="20" s="1"/>
  <c r="N2626" i="20"/>
  <c r="M2624" i="20"/>
  <c r="M2625" i="20" s="1"/>
  <c r="N2622" i="20"/>
  <c r="N2421" i="20"/>
  <c r="N2417" i="20"/>
  <c r="N2413" i="20"/>
  <c r="N2409" i="20"/>
  <c r="N2405" i="20"/>
  <c r="N2401" i="20"/>
  <c r="N2397" i="20"/>
  <c r="N2393" i="20"/>
  <c r="N2389" i="20"/>
  <c r="N2385" i="20"/>
  <c r="N2381" i="20"/>
  <c r="N2377" i="20"/>
  <c r="N2373" i="20"/>
  <c r="N2369" i="20"/>
  <c r="N2365" i="20"/>
  <c r="N2361" i="20"/>
  <c r="N2357" i="20"/>
  <c r="N2353" i="20"/>
  <c r="N2349" i="20"/>
  <c r="N2345" i="20"/>
  <c r="N2341" i="20"/>
  <c r="N2337" i="20"/>
  <c r="N2333" i="20"/>
  <c r="N2329" i="20"/>
  <c r="N2325" i="20"/>
  <c r="N2420" i="20"/>
  <c r="M2418" i="20"/>
  <c r="M2419" i="20" s="1"/>
  <c r="N2416" i="20"/>
  <c r="M2414" i="20"/>
  <c r="M2415" i="20" s="1"/>
  <c r="N2412" i="20"/>
  <c r="M2410" i="20"/>
  <c r="M2411" i="20" s="1"/>
  <c r="N2408" i="20"/>
  <c r="M2406" i="20"/>
  <c r="M2407" i="20" s="1"/>
  <c r="N2404" i="20"/>
  <c r="M2402" i="20"/>
  <c r="M2403" i="20" s="1"/>
  <c r="N2400" i="20"/>
  <c r="M2398" i="20"/>
  <c r="M2399" i="20" s="1"/>
  <c r="N2396" i="20"/>
  <c r="M2394" i="20"/>
  <c r="M2395" i="20" s="1"/>
  <c r="N2392" i="20"/>
  <c r="M2390" i="20"/>
  <c r="M2391" i="20" s="1"/>
  <c r="N2388" i="20"/>
  <c r="M2386" i="20"/>
  <c r="M2387" i="20" s="1"/>
  <c r="N2384" i="20"/>
  <c r="M2382" i="20"/>
  <c r="M2383" i="20" s="1"/>
  <c r="M2380" i="20"/>
  <c r="M2381" i="20" s="1"/>
  <c r="N2378" i="20"/>
  <c r="M2376" i="20"/>
  <c r="M2377" i="20" s="1"/>
  <c r="N2374" i="20"/>
  <c r="M2372" i="20"/>
  <c r="M2373" i="20" s="1"/>
  <c r="N2370" i="20"/>
  <c r="M2368" i="20"/>
  <c r="M2369" i="20" s="1"/>
  <c r="N2366" i="20"/>
  <c r="M2364" i="20"/>
  <c r="M2365" i="20" s="1"/>
  <c r="N2362" i="20"/>
  <c r="M2360" i="20"/>
  <c r="M2361" i="20" s="1"/>
  <c r="N2358" i="20"/>
  <c r="M2356" i="20"/>
  <c r="M2357" i="20" s="1"/>
  <c r="N2354" i="20"/>
  <c r="M2352" i="20"/>
  <c r="M2353" i="20" s="1"/>
  <c r="N2350" i="20"/>
  <c r="M2348" i="20"/>
  <c r="M2349" i="20" s="1"/>
  <c r="N2346" i="20"/>
  <c r="M2344" i="20"/>
  <c r="M2345" i="20" s="1"/>
  <c r="N2342" i="20"/>
  <c r="M2340" i="20"/>
  <c r="M2341" i="20" s="1"/>
  <c r="N2338" i="20"/>
  <c r="M2336" i="20"/>
  <c r="M2337" i="20" s="1"/>
  <c r="N2334" i="20"/>
  <c r="M2332" i="20"/>
  <c r="M2333" i="20" s="1"/>
  <c r="N2330" i="20"/>
  <c r="M2328" i="20"/>
  <c r="M2329" i="20" s="1"/>
  <c r="N2326" i="20"/>
  <c r="M2324" i="20"/>
  <c r="M2325" i="20" s="1"/>
  <c r="N2322" i="20"/>
  <c r="N2477" i="20"/>
  <c r="N2480" i="20"/>
  <c r="N2481" i="20"/>
  <c r="N2484" i="20"/>
  <c r="N2485" i="20"/>
  <c r="N2488" i="20"/>
  <c r="N2489" i="20"/>
  <c r="N2492" i="20"/>
  <c r="N2493" i="20"/>
  <c r="N2496" i="20"/>
  <c r="N2497" i="20"/>
  <c r="N2500" i="20"/>
  <c r="N2501" i="20"/>
  <c r="N2504" i="20"/>
  <c r="N2505" i="20"/>
  <c r="N2508" i="20"/>
  <c r="N2509" i="20"/>
  <c r="N2535" i="20"/>
  <c r="N2551" i="20"/>
  <c r="N2569" i="20"/>
  <c r="N2583" i="20"/>
  <c r="N2599" i="20"/>
  <c r="N2615" i="20"/>
  <c r="D2573" i="20"/>
  <c r="O2667" i="20"/>
  <c r="D15" i="11"/>
  <c r="D2" i="11"/>
  <c r="I8" i="9"/>
  <c r="N1922" i="20"/>
  <c r="N2" i="20"/>
  <c r="J8" i="9"/>
  <c r="BE114" i="14"/>
  <c r="BD114" i="14"/>
  <c r="BC114" i="14"/>
  <c r="BE113" i="14"/>
  <c r="BD113" i="14"/>
  <c r="BC113" i="14"/>
  <c r="BE112" i="14"/>
  <c r="BD112" i="14"/>
  <c r="BC112" i="14"/>
  <c r="BE111" i="14"/>
  <c r="BD111" i="14"/>
  <c r="BC111" i="14"/>
  <c r="BE110" i="14"/>
  <c r="BD110" i="14"/>
  <c r="BC110" i="14"/>
  <c r="BE109" i="14"/>
  <c r="BD109" i="14"/>
  <c r="BC109" i="14"/>
  <c r="BE108" i="14"/>
  <c r="BD108" i="14"/>
  <c r="BC108" i="14"/>
  <c r="BE107" i="14"/>
  <c r="BD107" i="14"/>
  <c r="BC107" i="14"/>
  <c r="BE106" i="14"/>
  <c r="BD106" i="14"/>
  <c r="BC106" i="14"/>
  <c r="BE105" i="14"/>
  <c r="BD105" i="14"/>
  <c r="BC105" i="14"/>
  <c r="BE104" i="14"/>
  <c r="BD104" i="14"/>
  <c r="BC104" i="14"/>
  <c r="BE103" i="14"/>
  <c r="BD103" i="14"/>
  <c r="BC103" i="14"/>
  <c r="BE102" i="14"/>
  <c r="BD102" i="14"/>
  <c r="BC102" i="14"/>
  <c r="BE101" i="14"/>
  <c r="BD101" i="14"/>
  <c r="BC101" i="14"/>
  <c r="BE100" i="14"/>
  <c r="BD100" i="14"/>
  <c r="BC100" i="14"/>
  <c r="BE99" i="14"/>
  <c r="BD99" i="14"/>
  <c r="BC99" i="14"/>
  <c r="BE98" i="14"/>
  <c r="BD98" i="14"/>
  <c r="BC98" i="14"/>
  <c r="BE97" i="14"/>
  <c r="BD97" i="14"/>
  <c r="BC97" i="14"/>
  <c r="BE96" i="14"/>
  <c r="BD96" i="14"/>
  <c r="BC96" i="14"/>
  <c r="BE95" i="14"/>
  <c r="BD95" i="14"/>
  <c r="BC95" i="14"/>
  <c r="BE94" i="14"/>
  <c r="BD94" i="14"/>
  <c r="BC94" i="14"/>
  <c r="BE93" i="14"/>
  <c r="BD93" i="14"/>
  <c r="BC93" i="14"/>
  <c r="BE92" i="14"/>
  <c r="BD92" i="14"/>
  <c r="BC92" i="14"/>
  <c r="BE91" i="14"/>
  <c r="BD91" i="14"/>
  <c r="BC91" i="14"/>
  <c r="BE90" i="14"/>
  <c r="BD90" i="14"/>
  <c r="BC90" i="14"/>
  <c r="BE89" i="14"/>
  <c r="BD89" i="14"/>
  <c r="BC89" i="14"/>
  <c r="BE88" i="14"/>
  <c r="BD88" i="14"/>
  <c r="BC88" i="14"/>
  <c r="BE87" i="14"/>
  <c r="BD87" i="14"/>
  <c r="BC87" i="14"/>
  <c r="BE86" i="14"/>
  <c r="BD86" i="14"/>
  <c r="BC86" i="14"/>
  <c r="BE85" i="14"/>
  <c r="BD85" i="14"/>
  <c r="BC85" i="14"/>
  <c r="BE84" i="14"/>
  <c r="BD84" i="14"/>
  <c r="BC84" i="14"/>
  <c r="BE83" i="14"/>
  <c r="BD83" i="14"/>
  <c r="BC83" i="14"/>
  <c r="BE82" i="14"/>
  <c r="BD82" i="14"/>
  <c r="BC82" i="14"/>
  <c r="BE81" i="14"/>
  <c r="BD81" i="14"/>
  <c r="BC81" i="14"/>
  <c r="BE80" i="14"/>
  <c r="BD80" i="14"/>
  <c r="BC80" i="14"/>
  <c r="BE79" i="14"/>
  <c r="BD79" i="14"/>
  <c r="BC79" i="14"/>
  <c r="BE78" i="14"/>
  <c r="BD78" i="14"/>
  <c r="BC78" i="14"/>
  <c r="BE77" i="14"/>
  <c r="BD77" i="14"/>
  <c r="BC77" i="14"/>
  <c r="BE76" i="14"/>
  <c r="BD76" i="14"/>
  <c r="BC76" i="14"/>
  <c r="BE75" i="14"/>
  <c r="BD75" i="14"/>
  <c r="BC75" i="14"/>
  <c r="BE74" i="14"/>
  <c r="BD74" i="14"/>
  <c r="BC74" i="14"/>
  <c r="BE73" i="14"/>
  <c r="BD73" i="14"/>
  <c r="BC73" i="14"/>
  <c r="BE72" i="14"/>
  <c r="BD72" i="14"/>
  <c r="BC72" i="14"/>
  <c r="BE71" i="14"/>
  <c r="BD71" i="14"/>
  <c r="BC71" i="14"/>
  <c r="BE70" i="14"/>
  <c r="BD70" i="14"/>
  <c r="BC70" i="14"/>
  <c r="BE69" i="14"/>
  <c r="BD69" i="14"/>
  <c r="BC69" i="14"/>
  <c r="BE68" i="14"/>
  <c r="BD68" i="14"/>
  <c r="BC68" i="14"/>
  <c r="BE67" i="14"/>
  <c r="BD67" i="14"/>
  <c r="BC67" i="14"/>
  <c r="BE66" i="14"/>
  <c r="BD66" i="14"/>
  <c r="BC66" i="14"/>
  <c r="BE65" i="14"/>
  <c r="BD65" i="14"/>
  <c r="BC65" i="14"/>
  <c r="BE54" i="14"/>
  <c r="BD54" i="14"/>
  <c r="BC54" i="14"/>
  <c r="BE53" i="14"/>
  <c r="BD53" i="14"/>
  <c r="BC53" i="14"/>
  <c r="BE52" i="14"/>
  <c r="BD52" i="14"/>
  <c r="BC52" i="14"/>
  <c r="BE51" i="14"/>
  <c r="BD51" i="14"/>
  <c r="BC51" i="14"/>
  <c r="BE50" i="14"/>
  <c r="BD50" i="14"/>
  <c r="BC50" i="14"/>
  <c r="BE49" i="14"/>
  <c r="BD49" i="14"/>
  <c r="BC49" i="14"/>
  <c r="BE48" i="14"/>
  <c r="BD48" i="14"/>
  <c r="BC48" i="14"/>
  <c r="BE47" i="14"/>
  <c r="BD47" i="14"/>
  <c r="BC47" i="14"/>
  <c r="BE46" i="14"/>
  <c r="BD46" i="14"/>
  <c r="BC46" i="14"/>
  <c r="BE45" i="14"/>
  <c r="BD45" i="14"/>
  <c r="BC45" i="14"/>
  <c r="BE44" i="14"/>
  <c r="BD44" i="14"/>
  <c r="BC44" i="14"/>
  <c r="BE43" i="14"/>
  <c r="BD43" i="14"/>
  <c r="BC43" i="14"/>
  <c r="BE42" i="14"/>
  <c r="BD42" i="14"/>
  <c r="BC42" i="14"/>
  <c r="BE41" i="14"/>
  <c r="BD41" i="14"/>
  <c r="BC41" i="14"/>
  <c r="BE40" i="14"/>
  <c r="BD40" i="14"/>
  <c r="BC40" i="14"/>
  <c r="BE39" i="14"/>
  <c r="BD39" i="14"/>
  <c r="BC39" i="14"/>
  <c r="BE38" i="14"/>
  <c r="BD38" i="14"/>
  <c r="BC38" i="14"/>
  <c r="BE37" i="14"/>
  <c r="BD37" i="14"/>
  <c r="BC37" i="14"/>
  <c r="BE36" i="14"/>
  <c r="BD36" i="14"/>
  <c r="BC36" i="14"/>
  <c r="BE35" i="14"/>
  <c r="BD35" i="14"/>
  <c r="BC35" i="14"/>
  <c r="BE34" i="14"/>
  <c r="BD34" i="14"/>
  <c r="BC34" i="14"/>
  <c r="BE33" i="14"/>
  <c r="BD33" i="14"/>
  <c r="BC33" i="14"/>
  <c r="BE32" i="14"/>
  <c r="BD32" i="14"/>
  <c r="BC32" i="14"/>
  <c r="BE31" i="14"/>
  <c r="BD31" i="14"/>
  <c r="BC31" i="14"/>
  <c r="BE30" i="14"/>
  <c r="BD30" i="14"/>
  <c r="BC30" i="14"/>
  <c r="BE29" i="14"/>
  <c r="BD29" i="14"/>
  <c r="BC29" i="14"/>
  <c r="BE28" i="14"/>
  <c r="BD28" i="14"/>
  <c r="BC28" i="14"/>
  <c r="BE27" i="14"/>
  <c r="BD27" i="14"/>
  <c r="BC27" i="14"/>
  <c r="BE26" i="14"/>
  <c r="BD26" i="14"/>
  <c r="BC26" i="14"/>
  <c r="BE25" i="14"/>
  <c r="BD25" i="14"/>
  <c r="BC25" i="14"/>
  <c r="BE24" i="14"/>
  <c r="BD24" i="14"/>
  <c r="BC24" i="14"/>
  <c r="BE23" i="14"/>
  <c r="BD23" i="14"/>
  <c r="BC23" i="14"/>
  <c r="BE22" i="14"/>
  <c r="BD22" i="14"/>
  <c r="BC22" i="14"/>
  <c r="BE21" i="14"/>
  <c r="BD21" i="14"/>
  <c r="BC21" i="14"/>
  <c r="BE20" i="14"/>
  <c r="BD20" i="14"/>
  <c r="BC20" i="14"/>
  <c r="BE19" i="14"/>
  <c r="BD19" i="14"/>
  <c r="BC19" i="14"/>
  <c r="BE18" i="14"/>
  <c r="BD18" i="14"/>
  <c r="BC18" i="14"/>
  <c r="BE17" i="14"/>
  <c r="BD17" i="14"/>
  <c r="BC17" i="14"/>
  <c r="BE16" i="14"/>
  <c r="BD16" i="14"/>
  <c r="BC16" i="14"/>
  <c r="BE15" i="14"/>
  <c r="BD15" i="14"/>
  <c r="BC15" i="14"/>
  <c r="BE14" i="14"/>
  <c r="BD14" i="14"/>
  <c r="BC14" i="14"/>
  <c r="BE13" i="14"/>
  <c r="BD13" i="14"/>
  <c r="BC13" i="14"/>
  <c r="BE12" i="14"/>
  <c r="BD12" i="14"/>
  <c r="BC12" i="14"/>
  <c r="BE11" i="14"/>
  <c r="BD11" i="14"/>
  <c r="BC11" i="14"/>
  <c r="BE10" i="14"/>
  <c r="BD10" i="14"/>
  <c r="BC10" i="14"/>
  <c r="BE9" i="14"/>
  <c r="BD9" i="14"/>
  <c r="BC9" i="14"/>
  <c r="BE8" i="14"/>
  <c r="BD8" i="14"/>
  <c r="BC8" i="14"/>
  <c r="BE7" i="14"/>
  <c r="BD7" i="14"/>
  <c r="BC7" i="14"/>
  <c r="BE6" i="14"/>
  <c r="BD6" i="14"/>
  <c r="BC6" i="14"/>
  <c r="BE5" i="14"/>
  <c r="BD5" i="14"/>
  <c r="BC5" i="14"/>
  <c r="BE114" i="12"/>
  <c r="BD114" i="12"/>
  <c r="BC114" i="12"/>
  <c r="BE113" i="12"/>
  <c r="BD113" i="12"/>
  <c r="BC113" i="12"/>
  <c r="BE112" i="12"/>
  <c r="BD112" i="12"/>
  <c r="BC112" i="12"/>
  <c r="BE111" i="12"/>
  <c r="BD111" i="12"/>
  <c r="BC111" i="12"/>
  <c r="BE110" i="12"/>
  <c r="BD110" i="12"/>
  <c r="BC110" i="12"/>
  <c r="BE109" i="12"/>
  <c r="BD109" i="12"/>
  <c r="BC109" i="12"/>
  <c r="BE108" i="12"/>
  <c r="BD108" i="12"/>
  <c r="BC108" i="12"/>
  <c r="BE107" i="12"/>
  <c r="BD107" i="12"/>
  <c r="BC107" i="12"/>
  <c r="BE106" i="12"/>
  <c r="BD106" i="12"/>
  <c r="BC106" i="12"/>
  <c r="BE105" i="12"/>
  <c r="BD105" i="12"/>
  <c r="BC105" i="12"/>
  <c r="BE104" i="12"/>
  <c r="BD104" i="12"/>
  <c r="BC104" i="12"/>
  <c r="BE103" i="12"/>
  <c r="BD103" i="12"/>
  <c r="BC103" i="12"/>
  <c r="BE102" i="12"/>
  <c r="BD102" i="12"/>
  <c r="BC102" i="12"/>
  <c r="BE101" i="12"/>
  <c r="BD101" i="12"/>
  <c r="BC101" i="12"/>
  <c r="BE100" i="12"/>
  <c r="BD100" i="12"/>
  <c r="BC100" i="12"/>
  <c r="BE99" i="12"/>
  <c r="BD99" i="12"/>
  <c r="BC99" i="12"/>
  <c r="BE98" i="12"/>
  <c r="BD98" i="12"/>
  <c r="BC98" i="12"/>
  <c r="BE97" i="12"/>
  <c r="BD97" i="12"/>
  <c r="BC97" i="12"/>
  <c r="BE96" i="12"/>
  <c r="BD96" i="12"/>
  <c r="BC96" i="12"/>
  <c r="BE95" i="12"/>
  <c r="BD95" i="12"/>
  <c r="BC95" i="12"/>
  <c r="BE94" i="12"/>
  <c r="BD94" i="12"/>
  <c r="BC94" i="12"/>
  <c r="BE93" i="12"/>
  <c r="BD93" i="12"/>
  <c r="BC93" i="12"/>
  <c r="BE92" i="12"/>
  <c r="BD92" i="12"/>
  <c r="BC92" i="12"/>
  <c r="BE91" i="12"/>
  <c r="BD91" i="12"/>
  <c r="BC91" i="12"/>
  <c r="BE90" i="12"/>
  <c r="BD90" i="12"/>
  <c r="BC90" i="12"/>
  <c r="BE89" i="12"/>
  <c r="BD89" i="12"/>
  <c r="BC89" i="12"/>
  <c r="BE88" i="12"/>
  <c r="BD88" i="12"/>
  <c r="BC88" i="12"/>
  <c r="BE87" i="12"/>
  <c r="BD87" i="12"/>
  <c r="BC87" i="12"/>
  <c r="BE86" i="12"/>
  <c r="BD86" i="12"/>
  <c r="BC86" i="12"/>
  <c r="BE85" i="12"/>
  <c r="BD85" i="12"/>
  <c r="BC85" i="12"/>
  <c r="BE84" i="12"/>
  <c r="BD84" i="12"/>
  <c r="BC84" i="12"/>
  <c r="BE83" i="12"/>
  <c r="BD83" i="12"/>
  <c r="BC83" i="12"/>
  <c r="BE82" i="12"/>
  <c r="BD82" i="12"/>
  <c r="BC82" i="12"/>
  <c r="BE81" i="12"/>
  <c r="BD81" i="12"/>
  <c r="BC81" i="12"/>
  <c r="BE80" i="12"/>
  <c r="BD80" i="12"/>
  <c r="BC80" i="12"/>
  <c r="BE79" i="12"/>
  <c r="BD79" i="12"/>
  <c r="BC79" i="12"/>
  <c r="BE78" i="12"/>
  <c r="BD78" i="12"/>
  <c r="BC78" i="12"/>
  <c r="BE77" i="12"/>
  <c r="BD77" i="12"/>
  <c r="BC77" i="12"/>
  <c r="BE76" i="12"/>
  <c r="BD76" i="12"/>
  <c r="BC76" i="12"/>
  <c r="BE75" i="12"/>
  <c r="BD75" i="12"/>
  <c r="BC75" i="12"/>
  <c r="BE74" i="12"/>
  <c r="BD74" i="12"/>
  <c r="BC74" i="12"/>
  <c r="BE73" i="12"/>
  <c r="BD73" i="12"/>
  <c r="BC73" i="12"/>
  <c r="BE72" i="12"/>
  <c r="BD72" i="12"/>
  <c r="BC72" i="12"/>
  <c r="BE71" i="12"/>
  <c r="BD71" i="12"/>
  <c r="BC71" i="12"/>
  <c r="BE70" i="12"/>
  <c r="BD70" i="12"/>
  <c r="BC70" i="12"/>
  <c r="BE69" i="12"/>
  <c r="BD69" i="12"/>
  <c r="BC69" i="12"/>
  <c r="BE68" i="12"/>
  <c r="BD68" i="12"/>
  <c r="BC68" i="12"/>
  <c r="BE67" i="12"/>
  <c r="BD67" i="12"/>
  <c r="BC67" i="12"/>
  <c r="BE66" i="12"/>
  <c r="BD66" i="12"/>
  <c r="BC66" i="12"/>
  <c r="BE65" i="12"/>
  <c r="BD65" i="12"/>
  <c r="BC65" i="12"/>
  <c r="BE54" i="12"/>
  <c r="BD54" i="12"/>
  <c r="BC54" i="12"/>
  <c r="BE53" i="12"/>
  <c r="BD53" i="12"/>
  <c r="BC53" i="12"/>
  <c r="BE52" i="12"/>
  <c r="BD52" i="12"/>
  <c r="BC52" i="12"/>
  <c r="BE51" i="12"/>
  <c r="BD51" i="12"/>
  <c r="BC51" i="12"/>
  <c r="BE50" i="12"/>
  <c r="BD50" i="12"/>
  <c r="BC50" i="12"/>
  <c r="BE49" i="12"/>
  <c r="BD49" i="12"/>
  <c r="BC49" i="12"/>
  <c r="BE48" i="12"/>
  <c r="BD48" i="12"/>
  <c r="BC48" i="12"/>
  <c r="BE47" i="12"/>
  <c r="BD47" i="12"/>
  <c r="BC47" i="12"/>
  <c r="BE46" i="12"/>
  <c r="BD46" i="12"/>
  <c r="BC46" i="12"/>
  <c r="BE45" i="12"/>
  <c r="BD45" i="12"/>
  <c r="BC45" i="12"/>
  <c r="BE44" i="12"/>
  <c r="BD44" i="12"/>
  <c r="BC44" i="12"/>
  <c r="BE43" i="12"/>
  <c r="BD43" i="12"/>
  <c r="BC43" i="12"/>
  <c r="BE42" i="12"/>
  <c r="BD42" i="12"/>
  <c r="BC42" i="12"/>
  <c r="BE41" i="12"/>
  <c r="BD41" i="12"/>
  <c r="BC41" i="12"/>
  <c r="BE40" i="12"/>
  <c r="BD40" i="12"/>
  <c r="BC40" i="12"/>
  <c r="BE39" i="12"/>
  <c r="BD39" i="12"/>
  <c r="BC39" i="12"/>
  <c r="BE38" i="12"/>
  <c r="BD38" i="12"/>
  <c r="BC38" i="12"/>
  <c r="BE37" i="12"/>
  <c r="BD37" i="12"/>
  <c r="BC37" i="12"/>
  <c r="BE36" i="12"/>
  <c r="BD36" i="12"/>
  <c r="BC36" i="12"/>
  <c r="BE35" i="12"/>
  <c r="BD35" i="12"/>
  <c r="BC35" i="12"/>
  <c r="BE34" i="12"/>
  <c r="BD34" i="12"/>
  <c r="BC34" i="12"/>
  <c r="BE33" i="12"/>
  <c r="BD33" i="12"/>
  <c r="BC33" i="12"/>
  <c r="BE32" i="12"/>
  <c r="BD32" i="12"/>
  <c r="BC32" i="12"/>
  <c r="BE31" i="12"/>
  <c r="BD31" i="12"/>
  <c r="BC31" i="12"/>
  <c r="BE30" i="12"/>
  <c r="BD30" i="12"/>
  <c r="BC30" i="12"/>
  <c r="BE29" i="12"/>
  <c r="BD29" i="12"/>
  <c r="BC29" i="12"/>
  <c r="BE28" i="12"/>
  <c r="BD28" i="12"/>
  <c r="BC28" i="12"/>
  <c r="BE27" i="12"/>
  <c r="BD27" i="12"/>
  <c r="BC27" i="12"/>
  <c r="BE26" i="12"/>
  <c r="BD26" i="12"/>
  <c r="BC26" i="12"/>
  <c r="BE25" i="12"/>
  <c r="BD25" i="12"/>
  <c r="BC25" i="12"/>
  <c r="BE24" i="12"/>
  <c r="BD24" i="12"/>
  <c r="BC24" i="12"/>
  <c r="BE23" i="12"/>
  <c r="BD23" i="12"/>
  <c r="BC23" i="12"/>
  <c r="BE22" i="12"/>
  <c r="BD22" i="12"/>
  <c r="BC22" i="12"/>
  <c r="BE21" i="12"/>
  <c r="BD21" i="12"/>
  <c r="BC21" i="12"/>
  <c r="BE20" i="12"/>
  <c r="BD20" i="12"/>
  <c r="BC20" i="12"/>
  <c r="BE19" i="12"/>
  <c r="BD19" i="12"/>
  <c r="BC19" i="12"/>
  <c r="BE18" i="12"/>
  <c r="BD18" i="12"/>
  <c r="BC18" i="12"/>
  <c r="BE17" i="12"/>
  <c r="BD17" i="12"/>
  <c r="BC17" i="12"/>
  <c r="BE16" i="12"/>
  <c r="BD16" i="12"/>
  <c r="BC16" i="12"/>
  <c r="BE15" i="12"/>
  <c r="BD15" i="12"/>
  <c r="BC15" i="12"/>
  <c r="BE14" i="12"/>
  <c r="BD14" i="12"/>
  <c r="BC14" i="12"/>
  <c r="BE13" i="12"/>
  <c r="BD13" i="12"/>
  <c r="BC13" i="12"/>
  <c r="BE12" i="12"/>
  <c r="BD12" i="12"/>
  <c r="BC12" i="12"/>
  <c r="BE11" i="12"/>
  <c r="BD11" i="12"/>
  <c r="BC11" i="12"/>
  <c r="BE10" i="12"/>
  <c r="BD10" i="12"/>
  <c r="BC10" i="12"/>
  <c r="BE9" i="12"/>
  <c r="BD9" i="12"/>
  <c r="BC9" i="12"/>
  <c r="BE8" i="12"/>
  <c r="BD8" i="12"/>
  <c r="BC8" i="12"/>
  <c r="BE7" i="12"/>
  <c r="BD7" i="12"/>
  <c r="BC7" i="12"/>
  <c r="BE6" i="12"/>
  <c r="BD6" i="12"/>
  <c r="BC6" i="12"/>
  <c r="BE5" i="12"/>
  <c r="BD5" i="12"/>
  <c r="BC5" i="12"/>
  <c r="AL74" i="22"/>
  <c r="AL73" i="22"/>
  <c r="AL72" i="22"/>
  <c r="AL71" i="22"/>
  <c r="AL70" i="22"/>
  <c r="AL69" i="22"/>
  <c r="AL68" i="22"/>
  <c r="AL67" i="22"/>
  <c r="AL66" i="22"/>
  <c r="AL65" i="22"/>
  <c r="AL64" i="22"/>
  <c r="AL63" i="22"/>
  <c r="AL62" i="22"/>
  <c r="AL61" i="22"/>
  <c r="AL60" i="22"/>
  <c r="AL59" i="22"/>
  <c r="AL58" i="22"/>
  <c r="AL57" i="22"/>
  <c r="AL56" i="22"/>
  <c r="AL55" i="22"/>
  <c r="AL54" i="22"/>
  <c r="AL53" i="22"/>
  <c r="AL52" i="22"/>
  <c r="AL51" i="22"/>
  <c r="AL50" i="22"/>
  <c r="AL49" i="22"/>
  <c r="AL48" i="22"/>
  <c r="AL47" i="22"/>
  <c r="AL46" i="22"/>
  <c r="AL45" i="22"/>
  <c r="AL34" i="22"/>
  <c r="AL33" i="22"/>
  <c r="AL32" i="22"/>
  <c r="AL31" i="22"/>
  <c r="AL30" i="22"/>
  <c r="AL29" i="22"/>
  <c r="AL28" i="22"/>
  <c r="AL27" i="22"/>
  <c r="AL26" i="22"/>
  <c r="AL25" i="22"/>
  <c r="AL24" i="22"/>
  <c r="AL23" i="22"/>
  <c r="AL22" i="22"/>
  <c r="AL21" i="22"/>
  <c r="AL20" i="22"/>
  <c r="AL19" i="22"/>
  <c r="AL18" i="22"/>
  <c r="AL17" i="22"/>
  <c r="AL16" i="22"/>
  <c r="AL15" i="22"/>
  <c r="AL14" i="22"/>
  <c r="AL13" i="22"/>
  <c r="AL12" i="22"/>
  <c r="AL11" i="22"/>
  <c r="AL10" i="22"/>
  <c r="AL9" i="22"/>
  <c r="AL8" i="22"/>
  <c r="AL7" i="22"/>
  <c r="AL6" i="22"/>
  <c r="AL5" i="22"/>
  <c r="AI115" i="26"/>
  <c r="AB115" i="26"/>
  <c r="U115" i="26"/>
  <c r="N115" i="26"/>
  <c r="AI114" i="26"/>
  <c r="AB114" i="26"/>
  <c r="U114" i="26"/>
  <c r="N114" i="26"/>
  <c r="AI113" i="26"/>
  <c r="AB113" i="26"/>
  <c r="U113" i="26"/>
  <c r="N113" i="26"/>
  <c r="AI112" i="26"/>
  <c r="AB112" i="26"/>
  <c r="U112" i="26"/>
  <c r="N112" i="26"/>
  <c r="AI111" i="26"/>
  <c r="AB111" i="26"/>
  <c r="U111" i="26"/>
  <c r="N111" i="26"/>
  <c r="AI110" i="26"/>
  <c r="AB110" i="26"/>
  <c r="U110" i="26"/>
  <c r="N110" i="26"/>
  <c r="AI109" i="26"/>
  <c r="AB109" i="26"/>
  <c r="U109" i="26"/>
  <c r="N109" i="26"/>
  <c r="AI108" i="26"/>
  <c r="AB108" i="26"/>
  <c r="U108" i="26"/>
  <c r="N108" i="26"/>
  <c r="AI107" i="26"/>
  <c r="AB107" i="26"/>
  <c r="U107" i="26"/>
  <c r="N107" i="26"/>
  <c r="AI106" i="26"/>
  <c r="AB106" i="26"/>
  <c r="U106" i="26"/>
  <c r="N106" i="26"/>
  <c r="AI105" i="26"/>
  <c r="AB105" i="26"/>
  <c r="U105" i="26"/>
  <c r="N105" i="26"/>
  <c r="AI104" i="26"/>
  <c r="AB104" i="26"/>
  <c r="U104" i="26"/>
  <c r="N104" i="26"/>
  <c r="AI103" i="26"/>
  <c r="AB103" i="26"/>
  <c r="U103" i="26"/>
  <c r="N103" i="26"/>
  <c r="AI102" i="26"/>
  <c r="AB102" i="26"/>
  <c r="U102" i="26"/>
  <c r="N102" i="26"/>
  <c r="AI101" i="26"/>
  <c r="AB101" i="26"/>
  <c r="U101" i="26"/>
  <c r="N101" i="26"/>
  <c r="AI100" i="26"/>
  <c r="AB100" i="26"/>
  <c r="U100" i="26"/>
  <c r="N100" i="26"/>
  <c r="AI99" i="26"/>
  <c r="AB99" i="26"/>
  <c r="U99" i="26"/>
  <c r="N99" i="26"/>
  <c r="AI98" i="26"/>
  <c r="AB98" i="26"/>
  <c r="U98" i="26"/>
  <c r="N98" i="26"/>
  <c r="AI97" i="26"/>
  <c r="AB97" i="26"/>
  <c r="U97" i="26"/>
  <c r="N97" i="26"/>
  <c r="AI96" i="26"/>
  <c r="AB96" i="26"/>
  <c r="U96" i="26"/>
  <c r="N96" i="26"/>
  <c r="AI95" i="26"/>
  <c r="AB95" i="26"/>
  <c r="U95" i="26"/>
  <c r="N95" i="26"/>
  <c r="AI94" i="26"/>
  <c r="AB94" i="26"/>
  <c r="U94" i="26"/>
  <c r="N94" i="26"/>
  <c r="AI93" i="26"/>
  <c r="AB93" i="26"/>
  <c r="U93" i="26"/>
  <c r="N93" i="26"/>
  <c r="AI92" i="26"/>
  <c r="AB92" i="26"/>
  <c r="U92" i="26"/>
  <c r="N92" i="26"/>
  <c r="AI91" i="26"/>
  <c r="AB91" i="26"/>
  <c r="U91" i="26"/>
  <c r="N91" i="26"/>
  <c r="AI90" i="26"/>
  <c r="AB90" i="26"/>
  <c r="U90" i="26"/>
  <c r="N90" i="26"/>
  <c r="AI89" i="26"/>
  <c r="AB89" i="26"/>
  <c r="U89" i="26"/>
  <c r="N89" i="26"/>
  <c r="AI88" i="26"/>
  <c r="AB88" i="26"/>
  <c r="U88" i="26"/>
  <c r="N88" i="26"/>
  <c r="AI87" i="26"/>
  <c r="AB87" i="26"/>
  <c r="U87" i="26"/>
  <c r="N87" i="26"/>
  <c r="AI86" i="26"/>
  <c r="AB86" i="26"/>
  <c r="U86" i="26"/>
  <c r="N86" i="26"/>
  <c r="AI85" i="26"/>
  <c r="AB85" i="26"/>
  <c r="U85" i="26"/>
  <c r="N85" i="26"/>
  <c r="AI84" i="26"/>
  <c r="AB84" i="26"/>
  <c r="U84" i="26"/>
  <c r="N84" i="26"/>
  <c r="AI83" i="26"/>
  <c r="AB83" i="26"/>
  <c r="U83" i="26"/>
  <c r="N83" i="26"/>
  <c r="AI82" i="26"/>
  <c r="AB82" i="26"/>
  <c r="U82" i="26"/>
  <c r="N82" i="26"/>
  <c r="AI81" i="26"/>
  <c r="AB81" i="26"/>
  <c r="U81" i="26"/>
  <c r="N81" i="26"/>
  <c r="AI80" i="26"/>
  <c r="AB80" i="26"/>
  <c r="U80" i="26"/>
  <c r="N80" i="26"/>
  <c r="AI79" i="26"/>
  <c r="AB79" i="26"/>
  <c r="U79" i="26"/>
  <c r="N79" i="26"/>
  <c r="AI78" i="26"/>
  <c r="AB78" i="26"/>
  <c r="U78" i="26"/>
  <c r="N78" i="26"/>
  <c r="AI77" i="26"/>
  <c r="AB77" i="26"/>
  <c r="U77" i="26"/>
  <c r="N77" i="26"/>
  <c r="AI76" i="26"/>
  <c r="AB76" i="26"/>
  <c r="U76" i="26"/>
  <c r="N76" i="26"/>
  <c r="AI75" i="26"/>
  <c r="AB75" i="26"/>
  <c r="U75" i="26"/>
  <c r="N75" i="26"/>
  <c r="AI74" i="26"/>
  <c r="AB74" i="26"/>
  <c r="U74" i="26"/>
  <c r="N74" i="26"/>
  <c r="AI73" i="26"/>
  <c r="AB73" i="26"/>
  <c r="U73" i="26"/>
  <c r="N73" i="26"/>
  <c r="AI72" i="26"/>
  <c r="AB72" i="26"/>
  <c r="U72" i="26"/>
  <c r="N72" i="26"/>
  <c r="AI71" i="26"/>
  <c r="AB71" i="26"/>
  <c r="U71" i="26"/>
  <c r="N71" i="26"/>
  <c r="AI70" i="26"/>
  <c r="AB70" i="26"/>
  <c r="U70" i="26"/>
  <c r="N70" i="26"/>
  <c r="AI69" i="26"/>
  <c r="AB69" i="26"/>
  <c r="U69" i="26"/>
  <c r="N69" i="26"/>
  <c r="AI68" i="26"/>
  <c r="AB68" i="26"/>
  <c r="U68" i="26"/>
  <c r="N68" i="26"/>
  <c r="AI67" i="26"/>
  <c r="AB67" i="26"/>
  <c r="U67" i="26"/>
  <c r="N67" i="26"/>
  <c r="AI56" i="26"/>
  <c r="AB56" i="26"/>
  <c r="U56" i="26"/>
  <c r="N56" i="26"/>
  <c r="AI55" i="26"/>
  <c r="AB55" i="26"/>
  <c r="U55" i="26"/>
  <c r="N55" i="26"/>
  <c r="AI54" i="26"/>
  <c r="AB54" i="26"/>
  <c r="U54" i="26"/>
  <c r="N54" i="26"/>
  <c r="AI53" i="26"/>
  <c r="AB53" i="26"/>
  <c r="U53" i="26"/>
  <c r="N53" i="26"/>
  <c r="AI52" i="26"/>
  <c r="AB52" i="26"/>
  <c r="U52" i="26"/>
  <c r="N52" i="26"/>
  <c r="AI51" i="26"/>
  <c r="AB51" i="26"/>
  <c r="U51" i="26"/>
  <c r="N51" i="26"/>
  <c r="AI50" i="26"/>
  <c r="AB50" i="26"/>
  <c r="U50" i="26"/>
  <c r="N50" i="26"/>
  <c r="AI49" i="26"/>
  <c r="AB49" i="26"/>
  <c r="U49" i="26"/>
  <c r="N49" i="26"/>
  <c r="AI48" i="26"/>
  <c r="AB48" i="26"/>
  <c r="U48" i="26"/>
  <c r="N48" i="26"/>
  <c r="AI47" i="26"/>
  <c r="AB47" i="26"/>
  <c r="U47" i="26"/>
  <c r="N47" i="26"/>
  <c r="AI46" i="26"/>
  <c r="AB46" i="26"/>
  <c r="U46" i="26"/>
  <c r="N46" i="26"/>
  <c r="AI45" i="26"/>
  <c r="AB45" i="26"/>
  <c r="U45" i="26"/>
  <c r="N45" i="26"/>
  <c r="AI44" i="26"/>
  <c r="AB44" i="26"/>
  <c r="U44" i="26"/>
  <c r="N44" i="26"/>
  <c r="AI43" i="26"/>
  <c r="AB43" i="26"/>
  <c r="U43" i="26"/>
  <c r="N43" i="26"/>
  <c r="AI42" i="26"/>
  <c r="AB42" i="26"/>
  <c r="U42" i="26"/>
  <c r="N42" i="26"/>
  <c r="AI41" i="26"/>
  <c r="AB41" i="26"/>
  <c r="U41" i="26"/>
  <c r="N41" i="26"/>
  <c r="AI40" i="26"/>
  <c r="AB40" i="26"/>
  <c r="U40" i="26"/>
  <c r="N40" i="26"/>
  <c r="AI39" i="26"/>
  <c r="AB39" i="26"/>
  <c r="U39" i="26"/>
  <c r="N39" i="26"/>
  <c r="AI38" i="26"/>
  <c r="AB38" i="26"/>
  <c r="U38" i="26"/>
  <c r="N38" i="26"/>
  <c r="AI37" i="26"/>
  <c r="AB37" i="26"/>
  <c r="U37" i="26"/>
  <c r="N37" i="26"/>
  <c r="AI36" i="26"/>
  <c r="AB36" i="26"/>
  <c r="U36" i="26"/>
  <c r="N36" i="26"/>
  <c r="AI35" i="26"/>
  <c r="AB35" i="26"/>
  <c r="U35" i="26"/>
  <c r="N35" i="26"/>
  <c r="AI34" i="26"/>
  <c r="AB34" i="26"/>
  <c r="U34" i="26"/>
  <c r="N34" i="26"/>
  <c r="AI33" i="26"/>
  <c r="AB33" i="26"/>
  <c r="U33" i="26"/>
  <c r="N33" i="26"/>
  <c r="AI32" i="26"/>
  <c r="AB32" i="26"/>
  <c r="U32" i="26"/>
  <c r="N32" i="26"/>
  <c r="AI31" i="26"/>
  <c r="AB31" i="26"/>
  <c r="U31" i="26"/>
  <c r="N31" i="26"/>
  <c r="AI30" i="26"/>
  <c r="AB30" i="26"/>
  <c r="U30" i="26"/>
  <c r="N30" i="26"/>
  <c r="AI29" i="26"/>
  <c r="AB29" i="26"/>
  <c r="U29" i="26"/>
  <c r="N29" i="26"/>
  <c r="AI28" i="26"/>
  <c r="AB28" i="26"/>
  <c r="U28" i="26"/>
  <c r="N28" i="26"/>
  <c r="AI27" i="26"/>
  <c r="AB27" i="26"/>
  <c r="U27" i="26"/>
  <c r="N27" i="26"/>
  <c r="AI26" i="26"/>
  <c r="AB26" i="26"/>
  <c r="U26" i="26"/>
  <c r="N26" i="26"/>
  <c r="AI25" i="26"/>
  <c r="AB25" i="26"/>
  <c r="U25" i="26"/>
  <c r="N25" i="26"/>
  <c r="AI24" i="26"/>
  <c r="AB24" i="26"/>
  <c r="U24" i="26"/>
  <c r="N24" i="26"/>
  <c r="AI23" i="26"/>
  <c r="AB23" i="26"/>
  <c r="U23" i="26"/>
  <c r="N23" i="26"/>
  <c r="AI22" i="26"/>
  <c r="AB22" i="26"/>
  <c r="U22" i="26"/>
  <c r="N22" i="26"/>
  <c r="AI21" i="26"/>
  <c r="AB21" i="26"/>
  <c r="U21" i="26"/>
  <c r="N21" i="26"/>
  <c r="AI20" i="26"/>
  <c r="AB20" i="26"/>
  <c r="U20" i="26"/>
  <c r="N20" i="26"/>
  <c r="AI19" i="26"/>
  <c r="AB19" i="26"/>
  <c r="U19" i="26"/>
  <c r="N19" i="26"/>
  <c r="AI18" i="26"/>
  <c r="AB18" i="26"/>
  <c r="U18" i="26"/>
  <c r="N18" i="26"/>
  <c r="AI17" i="26"/>
  <c r="AB17" i="26"/>
  <c r="U17" i="26"/>
  <c r="N17" i="26"/>
  <c r="AI16" i="26"/>
  <c r="AB16" i="26"/>
  <c r="U16" i="26"/>
  <c r="N16" i="26"/>
  <c r="AI15" i="26"/>
  <c r="AB15" i="26"/>
  <c r="U15" i="26"/>
  <c r="N15" i="26"/>
  <c r="AI14" i="26"/>
  <c r="AB14" i="26"/>
  <c r="U14" i="26"/>
  <c r="N14" i="26"/>
  <c r="AI13" i="26"/>
  <c r="AB13" i="26"/>
  <c r="U13" i="26"/>
  <c r="N13" i="26"/>
  <c r="AI12" i="26"/>
  <c r="AB12" i="26"/>
  <c r="U12" i="26"/>
  <c r="N12" i="26"/>
  <c r="AI11" i="26"/>
  <c r="AB11" i="26"/>
  <c r="U11" i="26"/>
  <c r="N11" i="26"/>
  <c r="AI10" i="26"/>
  <c r="AB10" i="26"/>
  <c r="U10" i="26"/>
  <c r="N10" i="26"/>
  <c r="AI9" i="26"/>
  <c r="AB9" i="26"/>
  <c r="U9" i="26"/>
  <c r="N9" i="26"/>
  <c r="AI8" i="26"/>
  <c r="AB8" i="26"/>
  <c r="U8" i="26"/>
  <c r="N8" i="26"/>
  <c r="AI7" i="26"/>
  <c r="AB7" i="26"/>
  <c r="U7" i="26"/>
  <c r="N7" i="26"/>
  <c r="A99" i="9" a="1"/>
  <c r="A99" i="9" s="1"/>
  <c r="D5" i="4"/>
  <c r="D36" i="4" a="1"/>
  <c r="D36" i="4" s="1"/>
  <c r="AZ74" i="22"/>
  <c r="AY74" i="22"/>
  <c r="AZ73" i="22"/>
  <c r="AY73" i="22"/>
  <c r="AZ72" i="22"/>
  <c r="AY72" i="22"/>
  <c r="AZ71" i="22"/>
  <c r="AY71" i="22"/>
  <c r="AZ70" i="22"/>
  <c r="AY70" i="22"/>
  <c r="AZ69" i="22"/>
  <c r="AY69" i="22"/>
  <c r="AZ68" i="22"/>
  <c r="AY68" i="22"/>
  <c r="AZ67" i="22"/>
  <c r="AY67" i="22"/>
  <c r="AZ66" i="22"/>
  <c r="AY66" i="22"/>
  <c r="AZ65" i="22"/>
  <c r="AY65" i="22"/>
  <c r="AZ64" i="22"/>
  <c r="AY64" i="22"/>
  <c r="AZ63" i="22"/>
  <c r="AY63" i="22"/>
  <c r="AZ62" i="22"/>
  <c r="AY62" i="22"/>
  <c r="AZ61" i="22"/>
  <c r="AY61" i="22"/>
  <c r="AZ60" i="22"/>
  <c r="AY60" i="22"/>
  <c r="AZ59" i="22"/>
  <c r="AY59" i="22"/>
  <c r="AZ58" i="22"/>
  <c r="AY58" i="22"/>
  <c r="AZ57" i="22"/>
  <c r="AY57" i="22"/>
  <c r="AZ56" i="22"/>
  <c r="AY56" i="22"/>
  <c r="AZ55" i="22"/>
  <c r="AY55" i="22"/>
  <c r="AZ54" i="22"/>
  <c r="AY54" i="22"/>
  <c r="AZ53" i="22"/>
  <c r="AY53" i="22"/>
  <c r="AZ52" i="22"/>
  <c r="AY52" i="22"/>
  <c r="AZ51" i="22"/>
  <c r="AY51" i="22"/>
  <c r="AZ50" i="22"/>
  <c r="AY50" i="22"/>
  <c r="AZ49" i="22"/>
  <c r="AY49" i="22"/>
  <c r="AZ48" i="22"/>
  <c r="AY48" i="22"/>
  <c r="AZ47" i="22"/>
  <c r="AY47" i="22"/>
  <c r="AZ46" i="22"/>
  <c r="AY46" i="22"/>
  <c r="AZ45" i="22"/>
  <c r="AY45" i="22"/>
  <c r="AY7" i="22"/>
  <c r="AZ7" i="22"/>
  <c r="AY8" i="22"/>
  <c r="AZ8" i="22"/>
  <c r="AY9" i="22"/>
  <c r="AZ9" i="22"/>
  <c r="AY10" i="22"/>
  <c r="AZ10" i="22"/>
  <c r="AY11" i="22"/>
  <c r="AZ11" i="22"/>
  <c r="AY12" i="22"/>
  <c r="AZ12" i="22"/>
  <c r="AY13" i="22"/>
  <c r="AZ13" i="22"/>
  <c r="AY14" i="22"/>
  <c r="AZ14" i="22"/>
  <c r="AY15" i="22"/>
  <c r="AZ15" i="22"/>
  <c r="AY16" i="22"/>
  <c r="AZ16" i="22"/>
  <c r="AY17" i="22"/>
  <c r="AZ17" i="22"/>
  <c r="AY18" i="22"/>
  <c r="AZ18" i="22"/>
  <c r="AY19" i="22"/>
  <c r="AZ19" i="22"/>
  <c r="AY20" i="22"/>
  <c r="AZ20" i="22"/>
  <c r="AY21" i="22"/>
  <c r="AZ21" i="22"/>
  <c r="AY22" i="22"/>
  <c r="AZ22" i="22"/>
  <c r="AY23" i="22"/>
  <c r="AZ23" i="22"/>
  <c r="AY24" i="22"/>
  <c r="AZ24" i="22"/>
  <c r="AY25" i="22"/>
  <c r="AZ25" i="22"/>
  <c r="AY26" i="22"/>
  <c r="AZ26" i="22"/>
  <c r="AY27" i="22"/>
  <c r="AZ27" i="22"/>
  <c r="AY28" i="22"/>
  <c r="AZ28" i="22"/>
  <c r="AY29" i="22"/>
  <c r="AZ29" i="22"/>
  <c r="AY30" i="22"/>
  <c r="AZ30" i="22"/>
  <c r="AY31" i="22"/>
  <c r="AZ31" i="22"/>
  <c r="AY32" i="22"/>
  <c r="AZ32" i="22"/>
  <c r="AY33" i="22"/>
  <c r="AZ33" i="22"/>
  <c r="AY34" i="22"/>
  <c r="AZ34" i="22"/>
  <c r="BA114" i="14"/>
  <c r="AZ114" i="14"/>
  <c r="BA113" i="14"/>
  <c r="AZ113" i="14"/>
  <c r="BA112" i="14"/>
  <c r="AZ112" i="14"/>
  <c r="BA111" i="14"/>
  <c r="AZ111" i="14"/>
  <c r="BA110" i="14"/>
  <c r="AZ110" i="14"/>
  <c r="BA109" i="14"/>
  <c r="AZ109" i="14"/>
  <c r="BA108" i="14"/>
  <c r="AZ108" i="14"/>
  <c r="BA107" i="14"/>
  <c r="AZ107" i="14"/>
  <c r="BA106" i="14"/>
  <c r="AZ106" i="14"/>
  <c r="BA105" i="14"/>
  <c r="AZ105" i="14"/>
  <c r="BA104" i="14"/>
  <c r="AZ104" i="14"/>
  <c r="BA103" i="14"/>
  <c r="AZ103" i="14"/>
  <c r="BA102" i="14"/>
  <c r="AZ102" i="14"/>
  <c r="BA101" i="14"/>
  <c r="AZ101" i="14"/>
  <c r="BA100" i="14"/>
  <c r="AZ100" i="14"/>
  <c r="BA99" i="14"/>
  <c r="AZ99" i="14"/>
  <c r="BA98" i="14"/>
  <c r="AZ98" i="14"/>
  <c r="BA97" i="14"/>
  <c r="AZ97" i="14"/>
  <c r="BA96" i="14"/>
  <c r="AZ96" i="14"/>
  <c r="BA95" i="14"/>
  <c r="AZ95" i="14"/>
  <c r="BA94" i="14"/>
  <c r="AZ94" i="14"/>
  <c r="BA93" i="14"/>
  <c r="AZ93" i="14"/>
  <c r="BA92" i="14"/>
  <c r="AZ92" i="14"/>
  <c r="BA91" i="14"/>
  <c r="AZ91" i="14"/>
  <c r="BA90" i="14"/>
  <c r="AZ90" i="14"/>
  <c r="BA89" i="14"/>
  <c r="AZ89" i="14"/>
  <c r="BA88" i="14"/>
  <c r="AZ88" i="14"/>
  <c r="BA87" i="14"/>
  <c r="AZ87" i="14"/>
  <c r="BA86" i="14"/>
  <c r="AZ86" i="14"/>
  <c r="BA85" i="14"/>
  <c r="AZ85" i="14"/>
  <c r="BA84" i="14"/>
  <c r="AZ84" i="14"/>
  <c r="BA83" i="14"/>
  <c r="AZ83" i="14"/>
  <c r="BA82" i="14"/>
  <c r="AZ82" i="14"/>
  <c r="BA81" i="14"/>
  <c r="AZ81" i="14"/>
  <c r="BA80" i="14"/>
  <c r="AZ80" i="14"/>
  <c r="BA79" i="14"/>
  <c r="AZ79" i="14"/>
  <c r="BA78" i="14"/>
  <c r="AZ78" i="14"/>
  <c r="BA77" i="14"/>
  <c r="AZ77" i="14"/>
  <c r="BA76" i="14"/>
  <c r="AZ76" i="14"/>
  <c r="BA75" i="14"/>
  <c r="AZ75" i="14"/>
  <c r="BA74" i="14"/>
  <c r="AZ74" i="14"/>
  <c r="BA73" i="14"/>
  <c r="AZ73" i="14"/>
  <c r="BA72" i="14"/>
  <c r="AZ72" i="14"/>
  <c r="BA71" i="14"/>
  <c r="AZ71" i="14"/>
  <c r="BA70" i="14"/>
  <c r="AZ70" i="14"/>
  <c r="BA69" i="14"/>
  <c r="AZ69" i="14"/>
  <c r="BA68" i="14"/>
  <c r="AZ68" i="14"/>
  <c r="BA67" i="14"/>
  <c r="AZ67" i="14"/>
  <c r="BA66" i="14"/>
  <c r="AZ66" i="14"/>
  <c r="BA65" i="14"/>
  <c r="AZ65" i="14"/>
  <c r="AZ6" i="14"/>
  <c r="BA6" i="14"/>
  <c r="AZ7" i="14"/>
  <c r="BA7" i="14"/>
  <c r="AZ8" i="14"/>
  <c r="BA8" i="14"/>
  <c r="AZ9" i="14"/>
  <c r="BA9" i="14"/>
  <c r="AZ10" i="14"/>
  <c r="BA10" i="14"/>
  <c r="AZ11" i="14"/>
  <c r="BA11" i="14"/>
  <c r="AZ12" i="14"/>
  <c r="BA12" i="14"/>
  <c r="AZ13" i="14"/>
  <c r="BA13" i="14"/>
  <c r="AZ14" i="14"/>
  <c r="BA14" i="14"/>
  <c r="AZ15" i="14"/>
  <c r="BA15" i="14"/>
  <c r="AZ16" i="14"/>
  <c r="BA16" i="14"/>
  <c r="AZ17" i="14"/>
  <c r="BA17" i="14"/>
  <c r="AZ18" i="14"/>
  <c r="BA18" i="14"/>
  <c r="AZ19" i="14"/>
  <c r="BA19" i="14"/>
  <c r="AZ20" i="14"/>
  <c r="BA20" i="14"/>
  <c r="AZ21" i="14"/>
  <c r="BA21" i="14"/>
  <c r="AZ22" i="14"/>
  <c r="BA22" i="14"/>
  <c r="AZ23" i="14"/>
  <c r="BA23" i="14"/>
  <c r="AZ24" i="14"/>
  <c r="BA24" i="14"/>
  <c r="AZ25" i="14"/>
  <c r="BA25" i="14"/>
  <c r="AZ26" i="14"/>
  <c r="BA26" i="14"/>
  <c r="AZ27" i="14"/>
  <c r="BA27" i="14"/>
  <c r="AZ28" i="14"/>
  <c r="BA28" i="14"/>
  <c r="AZ29" i="14"/>
  <c r="BA29" i="14"/>
  <c r="AZ30" i="14"/>
  <c r="BA30" i="14"/>
  <c r="AZ31" i="14"/>
  <c r="BA31" i="14"/>
  <c r="AZ32" i="14"/>
  <c r="BA32" i="14"/>
  <c r="AZ33" i="14"/>
  <c r="BA33" i="14"/>
  <c r="AZ34" i="14"/>
  <c r="BA34" i="14"/>
  <c r="AZ35" i="14"/>
  <c r="BA35" i="14"/>
  <c r="AZ36" i="14"/>
  <c r="BA36" i="14"/>
  <c r="AZ37" i="14"/>
  <c r="BA37" i="14"/>
  <c r="AZ38" i="14"/>
  <c r="BA38" i="14"/>
  <c r="AZ39" i="14"/>
  <c r="BA39" i="14"/>
  <c r="AZ40" i="14"/>
  <c r="BA40" i="14"/>
  <c r="AZ41" i="14"/>
  <c r="BA41" i="14"/>
  <c r="AZ42" i="14"/>
  <c r="BA42" i="14"/>
  <c r="AZ43" i="14"/>
  <c r="BA43" i="14"/>
  <c r="AZ44" i="14"/>
  <c r="BA44" i="14"/>
  <c r="AZ45" i="14"/>
  <c r="BA45" i="14"/>
  <c r="AZ46" i="14"/>
  <c r="BA46" i="14"/>
  <c r="AZ47" i="14"/>
  <c r="BA47" i="14"/>
  <c r="AZ48" i="14"/>
  <c r="BA48" i="14"/>
  <c r="AZ49" i="14"/>
  <c r="BA49" i="14"/>
  <c r="AZ50" i="14"/>
  <c r="BA50" i="14"/>
  <c r="AZ51" i="14"/>
  <c r="BA51" i="14"/>
  <c r="AZ52" i="14"/>
  <c r="BA52" i="14"/>
  <c r="AZ53" i="14"/>
  <c r="BA53" i="14"/>
  <c r="AZ54" i="14"/>
  <c r="BA54" i="14"/>
  <c r="BA114" i="12"/>
  <c r="AZ114" i="12"/>
  <c r="BA113" i="12"/>
  <c r="AZ113" i="12"/>
  <c r="BA112" i="12"/>
  <c r="AZ112" i="12"/>
  <c r="BA111" i="12"/>
  <c r="AZ111" i="12"/>
  <c r="BA110" i="12"/>
  <c r="AZ110" i="12"/>
  <c r="BA109" i="12"/>
  <c r="AZ109" i="12"/>
  <c r="BA108" i="12"/>
  <c r="AZ108" i="12"/>
  <c r="BA107" i="12"/>
  <c r="AZ107" i="12"/>
  <c r="BA106" i="12"/>
  <c r="AZ106" i="12"/>
  <c r="BA105" i="12"/>
  <c r="AZ105" i="12"/>
  <c r="BA104" i="12"/>
  <c r="AZ104" i="12"/>
  <c r="BA103" i="12"/>
  <c r="AZ103" i="12"/>
  <c r="BA102" i="12"/>
  <c r="AZ102" i="12"/>
  <c r="BA101" i="12"/>
  <c r="AZ101" i="12"/>
  <c r="BA100" i="12"/>
  <c r="AZ100" i="12"/>
  <c r="BA99" i="12"/>
  <c r="AZ99" i="12"/>
  <c r="BA98" i="12"/>
  <c r="AZ98" i="12"/>
  <c r="BA97" i="12"/>
  <c r="AZ97" i="12"/>
  <c r="BA96" i="12"/>
  <c r="AZ96" i="12"/>
  <c r="BA95" i="12"/>
  <c r="AZ95" i="12"/>
  <c r="BA94" i="12"/>
  <c r="AZ94" i="12"/>
  <c r="BA93" i="12"/>
  <c r="AZ93" i="12"/>
  <c r="BA92" i="12"/>
  <c r="AZ92" i="12"/>
  <c r="BA91" i="12"/>
  <c r="AZ91" i="12"/>
  <c r="BA90" i="12"/>
  <c r="AZ90" i="12"/>
  <c r="BA89" i="12"/>
  <c r="AZ89" i="12"/>
  <c r="BA88" i="12"/>
  <c r="AZ88" i="12"/>
  <c r="BA87" i="12"/>
  <c r="AZ87" i="12"/>
  <c r="BA86" i="12"/>
  <c r="AZ86" i="12"/>
  <c r="BA85" i="12"/>
  <c r="AZ85" i="12"/>
  <c r="BA84" i="12"/>
  <c r="AZ84" i="12"/>
  <c r="BA83" i="12"/>
  <c r="AZ83" i="12"/>
  <c r="BA82" i="12"/>
  <c r="AZ82" i="12"/>
  <c r="BA81" i="12"/>
  <c r="AZ81" i="12"/>
  <c r="BA80" i="12"/>
  <c r="AZ80" i="12"/>
  <c r="BA79" i="12"/>
  <c r="AZ79" i="12"/>
  <c r="BA78" i="12"/>
  <c r="AZ78" i="12"/>
  <c r="BA77" i="12"/>
  <c r="AZ77" i="12"/>
  <c r="BA76" i="12"/>
  <c r="AZ76" i="12"/>
  <c r="BA75" i="12"/>
  <c r="AZ75" i="12"/>
  <c r="BA74" i="12"/>
  <c r="AZ74" i="12"/>
  <c r="BA73" i="12"/>
  <c r="AZ73" i="12"/>
  <c r="BA72" i="12"/>
  <c r="AZ72" i="12"/>
  <c r="BA71" i="12"/>
  <c r="AZ71" i="12"/>
  <c r="BA70" i="12"/>
  <c r="AZ70" i="12"/>
  <c r="BA69" i="12"/>
  <c r="AZ69" i="12"/>
  <c r="BA68" i="12"/>
  <c r="AZ68" i="12"/>
  <c r="BA67" i="12"/>
  <c r="AZ67" i="12"/>
  <c r="BA66" i="12"/>
  <c r="AZ66" i="12"/>
  <c r="BA65" i="12"/>
  <c r="AZ65" i="12"/>
  <c r="AZ6" i="12"/>
  <c r="BA6" i="12"/>
  <c r="AZ7" i="12"/>
  <c r="BA7" i="12"/>
  <c r="AZ8" i="12"/>
  <c r="BA8" i="12"/>
  <c r="AZ9" i="12"/>
  <c r="BA9" i="12"/>
  <c r="AZ10" i="12"/>
  <c r="BA10" i="12"/>
  <c r="AZ11" i="12"/>
  <c r="BA11" i="12"/>
  <c r="AZ12" i="12"/>
  <c r="BA12" i="12"/>
  <c r="AZ13" i="12"/>
  <c r="BA13" i="12"/>
  <c r="AZ14" i="12"/>
  <c r="BA14" i="12"/>
  <c r="AZ15" i="12"/>
  <c r="BA15" i="12"/>
  <c r="AZ16" i="12"/>
  <c r="BA16" i="12"/>
  <c r="AZ17" i="12"/>
  <c r="BA17" i="12"/>
  <c r="AZ18" i="12"/>
  <c r="BA18" i="12"/>
  <c r="AZ19" i="12"/>
  <c r="BA19" i="12"/>
  <c r="AZ20" i="12"/>
  <c r="BA20" i="12"/>
  <c r="AZ21" i="12"/>
  <c r="BA21" i="12"/>
  <c r="AZ22" i="12"/>
  <c r="BA22" i="12"/>
  <c r="AZ23" i="12"/>
  <c r="BA23" i="12"/>
  <c r="AZ24" i="12"/>
  <c r="BA24" i="12"/>
  <c r="AZ25" i="12"/>
  <c r="BA25" i="12"/>
  <c r="AZ26" i="12"/>
  <c r="BA26" i="12"/>
  <c r="AZ27" i="12"/>
  <c r="BA27" i="12"/>
  <c r="AZ28" i="12"/>
  <c r="BA28" i="12"/>
  <c r="AZ29" i="12"/>
  <c r="BA29" i="12"/>
  <c r="AZ30" i="12"/>
  <c r="BA30" i="12"/>
  <c r="AZ31" i="12"/>
  <c r="BA31" i="12"/>
  <c r="AZ32" i="12"/>
  <c r="BA32" i="12"/>
  <c r="AZ33" i="12"/>
  <c r="BA33" i="12"/>
  <c r="AZ34" i="12"/>
  <c r="BA34" i="12"/>
  <c r="AZ35" i="12"/>
  <c r="BA35" i="12"/>
  <c r="AZ36" i="12"/>
  <c r="BA36" i="12"/>
  <c r="AZ37" i="12"/>
  <c r="BA37" i="12"/>
  <c r="AZ38" i="12"/>
  <c r="BA38" i="12"/>
  <c r="AZ39" i="12"/>
  <c r="BA39" i="12"/>
  <c r="AZ40" i="12"/>
  <c r="BA40" i="12"/>
  <c r="AZ41" i="12"/>
  <c r="BA41" i="12"/>
  <c r="AZ42" i="12"/>
  <c r="BA42" i="12"/>
  <c r="AZ43" i="12"/>
  <c r="BA43" i="12"/>
  <c r="AZ44" i="12"/>
  <c r="BA44" i="12"/>
  <c r="AZ45" i="12"/>
  <c r="BA45" i="12"/>
  <c r="AZ46" i="12"/>
  <c r="BA46" i="12"/>
  <c r="AZ47" i="12"/>
  <c r="BA47" i="12"/>
  <c r="AZ48" i="12"/>
  <c r="BA48" i="12"/>
  <c r="AZ49" i="12"/>
  <c r="BA49" i="12"/>
  <c r="AZ50" i="12"/>
  <c r="BA50" i="12"/>
  <c r="AZ51" i="12"/>
  <c r="BA51" i="12"/>
  <c r="AZ52" i="12"/>
  <c r="BA52" i="12"/>
  <c r="AZ53" i="12"/>
  <c r="BA53" i="12"/>
  <c r="AZ54" i="12"/>
  <c r="BA54" i="12"/>
  <c r="N351" i="11" l="1"/>
  <c r="N352" i="11"/>
  <c r="N353" i="11"/>
  <c r="N354" i="11"/>
  <c r="N355" i="11"/>
  <c r="N356" i="11"/>
  <c r="N357" i="11"/>
  <c r="N358" i="11"/>
  <c r="N359" i="11"/>
  <c r="N360" i="11"/>
  <c r="N361" i="11"/>
  <c r="N362" i="11"/>
  <c r="N363" i="11"/>
  <c r="N364" i="11"/>
  <c r="N365" i="11"/>
  <c r="N366" i="11"/>
  <c r="N367" i="11"/>
  <c r="N368" i="11"/>
  <c r="N369" i="11"/>
  <c r="N370" i="11"/>
  <c r="N371" i="11"/>
  <c r="N372" i="11"/>
  <c r="N373" i="11"/>
  <c r="N374" i="11"/>
  <c r="N375" i="11"/>
  <c r="N376" i="11"/>
  <c r="N377" i="11"/>
  <c r="N378" i="11"/>
  <c r="N350" i="11"/>
  <c r="N322" i="11"/>
  <c r="N323" i="11"/>
  <c r="N324" i="11"/>
  <c r="N325" i="11"/>
  <c r="N326" i="11"/>
  <c r="N327" i="11"/>
  <c r="N328" i="11"/>
  <c r="N329" i="11"/>
  <c r="N330" i="11"/>
  <c r="N331" i="11"/>
  <c r="N332" i="11"/>
  <c r="N333" i="11"/>
  <c r="N334" i="11"/>
  <c r="N335" i="11"/>
  <c r="N336" i="11"/>
  <c r="N337" i="11"/>
  <c r="N338" i="11"/>
  <c r="N339" i="11"/>
  <c r="N340" i="11"/>
  <c r="N341" i="11"/>
  <c r="N342" i="11"/>
  <c r="N343" i="11"/>
  <c r="N344" i="11"/>
  <c r="N345" i="11"/>
  <c r="N346" i="11"/>
  <c r="N347" i="11"/>
  <c r="N348" i="11"/>
  <c r="N349" i="11"/>
  <c r="I579" i="11"/>
  <c r="K579" i="11"/>
  <c r="I776" i="11"/>
  <c r="K776" i="11"/>
  <c r="I777" i="11"/>
  <c r="K777" i="11"/>
  <c r="I778" i="11"/>
  <c r="K778" i="11"/>
  <c r="I779" i="11"/>
  <c r="K779" i="11"/>
  <c r="I731" i="11"/>
  <c r="K731" i="11"/>
  <c r="I732" i="11"/>
  <c r="K732" i="11"/>
  <c r="I733" i="11"/>
  <c r="K733" i="11"/>
  <c r="I734" i="11"/>
  <c r="K734" i="11"/>
  <c r="I735" i="11"/>
  <c r="K735" i="11"/>
  <c r="I736" i="11"/>
  <c r="K736" i="11"/>
  <c r="I737" i="11"/>
  <c r="K737" i="11"/>
  <c r="I738" i="11"/>
  <c r="K738" i="11"/>
  <c r="I739" i="11"/>
  <c r="K739" i="11"/>
  <c r="I740" i="11"/>
  <c r="K740" i="11"/>
  <c r="I741" i="11"/>
  <c r="K741" i="11"/>
  <c r="I742" i="11"/>
  <c r="K742" i="11"/>
  <c r="I743" i="11"/>
  <c r="K743" i="11"/>
  <c r="I744" i="11"/>
  <c r="K744" i="11"/>
  <c r="I745" i="11"/>
  <c r="K745" i="11"/>
  <c r="I746" i="11"/>
  <c r="K746" i="11"/>
  <c r="I747" i="11"/>
  <c r="K747" i="11"/>
  <c r="I748" i="11"/>
  <c r="K748" i="11"/>
  <c r="I749" i="11"/>
  <c r="K749" i="11"/>
  <c r="I750" i="11"/>
  <c r="K750" i="11"/>
  <c r="I751" i="11"/>
  <c r="K751" i="11"/>
  <c r="I752" i="11"/>
  <c r="K752" i="11"/>
  <c r="I753" i="11"/>
  <c r="K753" i="11"/>
  <c r="I754" i="11"/>
  <c r="K754" i="11"/>
  <c r="I755" i="11"/>
  <c r="K755" i="11"/>
  <c r="I756" i="11"/>
  <c r="K756" i="11"/>
  <c r="I757" i="11"/>
  <c r="K757" i="11"/>
  <c r="I758" i="11"/>
  <c r="K758" i="11"/>
  <c r="I759" i="11"/>
  <c r="K759" i="11"/>
  <c r="I760" i="11"/>
  <c r="K760" i="11"/>
  <c r="I761" i="11"/>
  <c r="K761" i="11"/>
  <c r="I762" i="11"/>
  <c r="K762" i="11"/>
  <c r="I763" i="11"/>
  <c r="K763" i="11"/>
  <c r="I764" i="11"/>
  <c r="K764" i="11"/>
  <c r="I765" i="11"/>
  <c r="K765" i="11"/>
  <c r="I766" i="11"/>
  <c r="K766" i="11"/>
  <c r="I767" i="11"/>
  <c r="K767" i="11"/>
  <c r="I768" i="11"/>
  <c r="K768" i="11"/>
  <c r="I769" i="11"/>
  <c r="K769" i="11"/>
  <c r="I770" i="11"/>
  <c r="K770" i="11"/>
  <c r="I771" i="11"/>
  <c r="K771" i="11"/>
  <c r="I772" i="11"/>
  <c r="K772" i="11"/>
  <c r="I773" i="11"/>
  <c r="K773" i="11"/>
  <c r="I774" i="11"/>
  <c r="K774" i="11"/>
  <c r="I775" i="11"/>
  <c r="K775" i="11"/>
  <c r="K730" i="11"/>
  <c r="I730" i="11"/>
  <c r="I725" i="11"/>
  <c r="K725" i="11"/>
  <c r="I726" i="11"/>
  <c r="K726" i="11"/>
  <c r="I727" i="11"/>
  <c r="K727" i="11"/>
  <c r="I728" i="11"/>
  <c r="K728" i="11"/>
  <c r="I729" i="11"/>
  <c r="K729" i="11"/>
  <c r="I681" i="11"/>
  <c r="K681" i="11"/>
  <c r="I682" i="11"/>
  <c r="K682" i="11"/>
  <c r="I683" i="11"/>
  <c r="K683" i="11"/>
  <c r="I684" i="11"/>
  <c r="K684" i="11"/>
  <c r="I685" i="11"/>
  <c r="K685" i="11"/>
  <c r="I686" i="11"/>
  <c r="K686" i="11"/>
  <c r="I687" i="11"/>
  <c r="K687" i="11"/>
  <c r="I688" i="11"/>
  <c r="K688" i="11"/>
  <c r="I689" i="11"/>
  <c r="K689" i="11"/>
  <c r="I690" i="11"/>
  <c r="K690" i="11"/>
  <c r="I691" i="11"/>
  <c r="K691" i="11"/>
  <c r="I692" i="11"/>
  <c r="K692" i="11"/>
  <c r="I693" i="11"/>
  <c r="K693" i="11"/>
  <c r="I694" i="11"/>
  <c r="K694" i="11"/>
  <c r="I695" i="11"/>
  <c r="K695" i="11"/>
  <c r="I696" i="11"/>
  <c r="K696" i="11"/>
  <c r="I697" i="11"/>
  <c r="K697" i="11"/>
  <c r="I698" i="11"/>
  <c r="K698" i="11"/>
  <c r="I699" i="11"/>
  <c r="K699" i="11"/>
  <c r="I700" i="11"/>
  <c r="K700" i="11"/>
  <c r="I701" i="11"/>
  <c r="K701" i="11"/>
  <c r="I702" i="11"/>
  <c r="K702" i="11"/>
  <c r="I703" i="11"/>
  <c r="K703" i="11"/>
  <c r="I704" i="11"/>
  <c r="K704" i="11"/>
  <c r="I705" i="11"/>
  <c r="K705" i="11"/>
  <c r="I706" i="11"/>
  <c r="K706" i="11"/>
  <c r="I707" i="11"/>
  <c r="K707" i="11"/>
  <c r="I708" i="11"/>
  <c r="K708" i="11"/>
  <c r="I709" i="11"/>
  <c r="K709" i="11"/>
  <c r="I710" i="11"/>
  <c r="K710" i="11"/>
  <c r="I711" i="11"/>
  <c r="K711" i="11"/>
  <c r="I712" i="11"/>
  <c r="K712" i="11"/>
  <c r="I713" i="11"/>
  <c r="K713" i="11"/>
  <c r="I714" i="11"/>
  <c r="K714" i="11"/>
  <c r="I715" i="11"/>
  <c r="K715" i="11"/>
  <c r="I716" i="11"/>
  <c r="K716" i="11"/>
  <c r="I717" i="11"/>
  <c r="K717" i="11"/>
  <c r="I718" i="11"/>
  <c r="K718" i="11"/>
  <c r="I719" i="11"/>
  <c r="K719" i="11"/>
  <c r="I720" i="11"/>
  <c r="K720" i="11"/>
  <c r="I721" i="11"/>
  <c r="K721" i="11"/>
  <c r="I722" i="11"/>
  <c r="K722" i="11"/>
  <c r="I723" i="11"/>
  <c r="K723" i="11"/>
  <c r="I724" i="11"/>
  <c r="K724" i="11"/>
  <c r="K680" i="11"/>
  <c r="I680" i="11"/>
  <c r="I677" i="11"/>
  <c r="K677" i="11"/>
  <c r="I678" i="11"/>
  <c r="K678" i="11"/>
  <c r="I679" i="11"/>
  <c r="K679" i="11"/>
  <c r="I631" i="11"/>
  <c r="K631" i="11"/>
  <c r="I632" i="11"/>
  <c r="K632" i="11"/>
  <c r="I633" i="11"/>
  <c r="K633" i="11"/>
  <c r="I634" i="11"/>
  <c r="K634" i="11"/>
  <c r="I635" i="11"/>
  <c r="K635" i="11"/>
  <c r="I636" i="11"/>
  <c r="K636" i="11"/>
  <c r="I637" i="11"/>
  <c r="K637" i="11"/>
  <c r="I638" i="11"/>
  <c r="K638" i="11"/>
  <c r="I639" i="11"/>
  <c r="K639" i="11"/>
  <c r="I640" i="11"/>
  <c r="K640" i="11"/>
  <c r="I641" i="11"/>
  <c r="K641" i="11"/>
  <c r="I642" i="11"/>
  <c r="K642" i="11"/>
  <c r="I643" i="11"/>
  <c r="K643" i="11"/>
  <c r="I644" i="11"/>
  <c r="K644" i="11"/>
  <c r="I645" i="11"/>
  <c r="K645" i="11"/>
  <c r="I646" i="11"/>
  <c r="K646" i="11"/>
  <c r="I647" i="11"/>
  <c r="K647" i="11"/>
  <c r="I648" i="11"/>
  <c r="K648" i="11"/>
  <c r="I649" i="11"/>
  <c r="K649" i="11"/>
  <c r="I650" i="11"/>
  <c r="K650" i="11"/>
  <c r="I651" i="11"/>
  <c r="K651" i="11"/>
  <c r="I652" i="11"/>
  <c r="K652" i="11"/>
  <c r="I653" i="11"/>
  <c r="K653" i="11"/>
  <c r="I654" i="11"/>
  <c r="K654" i="11"/>
  <c r="I655" i="11"/>
  <c r="K655" i="11"/>
  <c r="I656" i="11"/>
  <c r="K656" i="11"/>
  <c r="I657" i="11"/>
  <c r="K657" i="11"/>
  <c r="I658" i="11"/>
  <c r="K658" i="11"/>
  <c r="I659" i="11"/>
  <c r="K659" i="11"/>
  <c r="I660" i="11"/>
  <c r="K660" i="11"/>
  <c r="I661" i="11"/>
  <c r="K661" i="11"/>
  <c r="I662" i="11"/>
  <c r="K662" i="11"/>
  <c r="I663" i="11"/>
  <c r="K663" i="11"/>
  <c r="I664" i="11"/>
  <c r="K664" i="11"/>
  <c r="I665" i="11"/>
  <c r="K665" i="11"/>
  <c r="I666" i="11"/>
  <c r="K666" i="11"/>
  <c r="I667" i="11"/>
  <c r="K667" i="11"/>
  <c r="I668" i="11"/>
  <c r="K668" i="11"/>
  <c r="I669" i="11"/>
  <c r="K669" i="11"/>
  <c r="I670" i="11"/>
  <c r="K670" i="11"/>
  <c r="I671" i="11"/>
  <c r="K671" i="11"/>
  <c r="I672" i="11"/>
  <c r="K672" i="11"/>
  <c r="I673" i="11"/>
  <c r="K673" i="11"/>
  <c r="I674" i="11"/>
  <c r="K674" i="11"/>
  <c r="I675" i="11"/>
  <c r="K675" i="11"/>
  <c r="I676" i="11"/>
  <c r="K676" i="11"/>
  <c r="K630" i="11"/>
  <c r="I630" i="11"/>
  <c r="I628" i="11"/>
  <c r="K628" i="11"/>
  <c r="I629" i="11"/>
  <c r="K629" i="11"/>
  <c r="I581" i="11"/>
  <c r="K581" i="11"/>
  <c r="I582" i="11"/>
  <c r="K582" i="11"/>
  <c r="I583" i="11"/>
  <c r="K583" i="11"/>
  <c r="I584" i="11"/>
  <c r="K584" i="11"/>
  <c r="I585" i="11"/>
  <c r="K585" i="11"/>
  <c r="I586" i="11"/>
  <c r="K586" i="11"/>
  <c r="I587" i="11"/>
  <c r="K587" i="11"/>
  <c r="I588" i="11"/>
  <c r="K588" i="11"/>
  <c r="I589" i="11"/>
  <c r="K589" i="11"/>
  <c r="I590" i="11"/>
  <c r="K590" i="11"/>
  <c r="I591" i="11"/>
  <c r="K591" i="11"/>
  <c r="I592" i="11"/>
  <c r="K592" i="11"/>
  <c r="I593" i="11"/>
  <c r="K593" i="11"/>
  <c r="I594" i="11"/>
  <c r="K594" i="11"/>
  <c r="I595" i="11"/>
  <c r="K595" i="11"/>
  <c r="I596" i="11"/>
  <c r="K596" i="11"/>
  <c r="I597" i="11"/>
  <c r="K597" i="11"/>
  <c r="I598" i="11"/>
  <c r="K598" i="11"/>
  <c r="I599" i="11"/>
  <c r="K599" i="11"/>
  <c r="I600" i="11"/>
  <c r="K600" i="11"/>
  <c r="I601" i="11"/>
  <c r="K601" i="11"/>
  <c r="I602" i="11"/>
  <c r="K602" i="11"/>
  <c r="I603" i="11"/>
  <c r="K603" i="11"/>
  <c r="I604" i="11"/>
  <c r="K604" i="11"/>
  <c r="I605" i="11"/>
  <c r="K605" i="11"/>
  <c r="I606" i="11"/>
  <c r="K606" i="11"/>
  <c r="I607" i="11"/>
  <c r="K607" i="11"/>
  <c r="I608" i="11"/>
  <c r="K608" i="11"/>
  <c r="I609" i="11"/>
  <c r="K609" i="11"/>
  <c r="I610" i="11"/>
  <c r="K610" i="11"/>
  <c r="I611" i="11"/>
  <c r="K611" i="11"/>
  <c r="I612" i="11"/>
  <c r="K612" i="11"/>
  <c r="I613" i="11"/>
  <c r="K613" i="11"/>
  <c r="I614" i="11"/>
  <c r="K614" i="11"/>
  <c r="I615" i="11"/>
  <c r="K615" i="11"/>
  <c r="I616" i="11"/>
  <c r="K616" i="11"/>
  <c r="I617" i="11"/>
  <c r="K617" i="11"/>
  <c r="I618" i="11"/>
  <c r="K618" i="11"/>
  <c r="I619" i="11"/>
  <c r="K619" i="11"/>
  <c r="I620" i="11"/>
  <c r="K620" i="11"/>
  <c r="I621" i="11"/>
  <c r="K621" i="11"/>
  <c r="I622" i="11"/>
  <c r="K622" i="11"/>
  <c r="I623" i="11"/>
  <c r="K623" i="11"/>
  <c r="I624" i="11"/>
  <c r="K624" i="11"/>
  <c r="I625" i="11"/>
  <c r="K625" i="11"/>
  <c r="I626" i="11"/>
  <c r="K626" i="11"/>
  <c r="I627" i="11"/>
  <c r="K627" i="11"/>
  <c r="K580" i="11"/>
  <c r="I580" i="11"/>
  <c r="I578" i="11"/>
  <c r="K578" i="11"/>
  <c r="I531" i="11"/>
  <c r="K531" i="11"/>
  <c r="I532" i="11"/>
  <c r="K532" i="11"/>
  <c r="I533" i="11"/>
  <c r="K533" i="11"/>
  <c r="I534" i="11"/>
  <c r="K534" i="11"/>
  <c r="I535" i="11"/>
  <c r="K535" i="11"/>
  <c r="I536" i="11"/>
  <c r="K536" i="11"/>
  <c r="I537" i="11"/>
  <c r="K537" i="11"/>
  <c r="I538" i="11"/>
  <c r="K538" i="11"/>
  <c r="I539" i="11"/>
  <c r="K539" i="11"/>
  <c r="I540" i="11"/>
  <c r="K540" i="11"/>
  <c r="I541" i="11"/>
  <c r="K541" i="11"/>
  <c r="I542" i="11"/>
  <c r="K542" i="11"/>
  <c r="I543" i="11"/>
  <c r="K543" i="11"/>
  <c r="I544" i="11"/>
  <c r="K544" i="11"/>
  <c r="I545" i="11"/>
  <c r="K545" i="11"/>
  <c r="I546" i="11"/>
  <c r="K546" i="11"/>
  <c r="I547" i="11"/>
  <c r="K547" i="11"/>
  <c r="I548" i="11"/>
  <c r="K548" i="11"/>
  <c r="I549" i="11"/>
  <c r="K549" i="11"/>
  <c r="I550" i="11"/>
  <c r="K550" i="11"/>
  <c r="I551" i="11"/>
  <c r="K551" i="11"/>
  <c r="I552" i="11"/>
  <c r="K552" i="11"/>
  <c r="I553" i="11"/>
  <c r="K553" i="11"/>
  <c r="I554" i="11"/>
  <c r="K554" i="11"/>
  <c r="I555" i="11"/>
  <c r="K555" i="11"/>
  <c r="I556" i="11"/>
  <c r="K556" i="11"/>
  <c r="I557" i="11"/>
  <c r="K557" i="11"/>
  <c r="I558" i="11"/>
  <c r="K558" i="11"/>
  <c r="I559" i="11"/>
  <c r="K559" i="11"/>
  <c r="I560" i="11"/>
  <c r="K560" i="11"/>
  <c r="I561" i="11"/>
  <c r="K561" i="11"/>
  <c r="I562" i="11"/>
  <c r="K562" i="11"/>
  <c r="I563" i="11"/>
  <c r="K563" i="11"/>
  <c r="I564" i="11"/>
  <c r="K564" i="11"/>
  <c r="I565" i="11"/>
  <c r="K565" i="11"/>
  <c r="I566" i="11"/>
  <c r="K566" i="11"/>
  <c r="I567" i="11"/>
  <c r="K567" i="11"/>
  <c r="I568" i="11"/>
  <c r="K568" i="11"/>
  <c r="I569" i="11"/>
  <c r="K569" i="11"/>
  <c r="I570" i="11"/>
  <c r="K570" i="11"/>
  <c r="I571" i="11"/>
  <c r="K571" i="11"/>
  <c r="I572" i="11"/>
  <c r="K572" i="11"/>
  <c r="I573" i="11"/>
  <c r="K573" i="11"/>
  <c r="I574" i="11"/>
  <c r="K574" i="11"/>
  <c r="I575" i="11"/>
  <c r="K575" i="11"/>
  <c r="I576" i="11"/>
  <c r="K576" i="11"/>
  <c r="I577" i="11"/>
  <c r="K577" i="11"/>
  <c r="K530" i="11"/>
  <c r="I530" i="11"/>
  <c r="I528" i="11"/>
  <c r="K528" i="11"/>
  <c r="I529" i="11"/>
  <c r="K529" i="11"/>
  <c r="I518" i="11"/>
  <c r="K518" i="11"/>
  <c r="I519" i="11"/>
  <c r="K519" i="11"/>
  <c r="I520" i="11"/>
  <c r="K520" i="11"/>
  <c r="I521" i="11"/>
  <c r="K521" i="11"/>
  <c r="I522" i="11"/>
  <c r="K522" i="11"/>
  <c r="I523" i="11"/>
  <c r="K523" i="11"/>
  <c r="I524" i="11"/>
  <c r="K524" i="11"/>
  <c r="I525" i="11"/>
  <c r="K525" i="11"/>
  <c r="I526" i="11"/>
  <c r="K526" i="11"/>
  <c r="I527" i="11"/>
  <c r="K527" i="11"/>
  <c r="I481" i="11"/>
  <c r="K481" i="11"/>
  <c r="I482" i="11"/>
  <c r="K482" i="11"/>
  <c r="I483" i="11"/>
  <c r="K483" i="11"/>
  <c r="I484" i="11"/>
  <c r="K484" i="11"/>
  <c r="I485" i="11"/>
  <c r="K485" i="11"/>
  <c r="I486" i="11"/>
  <c r="K486" i="11"/>
  <c r="I487" i="11"/>
  <c r="K487" i="11"/>
  <c r="I488" i="11"/>
  <c r="K488" i="11"/>
  <c r="I489" i="11"/>
  <c r="K489" i="11"/>
  <c r="I490" i="11"/>
  <c r="K490" i="11"/>
  <c r="I491" i="11"/>
  <c r="K491" i="11"/>
  <c r="I492" i="11"/>
  <c r="K492" i="11"/>
  <c r="I493" i="11"/>
  <c r="K493" i="11"/>
  <c r="I494" i="11"/>
  <c r="K494" i="11"/>
  <c r="I495" i="11"/>
  <c r="K495" i="11"/>
  <c r="I496" i="11"/>
  <c r="K496" i="11"/>
  <c r="I497" i="11"/>
  <c r="K497" i="11"/>
  <c r="I498" i="11"/>
  <c r="K498" i="11"/>
  <c r="I499" i="11"/>
  <c r="K499" i="11"/>
  <c r="I500" i="11"/>
  <c r="K500" i="11"/>
  <c r="I501" i="11"/>
  <c r="K501" i="11"/>
  <c r="I502" i="11"/>
  <c r="K502" i="11"/>
  <c r="I503" i="11"/>
  <c r="K503" i="11"/>
  <c r="I504" i="11"/>
  <c r="K504" i="11"/>
  <c r="I505" i="11"/>
  <c r="K505" i="11"/>
  <c r="I506" i="11"/>
  <c r="K506" i="11"/>
  <c r="I507" i="11"/>
  <c r="K507" i="11"/>
  <c r="I508" i="11"/>
  <c r="K508" i="11"/>
  <c r="I509" i="11"/>
  <c r="K509" i="11"/>
  <c r="I510" i="11"/>
  <c r="K510" i="11"/>
  <c r="I511" i="11"/>
  <c r="K511" i="11"/>
  <c r="I512" i="11"/>
  <c r="K512" i="11"/>
  <c r="I513" i="11"/>
  <c r="K513" i="11"/>
  <c r="I514" i="11"/>
  <c r="K514" i="11"/>
  <c r="I515" i="11"/>
  <c r="K515" i="11"/>
  <c r="I516" i="11"/>
  <c r="K516" i="11"/>
  <c r="I517" i="11"/>
  <c r="K517" i="11"/>
  <c r="I480" i="11"/>
  <c r="K480" i="11"/>
  <c r="I476" i="11"/>
  <c r="K476" i="11"/>
  <c r="I477" i="11"/>
  <c r="K477" i="11"/>
  <c r="I478" i="11"/>
  <c r="K478" i="11"/>
  <c r="I479" i="11"/>
  <c r="K479" i="11"/>
  <c r="I463" i="11"/>
  <c r="K463" i="11"/>
  <c r="I464" i="11"/>
  <c r="K464" i="11"/>
  <c r="I465" i="11"/>
  <c r="K465" i="11"/>
  <c r="I466" i="11"/>
  <c r="K466" i="11"/>
  <c r="I467" i="11"/>
  <c r="K467" i="11"/>
  <c r="I468" i="11"/>
  <c r="K468" i="11"/>
  <c r="I469" i="11"/>
  <c r="K469" i="11"/>
  <c r="I470" i="11"/>
  <c r="K470" i="11"/>
  <c r="I471" i="11"/>
  <c r="K471" i="11"/>
  <c r="I472" i="11"/>
  <c r="K472" i="11"/>
  <c r="I473" i="11"/>
  <c r="K473" i="11"/>
  <c r="I474" i="11"/>
  <c r="K474" i="11"/>
  <c r="I475" i="11"/>
  <c r="K475" i="11"/>
  <c r="I431" i="11"/>
  <c r="K431" i="11"/>
  <c r="I432" i="11"/>
  <c r="K432" i="11"/>
  <c r="I433" i="11"/>
  <c r="K433" i="11"/>
  <c r="I434" i="11"/>
  <c r="K434" i="11"/>
  <c r="I435" i="11"/>
  <c r="K435" i="11"/>
  <c r="I436" i="11"/>
  <c r="K436" i="11"/>
  <c r="I437" i="11"/>
  <c r="K437" i="11"/>
  <c r="I438" i="11"/>
  <c r="K438" i="11"/>
  <c r="I439" i="11"/>
  <c r="K439" i="11"/>
  <c r="I440" i="11"/>
  <c r="K440" i="11"/>
  <c r="I441" i="11"/>
  <c r="K441" i="11"/>
  <c r="I442" i="11"/>
  <c r="K442" i="11"/>
  <c r="I443" i="11"/>
  <c r="K443" i="11"/>
  <c r="I444" i="11"/>
  <c r="K444" i="11"/>
  <c r="I445" i="11"/>
  <c r="K445" i="11"/>
  <c r="I446" i="11"/>
  <c r="K446" i="11"/>
  <c r="I447" i="11"/>
  <c r="K447" i="11"/>
  <c r="I448" i="11"/>
  <c r="K448" i="11"/>
  <c r="I449" i="11"/>
  <c r="K449" i="11"/>
  <c r="I450" i="11"/>
  <c r="K450" i="11"/>
  <c r="I451" i="11"/>
  <c r="K451" i="11"/>
  <c r="I452" i="11"/>
  <c r="K452" i="11"/>
  <c r="I453" i="11"/>
  <c r="K453" i="11"/>
  <c r="I454" i="11"/>
  <c r="K454" i="11"/>
  <c r="I455" i="11"/>
  <c r="K455" i="11"/>
  <c r="I456" i="11"/>
  <c r="K456" i="11"/>
  <c r="I457" i="11"/>
  <c r="K457" i="11"/>
  <c r="I458" i="11"/>
  <c r="K458" i="11"/>
  <c r="I459" i="11"/>
  <c r="K459" i="11"/>
  <c r="I460" i="11"/>
  <c r="K460" i="11"/>
  <c r="I461" i="11"/>
  <c r="K461" i="11"/>
  <c r="I462" i="11"/>
  <c r="K462" i="11"/>
  <c r="K430" i="11"/>
  <c r="I430" i="11"/>
  <c r="I381" i="11"/>
  <c r="K381" i="11"/>
  <c r="I382" i="11"/>
  <c r="K382" i="11"/>
  <c r="I383" i="11"/>
  <c r="K383" i="11"/>
  <c r="I384" i="11"/>
  <c r="K384" i="11"/>
  <c r="I385" i="11"/>
  <c r="K385" i="11"/>
  <c r="I386" i="11"/>
  <c r="K386" i="11"/>
  <c r="I387" i="11"/>
  <c r="K387" i="11"/>
  <c r="I388" i="11"/>
  <c r="K388" i="11"/>
  <c r="I389" i="11"/>
  <c r="K389" i="11"/>
  <c r="I390" i="11"/>
  <c r="K390" i="11"/>
  <c r="I391" i="11"/>
  <c r="K391" i="11"/>
  <c r="I392" i="11"/>
  <c r="K392" i="11"/>
  <c r="I393" i="11"/>
  <c r="K393" i="11"/>
  <c r="I394" i="11"/>
  <c r="K394" i="11"/>
  <c r="I395" i="11"/>
  <c r="K395" i="11"/>
  <c r="I396" i="11"/>
  <c r="K396" i="11"/>
  <c r="I397" i="11"/>
  <c r="K397" i="11"/>
  <c r="I398" i="11"/>
  <c r="K398" i="11"/>
  <c r="I399" i="11"/>
  <c r="K399" i="11"/>
  <c r="I400" i="11"/>
  <c r="K400" i="11"/>
  <c r="I401" i="11"/>
  <c r="K401" i="11"/>
  <c r="I402" i="11"/>
  <c r="K402" i="11"/>
  <c r="I403" i="11"/>
  <c r="K403" i="11"/>
  <c r="I404" i="11"/>
  <c r="K404" i="11"/>
  <c r="I405" i="11"/>
  <c r="K405" i="11"/>
  <c r="I406" i="11"/>
  <c r="K406" i="11"/>
  <c r="I407" i="11"/>
  <c r="K407" i="11"/>
  <c r="I408" i="11"/>
  <c r="K408" i="11"/>
  <c r="I409" i="11"/>
  <c r="K409" i="11"/>
  <c r="I410" i="11"/>
  <c r="K410" i="11"/>
  <c r="I411" i="11"/>
  <c r="K411" i="11"/>
  <c r="I412" i="11"/>
  <c r="K412" i="11"/>
  <c r="I413" i="11"/>
  <c r="K413" i="11"/>
  <c r="I414" i="11"/>
  <c r="K414" i="11"/>
  <c r="I415" i="11"/>
  <c r="K415" i="11"/>
  <c r="I416" i="11"/>
  <c r="K416" i="11"/>
  <c r="I417" i="11"/>
  <c r="K417" i="11"/>
  <c r="I418" i="11"/>
  <c r="K418" i="11"/>
  <c r="I419" i="11"/>
  <c r="K419" i="11"/>
  <c r="I420" i="11"/>
  <c r="K420" i="11"/>
  <c r="I421" i="11"/>
  <c r="K421" i="11"/>
  <c r="I422" i="11"/>
  <c r="K422" i="11"/>
  <c r="I423" i="11"/>
  <c r="K423" i="11"/>
  <c r="I424" i="11"/>
  <c r="K424" i="11"/>
  <c r="I425" i="11"/>
  <c r="K425" i="11"/>
  <c r="I426" i="11"/>
  <c r="K426" i="11"/>
  <c r="I427" i="11"/>
  <c r="K427" i="11"/>
  <c r="I428" i="11"/>
  <c r="K428" i="11"/>
  <c r="I429" i="11"/>
  <c r="K429" i="11"/>
  <c r="I380" i="11"/>
  <c r="K380" i="11"/>
  <c r="I351" i="11"/>
  <c r="K351" i="11"/>
  <c r="I352" i="11"/>
  <c r="K352" i="11"/>
  <c r="I353" i="11"/>
  <c r="K353" i="11"/>
  <c r="I354" i="11"/>
  <c r="K354" i="11"/>
  <c r="I355" i="11"/>
  <c r="K355" i="11"/>
  <c r="I356" i="11"/>
  <c r="K356" i="11"/>
  <c r="I357" i="11"/>
  <c r="K357" i="11"/>
  <c r="I358" i="11"/>
  <c r="K358" i="11"/>
  <c r="I359" i="11"/>
  <c r="K359" i="11"/>
  <c r="I360" i="11"/>
  <c r="K360" i="11"/>
  <c r="I361" i="11"/>
  <c r="K361" i="11"/>
  <c r="I362" i="11"/>
  <c r="K362" i="11"/>
  <c r="I363" i="11"/>
  <c r="K363" i="11"/>
  <c r="I364" i="11"/>
  <c r="K364" i="11"/>
  <c r="I365" i="11"/>
  <c r="K365" i="11"/>
  <c r="I366" i="11"/>
  <c r="K366" i="11"/>
  <c r="I367" i="11"/>
  <c r="K367" i="11"/>
  <c r="I368" i="11"/>
  <c r="K368" i="11"/>
  <c r="I369" i="11"/>
  <c r="K369" i="11"/>
  <c r="I370" i="11"/>
  <c r="K370" i="11"/>
  <c r="I371" i="11"/>
  <c r="K371" i="11"/>
  <c r="I372" i="11"/>
  <c r="K372" i="11"/>
  <c r="I373" i="11"/>
  <c r="K373" i="11"/>
  <c r="I374" i="11"/>
  <c r="K374" i="11"/>
  <c r="I375" i="11"/>
  <c r="K375" i="11"/>
  <c r="I376" i="11"/>
  <c r="K376" i="11"/>
  <c r="I377" i="11"/>
  <c r="K377" i="11"/>
  <c r="I378" i="11"/>
  <c r="K378" i="11"/>
  <c r="I379" i="11"/>
  <c r="K379" i="11"/>
  <c r="I350" i="11"/>
  <c r="K350" i="11"/>
  <c r="I347" i="11"/>
  <c r="K347" i="11"/>
  <c r="I348" i="11"/>
  <c r="K348" i="11"/>
  <c r="I349" i="11"/>
  <c r="K349" i="11"/>
  <c r="I321" i="11"/>
  <c r="K321" i="11"/>
  <c r="I322" i="11"/>
  <c r="K322" i="11"/>
  <c r="I323" i="11"/>
  <c r="K323" i="11"/>
  <c r="I324" i="11"/>
  <c r="K324" i="11"/>
  <c r="I325" i="11"/>
  <c r="K325" i="11"/>
  <c r="I326" i="11"/>
  <c r="K326" i="11"/>
  <c r="I327" i="11"/>
  <c r="K327" i="11"/>
  <c r="I328" i="11"/>
  <c r="K328" i="11"/>
  <c r="I329" i="11"/>
  <c r="K329" i="11"/>
  <c r="I330" i="11"/>
  <c r="K330" i="11"/>
  <c r="I331" i="11"/>
  <c r="K331" i="11"/>
  <c r="I332" i="11"/>
  <c r="K332" i="11"/>
  <c r="I333" i="11"/>
  <c r="K333" i="11"/>
  <c r="I334" i="11"/>
  <c r="K334" i="11"/>
  <c r="I335" i="11"/>
  <c r="K335" i="11"/>
  <c r="I336" i="11"/>
  <c r="K336" i="11"/>
  <c r="I337" i="11"/>
  <c r="K337" i="11"/>
  <c r="I338" i="11"/>
  <c r="K338" i="11"/>
  <c r="I339" i="11"/>
  <c r="K339" i="11"/>
  <c r="I340" i="11"/>
  <c r="K340" i="11"/>
  <c r="I341" i="11"/>
  <c r="K341" i="11"/>
  <c r="I342" i="11"/>
  <c r="K342" i="11"/>
  <c r="I343" i="11"/>
  <c r="K343" i="11"/>
  <c r="I344" i="11"/>
  <c r="K344" i="11"/>
  <c r="I345" i="11"/>
  <c r="K345" i="11"/>
  <c r="I346" i="11"/>
  <c r="K346" i="11"/>
  <c r="I320" i="11"/>
  <c r="K320" i="11"/>
  <c r="I317" i="11"/>
  <c r="K317" i="11"/>
  <c r="I318" i="11"/>
  <c r="K318" i="11"/>
  <c r="I319" i="11"/>
  <c r="K319" i="11"/>
  <c r="I310" i="11"/>
  <c r="K310" i="11"/>
  <c r="I311" i="11"/>
  <c r="K311" i="11"/>
  <c r="I312" i="11"/>
  <c r="K312" i="11"/>
  <c r="I313" i="11"/>
  <c r="K313" i="11"/>
  <c r="I314" i="11"/>
  <c r="K314" i="11"/>
  <c r="I315" i="11"/>
  <c r="K315" i="11"/>
  <c r="I316" i="11"/>
  <c r="K316" i="11"/>
  <c r="I305" i="11"/>
  <c r="K305" i="11"/>
  <c r="I306" i="11"/>
  <c r="K306" i="11"/>
  <c r="I307" i="11"/>
  <c r="K307" i="11"/>
  <c r="I308" i="11"/>
  <c r="K308" i="11"/>
  <c r="I309" i="11"/>
  <c r="K309" i="11"/>
  <c r="I271" i="11"/>
  <c r="K271" i="11"/>
  <c r="I272" i="11"/>
  <c r="K272" i="11"/>
  <c r="I273" i="11"/>
  <c r="K273" i="11"/>
  <c r="I274" i="11"/>
  <c r="K274" i="11"/>
  <c r="I275" i="11"/>
  <c r="K275" i="11"/>
  <c r="I276" i="11"/>
  <c r="K276" i="11"/>
  <c r="I277" i="11"/>
  <c r="K277" i="11"/>
  <c r="I278" i="11"/>
  <c r="K278" i="11"/>
  <c r="I279" i="11"/>
  <c r="K279" i="11"/>
  <c r="I280" i="11"/>
  <c r="K280" i="11"/>
  <c r="I281" i="11"/>
  <c r="K281" i="11"/>
  <c r="I282" i="11"/>
  <c r="K282" i="11"/>
  <c r="I283" i="11"/>
  <c r="K283" i="11"/>
  <c r="I284" i="11"/>
  <c r="K284" i="11"/>
  <c r="I285" i="11"/>
  <c r="K285" i="11"/>
  <c r="I286" i="11"/>
  <c r="K286" i="11"/>
  <c r="I287" i="11"/>
  <c r="K287" i="11"/>
  <c r="I288" i="11"/>
  <c r="K288" i="11"/>
  <c r="I289" i="11"/>
  <c r="K289" i="11"/>
  <c r="I290" i="11"/>
  <c r="K290" i="11"/>
  <c r="I291" i="11"/>
  <c r="K291" i="11"/>
  <c r="I292" i="11"/>
  <c r="K292" i="11"/>
  <c r="I293" i="11"/>
  <c r="K293" i="11"/>
  <c r="I294" i="11"/>
  <c r="K294" i="11"/>
  <c r="I295" i="11"/>
  <c r="K295" i="11"/>
  <c r="I296" i="11"/>
  <c r="K296" i="11"/>
  <c r="I297" i="11"/>
  <c r="K297" i="11"/>
  <c r="I298" i="11"/>
  <c r="K298" i="11"/>
  <c r="I299" i="11"/>
  <c r="K299" i="11"/>
  <c r="I300" i="11"/>
  <c r="K300" i="11"/>
  <c r="I301" i="11"/>
  <c r="K301" i="11"/>
  <c r="I302" i="11"/>
  <c r="K302" i="11"/>
  <c r="I303" i="11"/>
  <c r="K303" i="11"/>
  <c r="I304" i="11"/>
  <c r="K304" i="11"/>
  <c r="I270" i="11"/>
  <c r="K270" i="11"/>
  <c r="I221" i="11"/>
  <c r="K221" i="11"/>
  <c r="I222" i="11"/>
  <c r="K222" i="11"/>
  <c r="I223" i="11"/>
  <c r="K223" i="11"/>
  <c r="I224" i="11"/>
  <c r="K224" i="11"/>
  <c r="I225" i="11"/>
  <c r="K225" i="11"/>
  <c r="I226" i="11"/>
  <c r="K226" i="11"/>
  <c r="I227" i="11"/>
  <c r="K227" i="11"/>
  <c r="I228" i="11"/>
  <c r="K228" i="11"/>
  <c r="I229" i="11"/>
  <c r="K229" i="11"/>
  <c r="I230" i="11"/>
  <c r="K230" i="11"/>
  <c r="I231" i="11"/>
  <c r="K231" i="11"/>
  <c r="I232" i="11"/>
  <c r="K232" i="11"/>
  <c r="I233" i="11"/>
  <c r="K233" i="11"/>
  <c r="I234" i="11"/>
  <c r="K234" i="11"/>
  <c r="I235" i="11"/>
  <c r="K235" i="11"/>
  <c r="I236" i="11"/>
  <c r="K236" i="11"/>
  <c r="I237" i="11"/>
  <c r="K237" i="11"/>
  <c r="I238" i="11"/>
  <c r="K238" i="11"/>
  <c r="I239" i="11"/>
  <c r="K239" i="11"/>
  <c r="I240" i="11"/>
  <c r="K240" i="11"/>
  <c r="I241" i="11"/>
  <c r="K241" i="11"/>
  <c r="I242" i="11"/>
  <c r="K242" i="11"/>
  <c r="I243" i="11"/>
  <c r="K243" i="11"/>
  <c r="I244" i="11"/>
  <c r="K244" i="11"/>
  <c r="I245" i="11"/>
  <c r="K245" i="11"/>
  <c r="I246" i="11"/>
  <c r="K246" i="11"/>
  <c r="I247" i="11"/>
  <c r="K247" i="11"/>
  <c r="I248" i="11"/>
  <c r="K248" i="11"/>
  <c r="I249" i="11"/>
  <c r="K249" i="11"/>
  <c r="I250" i="11"/>
  <c r="K250" i="11"/>
  <c r="I251" i="11"/>
  <c r="K251" i="11"/>
  <c r="I252" i="11"/>
  <c r="K252" i="11"/>
  <c r="I253" i="11"/>
  <c r="K253" i="11"/>
  <c r="I254" i="11"/>
  <c r="K254" i="11"/>
  <c r="I255" i="11"/>
  <c r="K255" i="11"/>
  <c r="I256" i="11"/>
  <c r="K256" i="11"/>
  <c r="I257" i="11"/>
  <c r="K257" i="11"/>
  <c r="I258" i="11"/>
  <c r="K258" i="11"/>
  <c r="I259" i="11"/>
  <c r="K259" i="11"/>
  <c r="I260" i="11"/>
  <c r="K260" i="11"/>
  <c r="I261" i="11"/>
  <c r="K261" i="11"/>
  <c r="I262" i="11"/>
  <c r="K262" i="11"/>
  <c r="I263" i="11"/>
  <c r="K263" i="11"/>
  <c r="I264" i="11"/>
  <c r="K264" i="11"/>
  <c r="I265" i="11"/>
  <c r="K265" i="11"/>
  <c r="I266" i="11"/>
  <c r="K266" i="11"/>
  <c r="I267" i="11"/>
  <c r="K267" i="11"/>
  <c r="I268" i="11"/>
  <c r="K268" i="11"/>
  <c r="I269" i="11"/>
  <c r="K269" i="11"/>
  <c r="I220" i="11"/>
  <c r="K220" i="11"/>
  <c r="I171" i="11"/>
  <c r="K171" i="11"/>
  <c r="I172" i="11"/>
  <c r="K172" i="11"/>
  <c r="I173" i="11"/>
  <c r="K173" i="11"/>
  <c r="I174" i="11"/>
  <c r="K174" i="11"/>
  <c r="I175" i="11"/>
  <c r="K175" i="11"/>
  <c r="I176" i="11"/>
  <c r="K176" i="11"/>
  <c r="I177" i="11"/>
  <c r="K177" i="11"/>
  <c r="I178" i="11"/>
  <c r="K178" i="11"/>
  <c r="I179" i="11"/>
  <c r="K179" i="11"/>
  <c r="I180" i="11"/>
  <c r="K180" i="11"/>
  <c r="I181" i="11"/>
  <c r="K181" i="11"/>
  <c r="I182" i="11"/>
  <c r="K182" i="11"/>
  <c r="I183" i="11"/>
  <c r="K183" i="11"/>
  <c r="I184" i="11"/>
  <c r="K184" i="11"/>
  <c r="I185" i="11"/>
  <c r="K185" i="11"/>
  <c r="I186" i="11"/>
  <c r="K186" i="11"/>
  <c r="I187" i="11"/>
  <c r="K187" i="11"/>
  <c r="I188" i="11"/>
  <c r="K188" i="11"/>
  <c r="I189" i="11"/>
  <c r="K189" i="11"/>
  <c r="I190" i="11"/>
  <c r="K190" i="11"/>
  <c r="I191" i="11"/>
  <c r="K191" i="11"/>
  <c r="I192" i="11"/>
  <c r="K192" i="11"/>
  <c r="I193" i="11"/>
  <c r="K193" i="11"/>
  <c r="I194" i="11"/>
  <c r="K194" i="11"/>
  <c r="I195" i="11"/>
  <c r="K195" i="11"/>
  <c r="I196" i="11"/>
  <c r="K196" i="11"/>
  <c r="I197" i="11"/>
  <c r="K197" i="11"/>
  <c r="I198" i="11"/>
  <c r="K198" i="11"/>
  <c r="I199" i="11"/>
  <c r="K199" i="11"/>
  <c r="I200" i="11"/>
  <c r="K200" i="11"/>
  <c r="I201" i="11"/>
  <c r="K201" i="11"/>
  <c r="I202" i="11"/>
  <c r="K202" i="11"/>
  <c r="I203" i="11"/>
  <c r="K203" i="11"/>
  <c r="I204" i="11"/>
  <c r="K204" i="11"/>
  <c r="I205" i="11"/>
  <c r="K205" i="11"/>
  <c r="I206" i="11"/>
  <c r="K206" i="11"/>
  <c r="I207" i="11"/>
  <c r="K207" i="11"/>
  <c r="I208" i="11"/>
  <c r="K208" i="11"/>
  <c r="I209" i="11"/>
  <c r="K209" i="11"/>
  <c r="I210" i="11"/>
  <c r="K210" i="11"/>
  <c r="I211" i="11"/>
  <c r="K211" i="11"/>
  <c r="I212" i="11"/>
  <c r="K212" i="11"/>
  <c r="I213" i="11"/>
  <c r="K213" i="11"/>
  <c r="I214" i="11"/>
  <c r="K214" i="11"/>
  <c r="I215" i="11"/>
  <c r="K215" i="11"/>
  <c r="I216" i="11"/>
  <c r="K216" i="11"/>
  <c r="I217" i="11"/>
  <c r="K217" i="11"/>
  <c r="I218" i="11"/>
  <c r="K218" i="11"/>
  <c r="I219" i="11"/>
  <c r="K219" i="11"/>
  <c r="K170" i="11"/>
  <c r="I17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20" i="11"/>
  <c r="I91" i="11"/>
  <c r="K91" i="11"/>
  <c r="I92" i="11"/>
  <c r="K92" i="11"/>
  <c r="I93" i="11"/>
  <c r="K93" i="11"/>
  <c r="I94" i="11"/>
  <c r="K94" i="11"/>
  <c r="I95" i="11"/>
  <c r="K95" i="11"/>
  <c r="I96" i="11"/>
  <c r="K96" i="11"/>
  <c r="I97" i="11"/>
  <c r="K97" i="11"/>
  <c r="I98" i="11"/>
  <c r="K98" i="11"/>
  <c r="I99" i="11"/>
  <c r="K99" i="11"/>
  <c r="I100" i="11"/>
  <c r="K100" i="11"/>
  <c r="I101" i="11"/>
  <c r="K101" i="11"/>
  <c r="I102" i="11"/>
  <c r="K102" i="11"/>
  <c r="I103" i="11"/>
  <c r="K103" i="11"/>
  <c r="I104" i="11"/>
  <c r="K104" i="11"/>
  <c r="I105" i="11"/>
  <c r="K105" i="11"/>
  <c r="I106" i="11"/>
  <c r="K106" i="11"/>
  <c r="I107" i="11"/>
  <c r="K107" i="11"/>
  <c r="I108" i="11"/>
  <c r="K108" i="11"/>
  <c r="I109" i="11"/>
  <c r="K109" i="11"/>
  <c r="I110" i="11"/>
  <c r="K110" i="11"/>
  <c r="I111" i="11"/>
  <c r="K111" i="11"/>
  <c r="I112" i="11"/>
  <c r="K112" i="11"/>
  <c r="I113" i="11"/>
  <c r="K113" i="11"/>
  <c r="I114" i="11"/>
  <c r="K114" i="11"/>
  <c r="I115" i="11"/>
  <c r="K115" i="11"/>
  <c r="I116" i="11"/>
  <c r="K116" i="11"/>
  <c r="I117" i="11"/>
  <c r="K117" i="11"/>
  <c r="I118" i="11"/>
  <c r="K118" i="11"/>
  <c r="I119" i="11"/>
  <c r="K119" i="11"/>
  <c r="K35" i="11"/>
  <c r="K9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60" i="11"/>
  <c r="I90" i="11"/>
  <c r="I88" i="11"/>
  <c r="I89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60" i="11"/>
  <c r="C439" i="19"/>
  <c r="C440" i="19"/>
  <c r="C441" i="19"/>
  <c r="C442" i="19"/>
  <c r="C443" i="19"/>
  <c r="C444" i="19"/>
  <c r="C445" i="19"/>
  <c r="C446" i="19"/>
  <c r="C447" i="19"/>
  <c r="C448" i="19"/>
  <c r="C449" i="19"/>
  <c r="C450" i="19"/>
  <c r="C451" i="19"/>
  <c r="C452" i="19"/>
  <c r="C453" i="19"/>
  <c r="C454" i="19"/>
  <c r="C455" i="19"/>
  <c r="C456" i="19"/>
  <c r="C457" i="19"/>
  <c r="C458" i="19"/>
  <c r="C459" i="19"/>
  <c r="C460" i="19"/>
  <c r="C461" i="19"/>
  <c r="C462" i="19"/>
  <c r="C463" i="19"/>
  <c r="C464" i="19"/>
  <c r="C465" i="19"/>
  <c r="C466" i="19"/>
  <c r="C467" i="19"/>
  <c r="C468" i="19"/>
  <c r="C469" i="19"/>
  <c r="C470" i="19"/>
  <c r="C471" i="19"/>
  <c r="C472" i="19"/>
  <c r="C473" i="19"/>
  <c r="C474" i="19"/>
  <c r="C475" i="19"/>
  <c r="C476" i="19"/>
  <c r="C477" i="19"/>
  <c r="C478" i="19"/>
  <c r="C479" i="19"/>
  <c r="C480" i="19"/>
  <c r="C481" i="19"/>
  <c r="C482" i="19"/>
  <c r="C483" i="19"/>
  <c r="C484" i="19"/>
  <c r="C485" i="19"/>
  <c r="C486" i="19"/>
  <c r="C487" i="19"/>
  <c r="C488" i="19"/>
  <c r="D18" i="14"/>
  <c r="J233" i="11" s="1"/>
  <c r="B494" i="19"/>
  <c r="H494" i="19" s="1"/>
  <c r="B495" i="19"/>
  <c r="H495" i="19" s="1"/>
  <c r="B496" i="19"/>
  <c r="H496" i="19" s="1"/>
  <c r="B497" i="19"/>
  <c r="H497" i="19" s="1"/>
  <c r="B498" i="19"/>
  <c r="B499" i="19"/>
  <c r="B500" i="19"/>
  <c r="B501" i="19"/>
  <c r="H501" i="19" s="1"/>
  <c r="B502" i="19"/>
  <c r="H502" i="19" s="1"/>
  <c r="B503" i="19"/>
  <c r="B504" i="19"/>
  <c r="B505" i="19"/>
  <c r="B506" i="19"/>
  <c r="B507" i="19"/>
  <c r="B508" i="19"/>
  <c r="B509" i="19"/>
  <c r="B510" i="19"/>
  <c r="H510" i="19" s="1"/>
  <c r="B511" i="19"/>
  <c r="H511" i="19" s="1"/>
  <c r="B512" i="19"/>
  <c r="H512" i="19" s="1"/>
  <c r="B513" i="19"/>
  <c r="B514" i="19"/>
  <c r="B515" i="19"/>
  <c r="H515" i="19" s="1"/>
  <c r="B516" i="19"/>
  <c r="H516" i="19" s="1"/>
  <c r="B517" i="19"/>
  <c r="B518" i="19"/>
  <c r="B519" i="19"/>
  <c r="B520" i="19"/>
  <c r="B521" i="19"/>
  <c r="H521" i="19" s="1"/>
  <c r="B522" i="19"/>
  <c r="B523" i="19"/>
  <c r="H523" i="19" s="1"/>
  <c r="B524" i="19"/>
  <c r="H524" i="19" s="1"/>
  <c r="B525" i="19"/>
  <c r="B526" i="19"/>
  <c r="B527" i="19"/>
  <c r="B528" i="19"/>
  <c r="H528" i="19" s="1"/>
  <c r="B529" i="19"/>
  <c r="B530" i="19"/>
  <c r="B531" i="19"/>
  <c r="H531" i="19" s="1"/>
  <c r="B532" i="19"/>
  <c r="B533" i="19"/>
  <c r="B534" i="19"/>
  <c r="H534" i="19" s="1"/>
  <c r="B535" i="19"/>
  <c r="B536" i="19"/>
  <c r="H536" i="19" s="1"/>
  <c r="B537" i="19"/>
  <c r="B538" i="19"/>
  <c r="B539" i="19"/>
  <c r="H539" i="19" s="1"/>
  <c r="B540" i="19"/>
  <c r="B541" i="19"/>
  <c r="B542" i="19"/>
  <c r="B543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39" i="19"/>
  <c r="B385" i="19"/>
  <c r="B386" i="19"/>
  <c r="B387" i="19"/>
  <c r="B388" i="19"/>
  <c r="B389" i="19"/>
  <c r="B390" i="19"/>
  <c r="H390" i="19" s="1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H403" i="19" s="1"/>
  <c r="B404" i="19"/>
  <c r="B405" i="19"/>
  <c r="B406" i="19"/>
  <c r="B407" i="19"/>
  <c r="H407" i="19" s="1"/>
  <c r="B408" i="19"/>
  <c r="B409" i="19"/>
  <c r="B410" i="19"/>
  <c r="B411" i="19"/>
  <c r="B412" i="19"/>
  <c r="H412" i="19" s="1"/>
  <c r="B413" i="19"/>
  <c r="B414" i="19"/>
  <c r="B415" i="19"/>
  <c r="B416" i="19"/>
  <c r="H416" i="19" s="1"/>
  <c r="B417" i="19"/>
  <c r="B418" i="19"/>
  <c r="B419" i="19"/>
  <c r="B420" i="19"/>
  <c r="B421" i="19"/>
  <c r="B422" i="19"/>
  <c r="B423" i="19"/>
  <c r="B424" i="19"/>
  <c r="H424" i="19" s="1"/>
  <c r="B425" i="19"/>
  <c r="B426" i="19"/>
  <c r="B427" i="19"/>
  <c r="B428" i="19"/>
  <c r="B429" i="19"/>
  <c r="B430" i="19"/>
  <c r="B431" i="19"/>
  <c r="H431" i="19" s="1"/>
  <c r="B432" i="19"/>
  <c r="B433" i="19"/>
  <c r="B434" i="19"/>
  <c r="B331" i="19"/>
  <c r="C331" i="19"/>
  <c r="B332" i="19"/>
  <c r="C332" i="19"/>
  <c r="B333" i="19"/>
  <c r="C333" i="19"/>
  <c r="B334" i="19"/>
  <c r="C334" i="19"/>
  <c r="B335" i="19"/>
  <c r="C335" i="19"/>
  <c r="B336" i="19"/>
  <c r="C336" i="19"/>
  <c r="B337" i="19"/>
  <c r="C337" i="19"/>
  <c r="B338" i="19"/>
  <c r="C338" i="19"/>
  <c r="B339" i="19"/>
  <c r="C339" i="19"/>
  <c r="B340" i="19"/>
  <c r="C340" i="19"/>
  <c r="B341" i="19"/>
  <c r="C341" i="19"/>
  <c r="B342" i="19"/>
  <c r="C342" i="19"/>
  <c r="B343" i="19"/>
  <c r="C343" i="19"/>
  <c r="B344" i="19"/>
  <c r="C344" i="19"/>
  <c r="B345" i="19"/>
  <c r="C345" i="19"/>
  <c r="B346" i="19"/>
  <c r="C346" i="19"/>
  <c r="B347" i="19"/>
  <c r="C347" i="19"/>
  <c r="B348" i="19"/>
  <c r="C348" i="19"/>
  <c r="B349" i="19"/>
  <c r="C349" i="19"/>
  <c r="B350" i="19"/>
  <c r="C350" i="19"/>
  <c r="B351" i="19"/>
  <c r="C351" i="19"/>
  <c r="B352" i="19"/>
  <c r="C352" i="19"/>
  <c r="B353" i="19"/>
  <c r="C353" i="19"/>
  <c r="B354" i="19"/>
  <c r="C354" i="19"/>
  <c r="B355" i="19"/>
  <c r="C355" i="19"/>
  <c r="B356" i="19"/>
  <c r="C356" i="19"/>
  <c r="B357" i="19"/>
  <c r="C357" i="19"/>
  <c r="B358" i="19"/>
  <c r="C358" i="19"/>
  <c r="B359" i="19"/>
  <c r="C359" i="19"/>
  <c r="B360" i="19"/>
  <c r="C360" i="19"/>
  <c r="B361" i="19"/>
  <c r="C361" i="19"/>
  <c r="B362" i="19"/>
  <c r="C362" i="19"/>
  <c r="B363" i="19"/>
  <c r="C363" i="19"/>
  <c r="B364" i="19"/>
  <c r="C364" i="19"/>
  <c r="B365" i="19"/>
  <c r="C365" i="19"/>
  <c r="B366" i="19"/>
  <c r="C366" i="19"/>
  <c r="B367" i="19"/>
  <c r="C367" i="19"/>
  <c r="B368" i="19"/>
  <c r="C368" i="19"/>
  <c r="B369" i="19"/>
  <c r="C369" i="19"/>
  <c r="B370" i="19"/>
  <c r="C370" i="19"/>
  <c r="B371" i="19"/>
  <c r="C371" i="19"/>
  <c r="B372" i="19"/>
  <c r="C372" i="19"/>
  <c r="B373" i="19"/>
  <c r="C373" i="19"/>
  <c r="B374" i="19"/>
  <c r="C374" i="19"/>
  <c r="B375" i="19"/>
  <c r="C375" i="19"/>
  <c r="B376" i="19"/>
  <c r="C376" i="19"/>
  <c r="B377" i="19"/>
  <c r="C377" i="19"/>
  <c r="B378" i="19"/>
  <c r="C378" i="19"/>
  <c r="B379" i="19"/>
  <c r="C379" i="19"/>
  <c r="C330" i="19"/>
  <c r="B330" i="19"/>
  <c r="B276" i="19"/>
  <c r="B277" i="19"/>
  <c r="B278" i="19"/>
  <c r="H278" i="19" s="1"/>
  <c r="B279" i="19"/>
  <c r="B280" i="19"/>
  <c r="H280" i="19" s="1"/>
  <c r="B281" i="19"/>
  <c r="B282" i="19"/>
  <c r="H282" i="19" s="1"/>
  <c r="B283" i="19"/>
  <c r="B284" i="19"/>
  <c r="H284" i="19" s="1"/>
  <c r="B285" i="19"/>
  <c r="B286" i="19"/>
  <c r="B287" i="19"/>
  <c r="B288" i="19"/>
  <c r="B289" i="19"/>
  <c r="B290" i="19"/>
  <c r="B291" i="19"/>
  <c r="B292" i="19"/>
  <c r="B293" i="19"/>
  <c r="H293" i="19" s="1"/>
  <c r="B294" i="19"/>
  <c r="B295" i="19"/>
  <c r="B296" i="19"/>
  <c r="H296" i="19" s="1"/>
  <c r="B297" i="19"/>
  <c r="B298" i="19"/>
  <c r="H298" i="19" s="1"/>
  <c r="B299" i="19"/>
  <c r="B300" i="19"/>
  <c r="B301" i="19"/>
  <c r="B302" i="19"/>
  <c r="B303" i="19"/>
  <c r="H303" i="19" s="1"/>
  <c r="B304" i="19"/>
  <c r="H304" i="19" s="1"/>
  <c r="B305" i="19"/>
  <c r="B306" i="19"/>
  <c r="H306" i="19" s="1"/>
  <c r="B307" i="19"/>
  <c r="B308" i="19"/>
  <c r="B309" i="19"/>
  <c r="B310" i="19"/>
  <c r="H310" i="19" s="1"/>
  <c r="B311" i="19"/>
  <c r="B312" i="19"/>
  <c r="B313" i="19"/>
  <c r="H313" i="19" s="1"/>
  <c r="B314" i="19"/>
  <c r="B315" i="19"/>
  <c r="H315" i="19" s="1"/>
  <c r="B316" i="19"/>
  <c r="H316" i="19" s="1"/>
  <c r="B317" i="19"/>
  <c r="B318" i="19"/>
  <c r="H318" i="19" s="1"/>
  <c r="B319" i="19"/>
  <c r="B320" i="19"/>
  <c r="B321" i="19"/>
  <c r="H321" i="19" s="1"/>
  <c r="B322" i="19"/>
  <c r="H322" i="19" s="1"/>
  <c r="B323" i="19"/>
  <c r="B324" i="19"/>
  <c r="H324" i="19" s="1"/>
  <c r="B325" i="19"/>
  <c r="B222" i="19"/>
  <c r="H222" i="19" s="1"/>
  <c r="B223" i="19"/>
  <c r="H223" i="19" s="1"/>
  <c r="B224" i="19"/>
  <c r="H224" i="19" s="1"/>
  <c r="B225" i="19"/>
  <c r="H225" i="19" s="1"/>
  <c r="B226" i="19"/>
  <c r="H226" i="19" s="1"/>
  <c r="B227" i="19"/>
  <c r="H227" i="19" s="1"/>
  <c r="B228" i="19"/>
  <c r="H228" i="19" s="1"/>
  <c r="B229" i="19"/>
  <c r="H229" i="19" s="1"/>
  <c r="B230" i="19"/>
  <c r="H230" i="19" s="1"/>
  <c r="B231" i="19"/>
  <c r="H231" i="19" s="1"/>
  <c r="B232" i="19"/>
  <c r="H232" i="19" s="1"/>
  <c r="B233" i="19"/>
  <c r="H233" i="19" s="1"/>
  <c r="B234" i="19"/>
  <c r="H234" i="19" s="1"/>
  <c r="B235" i="19"/>
  <c r="H235" i="19" s="1"/>
  <c r="B236" i="19"/>
  <c r="H236" i="19" s="1"/>
  <c r="B237" i="19"/>
  <c r="H237" i="19" s="1"/>
  <c r="B238" i="19"/>
  <c r="H238" i="19" s="1"/>
  <c r="B239" i="19"/>
  <c r="H239" i="19" s="1"/>
  <c r="B240" i="19"/>
  <c r="H240" i="19" s="1"/>
  <c r="B241" i="19"/>
  <c r="H241" i="19" s="1"/>
  <c r="B242" i="19"/>
  <c r="H242" i="19" s="1"/>
  <c r="B243" i="19"/>
  <c r="H243" i="19" s="1"/>
  <c r="B244" i="19"/>
  <c r="H244" i="19" s="1"/>
  <c r="B245" i="19"/>
  <c r="H245" i="19" s="1"/>
  <c r="B246" i="19"/>
  <c r="H246" i="19" s="1"/>
  <c r="B247" i="19"/>
  <c r="H247" i="19" s="1"/>
  <c r="B248" i="19"/>
  <c r="H248" i="19" s="1"/>
  <c r="B249" i="19"/>
  <c r="H249" i="19" s="1"/>
  <c r="B250" i="19"/>
  <c r="H250" i="19" s="1"/>
  <c r="B251" i="19"/>
  <c r="H251" i="19" s="1"/>
  <c r="B252" i="19"/>
  <c r="H252" i="19" s="1"/>
  <c r="B253" i="19"/>
  <c r="H253" i="19" s="1"/>
  <c r="B254" i="19"/>
  <c r="H254" i="19" s="1"/>
  <c r="B255" i="19"/>
  <c r="H255" i="19" s="1"/>
  <c r="B256" i="19"/>
  <c r="H256" i="19" s="1"/>
  <c r="B257" i="19"/>
  <c r="H257" i="19" s="1"/>
  <c r="B258" i="19"/>
  <c r="H258" i="19" s="1"/>
  <c r="B259" i="19"/>
  <c r="H259" i="19" s="1"/>
  <c r="B260" i="19"/>
  <c r="H260" i="19" s="1"/>
  <c r="B261" i="19"/>
  <c r="H261" i="19" s="1"/>
  <c r="B262" i="19"/>
  <c r="H262" i="19" s="1"/>
  <c r="B263" i="19"/>
  <c r="H263" i="19" s="1"/>
  <c r="B264" i="19"/>
  <c r="H264" i="19" s="1"/>
  <c r="B265" i="19"/>
  <c r="H265" i="19" s="1"/>
  <c r="B266" i="19"/>
  <c r="H266" i="19" s="1"/>
  <c r="B267" i="19"/>
  <c r="H267" i="19" s="1"/>
  <c r="B268" i="19"/>
  <c r="H268" i="19" s="1"/>
  <c r="B269" i="19"/>
  <c r="H269" i="19" s="1"/>
  <c r="B270" i="19"/>
  <c r="H270" i="19" s="1"/>
  <c r="B271" i="19"/>
  <c r="H271" i="19" s="1"/>
  <c r="B168" i="19"/>
  <c r="C168" i="19"/>
  <c r="B169" i="19"/>
  <c r="C169" i="19"/>
  <c r="B170" i="19"/>
  <c r="C170" i="19"/>
  <c r="B171" i="19"/>
  <c r="C171" i="19"/>
  <c r="B172" i="19"/>
  <c r="C172" i="19"/>
  <c r="B173" i="19"/>
  <c r="C173" i="19"/>
  <c r="B174" i="19"/>
  <c r="C174" i="19"/>
  <c r="B175" i="19"/>
  <c r="C175" i="19"/>
  <c r="B176" i="19"/>
  <c r="C176" i="19"/>
  <c r="B177" i="19"/>
  <c r="C177" i="19"/>
  <c r="B178" i="19"/>
  <c r="C178" i="19"/>
  <c r="B179" i="19"/>
  <c r="C179" i="19"/>
  <c r="B180" i="19"/>
  <c r="C180" i="19"/>
  <c r="B181" i="19"/>
  <c r="C181" i="19"/>
  <c r="B182" i="19"/>
  <c r="C182" i="19"/>
  <c r="B183" i="19"/>
  <c r="C183" i="19"/>
  <c r="B184" i="19"/>
  <c r="C184" i="19"/>
  <c r="B185" i="19"/>
  <c r="C185" i="19"/>
  <c r="B186" i="19"/>
  <c r="C186" i="19"/>
  <c r="B187" i="19"/>
  <c r="C187" i="19"/>
  <c r="B188" i="19"/>
  <c r="C188" i="19"/>
  <c r="B189" i="19"/>
  <c r="C189" i="19"/>
  <c r="B190" i="19"/>
  <c r="C190" i="19"/>
  <c r="B191" i="19"/>
  <c r="C191" i="19"/>
  <c r="B192" i="19"/>
  <c r="C192" i="19"/>
  <c r="B193" i="19"/>
  <c r="C193" i="19"/>
  <c r="B194" i="19"/>
  <c r="C194" i="19"/>
  <c r="B195" i="19"/>
  <c r="C195" i="19"/>
  <c r="B196" i="19"/>
  <c r="C196" i="19"/>
  <c r="B197" i="19"/>
  <c r="C197" i="19"/>
  <c r="B198" i="19"/>
  <c r="C198" i="19"/>
  <c r="B199" i="19"/>
  <c r="C199" i="19"/>
  <c r="B200" i="19"/>
  <c r="C200" i="19"/>
  <c r="B201" i="19"/>
  <c r="C201" i="19"/>
  <c r="B202" i="19"/>
  <c r="C202" i="19"/>
  <c r="B203" i="19"/>
  <c r="C203" i="19"/>
  <c r="B204" i="19"/>
  <c r="C204" i="19"/>
  <c r="B205" i="19"/>
  <c r="C205" i="19"/>
  <c r="B206" i="19"/>
  <c r="C206" i="19"/>
  <c r="B207" i="19"/>
  <c r="C207" i="19"/>
  <c r="B208" i="19"/>
  <c r="C208" i="19"/>
  <c r="B209" i="19"/>
  <c r="C209" i="19"/>
  <c r="B210" i="19"/>
  <c r="C210" i="19"/>
  <c r="B211" i="19"/>
  <c r="C211" i="19"/>
  <c r="B212" i="19"/>
  <c r="C212" i="19"/>
  <c r="B213" i="19"/>
  <c r="C213" i="19"/>
  <c r="B214" i="19"/>
  <c r="C214" i="19"/>
  <c r="B215" i="19"/>
  <c r="C215" i="19"/>
  <c r="B216" i="19"/>
  <c r="C216" i="19"/>
  <c r="C167" i="19"/>
  <c r="B167" i="19"/>
  <c r="B113" i="19"/>
  <c r="H113" i="19" s="1"/>
  <c r="B114" i="19"/>
  <c r="H114" i="19" s="1"/>
  <c r="B115" i="19"/>
  <c r="H115" i="19" s="1"/>
  <c r="B116" i="19"/>
  <c r="H116" i="19" s="1"/>
  <c r="B117" i="19"/>
  <c r="H117" i="19" s="1"/>
  <c r="B118" i="19"/>
  <c r="H118" i="19" s="1"/>
  <c r="B119" i="19"/>
  <c r="H119" i="19" s="1"/>
  <c r="B120" i="19"/>
  <c r="H120" i="19" s="1"/>
  <c r="B121" i="19"/>
  <c r="H121" i="19" s="1"/>
  <c r="B122" i="19"/>
  <c r="H122" i="19" s="1"/>
  <c r="B123" i="19"/>
  <c r="H123" i="19" s="1"/>
  <c r="B124" i="19"/>
  <c r="H124" i="19" s="1"/>
  <c r="B125" i="19"/>
  <c r="H125" i="19" s="1"/>
  <c r="B126" i="19"/>
  <c r="H126" i="19" s="1"/>
  <c r="B127" i="19"/>
  <c r="H127" i="19" s="1"/>
  <c r="B128" i="19"/>
  <c r="H128" i="19" s="1"/>
  <c r="B129" i="19"/>
  <c r="H129" i="19" s="1"/>
  <c r="B130" i="19"/>
  <c r="H130" i="19" s="1"/>
  <c r="B131" i="19"/>
  <c r="H131" i="19" s="1"/>
  <c r="B132" i="19"/>
  <c r="H132" i="19" s="1"/>
  <c r="B133" i="19"/>
  <c r="H133" i="19" s="1"/>
  <c r="B134" i="19"/>
  <c r="H134" i="19" s="1"/>
  <c r="B135" i="19"/>
  <c r="H135" i="19" s="1"/>
  <c r="B136" i="19"/>
  <c r="H136" i="19" s="1"/>
  <c r="B137" i="19"/>
  <c r="H137" i="19" s="1"/>
  <c r="B138" i="19"/>
  <c r="H138" i="19" s="1"/>
  <c r="B139" i="19"/>
  <c r="H139" i="19" s="1"/>
  <c r="B140" i="19"/>
  <c r="H140" i="19" s="1"/>
  <c r="B141" i="19"/>
  <c r="H141" i="19" s="1"/>
  <c r="B142" i="19"/>
  <c r="H142" i="19" s="1"/>
  <c r="B143" i="19"/>
  <c r="H143" i="19" s="1"/>
  <c r="B144" i="19"/>
  <c r="H144" i="19" s="1"/>
  <c r="B145" i="19"/>
  <c r="H145" i="19" s="1"/>
  <c r="B146" i="19"/>
  <c r="H146" i="19" s="1"/>
  <c r="B147" i="19"/>
  <c r="H147" i="19" s="1"/>
  <c r="B148" i="19"/>
  <c r="H148" i="19" s="1"/>
  <c r="B149" i="19"/>
  <c r="H149" i="19" s="1"/>
  <c r="B150" i="19"/>
  <c r="H150" i="19" s="1"/>
  <c r="B151" i="19"/>
  <c r="H151" i="19" s="1"/>
  <c r="B152" i="19"/>
  <c r="H152" i="19" s="1"/>
  <c r="B153" i="19"/>
  <c r="H153" i="19" s="1"/>
  <c r="B154" i="19"/>
  <c r="H154" i="19" s="1"/>
  <c r="B155" i="19"/>
  <c r="H155" i="19" s="1"/>
  <c r="B156" i="19"/>
  <c r="H156" i="19" s="1"/>
  <c r="B157" i="19"/>
  <c r="H157" i="19" s="1"/>
  <c r="B158" i="19"/>
  <c r="H158" i="19" s="1"/>
  <c r="B159" i="19"/>
  <c r="H159" i="19" s="1"/>
  <c r="B160" i="19"/>
  <c r="H160" i="19" s="1"/>
  <c r="B161" i="19"/>
  <c r="H161" i="19" s="1"/>
  <c r="B162" i="19"/>
  <c r="H162" i="19" s="1"/>
  <c r="B59" i="19"/>
  <c r="C59" i="19"/>
  <c r="B60" i="19"/>
  <c r="C60" i="19"/>
  <c r="B61" i="19"/>
  <c r="C61" i="19"/>
  <c r="B62" i="19"/>
  <c r="C62" i="19"/>
  <c r="B63" i="19"/>
  <c r="C63" i="19"/>
  <c r="B64" i="19"/>
  <c r="C64" i="19"/>
  <c r="B65" i="19"/>
  <c r="C65" i="19"/>
  <c r="B66" i="19"/>
  <c r="C66" i="19"/>
  <c r="B67" i="19"/>
  <c r="C67" i="19"/>
  <c r="B68" i="19"/>
  <c r="C68" i="19"/>
  <c r="B69" i="19"/>
  <c r="C69" i="19"/>
  <c r="B70" i="19"/>
  <c r="C70" i="19"/>
  <c r="B71" i="19"/>
  <c r="C71" i="19"/>
  <c r="B72" i="19"/>
  <c r="C72" i="19"/>
  <c r="B73" i="19"/>
  <c r="C73" i="19"/>
  <c r="B74" i="19"/>
  <c r="C74" i="19"/>
  <c r="B75" i="19"/>
  <c r="C75" i="19"/>
  <c r="B76" i="19"/>
  <c r="C76" i="19"/>
  <c r="B77" i="19"/>
  <c r="C77" i="19"/>
  <c r="B78" i="19"/>
  <c r="C78" i="19"/>
  <c r="B79" i="19"/>
  <c r="C79" i="19"/>
  <c r="B80" i="19"/>
  <c r="C80" i="19"/>
  <c r="B81" i="19"/>
  <c r="C81" i="19"/>
  <c r="B82" i="19"/>
  <c r="C82" i="19"/>
  <c r="B83" i="19"/>
  <c r="C83" i="19"/>
  <c r="B84" i="19"/>
  <c r="C84" i="19"/>
  <c r="B85" i="19"/>
  <c r="C85" i="19"/>
  <c r="B86" i="19"/>
  <c r="C86" i="19"/>
  <c r="B87" i="19"/>
  <c r="C87" i="19"/>
  <c r="B88" i="19"/>
  <c r="C88" i="19"/>
  <c r="B89" i="19"/>
  <c r="C89" i="19"/>
  <c r="B90" i="19"/>
  <c r="C90" i="19"/>
  <c r="B91" i="19"/>
  <c r="C91" i="19"/>
  <c r="B92" i="19"/>
  <c r="C92" i="19"/>
  <c r="B93" i="19"/>
  <c r="C93" i="19"/>
  <c r="B94" i="19"/>
  <c r="C94" i="19"/>
  <c r="B95" i="19"/>
  <c r="C95" i="19"/>
  <c r="B96" i="19"/>
  <c r="C96" i="19"/>
  <c r="B97" i="19"/>
  <c r="C97" i="19"/>
  <c r="B98" i="19"/>
  <c r="C98" i="19"/>
  <c r="B99" i="19"/>
  <c r="C99" i="19"/>
  <c r="B100" i="19"/>
  <c r="C100" i="19"/>
  <c r="B101" i="19"/>
  <c r="C101" i="19"/>
  <c r="B102" i="19"/>
  <c r="C102" i="19"/>
  <c r="B103" i="19"/>
  <c r="C103" i="19"/>
  <c r="B104" i="19"/>
  <c r="C104" i="19"/>
  <c r="B105" i="19"/>
  <c r="C105" i="19"/>
  <c r="B106" i="19"/>
  <c r="C106" i="19"/>
  <c r="B107" i="19"/>
  <c r="C107" i="19"/>
  <c r="C58" i="19"/>
  <c r="B58" i="19"/>
  <c r="B4" i="19"/>
  <c r="H4" i="19" s="1"/>
  <c r="B5" i="19"/>
  <c r="F5" i="19" s="1"/>
  <c r="G5" i="19" s="1"/>
  <c r="B6" i="19"/>
  <c r="H6" i="19" s="1"/>
  <c r="B7" i="19"/>
  <c r="F7" i="19" s="1"/>
  <c r="G7" i="19" s="1"/>
  <c r="B8" i="19"/>
  <c r="H8" i="19" s="1"/>
  <c r="B9" i="19"/>
  <c r="G9" i="19" s="1"/>
  <c r="B10" i="19"/>
  <c r="H10" i="19" s="1"/>
  <c r="B11" i="19"/>
  <c r="G11" i="19" s="1"/>
  <c r="B12" i="19"/>
  <c r="H12" i="19" s="1"/>
  <c r="B13" i="19"/>
  <c r="G13" i="19" s="1"/>
  <c r="B14" i="19"/>
  <c r="H14" i="19" s="1"/>
  <c r="B15" i="19"/>
  <c r="G15" i="19" s="1"/>
  <c r="B16" i="19"/>
  <c r="H16" i="19" s="1"/>
  <c r="B17" i="19"/>
  <c r="G17" i="19" s="1"/>
  <c r="B18" i="19"/>
  <c r="H18" i="19" s="1"/>
  <c r="B19" i="19"/>
  <c r="H19" i="19" s="1"/>
  <c r="B20" i="19"/>
  <c r="H20" i="19" s="1"/>
  <c r="B21" i="19"/>
  <c r="H21" i="19" s="1"/>
  <c r="B22" i="19"/>
  <c r="H22" i="19" s="1"/>
  <c r="B23" i="19"/>
  <c r="H23" i="19" s="1"/>
  <c r="B24" i="19"/>
  <c r="H24" i="19" s="1"/>
  <c r="B25" i="19"/>
  <c r="H25" i="19" s="1"/>
  <c r="B26" i="19"/>
  <c r="H26" i="19" s="1"/>
  <c r="B27" i="19"/>
  <c r="H27" i="19" s="1"/>
  <c r="B28" i="19"/>
  <c r="H28" i="19" s="1"/>
  <c r="B29" i="19"/>
  <c r="H29" i="19" s="1"/>
  <c r="B30" i="19"/>
  <c r="H30" i="19" s="1"/>
  <c r="B31" i="19"/>
  <c r="H31" i="19" s="1"/>
  <c r="B32" i="19"/>
  <c r="H32" i="19" s="1"/>
  <c r="B33" i="19"/>
  <c r="H33" i="19" s="1"/>
  <c r="B34" i="19"/>
  <c r="H34" i="19" s="1"/>
  <c r="B35" i="19"/>
  <c r="H35" i="19" s="1"/>
  <c r="B36" i="19"/>
  <c r="H36" i="19" s="1"/>
  <c r="B37" i="19"/>
  <c r="H37" i="19" s="1"/>
  <c r="B38" i="19"/>
  <c r="H38" i="19" s="1"/>
  <c r="B39" i="19"/>
  <c r="H39" i="19" s="1"/>
  <c r="B40" i="19"/>
  <c r="H40" i="19" s="1"/>
  <c r="B41" i="19"/>
  <c r="H41" i="19" s="1"/>
  <c r="B42" i="19"/>
  <c r="H42" i="19" s="1"/>
  <c r="B43" i="19"/>
  <c r="H43" i="19" s="1"/>
  <c r="B44" i="19"/>
  <c r="H44" i="19" s="1"/>
  <c r="B45" i="19"/>
  <c r="H45" i="19" s="1"/>
  <c r="B46" i="19"/>
  <c r="H46" i="19" s="1"/>
  <c r="B47" i="19"/>
  <c r="H47" i="19" s="1"/>
  <c r="B48" i="19"/>
  <c r="H48" i="19" s="1"/>
  <c r="B49" i="19"/>
  <c r="H49" i="19" s="1"/>
  <c r="B50" i="19"/>
  <c r="H50" i="19" s="1"/>
  <c r="B51" i="19"/>
  <c r="G51" i="19" s="1"/>
  <c r="B52" i="19"/>
  <c r="H52" i="19" s="1"/>
  <c r="B53" i="19"/>
  <c r="G53" i="19" s="1"/>
  <c r="F6" i="19"/>
  <c r="B493" i="18"/>
  <c r="C493" i="18" s="1"/>
  <c r="B494" i="18"/>
  <c r="C494" i="18" s="1"/>
  <c r="B495" i="18"/>
  <c r="C495" i="18" s="1"/>
  <c r="B496" i="18"/>
  <c r="C496" i="18" s="1"/>
  <c r="B497" i="18"/>
  <c r="C497" i="18" s="1"/>
  <c r="B498" i="18"/>
  <c r="C498" i="18" s="1"/>
  <c r="B499" i="18"/>
  <c r="C499" i="18" s="1"/>
  <c r="B500" i="18"/>
  <c r="C500" i="18" s="1"/>
  <c r="B501" i="18"/>
  <c r="C501" i="18" s="1"/>
  <c r="B502" i="18"/>
  <c r="C502" i="18" s="1"/>
  <c r="B503" i="18"/>
  <c r="C503" i="18" s="1"/>
  <c r="B504" i="18"/>
  <c r="C504" i="18" s="1"/>
  <c r="B505" i="18"/>
  <c r="C505" i="18" s="1"/>
  <c r="B506" i="18"/>
  <c r="C506" i="18" s="1"/>
  <c r="B507" i="18"/>
  <c r="C507" i="18" s="1"/>
  <c r="B508" i="18"/>
  <c r="C508" i="18" s="1"/>
  <c r="B509" i="18"/>
  <c r="C509" i="18" s="1"/>
  <c r="B510" i="18"/>
  <c r="C510" i="18" s="1"/>
  <c r="B511" i="18"/>
  <c r="C511" i="18" s="1"/>
  <c r="B512" i="18"/>
  <c r="C512" i="18" s="1"/>
  <c r="B513" i="18"/>
  <c r="C513" i="18" s="1"/>
  <c r="B514" i="18"/>
  <c r="C514" i="18" s="1"/>
  <c r="B515" i="18"/>
  <c r="C515" i="18" s="1"/>
  <c r="B516" i="18"/>
  <c r="C516" i="18" s="1"/>
  <c r="B517" i="18"/>
  <c r="C517" i="18" s="1"/>
  <c r="B518" i="18"/>
  <c r="C518" i="18" s="1"/>
  <c r="B519" i="18"/>
  <c r="C519" i="18" s="1"/>
  <c r="B520" i="18"/>
  <c r="C520" i="18" s="1"/>
  <c r="B521" i="18"/>
  <c r="C521" i="18" s="1"/>
  <c r="B522" i="18"/>
  <c r="C522" i="18" s="1"/>
  <c r="B523" i="18"/>
  <c r="C523" i="18" s="1"/>
  <c r="B524" i="18"/>
  <c r="C524" i="18" s="1"/>
  <c r="B525" i="18"/>
  <c r="C525" i="18" s="1"/>
  <c r="B526" i="18"/>
  <c r="C526" i="18" s="1"/>
  <c r="B527" i="18"/>
  <c r="C527" i="18" s="1"/>
  <c r="B528" i="18"/>
  <c r="C528" i="18" s="1"/>
  <c r="B529" i="18"/>
  <c r="C529" i="18" s="1"/>
  <c r="B530" i="18"/>
  <c r="C530" i="18" s="1"/>
  <c r="B531" i="18"/>
  <c r="C531" i="18" s="1"/>
  <c r="B532" i="18"/>
  <c r="C532" i="18" s="1"/>
  <c r="B533" i="18"/>
  <c r="C533" i="18" s="1"/>
  <c r="B534" i="18"/>
  <c r="C534" i="18" s="1"/>
  <c r="B535" i="18"/>
  <c r="C535" i="18" s="1"/>
  <c r="B536" i="18"/>
  <c r="C536" i="18" s="1"/>
  <c r="B537" i="18"/>
  <c r="C537" i="18" s="1"/>
  <c r="B538" i="18"/>
  <c r="C538" i="18" s="1"/>
  <c r="B539" i="18"/>
  <c r="C539" i="18" s="1"/>
  <c r="B540" i="18"/>
  <c r="B541" i="18"/>
  <c r="C541" i="18" s="1"/>
  <c r="B438" i="18"/>
  <c r="C438" i="18"/>
  <c r="B439" i="18"/>
  <c r="C439" i="18"/>
  <c r="B440" i="18"/>
  <c r="C440" i="18"/>
  <c r="B441" i="18"/>
  <c r="C441" i="18"/>
  <c r="B442" i="18"/>
  <c r="C442" i="18"/>
  <c r="B443" i="18"/>
  <c r="C443" i="18"/>
  <c r="B444" i="18"/>
  <c r="C444" i="18"/>
  <c r="B445" i="18"/>
  <c r="C445" i="18"/>
  <c r="B446" i="18"/>
  <c r="C446" i="18"/>
  <c r="B447" i="18"/>
  <c r="C447" i="18"/>
  <c r="B448" i="18"/>
  <c r="C448" i="18"/>
  <c r="B449" i="18"/>
  <c r="C449" i="18"/>
  <c r="B450" i="18"/>
  <c r="C450" i="18"/>
  <c r="B451" i="18"/>
  <c r="C451" i="18"/>
  <c r="B452" i="18"/>
  <c r="C452" i="18"/>
  <c r="B453" i="18"/>
  <c r="C453" i="18"/>
  <c r="B454" i="18"/>
  <c r="C454" i="18"/>
  <c r="B455" i="18"/>
  <c r="C455" i="18"/>
  <c r="B456" i="18"/>
  <c r="C456" i="18"/>
  <c r="B457" i="18"/>
  <c r="C457" i="18"/>
  <c r="B458" i="18"/>
  <c r="C458" i="18"/>
  <c r="B459" i="18"/>
  <c r="C459" i="18"/>
  <c r="B460" i="18"/>
  <c r="C460" i="18"/>
  <c r="B461" i="18"/>
  <c r="C461" i="18"/>
  <c r="B462" i="18"/>
  <c r="C462" i="18"/>
  <c r="B463" i="18"/>
  <c r="C463" i="18"/>
  <c r="B464" i="18"/>
  <c r="C464" i="18"/>
  <c r="B465" i="18"/>
  <c r="C465" i="18"/>
  <c r="B466" i="18"/>
  <c r="C466" i="18"/>
  <c r="B467" i="18"/>
  <c r="C467" i="18"/>
  <c r="B468" i="18"/>
  <c r="C468" i="18"/>
  <c r="B469" i="18"/>
  <c r="C469" i="18"/>
  <c r="B470" i="18"/>
  <c r="C470" i="18"/>
  <c r="B471" i="18"/>
  <c r="C471" i="18"/>
  <c r="B472" i="18"/>
  <c r="C472" i="18"/>
  <c r="B473" i="18"/>
  <c r="C473" i="18"/>
  <c r="B474" i="18"/>
  <c r="C474" i="18"/>
  <c r="B475" i="18"/>
  <c r="C475" i="18"/>
  <c r="B476" i="18"/>
  <c r="C476" i="18"/>
  <c r="B477" i="18"/>
  <c r="C477" i="18"/>
  <c r="B478" i="18"/>
  <c r="C478" i="18"/>
  <c r="B479" i="18"/>
  <c r="C479" i="18"/>
  <c r="B480" i="18"/>
  <c r="C480" i="18"/>
  <c r="B481" i="18"/>
  <c r="C481" i="18"/>
  <c r="B482" i="18"/>
  <c r="C482" i="18"/>
  <c r="B483" i="18"/>
  <c r="C483" i="18"/>
  <c r="B484" i="18"/>
  <c r="C484" i="18"/>
  <c r="B485" i="18"/>
  <c r="C485" i="18"/>
  <c r="B486" i="18"/>
  <c r="C486" i="18"/>
  <c r="B384" i="18"/>
  <c r="C384" i="18" s="1"/>
  <c r="B385" i="18"/>
  <c r="B386" i="18"/>
  <c r="C386" i="18" s="1"/>
  <c r="B387" i="18"/>
  <c r="B388" i="18"/>
  <c r="B389" i="18"/>
  <c r="B390" i="18"/>
  <c r="B391" i="18"/>
  <c r="B392" i="18"/>
  <c r="C392" i="18" s="1"/>
  <c r="B393" i="18"/>
  <c r="B394" i="18"/>
  <c r="C394" i="18" s="1"/>
  <c r="B395" i="18"/>
  <c r="B396" i="18"/>
  <c r="B397" i="18"/>
  <c r="B398" i="18"/>
  <c r="B399" i="18"/>
  <c r="B400" i="18"/>
  <c r="C400" i="18" s="1"/>
  <c r="B401" i="18"/>
  <c r="B402" i="18"/>
  <c r="C402" i="18" s="1"/>
  <c r="B403" i="18"/>
  <c r="B404" i="18"/>
  <c r="B405" i="18"/>
  <c r="B406" i="18"/>
  <c r="B407" i="18"/>
  <c r="B408" i="18"/>
  <c r="C408" i="18" s="1"/>
  <c r="B409" i="18"/>
  <c r="B410" i="18"/>
  <c r="C410" i="18" s="1"/>
  <c r="B411" i="18"/>
  <c r="B412" i="18"/>
  <c r="B413" i="18"/>
  <c r="B414" i="18"/>
  <c r="B415" i="18"/>
  <c r="B416" i="18"/>
  <c r="C416" i="18" s="1"/>
  <c r="B417" i="18"/>
  <c r="B418" i="18"/>
  <c r="C418" i="18" s="1"/>
  <c r="B419" i="18"/>
  <c r="B420" i="18"/>
  <c r="B421" i="18"/>
  <c r="B422" i="18"/>
  <c r="H422" i="18" s="1"/>
  <c r="B423" i="18"/>
  <c r="B424" i="18"/>
  <c r="C424" i="18" s="1"/>
  <c r="B425" i="18"/>
  <c r="B426" i="18"/>
  <c r="C426" i="18" s="1"/>
  <c r="B427" i="18"/>
  <c r="B428" i="18"/>
  <c r="B429" i="18"/>
  <c r="B430" i="18"/>
  <c r="B431" i="18"/>
  <c r="B432" i="18"/>
  <c r="C432" i="18" s="1"/>
  <c r="B329" i="18"/>
  <c r="C329" i="18"/>
  <c r="B330" i="18"/>
  <c r="C330" i="18"/>
  <c r="B331" i="18"/>
  <c r="C331" i="18"/>
  <c r="B332" i="18"/>
  <c r="C332" i="18"/>
  <c r="B333" i="18"/>
  <c r="C333" i="18"/>
  <c r="B334" i="18"/>
  <c r="C334" i="18"/>
  <c r="B335" i="18"/>
  <c r="C335" i="18"/>
  <c r="B336" i="18"/>
  <c r="C336" i="18"/>
  <c r="B337" i="18"/>
  <c r="C337" i="18"/>
  <c r="B338" i="18"/>
  <c r="C338" i="18"/>
  <c r="B339" i="18"/>
  <c r="C339" i="18"/>
  <c r="B340" i="18"/>
  <c r="C340" i="18"/>
  <c r="B341" i="18"/>
  <c r="C341" i="18"/>
  <c r="B342" i="18"/>
  <c r="C342" i="18"/>
  <c r="B343" i="18"/>
  <c r="C343" i="18"/>
  <c r="B344" i="18"/>
  <c r="C344" i="18"/>
  <c r="B345" i="18"/>
  <c r="C345" i="18"/>
  <c r="B346" i="18"/>
  <c r="C346" i="18"/>
  <c r="B347" i="18"/>
  <c r="C347" i="18"/>
  <c r="B348" i="18"/>
  <c r="C348" i="18"/>
  <c r="B349" i="18"/>
  <c r="C349" i="18"/>
  <c r="B350" i="18"/>
  <c r="C350" i="18"/>
  <c r="B351" i="18"/>
  <c r="C351" i="18"/>
  <c r="B352" i="18"/>
  <c r="C352" i="18"/>
  <c r="B353" i="18"/>
  <c r="C353" i="18"/>
  <c r="B354" i="18"/>
  <c r="C354" i="18"/>
  <c r="B355" i="18"/>
  <c r="C355" i="18"/>
  <c r="B356" i="18"/>
  <c r="C356" i="18"/>
  <c r="B357" i="18"/>
  <c r="C357" i="18"/>
  <c r="B358" i="18"/>
  <c r="C358" i="18"/>
  <c r="B359" i="18"/>
  <c r="C359" i="18"/>
  <c r="B360" i="18"/>
  <c r="C360" i="18"/>
  <c r="B361" i="18"/>
  <c r="C361" i="18"/>
  <c r="B362" i="18"/>
  <c r="C362" i="18"/>
  <c r="B363" i="18"/>
  <c r="C363" i="18"/>
  <c r="B364" i="18"/>
  <c r="C364" i="18"/>
  <c r="B365" i="18"/>
  <c r="C365" i="18"/>
  <c r="B366" i="18"/>
  <c r="C366" i="18"/>
  <c r="B367" i="18"/>
  <c r="C367" i="18"/>
  <c r="B368" i="18"/>
  <c r="C368" i="18"/>
  <c r="B369" i="18"/>
  <c r="C369" i="18"/>
  <c r="B370" i="18"/>
  <c r="C370" i="18"/>
  <c r="B371" i="18"/>
  <c r="C371" i="18"/>
  <c r="B372" i="18"/>
  <c r="C372" i="18"/>
  <c r="B373" i="18"/>
  <c r="C373" i="18"/>
  <c r="B374" i="18"/>
  <c r="C374" i="18"/>
  <c r="B375" i="18"/>
  <c r="C375" i="18"/>
  <c r="B376" i="18"/>
  <c r="C376" i="18"/>
  <c r="B377" i="18"/>
  <c r="C377" i="18"/>
  <c r="B275" i="18"/>
  <c r="B276" i="18"/>
  <c r="H276" i="18" s="1"/>
  <c r="B277" i="18"/>
  <c r="C277" i="18" s="1"/>
  <c r="B278" i="18"/>
  <c r="H278" i="18" s="1"/>
  <c r="B279" i="18"/>
  <c r="C279" i="18" s="1"/>
  <c r="B280" i="18"/>
  <c r="B281" i="18"/>
  <c r="C281" i="18" s="1"/>
  <c r="B282" i="18"/>
  <c r="H282" i="18" s="1"/>
  <c r="B283" i="18"/>
  <c r="C283" i="18" s="1"/>
  <c r="B284" i="18"/>
  <c r="B285" i="18"/>
  <c r="C285" i="18" s="1"/>
  <c r="B286" i="18"/>
  <c r="B287" i="18"/>
  <c r="F287" i="18" s="1"/>
  <c r="B288" i="18"/>
  <c r="B289" i="18"/>
  <c r="F289" i="18" s="1"/>
  <c r="B290" i="18"/>
  <c r="B291" i="18"/>
  <c r="F291" i="18" s="1"/>
  <c r="B292" i="18"/>
  <c r="B293" i="18"/>
  <c r="B294" i="18"/>
  <c r="B295" i="18"/>
  <c r="B296" i="18"/>
  <c r="H296" i="18" s="1"/>
  <c r="B297" i="18"/>
  <c r="C297" i="18" s="1"/>
  <c r="B298" i="18"/>
  <c r="B299" i="18"/>
  <c r="C299" i="18" s="1"/>
  <c r="B300" i="18"/>
  <c r="B301" i="18"/>
  <c r="F301" i="18" s="1"/>
  <c r="B302" i="18"/>
  <c r="B303" i="18"/>
  <c r="F303" i="18" s="1"/>
  <c r="B304" i="18"/>
  <c r="H304" i="18" s="1"/>
  <c r="B305" i="18"/>
  <c r="F305" i="18" s="1"/>
  <c r="B306" i="18"/>
  <c r="B307" i="18"/>
  <c r="F307" i="18" s="1"/>
  <c r="B308" i="18"/>
  <c r="H308" i="18" s="1"/>
  <c r="B309" i="18"/>
  <c r="F309" i="18" s="1"/>
  <c r="B310" i="18"/>
  <c r="B311" i="18"/>
  <c r="F311" i="18" s="1"/>
  <c r="B312" i="18"/>
  <c r="B313" i="18"/>
  <c r="C313" i="18" s="1"/>
  <c r="B314" i="18"/>
  <c r="B315" i="18"/>
  <c r="C315" i="18" s="1"/>
  <c r="B316" i="18"/>
  <c r="H316" i="18" s="1"/>
  <c r="B317" i="18"/>
  <c r="F317" i="18" s="1"/>
  <c r="B318" i="18"/>
  <c r="B319" i="18"/>
  <c r="B320" i="18"/>
  <c r="H320" i="18" s="1"/>
  <c r="B321" i="18"/>
  <c r="C321" i="18" s="1"/>
  <c r="B322" i="18"/>
  <c r="B323" i="18"/>
  <c r="C323" i="18" s="1"/>
  <c r="B221" i="18"/>
  <c r="F221" i="18" s="1"/>
  <c r="B222" i="18"/>
  <c r="C222" i="18" s="1"/>
  <c r="B223" i="18"/>
  <c r="F223" i="18" s="1"/>
  <c r="B224" i="18"/>
  <c r="C224" i="18" s="1"/>
  <c r="B225" i="18"/>
  <c r="B226" i="18"/>
  <c r="B227" i="18"/>
  <c r="F227" i="18" s="1"/>
  <c r="B228" i="18"/>
  <c r="C228" i="18" s="1"/>
  <c r="B229" i="18"/>
  <c r="F229" i="18" s="1"/>
  <c r="B230" i="18"/>
  <c r="B231" i="18"/>
  <c r="B232" i="18"/>
  <c r="C232" i="18" s="1"/>
  <c r="B233" i="18"/>
  <c r="F233" i="18" s="1"/>
  <c r="B234" i="18"/>
  <c r="C234" i="18" s="1"/>
  <c r="B235" i="18"/>
  <c r="B236" i="18"/>
  <c r="H236" i="18" s="1"/>
  <c r="B237" i="18"/>
  <c r="H237" i="18" s="1"/>
  <c r="B238" i="18"/>
  <c r="C238" i="18" s="1"/>
  <c r="B239" i="18"/>
  <c r="B240" i="18"/>
  <c r="C240" i="18" s="1"/>
  <c r="B241" i="18"/>
  <c r="F241" i="18" s="1"/>
  <c r="B242" i="18"/>
  <c r="H242" i="18" s="1"/>
  <c r="B243" i="18"/>
  <c r="F243" i="18" s="1"/>
  <c r="B244" i="18"/>
  <c r="C244" i="18" s="1"/>
  <c r="B245" i="18"/>
  <c r="B246" i="18"/>
  <c r="B247" i="18"/>
  <c r="F247" i="18" s="1"/>
  <c r="B248" i="18"/>
  <c r="C248" i="18" s="1"/>
  <c r="B249" i="18"/>
  <c r="H249" i="18" s="1"/>
  <c r="B250" i="18"/>
  <c r="C250" i="18" s="1"/>
  <c r="B251" i="18"/>
  <c r="B252" i="18"/>
  <c r="C252" i="18" s="1"/>
  <c r="B253" i="18"/>
  <c r="F253" i="18" s="1"/>
  <c r="B254" i="18"/>
  <c r="C254" i="18" s="1"/>
  <c r="B255" i="18"/>
  <c r="F255" i="18" s="1"/>
  <c r="B256" i="18"/>
  <c r="B257" i="18"/>
  <c r="H257" i="18" s="1"/>
  <c r="B258" i="18"/>
  <c r="B259" i="18"/>
  <c r="F259" i="18" s="1"/>
  <c r="B260" i="18"/>
  <c r="H260" i="18" s="1"/>
  <c r="B261" i="18"/>
  <c r="F261" i="18" s="1"/>
  <c r="B262" i="18"/>
  <c r="C262" i="18" s="1"/>
  <c r="B263" i="18"/>
  <c r="F263" i="18" s="1"/>
  <c r="B264" i="18"/>
  <c r="B265" i="18"/>
  <c r="G265" i="18" s="1"/>
  <c r="B266" i="18"/>
  <c r="B267" i="18"/>
  <c r="C267" i="18" s="1"/>
  <c r="B268" i="18"/>
  <c r="B269" i="18"/>
  <c r="C269" i="18" s="1"/>
  <c r="B167" i="18"/>
  <c r="C167" i="18"/>
  <c r="B168" i="18"/>
  <c r="C168" i="18"/>
  <c r="B169" i="18"/>
  <c r="C169" i="18"/>
  <c r="B170" i="18"/>
  <c r="C170" i="18"/>
  <c r="B171" i="18"/>
  <c r="C171" i="18"/>
  <c r="B172" i="18"/>
  <c r="C172" i="18"/>
  <c r="B173" i="18"/>
  <c r="C173" i="18"/>
  <c r="B174" i="18"/>
  <c r="C174" i="18"/>
  <c r="B175" i="18"/>
  <c r="C175" i="18"/>
  <c r="B176" i="18"/>
  <c r="C176" i="18"/>
  <c r="B177" i="18"/>
  <c r="C177" i="18"/>
  <c r="B178" i="18"/>
  <c r="C178" i="18"/>
  <c r="B179" i="18"/>
  <c r="C179" i="18"/>
  <c r="B180" i="18"/>
  <c r="C180" i="18"/>
  <c r="B181" i="18"/>
  <c r="C181" i="18"/>
  <c r="B182" i="18"/>
  <c r="C182" i="18"/>
  <c r="B183" i="18"/>
  <c r="C183" i="18"/>
  <c r="B184" i="18"/>
  <c r="C184" i="18"/>
  <c r="B185" i="18"/>
  <c r="C185" i="18"/>
  <c r="B186" i="18"/>
  <c r="C186" i="18"/>
  <c r="B187" i="18"/>
  <c r="C187" i="18"/>
  <c r="B188" i="18"/>
  <c r="C188" i="18"/>
  <c r="B189" i="18"/>
  <c r="C189" i="18"/>
  <c r="B190" i="18"/>
  <c r="C190" i="18"/>
  <c r="B191" i="18"/>
  <c r="C191" i="18"/>
  <c r="B192" i="18"/>
  <c r="C192" i="18"/>
  <c r="B193" i="18"/>
  <c r="C193" i="18"/>
  <c r="B194" i="18"/>
  <c r="C194" i="18"/>
  <c r="B195" i="18"/>
  <c r="C195" i="18"/>
  <c r="B196" i="18"/>
  <c r="C196" i="18"/>
  <c r="B197" i="18"/>
  <c r="C197" i="18"/>
  <c r="B198" i="18"/>
  <c r="C198" i="18"/>
  <c r="B199" i="18"/>
  <c r="C199" i="18"/>
  <c r="B200" i="18"/>
  <c r="C200" i="18"/>
  <c r="B201" i="18"/>
  <c r="C201" i="18"/>
  <c r="B202" i="18"/>
  <c r="C202" i="18"/>
  <c r="B203" i="18"/>
  <c r="C203" i="18"/>
  <c r="B204" i="18"/>
  <c r="C204" i="18"/>
  <c r="B205" i="18"/>
  <c r="C205" i="18"/>
  <c r="B206" i="18"/>
  <c r="C206" i="18"/>
  <c r="B207" i="18"/>
  <c r="C207" i="18"/>
  <c r="B208" i="18"/>
  <c r="C208" i="18"/>
  <c r="B209" i="18"/>
  <c r="C209" i="18"/>
  <c r="B210" i="18"/>
  <c r="C210" i="18"/>
  <c r="B211" i="18"/>
  <c r="C211" i="18"/>
  <c r="B212" i="18"/>
  <c r="C212" i="18"/>
  <c r="B213" i="18"/>
  <c r="C213" i="18"/>
  <c r="B214" i="18"/>
  <c r="C214" i="18"/>
  <c r="B215" i="18"/>
  <c r="C215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39" i="18"/>
  <c r="B140" i="18"/>
  <c r="B141" i="18"/>
  <c r="B142" i="18"/>
  <c r="B143" i="18"/>
  <c r="B144" i="18"/>
  <c r="B145" i="18"/>
  <c r="B146" i="18"/>
  <c r="B147" i="18"/>
  <c r="B148" i="18"/>
  <c r="B149" i="18"/>
  <c r="B150" i="18"/>
  <c r="B151" i="18"/>
  <c r="B152" i="18"/>
  <c r="B153" i="18"/>
  <c r="B154" i="18"/>
  <c r="B155" i="18"/>
  <c r="B156" i="18"/>
  <c r="B157" i="18"/>
  <c r="B158" i="18"/>
  <c r="B159" i="18"/>
  <c r="B160" i="18"/>
  <c r="B161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F14" i="19" l="1"/>
  <c r="G14" i="19" s="1"/>
  <c r="H494" i="18"/>
  <c r="F199" i="19"/>
  <c r="G199" i="19" s="1"/>
  <c r="F191" i="19"/>
  <c r="G191" i="19" s="1"/>
  <c r="F187" i="19"/>
  <c r="G187" i="19" s="1"/>
  <c r="F183" i="19"/>
  <c r="G183" i="19" s="1"/>
  <c r="F453" i="18"/>
  <c r="H453" i="18" s="1"/>
  <c r="F52" i="19"/>
  <c r="F12" i="19"/>
  <c r="F50" i="19"/>
  <c r="F455" i="18"/>
  <c r="H455" i="18" s="1"/>
  <c r="F10" i="19"/>
  <c r="F8" i="19"/>
  <c r="F485" i="18"/>
  <c r="G485" i="18" s="1"/>
  <c r="F469" i="18"/>
  <c r="G469" i="18" s="1"/>
  <c r="F461" i="18"/>
  <c r="G461" i="18" s="1"/>
  <c r="F457" i="18"/>
  <c r="H457" i="18" s="1"/>
  <c r="F185" i="19"/>
  <c r="G185" i="19" s="1"/>
  <c r="F281" i="18"/>
  <c r="F386" i="18"/>
  <c r="H241" i="18"/>
  <c r="H238" i="18"/>
  <c r="F192" i="18"/>
  <c r="G192" i="18" s="1"/>
  <c r="H228" i="18"/>
  <c r="F176" i="18"/>
  <c r="H176" i="18" s="1"/>
  <c r="F168" i="18"/>
  <c r="G168" i="18" s="1"/>
  <c r="F269" i="18"/>
  <c r="F240" i="18"/>
  <c r="F238" i="18"/>
  <c r="F234" i="18"/>
  <c r="F232" i="18"/>
  <c r="F228" i="18"/>
  <c r="H227" i="18"/>
  <c r="F224" i="18"/>
  <c r="H223" i="18"/>
  <c r="H222" i="18"/>
  <c r="F277" i="18"/>
  <c r="F202" i="18"/>
  <c r="G202" i="18" s="1"/>
  <c r="F196" i="18"/>
  <c r="G196" i="18" s="1"/>
  <c r="F194" i="18"/>
  <c r="G194" i="18" s="1"/>
  <c r="F184" i="18"/>
  <c r="H184" i="18" s="1"/>
  <c r="F180" i="18"/>
  <c r="G180" i="18" s="1"/>
  <c r="F178" i="18"/>
  <c r="H178" i="18" s="1"/>
  <c r="F267" i="18"/>
  <c r="H254" i="18"/>
  <c r="F321" i="18"/>
  <c r="F279" i="18"/>
  <c r="H410" i="18"/>
  <c r="H529" i="18"/>
  <c r="H508" i="18"/>
  <c r="G52" i="19"/>
  <c r="G50" i="19"/>
  <c r="F16" i="19"/>
  <c r="G16" i="19" s="1"/>
  <c r="G12" i="19"/>
  <c r="G10" i="19"/>
  <c r="G8" i="19"/>
  <c r="G6" i="19"/>
  <c r="F106" i="19"/>
  <c r="G106" i="19" s="1"/>
  <c r="F105" i="19"/>
  <c r="H105" i="19" s="1"/>
  <c r="F104" i="19"/>
  <c r="G104" i="19" s="1"/>
  <c r="F102" i="19"/>
  <c r="G102" i="19" s="1"/>
  <c r="F101" i="19"/>
  <c r="H101" i="19" s="1"/>
  <c r="F100" i="19"/>
  <c r="G100" i="19" s="1"/>
  <c r="F98" i="19"/>
  <c r="G98" i="19" s="1"/>
  <c r="F97" i="19"/>
  <c r="H97" i="19" s="1"/>
  <c r="F96" i="19"/>
  <c r="G96" i="19" s="1"/>
  <c r="F94" i="19"/>
  <c r="G94" i="19" s="1"/>
  <c r="F93" i="19"/>
  <c r="H93" i="19" s="1"/>
  <c r="F92" i="19"/>
  <c r="G92" i="19" s="1"/>
  <c r="F90" i="19"/>
  <c r="G90" i="19" s="1"/>
  <c r="F89" i="19"/>
  <c r="H89" i="19" s="1"/>
  <c r="F88" i="19"/>
  <c r="G88" i="19" s="1"/>
  <c r="F86" i="19"/>
  <c r="G86" i="19" s="1"/>
  <c r="F85" i="19"/>
  <c r="H85" i="19" s="1"/>
  <c r="F84" i="19"/>
  <c r="H84" i="19" s="1"/>
  <c r="F82" i="19"/>
  <c r="G82" i="19" s="1"/>
  <c r="F81" i="19"/>
  <c r="H81" i="19" s="1"/>
  <c r="F80" i="19"/>
  <c r="G80" i="19" s="1"/>
  <c r="F79" i="19"/>
  <c r="H79" i="19" s="1"/>
  <c r="F78" i="19"/>
  <c r="G78" i="19" s="1"/>
  <c r="F77" i="19"/>
  <c r="G77" i="19" s="1"/>
  <c r="F76" i="19"/>
  <c r="G76" i="19" s="1"/>
  <c r="F75" i="19"/>
  <c r="H75" i="19" s="1"/>
  <c r="F207" i="19"/>
  <c r="G207" i="19" s="1"/>
  <c r="F203" i="19"/>
  <c r="G203" i="19" s="1"/>
  <c r="F201" i="19"/>
  <c r="G201" i="19" s="1"/>
  <c r="F200" i="19"/>
  <c r="G200" i="19" s="1"/>
  <c r="F175" i="19"/>
  <c r="G175" i="19" s="1"/>
  <c r="F171" i="19"/>
  <c r="G171" i="19" s="1"/>
  <c r="F169" i="19"/>
  <c r="G169" i="19" s="1"/>
  <c r="F354" i="19"/>
  <c r="G354" i="19" s="1"/>
  <c r="F346" i="19"/>
  <c r="G346" i="19" s="1"/>
  <c r="F342" i="19"/>
  <c r="G342" i="19" s="1"/>
  <c r="F340" i="19"/>
  <c r="H340" i="19" s="1"/>
  <c r="F338" i="19"/>
  <c r="G338" i="19" s="1"/>
  <c r="F334" i="19"/>
  <c r="G334" i="19" s="1"/>
  <c r="F332" i="19"/>
  <c r="G332" i="19" s="1"/>
  <c r="F74" i="19"/>
  <c r="G74" i="19" s="1"/>
  <c r="F73" i="19"/>
  <c r="H73" i="19" s="1"/>
  <c r="F72" i="19"/>
  <c r="G72" i="19" s="1"/>
  <c r="F71" i="19"/>
  <c r="H71" i="19" s="1"/>
  <c r="F70" i="19"/>
  <c r="G70" i="19" s="1"/>
  <c r="F69" i="19"/>
  <c r="H69" i="19" s="1"/>
  <c r="F68" i="19"/>
  <c r="G68" i="19" s="1"/>
  <c r="F67" i="19"/>
  <c r="H67" i="19" s="1"/>
  <c r="F66" i="19"/>
  <c r="G66" i="19" s="1"/>
  <c r="F65" i="19"/>
  <c r="H65" i="19" s="1"/>
  <c r="F64" i="19"/>
  <c r="G64" i="19" s="1"/>
  <c r="F63" i="19"/>
  <c r="H63" i="19" s="1"/>
  <c r="F62" i="19"/>
  <c r="G62" i="19" s="1"/>
  <c r="F61" i="19"/>
  <c r="H61" i="19" s="1"/>
  <c r="F60" i="19"/>
  <c r="G60" i="19" s="1"/>
  <c r="F59" i="19"/>
  <c r="H59" i="19" s="1"/>
  <c r="F216" i="19"/>
  <c r="G216" i="19" s="1"/>
  <c r="F213" i="19"/>
  <c r="G213" i="19" s="1"/>
  <c r="F212" i="19"/>
  <c r="H212" i="19" s="1"/>
  <c r="F209" i="19"/>
  <c r="G209" i="19" s="1"/>
  <c r="F208" i="19"/>
  <c r="G208" i="19" s="1"/>
  <c r="F195" i="19"/>
  <c r="G195" i="19" s="1"/>
  <c r="F193" i="19"/>
  <c r="H193" i="19" s="1"/>
  <c r="F192" i="19"/>
  <c r="H192" i="19" s="1"/>
  <c r="F179" i="19"/>
  <c r="G179" i="19" s="1"/>
  <c r="F177" i="19"/>
  <c r="G177" i="19" s="1"/>
  <c r="F51" i="19"/>
  <c r="F215" i="19"/>
  <c r="G215" i="19" s="1"/>
  <c r="F211" i="19"/>
  <c r="G211" i="19" s="1"/>
  <c r="F205" i="19"/>
  <c r="G205" i="19" s="1"/>
  <c r="F204" i="19"/>
  <c r="G204" i="19" s="1"/>
  <c r="F197" i="19"/>
  <c r="G197" i="19" s="1"/>
  <c r="F196" i="19"/>
  <c r="G196" i="19" s="1"/>
  <c r="F189" i="19"/>
  <c r="G189" i="19" s="1"/>
  <c r="F181" i="19"/>
  <c r="G181" i="19" s="1"/>
  <c r="F173" i="19"/>
  <c r="G173" i="19" s="1"/>
  <c r="F11" i="19"/>
  <c r="H100" i="19"/>
  <c r="H88" i="19"/>
  <c r="H53" i="19"/>
  <c r="H17" i="19"/>
  <c r="H13" i="19"/>
  <c r="H11" i="19"/>
  <c r="H5" i="19"/>
  <c r="H51" i="19"/>
  <c r="H15" i="19"/>
  <c r="H9" i="19"/>
  <c r="H7" i="19"/>
  <c r="F53" i="19"/>
  <c r="F17" i="19"/>
  <c r="F15" i="19"/>
  <c r="F13" i="19"/>
  <c r="F9" i="19"/>
  <c r="F107" i="19"/>
  <c r="F103" i="19"/>
  <c r="F99" i="19"/>
  <c r="F95" i="19"/>
  <c r="F91" i="19"/>
  <c r="F87" i="19"/>
  <c r="F83" i="19"/>
  <c r="F214" i="19"/>
  <c r="H214" i="19" s="1"/>
  <c r="F210" i="19"/>
  <c r="H210" i="19" s="1"/>
  <c r="F206" i="19"/>
  <c r="H206" i="19" s="1"/>
  <c r="F202" i="19"/>
  <c r="H202" i="19" s="1"/>
  <c r="F198" i="19"/>
  <c r="H198" i="19" s="1"/>
  <c r="F194" i="19"/>
  <c r="H194" i="19" s="1"/>
  <c r="F190" i="19"/>
  <c r="H190" i="19" s="1"/>
  <c r="F188" i="19"/>
  <c r="H188" i="19" s="1"/>
  <c r="F186" i="19"/>
  <c r="H186" i="19" s="1"/>
  <c r="F184" i="19"/>
  <c r="H184" i="19" s="1"/>
  <c r="F182" i="19"/>
  <c r="H182" i="19" s="1"/>
  <c r="F180" i="19"/>
  <c r="H180" i="19" s="1"/>
  <c r="F178" i="19"/>
  <c r="H178" i="19" s="1"/>
  <c r="F176" i="19"/>
  <c r="H176" i="19" s="1"/>
  <c r="F174" i="19"/>
  <c r="H174" i="19" s="1"/>
  <c r="F172" i="19"/>
  <c r="H172" i="19" s="1"/>
  <c r="F170" i="19"/>
  <c r="H170" i="19" s="1"/>
  <c r="F168" i="19"/>
  <c r="H168" i="19" s="1"/>
  <c r="F362" i="19"/>
  <c r="G362" i="19" s="1"/>
  <c r="F358" i="19"/>
  <c r="G358" i="19" s="1"/>
  <c r="F356" i="19"/>
  <c r="G356" i="19" s="1"/>
  <c r="F355" i="19"/>
  <c r="H355" i="19" s="1"/>
  <c r="F364" i="19"/>
  <c r="G364" i="19" s="1"/>
  <c r="F363" i="19"/>
  <c r="G363" i="19" s="1"/>
  <c r="F350" i="19"/>
  <c r="H350" i="19" s="1"/>
  <c r="F348" i="19"/>
  <c r="G348" i="19" s="1"/>
  <c r="F366" i="19"/>
  <c r="G366" i="19" s="1"/>
  <c r="F360" i="19"/>
  <c r="G360" i="19" s="1"/>
  <c r="F359" i="19"/>
  <c r="G359" i="19" s="1"/>
  <c r="F352" i="19"/>
  <c r="G352" i="19" s="1"/>
  <c r="F344" i="19"/>
  <c r="G344" i="19" s="1"/>
  <c r="F336" i="19"/>
  <c r="G336" i="19" s="1"/>
  <c r="F378" i="19"/>
  <c r="G378" i="19" s="1"/>
  <c r="F377" i="19"/>
  <c r="H377" i="19" s="1"/>
  <c r="F376" i="19"/>
  <c r="H376" i="19" s="1"/>
  <c r="F374" i="19"/>
  <c r="G374" i="19" s="1"/>
  <c r="F373" i="19"/>
  <c r="H373" i="19" s="1"/>
  <c r="F372" i="19"/>
  <c r="G372" i="19" s="1"/>
  <c r="F370" i="19"/>
  <c r="G370" i="19" s="1"/>
  <c r="F369" i="19"/>
  <c r="H369" i="19" s="1"/>
  <c r="F368" i="19"/>
  <c r="H368" i="19" s="1"/>
  <c r="F367" i="19"/>
  <c r="G367" i="19" s="1"/>
  <c r="F379" i="19"/>
  <c r="F375" i="19"/>
  <c r="F371" i="19"/>
  <c r="F365" i="19"/>
  <c r="H365" i="19" s="1"/>
  <c r="F361" i="19"/>
  <c r="H361" i="19" s="1"/>
  <c r="F357" i="19"/>
  <c r="H357" i="19" s="1"/>
  <c r="F353" i="19"/>
  <c r="H353" i="19" s="1"/>
  <c r="F351" i="19"/>
  <c r="G351" i="19" s="1"/>
  <c r="F349" i="19"/>
  <c r="G349" i="19" s="1"/>
  <c r="F347" i="19"/>
  <c r="G347" i="19" s="1"/>
  <c r="F345" i="19"/>
  <c r="H345" i="19" s="1"/>
  <c r="F343" i="19"/>
  <c r="G343" i="19" s="1"/>
  <c r="F341" i="19"/>
  <c r="H341" i="19" s="1"/>
  <c r="F339" i="19"/>
  <c r="G339" i="19" s="1"/>
  <c r="F337" i="19"/>
  <c r="G337" i="19" s="1"/>
  <c r="F335" i="19"/>
  <c r="G335" i="19" s="1"/>
  <c r="F333" i="19"/>
  <c r="G333" i="19" s="1"/>
  <c r="F331" i="19"/>
  <c r="G331" i="19" s="1"/>
  <c r="F283" i="18"/>
  <c r="H301" i="18"/>
  <c r="F402" i="18"/>
  <c r="H537" i="18"/>
  <c r="H500" i="18"/>
  <c r="H313" i="18"/>
  <c r="F297" i="18"/>
  <c r="F426" i="18"/>
  <c r="F416" i="18"/>
  <c r="F410" i="18"/>
  <c r="F394" i="18"/>
  <c r="H521" i="18"/>
  <c r="H513" i="18"/>
  <c r="F323" i="18"/>
  <c r="F315" i="18"/>
  <c r="F313" i="18"/>
  <c r="F299" i="18"/>
  <c r="F285" i="18"/>
  <c r="F432" i="18"/>
  <c r="F424" i="18"/>
  <c r="F418" i="18"/>
  <c r="F408" i="18"/>
  <c r="F400" i="18"/>
  <c r="F392" i="18"/>
  <c r="F384" i="18"/>
  <c r="F486" i="18"/>
  <c r="H486" i="18" s="1"/>
  <c r="H291" i="18"/>
  <c r="F477" i="18"/>
  <c r="G477" i="18" s="1"/>
  <c r="F473" i="18"/>
  <c r="G473" i="18" s="1"/>
  <c r="F471" i="18"/>
  <c r="H471" i="18" s="1"/>
  <c r="F470" i="18"/>
  <c r="G470" i="18" s="1"/>
  <c r="F445" i="18"/>
  <c r="G445" i="18" s="1"/>
  <c r="F441" i="18"/>
  <c r="H441" i="18" s="1"/>
  <c r="F439" i="18"/>
  <c r="G439" i="18" s="1"/>
  <c r="F200" i="18"/>
  <c r="G200" i="18" s="1"/>
  <c r="F188" i="18"/>
  <c r="H188" i="18" s="1"/>
  <c r="F186" i="18"/>
  <c r="H186" i="18" s="1"/>
  <c r="F172" i="18"/>
  <c r="H172" i="18" s="1"/>
  <c r="F170" i="18"/>
  <c r="H170" i="18" s="1"/>
  <c r="H262" i="18"/>
  <c r="H250" i="18"/>
  <c r="G313" i="18"/>
  <c r="F481" i="18"/>
  <c r="G481" i="18" s="1"/>
  <c r="F479" i="18"/>
  <c r="G479" i="18" s="1"/>
  <c r="F478" i="18"/>
  <c r="G478" i="18" s="1"/>
  <c r="F465" i="18"/>
  <c r="G465" i="18" s="1"/>
  <c r="F463" i="18"/>
  <c r="G463" i="18" s="1"/>
  <c r="F462" i="18"/>
  <c r="H462" i="18" s="1"/>
  <c r="F449" i="18"/>
  <c r="G449" i="18" s="1"/>
  <c r="F447" i="18"/>
  <c r="H447" i="18" s="1"/>
  <c r="F533" i="18"/>
  <c r="H532" i="18"/>
  <c r="F529" i="18"/>
  <c r="F525" i="18"/>
  <c r="F521" i="18"/>
  <c r="H519" i="18"/>
  <c r="F517" i="18"/>
  <c r="F513" i="18"/>
  <c r="H510" i="18"/>
  <c r="F508" i="18"/>
  <c r="F504" i="18"/>
  <c r="F500" i="18"/>
  <c r="H499" i="18"/>
  <c r="F496" i="18"/>
  <c r="H495" i="18"/>
  <c r="F198" i="18"/>
  <c r="G198" i="18" s="1"/>
  <c r="F190" i="18"/>
  <c r="G190" i="18" s="1"/>
  <c r="F182" i="18"/>
  <c r="H182" i="18" s="1"/>
  <c r="F174" i="18"/>
  <c r="H174" i="18" s="1"/>
  <c r="F262" i="18"/>
  <c r="F254" i="18"/>
  <c r="F252" i="18"/>
  <c r="F250" i="18"/>
  <c r="F248" i="18"/>
  <c r="H247" i="18"/>
  <c r="F244" i="18"/>
  <c r="F222" i="18"/>
  <c r="F319" i="18"/>
  <c r="H319" i="18"/>
  <c r="H311" i="18"/>
  <c r="C307" i="18"/>
  <c r="C305" i="18"/>
  <c r="C295" i="18"/>
  <c r="F295" i="18"/>
  <c r="C430" i="18"/>
  <c r="F430" i="18"/>
  <c r="C420" i="18"/>
  <c r="F420" i="18"/>
  <c r="C414" i="18"/>
  <c r="F414" i="18"/>
  <c r="C404" i="18"/>
  <c r="F404" i="18"/>
  <c r="C398" i="18"/>
  <c r="F398" i="18"/>
  <c r="C388" i="18"/>
  <c r="F388" i="18"/>
  <c r="C293" i="18"/>
  <c r="F293" i="18"/>
  <c r="C291" i="18"/>
  <c r="G291" i="18"/>
  <c r="C289" i="18"/>
  <c r="C287" i="18"/>
  <c r="C275" i="18"/>
  <c r="F275" i="18"/>
  <c r="C428" i="18"/>
  <c r="F428" i="18"/>
  <c r="C422" i="18"/>
  <c r="F422" i="18"/>
  <c r="H414" i="18"/>
  <c r="C412" i="18"/>
  <c r="F412" i="18"/>
  <c r="C406" i="18"/>
  <c r="F406" i="18"/>
  <c r="C396" i="18"/>
  <c r="F396" i="18"/>
  <c r="C390" i="18"/>
  <c r="F390" i="18"/>
  <c r="H388" i="18"/>
  <c r="F374" i="18"/>
  <c r="G374" i="18" s="1"/>
  <c r="F372" i="18"/>
  <c r="G372" i="18" s="1"/>
  <c r="F371" i="18"/>
  <c r="H371" i="18" s="1"/>
  <c r="F366" i="18"/>
  <c r="G366" i="18" s="1"/>
  <c r="F364" i="18"/>
  <c r="G364" i="18" s="1"/>
  <c r="F363" i="18"/>
  <c r="H363" i="18" s="1"/>
  <c r="F358" i="18"/>
  <c r="H358" i="18" s="1"/>
  <c r="F356" i="18"/>
  <c r="G356" i="18" s="1"/>
  <c r="F355" i="18"/>
  <c r="H355" i="18" s="1"/>
  <c r="F483" i="18"/>
  <c r="H483" i="18" s="1"/>
  <c r="F482" i="18"/>
  <c r="G482" i="18" s="1"/>
  <c r="F475" i="18"/>
  <c r="H475" i="18" s="1"/>
  <c r="F474" i="18"/>
  <c r="G474" i="18" s="1"/>
  <c r="F467" i="18"/>
  <c r="H467" i="18" s="1"/>
  <c r="F466" i="18"/>
  <c r="G466" i="18" s="1"/>
  <c r="F459" i="18"/>
  <c r="H459" i="18" s="1"/>
  <c r="F451" i="18"/>
  <c r="G451" i="18" s="1"/>
  <c r="F443" i="18"/>
  <c r="H443" i="18" s="1"/>
  <c r="F541" i="18"/>
  <c r="F539" i="18"/>
  <c r="F537" i="18"/>
  <c r="F535" i="18"/>
  <c r="H534" i="18"/>
  <c r="F531" i="18"/>
  <c r="F527" i="18"/>
  <c r="H526" i="18"/>
  <c r="F523" i="18"/>
  <c r="H522" i="18"/>
  <c r="F519" i="18"/>
  <c r="F515" i="18"/>
  <c r="H514" i="18"/>
  <c r="F510" i="18"/>
  <c r="H509" i="18"/>
  <c r="F506" i="18"/>
  <c r="F502" i="18"/>
  <c r="F498" i="18"/>
  <c r="F494" i="18"/>
  <c r="H493" i="18"/>
  <c r="F214" i="18"/>
  <c r="G214" i="18" s="1"/>
  <c r="F213" i="18"/>
  <c r="H213" i="18" s="1"/>
  <c r="F212" i="18"/>
  <c r="G212" i="18" s="1"/>
  <c r="F210" i="18"/>
  <c r="G210" i="18" s="1"/>
  <c r="F209" i="18"/>
  <c r="H209" i="18" s="1"/>
  <c r="F208" i="18"/>
  <c r="H208" i="18" s="1"/>
  <c r="C264" i="18"/>
  <c r="F264" i="18"/>
  <c r="C260" i="18"/>
  <c r="F260" i="18"/>
  <c r="C258" i="18"/>
  <c r="F258" i="18"/>
  <c r="C256" i="18"/>
  <c r="F256" i="18"/>
  <c r="C242" i="18"/>
  <c r="F242" i="18"/>
  <c r="C230" i="18"/>
  <c r="F230" i="18"/>
  <c r="H221" i="18"/>
  <c r="C311" i="18"/>
  <c r="G311" i="18"/>
  <c r="C309" i="18"/>
  <c r="C246" i="18"/>
  <c r="F246" i="18"/>
  <c r="C236" i="18"/>
  <c r="F236" i="18"/>
  <c r="C226" i="18"/>
  <c r="F226" i="18"/>
  <c r="C319" i="18"/>
  <c r="G319" i="18"/>
  <c r="C317" i="18"/>
  <c r="C303" i="18"/>
  <c r="C301" i="18"/>
  <c r="G301" i="18"/>
  <c r="C429" i="18"/>
  <c r="F429" i="18"/>
  <c r="C425" i="18"/>
  <c r="F425" i="18"/>
  <c r="C421" i="18"/>
  <c r="F421" i="18"/>
  <c r="C417" i="18"/>
  <c r="F417" i="18"/>
  <c r="C413" i="18"/>
  <c r="F413" i="18"/>
  <c r="C409" i="18"/>
  <c r="F409" i="18"/>
  <c r="C405" i="18"/>
  <c r="F405" i="18"/>
  <c r="C401" i="18"/>
  <c r="F401" i="18"/>
  <c r="C397" i="18"/>
  <c r="F397" i="18"/>
  <c r="C393" i="18"/>
  <c r="F393" i="18"/>
  <c r="C389" i="18"/>
  <c r="F389" i="18"/>
  <c r="C385" i="18"/>
  <c r="F385" i="18"/>
  <c r="F206" i="18"/>
  <c r="G206" i="18" s="1"/>
  <c r="F205" i="18"/>
  <c r="H205" i="18" s="1"/>
  <c r="F204" i="18"/>
  <c r="H204" i="18" s="1"/>
  <c r="F203" i="18"/>
  <c r="H203" i="18" s="1"/>
  <c r="F199" i="18"/>
  <c r="H199" i="18" s="1"/>
  <c r="F195" i="18"/>
  <c r="H195" i="18" s="1"/>
  <c r="F191" i="18"/>
  <c r="G191" i="18" s="1"/>
  <c r="F376" i="18"/>
  <c r="G376" i="18" s="1"/>
  <c r="F375" i="18"/>
  <c r="H375" i="18" s="1"/>
  <c r="F370" i="18"/>
  <c r="F368" i="18"/>
  <c r="G368" i="18" s="1"/>
  <c r="F367" i="18"/>
  <c r="H367" i="18" s="1"/>
  <c r="C431" i="18"/>
  <c r="F431" i="18"/>
  <c r="H429" i="18"/>
  <c r="C427" i="18"/>
  <c r="F427" i="18"/>
  <c r="C423" i="18"/>
  <c r="F423" i="18"/>
  <c r="C419" i="18"/>
  <c r="F419" i="18"/>
  <c r="C415" i="18"/>
  <c r="F415" i="18"/>
  <c r="C411" i="18"/>
  <c r="F411" i="18"/>
  <c r="C407" i="18"/>
  <c r="F407" i="18"/>
  <c r="H405" i="18"/>
  <c r="C403" i="18"/>
  <c r="F403" i="18"/>
  <c r="H401" i="18"/>
  <c r="C399" i="18"/>
  <c r="F399" i="18"/>
  <c r="C395" i="18"/>
  <c r="F395" i="18"/>
  <c r="C391" i="18"/>
  <c r="F391" i="18"/>
  <c r="C387" i="18"/>
  <c r="F387" i="18"/>
  <c r="F362" i="18"/>
  <c r="F360" i="18"/>
  <c r="G360" i="18" s="1"/>
  <c r="F359" i="18"/>
  <c r="H359" i="18" s="1"/>
  <c r="F354" i="18"/>
  <c r="F352" i="18"/>
  <c r="G352" i="18" s="1"/>
  <c r="F351" i="18"/>
  <c r="H351" i="18" s="1"/>
  <c r="F350" i="18"/>
  <c r="G350" i="18" s="1"/>
  <c r="F349" i="18"/>
  <c r="G349" i="18" s="1"/>
  <c r="F348" i="18"/>
  <c r="H348" i="18" s="1"/>
  <c r="F347" i="18"/>
  <c r="G347" i="18" s="1"/>
  <c r="F346" i="18"/>
  <c r="H346" i="18" s="1"/>
  <c r="F345" i="18"/>
  <c r="G345" i="18" s="1"/>
  <c r="F344" i="18"/>
  <c r="H344" i="18" s="1"/>
  <c r="F343" i="18"/>
  <c r="G343" i="18" s="1"/>
  <c r="F342" i="18"/>
  <c r="H342" i="18" s="1"/>
  <c r="F341" i="18"/>
  <c r="G341" i="18" s="1"/>
  <c r="F340" i="18"/>
  <c r="H340" i="18" s="1"/>
  <c r="F339" i="18"/>
  <c r="G339" i="18" s="1"/>
  <c r="F338" i="18"/>
  <c r="H338" i="18" s="1"/>
  <c r="F337" i="18"/>
  <c r="G337" i="18" s="1"/>
  <c r="F336" i="18"/>
  <c r="H336" i="18" s="1"/>
  <c r="F335" i="18"/>
  <c r="G335" i="18" s="1"/>
  <c r="F334" i="18"/>
  <c r="H334" i="18" s="1"/>
  <c r="F333" i="18"/>
  <c r="G333" i="18" s="1"/>
  <c r="F332" i="18"/>
  <c r="H332" i="18" s="1"/>
  <c r="F331" i="18"/>
  <c r="G331" i="18" s="1"/>
  <c r="F330" i="18"/>
  <c r="H330" i="18" s="1"/>
  <c r="F329" i="18"/>
  <c r="G329" i="18" s="1"/>
  <c r="G537" i="18"/>
  <c r="F534" i="18"/>
  <c r="F532" i="18"/>
  <c r="F530" i="18"/>
  <c r="F528" i="18"/>
  <c r="F526" i="18"/>
  <c r="F524" i="18"/>
  <c r="F522" i="18"/>
  <c r="F520" i="18"/>
  <c r="F518" i="18"/>
  <c r="F516" i="18"/>
  <c r="F514" i="18"/>
  <c r="F512" i="18"/>
  <c r="F511" i="18"/>
  <c r="F509" i="18"/>
  <c r="F507" i="18"/>
  <c r="F505" i="18"/>
  <c r="F503" i="18"/>
  <c r="F501" i="18"/>
  <c r="F499" i="18"/>
  <c r="F497" i="18"/>
  <c r="F495" i="18"/>
  <c r="F493" i="18"/>
  <c r="C251" i="18"/>
  <c r="F251" i="18"/>
  <c r="C245" i="18"/>
  <c r="F245" i="18"/>
  <c r="C239" i="18"/>
  <c r="F239" i="18"/>
  <c r="C235" i="18"/>
  <c r="F235" i="18"/>
  <c r="C231" i="18"/>
  <c r="F231" i="18"/>
  <c r="C225" i="18"/>
  <c r="F225" i="18"/>
  <c r="C318" i="18"/>
  <c r="F318" i="18"/>
  <c r="C310" i="18"/>
  <c r="F310" i="18"/>
  <c r="C302" i="18"/>
  <c r="F302" i="18"/>
  <c r="H302" i="18"/>
  <c r="C294" i="18"/>
  <c r="F294" i="18"/>
  <c r="H294" i="18"/>
  <c r="F215" i="18"/>
  <c r="F211" i="18"/>
  <c r="F207" i="18"/>
  <c r="C268" i="18"/>
  <c r="F268" i="18"/>
  <c r="C266" i="18"/>
  <c r="F266" i="18"/>
  <c r="C265" i="18"/>
  <c r="F265" i="18"/>
  <c r="H265" i="18"/>
  <c r="C257" i="18"/>
  <c r="G257" i="18"/>
  <c r="F257" i="18"/>
  <c r="C249" i="18"/>
  <c r="G249" i="18"/>
  <c r="F249" i="18"/>
  <c r="C237" i="18"/>
  <c r="G237" i="18"/>
  <c r="F237" i="18"/>
  <c r="C322" i="18"/>
  <c r="F322" i="18"/>
  <c r="H322" i="18"/>
  <c r="C314" i="18"/>
  <c r="F314" i="18"/>
  <c r="H314" i="18"/>
  <c r="C306" i="18"/>
  <c r="F306" i="18"/>
  <c r="C298" i="18"/>
  <c r="F298" i="18"/>
  <c r="C290" i="18"/>
  <c r="F290" i="18"/>
  <c r="F201" i="18"/>
  <c r="H201" i="18" s="1"/>
  <c r="F197" i="18"/>
  <c r="H197" i="18" s="1"/>
  <c r="F193" i="18"/>
  <c r="H193" i="18" s="1"/>
  <c r="F189" i="18"/>
  <c r="H189" i="18" s="1"/>
  <c r="F187" i="18"/>
  <c r="H187" i="18" s="1"/>
  <c r="F185" i="18"/>
  <c r="H185" i="18" s="1"/>
  <c r="F183" i="18"/>
  <c r="G183" i="18" s="1"/>
  <c r="F181" i="18"/>
  <c r="H181" i="18" s="1"/>
  <c r="F179" i="18"/>
  <c r="H179" i="18" s="1"/>
  <c r="F177" i="18"/>
  <c r="H177" i="18" s="1"/>
  <c r="F175" i="18"/>
  <c r="G175" i="18" s="1"/>
  <c r="F173" i="18"/>
  <c r="H173" i="18" s="1"/>
  <c r="F171" i="18"/>
  <c r="H171" i="18" s="1"/>
  <c r="F169" i="18"/>
  <c r="H169" i="18" s="1"/>
  <c r="F167" i="18"/>
  <c r="G167" i="18" s="1"/>
  <c r="C263" i="18"/>
  <c r="C261" i="18"/>
  <c r="C259" i="18"/>
  <c r="C255" i="18"/>
  <c r="C253" i="18"/>
  <c r="C247" i="18"/>
  <c r="G247" i="18"/>
  <c r="C243" i="18"/>
  <c r="C241" i="18"/>
  <c r="G241" i="18"/>
  <c r="C233" i="18"/>
  <c r="C229" i="18"/>
  <c r="C227" i="18"/>
  <c r="G227" i="18"/>
  <c r="C223" i="18"/>
  <c r="G223" i="18"/>
  <c r="C221" i="18"/>
  <c r="G221" i="18"/>
  <c r="C320" i="18"/>
  <c r="F320" i="18"/>
  <c r="C316" i="18"/>
  <c r="F316" i="18"/>
  <c r="C312" i="18"/>
  <c r="F312" i="18"/>
  <c r="C308" i="18"/>
  <c r="F308" i="18"/>
  <c r="C304" i="18"/>
  <c r="F304" i="18"/>
  <c r="C300" i="18"/>
  <c r="F300" i="18"/>
  <c r="C296" i="18"/>
  <c r="F296" i="18"/>
  <c r="C292" i="18"/>
  <c r="F292" i="18"/>
  <c r="C288" i="18"/>
  <c r="F288" i="18"/>
  <c r="C284" i="18"/>
  <c r="F284" i="18"/>
  <c r="C280" i="18"/>
  <c r="F280" i="18"/>
  <c r="C276" i="18"/>
  <c r="F276" i="18"/>
  <c r="C286" i="18"/>
  <c r="F286" i="18"/>
  <c r="C282" i="18"/>
  <c r="F282" i="18"/>
  <c r="H280" i="18"/>
  <c r="C278" i="18"/>
  <c r="F278" i="18"/>
  <c r="C540" i="18"/>
  <c r="F540" i="18"/>
  <c r="F377" i="18"/>
  <c r="F373" i="18"/>
  <c r="F369" i="18"/>
  <c r="F365" i="18"/>
  <c r="F361" i="18"/>
  <c r="F357" i="18"/>
  <c r="F353" i="18"/>
  <c r="G422" i="18"/>
  <c r="G414" i="18"/>
  <c r="G410" i="18"/>
  <c r="G388" i="18"/>
  <c r="F484" i="18"/>
  <c r="F480" i="18"/>
  <c r="H480" i="18" s="1"/>
  <c r="F476" i="18"/>
  <c r="H476" i="18" s="1"/>
  <c r="F472" i="18"/>
  <c r="H472" i="18" s="1"/>
  <c r="F468" i="18"/>
  <c r="H468" i="18" s="1"/>
  <c r="F464" i="18"/>
  <c r="H464" i="18" s="1"/>
  <c r="F460" i="18"/>
  <c r="H460" i="18" s="1"/>
  <c r="F458" i="18"/>
  <c r="G458" i="18" s="1"/>
  <c r="F456" i="18"/>
  <c r="F454" i="18"/>
  <c r="G454" i="18" s="1"/>
  <c r="F452" i="18"/>
  <c r="G452" i="18" s="1"/>
  <c r="F450" i="18"/>
  <c r="G450" i="18" s="1"/>
  <c r="F448" i="18"/>
  <c r="G448" i="18" s="1"/>
  <c r="F446" i="18"/>
  <c r="H446" i="18" s="1"/>
  <c r="F444" i="18"/>
  <c r="G444" i="18" s="1"/>
  <c r="F442" i="18"/>
  <c r="H442" i="18" s="1"/>
  <c r="F440" i="18"/>
  <c r="F438" i="18"/>
  <c r="H438" i="18" s="1"/>
  <c r="G529" i="18"/>
  <c r="G521" i="18"/>
  <c r="G519" i="18"/>
  <c r="G513" i="18"/>
  <c r="G509" i="18"/>
  <c r="G499" i="18"/>
  <c r="G495" i="18"/>
  <c r="G493" i="18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F538" i="18"/>
  <c r="F536" i="18"/>
  <c r="G534" i="18"/>
  <c r="G532" i="18"/>
  <c r="G526" i="18"/>
  <c r="G522" i="18"/>
  <c r="G514" i="18"/>
  <c r="G510" i="18"/>
  <c r="G508" i="18"/>
  <c r="G500" i="18"/>
  <c r="G494" i="18"/>
  <c r="G429" i="18"/>
  <c r="G405" i="18"/>
  <c r="G401" i="18"/>
  <c r="G322" i="18"/>
  <c r="G320" i="18"/>
  <c r="G316" i="18"/>
  <c r="G314" i="18"/>
  <c r="G308" i="18"/>
  <c r="G304" i="18"/>
  <c r="G302" i="18"/>
  <c r="G296" i="18"/>
  <c r="G294" i="18"/>
  <c r="G282" i="18"/>
  <c r="G280" i="18"/>
  <c r="G278" i="18"/>
  <c r="G276" i="18"/>
  <c r="G262" i="18"/>
  <c r="G260" i="18"/>
  <c r="G254" i="18"/>
  <c r="G250" i="18"/>
  <c r="G242" i="18"/>
  <c r="G238" i="18"/>
  <c r="G236" i="18"/>
  <c r="G228" i="18"/>
  <c r="G222" i="18"/>
  <c r="H203" i="19" l="1"/>
  <c r="H180" i="18"/>
  <c r="G105" i="19"/>
  <c r="G75" i="19"/>
  <c r="H102" i="19"/>
  <c r="G65" i="19"/>
  <c r="H354" i="19"/>
  <c r="H187" i="19"/>
  <c r="H168" i="18"/>
  <c r="G85" i="19"/>
  <c r="G169" i="18"/>
  <c r="G376" i="19"/>
  <c r="H183" i="19"/>
  <c r="G176" i="18"/>
  <c r="G184" i="18"/>
  <c r="H77" i="19"/>
  <c r="H185" i="19"/>
  <c r="H94" i="19"/>
  <c r="G69" i="19"/>
  <c r="G73" i="19"/>
  <c r="H199" i="19"/>
  <c r="G177" i="18"/>
  <c r="G185" i="18"/>
  <c r="G178" i="18"/>
  <c r="G197" i="18"/>
  <c r="G203" i="18"/>
  <c r="H200" i="18"/>
  <c r="H364" i="18"/>
  <c r="H470" i="18"/>
  <c r="G336" i="18"/>
  <c r="G170" i="18"/>
  <c r="G208" i="18"/>
  <c r="H481" i="18"/>
  <c r="H190" i="18"/>
  <c r="G455" i="18"/>
  <c r="G344" i="18"/>
  <c r="H192" i="18"/>
  <c r="G190" i="19"/>
  <c r="H191" i="19"/>
  <c r="G341" i="19"/>
  <c r="H362" i="19"/>
  <c r="H370" i="19"/>
  <c r="G212" i="19"/>
  <c r="G186" i="19"/>
  <c r="H346" i="19"/>
  <c r="G453" i="18"/>
  <c r="H466" i="18"/>
  <c r="G193" i="18"/>
  <c r="G348" i="18"/>
  <c r="G172" i="18"/>
  <c r="G201" i="18"/>
  <c r="G213" i="18"/>
  <c r="G332" i="18"/>
  <c r="H465" i="18"/>
  <c r="H70" i="19"/>
  <c r="G340" i="18"/>
  <c r="H177" i="19"/>
  <c r="G84" i="19"/>
  <c r="H469" i="18"/>
  <c r="H195" i="19"/>
  <c r="G89" i="19"/>
  <c r="H473" i="18"/>
  <c r="G93" i="19"/>
  <c r="H347" i="19"/>
  <c r="H478" i="18"/>
  <c r="H338" i="19"/>
  <c r="G371" i="18"/>
  <c r="H448" i="18"/>
  <c r="H207" i="19"/>
  <c r="G441" i="18"/>
  <c r="G186" i="18"/>
  <c r="H359" i="19"/>
  <c r="H64" i="19"/>
  <c r="G209" i="18"/>
  <c r="H194" i="18"/>
  <c r="G79" i="19"/>
  <c r="H449" i="18"/>
  <c r="H196" i="18"/>
  <c r="H200" i="19"/>
  <c r="H72" i="19"/>
  <c r="G61" i="19"/>
  <c r="G204" i="18"/>
  <c r="G355" i="18"/>
  <c r="G81" i="19"/>
  <c r="H451" i="18"/>
  <c r="G359" i="18"/>
  <c r="H208" i="19"/>
  <c r="H80" i="19"/>
  <c r="H202" i="18"/>
  <c r="H485" i="18"/>
  <c r="H463" i="18"/>
  <c r="H201" i="19"/>
  <c r="G71" i="19"/>
  <c r="G205" i="18"/>
  <c r="H333" i="19"/>
  <c r="H209" i="19"/>
  <c r="H92" i="19"/>
  <c r="G101" i="19"/>
  <c r="G340" i="19"/>
  <c r="H62" i="19"/>
  <c r="G173" i="18"/>
  <c r="G438" i="18"/>
  <c r="H86" i="19"/>
  <c r="H378" i="19"/>
  <c r="G457" i="18"/>
  <c r="H191" i="18"/>
  <c r="G174" i="18"/>
  <c r="H342" i="19"/>
  <c r="G59" i="19"/>
  <c r="G188" i="18"/>
  <c r="G181" i="18"/>
  <c r="H352" i="18"/>
  <c r="H461" i="18"/>
  <c r="H458" i="18"/>
  <c r="G63" i="19"/>
  <c r="G462" i="18"/>
  <c r="G467" i="18"/>
  <c r="G97" i="19"/>
  <c r="G67" i="19"/>
  <c r="G170" i="19"/>
  <c r="H479" i="18"/>
  <c r="H445" i="18"/>
  <c r="G182" i="18"/>
  <c r="G358" i="18"/>
  <c r="H332" i="19"/>
  <c r="H356" i="19"/>
  <c r="H363" i="19"/>
  <c r="G193" i="19"/>
  <c r="H197" i="19"/>
  <c r="H78" i="19"/>
  <c r="G189" i="18"/>
  <c r="G443" i="18"/>
  <c r="G199" i="18"/>
  <c r="H198" i="18"/>
  <c r="H206" i="18"/>
  <c r="H210" i="18"/>
  <c r="H343" i="18"/>
  <c r="H477" i="18"/>
  <c r="G178" i="19"/>
  <c r="H366" i="19"/>
  <c r="G373" i="19"/>
  <c r="H331" i="19"/>
  <c r="H337" i="19"/>
  <c r="G345" i="19"/>
  <c r="H349" i="19"/>
  <c r="H439" i="18"/>
  <c r="G447" i="18"/>
  <c r="G471" i="18"/>
  <c r="G483" i="18"/>
  <c r="G486" i="18"/>
  <c r="H344" i="19"/>
  <c r="H364" i="19"/>
  <c r="H334" i="19"/>
  <c r="G350" i="19"/>
  <c r="H175" i="19"/>
  <c r="H179" i="19"/>
  <c r="H181" i="19"/>
  <c r="H196" i="19"/>
  <c r="H204" i="19"/>
  <c r="H216" i="19"/>
  <c r="H60" i="19"/>
  <c r="H66" i="19"/>
  <c r="H74" i="19"/>
  <c r="H96" i="19"/>
  <c r="H68" i="19"/>
  <c r="H76" i="19"/>
  <c r="H104" i="19"/>
  <c r="H167" i="18"/>
  <c r="G171" i="18"/>
  <c r="H175" i="18"/>
  <c r="G179" i="18"/>
  <c r="H183" i="18"/>
  <c r="G187" i="18"/>
  <c r="H335" i="18"/>
  <c r="H347" i="18"/>
  <c r="G446" i="18"/>
  <c r="H450" i="18"/>
  <c r="G368" i="19"/>
  <c r="H376" i="18"/>
  <c r="G472" i="18"/>
  <c r="G442" i="18"/>
  <c r="H454" i="18"/>
  <c r="H474" i="18"/>
  <c r="H482" i="18"/>
  <c r="G330" i="18"/>
  <c r="G334" i="18"/>
  <c r="G338" i="18"/>
  <c r="G342" i="18"/>
  <c r="G346" i="18"/>
  <c r="G195" i="18"/>
  <c r="H212" i="18"/>
  <c r="H171" i="19"/>
  <c r="H213" i="19"/>
  <c r="G192" i="19"/>
  <c r="H82" i="19"/>
  <c r="H90" i="19"/>
  <c r="H98" i="19"/>
  <c r="H106" i="19"/>
  <c r="G206" i="19"/>
  <c r="H211" i="19"/>
  <c r="H169" i="19"/>
  <c r="G198" i="19"/>
  <c r="G214" i="19"/>
  <c r="H189" i="19"/>
  <c r="H205" i="19"/>
  <c r="G194" i="19"/>
  <c r="G202" i="19"/>
  <c r="H215" i="19"/>
  <c r="G174" i="19"/>
  <c r="G182" i="19"/>
  <c r="H173" i="19"/>
  <c r="G210" i="19"/>
  <c r="G168" i="19"/>
  <c r="G172" i="19"/>
  <c r="G176" i="19"/>
  <c r="G180" i="19"/>
  <c r="G184" i="19"/>
  <c r="G188" i="19"/>
  <c r="H358" i="19"/>
  <c r="G365" i="19"/>
  <c r="H374" i="19"/>
  <c r="H352" i="19"/>
  <c r="G355" i="19"/>
  <c r="H83" i="19"/>
  <c r="G83" i="19"/>
  <c r="H91" i="19"/>
  <c r="G91" i="19"/>
  <c r="H99" i="19"/>
  <c r="G99" i="19"/>
  <c r="H107" i="19"/>
  <c r="G107" i="19"/>
  <c r="G357" i="19"/>
  <c r="H339" i="19"/>
  <c r="H348" i="19"/>
  <c r="H87" i="19"/>
  <c r="G87" i="19"/>
  <c r="H95" i="19"/>
  <c r="G95" i="19"/>
  <c r="H103" i="19"/>
  <c r="G103" i="19"/>
  <c r="H336" i="19"/>
  <c r="H360" i="19"/>
  <c r="H367" i="19"/>
  <c r="H372" i="19"/>
  <c r="G353" i="19"/>
  <c r="G361" i="19"/>
  <c r="G369" i="19"/>
  <c r="G377" i="19"/>
  <c r="H335" i="19"/>
  <c r="H343" i="19"/>
  <c r="H351" i="19"/>
  <c r="H371" i="19"/>
  <c r="G371" i="19"/>
  <c r="H379" i="19"/>
  <c r="G379" i="19"/>
  <c r="H375" i="19"/>
  <c r="G375" i="19"/>
  <c r="H356" i="18"/>
  <c r="H360" i="18"/>
  <c r="H368" i="18"/>
  <c r="H372" i="18"/>
  <c r="H331" i="18"/>
  <c r="H339" i="18"/>
  <c r="H345" i="18"/>
  <c r="H349" i="18"/>
  <c r="G459" i="18"/>
  <c r="G475" i="18"/>
  <c r="H350" i="18"/>
  <c r="H374" i="18"/>
  <c r="G464" i="18"/>
  <c r="G480" i="18"/>
  <c r="G440" i="18"/>
  <c r="H440" i="18"/>
  <c r="G456" i="18"/>
  <c r="H456" i="18"/>
  <c r="H484" i="18"/>
  <c r="G484" i="18"/>
  <c r="H366" i="18"/>
  <c r="H329" i="18"/>
  <c r="H333" i="18"/>
  <c r="H337" i="18"/>
  <c r="H341" i="18"/>
  <c r="H444" i="18"/>
  <c r="H452" i="18"/>
  <c r="H214" i="18"/>
  <c r="G351" i="18"/>
  <c r="G363" i="18"/>
  <c r="G367" i="18"/>
  <c r="G375" i="18"/>
  <c r="G460" i="18"/>
  <c r="G468" i="18"/>
  <c r="G476" i="18"/>
  <c r="G362" i="18"/>
  <c r="H362" i="18"/>
  <c r="G354" i="18"/>
  <c r="H354" i="18"/>
  <c r="G370" i="18"/>
  <c r="H370" i="18"/>
  <c r="H353" i="18"/>
  <c r="G353" i="18"/>
  <c r="H361" i="18"/>
  <c r="G361" i="18"/>
  <c r="H369" i="18"/>
  <c r="G369" i="18"/>
  <c r="H377" i="18"/>
  <c r="G377" i="18"/>
  <c r="H211" i="18"/>
  <c r="G211" i="18"/>
  <c r="H357" i="18"/>
  <c r="G357" i="18"/>
  <c r="H365" i="18"/>
  <c r="G365" i="18"/>
  <c r="H373" i="18"/>
  <c r="G373" i="18"/>
  <c r="H207" i="18"/>
  <c r="G207" i="18"/>
  <c r="H215" i="18"/>
  <c r="G215" i="18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O127" i="10"/>
  <c r="O128" i="10"/>
  <c r="O129" i="10"/>
  <c r="O130" i="10"/>
  <c r="O131" i="10"/>
  <c r="O13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A733" i="10"/>
  <c r="C733" i="10"/>
  <c r="E733" i="10"/>
  <c r="F733" i="10"/>
  <c r="A734" i="10"/>
  <c r="C734" i="10"/>
  <c r="E734" i="10"/>
  <c r="F734" i="10"/>
  <c r="A735" i="10"/>
  <c r="C735" i="10"/>
  <c r="E735" i="10"/>
  <c r="F735" i="10"/>
  <c r="A736" i="10"/>
  <c r="C736" i="10"/>
  <c r="E736" i="10"/>
  <c r="F736" i="10"/>
  <c r="A737" i="10"/>
  <c r="C737" i="10"/>
  <c r="E737" i="10"/>
  <c r="F737" i="10"/>
  <c r="A738" i="10"/>
  <c r="C738" i="10"/>
  <c r="E738" i="10"/>
  <c r="F738" i="10"/>
  <c r="A739" i="10"/>
  <c r="C739" i="10"/>
  <c r="E739" i="10"/>
  <c r="F739" i="10"/>
  <c r="A740" i="10"/>
  <c r="C740" i="10"/>
  <c r="E740" i="10"/>
  <c r="F740" i="10"/>
  <c r="A741" i="10"/>
  <c r="C741" i="10"/>
  <c r="E741" i="10"/>
  <c r="F741" i="10"/>
  <c r="A742" i="10"/>
  <c r="C742" i="10"/>
  <c r="E742" i="10"/>
  <c r="F742" i="10"/>
  <c r="A743" i="10"/>
  <c r="C743" i="10"/>
  <c r="E743" i="10"/>
  <c r="F743" i="10"/>
  <c r="A744" i="10"/>
  <c r="C744" i="10"/>
  <c r="E744" i="10"/>
  <c r="F744" i="10"/>
  <c r="A745" i="10"/>
  <c r="C745" i="10"/>
  <c r="E745" i="10"/>
  <c r="F745" i="10"/>
  <c r="A746" i="10"/>
  <c r="C746" i="10"/>
  <c r="E746" i="10"/>
  <c r="F746" i="10"/>
  <c r="A747" i="10"/>
  <c r="C747" i="10"/>
  <c r="E747" i="10"/>
  <c r="F747" i="10"/>
  <c r="A748" i="10"/>
  <c r="C748" i="10"/>
  <c r="E748" i="10"/>
  <c r="F748" i="10"/>
  <c r="A749" i="10"/>
  <c r="C749" i="10"/>
  <c r="E749" i="10"/>
  <c r="F749" i="10"/>
  <c r="A750" i="10"/>
  <c r="C750" i="10"/>
  <c r="E750" i="10"/>
  <c r="F750" i="10"/>
  <c r="A751" i="10"/>
  <c r="C751" i="10"/>
  <c r="E751" i="10"/>
  <c r="F751" i="10"/>
  <c r="A752" i="10"/>
  <c r="C752" i="10"/>
  <c r="E752" i="10"/>
  <c r="F752" i="10"/>
  <c r="A683" i="10"/>
  <c r="C683" i="10"/>
  <c r="E683" i="10"/>
  <c r="F683" i="10"/>
  <c r="A684" i="10"/>
  <c r="C684" i="10"/>
  <c r="E684" i="10"/>
  <c r="F684" i="10"/>
  <c r="A685" i="10"/>
  <c r="C685" i="10"/>
  <c r="E685" i="10"/>
  <c r="F685" i="10"/>
  <c r="A686" i="10"/>
  <c r="C686" i="10"/>
  <c r="E686" i="10"/>
  <c r="F686" i="10"/>
  <c r="A687" i="10"/>
  <c r="C687" i="10"/>
  <c r="E687" i="10"/>
  <c r="F687" i="10"/>
  <c r="A688" i="10"/>
  <c r="C688" i="10"/>
  <c r="E688" i="10"/>
  <c r="F688" i="10"/>
  <c r="A689" i="10"/>
  <c r="C689" i="10"/>
  <c r="E689" i="10"/>
  <c r="F689" i="10"/>
  <c r="A690" i="10"/>
  <c r="C690" i="10"/>
  <c r="E690" i="10"/>
  <c r="F690" i="10"/>
  <c r="A691" i="10"/>
  <c r="C691" i="10"/>
  <c r="E691" i="10"/>
  <c r="F691" i="10"/>
  <c r="A692" i="10"/>
  <c r="C692" i="10"/>
  <c r="E692" i="10"/>
  <c r="F692" i="10"/>
  <c r="A693" i="10"/>
  <c r="C693" i="10"/>
  <c r="E693" i="10"/>
  <c r="F693" i="10"/>
  <c r="A694" i="10"/>
  <c r="C694" i="10"/>
  <c r="E694" i="10"/>
  <c r="F694" i="10"/>
  <c r="A695" i="10"/>
  <c r="C695" i="10"/>
  <c r="E695" i="10"/>
  <c r="F695" i="10"/>
  <c r="A696" i="10"/>
  <c r="C696" i="10"/>
  <c r="E696" i="10"/>
  <c r="F696" i="10"/>
  <c r="A697" i="10"/>
  <c r="C697" i="10"/>
  <c r="E697" i="10"/>
  <c r="F697" i="10"/>
  <c r="A698" i="10"/>
  <c r="C698" i="10"/>
  <c r="E698" i="10"/>
  <c r="F698" i="10"/>
  <c r="A699" i="10"/>
  <c r="C699" i="10"/>
  <c r="E699" i="10"/>
  <c r="F699" i="10"/>
  <c r="A700" i="10"/>
  <c r="C700" i="10"/>
  <c r="E700" i="10"/>
  <c r="F700" i="10"/>
  <c r="A701" i="10"/>
  <c r="C701" i="10"/>
  <c r="E701" i="10"/>
  <c r="F701" i="10"/>
  <c r="A702" i="10"/>
  <c r="C702" i="10"/>
  <c r="E702" i="10"/>
  <c r="F702" i="10"/>
  <c r="A633" i="10"/>
  <c r="C633" i="10"/>
  <c r="E633" i="10"/>
  <c r="F633" i="10"/>
  <c r="A634" i="10"/>
  <c r="C634" i="10"/>
  <c r="E634" i="10"/>
  <c r="F634" i="10"/>
  <c r="A635" i="10"/>
  <c r="C635" i="10"/>
  <c r="E635" i="10"/>
  <c r="F635" i="10"/>
  <c r="A636" i="10"/>
  <c r="C636" i="10"/>
  <c r="E636" i="10"/>
  <c r="F636" i="10"/>
  <c r="A637" i="10"/>
  <c r="C637" i="10"/>
  <c r="E637" i="10"/>
  <c r="F637" i="10"/>
  <c r="A638" i="10"/>
  <c r="C638" i="10"/>
  <c r="E638" i="10"/>
  <c r="F638" i="10"/>
  <c r="A639" i="10"/>
  <c r="C639" i="10"/>
  <c r="E639" i="10"/>
  <c r="F639" i="10"/>
  <c r="A640" i="10"/>
  <c r="C640" i="10"/>
  <c r="E640" i="10"/>
  <c r="F640" i="10"/>
  <c r="A641" i="10"/>
  <c r="C641" i="10"/>
  <c r="E641" i="10"/>
  <c r="F641" i="10"/>
  <c r="A642" i="10"/>
  <c r="C642" i="10"/>
  <c r="E642" i="10"/>
  <c r="F642" i="10"/>
  <c r="A643" i="10"/>
  <c r="C643" i="10"/>
  <c r="E643" i="10"/>
  <c r="F643" i="10"/>
  <c r="A644" i="10"/>
  <c r="C644" i="10"/>
  <c r="E644" i="10"/>
  <c r="F644" i="10"/>
  <c r="A645" i="10"/>
  <c r="C645" i="10"/>
  <c r="E645" i="10"/>
  <c r="F645" i="10"/>
  <c r="A646" i="10"/>
  <c r="C646" i="10"/>
  <c r="E646" i="10"/>
  <c r="F646" i="10"/>
  <c r="A647" i="10"/>
  <c r="C647" i="10"/>
  <c r="E647" i="10"/>
  <c r="F647" i="10"/>
  <c r="A648" i="10"/>
  <c r="C648" i="10"/>
  <c r="E648" i="10"/>
  <c r="F648" i="10"/>
  <c r="A649" i="10"/>
  <c r="C649" i="10"/>
  <c r="E649" i="10"/>
  <c r="F649" i="10"/>
  <c r="A650" i="10"/>
  <c r="C650" i="10"/>
  <c r="E650" i="10"/>
  <c r="F650" i="10"/>
  <c r="A651" i="10"/>
  <c r="C651" i="10"/>
  <c r="E651" i="10"/>
  <c r="F651" i="10"/>
  <c r="A652" i="10"/>
  <c r="C652" i="10"/>
  <c r="E652" i="10"/>
  <c r="F652" i="10"/>
  <c r="A343" i="10"/>
  <c r="C343" i="10"/>
  <c r="E343" i="10"/>
  <c r="F343" i="10"/>
  <c r="A344" i="10"/>
  <c r="C344" i="10"/>
  <c r="E344" i="10"/>
  <c r="F344" i="10"/>
  <c r="A345" i="10"/>
  <c r="C345" i="10"/>
  <c r="E345" i="10"/>
  <c r="F345" i="10"/>
  <c r="A346" i="10"/>
  <c r="C346" i="10"/>
  <c r="E346" i="10"/>
  <c r="F346" i="10"/>
  <c r="A347" i="10"/>
  <c r="C347" i="10"/>
  <c r="E347" i="10"/>
  <c r="F347" i="10"/>
  <c r="A348" i="10"/>
  <c r="C348" i="10"/>
  <c r="E348" i="10"/>
  <c r="F348" i="10"/>
  <c r="A349" i="10"/>
  <c r="C349" i="10"/>
  <c r="E349" i="10"/>
  <c r="F349" i="10"/>
  <c r="A350" i="10"/>
  <c r="C350" i="10"/>
  <c r="E350" i="10"/>
  <c r="F350" i="10"/>
  <c r="A351" i="10"/>
  <c r="C351" i="10"/>
  <c r="E351" i="10"/>
  <c r="F351" i="10"/>
  <c r="A352" i="10"/>
  <c r="C352" i="10"/>
  <c r="E352" i="10"/>
  <c r="F352" i="10"/>
  <c r="A353" i="10"/>
  <c r="C353" i="10"/>
  <c r="E353" i="10"/>
  <c r="F353" i="10"/>
  <c r="A354" i="10"/>
  <c r="C354" i="10"/>
  <c r="E354" i="10"/>
  <c r="F354" i="10"/>
  <c r="A355" i="10"/>
  <c r="C355" i="10"/>
  <c r="E355" i="10"/>
  <c r="F355" i="10"/>
  <c r="A356" i="10"/>
  <c r="C356" i="10"/>
  <c r="E356" i="10"/>
  <c r="F356" i="10"/>
  <c r="A357" i="10"/>
  <c r="C357" i="10"/>
  <c r="E357" i="10"/>
  <c r="F357" i="10"/>
  <c r="A358" i="10"/>
  <c r="C358" i="10"/>
  <c r="E358" i="10"/>
  <c r="F358" i="10"/>
  <c r="A359" i="10"/>
  <c r="C359" i="10"/>
  <c r="E359" i="10"/>
  <c r="F359" i="10"/>
  <c r="A360" i="10"/>
  <c r="C360" i="10"/>
  <c r="E360" i="10"/>
  <c r="F360" i="10"/>
  <c r="A361" i="10"/>
  <c r="C361" i="10"/>
  <c r="E361" i="10"/>
  <c r="F361" i="10"/>
  <c r="A362" i="10"/>
  <c r="C362" i="10"/>
  <c r="E362" i="10"/>
  <c r="F362" i="10"/>
  <c r="A293" i="10"/>
  <c r="C293" i="10"/>
  <c r="E293" i="10"/>
  <c r="F293" i="10"/>
  <c r="A294" i="10"/>
  <c r="C294" i="10"/>
  <c r="E294" i="10"/>
  <c r="F294" i="10"/>
  <c r="A295" i="10"/>
  <c r="C295" i="10"/>
  <c r="E295" i="10"/>
  <c r="F295" i="10"/>
  <c r="A296" i="10"/>
  <c r="C296" i="10"/>
  <c r="E296" i="10"/>
  <c r="F296" i="10"/>
  <c r="A297" i="10"/>
  <c r="C297" i="10"/>
  <c r="E297" i="10"/>
  <c r="F297" i="10"/>
  <c r="A298" i="10"/>
  <c r="C298" i="10"/>
  <c r="E298" i="10"/>
  <c r="F298" i="10"/>
  <c r="A299" i="10"/>
  <c r="C299" i="10"/>
  <c r="E299" i="10"/>
  <c r="F299" i="10"/>
  <c r="A300" i="10"/>
  <c r="C300" i="10"/>
  <c r="E300" i="10"/>
  <c r="F300" i="10"/>
  <c r="A301" i="10"/>
  <c r="C301" i="10"/>
  <c r="E301" i="10"/>
  <c r="F301" i="10"/>
  <c r="A302" i="10"/>
  <c r="C302" i="10"/>
  <c r="E302" i="10"/>
  <c r="F302" i="10"/>
  <c r="A303" i="10"/>
  <c r="C303" i="10"/>
  <c r="E303" i="10"/>
  <c r="F303" i="10"/>
  <c r="A304" i="10"/>
  <c r="C304" i="10"/>
  <c r="E304" i="10"/>
  <c r="F304" i="10"/>
  <c r="A305" i="10"/>
  <c r="C305" i="10"/>
  <c r="E305" i="10"/>
  <c r="F305" i="10"/>
  <c r="A306" i="10"/>
  <c r="C306" i="10"/>
  <c r="E306" i="10"/>
  <c r="F306" i="10"/>
  <c r="A307" i="10"/>
  <c r="C307" i="10"/>
  <c r="E307" i="10"/>
  <c r="F307" i="10"/>
  <c r="A308" i="10"/>
  <c r="C308" i="10"/>
  <c r="E308" i="10"/>
  <c r="F308" i="10"/>
  <c r="A309" i="10"/>
  <c r="C309" i="10"/>
  <c r="E309" i="10"/>
  <c r="F309" i="10"/>
  <c r="A310" i="10"/>
  <c r="C310" i="10"/>
  <c r="E310" i="10"/>
  <c r="F310" i="10"/>
  <c r="A311" i="10"/>
  <c r="C311" i="10"/>
  <c r="E311" i="10"/>
  <c r="F311" i="10"/>
  <c r="A312" i="10"/>
  <c r="C312" i="10"/>
  <c r="E312" i="10"/>
  <c r="F312" i="10"/>
  <c r="A243" i="10"/>
  <c r="C243" i="10"/>
  <c r="E243" i="10"/>
  <c r="F243" i="10"/>
  <c r="A244" i="10"/>
  <c r="C244" i="10"/>
  <c r="E244" i="10"/>
  <c r="F244" i="10"/>
  <c r="A245" i="10"/>
  <c r="C245" i="10"/>
  <c r="E245" i="10"/>
  <c r="F245" i="10"/>
  <c r="A246" i="10"/>
  <c r="C246" i="10"/>
  <c r="E246" i="10"/>
  <c r="F246" i="10"/>
  <c r="A247" i="10"/>
  <c r="C247" i="10"/>
  <c r="E247" i="10"/>
  <c r="F247" i="10"/>
  <c r="A248" i="10"/>
  <c r="C248" i="10"/>
  <c r="E248" i="10"/>
  <c r="F248" i="10"/>
  <c r="A249" i="10"/>
  <c r="C249" i="10"/>
  <c r="E249" i="10"/>
  <c r="F249" i="10"/>
  <c r="A250" i="10"/>
  <c r="C250" i="10"/>
  <c r="E250" i="10"/>
  <c r="F250" i="10"/>
  <c r="A251" i="10"/>
  <c r="C251" i="10"/>
  <c r="E251" i="10"/>
  <c r="F251" i="10"/>
  <c r="A252" i="10"/>
  <c r="C252" i="10"/>
  <c r="E252" i="10"/>
  <c r="F252" i="10"/>
  <c r="A253" i="10"/>
  <c r="C253" i="10"/>
  <c r="E253" i="10"/>
  <c r="F253" i="10"/>
  <c r="A254" i="10"/>
  <c r="C254" i="10"/>
  <c r="E254" i="10"/>
  <c r="F254" i="10"/>
  <c r="A255" i="10"/>
  <c r="C255" i="10"/>
  <c r="E255" i="10"/>
  <c r="F255" i="10"/>
  <c r="A256" i="10"/>
  <c r="C256" i="10"/>
  <c r="E256" i="10"/>
  <c r="F256" i="10"/>
  <c r="A257" i="10"/>
  <c r="C257" i="10"/>
  <c r="E257" i="10"/>
  <c r="F257" i="10"/>
  <c r="A258" i="10"/>
  <c r="C258" i="10"/>
  <c r="E258" i="10"/>
  <c r="F258" i="10"/>
  <c r="A259" i="10"/>
  <c r="C259" i="10"/>
  <c r="E259" i="10"/>
  <c r="F259" i="10"/>
  <c r="A260" i="10"/>
  <c r="C260" i="10"/>
  <c r="E260" i="10"/>
  <c r="F260" i="10"/>
  <c r="A261" i="10"/>
  <c r="C261" i="10"/>
  <c r="E261" i="10"/>
  <c r="F261" i="10"/>
  <c r="A262" i="10"/>
  <c r="C262" i="10"/>
  <c r="E262" i="10"/>
  <c r="F262" i="10"/>
  <c r="F1683" i="20"/>
  <c r="C1683" i="20"/>
  <c r="F1681" i="20"/>
  <c r="C1681" i="20"/>
  <c r="F1679" i="20"/>
  <c r="C1679" i="20"/>
  <c r="F1677" i="20"/>
  <c r="C1677" i="20"/>
  <c r="F1675" i="20"/>
  <c r="C1675" i="20"/>
  <c r="F1673" i="20"/>
  <c r="C1673" i="20"/>
  <c r="F1671" i="20"/>
  <c r="C1671" i="20"/>
  <c r="F1669" i="20"/>
  <c r="C1669" i="20"/>
  <c r="F1667" i="20"/>
  <c r="C1667" i="20"/>
  <c r="F1665" i="20"/>
  <c r="C1665" i="20"/>
  <c r="F1663" i="20"/>
  <c r="C1663" i="20"/>
  <c r="F1661" i="20"/>
  <c r="C1661" i="20"/>
  <c r="F1659" i="20"/>
  <c r="C1659" i="20"/>
  <c r="F1657" i="20"/>
  <c r="C1657" i="20"/>
  <c r="F1655" i="20"/>
  <c r="C1655" i="20"/>
  <c r="F1653" i="20"/>
  <c r="C1653" i="20"/>
  <c r="F1651" i="20"/>
  <c r="C1651" i="20"/>
  <c r="F1649" i="20"/>
  <c r="C1649" i="20"/>
  <c r="F1647" i="20"/>
  <c r="C1647" i="20"/>
  <c r="F1645" i="20"/>
  <c r="C1645" i="20"/>
  <c r="F1643" i="20"/>
  <c r="C1643" i="20"/>
  <c r="B1644" i="20"/>
  <c r="B1645" i="20" s="1"/>
  <c r="D1644" i="20"/>
  <c r="H1644" i="20" s="1"/>
  <c r="H1645" i="20" s="1"/>
  <c r="E1644" i="20"/>
  <c r="E1645" i="20" s="1"/>
  <c r="G1644" i="20"/>
  <c r="G1645" i="20" s="1"/>
  <c r="K1644" i="20"/>
  <c r="K1645" i="20" s="1"/>
  <c r="L1644" i="20"/>
  <c r="L1645" i="20" s="1"/>
  <c r="M1644" i="20"/>
  <c r="M1645" i="20" s="1"/>
  <c r="O1644" i="20"/>
  <c r="O1645" i="20" s="1"/>
  <c r="B1646" i="20"/>
  <c r="B1647" i="20" s="1"/>
  <c r="D1646" i="20"/>
  <c r="H1646" i="20" s="1"/>
  <c r="H1647" i="20" s="1"/>
  <c r="E1646" i="20"/>
  <c r="E1647" i="20" s="1"/>
  <c r="G1646" i="20"/>
  <c r="G1647" i="20" s="1"/>
  <c r="K1646" i="20"/>
  <c r="K1647" i="20" s="1"/>
  <c r="L1646" i="20"/>
  <c r="L1647" i="20" s="1"/>
  <c r="M1646" i="20"/>
  <c r="M1647" i="20" s="1"/>
  <c r="O1646" i="20"/>
  <c r="O1647" i="20" s="1"/>
  <c r="B1648" i="20"/>
  <c r="B1649" i="20" s="1"/>
  <c r="D1648" i="20"/>
  <c r="H1648" i="20" s="1"/>
  <c r="H1649" i="20" s="1"/>
  <c r="E1648" i="20"/>
  <c r="E1649" i="20" s="1"/>
  <c r="G1648" i="20"/>
  <c r="G1649" i="20" s="1"/>
  <c r="K1648" i="20"/>
  <c r="K1649" i="20" s="1"/>
  <c r="L1648" i="20"/>
  <c r="L1649" i="20" s="1"/>
  <c r="M1648" i="20"/>
  <c r="M1649" i="20" s="1"/>
  <c r="O1648" i="20"/>
  <c r="O1649" i="20" s="1"/>
  <c r="B1650" i="20"/>
  <c r="B1651" i="20" s="1"/>
  <c r="D1650" i="20"/>
  <c r="H1650" i="20" s="1"/>
  <c r="H1651" i="20" s="1"/>
  <c r="E1650" i="20"/>
  <c r="E1651" i="20" s="1"/>
  <c r="G1650" i="20"/>
  <c r="G1651" i="20" s="1"/>
  <c r="K1650" i="20"/>
  <c r="K1651" i="20" s="1"/>
  <c r="L1650" i="20"/>
  <c r="L1651" i="20" s="1"/>
  <c r="M1650" i="20"/>
  <c r="M1651" i="20" s="1"/>
  <c r="O1650" i="20"/>
  <c r="O1651" i="20" s="1"/>
  <c r="B1652" i="20"/>
  <c r="B1653" i="20" s="1"/>
  <c r="D1652" i="20"/>
  <c r="H1652" i="20" s="1"/>
  <c r="H1653" i="20" s="1"/>
  <c r="E1652" i="20"/>
  <c r="E1653" i="20" s="1"/>
  <c r="G1652" i="20"/>
  <c r="G1653" i="20" s="1"/>
  <c r="K1652" i="20"/>
  <c r="K1653" i="20" s="1"/>
  <c r="L1652" i="20"/>
  <c r="L1653" i="20" s="1"/>
  <c r="M1652" i="20"/>
  <c r="M1653" i="20" s="1"/>
  <c r="O1652" i="20"/>
  <c r="O1653" i="20" s="1"/>
  <c r="B1654" i="20"/>
  <c r="B1655" i="20" s="1"/>
  <c r="D1654" i="20"/>
  <c r="H1654" i="20" s="1"/>
  <c r="H1655" i="20" s="1"/>
  <c r="E1654" i="20"/>
  <c r="E1655" i="20" s="1"/>
  <c r="G1654" i="20"/>
  <c r="G1655" i="20" s="1"/>
  <c r="K1654" i="20"/>
  <c r="K1655" i="20" s="1"/>
  <c r="L1654" i="20"/>
  <c r="L1655" i="20" s="1"/>
  <c r="M1654" i="20"/>
  <c r="M1655" i="20" s="1"/>
  <c r="O1654" i="20"/>
  <c r="O1655" i="20" s="1"/>
  <c r="B1656" i="20"/>
  <c r="B1657" i="20" s="1"/>
  <c r="D1656" i="20"/>
  <c r="H1656" i="20" s="1"/>
  <c r="H1657" i="20" s="1"/>
  <c r="E1656" i="20"/>
  <c r="E1657" i="20" s="1"/>
  <c r="G1656" i="20"/>
  <c r="G1657" i="20" s="1"/>
  <c r="K1656" i="20"/>
  <c r="K1657" i="20" s="1"/>
  <c r="L1656" i="20"/>
  <c r="L1657" i="20" s="1"/>
  <c r="M1656" i="20"/>
  <c r="M1657" i="20" s="1"/>
  <c r="O1656" i="20"/>
  <c r="O1657" i="20" s="1"/>
  <c r="B1658" i="20"/>
  <c r="B1659" i="20" s="1"/>
  <c r="D1658" i="20"/>
  <c r="H1658" i="20" s="1"/>
  <c r="H1659" i="20" s="1"/>
  <c r="E1658" i="20"/>
  <c r="E1659" i="20" s="1"/>
  <c r="G1658" i="20"/>
  <c r="G1659" i="20" s="1"/>
  <c r="K1658" i="20"/>
  <c r="K1659" i="20" s="1"/>
  <c r="L1658" i="20"/>
  <c r="L1659" i="20" s="1"/>
  <c r="M1658" i="20"/>
  <c r="M1659" i="20" s="1"/>
  <c r="O1658" i="20"/>
  <c r="O1659" i="20" s="1"/>
  <c r="B1660" i="20"/>
  <c r="B1661" i="20" s="1"/>
  <c r="D1660" i="20"/>
  <c r="H1660" i="20" s="1"/>
  <c r="H1661" i="20" s="1"/>
  <c r="E1660" i="20"/>
  <c r="E1661" i="20" s="1"/>
  <c r="G1660" i="20"/>
  <c r="G1661" i="20" s="1"/>
  <c r="K1660" i="20"/>
  <c r="K1661" i="20" s="1"/>
  <c r="L1660" i="20"/>
  <c r="L1661" i="20" s="1"/>
  <c r="M1660" i="20"/>
  <c r="M1661" i="20" s="1"/>
  <c r="O1660" i="20"/>
  <c r="O1661" i="20" s="1"/>
  <c r="B1662" i="20"/>
  <c r="B1663" i="20" s="1"/>
  <c r="D1662" i="20"/>
  <c r="H1662" i="20" s="1"/>
  <c r="H1663" i="20" s="1"/>
  <c r="E1662" i="20"/>
  <c r="E1663" i="20" s="1"/>
  <c r="G1662" i="20"/>
  <c r="G1663" i="20" s="1"/>
  <c r="K1662" i="20"/>
  <c r="K1663" i="20" s="1"/>
  <c r="L1662" i="20"/>
  <c r="L1663" i="20" s="1"/>
  <c r="M1662" i="20"/>
  <c r="M1663" i="20" s="1"/>
  <c r="O1662" i="20"/>
  <c r="O1663" i="20" s="1"/>
  <c r="B1664" i="20"/>
  <c r="B1665" i="20" s="1"/>
  <c r="D1664" i="20"/>
  <c r="H1664" i="20" s="1"/>
  <c r="H1665" i="20" s="1"/>
  <c r="E1664" i="20"/>
  <c r="E1665" i="20" s="1"/>
  <c r="G1664" i="20"/>
  <c r="G1665" i="20" s="1"/>
  <c r="K1664" i="20"/>
  <c r="K1665" i="20" s="1"/>
  <c r="L1664" i="20"/>
  <c r="L1665" i="20" s="1"/>
  <c r="M1664" i="20"/>
  <c r="M1665" i="20" s="1"/>
  <c r="O1664" i="20"/>
  <c r="O1665" i="20" s="1"/>
  <c r="B1666" i="20"/>
  <c r="B1667" i="20" s="1"/>
  <c r="D1666" i="20"/>
  <c r="H1666" i="20" s="1"/>
  <c r="H1667" i="20" s="1"/>
  <c r="E1666" i="20"/>
  <c r="E1667" i="20" s="1"/>
  <c r="G1666" i="20"/>
  <c r="G1667" i="20" s="1"/>
  <c r="K1666" i="20"/>
  <c r="K1667" i="20" s="1"/>
  <c r="L1666" i="20"/>
  <c r="L1667" i="20" s="1"/>
  <c r="M1666" i="20"/>
  <c r="M1667" i="20" s="1"/>
  <c r="O1666" i="20"/>
  <c r="O1667" i="20" s="1"/>
  <c r="B1668" i="20"/>
  <c r="B1669" i="20" s="1"/>
  <c r="D1668" i="20"/>
  <c r="H1668" i="20" s="1"/>
  <c r="H1669" i="20" s="1"/>
  <c r="E1668" i="20"/>
  <c r="E1669" i="20" s="1"/>
  <c r="G1668" i="20"/>
  <c r="G1669" i="20" s="1"/>
  <c r="K1668" i="20"/>
  <c r="K1669" i="20" s="1"/>
  <c r="L1668" i="20"/>
  <c r="L1669" i="20" s="1"/>
  <c r="M1668" i="20"/>
  <c r="M1669" i="20" s="1"/>
  <c r="O1668" i="20"/>
  <c r="O1669" i="20" s="1"/>
  <c r="B1670" i="20"/>
  <c r="B1671" i="20" s="1"/>
  <c r="D1670" i="20"/>
  <c r="H1670" i="20" s="1"/>
  <c r="H1671" i="20" s="1"/>
  <c r="E1670" i="20"/>
  <c r="E1671" i="20" s="1"/>
  <c r="G1670" i="20"/>
  <c r="G1671" i="20" s="1"/>
  <c r="K1670" i="20"/>
  <c r="K1671" i="20" s="1"/>
  <c r="L1670" i="20"/>
  <c r="L1671" i="20" s="1"/>
  <c r="M1670" i="20"/>
  <c r="M1671" i="20" s="1"/>
  <c r="O1670" i="20"/>
  <c r="O1671" i="20" s="1"/>
  <c r="B1672" i="20"/>
  <c r="B1673" i="20" s="1"/>
  <c r="D1672" i="20"/>
  <c r="H1672" i="20" s="1"/>
  <c r="H1673" i="20" s="1"/>
  <c r="E1672" i="20"/>
  <c r="E1673" i="20" s="1"/>
  <c r="G1672" i="20"/>
  <c r="G1673" i="20" s="1"/>
  <c r="K1672" i="20"/>
  <c r="K1673" i="20" s="1"/>
  <c r="L1672" i="20"/>
  <c r="L1673" i="20" s="1"/>
  <c r="M1672" i="20"/>
  <c r="M1673" i="20" s="1"/>
  <c r="O1672" i="20"/>
  <c r="O1673" i="20" s="1"/>
  <c r="B1674" i="20"/>
  <c r="B1675" i="20" s="1"/>
  <c r="D1674" i="20"/>
  <c r="H1674" i="20" s="1"/>
  <c r="H1675" i="20" s="1"/>
  <c r="E1674" i="20"/>
  <c r="E1675" i="20" s="1"/>
  <c r="G1674" i="20"/>
  <c r="G1675" i="20" s="1"/>
  <c r="K1674" i="20"/>
  <c r="K1675" i="20" s="1"/>
  <c r="L1674" i="20"/>
  <c r="L1675" i="20" s="1"/>
  <c r="M1674" i="20"/>
  <c r="M1675" i="20" s="1"/>
  <c r="O1674" i="20"/>
  <c r="O1675" i="20" s="1"/>
  <c r="B1676" i="20"/>
  <c r="B1677" i="20" s="1"/>
  <c r="D1676" i="20"/>
  <c r="H1676" i="20" s="1"/>
  <c r="H1677" i="20" s="1"/>
  <c r="E1676" i="20"/>
  <c r="E1677" i="20" s="1"/>
  <c r="G1676" i="20"/>
  <c r="G1677" i="20" s="1"/>
  <c r="K1676" i="20"/>
  <c r="K1677" i="20" s="1"/>
  <c r="L1676" i="20"/>
  <c r="L1677" i="20" s="1"/>
  <c r="M1676" i="20"/>
  <c r="M1677" i="20" s="1"/>
  <c r="O1676" i="20"/>
  <c r="O1677" i="20" s="1"/>
  <c r="B1678" i="20"/>
  <c r="B1679" i="20" s="1"/>
  <c r="D1678" i="20"/>
  <c r="H1678" i="20" s="1"/>
  <c r="H1679" i="20" s="1"/>
  <c r="E1678" i="20"/>
  <c r="E1679" i="20" s="1"/>
  <c r="G1678" i="20"/>
  <c r="G1679" i="20" s="1"/>
  <c r="K1678" i="20"/>
  <c r="K1679" i="20" s="1"/>
  <c r="L1678" i="20"/>
  <c r="L1679" i="20" s="1"/>
  <c r="M1678" i="20"/>
  <c r="M1679" i="20" s="1"/>
  <c r="O1678" i="20"/>
  <c r="O1679" i="20" s="1"/>
  <c r="B1680" i="20"/>
  <c r="B1681" i="20" s="1"/>
  <c r="D1680" i="20"/>
  <c r="H1680" i="20" s="1"/>
  <c r="H1681" i="20" s="1"/>
  <c r="E1680" i="20"/>
  <c r="E1681" i="20" s="1"/>
  <c r="G1680" i="20"/>
  <c r="G1681" i="20" s="1"/>
  <c r="K1680" i="20"/>
  <c r="K1681" i="20" s="1"/>
  <c r="L1680" i="20"/>
  <c r="L1681" i="20" s="1"/>
  <c r="M1680" i="20"/>
  <c r="M1681" i="20" s="1"/>
  <c r="O1680" i="20"/>
  <c r="O1681" i="20" s="1"/>
  <c r="B1682" i="20"/>
  <c r="B1683" i="20" s="1"/>
  <c r="D1682" i="20"/>
  <c r="H1682" i="20" s="1"/>
  <c r="H1683" i="20" s="1"/>
  <c r="E1682" i="20"/>
  <c r="E1683" i="20" s="1"/>
  <c r="G1682" i="20"/>
  <c r="G1683" i="20" s="1"/>
  <c r="K1682" i="20"/>
  <c r="K1683" i="20" s="1"/>
  <c r="L1682" i="20"/>
  <c r="L1683" i="20" s="1"/>
  <c r="M1682" i="20"/>
  <c r="M1683" i="20" s="1"/>
  <c r="O1682" i="20"/>
  <c r="O1683" i="20" s="1"/>
  <c r="F1583" i="20"/>
  <c r="C1583" i="20"/>
  <c r="F1581" i="20"/>
  <c r="C1581" i="20"/>
  <c r="F1579" i="20"/>
  <c r="C1579" i="20"/>
  <c r="F1577" i="20"/>
  <c r="C1577" i="20"/>
  <c r="F1575" i="20"/>
  <c r="C1575" i="20"/>
  <c r="F1573" i="20"/>
  <c r="C1573" i="20"/>
  <c r="F1571" i="20"/>
  <c r="C1571" i="20"/>
  <c r="F1569" i="20"/>
  <c r="C1569" i="20"/>
  <c r="F1567" i="20"/>
  <c r="C1567" i="20"/>
  <c r="F1565" i="20"/>
  <c r="C1565" i="20"/>
  <c r="F1563" i="20"/>
  <c r="C1563" i="20"/>
  <c r="F1561" i="20"/>
  <c r="C1561" i="20"/>
  <c r="F1559" i="20"/>
  <c r="C1559" i="20"/>
  <c r="F1557" i="20"/>
  <c r="C1557" i="20"/>
  <c r="F1555" i="20"/>
  <c r="C1555" i="20"/>
  <c r="F1553" i="20"/>
  <c r="C1553" i="20"/>
  <c r="F1551" i="20"/>
  <c r="C1551" i="20"/>
  <c r="F1549" i="20"/>
  <c r="C1549" i="20"/>
  <c r="F1547" i="20"/>
  <c r="C1547" i="20"/>
  <c r="F1545" i="20"/>
  <c r="C1545" i="20"/>
  <c r="F1543" i="20"/>
  <c r="C1543" i="20"/>
  <c r="B1544" i="20"/>
  <c r="B1545" i="20" s="1"/>
  <c r="D1544" i="20"/>
  <c r="H1544" i="20" s="1"/>
  <c r="H1545" i="20" s="1"/>
  <c r="E1544" i="20"/>
  <c r="E1545" i="20" s="1"/>
  <c r="G1544" i="20"/>
  <c r="G1545" i="20" s="1"/>
  <c r="K1544" i="20"/>
  <c r="K1545" i="20" s="1"/>
  <c r="L1544" i="20"/>
  <c r="L1545" i="20" s="1"/>
  <c r="M1544" i="20"/>
  <c r="M1545" i="20" s="1"/>
  <c r="O1544" i="20"/>
  <c r="O1545" i="20" s="1"/>
  <c r="B1546" i="20"/>
  <c r="B1547" i="20" s="1"/>
  <c r="D1546" i="20"/>
  <c r="H1546" i="20" s="1"/>
  <c r="H1547" i="20" s="1"/>
  <c r="E1546" i="20"/>
  <c r="E1547" i="20" s="1"/>
  <c r="G1546" i="20"/>
  <c r="G1547" i="20" s="1"/>
  <c r="K1546" i="20"/>
  <c r="K1547" i="20" s="1"/>
  <c r="L1546" i="20"/>
  <c r="L1547" i="20" s="1"/>
  <c r="M1546" i="20"/>
  <c r="M1547" i="20" s="1"/>
  <c r="O1546" i="20"/>
  <c r="O1547" i="20" s="1"/>
  <c r="B1548" i="20"/>
  <c r="B1549" i="20" s="1"/>
  <c r="D1548" i="20"/>
  <c r="H1548" i="20" s="1"/>
  <c r="H1549" i="20" s="1"/>
  <c r="E1548" i="20"/>
  <c r="E1549" i="20" s="1"/>
  <c r="G1548" i="20"/>
  <c r="G1549" i="20" s="1"/>
  <c r="K1548" i="20"/>
  <c r="K1549" i="20" s="1"/>
  <c r="L1548" i="20"/>
  <c r="L1549" i="20" s="1"/>
  <c r="M1548" i="20"/>
  <c r="M1549" i="20" s="1"/>
  <c r="O1548" i="20"/>
  <c r="O1549" i="20" s="1"/>
  <c r="B1550" i="20"/>
  <c r="B1551" i="20" s="1"/>
  <c r="D1550" i="20"/>
  <c r="H1550" i="20" s="1"/>
  <c r="H1551" i="20" s="1"/>
  <c r="E1550" i="20"/>
  <c r="E1551" i="20" s="1"/>
  <c r="G1550" i="20"/>
  <c r="G1551" i="20" s="1"/>
  <c r="K1550" i="20"/>
  <c r="K1551" i="20" s="1"/>
  <c r="L1550" i="20"/>
  <c r="L1551" i="20" s="1"/>
  <c r="M1550" i="20"/>
  <c r="M1551" i="20" s="1"/>
  <c r="O1550" i="20"/>
  <c r="O1551" i="20" s="1"/>
  <c r="B1552" i="20"/>
  <c r="B1553" i="20" s="1"/>
  <c r="D1552" i="20"/>
  <c r="H1552" i="20" s="1"/>
  <c r="H1553" i="20" s="1"/>
  <c r="E1552" i="20"/>
  <c r="E1553" i="20" s="1"/>
  <c r="G1552" i="20"/>
  <c r="G1553" i="20" s="1"/>
  <c r="K1552" i="20"/>
  <c r="K1553" i="20" s="1"/>
  <c r="L1552" i="20"/>
  <c r="L1553" i="20" s="1"/>
  <c r="M1552" i="20"/>
  <c r="M1553" i="20" s="1"/>
  <c r="O1552" i="20"/>
  <c r="O1553" i="20" s="1"/>
  <c r="B1554" i="20"/>
  <c r="B1555" i="20" s="1"/>
  <c r="D1554" i="20"/>
  <c r="H1554" i="20" s="1"/>
  <c r="H1555" i="20" s="1"/>
  <c r="E1554" i="20"/>
  <c r="E1555" i="20" s="1"/>
  <c r="G1554" i="20"/>
  <c r="G1555" i="20" s="1"/>
  <c r="K1554" i="20"/>
  <c r="K1555" i="20" s="1"/>
  <c r="L1554" i="20"/>
  <c r="L1555" i="20" s="1"/>
  <c r="M1554" i="20"/>
  <c r="M1555" i="20" s="1"/>
  <c r="O1554" i="20"/>
  <c r="O1555" i="20" s="1"/>
  <c r="B1556" i="20"/>
  <c r="B1557" i="20" s="1"/>
  <c r="D1556" i="20"/>
  <c r="H1556" i="20" s="1"/>
  <c r="H1557" i="20" s="1"/>
  <c r="E1556" i="20"/>
  <c r="E1557" i="20" s="1"/>
  <c r="G1556" i="20"/>
  <c r="G1557" i="20" s="1"/>
  <c r="K1556" i="20"/>
  <c r="K1557" i="20" s="1"/>
  <c r="L1556" i="20"/>
  <c r="L1557" i="20" s="1"/>
  <c r="M1556" i="20"/>
  <c r="M1557" i="20" s="1"/>
  <c r="O1556" i="20"/>
  <c r="O1557" i="20" s="1"/>
  <c r="B1558" i="20"/>
  <c r="B1559" i="20" s="1"/>
  <c r="D1558" i="20"/>
  <c r="H1558" i="20" s="1"/>
  <c r="H1559" i="20" s="1"/>
  <c r="E1558" i="20"/>
  <c r="E1559" i="20" s="1"/>
  <c r="G1558" i="20"/>
  <c r="G1559" i="20" s="1"/>
  <c r="K1558" i="20"/>
  <c r="K1559" i="20" s="1"/>
  <c r="L1558" i="20"/>
  <c r="L1559" i="20" s="1"/>
  <c r="M1558" i="20"/>
  <c r="M1559" i="20" s="1"/>
  <c r="O1558" i="20"/>
  <c r="O1559" i="20" s="1"/>
  <c r="B1560" i="20"/>
  <c r="B1561" i="20" s="1"/>
  <c r="D1560" i="20"/>
  <c r="H1560" i="20" s="1"/>
  <c r="H1561" i="20" s="1"/>
  <c r="E1560" i="20"/>
  <c r="E1561" i="20" s="1"/>
  <c r="G1560" i="20"/>
  <c r="G1561" i="20" s="1"/>
  <c r="K1560" i="20"/>
  <c r="K1561" i="20" s="1"/>
  <c r="L1560" i="20"/>
  <c r="L1561" i="20" s="1"/>
  <c r="M1560" i="20"/>
  <c r="M1561" i="20" s="1"/>
  <c r="O1560" i="20"/>
  <c r="O1561" i="20" s="1"/>
  <c r="B1562" i="20"/>
  <c r="B1563" i="20" s="1"/>
  <c r="D1562" i="20"/>
  <c r="H1562" i="20" s="1"/>
  <c r="H1563" i="20" s="1"/>
  <c r="E1562" i="20"/>
  <c r="E1563" i="20" s="1"/>
  <c r="G1562" i="20"/>
  <c r="G1563" i="20" s="1"/>
  <c r="K1562" i="20"/>
  <c r="K1563" i="20" s="1"/>
  <c r="L1562" i="20"/>
  <c r="L1563" i="20" s="1"/>
  <c r="M1562" i="20"/>
  <c r="M1563" i="20" s="1"/>
  <c r="O1562" i="20"/>
  <c r="O1563" i="20" s="1"/>
  <c r="B1564" i="20"/>
  <c r="B1565" i="20" s="1"/>
  <c r="D1564" i="20"/>
  <c r="H1564" i="20" s="1"/>
  <c r="H1565" i="20" s="1"/>
  <c r="E1564" i="20"/>
  <c r="E1565" i="20" s="1"/>
  <c r="G1564" i="20"/>
  <c r="G1565" i="20" s="1"/>
  <c r="K1564" i="20"/>
  <c r="K1565" i="20" s="1"/>
  <c r="L1564" i="20"/>
  <c r="L1565" i="20" s="1"/>
  <c r="M1564" i="20"/>
  <c r="M1565" i="20" s="1"/>
  <c r="O1564" i="20"/>
  <c r="O1565" i="20" s="1"/>
  <c r="B1566" i="20"/>
  <c r="B1567" i="20" s="1"/>
  <c r="D1566" i="20"/>
  <c r="H1566" i="20" s="1"/>
  <c r="H1567" i="20" s="1"/>
  <c r="E1566" i="20"/>
  <c r="E1567" i="20" s="1"/>
  <c r="G1566" i="20"/>
  <c r="G1567" i="20" s="1"/>
  <c r="K1566" i="20"/>
  <c r="K1567" i="20" s="1"/>
  <c r="L1566" i="20"/>
  <c r="L1567" i="20" s="1"/>
  <c r="M1566" i="20"/>
  <c r="M1567" i="20" s="1"/>
  <c r="O1566" i="20"/>
  <c r="O1567" i="20" s="1"/>
  <c r="B1568" i="20"/>
  <c r="B1569" i="20" s="1"/>
  <c r="D1568" i="20"/>
  <c r="H1568" i="20" s="1"/>
  <c r="H1569" i="20" s="1"/>
  <c r="E1568" i="20"/>
  <c r="E1569" i="20" s="1"/>
  <c r="G1568" i="20"/>
  <c r="G1569" i="20" s="1"/>
  <c r="K1568" i="20"/>
  <c r="K1569" i="20" s="1"/>
  <c r="L1568" i="20"/>
  <c r="L1569" i="20" s="1"/>
  <c r="M1568" i="20"/>
  <c r="M1569" i="20" s="1"/>
  <c r="O1568" i="20"/>
  <c r="O1569" i="20" s="1"/>
  <c r="B1570" i="20"/>
  <c r="B1571" i="20" s="1"/>
  <c r="D1570" i="20"/>
  <c r="H1570" i="20" s="1"/>
  <c r="H1571" i="20" s="1"/>
  <c r="E1570" i="20"/>
  <c r="E1571" i="20" s="1"/>
  <c r="G1570" i="20"/>
  <c r="G1571" i="20" s="1"/>
  <c r="K1570" i="20"/>
  <c r="K1571" i="20" s="1"/>
  <c r="L1570" i="20"/>
  <c r="L1571" i="20" s="1"/>
  <c r="M1570" i="20"/>
  <c r="M1571" i="20" s="1"/>
  <c r="O1570" i="20"/>
  <c r="O1571" i="20" s="1"/>
  <c r="B1572" i="20"/>
  <c r="B1573" i="20" s="1"/>
  <c r="D1572" i="20"/>
  <c r="H1572" i="20" s="1"/>
  <c r="H1573" i="20" s="1"/>
  <c r="E1572" i="20"/>
  <c r="E1573" i="20" s="1"/>
  <c r="G1572" i="20"/>
  <c r="G1573" i="20" s="1"/>
  <c r="K1572" i="20"/>
  <c r="K1573" i="20" s="1"/>
  <c r="L1572" i="20"/>
  <c r="L1573" i="20" s="1"/>
  <c r="M1572" i="20"/>
  <c r="M1573" i="20" s="1"/>
  <c r="O1572" i="20"/>
  <c r="O1573" i="20" s="1"/>
  <c r="B1574" i="20"/>
  <c r="B1575" i="20" s="1"/>
  <c r="D1574" i="20"/>
  <c r="H1574" i="20" s="1"/>
  <c r="H1575" i="20" s="1"/>
  <c r="E1574" i="20"/>
  <c r="E1575" i="20" s="1"/>
  <c r="G1574" i="20"/>
  <c r="G1575" i="20" s="1"/>
  <c r="K1574" i="20"/>
  <c r="K1575" i="20" s="1"/>
  <c r="L1574" i="20"/>
  <c r="L1575" i="20" s="1"/>
  <c r="M1574" i="20"/>
  <c r="M1575" i="20" s="1"/>
  <c r="O1574" i="20"/>
  <c r="O1575" i="20" s="1"/>
  <c r="B1576" i="20"/>
  <c r="B1577" i="20" s="1"/>
  <c r="D1576" i="20"/>
  <c r="H1576" i="20" s="1"/>
  <c r="H1577" i="20" s="1"/>
  <c r="E1576" i="20"/>
  <c r="E1577" i="20" s="1"/>
  <c r="G1576" i="20"/>
  <c r="G1577" i="20" s="1"/>
  <c r="K1576" i="20"/>
  <c r="K1577" i="20" s="1"/>
  <c r="L1576" i="20"/>
  <c r="L1577" i="20" s="1"/>
  <c r="M1576" i="20"/>
  <c r="M1577" i="20" s="1"/>
  <c r="O1576" i="20"/>
  <c r="O1577" i="20" s="1"/>
  <c r="B1578" i="20"/>
  <c r="B1579" i="20" s="1"/>
  <c r="D1578" i="20"/>
  <c r="H1578" i="20" s="1"/>
  <c r="H1579" i="20" s="1"/>
  <c r="E1578" i="20"/>
  <c r="E1579" i="20" s="1"/>
  <c r="G1578" i="20"/>
  <c r="G1579" i="20" s="1"/>
  <c r="K1578" i="20"/>
  <c r="K1579" i="20" s="1"/>
  <c r="L1578" i="20"/>
  <c r="L1579" i="20" s="1"/>
  <c r="M1578" i="20"/>
  <c r="M1579" i="20" s="1"/>
  <c r="O1578" i="20"/>
  <c r="O1579" i="20" s="1"/>
  <c r="B1580" i="20"/>
  <c r="B1581" i="20" s="1"/>
  <c r="D1580" i="20"/>
  <c r="H1580" i="20" s="1"/>
  <c r="H1581" i="20" s="1"/>
  <c r="E1580" i="20"/>
  <c r="E1581" i="20" s="1"/>
  <c r="G1580" i="20"/>
  <c r="G1581" i="20" s="1"/>
  <c r="K1580" i="20"/>
  <c r="K1581" i="20" s="1"/>
  <c r="L1580" i="20"/>
  <c r="L1581" i="20" s="1"/>
  <c r="M1580" i="20"/>
  <c r="M1581" i="20" s="1"/>
  <c r="O1580" i="20"/>
  <c r="O1581" i="20" s="1"/>
  <c r="B1582" i="20"/>
  <c r="B1583" i="20" s="1"/>
  <c r="D1582" i="20"/>
  <c r="H1582" i="20" s="1"/>
  <c r="H1583" i="20" s="1"/>
  <c r="E1582" i="20"/>
  <c r="E1583" i="20" s="1"/>
  <c r="G1582" i="20"/>
  <c r="G1583" i="20" s="1"/>
  <c r="K1582" i="20"/>
  <c r="K1583" i="20" s="1"/>
  <c r="L1582" i="20"/>
  <c r="L1583" i="20" s="1"/>
  <c r="M1582" i="20"/>
  <c r="M1583" i="20" s="1"/>
  <c r="O1582" i="20"/>
  <c r="O1583" i="20" s="1"/>
  <c r="F1483" i="20"/>
  <c r="C1483" i="20"/>
  <c r="F1481" i="20"/>
  <c r="C1481" i="20"/>
  <c r="F1479" i="20"/>
  <c r="C1479" i="20"/>
  <c r="F1477" i="20"/>
  <c r="C1477" i="20"/>
  <c r="F1475" i="20"/>
  <c r="C1475" i="20"/>
  <c r="F1473" i="20"/>
  <c r="C1473" i="20"/>
  <c r="F1471" i="20"/>
  <c r="C1471" i="20"/>
  <c r="F1469" i="20"/>
  <c r="C1469" i="20"/>
  <c r="F1467" i="20"/>
  <c r="C1467" i="20"/>
  <c r="F1465" i="20"/>
  <c r="C1465" i="20"/>
  <c r="F1463" i="20"/>
  <c r="C1463" i="20"/>
  <c r="F1461" i="20"/>
  <c r="C1461" i="20"/>
  <c r="F1459" i="20"/>
  <c r="C1459" i="20"/>
  <c r="F1457" i="20"/>
  <c r="C1457" i="20"/>
  <c r="F1455" i="20"/>
  <c r="C1455" i="20"/>
  <c r="F1453" i="20"/>
  <c r="C1453" i="20"/>
  <c r="F1451" i="20"/>
  <c r="C1451" i="20"/>
  <c r="F1449" i="20"/>
  <c r="C1449" i="20"/>
  <c r="F1447" i="20"/>
  <c r="C1447" i="20"/>
  <c r="F1445" i="20"/>
  <c r="C1445" i="20"/>
  <c r="F1443" i="20"/>
  <c r="C1443" i="20"/>
  <c r="B1444" i="20"/>
  <c r="B1445" i="20" s="1"/>
  <c r="D1444" i="20"/>
  <c r="H1444" i="20" s="1"/>
  <c r="H1445" i="20" s="1"/>
  <c r="E1444" i="20"/>
  <c r="E1445" i="20" s="1"/>
  <c r="G1444" i="20"/>
  <c r="G1445" i="20" s="1"/>
  <c r="K1444" i="20"/>
  <c r="K1445" i="20" s="1"/>
  <c r="L1444" i="20"/>
  <c r="L1445" i="20" s="1"/>
  <c r="M1444" i="20"/>
  <c r="M1445" i="20" s="1"/>
  <c r="O1444" i="20"/>
  <c r="O1445" i="20" s="1"/>
  <c r="B1446" i="20"/>
  <c r="B1447" i="20" s="1"/>
  <c r="D1446" i="20"/>
  <c r="H1446" i="20" s="1"/>
  <c r="H1447" i="20" s="1"/>
  <c r="E1446" i="20"/>
  <c r="E1447" i="20" s="1"/>
  <c r="G1446" i="20"/>
  <c r="G1447" i="20" s="1"/>
  <c r="K1446" i="20"/>
  <c r="K1447" i="20" s="1"/>
  <c r="L1446" i="20"/>
  <c r="L1447" i="20" s="1"/>
  <c r="M1446" i="20"/>
  <c r="M1447" i="20" s="1"/>
  <c r="O1446" i="20"/>
  <c r="O1447" i="20" s="1"/>
  <c r="B1448" i="20"/>
  <c r="B1449" i="20" s="1"/>
  <c r="D1448" i="20"/>
  <c r="H1448" i="20" s="1"/>
  <c r="H1449" i="20" s="1"/>
  <c r="E1448" i="20"/>
  <c r="E1449" i="20" s="1"/>
  <c r="G1448" i="20"/>
  <c r="G1449" i="20" s="1"/>
  <c r="K1448" i="20"/>
  <c r="K1449" i="20" s="1"/>
  <c r="L1448" i="20"/>
  <c r="L1449" i="20" s="1"/>
  <c r="M1448" i="20"/>
  <c r="M1449" i="20" s="1"/>
  <c r="O1448" i="20"/>
  <c r="O1449" i="20" s="1"/>
  <c r="B1450" i="20"/>
  <c r="B1451" i="20" s="1"/>
  <c r="D1450" i="20"/>
  <c r="H1450" i="20" s="1"/>
  <c r="H1451" i="20" s="1"/>
  <c r="E1450" i="20"/>
  <c r="E1451" i="20" s="1"/>
  <c r="G1450" i="20"/>
  <c r="G1451" i="20" s="1"/>
  <c r="K1450" i="20"/>
  <c r="K1451" i="20" s="1"/>
  <c r="L1450" i="20"/>
  <c r="L1451" i="20" s="1"/>
  <c r="M1450" i="20"/>
  <c r="M1451" i="20" s="1"/>
  <c r="O1450" i="20"/>
  <c r="O1451" i="20" s="1"/>
  <c r="B1452" i="20"/>
  <c r="B1453" i="20" s="1"/>
  <c r="D1452" i="20"/>
  <c r="H1452" i="20" s="1"/>
  <c r="H1453" i="20" s="1"/>
  <c r="E1452" i="20"/>
  <c r="E1453" i="20" s="1"/>
  <c r="G1452" i="20"/>
  <c r="G1453" i="20" s="1"/>
  <c r="K1452" i="20"/>
  <c r="K1453" i="20" s="1"/>
  <c r="L1452" i="20"/>
  <c r="L1453" i="20" s="1"/>
  <c r="M1452" i="20"/>
  <c r="M1453" i="20" s="1"/>
  <c r="O1452" i="20"/>
  <c r="O1453" i="20" s="1"/>
  <c r="B1454" i="20"/>
  <c r="B1455" i="20" s="1"/>
  <c r="D1454" i="20"/>
  <c r="H1454" i="20" s="1"/>
  <c r="H1455" i="20" s="1"/>
  <c r="E1454" i="20"/>
  <c r="E1455" i="20" s="1"/>
  <c r="G1454" i="20"/>
  <c r="G1455" i="20" s="1"/>
  <c r="K1454" i="20"/>
  <c r="K1455" i="20" s="1"/>
  <c r="L1454" i="20"/>
  <c r="L1455" i="20" s="1"/>
  <c r="M1454" i="20"/>
  <c r="M1455" i="20" s="1"/>
  <c r="O1454" i="20"/>
  <c r="O1455" i="20" s="1"/>
  <c r="B1456" i="20"/>
  <c r="B1457" i="20" s="1"/>
  <c r="D1456" i="20"/>
  <c r="H1456" i="20" s="1"/>
  <c r="H1457" i="20" s="1"/>
  <c r="E1456" i="20"/>
  <c r="E1457" i="20" s="1"/>
  <c r="G1456" i="20"/>
  <c r="G1457" i="20" s="1"/>
  <c r="K1456" i="20"/>
  <c r="K1457" i="20" s="1"/>
  <c r="L1456" i="20"/>
  <c r="L1457" i="20" s="1"/>
  <c r="M1456" i="20"/>
  <c r="M1457" i="20" s="1"/>
  <c r="O1456" i="20"/>
  <c r="O1457" i="20" s="1"/>
  <c r="B1458" i="20"/>
  <c r="B1459" i="20" s="1"/>
  <c r="D1458" i="20"/>
  <c r="H1458" i="20" s="1"/>
  <c r="H1459" i="20" s="1"/>
  <c r="E1458" i="20"/>
  <c r="E1459" i="20" s="1"/>
  <c r="G1458" i="20"/>
  <c r="G1459" i="20" s="1"/>
  <c r="K1458" i="20"/>
  <c r="K1459" i="20" s="1"/>
  <c r="L1458" i="20"/>
  <c r="L1459" i="20" s="1"/>
  <c r="M1458" i="20"/>
  <c r="M1459" i="20" s="1"/>
  <c r="O1458" i="20"/>
  <c r="O1459" i="20" s="1"/>
  <c r="B1460" i="20"/>
  <c r="B1461" i="20" s="1"/>
  <c r="D1460" i="20"/>
  <c r="H1460" i="20" s="1"/>
  <c r="H1461" i="20" s="1"/>
  <c r="E1460" i="20"/>
  <c r="E1461" i="20" s="1"/>
  <c r="G1460" i="20"/>
  <c r="G1461" i="20" s="1"/>
  <c r="K1460" i="20"/>
  <c r="K1461" i="20" s="1"/>
  <c r="L1460" i="20"/>
  <c r="L1461" i="20" s="1"/>
  <c r="M1460" i="20"/>
  <c r="M1461" i="20" s="1"/>
  <c r="O1460" i="20"/>
  <c r="O1461" i="20" s="1"/>
  <c r="B1462" i="20"/>
  <c r="B1463" i="20" s="1"/>
  <c r="D1462" i="20"/>
  <c r="H1462" i="20" s="1"/>
  <c r="H1463" i="20" s="1"/>
  <c r="E1462" i="20"/>
  <c r="E1463" i="20" s="1"/>
  <c r="G1462" i="20"/>
  <c r="G1463" i="20" s="1"/>
  <c r="K1462" i="20"/>
  <c r="K1463" i="20" s="1"/>
  <c r="L1462" i="20"/>
  <c r="L1463" i="20" s="1"/>
  <c r="M1462" i="20"/>
  <c r="M1463" i="20" s="1"/>
  <c r="O1462" i="20"/>
  <c r="O1463" i="20" s="1"/>
  <c r="B1464" i="20"/>
  <c r="B1465" i="20" s="1"/>
  <c r="D1464" i="20"/>
  <c r="H1464" i="20" s="1"/>
  <c r="H1465" i="20" s="1"/>
  <c r="E1464" i="20"/>
  <c r="E1465" i="20" s="1"/>
  <c r="G1464" i="20"/>
  <c r="G1465" i="20" s="1"/>
  <c r="K1464" i="20"/>
  <c r="K1465" i="20" s="1"/>
  <c r="L1464" i="20"/>
  <c r="L1465" i="20" s="1"/>
  <c r="M1464" i="20"/>
  <c r="M1465" i="20" s="1"/>
  <c r="O1464" i="20"/>
  <c r="O1465" i="20" s="1"/>
  <c r="B1466" i="20"/>
  <c r="B1467" i="20" s="1"/>
  <c r="D1466" i="20"/>
  <c r="H1466" i="20" s="1"/>
  <c r="H1467" i="20" s="1"/>
  <c r="E1466" i="20"/>
  <c r="E1467" i="20" s="1"/>
  <c r="G1466" i="20"/>
  <c r="G1467" i="20" s="1"/>
  <c r="K1466" i="20"/>
  <c r="K1467" i="20" s="1"/>
  <c r="L1466" i="20"/>
  <c r="L1467" i="20" s="1"/>
  <c r="M1466" i="20"/>
  <c r="M1467" i="20" s="1"/>
  <c r="O1466" i="20"/>
  <c r="O1467" i="20" s="1"/>
  <c r="B1468" i="20"/>
  <c r="B1469" i="20" s="1"/>
  <c r="D1468" i="20"/>
  <c r="H1468" i="20" s="1"/>
  <c r="H1469" i="20" s="1"/>
  <c r="E1468" i="20"/>
  <c r="E1469" i="20" s="1"/>
  <c r="G1468" i="20"/>
  <c r="G1469" i="20" s="1"/>
  <c r="K1468" i="20"/>
  <c r="K1469" i="20" s="1"/>
  <c r="L1468" i="20"/>
  <c r="L1469" i="20" s="1"/>
  <c r="M1468" i="20"/>
  <c r="M1469" i="20" s="1"/>
  <c r="O1468" i="20"/>
  <c r="O1469" i="20" s="1"/>
  <c r="B1470" i="20"/>
  <c r="B1471" i="20" s="1"/>
  <c r="D1470" i="20"/>
  <c r="H1470" i="20" s="1"/>
  <c r="H1471" i="20" s="1"/>
  <c r="E1470" i="20"/>
  <c r="E1471" i="20" s="1"/>
  <c r="G1470" i="20"/>
  <c r="G1471" i="20" s="1"/>
  <c r="K1470" i="20"/>
  <c r="K1471" i="20" s="1"/>
  <c r="L1470" i="20"/>
  <c r="L1471" i="20" s="1"/>
  <c r="M1470" i="20"/>
  <c r="M1471" i="20" s="1"/>
  <c r="O1470" i="20"/>
  <c r="O1471" i="20" s="1"/>
  <c r="B1472" i="20"/>
  <c r="B1473" i="20" s="1"/>
  <c r="D1472" i="20"/>
  <c r="H1472" i="20" s="1"/>
  <c r="H1473" i="20" s="1"/>
  <c r="E1472" i="20"/>
  <c r="E1473" i="20" s="1"/>
  <c r="G1472" i="20"/>
  <c r="G1473" i="20" s="1"/>
  <c r="K1472" i="20"/>
  <c r="K1473" i="20" s="1"/>
  <c r="L1472" i="20"/>
  <c r="L1473" i="20" s="1"/>
  <c r="M1472" i="20"/>
  <c r="M1473" i="20" s="1"/>
  <c r="O1472" i="20"/>
  <c r="O1473" i="20" s="1"/>
  <c r="B1474" i="20"/>
  <c r="B1475" i="20" s="1"/>
  <c r="D1474" i="20"/>
  <c r="H1474" i="20" s="1"/>
  <c r="H1475" i="20" s="1"/>
  <c r="E1474" i="20"/>
  <c r="E1475" i="20" s="1"/>
  <c r="G1474" i="20"/>
  <c r="G1475" i="20" s="1"/>
  <c r="K1474" i="20"/>
  <c r="K1475" i="20" s="1"/>
  <c r="L1474" i="20"/>
  <c r="L1475" i="20" s="1"/>
  <c r="M1474" i="20"/>
  <c r="M1475" i="20" s="1"/>
  <c r="O1474" i="20"/>
  <c r="O1475" i="20" s="1"/>
  <c r="B1476" i="20"/>
  <c r="B1477" i="20" s="1"/>
  <c r="D1476" i="20"/>
  <c r="H1476" i="20" s="1"/>
  <c r="H1477" i="20" s="1"/>
  <c r="E1476" i="20"/>
  <c r="E1477" i="20" s="1"/>
  <c r="G1476" i="20"/>
  <c r="G1477" i="20" s="1"/>
  <c r="K1476" i="20"/>
  <c r="K1477" i="20" s="1"/>
  <c r="L1476" i="20"/>
  <c r="L1477" i="20" s="1"/>
  <c r="M1476" i="20"/>
  <c r="M1477" i="20" s="1"/>
  <c r="O1476" i="20"/>
  <c r="O1477" i="20" s="1"/>
  <c r="B1478" i="20"/>
  <c r="B1479" i="20" s="1"/>
  <c r="D1478" i="20"/>
  <c r="H1478" i="20" s="1"/>
  <c r="H1479" i="20" s="1"/>
  <c r="E1478" i="20"/>
  <c r="E1479" i="20" s="1"/>
  <c r="G1478" i="20"/>
  <c r="G1479" i="20" s="1"/>
  <c r="K1478" i="20"/>
  <c r="K1479" i="20" s="1"/>
  <c r="L1478" i="20"/>
  <c r="L1479" i="20" s="1"/>
  <c r="M1478" i="20"/>
  <c r="M1479" i="20" s="1"/>
  <c r="O1478" i="20"/>
  <c r="O1479" i="20" s="1"/>
  <c r="B1480" i="20"/>
  <c r="B1481" i="20" s="1"/>
  <c r="D1480" i="20"/>
  <c r="H1480" i="20" s="1"/>
  <c r="H1481" i="20" s="1"/>
  <c r="E1480" i="20"/>
  <c r="E1481" i="20" s="1"/>
  <c r="G1480" i="20"/>
  <c r="G1481" i="20" s="1"/>
  <c r="K1480" i="20"/>
  <c r="K1481" i="20" s="1"/>
  <c r="L1480" i="20"/>
  <c r="L1481" i="20" s="1"/>
  <c r="M1480" i="20"/>
  <c r="M1481" i="20" s="1"/>
  <c r="O1480" i="20"/>
  <c r="O1481" i="20" s="1"/>
  <c r="B1482" i="20"/>
  <c r="B1483" i="20" s="1"/>
  <c r="D1482" i="20"/>
  <c r="H1482" i="20" s="1"/>
  <c r="H1483" i="20" s="1"/>
  <c r="E1482" i="20"/>
  <c r="E1483" i="20" s="1"/>
  <c r="G1482" i="20"/>
  <c r="G1483" i="20" s="1"/>
  <c r="K1482" i="20"/>
  <c r="K1483" i="20" s="1"/>
  <c r="L1482" i="20"/>
  <c r="L1483" i="20" s="1"/>
  <c r="M1482" i="20"/>
  <c r="M1483" i="20" s="1"/>
  <c r="O1482" i="20"/>
  <c r="O1483" i="20" s="1"/>
  <c r="F723" i="20"/>
  <c r="C723" i="20"/>
  <c r="F721" i="20"/>
  <c r="C721" i="20"/>
  <c r="F719" i="20"/>
  <c r="C719" i="20"/>
  <c r="F717" i="20"/>
  <c r="C717" i="20"/>
  <c r="F715" i="20"/>
  <c r="C715" i="20"/>
  <c r="F713" i="20"/>
  <c r="C713" i="20"/>
  <c r="F711" i="20"/>
  <c r="C711" i="20"/>
  <c r="F709" i="20"/>
  <c r="C709" i="20"/>
  <c r="F707" i="20"/>
  <c r="C707" i="20"/>
  <c r="F705" i="20"/>
  <c r="C705" i="20"/>
  <c r="F703" i="20"/>
  <c r="C703" i="20"/>
  <c r="F701" i="20"/>
  <c r="C701" i="20"/>
  <c r="F699" i="20"/>
  <c r="C699" i="20"/>
  <c r="F697" i="20"/>
  <c r="C697" i="20"/>
  <c r="F695" i="20"/>
  <c r="C695" i="20"/>
  <c r="F693" i="20"/>
  <c r="C693" i="20"/>
  <c r="F691" i="20"/>
  <c r="C691" i="20"/>
  <c r="F689" i="20"/>
  <c r="C689" i="20"/>
  <c r="F687" i="20"/>
  <c r="C687" i="20"/>
  <c r="F685" i="20"/>
  <c r="C685" i="20"/>
  <c r="F683" i="20"/>
  <c r="C683" i="20"/>
  <c r="B684" i="20"/>
  <c r="B685" i="20" s="1"/>
  <c r="D684" i="20"/>
  <c r="H684" i="20" s="1"/>
  <c r="H685" i="20" s="1"/>
  <c r="E684" i="20"/>
  <c r="E685" i="20" s="1"/>
  <c r="G684" i="20"/>
  <c r="G685" i="20" s="1"/>
  <c r="K684" i="20"/>
  <c r="K685" i="20" s="1"/>
  <c r="L684" i="20"/>
  <c r="L685" i="20" s="1"/>
  <c r="M684" i="20"/>
  <c r="M685" i="20" s="1"/>
  <c r="O684" i="20"/>
  <c r="O685" i="20" s="1"/>
  <c r="B686" i="20"/>
  <c r="B687" i="20" s="1"/>
  <c r="D686" i="20"/>
  <c r="H686" i="20" s="1"/>
  <c r="H687" i="20" s="1"/>
  <c r="E686" i="20"/>
  <c r="E687" i="20" s="1"/>
  <c r="G686" i="20"/>
  <c r="G687" i="20" s="1"/>
  <c r="K686" i="20"/>
  <c r="K687" i="20" s="1"/>
  <c r="L686" i="20"/>
  <c r="L687" i="20" s="1"/>
  <c r="M686" i="20"/>
  <c r="M687" i="20" s="1"/>
  <c r="O686" i="20"/>
  <c r="O687" i="20" s="1"/>
  <c r="B688" i="20"/>
  <c r="B689" i="20" s="1"/>
  <c r="D688" i="20"/>
  <c r="H688" i="20" s="1"/>
  <c r="H689" i="20" s="1"/>
  <c r="E688" i="20"/>
  <c r="E689" i="20" s="1"/>
  <c r="G688" i="20"/>
  <c r="G689" i="20" s="1"/>
  <c r="K688" i="20"/>
  <c r="K689" i="20" s="1"/>
  <c r="L688" i="20"/>
  <c r="L689" i="20" s="1"/>
  <c r="M688" i="20"/>
  <c r="M689" i="20" s="1"/>
  <c r="O688" i="20"/>
  <c r="O689" i="20" s="1"/>
  <c r="B690" i="20"/>
  <c r="B691" i="20" s="1"/>
  <c r="D690" i="20"/>
  <c r="H690" i="20" s="1"/>
  <c r="H691" i="20" s="1"/>
  <c r="E690" i="20"/>
  <c r="E691" i="20" s="1"/>
  <c r="G690" i="20"/>
  <c r="G691" i="20" s="1"/>
  <c r="K690" i="20"/>
  <c r="K691" i="20" s="1"/>
  <c r="L690" i="20"/>
  <c r="L691" i="20" s="1"/>
  <c r="M690" i="20"/>
  <c r="M691" i="20" s="1"/>
  <c r="O690" i="20"/>
  <c r="O691" i="20" s="1"/>
  <c r="B692" i="20"/>
  <c r="B693" i="20" s="1"/>
  <c r="D692" i="20"/>
  <c r="H692" i="20" s="1"/>
  <c r="H693" i="20" s="1"/>
  <c r="E692" i="20"/>
  <c r="E693" i="20" s="1"/>
  <c r="G692" i="20"/>
  <c r="G693" i="20" s="1"/>
  <c r="K692" i="20"/>
  <c r="K693" i="20" s="1"/>
  <c r="L692" i="20"/>
  <c r="L693" i="20" s="1"/>
  <c r="M692" i="20"/>
  <c r="M693" i="20" s="1"/>
  <c r="O692" i="20"/>
  <c r="O693" i="20" s="1"/>
  <c r="B694" i="20"/>
  <c r="B695" i="20" s="1"/>
  <c r="D694" i="20"/>
  <c r="H694" i="20" s="1"/>
  <c r="H695" i="20" s="1"/>
  <c r="E694" i="20"/>
  <c r="E695" i="20" s="1"/>
  <c r="G694" i="20"/>
  <c r="G695" i="20" s="1"/>
  <c r="K694" i="20"/>
  <c r="K695" i="20" s="1"/>
  <c r="L694" i="20"/>
  <c r="L695" i="20" s="1"/>
  <c r="M694" i="20"/>
  <c r="M695" i="20" s="1"/>
  <c r="O694" i="20"/>
  <c r="O695" i="20" s="1"/>
  <c r="B696" i="20"/>
  <c r="B697" i="20" s="1"/>
  <c r="D696" i="20"/>
  <c r="H696" i="20" s="1"/>
  <c r="H697" i="20" s="1"/>
  <c r="E696" i="20"/>
  <c r="E697" i="20" s="1"/>
  <c r="G696" i="20"/>
  <c r="G697" i="20" s="1"/>
  <c r="K696" i="20"/>
  <c r="K697" i="20" s="1"/>
  <c r="L696" i="20"/>
  <c r="L697" i="20" s="1"/>
  <c r="M696" i="20"/>
  <c r="M697" i="20" s="1"/>
  <c r="O696" i="20"/>
  <c r="O697" i="20" s="1"/>
  <c r="B698" i="20"/>
  <c r="B699" i="20" s="1"/>
  <c r="D698" i="20"/>
  <c r="H698" i="20" s="1"/>
  <c r="H699" i="20" s="1"/>
  <c r="E698" i="20"/>
  <c r="E699" i="20" s="1"/>
  <c r="G698" i="20"/>
  <c r="G699" i="20" s="1"/>
  <c r="K698" i="20"/>
  <c r="K699" i="20" s="1"/>
  <c r="L698" i="20"/>
  <c r="L699" i="20" s="1"/>
  <c r="M698" i="20"/>
  <c r="M699" i="20" s="1"/>
  <c r="O698" i="20"/>
  <c r="O699" i="20" s="1"/>
  <c r="B700" i="20"/>
  <c r="B701" i="20" s="1"/>
  <c r="D700" i="20"/>
  <c r="H700" i="20" s="1"/>
  <c r="H701" i="20" s="1"/>
  <c r="E700" i="20"/>
  <c r="E701" i="20" s="1"/>
  <c r="G700" i="20"/>
  <c r="G701" i="20" s="1"/>
  <c r="K700" i="20"/>
  <c r="K701" i="20" s="1"/>
  <c r="L700" i="20"/>
  <c r="L701" i="20" s="1"/>
  <c r="M700" i="20"/>
  <c r="M701" i="20" s="1"/>
  <c r="O700" i="20"/>
  <c r="O701" i="20" s="1"/>
  <c r="B702" i="20"/>
  <c r="B703" i="20" s="1"/>
  <c r="D702" i="20"/>
  <c r="H702" i="20" s="1"/>
  <c r="H703" i="20" s="1"/>
  <c r="E702" i="20"/>
  <c r="E703" i="20" s="1"/>
  <c r="G702" i="20"/>
  <c r="G703" i="20" s="1"/>
  <c r="K702" i="20"/>
  <c r="K703" i="20" s="1"/>
  <c r="L702" i="20"/>
  <c r="L703" i="20" s="1"/>
  <c r="M702" i="20"/>
  <c r="M703" i="20" s="1"/>
  <c r="O702" i="20"/>
  <c r="O703" i="20" s="1"/>
  <c r="B704" i="20"/>
  <c r="B705" i="20" s="1"/>
  <c r="D704" i="20"/>
  <c r="H704" i="20" s="1"/>
  <c r="H705" i="20" s="1"/>
  <c r="E704" i="20"/>
  <c r="E705" i="20" s="1"/>
  <c r="G704" i="20"/>
  <c r="G705" i="20" s="1"/>
  <c r="K704" i="20"/>
  <c r="K705" i="20" s="1"/>
  <c r="L704" i="20"/>
  <c r="L705" i="20" s="1"/>
  <c r="M704" i="20"/>
  <c r="M705" i="20" s="1"/>
  <c r="O704" i="20"/>
  <c r="O705" i="20" s="1"/>
  <c r="B706" i="20"/>
  <c r="B707" i="20" s="1"/>
  <c r="D706" i="20"/>
  <c r="H706" i="20" s="1"/>
  <c r="H707" i="20" s="1"/>
  <c r="E706" i="20"/>
  <c r="E707" i="20" s="1"/>
  <c r="G706" i="20"/>
  <c r="G707" i="20" s="1"/>
  <c r="K706" i="20"/>
  <c r="K707" i="20" s="1"/>
  <c r="L706" i="20"/>
  <c r="L707" i="20" s="1"/>
  <c r="M706" i="20"/>
  <c r="M707" i="20" s="1"/>
  <c r="O706" i="20"/>
  <c r="O707" i="20" s="1"/>
  <c r="B708" i="20"/>
  <c r="B709" i="20" s="1"/>
  <c r="D708" i="20"/>
  <c r="H708" i="20" s="1"/>
  <c r="H709" i="20" s="1"/>
  <c r="E708" i="20"/>
  <c r="E709" i="20" s="1"/>
  <c r="G708" i="20"/>
  <c r="G709" i="20" s="1"/>
  <c r="K708" i="20"/>
  <c r="K709" i="20" s="1"/>
  <c r="L708" i="20"/>
  <c r="L709" i="20" s="1"/>
  <c r="M708" i="20"/>
  <c r="M709" i="20" s="1"/>
  <c r="O708" i="20"/>
  <c r="O709" i="20" s="1"/>
  <c r="B710" i="20"/>
  <c r="B711" i="20" s="1"/>
  <c r="D710" i="20"/>
  <c r="H710" i="20" s="1"/>
  <c r="H711" i="20" s="1"/>
  <c r="E710" i="20"/>
  <c r="E711" i="20" s="1"/>
  <c r="G710" i="20"/>
  <c r="G711" i="20" s="1"/>
  <c r="K710" i="20"/>
  <c r="K711" i="20" s="1"/>
  <c r="L710" i="20"/>
  <c r="L711" i="20" s="1"/>
  <c r="M710" i="20"/>
  <c r="M711" i="20" s="1"/>
  <c r="O710" i="20"/>
  <c r="O711" i="20" s="1"/>
  <c r="B712" i="20"/>
  <c r="B713" i="20" s="1"/>
  <c r="D712" i="20"/>
  <c r="H712" i="20" s="1"/>
  <c r="H713" i="20" s="1"/>
  <c r="E712" i="20"/>
  <c r="E713" i="20" s="1"/>
  <c r="G712" i="20"/>
  <c r="G713" i="20" s="1"/>
  <c r="K712" i="20"/>
  <c r="K713" i="20" s="1"/>
  <c r="L712" i="20"/>
  <c r="L713" i="20" s="1"/>
  <c r="M712" i="20"/>
  <c r="M713" i="20" s="1"/>
  <c r="O712" i="20"/>
  <c r="O713" i="20" s="1"/>
  <c r="B714" i="20"/>
  <c r="B715" i="20" s="1"/>
  <c r="D714" i="20"/>
  <c r="H714" i="20" s="1"/>
  <c r="H715" i="20" s="1"/>
  <c r="E714" i="20"/>
  <c r="E715" i="20" s="1"/>
  <c r="G714" i="20"/>
  <c r="G715" i="20" s="1"/>
  <c r="K714" i="20"/>
  <c r="K715" i="20" s="1"/>
  <c r="L714" i="20"/>
  <c r="L715" i="20" s="1"/>
  <c r="M714" i="20"/>
  <c r="M715" i="20" s="1"/>
  <c r="O714" i="20"/>
  <c r="O715" i="20" s="1"/>
  <c r="B716" i="20"/>
  <c r="B717" i="20" s="1"/>
  <c r="D716" i="20"/>
  <c r="H716" i="20" s="1"/>
  <c r="H717" i="20" s="1"/>
  <c r="E716" i="20"/>
  <c r="E717" i="20" s="1"/>
  <c r="G716" i="20"/>
  <c r="G717" i="20" s="1"/>
  <c r="K716" i="20"/>
  <c r="K717" i="20" s="1"/>
  <c r="L716" i="20"/>
  <c r="L717" i="20" s="1"/>
  <c r="M716" i="20"/>
  <c r="M717" i="20" s="1"/>
  <c r="O716" i="20"/>
  <c r="O717" i="20" s="1"/>
  <c r="B718" i="20"/>
  <c r="B719" i="20" s="1"/>
  <c r="D718" i="20"/>
  <c r="H718" i="20" s="1"/>
  <c r="H719" i="20" s="1"/>
  <c r="E718" i="20"/>
  <c r="E719" i="20" s="1"/>
  <c r="G718" i="20"/>
  <c r="G719" i="20" s="1"/>
  <c r="K718" i="20"/>
  <c r="K719" i="20" s="1"/>
  <c r="L718" i="20"/>
  <c r="L719" i="20" s="1"/>
  <c r="M718" i="20"/>
  <c r="M719" i="20" s="1"/>
  <c r="O718" i="20"/>
  <c r="O719" i="20" s="1"/>
  <c r="B720" i="20"/>
  <c r="B721" i="20" s="1"/>
  <c r="D720" i="20"/>
  <c r="H720" i="20" s="1"/>
  <c r="H721" i="20" s="1"/>
  <c r="E720" i="20"/>
  <c r="E721" i="20" s="1"/>
  <c r="G720" i="20"/>
  <c r="G721" i="20" s="1"/>
  <c r="K720" i="20"/>
  <c r="K721" i="20" s="1"/>
  <c r="L720" i="20"/>
  <c r="L721" i="20" s="1"/>
  <c r="M720" i="20"/>
  <c r="M721" i="20" s="1"/>
  <c r="O720" i="20"/>
  <c r="O721" i="20" s="1"/>
  <c r="B722" i="20"/>
  <c r="B723" i="20" s="1"/>
  <c r="D722" i="20"/>
  <c r="H722" i="20" s="1"/>
  <c r="H723" i="20" s="1"/>
  <c r="E722" i="20"/>
  <c r="E723" i="20" s="1"/>
  <c r="G722" i="20"/>
  <c r="G723" i="20" s="1"/>
  <c r="K722" i="20"/>
  <c r="K723" i="20" s="1"/>
  <c r="L722" i="20"/>
  <c r="L723" i="20" s="1"/>
  <c r="M722" i="20"/>
  <c r="M723" i="20" s="1"/>
  <c r="O722" i="20"/>
  <c r="O723" i="20" s="1"/>
  <c r="F623" i="20"/>
  <c r="C623" i="20"/>
  <c r="F621" i="20"/>
  <c r="C621" i="20"/>
  <c r="F619" i="20"/>
  <c r="C619" i="20"/>
  <c r="F617" i="20"/>
  <c r="C617" i="20"/>
  <c r="F615" i="20"/>
  <c r="C615" i="20"/>
  <c r="F613" i="20"/>
  <c r="C613" i="20"/>
  <c r="F611" i="20"/>
  <c r="C611" i="20"/>
  <c r="F609" i="20"/>
  <c r="C609" i="20"/>
  <c r="F607" i="20"/>
  <c r="C607" i="20"/>
  <c r="F605" i="20"/>
  <c r="C605" i="20"/>
  <c r="F603" i="20"/>
  <c r="C603" i="20"/>
  <c r="F601" i="20"/>
  <c r="C601" i="20"/>
  <c r="F599" i="20"/>
  <c r="C599" i="20"/>
  <c r="F597" i="20"/>
  <c r="C597" i="20"/>
  <c r="F595" i="20"/>
  <c r="C595" i="20"/>
  <c r="F593" i="20"/>
  <c r="C593" i="20"/>
  <c r="F591" i="20"/>
  <c r="C591" i="20"/>
  <c r="F589" i="20"/>
  <c r="C589" i="20"/>
  <c r="F587" i="20"/>
  <c r="C587" i="20"/>
  <c r="F585" i="20"/>
  <c r="C585" i="20"/>
  <c r="F583" i="20"/>
  <c r="C583" i="20"/>
  <c r="B584" i="20"/>
  <c r="B585" i="20" s="1"/>
  <c r="D584" i="20"/>
  <c r="H584" i="20" s="1"/>
  <c r="H585" i="20" s="1"/>
  <c r="E584" i="20"/>
  <c r="E585" i="20" s="1"/>
  <c r="G584" i="20"/>
  <c r="G585" i="20" s="1"/>
  <c r="K584" i="20"/>
  <c r="K585" i="20" s="1"/>
  <c r="L584" i="20"/>
  <c r="L585" i="20" s="1"/>
  <c r="M584" i="20"/>
  <c r="M585" i="20" s="1"/>
  <c r="O584" i="20"/>
  <c r="O585" i="20" s="1"/>
  <c r="B586" i="20"/>
  <c r="B587" i="20" s="1"/>
  <c r="D586" i="20"/>
  <c r="H586" i="20" s="1"/>
  <c r="H587" i="20" s="1"/>
  <c r="E586" i="20"/>
  <c r="E587" i="20" s="1"/>
  <c r="G586" i="20"/>
  <c r="G587" i="20" s="1"/>
  <c r="K586" i="20"/>
  <c r="K587" i="20" s="1"/>
  <c r="L586" i="20"/>
  <c r="L587" i="20" s="1"/>
  <c r="M586" i="20"/>
  <c r="M587" i="20" s="1"/>
  <c r="O586" i="20"/>
  <c r="O587" i="20" s="1"/>
  <c r="B588" i="20"/>
  <c r="B589" i="20" s="1"/>
  <c r="D588" i="20"/>
  <c r="H588" i="20" s="1"/>
  <c r="H589" i="20" s="1"/>
  <c r="E588" i="20"/>
  <c r="E589" i="20" s="1"/>
  <c r="G588" i="20"/>
  <c r="G589" i="20" s="1"/>
  <c r="K588" i="20"/>
  <c r="K589" i="20" s="1"/>
  <c r="L588" i="20"/>
  <c r="L589" i="20" s="1"/>
  <c r="M588" i="20"/>
  <c r="M589" i="20" s="1"/>
  <c r="O588" i="20"/>
  <c r="O589" i="20" s="1"/>
  <c r="B590" i="20"/>
  <c r="B591" i="20" s="1"/>
  <c r="D590" i="20"/>
  <c r="H590" i="20" s="1"/>
  <c r="H591" i="20" s="1"/>
  <c r="E590" i="20"/>
  <c r="E591" i="20" s="1"/>
  <c r="G590" i="20"/>
  <c r="G591" i="20" s="1"/>
  <c r="K590" i="20"/>
  <c r="K591" i="20" s="1"/>
  <c r="L590" i="20"/>
  <c r="L591" i="20" s="1"/>
  <c r="M590" i="20"/>
  <c r="M591" i="20" s="1"/>
  <c r="O590" i="20"/>
  <c r="O591" i="20" s="1"/>
  <c r="B592" i="20"/>
  <c r="B593" i="20" s="1"/>
  <c r="D592" i="20"/>
  <c r="H592" i="20" s="1"/>
  <c r="H593" i="20" s="1"/>
  <c r="E592" i="20"/>
  <c r="E593" i="20" s="1"/>
  <c r="G592" i="20"/>
  <c r="G593" i="20" s="1"/>
  <c r="K592" i="20"/>
  <c r="K593" i="20" s="1"/>
  <c r="L592" i="20"/>
  <c r="L593" i="20" s="1"/>
  <c r="M592" i="20"/>
  <c r="M593" i="20" s="1"/>
  <c r="O592" i="20"/>
  <c r="O593" i="20" s="1"/>
  <c r="B594" i="20"/>
  <c r="B595" i="20" s="1"/>
  <c r="D594" i="20"/>
  <c r="H594" i="20" s="1"/>
  <c r="H595" i="20" s="1"/>
  <c r="E594" i="20"/>
  <c r="E595" i="20" s="1"/>
  <c r="G594" i="20"/>
  <c r="G595" i="20" s="1"/>
  <c r="K594" i="20"/>
  <c r="K595" i="20" s="1"/>
  <c r="L594" i="20"/>
  <c r="L595" i="20" s="1"/>
  <c r="M594" i="20"/>
  <c r="M595" i="20" s="1"/>
  <c r="O594" i="20"/>
  <c r="O595" i="20" s="1"/>
  <c r="B596" i="20"/>
  <c r="B597" i="20" s="1"/>
  <c r="D596" i="20"/>
  <c r="H596" i="20" s="1"/>
  <c r="H597" i="20" s="1"/>
  <c r="E596" i="20"/>
  <c r="E597" i="20" s="1"/>
  <c r="G596" i="20"/>
  <c r="G597" i="20" s="1"/>
  <c r="K596" i="20"/>
  <c r="K597" i="20" s="1"/>
  <c r="L596" i="20"/>
  <c r="L597" i="20" s="1"/>
  <c r="M596" i="20"/>
  <c r="M597" i="20" s="1"/>
  <c r="O596" i="20"/>
  <c r="O597" i="20" s="1"/>
  <c r="B598" i="20"/>
  <c r="B599" i="20" s="1"/>
  <c r="D598" i="20"/>
  <c r="H598" i="20" s="1"/>
  <c r="H599" i="20" s="1"/>
  <c r="E598" i="20"/>
  <c r="E599" i="20" s="1"/>
  <c r="G598" i="20"/>
  <c r="G599" i="20" s="1"/>
  <c r="K598" i="20"/>
  <c r="K599" i="20" s="1"/>
  <c r="L598" i="20"/>
  <c r="L599" i="20" s="1"/>
  <c r="M598" i="20"/>
  <c r="M599" i="20" s="1"/>
  <c r="O598" i="20"/>
  <c r="O599" i="20" s="1"/>
  <c r="B600" i="20"/>
  <c r="B601" i="20" s="1"/>
  <c r="D600" i="20"/>
  <c r="H600" i="20" s="1"/>
  <c r="H601" i="20" s="1"/>
  <c r="E600" i="20"/>
  <c r="E601" i="20" s="1"/>
  <c r="G600" i="20"/>
  <c r="G601" i="20" s="1"/>
  <c r="K600" i="20"/>
  <c r="K601" i="20" s="1"/>
  <c r="L600" i="20"/>
  <c r="L601" i="20" s="1"/>
  <c r="M600" i="20"/>
  <c r="M601" i="20" s="1"/>
  <c r="O600" i="20"/>
  <c r="O601" i="20" s="1"/>
  <c r="B602" i="20"/>
  <c r="B603" i="20" s="1"/>
  <c r="D602" i="20"/>
  <c r="H602" i="20" s="1"/>
  <c r="H603" i="20" s="1"/>
  <c r="E602" i="20"/>
  <c r="E603" i="20" s="1"/>
  <c r="G602" i="20"/>
  <c r="G603" i="20" s="1"/>
  <c r="K602" i="20"/>
  <c r="K603" i="20" s="1"/>
  <c r="L602" i="20"/>
  <c r="L603" i="20" s="1"/>
  <c r="M602" i="20"/>
  <c r="M603" i="20" s="1"/>
  <c r="O602" i="20"/>
  <c r="O603" i="20" s="1"/>
  <c r="B604" i="20"/>
  <c r="B605" i="20" s="1"/>
  <c r="D604" i="20"/>
  <c r="H604" i="20" s="1"/>
  <c r="H605" i="20" s="1"/>
  <c r="E604" i="20"/>
  <c r="E605" i="20" s="1"/>
  <c r="G604" i="20"/>
  <c r="G605" i="20" s="1"/>
  <c r="K604" i="20"/>
  <c r="K605" i="20" s="1"/>
  <c r="L604" i="20"/>
  <c r="L605" i="20" s="1"/>
  <c r="M604" i="20"/>
  <c r="M605" i="20" s="1"/>
  <c r="O604" i="20"/>
  <c r="O605" i="20" s="1"/>
  <c r="B606" i="20"/>
  <c r="B607" i="20" s="1"/>
  <c r="D606" i="20"/>
  <c r="H606" i="20" s="1"/>
  <c r="H607" i="20" s="1"/>
  <c r="E606" i="20"/>
  <c r="E607" i="20" s="1"/>
  <c r="G606" i="20"/>
  <c r="G607" i="20" s="1"/>
  <c r="K606" i="20"/>
  <c r="K607" i="20" s="1"/>
  <c r="L606" i="20"/>
  <c r="L607" i="20" s="1"/>
  <c r="M606" i="20"/>
  <c r="M607" i="20" s="1"/>
  <c r="O606" i="20"/>
  <c r="O607" i="20" s="1"/>
  <c r="B608" i="20"/>
  <c r="B609" i="20" s="1"/>
  <c r="D608" i="20"/>
  <c r="H608" i="20" s="1"/>
  <c r="H609" i="20" s="1"/>
  <c r="E608" i="20"/>
  <c r="E609" i="20" s="1"/>
  <c r="G608" i="20"/>
  <c r="G609" i="20" s="1"/>
  <c r="K608" i="20"/>
  <c r="K609" i="20" s="1"/>
  <c r="L608" i="20"/>
  <c r="L609" i="20" s="1"/>
  <c r="M608" i="20"/>
  <c r="M609" i="20" s="1"/>
  <c r="O608" i="20"/>
  <c r="O609" i="20" s="1"/>
  <c r="B610" i="20"/>
  <c r="B611" i="20" s="1"/>
  <c r="D610" i="20"/>
  <c r="H610" i="20" s="1"/>
  <c r="H611" i="20" s="1"/>
  <c r="E610" i="20"/>
  <c r="E611" i="20" s="1"/>
  <c r="G610" i="20"/>
  <c r="G611" i="20" s="1"/>
  <c r="K610" i="20"/>
  <c r="K611" i="20" s="1"/>
  <c r="L610" i="20"/>
  <c r="L611" i="20" s="1"/>
  <c r="M610" i="20"/>
  <c r="M611" i="20" s="1"/>
  <c r="O610" i="20"/>
  <c r="O611" i="20" s="1"/>
  <c r="B612" i="20"/>
  <c r="B613" i="20" s="1"/>
  <c r="D612" i="20"/>
  <c r="H612" i="20" s="1"/>
  <c r="H613" i="20" s="1"/>
  <c r="E612" i="20"/>
  <c r="E613" i="20" s="1"/>
  <c r="G612" i="20"/>
  <c r="G613" i="20" s="1"/>
  <c r="K612" i="20"/>
  <c r="K613" i="20" s="1"/>
  <c r="L612" i="20"/>
  <c r="L613" i="20" s="1"/>
  <c r="M612" i="20"/>
  <c r="M613" i="20" s="1"/>
  <c r="O612" i="20"/>
  <c r="O613" i="20" s="1"/>
  <c r="B614" i="20"/>
  <c r="B615" i="20" s="1"/>
  <c r="D614" i="20"/>
  <c r="H614" i="20" s="1"/>
  <c r="H615" i="20" s="1"/>
  <c r="E614" i="20"/>
  <c r="E615" i="20" s="1"/>
  <c r="G614" i="20"/>
  <c r="G615" i="20" s="1"/>
  <c r="K614" i="20"/>
  <c r="K615" i="20" s="1"/>
  <c r="L614" i="20"/>
  <c r="L615" i="20" s="1"/>
  <c r="M614" i="20"/>
  <c r="M615" i="20" s="1"/>
  <c r="O614" i="20"/>
  <c r="O615" i="20" s="1"/>
  <c r="B616" i="20"/>
  <c r="B617" i="20" s="1"/>
  <c r="D616" i="20"/>
  <c r="H616" i="20" s="1"/>
  <c r="H617" i="20" s="1"/>
  <c r="E616" i="20"/>
  <c r="E617" i="20" s="1"/>
  <c r="G616" i="20"/>
  <c r="G617" i="20" s="1"/>
  <c r="K616" i="20"/>
  <c r="K617" i="20" s="1"/>
  <c r="L616" i="20"/>
  <c r="L617" i="20" s="1"/>
  <c r="M616" i="20"/>
  <c r="M617" i="20" s="1"/>
  <c r="O616" i="20"/>
  <c r="O617" i="20" s="1"/>
  <c r="B618" i="20"/>
  <c r="B619" i="20" s="1"/>
  <c r="D618" i="20"/>
  <c r="H618" i="20" s="1"/>
  <c r="H619" i="20" s="1"/>
  <c r="E618" i="20"/>
  <c r="E619" i="20" s="1"/>
  <c r="G618" i="20"/>
  <c r="G619" i="20" s="1"/>
  <c r="K618" i="20"/>
  <c r="K619" i="20" s="1"/>
  <c r="L618" i="20"/>
  <c r="L619" i="20" s="1"/>
  <c r="M618" i="20"/>
  <c r="M619" i="20" s="1"/>
  <c r="O618" i="20"/>
  <c r="O619" i="20" s="1"/>
  <c r="B620" i="20"/>
  <c r="B621" i="20" s="1"/>
  <c r="D620" i="20"/>
  <c r="H620" i="20" s="1"/>
  <c r="H621" i="20" s="1"/>
  <c r="E620" i="20"/>
  <c r="E621" i="20" s="1"/>
  <c r="G620" i="20"/>
  <c r="G621" i="20" s="1"/>
  <c r="K620" i="20"/>
  <c r="K621" i="20" s="1"/>
  <c r="L620" i="20"/>
  <c r="L621" i="20" s="1"/>
  <c r="M620" i="20"/>
  <c r="M621" i="20" s="1"/>
  <c r="O620" i="20"/>
  <c r="O621" i="20" s="1"/>
  <c r="B622" i="20"/>
  <c r="B623" i="20" s="1"/>
  <c r="D622" i="20"/>
  <c r="H622" i="20" s="1"/>
  <c r="H623" i="20" s="1"/>
  <c r="E622" i="20"/>
  <c r="E623" i="20" s="1"/>
  <c r="G622" i="20"/>
  <c r="G623" i="20" s="1"/>
  <c r="K622" i="20"/>
  <c r="K623" i="20" s="1"/>
  <c r="L622" i="20"/>
  <c r="L623" i="20" s="1"/>
  <c r="M622" i="20"/>
  <c r="M623" i="20" s="1"/>
  <c r="O622" i="20"/>
  <c r="O623" i="20" s="1"/>
  <c r="D1683" i="20" l="1"/>
  <c r="D1681" i="20"/>
  <c r="D1653" i="20"/>
  <c r="D1679" i="20"/>
  <c r="D1677" i="20"/>
  <c r="D1675" i="20"/>
  <c r="D1673" i="20"/>
  <c r="D1671" i="20"/>
  <c r="D1669" i="20"/>
  <c r="D1667" i="20"/>
  <c r="D1665" i="20"/>
  <c r="D1663" i="20"/>
  <c r="D1661" i="20"/>
  <c r="D1659" i="20"/>
  <c r="D1657" i="20"/>
  <c r="D1655" i="20"/>
  <c r="D1651" i="20"/>
  <c r="D1649" i="20"/>
  <c r="D1647" i="20"/>
  <c r="D1645" i="20"/>
  <c r="I1682" i="20"/>
  <c r="I1683" i="20" s="1"/>
  <c r="I1680" i="20"/>
  <c r="I1681" i="20" s="1"/>
  <c r="I1678" i="20"/>
  <c r="I1679" i="20" s="1"/>
  <c r="I1676" i="20"/>
  <c r="I1677" i="20" s="1"/>
  <c r="I1674" i="20"/>
  <c r="I1675" i="20" s="1"/>
  <c r="I1672" i="20"/>
  <c r="I1673" i="20" s="1"/>
  <c r="I1670" i="20"/>
  <c r="I1671" i="20" s="1"/>
  <c r="I1668" i="20"/>
  <c r="I1669" i="20" s="1"/>
  <c r="I1666" i="20"/>
  <c r="I1667" i="20" s="1"/>
  <c r="I1664" i="20"/>
  <c r="I1665" i="20" s="1"/>
  <c r="I1662" i="20"/>
  <c r="I1663" i="20" s="1"/>
  <c r="I1660" i="20"/>
  <c r="I1661" i="20" s="1"/>
  <c r="I1658" i="20"/>
  <c r="I1659" i="20" s="1"/>
  <c r="I1656" i="20"/>
  <c r="I1657" i="20" s="1"/>
  <c r="I1654" i="20"/>
  <c r="I1655" i="20" s="1"/>
  <c r="I1652" i="20"/>
  <c r="I1653" i="20" s="1"/>
  <c r="I1650" i="20"/>
  <c r="I1651" i="20" s="1"/>
  <c r="I1648" i="20"/>
  <c r="I1649" i="20" s="1"/>
  <c r="I1646" i="20"/>
  <c r="I1647" i="20" s="1"/>
  <c r="I1644" i="20"/>
  <c r="I1645" i="20" s="1"/>
  <c r="J1682" i="20"/>
  <c r="J1683" i="20" s="1"/>
  <c r="J1680" i="20"/>
  <c r="J1681" i="20" s="1"/>
  <c r="J1678" i="20"/>
  <c r="J1679" i="20" s="1"/>
  <c r="J1676" i="20"/>
  <c r="J1677" i="20" s="1"/>
  <c r="J1674" i="20"/>
  <c r="J1675" i="20" s="1"/>
  <c r="J1672" i="20"/>
  <c r="J1673" i="20" s="1"/>
  <c r="J1670" i="20"/>
  <c r="J1671" i="20" s="1"/>
  <c r="J1668" i="20"/>
  <c r="J1669" i="20" s="1"/>
  <c r="J1666" i="20"/>
  <c r="J1667" i="20" s="1"/>
  <c r="J1664" i="20"/>
  <c r="J1665" i="20" s="1"/>
  <c r="J1662" i="20"/>
  <c r="J1663" i="20" s="1"/>
  <c r="J1660" i="20"/>
  <c r="J1661" i="20" s="1"/>
  <c r="J1658" i="20"/>
  <c r="J1659" i="20" s="1"/>
  <c r="J1656" i="20"/>
  <c r="J1657" i="20" s="1"/>
  <c r="J1654" i="20"/>
  <c r="J1655" i="20" s="1"/>
  <c r="J1652" i="20"/>
  <c r="J1653" i="20" s="1"/>
  <c r="J1650" i="20"/>
  <c r="J1651" i="20" s="1"/>
  <c r="J1648" i="20"/>
  <c r="J1649" i="20" s="1"/>
  <c r="J1646" i="20"/>
  <c r="J1647" i="20" s="1"/>
  <c r="J1644" i="20"/>
  <c r="J1645" i="20" s="1"/>
  <c r="D1583" i="20"/>
  <c r="D1581" i="20"/>
  <c r="D1579" i="20"/>
  <c r="D1577" i="20"/>
  <c r="D1575" i="20"/>
  <c r="D1573" i="20"/>
  <c r="D1571" i="20"/>
  <c r="D1569" i="20"/>
  <c r="D1567" i="20"/>
  <c r="D1565" i="20"/>
  <c r="D1563" i="20"/>
  <c r="D1561" i="20"/>
  <c r="D1559" i="20"/>
  <c r="D1557" i="20"/>
  <c r="D1555" i="20"/>
  <c r="D1553" i="20"/>
  <c r="D1551" i="20"/>
  <c r="D1549" i="20"/>
  <c r="D1547" i="20"/>
  <c r="D1545" i="20"/>
  <c r="I1582" i="20"/>
  <c r="I1583" i="20" s="1"/>
  <c r="I1580" i="20"/>
  <c r="I1581" i="20" s="1"/>
  <c r="I1578" i="20"/>
  <c r="I1579" i="20" s="1"/>
  <c r="I1576" i="20"/>
  <c r="I1577" i="20" s="1"/>
  <c r="I1574" i="20"/>
  <c r="I1575" i="20" s="1"/>
  <c r="I1572" i="20"/>
  <c r="I1573" i="20" s="1"/>
  <c r="I1570" i="20"/>
  <c r="I1571" i="20" s="1"/>
  <c r="I1568" i="20"/>
  <c r="I1569" i="20" s="1"/>
  <c r="I1566" i="20"/>
  <c r="I1567" i="20" s="1"/>
  <c r="I1564" i="20"/>
  <c r="I1565" i="20" s="1"/>
  <c r="I1562" i="20"/>
  <c r="I1563" i="20" s="1"/>
  <c r="I1560" i="20"/>
  <c r="I1561" i="20" s="1"/>
  <c r="I1558" i="20"/>
  <c r="I1559" i="20" s="1"/>
  <c r="I1556" i="20"/>
  <c r="I1557" i="20" s="1"/>
  <c r="I1554" i="20"/>
  <c r="I1555" i="20" s="1"/>
  <c r="I1552" i="20"/>
  <c r="I1553" i="20" s="1"/>
  <c r="I1550" i="20"/>
  <c r="I1551" i="20" s="1"/>
  <c r="I1548" i="20"/>
  <c r="I1549" i="20" s="1"/>
  <c r="I1546" i="20"/>
  <c r="I1547" i="20" s="1"/>
  <c r="I1544" i="20"/>
  <c r="I1545" i="20" s="1"/>
  <c r="J1582" i="20"/>
  <c r="J1583" i="20" s="1"/>
  <c r="J1580" i="20"/>
  <c r="J1581" i="20" s="1"/>
  <c r="J1578" i="20"/>
  <c r="J1579" i="20" s="1"/>
  <c r="J1576" i="20"/>
  <c r="J1577" i="20" s="1"/>
  <c r="J1574" i="20"/>
  <c r="J1575" i="20" s="1"/>
  <c r="J1572" i="20"/>
  <c r="J1573" i="20" s="1"/>
  <c r="J1570" i="20"/>
  <c r="J1571" i="20" s="1"/>
  <c r="J1568" i="20"/>
  <c r="J1569" i="20" s="1"/>
  <c r="J1566" i="20"/>
  <c r="J1567" i="20" s="1"/>
  <c r="J1564" i="20"/>
  <c r="J1565" i="20" s="1"/>
  <c r="J1562" i="20"/>
  <c r="J1563" i="20" s="1"/>
  <c r="J1560" i="20"/>
  <c r="J1561" i="20" s="1"/>
  <c r="J1558" i="20"/>
  <c r="J1559" i="20" s="1"/>
  <c r="J1556" i="20"/>
  <c r="J1557" i="20" s="1"/>
  <c r="J1554" i="20"/>
  <c r="J1555" i="20" s="1"/>
  <c r="J1552" i="20"/>
  <c r="J1553" i="20" s="1"/>
  <c r="J1550" i="20"/>
  <c r="J1551" i="20" s="1"/>
  <c r="J1548" i="20"/>
  <c r="J1549" i="20" s="1"/>
  <c r="J1546" i="20"/>
  <c r="J1547" i="20" s="1"/>
  <c r="J1544" i="20"/>
  <c r="J1545" i="20" s="1"/>
  <c r="D1483" i="20"/>
  <c r="D1481" i="20"/>
  <c r="D1479" i="20"/>
  <c r="D1477" i="20"/>
  <c r="D1475" i="20"/>
  <c r="D1473" i="20"/>
  <c r="D1471" i="20"/>
  <c r="D1469" i="20"/>
  <c r="D1467" i="20"/>
  <c r="D1465" i="20"/>
  <c r="D1463" i="20"/>
  <c r="D1461" i="20"/>
  <c r="D1459" i="20"/>
  <c r="D1457" i="20"/>
  <c r="D1455" i="20"/>
  <c r="D1453" i="20"/>
  <c r="D1451" i="20"/>
  <c r="D1449" i="20"/>
  <c r="D1447" i="20"/>
  <c r="D1445" i="20"/>
  <c r="I1482" i="20"/>
  <c r="I1483" i="20" s="1"/>
  <c r="I1480" i="20"/>
  <c r="I1481" i="20" s="1"/>
  <c r="I1478" i="20"/>
  <c r="I1479" i="20" s="1"/>
  <c r="I1476" i="20"/>
  <c r="I1477" i="20" s="1"/>
  <c r="I1474" i="20"/>
  <c r="I1475" i="20" s="1"/>
  <c r="I1472" i="20"/>
  <c r="I1473" i="20" s="1"/>
  <c r="I1470" i="20"/>
  <c r="I1471" i="20" s="1"/>
  <c r="I1468" i="20"/>
  <c r="I1469" i="20" s="1"/>
  <c r="I1466" i="20"/>
  <c r="I1467" i="20" s="1"/>
  <c r="I1464" i="20"/>
  <c r="I1465" i="20" s="1"/>
  <c r="I1462" i="20"/>
  <c r="I1463" i="20" s="1"/>
  <c r="I1460" i="20"/>
  <c r="I1461" i="20" s="1"/>
  <c r="I1458" i="20"/>
  <c r="I1459" i="20" s="1"/>
  <c r="I1456" i="20"/>
  <c r="I1457" i="20" s="1"/>
  <c r="I1454" i="20"/>
  <c r="I1455" i="20" s="1"/>
  <c r="I1452" i="20"/>
  <c r="I1453" i="20" s="1"/>
  <c r="I1450" i="20"/>
  <c r="I1451" i="20" s="1"/>
  <c r="I1448" i="20"/>
  <c r="I1449" i="20" s="1"/>
  <c r="I1446" i="20"/>
  <c r="I1447" i="20" s="1"/>
  <c r="I1444" i="20"/>
  <c r="I1445" i="20" s="1"/>
  <c r="J1482" i="20"/>
  <c r="J1483" i="20" s="1"/>
  <c r="J1480" i="20"/>
  <c r="J1481" i="20" s="1"/>
  <c r="J1478" i="20"/>
  <c r="J1479" i="20" s="1"/>
  <c r="J1476" i="20"/>
  <c r="J1477" i="20" s="1"/>
  <c r="J1474" i="20"/>
  <c r="J1475" i="20" s="1"/>
  <c r="J1472" i="20"/>
  <c r="J1473" i="20" s="1"/>
  <c r="J1470" i="20"/>
  <c r="J1471" i="20" s="1"/>
  <c r="J1468" i="20"/>
  <c r="J1469" i="20" s="1"/>
  <c r="J1466" i="20"/>
  <c r="J1467" i="20" s="1"/>
  <c r="J1464" i="20"/>
  <c r="J1465" i="20" s="1"/>
  <c r="J1462" i="20"/>
  <c r="J1463" i="20" s="1"/>
  <c r="J1460" i="20"/>
  <c r="J1461" i="20" s="1"/>
  <c r="J1458" i="20"/>
  <c r="J1459" i="20" s="1"/>
  <c r="J1456" i="20"/>
  <c r="J1457" i="20" s="1"/>
  <c r="J1454" i="20"/>
  <c r="J1455" i="20" s="1"/>
  <c r="J1452" i="20"/>
  <c r="J1453" i="20" s="1"/>
  <c r="J1450" i="20"/>
  <c r="J1451" i="20" s="1"/>
  <c r="J1448" i="20"/>
  <c r="J1449" i="20" s="1"/>
  <c r="J1446" i="20"/>
  <c r="J1447" i="20" s="1"/>
  <c r="J1444" i="20"/>
  <c r="J1445" i="20" s="1"/>
  <c r="D723" i="20"/>
  <c r="D721" i="20"/>
  <c r="D719" i="20"/>
  <c r="D717" i="20"/>
  <c r="D715" i="20"/>
  <c r="D713" i="20"/>
  <c r="D711" i="20"/>
  <c r="D709" i="20"/>
  <c r="D707" i="20"/>
  <c r="D705" i="20"/>
  <c r="D703" i="20"/>
  <c r="D701" i="20"/>
  <c r="D699" i="20"/>
  <c r="D695" i="20"/>
  <c r="D697" i="20"/>
  <c r="D693" i="20"/>
  <c r="D691" i="20"/>
  <c r="D689" i="20"/>
  <c r="D687" i="20"/>
  <c r="D685" i="20"/>
  <c r="I722" i="20"/>
  <c r="I723" i="20" s="1"/>
  <c r="I720" i="20"/>
  <c r="I721" i="20" s="1"/>
  <c r="I718" i="20"/>
  <c r="I719" i="20" s="1"/>
  <c r="I716" i="20"/>
  <c r="I717" i="20" s="1"/>
  <c r="I714" i="20"/>
  <c r="I715" i="20" s="1"/>
  <c r="I712" i="20"/>
  <c r="I713" i="20" s="1"/>
  <c r="I710" i="20"/>
  <c r="I711" i="20" s="1"/>
  <c r="I708" i="20"/>
  <c r="I709" i="20" s="1"/>
  <c r="I706" i="20"/>
  <c r="I707" i="20" s="1"/>
  <c r="I704" i="20"/>
  <c r="I705" i="20" s="1"/>
  <c r="I702" i="20"/>
  <c r="I703" i="20" s="1"/>
  <c r="I700" i="20"/>
  <c r="I701" i="20" s="1"/>
  <c r="I698" i="20"/>
  <c r="I699" i="20" s="1"/>
  <c r="I696" i="20"/>
  <c r="I697" i="20" s="1"/>
  <c r="I694" i="20"/>
  <c r="I695" i="20" s="1"/>
  <c r="I692" i="20"/>
  <c r="I693" i="20" s="1"/>
  <c r="I690" i="20"/>
  <c r="I691" i="20" s="1"/>
  <c r="I688" i="20"/>
  <c r="I689" i="20" s="1"/>
  <c r="I686" i="20"/>
  <c r="I687" i="20" s="1"/>
  <c r="I684" i="20"/>
  <c r="I685" i="20" s="1"/>
  <c r="J722" i="20"/>
  <c r="J723" i="20" s="1"/>
  <c r="J720" i="20"/>
  <c r="J721" i="20" s="1"/>
  <c r="J718" i="20"/>
  <c r="J719" i="20" s="1"/>
  <c r="J716" i="20"/>
  <c r="J717" i="20" s="1"/>
  <c r="J714" i="20"/>
  <c r="J715" i="20" s="1"/>
  <c r="J712" i="20"/>
  <c r="J713" i="20" s="1"/>
  <c r="J710" i="20"/>
  <c r="J711" i="20" s="1"/>
  <c r="J708" i="20"/>
  <c r="J709" i="20" s="1"/>
  <c r="J706" i="20"/>
  <c r="J707" i="20" s="1"/>
  <c r="J704" i="20"/>
  <c r="J705" i="20" s="1"/>
  <c r="J702" i="20"/>
  <c r="J703" i="20" s="1"/>
  <c r="J700" i="20"/>
  <c r="J701" i="20" s="1"/>
  <c r="J698" i="20"/>
  <c r="J699" i="20" s="1"/>
  <c r="J696" i="20"/>
  <c r="J697" i="20" s="1"/>
  <c r="J694" i="20"/>
  <c r="J695" i="20" s="1"/>
  <c r="J692" i="20"/>
  <c r="J693" i="20" s="1"/>
  <c r="J690" i="20"/>
  <c r="J691" i="20" s="1"/>
  <c r="J688" i="20"/>
  <c r="J689" i="20" s="1"/>
  <c r="J686" i="20"/>
  <c r="J687" i="20" s="1"/>
  <c r="J684" i="20"/>
  <c r="J685" i="20" s="1"/>
  <c r="D623" i="20"/>
  <c r="D621" i="20"/>
  <c r="D619" i="20"/>
  <c r="D617" i="20"/>
  <c r="D615" i="20"/>
  <c r="D613" i="20"/>
  <c r="D611" i="20"/>
  <c r="D609" i="20"/>
  <c r="D607" i="20"/>
  <c r="D605" i="20"/>
  <c r="D595" i="20"/>
  <c r="D603" i="20"/>
  <c r="D601" i="20"/>
  <c r="D599" i="20"/>
  <c r="D597" i="20"/>
  <c r="D593" i="20"/>
  <c r="D591" i="20"/>
  <c r="D589" i="20"/>
  <c r="D587" i="20"/>
  <c r="D585" i="20"/>
  <c r="I622" i="20"/>
  <c r="I623" i="20" s="1"/>
  <c r="I620" i="20"/>
  <c r="I621" i="20" s="1"/>
  <c r="I618" i="20"/>
  <c r="I619" i="20" s="1"/>
  <c r="I616" i="20"/>
  <c r="I617" i="20" s="1"/>
  <c r="I614" i="20"/>
  <c r="I615" i="20" s="1"/>
  <c r="I612" i="20"/>
  <c r="I613" i="20" s="1"/>
  <c r="I610" i="20"/>
  <c r="I611" i="20" s="1"/>
  <c r="I608" i="20"/>
  <c r="I609" i="20" s="1"/>
  <c r="I606" i="20"/>
  <c r="I607" i="20" s="1"/>
  <c r="I604" i="20"/>
  <c r="I605" i="20" s="1"/>
  <c r="I602" i="20"/>
  <c r="I603" i="20" s="1"/>
  <c r="I600" i="20"/>
  <c r="I601" i="20" s="1"/>
  <c r="I598" i="20"/>
  <c r="I599" i="20" s="1"/>
  <c r="I596" i="20"/>
  <c r="I597" i="20" s="1"/>
  <c r="I594" i="20"/>
  <c r="I595" i="20" s="1"/>
  <c r="I592" i="20"/>
  <c r="I593" i="20" s="1"/>
  <c r="I590" i="20"/>
  <c r="I591" i="20" s="1"/>
  <c r="I588" i="20"/>
  <c r="I589" i="20" s="1"/>
  <c r="I586" i="20"/>
  <c r="I587" i="20" s="1"/>
  <c r="I584" i="20"/>
  <c r="I585" i="20" s="1"/>
  <c r="J622" i="20"/>
  <c r="J623" i="20" s="1"/>
  <c r="J620" i="20"/>
  <c r="J621" i="20" s="1"/>
  <c r="J618" i="20"/>
  <c r="J619" i="20" s="1"/>
  <c r="J616" i="20"/>
  <c r="J617" i="20" s="1"/>
  <c r="J614" i="20"/>
  <c r="J615" i="20" s="1"/>
  <c r="J612" i="20"/>
  <c r="J613" i="20" s="1"/>
  <c r="J610" i="20"/>
  <c r="J611" i="20" s="1"/>
  <c r="J608" i="20"/>
  <c r="J609" i="20" s="1"/>
  <c r="J606" i="20"/>
  <c r="J607" i="20" s="1"/>
  <c r="J604" i="20"/>
  <c r="J605" i="20" s="1"/>
  <c r="J602" i="20"/>
  <c r="J603" i="20" s="1"/>
  <c r="J600" i="20"/>
  <c r="J601" i="20" s="1"/>
  <c r="J598" i="20"/>
  <c r="J599" i="20" s="1"/>
  <c r="J596" i="20"/>
  <c r="J597" i="20" s="1"/>
  <c r="J594" i="20"/>
  <c r="J595" i="20" s="1"/>
  <c r="J592" i="20"/>
  <c r="J593" i="20" s="1"/>
  <c r="J590" i="20"/>
  <c r="J591" i="20" s="1"/>
  <c r="J588" i="20"/>
  <c r="J589" i="20" s="1"/>
  <c r="J586" i="20"/>
  <c r="J587" i="20" s="1"/>
  <c r="J584" i="20"/>
  <c r="J585" i="20" s="1"/>
  <c r="F523" i="20"/>
  <c r="C523" i="20"/>
  <c r="F521" i="20"/>
  <c r="C521" i="20"/>
  <c r="F519" i="20"/>
  <c r="C519" i="20"/>
  <c r="F517" i="20"/>
  <c r="C517" i="20"/>
  <c r="F515" i="20"/>
  <c r="C515" i="20"/>
  <c r="F513" i="20"/>
  <c r="C513" i="20"/>
  <c r="F511" i="20"/>
  <c r="C511" i="20"/>
  <c r="F509" i="20"/>
  <c r="C509" i="20"/>
  <c r="F507" i="20"/>
  <c r="C507" i="20"/>
  <c r="F505" i="20"/>
  <c r="C505" i="20"/>
  <c r="F503" i="20"/>
  <c r="C503" i="20"/>
  <c r="F501" i="20"/>
  <c r="C501" i="20"/>
  <c r="F499" i="20"/>
  <c r="C499" i="20"/>
  <c r="F497" i="20"/>
  <c r="C497" i="20"/>
  <c r="F495" i="20"/>
  <c r="C495" i="20"/>
  <c r="F493" i="20"/>
  <c r="C493" i="20"/>
  <c r="F491" i="20"/>
  <c r="C491" i="20"/>
  <c r="F489" i="20"/>
  <c r="C489" i="20"/>
  <c r="F487" i="20"/>
  <c r="C487" i="20"/>
  <c r="F485" i="20"/>
  <c r="C485" i="20"/>
  <c r="F483" i="20"/>
  <c r="C483" i="20"/>
  <c r="B486" i="20"/>
  <c r="B487" i="20" s="1"/>
  <c r="D486" i="20"/>
  <c r="H486" i="20" s="1"/>
  <c r="H487" i="20" s="1"/>
  <c r="E486" i="20"/>
  <c r="E487" i="20" s="1"/>
  <c r="G486" i="20"/>
  <c r="G487" i="20" s="1"/>
  <c r="K486" i="20"/>
  <c r="K487" i="20" s="1"/>
  <c r="L486" i="20"/>
  <c r="L487" i="20" s="1"/>
  <c r="M486" i="20"/>
  <c r="M487" i="20" s="1"/>
  <c r="O486" i="20"/>
  <c r="O487" i="20" s="1"/>
  <c r="B488" i="20"/>
  <c r="B489" i="20" s="1"/>
  <c r="D488" i="20"/>
  <c r="E488" i="20"/>
  <c r="E489" i="20" s="1"/>
  <c r="G488" i="20"/>
  <c r="G489" i="20" s="1"/>
  <c r="K488" i="20"/>
  <c r="K489" i="20" s="1"/>
  <c r="L488" i="20"/>
  <c r="L489" i="20" s="1"/>
  <c r="M488" i="20"/>
  <c r="M489" i="20" s="1"/>
  <c r="O488" i="20"/>
  <c r="O489" i="20" s="1"/>
  <c r="B490" i="20"/>
  <c r="B491" i="20" s="1"/>
  <c r="D490" i="20"/>
  <c r="E490" i="20"/>
  <c r="E491" i="20" s="1"/>
  <c r="G490" i="20"/>
  <c r="G491" i="20" s="1"/>
  <c r="K490" i="20"/>
  <c r="K491" i="20" s="1"/>
  <c r="L490" i="20"/>
  <c r="L491" i="20" s="1"/>
  <c r="M490" i="20"/>
  <c r="M491" i="20" s="1"/>
  <c r="O490" i="20"/>
  <c r="O491" i="20" s="1"/>
  <c r="B492" i="20"/>
  <c r="B493" i="20" s="1"/>
  <c r="D492" i="20"/>
  <c r="E492" i="20"/>
  <c r="E493" i="20" s="1"/>
  <c r="G492" i="20"/>
  <c r="G493" i="20" s="1"/>
  <c r="K492" i="20"/>
  <c r="K493" i="20" s="1"/>
  <c r="L492" i="20"/>
  <c r="L493" i="20" s="1"/>
  <c r="M492" i="20"/>
  <c r="M493" i="20" s="1"/>
  <c r="O492" i="20"/>
  <c r="O493" i="20" s="1"/>
  <c r="B494" i="20"/>
  <c r="B495" i="20" s="1"/>
  <c r="D494" i="20"/>
  <c r="E494" i="20"/>
  <c r="E495" i="20" s="1"/>
  <c r="G494" i="20"/>
  <c r="G495" i="20" s="1"/>
  <c r="K494" i="20"/>
  <c r="K495" i="20" s="1"/>
  <c r="L494" i="20"/>
  <c r="L495" i="20" s="1"/>
  <c r="M494" i="20"/>
  <c r="M495" i="20" s="1"/>
  <c r="O494" i="20"/>
  <c r="O495" i="20" s="1"/>
  <c r="B496" i="20"/>
  <c r="B497" i="20" s="1"/>
  <c r="D496" i="20"/>
  <c r="E496" i="20"/>
  <c r="E497" i="20" s="1"/>
  <c r="G496" i="20"/>
  <c r="G497" i="20" s="1"/>
  <c r="K496" i="20"/>
  <c r="K497" i="20" s="1"/>
  <c r="L496" i="20"/>
  <c r="L497" i="20" s="1"/>
  <c r="M496" i="20"/>
  <c r="M497" i="20" s="1"/>
  <c r="O496" i="20"/>
  <c r="O497" i="20" s="1"/>
  <c r="B498" i="20"/>
  <c r="B499" i="20" s="1"/>
  <c r="D498" i="20"/>
  <c r="E498" i="20"/>
  <c r="E499" i="20" s="1"/>
  <c r="G498" i="20"/>
  <c r="G499" i="20" s="1"/>
  <c r="K498" i="20"/>
  <c r="K499" i="20" s="1"/>
  <c r="L498" i="20"/>
  <c r="L499" i="20" s="1"/>
  <c r="M498" i="20"/>
  <c r="M499" i="20" s="1"/>
  <c r="O498" i="20"/>
  <c r="O499" i="20" s="1"/>
  <c r="B500" i="20"/>
  <c r="B501" i="20" s="1"/>
  <c r="D500" i="20"/>
  <c r="E500" i="20"/>
  <c r="E501" i="20" s="1"/>
  <c r="G500" i="20"/>
  <c r="G501" i="20" s="1"/>
  <c r="K500" i="20"/>
  <c r="K501" i="20" s="1"/>
  <c r="L500" i="20"/>
  <c r="L501" i="20" s="1"/>
  <c r="M500" i="20"/>
  <c r="M501" i="20" s="1"/>
  <c r="O500" i="20"/>
  <c r="O501" i="20" s="1"/>
  <c r="B502" i="20"/>
  <c r="B503" i="20" s="1"/>
  <c r="D502" i="20"/>
  <c r="E502" i="20"/>
  <c r="E503" i="20" s="1"/>
  <c r="G502" i="20"/>
  <c r="G503" i="20" s="1"/>
  <c r="K502" i="20"/>
  <c r="K503" i="20" s="1"/>
  <c r="L502" i="20"/>
  <c r="L503" i="20" s="1"/>
  <c r="M502" i="20"/>
  <c r="M503" i="20" s="1"/>
  <c r="O502" i="20"/>
  <c r="O503" i="20" s="1"/>
  <c r="B504" i="20"/>
  <c r="B505" i="20" s="1"/>
  <c r="D504" i="20"/>
  <c r="E504" i="20"/>
  <c r="E505" i="20" s="1"/>
  <c r="G504" i="20"/>
  <c r="G505" i="20" s="1"/>
  <c r="K504" i="20"/>
  <c r="K505" i="20" s="1"/>
  <c r="L504" i="20"/>
  <c r="L505" i="20" s="1"/>
  <c r="M504" i="20"/>
  <c r="M505" i="20" s="1"/>
  <c r="O504" i="20"/>
  <c r="O505" i="20" s="1"/>
  <c r="B506" i="20"/>
  <c r="B507" i="20" s="1"/>
  <c r="D506" i="20"/>
  <c r="E506" i="20"/>
  <c r="E507" i="20" s="1"/>
  <c r="G506" i="20"/>
  <c r="G507" i="20" s="1"/>
  <c r="K506" i="20"/>
  <c r="K507" i="20" s="1"/>
  <c r="L506" i="20"/>
  <c r="L507" i="20" s="1"/>
  <c r="M506" i="20"/>
  <c r="M507" i="20" s="1"/>
  <c r="O506" i="20"/>
  <c r="O507" i="20" s="1"/>
  <c r="B508" i="20"/>
  <c r="B509" i="20" s="1"/>
  <c r="D508" i="20"/>
  <c r="E508" i="20"/>
  <c r="E509" i="20" s="1"/>
  <c r="G508" i="20"/>
  <c r="G509" i="20" s="1"/>
  <c r="K508" i="20"/>
  <c r="K509" i="20" s="1"/>
  <c r="L508" i="20"/>
  <c r="L509" i="20" s="1"/>
  <c r="M508" i="20"/>
  <c r="M509" i="20" s="1"/>
  <c r="O508" i="20"/>
  <c r="O509" i="20" s="1"/>
  <c r="B510" i="20"/>
  <c r="B511" i="20" s="1"/>
  <c r="D510" i="20"/>
  <c r="E510" i="20"/>
  <c r="E511" i="20" s="1"/>
  <c r="G510" i="20"/>
  <c r="G511" i="20" s="1"/>
  <c r="K510" i="20"/>
  <c r="K511" i="20" s="1"/>
  <c r="L510" i="20"/>
  <c r="L511" i="20" s="1"/>
  <c r="M510" i="20"/>
  <c r="M511" i="20" s="1"/>
  <c r="O510" i="20"/>
  <c r="O511" i="20" s="1"/>
  <c r="B512" i="20"/>
  <c r="B513" i="20" s="1"/>
  <c r="D512" i="20"/>
  <c r="E512" i="20"/>
  <c r="E513" i="20" s="1"/>
  <c r="G512" i="20"/>
  <c r="G513" i="20" s="1"/>
  <c r="K512" i="20"/>
  <c r="K513" i="20" s="1"/>
  <c r="L512" i="20"/>
  <c r="L513" i="20" s="1"/>
  <c r="M512" i="20"/>
  <c r="M513" i="20" s="1"/>
  <c r="O512" i="20"/>
  <c r="O513" i="20" s="1"/>
  <c r="B514" i="20"/>
  <c r="B515" i="20" s="1"/>
  <c r="D514" i="20"/>
  <c r="E514" i="20"/>
  <c r="E515" i="20" s="1"/>
  <c r="G514" i="20"/>
  <c r="G515" i="20" s="1"/>
  <c r="K514" i="20"/>
  <c r="K515" i="20" s="1"/>
  <c r="L514" i="20"/>
  <c r="L515" i="20" s="1"/>
  <c r="M514" i="20"/>
  <c r="M515" i="20" s="1"/>
  <c r="O514" i="20"/>
  <c r="O515" i="20" s="1"/>
  <c r="B516" i="20"/>
  <c r="B517" i="20" s="1"/>
  <c r="D516" i="20"/>
  <c r="E516" i="20"/>
  <c r="E517" i="20" s="1"/>
  <c r="G516" i="20"/>
  <c r="G517" i="20" s="1"/>
  <c r="K516" i="20"/>
  <c r="K517" i="20" s="1"/>
  <c r="L516" i="20"/>
  <c r="L517" i="20" s="1"/>
  <c r="M516" i="20"/>
  <c r="M517" i="20" s="1"/>
  <c r="O516" i="20"/>
  <c r="O517" i="20" s="1"/>
  <c r="B518" i="20"/>
  <c r="B519" i="20" s="1"/>
  <c r="D518" i="20"/>
  <c r="E518" i="20"/>
  <c r="E519" i="20" s="1"/>
  <c r="G518" i="20"/>
  <c r="G519" i="20" s="1"/>
  <c r="K518" i="20"/>
  <c r="K519" i="20" s="1"/>
  <c r="L518" i="20"/>
  <c r="L519" i="20" s="1"/>
  <c r="M518" i="20"/>
  <c r="M519" i="20" s="1"/>
  <c r="O518" i="20"/>
  <c r="O519" i="20" s="1"/>
  <c r="B520" i="20"/>
  <c r="B521" i="20" s="1"/>
  <c r="D520" i="20"/>
  <c r="E520" i="20"/>
  <c r="E521" i="20" s="1"/>
  <c r="G520" i="20"/>
  <c r="G521" i="20" s="1"/>
  <c r="K520" i="20"/>
  <c r="K521" i="20" s="1"/>
  <c r="L520" i="20"/>
  <c r="L521" i="20" s="1"/>
  <c r="M520" i="20"/>
  <c r="M521" i="20" s="1"/>
  <c r="O520" i="20"/>
  <c r="O521" i="20" s="1"/>
  <c r="B522" i="20"/>
  <c r="B523" i="20" s="1"/>
  <c r="D522" i="20"/>
  <c r="E522" i="20"/>
  <c r="E523" i="20" s="1"/>
  <c r="G522" i="20"/>
  <c r="G523" i="20" s="1"/>
  <c r="K522" i="20"/>
  <c r="K523" i="20" s="1"/>
  <c r="L522" i="20"/>
  <c r="L523" i="20" s="1"/>
  <c r="M522" i="20"/>
  <c r="M523" i="20" s="1"/>
  <c r="O522" i="20"/>
  <c r="O523" i="20" s="1"/>
  <c r="O484" i="20"/>
  <c r="O485" i="20" s="1"/>
  <c r="M484" i="20"/>
  <c r="M485" i="20" s="1"/>
  <c r="L484" i="20"/>
  <c r="L485" i="20" s="1"/>
  <c r="K484" i="20"/>
  <c r="K485" i="20" s="1"/>
  <c r="G484" i="20"/>
  <c r="G485" i="20" s="1"/>
  <c r="E484" i="20"/>
  <c r="E485" i="20" s="1"/>
  <c r="D484" i="20"/>
  <c r="B484" i="20"/>
  <c r="B485" i="20" s="1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Y66" i="14"/>
  <c r="Z66" i="14" s="1"/>
  <c r="AA66" i="14" s="1"/>
  <c r="AU66" i="14"/>
  <c r="AV66" i="14"/>
  <c r="AX66" i="14" s="1"/>
  <c r="AW66" i="14"/>
  <c r="Y67" i="14"/>
  <c r="Z67" i="14" s="1"/>
  <c r="AA67" i="14" s="1"/>
  <c r="AB67" i="14"/>
  <c r="AC67" i="14" s="1"/>
  <c r="AU67" i="14"/>
  <c r="H387" i="19" s="1"/>
  <c r="AV67" i="14"/>
  <c r="AW67" i="14"/>
  <c r="Y68" i="14"/>
  <c r="AU68" i="14"/>
  <c r="AV68" i="14"/>
  <c r="AW68" i="14"/>
  <c r="Y69" i="14"/>
  <c r="Z69" i="14" s="1"/>
  <c r="AA69" i="14" s="1"/>
  <c r="AU69" i="14"/>
  <c r="AV69" i="14"/>
  <c r="AW69" i="14"/>
  <c r="Y70" i="14"/>
  <c r="AU70" i="14"/>
  <c r="AV70" i="14"/>
  <c r="AW70" i="14"/>
  <c r="Y71" i="14"/>
  <c r="Z71" i="14" s="1"/>
  <c r="AA71" i="14" s="1"/>
  <c r="AU71" i="14"/>
  <c r="AV71" i="14"/>
  <c r="AW71" i="14"/>
  <c r="Y72" i="14"/>
  <c r="AU72" i="14"/>
  <c r="AV72" i="14"/>
  <c r="AW72" i="14"/>
  <c r="Y73" i="14"/>
  <c r="AU73" i="14"/>
  <c r="H393" i="19" s="1"/>
  <c r="AV73" i="14"/>
  <c r="AW73" i="14"/>
  <c r="Y74" i="14"/>
  <c r="AU74" i="14"/>
  <c r="AV74" i="14"/>
  <c r="AW74" i="14"/>
  <c r="Y75" i="14"/>
  <c r="Z75" i="14"/>
  <c r="AA75" i="14" s="1"/>
  <c r="AB75" i="14"/>
  <c r="AC75" i="14" s="1"/>
  <c r="AU75" i="14"/>
  <c r="AV75" i="14"/>
  <c r="AW75" i="14"/>
  <c r="Y76" i="14"/>
  <c r="AU76" i="14"/>
  <c r="AV76" i="14"/>
  <c r="AX76" i="14" s="1"/>
  <c r="AW76" i="14"/>
  <c r="Y77" i="14"/>
  <c r="AU77" i="14"/>
  <c r="AV77" i="14"/>
  <c r="AW77" i="14"/>
  <c r="Y78" i="14"/>
  <c r="Z78" i="14"/>
  <c r="AA78" i="14" s="1"/>
  <c r="AB78" i="14"/>
  <c r="AC78" i="14" s="1"/>
  <c r="AU78" i="14"/>
  <c r="AV78" i="14"/>
  <c r="AX78" i="14" s="1"/>
  <c r="AW78" i="14"/>
  <c r="Y79" i="14"/>
  <c r="AU79" i="14"/>
  <c r="AV79" i="14"/>
  <c r="AW79" i="14"/>
  <c r="Y80" i="14"/>
  <c r="Z80" i="14"/>
  <c r="AA80" i="14" s="1"/>
  <c r="AB80" i="14"/>
  <c r="AC80" i="14" s="1"/>
  <c r="AU80" i="14"/>
  <c r="AV80" i="14"/>
  <c r="AW80" i="14"/>
  <c r="Y81" i="14"/>
  <c r="AU81" i="14"/>
  <c r="AV81" i="14"/>
  <c r="AW81" i="14"/>
  <c r="Y82" i="14"/>
  <c r="Z82" i="14" s="1"/>
  <c r="AA82" i="14" s="1"/>
  <c r="AU82" i="14"/>
  <c r="H402" i="19" s="1"/>
  <c r="AV82" i="14"/>
  <c r="AW82" i="14"/>
  <c r="Y83" i="14"/>
  <c r="AU83" i="14"/>
  <c r="H294" i="19" s="1"/>
  <c r="AV83" i="14"/>
  <c r="AW83" i="14"/>
  <c r="Y84" i="14"/>
  <c r="Z84" i="14" s="1"/>
  <c r="AA84" i="14" s="1"/>
  <c r="AB84" i="14"/>
  <c r="AC84" i="14" s="1"/>
  <c r="AU84" i="14"/>
  <c r="AV84" i="14"/>
  <c r="AW84" i="14"/>
  <c r="Y85" i="14"/>
  <c r="AU85" i="14"/>
  <c r="AV85" i="14"/>
  <c r="AW85" i="14"/>
  <c r="Q66" i="14"/>
  <c r="R66" i="14"/>
  <c r="S66" i="14" s="1"/>
  <c r="V66" i="14"/>
  <c r="F440" i="19" s="1"/>
  <c r="Q67" i="14"/>
  <c r="R67" i="14" s="1"/>
  <c r="S67" i="14" s="1"/>
  <c r="V67" i="14"/>
  <c r="F441" i="19" s="1"/>
  <c r="Q68" i="14"/>
  <c r="R68" i="14"/>
  <c r="S68" i="14" s="1"/>
  <c r="V68" i="14"/>
  <c r="F442" i="19" s="1"/>
  <c r="Q69" i="14"/>
  <c r="R69" i="14" s="1"/>
  <c r="S69" i="14" s="1"/>
  <c r="V69" i="14"/>
  <c r="F443" i="19" s="1"/>
  <c r="Q70" i="14"/>
  <c r="R70" i="14"/>
  <c r="S70" i="14" s="1"/>
  <c r="V70" i="14"/>
  <c r="F444" i="19" s="1"/>
  <c r="Q71" i="14"/>
  <c r="R71" i="14" s="1"/>
  <c r="S71" i="14" s="1"/>
  <c r="V71" i="14"/>
  <c r="F445" i="19" s="1"/>
  <c r="Q72" i="14"/>
  <c r="R72" i="14"/>
  <c r="S72" i="14" s="1"/>
  <c r="V72" i="14"/>
  <c r="F446" i="19" s="1"/>
  <c r="Q73" i="14"/>
  <c r="R73" i="14" s="1"/>
  <c r="S73" i="14" s="1"/>
  <c r="V73" i="14"/>
  <c r="F447" i="19" s="1"/>
  <c r="Q74" i="14"/>
  <c r="R74" i="14"/>
  <c r="S74" i="14" s="1"/>
  <c r="V74" i="14"/>
  <c r="F448" i="19" s="1"/>
  <c r="Q75" i="14"/>
  <c r="V75" i="14"/>
  <c r="F449" i="19" s="1"/>
  <c r="Q76" i="14"/>
  <c r="R76" i="14"/>
  <c r="S76" i="14" s="1"/>
  <c r="V76" i="14"/>
  <c r="F450" i="19" s="1"/>
  <c r="Q77" i="14"/>
  <c r="R77" i="14" s="1"/>
  <c r="S77" i="14" s="1"/>
  <c r="V77" i="14"/>
  <c r="F451" i="19" s="1"/>
  <c r="Q78" i="14"/>
  <c r="R78" i="14"/>
  <c r="S78" i="14" s="1"/>
  <c r="V78" i="14"/>
  <c r="Q79" i="14"/>
  <c r="R79" i="14" s="1"/>
  <c r="S79" i="14" s="1"/>
  <c r="V79" i="14"/>
  <c r="F453" i="19" s="1"/>
  <c r="Q80" i="14"/>
  <c r="R80" i="14"/>
  <c r="S80" i="14" s="1"/>
  <c r="V80" i="14"/>
  <c r="Q81" i="14"/>
  <c r="R81" i="14" s="1"/>
  <c r="S81" i="14" s="1"/>
  <c r="V81" i="14"/>
  <c r="F455" i="19" s="1"/>
  <c r="Q82" i="14"/>
  <c r="R82" i="14"/>
  <c r="S82" i="14" s="1"/>
  <c r="V82" i="14"/>
  <c r="F456" i="19" s="1"/>
  <c r="Q83" i="14"/>
  <c r="R83" i="14" s="1"/>
  <c r="S83" i="14" s="1"/>
  <c r="V83" i="14"/>
  <c r="F457" i="19" s="1"/>
  <c r="Q84" i="14"/>
  <c r="R84" i="14"/>
  <c r="S84" i="14" s="1"/>
  <c r="V84" i="14"/>
  <c r="Q85" i="14"/>
  <c r="R85" i="14" s="1"/>
  <c r="S85" i="14" s="1"/>
  <c r="V85" i="14"/>
  <c r="F459" i="19" s="1"/>
  <c r="I66" i="14"/>
  <c r="J66" i="14"/>
  <c r="K66" i="14" s="1"/>
  <c r="L66" i="14"/>
  <c r="M66" i="14" s="1"/>
  <c r="N66" i="14"/>
  <c r="I67" i="14"/>
  <c r="N67" i="14"/>
  <c r="I68" i="14"/>
  <c r="J68" i="14"/>
  <c r="K68" i="14" s="1"/>
  <c r="L68" i="14"/>
  <c r="M68" i="14" s="1"/>
  <c r="N68" i="14"/>
  <c r="I69" i="14"/>
  <c r="N69" i="14"/>
  <c r="I70" i="14"/>
  <c r="J70" i="14"/>
  <c r="K70" i="14" s="1"/>
  <c r="L70" i="14"/>
  <c r="M70" i="14" s="1"/>
  <c r="N70" i="14"/>
  <c r="I71" i="14"/>
  <c r="N71" i="14"/>
  <c r="I72" i="14"/>
  <c r="J72" i="14"/>
  <c r="K72" i="14" s="1"/>
  <c r="L72" i="14"/>
  <c r="M72" i="14" s="1"/>
  <c r="N72" i="14"/>
  <c r="I73" i="14"/>
  <c r="N73" i="14"/>
  <c r="I74" i="14"/>
  <c r="J74" i="14" s="1"/>
  <c r="K74" i="14" s="1"/>
  <c r="L74" i="14"/>
  <c r="M74" i="14" s="1"/>
  <c r="N74" i="14"/>
  <c r="I75" i="14"/>
  <c r="N75" i="14"/>
  <c r="I76" i="14"/>
  <c r="L76" i="14"/>
  <c r="M76" i="14" s="1"/>
  <c r="N76" i="14"/>
  <c r="I77" i="14"/>
  <c r="N77" i="14"/>
  <c r="AO77" i="14" s="1"/>
  <c r="I78" i="14"/>
  <c r="J78" i="14" s="1"/>
  <c r="K78" i="14" s="1"/>
  <c r="L78" i="14"/>
  <c r="M78" i="14" s="1"/>
  <c r="N78" i="14"/>
  <c r="I79" i="14"/>
  <c r="N79" i="14"/>
  <c r="I80" i="14"/>
  <c r="L80" i="14"/>
  <c r="M80" i="14" s="1"/>
  <c r="N80" i="14"/>
  <c r="I81" i="14"/>
  <c r="N81" i="14"/>
  <c r="AO81" i="14" s="1"/>
  <c r="I82" i="14"/>
  <c r="J82" i="14" s="1"/>
  <c r="K82" i="14" s="1"/>
  <c r="L82" i="14"/>
  <c r="M82" i="14" s="1"/>
  <c r="N82" i="14"/>
  <c r="AO82" i="14" s="1"/>
  <c r="I83" i="14"/>
  <c r="N83" i="14"/>
  <c r="I84" i="14"/>
  <c r="J84" i="14" s="1"/>
  <c r="K84" i="14" s="1"/>
  <c r="L84" i="14"/>
  <c r="M84" i="14" s="1"/>
  <c r="N84" i="14"/>
  <c r="I85" i="14"/>
  <c r="N85" i="14"/>
  <c r="AO85" i="14" s="1"/>
  <c r="E66" i="14"/>
  <c r="F66" i="14"/>
  <c r="E67" i="14"/>
  <c r="F67" i="14"/>
  <c r="E68" i="14"/>
  <c r="F68" i="14"/>
  <c r="E69" i="14"/>
  <c r="F69" i="14"/>
  <c r="E70" i="14"/>
  <c r="F70" i="14"/>
  <c r="E71" i="14"/>
  <c r="F71" i="14"/>
  <c r="E72" i="14"/>
  <c r="F72" i="14"/>
  <c r="E73" i="14"/>
  <c r="F73" i="14"/>
  <c r="E74" i="14"/>
  <c r="F74" i="14"/>
  <c r="E75" i="14"/>
  <c r="F75" i="14"/>
  <c r="E76" i="14"/>
  <c r="F76" i="14"/>
  <c r="E77" i="14"/>
  <c r="F77" i="14"/>
  <c r="E78" i="14"/>
  <c r="F78" i="14"/>
  <c r="E79" i="14"/>
  <c r="F79" i="14"/>
  <c r="E80" i="14"/>
  <c r="F80" i="14"/>
  <c r="E81" i="14"/>
  <c r="F81" i="14"/>
  <c r="E82" i="14"/>
  <c r="F82" i="14"/>
  <c r="E83" i="14"/>
  <c r="F83" i="14"/>
  <c r="E84" i="14"/>
  <c r="F84" i="14"/>
  <c r="E85" i="14"/>
  <c r="F8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AW6" i="14"/>
  <c r="AW7" i="14"/>
  <c r="AW8" i="14"/>
  <c r="AW9" i="14"/>
  <c r="AW10" i="14"/>
  <c r="AW11" i="14"/>
  <c r="AW12" i="14"/>
  <c r="AW13" i="14"/>
  <c r="AW14" i="14"/>
  <c r="AW15" i="14"/>
  <c r="AW16" i="14"/>
  <c r="AW17" i="14"/>
  <c r="AW18" i="14"/>
  <c r="AW19" i="14"/>
  <c r="AW20" i="14"/>
  <c r="AW21" i="14"/>
  <c r="AW22" i="14"/>
  <c r="AW23" i="14"/>
  <c r="AW24" i="14"/>
  <c r="AW25" i="14"/>
  <c r="AV6" i="14"/>
  <c r="AV7" i="14"/>
  <c r="AV8" i="14"/>
  <c r="AV9" i="14"/>
  <c r="AV10" i="14"/>
  <c r="AX10" i="14" s="1"/>
  <c r="AV11" i="14"/>
  <c r="AX11" i="14" s="1"/>
  <c r="AV12" i="14"/>
  <c r="AV13" i="14"/>
  <c r="AX13" i="14" s="1"/>
  <c r="AV14" i="14"/>
  <c r="AV15" i="14"/>
  <c r="AX15" i="14" s="1"/>
  <c r="AV16" i="14"/>
  <c r="AV17" i="14"/>
  <c r="AV18" i="14"/>
  <c r="AX18" i="14" s="1"/>
  <c r="AV19" i="14"/>
  <c r="AV20" i="14"/>
  <c r="AV21" i="14"/>
  <c r="AV22" i="14"/>
  <c r="AV23" i="14"/>
  <c r="AX23" i="14" s="1"/>
  <c r="AV24" i="14"/>
  <c r="AV25" i="14"/>
  <c r="AU6" i="14"/>
  <c r="AU7" i="14"/>
  <c r="AU8" i="14"/>
  <c r="AU9" i="14"/>
  <c r="AU10" i="14"/>
  <c r="AU11" i="14"/>
  <c r="AU12" i="14"/>
  <c r="AU13" i="14"/>
  <c r="AU14" i="14"/>
  <c r="AU15" i="14"/>
  <c r="AU16" i="14"/>
  <c r="AU17" i="14"/>
  <c r="AU18" i="14"/>
  <c r="AU19" i="14"/>
  <c r="AU20" i="14"/>
  <c r="AU21" i="14"/>
  <c r="AU22" i="14"/>
  <c r="AU23" i="14"/>
  <c r="AU24" i="14"/>
  <c r="AU25" i="14"/>
  <c r="Y6" i="14"/>
  <c r="Y7" i="14"/>
  <c r="Y8" i="14"/>
  <c r="Y9" i="14"/>
  <c r="Y10" i="14"/>
  <c r="Y11" i="14"/>
  <c r="Y12" i="14"/>
  <c r="Y13" i="14"/>
  <c r="Y14" i="14"/>
  <c r="Y15" i="14"/>
  <c r="Y16" i="14"/>
  <c r="Y17" i="14"/>
  <c r="Y18" i="14"/>
  <c r="Y19" i="14"/>
  <c r="Y20" i="14"/>
  <c r="Y21" i="14"/>
  <c r="Y22" i="14"/>
  <c r="Y23" i="14"/>
  <c r="Y24" i="14"/>
  <c r="Y25" i="14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Q6" i="14"/>
  <c r="Q7" i="14"/>
  <c r="R7" i="14" s="1"/>
  <c r="S7" i="14" s="1"/>
  <c r="Q8" i="14"/>
  <c r="Q9" i="14"/>
  <c r="Q10" i="14"/>
  <c r="Q11" i="14"/>
  <c r="T11" i="14" s="1"/>
  <c r="U11" i="14" s="1"/>
  <c r="Q12" i="14"/>
  <c r="Q13" i="14"/>
  <c r="Q14" i="14"/>
  <c r="Q15" i="14"/>
  <c r="R15" i="14" s="1"/>
  <c r="S15" i="14" s="1"/>
  <c r="Q16" i="14"/>
  <c r="Q17" i="14"/>
  <c r="Q18" i="14"/>
  <c r="Q19" i="14"/>
  <c r="R19" i="14" s="1"/>
  <c r="S19" i="14" s="1"/>
  <c r="Q20" i="14"/>
  <c r="Q21" i="14"/>
  <c r="Q22" i="14"/>
  <c r="Q23" i="14"/>
  <c r="Q24" i="14"/>
  <c r="Q25" i="14"/>
  <c r="N6" i="14"/>
  <c r="AO6" i="14" s="1"/>
  <c r="N7" i="14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L11" i="14"/>
  <c r="M11" i="14" s="1"/>
  <c r="J7" i="14"/>
  <c r="K7" i="14" s="1"/>
  <c r="J15" i="14"/>
  <c r="K15" i="14" s="1"/>
  <c r="I6" i="14"/>
  <c r="I7" i="14"/>
  <c r="I8" i="14"/>
  <c r="I9" i="14"/>
  <c r="I10" i="14"/>
  <c r="I11" i="14"/>
  <c r="I12" i="14"/>
  <c r="I13" i="14"/>
  <c r="I14" i="14"/>
  <c r="I15" i="14"/>
  <c r="L15" i="14" s="1"/>
  <c r="M15" i="14" s="1"/>
  <c r="I16" i="14"/>
  <c r="I17" i="14"/>
  <c r="I18" i="14"/>
  <c r="I19" i="14"/>
  <c r="J19" i="14" s="1"/>
  <c r="K19" i="14" s="1"/>
  <c r="I20" i="14"/>
  <c r="I21" i="14"/>
  <c r="I22" i="14"/>
  <c r="I23" i="14"/>
  <c r="J23" i="14" s="1"/>
  <c r="K23" i="14" s="1"/>
  <c r="I24" i="14"/>
  <c r="I2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B96" i="17"/>
  <c r="D19" i="14"/>
  <c r="D20" i="14"/>
  <c r="D21" i="14"/>
  <c r="D22" i="14"/>
  <c r="D23" i="14"/>
  <c r="D24" i="14"/>
  <c r="D25" i="14"/>
  <c r="G539" i="10"/>
  <c r="G541" i="10"/>
  <c r="Z53" i="10"/>
  <c r="Z54" i="10"/>
  <c r="Z55" i="10"/>
  <c r="Z56" i="10"/>
  <c r="Z57" i="10"/>
  <c r="Z58" i="10"/>
  <c r="Z59" i="10"/>
  <c r="Z60" i="10"/>
  <c r="Z61" i="10"/>
  <c r="Z62" i="10"/>
  <c r="Z63" i="10"/>
  <c r="Z64" i="10"/>
  <c r="Z65" i="10"/>
  <c r="Z66" i="10"/>
  <c r="Z67" i="10"/>
  <c r="Z68" i="10"/>
  <c r="Z69" i="10"/>
  <c r="Z70" i="10"/>
  <c r="Z71" i="10"/>
  <c r="Z72" i="10"/>
  <c r="Z73" i="10"/>
  <c r="Z74" i="10"/>
  <c r="Z75" i="10"/>
  <c r="Z76" i="10"/>
  <c r="Z77" i="10"/>
  <c r="Z78" i="10"/>
  <c r="Z79" i="10"/>
  <c r="Z80" i="10"/>
  <c r="Z81" i="10"/>
  <c r="Z82" i="10"/>
  <c r="Z83" i="10"/>
  <c r="Z84" i="10"/>
  <c r="Z85" i="10"/>
  <c r="Z86" i="10"/>
  <c r="Z87" i="10"/>
  <c r="Z88" i="10"/>
  <c r="Z89" i="10"/>
  <c r="Z90" i="10"/>
  <c r="Z91" i="10"/>
  <c r="Z92" i="10"/>
  <c r="Z93" i="10"/>
  <c r="Z94" i="10"/>
  <c r="Z95" i="10"/>
  <c r="Z96" i="10"/>
  <c r="Z97" i="10"/>
  <c r="Z98" i="10"/>
  <c r="Z99" i="10"/>
  <c r="Z100" i="10"/>
  <c r="Z101" i="10"/>
  <c r="Z52" i="10"/>
  <c r="Z3" i="10"/>
  <c r="Z4" i="10"/>
  <c r="Z5" i="10"/>
  <c r="Z6" i="10"/>
  <c r="Z7" i="10"/>
  <c r="Z8" i="10"/>
  <c r="Z9" i="10"/>
  <c r="Z10" i="10"/>
  <c r="Z11" i="10"/>
  <c r="Z12" i="10"/>
  <c r="Z13" i="10"/>
  <c r="Z14" i="10"/>
  <c r="Z15" i="10"/>
  <c r="Z16" i="10"/>
  <c r="Z17" i="10"/>
  <c r="Z1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39" i="10"/>
  <c r="Z40" i="10"/>
  <c r="Z41" i="10"/>
  <c r="Z42" i="10"/>
  <c r="Z43" i="10"/>
  <c r="Z44" i="10"/>
  <c r="Z45" i="10"/>
  <c r="Z46" i="10"/>
  <c r="Z47" i="10"/>
  <c r="Z48" i="10"/>
  <c r="Z49" i="10"/>
  <c r="Z50" i="10"/>
  <c r="Z51" i="10"/>
  <c r="Z2" i="10"/>
  <c r="V86" i="14"/>
  <c r="F460" i="19" s="1"/>
  <c r="V87" i="14"/>
  <c r="F461" i="19" s="1"/>
  <c r="V88" i="14"/>
  <c r="F462" i="19" s="1"/>
  <c r="V89" i="14"/>
  <c r="F463" i="19" s="1"/>
  <c r="V90" i="14"/>
  <c r="F464" i="19" s="1"/>
  <c r="V91" i="14"/>
  <c r="F465" i="19" s="1"/>
  <c r="V92" i="14"/>
  <c r="F466" i="19" s="1"/>
  <c r="V93" i="14"/>
  <c r="F467" i="19" s="1"/>
  <c r="V94" i="14"/>
  <c r="F468" i="19" s="1"/>
  <c r="V95" i="14"/>
  <c r="F469" i="19" s="1"/>
  <c r="V96" i="14"/>
  <c r="F470" i="19" s="1"/>
  <c r="V97" i="14"/>
  <c r="F471" i="19" s="1"/>
  <c r="V98" i="14"/>
  <c r="F472" i="19" s="1"/>
  <c r="V99" i="14"/>
  <c r="F473" i="19" s="1"/>
  <c r="V100" i="14"/>
  <c r="F474" i="19" s="1"/>
  <c r="V101" i="14"/>
  <c r="F475" i="19" s="1"/>
  <c r="V102" i="14"/>
  <c r="F476" i="19" s="1"/>
  <c r="V103" i="14"/>
  <c r="F477" i="19" s="1"/>
  <c r="V104" i="14"/>
  <c r="F478" i="19" s="1"/>
  <c r="V105" i="14"/>
  <c r="F479" i="19" s="1"/>
  <c r="V106" i="14"/>
  <c r="F480" i="19" s="1"/>
  <c r="V107" i="14"/>
  <c r="F481" i="19" s="1"/>
  <c r="V108" i="14"/>
  <c r="F482" i="19" s="1"/>
  <c r="V109" i="14"/>
  <c r="F483" i="19" s="1"/>
  <c r="V110" i="14"/>
  <c r="F484" i="19" s="1"/>
  <c r="V111" i="14"/>
  <c r="F485" i="19" s="1"/>
  <c r="V112" i="14"/>
  <c r="F486" i="19" s="1"/>
  <c r="V113" i="14"/>
  <c r="F487" i="19" s="1"/>
  <c r="V114" i="14"/>
  <c r="F488" i="19" s="1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N104" i="14"/>
  <c r="N105" i="14"/>
  <c r="N106" i="14"/>
  <c r="N107" i="14"/>
  <c r="N108" i="14"/>
  <c r="N109" i="14"/>
  <c r="N110" i="14"/>
  <c r="N111" i="14"/>
  <c r="N112" i="14"/>
  <c r="N113" i="14"/>
  <c r="N114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E114" i="14"/>
  <c r="E113" i="14"/>
  <c r="E112" i="14"/>
  <c r="E111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6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" i="14"/>
  <c r="F5" i="1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K30" i="11"/>
  <c r="V3" i="10" s="1"/>
  <c r="K31" i="11"/>
  <c r="V4" i="10" s="1"/>
  <c r="K32" i="11"/>
  <c r="V5" i="10" s="1"/>
  <c r="K33" i="11"/>
  <c r="V6" i="10" s="1"/>
  <c r="K34" i="11"/>
  <c r="V7" i="10" s="1"/>
  <c r="V8" i="10"/>
  <c r="K36" i="11"/>
  <c r="V9" i="10" s="1"/>
  <c r="K37" i="11"/>
  <c r="V10" i="10" s="1"/>
  <c r="K38" i="11"/>
  <c r="V11" i="10" s="1"/>
  <c r="K39" i="11"/>
  <c r="V12" i="10" s="1"/>
  <c r="K40" i="11"/>
  <c r="V13" i="10" s="1"/>
  <c r="K41" i="11"/>
  <c r="V14" i="10" s="1"/>
  <c r="K42" i="11"/>
  <c r="V15" i="10" s="1"/>
  <c r="K43" i="11"/>
  <c r="V16" i="10" s="1"/>
  <c r="K44" i="11"/>
  <c r="V17" i="10" s="1"/>
  <c r="K45" i="11"/>
  <c r="V18" i="10" s="1"/>
  <c r="K46" i="11"/>
  <c r="V19" i="10" s="1"/>
  <c r="K47" i="11"/>
  <c r="V20" i="10" s="1"/>
  <c r="K48" i="11"/>
  <c r="V21" i="10" s="1"/>
  <c r="K49" i="11"/>
  <c r="V22" i="10" s="1"/>
  <c r="K50" i="11"/>
  <c r="V23" i="10" s="1"/>
  <c r="K51" i="11"/>
  <c r="V24" i="10" s="1"/>
  <c r="K52" i="11"/>
  <c r="V25" i="10" s="1"/>
  <c r="K53" i="11"/>
  <c r="V26" i="10" s="1"/>
  <c r="K54" i="11"/>
  <c r="V27" i="10" s="1"/>
  <c r="K55" i="11"/>
  <c r="V28" i="10" s="1"/>
  <c r="K29" i="11"/>
  <c r="V2" i="10" s="1"/>
  <c r="W3" i="11"/>
  <c r="W2" i="11"/>
  <c r="W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U3" i="10"/>
  <c r="U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" i="10"/>
  <c r="W2" i="10"/>
  <c r="J47" i="11"/>
  <c r="J48" i="11"/>
  <c r="J49" i="11"/>
  <c r="J50" i="11"/>
  <c r="J51" i="11"/>
  <c r="J52" i="11"/>
  <c r="J53" i="11"/>
  <c r="J54" i="11"/>
  <c r="J55" i="11"/>
  <c r="J44" i="11"/>
  <c r="J45" i="11"/>
  <c r="J46" i="11"/>
  <c r="F5" i="12"/>
  <c r="V68" i="12"/>
  <c r="V69" i="12"/>
  <c r="V70" i="12"/>
  <c r="AP70" i="12" s="1"/>
  <c r="V71" i="12"/>
  <c r="V72" i="12"/>
  <c r="V73" i="12"/>
  <c r="V74" i="12"/>
  <c r="V75" i="12"/>
  <c r="V76" i="12"/>
  <c r="V77" i="12"/>
  <c r="V78" i="12"/>
  <c r="V79" i="12"/>
  <c r="V80" i="12"/>
  <c r="V81" i="12"/>
  <c r="V82" i="12"/>
  <c r="V83" i="12"/>
  <c r="V84" i="12"/>
  <c r="V85" i="12"/>
  <c r="V86" i="12"/>
  <c r="V87" i="12"/>
  <c r="V88" i="12"/>
  <c r="V89" i="12"/>
  <c r="V90" i="12"/>
  <c r="V91" i="12"/>
  <c r="V92" i="12"/>
  <c r="V93" i="12"/>
  <c r="V94" i="12"/>
  <c r="V95" i="12"/>
  <c r="V96" i="12"/>
  <c r="V97" i="12"/>
  <c r="V98" i="12"/>
  <c r="V99" i="12"/>
  <c r="V100" i="12"/>
  <c r="V101" i="12"/>
  <c r="V102" i="12"/>
  <c r="V103" i="12"/>
  <c r="V104" i="12"/>
  <c r="V105" i="12"/>
  <c r="V106" i="12"/>
  <c r="V107" i="12"/>
  <c r="V108" i="12"/>
  <c r="V109" i="12"/>
  <c r="V110" i="12"/>
  <c r="V111" i="12"/>
  <c r="V112" i="12"/>
  <c r="V113" i="12"/>
  <c r="V114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A583" i="10"/>
  <c r="C583" i="10"/>
  <c r="E583" i="10"/>
  <c r="F583" i="10"/>
  <c r="A584" i="10"/>
  <c r="C584" i="10"/>
  <c r="E584" i="10"/>
  <c r="F584" i="10"/>
  <c r="A585" i="10"/>
  <c r="C585" i="10"/>
  <c r="E585" i="10"/>
  <c r="F585" i="10"/>
  <c r="A586" i="10"/>
  <c r="C586" i="10"/>
  <c r="E586" i="10"/>
  <c r="F586" i="10"/>
  <c r="A587" i="10"/>
  <c r="C587" i="10"/>
  <c r="E587" i="10"/>
  <c r="F587" i="10"/>
  <c r="A588" i="10"/>
  <c r="C588" i="10"/>
  <c r="E588" i="10"/>
  <c r="F588" i="10"/>
  <c r="A589" i="10"/>
  <c r="C589" i="10"/>
  <c r="E589" i="10"/>
  <c r="F589" i="10"/>
  <c r="A590" i="10"/>
  <c r="C590" i="10"/>
  <c r="E590" i="10"/>
  <c r="F590" i="10"/>
  <c r="A591" i="10"/>
  <c r="C591" i="10"/>
  <c r="E591" i="10"/>
  <c r="F591" i="10"/>
  <c r="A592" i="10"/>
  <c r="C592" i="10"/>
  <c r="E592" i="10"/>
  <c r="F592" i="10"/>
  <c r="A593" i="10"/>
  <c r="C593" i="10"/>
  <c r="E593" i="10"/>
  <c r="F593" i="10"/>
  <c r="A594" i="10"/>
  <c r="C594" i="10"/>
  <c r="E594" i="10"/>
  <c r="F594" i="10"/>
  <c r="A595" i="10"/>
  <c r="C595" i="10"/>
  <c r="E595" i="10"/>
  <c r="F595" i="10"/>
  <c r="A596" i="10"/>
  <c r="C596" i="10"/>
  <c r="E596" i="10"/>
  <c r="F596" i="10"/>
  <c r="A597" i="10"/>
  <c r="C597" i="10"/>
  <c r="E597" i="10"/>
  <c r="F597" i="10"/>
  <c r="A598" i="10"/>
  <c r="C598" i="10"/>
  <c r="E598" i="10"/>
  <c r="F598" i="10"/>
  <c r="A599" i="10"/>
  <c r="C599" i="10"/>
  <c r="E599" i="10"/>
  <c r="F599" i="10"/>
  <c r="A600" i="10"/>
  <c r="C600" i="10"/>
  <c r="E600" i="10"/>
  <c r="F600" i="10"/>
  <c r="A601" i="10"/>
  <c r="C601" i="10"/>
  <c r="E601" i="10"/>
  <c r="F601" i="10"/>
  <c r="A602" i="10"/>
  <c r="C602" i="10"/>
  <c r="E602" i="10"/>
  <c r="F602" i="10"/>
  <c r="C533" i="10"/>
  <c r="E533" i="10"/>
  <c r="F533" i="10"/>
  <c r="C534" i="10"/>
  <c r="E534" i="10"/>
  <c r="F534" i="10"/>
  <c r="C535" i="10"/>
  <c r="E535" i="10"/>
  <c r="F535" i="10"/>
  <c r="C536" i="10"/>
  <c r="E536" i="10"/>
  <c r="F536" i="10"/>
  <c r="C537" i="10"/>
  <c r="E537" i="10"/>
  <c r="F537" i="10"/>
  <c r="C538" i="10"/>
  <c r="E538" i="10"/>
  <c r="F538" i="10"/>
  <c r="C539" i="10"/>
  <c r="E539" i="10"/>
  <c r="F539" i="10"/>
  <c r="C540" i="10"/>
  <c r="E540" i="10"/>
  <c r="F540" i="10"/>
  <c r="C541" i="10"/>
  <c r="E541" i="10"/>
  <c r="F541" i="10"/>
  <c r="C542" i="10"/>
  <c r="E542" i="10"/>
  <c r="F542" i="10"/>
  <c r="C543" i="10"/>
  <c r="E543" i="10"/>
  <c r="F543" i="10"/>
  <c r="C544" i="10"/>
  <c r="E544" i="10"/>
  <c r="F544" i="10"/>
  <c r="C545" i="10"/>
  <c r="E545" i="10"/>
  <c r="F545" i="10"/>
  <c r="C546" i="10"/>
  <c r="E546" i="10"/>
  <c r="F546" i="10"/>
  <c r="C547" i="10"/>
  <c r="E547" i="10"/>
  <c r="F547" i="10"/>
  <c r="C548" i="10"/>
  <c r="E548" i="10"/>
  <c r="F548" i="10"/>
  <c r="C549" i="10"/>
  <c r="E549" i="10"/>
  <c r="F549" i="10"/>
  <c r="C550" i="10"/>
  <c r="E550" i="10"/>
  <c r="F550" i="10"/>
  <c r="C551" i="10"/>
  <c r="E551" i="10"/>
  <c r="F551" i="10"/>
  <c r="C552" i="10"/>
  <c r="E552" i="10"/>
  <c r="F55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H142" i="10"/>
  <c r="H143" i="10"/>
  <c r="H144" i="10"/>
  <c r="H145" i="10"/>
  <c r="H146" i="10"/>
  <c r="H147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L1382" i="20"/>
  <c r="L1383" i="20" s="1"/>
  <c r="K1382" i="20"/>
  <c r="K1383" i="20" s="1"/>
  <c r="K1380" i="20"/>
  <c r="K1381" i="20" s="1"/>
  <c r="K1378" i="20"/>
  <c r="K1379" i="20" s="1"/>
  <c r="K1376" i="20"/>
  <c r="K1377" i="20" s="1"/>
  <c r="K1374" i="20"/>
  <c r="K1375" i="20" s="1"/>
  <c r="K1372" i="20"/>
  <c r="K1373" i="20" s="1"/>
  <c r="K1370" i="20"/>
  <c r="K1371" i="20" s="1"/>
  <c r="K1368" i="20"/>
  <c r="K1369" i="20" s="1"/>
  <c r="K1366" i="20"/>
  <c r="K1367" i="20" s="1"/>
  <c r="K1364" i="20"/>
  <c r="K1365" i="20" s="1"/>
  <c r="K1362" i="20"/>
  <c r="K1363" i="20" s="1"/>
  <c r="K1360" i="20"/>
  <c r="K1361" i="20" s="1"/>
  <c r="K1358" i="20"/>
  <c r="K1359" i="20" s="1"/>
  <c r="K1356" i="20"/>
  <c r="K1357" i="20" s="1"/>
  <c r="K1354" i="20"/>
  <c r="K1355" i="20" s="1"/>
  <c r="K1352" i="20"/>
  <c r="K1353" i="20" s="1"/>
  <c r="K1350" i="20"/>
  <c r="K1351" i="20" s="1"/>
  <c r="K1348" i="20"/>
  <c r="K1349" i="20" s="1"/>
  <c r="K1346" i="20"/>
  <c r="K1347" i="20" s="1"/>
  <c r="K1344" i="20"/>
  <c r="K1345" i="20" s="1"/>
  <c r="G1382" i="20"/>
  <c r="G1383" i="20" s="1"/>
  <c r="E1382" i="20"/>
  <c r="E1383" i="20" s="1"/>
  <c r="D1382" i="20"/>
  <c r="H1382" i="20" s="1"/>
  <c r="H1383" i="20" s="1"/>
  <c r="F1383" i="20"/>
  <c r="C1383" i="20"/>
  <c r="O1382" i="20"/>
  <c r="O1383" i="20" s="1"/>
  <c r="M1382" i="20"/>
  <c r="M1383" i="20" s="1"/>
  <c r="B1382" i="20"/>
  <c r="B1383" i="20" s="1"/>
  <c r="F1381" i="20"/>
  <c r="C1381" i="20"/>
  <c r="F1379" i="20"/>
  <c r="C1379" i="20"/>
  <c r="F1377" i="20"/>
  <c r="C1377" i="20"/>
  <c r="F1375" i="20"/>
  <c r="C1375" i="20"/>
  <c r="F1373" i="20"/>
  <c r="C1373" i="20"/>
  <c r="F1371" i="20"/>
  <c r="C1371" i="20"/>
  <c r="F1369" i="20"/>
  <c r="C1369" i="20"/>
  <c r="F1367" i="20"/>
  <c r="C1367" i="20"/>
  <c r="F1365" i="20"/>
  <c r="C1365" i="20"/>
  <c r="F1363" i="20"/>
  <c r="C1363" i="20"/>
  <c r="F1361" i="20"/>
  <c r="C1361" i="20"/>
  <c r="F1359" i="20"/>
  <c r="C1359" i="20"/>
  <c r="F1357" i="20"/>
  <c r="C1357" i="20"/>
  <c r="F1355" i="20"/>
  <c r="C1355" i="20"/>
  <c r="F1353" i="20"/>
  <c r="C1353" i="20"/>
  <c r="F1351" i="20"/>
  <c r="C1351" i="20"/>
  <c r="F1349" i="20"/>
  <c r="C1349" i="20"/>
  <c r="F1347" i="20"/>
  <c r="C1347" i="20"/>
  <c r="F1345" i="20"/>
  <c r="C1345" i="20"/>
  <c r="B1346" i="20"/>
  <c r="B1347" i="20" s="1"/>
  <c r="D1346" i="20"/>
  <c r="H1346" i="20" s="1"/>
  <c r="H1347" i="20" s="1"/>
  <c r="E1346" i="20"/>
  <c r="E1347" i="20" s="1"/>
  <c r="G1346" i="20"/>
  <c r="G1347" i="20" s="1"/>
  <c r="L1346" i="20"/>
  <c r="L1347" i="20" s="1"/>
  <c r="M1346" i="20"/>
  <c r="M1347" i="20" s="1"/>
  <c r="O1346" i="20"/>
  <c r="O1347" i="20" s="1"/>
  <c r="B1348" i="20"/>
  <c r="B1349" i="20" s="1"/>
  <c r="D1348" i="20"/>
  <c r="H1348" i="20" s="1"/>
  <c r="H1349" i="20" s="1"/>
  <c r="E1348" i="20"/>
  <c r="E1349" i="20" s="1"/>
  <c r="G1348" i="20"/>
  <c r="G1349" i="20" s="1"/>
  <c r="L1348" i="20"/>
  <c r="L1349" i="20" s="1"/>
  <c r="M1348" i="20"/>
  <c r="M1349" i="20" s="1"/>
  <c r="O1348" i="20"/>
  <c r="O1349" i="20" s="1"/>
  <c r="B1350" i="20"/>
  <c r="B1351" i="20" s="1"/>
  <c r="D1350" i="20"/>
  <c r="H1350" i="20" s="1"/>
  <c r="H1351" i="20" s="1"/>
  <c r="E1350" i="20"/>
  <c r="E1351" i="20" s="1"/>
  <c r="G1350" i="20"/>
  <c r="G1351" i="20" s="1"/>
  <c r="L1350" i="20"/>
  <c r="L1351" i="20" s="1"/>
  <c r="M1350" i="20"/>
  <c r="M1351" i="20" s="1"/>
  <c r="O1350" i="20"/>
  <c r="O1351" i="20" s="1"/>
  <c r="B1352" i="20"/>
  <c r="B1353" i="20" s="1"/>
  <c r="D1352" i="20"/>
  <c r="H1352" i="20" s="1"/>
  <c r="H1353" i="20" s="1"/>
  <c r="E1352" i="20"/>
  <c r="E1353" i="20" s="1"/>
  <c r="G1352" i="20"/>
  <c r="G1353" i="20" s="1"/>
  <c r="L1352" i="20"/>
  <c r="L1353" i="20" s="1"/>
  <c r="M1352" i="20"/>
  <c r="M1353" i="20" s="1"/>
  <c r="O1352" i="20"/>
  <c r="O1353" i="20" s="1"/>
  <c r="B1354" i="20"/>
  <c r="B1355" i="20" s="1"/>
  <c r="D1354" i="20"/>
  <c r="H1354" i="20" s="1"/>
  <c r="H1355" i="20" s="1"/>
  <c r="E1354" i="20"/>
  <c r="E1355" i="20" s="1"/>
  <c r="G1354" i="20"/>
  <c r="G1355" i="20" s="1"/>
  <c r="L1354" i="20"/>
  <c r="L1355" i="20" s="1"/>
  <c r="M1354" i="20"/>
  <c r="M1355" i="20" s="1"/>
  <c r="O1354" i="20"/>
  <c r="O1355" i="20" s="1"/>
  <c r="B1356" i="20"/>
  <c r="B1357" i="20" s="1"/>
  <c r="D1356" i="20"/>
  <c r="H1356" i="20" s="1"/>
  <c r="H1357" i="20" s="1"/>
  <c r="E1356" i="20"/>
  <c r="E1357" i="20" s="1"/>
  <c r="G1356" i="20"/>
  <c r="G1357" i="20" s="1"/>
  <c r="L1356" i="20"/>
  <c r="L1357" i="20" s="1"/>
  <c r="M1356" i="20"/>
  <c r="M1357" i="20" s="1"/>
  <c r="O1356" i="20"/>
  <c r="O1357" i="20" s="1"/>
  <c r="B1358" i="20"/>
  <c r="B1359" i="20" s="1"/>
  <c r="D1358" i="20"/>
  <c r="H1358" i="20" s="1"/>
  <c r="H1359" i="20" s="1"/>
  <c r="E1358" i="20"/>
  <c r="E1359" i="20" s="1"/>
  <c r="G1358" i="20"/>
  <c r="G1359" i="20" s="1"/>
  <c r="L1358" i="20"/>
  <c r="L1359" i="20" s="1"/>
  <c r="M1358" i="20"/>
  <c r="M1359" i="20" s="1"/>
  <c r="O1358" i="20"/>
  <c r="O1359" i="20" s="1"/>
  <c r="B1360" i="20"/>
  <c r="B1361" i="20" s="1"/>
  <c r="D1360" i="20"/>
  <c r="H1360" i="20" s="1"/>
  <c r="H1361" i="20" s="1"/>
  <c r="E1360" i="20"/>
  <c r="E1361" i="20" s="1"/>
  <c r="G1360" i="20"/>
  <c r="G1361" i="20" s="1"/>
  <c r="L1360" i="20"/>
  <c r="L1361" i="20" s="1"/>
  <c r="M1360" i="20"/>
  <c r="M1361" i="20" s="1"/>
  <c r="O1360" i="20"/>
  <c r="O1361" i="20" s="1"/>
  <c r="B1362" i="20"/>
  <c r="B1363" i="20" s="1"/>
  <c r="D1362" i="20"/>
  <c r="H1362" i="20" s="1"/>
  <c r="H1363" i="20" s="1"/>
  <c r="E1362" i="20"/>
  <c r="E1363" i="20" s="1"/>
  <c r="G1362" i="20"/>
  <c r="G1363" i="20" s="1"/>
  <c r="L1362" i="20"/>
  <c r="L1363" i="20" s="1"/>
  <c r="M1362" i="20"/>
  <c r="M1363" i="20" s="1"/>
  <c r="O1362" i="20"/>
  <c r="O1363" i="20" s="1"/>
  <c r="B1364" i="20"/>
  <c r="B1365" i="20" s="1"/>
  <c r="D1364" i="20"/>
  <c r="H1364" i="20" s="1"/>
  <c r="H1365" i="20" s="1"/>
  <c r="E1364" i="20"/>
  <c r="E1365" i="20" s="1"/>
  <c r="G1364" i="20"/>
  <c r="G1365" i="20" s="1"/>
  <c r="L1364" i="20"/>
  <c r="L1365" i="20" s="1"/>
  <c r="M1364" i="20"/>
  <c r="M1365" i="20" s="1"/>
  <c r="O1364" i="20"/>
  <c r="O1365" i="20" s="1"/>
  <c r="B1366" i="20"/>
  <c r="B1367" i="20" s="1"/>
  <c r="D1366" i="20"/>
  <c r="H1366" i="20" s="1"/>
  <c r="H1367" i="20" s="1"/>
  <c r="E1366" i="20"/>
  <c r="E1367" i="20" s="1"/>
  <c r="G1366" i="20"/>
  <c r="G1367" i="20" s="1"/>
  <c r="L1366" i="20"/>
  <c r="L1367" i="20" s="1"/>
  <c r="M1366" i="20"/>
  <c r="M1367" i="20" s="1"/>
  <c r="O1366" i="20"/>
  <c r="O1367" i="20" s="1"/>
  <c r="B1368" i="20"/>
  <c r="B1369" i="20" s="1"/>
  <c r="D1368" i="20"/>
  <c r="H1368" i="20" s="1"/>
  <c r="H1369" i="20" s="1"/>
  <c r="E1368" i="20"/>
  <c r="E1369" i="20" s="1"/>
  <c r="G1368" i="20"/>
  <c r="G1369" i="20" s="1"/>
  <c r="L1368" i="20"/>
  <c r="L1369" i="20" s="1"/>
  <c r="M1368" i="20"/>
  <c r="M1369" i="20" s="1"/>
  <c r="O1368" i="20"/>
  <c r="O1369" i="20" s="1"/>
  <c r="B1370" i="20"/>
  <c r="B1371" i="20" s="1"/>
  <c r="D1370" i="20"/>
  <c r="H1370" i="20" s="1"/>
  <c r="H1371" i="20" s="1"/>
  <c r="E1370" i="20"/>
  <c r="E1371" i="20" s="1"/>
  <c r="G1370" i="20"/>
  <c r="G1371" i="20" s="1"/>
  <c r="L1370" i="20"/>
  <c r="L1371" i="20" s="1"/>
  <c r="M1370" i="20"/>
  <c r="M1371" i="20" s="1"/>
  <c r="O1370" i="20"/>
  <c r="O1371" i="20" s="1"/>
  <c r="B1372" i="20"/>
  <c r="B1373" i="20" s="1"/>
  <c r="D1372" i="20"/>
  <c r="H1372" i="20" s="1"/>
  <c r="H1373" i="20" s="1"/>
  <c r="E1372" i="20"/>
  <c r="E1373" i="20" s="1"/>
  <c r="G1372" i="20"/>
  <c r="G1373" i="20" s="1"/>
  <c r="L1372" i="20"/>
  <c r="L1373" i="20" s="1"/>
  <c r="M1372" i="20"/>
  <c r="M1373" i="20" s="1"/>
  <c r="O1372" i="20"/>
  <c r="O1373" i="20" s="1"/>
  <c r="B1374" i="20"/>
  <c r="B1375" i="20" s="1"/>
  <c r="D1374" i="20"/>
  <c r="H1374" i="20" s="1"/>
  <c r="H1375" i="20" s="1"/>
  <c r="E1374" i="20"/>
  <c r="E1375" i="20" s="1"/>
  <c r="G1374" i="20"/>
  <c r="G1375" i="20" s="1"/>
  <c r="L1374" i="20"/>
  <c r="L1375" i="20" s="1"/>
  <c r="M1374" i="20"/>
  <c r="M1375" i="20" s="1"/>
  <c r="O1374" i="20"/>
  <c r="O1375" i="20" s="1"/>
  <c r="B1376" i="20"/>
  <c r="B1377" i="20" s="1"/>
  <c r="D1376" i="20"/>
  <c r="H1376" i="20" s="1"/>
  <c r="H1377" i="20" s="1"/>
  <c r="E1376" i="20"/>
  <c r="E1377" i="20" s="1"/>
  <c r="G1376" i="20"/>
  <c r="G1377" i="20" s="1"/>
  <c r="L1376" i="20"/>
  <c r="L1377" i="20" s="1"/>
  <c r="M1376" i="20"/>
  <c r="M1377" i="20" s="1"/>
  <c r="O1376" i="20"/>
  <c r="O1377" i="20" s="1"/>
  <c r="B1378" i="20"/>
  <c r="B1379" i="20" s="1"/>
  <c r="D1378" i="20"/>
  <c r="H1378" i="20" s="1"/>
  <c r="H1379" i="20" s="1"/>
  <c r="E1378" i="20"/>
  <c r="E1379" i="20" s="1"/>
  <c r="G1378" i="20"/>
  <c r="G1379" i="20" s="1"/>
  <c r="L1378" i="20"/>
  <c r="L1379" i="20" s="1"/>
  <c r="M1378" i="20"/>
  <c r="M1379" i="20" s="1"/>
  <c r="O1378" i="20"/>
  <c r="O1379" i="20" s="1"/>
  <c r="B1380" i="20"/>
  <c r="B1381" i="20" s="1"/>
  <c r="D1380" i="20"/>
  <c r="H1380" i="20" s="1"/>
  <c r="H1381" i="20" s="1"/>
  <c r="E1380" i="20"/>
  <c r="E1381" i="20" s="1"/>
  <c r="G1380" i="20"/>
  <c r="G1381" i="20" s="1"/>
  <c r="L1380" i="20"/>
  <c r="L1381" i="20" s="1"/>
  <c r="M1380" i="20"/>
  <c r="M1381" i="20" s="1"/>
  <c r="O1380" i="20"/>
  <c r="O1381" i="20" s="1"/>
  <c r="L1344" i="20"/>
  <c r="L1345" i="20" s="1"/>
  <c r="G1344" i="20"/>
  <c r="G1345" i="20" s="1"/>
  <c r="E1344" i="20"/>
  <c r="E1345" i="20" s="1"/>
  <c r="D1344" i="20"/>
  <c r="D1345" i="20" s="1"/>
  <c r="O1344" i="20"/>
  <c r="O1345" i="20" s="1"/>
  <c r="M1344" i="20"/>
  <c r="M1345" i="20" s="1"/>
  <c r="B1344" i="20"/>
  <c r="B1345" i="20" s="1"/>
  <c r="F1273" i="20"/>
  <c r="C1273" i="20"/>
  <c r="F1283" i="20"/>
  <c r="C1283" i="20"/>
  <c r="F1281" i="20"/>
  <c r="C1281" i="20"/>
  <c r="F1279" i="20"/>
  <c r="C1279" i="20"/>
  <c r="F1277" i="20"/>
  <c r="C1277" i="20"/>
  <c r="F1275" i="20"/>
  <c r="C1275" i="20"/>
  <c r="F1271" i="20"/>
  <c r="C1271" i="20"/>
  <c r="F1269" i="20"/>
  <c r="C1269" i="20"/>
  <c r="F1267" i="20"/>
  <c r="C1267" i="20"/>
  <c r="F1265" i="20"/>
  <c r="C1265" i="20"/>
  <c r="F1263" i="20"/>
  <c r="C1263" i="20"/>
  <c r="F1261" i="20"/>
  <c r="C1261" i="20"/>
  <c r="F1259" i="20"/>
  <c r="C1259" i="20"/>
  <c r="F1257" i="20"/>
  <c r="C1257" i="20"/>
  <c r="F1255" i="20"/>
  <c r="C1255" i="20"/>
  <c r="F1253" i="20"/>
  <c r="C1253" i="20"/>
  <c r="F1251" i="20"/>
  <c r="C1251" i="20"/>
  <c r="F1249" i="20"/>
  <c r="C1249" i="20"/>
  <c r="F1247" i="20"/>
  <c r="C1247" i="20"/>
  <c r="F1245" i="20"/>
  <c r="C1245" i="20"/>
  <c r="B1282" i="20"/>
  <c r="B1283" i="20" s="1"/>
  <c r="D1282" i="20"/>
  <c r="H1282" i="20" s="1"/>
  <c r="H1283" i="20" s="1"/>
  <c r="E1282" i="20"/>
  <c r="E1283" i="20" s="1"/>
  <c r="G1282" i="20"/>
  <c r="G1283" i="20" s="1"/>
  <c r="K1282" i="20"/>
  <c r="K1283" i="20" s="1"/>
  <c r="L1282" i="20"/>
  <c r="L1283" i="20" s="1"/>
  <c r="M1282" i="20"/>
  <c r="M1283" i="20" s="1"/>
  <c r="O1282" i="20"/>
  <c r="O1283" i="20" s="1"/>
  <c r="B1246" i="20"/>
  <c r="B1247" i="20" s="1"/>
  <c r="D1246" i="20"/>
  <c r="H1246" i="20" s="1"/>
  <c r="H1247" i="20" s="1"/>
  <c r="E1246" i="20"/>
  <c r="E1247" i="20" s="1"/>
  <c r="G1246" i="20"/>
  <c r="G1247" i="20" s="1"/>
  <c r="K1246" i="20"/>
  <c r="K1247" i="20" s="1"/>
  <c r="L1246" i="20"/>
  <c r="L1247" i="20" s="1"/>
  <c r="M1246" i="20"/>
  <c r="M1247" i="20" s="1"/>
  <c r="O1246" i="20"/>
  <c r="O1247" i="20" s="1"/>
  <c r="B1248" i="20"/>
  <c r="B1249" i="20" s="1"/>
  <c r="D1248" i="20"/>
  <c r="H1248" i="20" s="1"/>
  <c r="H1249" i="20" s="1"/>
  <c r="E1248" i="20"/>
  <c r="E1249" i="20" s="1"/>
  <c r="G1248" i="20"/>
  <c r="G1249" i="20" s="1"/>
  <c r="K1248" i="20"/>
  <c r="K1249" i="20" s="1"/>
  <c r="L1248" i="20"/>
  <c r="L1249" i="20" s="1"/>
  <c r="M1248" i="20"/>
  <c r="M1249" i="20" s="1"/>
  <c r="O1248" i="20"/>
  <c r="O1249" i="20" s="1"/>
  <c r="B1250" i="20"/>
  <c r="B1251" i="20" s="1"/>
  <c r="D1250" i="20"/>
  <c r="H1250" i="20" s="1"/>
  <c r="H1251" i="20" s="1"/>
  <c r="E1250" i="20"/>
  <c r="E1251" i="20" s="1"/>
  <c r="G1250" i="20"/>
  <c r="G1251" i="20" s="1"/>
  <c r="K1250" i="20"/>
  <c r="K1251" i="20" s="1"/>
  <c r="L1250" i="20"/>
  <c r="L1251" i="20" s="1"/>
  <c r="M1250" i="20"/>
  <c r="M1251" i="20" s="1"/>
  <c r="O1250" i="20"/>
  <c r="O1251" i="20" s="1"/>
  <c r="B1252" i="20"/>
  <c r="B1253" i="20" s="1"/>
  <c r="D1252" i="20"/>
  <c r="H1252" i="20" s="1"/>
  <c r="H1253" i="20" s="1"/>
  <c r="E1252" i="20"/>
  <c r="E1253" i="20" s="1"/>
  <c r="G1252" i="20"/>
  <c r="G1253" i="20" s="1"/>
  <c r="K1252" i="20"/>
  <c r="K1253" i="20" s="1"/>
  <c r="L1252" i="20"/>
  <c r="L1253" i="20" s="1"/>
  <c r="M1252" i="20"/>
  <c r="M1253" i="20" s="1"/>
  <c r="O1252" i="20"/>
  <c r="O1253" i="20" s="1"/>
  <c r="B1254" i="20"/>
  <c r="B1255" i="20" s="1"/>
  <c r="D1254" i="20"/>
  <c r="H1254" i="20" s="1"/>
  <c r="H1255" i="20" s="1"/>
  <c r="E1254" i="20"/>
  <c r="E1255" i="20" s="1"/>
  <c r="G1254" i="20"/>
  <c r="G1255" i="20" s="1"/>
  <c r="K1254" i="20"/>
  <c r="K1255" i="20" s="1"/>
  <c r="L1254" i="20"/>
  <c r="L1255" i="20" s="1"/>
  <c r="M1254" i="20"/>
  <c r="M1255" i="20" s="1"/>
  <c r="O1254" i="20"/>
  <c r="O1255" i="20" s="1"/>
  <c r="B1256" i="20"/>
  <c r="B1257" i="20" s="1"/>
  <c r="D1256" i="20"/>
  <c r="H1256" i="20" s="1"/>
  <c r="H1257" i="20" s="1"/>
  <c r="E1256" i="20"/>
  <c r="E1257" i="20" s="1"/>
  <c r="G1256" i="20"/>
  <c r="G1257" i="20" s="1"/>
  <c r="K1256" i="20"/>
  <c r="K1257" i="20" s="1"/>
  <c r="L1256" i="20"/>
  <c r="L1257" i="20" s="1"/>
  <c r="M1256" i="20"/>
  <c r="M1257" i="20" s="1"/>
  <c r="O1256" i="20"/>
  <c r="O1257" i="20" s="1"/>
  <c r="B1258" i="20"/>
  <c r="B1259" i="20" s="1"/>
  <c r="D1258" i="20"/>
  <c r="H1258" i="20" s="1"/>
  <c r="H1259" i="20" s="1"/>
  <c r="E1258" i="20"/>
  <c r="E1259" i="20" s="1"/>
  <c r="G1258" i="20"/>
  <c r="G1259" i="20" s="1"/>
  <c r="K1258" i="20"/>
  <c r="K1259" i="20" s="1"/>
  <c r="L1258" i="20"/>
  <c r="L1259" i="20" s="1"/>
  <c r="M1258" i="20"/>
  <c r="M1259" i="20" s="1"/>
  <c r="O1258" i="20"/>
  <c r="O1259" i="20" s="1"/>
  <c r="B1260" i="20"/>
  <c r="B1261" i="20" s="1"/>
  <c r="D1260" i="20"/>
  <c r="H1260" i="20" s="1"/>
  <c r="H1261" i="20" s="1"/>
  <c r="E1260" i="20"/>
  <c r="E1261" i="20" s="1"/>
  <c r="G1260" i="20"/>
  <c r="G1261" i="20" s="1"/>
  <c r="K1260" i="20"/>
  <c r="K1261" i="20" s="1"/>
  <c r="L1260" i="20"/>
  <c r="L1261" i="20" s="1"/>
  <c r="M1260" i="20"/>
  <c r="M1261" i="20" s="1"/>
  <c r="O1260" i="20"/>
  <c r="O1261" i="20" s="1"/>
  <c r="B1262" i="20"/>
  <c r="B1263" i="20" s="1"/>
  <c r="D1262" i="20"/>
  <c r="H1262" i="20" s="1"/>
  <c r="H1263" i="20" s="1"/>
  <c r="E1262" i="20"/>
  <c r="E1263" i="20" s="1"/>
  <c r="G1262" i="20"/>
  <c r="G1263" i="20" s="1"/>
  <c r="K1262" i="20"/>
  <c r="K1263" i="20" s="1"/>
  <c r="L1262" i="20"/>
  <c r="L1263" i="20" s="1"/>
  <c r="M1262" i="20"/>
  <c r="M1263" i="20" s="1"/>
  <c r="O1262" i="20"/>
  <c r="O1263" i="20" s="1"/>
  <c r="B1264" i="20"/>
  <c r="B1265" i="20" s="1"/>
  <c r="D1264" i="20"/>
  <c r="H1264" i="20" s="1"/>
  <c r="H1265" i="20" s="1"/>
  <c r="E1264" i="20"/>
  <c r="E1265" i="20" s="1"/>
  <c r="G1264" i="20"/>
  <c r="G1265" i="20" s="1"/>
  <c r="K1264" i="20"/>
  <c r="K1265" i="20" s="1"/>
  <c r="L1264" i="20"/>
  <c r="L1265" i="20" s="1"/>
  <c r="M1264" i="20"/>
  <c r="M1265" i="20" s="1"/>
  <c r="O1264" i="20"/>
  <c r="O1265" i="20" s="1"/>
  <c r="B1266" i="20"/>
  <c r="B1267" i="20" s="1"/>
  <c r="D1266" i="20"/>
  <c r="H1266" i="20" s="1"/>
  <c r="H1267" i="20" s="1"/>
  <c r="E1266" i="20"/>
  <c r="E1267" i="20" s="1"/>
  <c r="G1266" i="20"/>
  <c r="G1267" i="20" s="1"/>
  <c r="K1266" i="20"/>
  <c r="K1267" i="20" s="1"/>
  <c r="L1266" i="20"/>
  <c r="L1267" i="20" s="1"/>
  <c r="M1266" i="20"/>
  <c r="M1267" i="20" s="1"/>
  <c r="O1266" i="20"/>
  <c r="O1267" i="20" s="1"/>
  <c r="B1268" i="20"/>
  <c r="B1269" i="20" s="1"/>
  <c r="D1268" i="20"/>
  <c r="H1268" i="20" s="1"/>
  <c r="H1269" i="20" s="1"/>
  <c r="E1268" i="20"/>
  <c r="E1269" i="20" s="1"/>
  <c r="G1268" i="20"/>
  <c r="G1269" i="20" s="1"/>
  <c r="K1268" i="20"/>
  <c r="K1269" i="20" s="1"/>
  <c r="L1268" i="20"/>
  <c r="L1269" i="20" s="1"/>
  <c r="M1268" i="20"/>
  <c r="M1269" i="20" s="1"/>
  <c r="O1268" i="20"/>
  <c r="O1269" i="20" s="1"/>
  <c r="B1270" i="20"/>
  <c r="B1271" i="20" s="1"/>
  <c r="D1270" i="20"/>
  <c r="H1270" i="20" s="1"/>
  <c r="H1271" i="20" s="1"/>
  <c r="E1270" i="20"/>
  <c r="E1271" i="20" s="1"/>
  <c r="G1270" i="20"/>
  <c r="G1271" i="20" s="1"/>
  <c r="K1270" i="20"/>
  <c r="K1271" i="20" s="1"/>
  <c r="L1270" i="20"/>
  <c r="L1271" i="20" s="1"/>
  <c r="M1270" i="20"/>
  <c r="M1271" i="20" s="1"/>
  <c r="O1270" i="20"/>
  <c r="O1271" i="20" s="1"/>
  <c r="B1272" i="20"/>
  <c r="B1273" i="20" s="1"/>
  <c r="D1272" i="20"/>
  <c r="H1272" i="20" s="1"/>
  <c r="H1273" i="20" s="1"/>
  <c r="E1272" i="20"/>
  <c r="E1273" i="20" s="1"/>
  <c r="G1272" i="20"/>
  <c r="G1273" i="20" s="1"/>
  <c r="K1272" i="20"/>
  <c r="K1273" i="20" s="1"/>
  <c r="L1272" i="20"/>
  <c r="L1273" i="20" s="1"/>
  <c r="M1272" i="20"/>
  <c r="M1273" i="20" s="1"/>
  <c r="O1272" i="20"/>
  <c r="O1273" i="20" s="1"/>
  <c r="B1274" i="20"/>
  <c r="B1275" i="20" s="1"/>
  <c r="D1274" i="20"/>
  <c r="H1274" i="20" s="1"/>
  <c r="H1275" i="20" s="1"/>
  <c r="E1274" i="20"/>
  <c r="E1275" i="20" s="1"/>
  <c r="G1274" i="20"/>
  <c r="G1275" i="20" s="1"/>
  <c r="K1274" i="20"/>
  <c r="K1275" i="20" s="1"/>
  <c r="L1274" i="20"/>
  <c r="L1275" i="20" s="1"/>
  <c r="M1274" i="20"/>
  <c r="M1275" i="20" s="1"/>
  <c r="O1274" i="20"/>
  <c r="O1275" i="20" s="1"/>
  <c r="B1276" i="20"/>
  <c r="B1277" i="20" s="1"/>
  <c r="D1276" i="20"/>
  <c r="H1276" i="20" s="1"/>
  <c r="H1277" i="20" s="1"/>
  <c r="E1276" i="20"/>
  <c r="E1277" i="20" s="1"/>
  <c r="G1276" i="20"/>
  <c r="G1277" i="20" s="1"/>
  <c r="K1276" i="20"/>
  <c r="K1277" i="20" s="1"/>
  <c r="L1276" i="20"/>
  <c r="L1277" i="20" s="1"/>
  <c r="M1276" i="20"/>
  <c r="M1277" i="20" s="1"/>
  <c r="O1276" i="20"/>
  <c r="O1277" i="20" s="1"/>
  <c r="B1278" i="20"/>
  <c r="B1279" i="20" s="1"/>
  <c r="D1278" i="20"/>
  <c r="H1278" i="20" s="1"/>
  <c r="H1279" i="20" s="1"/>
  <c r="E1278" i="20"/>
  <c r="E1279" i="20" s="1"/>
  <c r="G1278" i="20"/>
  <c r="G1279" i="20" s="1"/>
  <c r="K1278" i="20"/>
  <c r="K1279" i="20" s="1"/>
  <c r="L1278" i="20"/>
  <c r="L1279" i="20" s="1"/>
  <c r="M1278" i="20"/>
  <c r="M1279" i="20" s="1"/>
  <c r="O1278" i="20"/>
  <c r="O1279" i="20" s="1"/>
  <c r="B1280" i="20"/>
  <c r="B1281" i="20" s="1"/>
  <c r="D1280" i="20"/>
  <c r="H1280" i="20" s="1"/>
  <c r="H1281" i="20" s="1"/>
  <c r="E1280" i="20"/>
  <c r="E1281" i="20" s="1"/>
  <c r="G1280" i="20"/>
  <c r="G1281" i="20" s="1"/>
  <c r="K1280" i="20"/>
  <c r="K1281" i="20" s="1"/>
  <c r="L1280" i="20"/>
  <c r="L1281" i="20" s="1"/>
  <c r="M1280" i="20"/>
  <c r="M1281" i="20" s="1"/>
  <c r="O1280" i="20"/>
  <c r="O1281" i="20" s="1"/>
  <c r="L1244" i="20"/>
  <c r="L1245" i="20" s="1"/>
  <c r="K1244" i="20"/>
  <c r="K1245" i="20" s="1"/>
  <c r="G1244" i="20"/>
  <c r="G1245" i="20" s="1"/>
  <c r="E1244" i="20"/>
  <c r="E1245" i="20" s="1"/>
  <c r="D1244" i="20"/>
  <c r="D1245" i="20" s="1"/>
  <c r="O1244" i="20"/>
  <c r="O1245" i="20" s="1"/>
  <c r="M1244" i="20"/>
  <c r="M1245" i="20" s="1"/>
  <c r="B1244" i="20"/>
  <c r="B1245" i="20" s="1"/>
  <c r="L1182" i="20"/>
  <c r="L1183" i="20" s="1"/>
  <c r="K1182" i="20"/>
  <c r="K1183" i="20" s="1"/>
  <c r="G1182" i="20"/>
  <c r="G1183" i="20" s="1"/>
  <c r="E1182" i="20"/>
  <c r="E1183" i="20" s="1"/>
  <c r="D1182" i="20"/>
  <c r="H1182" i="20" s="1"/>
  <c r="H1183" i="20" s="1"/>
  <c r="O1182" i="20"/>
  <c r="O1183" i="20" s="1"/>
  <c r="M1182" i="20"/>
  <c r="M1183" i="20" s="1"/>
  <c r="B1182" i="20"/>
  <c r="B1183" i="20" s="1"/>
  <c r="F1183" i="20"/>
  <c r="C1183" i="20"/>
  <c r="F1181" i="20"/>
  <c r="C1181" i="20"/>
  <c r="F1179" i="20"/>
  <c r="C1179" i="20"/>
  <c r="F1177" i="20"/>
  <c r="C1177" i="20"/>
  <c r="F1175" i="20"/>
  <c r="C1175" i="20"/>
  <c r="F1173" i="20"/>
  <c r="C1173" i="20"/>
  <c r="F1171" i="20"/>
  <c r="C1171" i="20"/>
  <c r="F1169" i="20"/>
  <c r="C1169" i="20"/>
  <c r="F1167" i="20"/>
  <c r="C1167" i="20"/>
  <c r="F1165" i="20"/>
  <c r="C1165" i="20"/>
  <c r="F1163" i="20"/>
  <c r="C1163" i="20"/>
  <c r="F1161" i="20"/>
  <c r="C1161" i="20"/>
  <c r="F1159" i="20"/>
  <c r="C1159" i="20"/>
  <c r="F1157" i="20"/>
  <c r="C1157" i="20"/>
  <c r="F1155" i="20"/>
  <c r="C1155" i="20"/>
  <c r="F1153" i="20"/>
  <c r="C1153" i="20"/>
  <c r="F1151" i="20"/>
  <c r="C1151" i="20"/>
  <c r="F1149" i="20"/>
  <c r="C1149" i="20"/>
  <c r="F1147" i="20"/>
  <c r="C1147" i="20"/>
  <c r="F1145" i="20"/>
  <c r="C1145" i="20"/>
  <c r="O1180" i="20"/>
  <c r="O1181" i="20" s="1"/>
  <c r="M1180" i="20"/>
  <c r="M1181" i="20" s="1"/>
  <c r="L1180" i="20"/>
  <c r="L1181" i="20" s="1"/>
  <c r="K1180" i="20"/>
  <c r="K1181" i="20" s="1"/>
  <c r="G1180" i="20"/>
  <c r="G1181" i="20" s="1"/>
  <c r="E1180" i="20"/>
  <c r="E1181" i="20" s="1"/>
  <c r="D1180" i="20"/>
  <c r="I1180" i="20" s="1"/>
  <c r="I1181" i="20" s="1"/>
  <c r="B1180" i="20"/>
  <c r="B1181" i="20" s="1"/>
  <c r="O1178" i="20"/>
  <c r="O1179" i="20" s="1"/>
  <c r="M1178" i="20"/>
  <c r="M1179" i="20" s="1"/>
  <c r="L1178" i="20"/>
  <c r="L1179" i="20" s="1"/>
  <c r="K1178" i="20"/>
  <c r="K1179" i="20" s="1"/>
  <c r="G1178" i="20"/>
  <c r="G1179" i="20" s="1"/>
  <c r="E1178" i="20"/>
  <c r="E1179" i="20" s="1"/>
  <c r="D1178" i="20"/>
  <c r="I1178" i="20" s="1"/>
  <c r="I1179" i="20" s="1"/>
  <c r="B1178" i="20"/>
  <c r="B1179" i="20" s="1"/>
  <c r="O1176" i="20"/>
  <c r="O1177" i="20" s="1"/>
  <c r="M1176" i="20"/>
  <c r="M1177" i="20" s="1"/>
  <c r="L1176" i="20"/>
  <c r="L1177" i="20" s="1"/>
  <c r="K1176" i="20"/>
  <c r="K1177" i="20" s="1"/>
  <c r="G1176" i="20"/>
  <c r="G1177" i="20" s="1"/>
  <c r="E1176" i="20"/>
  <c r="E1177" i="20" s="1"/>
  <c r="D1176" i="20"/>
  <c r="I1176" i="20" s="1"/>
  <c r="I1177" i="20" s="1"/>
  <c r="B1176" i="20"/>
  <c r="B1177" i="20" s="1"/>
  <c r="O1174" i="20"/>
  <c r="O1175" i="20" s="1"/>
  <c r="M1174" i="20"/>
  <c r="M1175" i="20" s="1"/>
  <c r="L1174" i="20"/>
  <c r="L1175" i="20" s="1"/>
  <c r="K1174" i="20"/>
  <c r="K1175" i="20" s="1"/>
  <c r="G1174" i="20"/>
  <c r="G1175" i="20" s="1"/>
  <c r="E1174" i="20"/>
  <c r="E1175" i="20" s="1"/>
  <c r="D1174" i="20"/>
  <c r="I1174" i="20" s="1"/>
  <c r="I1175" i="20" s="1"/>
  <c r="B1174" i="20"/>
  <c r="B1175" i="20" s="1"/>
  <c r="O1172" i="20"/>
  <c r="O1173" i="20" s="1"/>
  <c r="M1172" i="20"/>
  <c r="M1173" i="20" s="1"/>
  <c r="L1172" i="20"/>
  <c r="L1173" i="20" s="1"/>
  <c r="K1172" i="20"/>
  <c r="K1173" i="20" s="1"/>
  <c r="G1172" i="20"/>
  <c r="G1173" i="20" s="1"/>
  <c r="E1172" i="20"/>
  <c r="E1173" i="20" s="1"/>
  <c r="D1172" i="20"/>
  <c r="I1172" i="20" s="1"/>
  <c r="I1173" i="20" s="1"/>
  <c r="B1172" i="20"/>
  <c r="B1173" i="20" s="1"/>
  <c r="O1170" i="20"/>
  <c r="O1171" i="20" s="1"/>
  <c r="M1170" i="20"/>
  <c r="M1171" i="20" s="1"/>
  <c r="L1170" i="20"/>
  <c r="L1171" i="20" s="1"/>
  <c r="K1170" i="20"/>
  <c r="K1171" i="20" s="1"/>
  <c r="G1170" i="20"/>
  <c r="G1171" i="20" s="1"/>
  <c r="E1170" i="20"/>
  <c r="E1171" i="20" s="1"/>
  <c r="D1170" i="20"/>
  <c r="I1170" i="20" s="1"/>
  <c r="I1171" i="20" s="1"/>
  <c r="B1170" i="20"/>
  <c r="B1171" i="20" s="1"/>
  <c r="O1168" i="20"/>
  <c r="O1169" i="20" s="1"/>
  <c r="M1168" i="20"/>
  <c r="M1169" i="20" s="1"/>
  <c r="L1168" i="20"/>
  <c r="L1169" i="20" s="1"/>
  <c r="K1168" i="20"/>
  <c r="K1169" i="20" s="1"/>
  <c r="G1168" i="20"/>
  <c r="G1169" i="20" s="1"/>
  <c r="E1168" i="20"/>
  <c r="E1169" i="20" s="1"/>
  <c r="D1168" i="20"/>
  <c r="I1168" i="20" s="1"/>
  <c r="I1169" i="20" s="1"/>
  <c r="B1168" i="20"/>
  <c r="B1169" i="20" s="1"/>
  <c r="O1166" i="20"/>
  <c r="O1167" i="20" s="1"/>
  <c r="M1166" i="20"/>
  <c r="M1167" i="20" s="1"/>
  <c r="L1166" i="20"/>
  <c r="L1167" i="20" s="1"/>
  <c r="K1166" i="20"/>
  <c r="K1167" i="20" s="1"/>
  <c r="G1166" i="20"/>
  <c r="G1167" i="20" s="1"/>
  <c r="E1166" i="20"/>
  <c r="E1167" i="20" s="1"/>
  <c r="D1166" i="20"/>
  <c r="I1166" i="20" s="1"/>
  <c r="I1167" i="20" s="1"/>
  <c r="B1166" i="20"/>
  <c r="B1167" i="20" s="1"/>
  <c r="O1164" i="20"/>
  <c r="O1165" i="20" s="1"/>
  <c r="M1164" i="20"/>
  <c r="M1165" i="20" s="1"/>
  <c r="L1164" i="20"/>
  <c r="L1165" i="20" s="1"/>
  <c r="K1164" i="20"/>
  <c r="K1165" i="20" s="1"/>
  <c r="G1164" i="20"/>
  <c r="G1165" i="20" s="1"/>
  <c r="E1164" i="20"/>
  <c r="E1165" i="20" s="1"/>
  <c r="D1164" i="20"/>
  <c r="I1164" i="20" s="1"/>
  <c r="I1165" i="20" s="1"/>
  <c r="B1164" i="20"/>
  <c r="B1165" i="20" s="1"/>
  <c r="O1162" i="20"/>
  <c r="O1163" i="20" s="1"/>
  <c r="M1162" i="20"/>
  <c r="M1163" i="20" s="1"/>
  <c r="L1162" i="20"/>
  <c r="L1163" i="20" s="1"/>
  <c r="K1162" i="20"/>
  <c r="K1163" i="20" s="1"/>
  <c r="G1162" i="20"/>
  <c r="G1163" i="20" s="1"/>
  <c r="E1162" i="20"/>
  <c r="E1163" i="20" s="1"/>
  <c r="D1162" i="20"/>
  <c r="I1162" i="20" s="1"/>
  <c r="I1163" i="20" s="1"/>
  <c r="B1162" i="20"/>
  <c r="B1163" i="20" s="1"/>
  <c r="O1160" i="20"/>
  <c r="O1161" i="20" s="1"/>
  <c r="M1160" i="20"/>
  <c r="M1161" i="20" s="1"/>
  <c r="L1160" i="20"/>
  <c r="L1161" i="20" s="1"/>
  <c r="K1160" i="20"/>
  <c r="K1161" i="20" s="1"/>
  <c r="G1160" i="20"/>
  <c r="G1161" i="20" s="1"/>
  <c r="E1160" i="20"/>
  <c r="E1161" i="20" s="1"/>
  <c r="D1160" i="20"/>
  <c r="I1160" i="20" s="1"/>
  <c r="I1161" i="20" s="1"/>
  <c r="B1160" i="20"/>
  <c r="B1161" i="20" s="1"/>
  <c r="O1158" i="20"/>
  <c r="O1159" i="20" s="1"/>
  <c r="M1158" i="20"/>
  <c r="M1159" i="20" s="1"/>
  <c r="L1158" i="20"/>
  <c r="L1159" i="20" s="1"/>
  <c r="K1158" i="20"/>
  <c r="K1159" i="20" s="1"/>
  <c r="G1158" i="20"/>
  <c r="G1159" i="20" s="1"/>
  <c r="E1158" i="20"/>
  <c r="E1159" i="20" s="1"/>
  <c r="D1158" i="20"/>
  <c r="I1158" i="20" s="1"/>
  <c r="I1159" i="20" s="1"/>
  <c r="B1158" i="20"/>
  <c r="B1159" i="20" s="1"/>
  <c r="O1156" i="20"/>
  <c r="O1157" i="20" s="1"/>
  <c r="M1156" i="20"/>
  <c r="M1157" i="20" s="1"/>
  <c r="L1156" i="20"/>
  <c r="L1157" i="20" s="1"/>
  <c r="K1156" i="20"/>
  <c r="K1157" i="20" s="1"/>
  <c r="G1156" i="20"/>
  <c r="G1157" i="20" s="1"/>
  <c r="E1156" i="20"/>
  <c r="E1157" i="20" s="1"/>
  <c r="D1156" i="20"/>
  <c r="I1156" i="20" s="1"/>
  <c r="I1157" i="20" s="1"/>
  <c r="B1156" i="20"/>
  <c r="B1157" i="20" s="1"/>
  <c r="O1154" i="20"/>
  <c r="O1155" i="20" s="1"/>
  <c r="M1154" i="20"/>
  <c r="M1155" i="20" s="1"/>
  <c r="L1154" i="20"/>
  <c r="L1155" i="20" s="1"/>
  <c r="K1154" i="20"/>
  <c r="K1155" i="20" s="1"/>
  <c r="G1154" i="20"/>
  <c r="G1155" i="20" s="1"/>
  <c r="E1154" i="20"/>
  <c r="E1155" i="20" s="1"/>
  <c r="D1154" i="20"/>
  <c r="I1154" i="20" s="1"/>
  <c r="I1155" i="20" s="1"/>
  <c r="B1154" i="20"/>
  <c r="B1155" i="20" s="1"/>
  <c r="O1152" i="20"/>
  <c r="O1153" i="20" s="1"/>
  <c r="M1152" i="20"/>
  <c r="M1153" i="20" s="1"/>
  <c r="L1152" i="20"/>
  <c r="L1153" i="20" s="1"/>
  <c r="K1152" i="20"/>
  <c r="K1153" i="20" s="1"/>
  <c r="G1152" i="20"/>
  <c r="G1153" i="20" s="1"/>
  <c r="E1152" i="20"/>
  <c r="E1153" i="20" s="1"/>
  <c r="D1152" i="20"/>
  <c r="I1152" i="20" s="1"/>
  <c r="I1153" i="20" s="1"/>
  <c r="B1152" i="20"/>
  <c r="B1153" i="20" s="1"/>
  <c r="O1150" i="20"/>
  <c r="O1151" i="20" s="1"/>
  <c r="M1150" i="20"/>
  <c r="M1151" i="20" s="1"/>
  <c r="L1150" i="20"/>
  <c r="L1151" i="20" s="1"/>
  <c r="K1150" i="20"/>
  <c r="K1151" i="20" s="1"/>
  <c r="G1150" i="20"/>
  <c r="G1151" i="20" s="1"/>
  <c r="E1150" i="20"/>
  <c r="E1151" i="20" s="1"/>
  <c r="D1150" i="20"/>
  <c r="I1150" i="20" s="1"/>
  <c r="I1151" i="20" s="1"/>
  <c r="B1150" i="20"/>
  <c r="B1151" i="20" s="1"/>
  <c r="O1148" i="20"/>
  <c r="O1149" i="20" s="1"/>
  <c r="M1148" i="20"/>
  <c r="M1149" i="20" s="1"/>
  <c r="L1148" i="20"/>
  <c r="L1149" i="20" s="1"/>
  <c r="K1148" i="20"/>
  <c r="K1149" i="20" s="1"/>
  <c r="G1148" i="20"/>
  <c r="G1149" i="20" s="1"/>
  <c r="E1148" i="20"/>
  <c r="E1149" i="20" s="1"/>
  <c r="D1148" i="20"/>
  <c r="I1148" i="20" s="1"/>
  <c r="I1149" i="20" s="1"/>
  <c r="B1148" i="20"/>
  <c r="B1149" i="20" s="1"/>
  <c r="O1146" i="20"/>
  <c r="O1147" i="20" s="1"/>
  <c r="M1146" i="20"/>
  <c r="M1147" i="20" s="1"/>
  <c r="L1146" i="20"/>
  <c r="L1147" i="20" s="1"/>
  <c r="K1146" i="20"/>
  <c r="K1147" i="20" s="1"/>
  <c r="G1146" i="20"/>
  <c r="G1147" i="20" s="1"/>
  <c r="E1146" i="20"/>
  <c r="E1147" i="20" s="1"/>
  <c r="D1146" i="20"/>
  <c r="I1146" i="20" s="1"/>
  <c r="I1147" i="20" s="1"/>
  <c r="B1146" i="20"/>
  <c r="B1147" i="20" s="1"/>
  <c r="L1144" i="20"/>
  <c r="L1145" i="20" s="1"/>
  <c r="K1144" i="20"/>
  <c r="K1145" i="20" s="1"/>
  <c r="G1144" i="20"/>
  <c r="G1145" i="20" s="1"/>
  <c r="E1144" i="20"/>
  <c r="E1145" i="20" s="1"/>
  <c r="D1144" i="20"/>
  <c r="D1145" i="20" s="1"/>
  <c r="O1144" i="20"/>
  <c r="O1145" i="20" s="1"/>
  <c r="M1144" i="20"/>
  <c r="M1145" i="20" s="1"/>
  <c r="B1144" i="20"/>
  <c r="B1145" i="20" s="1"/>
  <c r="AU66" i="12"/>
  <c r="AV66" i="12"/>
  <c r="AW66" i="12"/>
  <c r="AU67" i="12"/>
  <c r="H385" i="18" s="1"/>
  <c r="AV67" i="12"/>
  <c r="AW67" i="12"/>
  <c r="AU68" i="12"/>
  <c r="AV68" i="12"/>
  <c r="AW68" i="12"/>
  <c r="AU69" i="12"/>
  <c r="AV69" i="12"/>
  <c r="AW69" i="12"/>
  <c r="AU70" i="12"/>
  <c r="AV70" i="12"/>
  <c r="AW70" i="12"/>
  <c r="AU71" i="12"/>
  <c r="AV71" i="12"/>
  <c r="AW71" i="12"/>
  <c r="AU72" i="12"/>
  <c r="AV72" i="12"/>
  <c r="AW72" i="12"/>
  <c r="AU73" i="12"/>
  <c r="H391" i="18" s="1"/>
  <c r="AV73" i="12"/>
  <c r="AW73" i="12"/>
  <c r="AU74" i="12"/>
  <c r="AV74" i="12"/>
  <c r="AW74" i="12"/>
  <c r="AU75" i="12"/>
  <c r="AV75" i="12"/>
  <c r="AW75" i="12"/>
  <c r="AU76" i="12"/>
  <c r="AV76" i="12"/>
  <c r="AW76" i="12"/>
  <c r="AU77" i="12"/>
  <c r="AV77" i="12"/>
  <c r="AW77" i="12"/>
  <c r="AU78" i="12"/>
  <c r="AV78" i="12"/>
  <c r="AW78" i="12"/>
  <c r="AU79" i="12"/>
  <c r="AV79" i="12"/>
  <c r="AW79" i="12"/>
  <c r="AU80" i="12"/>
  <c r="AV80" i="12"/>
  <c r="AW80" i="12"/>
  <c r="AU81" i="12"/>
  <c r="AV81" i="12"/>
  <c r="AW81" i="12"/>
  <c r="AU82" i="12"/>
  <c r="H400" i="18" s="1"/>
  <c r="AV82" i="12"/>
  <c r="AW82" i="12"/>
  <c r="AU83" i="12"/>
  <c r="H292" i="18" s="1"/>
  <c r="AV83" i="12"/>
  <c r="AW83" i="12"/>
  <c r="AU84" i="12"/>
  <c r="AV84" i="12"/>
  <c r="AW84" i="12"/>
  <c r="AU85" i="12"/>
  <c r="AV85" i="12"/>
  <c r="AW85" i="12"/>
  <c r="Y66" i="12"/>
  <c r="Y67" i="12"/>
  <c r="G584" i="10" s="1"/>
  <c r="Y68" i="12"/>
  <c r="Y69" i="12"/>
  <c r="G586" i="10" s="1"/>
  <c r="Y70" i="12"/>
  <c r="Y71" i="12"/>
  <c r="G588" i="10" s="1"/>
  <c r="Y72" i="12"/>
  <c r="G589" i="10" s="1"/>
  <c r="Y73" i="12"/>
  <c r="G590" i="10" s="1"/>
  <c r="Y74" i="12"/>
  <c r="G591" i="10" s="1"/>
  <c r="Y75" i="12"/>
  <c r="G592" i="10" s="1"/>
  <c r="Y76" i="12"/>
  <c r="G593" i="10" s="1"/>
  <c r="Y77" i="12"/>
  <c r="G594" i="10" s="1"/>
  <c r="Y78" i="12"/>
  <c r="G595" i="10" s="1"/>
  <c r="Y79" i="12"/>
  <c r="G596" i="10" s="1"/>
  <c r="Y80" i="12"/>
  <c r="G597" i="10" s="1"/>
  <c r="Y81" i="12"/>
  <c r="G598" i="10" s="1"/>
  <c r="Y82" i="12"/>
  <c r="G599" i="10" s="1"/>
  <c r="Y83" i="12"/>
  <c r="G600" i="10" s="1"/>
  <c r="Y84" i="12"/>
  <c r="G601" i="10" s="1"/>
  <c r="Y85" i="12"/>
  <c r="G602" i="10" s="1"/>
  <c r="Q66" i="12"/>
  <c r="G533" i="10" s="1"/>
  <c r="Q67" i="12"/>
  <c r="G534" i="10" s="1"/>
  <c r="Q68" i="12"/>
  <c r="G535" i="10" s="1"/>
  <c r="Q69" i="12"/>
  <c r="G536" i="10" s="1"/>
  <c r="Q70" i="12"/>
  <c r="G537" i="10" s="1"/>
  <c r="Q71" i="12"/>
  <c r="G538" i="10" s="1"/>
  <c r="Q72" i="12"/>
  <c r="Q73" i="12"/>
  <c r="G540" i="10" s="1"/>
  <c r="Q74" i="12"/>
  <c r="Q75" i="12"/>
  <c r="G542" i="10" s="1"/>
  <c r="Q76" i="12"/>
  <c r="G543" i="10" s="1"/>
  <c r="Q77" i="12"/>
  <c r="G544" i="10" s="1"/>
  <c r="Q78" i="12"/>
  <c r="G545" i="10" s="1"/>
  <c r="Q79" i="12"/>
  <c r="G546" i="10" s="1"/>
  <c r="Q80" i="12"/>
  <c r="G547" i="10" s="1"/>
  <c r="Q81" i="12"/>
  <c r="G548" i="10" s="1"/>
  <c r="Q82" i="12"/>
  <c r="G549" i="10" s="1"/>
  <c r="Q83" i="12"/>
  <c r="G550" i="10" s="1"/>
  <c r="Q84" i="12"/>
  <c r="G551" i="10" s="1"/>
  <c r="Q85" i="12"/>
  <c r="G552" i="10" s="1"/>
  <c r="I66" i="12"/>
  <c r="G483" i="10" s="1"/>
  <c r="I67" i="12"/>
  <c r="G484" i="10" s="1"/>
  <c r="I68" i="12"/>
  <c r="G485" i="10" s="1"/>
  <c r="I69" i="12"/>
  <c r="G486" i="10" s="1"/>
  <c r="I70" i="12"/>
  <c r="G487" i="10" s="1"/>
  <c r="I71" i="12"/>
  <c r="G488" i="10" s="1"/>
  <c r="I72" i="12"/>
  <c r="G489" i="10" s="1"/>
  <c r="I73" i="12"/>
  <c r="G490" i="10" s="1"/>
  <c r="I74" i="12"/>
  <c r="G491" i="10" s="1"/>
  <c r="I75" i="12"/>
  <c r="G492" i="10" s="1"/>
  <c r="I76" i="12"/>
  <c r="G493" i="10" s="1"/>
  <c r="I77" i="12"/>
  <c r="G494" i="10" s="1"/>
  <c r="I78" i="12"/>
  <c r="G495" i="10" s="1"/>
  <c r="I79" i="12"/>
  <c r="G496" i="10" s="1"/>
  <c r="I80" i="12"/>
  <c r="G497" i="10" s="1"/>
  <c r="I81" i="12"/>
  <c r="G498" i="10" s="1"/>
  <c r="I82" i="12"/>
  <c r="G499" i="10" s="1"/>
  <c r="I83" i="12"/>
  <c r="G500" i="10" s="1"/>
  <c r="I84" i="12"/>
  <c r="G501" i="10" s="1"/>
  <c r="I85" i="12"/>
  <c r="G502" i="10" s="1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D66" i="12"/>
  <c r="J171" i="11" s="1"/>
  <c r="D67" i="12"/>
  <c r="J172" i="11" s="1"/>
  <c r="D68" i="12"/>
  <c r="J173" i="11" s="1"/>
  <c r="D69" i="12"/>
  <c r="J174" i="11" s="1"/>
  <c r="D70" i="12"/>
  <c r="J175" i="11" s="1"/>
  <c r="D71" i="12"/>
  <c r="J176" i="11" s="1"/>
  <c r="D72" i="12"/>
  <c r="J177" i="11" s="1"/>
  <c r="D73" i="12"/>
  <c r="J178" i="11" s="1"/>
  <c r="D74" i="12"/>
  <c r="J179" i="11" s="1"/>
  <c r="D75" i="12"/>
  <c r="J180" i="11" s="1"/>
  <c r="D76" i="12"/>
  <c r="J181" i="11" s="1"/>
  <c r="D77" i="12"/>
  <c r="J182" i="11" s="1"/>
  <c r="D78" i="12"/>
  <c r="J183" i="11" s="1"/>
  <c r="D79" i="12"/>
  <c r="J184" i="11" s="1"/>
  <c r="D80" i="12"/>
  <c r="J185" i="11" s="1"/>
  <c r="D81" i="12"/>
  <c r="J186" i="11" s="1"/>
  <c r="D82" i="12"/>
  <c r="J187" i="11" s="1"/>
  <c r="D83" i="12"/>
  <c r="J188" i="11" s="1"/>
  <c r="D84" i="12"/>
  <c r="J189" i="11" s="1"/>
  <c r="D85" i="12"/>
  <c r="J190" i="11" s="1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1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6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32" i="10"/>
  <c r="H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A193" i="10"/>
  <c r="C193" i="10"/>
  <c r="E193" i="10"/>
  <c r="F193" i="10"/>
  <c r="A194" i="10"/>
  <c r="C194" i="10"/>
  <c r="E194" i="10"/>
  <c r="F194" i="10"/>
  <c r="A195" i="10"/>
  <c r="C195" i="10"/>
  <c r="E195" i="10"/>
  <c r="F195" i="10"/>
  <c r="A196" i="10"/>
  <c r="C196" i="10"/>
  <c r="E196" i="10"/>
  <c r="F196" i="10"/>
  <c r="A197" i="10"/>
  <c r="C197" i="10"/>
  <c r="E197" i="10"/>
  <c r="F197" i="10"/>
  <c r="A198" i="10"/>
  <c r="C198" i="10"/>
  <c r="E198" i="10"/>
  <c r="F198" i="10"/>
  <c r="A199" i="10"/>
  <c r="C199" i="10"/>
  <c r="E199" i="10"/>
  <c r="F199" i="10"/>
  <c r="A200" i="10"/>
  <c r="C200" i="10"/>
  <c r="E200" i="10"/>
  <c r="F200" i="10"/>
  <c r="A201" i="10"/>
  <c r="C201" i="10"/>
  <c r="E201" i="10"/>
  <c r="F201" i="10"/>
  <c r="A202" i="10"/>
  <c r="C202" i="10"/>
  <c r="E202" i="10"/>
  <c r="F202" i="10"/>
  <c r="A203" i="10"/>
  <c r="C203" i="10"/>
  <c r="E203" i="10"/>
  <c r="F203" i="10"/>
  <c r="A204" i="10"/>
  <c r="C204" i="10"/>
  <c r="E204" i="10"/>
  <c r="F204" i="10"/>
  <c r="A205" i="10"/>
  <c r="C205" i="10"/>
  <c r="E205" i="10"/>
  <c r="F205" i="10"/>
  <c r="A206" i="10"/>
  <c r="C206" i="10"/>
  <c r="E206" i="10"/>
  <c r="F206" i="10"/>
  <c r="A207" i="10"/>
  <c r="C207" i="10"/>
  <c r="E207" i="10"/>
  <c r="F207" i="10"/>
  <c r="A208" i="10"/>
  <c r="C208" i="10"/>
  <c r="E208" i="10"/>
  <c r="F208" i="10"/>
  <c r="A209" i="10"/>
  <c r="C209" i="10"/>
  <c r="E209" i="10"/>
  <c r="F209" i="10"/>
  <c r="A210" i="10"/>
  <c r="C210" i="10"/>
  <c r="E210" i="10"/>
  <c r="F210" i="10"/>
  <c r="A211" i="10"/>
  <c r="C211" i="10"/>
  <c r="E211" i="10"/>
  <c r="F211" i="10"/>
  <c r="A212" i="10"/>
  <c r="C212" i="10"/>
  <c r="E212" i="10"/>
  <c r="F212" i="10"/>
  <c r="A143" i="10"/>
  <c r="C143" i="10"/>
  <c r="E143" i="10"/>
  <c r="F143" i="10"/>
  <c r="A144" i="10"/>
  <c r="C144" i="10"/>
  <c r="E144" i="10"/>
  <c r="F144" i="10"/>
  <c r="A145" i="10"/>
  <c r="C145" i="10"/>
  <c r="E145" i="10"/>
  <c r="F145" i="10"/>
  <c r="A146" i="10"/>
  <c r="C146" i="10"/>
  <c r="E146" i="10"/>
  <c r="F146" i="10"/>
  <c r="A147" i="10"/>
  <c r="C147" i="10"/>
  <c r="E147" i="10"/>
  <c r="F147" i="10"/>
  <c r="A148" i="10"/>
  <c r="C148" i="10"/>
  <c r="E148" i="10"/>
  <c r="F148" i="10"/>
  <c r="A149" i="10"/>
  <c r="C149" i="10"/>
  <c r="E149" i="10"/>
  <c r="F149" i="10"/>
  <c r="A150" i="10"/>
  <c r="C150" i="10"/>
  <c r="E150" i="10"/>
  <c r="F150" i="10"/>
  <c r="A151" i="10"/>
  <c r="C151" i="10"/>
  <c r="E151" i="10"/>
  <c r="F151" i="10"/>
  <c r="A152" i="10"/>
  <c r="C152" i="10"/>
  <c r="E152" i="10"/>
  <c r="F152" i="10"/>
  <c r="A153" i="10"/>
  <c r="C153" i="10"/>
  <c r="E153" i="10"/>
  <c r="F153" i="10"/>
  <c r="A154" i="10"/>
  <c r="C154" i="10"/>
  <c r="E154" i="10"/>
  <c r="F154" i="10"/>
  <c r="A155" i="10"/>
  <c r="C155" i="10"/>
  <c r="E155" i="10"/>
  <c r="F155" i="10"/>
  <c r="A156" i="10"/>
  <c r="C156" i="10"/>
  <c r="E156" i="10"/>
  <c r="F156" i="10"/>
  <c r="A157" i="10"/>
  <c r="C157" i="10"/>
  <c r="E157" i="10"/>
  <c r="F157" i="10"/>
  <c r="A158" i="10"/>
  <c r="C158" i="10"/>
  <c r="E158" i="10"/>
  <c r="F158" i="10"/>
  <c r="A159" i="10"/>
  <c r="C159" i="10"/>
  <c r="E159" i="10"/>
  <c r="F159" i="10"/>
  <c r="A160" i="10"/>
  <c r="C160" i="10"/>
  <c r="E160" i="10"/>
  <c r="F160" i="10"/>
  <c r="A161" i="10"/>
  <c r="C161" i="10"/>
  <c r="E161" i="10"/>
  <c r="F161" i="10"/>
  <c r="A162" i="10"/>
  <c r="C162" i="10"/>
  <c r="E162" i="10"/>
  <c r="F162" i="10"/>
  <c r="A93" i="10"/>
  <c r="C93" i="10"/>
  <c r="E93" i="10"/>
  <c r="F93" i="10"/>
  <c r="A94" i="10"/>
  <c r="C94" i="10"/>
  <c r="E94" i="10"/>
  <c r="F94" i="10"/>
  <c r="A95" i="10"/>
  <c r="C95" i="10"/>
  <c r="E95" i="10"/>
  <c r="F95" i="10"/>
  <c r="A96" i="10"/>
  <c r="C96" i="10"/>
  <c r="E96" i="10"/>
  <c r="F96" i="10"/>
  <c r="A97" i="10"/>
  <c r="C97" i="10"/>
  <c r="E97" i="10"/>
  <c r="F97" i="10"/>
  <c r="A98" i="10"/>
  <c r="C98" i="10"/>
  <c r="E98" i="10"/>
  <c r="F98" i="10"/>
  <c r="A99" i="10"/>
  <c r="C99" i="10"/>
  <c r="E99" i="10"/>
  <c r="F99" i="10"/>
  <c r="A100" i="10"/>
  <c r="C100" i="10"/>
  <c r="E100" i="10"/>
  <c r="F100" i="10"/>
  <c r="A101" i="10"/>
  <c r="C101" i="10"/>
  <c r="E101" i="10"/>
  <c r="F101" i="10"/>
  <c r="A102" i="10"/>
  <c r="C102" i="10"/>
  <c r="E102" i="10"/>
  <c r="F102" i="10"/>
  <c r="A103" i="10"/>
  <c r="C103" i="10"/>
  <c r="E103" i="10"/>
  <c r="F103" i="10"/>
  <c r="A104" i="10"/>
  <c r="C104" i="10"/>
  <c r="E104" i="10"/>
  <c r="F104" i="10"/>
  <c r="A105" i="10"/>
  <c r="C105" i="10"/>
  <c r="E105" i="10"/>
  <c r="F105" i="10"/>
  <c r="A106" i="10"/>
  <c r="C106" i="10"/>
  <c r="E106" i="10"/>
  <c r="F106" i="10"/>
  <c r="A107" i="10"/>
  <c r="C107" i="10"/>
  <c r="E107" i="10"/>
  <c r="F107" i="10"/>
  <c r="A108" i="10"/>
  <c r="C108" i="10"/>
  <c r="E108" i="10"/>
  <c r="F108" i="10"/>
  <c r="A109" i="10"/>
  <c r="C109" i="10"/>
  <c r="E109" i="10"/>
  <c r="F109" i="10"/>
  <c r="A110" i="10"/>
  <c r="C110" i="10"/>
  <c r="E110" i="10"/>
  <c r="F110" i="10"/>
  <c r="A111" i="10"/>
  <c r="C111" i="10"/>
  <c r="E111" i="10"/>
  <c r="F111" i="10"/>
  <c r="A112" i="10"/>
  <c r="C112" i="10"/>
  <c r="E112" i="10"/>
  <c r="F112" i="10"/>
  <c r="F423" i="20"/>
  <c r="C423" i="20"/>
  <c r="F421" i="20"/>
  <c r="C421" i="20"/>
  <c r="F419" i="20"/>
  <c r="C419" i="20"/>
  <c r="F417" i="20"/>
  <c r="C417" i="20"/>
  <c r="F415" i="20"/>
  <c r="C415" i="20"/>
  <c r="F413" i="20"/>
  <c r="C413" i="20"/>
  <c r="F411" i="20"/>
  <c r="C411" i="20"/>
  <c r="F409" i="20"/>
  <c r="C409" i="20"/>
  <c r="F407" i="20"/>
  <c r="C407" i="20"/>
  <c r="F405" i="20"/>
  <c r="C405" i="20"/>
  <c r="F403" i="20"/>
  <c r="C403" i="20"/>
  <c r="F401" i="20"/>
  <c r="C401" i="20"/>
  <c r="F399" i="20"/>
  <c r="C399" i="20"/>
  <c r="F397" i="20"/>
  <c r="C397" i="20"/>
  <c r="F395" i="20"/>
  <c r="C395" i="20"/>
  <c r="F393" i="20"/>
  <c r="C393" i="20"/>
  <c r="F391" i="20"/>
  <c r="C391" i="20"/>
  <c r="F389" i="20"/>
  <c r="C389" i="20"/>
  <c r="F387" i="20"/>
  <c r="C387" i="20"/>
  <c r="F385" i="20"/>
  <c r="C385" i="20"/>
  <c r="B386" i="20"/>
  <c r="B387" i="20" s="1"/>
  <c r="D386" i="20"/>
  <c r="H386" i="20" s="1"/>
  <c r="H387" i="20" s="1"/>
  <c r="E386" i="20"/>
  <c r="E387" i="20" s="1"/>
  <c r="G386" i="20"/>
  <c r="G387" i="20" s="1"/>
  <c r="K386" i="20"/>
  <c r="K387" i="20" s="1"/>
  <c r="L386" i="20"/>
  <c r="L387" i="20" s="1"/>
  <c r="M386" i="20"/>
  <c r="M387" i="20" s="1"/>
  <c r="O386" i="20"/>
  <c r="O387" i="20" s="1"/>
  <c r="B388" i="20"/>
  <c r="B389" i="20" s="1"/>
  <c r="D388" i="20"/>
  <c r="H388" i="20" s="1"/>
  <c r="H389" i="20" s="1"/>
  <c r="E388" i="20"/>
  <c r="E389" i="20" s="1"/>
  <c r="G388" i="20"/>
  <c r="G389" i="20" s="1"/>
  <c r="K388" i="20"/>
  <c r="K389" i="20" s="1"/>
  <c r="L388" i="20"/>
  <c r="L389" i="20" s="1"/>
  <c r="M388" i="20"/>
  <c r="M389" i="20" s="1"/>
  <c r="O388" i="20"/>
  <c r="O389" i="20" s="1"/>
  <c r="B390" i="20"/>
  <c r="B391" i="20" s="1"/>
  <c r="D390" i="20"/>
  <c r="H390" i="20" s="1"/>
  <c r="H391" i="20" s="1"/>
  <c r="E390" i="20"/>
  <c r="E391" i="20" s="1"/>
  <c r="G390" i="20"/>
  <c r="G391" i="20" s="1"/>
  <c r="K390" i="20"/>
  <c r="K391" i="20" s="1"/>
  <c r="L390" i="20"/>
  <c r="L391" i="20" s="1"/>
  <c r="M390" i="20"/>
  <c r="M391" i="20" s="1"/>
  <c r="O390" i="20"/>
  <c r="O391" i="20" s="1"/>
  <c r="B392" i="20"/>
  <c r="B393" i="20" s="1"/>
  <c r="D392" i="20"/>
  <c r="H392" i="20" s="1"/>
  <c r="H393" i="20" s="1"/>
  <c r="E392" i="20"/>
  <c r="E393" i="20" s="1"/>
  <c r="G392" i="20"/>
  <c r="G393" i="20" s="1"/>
  <c r="K392" i="20"/>
  <c r="K393" i="20" s="1"/>
  <c r="L392" i="20"/>
  <c r="L393" i="20" s="1"/>
  <c r="M392" i="20"/>
  <c r="M393" i="20" s="1"/>
  <c r="O392" i="20"/>
  <c r="O393" i="20" s="1"/>
  <c r="B394" i="20"/>
  <c r="B395" i="20" s="1"/>
  <c r="D394" i="20"/>
  <c r="H394" i="20" s="1"/>
  <c r="H395" i="20" s="1"/>
  <c r="E394" i="20"/>
  <c r="E395" i="20" s="1"/>
  <c r="G394" i="20"/>
  <c r="G395" i="20" s="1"/>
  <c r="K394" i="20"/>
  <c r="K395" i="20" s="1"/>
  <c r="L394" i="20"/>
  <c r="L395" i="20" s="1"/>
  <c r="M394" i="20"/>
  <c r="M395" i="20" s="1"/>
  <c r="O394" i="20"/>
  <c r="O395" i="20" s="1"/>
  <c r="B396" i="20"/>
  <c r="B397" i="20" s="1"/>
  <c r="D396" i="20"/>
  <c r="H396" i="20" s="1"/>
  <c r="H397" i="20" s="1"/>
  <c r="E396" i="20"/>
  <c r="E397" i="20" s="1"/>
  <c r="G396" i="20"/>
  <c r="G397" i="20" s="1"/>
  <c r="K396" i="20"/>
  <c r="K397" i="20" s="1"/>
  <c r="L396" i="20"/>
  <c r="L397" i="20" s="1"/>
  <c r="M396" i="20"/>
  <c r="M397" i="20" s="1"/>
  <c r="O396" i="20"/>
  <c r="O397" i="20" s="1"/>
  <c r="B398" i="20"/>
  <c r="B399" i="20" s="1"/>
  <c r="D398" i="20"/>
  <c r="H398" i="20" s="1"/>
  <c r="H399" i="20" s="1"/>
  <c r="E398" i="20"/>
  <c r="E399" i="20" s="1"/>
  <c r="G398" i="20"/>
  <c r="G399" i="20" s="1"/>
  <c r="K398" i="20"/>
  <c r="K399" i="20" s="1"/>
  <c r="L398" i="20"/>
  <c r="L399" i="20" s="1"/>
  <c r="M398" i="20"/>
  <c r="M399" i="20" s="1"/>
  <c r="O398" i="20"/>
  <c r="O399" i="20" s="1"/>
  <c r="B400" i="20"/>
  <c r="B401" i="20" s="1"/>
  <c r="D400" i="20"/>
  <c r="H400" i="20" s="1"/>
  <c r="H401" i="20" s="1"/>
  <c r="E400" i="20"/>
  <c r="E401" i="20" s="1"/>
  <c r="G400" i="20"/>
  <c r="G401" i="20" s="1"/>
  <c r="K400" i="20"/>
  <c r="K401" i="20" s="1"/>
  <c r="L400" i="20"/>
  <c r="L401" i="20" s="1"/>
  <c r="M400" i="20"/>
  <c r="M401" i="20" s="1"/>
  <c r="O400" i="20"/>
  <c r="O401" i="20" s="1"/>
  <c r="B402" i="20"/>
  <c r="B403" i="20" s="1"/>
  <c r="D402" i="20"/>
  <c r="H402" i="20" s="1"/>
  <c r="H403" i="20" s="1"/>
  <c r="E402" i="20"/>
  <c r="E403" i="20" s="1"/>
  <c r="G402" i="20"/>
  <c r="G403" i="20" s="1"/>
  <c r="K402" i="20"/>
  <c r="K403" i="20" s="1"/>
  <c r="L402" i="20"/>
  <c r="L403" i="20" s="1"/>
  <c r="M402" i="20"/>
  <c r="M403" i="20" s="1"/>
  <c r="O402" i="20"/>
  <c r="O403" i="20" s="1"/>
  <c r="B404" i="20"/>
  <c r="B405" i="20" s="1"/>
  <c r="D404" i="20"/>
  <c r="H404" i="20" s="1"/>
  <c r="H405" i="20" s="1"/>
  <c r="E404" i="20"/>
  <c r="E405" i="20" s="1"/>
  <c r="G404" i="20"/>
  <c r="G405" i="20" s="1"/>
  <c r="K404" i="20"/>
  <c r="K405" i="20" s="1"/>
  <c r="L404" i="20"/>
  <c r="L405" i="20" s="1"/>
  <c r="M404" i="20"/>
  <c r="M405" i="20" s="1"/>
  <c r="O404" i="20"/>
  <c r="O405" i="20" s="1"/>
  <c r="B406" i="20"/>
  <c r="B407" i="20" s="1"/>
  <c r="D406" i="20"/>
  <c r="H406" i="20" s="1"/>
  <c r="H407" i="20" s="1"/>
  <c r="E406" i="20"/>
  <c r="E407" i="20" s="1"/>
  <c r="G406" i="20"/>
  <c r="G407" i="20" s="1"/>
  <c r="K406" i="20"/>
  <c r="K407" i="20" s="1"/>
  <c r="L406" i="20"/>
  <c r="L407" i="20" s="1"/>
  <c r="M406" i="20"/>
  <c r="M407" i="20" s="1"/>
  <c r="O406" i="20"/>
  <c r="O407" i="20" s="1"/>
  <c r="B408" i="20"/>
  <c r="B409" i="20" s="1"/>
  <c r="D408" i="20"/>
  <c r="H408" i="20" s="1"/>
  <c r="H409" i="20" s="1"/>
  <c r="E408" i="20"/>
  <c r="E409" i="20" s="1"/>
  <c r="G408" i="20"/>
  <c r="G409" i="20" s="1"/>
  <c r="K408" i="20"/>
  <c r="K409" i="20" s="1"/>
  <c r="L408" i="20"/>
  <c r="L409" i="20" s="1"/>
  <c r="M408" i="20"/>
  <c r="M409" i="20" s="1"/>
  <c r="O408" i="20"/>
  <c r="O409" i="20" s="1"/>
  <c r="B410" i="20"/>
  <c r="B411" i="20" s="1"/>
  <c r="D410" i="20"/>
  <c r="H410" i="20" s="1"/>
  <c r="H411" i="20" s="1"/>
  <c r="E410" i="20"/>
  <c r="E411" i="20" s="1"/>
  <c r="G410" i="20"/>
  <c r="G411" i="20" s="1"/>
  <c r="K410" i="20"/>
  <c r="K411" i="20" s="1"/>
  <c r="L410" i="20"/>
  <c r="L411" i="20" s="1"/>
  <c r="M410" i="20"/>
  <c r="M411" i="20" s="1"/>
  <c r="O410" i="20"/>
  <c r="O411" i="20" s="1"/>
  <c r="B412" i="20"/>
  <c r="B413" i="20" s="1"/>
  <c r="D412" i="20"/>
  <c r="H412" i="20" s="1"/>
  <c r="H413" i="20" s="1"/>
  <c r="E412" i="20"/>
  <c r="E413" i="20" s="1"/>
  <c r="G412" i="20"/>
  <c r="G413" i="20" s="1"/>
  <c r="K412" i="20"/>
  <c r="K413" i="20" s="1"/>
  <c r="L412" i="20"/>
  <c r="L413" i="20" s="1"/>
  <c r="M412" i="20"/>
  <c r="M413" i="20" s="1"/>
  <c r="O412" i="20"/>
  <c r="O413" i="20" s="1"/>
  <c r="B414" i="20"/>
  <c r="B415" i="20" s="1"/>
  <c r="D414" i="20"/>
  <c r="H414" i="20" s="1"/>
  <c r="H415" i="20" s="1"/>
  <c r="E414" i="20"/>
  <c r="E415" i="20" s="1"/>
  <c r="G414" i="20"/>
  <c r="G415" i="20" s="1"/>
  <c r="K414" i="20"/>
  <c r="K415" i="20" s="1"/>
  <c r="L414" i="20"/>
  <c r="L415" i="20" s="1"/>
  <c r="M414" i="20"/>
  <c r="M415" i="20" s="1"/>
  <c r="O414" i="20"/>
  <c r="O415" i="20" s="1"/>
  <c r="B416" i="20"/>
  <c r="B417" i="20" s="1"/>
  <c r="D416" i="20"/>
  <c r="H416" i="20" s="1"/>
  <c r="H417" i="20" s="1"/>
  <c r="E416" i="20"/>
  <c r="E417" i="20" s="1"/>
  <c r="G416" i="20"/>
  <c r="G417" i="20" s="1"/>
  <c r="K416" i="20"/>
  <c r="K417" i="20" s="1"/>
  <c r="L416" i="20"/>
  <c r="L417" i="20" s="1"/>
  <c r="M416" i="20"/>
  <c r="M417" i="20" s="1"/>
  <c r="O416" i="20"/>
  <c r="O417" i="20" s="1"/>
  <c r="B418" i="20"/>
  <c r="B419" i="20" s="1"/>
  <c r="D418" i="20"/>
  <c r="H418" i="20" s="1"/>
  <c r="H419" i="20" s="1"/>
  <c r="E418" i="20"/>
  <c r="E419" i="20" s="1"/>
  <c r="G418" i="20"/>
  <c r="G419" i="20" s="1"/>
  <c r="K418" i="20"/>
  <c r="K419" i="20" s="1"/>
  <c r="L418" i="20"/>
  <c r="L419" i="20" s="1"/>
  <c r="M418" i="20"/>
  <c r="M419" i="20" s="1"/>
  <c r="O418" i="20"/>
  <c r="O419" i="20" s="1"/>
  <c r="B420" i="20"/>
  <c r="B421" i="20" s="1"/>
  <c r="D420" i="20"/>
  <c r="H420" i="20" s="1"/>
  <c r="H421" i="20" s="1"/>
  <c r="E420" i="20"/>
  <c r="E421" i="20" s="1"/>
  <c r="G420" i="20"/>
  <c r="G421" i="20" s="1"/>
  <c r="K420" i="20"/>
  <c r="K421" i="20" s="1"/>
  <c r="L420" i="20"/>
  <c r="L421" i="20" s="1"/>
  <c r="M420" i="20"/>
  <c r="M421" i="20" s="1"/>
  <c r="O420" i="20"/>
  <c r="O421" i="20" s="1"/>
  <c r="B422" i="20"/>
  <c r="B423" i="20" s="1"/>
  <c r="D422" i="20"/>
  <c r="H422" i="20" s="1"/>
  <c r="H423" i="20" s="1"/>
  <c r="E422" i="20"/>
  <c r="E423" i="20" s="1"/>
  <c r="G422" i="20"/>
  <c r="G423" i="20" s="1"/>
  <c r="K422" i="20"/>
  <c r="K423" i="20" s="1"/>
  <c r="L422" i="20"/>
  <c r="L423" i="20" s="1"/>
  <c r="M422" i="20"/>
  <c r="M423" i="20" s="1"/>
  <c r="O422" i="20"/>
  <c r="O423" i="20" s="1"/>
  <c r="L384" i="20"/>
  <c r="L385" i="20" s="1"/>
  <c r="K384" i="20"/>
  <c r="K385" i="20" s="1"/>
  <c r="G384" i="20"/>
  <c r="G385" i="20" s="1"/>
  <c r="E384" i="20"/>
  <c r="E385" i="20" s="1"/>
  <c r="D384" i="20"/>
  <c r="D385" i="20" s="1"/>
  <c r="O384" i="20"/>
  <c r="O385" i="20" s="1"/>
  <c r="M384" i="20"/>
  <c r="M385" i="20" s="1"/>
  <c r="B384" i="20"/>
  <c r="B385" i="20" s="1"/>
  <c r="F323" i="20"/>
  <c r="C323" i="20"/>
  <c r="F321" i="20"/>
  <c r="C321" i="20"/>
  <c r="F319" i="20"/>
  <c r="C319" i="20"/>
  <c r="F317" i="20"/>
  <c r="C317" i="20"/>
  <c r="F315" i="20"/>
  <c r="C315" i="20"/>
  <c r="F313" i="20"/>
  <c r="C313" i="20"/>
  <c r="F311" i="20"/>
  <c r="C311" i="20"/>
  <c r="F309" i="20"/>
  <c r="C309" i="20"/>
  <c r="F307" i="20"/>
  <c r="C307" i="20"/>
  <c r="F305" i="20"/>
  <c r="C305" i="20"/>
  <c r="F303" i="20"/>
  <c r="C303" i="20"/>
  <c r="F301" i="20"/>
  <c r="C301" i="20"/>
  <c r="F299" i="20"/>
  <c r="C299" i="20"/>
  <c r="F297" i="20"/>
  <c r="C297" i="20"/>
  <c r="F295" i="20"/>
  <c r="C295" i="20"/>
  <c r="F293" i="20"/>
  <c r="C293" i="20"/>
  <c r="F291" i="20"/>
  <c r="C291" i="20"/>
  <c r="F289" i="20"/>
  <c r="C289" i="20"/>
  <c r="F287" i="20"/>
  <c r="C287" i="20"/>
  <c r="F285" i="20"/>
  <c r="C285" i="20"/>
  <c r="B286" i="20"/>
  <c r="B287" i="20" s="1"/>
  <c r="D286" i="20"/>
  <c r="H286" i="20" s="1"/>
  <c r="H287" i="20" s="1"/>
  <c r="E286" i="20"/>
  <c r="E287" i="20" s="1"/>
  <c r="G286" i="20"/>
  <c r="G287" i="20" s="1"/>
  <c r="K286" i="20"/>
  <c r="K287" i="20" s="1"/>
  <c r="L286" i="20"/>
  <c r="L287" i="20" s="1"/>
  <c r="M286" i="20"/>
  <c r="M287" i="20" s="1"/>
  <c r="O286" i="20"/>
  <c r="O287" i="20" s="1"/>
  <c r="B288" i="20"/>
  <c r="B289" i="20" s="1"/>
  <c r="D288" i="20"/>
  <c r="H288" i="20" s="1"/>
  <c r="H289" i="20" s="1"/>
  <c r="E288" i="20"/>
  <c r="E289" i="20" s="1"/>
  <c r="G288" i="20"/>
  <c r="G289" i="20" s="1"/>
  <c r="K288" i="20"/>
  <c r="K289" i="20" s="1"/>
  <c r="L288" i="20"/>
  <c r="L289" i="20" s="1"/>
  <c r="M288" i="20"/>
  <c r="M289" i="20" s="1"/>
  <c r="O288" i="20"/>
  <c r="O289" i="20" s="1"/>
  <c r="B290" i="20"/>
  <c r="B291" i="20" s="1"/>
  <c r="D290" i="20"/>
  <c r="H290" i="20" s="1"/>
  <c r="H291" i="20" s="1"/>
  <c r="E290" i="20"/>
  <c r="E291" i="20" s="1"/>
  <c r="G290" i="20"/>
  <c r="G291" i="20" s="1"/>
  <c r="K290" i="20"/>
  <c r="K291" i="20" s="1"/>
  <c r="L290" i="20"/>
  <c r="L291" i="20" s="1"/>
  <c r="M290" i="20"/>
  <c r="M291" i="20" s="1"/>
  <c r="O290" i="20"/>
  <c r="O291" i="20" s="1"/>
  <c r="B292" i="20"/>
  <c r="B293" i="20" s="1"/>
  <c r="D292" i="20"/>
  <c r="H292" i="20" s="1"/>
  <c r="H293" i="20" s="1"/>
  <c r="E292" i="20"/>
  <c r="E293" i="20" s="1"/>
  <c r="G292" i="20"/>
  <c r="G293" i="20" s="1"/>
  <c r="K292" i="20"/>
  <c r="K293" i="20" s="1"/>
  <c r="L292" i="20"/>
  <c r="L293" i="20" s="1"/>
  <c r="M292" i="20"/>
  <c r="M293" i="20" s="1"/>
  <c r="O292" i="20"/>
  <c r="O293" i="20" s="1"/>
  <c r="B294" i="20"/>
  <c r="B295" i="20" s="1"/>
  <c r="D294" i="20"/>
  <c r="H294" i="20" s="1"/>
  <c r="H295" i="20" s="1"/>
  <c r="E294" i="20"/>
  <c r="E295" i="20" s="1"/>
  <c r="G294" i="20"/>
  <c r="G295" i="20" s="1"/>
  <c r="K294" i="20"/>
  <c r="K295" i="20" s="1"/>
  <c r="L294" i="20"/>
  <c r="L295" i="20" s="1"/>
  <c r="M294" i="20"/>
  <c r="M295" i="20" s="1"/>
  <c r="O294" i="20"/>
  <c r="O295" i="20" s="1"/>
  <c r="B296" i="20"/>
  <c r="B297" i="20" s="1"/>
  <c r="D296" i="20"/>
  <c r="H296" i="20" s="1"/>
  <c r="H297" i="20" s="1"/>
  <c r="E296" i="20"/>
  <c r="E297" i="20" s="1"/>
  <c r="G296" i="20"/>
  <c r="G297" i="20" s="1"/>
  <c r="K296" i="20"/>
  <c r="K297" i="20" s="1"/>
  <c r="L296" i="20"/>
  <c r="L297" i="20" s="1"/>
  <c r="M296" i="20"/>
  <c r="M297" i="20" s="1"/>
  <c r="O296" i="20"/>
  <c r="O297" i="20" s="1"/>
  <c r="B298" i="20"/>
  <c r="B299" i="20" s="1"/>
  <c r="D298" i="20"/>
  <c r="H298" i="20" s="1"/>
  <c r="H299" i="20" s="1"/>
  <c r="E298" i="20"/>
  <c r="E299" i="20" s="1"/>
  <c r="G298" i="20"/>
  <c r="G299" i="20" s="1"/>
  <c r="K298" i="20"/>
  <c r="K299" i="20" s="1"/>
  <c r="L298" i="20"/>
  <c r="L299" i="20" s="1"/>
  <c r="M298" i="20"/>
  <c r="M299" i="20" s="1"/>
  <c r="O298" i="20"/>
  <c r="O299" i="20" s="1"/>
  <c r="B300" i="20"/>
  <c r="B301" i="20" s="1"/>
  <c r="D300" i="20"/>
  <c r="H300" i="20" s="1"/>
  <c r="H301" i="20" s="1"/>
  <c r="E300" i="20"/>
  <c r="E301" i="20" s="1"/>
  <c r="G300" i="20"/>
  <c r="G301" i="20" s="1"/>
  <c r="K300" i="20"/>
  <c r="K301" i="20" s="1"/>
  <c r="L300" i="20"/>
  <c r="L301" i="20" s="1"/>
  <c r="M300" i="20"/>
  <c r="M301" i="20" s="1"/>
  <c r="O300" i="20"/>
  <c r="O301" i="20" s="1"/>
  <c r="B302" i="20"/>
  <c r="B303" i="20" s="1"/>
  <c r="D302" i="20"/>
  <c r="H302" i="20" s="1"/>
  <c r="H303" i="20" s="1"/>
  <c r="E302" i="20"/>
  <c r="E303" i="20" s="1"/>
  <c r="G302" i="20"/>
  <c r="G303" i="20" s="1"/>
  <c r="K302" i="20"/>
  <c r="K303" i="20" s="1"/>
  <c r="L302" i="20"/>
  <c r="L303" i="20" s="1"/>
  <c r="M302" i="20"/>
  <c r="M303" i="20" s="1"/>
  <c r="O302" i="20"/>
  <c r="O303" i="20" s="1"/>
  <c r="B304" i="20"/>
  <c r="B305" i="20" s="1"/>
  <c r="D304" i="20"/>
  <c r="H304" i="20" s="1"/>
  <c r="H305" i="20" s="1"/>
  <c r="E304" i="20"/>
  <c r="E305" i="20" s="1"/>
  <c r="G304" i="20"/>
  <c r="G305" i="20" s="1"/>
  <c r="K304" i="20"/>
  <c r="K305" i="20" s="1"/>
  <c r="L304" i="20"/>
  <c r="L305" i="20" s="1"/>
  <c r="M304" i="20"/>
  <c r="M305" i="20" s="1"/>
  <c r="O304" i="20"/>
  <c r="O305" i="20" s="1"/>
  <c r="B306" i="20"/>
  <c r="B307" i="20" s="1"/>
  <c r="D306" i="20"/>
  <c r="H306" i="20" s="1"/>
  <c r="H307" i="20" s="1"/>
  <c r="E306" i="20"/>
  <c r="E307" i="20" s="1"/>
  <c r="G306" i="20"/>
  <c r="G307" i="20" s="1"/>
  <c r="K306" i="20"/>
  <c r="K307" i="20" s="1"/>
  <c r="L306" i="20"/>
  <c r="L307" i="20" s="1"/>
  <c r="M306" i="20"/>
  <c r="M307" i="20" s="1"/>
  <c r="O306" i="20"/>
  <c r="O307" i="20" s="1"/>
  <c r="B308" i="20"/>
  <c r="B309" i="20" s="1"/>
  <c r="D308" i="20"/>
  <c r="H308" i="20" s="1"/>
  <c r="H309" i="20" s="1"/>
  <c r="E308" i="20"/>
  <c r="E309" i="20" s="1"/>
  <c r="G308" i="20"/>
  <c r="G309" i="20" s="1"/>
  <c r="K308" i="20"/>
  <c r="K309" i="20" s="1"/>
  <c r="L308" i="20"/>
  <c r="L309" i="20" s="1"/>
  <c r="M308" i="20"/>
  <c r="M309" i="20" s="1"/>
  <c r="O308" i="20"/>
  <c r="O309" i="20" s="1"/>
  <c r="B310" i="20"/>
  <c r="B311" i="20" s="1"/>
  <c r="D310" i="20"/>
  <c r="H310" i="20" s="1"/>
  <c r="H311" i="20" s="1"/>
  <c r="E310" i="20"/>
  <c r="E311" i="20" s="1"/>
  <c r="G310" i="20"/>
  <c r="G311" i="20" s="1"/>
  <c r="K310" i="20"/>
  <c r="K311" i="20" s="1"/>
  <c r="L310" i="20"/>
  <c r="L311" i="20" s="1"/>
  <c r="M310" i="20"/>
  <c r="M311" i="20" s="1"/>
  <c r="O310" i="20"/>
  <c r="O311" i="20" s="1"/>
  <c r="B312" i="20"/>
  <c r="B313" i="20" s="1"/>
  <c r="D312" i="20"/>
  <c r="H312" i="20" s="1"/>
  <c r="H313" i="20" s="1"/>
  <c r="E312" i="20"/>
  <c r="E313" i="20" s="1"/>
  <c r="G312" i="20"/>
  <c r="G313" i="20" s="1"/>
  <c r="K312" i="20"/>
  <c r="K313" i="20" s="1"/>
  <c r="L312" i="20"/>
  <c r="L313" i="20" s="1"/>
  <c r="M312" i="20"/>
  <c r="M313" i="20" s="1"/>
  <c r="O312" i="20"/>
  <c r="O313" i="20" s="1"/>
  <c r="B314" i="20"/>
  <c r="B315" i="20" s="1"/>
  <c r="D314" i="20"/>
  <c r="H314" i="20" s="1"/>
  <c r="H315" i="20" s="1"/>
  <c r="E314" i="20"/>
  <c r="E315" i="20" s="1"/>
  <c r="G314" i="20"/>
  <c r="G315" i="20" s="1"/>
  <c r="K314" i="20"/>
  <c r="K315" i="20" s="1"/>
  <c r="L314" i="20"/>
  <c r="L315" i="20" s="1"/>
  <c r="M314" i="20"/>
  <c r="M315" i="20" s="1"/>
  <c r="O314" i="20"/>
  <c r="O315" i="20" s="1"/>
  <c r="B316" i="20"/>
  <c r="B317" i="20" s="1"/>
  <c r="D316" i="20"/>
  <c r="H316" i="20" s="1"/>
  <c r="H317" i="20" s="1"/>
  <c r="E316" i="20"/>
  <c r="E317" i="20" s="1"/>
  <c r="G316" i="20"/>
  <c r="G317" i="20" s="1"/>
  <c r="K316" i="20"/>
  <c r="K317" i="20" s="1"/>
  <c r="L316" i="20"/>
  <c r="L317" i="20" s="1"/>
  <c r="M316" i="20"/>
  <c r="M317" i="20" s="1"/>
  <c r="O316" i="20"/>
  <c r="O317" i="20" s="1"/>
  <c r="B318" i="20"/>
  <c r="B319" i="20" s="1"/>
  <c r="D318" i="20"/>
  <c r="H318" i="20" s="1"/>
  <c r="H319" i="20" s="1"/>
  <c r="E318" i="20"/>
  <c r="E319" i="20" s="1"/>
  <c r="G318" i="20"/>
  <c r="G319" i="20" s="1"/>
  <c r="K318" i="20"/>
  <c r="K319" i="20" s="1"/>
  <c r="L318" i="20"/>
  <c r="L319" i="20" s="1"/>
  <c r="M318" i="20"/>
  <c r="M319" i="20" s="1"/>
  <c r="O318" i="20"/>
  <c r="O319" i="20" s="1"/>
  <c r="B320" i="20"/>
  <c r="B321" i="20" s="1"/>
  <c r="D320" i="20"/>
  <c r="H320" i="20" s="1"/>
  <c r="H321" i="20" s="1"/>
  <c r="E320" i="20"/>
  <c r="E321" i="20" s="1"/>
  <c r="G320" i="20"/>
  <c r="G321" i="20" s="1"/>
  <c r="K320" i="20"/>
  <c r="K321" i="20" s="1"/>
  <c r="L320" i="20"/>
  <c r="L321" i="20" s="1"/>
  <c r="M320" i="20"/>
  <c r="M321" i="20" s="1"/>
  <c r="O320" i="20"/>
  <c r="O321" i="20" s="1"/>
  <c r="B322" i="20"/>
  <c r="B323" i="20" s="1"/>
  <c r="D322" i="20"/>
  <c r="H322" i="20" s="1"/>
  <c r="H323" i="20" s="1"/>
  <c r="E322" i="20"/>
  <c r="E323" i="20" s="1"/>
  <c r="G322" i="20"/>
  <c r="G323" i="20" s="1"/>
  <c r="K322" i="20"/>
  <c r="K323" i="20" s="1"/>
  <c r="L322" i="20"/>
  <c r="L323" i="20" s="1"/>
  <c r="M322" i="20"/>
  <c r="M323" i="20" s="1"/>
  <c r="O322" i="20"/>
  <c r="O323" i="20" s="1"/>
  <c r="L284" i="20"/>
  <c r="L285" i="20" s="1"/>
  <c r="K284" i="20"/>
  <c r="K285" i="20" s="1"/>
  <c r="G284" i="20"/>
  <c r="G285" i="20" s="1"/>
  <c r="E284" i="20"/>
  <c r="E285" i="20" s="1"/>
  <c r="D284" i="20"/>
  <c r="D285" i="20" s="1"/>
  <c r="O284" i="20"/>
  <c r="O285" i="20" s="1"/>
  <c r="M284" i="20"/>
  <c r="M285" i="20" s="1"/>
  <c r="B284" i="20"/>
  <c r="B285" i="20" s="1"/>
  <c r="F223" i="20"/>
  <c r="C223" i="20"/>
  <c r="F221" i="20"/>
  <c r="C221" i="20"/>
  <c r="F219" i="20"/>
  <c r="C219" i="20"/>
  <c r="F217" i="20"/>
  <c r="C217" i="20"/>
  <c r="F215" i="20"/>
  <c r="C215" i="20"/>
  <c r="F213" i="20"/>
  <c r="C213" i="20"/>
  <c r="F211" i="20"/>
  <c r="C211" i="20"/>
  <c r="F209" i="20"/>
  <c r="C209" i="20"/>
  <c r="F207" i="20"/>
  <c r="C207" i="20"/>
  <c r="F205" i="20"/>
  <c r="C205" i="20"/>
  <c r="F203" i="20"/>
  <c r="C203" i="20"/>
  <c r="F201" i="20"/>
  <c r="C201" i="20"/>
  <c r="F199" i="20"/>
  <c r="C199" i="20"/>
  <c r="F197" i="20"/>
  <c r="C197" i="20"/>
  <c r="B198" i="20"/>
  <c r="B199" i="20" s="1"/>
  <c r="D198" i="20"/>
  <c r="H198" i="20" s="1"/>
  <c r="H199" i="20" s="1"/>
  <c r="E198" i="20"/>
  <c r="E199" i="20" s="1"/>
  <c r="G198" i="20"/>
  <c r="G199" i="20" s="1"/>
  <c r="K198" i="20"/>
  <c r="K199" i="20" s="1"/>
  <c r="L199" i="20"/>
  <c r="M198" i="20"/>
  <c r="M199" i="20" s="1"/>
  <c r="O198" i="20"/>
  <c r="O199" i="20" s="1"/>
  <c r="F195" i="20"/>
  <c r="C195" i="20"/>
  <c r="F193" i="20"/>
  <c r="C193" i="20"/>
  <c r="F191" i="20"/>
  <c r="C191" i="20"/>
  <c r="F189" i="20"/>
  <c r="C189" i="20"/>
  <c r="F187" i="20"/>
  <c r="C187" i="20"/>
  <c r="F185" i="20"/>
  <c r="C185" i="20"/>
  <c r="B186" i="20"/>
  <c r="B187" i="20" s="1"/>
  <c r="D186" i="20"/>
  <c r="H186" i="20" s="1"/>
  <c r="H187" i="20" s="1"/>
  <c r="E186" i="20"/>
  <c r="E187" i="20" s="1"/>
  <c r="G186" i="20"/>
  <c r="G187" i="20" s="1"/>
  <c r="K186" i="20"/>
  <c r="K187" i="20" s="1"/>
  <c r="L187" i="20"/>
  <c r="M186" i="20"/>
  <c r="M187" i="20" s="1"/>
  <c r="O186" i="20"/>
  <c r="O187" i="20" s="1"/>
  <c r="B188" i="20"/>
  <c r="B189" i="20" s="1"/>
  <c r="D188" i="20"/>
  <c r="H188" i="20" s="1"/>
  <c r="H189" i="20" s="1"/>
  <c r="E188" i="20"/>
  <c r="E189" i="20" s="1"/>
  <c r="G188" i="20"/>
  <c r="G189" i="20" s="1"/>
  <c r="K188" i="20"/>
  <c r="K189" i="20" s="1"/>
  <c r="L189" i="20"/>
  <c r="M188" i="20"/>
  <c r="M189" i="20" s="1"/>
  <c r="O188" i="20"/>
  <c r="O189" i="20" s="1"/>
  <c r="B190" i="20"/>
  <c r="B191" i="20" s="1"/>
  <c r="D190" i="20"/>
  <c r="H190" i="20" s="1"/>
  <c r="H191" i="20" s="1"/>
  <c r="E190" i="20"/>
  <c r="E191" i="20" s="1"/>
  <c r="G190" i="20"/>
  <c r="G191" i="20" s="1"/>
  <c r="K190" i="20"/>
  <c r="K191" i="20" s="1"/>
  <c r="L191" i="20"/>
  <c r="M190" i="20"/>
  <c r="M191" i="20" s="1"/>
  <c r="O190" i="20"/>
  <c r="O191" i="20" s="1"/>
  <c r="B192" i="20"/>
  <c r="B193" i="20" s="1"/>
  <c r="D192" i="20"/>
  <c r="H192" i="20" s="1"/>
  <c r="H193" i="20" s="1"/>
  <c r="E192" i="20"/>
  <c r="E193" i="20" s="1"/>
  <c r="G192" i="20"/>
  <c r="G193" i="20" s="1"/>
  <c r="K192" i="20"/>
  <c r="K193" i="20" s="1"/>
  <c r="L193" i="20"/>
  <c r="M192" i="20"/>
  <c r="M193" i="20" s="1"/>
  <c r="O192" i="20"/>
  <c r="O193" i="20" s="1"/>
  <c r="B194" i="20"/>
  <c r="B195" i="20" s="1"/>
  <c r="D194" i="20"/>
  <c r="H194" i="20" s="1"/>
  <c r="H195" i="20" s="1"/>
  <c r="E194" i="20"/>
  <c r="E195" i="20" s="1"/>
  <c r="G194" i="20"/>
  <c r="G195" i="20" s="1"/>
  <c r="K194" i="20"/>
  <c r="K195" i="20" s="1"/>
  <c r="L195" i="20"/>
  <c r="M194" i="20"/>
  <c r="M195" i="20" s="1"/>
  <c r="O194" i="20"/>
  <c r="O195" i="20" s="1"/>
  <c r="B196" i="20"/>
  <c r="B197" i="20" s="1"/>
  <c r="D196" i="20"/>
  <c r="H196" i="20" s="1"/>
  <c r="H197" i="20" s="1"/>
  <c r="E196" i="20"/>
  <c r="E197" i="20" s="1"/>
  <c r="G196" i="20"/>
  <c r="G197" i="20" s="1"/>
  <c r="K196" i="20"/>
  <c r="K197" i="20" s="1"/>
  <c r="L197" i="20"/>
  <c r="M196" i="20"/>
  <c r="M197" i="20" s="1"/>
  <c r="O196" i="20"/>
  <c r="O197" i="20" s="1"/>
  <c r="B200" i="20"/>
  <c r="B201" i="20" s="1"/>
  <c r="D200" i="20"/>
  <c r="H200" i="20" s="1"/>
  <c r="H201" i="20" s="1"/>
  <c r="E200" i="20"/>
  <c r="E201" i="20" s="1"/>
  <c r="G200" i="20"/>
  <c r="G201" i="20" s="1"/>
  <c r="K200" i="20"/>
  <c r="K201" i="20" s="1"/>
  <c r="L201" i="20"/>
  <c r="M200" i="20"/>
  <c r="M201" i="20" s="1"/>
  <c r="O200" i="20"/>
  <c r="O201" i="20" s="1"/>
  <c r="B202" i="20"/>
  <c r="B203" i="20" s="1"/>
  <c r="D202" i="20"/>
  <c r="H202" i="20" s="1"/>
  <c r="H203" i="20" s="1"/>
  <c r="E202" i="20"/>
  <c r="E203" i="20" s="1"/>
  <c r="G202" i="20"/>
  <c r="G203" i="20" s="1"/>
  <c r="K202" i="20"/>
  <c r="K203" i="20" s="1"/>
  <c r="L203" i="20"/>
  <c r="M202" i="20"/>
  <c r="M203" i="20" s="1"/>
  <c r="O202" i="20"/>
  <c r="O203" i="20" s="1"/>
  <c r="B204" i="20"/>
  <c r="B205" i="20" s="1"/>
  <c r="D204" i="20"/>
  <c r="H204" i="20" s="1"/>
  <c r="H205" i="20" s="1"/>
  <c r="E204" i="20"/>
  <c r="E205" i="20" s="1"/>
  <c r="G204" i="20"/>
  <c r="G205" i="20" s="1"/>
  <c r="K204" i="20"/>
  <c r="K205" i="20" s="1"/>
  <c r="L205" i="20"/>
  <c r="M204" i="20"/>
  <c r="M205" i="20" s="1"/>
  <c r="O204" i="20"/>
  <c r="O205" i="20" s="1"/>
  <c r="B206" i="20"/>
  <c r="B207" i="20" s="1"/>
  <c r="D206" i="20"/>
  <c r="H206" i="20" s="1"/>
  <c r="H207" i="20" s="1"/>
  <c r="E206" i="20"/>
  <c r="E207" i="20" s="1"/>
  <c r="G206" i="20"/>
  <c r="G207" i="20" s="1"/>
  <c r="K206" i="20"/>
  <c r="K207" i="20" s="1"/>
  <c r="L207" i="20"/>
  <c r="M206" i="20"/>
  <c r="M207" i="20" s="1"/>
  <c r="O206" i="20"/>
  <c r="O207" i="20" s="1"/>
  <c r="B208" i="20"/>
  <c r="B209" i="20" s="1"/>
  <c r="D208" i="20"/>
  <c r="H208" i="20" s="1"/>
  <c r="H209" i="20" s="1"/>
  <c r="E208" i="20"/>
  <c r="E209" i="20" s="1"/>
  <c r="G208" i="20"/>
  <c r="G209" i="20" s="1"/>
  <c r="K208" i="20"/>
  <c r="K209" i="20" s="1"/>
  <c r="L209" i="20"/>
  <c r="M208" i="20"/>
  <c r="M209" i="20" s="1"/>
  <c r="O208" i="20"/>
  <c r="O209" i="20" s="1"/>
  <c r="B210" i="20"/>
  <c r="B211" i="20" s="1"/>
  <c r="D210" i="20"/>
  <c r="H210" i="20" s="1"/>
  <c r="H211" i="20" s="1"/>
  <c r="E210" i="20"/>
  <c r="E211" i="20" s="1"/>
  <c r="G210" i="20"/>
  <c r="G211" i="20" s="1"/>
  <c r="K210" i="20"/>
  <c r="K211" i="20" s="1"/>
  <c r="L211" i="20"/>
  <c r="M210" i="20"/>
  <c r="M211" i="20" s="1"/>
  <c r="O210" i="20"/>
  <c r="O211" i="20" s="1"/>
  <c r="B212" i="20"/>
  <c r="B213" i="20" s="1"/>
  <c r="D212" i="20"/>
  <c r="H212" i="20" s="1"/>
  <c r="H213" i="20" s="1"/>
  <c r="E212" i="20"/>
  <c r="E213" i="20" s="1"/>
  <c r="G212" i="20"/>
  <c r="G213" i="20" s="1"/>
  <c r="K212" i="20"/>
  <c r="K213" i="20" s="1"/>
  <c r="L213" i="20"/>
  <c r="M212" i="20"/>
  <c r="M213" i="20" s="1"/>
  <c r="O212" i="20"/>
  <c r="O213" i="20" s="1"/>
  <c r="B214" i="20"/>
  <c r="B215" i="20" s="1"/>
  <c r="D214" i="20"/>
  <c r="H214" i="20" s="1"/>
  <c r="H215" i="20" s="1"/>
  <c r="E214" i="20"/>
  <c r="E215" i="20" s="1"/>
  <c r="G214" i="20"/>
  <c r="G215" i="20" s="1"/>
  <c r="K214" i="20"/>
  <c r="K215" i="20" s="1"/>
  <c r="L215" i="20"/>
  <c r="M214" i="20"/>
  <c r="M215" i="20" s="1"/>
  <c r="O214" i="20"/>
  <c r="O215" i="20" s="1"/>
  <c r="B216" i="20"/>
  <c r="B217" i="20" s="1"/>
  <c r="D216" i="20"/>
  <c r="H216" i="20" s="1"/>
  <c r="H217" i="20" s="1"/>
  <c r="E216" i="20"/>
  <c r="E217" i="20" s="1"/>
  <c r="G216" i="20"/>
  <c r="G217" i="20" s="1"/>
  <c r="K216" i="20"/>
  <c r="K217" i="20" s="1"/>
  <c r="L217" i="20"/>
  <c r="M216" i="20"/>
  <c r="M217" i="20" s="1"/>
  <c r="O216" i="20"/>
  <c r="O217" i="20" s="1"/>
  <c r="B218" i="20"/>
  <c r="B219" i="20" s="1"/>
  <c r="D218" i="20"/>
  <c r="H218" i="20" s="1"/>
  <c r="H219" i="20" s="1"/>
  <c r="E218" i="20"/>
  <c r="E219" i="20" s="1"/>
  <c r="G218" i="20"/>
  <c r="G219" i="20" s="1"/>
  <c r="K218" i="20"/>
  <c r="K219" i="20" s="1"/>
  <c r="L219" i="20"/>
  <c r="M218" i="20"/>
  <c r="M219" i="20" s="1"/>
  <c r="O218" i="20"/>
  <c r="O219" i="20" s="1"/>
  <c r="B220" i="20"/>
  <c r="B221" i="20" s="1"/>
  <c r="D220" i="20"/>
  <c r="H220" i="20" s="1"/>
  <c r="H221" i="20" s="1"/>
  <c r="E220" i="20"/>
  <c r="E221" i="20" s="1"/>
  <c r="G220" i="20"/>
  <c r="G221" i="20" s="1"/>
  <c r="K220" i="20"/>
  <c r="K221" i="20" s="1"/>
  <c r="L221" i="20"/>
  <c r="M220" i="20"/>
  <c r="M221" i="20" s="1"/>
  <c r="O220" i="20"/>
  <c r="O221" i="20" s="1"/>
  <c r="B222" i="20"/>
  <c r="B223" i="20" s="1"/>
  <c r="D222" i="20"/>
  <c r="H222" i="20" s="1"/>
  <c r="H223" i="20" s="1"/>
  <c r="E222" i="20"/>
  <c r="E223" i="20" s="1"/>
  <c r="G222" i="20"/>
  <c r="G223" i="20" s="1"/>
  <c r="K222" i="20"/>
  <c r="K223" i="20" s="1"/>
  <c r="L223" i="20"/>
  <c r="M222" i="20"/>
  <c r="M223" i="20" s="1"/>
  <c r="O222" i="20"/>
  <c r="O223" i="20" s="1"/>
  <c r="L185" i="20"/>
  <c r="K184" i="20"/>
  <c r="K185" i="20" s="1"/>
  <c r="G184" i="20"/>
  <c r="G185" i="20" s="1"/>
  <c r="E184" i="20"/>
  <c r="E185" i="20" s="1"/>
  <c r="D184" i="20"/>
  <c r="D185" i="20" s="1"/>
  <c r="O184" i="20"/>
  <c r="O185" i="20" s="1"/>
  <c r="M184" i="20"/>
  <c r="M185" i="20" s="1"/>
  <c r="B184" i="20"/>
  <c r="B185" i="20" s="1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B492" i="18"/>
  <c r="C437" i="18"/>
  <c r="B437" i="18"/>
  <c r="B383" i="18"/>
  <c r="C328" i="18"/>
  <c r="B328" i="18"/>
  <c r="B274" i="18"/>
  <c r="B220" i="18"/>
  <c r="C166" i="18"/>
  <c r="B166" i="18"/>
  <c r="H143" i="18"/>
  <c r="H134" i="18"/>
  <c r="B112" i="18"/>
  <c r="C58" i="18"/>
  <c r="B58" i="18"/>
  <c r="H38" i="18"/>
  <c r="H31" i="18"/>
  <c r="C12" i="18"/>
  <c r="C10" i="18"/>
  <c r="C8" i="18"/>
  <c r="C6" i="18"/>
  <c r="B4" i="18"/>
  <c r="D5" i="12"/>
  <c r="J120" i="11" s="1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6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" i="12"/>
  <c r="AW6" i="12"/>
  <c r="AW7" i="12"/>
  <c r="AW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V6" i="12"/>
  <c r="AV7" i="12"/>
  <c r="AV8" i="12"/>
  <c r="AV9" i="12"/>
  <c r="AV10" i="12"/>
  <c r="AV11" i="12"/>
  <c r="AV12" i="12"/>
  <c r="AV13" i="12"/>
  <c r="AV14" i="12"/>
  <c r="AV15" i="12"/>
  <c r="AV16" i="12"/>
  <c r="AV17" i="12"/>
  <c r="AV18" i="12"/>
  <c r="AV19" i="12"/>
  <c r="AV20" i="12"/>
  <c r="AV21" i="12"/>
  <c r="AV22" i="12"/>
  <c r="AV23" i="12"/>
  <c r="AX23" i="12" s="1"/>
  <c r="AV24" i="12"/>
  <c r="AV25" i="12"/>
  <c r="AU6" i="12"/>
  <c r="H5" i="18" s="1"/>
  <c r="AU7" i="12"/>
  <c r="AU8" i="12"/>
  <c r="AU9" i="12"/>
  <c r="H224" i="18" s="1"/>
  <c r="AU10" i="12"/>
  <c r="H225" i="18" s="1"/>
  <c r="AU11" i="12"/>
  <c r="H226" i="18" s="1"/>
  <c r="AU12" i="12"/>
  <c r="AU13" i="12"/>
  <c r="AU14" i="12"/>
  <c r="H229" i="18" s="1"/>
  <c r="AU15" i="12"/>
  <c r="H230" i="18" s="1"/>
  <c r="AU16" i="12"/>
  <c r="H231" i="18" s="1"/>
  <c r="AU17" i="12"/>
  <c r="H232" i="18" s="1"/>
  <c r="AU18" i="12"/>
  <c r="H233" i="18" s="1"/>
  <c r="AU19" i="12"/>
  <c r="H234" i="18" s="1"/>
  <c r="AU20" i="12"/>
  <c r="H235" i="18" s="1"/>
  <c r="AU21" i="12"/>
  <c r="AU22" i="12"/>
  <c r="AU23" i="12"/>
  <c r="AU24" i="12"/>
  <c r="H239" i="18" s="1"/>
  <c r="AU25" i="12"/>
  <c r="H240" i="18" s="1"/>
  <c r="Y6" i="12"/>
  <c r="G193" i="10" s="1"/>
  <c r="Y7" i="12"/>
  <c r="G194" i="10" s="1"/>
  <c r="Y8" i="12"/>
  <c r="G195" i="10" s="1"/>
  <c r="Y9" i="12"/>
  <c r="G196" i="10" s="1"/>
  <c r="Y10" i="12"/>
  <c r="G197" i="10" s="1"/>
  <c r="Y11" i="12"/>
  <c r="G198" i="10" s="1"/>
  <c r="Y12" i="12"/>
  <c r="G199" i="10" s="1"/>
  <c r="Y13" i="12"/>
  <c r="G200" i="10" s="1"/>
  <c r="Y14" i="12"/>
  <c r="G201" i="10" s="1"/>
  <c r="Y15" i="12"/>
  <c r="G202" i="10" s="1"/>
  <c r="Y16" i="12"/>
  <c r="G203" i="10" s="1"/>
  <c r="Y17" i="12"/>
  <c r="G204" i="10" s="1"/>
  <c r="Y18" i="12"/>
  <c r="G205" i="10" s="1"/>
  <c r="Y19" i="12"/>
  <c r="G206" i="10" s="1"/>
  <c r="Y20" i="12"/>
  <c r="G207" i="10" s="1"/>
  <c r="Y21" i="12"/>
  <c r="G208" i="10" s="1"/>
  <c r="Y22" i="12"/>
  <c r="G209" i="10" s="1"/>
  <c r="Y23" i="12"/>
  <c r="G210" i="10" s="1"/>
  <c r="Y24" i="12"/>
  <c r="G211" i="10" s="1"/>
  <c r="Y25" i="12"/>
  <c r="G212" i="10" s="1"/>
  <c r="Y26" i="12"/>
  <c r="V6" i="12"/>
  <c r="V7" i="12"/>
  <c r="V8" i="12"/>
  <c r="V9" i="12"/>
  <c r="V10" i="12"/>
  <c r="V11" i="12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Q6" i="12"/>
  <c r="G143" i="10" s="1"/>
  <c r="Q7" i="12"/>
  <c r="G144" i="10" s="1"/>
  <c r="Q8" i="12"/>
  <c r="G145" i="10" s="1"/>
  <c r="Q9" i="12"/>
  <c r="G146" i="10" s="1"/>
  <c r="Q10" i="12"/>
  <c r="G147" i="10" s="1"/>
  <c r="Q11" i="12"/>
  <c r="G148" i="10" s="1"/>
  <c r="Q12" i="12"/>
  <c r="G149" i="10" s="1"/>
  <c r="Q13" i="12"/>
  <c r="G150" i="10" s="1"/>
  <c r="Q14" i="12"/>
  <c r="G151" i="10" s="1"/>
  <c r="Q15" i="12"/>
  <c r="G152" i="10" s="1"/>
  <c r="Q16" i="12"/>
  <c r="G153" i="10" s="1"/>
  <c r="Q17" i="12"/>
  <c r="G154" i="10" s="1"/>
  <c r="Q18" i="12"/>
  <c r="G155" i="10" s="1"/>
  <c r="Q19" i="12"/>
  <c r="G156" i="10" s="1"/>
  <c r="Q20" i="12"/>
  <c r="G157" i="10" s="1"/>
  <c r="Q21" i="12"/>
  <c r="G158" i="10" s="1"/>
  <c r="Q22" i="12"/>
  <c r="G159" i="10" s="1"/>
  <c r="Q23" i="12"/>
  <c r="G160" i="10" s="1"/>
  <c r="Q24" i="12"/>
  <c r="G161" i="10" s="1"/>
  <c r="Q25" i="12"/>
  <c r="G162" i="10" s="1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H132" i="18" s="1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D6" i="12"/>
  <c r="D7" i="12"/>
  <c r="D8" i="12"/>
  <c r="D9" i="12"/>
  <c r="J124" i="11" s="1"/>
  <c r="D10" i="12"/>
  <c r="J125" i="11" s="1"/>
  <c r="D11" i="12"/>
  <c r="J126" i="11" s="1"/>
  <c r="D12" i="12"/>
  <c r="D13" i="12"/>
  <c r="D14" i="12"/>
  <c r="J129" i="11" s="1"/>
  <c r="D15" i="12"/>
  <c r="J130" i="11" s="1"/>
  <c r="D16" i="12"/>
  <c r="J131" i="11" s="1"/>
  <c r="D17" i="12"/>
  <c r="J132" i="11" s="1"/>
  <c r="D18" i="12"/>
  <c r="J133" i="11" s="1"/>
  <c r="D19" i="12"/>
  <c r="J134" i="11" s="1"/>
  <c r="D20" i="12"/>
  <c r="J135" i="11" s="1"/>
  <c r="D21" i="12"/>
  <c r="D22" i="12"/>
  <c r="D23" i="12"/>
  <c r="D24" i="12"/>
  <c r="J139" i="11" s="1"/>
  <c r="D25" i="12"/>
  <c r="J140" i="11" s="1"/>
  <c r="D26" i="12"/>
  <c r="J141" i="11" s="1"/>
  <c r="D27" i="12"/>
  <c r="J142" i="11" s="1"/>
  <c r="D28" i="12"/>
  <c r="D29" i="12"/>
  <c r="D30" i="12"/>
  <c r="D31" i="12"/>
  <c r="D32" i="12"/>
  <c r="J147" i="11" s="1"/>
  <c r="D33" i="12"/>
  <c r="D34" i="12"/>
  <c r="J149" i="11" s="1"/>
  <c r="D35" i="12"/>
  <c r="J150" i="11" s="1"/>
  <c r="D36" i="12"/>
  <c r="D37" i="12"/>
  <c r="D38" i="12"/>
  <c r="D39" i="12"/>
  <c r="J154" i="11" s="1"/>
  <c r="D40" i="12"/>
  <c r="D41" i="12"/>
  <c r="D42" i="12"/>
  <c r="J157" i="11" s="1"/>
  <c r="D43" i="12"/>
  <c r="D44" i="12"/>
  <c r="D45" i="12"/>
  <c r="J160" i="11" s="1"/>
  <c r="D46" i="12"/>
  <c r="D47" i="12"/>
  <c r="J162" i="11" s="1"/>
  <c r="D48" i="12"/>
  <c r="D49" i="12"/>
  <c r="D50" i="12"/>
  <c r="J165" i="11" s="1"/>
  <c r="D51" i="12"/>
  <c r="D52" i="12"/>
  <c r="D53" i="12"/>
  <c r="D54" i="12"/>
  <c r="I6" i="12"/>
  <c r="G93" i="10" s="1"/>
  <c r="I7" i="12"/>
  <c r="G94" i="10" s="1"/>
  <c r="I8" i="12"/>
  <c r="G95" i="10" s="1"/>
  <c r="I9" i="12"/>
  <c r="G96" i="10" s="1"/>
  <c r="I10" i="12"/>
  <c r="G97" i="10" s="1"/>
  <c r="I11" i="12"/>
  <c r="G98" i="10" s="1"/>
  <c r="I12" i="12"/>
  <c r="G99" i="10" s="1"/>
  <c r="I13" i="12"/>
  <c r="G100" i="10" s="1"/>
  <c r="I14" i="12"/>
  <c r="G101" i="10" s="1"/>
  <c r="I15" i="12"/>
  <c r="G102" i="10" s="1"/>
  <c r="I16" i="12"/>
  <c r="G103" i="10" s="1"/>
  <c r="I17" i="12"/>
  <c r="G104" i="10" s="1"/>
  <c r="I18" i="12"/>
  <c r="G105" i="10" s="1"/>
  <c r="I19" i="12"/>
  <c r="G106" i="10" s="1"/>
  <c r="I20" i="12"/>
  <c r="G107" i="10" s="1"/>
  <c r="I21" i="12"/>
  <c r="G108" i="10" s="1"/>
  <c r="I22" i="12"/>
  <c r="G109" i="10" s="1"/>
  <c r="I23" i="12"/>
  <c r="G110" i="10" s="1"/>
  <c r="I24" i="12"/>
  <c r="G111" i="10" s="1"/>
  <c r="I25" i="12"/>
  <c r="G112" i="10" s="1"/>
  <c r="I26" i="12"/>
  <c r="G113" i="10" s="1"/>
  <c r="I27" i="12"/>
  <c r="G114" i="10" s="1"/>
  <c r="I28" i="12"/>
  <c r="G115" i="10" s="1"/>
  <c r="I29" i="12"/>
  <c r="G116" i="10" s="1"/>
  <c r="I30" i="12"/>
  <c r="G117" i="10" s="1"/>
  <c r="I31" i="12"/>
  <c r="G118" i="10" s="1"/>
  <c r="I32" i="12"/>
  <c r="G119" i="10" s="1"/>
  <c r="I33" i="12"/>
  <c r="G120" i="10" s="1"/>
  <c r="I34" i="12"/>
  <c r="G121" i="10" s="1"/>
  <c r="I35" i="12"/>
  <c r="G122" i="10" s="1"/>
  <c r="I36" i="12"/>
  <c r="G123" i="10" s="1"/>
  <c r="I37" i="12"/>
  <c r="G124" i="10" s="1"/>
  <c r="I38" i="12"/>
  <c r="G125" i="10" s="1"/>
  <c r="I39" i="12"/>
  <c r="G126" i="10" s="1"/>
  <c r="I40" i="12"/>
  <c r="G127" i="10" s="1"/>
  <c r="I41" i="12"/>
  <c r="G128" i="10" s="1"/>
  <c r="I42" i="12"/>
  <c r="G129" i="10" s="1"/>
  <c r="I43" i="12"/>
  <c r="G130" i="10" s="1"/>
  <c r="I44" i="12"/>
  <c r="G131" i="10" s="1"/>
  <c r="I45" i="12"/>
  <c r="G132" i="10" s="1"/>
  <c r="I46" i="12"/>
  <c r="G133" i="10" s="1"/>
  <c r="I47" i="12"/>
  <c r="G134" i="10" s="1"/>
  <c r="I48" i="12"/>
  <c r="G135" i="10" s="1"/>
  <c r="I49" i="12"/>
  <c r="G136" i="10" s="1"/>
  <c r="I50" i="12"/>
  <c r="G137" i="10" s="1"/>
  <c r="I51" i="12"/>
  <c r="G138" i="10" s="1"/>
  <c r="I52" i="12"/>
  <c r="G139" i="10" s="1"/>
  <c r="I53" i="12"/>
  <c r="G140" i="10" s="1"/>
  <c r="I54" i="12"/>
  <c r="G141" i="10" s="1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E115" i="26"/>
  <c r="E114" i="26"/>
  <c r="E113" i="26"/>
  <c r="E112" i="26"/>
  <c r="E111" i="26"/>
  <c r="E110" i="26"/>
  <c r="E109" i="26"/>
  <c r="E108" i="26"/>
  <c r="E107" i="26"/>
  <c r="E106" i="26"/>
  <c r="E105" i="26"/>
  <c r="E104" i="26"/>
  <c r="E103" i="26"/>
  <c r="E102" i="26"/>
  <c r="E101" i="26"/>
  <c r="E100" i="26"/>
  <c r="E99" i="26"/>
  <c r="E98" i="26"/>
  <c r="E97" i="26"/>
  <c r="E96" i="26"/>
  <c r="E95" i="26"/>
  <c r="E94" i="26"/>
  <c r="E93" i="26"/>
  <c r="E92" i="26"/>
  <c r="E91" i="26"/>
  <c r="E90" i="26"/>
  <c r="E89" i="26"/>
  <c r="E88" i="26"/>
  <c r="E87" i="26"/>
  <c r="E86" i="26"/>
  <c r="E85" i="26"/>
  <c r="E84" i="26"/>
  <c r="E83" i="26"/>
  <c r="E82" i="26"/>
  <c r="E81" i="26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H2522" i="20" l="1"/>
  <c r="H2523" i="20" s="1"/>
  <c r="H2422" i="20"/>
  <c r="H2423" i="20" s="1"/>
  <c r="H2322" i="20"/>
  <c r="H2323" i="20" s="1"/>
  <c r="H2622" i="20"/>
  <c r="H2623" i="20" s="1"/>
  <c r="H2526" i="20"/>
  <c r="H2527" i="20" s="1"/>
  <c r="H2426" i="20"/>
  <c r="H2427" i="20" s="1"/>
  <c r="H2626" i="20"/>
  <c r="H2627" i="20" s="1"/>
  <c r="H2326" i="20"/>
  <c r="H2327" i="20" s="1"/>
  <c r="H2534" i="20"/>
  <c r="H2535" i="20" s="1"/>
  <c r="H2434" i="20"/>
  <c r="H2435" i="20" s="1"/>
  <c r="H2634" i="20"/>
  <c r="H2635" i="20" s="1"/>
  <c r="H2334" i="20"/>
  <c r="H2335" i="20" s="1"/>
  <c r="H2542" i="20"/>
  <c r="H2543" i="20" s="1"/>
  <c r="H2442" i="20"/>
  <c r="H2443" i="20" s="1"/>
  <c r="H2642" i="20"/>
  <c r="H2643" i="20" s="1"/>
  <c r="H2342" i="20"/>
  <c r="H2343" i="20" s="1"/>
  <c r="H2546" i="20"/>
  <c r="H2547" i="20" s="1"/>
  <c r="H2446" i="20"/>
  <c r="H2447" i="20" s="1"/>
  <c r="H2346" i="20"/>
  <c r="H2347" i="20" s="1"/>
  <c r="H2646" i="20"/>
  <c r="H2647" i="20" s="1"/>
  <c r="H2554" i="20"/>
  <c r="H2555" i="20" s="1"/>
  <c r="H2454" i="20"/>
  <c r="H2455" i="20" s="1"/>
  <c r="H2354" i="20"/>
  <c r="H2355" i="20" s="1"/>
  <c r="H2654" i="20"/>
  <c r="H2655" i="20" s="1"/>
  <c r="H2562" i="20"/>
  <c r="H2563" i="20" s="1"/>
  <c r="H2462" i="20"/>
  <c r="H2463" i="20" s="1"/>
  <c r="H2362" i="20"/>
  <c r="H2363" i="20" s="1"/>
  <c r="H2662" i="20"/>
  <c r="H2663" i="20" s="1"/>
  <c r="H2570" i="20"/>
  <c r="H2571" i="20" s="1"/>
  <c r="H2470" i="20"/>
  <c r="H2471" i="20" s="1"/>
  <c r="H2370" i="20"/>
  <c r="H2371" i="20" s="1"/>
  <c r="H2670" i="20"/>
  <c r="H2671" i="20" s="1"/>
  <c r="H2578" i="20"/>
  <c r="H2579" i="20" s="1"/>
  <c r="H2478" i="20"/>
  <c r="H2479" i="20" s="1"/>
  <c r="H2378" i="20"/>
  <c r="H2379" i="20" s="1"/>
  <c r="H2678" i="20"/>
  <c r="H2679" i="20" s="1"/>
  <c r="H2586" i="20"/>
  <c r="H2587" i="20" s="1"/>
  <c r="H2486" i="20"/>
  <c r="H2487" i="20" s="1"/>
  <c r="H2386" i="20"/>
  <c r="H2387" i="20" s="1"/>
  <c r="H2686" i="20"/>
  <c r="H2687" i="20" s="1"/>
  <c r="H2594" i="20"/>
  <c r="H2595" i="20" s="1"/>
  <c r="H2494" i="20"/>
  <c r="H2495" i="20" s="1"/>
  <c r="H2394" i="20"/>
  <c r="H2395" i="20" s="1"/>
  <c r="H2694" i="20"/>
  <c r="H2695" i="20" s="1"/>
  <c r="H2602" i="20"/>
  <c r="H2603" i="20" s="1"/>
  <c r="H2502" i="20"/>
  <c r="H2503" i="20" s="1"/>
  <c r="H2402" i="20"/>
  <c r="H2403" i="20" s="1"/>
  <c r="H2702" i="20"/>
  <c r="H2703" i="20" s="1"/>
  <c r="H2606" i="20"/>
  <c r="H2607" i="20" s="1"/>
  <c r="H2706" i="20"/>
  <c r="H2707" i="20" s="1"/>
  <c r="H2506" i="20"/>
  <c r="H2507" i="20" s="1"/>
  <c r="H2406" i="20"/>
  <c r="H2407" i="20" s="1"/>
  <c r="H2614" i="20"/>
  <c r="H2615" i="20" s="1"/>
  <c r="H2514" i="20"/>
  <c r="H2515" i="20" s="1"/>
  <c r="H2714" i="20"/>
  <c r="H2715" i="20" s="1"/>
  <c r="H2414" i="20"/>
  <c r="H2415" i="20" s="1"/>
  <c r="H2530" i="20"/>
  <c r="H2531" i="20" s="1"/>
  <c r="H2430" i="20"/>
  <c r="H2431" i="20" s="1"/>
  <c r="H2330" i="20"/>
  <c r="H2331" i="20" s="1"/>
  <c r="H2630" i="20"/>
  <c r="H2631" i="20" s="1"/>
  <c r="H2538" i="20"/>
  <c r="H2539" i="20" s="1"/>
  <c r="H2438" i="20"/>
  <c r="H2439" i="20" s="1"/>
  <c r="H2338" i="20"/>
  <c r="H2339" i="20" s="1"/>
  <c r="H2638" i="20"/>
  <c r="H2639" i="20" s="1"/>
  <c r="H2550" i="20"/>
  <c r="H2551" i="20" s="1"/>
  <c r="H2450" i="20"/>
  <c r="H2451" i="20" s="1"/>
  <c r="H2650" i="20"/>
  <c r="H2651" i="20" s="1"/>
  <c r="H2350" i="20"/>
  <c r="H2351" i="20" s="1"/>
  <c r="H2558" i="20"/>
  <c r="H2559" i="20" s="1"/>
  <c r="H2458" i="20"/>
  <c r="H2459" i="20" s="1"/>
  <c r="H2658" i="20"/>
  <c r="H2659" i="20" s="1"/>
  <c r="H2358" i="20"/>
  <c r="H2359" i="20" s="1"/>
  <c r="H2566" i="20"/>
  <c r="H2567" i="20" s="1"/>
  <c r="H2466" i="20"/>
  <c r="H2467" i="20" s="1"/>
  <c r="H2666" i="20"/>
  <c r="H2667" i="20" s="1"/>
  <c r="H2366" i="20"/>
  <c r="H2367" i="20" s="1"/>
  <c r="H2574" i="20"/>
  <c r="H2575" i="20" s="1"/>
  <c r="H2474" i="20"/>
  <c r="H2475" i="20" s="1"/>
  <c r="H2674" i="20"/>
  <c r="H2675" i="20" s="1"/>
  <c r="H2374" i="20"/>
  <c r="H2375" i="20" s="1"/>
  <c r="H2582" i="20"/>
  <c r="H2583" i="20" s="1"/>
  <c r="H2682" i="20"/>
  <c r="H2683" i="20" s="1"/>
  <c r="H2482" i="20"/>
  <c r="H2483" i="20" s="1"/>
  <c r="H2382" i="20"/>
  <c r="H2383" i="20" s="1"/>
  <c r="H2590" i="20"/>
  <c r="H2591" i="20" s="1"/>
  <c r="H2690" i="20"/>
  <c r="H2691" i="20" s="1"/>
  <c r="H2490" i="20"/>
  <c r="H2491" i="20" s="1"/>
  <c r="H2390" i="20"/>
  <c r="H2391" i="20" s="1"/>
  <c r="H2598" i="20"/>
  <c r="H2599" i="20" s="1"/>
  <c r="H2698" i="20"/>
  <c r="H2699" i="20" s="1"/>
  <c r="H2498" i="20"/>
  <c r="H2499" i="20" s="1"/>
  <c r="H2398" i="20"/>
  <c r="H2399" i="20" s="1"/>
  <c r="H2610" i="20"/>
  <c r="H2611" i="20" s="1"/>
  <c r="H2510" i="20"/>
  <c r="H2511" i="20" s="1"/>
  <c r="H2710" i="20"/>
  <c r="H2711" i="20" s="1"/>
  <c r="H2410" i="20"/>
  <c r="H2411" i="20" s="1"/>
  <c r="H2618" i="20"/>
  <c r="H2619" i="20" s="1"/>
  <c r="H2518" i="20"/>
  <c r="H2519" i="20" s="1"/>
  <c r="H2718" i="20"/>
  <c r="H2719" i="20" s="1"/>
  <c r="H2418" i="20"/>
  <c r="H2419" i="20" s="1"/>
  <c r="H2524" i="20"/>
  <c r="H2525" i="20" s="1"/>
  <c r="H2324" i="20"/>
  <c r="H2325" i="20" s="1"/>
  <c r="H2424" i="20"/>
  <c r="H2425" i="20" s="1"/>
  <c r="H2624" i="20"/>
  <c r="H2625" i="20" s="1"/>
  <c r="H2328" i="20"/>
  <c r="H2329" i="20" s="1"/>
  <c r="H2528" i="20"/>
  <c r="H2529" i="20" s="1"/>
  <c r="H2428" i="20"/>
  <c r="H2429" i="20" s="1"/>
  <c r="H2628" i="20"/>
  <c r="H2629" i="20" s="1"/>
  <c r="H2532" i="20"/>
  <c r="H2533" i="20" s="1"/>
  <c r="H2332" i="20"/>
  <c r="H2333" i="20" s="1"/>
  <c r="H2432" i="20"/>
  <c r="H2433" i="20" s="1"/>
  <c r="H2632" i="20"/>
  <c r="H2633" i="20" s="1"/>
  <c r="H2336" i="20"/>
  <c r="H2337" i="20" s="1"/>
  <c r="H2536" i="20"/>
  <c r="H2537" i="20" s="1"/>
  <c r="H2436" i="20"/>
  <c r="H2437" i="20" s="1"/>
  <c r="H2636" i="20"/>
  <c r="H2637" i="20" s="1"/>
  <c r="H2540" i="20"/>
  <c r="H2541" i="20" s="1"/>
  <c r="H2340" i="20"/>
  <c r="H2341" i="20" s="1"/>
  <c r="H2440" i="20"/>
  <c r="H2441" i="20" s="1"/>
  <c r="H2640" i="20"/>
  <c r="H2641" i="20" s="1"/>
  <c r="H2344" i="20"/>
  <c r="H2345" i="20" s="1"/>
  <c r="H2544" i="20"/>
  <c r="H2545" i="20" s="1"/>
  <c r="H2444" i="20"/>
  <c r="H2445" i="20" s="1"/>
  <c r="H2644" i="20"/>
  <c r="H2645" i="20" s="1"/>
  <c r="H2548" i="20"/>
  <c r="H2549" i="20" s="1"/>
  <c r="H2348" i="20"/>
  <c r="H2349" i="20" s="1"/>
  <c r="H2448" i="20"/>
  <c r="H2449" i="20" s="1"/>
  <c r="H2648" i="20"/>
  <c r="H2649" i="20" s="1"/>
  <c r="H2352" i="20"/>
  <c r="H2353" i="20" s="1"/>
  <c r="H2552" i="20"/>
  <c r="H2553" i="20" s="1"/>
  <c r="H2452" i="20"/>
  <c r="H2453" i="20" s="1"/>
  <c r="H2652" i="20"/>
  <c r="H2653" i="20" s="1"/>
  <c r="H2556" i="20"/>
  <c r="H2557" i="20" s="1"/>
  <c r="H2356" i="20"/>
  <c r="H2357" i="20" s="1"/>
  <c r="H2456" i="20"/>
  <c r="H2457" i="20" s="1"/>
  <c r="H2656" i="20"/>
  <c r="H2657" i="20" s="1"/>
  <c r="H2360" i="20"/>
  <c r="H2361" i="20" s="1"/>
  <c r="H2560" i="20"/>
  <c r="H2561" i="20" s="1"/>
  <c r="H2460" i="20"/>
  <c r="H2461" i="20" s="1"/>
  <c r="H2660" i="20"/>
  <c r="H2661" i="20" s="1"/>
  <c r="H2564" i="20"/>
  <c r="H2565" i="20" s="1"/>
  <c r="H2364" i="20"/>
  <c r="H2365" i="20" s="1"/>
  <c r="H2464" i="20"/>
  <c r="H2465" i="20" s="1"/>
  <c r="H2664" i="20"/>
  <c r="H2665" i="20" s="1"/>
  <c r="H2368" i="20"/>
  <c r="H2369" i="20" s="1"/>
  <c r="H2568" i="20"/>
  <c r="H2569" i="20" s="1"/>
  <c r="H2468" i="20"/>
  <c r="H2469" i="20" s="1"/>
  <c r="H2668" i="20"/>
  <c r="H2669" i="20" s="1"/>
  <c r="H2572" i="20"/>
  <c r="H2573" i="20" s="1"/>
  <c r="H2372" i="20"/>
  <c r="H2373" i="20" s="1"/>
  <c r="H2472" i="20"/>
  <c r="H2473" i="20" s="1"/>
  <c r="H2672" i="20"/>
  <c r="H2673" i="20" s="1"/>
  <c r="H2376" i="20"/>
  <c r="H2377" i="20" s="1"/>
  <c r="H2576" i="20"/>
  <c r="H2577" i="20" s="1"/>
  <c r="H2476" i="20"/>
  <c r="H2477" i="20" s="1"/>
  <c r="H2676" i="20"/>
  <c r="H2677" i="20" s="1"/>
  <c r="H2580" i="20"/>
  <c r="H2581" i="20" s="1"/>
  <c r="H2480" i="20"/>
  <c r="H2481" i="20" s="1"/>
  <c r="H2380" i="20"/>
  <c r="H2381" i="20" s="1"/>
  <c r="H2680" i="20"/>
  <c r="H2681" i="20" s="1"/>
  <c r="H2484" i="20"/>
  <c r="H2485" i="20" s="1"/>
  <c r="H2384" i="20"/>
  <c r="H2385" i="20" s="1"/>
  <c r="H2584" i="20"/>
  <c r="H2585" i="20" s="1"/>
  <c r="H2684" i="20"/>
  <c r="H2685" i="20" s="1"/>
  <c r="H2588" i="20"/>
  <c r="H2589" i="20" s="1"/>
  <c r="H2488" i="20"/>
  <c r="H2489" i="20" s="1"/>
  <c r="H2388" i="20"/>
  <c r="H2389" i="20" s="1"/>
  <c r="H2688" i="20"/>
  <c r="H2689" i="20" s="1"/>
  <c r="H2492" i="20"/>
  <c r="H2493" i="20" s="1"/>
  <c r="H2392" i="20"/>
  <c r="H2393" i="20" s="1"/>
  <c r="H2592" i="20"/>
  <c r="H2593" i="20" s="1"/>
  <c r="H2692" i="20"/>
  <c r="H2693" i="20" s="1"/>
  <c r="H2596" i="20"/>
  <c r="H2597" i="20" s="1"/>
  <c r="H2496" i="20"/>
  <c r="H2497" i="20" s="1"/>
  <c r="H2396" i="20"/>
  <c r="H2397" i="20" s="1"/>
  <c r="H2696" i="20"/>
  <c r="H2697" i="20" s="1"/>
  <c r="H2500" i="20"/>
  <c r="H2501" i="20" s="1"/>
  <c r="H2400" i="20"/>
  <c r="H2401" i="20" s="1"/>
  <c r="H2600" i="20"/>
  <c r="H2601" i="20" s="1"/>
  <c r="H2700" i="20"/>
  <c r="H2701" i="20" s="1"/>
  <c r="H2604" i="20"/>
  <c r="H2605" i="20" s="1"/>
  <c r="H2504" i="20"/>
  <c r="H2505" i="20" s="1"/>
  <c r="H2404" i="20"/>
  <c r="H2405" i="20" s="1"/>
  <c r="H2704" i="20"/>
  <c r="H2705" i="20" s="1"/>
  <c r="H2508" i="20"/>
  <c r="H2509" i="20" s="1"/>
  <c r="H2608" i="20"/>
  <c r="H2609" i="20" s="1"/>
  <c r="H2408" i="20"/>
  <c r="H2409" i="20" s="1"/>
  <c r="H2708" i="20"/>
  <c r="H2709" i="20" s="1"/>
  <c r="H2612" i="20"/>
  <c r="H2613" i="20" s="1"/>
  <c r="H2512" i="20"/>
  <c r="H2513" i="20" s="1"/>
  <c r="H2412" i="20"/>
  <c r="H2413" i="20" s="1"/>
  <c r="H2712" i="20"/>
  <c r="H2713" i="20" s="1"/>
  <c r="H2516" i="20"/>
  <c r="H2517" i="20" s="1"/>
  <c r="H2416" i="20"/>
  <c r="H2417" i="20" s="1"/>
  <c r="H2616" i="20"/>
  <c r="H2617" i="20" s="1"/>
  <c r="H2716" i="20"/>
  <c r="H2717" i="20" s="1"/>
  <c r="H2620" i="20"/>
  <c r="H2621" i="20" s="1"/>
  <c r="H2420" i="20"/>
  <c r="H2421" i="20" s="1"/>
  <c r="H2520" i="20"/>
  <c r="H2521" i="20" s="1"/>
  <c r="H2720" i="20"/>
  <c r="H2721" i="20" s="1"/>
  <c r="J1144" i="20"/>
  <c r="J1145" i="20" s="1"/>
  <c r="J453" i="11"/>
  <c r="J653" i="11"/>
  <c r="J553" i="11"/>
  <c r="J753" i="11"/>
  <c r="J477" i="11"/>
  <c r="J677" i="11"/>
  <c r="J577" i="11"/>
  <c r="J777" i="11"/>
  <c r="J440" i="11"/>
  <c r="J640" i="11"/>
  <c r="J540" i="11"/>
  <c r="J740" i="11"/>
  <c r="J448" i="11"/>
  <c r="J648" i="11"/>
  <c r="J548" i="11"/>
  <c r="J748" i="11"/>
  <c r="J664" i="11"/>
  <c r="J464" i="11"/>
  <c r="J564" i="11"/>
  <c r="J764" i="11"/>
  <c r="J533" i="11"/>
  <c r="J733" i="11"/>
  <c r="J433" i="11"/>
  <c r="J633" i="11"/>
  <c r="J541" i="11"/>
  <c r="J741" i="11"/>
  <c r="J441" i="11"/>
  <c r="J641" i="11"/>
  <c r="J549" i="11"/>
  <c r="J749" i="11"/>
  <c r="J449" i="11"/>
  <c r="J649" i="11"/>
  <c r="J557" i="11"/>
  <c r="J757" i="11"/>
  <c r="J457" i="11"/>
  <c r="J657" i="11"/>
  <c r="J565" i="11"/>
  <c r="J765" i="11"/>
  <c r="J665" i="11"/>
  <c r="J465" i="11"/>
  <c r="J573" i="11"/>
  <c r="J773" i="11"/>
  <c r="J673" i="11"/>
  <c r="J473" i="11"/>
  <c r="G263" i="18"/>
  <c r="J163" i="11"/>
  <c r="G255" i="18"/>
  <c r="J155" i="11"/>
  <c r="B36" i="17"/>
  <c r="J123" i="11"/>
  <c r="B99" i="17"/>
  <c r="J236" i="11"/>
  <c r="B91" i="17"/>
  <c r="J228" i="11"/>
  <c r="B267" i="17"/>
  <c r="J290" i="11"/>
  <c r="B259" i="17"/>
  <c r="J282" i="11"/>
  <c r="B251" i="17"/>
  <c r="J274" i="11"/>
  <c r="J751" i="11"/>
  <c r="J451" i="11"/>
  <c r="J651" i="11"/>
  <c r="J551" i="11"/>
  <c r="J544" i="11"/>
  <c r="J744" i="11"/>
  <c r="J444" i="11"/>
  <c r="J644" i="11"/>
  <c r="J560" i="11"/>
  <c r="J760" i="11"/>
  <c r="J460" i="11"/>
  <c r="J660" i="11"/>
  <c r="J576" i="11"/>
  <c r="J776" i="11"/>
  <c r="J476" i="11"/>
  <c r="J676" i="11"/>
  <c r="J634" i="11"/>
  <c r="J534" i="11"/>
  <c r="J734" i="11"/>
  <c r="J434" i="11"/>
  <c r="J642" i="11"/>
  <c r="J542" i="11"/>
  <c r="J742" i="11"/>
  <c r="J442" i="11"/>
  <c r="J650" i="11"/>
  <c r="J550" i="11"/>
  <c r="J750" i="11"/>
  <c r="J450" i="11"/>
  <c r="J658" i="11"/>
  <c r="J558" i="11"/>
  <c r="J758" i="11"/>
  <c r="J458" i="11"/>
  <c r="J666" i="11"/>
  <c r="J466" i="11"/>
  <c r="J566" i="11"/>
  <c r="J766" i="11"/>
  <c r="J674" i="11"/>
  <c r="J474" i="11"/>
  <c r="J574" i="11"/>
  <c r="J774" i="11"/>
  <c r="G246" i="18"/>
  <c r="J146" i="11"/>
  <c r="B51" i="17"/>
  <c r="J138" i="11"/>
  <c r="B35" i="17"/>
  <c r="J122" i="11"/>
  <c r="B98" i="17"/>
  <c r="J235" i="11"/>
  <c r="B90" i="17"/>
  <c r="J227" i="11"/>
  <c r="B266" i="17"/>
  <c r="J289" i="11"/>
  <c r="B258" i="17"/>
  <c r="J281" i="11"/>
  <c r="B250" i="17"/>
  <c r="J273" i="11"/>
  <c r="J735" i="11"/>
  <c r="J435" i="11"/>
  <c r="J635" i="11"/>
  <c r="J535" i="11"/>
  <c r="G269" i="18"/>
  <c r="J169" i="11"/>
  <c r="G261" i="18"/>
  <c r="J161" i="11"/>
  <c r="G253" i="18"/>
  <c r="J153" i="11"/>
  <c r="G245" i="18"/>
  <c r="J145" i="11"/>
  <c r="B50" i="17"/>
  <c r="J137" i="11"/>
  <c r="B34" i="17"/>
  <c r="J121" i="11"/>
  <c r="B97" i="17"/>
  <c r="J234" i="11"/>
  <c r="B89" i="17"/>
  <c r="J226" i="11"/>
  <c r="B265" i="17"/>
  <c r="J288" i="11"/>
  <c r="B257" i="17"/>
  <c r="J280" i="11"/>
  <c r="B249" i="17"/>
  <c r="J272" i="11"/>
  <c r="J759" i="11"/>
  <c r="J459" i="11"/>
  <c r="J659" i="11"/>
  <c r="J559" i="11"/>
  <c r="G268" i="18"/>
  <c r="J168" i="11"/>
  <c r="G252" i="18"/>
  <c r="J152" i="11"/>
  <c r="G244" i="18"/>
  <c r="J144" i="11"/>
  <c r="B49" i="17"/>
  <c r="J136" i="11"/>
  <c r="B41" i="17"/>
  <c r="J128" i="11"/>
  <c r="B88" i="17"/>
  <c r="J225" i="11"/>
  <c r="B264" i="17"/>
  <c r="J287" i="11"/>
  <c r="B256" i="17"/>
  <c r="J279" i="11"/>
  <c r="B248" i="17"/>
  <c r="J271" i="11"/>
  <c r="J743" i="11"/>
  <c r="J443" i="11"/>
  <c r="J643" i="11"/>
  <c r="J543" i="11"/>
  <c r="J437" i="11"/>
  <c r="J637" i="11"/>
  <c r="J537" i="11"/>
  <c r="J737" i="11"/>
  <c r="J669" i="11"/>
  <c r="J469" i="11"/>
  <c r="J569" i="11"/>
  <c r="J769" i="11"/>
  <c r="G267" i="18"/>
  <c r="J167" i="11"/>
  <c r="G259" i="18"/>
  <c r="J159" i="11"/>
  <c r="G251" i="18"/>
  <c r="J151" i="11"/>
  <c r="G243" i="18"/>
  <c r="J143" i="11"/>
  <c r="B40" i="17"/>
  <c r="J127" i="11"/>
  <c r="B103" i="17"/>
  <c r="J240" i="11"/>
  <c r="B95" i="17"/>
  <c r="J232" i="11"/>
  <c r="B87" i="17"/>
  <c r="J224" i="11"/>
  <c r="B263" i="17"/>
  <c r="J286" i="11"/>
  <c r="B255" i="17"/>
  <c r="J278" i="11"/>
  <c r="J738" i="11"/>
  <c r="J438" i="11"/>
  <c r="J638" i="11"/>
  <c r="J538" i="11"/>
  <c r="J746" i="11"/>
  <c r="J446" i="11"/>
  <c r="J646" i="11"/>
  <c r="J546" i="11"/>
  <c r="J754" i="11"/>
  <c r="J454" i="11"/>
  <c r="J654" i="11"/>
  <c r="J554" i="11"/>
  <c r="J762" i="11"/>
  <c r="J462" i="11"/>
  <c r="J662" i="11"/>
  <c r="J562" i="11"/>
  <c r="J770" i="11"/>
  <c r="J670" i="11"/>
  <c r="J470" i="11"/>
  <c r="J570" i="11"/>
  <c r="J778" i="11"/>
  <c r="J578" i="11"/>
  <c r="J478" i="11"/>
  <c r="J678" i="11"/>
  <c r="G266" i="18"/>
  <c r="J166" i="11"/>
  <c r="G258" i="18"/>
  <c r="J158" i="11"/>
  <c r="B102" i="17"/>
  <c r="J239" i="11"/>
  <c r="B94" i="17"/>
  <c r="J231" i="11"/>
  <c r="B86" i="17"/>
  <c r="J223" i="11"/>
  <c r="B262" i="17"/>
  <c r="J285" i="11"/>
  <c r="B254" i="17"/>
  <c r="J277" i="11"/>
  <c r="J775" i="11"/>
  <c r="J675" i="11"/>
  <c r="J475" i="11"/>
  <c r="J575" i="11"/>
  <c r="J536" i="11"/>
  <c r="J736" i="11"/>
  <c r="J436" i="11"/>
  <c r="J636" i="11"/>
  <c r="J552" i="11"/>
  <c r="J752" i="11"/>
  <c r="J452" i="11"/>
  <c r="J652" i="11"/>
  <c r="J568" i="11"/>
  <c r="J768" i="11"/>
  <c r="J668" i="11"/>
  <c r="J468" i="11"/>
  <c r="J639" i="11"/>
  <c r="J539" i="11"/>
  <c r="J739" i="11"/>
  <c r="J439" i="11"/>
  <c r="J647" i="11"/>
  <c r="J547" i="11"/>
  <c r="J747" i="11"/>
  <c r="J447" i="11"/>
  <c r="J655" i="11"/>
  <c r="J555" i="11"/>
  <c r="J755" i="11"/>
  <c r="J455" i="11"/>
  <c r="J663" i="11"/>
  <c r="J463" i="11"/>
  <c r="J563" i="11"/>
  <c r="J763" i="11"/>
  <c r="J671" i="11"/>
  <c r="J471" i="11"/>
  <c r="J571" i="11"/>
  <c r="J771" i="11"/>
  <c r="B101" i="17"/>
  <c r="J238" i="11"/>
  <c r="B93" i="17"/>
  <c r="J230" i="11"/>
  <c r="B85" i="17"/>
  <c r="J222" i="11"/>
  <c r="B261" i="17"/>
  <c r="J284" i="11"/>
  <c r="B253" i="17"/>
  <c r="J276" i="11"/>
  <c r="J767" i="11"/>
  <c r="J667" i="11"/>
  <c r="J467" i="11"/>
  <c r="J567" i="11"/>
  <c r="J445" i="11"/>
  <c r="J645" i="11"/>
  <c r="J545" i="11"/>
  <c r="J745" i="11"/>
  <c r="J461" i="11"/>
  <c r="J661" i="11"/>
  <c r="J561" i="11"/>
  <c r="J761" i="11"/>
  <c r="J432" i="11"/>
  <c r="J632" i="11"/>
  <c r="J532" i="11"/>
  <c r="J732" i="11"/>
  <c r="J456" i="11"/>
  <c r="J656" i="11"/>
  <c r="J556" i="11"/>
  <c r="J756" i="11"/>
  <c r="J672" i="11"/>
  <c r="J472" i="11"/>
  <c r="J572" i="11"/>
  <c r="J772" i="11"/>
  <c r="G264" i="18"/>
  <c r="J164" i="11"/>
  <c r="G256" i="18"/>
  <c r="J156" i="11"/>
  <c r="G248" i="18"/>
  <c r="J148" i="11"/>
  <c r="B100" i="17"/>
  <c r="J237" i="11"/>
  <c r="B92" i="17"/>
  <c r="J229" i="11"/>
  <c r="B84" i="17"/>
  <c r="J221" i="11"/>
  <c r="B260" i="17"/>
  <c r="J283" i="11"/>
  <c r="B252" i="17"/>
  <c r="J275" i="11"/>
  <c r="J731" i="11"/>
  <c r="J531" i="11"/>
  <c r="J631" i="11"/>
  <c r="J431" i="11"/>
  <c r="J630" i="11"/>
  <c r="J430" i="11"/>
  <c r="J730" i="11"/>
  <c r="J530" i="11"/>
  <c r="J479" i="11"/>
  <c r="J579" i="11"/>
  <c r="J779" i="11"/>
  <c r="J679" i="11"/>
  <c r="AM85" i="14"/>
  <c r="AM81" i="14"/>
  <c r="AM77" i="14"/>
  <c r="G359" i="10"/>
  <c r="D359" i="10"/>
  <c r="G349" i="10"/>
  <c r="D349" i="10"/>
  <c r="G345" i="10"/>
  <c r="D345" i="10"/>
  <c r="G343" i="10"/>
  <c r="D343" i="10"/>
  <c r="G360" i="10"/>
  <c r="D360" i="10"/>
  <c r="G350" i="10"/>
  <c r="D350" i="10"/>
  <c r="G344" i="10"/>
  <c r="D344" i="10"/>
  <c r="G310" i="10"/>
  <c r="D310" i="10"/>
  <c r="R23" i="14"/>
  <c r="S23" i="14" s="1"/>
  <c r="R11" i="14"/>
  <c r="S11" i="14" s="1"/>
  <c r="G297" i="10"/>
  <c r="D297" i="10"/>
  <c r="T23" i="14"/>
  <c r="U23" i="14" s="1"/>
  <c r="G259" i="10"/>
  <c r="D259" i="10"/>
  <c r="G262" i="10"/>
  <c r="D262" i="10"/>
  <c r="G250" i="10"/>
  <c r="D250" i="10"/>
  <c r="G248" i="10"/>
  <c r="D248" i="10"/>
  <c r="G246" i="10"/>
  <c r="D246" i="10"/>
  <c r="G244" i="10"/>
  <c r="D244" i="10"/>
  <c r="J11" i="14"/>
  <c r="K11" i="14" s="1"/>
  <c r="L7" i="14"/>
  <c r="M7" i="14" s="1"/>
  <c r="AB82" i="14"/>
  <c r="AC82" i="14" s="1"/>
  <c r="AB71" i="14"/>
  <c r="AC71" i="14" s="1"/>
  <c r="AB69" i="14"/>
  <c r="AC69" i="14" s="1"/>
  <c r="AO79" i="14"/>
  <c r="T85" i="14"/>
  <c r="U85" i="14" s="1"/>
  <c r="T83" i="14"/>
  <c r="U83" i="14" s="1"/>
  <c r="T81" i="14"/>
  <c r="U81" i="14" s="1"/>
  <c r="T79" i="14"/>
  <c r="U79" i="14" s="1"/>
  <c r="T77" i="14"/>
  <c r="U77" i="14" s="1"/>
  <c r="T75" i="14"/>
  <c r="U75" i="14" s="1"/>
  <c r="T73" i="14"/>
  <c r="U73" i="14" s="1"/>
  <c r="T71" i="14"/>
  <c r="U71" i="14" s="1"/>
  <c r="T69" i="14"/>
  <c r="U69" i="14" s="1"/>
  <c r="T67" i="14"/>
  <c r="U67" i="14" s="1"/>
  <c r="AX67" i="14"/>
  <c r="AN78" i="14"/>
  <c r="J80" i="14"/>
  <c r="K80" i="14" s="1"/>
  <c r="AF80" i="14" s="1"/>
  <c r="J76" i="14"/>
  <c r="K76" i="14" s="1"/>
  <c r="AX71" i="14"/>
  <c r="G487" i="19"/>
  <c r="H487" i="19"/>
  <c r="G485" i="19"/>
  <c r="H485" i="19"/>
  <c r="G483" i="19"/>
  <c r="H483" i="19"/>
  <c r="G481" i="19"/>
  <c r="H481" i="19"/>
  <c r="G479" i="19"/>
  <c r="H479" i="19"/>
  <c r="G477" i="19"/>
  <c r="H477" i="19"/>
  <c r="G475" i="19"/>
  <c r="H475" i="19"/>
  <c r="G473" i="19"/>
  <c r="H473" i="19"/>
  <c r="G471" i="19"/>
  <c r="H471" i="19"/>
  <c r="G469" i="19"/>
  <c r="H469" i="19"/>
  <c r="G467" i="19"/>
  <c r="H467" i="19"/>
  <c r="G465" i="19"/>
  <c r="H465" i="19"/>
  <c r="G463" i="19"/>
  <c r="H463" i="19"/>
  <c r="G461" i="19"/>
  <c r="H461" i="19"/>
  <c r="H488" i="19"/>
  <c r="G488" i="19"/>
  <c r="H486" i="19"/>
  <c r="G486" i="19"/>
  <c r="H484" i="19"/>
  <c r="G484" i="19"/>
  <c r="H482" i="19"/>
  <c r="G482" i="19"/>
  <c r="H480" i="19"/>
  <c r="G480" i="19"/>
  <c r="H478" i="19"/>
  <c r="G478" i="19"/>
  <c r="H476" i="19"/>
  <c r="G476" i="19"/>
  <c r="H474" i="19"/>
  <c r="G474" i="19"/>
  <c r="H472" i="19"/>
  <c r="G472" i="19"/>
  <c r="H470" i="19"/>
  <c r="G470" i="19"/>
  <c r="H468" i="19"/>
  <c r="G468" i="19"/>
  <c r="H466" i="19"/>
  <c r="G466" i="19"/>
  <c r="H464" i="19"/>
  <c r="G464" i="19"/>
  <c r="H462" i="19"/>
  <c r="G462" i="19"/>
  <c r="H460" i="19"/>
  <c r="G460" i="19"/>
  <c r="G459" i="19"/>
  <c r="H459" i="19"/>
  <c r="G457" i="19"/>
  <c r="H457" i="19"/>
  <c r="G455" i="19"/>
  <c r="H455" i="19"/>
  <c r="G453" i="19"/>
  <c r="H453" i="19"/>
  <c r="G451" i="19"/>
  <c r="H451" i="19"/>
  <c r="G449" i="19"/>
  <c r="H449" i="19"/>
  <c r="G447" i="19"/>
  <c r="H447" i="19"/>
  <c r="G445" i="19"/>
  <c r="H445" i="19"/>
  <c r="G443" i="19"/>
  <c r="H443" i="19"/>
  <c r="G441" i="19"/>
  <c r="H441" i="19"/>
  <c r="H405" i="19"/>
  <c r="H514" i="19"/>
  <c r="H288" i="19"/>
  <c r="H397" i="19"/>
  <c r="H506" i="19"/>
  <c r="H286" i="19"/>
  <c r="H395" i="19"/>
  <c r="H504" i="19"/>
  <c r="H503" i="19"/>
  <c r="H285" i="19"/>
  <c r="H394" i="19"/>
  <c r="H283" i="19"/>
  <c r="H392" i="19"/>
  <c r="H391" i="19"/>
  <c r="H500" i="19"/>
  <c r="H498" i="19"/>
  <c r="H389" i="19"/>
  <c r="H279" i="19"/>
  <c r="H388" i="19"/>
  <c r="AP84" i="14"/>
  <c r="F458" i="19"/>
  <c r="H456" i="19"/>
  <c r="G456" i="19"/>
  <c r="AP80" i="14"/>
  <c r="F454" i="19"/>
  <c r="AP78" i="14"/>
  <c r="F452" i="19"/>
  <c r="H450" i="19"/>
  <c r="G450" i="19"/>
  <c r="H448" i="19"/>
  <c r="G448" i="19"/>
  <c r="H446" i="19"/>
  <c r="G446" i="19"/>
  <c r="H444" i="19"/>
  <c r="G444" i="19"/>
  <c r="H442" i="19"/>
  <c r="G442" i="19"/>
  <c r="H440" i="19"/>
  <c r="G440" i="19"/>
  <c r="H404" i="19"/>
  <c r="H513" i="19"/>
  <c r="H295" i="19"/>
  <c r="H292" i="19"/>
  <c r="H401" i="19"/>
  <c r="H291" i="19"/>
  <c r="H400" i="19"/>
  <c r="H509" i="19"/>
  <c r="H290" i="19"/>
  <c r="H399" i="19"/>
  <c r="H508" i="19"/>
  <c r="H507" i="19"/>
  <c r="H289" i="19"/>
  <c r="H398" i="19"/>
  <c r="H287" i="19"/>
  <c r="H396" i="19"/>
  <c r="H505" i="19"/>
  <c r="H281" i="19"/>
  <c r="H499" i="19"/>
  <c r="H386" i="19"/>
  <c r="H277" i="19"/>
  <c r="G583" i="10"/>
  <c r="G585" i="10"/>
  <c r="H402" i="18"/>
  <c r="H293" i="18"/>
  <c r="H511" i="18"/>
  <c r="H289" i="18"/>
  <c r="H398" i="18"/>
  <c r="H507" i="18"/>
  <c r="H396" i="18"/>
  <c r="H287" i="18"/>
  <c r="H505" i="18"/>
  <c r="H394" i="18"/>
  <c r="H285" i="18"/>
  <c r="H503" i="18"/>
  <c r="H392" i="18"/>
  <c r="H283" i="18"/>
  <c r="H501" i="18"/>
  <c r="H281" i="18"/>
  <c r="H390" i="18"/>
  <c r="H279" i="18"/>
  <c r="H497" i="18"/>
  <c r="H386" i="18"/>
  <c r="H277" i="18"/>
  <c r="H384" i="18"/>
  <c r="H275" i="18"/>
  <c r="B217" i="17"/>
  <c r="G403" i="18"/>
  <c r="G512" i="18"/>
  <c r="B215" i="17"/>
  <c r="G292" i="18"/>
  <c r="B213" i="17"/>
  <c r="G399" i="18"/>
  <c r="G290" i="18"/>
  <c r="B211" i="17"/>
  <c r="G288" i="18"/>
  <c r="G397" i="18"/>
  <c r="G506" i="18"/>
  <c r="B209" i="17"/>
  <c r="G504" i="18"/>
  <c r="G395" i="18"/>
  <c r="G286" i="18"/>
  <c r="B207" i="17"/>
  <c r="G284" i="18"/>
  <c r="G393" i="18"/>
  <c r="G502" i="18"/>
  <c r="B205" i="17"/>
  <c r="G391" i="18"/>
  <c r="B203" i="17"/>
  <c r="G389" i="18"/>
  <c r="G498" i="18"/>
  <c r="B201" i="17"/>
  <c r="G496" i="18"/>
  <c r="G387" i="18"/>
  <c r="B199" i="17"/>
  <c r="G385" i="18"/>
  <c r="B216" i="17"/>
  <c r="G402" i="18"/>
  <c r="G511" i="18"/>
  <c r="G293" i="18"/>
  <c r="B214" i="17"/>
  <c r="G400" i="18"/>
  <c r="B212" i="17"/>
  <c r="G289" i="18"/>
  <c r="G398" i="18"/>
  <c r="G507" i="18"/>
  <c r="B210" i="17"/>
  <c r="G287" i="18"/>
  <c r="G396" i="18"/>
  <c r="G505" i="18"/>
  <c r="B208" i="17"/>
  <c r="G285" i="18"/>
  <c r="G394" i="18"/>
  <c r="G503" i="18"/>
  <c r="B206" i="17"/>
  <c r="G283" i="18"/>
  <c r="G392" i="18"/>
  <c r="G501" i="18"/>
  <c r="B204" i="17"/>
  <c r="G281" i="18"/>
  <c r="G390" i="18"/>
  <c r="B202" i="17"/>
  <c r="G279" i="18"/>
  <c r="G497" i="18"/>
  <c r="B200" i="17"/>
  <c r="G277" i="18"/>
  <c r="G386" i="18"/>
  <c r="B198" i="17"/>
  <c r="G275" i="18"/>
  <c r="G384" i="18"/>
  <c r="H403" i="18"/>
  <c r="H512" i="18"/>
  <c r="H399" i="18"/>
  <c r="H290" i="18"/>
  <c r="H506" i="18"/>
  <c r="H397" i="18"/>
  <c r="H288" i="18"/>
  <c r="H395" i="18"/>
  <c r="H286" i="18"/>
  <c r="H504" i="18"/>
  <c r="H393" i="18"/>
  <c r="H502" i="18"/>
  <c r="H284" i="18"/>
  <c r="H498" i="18"/>
  <c r="H389" i="18"/>
  <c r="H387" i="18"/>
  <c r="H496" i="18"/>
  <c r="G188" i="10"/>
  <c r="G176" i="10"/>
  <c r="G168" i="10"/>
  <c r="G180" i="10"/>
  <c r="G172" i="10"/>
  <c r="G164" i="10"/>
  <c r="B53" i="17"/>
  <c r="G240" i="18"/>
  <c r="B47" i="17"/>
  <c r="G234" i="18"/>
  <c r="B45" i="17"/>
  <c r="G232" i="18"/>
  <c r="B43" i="17"/>
  <c r="G230" i="18"/>
  <c r="B39" i="17"/>
  <c r="G226" i="18"/>
  <c r="B37" i="17"/>
  <c r="G224" i="18"/>
  <c r="B52" i="17"/>
  <c r="G239" i="18"/>
  <c r="B48" i="17"/>
  <c r="G235" i="18"/>
  <c r="B46" i="17"/>
  <c r="G233" i="18"/>
  <c r="B44" i="17"/>
  <c r="G231" i="18"/>
  <c r="B42" i="17"/>
  <c r="G229" i="18"/>
  <c r="B38" i="17"/>
  <c r="G225" i="18"/>
  <c r="H9" i="18"/>
  <c r="J1344" i="20"/>
  <c r="J1345" i="20" s="1"/>
  <c r="J1182" i="20"/>
  <c r="J1183" i="20" s="1"/>
  <c r="J1244" i="20"/>
  <c r="J1245" i="20" s="1"/>
  <c r="G587" i="10"/>
  <c r="G213" i="10"/>
  <c r="G190" i="10"/>
  <c r="G182" i="10"/>
  <c r="G174" i="10"/>
  <c r="G166" i="10"/>
  <c r="G189" i="10"/>
  <c r="G181" i="10"/>
  <c r="G173" i="10"/>
  <c r="G165" i="10"/>
  <c r="G187" i="10"/>
  <c r="G179" i="10"/>
  <c r="G171" i="10"/>
  <c r="G163" i="10"/>
  <c r="G186" i="10"/>
  <c r="G178" i="10"/>
  <c r="G170" i="10"/>
  <c r="G185" i="10"/>
  <c r="G177" i="10"/>
  <c r="G169" i="10"/>
  <c r="AX8" i="12"/>
  <c r="G184" i="10"/>
  <c r="G191" i="10"/>
  <c r="G183" i="10"/>
  <c r="G175" i="10"/>
  <c r="G167" i="10"/>
  <c r="AX14" i="12"/>
  <c r="AX13" i="12"/>
  <c r="AX22" i="12"/>
  <c r="AX6" i="12"/>
  <c r="J284" i="20"/>
  <c r="J285" i="20" s="1"/>
  <c r="G742" i="10"/>
  <c r="D742" i="10"/>
  <c r="Z70" i="14"/>
  <c r="AA70" i="14" s="1"/>
  <c r="AE70" i="14" s="1"/>
  <c r="AG70" i="14" s="1"/>
  <c r="AH70" i="14" s="1"/>
  <c r="G737" i="10"/>
  <c r="D737" i="10"/>
  <c r="Z76" i="14"/>
  <c r="AA76" i="14" s="1"/>
  <c r="D743" i="10"/>
  <c r="G743" i="10"/>
  <c r="Z77" i="14"/>
  <c r="AA77" i="14" s="1"/>
  <c r="D744" i="10"/>
  <c r="G744" i="10"/>
  <c r="Z68" i="14"/>
  <c r="AA68" i="14" s="1"/>
  <c r="AF68" i="14" s="1"/>
  <c r="D735" i="10"/>
  <c r="G735" i="10"/>
  <c r="D752" i="10"/>
  <c r="G752" i="10"/>
  <c r="G750" i="10"/>
  <c r="D750" i="10"/>
  <c r="AX73" i="14"/>
  <c r="AX72" i="14"/>
  <c r="AB66" i="14"/>
  <c r="AC66" i="14" s="1"/>
  <c r="D740" i="10"/>
  <c r="G740" i="10"/>
  <c r="AP76" i="14"/>
  <c r="D751" i="10"/>
  <c r="G751" i="10"/>
  <c r="G749" i="10"/>
  <c r="D749" i="10"/>
  <c r="Z81" i="14"/>
  <c r="AA81" i="14" s="1"/>
  <c r="D748" i="10"/>
  <c r="G748" i="10"/>
  <c r="Z79" i="14"/>
  <c r="AA79" i="14" s="1"/>
  <c r="D746" i="10"/>
  <c r="G746" i="10"/>
  <c r="G745" i="10"/>
  <c r="D745" i="10"/>
  <c r="AX75" i="14"/>
  <c r="G734" i="10"/>
  <c r="D734" i="10"/>
  <c r="D739" i="10"/>
  <c r="G739" i="10"/>
  <c r="G738" i="10"/>
  <c r="D738" i="10"/>
  <c r="D736" i="10"/>
  <c r="G736" i="10"/>
  <c r="G733" i="10"/>
  <c r="D733" i="10"/>
  <c r="D747" i="10"/>
  <c r="G747" i="10"/>
  <c r="AX77" i="14"/>
  <c r="AB73" i="14"/>
  <c r="AC73" i="14" s="1"/>
  <c r="AB72" i="14"/>
  <c r="AC72" i="14" s="1"/>
  <c r="Z74" i="14"/>
  <c r="AA74" i="14" s="1"/>
  <c r="AE74" i="14" s="1"/>
  <c r="AG74" i="14" s="1"/>
  <c r="AH74" i="14" s="1"/>
  <c r="G741" i="10"/>
  <c r="D741" i="10"/>
  <c r="Z73" i="14"/>
  <c r="AA73" i="14" s="1"/>
  <c r="Z72" i="14"/>
  <c r="AA72" i="14" s="1"/>
  <c r="AE72" i="14" s="1"/>
  <c r="AG72" i="14" s="1"/>
  <c r="AH72" i="14" s="1"/>
  <c r="D701" i="10"/>
  <c r="G701" i="10"/>
  <c r="G699" i="10"/>
  <c r="D699" i="10"/>
  <c r="D697" i="10"/>
  <c r="G697" i="10"/>
  <c r="G695" i="10"/>
  <c r="D695" i="10"/>
  <c r="D693" i="10"/>
  <c r="G693" i="10"/>
  <c r="G691" i="10"/>
  <c r="D691" i="10"/>
  <c r="D689" i="10"/>
  <c r="G689" i="10"/>
  <c r="G687" i="10"/>
  <c r="D687" i="10"/>
  <c r="D685" i="10"/>
  <c r="G685" i="10"/>
  <c r="D683" i="10"/>
  <c r="G683" i="10"/>
  <c r="AX74" i="14"/>
  <c r="AO75" i="14"/>
  <c r="R75" i="14"/>
  <c r="S75" i="14" s="1"/>
  <c r="AX85" i="14"/>
  <c r="AX84" i="14"/>
  <c r="AX82" i="14"/>
  <c r="AX70" i="14"/>
  <c r="AX69" i="14"/>
  <c r="D702" i="10"/>
  <c r="G702" i="10"/>
  <c r="G700" i="10"/>
  <c r="D700" i="10"/>
  <c r="D698" i="10"/>
  <c r="G698" i="10"/>
  <c r="G696" i="10"/>
  <c r="D696" i="10"/>
  <c r="D694" i="10"/>
  <c r="G694" i="10"/>
  <c r="D692" i="10"/>
  <c r="G692" i="10"/>
  <c r="D690" i="10"/>
  <c r="G690" i="10"/>
  <c r="G688" i="10"/>
  <c r="D688" i="10"/>
  <c r="D686" i="10"/>
  <c r="G686" i="10"/>
  <c r="D684" i="10"/>
  <c r="G684" i="10"/>
  <c r="AX80" i="14"/>
  <c r="AX68" i="14"/>
  <c r="T84" i="14"/>
  <c r="U84" i="14" s="1"/>
  <c r="AJ84" i="14" s="1"/>
  <c r="T82" i="14"/>
  <c r="U82" i="14" s="1"/>
  <c r="AJ82" i="14" s="1"/>
  <c r="T80" i="14"/>
  <c r="U80" i="14" s="1"/>
  <c r="AI80" i="14" s="1"/>
  <c r="AK80" i="14" s="1"/>
  <c r="AL80" i="14" s="1"/>
  <c r="T78" i="14"/>
  <c r="U78" i="14" s="1"/>
  <c r="AJ78" i="14" s="1"/>
  <c r="T76" i="14"/>
  <c r="U76" i="14" s="1"/>
  <c r="T74" i="14"/>
  <c r="U74" i="14" s="1"/>
  <c r="T72" i="14"/>
  <c r="U72" i="14" s="1"/>
  <c r="AI72" i="14" s="1"/>
  <c r="AK72" i="14" s="1"/>
  <c r="AL72" i="14" s="1"/>
  <c r="T70" i="14"/>
  <c r="U70" i="14" s="1"/>
  <c r="T68" i="14"/>
  <c r="U68" i="14" s="1"/>
  <c r="T66" i="14"/>
  <c r="U66" i="14" s="1"/>
  <c r="D652" i="10"/>
  <c r="Q132" i="10"/>
  <c r="G652" i="10"/>
  <c r="D650" i="10"/>
  <c r="G650" i="10"/>
  <c r="Q130" i="10"/>
  <c r="D648" i="10"/>
  <c r="Q128" i="10"/>
  <c r="G648" i="10"/>
  <c r="D646" i="10"/>
  <c r="G646" i="10"/>
  <c r="Q126" i="10"/>
  <c r="D644" i="10"/>
  <c r="Q124" i="10"/>
  <c r="G644" i="10"/>
  <c r="D642" i="10"/>
  <c r="G642" i="10"/>
  <c r="Q122" i="10"/>
  <c r="D640" i="10"/>
  <c r="Q120" i="10"/>
  <c r="G640" i="10"/>
  <c r="D638" i="10"/>
  <c r="G638" i="10"/>
  <c r="Q118" i="10"/>
  <c r="D636" i="10"/>
  <c r="Q116" i="10"/>
  <c r="G636" i="10"/>
  <c r="D634" i="10"/>
  <c r="G634" i="10"/>
  <c r="Q114" i="10"/>
  <c r="AI84" i="14"/>
  <c r="AK84" i="14" s="1"/>
  <c r="AL84" i="14" s="1"/>
  <c r="AN83" i="14"/>
  <c r="AE84" i="14"/>
  <c r="AG84" i="14" s="1"/>
  <c r="AH84" i="14" s="1"/>
  <c r="Q131" i="10"/>
  <c r="G651" i="10"/>
  <c r="D651" i="10"/>
  <c r="D649" i="10"/>
  <c r="G649" i="10"/>
  <c r="Q129" i="10"/>
  <c r="Q127" i="10"/>
  <c r="G647" i="10"/>
  <c r="D647" i="10"/>
  <c r="Q125" i="10"/>
  <c r="G645" i="10"/>
  <c r="D645" i="10"/>
  <c r="Q123" i="10"/>
  <c r="G643" i="10"/>
  <c r="D643" i="10"/>
  <c r="Q121" i="10"/>
  <c r="D641" i="10"/>
  <c r="G641" i="10"/>
  <c r="Q119" i="10"/>
  <c r="G639" i="10"/>
  <c r="D639" i="10"/>
  <c r="G637" i="10"/>
  <c r="D637" i="10"/>
  <c r="Q117" i="10"/>
  <c r="Q115" i="10"/>
  <c r="G635" i="10"/>
  <c r="D635" i="10"/>
  <c r="D633" i="10"/>
  <c r="G633" i="10"/>
  <c r="Q113" i="10"/>
  <c r="AX81" i="14"/>
  <c r="L85" i="14"/>
  <c r="M85" i="14" s="1"/>
  <c r="L83" i="14"/>
  <c r="M83" i="14" s="1"/>
  <c r="L81" i="14"/>
  <c r="M81" i="14" s="1"/>
  <c r="L79" i="14"/>
  <c r="M79" i="14" s="1"/>
  <c r="L77" i="14"/>
  <c r="M77" i="14" s="1"/>
  <c r="L75" i="14"/>
  <c r="M75" i="14" s="1"/>
  <c r="AI75" i="14" s="1"/>
  <c r="AK75" i="14" s="1"/>
  <c r="AL75" i="14" s="1"/>
  <c r="L73" i="14"/>
  <c r="M73" i="14" s="1"/>
  <c r="L71" i="14"/>
  <c r="M71" i="14" s="1"/>
  <c r="AJ71" i="14" s="1"/>
  <c r="L69" i="14"/>
  <c r="M69" i="14" s="1"/>
  <c r="AJ69" i="14" s="1"/>
  <c r="L67" i="14"/>
  <c r="M67" i="14" s="1"/>
  <c r="AJ67" i="14" s="1"/>
  <c r="AX83" i="14"/>
  <c r="AI82" i="14"/>
  <c r="AK82" i="14" s="1"/>
  <c r="AL82" i="14" s="1"/>
  <c r="AN84" i="14"/>
  <c r="AN80" i="14"/>
  <c r="AN76" i="14"/>
  <c r="J85" i="14"/>
  <c r="K85" i="14" s="1"/>
  <c r="J83" i="14"/>
  <c r="K83" i="14" s="1"/>
  <c r="J81" i="14"/>
  <c r="K81" i="14" s="1"/>
  <c r="AE81" i="14" s="1"/>
  <c r="AG81" i="14" s="1"/>
  <c r="AH81" i="14" s="1"/>
  <c r="J79" i="14"/>
  <c r="K79" i="14" s="1"/>
  <c r="AF79" i="14" s="1"/>
  <c r="J77" i="14"/>
  <c r="K77" i="14" s="1"/>
  <c r="AE77" i="14" s="1"/>
  <c r="AG77" i="14" s="1"/>
  <c r="AH77" i="14" s="1"/>
  <c r="J75" i="14"/>
  <c r="K75" i="14" s="1"/>
  <c r="J73" i="14"/>
  <c r="K73" i="14" s="1"/>
  <c r="AF73" i="14" s="1"/>
  <c r="J71" i="14"/>
  <c r="K71" i="14" s="1"/>
  <c r="AF71" i="14" s="1"/>
  <c r="J69" i="14"/>
  <c r="K69" i="14" s="1"/>
  <c r="AE69" i="14" s="1"/>
  <c r="AG69" i="14" s="1"/>
  <c r="AH69" i="14" s="1"/>
  <c r="J67" i="14"/>
  <c r="K67" i="14" s="1"/>
  <c r="AE67" i="14" s="1"/>
  <c r="AG67" i="14" s="1"/>
  <c r="AH67" i="14" s="1"/>
  <c r="AE82" i="14"/>
  <c r="AG82" i="14" s="1"/>
  <c r="AH82" i="14" s="1"/>
  <c r="AX79" i="14"/>
  <c r="D312" i="10"/>
  <c r="G312" i="10"/>
  <c r="AX25" i="14"/>
  <c r="Q82" i="10"/>
  <c r="G362" i="10"/>
  <c r="D362" i="10"/>
  <c r="AX24" i="14"/>
  <c r="D361" i="10"/>
  <c r="G361" i="10"/>
  <c r="D311" i="10"/>
  <c r="G311" i="10"/>
  <c r="D261" i="10"/>
  <c r="Q81" i="10"/>
  <c r="G261" i="10"/>
  <c r="G260" i="10"/>
  <c r="D260" i="10"/>
  <c r="Q80" i="10"/>
  <c r="L23" i="14"/>
  <c r="M23" i="14" s="1"/>
  <c r="D309" i="10"/>
  <c r="Q79" i="10"/>
  <c r="G309" i="10"/>
  <c r="AX22" i="14"/>
  <c r="G258" i="10"/>
  <c r="D258" i="10"/>
  <c r="AX21" i="14"/>
  <c r="G308" i="10"/>
  <c r="D308" i="10"/>
  <c r="D357" i="10"/>
  <c r="G357" i="10"/>
  <c r="G358" i="10"/>
  <c r="D358" i="10"/>
  <c r="Q78" i="10"/>
  <c r="G356" i="10"/>
  <c r="D356" i="10"/>
  <c r="D355" i="10"/>
  <c r="G355" i="10"/>
  <c r="G354" i="10"/>
  <c r="D354" i="10"/>
  <c r="G307" i="10"/>
  <c r="D307" i="10"/>
  <c r="G306" i="10"/>
  <c r="D306" i="10"/>
  <c r="T19" i="14"/>
  <c r="U19" i="14" s="1"/>
  <c r="AX19" i="14"/>
  <c r="G305" i="10"/>
  <c r="D305" i="10"/>
  <c r="D304" i="10"/>
  <c r="G304" i="10"/>
  <c r="D257" i="10"/>
  <c r="Q77" i="10"/>
  <c r="G257" i="10"/>
  <c r="AX20" i="14"/>
  <c r="Q75" i="10"/>
  <c r="D255" i="10"/>
  <c r="G255" i="10"/>
  <c r="D256" i="10"/>
  <c r="Q76" i="10"/>
  <c r="G256" i="10"/>
  <c r="L19" i="14"/>
  <c r="M19" i="14" s="1"/>
  <c r="AX17" i="14"/>
  <c r="Q74" i="10"/>
  <c r="D254" i="10"/>
  <c r="G254" i="10"/>
  <c r="G353" i="10"/>
  <c r="D353" i="10"/>
  <c r="D303" i="10"/>
  <c r="G303" i="10"/>
  <c r="AX16" i="14"/>
  <c r="D253" i="10"/>
  <c r="G253" i="10"/>
  <c r="Q73" i="10"/>
  <c r="D352" i="10"/>
  <c r="G352" i="10"/>
  <c r="D302" i="10"/>
  <c r="G302" i="10"/>
  <c r="T15" i="14"/>
  <c r="U15" i="14" s="1"/>
  <c r="D252" i="10"/>
  <c r="Q72" i="10"/>
  <c r="G252" i="10"/>
  <c r="G351" i="10"/>
  <c r="D351" i="10"/>
  <c r="D301" i="10"/>
  <c r="G301" i="10"/>
  <c r="G251" i="10"/>
  <c r="D251" i="10"/>
  <c r="Q71" i="10"/>
  <c r="AX14" i="14"/>
  <c r="G300" i="10"/>
  <c r="Q70" i="10"/>
  <c r="D300" i="10"/>
  <c r="D249" i="10"/>
  <c r="G249" i="10"/>
  <c r="Q69" i="10"/>
  <c r="D299" i="10"/>
  <c r="G299" i="10"/>
  <c r="AX12" i="14"/>
  <c r="D348" i="10"/>
  <c r="G348" i="10"/>
  <c r="Q68" i="10"/>
  <c r="D298" i="10"/>
  <c r="G298" i="10"/>
  <c r="D247" i="10"/>
  <c r="G247" i="10"/>
  <c r="D347" i="10"/>
  <c r="Q67" i="10"/>
  <c r="G347" i="10"/>
  <c r="D346" i="10"/>
  <c r="G346" i="10"/>
  <c r="AX9" i="14"/>
  <c r="Q66" i="10"/>
  <c r="D296" i="10"/>
  <c r="G296" i="10"/>
  <c r="AX8" i="14"/>
  <c r="G295" i="10"/>
  <c r="D295" i="10"/>
  <c r="D245" i="10"/>
  <c r="G245" i="10"/>
  <c r="Q65" i="10"/>
  <c r="AX7" i="14"/>
  <c r="D294" i="10"/>
  <c r="G294" i="10"/>
  <c r="Q64" i="10"/>
  <c r="T7" i="14"/>
  <c r="U7" i="14" s="1"/>
  <c r="G293" i="10"/>
  <c r="D293" i="10"/>
  <c r="G243" i="10"/>
  <c r="Q63" i="10"/>
  <c r="D243" i="10"/>
  <c r="AX6" i="14"/>
  <c r="AM79" i="14"/>
  <c r="AM75" i="14"/>
  <c r="AM82" i="14"/>
  <c r="F133" i="19"/>
  <c r="G133" i="19" s="1"/>
  <c r="F131" i="19"/>
  <c r="G131" i="19"/>
  <c r="F129" i="19"/>
  <c r="G129" i="19" s="1"/>
  <c r="F127" i="19"/>
  <c r="G127" i="19" s="1"/>
  <c r="F125" i="19"/>
  <c r="G125" i="19"/>
  <c r="F123" i="19"/>
  <c r="G123" i="19" s="1"/>
  <c r="F121" i="19"/>
  <c r="G121" i="19" s="1"/>
  <c r="F119" i="19"/>
  <c r="G119" i="19" s="1"/>
  <c r="F117" i="19"/>
  <c r="G117" i="19"/>
  <c r="F115" i="19"/>
  <c r="G115" i="19" s="1"/>
  <c r="F132" i="19"/>
  <c r="G132" i="19" s="1"/>
  <c r="F130" i="19"/>
  <c r="G130" i="19" s="1"/>
  <c r="F128" i="19"/>
  <c r="G128" i="19"/>
  <c r="F126" i="19"/>
  <c r="G126" i="19" s="1"/>
  <c r="F124" i="19"/>
  <c r="G124" i="19" s="1"/>
  <c r="F122" i="19"/>
  <c r="G122" i="19" s="1"/>
  <c r="F120" i="19"/>
  <c r="G120" i="19"/>
  <c r="F118" i="19"/>
  <c r="G118" i="19"/>
  <c r="F116" i="19"/>
  <c r="G116" i="19"/>
  <c r="AM25" i="14"/>
  <c r="AM23" i="14"/>
  <c r="AM21" i="14"/>
  <c r="AM19" i="14"/>
  <c r="AM17" i="14"/>
  <c r="AM15" i="14"/>
  <c r="AM13" i="14"/>
  <c r="AM11" i="14"/>
  <c r="AM9" i="14"/>
  <c r="AM7" i="14"/>
  <c r="AM24" i="14"/>
  <c r="AM22" i="14"/>
  <c r="AM20" i="14"/>
  <c r="AM18" i="14"/>
  <c r="AM16" i="14"/>
  <c r="AM14" i="14"/>
  <c r="AM12" i="14"/>
  <c r="AM10" i="14"/>
  <c r="AM8" i="14"/>
  <c r="AM6" i="14"/>
  <c r="D1383" i="20"/>
  <c r="AM67" i="14"/>
  <c r="AN66" i="14"/>
  <c r="AO67" i="14"/>
  <c r="AP66" i="14"/>
  <c r="AN85" i="14"/>
  <c r="AO84" i="14"/>
  <c r="AM84" i="14"/>
  <c r="AO83" i="14"/>
  <c r="AM83" i="14"/>
  <c r="AP82" i="14"/>
  <c r="AN82" i="14"/>
  <c r="AN81" i="14"/>
  <c r="AO80" i="14"/>
  <c r="AM80" i="14"/>
  <c r="AN79" i="14"/>
  <c r="AO78" i="14"/>
  <c r="AM78" i="14"/>
  <c r="AN77" i="14"/>
  <c r="AO76" i="14"/>
  <c r="AM76" i="14"/>
  <c r="AP75" i="14"/>
  <c r="AN75" i="14"/>
  <c r="AP74" i="14"/>
  <c r="AN74" i="14"/>
  <c r="AO73" i="14"/>
  <c r="AM73" i="14"/>
  <c r="AP72" i="14"/>
  <c r="AN72" i="14"/>
  <c r="AO71" i="14"/>
  <c r="AM71" i="14"/>
  <c r="AN70" i="14"/>
  <c r="AO69" i="14"/>
  <c r="AM69" i="14"/>
  <c r="AN68" i="14"/>
  <c r="AN67" i="14"/>
  <c r="AO66" i="14"/>
  <c r="AO74" i="14"/>
  <c r="AM74" i="14"/>
  <c r="AP73" i="14"/>
  <c r="AN73" i="14"/>
  <c r="AO72" i="14"/>
  <c r="AM72" i="14"/>
  <c r="AP71" i="14"/>
  <c r="AN71" i="14"/>
  <c r="AO70" i="14"/>
  <c r="AM70" i="14"/>
  <c r="AP69" i="14"/>
  <c r="AN69" i="14"/>
  <c r="AO68" i="14"/>
  <c r="AM68" i="14"/>
  <c r="AP67" i="14"/>
  <c r="AM66" i="14"/>
  <c r="H522" i="20"/>
  <c r="H523" i="20" s="1"/>
  <c r="D523" i="20"/>
  <c r="H518" i="20"/>
  <c r="H519" i="20" s="1"/>
  <c r="D519" i="20"/>
  <c r="H514" i="20"/>
  <c r="H515" i="20" s="1"/>
  <c r="D515" i="20"/>
  <c r="H510" i="20"/>
  <c r="H511" i="20" s="1"/>
  <c r="D511" i="20"/>
  <c r="H506" i="20"/>
  <c r="H507" i="20" s="1"/>
  <c r="D507" i="20"/>
  <c r="H502" i="20"/>
  <c r="H503" i="20" s="1"/>
  <c r="D503" i="20"/>
  <c r="H498" i="20"/>
  <c r="H499" i="20" s="1"/>
  <c r="D499" i="20"/>
  <c r="H494" i="20"/>
  <c r="H495" i="20" s="1"/>
  <c r="D495" i="20"/>
  <c r="H490" i="20"/>
  <c r="H491" i="20" s="1"/>
  <c r="D491" i="20"/>
  <c r="I484" i="20"/>
  <c r="I485" i="20" s="1"/>
  <c r="D485" i="20"/>
  <c r="H520" i="20"/>
  <c r="H521" i="20" s="1"/>
  <c r="D521" i="20"/>
  <c r="H516" i="20"/>
  <c r="H517" i="20" s="1"/>
  <c r="D517" i="20"/>
  <c r="H512" i="20"/>
  <c r="H513" i="20" s="1"/>
  <c r="D513" i="20"/>
  <c r="H508" i="20"/>
  <c r="H509" i="20" s="1"/>
  <c r="D509" i="20"/>
  <c r="H504" i="20"/>
  <c r="H505" i="20" s="1"/>
  <c r="D505" i="20"/>
  <c r="H500" i="20"/>
  <c r="H501" i="20" s="1"/>
  <c r="D501" i="20"/>
  <c r="H496" i="20"/>
  <c r="H497" i="20" s="1"/>
  <c r="D497" i="20"/>
  <c r="H492" i="20"/>
  <c r="H493" i="20" s="1"/>
  <c r="D493" i="20"/>
  <c r="H488" i="20"/>
  <c r="H489" i="20" s="1"/>
  <c r="D489" i="20"/>
  <c r="D487" i="20"/>
  <c r="J484" i="20"/>
  <c r="J485" i="20" s="1"/>
  <c r="H484" i="20"/>
  <c r="H485" i="20" s="1"/>
  <c r="I522" i="20"/>
  <c r="I523" i="20" s="1"/>
  <c r="I520" i="20"/>
  <c r="I521" i="20" s="1"/>
  <c r="I518" i="20"/>
  <c r="I519" i="20" s="1"/>
  <c r="I516" i="20"/>
  <c r="I517" i="20" s="1"/>
  <c r="I514" i="20"/>
  <c r="I515" i="20" s="1"/>
  <c r="I512" i="20"/>
  <c r="I513" i="20" s="1"/>
  <c r="I510" i="20"/>
  <c r="I511" i="20" s="1"/>
  <c r="I508" i="20"/>
  <c r="I509" i="20" s="1"/>
  <c r="I506" i="20"/>
  <c r="I507" i="20" s="1"/>
  <c r="I504" i="20"/>
  <c r="I505" i="20" s="1"/>
  <c r="I502" i="20"/>
  <c r="I503" i="20" s="1"/>
  <c r="I500" i="20"/>
  <c r="I501" i="20" s="1"/>
  <c r="I498" i="20"/>
  <c r="I499" i="20" s="1"/>
  <c r="I496" i="20"/>
  <c r="I497" i="20" s="1"/>
  <c r="I494" i="20"/>
  <c r="I495" i="20" s="1"/>
  <c r="I492" i="20"/>
  <c r="I493" i="20" s="1"/>
  <c r="I490" i="20"/>
  <c r="I491" i="20" s="1"/>
  <c r="I488" i="20"/>
  <c r="I489" i="20" s="1"/>
  <c r="I486" i="20"/>
  <c r="I487" i="20" s="1"/>
  <c r="J522" i="20"/>
  <c r="J523" i="20" s="1"/>
  <c r="J520" i="20"/>
  <c r="J521" i="20" s="1"/>
  <c r="J518" i="20"/>
  <c r="J519" i="20" s="1"/>
  <c r="J516" i="20"/>
  <c r="J517" i="20" s="1"/>
  <c r="J514" i="20"/>
  <c r="J515" i="20" s="1"/>
  <c r="J512" i="20"/>
  <c r="J513" i="20" s="1"/>
  <c r="J510" i="20"/>
  <c r="J511" i="20" s="1"/>
  <c r="J508" i="20"/>
  <c r="J509" i="20" s="1"/>
  <c r="J506" i="20"/>
  <c r="J507" i="20" s="1"/>
  <c r="J504" i="20"/>
  <c r="J505" i="20" s="1"/>
  <c r="J502" i="20"/>
  <c r="J503" i="20" s="1"/>
  <c r="J500" i="20"/>
  <c r="J501" i="20" s="1"/>
  <c r="J498" i="20"/>
  <c r="J499" i="20" s="1"/>
  <c r="J496" i="20"/>
  <c r="J497" i="20" s="1"/>
  <c r="J494" i="20"/>
  <c r="J495" i="20" s="1"/>
  <c r="J492" i="20"/>
  <c r="J493" i="20" s="1"/>
  <c r="J490" i="20"/>
  <c r="J491" i="20" s="1"/>
  <c r="J488" i="20"/>
  <c r="J489" i="20" s="1"/>
  <c r="J486" i="20"/>
  <c r="J487" i="20" s="1"/>
  <c r="Z85" i="14"/>
  <c r="AA85" i="14" s="1"/>
  <c r="AB85" i="14"/>
  <c r="AC85" i="14" s="1"/>
  <c r="Z83" i="14"/>
  <c r="AA83" i="14" s="1"/>
  <c r="AB83" i="14"/>
  <c r="AC83" i="14" s="1"/>
  <c r="AP83" i="14"/>
  <c r="AI78" i="14"/>
  <c r="AK78" i="14" s="1"/>
  <c r="AL78" i="14" s="1"/>
  <c r="AP85" i="14"/>
  <c r="AF84" i="14"/>
  <c r="AF82" i="14"/>
  <c r="AF81" i="14"/>
  <c r="AE80" i="14"/>
  <c r="AG80" i="14" s="1"/>
  <c r="AH80" i="14" s="1"/>
  <c r="AE78" i="14"/>
  <c r="AG78" i="14" s="1"/>
  <c r="AH78" i="14" s="1"/>
  <c r="AF78" i="14"/>
  <c r="AF72" i="14"/>
  <c r="AE66" i="14"/>
  <c r="AG66" i="14" s="1"/>
  <c r="AH66" i="14" s="1"/>
  <c r="AF66" i="14"/>
  <c r="AP81" i="14"/>
  <c r="AB81" i="14"/>
  <c r="AC81" i="14" s="1"/>
  <c r="AP79" i="14"/>
  <c r="AB79" i="14"/>
  <c r="AC79" i="14" s="1"/>
  <c r="AP77" i="14"/>
  <c r="AB77" i="14"/>
  <c r="AC77" i="14" s="1"/>
  <c r="AE68" i="14"/>
  <c r="AG68" i="14" s="1"/>
  <c r="AH68" i="14" s="1"/>
  <c r="AB76" i="14"/>
  <c r="AC76" i="14" s="1"/>
  <c r="AB74" i="14"/>
  <c r="AC74" i="14" s="1"/>
  <c r="AP70" i="14"/>
  <c r="AB70" i="14"/>
  <c r="AC70" i="14" s="1"/>
  <c r="AP68" i="14"/>
  <c r="AB68" i="14"/>
  <c r="AC68" i="14" s="1"/>
  <c r="AN24" i="14"/>
  <c r="L24" i="14"/>
  <c r="M24" i="14" s="1"/>
  <c r="J24" i="14"/>
  <c r="K24" i="14" s="1"/>
  <c r="AN22" i="14"/>
  <c r="L22" i="14"/>
  <c r="M22" i="14" s="1"/>
  <c r="J22" i="14"/>
  <c r="K22" i="14" s="1"/>
  <c r="AN20" i="14"/>
  <c r="L20" i="14"/>
  <c r="M20" i="14" s="1"/>
  <c r="J20" i="14"/>
  <c r="K20" i="14" s="1"/>
  <c r="L18" i="14"/>
  <c r="M18" i="14" s="1"/>
  <c r="J18" i="14"/>
  <c r="K18" i="14" s="1"/>
  <c r="AN18" i="14"/>
  <c r="AN16" i="14"/>
  <c r="L16" i="14"/>
  <c r="M16" i="14" s="1"/>
  <c r="J16" i="14"/>
  <c r="K16" i="14" s="1"/>
  <c r="AN25" i="14"/>
  <c r="AN23" i="14"/>
  <c r="AN21" i="14"/>
  <c r="AN19" i="14"/>
  <c r="AN17" i="14"/>
  <c r="AN15" i="14"/>
  <c r="AN13" i="14"/>
  <c r="AN11" i="14"/>
  <c r="AN9" i="14"/>
  <c r="AN7" i="14"/>
  <c r="J25" i="14"/>
  <c r="K25" i="14" s="1"/>
  <c r="J21" i="14"/>
  <c r="K21" i="14" s="1"/>
  <c r="J17" i="14"/>
  <c r="K17" i="14" s="1"/>
  <c r="J13" i="14"/>
  <c r="K13" i="14" s="1"/>
  <c r="J9" i="14"/>
  <c r="K9" i="14" s="1"/>
  <c r="L25" i="14"/>
  <c r="M25" i="14" s="1"/>
  <c r="L21" i="14"/>
  <c r="M21" i="14" s="1"/>
  <c r="L17" i="14"/>
  <c r="M17" i="14" s="1"/>
  <c r="L13" i="14"/>
  <c r="M13" i="14" s="1"/>
  <c r="L9" i="14"/>
  <c r="M9" i="14" s="1"/>
  <c r="AO25" i="14"/>
  <c r="AO23" i="14"/>
  <c r="AO21" i="14"/>
  <c r="AO19" i="14"/>
  <c r="AO17" i="14"/>
  <c r="AO15" i="14"/>
  <c r="AO13" i="14"/>
  <c r="AO11" i="14"/>
  <c r="AO9" i="14"/>
  <c r="AO7" i="14"/>
  <c r="R25" i="14"/>
  <c r="S25" i="14" s="1"/>
  <c r="R21" i="14"/>
  <c r="S21" i="14" s="1"/>
  <c r="R17" i="14"/>
  <c r="S17" i="14" s="1"/>
  <c r="R13" i="14"/>
  <c r="S13" i="14" s="1"/>
  <c r="R9" i="14"/>
  <c r="S9" i="14" s="1"/>
  <c r="T25" i="14"/>
  <c r="U25" i="14" s="1"/>
  <c r="T21" i="14"/>
  <c r="U21" i="14" s="1"/>
  <c r="T17" i="14"/>
  <c r="U17" i="14" s="1"/>
  <c r="T13" i="14"/>
  <c r="U13" i="14" s="1"/>
  <c r="T9" i="14"/>
  <c r="U9" i="14" s="1"/>
  <c r="AP24" i="14"/>
  <c r="AP20" i="14"/>
  <c r="AP16" i="14"/>
  <c r="AP12" i="14"/>
  <c r="AP8" i="14"/>
  <c r="Z22" i="14"/>
  <c r="AA22" i="14" s="1"/>
  <c r="Z18" i="14"/>
  <c r="AA18" i="14" s="1"/>
  <c r="Z14" i="14"/>
  <c r="AA14" i="14" s="1"/>
  <c r="Z10" i="14"/>
  <c r="AA10" i="14" s="1"/>
  <c r="Z6" i="14"/>
  <c r="AA6" i="14" s="1"/>
  <c r="AB22" i="14"/>
  <c r="AC22" i="14" s="1"/>
  <c r="AB18" i="14"/>
  <c r="AC18" i="14" s="1"/>
  <c r="AB14" i="14"/>
  <c r="AC14" i="14" s="1"/>
  <c r="AB10" i="14"/>
  <c r="AC10" i="14" s="1"/>
  <c r="AB6" i="14"/>
  <c r="AC6" i="14" s="1"/>
  <c r="AN10" i="14"/>
  <c r="AO22" i="14"/>
  <c r="AO14" i="14"/>
  <c r="AP18" i="14"/>
  <c r="AP10" i="14"/>
  <c r="AN12" i="14"/>
  <c r="AN8" i="14"/>
  <c r="J14" i="14"/>
  <c r="K14" i="14" s="1"/>
  <c r="J12" i="14"/>
  <c r="K12" i="14" s="1"/>
  <c r="J10" i="14"/>
  <c r="K10" i="14" s="1"/>
  <c r="J8" i="14"/>
  <c r="K8" i="14" s="1"/>
  <c r="J6" i="14"/>
  <c r="K6" i="14" s="1"/>
  <c r="L14" i="14"/>
  <c r="M14" i="14" s="1"/>
  <c r="L12" i="14"/>
  <c r="M12" i="14" s="1"/>
  <c r="L10" i="14"/>
  <c r="M10" i="14" s="1"/>
  <c r="L8" i="14"/>
  <c r="M8" i="14" s="1"/>
  <c r="L6" i="14"/>
  <c r="M6" i="14" s="1"/>
  <c r="AO24" i="14"/>
  <c r="AO20" i="14"/>
  <c r="AO16" i="14"/>
  <c r="AO12" i="14"/>
  <c r="AO8" i="14"/>
  <c r="R24" i="14"/>
  <c r="S24" i="14" s="1"/>
  <c r="R22" i="14"/>
  <c r="S22" i="14" s="1"/>
  <c r="R20" i="14"/>
  <c r="S20" i="14" s="1"/>
  <c r="R18" i="14"/>
  <c r="S18" i="14" s="1"/>
  <c r="R16" i="14"/>
  <c r="S16" i="14" s="1"/>
  <c r="R14" i="14"/>
  <c r="S14" i="14" s="1"/>
  <c r="R12" i="14"/>
  <c r="S12" i="14" s="1"/>
  <c r="R10" i="14"/>
  <c r="S10" i="14" s="1"/>
  <c r="R8" i="14"/>
  <c r="S8" i="14" s="1"/>
  <c r="R6" i="14"/>
  <c r="S6" i="14" s="1"/>
  <c r="T24" i="14"/>
  <c r="U24" i="14" s="1"/>
  <c r="T22" i="14"/>
  <c r="U22" i="14" s="1"/>
  <c r="T20" i="14"/>
  <c r="U20" i="14" s="1"/>
  <c r="T18" i="14"/>
  <c r="U18" i="14" s="1"/>
  <c r="T16" i="14"/>
  <c r="U16" i="14" s="1"/>
  <c r="T14" i="14"/>
  <c r="U14" i="14" s="1"/>
  <c r="T12" i="14"/>
  <c r="U12" i="14" s="1"/>
  <c r="T10" i="14"/>
  <c r="U10" i="14" s="1"/>
  <c r="T8" i="14"/>
  <c r="U8" i="14" s="1"/>
  <c r="T6" i="14"/>
  <c r="U6" i="14" s="1"/>
  <c r="Z24" i="14"/>
  <c r="AA24" i="14" s="1"/>
  <c r="Z20" i="14"/>
  <c r="AA20" i="14" s="1"/>
  <c r="Z16" i="14"/>
  <c r="AA16" i="14" s="1"/>
  <c r="Z12" i="14"/>
  <c r="AA12" i="14" s="1"/>
  <c r="Z8" i="14"/>
  <c r="AA8" i="14" s="1"/>
  <c r="AB24" i="14"/>
  <c r="AC24" i="14" s="1"/>
  <c r="AB20" i="14"/>
  <c r="AC20" i="14" s="1"/>
  <c r="AB16" i="14"/>
  <c r="AC16" i="14" s="1"/>
  <c r="AB12" i="14"/>
  <c r="AC12" i="14" s="1"/>
  <c r="AB8" i="14"/>
  <c r="AC8" i="14" s="1"/>
  <c r="AN14" i="14"/>
  <c r="AN6" i="14"/>
  <c r="AO18" i="14"/>
  <c r="AO10" i="14"/>
  <c r="AP22" i="14"/>
  <c r="AP14" i="14"/>
  <c r="AP6" i="14"/>
  <c r="AP25" i="14"/>
  <c r="AP23" i="14"/>
  <c r="AP21" i="14"/>
  <c r="AP19" i="14"/>
  <c r="AP17" i="14"/>
  <c r="AP15" i="14"/>
  <c r="AP13" i="14"/>
  <c r="AP11" i="14"/>
  <c r="AP9" i="14"/>
  <c r="AP7" i="14"/>
  <c r="Z25" i="14"/>
  <c r="AA25" i="14" s="1"/>
  <c r="Z23" i="14"/>
  <c r="AA23" i="14" s="1"/>
  <c r="AF23" i="14" s="1"/>
  <c r="Z21" i="14"/>
  <c r="AA21" i="14" s="1"/>
  <c r="Z19" i="14"/>
  <c r="AA19" i="14" s="1"/>
  <c r="AF19" i="14" s="1"/>
  <c r="Z17" i="14"/>
  <c r="AA17" i="14" s="1"/>
  <c r="Z15" i="14"/>
  <c r="AA15" i="14" s="1"/>
  <c r="AF15" i="14" s="1"/>
  <c r="Z13" i="14"/>
  <c r="AA13" i="14" s="1"/>
  <c r="Z11" i="14"/>
  <c r="AA11" i="14" s="1"/>
  <c r="Z9" i="14"/>
  <c r="AA9" i="14" s="1"/>
  <c r="Z7" i="14"/>
  <c r="AA7" i="14" s="1"/>
  <c r="AF7" i="14" s="1"/>
  <c r="AB25" i="14"/>
  <c r="AC25" i="14" s="1"/>
  <c r="AB23" i="14"/>
  <c r="AC23" i="14" s="1"/>
  <c r="AB21" i="14"/>
  <c r="AC21" i="14" s="1"/>
  <c r="AB19" i="14"/>
  <c r="AC19" i="14" s="1"/>
  <c r="AB17" i="14"/>
  <c r="AC17" i="14" s="1"/>
  <c r="AB15" i="14"/>
  <c r="AC15" i="14" s="1"/>
  <c r="AB13" i="14"/>
  <c r="AC13" i="14" s="1"/>
  <c r="AB11" i="14"/>
  <c r="AC11" i="14" s="1"/>
  <c r="AJ11" i="14" s="1"/>
  <c r="AB9" i="14"/>
  <c r="AC9" i="14" s="1"/>
  <c r="AB7" i="14"/>
  <c r="AC7" i="14" s="1"/>
  <c r="AX85" i="12"/>
  <c r="AX83" i="12"/>
  <c r="AX81" i="12"/>
  <c r="AX79" i="12"/>
  <c r="AX77" i="12"/>
  <c r="AX75" i="12"/>
  <c r="AX73" i="12"/>
  <c r="AX71" i="12"/>
  <c r="AX69" i="12"/>
  <c r="AX67" i="12"/>
  <c r="T24" i="12"/>
  <c r="U24" i="12" s="1"/>
  <c r="T22" i="12"/>
  <c r="U22" i="12" s="1"/>
  <c r="T20" i="12"/>
  <c r="U20" i="12" s="1"/>
  <c r="T18" i="12"/>
  <c r="U18" i="12" s="1"/>
  <c r="T16" i="12"/>
  <c r="U16" i="12" s="1"/>
  <c r="T14" i="12"/>
  <c r="U14" i="12" s="1"/>
  <c r="T12" i="12"/>
  <c r="U12" i="12" s="1"/>
  <c r="T10" i="12"/>
  <c r="U10" i="12" s="1"/>
  <c r="T8" i="12"/>
  <c r="U8" i="12" s="1"/>
  <c r="T6" i="12"/>
  <c r="U6" i="12" s="1"/>
  <c r="AB24" i="12"/>
  <c r="AC24" i="12" s="1"/>
  <c r="AB22" i="12"/>
  <c r="AC22" i="12" s="1"/>
  <c r="AB20" i="12"/>
  <c r="AC20" i="12" s="1"/>
  <c r="AB18" i="12"/>
  <c r="AC18" i="12" s="1"/>
  <c r="AB16" i="12"/>
  <c r="AC16" i="12" s="1"/>
  <c r="AB14" i="12"/>
  <c r="AC14" i="12" s="1"/>
  <c r="AB12" i="12"/>
  <c r="AC12" i="12" s="1"/>
  <c r="AB10" i="12"/>
  <c r="AC10" i="12" s="1"/>
  <c r="AB8" i="12"/>
  <c r="AC8" i="12" s="1"/>
  <c r="AB6" i="12"/>
  <c r="AC6" i="12" s="1"/>
  <c r="N131" i="10"/>
  <c r="D501" i="10"/>
  <c r="N129" i="10"/>
  <c r="D499" i="10"/>
  <c r="N127" i="10"/>
  <c r="D497" i="10"/>
  <c r="N125" i="10"/>
  <c r="D495" i="10"/>
  <c r="N123" i="10"/>
  <c r="D493" i="10"/>
  <c r="N121" i="10"/>
  <c r="D491" i="10"/>
  <c r="N119" i="10"/>
  <c r="D489" i="10"/>
  <c r="N117" i="10"/>
  <c r="D487" i="10"/>
  <c r="N115" i="10"/>
  <c r="D485" i="10"/>
  <c r="N113" i="10"/>
  <c r="D483" i="10"/>
  <c r="J84" i="12"/>
  <c r="K84" i="12" s="1"/>
  <c r="J82" i="12"/>
  <c r="K82" i="12" s="1"/>
  <c r="J80" i="12"/>
  <c r="K80" i="12" s="1"/>
  <c r="J78" i="12"/>
  <c r="K78" i="12" s="1"/>
  <c r="J76" i="12"/>
  <c r="K76" i="12" s="1"/>
  <c r="J74" i="12"/>
  <c r="K74" i="12" s="1"/>
  <c r="J72" i="12"/>
  <c r="K72" i="12" s="1"/>
  <c r="J70" i="12"/>
  <c r="K70" i="12" s="1"/>
  <c r="J68" i="12"/>
  <c r="K68" i="12" s="1"/>
  <c r="J66" i="12"/>
  <c r="K66" i="12" s="1"/>
  <c r="L84" i="12"/>
  <c r="M84" i="12" s="1"/>
  <c r="L82" i="12"/>
  <c r="M82" i="12" s="1"/>
  <c r="L80" i="12"/>
  <c r="M80" i="12" s="1"/>
  <c r="L78" i="12"/>
  <c r="M78" i="12" s="1"/>
  <c r="L76" i="12"/>
  <c r="M76" i="12" s="1"/>
  <c r="L74" i="12"/>
  <c r="M74" i="12" s="1"/>
  <c r="L72" i="12"/>
  <c r="M72" i="12" s="1"/>
  <c r="L70" i="12"/>
  <c r="M70" i="12" s="1"/>
  <c r="L68" i="12"/>
  <c r="M68" i="12" s="1"/>
  <c r="L66" i="12"/>
  <c r="M66" i="12" s="1"/>
  <c r="D552" i="10"/>
  <c r="D550" i="10"/>
  <c r="D548" i="10"/>
  <c r="D546" i="10"/>
  <c r="D544" i="10"/>
  <c r="D542" i="10"/>
  <c r="D540" i="10"/>
  <c r="D538" i="10"/>
  <c r="D536" i="10"/>
  <c r="D534" i="10"/>
  <c r="R85" i="12"/>
  <c r="S85" i="12" s="1"/>
  <c r="R83" i="12"/>
  <c r="S83" i="12" s="1"/>
  <c r="R81" i="12"/>
  <c r="S81" i="12" s="1"/>
  <c r="R79" i="12"/>
  <c r="S79" i="12" s="1"/>
  <c r="R77" i="12"/>
  <c r="S77" i="12" s="1"/>
  <c r="R75" i="12"/>
  <c r="S75" i="12" s="1"/>
  <c r="R71" i="12"/>
  <c r="S71" i="12" s="1"/>
  <c r="R67" i="12"/>
  <c r="S67" i="12" s="1"/>
  <c r="T83" i="12"/>
  <c r="U83" i="12" s="1"/>
  <c r="T79" i="12"/>
  <c r="U79" i="12" s="1"/>
  <c r="T75" i="12"/>
  <c r="U75" i="12" s="1"/>
  <c r="T71" i="12"/>
  <c r="U71" i="12" s="1"/>
  <c r="T67" i="12"/>
  <c r="U67" i="12" s="1"/>
  <c r="L53" i="12"/>
  <c r="M53" i="12" s="1"/>
  <c r="L51" i="12"/>
  <c r="M51" i="12" s="1"/>
  <c r="L49" i="12"/>
  <c r="M49" i="12" s="1"/>
  <c r="L47" i="12"/>
  <c r="M47" i="12" s="1"/>
  <c r="L45" i="12"/>
  <c r="M45" i="12" s="1"/>
  <c r="L43" i="12"/>
  <c r="M43" i="12" s="1"/>
  <c r="L41" i="12"/>
  <c r="M41" i="12" s="1"/>
  <c r="L39" i="12"/>
  <c r="M39" i="12" s="1"/>
  <c r="L37" i="12"/>
  <c r="M37" i="12" s="1"/>
  <c r="L35" i="12"/>
  <c r="M35" i="12" s="1"/>
  <c r="L33" i="12"/>
  <c r="M33" i="12" s="1"/>
  <c r="L31" i="12"/>
  <c r="M31" i="12" s="1"/>
  <c r="L29" i="12"/>
  <c r="M29" i="12" s="1"/>
  <c r="L27" i="12"/>
  <c r="M27" i="12" s="1"/>
  <c r="J25" i="12"/>
  <c r="K25" i="12" s="1"/>
  <c r="N82" i="10"/>
  <c r="D110" i="10"/>
  <c r="N80" i="10"/>
  <c r="D108" i="10"/>
  <c r="N78" i="10"/>
  <c r="D106" i="10"/>
  <c r="N76" i="10"/>
  <c r="J17" i="12"/>
  <c r="K17" i="12" s="1"/>
  <c r="N74" i="10"/>
  <c r="D102" i="10"/>
  <c r="N72" i="10"/>
  <c r="D100" i="10"/>
  <c r="N70" i="10"/>
  <c r="D98" i="10"/>
  <c r="N68" i="10"/>
  <c r="J9" i="12"/>
  <c r="K9" i="12" s="1"/>
  <c r="N66" i="10"/>
  <c r="D94" i="10"/>
  <c r="N64" i="10"/>
  <c r="L54" i="12"/>
  <c r="M54" i="12" s="1"/>
  <c r="J52" i="12"/>
  <c r="K52" i="12" s="1"/>
  <c r="L50" i="12"/>
  <c r="M50" i="12" s="1"/>
  <c r="J48" i="12"/>
  <c r="K48" i="12" s="1"/>
  <c r="L46" i="12"/>
  <c r="M46" i="12" s="1"/>
  <c r="L44" i="12"/>
  <c r="M44" i="12" s="1"/>
  <c r="L42" i="12"/>
  <c r="M42" i="12" s="1"/>
  <c r="L40" i="12"/>
  <c r="M40" i="12" s="1"/>
  <c r="J38" i="12"/>
  <c r="K38" i="12" s="1"/>
  <c r="J36" i="12"/>
  <c r="K36" i="12" s="1"/>
  <c r="J34" i="12"/>
  <c r="K34" i="12" s="1"/>
  <c r="J32" i="12"/>
  <c r="J30" i="12"/>
  <c r="K30" i="12" s="1"/>
  <c r="J28" i="12"/>
  <c r="K28" i="12" s="1"/>
  <c r="J26" i="12"/>
  <c r="K26" i="12" s="1"/>
  <c r="N83" i="10"/>
  <c r="L24" i="12"/>
  <c r="M24" i="12" s="1"/>
  <c r="N81" i="10"/>
  <c r="D109" i="10"/>
  <c r="N79" i="10"/>
  <c r="L20" i="12"/>
  <c r="M20" i="12" s="1"/>
  <c r="N77" i="10"/>
  <c r="D105" i="10"/>
  <c r="N75" i="10"/>
  <c r="L16" i="12"/>
  <c r="N73" i="10"/>
  <c r="D101" i="10"/>
  <c r="N71" i="10"/>
  <c r="L12" i="12"/>
  <c r="N69" i="10"/>
  <c r="D97" i="10"/>
  <c r="N67" i="10"/>
  <c r="L8" i="12"/>
  <c r="N65" i="10"/>
  <c r="D93" i="10"/>
  <c r="N63" i="10"/>
  <c r="T25" i="12"/>
  <c r="U25" i="12" s="1"/>
  <c r="T23" i="12"/>
  <c r="U23" i="12" s="1"/>
  <c r="T21" i="12"/>
  <c r="U21" i="12" s="1"/>
  <c r="T19" i="12"/>
  <c r="U19" i="12" s="1"/>
  <c r="T17" i="12"/>
  <c r="U17" i="12" s="1"/>
  <c r="T15" i="12"/>
  <c r="U15" i="12" s="1"/>
  <c r="T13" i="12"/>
  <c r="U13" i="12" s="1"/>
  <c r="T11" i="12"/>
  <c r="U11" i="12" s="1"/>
  <c r="T9" i="12"/>
  <c r="U9" i="12" s="1"/>
  <c r="T7" i="12"/>
  <c r="U7" i="12" s="1"/>
  <c r="AB25" i="12"/>
  <c r="AC25" i="12" s="1"/>
  <c r="AB23" i="12"/>
  <c r="AC23" i="12" s="1"/>
  <c r="AB21" i="12"/>
  <c r="AC21" i="12" s="1"/>
  <c r="AB19" i="12"/>
  <c r="AC19" i="12" s="1"/>
  <c r="AB17" i="12"/>
  <c r="AC17" i="12" s="1"/>
  <c r="AB15" i="12"/>
  <c r="AC15" i="12" s="1"/>
  <c r="AB13" i="12"/>
  <c r="AC13" i="12" s="1"/>
  <c r="AB11" i="12"/>
  <c r="AC11" i="12" s="1"/>
  <c r="AB9" i="12"/>
  <c r="AC9" i="12" s="1"/>
  <c r="AB7" i="12"/>
  <c r="AC7" i="12" s="1"/>
  <c r="N132" i="10"/>
  <c r="D502" i="10"/>
  <c r="N130" i="10"/>
  <c r="D500" i="10"/>
  <c r="N128" i="10"/>
  <c r="D498" i="10"/>
  <c r="N126" i="10"/>
  <c r="D496" i="10"/>
  <c r="N124" i="10"/>
  <c r="D494" i="10"/>
  <c r="N122" i="10"/>
  <c r="D492" i="10"/>
  <c r="N120" i="10"/>
  <c r="D490" i="10"/>
  <c r="N118" i="10"/>
  <c r="D488" i="10"/>
  <c r="N116" i="10"/>
  <c r="D486" i="10"/>
  <c r="N114" i="10"/>
  <c r="D484" i="10"/>
  <c r="J85" i="12"/>
  <c r="K85" i="12" s="1"/>
  <c r="J83" i="12"/>
  <c r="K83" i="12" s="1"/>
  <c r="J81" i="12"/>
  <c r="K81" i="12" s="1"/>
  <c r="J79" i="12"/>
  <c r="K79" i="12" s="1"/>
  <c r="J77" i="12"/>
  <c r="K77" i="12" s="1"/>
  <c r="J75" i="12"/>
  <c r="K75" i="12" s="1"/>
  <c r="J73" i="12"/>
  <c r="K73" i="12" s="1"/>
  <c r="J71" i="12"/>
  <c r="K71" i="12" s="1"/>
  <c r="J69" i="12"/>
  <c r="K69" i="12" s="1"/>
  <c r="J67" i="12"/>
  <c r="K67" i="12" s="1"/>
  <c r="L85" i="12"/>
  <c r="M85" i="12" s="1"/>
  <c r="L83" i="12"/>
  <c r="M83" i="12" s="1"/>
  <c r="L81" i="12"/>
  <c r="M81" i="12" s="1"/>
  <c r="L79" i="12"/>
  <c r="M79" i="12" s="1"/>
  <c r="L77" i="12"/>
  <c r="M77" i="12" s="1"/>
  <c r="L75" i="12"/>
  <c r="M75" i="12" s="1"/>
  <c r="L73" i="12"/>
  <c r="M73" i="12" s="1"/>
  <c r="L71" i="12"/>
  <c r="M71" i="12" s="1"/>
  <c r="L69" i="12"/>
  <c r="M69" i="12" s="1"/>
  <c r="L67" i="12"/>
  <c r="M67" i="12" s="1"/>
  <c r="D551" i="10"/>
  <c r="T84" i="12"/>
  <c r="U84" i="12" s="1"/>
  <c r="D549" i="10"/>
  <c r="T82" i="12"/>
  <c r="U82" i="12" s="1"/>
  <c r="D547" i="10"/>
  <c r="T80" i="12"/>
  <c r="U80" i="12" s="1"/>
  <c r="D545" i="10"/>
  <c r="T78" i="12"/>
  <c r="U78" i="12" s="1"/>
  <c r="D543" i="10"/>
  <c r="T76" i="12"/>
  <c r="U76" i="12" s="1"/>
  <c r="D541" i="10"/>
  <c r="T74" i="12"/>
  <c r="U74" i="12" s="1"/>
  <c r="R74" i="12"/>
  <c r="S74" i="12" s="1"/>
  <c r="D539" i="10"/>
  <c r="T72" i="12"/>
  <c r="U72" i="12" s="1"/>
  <c r="R72" i="12"/>
  <c r="S72" i="12" s="1"/>
  <c r="D537" i="10"/>
  <c r="T70" i="12"/>
  <c r="U70" i="12" s="1"/>
  <c r="R70" i="12"/>
  <c r="S70" i="12" s="1"/>
  <c r="D535" i="10"/>
  <c r="T68" i="12"/>
  <c r="U68" i="12" s="1"/>
  <c r="R68" i="12"/>
  <c r="S68" i="12" s="1"/>
  <c r="D533" i="10"/>
  <c r="T66" i="12"/>
  <c r="U66" i="12" s="1"/>
  <c r="R66" i="12"/>
  <c r="S66" i="12" s="1"/>
  <c r="R84" i="12"/>
  <c r="S84" i="12" s="1"/>
  <c r="R82" i="12"/>
  <c r="S82" i="12" s="1"/>
  <c r="R80" i="12"/>
  <c r="S80" i="12" s="1"/>
  <c r="R78" i="12"/>
  <c r="S78" i="12" s="1"/>
  <c r="R76" i="12"/>
  <c r="S76" i="12" s="1"/>
  <c r="R73" i="12"/>
  <c r="S73" i="12" s="1"/>
  <c r="R69" i="12"/>
  <c r="S69" i="12" s="1"/>
  <c r="T85" i="12"/>
  <c r="U85" i="12" s="1"/>
  <c r="T81" i="12"/>
  <c r="U81" i="12" s="1"/>
  <c r="T77" i="12"/>
  <c r="U77" i="12" s="1"/>
  <c r="T73" i="12"/>
  <c r="U73" i="12" s="1"/>
  <c r="T69" i="12"/>
  <c r="U69" i="12" s="1"/>
  <c r="AB84" i="12"/>
  <c r="AC84" i="12" s="1"/>
  <c r="Z84" i="12"/>
  <c r="AA84" i="12" s="1"/>
  <c r="D601" i="10"/>
  <c r="D599" i="10"/>
  <c r="AB82" i="12"/>
  <c r="AC82" i="12" s="1"/>
  <c r="Z82" i="12"/>
  <c r="AA82" i="12" s="1"/>
  <c r="AB80" i="12"/>
  <c r="AC80" i="12" s="1"/>
  <c r="Z80" i="12"/>
  <c r="AA80" i="12" s="1"/>
  <c r="D597" i="10"/>
  <c r="D595" i="10"/>
  <c r="AB78" i="12"/>
  <c r="AC78" i="12" s="1"/>
  <c r="Z78" i="12"/>
  <c r="AA78" i="12" s="1"/>
  <c r="AB76" i="12"/>
  <c r="AC76" i="12" s="1"/>
  <c r="Z76" i="12"/>
  <c r="AA76" i="12" s="1"/>
  <c r="D593" i="10"/>
  <c r="D591" i="10"/>
  <c r="AB74" i="12"/>
  <c r="AC74" i="12" s="1"/>
  <c r="Z74" i="12"/>
  <c r="AA74" i="12" s="1"/>
  <c r="AB72" i="12"/>
  <c r="AC72" i="12" s="1"/>
  <c r="Z72" i="12"/>
  <c r="AA72" i="12" s="1"/>
  <c r="D589" i="10"/>
  <c r="D602" i="10"/>
  <c r="D600" i="10"/>
  <c r="D598" i="10"/>
  <c r="D596" i="10"/>
  <c r="D594" i="10"/>
  <c r="D592" i="10"/>
  <c r="D590" i="10"/>
  <c r="D588" i="10"/>
  <c r="D586" i="10"/>
  <c r="D584" i="10"/>
  <c r="Z85" i="12"/>
  <c r="AA85" i="12" s="1"/>
  <c r="Z83" i="12"/>
  <c r="AA83" i="12" s="1"/>
  <c r="Z81" i="12"/>
  <c r="AA81" i="12" s="1"/>
  <c r="Z79" i="12"/>
  <c r="AA79" i="12" s="1"/>
  <c r="Z77" i="12"/>
  <c r="AA77" i="12" s="1"/>
  <c r="Z75" i="12"/>
  <c r="AA75" i="12" s="1"/>
  <c r="Z73" i="12"/>
  <c r="AA73" i="12" s="1"/>
  <c r="Z71" i="12"/>
  <c r="AA71" i="12" s="1"/>
  <c r="Z69" i="12"/>
  <c r="AA69" i="12" s="1"/>
  <c r="Z67" i="12"/>
  <c r="AA67" i="12" s="1"/>
  <c r="AB85" i="12"/>
  <c r="AC85" i="12" s="1"/>
  <c r="AB83" i="12"/>
  <c r="AC83" i="12" s="1"/>
  <c r="AB81" i="12"/>
  <c r="AC81" i="12" s="1"/>
  <c r="AB79" i="12"/>
  <c r="AC79" i="12" s="1"/>
  <c r="AB77" i="12"/>
  <c r="AC77" i="12" s="1"/>
  <c r="AB75" i="12"/>
  <c r="AC75" i="12" s="1"/>
  <c r="AB73" i="12"/>
  <c r="AC73" i="12" s="1"/>
  <c r="AB71" i="12"/>
  <c r="AC71" i="12" s="1"/>
  <c r="AB69" i="12"/>
  <c r="AC69" i="12" s="1"/>
  <c r="AB67" i="12"/>
  <c r="AC67" i="12" s="1"/>
  <c r="D585" i="10"/>
  <c r="Z70" i="12"/>
  <c r="AA70" i="12" s="1"/>
  <c r="Z68" i="12"/>
  <c r="AA68" i="12" s="1"/>
  <c r="Z66" i="12"/>
  <c r="AA66" i="12" s="1"/>
  <c r="AB70" i="12"/>
  <c r="AC70" i="12" s="1"/>
  <c r="AB68" i="12"/>
  <c r="AC68" i="12" s="1"/>
  <c r="AB66" i="12"/>
  <c r="AC66" i="12" s="1"/>
  <c r="AX84" i="12"/>
  <c r="AX82" i="12"/>
  <c r="AX80" i="12"/>
  <c r="AX78" i="12"/>
  <c r="AX76" i="12"/>
  <c r="AX74" i="12"/>
  <c r="AX72" i="12"/>
  <c r="AX70" i="12"/>
  <c r="AX68" i="12"/>
  <c r="AX66" i="12"/>
  <c r="J1382" i="20"/>
  <c r="J1383" i="20" s="1"/>
  <c r="I1382" i="20"/>
  <c r="I1383" i="20" s="1"/>
  <c r="D587" i="10"/>
  <c r="D583" i="10"/>
  <c r="AP84" i="12"/>
  <c r="AP82" i="12"/>
  <c r="AP78" i="12"/>
  <c r="AP74" i="12"/>
  <c r="AP72" i="12"/>
  <c r="AP68" i="12"/>
  <c r="E55" i="14"/>
  <c r="D56" i="14" s="1"/>
  <c r="E115" i="14"/>
  <c r="D116" i="14" s="1"/>
  <c r="D116" i="12"/>
  <c r="AM68" i="12"/>
  <c r="AM82" i="12"/>
  <c r="AM78" i="12"/>
  <c r="AM74" i="12"/>
  <c r="AM70" i="12"/>
  <c r="AN84" i="12"/>
  <c r="AN82" i="12"/>
  <c r="AN80" i="12"/>
  <c r="AN78" i="12"/>
  <c r="AN76" i="12"/>
  <c r="AN74" i="12"/>
  <c r="AN72" i="12"/>
  <c r="AN70" i="12"/>
  <c r="AN68" i="12"/>
  <c r="AM84" i="12"/>
  <c r="AM80" i="12"/>
  <c r="AM76" i="12"/>
  <c r="AM72" i="12"/>
  <c r="AP80" i="12"/>
  <c r="AP76" i="12"/>
  <c r="AO85" i="12"/>
  <c r="AO83" i="12"/>
  <c r="AO81" i="12"/>
  <c r="AO79" i="12"/>
  <c r="AO77" i="12"/>
  <c r="AO75" i="12"/>
  <c r="AO73" i="12"/>
  <c r="AO71" i="12"/>
  <c r="AO69" i="12"/>
  <c r="AM85" i="12"/>
  <c r="AM83" i="12"/>
  <c r="AM81" i="12"/>
  <c r="AM79" i="12"/>
  <c r="AM77" i="12"/>
  <c r="AM75" i="12"/>
  <c r="AM73" i="12"/>
  <c r="AM71" i="12"/>
  <c r="AM69" i="12"/>
  <c r="AP85" i="12"/>
  <c r="AN85" i="12"/>
  <c r="AO84" i="12"/>
  <c r="AP83" i="12"/>
  <c r="AN83" i="12"/>
  <c r="AO82" i="12"/>
  <c r="AP81" i="12"/>
  <c r="AN81" i="12"/>
  <c r="AO80" i="12"/>
  <c r="AP79" i="12"/>
  <c r="AN79" i="12"/>
  <c r="AO78" i="12"/>
  <c r="AP77" i="12"/>
  <c r="AN77" i="12"/>
  <c r="AO76" i="12"/>
  <c r="AP75" i="12"/>
  <c r="AN75" i="12"/>
  <c r="AO74" i="12"/>
  <c r="AP73" i="12"/>
  <c r="AN73" i="12"/>
  <c r="AO72" i="12"/>
  <c r="AP71" i="12"/>
  <c r="AN71" i="12"/>
  <c r="AO70" i="12"/>
  <c r="AP69" i="12"/>
  <c r="AN69" i="12"/>
  <c r="AO68" i="12"/>
  <c r="D1381" i="20"/>
  <c r="D1379" i="20"/>
  <c r="D1377" i="20"/>
  <c r="D1375" i="20"/>
  <c r="D1373" i="20"/>
  <c r="D1371" i="20"/>
  <c r="D1369" i="20"/>
  <c r="D1367" i="20"/>
  <c r="D1365" i="20"/>
  <c r="D1363" i="20"/>
  <c r="D1361" i="20"/>
  <c r="I1344" i="20"/>
  <c r="I1345" i="20" s="1"/>
  <c r="D1357" i="20"/>
  <c r="D1359" i="20"/>
  <c r="D1355" i="20"/>
  <c r="D1353" i="20"/>
  <c r="D1351" i="20"/>
  <c r="D1349" i="20"/>
  <c r="H1344" i="20"/>
  <c r="H1345" i="20" s="1"/>
  <c r="D1347" i="20"/>
  <c r="I1380" i="20"/>
  <c r="I1381" i="20" s="1"/>
  <c r="I1378" i="20"/>
  <c r="I1379" i="20" s="1"/>
  <c r="I1376" i="20"/>
  <c r="I1377" i="20" s="1"/>
  <c r="I1374" i="20"/>
  <c r="I1375" i="20" s="1"/>
  <c r="I1372" i="20"/>
  <c r="I1373" i="20" s="1"/>
  <c r="I1370" i="20"/>
  <c r="I1371" i="20" s="1"/>
  <c r="I1368" i="20"/>
  <c r="I1369" i="20" s="1"/>
  <c r="I1366" i="20"/>
  <c r="I1367" i="20" s="1"/>
  <c r="I1364" i="20"/>
  <c r="I1365" i="20" s="1"/>
  <c r="I1362" i="20"/>
  <c r="I1363" i="20" s="1"/>
  <c r="I1360" i="20"/>
  <c r="I1361" i="20" s="1"/>
  <c r="I1358" i="20"/>
  <c r="I1359" i="20" s="1"/>
  <c r="I1356" i="20"/>
  <c r="I1357" i="20" s="1"/>
  <c r="I1354" i="20"/>
  <c r="I1355" i="20" s="1"/>
  <c r="I1352" i="20"/>
  <c r="I1353" i="20" s="1"/>
  <c r="I1350" i="20"/>
  <c r="I1351" i="20" s="1"/>
  <c r="I1348" i="20"/>
  <c r="I1349" i="20" s="1"/>
  <c r="I1346" i="20"/>
  <c r="I1347" i="20" s="1"/>
  <c r="J1380" i="20"/>
  <c r="J1381" i="20" s="1"/>
  <c r="J1378" i="20"/>
  <c r="J1379" i="20" s="1"/>
  <c r="J1376" i="20"/>
  <c r="J1377" i="20" s="1"/>
  <c r="J1374" i="20"/>
  <c r="J1375" i="20" s="1"/>
  <c r="J1372" i="20"/>
  <c r="J1373" i="20" s="1"/>
  <c r="J1370" i="20"/>
  <c r="J1371" i="20" s="1"/>
  <c r="J1368" i="20"/>
  <c r="J1369" i="20" s="1"/>
  <c r="J1366" i="20"/>
  <c r="J1367" i="20" s="1"/>
  <c r="J1364" i="20"/>
  <c r="J1365" i="20" s="1"/>
  <c r="J1362" i="20"/>
  <c r="J1363" i="20" s="1"/>
  <c r="J1360" i="20"/>
  <c r="J1361" i="20" s="1"/>
  <c r="J1358" i="20"/>
  <c r="J1359" i="20" s="1"/>
  <c r="J1356" i="20"/>
  <c r="J1357" i="20" s="1"/>
  <c r="J1354" i="20"/>
  <c r="J1355" i="20" s="1"/>
  <c r="J1352" i="20"/>
  <c r="J1353" i="20" s="1"/>
  <c r="J1350" i="20"/>
  <c r="J1351" i="20" s="1"/>
  <c r="J1348" i="20"/>
  <c r="J1349" i="20" s="1"/>
  <c r="J1346" i="20"/>
  <c r="J1347" i="20" s="1"/>
  <c r="D1273" i="20"/>
  <c r="D1283" i="20"/>
  <c r="D1281" i="20"/>
  <c r="D1279" i="20"/>
  <c r="D1277" i="20"/>
  <c r="D1275" i="20"/>
  <c r="D1271" i="20"/>
  <c r="D1269" i="20"/>
  <c r="D1267" i="20"/>
  <c r="D1265" i="20"/>
  <c r="D1263" i="20"/>
  <c r="D1261" i="20"/>
  <c r="D1259" i="20"/>
  <c r="D1257" i="20"/>
  <c r="D1255" i="20"/>
  <c r="D1253" i="20"/>
  <c r="D1251" i="20"/>
  <c r="I1182" i="20"/>
  <c r="I1183" i="20" s="1"/>
  <c r="D1249" i="20"/>
  <c r="I1244" i="20"/>
  <c r="I1245" i="20" s="1"/>
  <c r="D1247" i="20"/>
  <c r="D1183" i="20"/>
  <c r="H1244" i="20"/>
  <c r="H1245" i="20" s="1"/>
  <c r="I1280" i="20"/>
  <c r="I1281" i="20" s="1"/>
  <c r="I1278" i="20"/>
  <c r="I1279" i="20" s="1"/>
  <c r="I1276" i="20"/>
  <c r="I1277" i="20" s="1"/>
  <c r="I1274" i="20"/>
  <c r="I1275" i="20" s="1"/>
  <c r="I1272" i="20"/>
  <c r="I1273" i="20" s="1"/>
  <c r="I1270" i="20"/>
  <c r="I1271" i="20" s="1"/>
  <c r="I1268" i="20"/>
  <c r="I1269" i="20" s="1"/>
  <c r="I1266" i="20"/>
  <c r="I1267" i="20" s="1"/>
  <c r="I1264" i="20"/>
  <c r="I1265" i="20" s="1"/>
  <c r="I1262" i="20"/>
  <c r="I1263" i="20" s="1"/>
  <c r="I1260" i="20"/>
  <c r="I1261" i="20" s="1"/>
  <c r="I1258" i="20"/>
  <c r="I1259" i="20" s="1"/>
  <c r="I1256" i="20"/>
  <c r="I1257" i="20" s="1"/>
  <c r="I1254" i="20"/>
  <c r="I1255" i="20" s="1"/>
  <c r="I1252" i="20"/>
  <c r="I1253" i="20" s="1"/>
  <c r="I1250" i="20"/>
  <c r="I1251" i="20" s="1"/>
  <c r="I1248" i="20"/>
  <c r="I1249" i="20" s="1"/>
  <c r="I1246" i="20"/>
  <c r="I1247" i="20" s="1"/>
  <c r="I1282" i="20"/>
  <c r="I1283" i="20" s="1"/>
  <c r="J1282" i="20"/>
  <c r="J1283" i="20" s="1"/>
  <c r="J1280" i="20"/>
  <c r="J1281" i="20" s="1"/>
  <c r="J1278" i="20"/>
  <c r="J1279" i="20" s="1"/>
  <c r="J1276" i="20"/>
  <c r="J1277" i="20" s="1"/>
  <c r="J1274" i="20"/>
  <c r="J1275" i="20" s="1"/>
  <c r="J1272" i="20"/>
  <c r="J1273" i="20" s="1"/>
  <c r="J1270" i="20"/>
  <c r="J1271" i="20" s="1"/>
  <c r="J1268" i="20"/>
  <c r="J1269" i="20" s="1"/>
  <c r="J1266" i="20"/>
  <c r="J1267" i="20" s="1"/>
  <c r="J1264" i="20"/>
  <c r="J1265" i="20" s="1"/>
  <c r="J1262" i="20"/>
  <c r="J1263" i="20" s="1"/>
  <c r="J1260" i="20"/>
  <c r="J1261" i="20" s="1"/>
  <c r="J1258" i="20"/>
  <c r="J1259" i="20" s="1"/>
  <c r="J1256" i="20"/>
  <c r="J1257" i="20" s="1"/>
  <c r="J1254" i="20"/>
  <c r="J1255" i="20" s="1"/>
  <c r="J1252" i="20"/>
  <c r="J1253" i="20" s="1"/>
  <c r="J1250" i="20"/>
  <c r="J1251" i="20" s="1"/>
  <c r="J1248" i="20"/>
  <c r="J1249" i="20" s="1"/>
  <c r="J1246" i="20"/>
  <c r="J1247" i="20" s="1"/>
  <c r="D1181" i="20"/>
  <c r="D1173" i="20"/>
  <c r="D1177" i="20"/>
  <c r="D1179" i="20"/>
  <c r="D1175" i="20"/>
  <c r="D1171" i="20"/>
  <c r="D1169" i="20"/>
  <c r="D1165" i="20"/>
  <c r="D1167" i="20"/>
  <c r="D1163" i="20"/>
  <c r="D1159" i="20"/>
  <c r="D1161" i="20"/>
  <c r="D1157" i="20"/>
  <c r="D1155" i="20"/>
  <c r="H1166" i="20"/>
  <c r="H1167" i="20" s="1"/>
  <c r="D1153" i="20"/>
  <c r="D1151" i="20"/>
  <c r="I1144" i="20"/>
  <c r="I1145" i="20" s="1"/>
  <c r="H1150" i="20"/>
  <c r="H1151" i="20" s="1"/>
  <c r="D1149" i="20"/>
  <c r="H1158" i="20"/>
  <c r="H1159" i="20" s="1"/>
  <c r="H1174" i="20"/>
  <c r="H1175" i="20" s="1"/>
  <c r="D1147" i="20"/>
  <c r="H1144" i="20"/>
  <c r="H1145" i="20" s="1"/>
  <c r="H1146" i="20"/>
  <c r="H1147" i="20" s="1"/>
  <c r="H1154" i="20"/>
  <c r="H1155" i="20" s="1"/>
  <c r="H1162" i="20"/>
  <c r="H1163" i="20" s="1"/>
  <c r="H1170" i="20"/>
  <c r="H1171" i="20" s="1"/>
  <c r="H1178" i="20"/>
  <c r="H1179" i="20" s="1"/>
  <c r="J1148" i="20"/>
  <c r="J1149" i="20" s="1"/>
  <c r="J1152" i="20"/>
  <c r="J1153" i="20" s="1"/>
  <c r="J1156" i="20"/>
  <c r="J1157" i="20" s="1"/>
  <c r="J1160" i="20"/>
  <c r="J1161" i="20" s="1"/>
  <c r="J1164" i="20"/>
  <c r="J1165" i="20" s="1"/>
  <c r="J1168" i="20"/>
  <c r="J1169" i="20" s="1"/>
  <c r="J1172" i="20"/>
  <c r="J1173" i="20" s="1"/>
  <c r="J1176" i="20"/>
  <c r="J1177" i="20" s="1"/>
  <c r="J1180" i="20"/>
  <c r="J1181" i="20" s="1"/>
  <c r="J1146" i="20"/>
  <c r="J1147" i="20" s="1"/>
  <c r="H1148" i="20"/>
  <c r="H1149" i="20" s="1"/>
  <c r="J1150" i="20"/>
  <c r="J1151" i="20" s="1"/>
  <c r="H1152" i="20"/>
  <c r="H1153" i="20" s="1"/>
  <c r="J1154" i="20"/>
  <c r="J1155" i="20" s="1"/>
  <c r="H1156" i="20"/>
  <c r="H1157" i="20" s="1"/>
  <c r="J1158" i="20"/>
  <c r="J1159" i="20" s="1"/>
  <c r="H1160" i="20"/>
  <c r="H1161" i="20" s="1"/>
  <c r="J1162" i="20"/>
  <c r="J1163" i="20" s="1"/>
  <c r="H1164" i="20"/>
  <c r="H1165" i="20" s="1"/>
  <c r="J1166" i="20"/>
  <c r="J1167" i="20" s="1"/>
  <c r="H1168" i="20"/>
  <c r="H1169" i="20" s="1"/>
  <c r="J1170" i="20"/>
  <c r="J1171" i="20" s="1"/>
  <c r="H1172" i="20"/>
  <c r="H1173" i="20" s="1"/>
  <c r="J1174" i="20"/>
  <c r="J1175" i="20" s="1"/>
  <c r="H1176" i="20"/>
  <c r="H1177" i="20" s="1"/>
  <c r="J1178" i="20"/>
  <c r="J1179" i="20" s="1"/>
  <c r="H1180" i="20"/>
  <c r="H1181" i="20" s="1"/>
  <c r="D201" i="10"/>
  <c r="D202" i="10"/>
  <c r="D198" i="10"/>
  <c r="AX9" i="12"/>
  <c r="AX7" i="12"/>
  <c r="AX25" i="12"/>
  <c r="D212" i="10"/>
  <c r="D211" i="10"/>
  <c r="AX24" i="12"/>
  <c r="D210" i="10"/>
  <c r="D209" i="10"/>
  <c r="D208" i="10"/>
  <c r="D207" i="10"/>
  <c r="D206" i="10"/>
  <c r="AX18" i="12"/>
  <c r="D205" i="10"/>
  <c r="D204" i="10"/>
  <c r="D203" i="10"/>
  <c r="D200" i="10"/>
  <c r="D199" i="10"/>
  <c r="D197" i="10"/>
  <c r="AX10" i="12"/>
  <c r="D196" i="10"/>
  <c r="D195" i="10"/>
  <c r="D194" i="10"/>
  <c r="D193" i="10"/>
  <c r="D162" i="10"/>
  <c r="D161" i="10"/>
  <c r="D160" i="10"/>
  <c r="D159" i="10"/>
  <c r="D158" i="10"/>
  <c r="D157" i="10"/>
  <c r="D156" i="10"/>
  <c r="D155" i="10"/>
  <c r="AX17" i="12"/>
  <c r="D154" i="10"/>
  <c r="AX16" i="12"/>
  <c r="D153" i="10"/>
  <c r="AX15" i="12"/>
  <c r="D152" i="10"/>
  <c r="D151" i="10"/>
  <c r="D150" i="10"/>
  <c r="AX12" i="12"/>
  <c r="D149" i="10"/>
  <c r="D148" i="10"/>
  <c r="D147" i="10"/>
  <c r="D146" i="10"/>
  <c r="D145" i="10"/>
  <c r="D144" i="10"/>
  <c r="D143" i="10"/>
  <c r="J37" i="12"/>
  <c r="K37" i="12" s="1"/>
  <c r="D112" i="10"/>
  <c r="D111" i="10"/>
  <c r="J21" i="12"/>
  <c r="K21" i="12" s="1"/>
  <c r="AX21" i="12"/>
  <c r="D107" i="10"/>
  <c r="AX20" i="12"/>
  <c r="AX19" i="12"/>
  <c r="D104" i="10"/>
  <c r="D103" i="10"/>
  <c r="D99" i="10"/>
  <c r="AX11" i="12"/>
  <c r="D96" i="10"/>
  <c r="D95" i="10"/>
  <c r="J384" i="20"/>
  <c r="J385" i="20" s="1"/>
  <c r="AM22" i="12"/>
  <c r="AM18" i="12"/>
  <c r="AM14" i="12"/>
  <c r="AM10" i="12"/>
  <c r="F69" i="18"/>
  <c r="F59" i="18"/>
  <c r="H59" i="18" s="1"/>
  <c r="F67" i="18"/>
  <c r="H67" i="18" s="1"/>
  <c r="F75" i="18"/>
  <c r="AM6" i="12"/>
  <c r="F64" i="18"/>
  <c r="F63" i="18"/>
  <c r="H63" i="18" s="1"/>
  <c r="F61" i="18"/>
  <c r="F77" i="18"/>
  <c r="F62" i="18"/>
  <c r="F65" i="18"/>
  <c r="F73" i="18"/>
  <c r="J184" i="20"/>
  <c r="J185" i="20" s="1"/>
  <c r="F66" i="18"/>
  <c r="F60" i="18"/>
  <c r="AM25" i="12"/>
  <c r="AM23" i="12"/>
  <c r="AM21" i="12"/>
  <c r="AM19" i="12"/>
  <c r="AM17" i="12"/>
  <c r="AM15" i="12"/>
  <c r="AM13" i="12"/>
  <c r="AM11" i="12"/>
  <c r="AM9" i="12"/>
  <c r="AM7" i="12"/>
  <c r="AN22" i="12"/>
  <c r="AN18" i="12"/>
  <c r="AN14" i="12"/>
  <c r="AN10" i="12"/>
  <c r="AN6" i="12"/>
  <c r="F66" i="12" s="1"/>
  <c r="AN66" i="12" s="1"/>
  <c r="H131" i="18"/>
  <c r="C131" i="18"/>
  <c r="H129" i="18"/>
  <c r="C129" i="18"/>
  <c r="H127" i="18"/>
  <c r="C127" i="18"/>
  <c r="H125" i="18"/>
  <c r="C125" i="18"/>
  <c r="H123" i="18"/>
  <c r="C123" i="18"/>
  <c r="H121" i="18"/>
  <c r="C121" i="18"/>
  <c r="H119" i="18"/>
  <c r="C119" i="18"/>
  <c r="H117" i="18"/>
  <c r="C117" i="18"/>
  <c r="H115" i="18"/>
  <c r="C115" i="18"/>
  <c r="H113" i="18"/>
  <c r="C113" i="18"/>
  <c r="H130" i="18"/>
  <c r="C130" i="18"/>
  <c r="H128" i="18"/>
  <c r="C128" i="18"/>
  <c r="H126" i="18"/>
  <c r="C126" i="18"/>
  <c r="H124" i="18"/>
  <c r="C124" i="18"/>
  <c r="H122" i="18"/>
  <c r="C122" i="18"/>
  <c r="H120" i="18"/>
  <c r="C120" i="18"/>
  <c r="H118" i="18"/>
  <c r="C118" i="18"/>
  <c r="H116" i="18"/>
  <c r="C116" i="18"/>
  <c r="H114" i="18"/>
  <c r="C114" i="18"/>
  <c r="AM24" i="12"/>
  <c r="AM20" i="12"/>
  <c r="AM16" i="12"/>
  <c r="AM12" i="12"/>
  <c r="AM8" i="12"/>
  <c r="F127" i="18"/>
  <c r="G127" i="18" s="1"/>
  <c r="F119" i="18"/>
  <c r="F131" i="18"/>
  <c r="F123" i="18"/>
  <c r="G123" i="18" s="1"/>
  <c r="F115" i="18"/>
  <c r="G130" i="18"/>
  <c r="G131" i="18"/>
  <c r="G119" i="18"/>
  <c r="G117" i="18"/>
  <c r="G115" i="18"/>
  <c r="F129" i="18"/>
  <c r="G129" i="18" s="1"/>
  <c r="F125" i="18"/>
  <c r="G125" i="18" s="1"/>
  <c r="F121" i="18"/>
  <c r="G121" i="18" s="1"/>
  <c r="F117" i="18"/>
  <c r="F113" i="18"/>
  <c r="G113" i="18" s="1"/>
  <c r="D423" i="20"/>
  <c r="D421" i="20"/>
  <c r="D419" i="20"/>
  <c r="D417" i="20"/>
  <c r="D415" i="20"/>
  <c r="D413" i="20"/>
  <c r="D411" i="20"/>
  <c r="D409" i="20"/>
  <c r="D407" i="20"/>
  <c r="D405" i="20"/>
  <c r="D403" i="20"/>
  <c r="D401" i="20"/>
  <c r="D399" i="20"/>
  <c r="D397" i="20"/>
  <c r="D395" i="20"/>
  <c r="I384" i="20"/>
  <c r="I385" i="20" s="1"/>
  <c r="D393" i="20"/>
  <c r="D391" i="20"/>
  <c r="D389" i="20"/>
  <c r="D387" i="20"/>
  <c r="H384" i="20"/>
  <c r="H385" i="20" s="1"/>
  <c r="I422" i="20"/>
  <c r="I423" i="20" s="1"/>
  <c r="I420" i="20"/>
  <c r="I421" i="20" s="1"/>
  <c r="I418" i="20"/>
  <c r="I419" i="20" s="1"/>
  <c r="I416" i="20"/>
  <c r="I417" i="20" s="1"/>
  <c r="I414" i="20"/>
  <c r="I415" i="20" s="1"/>
  <c r="I412" i="20"/>
  <c r="I413" i="20" s="1"/>
  <c r="I410" i="20"/>
  <c r="I411" i="20" s="1"/>
  <c r="I408" i="20"/>
  <c r="I409" i="20" s="1"/>
  <c r="I406" i="20"/>
  <c r="I407" i="20" s="1"/>
  <c r="I404" i="20"/>
  <c r="I405" i="20" s="1"/>
  <c r="I402" i="20"/>
  <c r="I403" i="20" s="1"/>
  <c r="I400" i="20"/>
  <c r="I401" i="20" s="1"/>
  <c r="I398" i="20"/>
  <c r="I399" i="20" s="1"/>
  <c r="I396" i="20"/>
  <c r="I397" i="20" s="1"/>
  <c r="I394" i="20"/>
  <c r="I395" i="20" s="1"/>
  <c r="I392" i="20"/>
  <c r="I393" i="20" s="1"/>
  <c r="I390" i="20"/>
  <c r="I391" i="20" s="1"/>
  <c r="I388" i="20"/>
  <c r="I389" i="20" s="1"/>
  <c r="I386" i="20"/>
  <c r="I387" i="20" s="1"/>
  <c r="J422" i="20"/>
  <c r="J423" i="20" s="1"/>
  <c r="J420" i="20"/>
  <c r="J421" i="20" s="1"/>
  <c r="J418" i="20"/>
  <c r="J419" i="20" s="1"/>
  <c r="J416" i="20"/>
  <c r="J417" i="20" s="1"/>
  <c r="J414" i="20"/>
  <c r="J415" i="20" s="1"/>
  <c r="J412" i="20"/>
  <c r="J413" i="20" s="1"/>
  <c r="J410" i="20"/>
  <c r="J411" i="20" s="1"/>
  <c r="J408" i="20"/>
  <c r="J409" i="20" s="1"/>
  <c r="J406" i="20"/>
  <c r="J407" i="20" s="1"/>
  <c r="J404" i="20"/>
  <c r="J405" i="20" s="1"/>
  <c r="J402" i="20"/>
  <c r="J403" i="20" s="1"/>
  <c r="J400" i="20"/>
  <c r="J401" i="20" s="1"/>
  <c r="J398" i="20"/>
  <c r="J399" i="20" s="1"/>
  <c r="J396" i="20"/>
  <c r="J397" i="20" s="1"/>
  <c r="J394" i="20"/>
  <c r="J395" i="20" s="1"/>
  <c r="J392" i="20"/>
  <c r="J393" i="20" s="1"/>
  <c r="J390" i="20"/>
  <c r="J391" i="20" s="1"/>
  <c r="J388" i="20"/>
  <c r="J389" i="20" s="1"/>
  <c r="J386" i="20"/>
  <c r="J387" i="20" s="1"/>
  <c r="D323" i="20"/>
  <c r="D321" i="20"/>
  <c r="D319" i="20"/>
  <c r="D317" i="20"/>
  <c r="D315" i="20"/>
  <c r="D313" i="20"/>
  <c r="D311" i="20"/>
  <c r="D309" i="20"/>
  <c r="D307" i="20"/>
  <c r="D305" i="20"/>
  <c r="D303" i="20"/>
  <c r="D301" i="20"/>
  <c r="D299" i="20"/>
  <c r="D297" i="20"/>
  <c r="D295" i="20"/>
  <c r="D293" i="20"/>
  <c r="I284" i="20"/>
  <c r="I285" i="20" s="1"/>
  <c r="D291" i="20"/>
  <c r="D289" i="20"/>
  <c r="D287" i="20"/>
  <c r="H284" i="20"/>
  <c r="H285" i="20" s="1"/>
  <c r="I322" i="20"/>
  <c r="I323" i="20" s="1"/>
  <c r="I320" i="20"/>
  <c r="I321" i="20" s="1"/>
  <c r="I318" i="20"/>
  <c r="I319" i="20" s="1"/>
  <c r="I316" i="20"/>
  <c r="I317" i="20" s="1"/>
  <c r="I314" i="20"/>
  <c r="I315" i="20" s="1"/>
  <c r="I312" i="20"/>
  <c r="I313" i="20" s="1"/>
  <c r="I310" i="20"/>
  <c r="I311" i="20" s="1"/>
  <c r="I308" i="20"/>
  <c r="I309" i="20" s="1"/>
  <c r="I306" i="20"/>
  <c r="I307" i="20" s="1"/>
  <c r="I304" i="20"/>
  <c r="I305" i="20" s="1"/>
  <c r="I302" i="20"/>
  <c r="I303" i="20" s="1"/>
  <c r="I300" i="20"/>
  <c r="I301" i="20" s="1"/>
  <c r="I298" i="20"/>
  <c r="I299" i="20" s="1"/>
  <c r="I296" i="20"/>
  <c r="I297" i="20" s="1"/>
  <c r="I294" i="20"/>
  <c r="I295" i="20" s="1"/>
  <c r="I292" i="20"/>
  <c r="I293" i="20" s="1"/>
  <c r="I290" i="20"/>
  <c r="I291" i="20" s="1"/>
  <c r="I288" i="20"/>
  <c r="I289" i="20" s="1"/>
  <c r="I286" i="20"/>
  <c r="I287" i="20" s="1"/>
  <c r="J322" i="20"/>
  <c r="J323" i="20" s="1"/>
  <c r="J320" i="20"/>
  <c r="J321" i="20" s="1"/>
  <c r="J318" i="20"/>
  <c r="J319" i="20" s="1"/>
  <c r="J316" i="20"/>
  <c r="J317" i="20" s="1"/>
  <c r="J314" i="20"/>
  <c r="J315" i="20" s="1"/>
  <c r="J312" i="20"/>
  <c r="J313" i="20" s="1"/>
  <c r="J310" i="20"/>
  <c r="J311" i="20" s="1"/>
  <c r="J308" i="20"/>
  <c r="J309" i="20" s="1"/>
  <c r="J306" i="20"/>
  <c r="J307" i="20" s="1"/>
  <c r="J304" i="20"/>
  <c r="J305" i="20" s="1"/>
  <c r="J302" i="20"/>
  <c r="J303" i="20" s="1"/>
  <c r="J300" i="20"/>
  <c r="J301" i="20" s="1"/>
  <c r="J298" i="20"/>
  <c r="J299" i="20" s="1"/>
  <c r="J296" i="20"/>
  <c r="J297" i="20" s="1"/>
  <c r="J294" i="20"/>
  <c r="J295" i="20" s="1"/>
  <c r="J292" i="20"/>
  <c r="J293" i="20" s="1"/>
  <c r="J290" i="20"/>
  <c r="J291" i="20" s="1"/>
  <c r="J288" i="20"/>
  <c r="J289" i="20" s="1"/>
  <c r="J286" i="20"/>
  <c r="J287" i="20" s="1"/>
  <c r="D223" i="20"/>
  <c r="D221" i="20"/>
  <c r="D219" i="20"/>
  <c r="D217" i="20"/>
  <c r="D215" i="20"/>
  <c r="D213" i="20"/>
  <c r="D211" i="20"/>
  <c r="D209" i="20"/>
  <c r="D207" i="20"/>
  <c r="D205" i="20"/>
  <c r="I198" i="20"/>
  <c r="I199" i="20" s="1"/>
  <c r="D197" i="20"/>
  <c r="D203" i="20"/>
  <c r="D201" i="20"/>
  <c r="D199" i="20"/>
  <c r="J198" i="20"/>
  <c r="J199" i="20" s="1"/>
  <c r="D195" i="20"/>
  <c r="D193" i="20"/>
  <c r="I184" i="20"/>
  <c r="I185" i="20" s="1"/>
  <c r="D191" i="20"/>
  <c r="D189" i="20"/>
  <c r="D187" i="20"/>
  <c r="H184" i="20"/>
  <c r="H185" i="20" s="1"/>
  <c r="I222" i="20"/>
  <c r="I223" i="20" s="1"/>
  <c r="I220" i="20"/>
  <c r="I221" i="20" s="1"/>
  <c r="I218" i="20"/>
  <c r="I219" i="20" s="1"/>
  <c r="I216" i="20"/>
  <c r="I217" i="20" s="1"/>
  <c r="I214" i="20"/>
  <c r="I215" i="20" s="1"/>
  <c r="I212" i="20"/>
  <c r="I213" i="20" s="1"/>
  <c r="I210" i="20"/>
  <c r="I211" i="20" s="1"/>
  <c r="I208" i="20"/>
  <c r="I209" i="20" s="1"/>
  <c r="I206" i="20"/>
  <c r="I207" i="20" s="1"/>
  <c r="I204" i="20"/>
  <c r="I205" i="20" s="1"/>
  <c r="I202" i="20"/>
  <c r="I203" i="20" s="1"/>
  <c r="I200" i="20"/>
  <c r="I201" i="20" s="1"/>
  <c r="I196" i="20"/>
  <c r="I197" i="20" s="1"/>
  <c r="I194" i="20"/>
  <c r="I195" i="20" s="1"/>
  <c r="I192" i="20"/>
  <c r="I193" i="20" s="1"/>
  <c r="I190" i="20"/>
  <c r="I191" i="20" s="1"/>
  <c r="I188" i="20"/>
  <c r="I189" i="20" s="1"/>
  <c r="I186" i="20"/>
  <c r="I187" i="20" s="1"/>
  <c r="J222" i="20"/>
  <c r="J223" i="20" s="1"/>
  <c r="J220" i="20"/>
  <c r="J221" i="20" s="1"/>
  <c r="J218" i="20"/>
  <c r="J219" i="20" s="1"/>
  <c r="J216" i="20"/>
  <c r="J217" i="20" s="1"/>
  <c r="J214" i="20"/>
  <c r="J215" i="20" s="1"/>
  <c r="J212" i="20"/>
  <c r="J213" i="20" s="1"/>
  <c r="J210" i="20"/>
  <c r="J211" i="20" s="1"/>
  <c r="J208" i="20"/>
  <c r="J209" i="20" s="1"/>
  <c r="J206" i="20"/>
  <c r="J207" i="20" s="1"/>
  <c r="J204" i="20"/>
  <c r="J205" i="20" s="1"/>
  <c r="J202" i="20"/>
  <c r="J203" i="20" s="1"/>
  <c r="J200" i="20"/>
  <c r="J201" i="20" s="1"/>
  <c r="J196" i="20"/>
  <c r="J197" i="20" s="1"/>
  <c r="J194" i="20"/>
  <c r="J195" i="20" s="1"/>
  <c r="J192" i="20"/>
  <c r="J193" i="20" s="1"/>
  <c r="J190" i="20"/>
  <c r="J191" i="20" s="1"/>
  <c r="J188" i="20"/>
  <c r="J189" i="20" s="1"/>
  <c r="J186" i="20"/>
  <c r="J187" i="20" s="1"/>
  <c r="F130" i="18"/>
  <c r="F128" i="18"/>
  <c r="G128" i="18" s="1"/>
  <c r="F126" i="18"/>
  <c r="G126" i="18" s="1"/>
  <c r="F124" i="18"/>
  <c r="G124" i="18" s="1"/>
  <c r="F122" i="18"/>
  <c r="G122" i="18" s="1"/>
  <c r="F120" i="18"/>
  <c r="G120" i="18" s="1"/>
  <c r="F118" i="18"/>
  <c r="G118" i="18" s="1"/>
  <c r="F116" i="18"/>
  <c r="G116" i="18" s="1"/>
  <c r="F114" i="18"/>
  <c r="G114" i="18" s="1"/>
  <c r="F132" i="18"/>
  <c r="G132" i="18" s="1"/>
  <c r="C132" i="18"/>
  <c r="C5" i="18"/>
  <c r="F9" i="18"/>
  <c r="G9" i="18" s="1"/>
  <c r="C7" i="18"/>
  <c r="F7" i="18"/>
  <c r="G7" i="18" s="1"/>
  <c r="H7" i="18"/>
  <c r="C11" i="18"/>
  <c r="F11" i="18"/>
  <c r="G11" i="18" s="1"/>
  <c r="H11" i="18"/>
  <c r="F5" i="18"/>
  <c r="G5" i="18" s="1"/>
  <c r="C9" i="18"/>
  <c r="F68" i="18"/>
  <c r="H68" i="18" s="1"/>
  <c r="H12" i="18"/>
  <c r="H10" i="18"/>
  <c r="H8" i="18"/>
  <c r="H6" i="18"/>
  <c r="G12" i="18"/>
  <c r="G10" i="18"/>
  <c r="G8" i="18"/>
  <c r="G6" i="18"/>
  <c r="F12" i="18"/>
  <c r="F10" i="18"/>
  <c r="F8" i="18"/>
  <c r="F6" i="18"/>
  <c r="F71" i="18"/>
  <c r="H71" i="18" s="1"/>
  <c r="D56" i="12"/>
  <c r="F78" i="18"/>
  <c r="H78" i="18" s="1"/>
  <c r="F76" i="18"/>
  <c r="H76" i="18" s="1"/>
  <c r="F74" i="18"/>
  <c r="H74" i="18" s="1"/>
  <c r="F72" i="18"/>
  <c r="H72" i="18" s="1"/>
  <c r="F70" i="18"/>
  <c r="H70" i="18" s="1"/>
  <c r="AO22" i="12"/>
  <c r="AO18" i="12"/>
  <c r="AO14" i="12"/>
  <c r="AO10" i="12"/>
  <c r="AO6" i="12"/>
  <c r="N66" i="12" s="1"/>
  <c r="AO66" i="12" s="1"/>
  <c r="AP22" i="12"/>
  <c r="AP18" i="12"/>
  <c r="AP14" i="12"/>
  <c r="AP10" i="12"/>
  <c r="AP6" i="12"/>
  <c r="V66" i="12" s="1"/>
  <c r="AP66" i="12" s="1"/>
  <c r="AN23" i="12"/>
  <c r="AN21" i="12"/>
  <c r="AN19" i="12"/>
  <c r="AN15" i="12"/>
  <c r="AN13" i="12"/>
  <c r="AN11" i="12"/>
  <c r="AN7" i="12"/>
  <c r="AN24" i="12"/>
  <c r="AN20" i="12"/>
  <c r="AN16" i="12"/>
  <c r="AN12" i="12"/>
  <c r="AN8" i="12"/>
  <c r="AO24" i="12"/>
  <c r="AO20" i="12"/>
  <c r="AO16" i="12"/>
  <c r="AO12" i="12"/>
  <c r="AO8" i="12"/>
  <c r="AP24" i="12"/>
  <c r="AP20" i="12"/>
  <c r="AP16" i="12"/>
  <c r="AP12" i="12"/>
  <c r="AP8" i="12"/>
  <c r="J29" i="12"/>
  <c r="K29" i="12" s="1"/>
  <c r="J13" i="12"/>
  <c r="K13" i="12" s="1"/>
  <c r="AN25" i="12"/>
  <c r="AN17" i="12"/>
  <c r="AN9" i="12"/>
  <c r="AO25" i="12"/>
  <c r="AO23" i="12"/>
  <c r="AO21" i="12"/>
  <c r="AO19" i="12"/>
  <c r="AO17" i="12"/>
  <c r="AO15" i="12"/>
  <c r="AO13" i="12"/>
  <c r="AO11" i="12"/>
  <c r="AO9" i="12"/>
  <c r="AO7" i="12"/>
  <c r="AP25" i="12"/>
  <c r="AP23" i="12"/>
  <c r="AP21" i="12"/>
  <c r="AP19" i="12"/>
  <c r="AP17" i="12"/>
  <c r="AP15" i="12"/>
  <c r="AP13" i="12"/>
  <c r="AP11" i="12"/>
  <c r="AP9" i="12"/>
  <c r="AP7" i="12"/>
  <c r="J33" i="12"/>
  <c r="K33" i="12" s="1"/>
  <c r="J22" i="12"/>
  <c r="K22" i="12" s="1"/>
  <c r="J18" i="12"/>
  <c r="K18" i="12" s="1"/>
  <c r="J14" i="12"/>
  <c r="K14" i="12" s="1"/>
  <c r="J10" i="12"/>
  <c r="K10" i="12" s="1"/>
  <c r="J6" i="12"/>
  <c r="K6" i="12" s="1"/>
  <c r="J54" i="12"/>
  <c r="K54" i="12" s="1"/>
  <c r="J50" i="12"/>
  <c r="K50" i="12" s="1"/>
  <c r="J46" i="12"/>
  <c r="K46" i="12" s="1"/>
  <c r="J44" i="12"/>
  <c r="K44" i="12" s="1"/>
  <c r="J40" i="12"/>
  <c r="K40" i="12" s="1"/>
  <c r="L52" i="12"/>
  <c r="M52" i="12" s="1"/>
  <c r="L48" i="12"/>
  <c r="M48" i="12" s="1"/>
  <c r="L36" i="12"/>
  <c r="M36" i="12" s="1"/>
  <c r="L32" i="12"/>
  <c r="M32" i="12" s="1"/>
  <c r="L28" i="12"/>
  <c r="M28" i="12" s="1"/>
  <c r="J24" i="12"/>
  <c r="K24" i="12" s="1"/>
  <c r="J20" i="12"/>
  <c r="K20" i="12" s="1"/>
  <c r="J16" i="12"/>
  <c r="K16" i="12" s="1"/>
  <c r="J12" i="12"/>
  <c r="K12" i="12" s="1"/>
  <c r="J8" i="12"/>
  <c r="K8" i="12" s="1"/>
  <c r="J42" i="12"/>
  <c r="K42" i="12" s="1"/>
  <c r="L25" i="12"/>
  <c r="M25" i="12" s="1"/>
  <c r="L23" i="12"/>
  <c r="M23" i="12" s="1"/>
  <c r="L21" i="12"/>
  <c r="M21" i="12" s="1"/>
  <c r="L19" i="12"/>
  <c r="M19" i="12" s="1"/>
  <c r="L17" i="12"/>
  <c r="M17" i="12" s="1"/>
  <c r="L15" i="12"/>
  <c r="L13" i="12"/>
  <c r="L11" i="12"/>
  <c r="L9" i="12"/>
  <c r="L7" i="12"/>
  <c r="J53" i="12"/>
  <c r="K53" i="12" s="1"/>
  <c r="J51" i="12"/>
  <c r="K51" i="12" s="1"/>
  <c r="J49" i="12"/>
  <c r="K49" i="12" s="1"/>
  <c r="J47" i="12"/>
  <c r="K47" i="12" s="1"/>
  <c r="J45" i="12"/>
  <c r="K45" i="12" s="1"/>
  <c r="J43" i="12"/>
  <c r="K43" i="12" s="1"/>
  <c r="J41" i="12"/>
  <c r="K41" i="12" s="1"/>
  <c r="J39" i="12"/>
  <c r="K39" i="12" s="1"/>
  <c r="J35" i="12"/>
  <c r="K35" i="12" s="1"/>
  <c r="J31" i="12"/>
  <c r="K31" i="12" s="1"/>
  <c r="J27" i="12"/>
  <c r="K27" i="12" s="1"/>
  <c r="J23" i="12"/>
  <c r="K23" i="12" s="1"/>
  <c r="J19" i="12"/>
  <c r="K19" i="12" s="1"/>
  <c r="J15" i="12"/>
  <c r="K15" i="12" s="1"/>
  <c r="J11" i="12"/>
  <c r="K11" i="12" s="1"/>
  <c r="J7" i="12"/>
  <c r="K7" i="12" s="1"/>
  <c r="L38" i="12"/>
  <c r="M38" i="12" s="1"/>
  <c r="L34" i="12"/>
  <c r="M34" i="12" s="1"/>
  <c r="L30" i="12"/>
  <c r="M30" i="12" s="1"/>
  <c r="L26" i="12"/>
  <c r="M26" i="12" s="1"/>
  <c r="L22" i="12"/>
  <c r="M22" i="12" s="1"/>
  <c r="L18" i="12"/>
  <c r="M18" i="12" s="1"/>
  <c r="L14" i="12"/>
  <c r="L10" i="12"/>
  <c r="L6" i="12"/>
  <c r="R25" i="12"/>
  <c r="S25" i="12" s="1"/>
  <c r="R23" i="12"/>
  <c r="S23" i="12" s="1"/>
  <c r="R21" i="12"/>
  <c r="S21" i="12" s="1"/>
  <c r="R19" i="12"/>
  <c r="S19" i="12" s="1"/>
  <c r="R17" i="12"/>
  <c r="S17" i="12" s="1"/>
  <c r="R15" i="12"/>
  <c r="S15" i="12" s="1"/>
  <c r="R13" i="12"/>
  <c r="S13" i="12" s="1"/>
  <c r="R11" i="12"/>
  <c r="S11" i="12" s="1"/>
  <c r="R9" i="12"/>
  <c r="S9" i="12" s="1"/>
  <c r="R7" i="12"/>
  <c r="S7" i="12" s="1"/>
  <c r="Z25" i="12"/>
  <c r="AA25" i="12" s="1"/>
  <c r="Z21" i="12"/>
  <c r="AA21" i="12" s="1"/>
  <c r="Z17" i="12"/>
  <c r="AA17" i="12" s="1"/>
  <c r="Z13" i="12"/>
  <c r="AA13" i="12" s="1"/>
  <c r="Z9" i="12"/>
  <c r="AA9" i="12" s="1"/>
  <c r="R24" i="12"/>
  <c r="S24" i="12" s="1"/>
  <c r="R22" i="12"/>
  <c r="S22" i="12" s="1"/>
  <c r="R20" i="12"/>
  <c r="S20" i="12" s="1"/>
  <c r="R18" i="12"/>
  <c r="S18" i="12" s="1"/>
  <c r="R16" i="12"/>
  <c r="S16" i="12" s="1"/>
  <c r="R14" i="12"/>
  <c r="S14" i="12" s="1"/>
  <c r="R12" i="12"/>
  <c r="S12" i="12" s="1"/>
  <c r="R10" i="12"/>
  <c r="S10" i="12" s="1"/>
  <c r="R8" i="12"/>
  <c r="S8" i="12" s="1"/>
  <c r="R6" i="12"/>
  <c r="S6" i="12" s="1"/>
  <c r="Z23" i="12"/>
  <c r="AA23" i="12" s="1"/>
  <c r="Z19" i="12"/>
  <c r="AA19" i="12" s="1"/>
  <c r="Z15" i="12"/>
  <c r="AA15" i="12" s="1"/>
  <c r="Z11" i="12"/>
  <c r="AA11" i="12" s="1"/>
  <c r="Z7" i="12"/>
  <c r="AA7" i="12" s="1"/>
  <c r="Z24" i="12"/>
  <c r="AA24" i="12" s="1"/>
  <c r="Z22" i="12"/>
  <c r="AA22" i="12" s="1"/>
  <c r="Z20" i="12"/>
  <c r="AA20" i="12" s="1"/>
  <c r="Z18" i="12"/>
  <c r="AA18" i="12" s="1"/>
  <c r="Z16" i="12"/>
  <c r="AA16" i="12" s="1"/>
  <c r="Z14" i="12"/>
  <c r="AA14" i="12" s="1"/>
  <c r="Z12" i="12"/>
  <c r="AA12" i="12" s="1"/>
  <c r="Z10" i="12"/>
  <c r="AA10" i="12" s="1"/>
  <c r="Z8" i="12"/>
  <c r="AA8" i="12" s="1"/>
  <c r="Z6" i="12"/>
  <c r="AA6" i="12" s="1"/>
  <c r="AI20" i="12" l="1"/>
  <c r="AK20" i="12" s="1"/>
  <c r="AL20" i="12" s="1"/>
  <c r="AJ20" i="12"/>
  <c r="AI24" i="12"/>
  <c r="AK24" i="12" s="1"/>
  <c r="AL24" i="12" s="1"/>
  <c r="AM66" i="12"/>
  <c r="AF69" i="14"/>
  <c r="AF77" i="14"/>
  <c r="AE75" i="14"/>
  <c r="AG75" i="14" s="1"/>
  <c r="AH75" i="14" s="1"/>
  <c r="AI66" i="14"/>
  <c r="AK66" i="14" s="1"/>
  <c r="AL66" i="14" s="1"/>
  <c r="AF76" i="14"/>
  <c r="AJ73" i="14"/>
  <c r="AI76" i="12"/>
  <c r="AK76" i="12" s="1"/>
  <c r="AL76" i="12" s="1"/>
  <c r="AI84" i="12"/>
  <c r="AK84" i="12" s="1"/>
  <c r="AL84" i="12" s="1"/>
  <c r="AF67" i="14"/>
  <c r="AJ66" i="14"/>
  <c r="AJ75" i="14"/>
  <c r="AJ24" i="12"/>
  <c r="AF70" i="14"/>
  <c r="AF74" i="14"/>
  <c r="AI73" i="14"/>
  <c r="AK73" i="14" s="1"/>
  <c r="AL73" i="14" s="1"/>
  <c r="AI71" i="14"/>
  <c r="AK71" i="14" s="1"/>
  <c r="AL71" i="14" s="1"/>
  <c r="AE79" i="14"/>
  <c r="AG79" i="14" s="1"/>
  <c r="AH79" i="14" s="1"/>
  <c r="AF11" i="14"/>
  <c r="AQ76" i="14"/>
  <c r="P123" i="10" s="1"/>
  <c r="AQ78" i="14"/>
  <c r="P125" i="10" s="1"/>
  <c r="AE71" i="14"/>
  <c r="AG71" i="14" s="1"/>
  <c r="AH71" i="14" s="1"/>
  <c r="AQ84" i="14"/>
  <c r="AF75" i="14"/>
  <c r="H452" i="19"/>
  <c r="G452" i="19"/>
  <c r="H454" i="19"/>
  <c r="G454" i="19"/>
  <c r="H458" i="19"/>
  <c r="G458" i="19"/>
  <c r="G66" i="18"/>
  <c r="H66" i="18"/>
  <c r="G73" i="18"/>
  <c r="H73" i="18"/>
  <c r="G62" i="18"/>
  <c r="H62" i="18"/>
  <c r="G61" i="18"/>
  <c r="H61" i="18"/>
  <c r="G64" i="18"/>
  <c r="H64" i="18"/>
  <c r="G75" i="18"/>
  <c r="H75" i="18"/>
  <c r="G60" i="18"/>
  <c r="H60" i="18"/>
  <c r="G65" i="18"/>
  <c r="H65" i="18"/>
  <c r="G77" i="18"/>
  <c r="H77" i="18"/>
  <c r="G69" i="18"/>
  <c r="H69" i="18"/>
  <c r="AE77" i="12"/>
  <c r="AG77" i="12" s="1"/>
  <c r="AH77" i="12" s="1"/>
  <c r="AI68" i="12"/>
  <c r="AK68" i="12" s="1"/>
  <c r="AL68" i="12" s="1"/>
  <c r="AI80" i="12"/>
  <c r="AK80" i="12" s="1"/>
  <c r="AL80" i="12" s="1"/>
  <c r="AE76" i="14"/>
  <c r="AG76" i="14" s="1"/>
  <c r="AH76" i="14" s="1"/>
  <c r="AJ80" i="14"/>
  <c r="AJ72" i="14"/>
  <c r="AI67" i="14"/>
  <c r="AK67" i="14" s="1"/>
  <c r="AL67" i="14" s="1"/>
  <c r="AE73" i="14"/>
  <c r="AG73" i="14" s="1"/>
  <c r="AH73" i="14" s="1"/>
  <c r="AI69" i="14"/>
  <c r="AK69" i="14" s="1"/>
  <c r="AL69" i="14" s="1"/>
  <c r="AQ80" i="14"/>
  <c r="AJ23" i="14"/>
  <c r="AJ19" i="14"/>
  <c r="AJ15" i="14"/>
  <c r="AJ7" i="14"/>
  <c r="AQ14" i="14"/>
  <c r="AQ83" i="14"/>
  <c r="AQ85" i="14"/>
  <c r="AQ82" i="14"/>
  <c r="AQ68" i="14"/>
  <c r="AQ70" i="14"/>
  <c r="AQ79" i="14"/>
  <c r="AQ77" i="14"/>
  <c r="AQ81" i="14"/>
  <c r="AQ75" i="14"/>
  <c r="F223" i="19"/>
  <c r="G223" i="19"/>
  <c r="F225" i="19"/>
  <c r="G225" i="19"/>
  <c r="F227" i="19"/>
  <c r="G227" i="19" s="1"/>
  <c r="F229" i="19"/>
  <c r="G229" i="19"/>
  <c r="F231" i="19"/>
  <c r="G231" i="19" s="1"/>
  <c r="F233" i="19"/>
  <c r="G233" i="19" s="1"/>
  <c r="F235" i="19"/>
  <c r="G235" i="19" s="1"/>
  <c r="F237" i="19"/>
  <c r="G237" i="19"/>
  <c r="F239" i="19"/>
  <c r="G239" i="19"/>
  <c r="F241" i="19"/>
  <c r="G241" i="19"/>
  <c r="F114" i="19"/>
  <c r="G114" i="19" s="1"/>
  <c r="F224" i="19"/>
  <c r="G224" i="19"/>
  <c r="F226" i="19"/>
  <c r="G226" i="19" s="1"/>
  <c r="F228" i="19"/>
  <c r="G228" i="19"/>
  <c r="F230" i="19"/>
  <c r="G230" i="19"/>
  <c r="F232" i="19"/>
  <c r="G232" i="19"/>
  <c r="F234" i="19"/>
  <c r="G234" i="19" s="1"/>
  <c r="F236" i="19"/>
  <c r="G236" i="19" s="1"/>
  <c r="F238" i="19"/>
  <c r="G238" i="19"/>
  <c r="F240" i="19"/>
  <c r="G240" i="19"/>
  <c r="F242" i="19"/>
  <c r="G242" i="19" s="1"/>
  <c r="F279" i="19"/>
  <c r="G279" i="19" s="1"/>
  <c r="F287" i="19"/>
  <c r="G287" i="19"/>
  <c r="F295" i="19"/>
  <c r="G295" i="19" s="1"/>
  <c r="AQ69" i="14"/>
  <c r="AQ71" i="14"/>
  <c r="AQ73" i="14"/>
  <c r="F277" i="19"/>
  <c r="G277" i="19" s="1"/>
  <c r="F285" i="19"/>
  <c r="G285" i="19" s="1"/>
  <c r="F293" i="19"/>
  <c r="G293" i="19"/>
  <c r="AQ67" i="14"/>
  <c r="F498" i="19"/>
  <c r="G498" i="19" s="1"/>
  <c r="F502" i="19"/>
  <c r="G502" i="19"/>
  <c r="F506" i="19"/>
  <c r="G506" i="19" s="1"/>
  <c r="F510" i="19"/>
  <c r="G510" i="19"/>
  <c r="F514" i="19"/>
  <c r="G514" i="19" s="1"/>
  <c r="F387" i="19"/>
  <c r="G387" i="19" s="1"/>
  <c r="F388" i="19"/>
  <c r="G388" i="19"/>
  <c r="F389" i="19"/>
  <c r="G389" i="19" s="1"/>
  <c r="F390" i="19"/>
  <c r="G390" i="19"/>
  <c r="F391" i="19"/>
  <c r="G391" i="19" s="1"/>
  <c r="F392" i="19"/>
  <c r="G392" i="19"/>
  <c r="F393" i="19"/>
  <c r="G393" i="19" s="1"/>
  <c r="F394" i="19"/>
  <c r="G394" i="19" s="1"/>
  <c r="F395" i="19"/>
  <c r="G395" i="19" s="1"/>
  <c r="F396" i="19"/>
  <c r="G396" i="19" s="1"/>
  <c r="F397" i="19"/>
  <c r="G397" i="19" s="1"/>
  <c r="F398" i="19"/>
  <c r="G398" i="19" s="1"/>
  <c r="F399" i="19"/>
  <c r="G399" i="19" s="1"/>
  <c r="F400" i="19"/>
  <c r="G400" i="19"/>
  <c r="F401" i="19"/>
  <c r="G401" i="19" s="1"/>
  <c r="F402" i="19"/>
  <c r="G402" i="19" s="1"/>
  <c r="F403" i="19"/>
  <c r="G403" i="19"/>
  <c r="F404" i="19"/>
  <c r="G404" i="19" s="1"/>
  <c r="F405" i="19"/>
  <c r="G405" i="19" s="1"/>
  <c r="AQ66" i="14"/>
  <c r="F280" i="19"/>
  <c r="G280" i="19"/>
  <c r="F288" i="19"/>
  <c r="G288" i="19" s="1"/>
  <c r="F292" i="19"/>
  <c r="G292" i="19" s="1"/>
  <c r="F296" i="19"/>
  <c r="G296" i="19"/>
  <c r="F283" i="19"/>
  <c r="G283" i="19"/>
  <c r="F291" i="19"/>
  <c r="G291" i="19" s="1"/>
  <c r="F281" i="19"/>
  <c r="G281" i="19" s="1"/>
  <c r="F289" i="19"/>
  <c r="G289" i="19" s="1"/>
  <c r="AQ72" i="14"/>
  <c r="AQ74" i="14"/>
  <c r="F495" i="19"/>
  <c r="G495" i="19"/>
  <c r="F496" i="19"/>
  <c r="G496" i="19"/>
  <c r="F497" i="19"/>
  <c r="G497" i="19"/>
  <c r="F499" i="19"/>
  <c r="G499" i="19" s="1"/>
  <c r="F500" i="19"/>
  <c r="G500" i="19" s="1"/>
  <c r="F501" i="19"/>
  <c r="G501" i="19"/>
  <c r="F503" i="19"/>
  <c r="G503" i="19" s="1"/>
  <c r="F504" i="19"/>
  <c r="G504" i="19" s="1"/>
  <c r="F505" i="19"/>
  <c r="G505" i="19"/>
  <c r="F507" i="19"/>
  <c r="G507" i="19" s="1"/>
  <c r="F508" i="19"/>
  <c r="G508" i="19" s="1"/>
  <c r="F509" i="19"/>
  <c r="G509" i="19" s="1"/>
  <c r="F511" i="19"/>
  <c r="G511" i="19"/>
  <c r="F512" i="19"/>
  <c r="G512" i="19"/>
  <c r="F513" i="19"/>
  <c r="G513" i="19" s="1"/>
  <c r="F386" i="19"/>
  <c r="G386" i="19" s="1"/>
  <c r="F278" i="19"/>
  <c r="G278" i="19"/>
  <c r="F282" i="19"/>
  <c r="G282" i="19"/>
  <c r="F284" i="19"/>
  <c r="G284" i="19"/>
  <c r="F286" i="19"/>
  <c r="G286" i="19" s="1"/>
  <c r="F290" i="19"/>
  <c r="G290" i="19" s="1"/>
  <c r="F294" i="19"/>
  <c r="G294" i="19"/>
  <c r="AI68" i="14"/>
  <c r="AK68" i="14" s="1"/>
  <c r="AL68" i="14" s="1"/>
  <c r="AJ68" i="14"/>
  <c r="AI70" i="14"/>
  <c r="AK70" i="14" s="1"/>
  <c r="AL70" i="14" s="1"/>
  <c r="AJ70" i="14"/>
  <c r="AI74" i="14"/>
  <c r="AK74" i="14" s="1"/>
  <c r="AL74" i="14" s="1"/>
  <c r="AJ74" i="14"/>
  <c r="AJ83" i="14"/>
  <c r="AI83" i="14"/>
  <c r="AK83" i="14" s="1"/>
  <c r="AL83" i="14" s="1"/>
  <c r="AF85" i="14"/>
  <c r="AE85" i="14"/>
  <c r="AG85" i="14" s="1"/>
  <c r="AH85" i="14" s="1"/>
  <c r="AI76" i="14"/>
  <c r="AK76" i="14" s="1"/>
  <c r="AL76" i="14" s="1"/>
  <c r="AJ76" i="14"/>
  <c r="AJ77" i="14"/>
  <c r="AI77" i="14"/>
  <c r="AK77" i="14" s="1"/>
  <c r="AL77" i="14" s="1"/>
  <c r="AJ79" i="14"/>
  <c r="AI79" i="14"/>
  <c r="AK79" i="14" s="1"/>
  <c r="AL79" i="14" s="1"/>
  <c r="AJ81" i="14"/>
  <c r="AI81" i="14"/>
  <c r="AK81" i="14" s="1"/>
  <c r="AL81" i="14" s="1"/>
  <c r="AF83" i="14"/>
  <c r="AE83" i="14"/>
  <c r="AG83" i="14" s="1"/>
  <c r="AH83" i="14" s="1"/>
  <c r="AJ85" i="14"/>
  <c r="AI85" i="14"/>
  <c r="AK85" i="14" s="1"/>
  <c r="AL85" i="14" s="1"/>
  <c r="AJ9" i="14"/>
  <c r="AI9" i="14"/>
  <c r="AK9" i="14" s="1"/>
  <c r="AL9" i="14" s="1"/>
  <c r="AJ17" i="14"/>
  <c r="AI17" i="14"/>
  <c r="AK17" i="14" s="1"/>
  <c r="AL17" i="14" s="1"/>
  <c r="AJ25" i="14"/>
  <c r="AI25" i="14"/>
  <c r="AK25" i="14" s="1"/>
  <c r="AL25" i="14" s="1"/>
  <c r="AF13" i="14"/>
  <c r="AE13" i="14"/>
  <c r="AG13" i="14" s="1"/>
  <c r="AH13" i="14" s="1"/>
  <c r="AF21" i="14"/>
  <c r="AE21" i="14"/>
  <c r="AG21" i="14" s="1"/>
  <c r="AH21" i="14" s="1"/>
  <c r="AQ7" i="14"/>
  <c r="AQ9" i="14"/>
  <c r="AQ11" i="14"/>
  <c r="AQ13" i="14"/>
  <c r="AQ15" i="14"/>
  <c r="AQ17" i="14"/>
  <c r="AQ19" i="14"/>
  <c r="AQ21" i="14"/>
  <c r="AQ23" i="14"/>
  <c r="AQ25" i="14"/>
  <c r="AE16" i="14"/>
  <c r="AG16" i="14" s="1"/>
  <c r="AH16" i="14" s="1"/>
  <c r="AF16" i="14"/>
  <c r="AQ16" i="14"/>
  <c r="AQ18" i="14"/>
  <c r="AJ18" i="14"/>
  <c r="AI18" i="14"/>
  <c r="AK18" i="14" s="1"/>
  <c r="AL18" i="14" s="1"/>
  <c r="AE20" i="14"/>
  <c r="AG20" i="14" s="1"/>
  <c r="AH20" i="14" s="1"/>
  <c r="AF20" i="14"/>
  <c r="AQ20" i="14"/>
  <c r="AE22" i="14"/>
  <c r="AG22" i="14" s="1"/>
  <c r="AH22" i="14" s="1"/>
  <c r="AF22" i="14"/>
  <c r="AQ22" i="14"/>
  <c r="AE24" i="14"/>
  <c r="AG24" i="14" s="1"/>
  <c r="AH24" i="14" s="1"/>
  <c r="AF24" i="14"/>
  <c r="AQ24" i="14"/>
  <c r="AI11" i="14"/>
  <c r="AK11" i="14" s="1"/>
  <c r="AL11" i="14" s="1"/>
  <c r="AI19" i="14"/>
  <c r="AK19" i="14" s="1"/>
  <c r="AL19" i="14" s="1"/>
  <c r="AE7" i="14"/>
  <c r="AG7" i="14" s="1"/>
  <c r="AH7" i="14" s="1"/>
  <c r="AE15" i="14"/>
  <c r="AG15" i="14" s="1"/>
  <c r="AH15" i="14" s="1"/>
  <c r="AE23" i="14"/>
  <c r="AG23" i="14" s="1"/>
  <c r="AH23" i="14" s="1"/>
  <c r="AI7" i="14"/>
  <c r="AK7" i="14" s="1"/>
  <c r="AL7" i="14" s="1"/>
  <c r="AI15" i="14"/>
  <c r="AK15" i="14" s="1"/>
  <c r="AL15" i="14" s="1"/>
  <c r="AI23" i="14"/>
  <c r="AK23" i="14" s="1"/>
  <c r="AL23" i="14" s="1"/>
  <c r="AE11" i="14"/>
  <c r="AG11" i="14" s="1"/>
  <c r="AH11" i="14" s="1"/>
  <c r="AE19" i="14"/>
  <c r="AG19" i="14" s="1"/>
  <c r="AH19" i="14" s="1"/>
  <c r="AJ8" i="14"/>
  <c r="AI8" i="14"/>
  <c r="AK8" i="14" s="1"/>
  <c r="AL8" i="14" s="1"/>
  <c r="AJ12" i="14"/>
  <c r="AI12" i="14"/>
  <c r="AK12" i="14" s="1"/>
  <c r="AL12" i="14" s="1"/>
  <c r="AE6" i="14"/>
  <c r="AG6" i="14" s="1"/>
  <c r="AH6" i="14" s="1"/>
  <c r="AF6" i="14"/>
  <c r="AE10" i="14"/>
  <c r="AG10" i="14" s="1"/>
  <c r="AH10" i="14" s="1"/>
  <c r="AF10" i="14"/>
  <c r="AE14" i="14"/>
  <c r="AG14" i="14" s="1"/>
  <c r="AH14" i="14" s="1"/>
  <c r="AF14" i="14"/>
  <c r="AQ6" i="14"/>
  <c r="AJ6" i="14"/>
  <c r="AI6" i="14"/>
  <c r="AK6" i="14" s="1"/>
  <c r="AL6" i="14" s="1"/>
  <c r="AJ10" i="14"/>
  <c r="AI10" i="14"/>
  <c r="AK10" i="14" s="1"/>
  <c r="AL10" i="14" s="1"/>
  <c r="AJ14" i="14"/>
  <c r="AI14" i="14"/>
  <c r="AK14" i="14" s="1"/>
  <c r="AL14" i="14" s="1"/>
  <c r="AE8" i="14"/>
  <c r="AG8" i="14" s="1"/>
  <c r="AH8" i="14" s="1"/>
  <c r="AF8" i="14"/>
  <c r="AE12" i="14"/>
  <c r="AG12" i="14" s="1"/>
  <c r="AH12" i="14" s="1"/>
  <c r="AF12" i="14"/>
  <c r="AQ8" i="14"/>
  <c r="AQ12" i="14"/>
  <c r="AQ10" i="14"/>
  <c r="AJ13" i="14"/>
  <c r="AI13" i="14"/>
  <c r="AK13" i="14" s="1"/>
  <c r="AL13" i="14" s="1"/>
  <c r="AJ21" i="14"/>
  <c r="AI21" i="14"/>
  <c r="AK21" i="14" s="1"/>
  <c r="AL21" i="14" s="1"/>
  <c r="AF9" i="14"/>
  <c r="AE9" i="14"/>
  <c r="AG9" i="14" s="1"/>
  <c r="AH9" i="14" s="1"/>
  <c r="AF17" i="14"/>
  <c r="AE17" i="14"/>
  <c r="AG17" i="14" s="1"/>
  <c r="AH17" i="14" s="1"/>
  <c r="AF25" i="14"/>
  <c r="AE25" i="14"/>
  <c r="AG25" i="14" s="1"/>
  <c r="AH25" i="14" s="1"/>
  <c r="AJ16" i="14"/>
  <c r="AI16" i="14"/>
  <c r="AK16" i="14" s="1"/>
  <c r="AL16" i="14" s="1"/>
  <c r="AE18" i="14"/>
  <c r="AG18" i="14" s="1"/>
  <c r="AH18" i="14" s="1"/>
  <c r="AF18" i="14"/>
  <c r="AJ20" i="14"/>
  <c r="AI20" i="14"/>
  <c r="AK20" i="14" s="1"/>
  <c r="AL20" i="14" s="1"/>
  <c r="AJ22" i="14"/>
  <c r="AI22" i="14"/>
  <c r="AK22" i="14" s="1"/>
  <c r="AL22" i="14" s="1"/>
  <c r="AJ24" i="14"/>
  <c r="AI24" i="14"/>
  <c r="AK24" i="14" s="1"/>
  <c r="AL24" i="14" s="1"/>
  <c r="AE68" i="12"/>
  <c r="AG68" i="12" s="1"/>
  <c r="AH68" i="12" s="1"/>
  <c r="AE81" i="12"/>
  <c r="AG81" i="12" s="1"/>
  <c r="AH81" i="12" s="1"/>
  <c r="AE85" i="12"/>
  <c r="AG85" i="12" s="1"/>
  <c r="AH85" i="12" s="1"/>
  <c r="AE72" i="12"/>
  <c r="AG72" i="12" s="1"/>
  <c r="AH72" i="12" s="1"/>
  <c r="AI69" i="12"/>
  <c r="AK69" i="12" s="1"/>
  <c r="AL69" i="12" s="1"/>
  <c r="AI77" i="12"/>
  <c r="AK77" i="12" s="1"/>
  <c r="AL77" i="12" s="1"/>
  <c r="AI85" i="12"/>
  <c r="AK85" i="12" s="1"/>
  <c r="AL85" i="12" s="1"/>
  <c r="AE73" i="12"/>
  <c r="AG73" i="12" s="1"/>
  <c r="AH73" i="12" s="1"/>
  <c r="AE84" i="12"/>
  <c r="AG84" i="12" s="1"/>
  <c r="AH84" i="12" s="1"/>
  <c r="AI81" i="12"/>
  <c r="AK81" i="12" s="1"/>
  <c r="AL81" i="12" s="1"/>
  <c r="AE76" i="12"/>
  <c r="AG76" i="12" s="1"/>
  <c r="AH76" i="12" s="1"/>
  <c r="AI73" i="12"/>
  <c r="AK73" i="12" s="1"/>
  <c r="AL73" i="12" s="1"/>
  <c r="AE69" i="12"/>
  <c r="AG69" i="12" s="1"/>
  <c r="AH69" i="12" s="1"/>
  <c r="AE80" i="12"/>
  <c r="AG80" i="12" s="1"/>
  <c r="AH80" i="12" s="1"/>
  <c r="AQ66" i="12"/>
  <c r="AI72" i="12"/>
  <c r="AK72" i="12" s="1"/>
  <c r="AL72" i="12" s="1"/>
  <c r="AJ67" i="12"/>
  <c r="AJ71" i="12"/>
  <c r="AJ75" i="12"/>
  <c r="AJ79" i="12"/>
  <c r="AJ83" i="12"/>
  <c r="AF67" i="12"/>
  <c r="AF71" i="12"/>
  <c r="AF75" i="12"/>
  <c r="AF79" i="12"/>
  <c r="AF83" i="12"/>
  <c r="AE66" i="12"/>
  <c r="AG66" i="12" s="1"/>
  <c r="AH66" i="12" s="1"/>
  <c r="AE70" i="12"/>
  <c r="AG70" i="12" s="1"/>
  <c r="AH70" i="12" s="1"/>
  <c r="AE74" i="12"/>
  <c r="AG74" i="12" s="1"/>
  <c r="AH74" i="12" s="1"/>
  <c r="AE78" i="12"/>
  <c r="AG78" i="12" s="1"/>
  <c r="AH78" i="12" s="1"/>
  <c r="AE82" i="12"/>
  <c r="AG82" i="12" s="1"/>
  <c r="AH82" i="12" s="1"/>
  <c r="AI66" i="12"/>
  <c r="AK66" i="12" s="1"/>
  <c r="AL66" i="12" s="1"/>
  <c r="AI78" i="12"/>
  <c r="AK78" i="12" s="1"/>
  <c r="AL78" i="12" s="1"/>
  <c r="AI70" i="12"/>
  <c r="AK70" i="12" s="1"/>
  <c r="AL70" i="12" s="1"/>
  <c r="AI74" i="12"/>
  <c r="AK74" i="12" s="1"/>
  <c r="AL74" i="12" s="1"/>
  <c r="AI82" i="12"/>
  <c r="AK82" i="12" s="1"/>
  <c r="AL82" i="12" s="1"/>
  <c r="AJ66" i="12"/>
  <c r="AJ70" i="12"/>
  <c r="AJ74" i="12"/>
  <c r="AJ78" i="12"/>
  <c r="AJ82" i="12"/>
  <c r="AF66" i="12"/>
  <c r="AF70" i="12"/>
  <c r="AF74" i="12"/>
  <c r="AF78" i="12"/>
  <c r="AF82" i="12"/>
  <c r="AI67" i="12"/>
  <c r="AK67" i="12" s="1"/>
  <c r="AL67" i="12" s="1"/>
  <c r="AI71" i="12"/>
  <c r="AK71" i="12" s="1"/>
  <c r="AL71" i="12" s="1"/>
  <c r="AI75" i="12"/>
  <c r="AK75" i="12" s="1"/>
  <c r="AL75" i="12" s="1"/>
  <c r="AI79" i="12"/>
  <c r="AK79" i="12" s="1"/>
  <c r="AL79" i="12" s="1"/>
  <c r="AI83" i="12"/>
  <c r="AK83" i="12" s="1"/>
  <c r="AL83" i="12" s="1"/>
  <c r="AE67" i="12"/>
  <c r="AG67" i="12" s="1"/>
  <c r="AH67" i="12" s="1"/>
  <c r="AE71" i="12"/>
  <c r="AG71" i="12" s="1"/>
  <c r="AH71" i="12" s="1"/>
  <c r="AE75" i="12"/>
  <c r="AG75" i="12" s="1"/>
  <c r="AH75" i="12" s="1"/>
  <c r="AE79" i="12"/>
  <c r="AG79" i="12" s="1"/>
  <c r="AH79" i="12" s="1"/>
  <c r="AE83" i="12"/>
  <c r="AG83" i="12" s="1"/>
  <c r="AH83" i="12" s="1"/>
  <c r="AJ69" i="12"/>
  <c r="AJ73" i="12"/>
  <c r="AJ77" i="12"/>
  <c r="AJ81" i="12"/>
  <c r="AJ85" i="12"/>
  <c r="AF69" i="12"/>
  <c r="AF73" i="12"/>
  <c r="AF77" i="12"/>
  <c r="AF81" i="12"/>
  <c r="AF85" i="12"/>
  <c r="AJ68" i="12"/>
  <c r="AJ72" i="12"/>
  <c r="AJ76" i="12"/>
  <c r="AJ80" i="12"/>
  <c r="AJ84" i="12"/>
  <c r="AF68" i="12"/>
  <c r="AF72" i="12"/>
  <c r="AF76" i="12"/>
  <c r="AF80" i="12"/>
  <c r="AF84" i="12"/>
  <c r="AE9" i="12"/>
  <c r="AG9" i="12" s="1"/>
  <c r="AH9" i="12" s="1"/>
  <c r="AE17" i="12"/>
  <c r="AG17" i="12" s="1"/>
  <c r="AH17" i="12" s="1"/>
  <c r="AE25" i="12"/>
  <c r="AG25" i="12" s="1"/>
  <c r="AH25" i="12" s="1"/>
  <c r="AE7" i="12"/>
  <c r="AG7" i="12" s="1"/>
  <c r="AH7" i="12" s="1"/>
  <c r="AE15" i="12"/>
  <c r="AG15" i="12" s="1"/>
  <c r="AH15" i="12" s="1"/>
  <c r="AE23" i="12"/>
  <c r="AG23" i="12" s="1"/>
  <c r="AH23" i="12" s="1"/>
  <c r="AE12" i="12"/>
  <c r="AG12" i="12" s="1"/>
  <c r="AH12" i="12" s="1"/>
  <c r="AE20" i="12"/>
  <c r="AG20" i="12" s="1"/>
  <c r="AH20" i="12" s="1"/>
  <c r="AE6" i="12"/>
  <c r="AG6" i="12" s="1"/>
  <c r="AH6" i="12" s="1"/>
  <c r="AE14" i="12"/>
  <c r="AG14" i="12" s="1"/>
  <c r="AH14" i="12" s="1"/>
  <c r="AE22" i="12"/>
  <c r="AG22" i="12" s="1"/>
  <c r="AH22" i="12" s="1"/>
  <c r="AE11" i="12"/>
  <c r="AG11" i="12" s="1"/>
  <c r="AH11" i="12" s="1"/>
  <c r="AE19" i="12"/>
  <c r="AG19" i="12" s="1"/>
  <c r="AH19" i="12" s="1"/>
  <c r="AE8" i="12"/>
  <c r="AG8" i="12" s="1"/>
  <c r="AH8" i="12" s="1"/>
  <c r="AE16" i="12"/>
  <c r="AG16" i="12" s="1"/>
  <c r="AH16" i="12" s="1"/>
  <c r="AE24" i="12"/>
  <c r="AG24" i="12" s="1"/>
  <c r="AH24" i="12" s="1"/>
  <c r="AE10" i="12"/>
  <c r="AG10" i="12" s="1"/>
  <c r="AH10" i="12" s="1"/>
  <c r="AE18" i="12"/>
  <c r="AG18" i="12" s="1"/>
  <c r="AH18" i="12" s="1"/>
  <c r="AE13" i="12"/>
  <c r="AG13" i="12" s="1"/>
  <c r="AH13" i="12" s="1"/>
  <c r="AE21" i="12"/>
  <c r="AG21" i="12" s="1"/>
  <c r="AH21" i="12" s="1"/>
  <c r="AQ70" i="12"/>
  <c r="AQ74" i="12"/>
  <c r="AQ78" i="12"/>
  <c r="AQ82" i="12"/>
  <c r="AQ69" i="12"/>
  <c r="AQ73" i="12"/>
  <c r="AQ77" i="12"/>
  <c r="AQ81" i="12"/>
  <c r="AQ85" i="12"/>
  <c r="AQ68" i="12"/>
  <c r="AQ72" i="12"/>
  <c r="AQ76" i="12"/>
  <c r="AQ80" i="12"/>
  <c r="AQ84" i="12"/>
  <c r="AQ71" i="12"/>
  <c r="AQ75" i="12"/>
  <c r="AQ79" i="12"/>
  <c r="AQ83" i="12"/>
  <c r="M16" i="12"/>
  <c r="K32" i="12"/>
  <c r="G59" i="18"/>
  <c r="AQ18" i="12"/>
  <c r="G67" i="18"/>
  <c r="G63" i="18"/>
  <c r="AQ10" i="12"/>
  <c r="G68" i="18"/>
  <c r="AQ9" i="12"/>
  <c r="AQ25" i="12"/>
  <c r="AQ6" i="12"/>
  <c r="AQ14" i="12"/>
  <c r="AQ22" i="12"/>
  <c r="G71" i="18"/>
  <c r="G70" i="18"/>
  <c r="G74" i="18"/>
  <c r="G78" i="18"/>
  <c r="G72" i="18"/>
  <c r="G76" i="18"/>
  <c r="AQ12" i="12"/>
  <c r="AQ20" i="12"/>
  <c r="AQ7" i="12"/>
  <c r="AQ13" i="12"/>
  <c r="AQ19" i="12"/>
  <c r="AQ23" i="12"/>
  <c r="AF13" i="12"/>
  <c r="AF21" i="12"/>
  <c r="AQ17" i="12"/>
  <c r="AQ8" i="12"/>
  <c r="AQ16" i="12"/>
  <c r="AQ24" i="12"/>
  <c r="AQ11" i="12"/>
  <c r="AQ15" i="12"/>
  <c r="AQ21" i="12"/>
  <c r="AF25" i="12"/>
  <c r="AJ18" i="12"/>
  <c r="AI18" i="12"/>
  <c r="AK18" i="12" s="1"/>
  <c r="AL18" i="12" s="1"/>
  <c r="AJ19" i="12"/>
  <c r="AI19" i="12"/>
  <c r="AK19" i="12" s="1"/>
  <c r="AL19" i="12" s="1"/>
  <c r="AJ23" i="12"/>
  <c r="AI23" i="12"/>
  <c r="AK23" i="12" s="1"/>
  <c r="AL23" i="12" s="1"/>
  <c r="AF9" i="12"/>
  <c r="AF17" i="12"/>
  <c r="AJ22" i="12"/>
  <c r="AI22" i="12"/>
  <c r="AK22" i="12" s="1"/>
  <c r="AL22" i="12" s="1"/>
  <c r="AJ17" i="12"/>
  <c r="AI17" i="12"/>
  <c r="AK17" i="12" s="1"/>
  <c r="AL17" i="12" s="1"/>
  <c r="AJ21" i="12"/>
  <c r="AI21" i="12"/>
  <c r="AK21" i="12" s="1"/>
  <c r="AL21" i="12" s="1"/>
  <c r="AJ25" i="12"/>
  <c r="AI25" i="12"/>
  <c r="AK25" i="12" s="1"/>
  <c r="AL25" i="12" s="1"/>
  <c r="AF11" i="12"/>
  <c r="AF19" i="12"/>
  <c r="AF8" i="12"/>
  <c r="AF12" i="12"/>
  <c r="AF16" i="12"/>
  <c r="AF20" i="12"/>
  <c r="AF24" i="12"/>
  <c r="AF6" i="12"/>
  <c r="AF10" i="12"/>
  <c r="AF14" i="12"/>
  <c r="AF18" i="12"/>
  <c r="AF22" i="12"/>
  <c r="AF7" i="12"/>
  <c r="AF15" i="12"/>
  <c r="AF23" i="12"/>
  <c r="AL66" i="26"/>
  <c r="AL67" i="26"/>
  <c r="AL68" i="26"/>
  <c r="AD76" i="14" l="1"/>
  <c r="N281" i="11" s="1"/>
  <c r="AD78" i="14"/>
  <c r="C260" i="17" s="1"/>
  <c r="E260" i="17" s="1"/>
  <c r="F260" i="17" s="1"/>
  <c r="P78" i="10"/>
  <c r="L236" i="11"/>
  <c r="M236" i="11"/>
  <c r="M68" i="10"/>
  <c r="L126" i="11"/>
  <c r="M126" i="11"/>
  <c r="M76" i="10"/>
  <c r="L134" i="11"/>
  <c r="M134" i="11"/>
  <c r="P69" i="10"/>
  <c r="L227" i="11"/>
  <c r="M227" i="11"/>
  <c r="P82" i="10"/>
  <c r="L240" i="11"/>
  <c r="M240" i="11"/>
  <c r="P66" i="10"/>
  <c r="L224" i="11"/>
  <c r="M224" i="11"/>
  <c r="M81" i="10"/>
  <c r="L139" i="11"/>
  <c r="M139" i="11"/>
  <c r="M70" i="10"/>
  <c r="L128" i="11"/>
  <c r="M128" i="11"/>
  <c r="M67" i="10"/>
  <c r="L125" i="11"/>
  <c r="M125" i="11"/>
  <c r="P65" i="10"/>
  <c r="M223" i="11"/>
  <c r="L223" i="11"/>
  <c r="P81" i="10"/>
  <c r="M239" i="11"/>
  <c r="L239" i="11"/>
  <c r="P80" i="10"/>
  <c r="L238" i="11"/>
  <c r="M238" i="11"/>
  <c r="P64" i="10"/>
  <c r="L222" i="11"/>
  <c r="M222" i="11"/>
  <c r="P71" i="10"/>
  <c r="L229" i="11"/>
  <c r="M229" i="11"/>
  <c r="M64" i="10"/>
  <c r="L122" i="11"/>
  <c r="M122" i="11"/>
  <c r="M65" i="10"/>
  <c r="L123" i="11"/>
  <c r="M123" i="11"/>
  <c r="M77" i="10"/>
  <c r="L135" i="11"/>
  <c r="M135" i="11"/>
  <c r="M79" i="10"/>
  <c r="L137" i="11"/>
  <c r="M137" i="11"/>
  <c r="P76" i="10"/>
  <c r="L234" i="11"/>
  <c r="M234" i="11"/>
  <c r="M73" i="10"/>
  <c r="L131" i="11"/>
  <c r="M131" i="11"/>
  <c r="M74" i="10"/>
  <c r="L132" i="11"/>
  <c r="M132" i="11"/>
  <c r="M69" i="10"/>
  <c r="L127" i="11"/>
  <c r="M127" i="11"/>
  <c r="M71" i="10"/>
  <c r="L129" i="11"/>
  <c r="M129" i="11"/>
  <c r="M75" i="10"/>
  <c r="L133" i="11"/>
  <c r="M133" i="11"/>
  <c r="P63" i="10"/>
  <c r="L221" i="11"/>
  <c r="M221" i="11"/>
  <c r="P79" i="10"/>
  <c r="L237" i="11"/>
  <c r="M237" i="11"/>
  <c r="P75" i="10"/>
  <c r="L233" i="11"/>
  <c r="M233" i="11"/>
  <c r="P74" i="10"/>
  <c r="L232" i="11"/>
  <c r="M232" i="11"/>
  <c r="P73" i="10"/>
  <c r="M231" i="11"/>
  <c r="L231" i="11"/>
  <c r="P72" i="10"/>
  <c r="L230" i="11"/>
  <c r="M230" i="11"/>
  <c r="M63" i="10"/>
  <c r="L121" i="11"/>
  <c r="M121" i="11"/>
  <c r="M78" i="10"/>
  <c r="L136" i="11"/>
  <c r="M136" i="11"/>
  <c r="M82" i="10"/>
  <c r="L140" i="11"/>
  <c r="M140" i="11"/>
  <c r="P70" i="10"/>
  <c r="L228" i="11"/>
  <c r="M228" i="11"/>
  <c r="M72" i="10"/>
  <c r="L130" i="11"/>
  <c r="M130" i="11"/>
  <c r="M80" i="10"/>
  <c r="L138" i="11"/>
  <c r="M138" i="11"/>
  <c r="M66" i="10"/>
  <c r="L124" i="11"/>
  <c r="M124" i="11"/>
  <c r="P67" i="10"/>
  <c r="L225" i="11"/>
  <c r="M225" i="11"/>
  <c r="P77" i="10"/>
  <c r="L235" i="11"/>
  <c r="M235" i="11"/>
  <c r="P68" i="10"/>
  <c r="L226" i="11"/>
  <c r="M226" i="11"/>
  <c r="D258" i="17"/>
  <c r="M180" i="11"/>
  <c r="L180" i="11"/>
  <c r="L185" i="11"/>
  <c r="M185" i="11"/>
  <c r="L190" i="11"/>
  <c r="M190" i="11"/>
  <c r="L174" i="11"/>
  <c r="M174" i="11"/>
  <c r="L175" i="11"/>
  <c r="M175" i="11"/>
  <c r="M176" i="11"/>
  <c r="L176" i="11"/>
  <c r="L181" i="11"/>
  <c r="M181" i="11"/>
  <c r="L186" i="11"/>
  <c r="M186" i="11"/>
  <c r="L187" i="11"/>
  <c r="M187" i="11"/>
  <c r="M188" i="11"/>
  <c r="L188" i="11"/>
  <c r="L177" i="11"/>
  <c r="M177" i="11"/>
  <c r="L182" i="11"/>
  <c r="M182" i="11"/>
  <c r="L183" i="11"/>
  <c r="M183" i="11"/>
  <c r="L171" i="11"/>
  <c r="M171" i="11"/>
  <c r="M184" i="11"/>
  <c r="L184" i="11"/>
  <c r="L189" i="11"/>
  <c r="M189" i="11"/>
  <c r="L173" i="11"/>
  <c r="M173" i="11"/>
  <c r="L178" i="11"/>
  <c r="M178" i="11"/>
  <c r="L179" i="11"/>
  <c r="M179" i="11"/>
  <c r="P118" i="10"/>
  <c r="M276" i="11"/>
  <c r="L276" i="11"/>
  <c r="P117" i="10"/>
  <c r="L275" i="11"/>
  <c r="M275" i="11"/>
  <c r="P121" i="10"/>
  <c r="M279" i="11"/>
  <c r="L279" i="11"/>
  <c r="P116" i="10"/>
  <c r="L274" i="11"/>
  <c r="M274" i="11"/>
  <c r="P124" i="10"/>
  <c r="L282" i="11"/>
  <c r="M282" i="11"/>
  <c r="P115" i="10"/>
  <c r="L273" i="11"/>
  <c r="M273" i="11"/>
  <c r="P128" i="10"/>
  <c r="L286" i="11"/>
  <c r="M286" i="11"/>
  <c r="L289" i="11"/>
  <c r="M289" i="11"/>
  <c r="P119" i="10"/>
  <c r="L277" i="11"/>
  <c r="M277" i="11"/>
  <c r="P113" i="10"/>
  <c r="M271" i="11"/>
  <c r="L271" i="11"/>
  <c r="P114" i="10"/>
  <c r="M272" i="11"/>
  <c r="L272" i="11"/>
  <c r="AD84" i="14"/>
  <c r="C266" i="17" s="1"/>
  <c r="E266" i="17" s="1"/>
  <c r="F266" i="17" s="1"/>
  <c r="P122" i="10"/>
  <c r="M280" i="11"/>
  <c r="L280" i="11"/>
  <c r="P129" i="10"/>
  <c r="M287" i="11"/>
  <c r="L287" i="11"/>
  <c r="P131" i="10"/>
  <c r="L283" i="11"/>
  <c r="M283" i="11"/>
  <c r="P130" i="10"/>
  <c r="M288" i="11"/>
  <c r="L288" i="11"/>
  <c r="P120" i="10"/>
  <c r="L278" i="11"/>
  <c r="M278" i="11"/>
  <c r="P126" i="10"/>
  <c r="M284" i="11"/>
  <c r="L284" i="11"/>
  <c r="P132" i="10"/>
  <c r="L290" i="11"/>
  <c r="M290" i="11"/>
  <c r="P127" i="10"/>
  <c r="L285" i="11"/>
  <c r="M285" i="11"/>
  <c r="L281" i="11"/>
  <c r="M281" i="11"/>
  <c r="M122" i="10"/>
  <c r="M132" i="10"/>
  <c r="M118" i="10"/>
  <c r="M123" i="10"/>
  <c r="M128" i="10"/>
  <c r="M129" i="10"/>
  <c r="M127" i="10"/>
  <c r="M116" i="10"/>
  <c r="M130" i="10"/>
  <c r="M119" i="10"/>
  <c r="M124" i="10"/>
  <c r="M125" i="10"/>
  <c r="AD66" i="12"/>
  <c r="M117" i="10"/>
  <c r="M126" i="10"/>
  <c r="M131" i="10"/>
  <c r="M115" i="10"/>
  <c r="M120" i="10"/>
  <c r="M121" i="10"/>
  <c r="AD80" i="14"/>
  <c r="AD82" i="14"/>
  <c r="AD85" i="14"/>
  <c r="AD75" i="14"/>
  <c r="AD83" i="14"/>
  <c r="AD14" i="14"/>
  <c r="N229" i="11" s="1"/>
  <c r="O229" i="11" s="1"/>
  <c r="P229" i="11" s="1"/>
  <c r="AD79" i="14"/>
  <c r="AD68" i="14"/>
  <c r="AD70" i="14"/>
  <c r="N275" i="11" s="1"/>
  <c r="AD77" i="14"/>
  <c r="N282" i="11" s="1"/>
  <c r="AD81" i="14"/>
  <c r="N286" i="11" s="1"/>
  <c r="AD23" i="14"/>
  <c r="AD19" i="14"/>
  <c r="AD15" i="14"/>
  <c r="AD11" i="14"/>
  <c r="D89" i="17" s="1"/>
  <c r="AD7" i="14"/>
  <c r="AD6" i="12"/>
  <c r="N121" i="11" s="1"/>
  <c r="O121" i="11" s="1"/>
  <c r="P121" i="11" s="1"/>
  <c r="AD19" i="12"/>
  <c r="N134" i="11" s="1"/>
  <c r="O134" i="11" s="1"/>
  <c r="P134" i="11" s="1"/>
  <c r="AD11" i="12"/>
  <c r="N126" i="11" s="1"/>
  <c r="O126" i="11" s="1"/>
  <c r="P126" i="11" s="1"/>
  <c r="AD24" i="12"/>
  <c r="N139" i="11" s="1"/>
  <c r="O139" i="11" s="1"/>
  <c r="P139" i="11" s="1"/>
  <c r="AD8" i="12"/>
  <c r="N123" i="11" s="1"/>
  <c r="O123" i="11" s="1"/>
  <c r="P123" i="11" s="1"/>
  <c r="AD24" i="14"/>
  <c r="D102" i="17" s="1"/>
  <c r="AD20" i="14"/>
  <c r="AD16" i="14"/>
  <c r="AD12" i="14"/>
  <c r="AD8" i="14"/>
  <c r="AD22" i="12"/>
  <c r="N137" i="11" s="1"/>
  <c r="O137" i="11" s="1"/>
  <c r="P137" i="11" s="1"/>
  <c r="AD10" i="12"/>
  <c r="N125" i="11" s="1"/>
  <c r="O125" i="11" s="1"/>
  <c r="P125" i="11" s="1"/>
  <c r="AD21" i="12"/>
  <c r="N136" i="11" s="1"/>
  <c r="O136" i="11" s="1"/>
  <c r="P136" i="11" s="1"/>
  <c r="AD13" i="12"/>
  <c r="N128" i="11" s="1"/>
  <c r="O128" i="11" s="1"/>
  <c r="P128" i="11" s="1"/>
  <c r="AD20" i="12"/>
  <c r="N135" i="11" s="1"/>
  <c r="O135" i="11" s="1"/>
  <c r="P135" i="11" s="1"/>
  <c r="AD25" i="14"/>
  <c r="AD21" i="14"/>
  <c r="AD17" i="14"/>
  <c r="AD13" i="14"/>
  <c r="AD9" i="14"/>
  <c r="AD18" i="12"/>
  <c r="N133" i="11" s="1"/>
  <c r="O133" i="11" s="1"/>
  <c r="P133" i="11" s="1"/>
  <c r="AD23" i="12"/>
  <c r="N138" i="11" s="1"/>
  <c r="O138" i="11" s="1"/>
  <c r="P138" i="11" s="1"/>
  <c r="AD15" i="12"/>
  <c r="N130" i="11" s="1"/>
  <c r="O130" i="11" s="1"/>
  <c r="P130" i="11" s="1"/>
  <c r="AD7" i="12"/>
  <c r="N122" i="11" s="1"/>
  <c r="AD16" i="12"/>
  <c r="N131" i="11" s="1"/>
  <c r="O131" i="11" s="1"/>
  <c r="P131" i="11" s="1"/>
  <c r="AD22" i="14"/>
  <c r="AD18" i="14"/>
  <c r="AD10" i="14"/>
  <c r="AD6" i="14"/>
  <c r="AD14" i="12"/>
  <c r="N129" i="11" s="1"/>
  <c r="O129" i="11" s="1"/>
  <c r="P129" i="11" s="1"/>
  <c r="AD25" i="12"/>
  <c r="N140" i="11" s="1"/>
  <c r="O140" i="11" s="1"/>
  <c r="P140" i="11" s="1"/>
  <c r="AD17" i="12"/>
  <c r="N132" i="11" s="1"/>
  <c r="AD9" i="12"/>
  <c r="N124" i="11" s="1"/>
  <c r="AD12" i="12"/>
  <c r="N127" i="11" s="1"/>
  <c r="O127" i="11" s="1"/>
  <c r="P127" i="11" s="1"/>
  <c r="AD67" i="14"/>
  <c r="AD74" i="14"/>
  <c r="AD66" i="14"/>
  <c r="AD78" i="12"/>
  <c r="N183" i="11" s="1"/>
  <c r="AD80" i="12"/>
  <c r="N185" i="11" s="1"/>
  <c r="AD85" i="12"/>
  <c r="N190" i="11" s="1"/>
  <c r="AD77" i="12"/>
  <c r="N182" i="11" s="1"/>
  <c r="AD69" i="12"/>
  <c r="N174" i="11" s="1"/>
  <c r="AD73" i="14"/>
  <c r="AD82" i="12"/>
  <c r="AD76" i="12"/>
  <c r="AD79" i="12"/>
  <c r="AD71" i="12"/>
  <c r="AD69" i="14"/>
  <c r="AD72" i="14"/>
  <c r="AD68" i="12"/>
  <c r="AD70" i="12"/>
  <c r="N175" i="11" s="1"/>
  <c r="AD72" i="12"/>
  <c r="N177" i="11" s="1"/>
  <c r="AD81" i="12"/>
  <c r="AD73" i="12"/>
  <c r="AD71" i="14"/>
  <c r="AD74" i="12"/>
  <c r="N179" i="11" s="1"/>
  <c r="AD84" i="12"/>
  <c r="N189" i="11" s="1"/>
  <c r="AD83" i="12"/>
  <c r="N188" i="11" s="1"/>
  <c r="AD75" i="12"/>
  <c r="N180" i="11" s="1"/>
  <c r="D97" i="17"/>
  <c r="M113" i="10"/>
  <c r="AI16" i="12"/>
  <c r="AK16" i="12" s="1"/>
  <c r="AL16" i="12" s="1"/>
  <c r="AJ16" i="12"/>
  <c r="O122" i="11" l="1"/>
  <c r="P122" i="11" s="1"/>
  <c r="O124" i="11"/>
  <c r="P124" i="11" s="1"/>
  <c r="O132" i="11"/>
  <c r="P132" i="11" s="1"/>
  <c r="O281" i="11"/>
  <c r="P281" i="11" s="1"/>
  <c r="O188" i="11"/>
  <c r="P188" i="11" s="1"/>
  <c r="O275" i="11"/>
  <c r="P275" i="11" s="1"/>
  <c r="O286" i="11"/>
  <c r="P286" i="11" s="1"/>
  <c r="O282" i="11"/>
  <c r="P282" i="11" s="1"/>
  <c r="O180" i="11"/>
  <c r="P180" i="11" s="1"/>
  <c r="O179" i="11"/>
  <c r="P179" i="11" s="1"/>
  <c r="O189" i="11"/>
  <c r="P189" i="11" s="1"/>
  <c r="O183" i="11"/>
  <c r="P183" i="11" s="1"/>
  <c r="O182" i="11"/>
  <c r="P182" i="11" s="1"/>
  <c r="O177" i="11"/>
  <c r="P177" i="11" s="1"/>
  <c r="O175" i="11"/>
  <c r="P175" i="11" s="1"/>
  <c r="O174" i="11"/>
  <c r="P174" i="11" s="1"/>
  <c r="O190" i="11"/>
  <c r="P190" i="11" s="1"/>
  <c r="O185" i="11"/>
  <c r="P185" i="11" s="1"/>
  <c r="D260" i="17"/>
  <c r="C258" i="17"/>
  <c r="E258" i="17" s="1"/>
  <c r="F258" i="17" s="1"/>
  <c r="N283" i="11"/>
  <c r="O283" i="11" s="1"/>
  <c r="P283" i="11" s="1"/>
  <c r="D100" i="17"/>
  <c r="N237" i="11"/>
  <c r="O237" i="11" s="1"/>
  <c r="P237" i="11" s="1"/>
  <c r="D95" i="17"/>
  <c r="N232" i="11"/>
  <c r="O232" i="11" s="1"/>
  <c r="P232" i="11" s="1"/>
  <c r="D86" i="17"/>
  <c r="N223" i="11"/>
  <c r="O223" i="11" s="1"/>
  <c r="P223" i="11" s="1"/>
  <c r="C91" i="17"/>
  <c r="E91" i="17" s="1"/>
  <c r="F91" i="17" s="1"/>
  <c r="N228" i="11"/>
  <c r="O228" i="11" s="1"/>
  <c r="P228" i="11" s="1"/>
  <c r="D99" i="17"/>
  <c r="N236" i="11"/>
  <c r="O236" i="11" s="1"/>
  <c r="P236" i="11" s="1"/>
  <c r="D90" i="17"/>
  <c r="N227" i="11"/>
  <c r="O227" i="11" s="1"/>
  <c r="P227" i="11" s="1"/>
  <c r="C103" i="17"/>
  <c r="E103" i="17" s="1"/>
  <c r="F103" i="17" s="1"/>
  <c r="N240" i="11"/>
  <c r="O240" i="11" s="1"/>
  <c r="P240" i="11" s="1"/>
  <c r="D94" i="17"/>
  <c r="N231" i="11"/>
  <c r="O231" i="11" s="1"/>
  <c r="P231" i="11" s="1"/>
  <c r="D85" i="17"/>
  <c r="N222" i="11"/>
  <c r="O222" i="11" s="1"/>
  <c r="P222" i="11" s="1"/>
  <c r="D96" i="17"/>
  <c r="N233" i="11"/>
  <c r="O233" i="11" s="1"/>
  <c r="P233" i="11" s="1"/>
  <c r="D98" i="17"/>
  <c r="N235" i="11"/>
  <c r="O235" i="11" s="1"/>
  <c r="P235" i="11" s="1"/>
  <c r="C89" i="17"/>
  <c r="E89" i="17" s="1"/>
  <c r="F89" i="17" s="1"/>
  <c r="N226" i="11"/>
  <c r="O226" i="11" s="1"/>
  <c r="P226" i="11" s="1"/>
  <c r="C102" i="17"/>
  <c r="E102" i="17" s="1"/>
  <c r="F102" i="17" s="1"/>
  <c r="N239" i="11"/>
  <c r="O239" i="11" s="1"/>
  <c r="P239" i="11" s="1"/>
  <c r="C93" i="17"/>
  <c r="E93" i="17" s="1"/>
  <c r="F93" i="17" s="1"/>
  <c r="N230" i="11"/>
  <c r="O230" i="11" s="1"/>
  <c r="P230" i="11" s="1"/>
  <c r="D84" i="17"/>
  <c r="N221" i="11"/>
  <c r="O221" i="11" s="1"/>
  <c r="P221" i="11" s="1"/>
  <c r="C97" i="17"/>
  <c r="E97" i="17" s="1"/>
  <c r="F97" i="17" s="1"/>
  <c r="N234" i="11"/>
  <c r="O234" i="11" s="1"/>
  <c r="P234" i="11" s="1"/>
  <c r="D88" i="17"/>
  <c r="N225" i="11"/>
  <c r="O225" i="11" s="1"/>
  <c r="P225" i="11" s="1"/>
  <c r="C87" i="17"/>
  <c r="E87" i="17" s="1"/>
  <c r="F87" i="17" s="1"/>
  <c r="N224" i="11"/>
  <c r="O224" i="11" s="1"/>
  <c r="P224" i="11" s="1"/>
  <c r="D101" i="17"/>
  <c r="N238" i="11"/>
  <c r="O238" i="11" s="1"/>
  <c r="P238" i="11" s="1"/>
  <c r="C262" i="17"/>
  <c r="E262" i="17" s="1"/>
  <c r="F262" i="17" s="1"/>
  <c r="N285" i="11"/>
  <c r="O285" i="11" s="1"/>
  <c r="P285" i="11" s="1"/>
  <c r="D254" i="17"/>
  <c r="N277" i="11"/>
  <c r="O277" i="11" s="1"/>
  <c r="P277" i="11" s="1"/>
  <c r="C248" i="17"/>
  <c r="E248" i="17" s="1"/>
  <c r="F248" i="17" s="1"/>
  <c r="N271" i="11"/>
  <c r="O271" i="11" s="1"/>
  <c r="P271" i="11" s="1"/>
  <c r="D261" i="17"/>
  <c r="N284" i="11"/>
  <c r="O284" i="11" s="1"/>
  <c r="P284" i="11" s="1"/>
  <c r="D267" i="17"/>
  <c r="N290" i="11"/>
  <c r="O290" i="11" s="1"/>
  <c r="P290" i="11" s="1"/>
  <c r="C257" i="17"/>
  <c r="E257" i="17" s="1"/>
  <c r="F257" i="17" s="1"/>
  <c r="N280" i="11"/>
  <c r="O280" i="11" s="1"/>
  <c r="P280" i="11" s="1"/>
  <c r="D251" i="17"/>
  <c r="N274" i="11"/>
  <c r="O274" i="11" s="1"/>
  <c r="P274" i="11" s="1"/>
  <c r="D256" i="17"/>
  <c r="N279" i="11"/>
  <c r="O279" i="11" s="1"/>
  <c r="P279" i="11" s="1"/>
  <c r="C264" i="17"/>
  <c r="E264" i="17" s="1"/>
  <c r="F264" i="17" s="1"/>
  <c r="N287" i="11"/>
  <c r="O287" i="11" s="1"/>
  <c r="P287" i="11" s="1"/>
  <c r="C250" i="17"/>
  <c r="E250" i="17" s="1"/>
  <c r="F250" i="17" s="1"/>
  <c r="N273" i="11"/>
  <c r="O273" i="11" s="1"/>
  <c r="P273" i="11" s="1"/>
  <c r="C253" i="17"/>
  <c r="E253" i="17" s="1"/>
  <c r="F253" i="17" s="1"/>
  <c r="N276" i="11"/>
  <c r="O276" i="11" s="1"/>
  <c r="P276" i="11" s="1"/>
  <c r="D255" i="17"/>
  <c r="N278" i="11"/>
  <c r="O278" i="11" s="1"/>
  <c r="P278" i="11" s="1"/>
  <c r="D249" i="17"/>
  <c r="N272" i="11"/>
  <c r="O272" i="11" s="1"/>
  <c r="P272" i="11" s="1"/>
  <c r="D265" i="17"/>
  <c r="N288" i="11"/>
  <c r="O288" i="11" s="1"/>
  <c r="P288" i="11" s="1"/>
  <c r="D266" i="17"/>
  <c r="N289" i="11"/>
  <c r="O289" i="11" s="1"/>
  <c r="P289" i="11" s="1"/>
  <c r="D205" i="17"/>
  <c r="N178" i="11"/>
  <c r="O178" i="11" s="1"/>
  <c r="P178" i="11" s="1"/>
  <c r="D213" i="17"/>
  <c r="N186" i="11"/>
  <c r="O186" i="11" s="1"/>
  <c r="P186" i="11" s="1"/>
  <c r="D208" i="17"/>
  <c r="N181" i="11"/>
  <c r="O181" i="11" s="1"/>
  <c r="P181" i="11" s="1"/>
  <c r="D211" i="17"/>
  <c r="N184" i="11"/>
  <c r="O184" i="11" s="1"/>
  <c r="P184" i="11" s="1"/>
  <c r="C214" i="17"/>
  <c r="E214" i="17" s="1"/>
  <c r="F214" i="17" s="1"/>
  <c r="N187" i="11"/>
  <c r="O187" i="11" s="1"/>
  <c r="P187" i="11" s="1"/>
  <c r="C200" i="17"/>
  <c r="E200" i="17" s="1"/>
  <c r="F200" i="17" s="1"/>
  <c r="N173" i="11"/>
  <c r="O173" i="11" s="1"/>
  <c r="P173" i="11" s="1"/>
  <c r="C203" i="17"/>
  <c r="E203" i="17" s="1"/>
  <c r="F203" i="17" s="1"/>
  <c r="N176" i="11"/>
  <c r="O176" i="11" s="1"/>
  <c r="P176" i="11" s="1"/>
  <c r="C198" i="17"/>
  <c r="E198" i="17" s="1"/>
  <c r="F198" i="17" s="1"/>
  <c r="N171" i="11"/>
  <c r="O171" i="11" s="1"/>
  <c r="P171" i="11" s="1"/>
  <c r="D262" i="17"/>
  <c r="D198" i="17"/>
  <c r="C99" i="17"/>
  <c r="E99" i="17" s="1"/>
  <c r="F99" i="17" s="1"/>
  <c r="C90" i="17"/>
  <c r="E90" i="17" s="1"/>
  <c r="F90" i="17" s="1"/>
  <c r="C98" i="17"/>
  <c r="E98" i="17" s="1"/>
  <c r="F98" i="17" s="1"/>
  <c r="C96" i="17"/>
  <c r="E96" i="17" s="1"/>
  <c r="F96" i="17" s="1"/>
  <c r="C101" i="17"/>
  <c r="E101" i="17" s="1"/>
  <c r="F101" i="17" s="1"/>
  <c r="C85" i="17"/>
  <c r="E85" i="17" s="1"/>
  <c r="F85" i="17" s="1"/>
  <c r="C94" i="17"/>
  <c r="E94" i="17" s="1"/>
  <c r="F94" i="17" s="1"/>
  <c r="D87" i="17"/>
  <c r="D103" i="17"/>
  <c r="D93" i="17"/>
  <c r="C86" i="17"/>
  <c r="E86" i="17" s="1"/>
  <c r="F86" i="17" s="1"/>
  <c r="C100" i="17"/>
  <c r="E100" i="17" s="1"/>
  <c r="F100" i="17" s="1"/>
  <c r="C95" i="17"/>
  <c r="E95" i="17" s="1"/>
  <c r="F95" i="17" s="1"/>
  <c r="D91" i="17"/>
  <c r="C88" i="17"/>
  <c r="E88" i="17" s="1"/>
  <c r="F88" i="17" s="1"/>
  <c r="D264" i="17"/>
  <c r="C267" i="17"/>
  <c r="E267" i="17" s="1"/>
  <c r="F267" i="17" s="1"/>
  <c r="D257" i="17"/>
  <c r="C265" i="17"/>
  <c r="E265" i="17" s="1"/>
  <c r="F265" i="17" s="1"/>
  <c r="C261" i="17"/>
  <c r="E261" i="17" s="1"/>
  <c r="F261" i="17" s="1"/>
  <c r="D250" i="17"/>
  <c r="D92" i="17"/>
  <c r="C92" i="17"/>
  <c r="E92" i="17" s="1"/>
  <c r="F92" i="17" s="1"/>
  <c r="D253" i="17"/>
  <c r="D252" i="17"/>
  <c r="C252" i="17"/>
  <c r="E252" i="17" s="1"/>
  <c r="F252" i="17" s="1"/>
  <c r="C254" i="17"/>
  <c r="E254" i="17" s="1"/>
  <c r="F254" i="17" s="1"/>
  <c r="D248" i="17"/>
  <c r="C251" i="17"/>
  <c r="E251" i="17" s="1"/>
  <c r="F251" i="17" s="1"/>
  <c r="D259" i="17"/>
  <c r="C259" i="17"/>
  <c r="E259" i="17" s="1"/>
  <c r="F259" i="17" s="1"/>
  <c r="C249" i="17"/>
  <c r="E249" i="17" s="1"/>
  <c r="F249" i="17" s="1"/>
  <c r="C256" i="17"/>
  <c r="E256" i="17" s="1"/>
  <c r="F256" i="17" s="1"/>
  <c r="C84" i="17"/>
  <c r="E84" i="17" s="1"/>
  <c r="F84" i="17" s="1"/>
  <c r="C255" i="17"/>
  <c r="E255" i="17" s="1"/>
  <c r="F255" i="17" s="1"/>
  <c r="D263" i="17"/>
  <c r="C263" i="17"/>
  <c r="E263" i="17" s="1"/>
  <c r="F263" i="17" s="1"/>
  <c r="D200" i="17"/>
  <c r="C205" i="17"/>
  <c r="E205" i="17" s="1"/>
  <c r="F205" i="17" s="1"/>
  <c r="C208" i="17"/>
  <c r="E208" i="17" s="1"/>
  <c r="F208" i="17" s="1"/>
  <c r="C213" i="17"/>
  <c r="E213" i="17" s="1"/>
  <c r="F213" i="17" s="1"/>
  <c r="C52" i="17"/>
  <c r="E52" i="17" s="1"/>
  <c r="F52" i="17" s="1"/>
  <c r="D52" i="17"/>
  <c r="D47" i="17"/>
  <c r="C47" i="17"/>
  <c r="E47" i="17" s="1"/>
  <c r="F47" i="17" s="1"/>
  <c r="C40" i="17"/>
  <c r="E40" i="17" s="1"/>
  <c r="F40" i="17" s="1"/>
  <c r="D40" i="17"/>
  <c r="C45" i="17"/>
  <c r="E45" i="17" s="1"/>
  <c r="F45" i="17" s="1"/>
  <c r="D45" i="17"/>
  <c r="C42" i="17"/>
  <c r="E42" i="17" s="1"/>
  <c r="F42" i="17" s="1"/>
  <c r="D42" i="17"/>
  <c r="D35" i="17"/>
  <c r="C35" i="17"/>
  <c r="E35" i="17" s="1"/>
  <c r="F35" i="17" s="1"/>
  <c r="D51" i="17"/>
  <c r="C51" i="17"/>
  <c r="E51" i="17" s="1"/>
  <c r="F51" i="17" s="1"/>
  <c r="C48" i="17"/>
  <c r="E48" i="17" s="1"/>
  <c r="F48" i="17" s="1"/>
  <c r="D48" i="17"/>
  <c r="C49" i="17"/>
  <c r="E49" i="17" s="1"/>
  <c r="F49" i="17" s="1"/>
  <c r="D49" i="17"/>
  <c r="C50" i="17"/>
  <c r="E50" i="17" s="1"/>
  <c r="F50" i="17" s="1"/>
  <c r="D50" i="17"/>
  <c r="C36" i="17"/>
  <c r="E36" i="17" s="1"/>
  <c r="F36" i="17" s="1"/>
  <c r="D36" i="17"/>
  <c r="D39" i="17"/>
  <c r="C39" i="17"/>
  <c r="E39" i="17" s="1"/>
  <c r="F39" i="17" s="1"/>
  <c r="C34" i="17"/>
  <c r="E34" i="17" s="1"/>
  <c r="F34" i="17" s="1"/>
  <c r="D34" i="17"/>
  <c r="C37" i="17"/>
  <c r="E37" i="17" s="1"/>
  <c r="F37" i="17" s="1"/>
  <c r="D37" i="17"/>
  <c r="C53" i="17"/>
  <c r="E53" i="17" s="1"/>
  <c r="F53" i="17" s="1"/>
  <c r="D53" i="17"/>
  <c r="C44" i="17"/>
  <c r="E44" i="17" s="1"/>
  <c r="F44" i="17" s="1"/>
  <c r="D44" i="17"/>
  <c r="D43" i="17"/>
  <c r="C43" i="17"/>
  <c r="E43" i="17" s="1"/>
  <c r="F43" i="17" s="1"/>
  <c r="C46" i="17"/>
  <c r="E46" i="17" s="1"/>
  <c r="F46" i="17" s="1"/>
  <c r="D46" i="17"/>
  <c r="C41" i="17"/>
  <c r="E41" i="17" s="1"/>
  <c r="F41" i="17" s="1"/>
  <c r="D41" i="17"/>
  <c r="C38" i="17"/>
  <c r="E38" i="17" s="1"/>
  <c r="F38" i="17" s="1"/>
  <c r="D38" i="17"/>
  <c r="D203" i="17"/>
  <c r="C211" i="17"/>
  <c r="E211" i="17" s="1"/>
  <c r="F211" i="17" s="1"/>
  <c r="D214" i="17"/>
  <c r="C199" i="17"/>
  <c r="E199" i="17" s="1"/>
  <c r="F199" i="17" s="1"/>
  <c r="D199" i="17"/>
  <c r="C215" i="17"/>
  <c r="E215" i="17" s="1"/>
  <c r="F215" i="17" s="1"/>
  <c r="D215" i="17"/>
  <c r="C206" i="17"/>
  <c r="E206" i="17" s="1"/>
  <c r="F206" i="17" s="1"/>
  <c r="D206" i="17"/>
  <c r="C209" i="17"/>
  <c r="E209" i="17" s="1"/>
  <c r="F209" i="17" s="1"/>
  <c r="D209" i="17"/>
  <c r="C212" i="17"/>
  <c r="E212" i="17" s="1"/>
  <c r="F212" i="17" s="1"/>
  <c r="D212" i="17"/>
  <c r="C204" i="17"/>
  <c r="E204" i="17" s="1"/>
  <c r="F204" i="17" s="1"/>
  <c r="D204" i="17"/>
  <c r="C207" i="17"/>
  <c r="E207" i="17" s="1"/>
  <c r="F207" i="17" s="1"/>
  <c r="D207" i="17"/>
  <c r="C216" i="17"/>
  <c r="E216" i="17" s="1"/>
  <c r="F216" i="17" s="1"/>
  <c r="D216" i="17"/>
  <c r="C201" i="17"/>
  <c r="E201" i="17" s="1"/>
  <c r="F201" i="17" s="1"/>
  <c r="D201" i="17"/>
  <c r="C217" i="17"/>
  <c r="E217" i="17" s="1"/>
  <c r="F217" i="17" s="1"/>
  <c r="D217" i="17"/>
  <c r="C210" i="17"/>
  <c r="E210" i="17" s="1"/>
  <c r="F210" i="17" s="1"/>
  <c r="D210" i="17"/>
  <c r="C202" i="17"/>
  <c r="E202" i="17" s="1"/>
  <c r="F202" i="17" s="1"/>
  <c r="D202" i="17"/>
  <c r="F1113" i="10" l="1"/>
  <c r="F1114" i="10"/>
  <c r="F1115" i="10"/>
  <c r="F1116" i="10"/>
  <c r="F1117" i="10"/>
  <c r="F1118" i="10"/>
  <c r="F1119" i="10"/>
  <c r="F1120" i="10"/>
  <c r="F1121" i="10"/>
  <c r="F1122" i="10"/>
  <c r="F1123" i="10"/>
  <c r="F1124" i="10"/>
  <c r="F1125" i="10"/>
  <c r="F1126" i="10"/>
  <c r="F1127" i="10"/>
  <c r="F1128" i="10"/>
  <c r="F1129" i="10"/>
  <c r="F1130" i="10"/>
  <c r="F1131" i="10"/>
  <c r="F1132" i="10"/>
  <c r="F1133" i="10"/>
  <c r="F1134" i="10"/>
  <c r="F1135" i="10"/>
  <c r="F1136" i="10"/>
  <c r="F1137" i="10"/>
  <c r="F1138" i="10"/>
  <c r="F1139" i="10"/>
  <c r="F1140" i="10"/>
  <c r="F1141" i="10"/>
  <c r="F1142" i="10"/>
  <c r="F1143" i="10"/>
  <c r="F1144" i="10"/>
  <c r="F1145" i="10"/>
  <c r="F1146" i="10"/>
  <c r="F1147" i="10"/>
  <c r="F1148" i="10"/>
  <c r="F1149" i="10"/>
  <c r="F1150" i="10"/>
  <c r="F1151" i="10"/>
  <c r="F1152" i="10"/>
  <c r="F1153" i="10"/>
  <c r="F1154" i="10"/>
  <c r="F1155" i="10"/>
  <c r="F1156" i="10"/>
  <c r="F1157" i="10"/>
  <c r="F1158" i="10"/>
  <c r="F1159" i="10"/>
  <c r="F1160" i="10"/>
  <c r="F1161" i="10"/>
  <c r="F1112" i="10"/>
  <c r="AL69" i="26" l="1"/>
  <c r="AL70" i="26"/>
  <c r="AL71" i="26"/>
  <c r="AL72" i="26"/>
  <c r="AL73" i="26"/>
  <c r="AL74" i="26"/>
  <c r="AL75" i="26"/>
  <c r="AL76" i="26"/>
  <c r="AL77" i="26"/>
  <c r="AL78" i="26"/>
  <c r="AL79" i="26"/>
  <c r="AL80" i="26"/>
  <c r="AL81" i="26"/>
  <c r="AL82" i="26"/>
  <c r="AL83" i="26"/>
  <c r="AL84" i="26"/>
  <c r="AL85" i="26"/>
  <c r="AL86" i="26"/>
  <c r="AL87" i="26"/>
  <c r="AL88" i="26"/>
  <c r="AL89" i="26"/>
  <c r="AL90" i="26"/>
  <c r="AL91" i="26"/>
  <c r="AL92" i="26"/>
  <c r="AL93" i="26"/>
  <c r="AL94" i="26"/>
  <c r="AL95" i="26"/>
  <c r="AL96" i="26"/>
  <c r="AL97" i="26"/>
  <c r="AL98" i="26"/>
  <c r="AL99" i="26"/>
  <c r="AL100" i="26"/>
  <c r="AL101" i="26"/>
  <c r="AL102" i="26"/>
  <c r="AL103" i="26"/>
  <c r="AL104" i="26"/>
  <c r="AL105" i="26"/>
  <c r="AL106" i="26"/>
  <c r="AL107" i="26"/>
  <c r="AL108" i="26"/>
  <c r="AL109" i="26"/>
  <c r="AL110" i="26"/>
  <c r="AL111" i="26"/>
  <c r="AL112" i="26"/>
  <c r="AL113" i="26"/>
  <c r="AL114" i="26"/>
  <c r="AL115" i="26"/>
  <c r="AL7" i="26"/>
  <c r="AL8" i="26"/>
  <c r="AL9" i="26"/>
  <c r="AL10" i="26"/>
  <c r="AL11" i="26"/>
  <c r="AL12" i="26"/>
  <c r="AL13" i="26"/>
  <c r="AL14" i="26"/>
  <c r="AL15" i="26"/>
  <c r="AL16" i="26"/>
  <c r="AL17" i="26"/>
  <c r="AL18" i="26"/>
  <c r="AL19" i="26"/>
  <c r="AL20" i="26"/>
  <c r="AL21" i="26"/>
  <c r="AL22" i="26"/>
  <c r="AL23" i="26"/>
  <c r="AL24" i="26"/>
  <c r="AL25" i="26"/>
  <c r="AL26" i="26"/>
  <c r="AL27" i="26"/>
  <c r="AL28" i="26"/>
  <c r="AL29" i="26"/>
  <c r="AL30" i="26"/>
  <c r="AL31" i="26"/>
  <c r="AL32" i="26"/>
  <c r="AL33" i="26"/>
  <c r="AL34" i="26"/>
  <c r="AL35" i="26"/>
  <c r="AL36" i="26"/>
  <c r="AL37" i="26"/>
  <c r="AL38" i="26"/>
  <c r="AL39" i="26"/>
  <c r="AL40" i="26"/>
  <c r="AL41" i="26"/>
  <c r="AL42" i="26"/>
  <c r="AL43" i="26"/>
  <c r="AL44" i="26"/>
  <c r="AL45" i="26"/>
  <c r="AL46" i="26"/>
  <c r="AL47" i="26"/>
  <c r="AL48" i="26"/>
  <c r="AL49" i="26"/>
  <c r="AL50" i="26"/>
  <c r="AL51" i="26"/>
  <c r="AL52" i="26"/>
  <c r="AL53" i="26"/>
  <c r="AL54" i="26"/>
  <c r="AL55" i="26"/>
  <c r="AL56" i="26"/>
  <c r="AE70" i="26" l="1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E97" i="26"/>
  <c r="AE98" i="26"/>
  <c r="AE99" i="26"/>
  <c r="AE100" i="26"/>
  <c r="AE101" i="26"/>
  <c r="AE102" i="26"/>
  <c r="AE103" i="26"/>
  <c r="AE104" i="26"/>
  <c r="AE105" i="26"/>
  <c r="AE106" i="26"/>
  <c r="AE107" i="26"/>
  <c r="AE108" i="26"/>
  <c r="AE109" i="26"/>
  <c r="AE110" i="26"/>
  <c r="AE111" i="26"/>
  <c r="AE112" i="26"/>
  <c r="AE113" i="26"/>
  <c r="AE114" i="26"/>
  <c r="AE115" i="26"/>
  <c r="AE7" i="26"/>
  <c r="AE8" i="26"/>
  <c r="AE9" i="26"/>
  <c r="AE10" i="26"/>
  <c r="AE11" i="26"/>
  <c r="AE12" i="26"/>
  <c r="AE13" i="26"/>
  <c r="AE14" i="26"/>
  <c r="AE15" i="26"/>
  <c r="AE16" i="26"/>
  <c r="AE17" i="26"/>
  <c r="AE18" i="26"/>
  <c r="AE19" i="26"/>
  <c r="AE20" i="26"/>
  <c r="AE21" i="26"/>
  <c r="AE22" i="26"/>
  <c r="AE23" i="26"/>
  <c r="AE24" i="26"/>
  <c r="AE25" i="26"/>
  <c r="AE26" i="26"/>
  <c r="AE27" i="26"/>
  <c r="AE28" i="26"/>
  <c r="AE29" i="26"/>
  <c r="AE30" i="26"/>
  <c r="AE31" i="26"/>
  <c r="AE32" i="26"/>
  <c r="AE33" i="26"/>
  <c r="AE34" i="26"/>
  <c r="AE35" i="26"/>
  <c r="AE36" i="26"/>
  <c r="AE37" i="26"/>
  <c r="AE38" i="26"/>
  <c r="AE39" i="26"/>
  <c r="AE40" i="26"/>
  <c r="AE41" i="26"/>
  <c r="AE42" i="26"/>
  <c r="AE43" i="26"/>
  <c r="AE44" i="26"/>
  <c r="AE45" i="26"/>
  <c r="AE46" i="26"/>
  <c r="AE47" i="26"/>
  <c r="AE48" i="26"/>
  <c r="AE49" i="26"/>
  <c r="AE50" i="26"/>
  <c r="AE51" i="26"/>
  <c r="AE52" i="26"/>
  <c r="AE53" i="26"/>
  <c r="AE54" i="26"/>
  <c r="AE55" i="26"/>
  <c r="AE56" i="26"/>
  <c r="X66" i="26" l="1"/>
  <c r="X67" i="26"/>
  <c r="X68" i="26"/>
  <c r="X69" i="26"/>
  <c r="X70" i="26"/>
  <c r="X71" i="26"/>
  <c r="X72" i="26"/>
  <c r="X73" i="26"/>
  <c r="X74" i="26"/>
  <c r="X75" i="26"/>
  <c r="X76" i="26"/>
  <c r="X77" i="26"/>
  <c r="X78" i="26"/>
  <c r="X79" i="26"/>
  <c r="X80" i="26"/>
  <c r="X81" i="26"/>
  <c r="X82" i="26"/>
  <c r="X83" i="26"/>
  <c r="X84" i="26"/>
  <c r="X85" i="26"/>
  <c r="X86" i="26"/>
  <c r="X87" i="26"/>
  <c r="X88" i="26"/>
  <c r="X89" i="26"/>
  <c r="X90" i="26"/>
  <c r="X91" i="26"/>
  <c r="X92" i="26"/>
  <c r="X93" i="26"/>
  <c r="X94" i="26"/>
  <c r="X95" i="26"/>
  <c r="X96" i="26"/>
  <c r="X97" i="26"/>
  <c r="X98" i="26"/>
  <c r="X99" i="26"/>
  <c r="X100" i="26"/>
  <c r="X101" i="26"/>
  <c r="X102" i="26"/>
  <c r="X103" i="26"/>
  <c r="X104" i="26"/>
  <c r="X105" i="26"/>
  <c r="X106" i="26"/>
  <c r="X107" i="26"/>
  <c r="X108" i="26"/>
  <c r="X109" i="26"/>
  <c r="X110" i="26"/>
  <c r="X111" i="26"/>
  <c r="X112" i="26"/>
  <c r="X113" i="26"/>
  <c r="X114" i="26"/>
  <c r="X115" i="26"/>
  <c r="X7" i="26"/>
  <c r="X8" i="26"/>
  <c r="X9" i="26"/>
  <c r="X10" i="26"/>
  <c r="X11" i="26"/>
  <c r="X12" i="26"/>
  <c r="X13" i="26"/>
  <c r="X14" i="26"/>
  <c r="X15" i="26"/>
  <c r="X16" i="26"/>
  <c r="X17" i="26"/>
  <c r="X18" i="26"/>
  <c r="X19" i="26"/>
  <c r="X20" i="26"/>
  <c r="X21" i="26"/>
  <c r="X22" i="26"/>
  <c r="X23" i="26"/>
  <c r="X24" i="26"/>
  <c r="X25" i="26"/>
  <c r="X26" i="26"/>
  <c r="X27" i="26"/>
  <c r="X28" i="26"/>
  <c r="X29" i="26"/>
  <c r="X30" i="26"/>
  <c r="X31" i="26"/>
  <c r="X32" i="26"/>
  <c r="X33" i="26"/>
  <c r="X34" i="26"/>
  <c r="X35" i="26"/>
  <c r="X36" i="26"/>
  <c r="X37" i="26"/>
  <c r="X38" i="26"/>
  <c r="X39" i="26"/>
  <c r="X40" i="26"/>
  <c r="X41" i="26"/>
  <c r="X42" i="26"/>
  <c r="X43" i="26"/>
  <c r="X44" i="26"/>
  <c r="X45" i="26"/>
  <c r="X46" i="26"/>
  <c r="X47" i="26"/>
  <c r="X48" i="26"/>
  <c r="X49" i="26"/>
  <c r="X50" i="26"/>
  <c r="X51" i="26"/>
  <c r="X52" i="26"/>
  <c r="X53" i="26"/>
  <c r="X54" i="26"/>
  <c r="X55" i="26"/>
  <c r="X56" i="26"/>
  <c r="Q66" i="26" l="1"/>
  <c r="Q67" i="26"/>
  <c r="Q68" i="26"/>
  <c r="Q69" i="26"/>
  <c r="Q70" i="26"/>
  <c r="Q71" i="26"/>
  <c r="Q72" i="26"/>
  <c r="Q73" i="26"/>
  <c r="Q74" i="26"/>
  <c r="Q75" i="26"/>
  <c r="Q76" i="26"/>
  <c r="Q77" i="26"/>
  <c r="Q78" i="26"/>
  <c r="Q79" i="26"/>
  <c r="Q80" i="26"/>
  <c r="Q81" i="26"/>
  <c r="Q82" i="26"/>
  <c r="Q83" i="26"/>
  <c r="Q84" i="26"/>
  <c r="Q85" i="26"/>
  <c r="Q86" i="26"/>
  <c r="Q87" i="26"/>
  <c r="Q88" i="26"/>
  <c r="Q89" i="26"/>
  <c r="Q90" i="26"/>
  <c r="Q91" i="26"/>
  <c r="Q92" i="26"/>
  <c r="Q93" i="26"/>
  <c r="Q94" i="26"/>
  <c r="Q95" i="26"/>
  <c r="Q96" i="26"/>
  <c r="Q97" i="26"/>
  <c r="Q98" i="26"/>
  <c r="Q99" i="26"/>
  <c r="Q100" i="26"/>
  <c r="Q101" i="26"/>
  <c r="Q102" i="26"/>
  <c r="Q103" i="26"/>
  <c r="Q104" i="26"/>
  <c r="Q105" i="26"/>
  <c r="Q106" i="26"/>
  <c r="Q107" i="26"/>
  <c r="Q108" i="26"/>
  <c r="Q109" i="26"/>
  <c r="Q110" i="26"/>
  <c r="Q111" i="26"/>
  <c r="Q112" i="26"/>
  <c r="Q113" i="26"/>
  <c r="Q114" i="26"/>
  <c r="Q115" i="26"/>
  <c r="Q7" i="26" l="1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2" i="26"/>
  <c r="Q53" i="26"/>
  <c r="Q54" i="26"/>
  <c r="Q55" i="26"/>
  <c r="Q56" i="26"/>
  <c r="G67" i="26" l="1"/>
  <c r="G68" i="26"/>
  <c r="G69" i="26"/>
  <c r="G70" i="26"/>
  <c r="G71" i="26"/>
  <c r="G72" i="26"/>
  <c r="G73" i="26"/>
  <c r="G74" i="26"/>
  <c r="G75" i="26"/>
  <c r="G76" i="26"/>
  <c r="G77" i="26"/>
  <c r="G78" i="26"/>
  <c r="G79" i="26"/>
  <c r="G80" i="26"/>
  <c r="G81" i="26"/>
  <c r="G82" i="26"/>
  <c r="G83" i="26"/>
  <c r="G84" i="26"/>
  <c r="G85" i="26"/>
  <c r="G86" i="26"/>
  <c r="G87" i="26"/>
  <c r="G88" i="26"/>
  <c r="G89" i="26"/>
  <c r="G90" i="26"/>
  <c r="G91" i="26"/>
  <c r="G92" i="26"/>
  <c r="G93" i="26"/>
  <c r="G94" i="26"/>
  <c r="G95" i="26"/>
  <c r="G96" i="26"/>
  <c r="G97" i="26"/>
  <c r="G98" i="26"/>
  <c r="G99" i="26"/>
  <c r="G100" i="26"/>
  <c r="G101" i="26"/>
  <c r="G102" i="26"/>
  <c r="G103" i="26"/>
  <c r="G104" i="26"/>
  <c r="G105" i="26"/>
  <c r="G106" i="26"/>
  <c r="G107" i="26"/>
  <c r="G108" i="26"/>
  <c r="G109" i="26"/>
  <c r="G110" i="26"/>
  <c r="G111" i="26"/>
  <c r="G112" i="26"/>
  <c r="G113" i="26"/>
  <c r="G114" i="26"/>
  <c r="G115" i="26"/>
  <c r="G66" i="26"/>
  <c r="G8" i="26"/>
  <c r="J2024" i="20" s="1"/>
  <c r="G9" i="26"/>
  <c r="G10" i="26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37" i="26"/>
  <c r="G38" i="26"/>
  <c r="G39" i="26"/>
  <c r="G40" i="26"/>
  <c r="G41" i="26"/>
  <c r="G42" i="26"/>
  <c r="G43" i="26"/>
  <c r="G44" i="26"/>
  <c r="G45" i="26"/>
  <c r="G46" i="26"/>
  <c r="G47" i="26"/>
  <c r="G48" i="26"/>
  <c r="G49" i="26"/>
  <c r="G50" i="26"/>
  <c r="G51" i="26"/>
  <c r="G52" i="26"/>
  <c r="G53" i="26"/>
  <c r="G54" i="26"/>
  <c r="G55" i="26"/>
  <c r="G56" i="26"/>
  <c r="G7" i="26"/>
  <c r="J2022" i="20" s="1"/>
  <c r="F67" i="26"/>
  <c r="F68" i="26"/>
  <c r="F69" i="26"/>
  <c r="F70" i="26"/>
  <c r="F71" i="26"/>
  <c r="F72" i="26"/>
  <c r="F73" i="26"/>
  <c r="F74" i="26"/>
  <c r="F75" i="26"/>
  <c r="F76" i="26"/>
  <c r="F77" i="26"/>
  <c r="F78" i="26"/>
  <c r="F79" i="26"/>
  <c r="F80" i="26"/>
  <c r="F81" i="26"/>
  <c r="F82" i="26"/>
  <c r="F83" i="26"/>
  <c r="F84" i="26"/>
  <c r="F85" i="26"/>
  <c r="F86" i="26"/>
  <c r="F87" i="26"/>
  <c r="F88" i="26"/>
  <c r="F89" i="26"/>
  <c r="F90" i="26"/>
  <c r="F91" i="26"/>
  <c r="F92" i="26"/>
  <c r="F93" i="26"/>
  <c r="F94" i="26"/>
  <c r="F95" i="26"/>
  <c r="F96" i="26"/>
  <c r="F97" i="26"/>
  <c r="F98" i="26"/>
  <c r="F99" i="26"/>
  <c r="F100" i="26"/>
  <c r="F101" i="26"/>
  <c r="F102" i="26"/>
  <c r="F103" i="26"/>
  <c r="F104" i="26"/>
  <c r="F105" i="26"/>
  <c r="F106" i="26"/>
  <c r="F107" i="26"/>
  <c r="F108" i="26"/>
  <c r="F109" i="26"/>
  <c r="F110" i="26"/>
  <c r="F111" i="26"/>
  <c r="F112" i="26"/>
  <c r="F113" i="26"/>
  <c r="F114" i="26"/>
  <c r="F115" i="26"/>
  <c r="F66" i="26"/>
  <c r="F8" i="26"/>
  <c r="I2024" i="20" s="1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7" i="26"/>
  <c r="I2022" i="20" s="1"/>
  <c r="E8" i="26"/>
  <c r="H2024" i="20" s="1"/>
  <c r="E9" i="26"/>
  <c r="E10" i="26"/>
  <c r="E11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E43" i="26"/>
  <c r="E44" i="26"/>
  <c r="E45" i="26"/>
  <c r="E46" i="26"/>
  <c r="E47" i="26"/>
  <c r="E48" i="26"/>
  <c r="E49" i="26"/>
  <c r="E50" i="26"/>
  <c r="E51" i="26"/>
  <c r="E52" i="26"/>
  <c r="E53" i="26"/>
  <c r="E54" i="26"/>
  <c r="E55" i="26"/>
  <c r="E56" i="26"/>
  <c r="H2022" i="20"/>
  <c r="I2322" i="20" l="1"/>
  <c r="I2323" i="20" s="1"/>
  <c r="I2522" i="20"/>
  <c r="I2523" i="20" s="1"/>
  <c r="I2422" i="20"/>
  <c r="I2423" i="20" s="1"/>
  <c r="I2622" i="20"/>
  <c r="I2623" i="20" s="1"/>
  <c r="I2518" i="20"/>
  <c r="I2519" i="20" s="1"/>
  <c r="I2618" i="20"/>
  <c r="I2619" i="20" s="1"/>
  <c r="I2418" i="20"/>
  <c r="I2419" i="20" s="1"/>
  <c r="I2718" i="20"/>
  <c r="I2719" i="20" s="1"/>
  <c r="I2614" i="20"/>
  <c r="I2615" i="20" s="1"/>
  <c r="I2414" i="20"/>
  <c r="I2415" i="20" s="1"/>
  <c r="I2514" i="20"/>
  <c r="I2515" i="20" s="1"/>
  <c r="I2714" i="20"/>
  <c r="I2715" i="20" s="1"/>
  <c r="I2510" i="20"/>
  <c r="I2511" i="20" s="1"/>
  <c r="I2410" i="20"/>
  <c r="I2411" i="20" s="1"/>
  <c r="I2610" i="20"/>
  <c r="I2611" i="20" s="1"/>
  <c r="I2710" i="20"/>
  <c r="I2711" i="20" s="1"/>
  <c r="I2606" i="20"/>
  <c r="I2607" i="20" s="1"/>
  <c r="I2506" i="20"/>
  <c r="I2507" i="20" s="1"/>
  <c r="I2406" i="20"/>
  <c r="I2407" i="20" s="1"/>
  <c r="I2706" i="20"/>
  <c r="I2707" i="20" s="1"/>
  <c r="I2502" i="20"/>
  <c r="I2503" i="20" s="1"/>
  <c r="I2402" i="20"/>
  <c r="I2403" i="20" s="1"/>
  <c r="I2602" i="20"/>
  <c r="I2603" i="20" s="1"/>
  <c r="I2702" i="20"/>
  <c r="I2703" i="20" s="1"/>
  <c r="I2598" i="20"/>
  <c r="I2599" i="20" s="1"/>
  <c r="I2498" i="20"/>
  <c r="I2499" i="20" s="1"/>
  <c r="I2398" i="20"/>
  <c r="I2399" i="20" s="1"/>
  <c r="I2698" i="20"/>
  <c r="I2699" i="20" s="1"/>
  <c r="I2494" i="20"/>
  <c r="I2495" i="20" s="1"/>
  <c r="I2394" i="20"/>
  <c r="I2395" i="20" s="1"/>
  <c r="I2594" i="20"/>
  <c r="I2595" i="20" s="1"/>
  <c r="I2694" i="20"/>
  <c r="I2695" i="20" s="1"/>
  <c r="I2590" i="20"/>
  <c r="I2591" i="20" s="1"/>
  <c r="I2490" i="20"/>
  <c r="I2491" i="20" s="1"/>
  <c r="I2390" i="20"/>
  <c r="I2391" i="20" s="1"/>
  <c r="I2690" i="20"/>
  <c r="I2691" i="20" s="1"/>
  <c r="I2486" i="20"/>
  <c r="I2487" i="20" s="1"/>
  <c r="I2386" i="20"/>
  <c r="I2387" i="20" s="1"/>
  <c r="I2586" i="20"/>
  <c r="I2587" i="20" s="1"/>
  <c r="I2686" i="20"/>
  <c r="I2687" i="20" s="1"/>
  <c r="I2582" i="20"/>
  <c r="I2583" i="20" s="1"/>
  <c r="I2482" i="20"/>
  <c r="I2483" i="20" s="1"/>
  <c r="I2382" i="20"/>
  <c r="I2383" i="20" s="1"/>
  <c r="I2682" i="20"/>
  <c r="I2683" i="20" s="1"/>
  <c r="I2478" i="20"/>
  <c r="I2479" i="20" s="1"/>
  <c r="I2378" i="20"/>
  <c r="I2379" i="20" s="1"/>
  <c r="I2578" i="20"/>
  <c r="I2579" i="20" s="1"/>
  <c r="I2678" i="20"/>
  <c r="I2679" i="20" s="1"/>
  <c r="I2574" i="20"/>
  <c r="I2575" i="20" s="1"/>
  <c r="I2374" i="20"/>
  <c r="I2375" i="20" s="1"/>
  <c r="I2474" i="20"/>
  <c r="I2475" i="20" s="1"/>
  <c r="I2674" i="20"/>
  <c r="I2675" i="20" s="1"/>
  <c r="I2370" i="20"/>
  <c r="I2371" i="20" s="1"/>
  <c r="I2570" i="20"/>
  <c r="I2571" i="20" s="1"/>
  <c r="I2470" i="20"/>
  <c r="I2471" i="20" s="1"/>
  <c r="I2670" i="20"/>
  <c r="I2671" i="20" s="1"/>
  <c r="I2566" i="20"/>
  <c r="I2567" i="20" s="1"/>
  <c r="I2366" i="20"/>
  <c r="I2367" i="20" s="1"/>
  <c r="I2466" i="20"/>
  <c r="I2467" i="20" s="1"/>
  <c r="I2666" i="20"/>
  <c r="I2667" i="20" s="1"/>
  <c r="I2362" i="20"/>
  <c r="I2363" i="20" s="1"/>
  <c r="I2562" i="20"/>
  <c r="I2563" i="20" s="1"/>
  <c r="I2462" i="20"/>
  <c r="I2463" i="20" s="1"/>
  <c r="I2662" i="20"/>
  <c r="I2663" i="20" s="1"/>
  <c r="I2558" i="20"/>
  <c r="I2559" i="20" s="1"/>
  <c r="I2358" i="20"/>
  <c r="I2359" i="20" s="1"/>
  <c r="I2458" i="20"/>
  <c r="I2459" i="20" s="1"/>
  <c r="I2658" i="20"/>
  <c r="I2659" i="20" s="1"/>
  <c r="I2354" i="20"/>
  <c r="I2355" i="20" s="1"/>
  <c r="I2554" i="20"/>
  <c r="I2555" i="20" s="1"/>
  <c r="I2454" i="20"/>
  <c r="I2455" i="20" s="1"/>
  <c r="I2654" i="20"/>
  <c r="I2655" i="20" s="1"/>
  <c r="I2550" i="20"/>
  <c r="I2551" i="20" s="1"/>
  <c r="I2350" i="20"/>
  <c r="I2351" i="20" s="1"/>
  <c r="I2450" i="20"/>
  <c r="I2451" i="20" s="1"/>
  <c r="I2650" i="20"/>
  <c r="I2651" i="20" s="1"/>
  <c r="I2346" i="20"/>
  <c r="I2347" i="20" s="1"/>
  <c r="I2546" i="20"/>
  <c r="I2547" i="20" s="1"/>
  <c r="I2446" i="20"/>
  <c r="I2447" i="20" s="1"/>
  <c r="I2646" i="20"/>
  <c r="I2647" i="20" s="1"/>
  <c r="I2542" i="20"/>
  <c r="I2543" i="20" s="1"/>
  <c r="I2342" i="20"/>
  <c r="I2343" i="20" s="1"/>
  <c r="I2442" i="20"/>
  <c r="I2443" i="20" s="1"/>
  <c r="I2642" i="20"/>
  <c r="I2643" i="20" s="1"/>
  <c r="I2338" i="20"/>
  <c r="I2339" i="20" s="1"/>
  <c r="I2538" i="20"/>
  <c r="I2539" i="20" s="1"/>
  <c r="I2438" i="20"/>
  <c r="I2439" i="20" s="1"/>
  <c r="I2638" i="20"/>
  <c r="I2639" i="20" s="1"/>
  <c r="I2534" i="20"/>
  <c r="I2535" i="20" s="1"/>
  <c r="I2334" i="20"/>
  <c r="I2335" i="20" s="1"/>
  <c r="I2434" i="20"/>
  <c r="I2435" i="20" s="1"/>
  <c r="I2634" i="20"/>
  <c r="I2635" i="20" s="1"/>
  <c r="I2330" i="20"/>
  <c r="I2331" i="20" s="1"/>
  <c r="I2530" i="20"/>
  <c r="I2531" i="20" s="1"/>
  <c r="I2430" i="20"/>
  <c r="I2431" i="20" s="1"/>
  <c r="I2630" i="20"/>
  <c r="I2631" i="20" s="1"/>
  <c r="I2526" i="20"/>
  <c r="I2527" i="20" s="1"/>
  <c r="I2326" i="20"/>
  <c r="I2327" i="20" s="1"/>
  <c r="I2426" i="20"/>
  <c r="I2427" i="20" s="1"/>
  <c r="I2626" i="20"/>
  <c r="I2627" i="20" s="1"/>
  <c r="J2522" i="20"/>
  <c r="J2523" i="20" s="1"/>
  <c r="J2422" i="20"/>
  <c r="J2423" i="20" s="1"/>
  <c r="J2622" i="20"/>
  <c r="J2623" i="20" s="1"/>
  <c r="J2322" i="20"/>
  <c r="J2323" i="20" s="1"/>
  <c r="J2618" i="20"/>
  <c r="J2619" i="20" s="1"/>
  <c r="J2518" i="20"/>
  <c r="J2519" i="20" s="1"/>
  <c r="J2718" i="20"/>
  <c r="J2719" i="20" s="1"/>
  <c r="J2418" i="20"/>
  <c r="J2419" i="20" s="1"/>
  <c r="J2614" i="20"/>
  <c r="J2615" i="20" s="1"/>
  <c r="J2514" i="20"/>
  <c r="J2515" i="20" s="1"/>
  <c r="J2714" i="20"/>
  <c r="J2715" i="20" s="1"/>
  <c r="J2414" i="20"/>
  <c r="J2415" i="20" s="1"/>
  <c r="J2610" i="20"/>
  <c r="J2611" i="20" s="1"/>
  <c r="J2510" i="20"/>
  <c r="J2511" i="20" s="1"/>
  <c r="J2710" i="20"/>
  <c r="J2711" i="20" s="1"/>
  <c r="J2410" i="20"/>
  <c r="J2411" i="20" s="1"/>
  <c r="J2606" i="20"/>
  <c r="J2607" i="20" s="1"/>
  <c r="J2506" i="20"/>
  <c r="J2507" i="20" s="1"/>
  <c r="J2706" i="20"/>
  <c r="J2707" i="20" s="1"/>
  <c r="J2406" i="20"/>
  <c r="J2407" i="20" s="1"/>
  <c r="J2602" i="20"/>
  <c r="J2603" i="20" s="1"/>
  <c r="J2702" i="20"/>
  <c r="J2703" i="20" s="1"/>
  <c r="J2502" i="20"/>
  <c r="J2503" i="20" s="1"/>
  <c r="J2402" i="20"/>
  <c r="J2403" i="20" s="1"/>
  <c r="J2598" i="20"/>
  <c r="J2599" i="20" s="1"/>
  <c r="J2498" i="20"/>
  <c r="J2499" i="20" s="1"/>
  <c r="J2398" i="20"/>
  <c r="J2399" i="20" s="1"/>
  <c r="J2698" i="20"/>
  <c r="J2699" i="20" s="1"/>
  <c r="J2594" i="20"/>
  <c r="J2595" i="20" s="1"/>
  <c r="J2694" i="20"/>
  <c r="J2695" i="20" s="1"/>
  <c r="J2494" i="20"/>
  <c r="J2495" i="20" s="1"/>
  <c r="J2394" i="20"/>
  <c r="J2395" i="20" s="1"/>
  <c r="J2590" i="20"/>
  <c r="J2591" i="20" s="1"/>
  <c r="J2490" i="20"/>
  <c r="J2491" i="20" s="1"/>
  <c r="J2390" i="20"/>
  <c r="J2391" i="20" s="1"/>
  <c r="J2690" i="20"/>
  <c r="J2691" i="20" s="1"/>
  <c r="J2586" i="20"/>
  <c r="J2587" i="20" s="1"/>
  <c r="J2686" i="20"/>
  <c r="J2687" i="20" s="1"/>
  <c r="J2486" i="20"/>
  <c r="J2487" i="20" s="1"/>
  <c r="J2386" i="20"/>
  <c r="J2387" i="20" s="1"/>
  <c r="J2582" i="20"/>
  <c r="J2583" i="20" s="1"/>
  <c r="J2482" i="20"/>
  <c r="J2483" i="20" s="1"/>
  <c r="J2382" i="20"/>
  <c r="J2383" i="20" s="1"/>
  <c r="J2682" i="20"/>
  <c r="J2683" i="20" s="1"/>
  <c r="J2578" i="20"/>
  <c r="J2579" i="20" s="1"/>
  <c r="J2678" i="20"/>
  <c r="J2679" i="20" s="1"/>
  <c r="J2478" i="20"/>
  <c r="J2479" i="20" s="1"/>
  <c r="J2378" i="20"/>
  <c r="J2379" i="20" s="1"/>
  <c r="J2574" i="20"/>
  <c r="J2575" i="20" s="1"/>
  <c r="J2474" i="20"/>
  <c r="J2475" i="20" s="1"/>
  <c r="J2374" i="20"/>
  <c r="J2375" i="20" s="1"/>
  <c r="J2674" i="20"/>
  <c r="J2675" i="20" s="1"/>
  <c r="J2570" i="20"/>
  <c r="J2571" i="20" s="1"/>
  <c r="J2470" i="20"/>
  <c r="J2471" i="20" s="1"/>
  <c r="J2670" i="20"/>
  <c r="J2671" i="20" s="1"/>
  <c r="J2370" i="20"/>
  <c r="J2371" i="20" s="1"/>
  <c r="J2566" i="20"/>
  <c r="J2567" i="20" s="1"/>
  <c r="J2466" i="20"/>
  <c r="J2467" i="20" s="1"/>
  <c r="J2366" i="20"/>
  <c r="J2367" i="20" s="1"/>
  <c r="J2666" i="20"/>
  <c r="J2667" i="20" s="1"/>
  <c r="J2562" i="20"/>
  <c r="J2563" i="20" s="1"/>
  <c r="J2462" i="20"/>
  <c r="J2463" i="20" s="1"/>
  <c r="J2662" i="20"/>
  <c r="J2663" i="20" s="1"/>
  <c r="J2362" i="20"/>
  <c r="J2363" i="20" s="1"/>
  <c r="J2558" i="20"/>
  <c r="J2559" i="20" s="1"/>
  <c r="J2458" i="20"/>
  <c r="J2459" i="20" s="1"/>
  <c r="J2358" i="20"/>
  <c r="J2359" i="20" s="1"/>
  <c r="J2658" i="20"/>
  <c r="J2659" i="20" s="1"/>
  <c r="J2554" i="20"/>
  <c r="J2555" i="20" s="1"/>
  <c r="J2454" i="20"/>
  <c r="J2455" i="20" s="1"/>
  <c r="J2654" i="20"/>
  <c r="J2655" i="20" s="1"/>
  <c r="J2354" i="20"/>
  <c r="J2355" i="20" s="1"/>
  <c r="J2550" i="20"/>
  <c r="J2551" i="20" s="1"/>
  <c r="J2450" i="20"/>
  <c r="J2451" i="20" s="1"/>
  <c r="J2350" i="20"/>
  <c r="J2351" i="20" s="1"/>
  <c r="J2650" i="20"/>
  <c r="J2651" i="20" s="1"/>
  <c r="J2546" i="20"/>
  <c r="J2547" i="20" s="1"/>
  <c r="J2446" i="20"/>
  <c r="J2447" i="20" s="1"/>
  <c r="J2646" i="20"/>
  <c r="J2647" i="20" s="1"/>
  <c r="J2346" i="20"/>
  <c r="J2347" i="20" s="1"/>
  <c r="J2542" i="20"/>
  <c r="J2543" i="20" s="1"/>
  <c r="J2442" i="20"/>
  <c r="J2443" i="20" s="1"/>
  <c r="J2342" i="20"/>
  <c r="J2343" i="20" s="1"/>
  <c r="J2642" i="20"/>
  <c r="J2643" i="20" s="1"/>
  <c r="J2538" i="20"/>
  <c r="J2539" i="20" s="1"/>
  <c r="J2438" i="20"/>
  <c r="J2439" i="20" s="1"/>
  <c r="J2638" i="20"/>
  <c r="J2639" i="20" s="1"/>
  <c r="J2338" i="20"/>
  <c r="J2339" i="20" s="1"/>
  <c r="J2534" i="20"/>
  <c r="J2535" i="20" s="1"/>
  <c r="J2434" i="20"/>
  <c r="J2435" i="20" s="1"/>
  <c r="J2334" i="20"/>
  <c r="J2335" i="20" s="1"/>
  <c r="J2634" i="20"/>
  <c r="J2635" i="20" s="1"/>
  <c r="J2530" i="20"/>
  <c r="J2531" i="20" s="1"/>
  <c r="J2430" i="20"/>
  <c r="J2431" i="20" s="1"/>
  <c r="J2630" i="20"/>
  <c r="J2631" i="20" s="1"/>
  <c r="J2330" i="20"/>
  <c r="J2331" i="20" s="1"/>
  <c r="J2526" i="20"/>
  <c r="J2527" i="20" s="1"/>
  <c r="J2426" i="20"/>
  <c r="J2427" i="20" s="1"/>
  <c r="J2326" i="20"/>
  <c r="J2327" i="20" s="1"/>
  <c r="J2626" i="20"/>
  <c r="J2627" i="20" s="1"/>
  <c r="I2620" i="20"/>
  <c r="I2621" i="20" s="1"/>
  <c r="I2520" i="20"/>
  <c r="I2521" i="20" s="1"/>
  <c r="I2720" i="20"/>
  <c r="I2721" i="20" s="1"/>
  <c r="I2420" i="20"/>
  <c r="I2421" i="20" s="1"/>
  <c r="I2616" i="20"/>
  <c r="I2617" i="20" s="1"/>
  <c r="I2516" i="20"/>
  <c r="I2517" i="20" s="1"/>
  <c r="I2716" i="20"/>
  <c r="I2717" i="20" s="1"/>
  <c r="I2416" i="20"/>
  <c r="I2417" i="20" s="1"/>
  <c r="I2612" i="20"/>
  <c r="I2613" i="20" s="1"/>
  <c r="I2512" i="20"/>
  <c r="I2513" i="20" s="1"/>
  <c r="I2712" i="20"/>
  <c r="I2713" i="20" s="1"/>
  <c r="I2412" i="20"/>
  <c r="I2413" i="20" s="1"/>
  <c r="I2608" i="20"/>
  <c r="I2609" i="20" s="1"/>
  <c r="I2508" i="20"/>
  <c r="I2509" i="20" s="1"/>
  <c r="I2708" i="20"/>
  <c r="I2709" i="20" s="1"/>
  <c r="I2408" i="20"/>
  <c r="I2409" i="20" s="1"/>
  <c r="I2604" i="20"/>
  <c r="I2605" i="20" s="1"/>
  <c r="I2504" i="20"/>
  <c r="I2505" i="20" s="1"/>
  <c r="I2404" i="20"/>
  <c r="I2405" i="20" s="1"/>
  <c r="I2704" i="20"/>
  <c r="I2705" i="20" s="1"/>
  <c r="I2600" i="20"/>
  <c r="I2601" i="20" s="1"/>
  <c r="I2700" i="20"/>
  <c r="I2701" i="20" s="1"/>
  <c r="I2500" i="20"/>
  <c r="I2501" i="20" s="1"/>
  <c r="I2400" i="20"/>
  <c r="I2401" i="20" s="1"/>
  <c r="I2596" i="20"/>
  <c r="I2597" i="20" s="1"/>
  <c r="I2496" i="20"/>
  <c r="I2497" i="20" s="1"/>
  <c r="I2396" i="20"/>
  <c r="I2397" i="20" s="1"/>
  <c r="I2696" i="20"/>
  <c r="I2697" i="20" s="1"/>
  <c r="I2592" i="20"/>
  <c r="I2593" i="20" s="1"/>
  <c r="I2692" i="20"/>
  <c r="I2693" i="20" s="1"/>
  <c r="I2492" i="20"/>
  <c r="I2493" i="20" s="1"/>
  <c r="I2392" i="20"/>
  <c r="I2393" i="20" s="1"/>
  <c r="I2588" i="20"/>
  <c r="I2589" i="20" s="1"/>
  <c r="I2488" i="20"/>
  <c r="I2489" i="20" s="1"/>
  <c r="I2388" i="20"/>
  <c r="I2389" i="20" s="1"/>
  <c r="I2688" i="20"/>
  <c r="I2689" i="20" s="1"/>
  <c r="I2584" i="20"/>
  <c r="I2585" i="20" s="1"/>
  <c r="I2684" i="20"/>
  <c r="I2685" i="20" s="1"/>
  <c r="I2484" i="20"/>
  <c r="I2485" i="20" s="1"/>
  <c r="I2384" i="20"/>
  <c r="I2385" i="20" s="1"/>
  <c r="I2580" i="20"/>
  <c r="I2581" i="20" s="1"/>
  <c r="I2480" i="20"/>
  <c r="I2481" i="20" s="1"/>
  <c r="I2380" i="20"/>
  <c r="I2381" i="20" s="1"/>
  <c r="I2680" i="20"/>
  <c r="I2681" i="20" s="1"/>
  <c r="I2576" i="20"/>
  <c r="I2577" i="20" s="1"/>
  <c r="I2476" i="20"/>
  <c r="I2477" i="20" s="1"/>
  <c r="I2676" i="20"/>
  <c r="I2677" i="20" s="1"/>
  <c r="I2376" i="20"/>
  <c r="I2377" i="20" s="1"/>
  <c r="I2572" i="20"/>
  <c r="I2573" i="20" s="1"/>
  <c r="I2472" i="20"/>
  <c r="I2473" i="20" s="1"/>
  <c r="I2372" i="20"/>
  <c r="I2373" i="20" s="1"/>
  <c r="I2672" i="20"/>
  <c r="I2673" i="20" s="1"/>
  <c r="I2568" i="20"/>
  <c r="I2569" i="20" s="1"/>
  <c r="I2468" i="20"/>
  <c r="I2469" i="20" s="1"/>
  <c r="I2668" i="20"/>
  <c r="I2669" i="20" s="1"/>
  <c r="I2368" i="20"/>
  <c r="I2369" i="20" s="1"/>
  <c r="I2564" i="20"/>
  <c r="I2565" i="20" s="1"/>
  <c r="I2464" i="20"/>
  <c r="I2465" i="20" s="1"/>
  <c r="I2364" i="20"/>
  <c r="I2365" i="20" s="1"/>
  <c r="I2664" i="20"/>
  <c r="I2665" i="20" s="1"/>
  <c r="I2560" i="20"/>
  <c r="I2561" i="20" s="1"/>
  <c r="I2460" i="20"/>
  <c r="I2461" i="20" s="1"/>
  <c r="I2660" i="20"/>
  <c r="I2661" i="20" s="1"/>
  <c r="I2360" i="20"/>
  <c r="I2361" i="20" s="1"/>
  <c r="I2556" i="20"/>
  <c r="I2557" i="20" s="1"/>
  <c r="I2456" i="20"/>
  <c r="I2457" i="20" s="1"/>
  <c r="I2356" i="20"/>
  <c r="I2357" i="20" s="1"/>
  <c r="I2656" i="20"/>
  <c r="I2657" i="20" s="1"/>
  <c r="I2552" i="20"/>
  <c r="I2553" i="20" s="1"/>
  <c r="I2452" i="20"/>
  <c r="I2453" i="20" s="1"/>
  <c r="I2652" i="20"/>
  <c r="I2653" i="20" s="1"/>
  <c r="I2352" i="20"/>
  <c r="I2353" i="20" s="1"/>
  <c r="I2548" i="20"/>
  <c r="I2549" i="20" s="1"/>
  <c r="I2448" i="20"/>
  <c r="I2449" i="20" s="1"/>
  <c r="I2348" i="20"/>
  <c r="I2349" i="20" s="1"/>
  <c r="I2648" i="20"/>
  <c r="I2649" i="20" s="1"/>
  <c r="I2544" i="20"/>
  <c r="I2545" i="20" s="1"/>
  <c r="I2444" i="20"/>
  <c r="I2445" i="20" s="1"/>
  <c r="I2644" i="20"/>
  <c r="I2645" i="20" s="1"/>
  <c r="I2344" i="20"/>
  <c r="I2345" i="20" s="1"/>
  <c r="I2540" i="20"/>
  <c r="I2541" i="20" s="1"/>
  <c r="I2440" i="20"/>
  <c r="I2441" i="20" s="1"/>
  <c r="I2340" i="20"/>
  <c r="I2341" i="20" s="1"/>
  <c r="I2640" i="20"/>
  <c r="I2641" i="20" s="1"/>
  <c r="I2536" i="20"/>
  <c r="I2537" i="20" s="1"/>
  <c r="I2436" i="20"/>
  <c r="I2437" i="20" s="1"/>
  <c r="I2636" i="20"/>
  <c r="I2637" i="20" s="1"/>
  <c r="I2336" i="20"/>
  <c r="I2337" i="20" s="1"/>
  <c r="I2532" i="20"/>
  <c r="I2533" i="20" s="1"/>
  <c r="I2432" i="20"/>
  <c r="I2433" i="20" s="1"/>
  <c r="I2332" i="20"/>
  <c r="I2333" i="20" s="1"/>
  <c r="I2632" i="20"/>
  <c r="I2633" i="20" s="1"/>
  <c r="I2528" i="20"/>
  <c r="I2529" i="20" s="1"/>
  <c r="I2428" i="20"/>
  <c r="I2429" i="20" s="1"/>
  <c r="I2628" i="20"/>
  <c r="I2629" i="20" s="1"/>
  <c r="I2328" i="20"/>
  <c r="I2329" i="20" s="1"/>
  <c r="I2524" i="20"/>
  <c r="I2525" i="20" s="1"/>
  <c r="I2424" i="20"/>
  <c r="I2425" i="20" s="1"/>
  <c r="I2324" i="20"/>
  <c r="I2325" i="20" s="1"/>
  <c r="I2624" i="20"/>
  <c r="I2625" i="20" s="1"/>
  <c r="J2520" i="20"/>
  <c r="J2521" i="20" s="1"/>
  <c r="J2420" i="20"/>
  <c r="J2421" i="20" s="1"/>
  <c r="J2620" i="20"/>
  <c r="J2621" i="20" s="1"/>
  <c r="J2720" i="20"/>
  <c r="J2721" i="20" s="1"/>
  <c r="J2616" i="20"/>
  <c r="J2617" i="20" s="1"/>
  <c r="J2516" i="20"/>
  <c r="J2517" i="20" s="1"/>
  <c r="J2416" i="20"/>
  <c r="J2417" i="20" s="1"/>
  <c r="J2716" i="20"/>
  <c r="J2717" i="20" s="1"/>
  <c r="J2512" i="20"/>
  <c r="J2513" i="20" s="1"/>
  <c r="J2612" i="20"/>
  <c r="J2613" i="20" s="1"/>
  <c r="J2412" i="20"/>
  <c r="J2413" i="20" s="1"/>
  <c r="J2712" i="20"/>
  <c r="J2713" i="20" s="1"/>
  <c r="J2608" i="20"/>
  <c r="J2609" i="20" s="1"/>
  <c r="J2408" i="20"/>
  <c r="J2409" i="20" s="1"/>
  <c r="J2508" i="20"/>
  <c r="J2509" i="20" s="1"/>
  <c r="J2708" i="20"/>
  <c r="J2709" i="20" s="1"/>
  <c r="J2504" i="20"/>
  <c r="J2505" i="20" s="1"/>
  <c r="J2404" i="20"/>
  <c r="J2405" i="20" s="1"/>
  <c r="J2604" i="20"/>
  <c r="J2605" i="20" s="1"/>
  <c r="J2704" i="20"/>
  <c r="J2705" i="20" s="1"/>
  <c r="J2600" i="20"/>
  <c r="J2601" i="20" s="1"/>
  <c r="J2500" i="20"/>
  <c r="J2501" i="20" s="1"/>
  <c r="J2400" i="20"/>
  <c r="J2401" i="20" s="1"/>
  <c r="J2700" i="20"/>
  <c r="J2701" i="20" s="1"/>
  <c r="J2496" i="20"/>
  <c r="J2497" i="20" s="1"/>
  <c r="J2396" i="20"/>
  <c r="J2397" i="20" s="1"/>
  <c r="J2596" i="20"/>
  <c r="J2597" i="20" s="1"/>
  <c r="J2696" i="20"/>
  <c r="J2697" i="20" s="1"/>
  <c r="J2592" i="20"/>
  <c r="J2593" i="20" s="1"/>
  <c r="J2492" i="20"/>
  <c r="J2493" i="20" s="1"/>
  <c r="J2392" i="20"/>
  <c r="J2393" i="20" s="1"/>
  <c r="J2692" i="20"/>
  <c r="J2693" i="20" s="1"/>
  <c r="J2488" i="20"/>
  <c r="J2489" i="20" s="1"/>
  <c r="J2388" i="20"/>
  <c r="J2389" i="20" s="1"/>
  <c r="J2588" i="20"/>
  <c r="J2589" i="20" s="1"/>
  <c r="J2688" i="20"/>
  <c r="J2689" i="20" s="1"/>
  <c r="J2584" i="20"/>
  <c r="J2585" i="20" s="1"/>
  <c r="J2484" i="20"/>
  <c r="J2485" i="20" s="1"/>
  <c r="J2384" i="20"/>
  <c r="J2385" i="20" s="1"/>
  <c r="J2684" i="20"/>
  <c r="J2685" i="20" s="1"/>
  <c r="J2480" i="20"/>
  <c r="J2481" i="20" s="1"/>
  <c r="J2380" i="20"/>
  <c r="J2381" i="20" s="1"/>
  <c r="J2580" i="20"/>
  <c r="J2581" i="20" s="1"/>
  <c r="J2680" i="20"/>
  <c r="J2681" i="20" s="1"/>
  <c r="J2576" i="20"/>
  <c r="J2577" i="20" s="1"/>
  <c r="J2376" i="20"/>
  <c r="J2377" i="20" s="1"/>
  <c r="J2476" i="20"/>
  <c r="J2477" i="20" s="1"/>
  <c r="J2676" i="20"/>
  <c r="J2677" i="20" s="1"/>
  <c r="J2372" i="20"/>
  <c r="J2373" i="20" s="1"/>
  <c r="J2572" i="20"/>
  <c r="J2573" i="20" s="1"/>
  <c r="J2472" i="20"/>
  <c r="J2473" i="20" s="1"/>
  <c r="J2672" i="20"/>
  <c r="J2673" i="20" s="1"/>
  <c r="J2568" i="20"/>
  <c r="J2569" i="20" s="1"/>
  <c r="J2368" i="20"/>
  <c r="J2369" i="20" s="1"/>
  <c r="J2468" i="20"/>
  <c r="J2469" i="20" s="1"/>
  <c r="J2668" i="20"/>
  <c r="J2669" i="20" s="1"/>
  <c r="J2364" i="20"/>
  <c r="J2365" i="20" s="1"/>
  <c r="J2564" i="20"/>
  <c r="J2565" i="20" s="1"/>
  <c r="J2464" i="20"/>
  <c r="J2465" i="20" s="1"/>
  <c r="J2664" i="20"/>
  <c r="J2665" i="20" s="1"/>
  <c r="J2560" i="20"/>
  <c r="J2561" i="20" s="1"/>
  <c r="J2360" i="20"/>
  <c r="J2361" i="20" s="1"/>
  <c r="J2460" i="20"/>
  <c r="J2461" i="20" s="1"/>
  <c r="J2660" i="20"/>
  <c r="J2661" i="20" s="1"/>
  <c r="J2356" i="20"/>
  <c r="J2357" i="20" s="1"/>
  <c r="J2556" i="20"/>
  <c r="J2557" i="20" s="1"/>
  <c r="J2456" i="20"/>
  <c r="J2457" i="20" s="1"/>
  <c r="J2656" i="20"/>
  <c r="J2657" i="20" s="1"/>
  <c r="J2552" i="20"/>
  <c r="J2553" i="20" s="1"/>
  <c r="J2352" i="20"/>
  <c r="J2353" i="20" s="1"/>
  <c r="J2452" i="20"/>
  <c r="J2453" i="20" s="1"/>
  <c r="J2652" i="20"/>
  <c r="J2653" i="20" s="1"/>
  <c r="J2348" i="20"/>
  <c r="J2349" i="20" s="1"/>
  <c r="J2548" i="20"/>
  <c r="J2549" i="20" s="1"/>
  <c r="J2448" i="20"/>
  <c r="J2449" i="20" s="1"/>
  <c r="J2648" i="20"/>
  <c r="J2649" i="20" s="1"/>
  <c r="J2544" i="20"/>
  <c r="J2545" i="20" s="1"/>
  <c r="J2344" i="20"/>
  <c r="J2345" i="20" s="1"/>
  <c r="J2444" i="20"/>
  <c r="J2445" i="20" s="1"/>
  <c r="J2644" i="20"/>
  <c r="J2645" i="20" s="1"/>
  <c r="J2340" i="20"/>
  <c r="J2341" i="20" s="1"/>
  <c r="J2540" i="20"/>
  <c r="J2541" i="20" s="1"/>
  <c r="J2440" i="20"/>
  <c r="J2441" i="20" s="1"/>
  <c r="J2640" i="20"/>
  <c r="J2641" i="20" s="1"/>
  <c r="J2536" i="20"/>
  <c r="J2537" i="20" s="1"/>
  <c r="J2336" i="20"/>
  <c r="J2337" i="20" s="1"/>
  <c r="J2436" i="20"/>
  <c r="J2437" i="20" s="1"/>
  <c r="J2636" i="20"/>
  <c r="J2637" i="20" s="1"/>
  <c r="J2332" i="20"/>
  <c r="J2333" i="20" s="1"/>
  <c r="J2532" i="20"/>
  <c r="J2533" i="20" s="1"/>
  <c r="J2432" i="20"/>
  <c r="J2433" i="20" s="1"/>
  <c r="J2632" i="20"/>
  <c r="J2633" i="20" s="1"/>
  <c r="J2528" i="20"/>
  <c r="J2529" i="20" s="1"/>
  <c r="J2328" i="20"/>
  <c r="J2329" i="20" s="1"/>
  <c r="J2428" i="20"/>
  <c r="J2429" i="20" s="1"/>
  <c r="J2628" i="20"/>
  <c r="J2629" i="20" s="1"/>
  <c r="J2324" i="20"/>
  <c r="J2325" i="20" s="1"/>
  <c r="J2524" i="20"/>
  <c r="J2525" i="20" s="1"/>
  <c r="J2424" i="20"/>
  <c r="J2425" i="20" s="1"/>
  <c r="J2624" i="20"/>
  <c r="J2625" i="20" s="1"/>
  <c r="J726" i="11"/>
  <c r="J626" i="11"/>
  <c r="J426" i="11"/>
  <c r="J526" i="11"/>
  <c r="J594" i="11"/>
  <c r="J694" i="11"/>
  <c r="J494" i="11"/>
  <c r="J394" i="11"/>
  <c r="J425" i="11"/>
  <c r="J525" i="11"/>
  <c r="J725" i="11"/>
  <c r="J625" i="11"/>
  <c r="J424" i="11"/>
  <c r="J524" i="11"/>
  <c r="J624" i="11"/>
  <c r="J724" i="11"/>
  <c r="J416" i="11"/>
  <c r="J616" i="11"/>
  <c r="J716" i="11"/>
  <c r="J516" i="11"/>
  <c r="J408" i="11"/>
  <c r="J608" i="11"/>
  <c r="J708" i="11"/>
  <c r="J508" i="11"/>
  <c r="J400" i="11"/>
  <c r="J600" i="11"/>
  <c r="J700" i="11"/>
  <c r="J500" i="11"/>
  <c r="J392" i="11"/>
  <c r="J592" i="11"/>
  <c r="J692" i="11"/>
  <c r="J492" i="11"/>
  <c r="J384" i="11"/>
  <c r="J584" i="11"/>
  <c r="J684" i="11"/>
  <c r="J484" i="11"/>
  <c r="J509" i="11"/>
  <c r="J409" i="11"/>
  <c r="J609" i="11"/>
  <c r="J709" i="11"/>
  <c r="J715" i="11"/>
  <c r="J515" i="11"/>
  <c r="J415" i="11"/>
  <c r="J615" i="11"/>
  <c r="J707" i="11"/>
  <c r="J507" i="11"/>
  <c r="J407" i="11"/>
  <c r="J607" i="11"/>
  <c r="J699" i="11"/>
  <c r="J499" i="11"/>
  <c r="J399" i="11"/>
  <c r="J599" i="11"/>
  <c r="J691" i="11"/>
  <c r="J491" i="11"/>
  <c r="J391" i="11"/>
  <c r="J591" i="11"/>
  <c r="J683" i="11"/>
  <c r="J483" i="11"/>
  <c r="J383" i="11"/>
  <c r="J583" i="11"/>
  <c r="J586" i="11"/>
  <c r="J686" i="11"/>
  <c r="J486" i="11"/>
  <c r="J386" i="11"/>
  <c r="J485" i="11"/>
  <c r="J385" i="11"/>
  <c r="J585" i="11"/>
  <c r="J685" i="11"/>
  <c r="J414" i="11"/>
  <c r="J614" i="11"/>
  <c r="J714" i="11"/>
  <c r="J514" i="11"/>
  <c r="J406" i="11"/>
  <c r="J606" i="11"/>
  <c r="J706" i="11"/>
  <c r="J506" i="11"/>
  <c r="J398" i="11"/>
  <c r="J598" i="11"/>
  <c r="J698" i="11"/>
  <c r="J498" i="11"/>
  <c r="J390" i="11"/>
  <c r="J590" i="11"/>
  <c r="J690" i="11"/>
  <c r="J490" i="11"/>
  <c r="J382" i="11"/>
  <c r="J582" i="11"/>
  <c r="J682" i="11"/>
  <c r="J482" i="11"/>
  <c r="J493" i="11"/>
  <c r="J393" i="11"/>
  <c r="J593" i="11"/>
  <c r="J693" i="11"/>
  <c r="J422" i="11"/>
  <c r="J522" i="11"/>
  <c r="J622" i="11"/>
  <c r="J722" i="11"/>
  <c r="J613" i="11"/>
  <c r="J713" i="11"/>
  <c r="J513" i="11"/>
  <c r="J413" i="11"/>
  <c r="J597" i="11"/>
  <c r="J697" i="11"/>
  <c r="J497" i="11"/>
  <c r="J397" i="11"/>
  <c r="J589" i="11"/>
  <c r="J689" i="11"/>
  <c r="J489" i="11"/>
  <c r="J389" i="11"/>
  <c r="J517" i="11"/>
  <c r="J417" i="11"/>
  <c r="J617" i="11"/>
  <c r="J717" i="11"/>
  <c r="J521" i="11"/>
  <c r="J621" i="11"/>
  <c r="J721" i="11"/>
  <c r="J421" i="11"/>
  <c r="J528" i="11"/>
  <c r="J628" i="11"/>
  <c r="J428" i="11"/>
  <c r="J728" i="11"/>
  <c r="J704" i="11"/>
  <c r="J504" i="11"/>
  <c r="J404" i="11"/>
  <c r="J604" i="11"/>
  <c r="J688" i="11"/>
  <c r="J488" i="11"/>
  <c r="J388" i="11"/>
  <c r="J588" i="11"/>
  <c r="J618" i="11"/>
  <c r="J718" i="11"/>
  <c r="J418" i="11"/>
  <c r="J518" i="11"/>
  <c r="J501" i="11"/>
  <c r="J401" i="11"/>
  <c r="J601" i="11"/>
  <c r="J701" i="11"/>
  <c r="J723" i="11"/>
  <c r="J423" i="11"/>
  <c r="J523" i="11"/>
  <c r="J623" i="11"/>
  <c r="J729" i="11"/>
  <c r="J529" i="11"/>
  <c r="J629" i="11"/>
  <c r="J429" i="11"/>
  <c r="J605" i="11"/>
  <c r="J705" i="11"/>
  <c r="J505" i="11"/>
  <c r="J405" i="11"/>
  <c r="J720" i="11"/>
  <c r="J420" i="11"/>
  <c r="J520" i="11"/>
  <c r="J620" i="11"/>
  <c r="J712" i="11"/>
  <c r="J512" i="11"/>
  <c r="J412" i="11"/>
  <c r="J612" i="11"/>
  <c r="J696" i="11"/>
  <c r="J496" i="11"/>
  <c r="J396" i="11"/>
  <c r="J596" i="11"/>
  <c r="J427" i="11"/>
  <c r="J527" i="11"/>
  <c r="J727" i="11"/>
  <c r="J627" i="11"/>
  <c r="J419" i="11"/>
  <c r="J519" i="11"/>
  <c r="J619" i="11"/>
  <c r="J719" i="11"/>
  <c r="J411" i="11"/>
  <c r="J611" i="11"/>
  <c r="J711" i="11"/>
  <c r="J511" i="11"/>
  <c r="J403" i="11"/>
  <c r="J603" i="11"/>
  <c r="J703" i="11"/>
  <c r="J503" i="11"/>
  <c r="J395" i="11"/>
  <c r="J595" i="11"/>
  <c r="J695" i="11"/>
  <c r="J495" i="11"/>
  <c r="J387" i="11"/>
  <c r="J587" i="11"/>
  <c r="J687" i="11"/>
  <c r="J487" i="11"/>
  <c r="J602" i="11"/>
  <c r="J702" i="11"/>
  <c r="J502" i="11"/>
  <c r="J402" i="11"/>
  <c r="J610" i="11"/>
  <c r="J710" i="11"/>
  <c r="J510" i="11"/>
  <c r="J410" i="11"/>
  <c r="J581" i="11"/>
  <c r="J481" i="11"/>
  <c r="J681" i="11"/>
  <c r="J381" i="11"/>
  <c r="J380" i="11"/>
  <c r="J480" i="11"/>
  <c r="J680" i="11"/>
  <c r="J580" i="11"/>
  <c r="J19" i="9" l="1"/>
  <c r="I19" i="9"/>
  <c r="J28" i="9" l="1"/>
  <c r="I28" i="9"/>
  <c r="J24" i="9"/>
  <c r="I24" i="9"/>
  <c r="J20" i="9"/>
  <c r="I20" i="9"/>
  <c r="J15" i="9"/>
  <c r="I15" i="9"/>
  <c r="B174" i="15" l="1"/>
  <c r="B175" i="15"/>
  <c r="I175" i="15" s="1"/>
  <c r="B176" i="15"/>
  <c r="I176" i="15" s="1"/>
  <c r="B177" i="15"/>
  <c r="I177" i="15" s="1"/>
  <c r="B178" i="15"/>
  <c r="I178" i="15" s="1"/>
  <c r="B179" i="15"/>
  <c r="I179" i="15" s="1"/>
  <c r="B180" i="15"/>
  <c r="I180" i="15" s="1"/>
  <c r="B181" i="15"/>
  <c r="I181" i="15" s="1"/>
  <c r="B182" i="15"/>
  <c r="I182" i="15" s="1"/>
  <c r="M140" i="15"/>
  <c r="M141" i="15"/>
  <c r="M142" i="15"/>
  <c r="M143" i="15"/>
  <c r="M144" i="15"/>
  <c r="M145" i="15"/>
  <c r="M146" i="15"/>
  <c r="M147" i="15"/>
  <c r="M148" i="15"/>
  <c r="L140" i="15"/>
  <c r="L141" i="15"/>
  <c r="L142" i="15"/>
  <c r="L143" i="15"/>
  <c r="L144" i="15"/>
  <c r="L145" i="15"/>
  <c r="L146" i="15"/>
  <c r="L147" i="15"/>
  <c r="L148" i="15"/>
  <c r="B140" i="15"/>
  <c r="B141" i="15"/>
  <c r="I141" i="15" s="1"/>
  <c r="B142" i="15"/>
  <c r="I142" i="15" s="1"/>
  <c r="B143" i="15"/>
  <c r="I143" i="15" s="1"/>
  <c r="B144" i="15"/>
  <c r="I144" i="15" s="1"/>
  <c r="B145" i="15"/>
  <c r="I145" i="15" s="1"/>
  <c r="B146" i="15"/>
  <c r="I146" i="15" s="1"/>
  <c r="B147" i="15"/>
  <c r="I147" i="15" s="1"/>
  <c r="B148" i="15"/>
  <c r="I148" i="15" s="1"/>
  <c r="M106" i="15"/>
  <c r="M107" i="15"/>
  <c r="M108" i="15"/>
  <c r="M109" i="15"/>
  <c r="M110" i="15"/>
  <c r="M111" i="15"/>
  <c r="M112" i="15"/>
  <c r="M113" i="15"/>
  <c r="M114" i="15"/>
  <c r="L106" i="15"/>
  <c r="L107" i="15"/>
  <c r="L108" i="15"/>
  <c r="L109" i="15"/>
  <c r="L110" i="15"/>
  <c r="L111" i="15"/>
  <c r="L112" i="15"/>
  <c r="L113" i="15"/>
  <c r="L114" i="15"/>
  <c r="B106" i="15"/>
  <c r="B107" i="15"/>
  <c r="I107" i="15" s="1"/>
  <c r="B108" i="15"/>
  <c r="I108" i="15" s="1"/>
  <c r="B109" i="15"/>
  <c r="I109" i="15" s="1"/>
  <c r="B110" i="15"/>
  <c r="I110" i="15" s="1"/>
  <c r="B111" i="15"/>
  <c r="I111" i="15" s="1"/>
  <c r="B112" i="15"/>
  <c r="I112" i="15" s="1"/>
  <c r="B113" i="15"/>
  <c r="I113" i="15" s="1"/>
  <c r="B114" i="15"/>
  <c r="I114" i="15" s="1"/>
  <c r="D46" i="4" l="1"/>
  <c r="J91" i="11" s="1"/>
  <c r="J60" i="11"/>
  <c r="B72" i="15" l="1"/>
  <c r="B73" i="15"/>
  <c r="I73" i="15" s="1"/>
  <c r="B74" i="15"/>
  <c r="I74" i="15" s="1"/>
  <c r="B75" i="15"/>
  <c r="I75" i="15" s="1"/>
  <c r="B76" i="15"/>
  <c r="I76" i="15" s="1"/>
  <c r="B77" i="15"/>
  <c r="I77" i="15" s="1"/>
  <c r="B78" i="15"/>
  <c r="I78" i="15" s="1"/>
  <c r="B79" i="15"/>
  <c r="I79" i="15" s="1"/>
  <c r="B80" i="15"/>
  <c r="I80" i="15" s="1"/>
  <c r="M38" i="15"/>
  <c r="M39" i="15"/>
  <c r="M40" i="15"/>
  <c r="M41" i="15"/>
  <c r="M42" i="15"/>
  <c r="M43" i="15"/>
  <c r="M44" i="15"/>
  <c r="M45" i="15"/>
  <c r="M46" i="15"/>
  <c r="L38" i="15"/>
  <c r="L39" i="15"/>
  <c r="L40" i="15"/>
  <c r="L41" i="15"/>
  <c r="L42" i="15"/>
  <c r="L43" i="15"/>
  <c r="L44" i="15"/>
  <c r="L45" i="15"/>
  <c r="L46" i="15"/>
  <c r="B38" i="15"/>
  <c r="B39" i="15"/>
  <c r="B40" i="15"/>
  <c r="B41" i="15"/>
  <c r="B42" i="15"/>
  <c r="B43" i="15"/>
  <c r="B44" i="15"/>
  <c r="B45" i="15"/>
  <c r="B46" i="15"/>
  <c r="M4" i="15"/>
  <c r="M5" i="15"/>
  <c r="M6" i="15"/>
  <c r="M7" i="15"/>
  <c r="M8" i="15"/>
  <c r="M9" i="15"/>
  <c r="M10" i="15"/>
  <c r="M11" i="15"/>
  <c r="M12" i="15"/>
  <c r="L4" i="15"/>
  <c r="L5" i="15"/>
  <c r="L6" i="15"/>
  <c r="L7" i="15"/>
  <c r="L8" i="15"/>
  <c r="L9" i="15"/>
  <c r="L10" i="15"/>
  <c r="L11" i="15"/>
  <c r="L12" i="15"/>
  <c r="D14" i="4"/>
  <c r="J69" i="11" s="1"/>
  <c r="D45" i="4"/>
  <c r="J90" i="11" s="1"/>
  <c r="D47" i="4"/>
  <c r="J92" i="11" s="1"/>
  <c r="D48" i="4"/>
  <c r="J93" i="11" s="1"/>
  <c r="D49" i="4"/>
  <c r="J94" i="11" s="1"/>
  <c r="D50" i="4"/>
  <c r="J95" i="11" s="1"/>
  <c r="D51" i="4"/>
  <c r="J96" i="11" s="1"/>
  <c r="D52" i="4"/>
  <c r="J97" i="11" s="1"/>
  <c r="D53" i="4"/>
  <c r="J98" i="11" s="1"/>
  <c r="B4" i="15"/>
  <c r="B5" i="15"/>
  <c r="I5" i="15" s="1"/>
  <c r="B6" i="15"/>
  <c r="I6" i="15" s="1"/>
  <c r="B7" i="15"/>
  <c r="I7" i="15" s="1"/>
  <c r="B8" i="15"/>
  <c r="I8" i="15" s="1"/>
  <c r="B9" i="15"/>
  <c r="I9" i="15" s="1"/>
  <c r="B10" i="15"/>
  <c r="I10" i="15" s="1"/>
  <c r="B11" i="15"/>
  <c r="I11" i="15" s="1"/>
  <c r="B12" i="15"/>
  <c r="I12" i="15" s="1"/>
  <c r="D6" i="4" l="1"/>
  <c r="J61" i="11" s="1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5" i="4"/>
  <c r="E35" i="4" l="1"/>
  <c r="E75" i="4"/>
  <c r="D76" i="4" s="1"/>
  <c r="J14" i="9" s="1"/>
  <c r="I14" i="9" l="1"/>
  <c r="I9" i="9" l="1"/>
  <c r="D86" i="12" l="1"/>
  <c r="J191" i="11" s="1"/>
  <c r="D87" i="12"/>
  <c r="D88" i="12"/>
  <c r="J193" i="11" s="1"/>
  <c r="D89" i="12"/>
  <c r="J194" i="11" s="1"/>
  <c r="D90" i="12"/>
  <c r="J195" i="11" s="1"/>
  <c r="D91" i="12"/>
  <c r="J196" i="11" s="1"/>
  <c r="D92" i="12"/>
  <c r="D93" i="12"/>
  <c r="J198" i="11" s="1"/>
  <c r="D94" i="12"/>
  <c r="J199" i="11" s="1"/>
  <c r="D95" i="12"/>
  <c r="J200" i="11" s="1"/>
  <c r="D96" i="12"/>
  <c r="J201" i="11" s="1"/>
  <c r="D97" i="12"/>
  <c r="J202" i="11" s="1"/>
  <c r="D98" i="12"/>
  <c r="J203" i="11" s="1"/>
  <c r="D99" i="12"/>
  <c r="J204" i="11" s="1"/>
  <c r="D100" i="12"/>
  <c r="J205" i="11" s="1"/>
  <c r="D101" i="12"/>
  <c r="J206" i="11" s="1"/>
  <c r="D102" i="12"/>
  <c r="J207" i="11" s="1"/>
  <c r="D103" i="12"/>
  <c r="J208" i="11" s="1"/>
  <c r="D104" i="12"/>
  <c r="J209" i="11" s="1"/>
  <c r="D105" i="12"/>
  <c r="J210" i="11" s="1"/>
  <c r="D106" i="12"/>
  <c r="J211" i="11" s="1"/>
  <c r="D107" i="12"/>
  <c r="J212" i="11" s="1"/>
  <c r="D108" i="12"/>
  <c r="J213" i="11" s="1"/>
  <c r="D109" i="12"/>
  <c r="J214" i="11" s="1"/>
  <c r="D110" i="12"/>
  <c r="J215" i="11" s="1"/>
  <c r="D111" i="12"/>
  <c r="J216" i="11" s="1"/>
  <c r="D112" i="12"/>
  <c r="J217" i="11" s="1"/>
  <c r="D113" i="12"/>
  <c r="J218" i="11" s="1"/>
  <c r="D114" i="12"/>
  <c r="J219" i="11" s="1"/>
  <c r="B224" i="17" l="1"/>
  <c r="J197" i="11"/>
  <c r="B219" i="17"/>
  <c r="J192" i="11"/>
  <c r="B245" i="17"/>
  <c r="G431" i="18"/>
  <c r="G540" i="18"/>
  <c r="B243" i="17"/>
  <c r="G538" i="18"/>
  <c r="B241" i="17"/>
  <c r="G536" i="18"/>
  <c r="G427" i="18"/>
  <c r="G318" i="18"/>
  <c r="B239" i="17"/>
  <c r="G425" i="18"/>
  <c r="B237" i="17"/>
  <c r="G423" i="18"/>
  <c r="B235" i="17"/>
  <c r="G530" i="18"/>
  <c r="G312" i="18"/>
  <c r="G421" i="18"/>
  <c r="B233" i="17"/>
  <c r="G419" i="18"/>
  <c r="G310" i="18"/>
  <c r="G528" i="18"/>
  <c r="B231" i="17"/>
  <c r="G417" i="18"/>
  <c r="B229" i="17"/>
  <c r="G415" i="18"/>
  <c r="G306" i="18"/>
  <c r="G524" i="18"/>
  <c r="B227" i="17"/>
  <c r="G413" i="18"/>
  <c r="B225" i="17"/>
  <c r="G411" i="18"/>
  <c r="G520" i="18"/>
  <c r="B223" i="17"/>
  <c r="G518" i="18"/>
  <c r="G409" i="18"/>
  <c r="G300" i="18"/>
  <c r="B221" i="17"/>
  <c r="G298" i="18"/>
  <c r="G407" i="18"/>
  <c r="G516" i="18"/>
  <c r="B246" i="17"/>
  <c r="G323" i="18"/>
  <c r="G541" i="18"/>
  <c r="G432" i="18"/>
  <c r="B244" i="17"/>
  <c r="G321" i="18"/>
  <c r="G430" i="18"/>
  <c r="G539" i="18"/>
  <c r="B242" i="17"/>
  <c r="G428" i="18"/>
  <c r="B240" i="17"/>
  <c r="G317" i="18"/>
  <c r="G426" i="18"/>
  <c r="G535" i="18"/>
  <c r="B238" i="17"/>
  <c r="G315" i="18"/>
  <c r="G533" i="18"/>
  <c r="G424" i="18"/>
  <c r="B236" i="17"/>
  <c r="G531" i="18"/>
  <c r="B234" i="17"/>
  <c r="G420" i="18"/>
  <c r="B232" i="17"/>
  <c r="G309" i="18"/>
  <c r="G418" i="18"/>
  <c r="G527" i="18"/>
  <c r="B230" i="17"/>
  <c r="G307" i="18"/>
  <c r="G525" i="18"/>
  <c r="G416" i="18"/>
  <c r="B228" i="17"/>
  <c r="G305" i="18"/>
  <c r="G523" i="18"/>
  <c r="B226" i="17"/>
  <c r="G303" i="18"/>
  <c r="G412" i="18"/>
  <c r="B222" i="17"/>
  <c r="G299" i="18"/>
  <c r="G517" i="18"/>
  <c r="G408" i="18"/>
  <c r="B220" i="17"/>
  <c r="G297" i="18"/>
  <c r="G406" i="18"/>
  <c r="G515" i="18"/>
  <c r="B218" i="17"/>
  <c r="G295" i="18"/>
  <c r="G404" i="18"/>
  <c r="D5" i="14"/>
  <c r="J220" i="11" s="1"/>
  <c r="D26" i="14"/>
  <c r="J241" i="11" s="1"/>
  <c r="D27" i="14"/>
  <c r="J242" i="11" s="1"/>
  <c r="D28" i="14"/>
  <c r="J243" i="11" s="1"/>
  <c r="D29" i="14"/>
  <c r="J244" i="11" s="1"/>
  <c r="D30" i="14"/>
  <c r="J245" i="11" s="1"/>
  <c r="D31" i="14"/>
  <c r="J246" i="11" s="1"/>
  <c r="D32" i="14"/>
  <c r="J247" i="11" s="1"/>
  <c r="D33" i="14"/>
  <c r="J248" i="11" s="1"/>
  <c r="D34" i="14"/>
  <c r="J249" i="11" s="1"/>
  <c r="D35" i="14"/>
  <c r="J250" i="11" s="1"/>
  <c r="D36" i="14"/>
  <c r="J251" i="11" s="1"/>
  <c r="D37" i="14"/>
  <c r="J252" i="11" s="1"/>
  <c r="D38" i="14"/>
  <c r="J253" i="11" s="1"/>
  <c r="D39" i="14"/>
  <c r="J254" i="11" s="1"/>
  <c r="D40" i="14"/>
  <c r="J255" i="11" s="1"/>
  <c r="D41" i="14"/>
  <c r="J256" i="11" s="1"/>
  <c r="D42" i="14"/>
  <c r="J257" i="11" s="1"/>
  <c r="D43" i="14"/>
  <c r="J258" i="11" s="1"/>
  <c r="D44" i="14"/>
  <c r="J259" i="11" s="1"/>
  <c r="D45" i="14"/>
  <c r="J260" i="11" s="1"/>
  <c r="D46" i="14"/>
  <c r="J261" i="11" s="1"/>
  <c r="D47" i="14"/>
  <c r="J262" i="11" s="1"/>
  <c r="D14" i="22" l="1"/>
  <c r="J329" i="11" s="1"/>
  <c r="D11" i="22"/>
  <c r="J326" i="11" s="1"/>
  <c r="D8" i="22"/>
  <c r="J323" i="11" s="1"/>
  <c r="D102" i="14"/>
  <c r="J307" i="11" s="1"/>
  <c r="D101" i="14"/>
  <c r="J306" i="11" s="1"/>
  <c r="D98" i="14"/>
  <c r="J303" i="11" s="1"/>
  <c r="D90" i="14"/>
  <c r="J295" i="11" s="1"/>
  <c r="D7" i="4"/>
  <c r="J62" i="11" s="1"/>
  <c r="D8" i="4"/>
  <c r="J63" i="11" s="1"/>
  <c r="D9" i="4"/>
  <c r="J64" i="11" s="1"/>
  <c r="D10" i="4"/>
  <c r="J65" i="11" s="1"/>
  <c r="D11" i="4"/>
  <c r="J66" i="11" s="1"/>
  <c r="D12" i="4"/>
  <c r="J67" i="11" s="1"/>
  <c r="D13" i="4"/>
  <c r="J68" i="11" s="1"/>
  <c r="D15" i="4"/>
  <c r="J70" i="11" s="1"/>
  <c r="D16" i="4"/>
  <c r="J71" i="11" s="1"/>
  <c r="J72" i="11"/>
  <c r="D18" i="4"/>
  <c r="J73" i="11" s="1"/>
  <c r="D19" i="4"/>
  <c r="J74" i="11" s="1"/>
  <c r="L782" i="20" l="1"/>
  <c r="L783" i="20" s="1"/>
  <c r="L784" i="20" s="1"/>
  <c r="L785" i="20" s="1"/>
  <c r="L786" i="20" s="1"/>
  <c r="L787" i="20" s="1"/>
  <c r="L788" i="20"/>
  <c r="L789" i="20" s="1"/>
  <c r="L790" i="20" s="1"/>
  <c r="L791" i="20" s="1"/>
  <c r="L792" i="20" s="1"/>
  <c r="L793" i="20" s="1"/>
  <c r="L794" i="20"/>
  <c r="L795" i="20" s="1"/>
  <c r="L796" i="20" s="1"/>
  <c r="L797" i="20" s="1"/>
  <c r="L798" i="20" s="1"/>
  <c r="L799" i="20" s="1"/>
  <c r="L800" i="20"/>
  <c r="L801" i="20" s="1"/>
  <c r="L802" i="20" s="1"/>
  <c r="L803" i="20" s="1"/>
  <c r="L804" i="20" s="1"/>
  <c r="L805" i="20" s="1"/>
  <c r="L806" i="20"/>
  <c r="L807" i="20" s="1"/>
  <c r="L808" i="20" s="1"/>
  <c r="L809" i="20" s="1"/>
  <c r="L810" i="20" s="1"/>
  <c r="L811" i="20" s="1"/>
  <c r="L812" i="20"/>
  <c r="L813" i="20" s="1"/>
  <c r="L814" i="20" s="1"/>
  <c r="L815" i="20" s="1"/>
  <c r="L816" i="20" s="1"/>
  <c r="L817" i="20" s="1"/>
  <c r="L818" i="20"/>
  <c r="L819" i="20" s="1"/>
  <c r="L820" i="20" s="1"/>
  <c r="L821" i="20" s="1"/>
  <c r="L822" i="20" s="1"/>
  <c r="L823" i="20" s="1"/>
  <c r="L824" i="20"/>
  <c r="L825" i="20" s="1"/>
  <c r="L826" i="20" s="1"/>
  <c r="L827" i="20" s="1"/>
  <c r="L828" i="20" s="1"/>
  <c r="L829" i="20" s="1"/>
  <c r="L830" i="20"/>
  <c r="L831" i="20" s="1"/>
  <c r="L832" i="20" s="1"/>
  <c r="L833" i="20" s="1"/>
  <c r="L834" i="20" s="1"/>
  <c r="L835" i="20" s="1"/>
  <c r="L836" i="20"/>
  <c r="L837" i="20" s="1"/>
  <c r="L838" i="20" s="1"/>
  <c r="L839" i="20" s="1"/>
  <c r="L840" i="20" s="1"/>
  <c r="L841" i="20" s="1"/>
  <c r="L842" i="20"/>
  <c r="L843" i="20" s="1"/>
  <c r="L844" i="20" s="1"/>
  <c r="L845" i="20" s="1"/>
  <c r="L846" i="20" s="1"/>
  <c r="L847" i="20" s="1"/>
  <c r="L848" i="20"/>
  <c r="L849" i="20" s="1"/>
  <c r="L850" i="20" s="1"/>
  <c r="L851" i="20" s="1"/>
  <c r="L852" i="20" s="1"/>
  <c r="L853" i="20" s="1"/>
  <c r="L854" i="20"/>
  <c r="L855" i="20" s="1"/>
  <c r="L856" i="20" s="1"/>
  <c r="L857" i="20" s="1"/>
  <c r="L858" i="20" s="1"/>
  <c r="L859" i="20" s="1"/>
  <c r="L860" i="20"/>
  <c r="L861" i="20" s="1"/>
  <c r="L862" i="20" s="1"/>
  <c r="L863" i="20" s="1"/>
  <c r="L864" i="20" s="1"/>
  <c r="L865" i="20" s="1"/>
  <c r="L866" i="20"/>
  <c r="L867" i="20" s="1"/>
  <c r="L868" i="20" s="1"/>
  <c r="L869" i="20" s="1"/>
  <c r="L870" i="20" s="1"/>
  <c r="L871" i="20" s="1"/>
  <c r="L872" i="20"/>
  <c r="L873" i="20" s="1"/>
  <c r="L874" i="20" s="1"/>
  <c r="L875" i="20" s="1"/>
  <c r="L876" i="20" s="1"/>
  <c r="L877" i="20" s="1"/>
  <c r="L878" i="20"/>
  <c r="L879" i="20" s="1"/>
  <c r="L880" i="20" s="1"/>
  <c r="L881" i="20" s="1"/>
  <c r="L882" i="20" s="1"/>
  <c r="L883" i="20" s="1"/>
  <c r="L884" i="20"/>
  <c r="L885" i="20" s="1"/>
  <c r="L886" i="20" s="1"/>
  <c r="L887" i="20" s="1"/>
  <c r="L888" i="20" s="1"/>
  <c r="L889" i="20" s="1"/>
  <c r="L890" i="20"/>
  <c r="L891" i="20" s="1"/>
  <c r="L892" i="20" s="1"/>
  <c r="L893" i="20" s="1"/>
  <c r="L894" i="20" s="1"/>
  <c r="L895" i="20" s="1"/>
  <c r="L896" i="20"/>
  <c r="L897" i="20" s="1"/>
  <c r="L898" i="20" s="1"/>
  <c r="L899" i="20" s="1"/>
  <c r="L900" i="20" s="1"/>
  <c r="L901" i="20" s="1"/>
  <c r="L902" i="20"/>
  <c r="L903" i="20" s="1"/>
  <c r="L904" i="20" s="1"/>
  <c r="L905" i="20" s="1"/>
  <c r="L906" i="20" s="1"/>
  <c r="L907" i="20" s="1"/>
  <c r="L908" i="20"/>
  <c r="L909" i="20" s="1"/>
  <c r="L910" i="20" s="1"/>
  <c r="L911" i="20" s="1"/>
  <c r="L912" i="20" s="1"/>
  <c r="L913" i="20" s="1"/>
  <c r="L914" i="20"/>
  <c r="L915" i="20" s="1"/>
  <c r="L916" i="20" s="1"/>
  <c r="L917" i="20" s="1"/>
  <c r="L918" i="20" s="1"/>
  <c r="L919" i="20" s="1"/>
  <c r="L920" i="20"/>
  <c r="L921" i="20" s="1"/>
  <c r="L922" i="20" s="1"/>
  <c r="L923" i="20" s="1"/>
  <c r="L924" i="20" s="1"/>
  <c r="L925" i="20" s="1"/>
  <c r="L926" i="20"/>
  <c r="L927" i="20" s="1"/>
  <c r="L928" i="20" s="1"/>
  <c r="L929" i="20" s="1"/>
  <c r="L930" i="20" s="1"/>
  <c r="L931" i="20" s="1"/>
  <c r="L932" i="20"/>
  <c r="L933" i="20" s="1"/>
  <c r="L934" i="20" s="1"/>
  <c r="L935" i="20" s="1"/>
  <c r="L936" i="20" s="1"/>
  <c r="L937" i="20" s="1"/>
  <c r="L938" i="20"/>
  <c r="L939" i="20" s="1"/>
  <c r="L940" i="20" s="1"/>
  <c r="L941" i="20" s="1"/>
  <c r="L942" i="20" s="1"/>
  <c r="L943" i="20" s="1"/>
  <c r="L944" i="20"/>
  <c r="L945" i="20" s="1"/>
  <c r="L946" i="20" s="1"/>
  <c r="L947" i="20" s="1"/>
  <c r="L948" i="20" s="1"/>
  <c r="L949" i="20" s="1"/>
  <c r="L950" i="20"/>
  <c r="L951" i="20" s="1"/>
  <c r="L952" i="20" s="1"/>
  <c r="L953" i="20" s="1"/>
  <c r="L954" i="20" s="1"/>
  <c r="L955" i="20" s="1"/>
  <c r="L956" i="20"/>
  <c r="K956" i="20"/>
  <c r="K957" i="20" s="1"/>
  <c r="K950" i="20"/>
  <c r="K944" i="20"/>
  <c r="K938" i="20"/>
  <c r="K932" i="20"/>
  <c r="K926" i="20"/>
  <c r="K920" i="20"/>
  <c r="K914" i="20"/>
  <c r="K908" i="20"/>
  <c r="K902" i="20"/>
  <c r="K896" i="20"/>
  <c r="K890" i="20"/>
  <c r="K884" i="20"/>
  <c r="K878" i="20"/>
  <c r="K872" i="20"/>
  <c r="K866" i="20"/>
  <c r="K860" i="20"/>
  <c r="K854" i="20"/>
  <c r="K848" i="20"/>
  <c r="K842" i="20"/>
  <c r="K836" i="20"/>
  <c r="K830" i="20"/>
  <c r="K824" i="20"/>
  <c r="K818" i="20"/>
  <c r="K812" i="20"/>
  <c r="K806" i="20"/>
  <c r="K800" i="20"/>
  <c r="K794" i="20"/>
  <c r="K788" i="20"/>
  <c r="K782" i="20"/>
  <c r="L957" i="20" l="1"/>
  <c r="L958" i="20" s="1"/>
  <c r="L959" i="20" s="1"/>
  <c r="L960" i="20" s="1"/>
  <c r="L961" i="20" s="1"/>
  <c r="E44" i="11"/>
  <c r="E43" i="11"/>
  <c r="F44" i="11"/>
  <c r="F43" i="11"/>
  <c r="F42" i="11"/>
  <c r="F41" i="11"/>
  <c r="E42" i="11"/>
  <c r="E41" i="11"/>
  <c r="R22" i="11"/>
  <c r="Q22" i="11"/>
  <c r="S22" i="11" s="1"/>
  <c r="R21" i="11"/>
  <c r="Q21" i="11"/>
  <c r="S21" i="11" s="1"/>
  <c r="R20" i="11"/>
  <c r="Q20" i="11"/>
  <c r="R19" i="11"/>
  <c r="Q19" i="11"/>
  <c r="R9" i="11"/>
  <c r="R8" i="11"/>
  <c r="Q9" i="11"/>
  <c r="S9" i="11" s="1"/>
  <c r="Q8" i="11"/>
  <c r="S8" i="11" s="1"/>
  <c r="R7" i="11"/>
  <c r="Q7" i="11"/>
  <c r="R6" i="11"/>
  <c r="Q6" i="11"/>
  <c r="S20" i="11" l="1"/>
  <c r="R23" i="11"/>
  <c r="S6" i="11"/>
  <c r="R10" i="11"/>
  <c r="S7" i="11"/>
  <c r="Q10" i="11"/>
  <c r="Q23" i="11"/>
  <c r="S19" i="11"/>
  <c r="S10" i="11" l="1"/>
  <c r="S23" i="11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V5" i="4"/>
  <c r="N5" i="4"/>
  <c r="F5" i="4"/>
  <c r="C1313" i="10" l="1"/>
  <c r="C1314" i="10"/>
  <c r="C1315" i="10"/>
  <c r="C1316" i="10"/>
  <c r="C1317" i="10"/>
  <c r="C1318" i="10"/>
  <c r="C1319" i="10"/>
  <c r="C1320" i="10"/>
  <c r="C1321" i="10"/>
  <c r="C1322" i="10"/>
  <c r="C1323" i="10"/>
  <c r="C1324" i="10"/>
  <c r="C1325" i="10"/>
  <c r="C1326" i="10"/>
  <c r="C1327" i="10"/>
  <c r="C1328" i="10"/>
  <c r="C1329" i="10"/>
  <c r="C1330" i="10"/>
  <c r="C1331" i="10"/>
  <c r="C1332" i="10"/>
  <c r="C1333" i="10"/>
  <c r="C1334" i="10"/>
  <c r="C1335" i="10"/>
  <c r="C1336" i="10"/>
  <c r="C1337" i="10"/>
  <c r="C1338" i="10"/>
  <c r="C1339" i="10"/>
  <c r="C1340" i="10"/>
  <c r="C1341" i="10"/>
  <c r="C1342" i="10"/>
  <c r="C1343" i="10"/>
  <c r="C1344" i="10"/>
  <c r="C1345" i="10"/>
  <c r="C1346" i="10"/>
  <c r="C1347" i="10"/>
  <c r="C1348" i="10"/>
  <c r="C1349" i="10"/>
  <c r="C1350" i="10"/>
  <c r="C1351" i="10"/>
  <c r="C1352" i="10"/>
  <c r="C1353" i="10"/>
  <c r="C1354" i="10"/>
  <c r="C1355" i="10"/>
  <c r="C1356" i="10"/>
  <c r="C1357" i="10"/>
  <c r="C1358" i="10"/>
  <c r="C1359" i="10"/>
  <c r="C1360" i="10"/>
  <c r="C1361" i="10"/>
  <c r="L1916" i="20" l="1"/>
  <c r="L1910" i="20"/>
  <c r="L1904" i="20"/>
  <c r="L1898" i="20"/>
  <c r="L1892" i="20"/>
  <c r="L1886" i="20"/>
  <c r="L1880" i="20"/>
  <c r="L1874" i="20"/>
  <c r="L1868" i="20"/>
  <c r="L1862" i="20"/>
  <c r="L1856" i="20"/>
  <c r="L1850" i="20"/>
  <c r="L1844" i="20"/>
  <c r="L1838" i="20"/>
  <c r="L1832" i="20"/>
  <c r="L1826" i="20"/>
  <c r="L1820" i="20"/>
  <c r="L1814" i="20"/>
  <c r="L1808" i="20"/>
  <c r="L1802" i="20"/>
  <c r="L1796" i="20"/>
  <c r="L1790" i="20"/>
  <c r="L1772" i="20"/>
  <c r="L1766" i="20"/>
  <c r="K1916" i="20"/>
  <c r="K1910" i="20"/>
  <c r="K1904" i="20"/>
  <c r="K1898" i="20"/>
  <c r="K1892" i="20"/>
  <c r="K1886" i="20"/>
  <c r="K1880" i="20"/>
  <c r="K1874" i="20"/>
  <c r="K1868" i="20"/>
  <c r="K1862" i="20"/>
  <c r="K1856" i="20"/>
  <c r="K1850" i="20"/>
  <c r="K1844" i="20"/>
  <c r="K1838" i="20"/>
  <c r="K1832" i="20"/>
  <c r="K1826" i="20"/>
  <c r="K1820" i="20"/>
  <c r="K1814" i="20"/>
  <c r="K1808" i="20"/>
  <c r="K1802" i="20"/>
  <c r="K1796" i="20"/>
  <c r="K1790" i="20"/>
  <c r="K1772" i="20"/>
  <c r="K1766" i="20"/>
  <c r="K1760" i="20"/>
  <c r="K1754" i="20"/>
  <c r="K1748" i="20"/>
  <c r="L1742" i="20"/>
  <c r="K1742" i="20"/>
  <c r="G1313" i="10" l="1"/>
  <c r="G1314" i="10"/>
  <c r="G1315" i="10"/>
  <c r="G1316" i="10"/>
  <c r="G1317" i="10"/>
  <c r="G1318" i="10"/>
  <c r="G1319" i="10"/>
  <c r="G1320" i="10"/>
  <c r="G1321" i="10"/>
  <c r="G1322" i="10"/>
  <c r="G1323" i="10"/>
  <c r="G1324" i="10"/>
  <c r="G1325" i="10"/>
  <c r="G1326" i="10"/>
  <c r="G1327" i="10"/>
  <c r="G1328" i="10"/>
  <c r="G1329" i="10"/>
  <c r="G1330" i="10"/>
  <c r="G1331" i="10"/>
  <c r="G1332" i="10"/>
  <c r="G1333" i="10"/>
  <c r="G1334" i="10"/>
  <c r="G1335" i="10"/>
  <c r="G1336" i="10"/>
  <c r="G1337" i="10"/>
  <c r="G1338" i="10"/>
  <c r="G1339" i="10"/>
  <c r="G1340" i="10"/>
  <c r="G1341" i="10"/>
  <c r="G1342" i="10"/>
  <c r="G1343" i="10"/>
  <c r="G1344" i="10"/>
  <c r="G1345" i="10"/>
  <c r="G1346" i="10"/>
  <c r="G1347" i="10"/>
  <c r="G1348" i="10"/>
  <c r="G1349" i="10"/>
  <c r="G1350" i="10"/>
  <c r="G1351" i="10"/>
  <c r="G1352" i="10"/>
  <c r="G1353" i="10"/>
  <c r="G1354" i="10"/>
  <c r="G1355" i="10"/>
  <c r="G1356" i="10"/>
  <c r="G1357" i="10"/>
  <c r="G1358" i="10"/>
  <c r="G1359" i="10"/>
  <c r="G1360" i="10"/>
  <c r="G1361" i="10"/>
  <c r="G1312" i="10"/>
  <c r="G1263" i="10"/>
  <c r="G1264" i="10"/>
  <c r="G1265" i="10"/>
  <c r="G1266" i="10"/>
  <c r="G1267" i="10"/>
  <c r="G1268" i="10"/>
  <c r="G1269" i="10"/>
  <c r="G1270" i="10"/>
  <c r="G1271" i="10"/>
  <c r="G1272" i="10"/>
  <c r="G1273" i="10"/>
  <c r="G1274" i="10"/>
  <c r="G1275" i="10"/>
  <c r="G1276" i="10"/>
  <c r="G1277" i="10"/>
  <c r="G1278" i="10"/>
  <c r="G1279" i="10"/>
  <c r="G1280" i="10"/>
  <c r="G1281" i="10"/>
  <c r="G1282" i="10"/>
  <c r="G1283" i="10"/>
  <c r="G1284" i="10"/>
  <c r="G1285" i="10"/>
  <c r="G1286" i="10"/>
  <c r="G1287" i="10"/>
  <c r="G1288" i="10"/>
  <c r="G1289" i="10"/>
  <c r="G1290" i="10"/>
  <c r="G1291" i="10"/>
  <c r="G1292" i="10"/>
  <c r="G1293" i="10"/>
  <c r="G1294" i="10"/>
  <c r="G1295" i="10"/>
  <c r="G1296" i="10"/>
  <c r="G1297" i="10"/>
  <c r="G1298" i="10"/>
  <c r="G1299" i="10"/>
  <c r="G1300" i="10"/>
  <c r="G1301" i="10"/>
  <c r="G1302" i="10"/>
  <c r="G1303" i="10"/>
  <c r="G1304" i="10"/>
  <c r="G1305" i="10"/>
  <c r="G1306" i="10"/>
  <c r="G1307" i="10"/>
  <c r="G1308" i="10"/>
  <c r="G1309" i="10"/>
  <c r="G1310" i="10"/>
  <c r="G1311" i="10"/>
  <c r="G1262" i="10"/>
  <c r="G1213" i="10"/>
  <c r="G1214" i="10"/>
  <c r="G1215" i="10"/>
  <c r="G1216" i="10"/>
  <c r="G1217" i="10"/>
  <c r="G1218" i="10"/>
  <c r="G1219" i="10"/>
  <c r="G1220" i="10"/>
  <c r="G1221" i="10"/>
  <c r="G1222" i="10"/>
  <c r="G1223" i="10"/>
  <c r="G1224" i="10"/>
  <c r="G1225" i="10"/>
  <c r="G1226" i="10"/>
  <c r="G1227" i="10"/>
  <c r="G1228" i="10"/>
  <c r="G1229" i="10"/>
  <c r="G1230" i="10"/>
  <c r="G1231" i="10"/>
  <c r="G1232" i="10"/>
  <c r="G1233" i="10"/>
  <c r="G1234" i="10"/>
  <c r="G1235" i="10"/>
  <c r="G1236" i="10"/>
  <c r="G1237" i="10"/>
  <c r="G1238" i="10"/>
  <c r="G1239" i="10"/>
  <c r="G1240" i="10"/>
  <c r="G1241" i="10"/>
  <c r="G1242" i="10"/>
  <c r="G1243" i="10"/>
  <c r="G1244" i="10"/>
  <c r="G1245" i="10"/>
  <c r="G1246" i="10"/>
  <c r="G1247" i="10"/>
  <c r="G1248" i="10"/>
  <c r="G1249" i="10"/>
  <c r="G1250" i="10"/>
  <c r="G1251" i="10"/>
  <c r="G1252" i="10"/>
  <c r="G1253" i="10"/>
  <c r="G1254" i="10"/>
  <c r="G1255" i="10"/>
  <c r="G1256" i="10"/>
  <c r="G1257" i="10"/>
  <c r="G1258" i="10"/>
  <c r="G1259" i="10"/>
  <c r="G1260" i="10"/>
  <c r="G1261" i="10"/>
  <c r="G1212" i="10"/>
  <c r="G1163" i="10"/>
  <c r="G1164" i="10"/>
  <c r="G1165" i="10"/>
  <c r="G1166" i="10"/>
  <c r="G1167" i="10"/>
  <c r="G1168" i="10"/>
  <c r="G1169" i="10"/>
  <c r="G1170" i="10"/>
  <c r="G1171" i="10"/>
  <c r="G1172" i="10"/>
  <c r="G1173" i="10"/>
  <c r="G1174" i="10"/>
  <c r="G1175" i="10"/>
  <c r="G1176" i="10"/>
  <c r="G1177" i="10"/>
  <c r="G1178" i="10"/>
  <c r="G1179" i="10"/>
  <c r="G1180" i="10"/>
  <c r="G1181" i="10"/>
  <c r="G1182" i="10"/>
  <c r="G1183" i="10"/>
  <c r="G1184" i="10"/>
  <c r="G1185" i="10"/>
  <c r="G1186" i="10"/>
  <c r="G1187" i="10"/>
  <c r="G1188" i="10"/>
  <c r="G1189" i="10"/>
  <c r="G1190" i="10"/>
  <c r="G1191" i="10"/>
  <c r="G1192" i="10"/>
  <c r="G1193" i="10"/>
  <c r="G1194" i="10"/>
  <c r="G1195" i="10"/>
  <c r="G1196" i="10"/>
  <c r="G1197" i="10"/>
  <c r="G1198" i="10"/>
  <c r="G1199" i="10"/>
  <c r="G1200" i="10"/>
  <c r="G1201" i="10"/>
  <c r="G1202" i="10"/>
  <c r="G1203" i="10"/>
  <c r="G1204" i="10"/>
  <c r="G1205" i="10"/>
  <c r="G1206" i="10"/>
  <c r="G1207" i="10"/>
  <c r="G1208" i="10"/>
  <c r="G1209" i="10"/>
  <c r="G1210" i="10"/>
  <c r="G1211" i="10"/>
  <c r="G1162" i="10"/>
  <c r="F1313" i="10"/>
  <c r="F1314" i="10"/>
  <c r="F1315" i="10"/>
  <c r="F1316" i="10"/>
  <c r="F1317" i="10"/>
  <c r="F1318" i="10"/>
  <c r="F1319" i="10"/>
  <c r="F1320" i="10"/>
  <c r="F1321" i="10"/>
  <c r="F1322" i="10"/>
  <c r="F1323" i="10"/>
  <c r="F1324" i="10"/>
  <c r="F1325" i="10"/>
  <c r="F1326" i="10"/>
  <c r="F1327" i="10"/>
  <c r="F1328" i="10"/>
  <c r="F1329" i="10"/>
  <c r="F1330" i="10"/>
  <c r="F1331" i="10"/>
  <c r="F1332" i="10"/>
  <c r="F1333" i="10"/>
  <c r="F1334" i="10"/>
  <c r="F1335" i="10"/>
  <c r="F1336" i="10"/>
  <c r="F1337" i="10"/>
  <c r="F1338" i="10"/>
  <c r="F1339" i="10"/>
  <c r="F1340" i="10"/>
  <c r="F1341" i="10"/>
  <c r="F1342" i="10"/>
  <c r="F1343" i="10"/>
  <c r="F1344" i="10"/>
  <c r="F1345" i="10"/>
  <c r="F1346" i="10"/>
  <c r="F1347" i="10"/>
  <c r="F1348" i="10"/>
  <c r="F1349" i="10"/>
  <c r="F1350" i="10"/>
  <c r="F1351" i="10"/>
  <c r="F1352" i="10"/>
  <c r="F1353" i="10"/>
  <c r="F1354" i="10"/>
  <c r="F1355" i="10"/>
  <c r="F1356" i="10"/>
  <c r="F1357" i="10"/>
  <c r="F1358" i="10"/>
  <c r="F1359" i="10"/>
  <c r="F1360" i="10"/>
  <c r="F1361" i="10"/>
  <c r="F1312" i="10"/>
  <c r="F1263" i="10"/>
  <c r="F1264" i="10"/>
  <c r="F1265" i="10"/>
  <c r="F1266" i="10"/>
  <c r="F1267" i="10"/>
  <c r="F1268" i="10"/>
  <c r="F1269" i="10"/>
  <c r="F1270" i="10"/>
  <c r="F1271" i="10"/>
  <c r="F1272" i="10"/>
  <c r="F1273" i="10"/>
  <c r="F1274" i="10"/>
  <c r="F1275" i="10"/>
  <c r="F1276" i="10"/>
  <c r="F1277" i="10"/>
  <c r="F1278" i="10"/>
  <c r="F1279" i="10"/>
  <c r="F1280" i="10"/>
  <c r="F1281" i="10"/>
  <c r="F1282" i="10"/>
  <c r="F1283" i="10"/>
  <c r="F1284" i="10"/>
  <c r="F1285" i="10"/>
  <c r="F1286" i="10"/>
  <c r="F1287" i="10"/>
  <c r="F1288" i="10"/>
  <c r="F1289" i="10"/>
  <c r="F1290" i="10"/>
  <c r="F1291" i="10"/>
  <c r="F1292" i="10"/>
  <c r="F1293" i="10"/>
  <c r="F1294" i="10"/>
  <c r="F1295" i="10"/>
  <c r="F1296" i="10"/>
  <c r="F1297" i="10"/>
  <c r="F1298" i="10"/>
  <c r="F1299" i="10"/>
  <c r="F1300" i="10"/>
  <c r="F1301" i="10"/>
  <c r="F1302" i="10"/>
  <c r="F1303" i="10"/>
  <c r="F1304" i="10"/>
  <c r="F1305" i="10"/>
  <c r="F1306" i="10"/>
  <c r="F1307" i="10"/>
  <c r="F1308" i="10"/>
  <c r="F1309" i="10"/>
  <c r="F1310" i="10"/>
  <c r="F1311" i="10"/>
  <c r="F1262" i="10"/>
  <c r="F1213" i="10"/>
  <c r="F1214" i="10"/>
  <c r="F1215" i="10"/>
  <c r="F1216" i="10"/>
  <c r="F1217" i="10"/>
  <c r="F1218" i="10"/>
  <c r="F1219" i="10"/>
  <c r="F1220" i="10"/>
  <c r="F1221" i="10"/>
  <c r="F1222" i="10"/>
  <c r="F1223" i="10"/>
  <c r="F1224" i="10"/>
  <c r="F1225" i="10"/>
  <c r="F1226" i="10"/>
  <c r="F1227" i="10"/>
  <c r="F1228" i="10"/>
  <c r="F1229" i="10"/>
  <c r="F1230" i="10"/>
  <c r="F1231" i="10"/>
  <c r="F1232" i="10"/>
  <c r="F1233" i="10"/>
  <c r="F1234" i="10"/>
  <c r="F1235" i="10"/>
  <c r="F1236" i="10"/>
  <c r="F1237" i="10"/>
  <c r="F1238" i="10"/>
  <c r="F1239" i="10"/>
  <c r="F1240" i="10"/>
  <c r="F1241" i="10"/>
  <c r="F1242" i="10"/>
  <c r="F1243" i="10"/>
  <c r="F1244" i="10"/>
  <c r="F1245" i="10"/>
  <c r="F1246" i="10"/>
  <c r="F1247" i="10"/>
  <c r="F1248" i="10"/>
  <c r="F1249" i="10"/>
  <c r="F1250" i="10"/>
  <c r="F1251" i="10"/>
  <c r="F1252" i="10"/>
  <c r="F1253" i="10"/>
  <c r="F1254" i="10"/>
  <c r="F1255" i="10"/>
  <c r="F1256" i="10"/>
  <c r="F1257" i="10"/>
  <c r="F1258" i="10"/>
  <c r="F1259" i="10"/>
  <c r="F1260" i="10"/>
  <c r="F1261" i="10"/>
  <c r="F1212" i="10"/>
  <c r="F1163" i="10"/>
  <c r="F1164" i="10"/>
  <c r="F1165" i="10"/>
  <c r="F1166" i="10"/>
  <c r="F1167" i="10"/>
  <c r="F1168" i="10"/>
  <c r="F1169" i="10"/>
  <c r="F1170" i="10"/>
  <c r="F1171" i="10"/>
  <c r="F1172" i="10"/>
  <c r="F1173" i="10"/>
  <c r="F1174" i="10"/>
  <c r="F1175" i="10"/>
  <c r="F1176" i="10"/>
  <c r="F1177" i="10"/>
  <c r="F1178" i="10"/>
  <c r="F1179" i="10"/>
  <c r="F1180" i="10"/>
  <c r="F1181" i="10"/>
  <c r="F1182" i="10"/>
  <c r="F1183" i="10"/>
  <c r="F1184" i="10"/>
  <c r="F1185" i="10"/>
  <c r="F1186" i="10"/>
  <c r="F1187" i="10"/>
  <c r="F1188" i="10"/>
  <c r="F1189" i="10"/>
  <c r="F1190" i="10"/>
  <c r="F1191" i="10"/>
  <c r="F1192" i="10"/>
  <c r="F1193" i="10"/>
  <c r="F1194" i="10"/>
  <c r="F1195" i="10"/>
  <c r="F1196" i="10"/>
  <c r="F1197" i="10"/>
  <c r="F1198" i="10"/>
  <c r="F1199" i="10"/>
  <c r="F1200" i="10"/>
  <c r="F1201" i="10"/>
  <c r="F1202" i="10"/>
  <c r="F1203" i="10"/>
  <c r="F1204" i="10"/>
  <c r="F1205" i="10"/>
  <c r="F1206" i="10"/>
  <c r="F1207" i="10"/>
  <c r="F1208" i="10"/>
  <c r="F1209" i="10"/>
  <c r="F1210" i="10"/>
  <c r="F1211" i="10"/>
  <c r="F1162" i="10"/>
  <c r="C1312" i="10"/>
  <c r="C1263" i="10"/>
  <c r="C1264" i="10"/>
  <c r="C1265" i="10"/>
  <c r="C1266" i="10"/>
  <c r="C1267" i="10"/>
  <c r="C1268" i="10"/>
  <c r="C1269" i="10"/>
  <c r="C1270" i="10"/>
  <c r="C1271" i="10"/>
  <c r="C1272" i="10"/>
  <c r="C1273" i="10"/>
  <c r="C1274" i="10"/>
  <c r="C1275" i="10"/>
  <c r="C1276" i="10"/>
  <c r="C1277" i="10"/>
  <c r="C1278" i="10"/>
  <c r="C1279" i="10"/>
  <c r="C1280" i="10"/>
  <c r="C1281" i="10"/>
  <c r="C1282" i="10"/>
  <c r="C1283" i="10"/>
  <c r="C1284" i="10"/>
  <c r="C1285" i="10"/>
  <c r="C1286" i="10"/>
  <c r="C1287" i="10"/>
  <c r="C1288" i="10"/>
  <c r="C1289" i="10"/>
  <c r="C1290" i="10"/>
  <c r="C1291" i="10"/>
  <c r="C1292" i="10"/>
  <c r="C1293" i="10"/>
  <c r="C1294" i="10"/>
  <c r="C1295" i="10"/>
  <c r="C1296" i="10"/>
  <c r="C1297" i="10"/>
  <c r="C1298" i="10"/>
  <c r="C1299" i="10"/>
  <c r="C1300" i="10"/>
  <c r="C1301" i="10"/>
  <c r="C1302" i="10"/>
  <c r="C1303" i="10"/>
  <c r="C1304" i="10"/>
  <c r="C1305" i="10"/>
  <c r="C1306" i="10"/>
  <c r="C1307" i="10"/>
  <c r="C1308" i="10"/>
  <c r="C1309" i="10"/>
  <c r="C1310" i="10"/>
  <c r="C1311" i="10"/>
  <c r="C1262" i="10"/>
  <c r="C1213" i="10"/>
  <c r="C1214" i="10"/>
  <c r="C1215" i="10"/>
  <c r="C1216" i="10"/>
  <c r="C1217" i="10"/>
  <c r="C1218" i="10"/>
  <c r="C1219" i="10"/>
  <c r="C1220" i="10"/>
  <c r="C1221" i="10"/>
  <c r="C1222" i="10"/>
  <c r="C1223" i="10"/>
  <c r="C1224" i="10"/>
  <c r="C1225" i="10"/>
  <c r="C1226" i="10"/>
  <c r="C1227" i="10"/>
  <c r="C1228" i="10"/>
  <c r="C1229" i="10"/>
  <c r="C1230" i="10"/>
  <c r="C1231" i="10"/>
  <c r="C1232" i="10"/>
  <c r="C1233" i="10"/>
  <c r="C1234" i="10"/>
  <c r="C1235" i="10"/>
  <c r="C1236" i="10"/>
  <c r="C1237" i="10"/>
  <c r="C1238" i="10"/>
  <c r="C1239" i="10"/>
  <c r="C1240" i="10"/>
  <c r="C1241" i="10"/>
  <c r="C1242" i="10"/>
  <c r="C1243" i="10"/>
  <c r="C1244" i="10"/>
  <c r="C1245" i="10"/>
  <c r="C1246" i="10"/>
  <c r="C1247" i="10"/>
  <c r="C1248" i="10"/>
  <c r="C1249" i="10"/>
  <c r="C1250" i="10"/>
  <c r="C1251" i="10"/>
  <c r="C1252" i="10"/>
  <c r="C1253" i="10"/>
  <c r="C1254" i="10"/>
  <c r="C1255" i="10"/>
  <c r="C1256" i="10"/>
  <c r="C1257" i="10"/>
  <c r="C1258" i="10"/>
  <c r="C1259" i="10"/>
  <c r="C1260" i="10"/>
  <c r="C1261" i="10"/>
  <c r="C1212" i="10"/>
  <c r="C1163" i="10"/>
  <c r="C1164" i="10"/>
  <c r="C1165" i="10"/>
  <c r="C1166" i="10"/>
  <c r="C1167" i="10"/>
  <c r="C1168" i="10"/>
  <c r="C1169" i="10"/>
  <c r="C1170" i="10"/>
  <c r="C1171" i="10"/>
  <c r="C1172" i="10"/>
  <c r="C1173" i="10"/>
  <c r="C1174" i="10"/>
  <c r="C1175" i="10"/>
  <c r="C1176" i="10"/>
  <c r="C1177" i="10"/>
  <c r="C1178" i="10"/>
  <c r="C1179" i="10"/>
  <c r="C1180" i="10"/>
  <c r="C1181" i="10"/>
  <c r="C1182" i="10"/>
  <c r="C1183" i="10"/>
  <c r="C1184" i="10"/>
  <c r="C1185" i="10"/>
  <c r="C1186" i="10"/>
  <c r="C1187" i="10"/>
  <c r="C1188" i="10"/>
  <c r="C1189" i="10"/>
  <c r="C1190" i="10"/>
  <c r="C1191" i="10"/>
  <c r="C1192" i="10"/>
  <c r="C1193" i="10"/>
  <c r="C1194" i="10"/>
  <c r="C1195" i="10"/>
  <c r="C1196" i="10"/>
  <c r="C1197" i="10"/>
  <c r="C1198" i="10"/>
  <c r="C1199" i="10"/>
  <c r="C1200" i="10"/>
  <c r="C1201" i="10"/>
  <c r="C1202" i="10"/>
  <c r="C1203" i="10"/>
  <c r="C1204" i="10"/>
  <c r="C1205" i="10"/>
  <c r="C1206" i="10"/>
  <c r="C1207" i="10"/>
  <c r="C1208" i="10"/>
  <c r="C1209" i="10"/>
  <c r="C1210" i="10"/>
  <c r="C1211" i="10"/>
  <c r="C1162" i="10"/>
  <c r="A1163" i="10"/>
  <c r="A1164" i="10"/>
  <c r="A1165" i="10"/>
  <c r="A1166" i="10"/>
  <c r="A1167" i="10"/>
  <c r="A1168" i="10"/>
  <c r="A1169" i="10"/>
  <c r="A1170" i="10"/>
  <c r="A1171" i="10"/>
  <c r="A1172" i="10"/>
  <c r="A1173" i="10"/>
  <c r="A1174" i="10"/>
  <c r="A1175" i="10"/>
  <c r="A1176" i="10"/>
  <c r="A1177" i="10"/>
  <c r="A1178" i="10"/>
  <c r="A1179" i="10"/>
  <c r="A1180" i="10"/>
  <c r="A1181" i="10"/>
  <c r="A1182" i="10"/>
  <c r="A1183" i="10"/>
  <c r="A1184" i="10"/>
  <c r="A1185" i="10"/>
  <c r="A1186" i="10"/>
  <c r="A1187" i="10"/>
  <c r="A1188" i="10"/>
  <c r="A1189" i="10"/>
  <c r="A1190" i="10"/>
  <c r="A1191" i="10"/>
  <c r="A1192" i="10"/>
  <c r="A1193" i="10"/>
  <c r="A1194" i="10"/>
  <c r="A1195" i="10"/>
  <c r="A1196" i="10"/>
  <c r="A1197" i="10"/>
  <c r="A1198" i="10"/>
  <c r="A1199" i="10"/>
  <c r="A1200" i="10"/>
  <c r="A1201" i="10"/>
  <c r="A1202" i="10"/>
  <c r="A1203" i="10"/>
  <c r="A1204" i="10"/>
  <c r="A1205" i="10"/>
  <c r="A1206" i="10"/>
  <c r="A1207" i="10"/>
  <c r="A1208" i="10"/>
  <c r="A1209" i="10"/>
  <c r="A1210" i="10"/>
  <c r="A1211" i="10"/>
  <c r="A1212" i="10"/>
  <c r="A1213" i="10"/>
  <c r="A1214" i="10"/>
  <c r="A1215" i="10"/>
  <c r="A1216" i="10"/>
  <c r="A1217" i="10"/>
  <c r="A1218" i="10"/>
  <c r="A1219" i="10"/>
  <c r="A1220" i="10"/>
  <c r="A1221" i="10"/>
  <c r="A1222" i="10"/>
  <c r="A1223" i="10"/>
  <c r="A1224" i="10"/>
  <c r="A1225" i="10"/>
  <c r="A1226" i="10"/>
  <c r="A1227" i="10"/>
  <c r="A1228" i="10"/>
  <c r="A1229" i="10"/>
  <c r="A1230" i="10"/>
  <c r="A1231" i="10"/>
  <c r="A1232" i="10"/>
  <c r="A1233" i="10"/>
  <c r="A1234" i="10"/>
  <c r="A1235" i="10"/>
  <c r="A1236" i="10"/>
  <c r="A1237" i="10"/>
  <c r="A1238" i="10"/>
  <c r="A1239" i="10"/>
  <c r="A1240" i="10"/>
  <c r="A1241" i="10"/>
  <c r="A1242" i="10"/>
  <c r="A1243" i="10"/>
  <c r="A1244" i="10"/>
  <c r="A1245" i="10"/>
  <c r="A1246" i="10"/>
  <c r="A1247" i="10"/>
  <c r="A1248" i="10"/>
  <c r="A1249" i="10"/>
  <c r="A1250" i="10"/>
  <c r="A1251" i="10"/>
  <c r="A1252" i="10"/>
  <c r="A1253" i="10"/>
  <c r="A1254" i="10"/>
  <c r="A1255" i="10"/>
  <c r="A1256" i="10"/>
  <c r="A1257" i="10"/>
  <c r="A1258" i="10"/>
  <c r="A1259" i="10"/>
  <c r="A1260" i="10"/>
  <c r="A1261" i="10"/>
  <c r="A1262" i="10"/>
  <c r="A1263" i="10"/>
  <c r="A1264" i="10"/>
  <c r="A1265" i="10"/>
  <c r="A1266" i="10"/>
  <c r="A1267" i="10"/>
  <c r="A1268" i="10"/>
  <c r="A1269" i="10"/>
  <c r="A1270" i="10"/>
  <c r="A1271" i="10"/>
  <c r="A1272" i="10"/>
  <c r="A1273" i="10"/>
  <c r="A1274" i="10"/>
  <c r="A1275" i="10"/>
  <c r="A1276" i="10"/>
  <c r="A1277" i="10"/>
  <c r="A1278" i="10"/>
  <c r="A1279" i="10"/>
  <c r="A1280" i="10"/>
  <c r="A1281" i="10"/>
  <c r="A1282" i="10"/>
  <c r="A1283" i="10"/>
  <c r="A1284" i="10"/>
  <c r="A1285" i="10"/>
  <c r="A1286" i="10"/>
  <c r="A1287" i="10"/>
  <c r="A1288" i="10"/>
  <c r="A1289" i="10"/>
  <c r="A1290" i="10"/>
  <c r="A1291" i="10"/>
  <c r="A1292" i="10"/>
  <c r="A1293" i="10"/>
  <c r="A1294" i="10"/>
  <c r="A1295" i="10"/>
  <c r="A1296" i="10"/>
  <c r="A1297" i="10"/>
  <c r="A1298" i="10"/>
  <c r="A1299" i="10"/>
  <c r="A1300" i="10"/>
  <c r="A1301" i="10"/>
  <c r="A1302" i="10"/>
  <c r="A1303" i="10"/>
  <c r="A1304" i="10"/>
  <c r="A1305" i="10"/>
  <c r="A1306" i="10"/>
  <c r="A1307" i="10"/>
  <c r="A1308" i="10"/>
  <c r="A1309" i="10"/>
  <c r="A1310" i="10"/>
  <c r="A1311" i="10"/>
  <c r="A1312" i="10"/>
  <c r="A1313" i="10"/>
  <c r="A1314" i="10"/>
  <c r="A1315" i="10"/>
  <c r="A1316" i="10"/>
  <c r="A1317" i="10"/>
  <c r="A1318" i="10"/>
  <c r="A1319" i="10"/>
  <c r="A1320" i="10"/>
  <c r="A1321" i="10"/>
  <c r="A1322" i="10"/>
  <c r="A1323" i="10"/>
  <c r="A1324" i="10"/>
  <c r="A1325" i="10"/>
  <c r="A1326" i="10"/>
  <c r="A1327" i="10"/>
  <c r="A1328" i="10"/>
  <c r="A1329" i="10"/>
  <c r="A1330" i="10"/>
  <c r="A1331" i="10"/>
  <c r="A1332" i="10"/>
  <c r="A1333" i="10"/>
  <c r="A1334" i="10"/>
  <c r="A1335" i="10"/>
  <c r="A1336" i="10"/>
  <c r="A1337" i="10"/>
  <c r="A1338" i="10"/>
  <c r="A1339" i="10"/>
  <c r="A1340" i="10"/>
  <c r="A1341" i="10"/>
  <c r="A1342" i="10"/>
  <c r="A1343" i="10"/>
  <c r="A1344" i="10"/>
  <c r="A1345" i="10"/>
  <c r="A1346" i="10"/>
  <c r="A1347" i="10"/>
  <c r="A1348" i="10"/>
  <c r="A1349" i="10"/>
  <c r="A1350" i="10"/>
  <c r="A1351" i="10"/>
  <c r="A1352" i="10"/>
  <c r="A1353" i="10"/>
  <c r="A1354" i="10"/>
  <c r="A1355" i="10"/>
  <c r="A1356" i="10"/>
  <c r="A1357" i="10"/>
  <c r="A1358" i="10"/>
  <c r="A1359" i="10"/>
  <c r="A1360" i="10"/>
  <c r="A1361" i="10"/>
  <c r="A1162" i="10"/>
  <c r="A1113" i="10" l="1"/>
  <c r="C1113" i="10"/>
  <c r="G1113" i="10"/>
  <c r="A1114" i="10"/>
  <c r="C1114" i="10"/>
  <c r="G1114" i="10"/>
  <c r="A1115" i="10"/>
  <c r="C1115" i="10"/>
  <c r="G1115" i="10"/>
  <c r="A1116" i="10"/>
  <c r="C1116" i="10"/>
  <c r="G1116" i="10"/>
  <c r="A1117" i="10"/>
  <c r="C1117" i="10"/>
  <c r="G1117" i="10"/>
  <c r="A1118" i="10"/>
  <c r="C1118" i="10"/>
  <c r="G1118" i="10"/>
  <c r="A1119" i="10"/>
  <c r="C1119" i="10"/>
  <c r="G1119" i="10"/>
  <c r="A1120" i="10"/>
  <c r="C1120" i="10"/>
  <c r="G1120" i="10"/>
  <c r="A1121" i="10"/>
  <c r="C1121" i="10"/>
  <c r="G1121" i="10"/>
  <c r="A1122" i="10"/>
  <c r="C1122" i="10"/>
  <c r="G1122" i="10"/>
  <c r="A1123" i="10"/>
  <c r="C1123" i="10"/>
  <c r="G1123" i="10"/>
  <c r="A1124" i="10"/>
  <c r="C1124" i="10"/>
  <c r="G1124" i="10"/>
  <c r="A1125" i="10"/>
  <c r="C1125" i="10"/>
  <c r="G1125" i="10"/>
  <c r="A1126" i="10"/>
  <c r="C1126" i="10"/>
  <c r="G1126" i="10"/>
  <c r="A1127" i="10"/>
  <c r="C1127" i="10"/>
  <c r="G1127" i="10"/>
  <c r="A1128" i="10"/>
  <c r="C1128" i="10"/>
  <c r="G1128" i="10"/>
  <c r="A1129" i="10"/>
  <c r="C1129" i="10"/>
  <c r="G1129" i="10"/>
  <c r="A1130" i="10"/>
  <c r="C1130" i="10"/>
  <c r="G1130" i="10"/>
  <c r="A1131" i="10"/>
  <c r="C1131" i="10"/>
  <c r="G1131" i="10"/>
  <c r="A1132" i="10"/>
  <c r="C1132" i="10"/>
  <c r="G1132" i="10"/>
  <c r="A1133" i="10"/>
  <c r="C1133" i="10"/>
  <c r="G1133" i="10"/>
  <c r="A1134" i="10"/>
  <c r="C1134" i="10"/>
  <c r="G1134" i="10"/>
  <c r="A1135" i="10"/>
  <c r="C1135" i="10"/>
  <c r="G1135" i="10"/>
  <c r="A1136" i="10"/>
  <c r="C1136" i="10"/>
  <c r="G1136" i="10"/>
  <c r="A1137" i="10"/>
  <c r="C1137" i="10"/>
  <c r="G1137" i="10"/>
  <c r="A1138" i="10"/>
  <c r="C1138" i="10"/>
  <c r="G1138" i="10"/>
  <c r="A1139" i="10"/>
  <c r="C1139" i="10"/>
  <c r="G1139" i="10"/>
  <c r="A1140" i="10"/>
  <c r="C1140" i="10"/>
  <c r="G1140" i="10"/>
  <c r="A1141" i="10"/>
  <c r="C1141" i="10"/>
  <c r="G1141" i="10"/>
  <c r="A1142" i="10"/>
  <c r="C1142" i="10"/>
  <c r="G1142" i="10"/>
  <c r="A1143" i="10"/>
  <c r="C1143" i="10"/>
  <c r="G1143" i="10"/>
  <c r="A1144" i="10"/>
  <c r="C1144" i="10"/>
  <c r="G1144" i="10"/>
  <c r="A1145" i="10"/>
  <c r="C1145" i="10"/>
  <c r="G1145" i="10"/>
  <c r="A1146" i="10"/>
  <c r="C1146" i="10"/>
  <c r="G1146" i="10"/>
  <c r="A1147" i="10"/>
  <c r="C1147" i="10"/>
  <c r="G1147" i="10"/>
  <c r="A1148" i="10"/>
  <c r="C1148" i="10"/>
  <c r="G1148" i="10"/>
  <c r="A1149" i="10"/>
  <c r="C1149" i="10"/>
  <c r="G1149" i="10"/>
  <c r="A1150" i="10"/>
  <c r="C1150" i="10"/>
  <c r="G1150" i="10"/>
  <c r="A1151" i="10"/>
  <c r="C1151" i="10"/>
  <c r="G1151" i="10"/>
  <c r="A1152" i="10"/>
  <c r="C1152" i="10"/>
  <c r="G1152" i="10"/>
  <c r="A1153" i="10"/>
  <c r="C1153" i="10"/>
  <c r="G1153" i="10"/>
  <c r="A1154" i="10"/>
  <c r="C1154" i="10"/>
  <c r="G1154" i="10"/>
  <c r="A1155" i="10"/>
  <c r="C1155" i="10"/>
  <c r="G1155" i="10"/>
  <c r="A1156" i="10"/>
  <c r="C1156" i="10"/>
  <c r="G1156" i="10"/>
  <c r="A1157" i="10"/>
  <c r="C1157" i="10"/>
  <c r="G1157" i="10"/>
  <c r="A1158" i="10"/>
  <c r="C1158" i="10"/>
  <c r="G1158" i="10"/>
  <c r="A1159" i="10"/>
  <c r="C1159" i="10"/>
  <c r="G1159" i="10"/>
  <c r="A1160" i="10"/>
  <c r="C1160" i="10"/>
  <c r="G1160" i="10"/>
  <c r="A1161" i="10"/>
  <c r="C1161" i="10"/>
  <c r="G1161" i="10"/>
  <c r="F1111" i="10"/>
  <c r="G1112" i="10"/>
  <c r="C1112" i="10"/>
  <c r="A1112" i="10"/>
  <c r="G1063" i="10"/>
  <c r="G1064" i="10"/>
  <c r="G1065" i="10"/>
  <c r="G1066" i="10"/>
  <c r="G1067" i="10"/>
  <c r="G1068" i="10"/>
  <c r="G1069" i="10"/>
  <c r="G1070" i="10"/>
  <c r="G1071" i="10"/>
  <c r="G1072" i="10"/>
  <c r="G1073" i="10"/>
  <c r="G1074" i="10"/>
  <c r="G1075" i="10"/>
  <c r="G1076" i="10"/>
  <c r="G1077" i="10"/>
  <c r="G1078" i="10"/>
  <c r="G1079" i="10"/>
  <c r="G1080" i="10"/>
  <c r="G1081" i="10"/>
  <c r="G1082" i="10"/>
  <c r="G1083" i="10"/>
  <c r="G1084" i="10"/>
  <c r="G1085" i="10"/>
  <c r="G1086" i="10"/>
  <c r="G1087" i="10"/>
  <c r="G1088" i="10"/>
  <c r="G1089" i="10"/>
  <c r="G1090" i="10"/>
  <c r="G1091" i="10"/>
  <c r="G1092" i="10"/>
  <c r="G1093" i="10"/>
  <c r="G1094" i="10"/>
  <c r="G1095" i="10"/>
  <c r="G1096" i="10"/>
  <c r="G1097" i="10"/>
  <c r="G1098" i="10"/>
  <c r="G1099" i="10"/>
  <c r="G1100" i="10"/>
  <c r="G1101" i="10"/>
  <c r="G1102" i="10"/>
  <c r="G1103" i="10"/>
  <c r="G1104" i="10"/>
  <c r="G1105" i="10"/>
  <c r="G1106" i="10"/>
  <c r="G1107" i="10"/>
  <c r="G1108" i="10"/>
  <c r="G1109" i="10"/>
  <c r="G1110" i="10"/>
  <c r="G1111" i="10"/>
  <c r="G1062" i="10"/>
  <c r="F1063" i="10"/>
  <c r="F1064" i="10"/>
  <c r="F1065" i="10"/>
  <c r="F1066" i="10"/>
  <c r="F1067" i="10"/>
  <c r="F1068" i="10"/>
  <c r="F1069" i="10"/>
  <c r="F1070" i="10"/>
  <c r="F1071" i="10"/>
  <c r="F1072" i="10"/>
  <c r="F1073" i="10"/>
  <c r="F1074" i="10"/>
  <c r="F1075" i="10"/>
  <c r="F1076" i="10"/>
  <c r="F1077" i="10"/>
  <c r="F1078" i="10"/>
  <c r="F1079" i="10"/>
  <c r="F1080" i="10"/>
  <c r="F1081" i="10"/>
  <c r="F1082" i="10"/>
  <c r="F1083" i="10"/>
  <c r="F1084" i="10"/>
  <c r="F1085" i="10"/>
  <c r="F1086" i="10"/>
  <c r="F1087" i="10"/>
  <c r="F1088" i="10"/>
  <c r="F1089" i="10"/>
  <c r="F1090" i="10"/>
  <c r="F1091" i="10"/>
  <c r="F1092" i="10"/>
  <c r="F1093" i="10"/>
  <c r="F1094" i="10"/>
  <c r="F1095" i="10"/>
  <c r="F1096" i="10"/>
  <c r="F1097" i="10"/>
  <c r="F1098" i="10"/>
  <c r="F1099" i="10"/>
  <c r="F1100" i="10"/>
  <c r="F1101" i="10"/>
  <c r="F1102" i="10"/>
  <c r="F1103" i="10"/>
  <c r="F1104" i="10"/>
  <c r="F1105" i="10"/>
  <c r="F1106" i="10"/>
  <c r="F1107" i="10"/>
  <c r="F1108" i="10"/>
  <c r="F1109" i="10"/>
  <c r="F1110" i="10"/>
  <c r="F1062" i="10"/>
  <c r="C1063" i="10"/>
  <c r="C1064" i="10"/>
  <c r="C1065" i="10"/>
  <c r="C1066" i="10"/>
  <c r="C1067" i="10"/>
  <c r="C1068" i="10"/>
  <c r="C1069" i="10"/>
  <c r="C1070" i="10"/>
  <c r="C1071" i="10"/>
  <c r="C1072" i="10"/>
  <c r="C1073" i="10"/>
  <c r="C1074" i="10"/>
  <c r="C1075" i="10"/>
  <c r="C1076" i="10"/>
  <c r="C1077" i="10"/>
  <c r="C1078" i="10"/>
  <c r="C1079" i="10"/>
  <c r="C1080" i="10"/>
  <c r="C1081" i="10"/>
  <c r="C1082" i="10"/>
  <c r="C1083" i="10"/>
  <c r="C1084" i="10"/>
  <c r="C1085" i="10"/>
  <c r="C1086" i="10"/>
  <c r="C1087" i="10"/>
  <c r="C1088" i="10"/>
  <c r="C1089" i="10"/>
  <c r="C1090" i="10"/>
  <c r="C1091" i="10"/>
  <c r="C1092" i="10"/>
  <c r="C1093" i="10"/>
  <c r="C1094" i="10"/>
  <c r="C1095" i="10"/>
  <c r="C1096" i="10"/>
  <c r="C1097" i="10"/>
  <c r="C1098" i="10"/>
  <c r="C1099" i="10"/>
  <c r="C1100" i="10"/>
  <c r="C1101" i="10"/>
  <c r="C1102" i="10"/>
  <c r="C1103" i="10"/>
  <c r="C1104" i="10"/>
  <c r="C1105" i="10"/>
  <c r="C1106" i="10"/>
  <c r="C1107" i="10"/>
  <c r="C1108" i="10"/>
  <c r="C1109" i="10"/>
  <c r="C1110" i="10"/>
  <c r="C1111" i="10"/>
  <c r="C1062" i="10"/>
  <c r="A1063" i="10"/>
  <c r="A1064" i="10"/>
  <c r="A1065" i="10"/>
  <c r="A1066" i="10"/>
  <c r="A1067" i="10"/>
  <c r="A1068" i="10"/>
  <c r="A1069" i="10"/>
  <c r="A1070" i="10"/>
  <c r="A1071" i="10"/>
  <c r="A1072" i="10"/>
  <c r="A1073" i="10"/>
  <c r="A1074" i="10"/>
  <c r="A1075" i="10"/>
  <c r="A1076" i="10"/>
  <c r="A1077" i="10"/>
  <c r="A1078" i="10"/>
  <c r="A1079" i="10"/>
  <c r="A1080" i="10"/>
  <c r="A1081" i="10"/>
  <c r="A1082" i="10"/>
  <c r="A1083" i="10"/>
  <c r="A1084" i="10"/>
  <c r="A1085" i="10"/>
  <c r="A1086" i="10"/>
  <c r="A1087" i="10"/>
  <c r="A1088" i="10"/>
  <c r="A1089" i="10"/>
  <c r="A1090" i="10"/>
  <c r="A1091" i="10"/>
  <c r="A1092" i="10"/>
  <c r="A1093" i="10"/>
  <c r="A1094" i="10"/>
  <c r="A1095" i="10"/>
  <c r="A1096" i="10"/>
  <c r="A1097" i="10"/>
  <c r="A1098" i="10"/>
  <c r="A1099" i="10"/>
  <c r="A1100" i="10"/>
  <c r="A1101" i="10"/>
  <c r="A1102" i="10"/>
  <c r="A1103" i="10"/>
  <c r="A1104" i="10"/>
  <c r="A1105" i="10"/>
  <c r="A1106" i="10"/>
  <c r="A1107" i="10"/>
  <c r="A1108" i="10"/>
  <c r="A1109" i="10"/>
  <c r="A1110" i="10"/>
  <c r="A1111" i="10"/>
  <c r="A1062" i="10"/>
  <c r="G1013" i="10"/>
  <c r="G1014" i="10"/>
  <c r="G1015" i="10"/>
  <c r="G1016" i="10"/>
  <c r="G1017" i="10"/>
  <c r="G1018" i="10"/>
  <c r="G1019" i="10"/>
  <c r="G1020" i="10"/>
  <c r="G1021" i="10"/>
  <c r="G1022" i="10"/>
  <c r="G1023" i="10"/>
  <c r="G1024" i="10"/>
  <c r="G1025" i="10"/>
  <c r="G1026" i="10"/>
  <c r="G1027" i="10"/>
  <c r="G1028" i="10"/>
  <c r="G1029" i="10"/>
  <c r="G1030" i="10"/>
  <c r="G1031" i="10"/>
  <c r="G1032" i="10"/>
  <c r="G1033" i="10"/>
  <c r="G1034" i="10"/>
  <c r="G1035" i="10"/>
  <c r="G1036" i="10"/>
  <c r="G1037" i="10"/>
  <c r="G1038" i="10"/>
  <c r="G1039" i="10"/>
  <c r="G1040" i="10"/>
  <c r="G1041" i="10"/>
  <c r="G1042" i="10"/>
  <c r="G1043" i="10"/>
  <c r="G1044" i="10"/>
  <c r="G1045" i="10"/>
  <c r="G1046" i="10"/>
  <c r="G1047" i="10"/>
  <c r="G1048" i="10"/>
  <c r="G1049" i="10"/>
  <c r="G1050" i="10"/>
  <c r="G1051" i="10"/>
  <c r="G1052" i="10"/>
  <c r="G1053" i="10"/>
  <c r="G1054" i="10"/>
  <c r="G1055" i="10"/>
  <c r="G1056" i="10"/>
  <c r="G1057" i="10"/>
  <c r="G1058" i="10"/>
  <c r="G1059" i="10"/>
  <c r="G1060" i="10"/>
  <c r="G1061" i="10"/>
  <c r="G1012" i="10"/>
  <c r="F1013" i="10"/>
  <c r="F1014" i="10"/>
  <c r="F1015" i="10"/>
  <c r="F1016" i="10"/>
  <c r="F1017" i="10"/>
  <c r="F1018" i="10"/>
  <c r="F1019" i="10"/>
  <c r="F1020" i="10"/>
  <c r="F1021" i="10"/>
  <c r="F1022" i="10"/>
  <c r="F1023" i="10"/>
  <c r="F1024" i="10"/>
  <c r="F1025" i="10"/>
  <c r="F1026" i="10"/>
  <c r="F1027" i="10"/>
  <c r="F1028" i="10"/>
  <c r="F1029" i="10"/>
  <c r="F1030" i="10"/>
  <c r="F1031" i="10"/>
  <c r="F1032" i="10"/>
  <c r="F1033" i="10"/>
  <c r="F1034" i="10"/>
  <c r="F1035" i="10"/>
  <c r="F1036" i="10"/>
  <c r="F1037" i="10"/>
  <c r="F1038" i="10"/>
  <c r="F1039" i="10"/>
  <c r="F1040" i="10"/>
  <c r="F1041" i="10"/>
  <c r="F1042" i="10"/>
  <c r="F1043" i="10"/>
  <c r="F1044" i="10"/>
  <c r="F1045" i="10"/>
  <c r="F1046" i="10"/>
  <c r="F1047" i="10"/>
  <c r="F1048" i="10"/>
  <c r="F1049" i="10"/>
  <c r="F1050" i="10"/>
  <c r="F1051" i="10"/>
  <c r="F1052" i="10"/>
  <c r="F1053" i="10"/>
  <c r="F1054" i="10"/>
  <c r="F1055" i="10"/>
  <c r="F1056" i="10"/>
  <c r="F1057" i="10"/>
  <c r="F1058" i="10"/>
  <c r="F1059" i="10"/>
  <c r="F1060" i="10"/>
  <c r="F1061" i="10"/>
  <c r="C1013" i="10"/>
  <c r="C1014" i="10"/>
  <c r="C1015" i="10"/>
  <c r="C1016" i="10"/>
  <c r="C1017" i="10"/>
  <c r="C1018" i="10"/>
  <c r="C1019" i="10"/>
  <c r="C1020" i="10"/>
  <c r="C1021" i="10"/>
  <c r="C1022" i="10"/>
  <c r="C1023" i="10"/>
  <c r="C1024" i="10"/>
  <c r="C1025" i="10"/>
  <c r="C1026" i="10"/>
  <c r="C1027" i="10"/>
  <c r="C1028" i="10"/>
  <c r="C1029" i="10"/>
  <c r="C1030" i="10"/>
  <c r="C1031" i="10"/>
  <c r="C1032" i="10"/>
  <c r="C1033" i="10"/>
  <c r="C1034" i="10"/>
  <c r="C1035" i="10"/>
  <c r="C1036" i="10"/>
  <c r="C1037" i="10"/>
  <c r="C1038" i="10"/>
  <c r="C1039" i="10"/>
  <c r="C1040" i="10"/>
  <c r="C1041" i="10"/>
  <c r="C1042" i="10"/>
  <c r="C1043" i="10"/>
  <c r="C1044" i="10"/>
  <c r="C1045" i="10"/>
  <c r="C1046" i="10"/>
  <c r="C1047" i="10"/>
  <c r="C1048" i="10"/>
  <c r="C1049" i="10"/>
  <c r="C1050" i="10"/>
  <c r="C1051" i="10"/>
  <c r="C1052" i="10"/>
  <c r="C1053" i="10"/>
  <c r="C1054" i="10"/>
  <c r="C1055" i="10"/>
  <c r="C1056" i="10"/>
  <c r="C1057" i="10"/>
  <c r="C1058" i="10"/>
  <c r="C1059" i="10"/>
  <c r="C1060" i="10"/>
  <c r="C1061" i="10"/>
  <c r="A1014" i="10"/>
  <c r="A1015" i="10"/>
  <c r="A1016" i="10"/>
  <c r="A1017" i="10"/>
  <c r="A1018" i="10"/>
  <c r="A1019" i="10"/>
  <c r="A1020" i="10"/>
  <c r="A1021" i="10"/>
  <c r="A1022" i="10"/>
  <c r="A1023" i="10"/>
  <c r="A1024" i="10"/>
  <c r="A1025" i="10"/>
  <c r="A1026" i="10"/>
  <c r="A1027" i="10"/>
  <c r="A1028" i="10"/>
  <c r="A1029" i="10"/>
  <c r="A1030" i="10"/>
  <c r="A1031" i="10"/>
  <c r="A1032" i="10"/>
  <c r="A1033" i="10"/>
  <c r="A1034" i="10"/>
  <c r="A1035" i="10"/>
  <c r="A1036" i="10"/>
  <c r="A1037" i="10"/>
  <c r="A1038" i="10"/>
  <c r="A1039" i="10"/>
  <c r="A1040" i="10"/>
  <c r="A1041" i="10"/>
  <c r="A1042" i="10"/>
  <c r="A1043" i="10"/>
  <c r="A1044" i="10"/>
  <c r="A1045" i="10"/>
  <c r="A1046" i="10"/>
  <c r="A1047" i="10"/>
  <c r="A1048" i="10"/>
  <c r="A1049" i="10"/>
  <c r="A1050" i="10"/>
  <c r="A1051" i="10"/>
  <c r="A1052" i="10"/>
  <c r="A1053" i="10"/>
  <c r="A1054" i="10"/>
  <c r="A1055" i="10"/>
  <c r="A1056" i="10"/>
  <c r="A1057" i="10"/>
  <c r="A1058" i="10"/>
  <c r="A1059" i="10"/>
  <c r="A1060" i="10"/>
  <c r="A1061" i="10"/>
  <c r="F1012" i="10"/>
  <c r="C1012" i="10"/>
  <c r="A1013" i="10"/>
  <c r="F963" i="10"/>
  <c r="F964" i="10"/>
  <c r="F965" i="10"/>
  <c r="F966" i="10"/>
  <c r="F967" i="10"/>
  <c r="F968" i="10"/>
  <c r="F969" i="10"/>
  <c r="F970" i="10"/>
  <c r="F971" i="10"/>
  <c r="F972" i="10"/>
  <c r="F973" i="10"/>
  <c r="F974" i="10"/>
  <c r="F975" i="10"/>
  <c r="F976" i="10"/>
  <c r="F977" i="10"/>
  <c r="F978" i="10"/>
  <c r="F979" i="10"/>
  <c r="F980" i="10"/>
  <c r="F981" i="10"/>
  <c r="F982" i="10"/>
  <c r="F983" i="10"/>
  <c r="F984" i="10"/>
  <c r="F985" i="10"/>
  <c r="F986" i="10"/>
  <c r="F987" i="10"/>
  <c r="F988" i="10"/>
  <c r="F989" i="10"/>
  <c r="F990" i="10"/>
  <c r="F991" i="10"/>
  <c r="F992" i="10"/>
  <c r="F993" i="10"/>
  <c r="F994" i="10"/>
  <c r="F995" i="10"/>
  <c r="F996" i="10"/>
  <c r="F997" i="10"/>
  <c r="F998" i="10"/>
  <c r="F999" i="10"/>
  <c r="F1000" i="10"/>
  <c r="F1001" i="10"/>
  <c r="F1002" i="10"/>
  <c r="F1003" i="10"/>
  <c r="F1004" i="10"/>
  <c r="F1005" i="10"/>
  <c r="F1006" i="10"/>
  <c r="F1007" i="10"/>
  <c r="F1008" i="10"/>
  <c r="F1009" i="10"/>
  <c r="F1010" i="10"/>
  <c r="F1011" i="10"/>
  <c r="F962" i="10"/>
  <c r="G963" i="10"/>
  <c r="G964" i="10"/>
  <c r="G965" i="10"/>
  <c r="G966" i="10"/>
  <c r="G967" i="10"/>
  <c r="G968" i="10"/>
  <c r="G969" i="10"/>
  <c r="G970" i="10"/>
  <c r="G971" i="10"/>
  <c r="G972" i="10"/>
  <c r="G973" i="10"/>
  <c r="G974" i="10"/>
  <c r="G975" i="10"/>
  <c r="G976" i="10"/>
  <c r="G977" i="10"/>
  <c r="G978" i="10"/>
  <c r="G979" i="10"/>
  <c r="G980" i="10"/>
  <c r="G981" i="10"/>
  <c r="G982" i="10"/>
  <c r="G983" i="10"/>
  <c r="G984" i="10"/>
  <c r="G985" i="10"/>
  <c r="G986" i="10"/>
  <c r="G987" i="10"/>
  <c r="G988" i="10"/>
  <c r="G989" i="10"/>
  <c r="G990" i="10"/>
  <c r="G991" i="10"/>
  <c r="G992" i="10"/>
  <c r="G993" i="10"/>
  <c r="G994" i="10"/>
  <c r="G995" i="10"/>
  <c r="G996" i="10"/>
  <c r="G997" i="10"/>
  <c r="G998" i="10"/>
  <c r="G999" i="10"/>
  <c r="G1000" i="10"/>
  <c r="G1001" i="10"/>
  <c r="G1002" i="10"/>
  <c r="G1003" i="10"/>
  <c r="G1004" i="10"/>
  <c r="G1005" i="10"/>
  <c r="G1006" i="10"/>
  <c r="G1007" i="10"/>
  <c r="G1008" i="10"/>
  <c r="G1009" i="10"/>
  <c r="G1010" i="10"/>
  <c r="G1011" i="10"/>
  <c r="G962" i="10"/>
  <c r="A1012" i="10"/>
  <c r="A963" i="10"/>
  <c r="A964" i="10"/>
  <c r="A965" i="10"/>
  <c r="A966" i="10"/>
  <c r="A967" i="10"/>
  <c r="A968" i="10"/>
  <c r="A969" i="10"/>
  <c r="A970" i="10"/>
  <c r="A971" i="10"/>
  <c r="A972" i="10"/>
  <c r="A973" i="10"/>
  <c r="A974" i="10"/>
  <c r="A975" i="10"/>
  <c r="A976" i="10"/>
  <c r="A977" i="10"/>
  <c r="A978" i="10"/>
  <c r="A979" i="10"/>
  <c r="A980" i="10"/>
  <c r="A981" i="10"/>
  <c r="A982" i="10"/>
  <c r="A983" i="10"/>
  <c r="A984" i="10"/>
  <c r="A985" i="10"/>
  <c r="A986" i="10"/>
  <c r="A987" i="10"/>
  <c r="A988" i="10"/>
  <c r="A989" i="10"/>
  <c r="A990" i="10"/>
  <c r="A991" i="10"/>
  <c r="A992" i="10"/>
  <c r="A993" i="10"/>
  <c r="A994" i="10"/>
  <c r="A995" i="10"/>
  <c r="A996" i="10"/>
  <c r="A997" i="10"/>
  <c r="A998" i="10"/>
  <c r="A999" i="10"/>
  <c r="A1000" i="10"/>
  <c r="A1001" i="10"/>
  <c r="A1002" i="10"/>
  <c r="A1003" i="10"/>
  <c r="A1004" i="10"/>
  <c r="A1005" i="10"/>
  <c r="A1006" i="10"/>
  <c r="A1007" i="10"/>
  <c r="A1008" i="10"/>
  <c r="A1009" i="10"/>
  <c r="A1010" i="10"/>
  <c r="A1011" i="10"/>
  <c r="A962" i="10"/>
  <c r="C963" i="10"/>
  <c r="C964" i="10"/>
  <c r="C965" i="10"/>
  <c r="C966" i="10"/>
  <c r="C967" i="10"/>
  <c r="C968" i="10"/>
  <c r="C969" i="10"/>
  <c r="C970" i="10"/>
  <c r="C971" i="10"/>
  <c r="C972" i="10"/>
  <c r="C973" i="10"/>
  <c r="C974" i="10"/>
  <c r="C975" i="10"/>
  <c r="C976" i="10"/>
  <c r="C977" i="10"/>
  <c r="C978" i="10"/>
  <c r="C979" i="10"/>
  <c r="C980" i="10"/>
  <c r="C981" i="10"/>
  <c r="C982" i="10"/>
  <c r="C983" i="10"/>
  <c r="C984" i="10"/>
  <c r="C985" i="10"/>
  <c r="C986" i="10"/>
  <c r="C987" i="10"/>
  <c r="C988" i="10"/>
  <c r="C989" i="10"/>
  <c r="C990" i="10"/>
  <c r="C991" i="10"/>
  <c r="C992" i="10"/>
  <c r="C993" i="10"/>
  <c r="C994" i="10"/>
  <c r="C995" i="10"/>
  <c r="C996" i="10"/>
  <c r="C997" i="10"/>
  <c r="C998" i="10"/>
  <c r="C999" i="10"/>
  <c r="C1000" i="10"/>
  <c r="C1001" i="10"/>
  <c r="C1002" i="10"/>
  <c r="C1003" i="10"/>
  <c r="C1004" i="10"/>
  <c r="C1005" i="10"/>
  <c r="C1006" i="10"/>
  <c r="C1007" i="10"/>
  <c r="C1008" i="10"/>
  <c r="C1009" i="10"/>
  <c r="C1010" i="10"/>
  <c r="C1011" i="10"/>
  <c r="C962" i="10"/>
  <c r="C2225" i="20" l="1"/>
  <c r="F2225" i="20"/>
  <c r="C2227" i="20"/>
  <c r="F2227" i="20"/>
  <c r="C2229" i="20"/>
  <c r="F2229" i="20"/>
  <c r="C2231" i="20"/>
  <c r="F2231" i="20"/>
  <c r="C2233" i="20"/>
  <c r="F2233" i="20"/>
  <c r="C2235" i="20"/>
  <c r="F2235" i="20"/>
  <c r="C2237" i="20"/>
  <c r="F2237" i="20"/>
  <c r="C2239" i="20"/>
  <c r="F2239" i="20"/>
  <c r="C2241" i="20"/>
  <c r="F2241" i="20"/>
  <c r="C2243" i="20"/>
  <c r="F2243" i="20"/>
  <c r="C2245" i="20"/>
  <c r="F2245" i="20"/>
  <c r="C2247" i="20"/>
  <c r="F2247" i="20"/>
  <c r="C2249" i="20"/>
  <c r="F2249" i="20"/>
  <c r="C2251" i="20"/>
  <c r="F2251" i="20"/>
  <c r="C2253" i="20"/>
  <c r="F2253" i="20"/>
  <c r="C2255" i="20"/>
  <c r="F2255" i="20"/>
  <c r="C2257" i="20"/>
  <c r="F2257" i="20"/>
  <c r="C2259" i="20"/>
  <c r="F2259" i="20"/>
  <c r="C2261" i="20"/>
  <c r="F2261" i="20"/>
  <c r="C2263" i="20"/>
  <c r="F2263" i="20"/>
  <c r="C2265" i="20"/>
  <c r="F2265" i="20"/>
  <c r="C2267" i="20"/>
  <c r="F2267" i="20"/>
  <c r="C2269" i="20"/>
  <c r="F2269" i="20"/>
  <c r="C2271" i="20"/>
  <c r="F2271" i="20"/>
  <c r="C2273" i="20"/>
  <c r="F2273" i="20"/>
  <c r="C2275" i="20"/>
  <c r="F2275" i="20"/>
  <c r="C2277" i="20"/>
  <c r="F2277" i="20"/>
  <c r="C2279" i="20"/>
  <c r="F2279" i="20"/>
  <c r="C2281" i="20"/>
  <c r="F2281" i="20"/>
  <c r="C2283" i="20"/>
  <c r="F2283" i="20"/>
  <c r="C2285" i="20"/>
  <c r="F2285" i="20"/>
  <c r="C2287" i="20"/>
  <c r="F2287" i="20"/>
  <c r="C2289" i="20"/>
  <c r="F2289" i="20"/>
  <c r="C2291" i="20"/>
  <c r="F2291" i="20"/>
  <c r="C2293" i="20"/>
  <c r="F2293" i="20"/>
  <c r="C2295" i="20"/>
  <c r="F2295" i="20"/>
  <c r="C2297" i="20"/>
  <c r="F2297" i="20"/>
  <c r="C2299" i="20"/>
  <c r="F2299" i="20"/>
  <c r="C2301" i="20"/>
  <c r="F2301" i="20"/>
  <c r="C2303" i="20"/>
  <c r="F2303" i="20"/>
  <c r="C2305" i="20"/>
  <c r="F2305" i="20"/>
  <c r="C2307" i="20"/>
  <c r="F2307" i="20"/>
  <c r="C2309" i="20"/>
  <c r="F2309" i="20"/>
  <c r="C2311" i="20"/>
  <c r="F2311" i="20"/>
  <c r="C2313" i="20"/>
  <c r="F2313" i="20"/>
  <c r="C2315" i="20"/>
  <c r="F2315" i="20"/>
  <c r="C2317" i="20"/>
  <c r="F2317" i="20"/>
  <c r="C2319" i="20"/>
  <c r="F2319" i="20"/>
  <c r="C2321" i="20"/>
  <c r="F2321" i="20"/>
  <c r="F2223" i="20"/>
  <c r="C2223" i="20"/>
  <c r="B2224" i="20"/>
  <c r="B2225" i="20" s="1"/>
  <c r="D2224" i="20"/>
  <c r="D2225" i="20" s="1"/>
  <c r="G2224" i="20"/>
  <c r="G2225" i="20" s="1"/>
  <c r="M2224" i="20"/>
  <c r="M2225" i="20" s="1"/>
  <c r="O2224" i="20"/>
  <c r="O2225" i="20" s="1"/>
  <c r="B2226" i="20"/>
  <c r="B2227" i="20" s="1"/>
  <c r="D2226" i="20"/>
  <c r="D2227" i="20" s="1"/>
  <c r="G2226" i="20"/>
  <c r="G2227" i="20" s="1"/>
  <c r="M2226" i="20"/>
  <c r="M2227" i="20" s="1"/>
  <c r="O2226" i="20"/>
  <c r="O2227" i="20" s="1"/>
  <c r="B2228" i="20"/>
  <c r="B2229" i="20" s="1"/>
  <c r="D2228" i="20"/>
  <c r="D2229" i="20" s="1"/>
  <c r="G2228" i="20"/>
  <c r="G2229" i="20" s="1"/>
  <c r="M2228" i="20"/>
  <c r="M2229" i="20" s="1"/>
  <c r="O2228" i="20"/>
  <c r="O2229" i="20" s="1"/>
  <c r="B2230" i="20"/>
  <c r="B2231" i="20" s="1"/>
  <c r="D2230" i="20"/>
  <c r="D2231" i="20" s="1"/>
  <c r="G2230" i="20"/>
  <c r="G2231" i="20" s="1"/>
  <c r="M2230" i="20"/>
  <c r="M2231" i="20" s="1"/>
  <c r="O2230" i="20"/>
  <c r="O2231" i="20" s="1"/>
  <c r="B2232" i="20"/>
  <c r="B2233" i="20" s="1"/>
  <c r="D2232" i="20"/>
  <c r="D2233" i="20" s="1"/>
  <c r="G2232" i="20"/>
  <c r="G2233" i="20" s="1"/>
  <c r="M2232" i="20"/>
  <c r="M2233" i="20" s="1"/>
  <c r="O2232" i="20"/>
  <c r="O2233" i="20" s="1"/>
  <c r="B2234" i="20"/>
  <c r="B2235" i="20" s="1"/>
  <c r="D2234" i="20"/>
  <c r="D2235" i="20" s="1"/>
  <c r="G2234" i="20"/>
  <c r="G2235" i="20" s="1"/>
  <c r="M2234" i="20"/>
  <c r="M2235" i="20" s="1"/>
  <c r="O2234" i="20"/>
  <c r="O2235" i="20" s="1"/>
  <c r="B2236" i="20"/>
  <c r="B2237" i="20" s="1"/>
  <c r="D2236" i="20"/>
  <c r="D2237" i="20" s="1"/>
  <c r="G2236" i="20"/>
  <c r="G2237" i="20" s="1"/>
  <c r="M2236" i="20"/>
  <c r="M2237" i="20" s="1"/>
  <c r="O2236" i="20"/>
  <c r="O2237" i="20" s="1"/>
  <c r="B2238" i="20"/>
  <c r="B2239" i="20" s="1"/>
  <c r="D2238" i="20"/>
  <c r="D2239" i="20" s="1"/>
  <c r="G2238" i="20"/>
  <c r="G2239" i="20" s="1"/>
  <c r="M2238" i="20"/>
  <c r="M2239" i="20" s="1"/>
  <c r="O2238" i="20"/>
  <c r="O2239" i="20" s="1"/>
  <c r="B2240" i="20"/>
  <c r="B2241" i="20" s="1"/>
  <c r="D2240" i="20"/>
  <c r="D2241" i="20" s="1"/>
  <c r="G2240" i="20"/>
  <c r="G2241" i="20" s="1"/>
  <c r="M2240" i="20"/>
  <c r="M2241" i="20" s="1"/>
  <c r="O2240" i="20"/>
  <c r="O2241" i="20" s="1"/>
  <c r="B2242" i="20"/>
  <c r="B2243" i="20" s="1"/>
  <c r="D2242" i="20"/>
  <c r="D2243" i="20" s="1"/>
  <c r="G2242" i="20"/>
  <c r="G2243" i="20" s="1"/>
  <c r="M2242" i="20"/>
  <c r="M2243" i="20" s="1"/>
  <c r="O2242" i="20"/>
  <c r="O2243" i="20" s="1"/>
  <c r="B2244" i="20"/>
  <c r="B2245" i="20" s="1"/>
  <c r="D2244" i="20"/>
  <c r="D2245" i="20" s="1"/>
  <c r="G2244" i="20"/>
  <c r="G2245" i="20" s="1"/>
  <c r="M2244" i="20"/>
  <c r="M2245" i="20" s="1"/>
  <c r="O2244" i="20"/>
  <c r="O2245" i="20" s="1"/>
  <c r="B2246" i="20"/>
  <c r="B2247" i="20" s="1"/>
  <c r="D2246" i="20"/>
  <c r="D2247" i="20" s="1"/>
  <c r="G2246" i="20"/>
  <c r="G2247" i="20" s="1"/>
  <c r="M2246" i="20"/>
  <c r="M2247" i="20" s="1"/>
  <c r="O2246" i="20"/>
  <c r="O2247" i="20" s="1"/>
  <c r="B2248" i="20"/>
  <c r="B2249" i="20" s="1"/>
  <c r="D2248" i="20"/>
  <c r="D2249" i="20" s="1"/>
  <c r="G2248" i="20"/>
  <c r="G2249" i="20" s="1"/>
  <c r="M2248" i="20"/>
  <c r="M2249" i="20" s="1"/>
  <c r="O2248" i="20"/>
  <c r="O2249" i="20" s="1"/>
  <c r="B2250" i="20"/>
  <c r="B2251" i="20" s="1"/>
  <c r="D2250" i="20"/>
  <c r="D2251" i="20" s="1"/>
  <c r="G2250" i="20"/>
  <c r="G2251" i="20" s="1"/>
  <c r="M2250" i="20"/>
  <c r="M2251" i="20" s="1"/>
  <c r="O2250" i="20"/>
  <c r="O2251" i="20" s="1"/>
  <c r="B2252" i="20"/>
  <c r="B2253" i="20" s="1"/>
  <c r="D2252" i="20"/>
  <c r="D2253" i="20" s="1"/>
  <c r="G2252" i="20"/>
  <c r="G2253" i="20" s="1"/>
  <c r="M2252" i="20"/>
  <c r="M2253" i="20" s="1"/>
  <c r="O2252" i="20"/>
  <c r="O2253" i="20" s="1"/>
  <c r="B2254" i="20"/>
  <c r="B2255" i="20" s="1"/>
  <c r="D2254" i="20"/>
  <c r="D2255" i="20" s="1"/>
  <c r="G2254" i="20"/>
  <c r="G2255" i="20" s="1"/>
  <c r="M2254" i="20"/>
  <c r="M2255" i="20" s="1"/>
  <c r="O2254" i="20"/>
  <c r="O2255" i="20" s="1"/>
  <c r="B2256" i="20"/>
  <c r="B2257" i="20" s="1"/>
  <c r="D2256" i="20"/>
  <c r="D2257" i="20" s="1"/>
  <c r="G2256" i="20"/>
  <c r="G2257" i="20" s="1"/>
  <c r="M2256" i="20"/>
  <c r="M2257" i="20" s="1"/>
  <c r="O2256" i="20"/>
  <c r="O2257" i="20" s="1"/>
  <c r="B2258" i="20"/>
  <c r="B2259" i="20" s="1"/>
  <c r="D2258" i="20"/>
  <c r="D2259" i="20" s="1"/>
  <c r="G2258" i="20"/>
  <c r="G2259" i="20" s="1"/>
  <c r="M2258" i="20"/>
  <c r="M2259" i="20" s="1"/>
  <c r="O2258" i="20"/>
  <c r="O2259" i="20" s="1"/>
  <c r="B2260" i="20"/>
  <c r="B2261" i="20" s="1"/>
  <c r="D2260" i="20"/>
  <c r="D2261" i="20" s="1"/>
  <c r="G2260" i="20"/>
  <c r="G2261" i="20" s="1"/>
  <c r="M2260" i="20"/>
  <c r="M2261" i="20" s="1"/>
  <c r="O2260" i="20"/>
  <c r="O2261" i="20" s="1"/>
  <c r="B2262" i="20"/>
  <c r="B2263" i="20" s="1"/>
  <c r="D2262" i="20"/>
  <c r="D2263" i="20" s="1"/>
  <c r="G2262" i="20"/>
  <c r="G2263" i="20" s="1"/>
  <c r="M2262" i="20"/>
  <c r="M2263" i="20" s="1"/>
  <c r="O2262" i="20"/>
  <c r="O2263" i="20" s="1"/>
  <c r="B2264" i="20"/>
  <c r="B2265" i="20" s="1"/>
  <c r="D2264" i="20"/>
  <c r="D2265" i="20" s="1"/>
  <c r="G2264" i="20"/>
  <c r="G2265" i="20" s="1"/>
  <c r="M2264" i="20"/>
  <c r="M2265" i="20" s="1"/>
  <c r="O2264" i="20"/>
  <c r="O2265" i="20" s="1"/>
  <c r="B2266" i="20"/>
  <c r="B2267" i="20" s="1"/>
  <c r="D2266" i="20"/>
  <c r="D2267" i="20" s="1"/>
  <c r="G2266" i="20"/>
  <c r="G2267" i="20" s="1"/>
  <c r="M2266" i="20"/>
  <c r="M2267" i="20" s="1"/>
  <c r="O2266" i="20"/>
  <c r="O2267" i="20" s="1"/>
  <c r="B2268" i="20"/>
  <c r="B2269" i="20" s="1"/>
  <c r="D2268" i="20"/>
  <c r="D2269" i="20" s="1"/>
  <c r="G2268" i="20"/>
  <c r="G2269" i="20" s="1"/>
  <c r="M2268" i="20"/>
  <c r="M2269" i="20" s="1"/>
  <c r="O2268" i="20"/>
  <c r="O2269" i="20" s="1"/>
  <c r="B2270" i="20"/>
  <c r="B2271" i="20" s="1"/>
  <c r="D2270" i="20"/>
  <c r="D2271" i="20" s="1"/>
  <c r="G2270" i="20"/>
  <c r="G2271" i="20" s="1"/>
  <c r="M2270" i="20"/>
  <c r="M2271" i="20" s="1"/>
  <c r="O2270" i="20"/>
  <c r="O2271" i="20" s="1"/>
  <c r="B2272" i="20"/>
  <c r="B2273" i="20" s="1"/>
  <c r="D2272" i="20"/>
  <c r="D2273" i="20" s="1"/>
  <c r="G2272" i="20"/>
  <c r="G2273" i="20" s="1"/>
  <c r="M2272" i="20"/>
  <c r="M2273" i="20" s="1"/>
  <c r="O2272" i="20"/>
  <c r="O2273" i="20" s="1"/>
  <c r="B2274" i="20"/>
  <c r="B2275" i="20" s="1"/>
  <c r="D2274" i="20"/>
  <c r="D2275" i="20" s="1"/>
  <c r="G2274" i="20"/>
  <c r="G2275" i="20" s="1"/>
  <c r="M2274" i="20"/>
  <c r="M2275" i="20" s="1"/>
  <c r="O2274" i="20"/>
  <c r="O2275" i="20" s="1"/>
  <c r="B2276" i="20"/>
  <c r="B2277" i="20" s="1"/>
  <c r="D2276" i="20"/>
  <c r="D2277" i="20" s="1"/>
  <c r="G2276" i="20"/>
  <c r="G2277" i="20" s="1"/>
  <c r="M2276" i="20"/>
  <c r="M2277" i="20" s="1"/>
  <c r="O2276" i="20"/>
  <c r="O2277" i="20" s="1"/>
  <c r="B2278" i="20"/>
  <c r="B2279" i="20" s="1"/>
  <c r="D2278" i="20"/>
  <c r="D2279" i="20" s="1"/>
  <c r="G2278" i="20"/>
  <c r="G2279" i="20" s="1"/>
  <c r="M2278" i="20"/>
  <c r="M2279" i="20" s="1"/>
  <c r="O2278" i="20"/>
  <c r="O2279" i="20" s="1"/>
  <c r="B2280" i="20"/>
  <c r="B2281" i="20" s="1"/>
  <c r="D2280" i="20"/>
  <c r="D2281" i="20" s="1"/>
  <c r="G2280" i="20"/>
  <c r="G2281" i="20" s="1"/>
  <c r="M2280" i="20"/>
  <c r="M2281" i="20" s="1"/>
  <c r="O2280" i="20"/>
  <c r="O2281" i="20" s="1"/>
  <c r="B2282" i="20"/>
  <c r="B2283" i="20" s="1"/>
  <c r="D2282" i="20"/>
  <c r="D2283" i="20" s="1"/>
  <c r="G2282" i="20"/>
  <c r="G2283" i="20" s="1"/>
  <c r="M2282" i="20"/>
  <c r="M2283" i="20" s="1"/>
  <c r="O2282" i="20"/>
  <c r="O2283" i="20" s="1"/>
  <c r="B2284" i="20"/>
  <c r="B2285" i="20" s="1"/>
  <c r="D2284" i="20"/>
  <c r="D2285" i="20" s="1"/>
  <c r="G2284" i="20"/>
  <c r="G2285" i="20" s="1"/>
  <c r="M2284" i="20"/>
  <c r="M2285" i="20" s="1"/>
  <c r="O2284" i="20"/>
  <c r="O2285" i="20" s="1"/>
  <c r="B2286" i="20"/>
  <c r="B2287" i="20" s="1"/>
  <c r="D2286" i="20"/>
  <c r="D2287" i="20" s="1"/>
  <c r="G2286" i="20"/>
  <c r="G2287" i="20" s="1"/>
  <c r="M2286" i="20"/>
  <c r="M2287" i="20" s="1"/>
  <c r="O2286" i="20"/>
  <c r="O2287" i="20" s="1"/>
  <c r="B2288" i="20"/>
  <c r="B2289" i="20" s="1"/>
  <c r="D2288" i="20"/>
  <c r="D2289" i="20" s="1"/>
  <c r="G2288" i="20"/>
  <c r="G2289" i="20" s="1"/>
  <c r="M2288" i="20"/>
  <c r="M2289" i="20" s="1"/>
  <c r="O2288" i="20"/>
  <c r="O2289" i="20" s="1"/>
  <c r="B2290" i="20"/>
  <c r="B2291" i="20" s="1"/>
  <c r="D2290" i="20"/>
  <c r="D2291" i="20" s="1"/>
  <c r="G2290" i="20"/>
  <c r="G2291" i="20" s="1"/>
  <c r="M2290" i="20"/>
  <c r="M2291" i="20" s="1"/>
  <c r="O2290" i="20"/>
  <c r="O2291" i="20" s="1"/>
  <c r="B2292" i="20"/>
  <c r="B2293" i="20" s="1"/>
  <c r="D2292" i="20"/>
  <c r="D2293" i="20" s="1"/>
  <c r="G2292" i="20"/>
  <c r="G2293" i="20" s="1"/>
  <c r="M2292" i="20"/>
  <c r="M2293" i="20" s="1"/>
  <c r="O2292" i="20"/>
  <c r="O2293" i="20" s="1"/>
  <c r="B2294" i="20"/>
  <c r="B2295" i="20" s="1"/>
  <c r="D2294" i="20"/>
  <c r="D2295" i="20" s="1"/>
  <c r="G2294" i="20"/>
  <c r="G2295" i="20" s="1"/>
  <c r="M2294" i="20"/>
  <c r="M2295" i="20" s="1"/>
  <c r="O2294" i="20"/>
  <c r="O2295" i="20" s="1"/>
  <c r="B2296" i="20"/>
  <c r="B2297" i="20" s="1"/>
  <c r="D2296" i="20"/>
  <c r="D2297" i="20" s="1"/>
  <c r="G2296" i="20"/>
  <c r="G2297" i="20" s="1"/>
  <c r="M2296" i="20"/>
  <c r="M2297" i="20" s="1"/>
  <c r="O2296" i="20"/>
  <c r="O2297" i="20" s="1"/>
  <c r="B2298" i="20"/>
  <c r="B2299" i="20" s="1"/>
  <c r="D2298" i="20"/>
  <c r="D2299" i="20" s="1"/>
  <c r="G2298" i="20"/>
  <c r="G2299" i="20" s="1"/>
  <c r="M2298" i="20"/>
  <c r="M2299" i="20" s="1"/>
  <c r="O2298" i="20"/>
  <c r="O2299" i="20" s="1"/>
  <c r="B2300" i="20"/>
  <c r="B2301" i="20" s="1"/>
  <c r="D2300" i="20"/>
  <c r="D2301" i="20" s="1"/>
  <c r="G2300" i="20"/>
  <c r="G2301" i="20" s="1"/>
  <c r="M2300" i="20"/>
  <c r="M2301" i="20" s="1"/>
  <c r="O2300" i="20"/>
  <c r="O2301" i="20" s="1"/>
  <c r="B2302" i="20"/>
  <c r="B2303" i="20" s="1"/>
  <c r="D2302" i="20"/>
  <c r="D2303" i="20" s="1"/>
  <c r="G2302" i="20"/>
  <c r="G2303" i="20" s="1"/>
  <c r="M2302" i="20"/>
  <c r="M2303" i="20" s="1"/>
  <c r="O2302" i="20"/>
  <c r="O2303" i="20" s="1"/>
  <c r="B2304" i="20"/>
  <c r="B2305" i="20" s="1"/>
  <c r="D2304" i="20"/>
  <c r="D2305" i="20" s="1"/>
  <c r="G2304" i="20"/>
  <c r="G2305" i="20" s="1"/>
  <c r="M2304" i="20"/>
  <c r="M2305" i="20" s="1"/>
  <c r="O2304" i="20"/>
  <c r="O2305" i="20" s="1"/>
  <c r="B2306" i="20"/>
  <c r="B2307" i="20" s="1"/>
  <c r="D2306" i="20"/>
  <c r="D2307" i="20" s="1"/>
  <c r="G2306" i="20"/>
  <c r="G2307" i="20" s="1"/>
  <c r="M2306" i="20"/>
  <c r="M2307" i="20" s="1"/>
  <c r="O2306" i="20"/>
  <c r="O2307" i="20" s="1"/>
  <c r="B2308" i="20"/>
  <c r="B2309" i="20" s="1"/>
  <c r="D2308" i="20"/>
  <c r="D2309" i="20" s="1"/>
  <c r="G2308" i="20"/>
  <c r="G2309" i="20" s="1"/>
  <c r="M2308" i="20"/>
  <c r="M2309" i="20" s="1"/>
  <c r="O2308" i="20"/>
  <c r="O2309" i="20" s="1"/>
  <c r="B2310" i="20"/>
  <c r="B2311" i="20" s="1"/>
  <c r="D2310" i="20"/>
  <c r="D2311" i="20" s="1"/>
  <c r="G2310" i="20"/>
  <c r="G2311" i="20" s="1"/>
  <c r="M2310" i="20"/>
  <c r="M2311" i="20" s="1"/>
  <c r="O2310" i="20"/>
  <c r="O2311" i="20" s="1"/>
  <c r="B2312" i="20"/>
  <c r="B2313" i="20" s="1"/>
  <c r="D2312" i="20"/>
  <c r="D2313" i="20" s="1"/>
  <c r="G2312" i="20"/>
  <c r="G2313" i="20" s="1"/>
  <c r="M2312" i="20"/>
  <c r="M2313" i="20" s="1"/>
  <c r="O2312" i="20"/>
  <c r="O2313" i="20" s="1"/>
  <c r="B2314" i="20"/>
  <c r="B2315" i="20" s="1"/>
  <c r="D2314" i="20"/>
  <c r="D2315" i="20" s="1"/>
  <c r="G2314" i="20"/>
  <c r="G2315" i="20" s="1"/>
  <c r="M2314" i="20"/>
  <c r="M2315" i="20" s="1"/>
  <c r="O2314" i="20"/>
  <c r="O2315" i="20" s="1"/>
  <c r="B2316" i="20"/>
  <c r="B2317" i="20" s="1"/>
  <c r="D2316" i="20"/>
  <c r="D2317" i="20" s="1"/>
  <c r="G2316" i="20"/>
  <c r="G2317" i="20" s="1"/>
  <c r="M2316" i="20"/>
  <c r="M2317" i="20" s="1"/>
  <c r="O2316" i="20"/>
  <c r="O2317" i="20" s="1"/>
  <c r="B2318" i="20"/>
  <c r="B2319" i="20" s="1"/>
  <c r="D2318" i="20"/>
  <c r="D2319" i="20" s="1"/>
  <c r="G2318" i="20"/>
  <c r="G2319" i="20" s="1"/>
  <c r="M2318" i="20"/>
  <c r="M2319" i="20" s="1"/>
  <c r="O2318" i="20"/>
  <c r="O2319" i="20" s="1"/>
  <c r="B2320" i="20"/>
  <c r="B2321" i="20" s="1"/>
  <c r="D2320" i="20"/>
  <c r="D2321" i="20" s="1"/>
  <c r="G2320" i="20"/>
  <c r="G2321" i="20" s="1"/>
  <c r="M2320" i="20"/>
  <c r="M2321" i="20" s="1"/>
  <c r="O2320" i="20"/>
  <c r="O2321" i="20" s="1"/>
  <c r="O2222" i="20"/>
  <c r="O2223" i="20" s="1"/>
  <c r="M2222" i="20"/>
  <c r="M2223" i="20" s="1"/>
  <c r="G2222" i="20"/>
  <c r="G2223" i="20" s="1"/>
  <c r="D2222" i="20"/>
  <c r="D2223" i="20" s="1"/>
  <c r="B2222" i="20"/>
  <c r="B2223" i="20" s="1"/>
  <c r="C2125" i="20"/>
  <c r="F2125" i="20"/>
  <c r="C2127" i="20"/>
  <c r="F2127" i="20"/>
  <c r="C2129" i="20"/>
  <c r="F2129" i="20"/>
  <c r="C2131" i="20"/>
  <c r="F2131" i="20"/>
  <c r="C2133" i="20"/>
  <c r="F2133" i="20"/>
  <c r="C2135" i="20"/>
  <c r="F2135" i="20"/>
  <c r="C2137" i="20"/>
  <c r="F2137" i="20"/>
  <c r="C2139" i="20"/>
  <c r="F2139" i="20"/>
  <c r="C2141" i="20"/>
  <c r="F2141" i="20"/>
  <c r="C2143" i="20"/>
  <c r="F2143" i="20"/>
  <c r="C2145" i="20"/>
  <c r="F2145" i="20"/>
  <c r="C2147" i="20"/>
  <c r="F2147" i="20"/>
  <c r="C2149" i="20"/>
  <c r="F2149" i="20"/>
  <c r="C2151" i="20"/>
  <c r="F2151" i="20"/>
  <c r="C2153" i="20"/>
  <c r="F2153" i="20"/>
  <c r="C2155" i="20"/>
  <c r="F2155" i="20"/>
  <c r="C2157" i="20"/>
  <c r="F2157" i="20"/>
  <c r="C2159" i="20"/>
  <c r="F2159" i="20"/>
  <c r="C2161" i="20"/>
  <c r="F2161" i="20"/>
  <c r="C2163" i="20"/>
  <c r="F2163" i="20"/>
  <c r="C2165" i="20"/>
  <c r="F2165" i="20"/>
  <c r="C2167" i="20"/>
  <c r="F2167" i="20"/>
  <c r="C2169" i="20"/>
  <c r="F2169" i="20"/>
  <c r="C2171" i="20"/>
  <c r="F2171" i="20"/>
  <c r="C2173" i="20"/>
  <c r="F2173" i="20"/>
  <c r="C2175" i="20"/>
  <c r="F2175" i="20"/>
  <c r="C2177" i="20"/>
  <c r="F2177" i="20"/>
  <c r="C2179" i="20"/>
  <c r="F2179" i="20"/>
  <c r="C2181" i="20"/>
  <c r="F2181" i="20"/>
  <c r="C2183" i="20"/>
  <c r="F2183" i="20"/>
  <c r="C2185" i="20"/>
  <c r="F2185" i="20"/>
  <c r="C2187" i="20"/>
  <c r="F2187" i="20"/>
  <c r="C2189" i="20"/>
  <c r="F2189" i="20"/>
  <c r="C2191" i="20"/>
  <c r="F2191" i="20"/>
  <c r="C2193" i="20"/>
  <c r="F2193" i="20"/>
  <c r="C2195" i="20"/>
  <c r="F2195" i="20"/>
  <c r="C2197" i="20"/>
  <c r="F2197" i="20"/>
  <c r="C2199" i="20"/>
  <c r="F2199" i="20"/>
  <c r="C2201" i="20"/>
  <c r="F2201" i="20"/>
  <c r="C2203" i="20"/>
  <c r="F2203" i="20"/>
  <c r="C2205" i="20"/>
  <c r="F2205" i="20"/>
  <c r="C2207" i="20"/>
  <c r="F2207" i="20"/>
  <c r="C2209" i="20"/>
  <c r="F2209" i="20"/>
  <c r="C2211" i="20"/>
  <c r="F2211" i="20"/>
  <c r="C2213" i="20"/>
  <c r="F2213" i="20"/>
  <c r="C2215" i="20"/>
  <c r="F2215" i="20"/>
  <c r="C2217" i="20"/>
  <c r="F2217" i="20"/>
  <c r="C2219" i="20"/>
  <c r="F2219" i="20"/>
  <c r="C2221" i="20"/>
  <c r="F2221" i="20"/>
  <c r="C2123" i="20"/>
  <c r="F2123" i="20"/>
  <c r="B2124" i="20"/>
  <c r="B2125" i="20" s="1"/>
  <c r="D2124" i="20"/>
  <c r="D2125" i="20" s="1"/>
  <c r="G2124" i="20"/>
  <c r="G2125" i="20" s="1"/>
  <c r="M2124" i="20"/>
  <c r="M2125" i="20" s="1"/>
  <c r="O2124" i="20"/>
  <c r="O2125" i="20" s="1"/>
  <c r="B2126" i="20"/>
  <c r="B2127" i="20" s="1"/>
  <c r="D2126" i="20"/>
  <c r="D2127" i="20" s="1"/>
  <c r="G2126" i="20"/>
  <c r="G2127" i="20" s="1"/>
  <c r="M2126" i="20"/>
  <c r="M2127" i="20" s="1"/>
  <c r="O2126" i="20"/>
  <c r="O2127" i="20" s="1"/>
  <c r="B2128" i="20"/>
  <c r="B2129" i="20" s="1"/>
  <c r="D2128" i="20"/>
  <c r="D2129" i="20" s="1"/>
  <c r="G2128" i="20"/>
  <c r="G2129" i="20" s="1"/>
  <c r="M2128" i="20"/>
  <c r="M2129" i="20" s="1"/>
  <c r="O2128" i="20"/>
  <c r="O2129" i="20" s="1"/>
  <c r="B2130" i="20"/>
  <c r="B2131" i="20" s="1"/>
  <c r="D2130" i="20"/>
  <c r="D2131" i="20" s="1"/>
  <c r="G2130" i="20"/>
  <c r="G2131" i="20" s="1"/>
  <c r="M2130" i="20"/>
  <c r="M2131" i="20" s="1"/>
  <c r="O2130" i="20"/>
  <c r="O2131" i="20" s="1"/>
  <c r="B2132" i="20"/>
  <c r="B2133" i="20" s="1"/>
  <c r="D2132" i="20"/>
  <c r="D2133" i="20" s="1"/>
  <c r="G2132" i="20"/>
  <c r="G2133" i="20" s="1"/>
  <c r="M2132" i="20"/>
  <c r="M2133" i="20" s="1"/>
  <c r="O2132" i="20"/>
  <c r="O2133" i="20" s="1"/>
  <c r="B2134" i="20"/>
  <c r="B2135" i="20" s="1"/>
  <c r="D2134" i="20"/>
  <c r="D2135" i="20" s="1"/>
  <c r="G2134" i="20"/>
  <c r="G2135" i="20" s="1"/>
  <c r="M2134" i="20"/>
  <c r="M2135" i="20" s="1"/>
  <c r="O2134" i="20"/>
  <c r="O2135" i="20" s="1"/>
  <c r="B2136" i="20"/>
  <c r="B2137" i="20" s="1"/>
  <c r="D2136" i="20"/>
  <c r="D2137" i="20" s="1"/>
  <c r="G2136" i="20"/>
  <c r="G2137" i="20" s="1"/>
  <c r="M2136" i="20"/>
  <c r="M2137" i="20" s="1"/>
  <c r="O2136" i="20"/>
  <c r="O2137" i="20" s="1"/>
  <c r="B2138" i="20"/>
  <c r="B2139" i="20" s="1"/>
  <c r="D2138" i="20"/>
  <c r="D2139" i="20" s="1"/>
  <c r="G2138" i="20"/>
  <c r="G2139" i="20" s="1"/>
  <c r="M2138" i="20"/>
  <c r="M2139" i="20" s="1"/>
  <c r="O2138" i="20"/>
  <c r="O2139" i="20" s="1"/>
  <c r="B2140" i="20"/>
  <c r="B2141" i="20" s="1"/>
  <c r="D2140" i="20"/>
  <c r="D2141" i="20" s="1"/>
  <c r="G2140" i="20"/>
  <c r="G2141" i="20" s="1"/>
  <c r="M2140" i="20"/>
  <c r="M2141" i="20" s="1"/>
  <c r="O2140" i="20"/>
  <c r="O2141" i="20" s="1"/>
  <c r="B2142" i="20"/>
  <c r="B2143" i="20" s="1"/>
  <c r="D2142" i="20"/>
  <c r="D2143" i="20" s="1"/>
  <c r="G2142" i="20"/>
  <c r="G2143" i="20" s="1"/>
  <c r="M2142" i="20"/>
  <c r="M2143" i="20" s="1"/>
  <c r="O2142" i="20"/>
  <c r="O2143" i="20" s="1"/>
  <c r="B2144" i="20"/>
  <c r="B2145" i="20" s="1"/>
  <c r="D2144" i="20"/>
  <c r="D2145" i="20" s="1"/>
  <c r="G2144" i="20"/>
  <c r="G2145" i="20" s="1"/>
  <c r="M2144" i="20"/>
  <c r="M2145" i="20" s="1"/>
  <c r="O2144" i="20"/>
  <c r="O2145" i="20" s="1"/>
  <c r="B2146" i="20"/>
  <c r="B2147" i="20" s="1"/>
  <c r="D2146" i="20"/>
  <c r="D2147" i="20" s="1"/>
  <c r="G2146" i="20"/>
  <c r="G2147" i="20" s="1"/>
  <c r="M2146" i="20"/>
  <c r="M2147" i="20" s="1"/>
  <c r="O2146" i="20"/>
  <c r="O2147" i="20" s="1"/>
  <c r="B2148" i="20"/>
  <c r="B2149" i="20" s="1"/>
  <c r="D2148" i="20"/>
  <c r="D2149" i="20" s="1"/>
  <c r="G2148" i="20"/>
  <c r="G2149" i="20" s="1"/>
  <c r="M2148" i="20"/>
  <c r="M2149" i="20" s="1"/>
  <c r="O2148" i="20"/>
  <c r="O2149" i="20" s="1"/>
  <c r="B2150" i="20"/>
  <c r="B2151" i="20" s="1"/>
  <c r="D2150" i="20"/>
  <c r="D2151" i="20" s="1"/>
  <c r="G2150" i="20"/>
  <c r="G2151" i="20" s="1"/>
  <c r="M2150" i="20"/>
  <c r="M2151" i="20" s="1"/>
  <c r="O2150" i="20"/>
  <c r="O2151" i="20" s="1"/>
  <c r="B2152" i="20"/>
  <c r="B2153" i="20" s="1"/>
  <c r="D2152" i="20"/>
  <c r="D2153" i="20" s="1"/>
  <c r="G2152" i="20"/>
  <c r="G2153" i="20" s="1"/>
  <c r="M2152" i="20"/>
  <c r="M2153" i="20" s="1"/>
  <c r="O2152" i="20"/>
  <c r="O2153" i="20" s="1"/>
  <c r="B2154" i="20"/>
  <c r="B2155" i="20" s="1"/>
  <c r="D2154" i="20"/>
  <c r="D2155" i="20" s="1"/>
  <c r="G2154" i="20"/>
  <c r="G2155" i="20" s="1"/>
  <c r="M2154" i="20"/>
  <c r="M2155" i="20" s="1"/>
  <c r="O2154" i="20"/>
  <c r="O2155" i="20" s="1"/>
  <c r="B2156" i="20"/>
  <c r="B2157" i="20" s="1"/>
  <c r="D2156" i="20"/>
  <c r="D2157" i="20" s="1"/>
  <c r="G2156" i="20"/>
  <c r="G2157" i="20" s="1"/>
  <c r="M2156" i="20"/>
  <c r="M2157" i="20" s="1"/>
  <c r="O2156" i="20"/>
  <c r="O2157" i="20" s="1"/>
  <c r="B2158" i="20"/>
  <c r="B2159" i="20" s="1"/>
  <c r="D2158" i="20"/>
  <c r="D2159" i="20" s="1"/>
  <c r="G2158" i="20"/>
  <c r="G2159" i="20" s="1"/>
  <c r="M2158" i="20"/>
  <c r="M2159" i="20" s="1"/>
  <c r="O2158" i="20"/>
  <c r="O2159" i="20" s="1"/>
  <c r="B2160" i="20"/>
  <c r="B2161" i="20" s="1"/>
  <c r="D2160" i="20"/>
  <c r="D2161" i="20" s="1"/>
  <c r="G2160" i="20"/>
  <c r="G2161" i="20" s="1"/>
  <c r="M2160" i="20"/>
  <c r="M2161" i="20" s="1"/>
  <c r="O2160" i="20"/>
  <c r="O2161" i="20" s="1"/>
  <c r="B2162" i="20"/>
  <c r="B2163" i="20" s="1"/>
  <c r="D2162" i="20"/>
  <c r="D2163" i="20" s="1"/>
  <c r="G2162" i="20"/>
  <c r="G2163" i="20" s="1"/>
  <c r="M2162" i="20"/>
  <c r="M2163" i="20" s="1"/>
  <c r="O2162" i="20"/>
  <c r="O2163" i="20" s="1"/>
  <c r="B2164" i="20"/>
  <c r="B2165" i="20" s="1"/>
  <c r="D2164" i="20"/>
  <c r="D2165" i="20" s="1"/>
  <c r="G2164" i="20"/>
  <c r="G2165" i="20" s="1"/>
  <c r="M2164" i="20"/>
  <c r="M2165" i="20" s="1"/>
  <c r="O2164" i="20"/>
  <c r="O2165" i="20" s="1"/>
  <c r="B2166" i="20"/>
  <c r="B2167" i="20" s="1"/>
  <c r="D2166" i="20"/>
  <c r="D2167" i="20" s="1"/>
  <c r="G2166" i="20"/>
  <c r="G2167" i="20" s="1"/>
  <c r="M2166" i="20"/>
  <c r="M2167" i="20" s="1"/>
  <c r="O2166" i="20"/>
  <c r="O2167" i="20" s="1"/>
  <c r="B2168" i="20"/>
  <c r="B2169" i="20" s="1"/>
  <c r="D2168" i="20"/>
  <c r="D2169" i="20" s="1"/>
  <c r="G2168" i="20"/>
  <c r="G2169" i="20" s="1"/>
  <c r="M2168" i="20"/>
  <c r="M2169" i="20" s="1"/>
  <c r="O2168" i="20"/>
  <c r="O2169" i="20" s="1"/>
  <c r="B2170" i="20"/>
  <c r="B2171" i="20" s="1"/>
  <c r="D2170" i="20"/>
  <c r="D2171" i="20" s="1"/>
  <c r="G2170" i="20"/>
  <c r="G2171" i="20" s="1"/>
  <c r="M2170" i="20"/>
  <c r="M2171" i="20" s="1"/>
  <c r="O2170" i="20"/>
  <c r="O2171" i="20" s="1"/>
  <c r="B2172" i="20"/>
  <c r="B2173" i="20" s="1"/>
  <c r="D2172" i="20"/>
  <c r="D2173" i="20" s="1"/>
  <c r="G2172" i="20"/>
  <c r="G2173" i="20" s="1"/>
  <c r="M2172" i="20"/>
  <c r="M2173" i="20" s="1"/>
  <c r="O2172" i="20"/>
  <c r="O2173" i="20" s="1"/>
  <c r="B2174" i="20"/>
  <c r="B2175" i="20" s="1"/>
  <c r="D2174" i="20"/>
  <c r="D2175" i="20" s="1"/>
  <c r="G2174" i="20"/>
  <c r="G2175" i="20" s="1"/>
  <c r="M2174" i="20"/>
  <c r="M2175" i="20" s="1"/>
  <c r="O2174" i="20"/>
  <c r="O2175" i="20" s="1"/>
  <c r="B2176" i="20"/>
  <c r="B2177" i="20" s="1"/>
  <c r="D2176" i="20"/>
  <c r="D2177" i="20" s="1"/>
  <c r="G2176" i="20"/>
  <c r="G2177" i="20" s="1"/>
  <c r="M2176" i="20"/>
  <c r="M2177" i="20" s="1"/>
  <c r="O2176" i="20"/>
  <c r="O2177" i="20" s="1"/>
  <c r="B2178" i="20"/>
  <c r="B2179" i="20" s="1"/>
  <c r="D2178" i="20"/>
  <c r="D2179" i="20" s="1"/>
  <c r="G2178" i="20"/>
  <c r="G2179" i="20" s="1"/>
  <c r="M2178" i="20"/>
  <c r="M2179" i="20" s="1"/>
  <c r="O2178" i="20"/>
  <c r="O2179" i="20" s="1"/>
  <c r="B2180" i="20"/>
  <c r="B2181" i="20" s="1"/>
  <c r="D2180" i="20"/>
  <c r="D2181" i="20" s="1"/>
  <c r="G2180" i="20"/>
  <c r="G2181" i="20" s="1"/>
  <c r="M2180" i="20"/>
  <c r="M2181" i="20" s="1"/>
  <c r="O2180" i="20"/>
  <c r="O2181" i="20" s="1"/>
  <c r="B2182" i="20"/>
  <c r="B2183" i="20" s="1"/>
  <c r="D2182" i="20"/>
  <c r="D2183" i="20" s="1"/>
  <c r="G2182" i="20"/>
  <c r="G2183" i="20" s="1"/>
  <c r="M2182" i="20"/>
  <c r="M2183" i="20" s="1"/>
  <c r="O2182" i="20"/>
  <c r="O2183" i="20" s="1"/>
  <c r="B2184" i="20"/>
  <c r="B2185" i="20" s="1"/>
  <c r="D2184" i="20"/>
  <c r="D2185" i="20" s="1"/>
  <c r="G2184" i="20"/>
  <c r="G2185" i="20" s="1"/>
  <c r="M2184" i="20"/>
  <c r="M2185" i="20" s="1"/>
  <c r="O2184" i="20"/>
  <c r="O2185" i="20" s="1"/>
  <c r="B2186" i="20"/>
  <c r="B2187" i="20" s="1"/>
  <c r="D2186" i="20"/>
  <c r="D2187" i="20" s="1"/>
  <c r="G2186" i="20"/>
  <c r="G2187" i="20" s="1"/>
  <c r="M2186" i="20"/>
  <c r="M2187" i="20" s="1"/>
  <c r="O2186" i="20"/>
  <c r="O2187" i="20" s="1"/>
  <c r="B2188" i="20"/>
  <c r="B2189" i="20" s="1"/>
  <c r="D2188" i="20"/>
  <c r="D2189" i="20" s="1"/>
  <c r="G2188" i="20"/>
  <c r="G2189" i="20" s="1"/>
  <c r="M2188" i="20"/>
  <c r="M2189" i="20" s="1"/>
  <c r="O2188" i="20"/>
  <c r="O2189" i="20" s="1"/>
  <c r="B2190" i="20"/>
  <c r="B2191" i="20" s="1"/>
  <c r="D2190" i="20"/>
  <c r="D2191" i="20" s="1"/>
  <c r="G2190" i="20"/>
  <c r="G2191" i="20" s="1"/>
  <c r="M2190" i="20"/>
  <c r="M2191" i="20" s="1"/>
  <c r="O2190" i="20"/>
  <c r="O2191" i="20" s="1"/>
  <c r="B2192" i="20"/>
  <c r="B2193" i="20" s="1"/>
  <c r="D2192" i="20"/>
  <c r="D2193" i="20" s="1"/>
  <c r="G2192" i="20"/>
  <c r="G2193" i="20" s="1"/>
  <c r="M2192" i="20"/>
  <c r="M2193" i="20" s="1"/>
  <c r="O2192" i="20"/>
  <c r="O2193" i="20" s="1"/>
  <c r="B2194" i="20"/>
  <c r="B2195" i="20" s="1"/>
  <c r="D2194" i="20"/>
  <c r="D2195" i="20" s="1"/>
  <c r="G2194" i="20"/>
  <c r="G2195" i="20" s="1"/>
  <c r="M2194" i="20"/>
  <c r="M2195" i="20" s="1"/>
  <c r="O2194" i="20"/>
  <c r="O2195" i="20" s="1"/>
  <c r="B2196" i="20"/>
  <c r="B2197" i="20" s="1"/>
  <c r="D2196" i="20"/>
  <c r="D2197" i="20" s="1"/>
  <c r="G2196" i="20"/>
  <c r="G2197" i="20" s="1"/>
  <c r="M2196" i="20"/>
  <c r="M2197" i="20" s="1"/>
  <c r="O2196" i="20"/>
  <c r="O2197" i="20" s="1"/>
  <c r="B2198" i="20"/>
  <c r="B2199" i="20" s="1"/>
  <c r="D2198" i="20"/>
  <c r="D2199" i="20" s="1"/>
  <c r="G2198" i="20"/>
  <c r="G2199" i="20" s="1"/>
  <c r="M2198" i="20"/>
  <c r="M2199" i="20" s="1"/>
  <c r="O2198" i="20"/>
  <c r="O2199" i="20" s="1"/>
  <c r="B2200" i="20"/>
  <c r="B2201" i="20" s="1"/>
  <c r="D2200" i="20"/>
  <c r="D2201" i="20" s="1"/>
  <c r="G2200" i="20"/>
  <c r="G2201" i="20" s="1"/>
  <c r="M2200" i="20"/>
  <c r="M2201" i="20" s="1"/>
  <c r="O2200" i="20"/>
  <c r="O2201" i="20" s="1"/>
  <c r="B2202" i="20"/>
  <c r="B2203" i="20" s="1"/>
  <c r="D2202" i="20"/>
  <c r="D2203" i="20" s="1"/>
  <c r="G2202" i="20"/>
  <c r="G2203" i="20" s="1"/>
  <c r="M2202" i="20"/>
  <c r="M2203" i="20" s="1"/>
  <c r="O2202" i="20"/>
  <c r="O2203" i="20" s="1"/>
  <c r="B2204" i="20"/>
  <c r="B2205" i="20" s="1"/>
  <c r="D2204" i="20"/>
  <c r="D2205" i="20" s="1"/>
  <c r="G2204" i="20"/>
  <c r="G2205" i="20" s="1"/>
  <c r="M2204" i="20"/>
  <c r="M2205" i="20" s="1"/>
  <c r="O2204" i="20"/>
  <c r="O2205" i="20" s="1"/>
  <c r="B2206" i="20"/>
  <c r="B2207" i="20" s="1"/>
  <c r="D2206" i="20"/>
  <c r="D2207" i="20" s="1"/>
  <c r="G2206" i="20"/>
  <c r="G2207" i="20" s="1"/>
  <c r="M2206" i="20"/>
  <c r="M2207" i="20" s="1"/>
  <c r="O2206" i="20"/>
  <c r="O2207" i="20" s="1"/>
  <c r="B2208" i="20"/>
  <c r="B2209" i="20" s="1"/>
  <c r="D2208" i="20"/>
  <c r="D2209" i="20" s="1"/>
  <c r="G2208" i="20"/>
  <c r="G2209" i="20" s="1"/>
  <c r="M2208" i="20"/>
  <c r="M2209" i="20" s="1"/>
  <c r="O2208" i="20"/>
  <c r="O2209" i="20" s="1"/>
  <c r="B2210" i="20"/>
  <c r="B2211" i="20" s="1"/>
  <c r="D2210" i="20"/>
  <c r="D2211" i="20" s="1"/>
  <c r="G2210" i="20"/>
  <c r="G2211" i="20" s="1"/>
  <c r="M2210" i="20"/>
  <c r="M2211" i="20" s="1"/>
  <c r="O2210" i="20"/>
  <c r="O2211" i="20" s="1"/>
  <c r="B2212" i="20"/>
  <c r="B2213" i="20" s="1"/>
  <c r="D2212" i="20"/>
  <c r="D2213" i="20" s="1"/>
  <c r="G2212" i="20"/>
  <c r="G2213" i="20" s="1"/>
  <c r="M2212" i="20"/>
  <c r="M2213" i="20" s="1"/>
  <c r="O2212" i="20"/>
  <c r="O2213" i="20" s="1"/>
  <c r="B2214" i="20"/>
  <c r="B2215" i="20" s="1"/>
  <c r="D2214" i="20"/>
  <c r="D2215" i="20" s="1"/>
  <c r="G2214" i="20"/>
  <c r="G2215" i="20" s="1"/>
  <c r="M2214" i="20"/>
  <c r="M2215" i="20" s="1"/>
  <c r="O2214" i="20"/>
  <c r="O2215" i="20" s="1"/>
  <c r="B2216" i="20"/>
  <c r="B2217" i="20" s="1"/>
  <c r="D2216" i="20"/>
  <c r="D2217" i="20" s="1"/>
  <c r="G2216" i="20"/>
  <c r="G2217" i="20" s="1"/>
  <c r="M2216" i="20"/>
  <c r="M2217" i="20" s="1"/>
  <c r="O2216" i="20"/>
  <c r="O2217" i="20" s="1"/>
  <c r="B2218" i="20"/>
  <c r="B2219" i="20" s="1"/>
  <c r="D2218" i="20"/>
  <c r="D2219" i="20" s="1"/>
  <c r="G2218" i="20"/>
  <c r="G2219" i="20" s="1"/>
  <c r="M2218" i="20"/>
  <c r="M2219" i="20" s="1"/>
  <c r="O2218" i="20"/>
  <c r="O2219" i="20" s="1"/>
  <c r="B2220" i="20"/>
  <c r="B2221" i="20" s="1"/>
  <c r="D2220" i="20"/>
  <c r="D2221" i="20" s="1"/>
  <c r="G2220" i="20"/>
  <c r="G2221" i="20" s="1"/>
  <c r="M2220" i="20"/>
  <c r="M2221" i="20" s="1"/>
  <c r="O2220" i="20"/>
  <c r="O2221" i="20" s="1"/>
  <c r="O2122" i="20"/>
  <c r="O2123" i="20" s="1"/>
  <c r="M2122" i="20"/>
  <c r="M2123" i="20" s="1"/>
  <c r="G2122" i="20"/>
  <c r="G2123" i="20" s="1"/>
  <c r="D2122" i="20"/>
  <c r="D2123" i="20" s="1"/>
  <c r="B2122" i="20"/>
  <c r="B2123" i="20" s="1"/>
  <c r="C2025" i="20"/>
  <c r="F2025" i="20"/>
  <c r="C2027" i="20"/>
  <c r="F2027" i="20"/>
  <c r="C2029" i="20"/>
  <c r="F2029" i="20"/>
  <c r="C2031" i="20"/>
  <c r="F2031" i="20"/>
  <c r="C2033" i="20"/>
  <c r="F2033" i="20"/>
  <c r="C2035" i="20"/>
  <c r="F2035" i="20"/>
  <c r="C2037" i="20"/>
  <c r="F2037" i="20"/>
  <c r="C2039" i="20"/>
  <c r="F2039" i="20"/>
  <c r="C2041" i="20"/>
  <c r="F2041" i="20"/>
  <c r="C2043" i="20"/>
  <c r="F2043" i="20"/>
  <c r="C2045" i="20"/>
  <c r="F2045" i="20"/>
  <c r="C2047" i="20"/>
  <c r="F2047" i="20"/>
  <c r="C2049" i="20"/>
  <c r="F2049" i="20"/>
  <c r="C2051" i="20"/>
  <c r="F2051" i="20"/>
  <c r="C2053" i="20"/>
  <c r="F2053" i="20"/>
  <c r="C2055" i="20"/>
  <c r="F2055" i="20"/>
  <c r="C2057" i="20"/>
  <c r="F2057" i="20"/>
  <c r="C2059" i="20"/>
  <c r="F2059" i="20"/>
  <c r="C2061" i="20"/>
  <c r="F2061" i="20"/>
  <c r="C2063" i="20"/>
  <c r="F2063" i="20"/>
  <c r="C2065" i="20"/>
  <c r="F2065" i="20"/>
  <c r="C2067" i="20"/>
  <c r="F2067" i="20"/>
  <c r="C2069" i="20"/>
  <c r="F2069" i="20"/>
  <c r="C2071" i="20"/>
  <c r="F2071" i="20"/>
  <c r="C2073" i="20"/>
  <c r="F2073" i="20"/>
  <c r="C2075" i="20"/>
  <c r="F2075" i="20"/>
  <c r="C2077" i="20"/>
  <c r="F2077" i="20"/>
  <c r="C2079" i="20"/>
  <c r="F2079" i="20"/>
  <c r="C2081" i="20"/>
  <c r="F2081" i="20"/>
  <c r="C2083" i="20"/>
  <c r="F2083" i="20"/>
  <c r="C2085" i="20"/>
  <c r="F2085" i="20"/>
  <c r="C2087" i="20"/>
  <c r="F2087" i="20"/>
  <c r="C2089" i="20"/>
  <c r="F2089" i="20"/>
  <c r="C2091" i="20"/>
  <c r="F2091" i="20"/>
  <c r="C2093" i="20"/>
  <c r="F2093" i="20"/>
  <c r="C2095" i="20"/>
  <c r="F2095" i="20"/>
  <c r="C2097" i="20"/>
  <c r="F2097" i="20"/>
  <c r="C2099" i="20"/>
  <c r="F2099" i="20"/>
  <c r="C2101" i="20"/>
  <c r="F2101" i="20"/>
  <c r="C2103" i="20"/>
  <c r="F2103" i="20"/>
  <c r="C2105" i="20"/>
  <c r="F2105" i="20"/>
  <c r="C2107" i="20"/>
  <c r="F2107" i="20"/>
  <c r="C2109" i="20"/>
  <c r="F2109" i="20"/>
  <c r="C2111" i="20"/>
  <c r="F2111" i="20"/>
  <c r="C2113" i="20"/>
  <c r="F2113" i="20"/>
  <c r="C2115" i="20"/>
  <c r="F2115" i="20"/>
  <c r="C2117" i="20"/>
  <c r="F2117" i="20"/>
  <c r="C2119" i="20"/>
  <c r="F2119" i="20"/>
  <c r="C2121" i="20"/>
  <c r="F2121" i="20"/>
  <c r="C2023" i="20"/>
  <c r="F2023" i="20"/>
  <c r="B2025" i="20"/>
  <c r="D2025" i="20"/>
  <c r="G2025" i="20"/>
  <c r="M2025" i="20"/>
  <c r="O2025" i="20"/>
  <c r="B2026" i="20"/>
  <c r="B2027" i="20" s="1"/>
  <c r="D2026" i="20"/>
  <c r="D2027" i="20" s="1"/>
  <c r="G2026" i="20"/>
  <c r="G2027" i="20" s="1"/>
  <c r="M2026" i="20"/>
  <c r="M2027" i="20" s="1"/>
  <c r="O2026" i="20"/>
  <c r="O2027" i="20" s="1"/>
  <c r="B2028" i="20"/>
  <c r="B2029" i="20" s="1"/>
  <c r="D2028" i="20"/>
  <c r="D2029" i="20" s="1"/>
  <c r="G2028" i="20"/>
  <c r="G2029" i="20" s="1"/>
  <c r="M2028" i="20"/>
  <c r="M2029" i="20" s="1"/>
  <c r="O2028" i="20"/>
  <c r="O2029" i="20" s="1"/>
  <c r="B2030" i="20"/>
  <c r="B2031" i="20" s="1"/>
  <c r="D2030" i="20"/>
  <c r="D2031" i="20" s="1"/>
  <c r="G2030" i="20"/>
  <c r="G2031" i="20" s="1"/>
  <c r="M2030" i="20"/>
  <c r="M2031" i="20" s="1"/>
  <c r="O2030" i="20"/>
  <c r="O2031" i="20" s="1"/>
  <c r="B2032" i="20"/>
  <c r="B2033" i="20" s="1"/>
  <c r="D2032" i="20"/>
  <c r="D2033" i="20" s="1"/>
  <c r="G2032" i="20"/>
  <c r="G2033" i="20" s="1"/>
  <c r="M2032" i="20"/>
  <c r="M2033" i="20" s="1"/>
  <c r="O2032" i="20"/>
  <c r="O2033" i="20" s="1"/>
  <c r="B2034" i="20"/>
  <c r="B2035" i="20" s="1"/>
  <c r="D2034" i="20"/>
  <c r="D2035" i="20" s="1"/>
  <c r="G2034" i="20"/>
  <c r="G2035" i="20" s="1"/>
  <c r="M2034" i="20"/>
  <c r="M2035" i="20" s="1"/>
  <c r="O2034" i="20"/>
  <c r="O2035" i="20" s="1"/>
  <c r="B2036" i="20"/>
  <c r="B2037" i="20" s="1"/>
  <c r="D2036" i="20"/>
  <c r="D2037" i="20" s="1"/>
  <c r="G2036" i="20"/>
  <c r="G2037" i="20" s="1"/>
  <c r="M2036" i="20"/>
  <c r="M2037" i="20" s="1"/>
  <c r="O2036" i="20"/>
  <c r="O2037" i="20" s="1"/>
  <c r="B2038" i="20"/>
  <c r="B2039" i="20" s="1"/>
  <c r="D2038" i="20"/>
  <c r="D2039" i="20" s="1"/>
  <c r="G2038" i="20"/>
  <c r="G2039" i="20" s="1"/>
  <c r="M2038" i="20"/>
  <c r="M2039" i="20" s="1"/>
  <c r="O2038" i="20"/>
  <c r="O2039" i="20" s="1"/>
  <c r="B2040" i="20"/>
  <c r="B2041" i="20" s="1"/>
  <c r="D2040" i="20"/>
  <c r="D2041" i="20" s="1"/>
  <c r="G2040" i="20"/>
  <c r="G2041" i="20" s="1"/>
  <c r="M2040" i="20"/>
  <c r="M2041" i="20" s="1"/>
  <c r="O2040" i="20"/>
  <c r="O2041" i="20" s="1"/>
  <c r="B2042" i="20"/>
  <c r="B2043" i="20" s="1"/>
  <c r="D2042" i="20"/>
  <c r="D2043" i="20" s="1"/>
  <c r="G2042" i="20"/>
  <c r="G2043" i="20" s="1"/>
  <c r="M2042" i="20"/>
  <c r="M2043" i="20" s="1"/>
  <c r="O2042" i="20"/>
  <c r="O2043" i="20" s="1"/>
  <c r="B2044" i="20"/>
  <c r="B2045" i="20" s="1"/>
  <c r="D2044" i="20"/>
  <c r="D2045" i="20" s="1"/>
  <c r="G2044" i="20"/>
  <c r="G2045" i="20" s="1"/>
  <c r="M2044" i="20"/>
  <c r="M2045" i="20" s="1"/>
  <c r="O2044" i="20"/>
  <c r="O2045" i="20" s="1"/>
  <c r="B2046" i="20"/>
  <c r="B2047" i="20" s="1"/>
  <c r="D2046" i="20"/>
  <c r="D2047" i="20" s="1"/>
  <c r="G2046" i="20"/>
  <c r="G2047" i="20" s="1"/>
  <c r="M2046" i="20"/>
  <c r="M2047" i="20" s="1"/>
  <c r="O2046" i="20"/>
  <c r="O2047" i="20" s="1"/>
  <c r="B2048" i="20"/>
  <c r="B2049" i="20" s="1"/>
  <c r="D2048" i="20"/>
  <c r="D2049" i="20" s="1"/>
  <c r="G2048" i="20"/>
  <c r="G2049" i="20" s="1"/>
  <c r="M2048" i="20"/>
  <c r="M2049" i="20" s="1"/>
  <c r="O2048" i="20"/>
  <c r="O2049" i="20" s="1"/>
  <c r="B2050" i="20"/>
  <c r="B2051" i="20" s="1"/>
  <c r="D2050" i="20"/>
  <c r="D2051" i="20" s="1"/>
  <c r="G2050" i="20"/>
  <c r="G2051" i="20" s="1"/>
  <c r="M2050" i="20"/>
  <c r="M2051" i="20" s="1"/>
  <c r="O2050" i="20"/>
  <c r="O2051" i="20" s="1"/>
  <c r="B2052" i="20"/>
  <c r="B2053" i="20" s="1"/>
  <c r="D2052" i="20"/>
  <c r="D2053" i="20" s="1"/>
  <c r="G2052" i="20"/>
  <c r="G2053" i="20" s="1"/>
  <c r="M2052" i="20"/>
  <c r="M2053" i="20" s="1"/>
  <c r="O2052" i="20"/>
  <c r="O2053" i="20" s="1"/>
  <c r="B2054" i="20"/>
  <c r="B2055" i="20" s="1"/>
  <c r="D2054" i="20"/>
  <c r="D2055" i="20" s="1"/>
  <c r="G2054" i="20"/>
  <c r="G2055" i="20" s="1"/>
  <c r="M2054" i="20"/>
  <c r="M2055" i="20" s="1"/>
  <c r="O2054" i="20"/>
  <c r="O2055" i="20" s="1"/>
  <c r="B2056" i="20"/>
  <c r="B2057" i="20" s="1"/>
  <c r="D2056" i="20"/>
  <c r="D2057" i="20" s="1"/>
  <c r="G2056" i="20"/>
  <c r="G2057" i="20" s="1"/>
  <c r="M2056" i="20"/>
  <c r="M2057" i="20" s="1"/>
  <c r="O2056" i="20"/>
  <c r="O2057" i="20" s="1"/>
  <c r="B2058" i="20"/>
  <c r="B2059" i="20" s="1"/>
  <c r="D2058" i="20"/>
  <c r="D2059" i="20" s="1"/>
  <c r="G2058" i="20"/>
  <c r="G2059" i="20" s="1"/>
  <c r="M2058" i="20"/>
  <c r="M2059" i="20" s="1"/>
  <c r="O2058" i="20"/>
  <c r="O2059" i="20" s="1"/>
  <c r="B2060" i="20"/>
  <c r="B2061" i="20" s="1"/>
  <c r="D2060" i="20"/>
  <c r="D2061" i="20" s="1"/>
  <c r="G2060" i="20"/>
  <c r="G2061" i="20" s="1"/>
  <c r="M2060" i="20"/>
  <c r="M2061" i="20" s="1"/>
  <c r="O2060" i="20"/>
  <c r="O2061" i="20" s="1"/>
  <c r="B2062" i="20"/>
  <c r="B2063" i="20" s="1"/>
  <c r="D2062" i="20"/>
  <c r="D2063" i="20" s="1"/>
  <c r="G2062" i="20"/>
  <c r="G2063" i="20" s="1"/>
  <c r="M2062" i="20"/>
  <c r="M2063" i="20" s="1"/>
  <c r="O2062" i="20"/>
  <c r="O2063" i="20" s="1"/>
  <c r="B2064" i="20"/>
  <c r="B2065" i="20" s="1"/>
  <c r="D2064" i="20"/>
  <c r="D2065" i="20" s="1"/>
  <c r="G2064" i="20"/>
  <c r="G2065" i="20" s="1"/>
  <c r="M2064" i="20"/>
  <c r="M2065" i="20" s="1"/>
  <c r="O2064" i="20"/>
  <c r="O2065" i="20" s="1"/>
  <c r="B2066" i="20"/>
  <c r="B2067" i="20" s="1"/>
  <c r="D2066" i="20"/>
  <c r="D2067" i="20" s="1"/>
  <c r="G2066" i="20"/>
  <c r="G2067" i="20" s="1"/>
  <c r="M2066" i="20"/>
  <c r="M2067" i="20" s="1"/>
  <c r="O2066" i="20"/>
  <c r="O2067" i="20" s="1"/>
  <c r="B2068" i="20"/>
  <c r="B2069" i="20" s="1"/>
  <c r="D2068" i="20"/>
  <c r="D2069" i="20" s="1"/>
  <c r="G2068" i="20"/>
  <c r="G2069" i="20" s="1"/>
  <c r="M2068" i="20"/>
  <c r="M2069" i="20" s="1"/>
  <c r="O2068" i="20"/>
  <c r="O2069" i="20" s="1"/>
  <c r="B2070" i="20"/>
  <c r="B2071" i="20" s="1"/>
  <c r="D2070" i="20"/>
  <c r="D2071" i="20" s="1"/>
  <c r="G2070" i="20"/>
  <c r="G2071" i="20" s="1"/>
  <c r="M2070" i="20"/>
  <c r="M2071" i="20" s="1"/>
  <c r="O2070" i="20"/>
  <c r="O2071" i="20" s="1"/>
  <c r="B2072" i="20"/>
  <c r="B2073" i="20" s="1"/>
  <c r="D2072" i="20"/>
  <c r="D2073" i="20" s="1"/>
  <c r="G2072" i="20"/>
  <c r="G2073" i="20" s="1"/>
  <c r="M2072" i="20"/>
  <c r="M2073" i="20" s="1"/>
  <c r="O2072" i="20"/>
  <c r="O2073" i="20" s="1"/>
  <c r="B2074" i="20"/>
  <c r="B2075" i="20" s="1"/>
  <c r="D2074" i="20"/>
  <c r="D2075" i="20" s="1"/>
  <c r="G2074" i="20"/>
  <c r="G2075" i="20" s="1"/>
  <c r="M2074" i="20"/>
  <c r="M2075" i="20" s="1"/>
  <c r="O2074" i="20"/>
  <c r="O2075" i="20" s="1"/>
  <c r="B2076" i="20"/>
  <c r="B2077" i="20" s="1"/>
  <c r="D2076" i="20"/>
  <c r="D2077" i="20" s="1"/>
  <c r="G2076" i="20"/>
  <c r="G2077" i="20" s="1"/>
  <c r="M2076" i="20"/>
  <c r="M2077" i="20" s="1"/>
  <c r="O2076" i="20"/>
  <c r="O2077" i="20" s="1"/>
  <c r="B2078" i="20"/>
  <c r="B2079" i="20" s="1"/>
  <c r="D2078" i="20"/>
  <c r="D2079" i="20" s="1"/>
  <c r="G2078" i="20"/>
  <c r="G2079" i="20" s="1"/>
  <c r="M2078" i="20"/>
  <c r="M2079" i="20" s="1"/>
  <c r="O2078" i="20"/>
  <c r="O2079" i="20" s="1"/>
  <c r="B2080" i="20"/>
  <c r="B2081" i="20" s="1"/>
  <c r="D2080" i="20"/>
  <c r="D2081" i="20" s="1"/>
  <c r="G2080" i="20"/>
  <c r="G2081" i="20" s="1"/>
  <c r="M2080" i="20"/>
  <c r="M2081" i="20" s="1"/>
  <c r="O2080" i="20"/>
  <c r="O2081" i="20" s="1"/>
  <c r="B2082" i="20"/>
  <c r="B2083" i="20" s="1"/>
  <c r="D2082" i="20"/>
  <c r="D2083" i="20" s="1"/>
  <c r="G2082" i="20"/>
  <c r="G2083" i="20" s="1"/>
  <c r="M2082" i="20"/>
  <c r="M2083" i="20" s="1"/>
  <c r="O2082" i="20"/>
  <c r="O2083" i="20" s="1"/>
  <c r="B2084" i="20"/>
  <c r="B2085" i="20" s="1"/>
  <c r="D2084" i="20"/>
  <c r="D2085" i="20" s="1"/>
  <c r="G2084" i="20"/>
  <c r="G2085" i="20" s="1"/>
  <c r="M2084" i="20"/>
  <c r="M2085" i="20" s="1"/>
  <c r="O2084" i="20"/>
  <c r="O2085" i="20" s="1"/>
  <c r="B2086" i="20"/>
  <c r="B2087" i="20" s="1"/>
  <c r="D2086" i="20"/>
  <c r="D2087" i="20" s="1"/>
  <c r="G2086" i="20"/>
  <c r="G2087" i="20" s="1"/>
  <c r="M2086" i="20"/>
  <c r="M2087" i="20" s="1"/>
  <c r="O2086" i="20"/>
  <c r="O2087" i="20" s="1"/>
  <c r="B2088" i="20"/>
  <c r="B2089" i="20" s="1"/>
  <c r="D2088" i="20"/>
  <c r="D2089" i="20" s="1"/>
  <c r="G2088" i="20"/>
  <c r="G2089" i="20" s="1"/>
  <c r="M2088" i="20"/>
  <c r="M2089" i="20" s="1"/>
  <c r="O2088" i="20"/>
  <c r="O2089" i="20" s="1"/>
  <c r="B2090" i="20"/>
  <c r="B2091" i="20" s="1"/>
  <c r="D2090" i="20"/>
  <c r="D2091" i="20" s="1"/>
  <c r="G2090" i="20"/>
  <c r="G2091" i="20" s="1"/>
  <c r="M2090" i="20"/>
  <c r="M2091" i="20" s="1"/>
  <c r="O2090" i="20"/>
  <c r="O2091" i="20" s="1"/>
  <c r="B2092" i="20"/>
  <c r="B2093" i="20" s="1"/>
  <c r="D2092" i="20"/>
  <c r="D2093" i="20" s="1"/>
  <c r="G2092" i="20"/>
  <c r="G2093" i="20" s="1"/>
  <c r="M2092" i="20"/>
  <c r="M2093" i="20" s="1"/>
  <c r="O2092" i="20"/>
  <c r="O2093" i="20" s="1"/>
  <c r="B2094" i="20"/>
  <c r="B2095" i="20" s="1"/>
  <c r="D2094" i="20"/>
  <c r="D2095" i="20" s="1"/>
  <c r="G2094" i="20"/>
  <c r="G2095" i="20" s="1"/>
  <c r="M2094" i="20"/>
  <c r="M2095" i="20" s="1"/>
  <c r="O2094" i="20"/>
  <c r="O2095" i="20" s="1"/>
  <c r="B2096" i="20"/>
  <c r="B2097" i="20" s="1"/>
  <c r="D2096" i="20"/>
  <c r="D2097" i="20" s="1"/>
  <c r="G2096" i="20"/>
  <c r="G2097" i="20" s="1"/>
  <c r="M2096" i="20"/>
  <c r="M2097" i="20" s="1"/>
  <c r="O2096" i="20"/>
  <c r="O2097" i="20" s="1"/>
  <c r="B2098" i="20"/>
  <c r="B2099" i="20" s="1"/>
  <c r="D2098" i="20"/>
  <c r="D2099" i="20" s="1"/>
  <c r="G2098" i="20"/>
  <c r="G2099" i="20" s="1"/>
  <c r="M2098" i="20"/>
  <c r="M2099" i="20" s="1"/>
  <c r="O2098" i="20"/>
  <c r="O2099" i="20" s="1"/>
  <c r="B2100" i="20"/>
  <c r="B2101" i="20" s="1"/>
  <c r="D2100" i="20"/>
  <c r="D2101" i="20" s="1"/>
  <c r="G2100" i="20"/>
  <c r="G2101" i="20" s="1"/>
  <c r="M2100" i="20"/>
  <c r="M2101" i="20" s="1"/>
  <c r="O2100" i="20"/>
  <c r="O2101" i="20" s="1"/>
  <c r="B2102" i="20"/>
  <c r="B2103" i="20" s="1"/>
  <c r="D2102" i="20"/>
  <c r="D2103" i="20" s="1"/>
  <c r="G2102" i="20"/>
  <c r="G2103" i="20" s="1"/>
  <c r="M2102" i="20"/>
  <c r="M2103" i="20" s="1"/>
  <c r="O2102" i="20"/>
  <c r="O2103" i="20" s="1"/>
  <c r="B2104" i="20"/>
  <c r="B2105" i="20" s="1"/>
  <c r="D2104" i="20"/>
  <c r="D2105" i="20" s="1"/>
  <c r="G2104" i="20"/>
  <c r="G2105" i="20" s="1"/>
  <c r="M2104" i="20"/>
  <c r="M2105" i="20" s="1"/>
  <c r="O2104" i="20"/>
  <c r="O2105" i="20" s="1"/>
  <c r="B2106" i="20"/>
  <c r="B2107" i="20" s="1"/>
  <c r="D2106" i="20"/>
  <c r="D2107" i="20" s="1"/>
  <c r="G2106" i="20"/>
  <c r="G2107" i="20" s="1"/>
  <c r="M2106" i="20"/>
  <c r="M2107" i="20" s="1"/>
  <c r="O2106" i="20"/>
  <c r="O2107" i="20" s="1"/>
  <c r="B2108" i="20"/>
  <c r="B2109" i="20" s="1"/>
  <c r="D2108" i="20"/>
  <c r="D2109" i="20" s="1"/>
  <c r="G2108" i="20"/>
  <c r="G2109" i="20" s="1"/>
  <c r="M2108" i="20"/>
  <c r="M2109" i="20" s="1"/>
  <c r="O2108" i="20"/>
  <c r="O2109" i="20" s="1"/>
  <c r="B2110" i="20"/>
  <c r="B2111" i="20" s="1"/>
  <c r="D2110" i="20"/>
  <c r="D2111" i="20" s="1"/>
  <c r="G2110" i="20"/>
  <c r="G2111" i="20" s="1"/>
  <c r="M2110" i="20"/>
  <c r="M2111" i="20" s="1"/>
  <c r="O2110" i="20"/>
  <c r="O2111" i="20" s="1"/>
  <c r="B2112" i="20"/>
  <c r="B2113" i="20" s="1"/>
  <c r="D2112" i="20"/>
  <c r="D2113" i="20" s="1"/>
  <c r="G2112" i="20"/>
  <c r="G2113" i="20" s="1"/>
  <c r="M2112" i="20"/>
  <c r="M2113" i="20" s="1"/>
  <c r="O2112" i="20"/>
  <c r="O2113" i="20" s="1"/>
  <c r="B2114" i="20"/>
  <c r="B2115" i="20" s="1"/>
  <c r="D2114" i="20"/>
  <c r="D2115" i="20" s="1"/>
  <c r="G2114" i="20"/>
  <c r="G2115" i="20" s="1"/>
  <c r="M2114" i="20"/>
  <c r="M2115" i="20" s="1"/>
  <c r="O2114" i="20"/>
  <c r="O2115" i="20" s="1"/>
  <c r="B2116" i="20"/>
  <c r="B2117" i="20" s="1"/>
  <c r="D2116" i="20"/>
  <c r="D2117" i="20" s="1"/>
  <c r="G2116" i="20"/>
  <c r="G2117" i="20" s="1"/>
  <c r="M2116" i="20"/>
  <c r="M2117" i="20" s="1"/>
  <c r="O2116" i="20"/>
  <c r="O2117" i="20" s="1"/>
  <c r="B2118" i="20"/>
  <c r="B2119" i="20" s="1"/>
  <c r="D2118" i="20"/>
  <c r="D2119" i="20" s="1"/>
  <c r="G2118" i="20"/>
  <c r="G2119" i="20" s="1"/>
  <c r="M2118" i="20"/>
  <c r="M2119" i="20" s="1"/>
  <c r="O2118" i="20"/>
  <c r="O2119" i="20" s="1"/>
  <c r="B2120" i="20"/>
  <c r="B2121" i="20" s="1"/>
  <c r="D2120" i="20"/>
  <c r="D2121" i="20" s="1"/>
  <c r="G2120" i="20"/>
  <c r="G2121" i="20" s="1"/>
  <c r="M2120" i="20"/>
  <c r="M2121" i="20" s="1"/>
  <c r="O2120" i="20"/>
  <c r="O2121" i="20" s="1"/>
  <c r="O2023" i="20"/>
  <c r="M2023" i="20"/>
  <c r="G2023" i="20"/>
  <c r="D2023" i="20"/>
  <c r="B2023" i="20"/>
  <c r="C1925" i="20"/>
  <c r="F1925" i="20"/>
  <c r="C1927" i="20"/>
  <c r="F1927" i="20"/>
  <c r="C1929" i="20"/>
  <c r="F1929" i="20"/>
  <c r="C1931" i="20"/>
  <c r="F1931" i="20"/>
  <c r="C1933" i="20"/>
  <c r="F1933" i="20"/>
  <c r="C1935" i="20"/>
  <c r="F1935" i="20"/>
  <c r="C1937" i="20"/>
  <c r="F1937" i="20"/>
  <c r="C1939" i="20"/>
  <c r="F1939" i="20"/>
  <c r="C1941" i="20"/>
  <c r="F1941" i="20"/>
  <c r="C1943" i="20"/>
  <c r="F1943" i="20"/>
  <c r="C1945" i="20"/>
  <c r="F1945" i="20"/>
  <c r="C1947" i="20"/>
  <c r="F1947" i="20"/>
  <c r="C1949" i="20"/>
  <c r="F1949" i="20"/>
  <c r="C1951" i="20"/>
  <c r="F1951" i="20"/>
  <c r="C1953" i="20"/>
  <c r="F1953" i="20"/>
  <c r="C1955" i="20"/>
  <c r="F1955" i="20"/>
  <c r="C1957" i="20"/>
  <c r="F1957" i="20"/>
  <c r="C1959" i="20"/>
  <c r="F1959" i="20"/>
  <c r="C1961" i="20"/>
  <c r="F1961" i="20"/>
  <c r="C1963" i="20"/>
  <c r="F1963" i="20"/>
  <c r="C1965" i="20"/>
  <c r="F1965" i="20"/>
  <c r="C1967" i="20"/>
  <c r="F1967" i="20"/>
  <c r="C1969" i="20"/>
  <c r="F1969" i="20"/>
  <c r="C1971" i="20"/>
  <c r="F1971" i="20"/>
  <c r="C1973" i="20"/>
  <c r="F1973" i="20"/>
  <c r="C1975" i="20"/>
  <c r="F1975" i="20"/>
  <c r="C1977" i="20"/>
  <c r="F1977" i="20"/>
  <c r="C1979" i="20"/>
  <c r="F1979" i="20"/>
  <c r="C1981" i="20"/>
  <c r="F1981" i="20"/>
  <c r="C1983" i="20"/>
  <c r="F1983" i="20"/>
  <c r="C1985" i="20"/>
  <c r="F1985" i="20"/>
  <c r="C1987" i="20"/>
  <c r="F1987" i="20"/>
  <c r="C1989" i="20"/>
  <c r="F1989" i="20"/>
  <c r="C1991" i="20"/>
  <c r="F1991" i="20"/>
  <c r="C1993" i="20"/>
  <c r="F1993" i="20"/>
  <c r="C1995" i="20"/>
  <c r="F1995" i="20"/>
  <c r="C1997" i="20"/>
  <c r="F1997" i="20"/>
  <c r="C1999" i="20"/>
  <c r="F1999" i="20"/>
  <c r="C2001" i="20"/>
  <c r="F2001" i="20"/>
  <c r="C2003" i="20"/>
  <c r="F2003" i="20"/>
  <c r="C2005" i="20"/>
  <c r="F2005" i="20"/>
  <c r="C2007" i="20"/>
  <c r="F2007" i="20"/>
  <c r="C2009" i="20"/>
  <c r="F2009" i="20"/>
  <c r="C2011" i="20"/>
  <c r="F2011" i="20"/>
  <c r="C2013" i="20"/>
  <c r="F2013" i="20"/>
  <c r="C2015" i="20"/>
  <c r="F2015" i="20"/>
  <c r="C2017" i="20"/>
  <c r="F2017" i="20"/>
  <c r="C2019" i="20"/>
  <c r="F2019" i="20"/>
  <c r="C2021" i="20"/>
  <c r="F2021" i="20"/>
  <c r="F1923" i="20"/>
  <c r="C1923" i="20"/>
  <c r="B1924" i="20"/>
  <c r="B1925" i="20" s="1"/>
  <c r="D1924" i="20"/>
  <c r="D1925" i="20" s="1"/>
  <c r="G1924" i="20"/>
  <c r="G1925" i="20" s="1"/>
  <c r="M1924" i="20"/>
  <c r="M1925" i="20" s="1"/>
  <c r="O1924" i="20"/>
  <c r="O1925" i="20" s="1"/>
  <c r="B1926" i="20"/>
  <c r="B1927" i="20" s="1"/>
  <c r="D1926" i="20"/>
  <c r="D1927" i="20" s="1"/>
  <c r="G1926" i="20"/>
  <c r="G1927" i="20" s="1"/>
  <c r="M1926" i="20"/>
  <c r="M1927" i="20" s="1"/>
  <c r="O1926" i="20"/>
  <c r="O1927" i="20" s="1"/>
  <c r="B1928" i="20"/>
  <c r="B1929" i="20" s="1"/>
  <c r="D1928" i="20"/>
  <c r="D1929" i="20" s="1"/>
  <c r="G1928" i="20"/>
  <c r="G1929" i="20" s="1"/>
  <c r="M1928" i="20"/>
  <c r="M1929" i="20" s="1"/>
  <c r="O1928" i="20"/>
  <c r="O1929" i="20" s="1"/>
  <c r="B1930" i="20"/>
  <c r="B1931" i="20" s="1"/>
  <c r="D1930" i="20"/>
  <c r="D1931" i="20" s="1"/>
  <c r="G1930" i="20"/>
  <c r="G1931" i="20" s="1"/>
  <c r="M1930" i="20"/>
  <c r="M1931" i="20" s="1"/>
  <c r="O1930" i="20"/>
  <c r="O1931" i="20" s="1"/>
  <c r="B1932" i="20"/>
  <c r="B1933" i="20" s="1"/>
  <c r="D1932" i="20"/>
  <c r="D1933" i="20" s="1"/>
  <c r="G1932" i="20"/>
  <c r="G1933" i="20" s="1"/>
  <c r="M1932" i="20"/>
  <c r="M1933" i="20" s="1"/>
  <c r="O1932" i="20"/>
  <c r="O1933" i="20" s="1"/>
  <c r="B1934" i="20"/>
  <c r="B1935" i="20" s="1"/>
  <c r="D1934" i="20"/>
  <c r="D1935" i="20" s="1"/>
  <c r="G1934" i="20"/>
  <c r="G1935" i="20" s="1"/>
  <c r="M1934" i="20"/>
  <c r="M1935" i="20" s="1"/>
  <c r="O1934" i="20"/>
  <c r="O1935" i="20" s="1"/>
  <c r="B1936" i="20"/>
  <c r="B1937" i="20" s="1"/>
  <c r="D1936" i="20"/>
  <c r="D1937" i="20" s="1"/>
  <c r="G1936" i="20"/>
  <c r="G1937" i="20" s="1"/>
  <c r="M1936" i="20"/>
  <c r="M1937" i="20" s="1"/>
  <c r="O1936" i="20"/>
  <c r="O1937" i="20" s="1"/>
  <c r="B1938" i="20"/>
  <c r="B1939" i="20" s="1"/>
  <c r="D1938" i="20"/>
  <c r="D1939" i="20" s="1"/>
  <c r="G1938" i="20"/>
  <c r="G1939" i="20" s="1"/>
  <c r="M1938" i="20"/>
  <c r="M1939" i="20" s="1"/>
  <c r="O1938" i="20"/>
  <c r="O1939" i="20" s="1"/>
  <c r="B1940" i="20"/>
  <c r="B1941" i="20" s="1"/>
  <c r="D1940" i="20"/>
  <c r="D1941" i="20" s="1"/>
  <c r="G1940" i="20"/>
  <c r="G1941" i="20" s="1"/>
  <c r="M1940" i="20"/>
  <c r="M1941" i="20" s="1"/>
  <c r="O1940" i="20"/>
  <c r="O1941" i="20" s="1"/>
  <c r="B1942" i="20"/>
  <c r="B1943" i="20" s="1"/>
  <c r="D1942" i="20"/>
  <c r="D1943" i="20" s="1"/>
  <c r="G1942" i="20"/>
  <c r="G1943" i="20" s="1"/>
  <c r="M1942" i="20"/>
  <c r="M1943" i="20" s="1"/>
  <c r="O1942" i="20"/>
  <c r="O1943" i="20" s="1"/>
  <c r="B1944" i="20"/>
  <c r="B1945" i="20" s="1"/>
  <c r="D1944" i="20"/>
  <c r="D1945" i="20" s="1"/>
  <c r="G1944" i="20"/>
  <c r="G1945" i="20" s="1"/>
  <c r="M1944" i="20"/>
  <c r="M1945" i="20" s="1"/>
  <c r="O1944" i="20"/>
  <c r="O1945" i="20" s="1"/>
  <c r="B1946" i="20"/>
  <c r="B1947" i="20" s="1"/>
  <c r="D1946" i="20"/>
  <c r="D1947" i="20" s="1"/>
  <c r="G1946" i="20"/>
  <c r="G1947" i="20" s="1"/>
  <c r="M1946" i="20"/>
  <c r="M1947" i="20" s="1"/>
  <c r="O1946" i="20"/>
  <c r="O1947" i="20" s="1"/>
  <c r="B1948" i="20"/>
  <c r="B1949" i="20" s="1"/>
  <c r="D1948" i="20"/>
  <c r="D1949" i="20" s="1"/>
  <c r="G1948" i="20"/>
  <c r="G1949" i="20" s="1"/>
  <c r="M1948" i="20"/>
  <c r="M1949" i="20" s="1"/>
  <c r="O1948" i="20"/>
  <c r="O1949" i="20" s="1"/>
  <c r="B1950" i="20"/>
  <c r="B1951" i="20" s="1"/>
  <c r="D1950" i="20"/>
  <c r="D1951" i="20" s="1"/>
  <c r="G1950" i="20"/>
  <c r="G1951" i="20" s="1"/>
  <c r="M1950" i="20"/>
  <c r="M1951" i="20" s="1"/>
  <c r="O1950" i="20"/>
  <c r="O1951" i="20" s="1"/>
  <c r="B1952" i="20"/>
  <c r="B1953" i="20" s="1"/>
  <c r="D1952" i="20"/>
  <c r="D1953" i="20" s="1"/>
  <c r="G1952" i="20"/>
  <c r="G1953" i="20" s="1"/>
  <c r="M1952" i="20"/>
  <c r="M1953" i="20" s="1"/>
  <c r="O1952" i="20"/>
  <c r="O1953" i="20" s="1"/>
  <c r="B1954" i="20"/>
  <c r="B1955" i="20" s="1"/>
  <c r="D1954" i="20"/>
  <c r="D1955" i="20" s="1"/>
  <c r="G1954" i="20"/>
  <c r="G1955" i="20" s="1"/>
  <c r="M1954" i="20"/>
  <c r="M1955" i="20" s="1"/>
  <c r="O1954" i="20"/>
  <c r="O1955" i="20" s="1"/>
  <c r="B1956" i="20"/>
  <c r="B1957" i="20" s="1"/>
  <c r="D1956" i="20"/>
  <c r="D1957" i="20" s="1"/>
  <c r="G1956" i="20"/>
  <c r="G1957" i="20" s="1"/>
  <c r="M1956" i="20"/>
  <c r="M1957" i="20" s="1"/>
  <c r="O1956" i="20"/>
  <c r="O1957" i="20" s="1"/>
  <c r="B1958" i="20"/>
  <c r="B1959" i="20" s="1"/>
  <c r="D1958" i="20"/>
  <c r="D1959" i="20" s="1"/>
  <c r="G1958" i="20"/>
  <c r="G1959" i="20" s="1"/>
  <c r="M1958" i="20"/>
  <c r="M1959" i="20" s="1"/>
  <c r="O1958" i="20"/>
  <c r="O1959" i="20" s="1"/>
  <c r="B1960" i="20"/>
  <c r="B1961" i="20" s="1"/>
  <c r="D1960" i="20"/>
  <c r="D1961" i="20" s="1"/>
  <c r="G1960" i="20"/>
  <c r="G1961" i="20" s="1"/>
  <c r="M1960" i="20"/>
  <c r="M1961" i="20" s="1"/>
  <c r="O1960" i="20"/>
  <c r="O1961" i="20" s="1"/>
  <c r="B1962" i="20"/>
  <c r="B1963" i="20" s="1"/>
  <c r="D1962" i="20"/>
  <c r="D1963" i="20" s="1"/>
  <c r="G1962" i="20"/>
  <c r="G1963" i="20" s="1"/>
  <c r="M1962" i="20"/>
  <c r="M1963" i="20" s="1"/>
  <c r="O1962" i="20"/>
  <c r="O1963" i="20" s="1"/>
  <c r="B1964" i="20"/>
  <c r="B1965" i="20" s="1"/>
  <c r="D1964" i="20"/>
  <c r="D1965" i="20" s="1"/>
  <c r="G1964" i="20"/>
  <c r="G1965" i="20" s="1"/>
  <c r="M1964" i="20"/>
  <c r="M1965" i="20" s="1"/>
  <c r="O1964" i="20"/>
  <c r="O1965" i="20" s="1"/>
  <c r="B1966" i="20"/>
  <c r="B1967" i="20" s="1"/>
  <c r="D1966" i="20"/>
  <c r="D1967" i="20" s="1"/>
  <c r="G1966" i="20"/>
  <c r="G1967" i="20" s="1"/>
  <c r="M1966" i="20"/>
  <c r="M1967" i="20" s="1"/>
  <c r="O1966" i="20"/>
  <c r="O1967" i="20" s="1"/>
  <c r="B1968" i="20"/>
  <c r="B1969" i="20" s="1"/>
  <c r="D1968" i="20"/>
  <c r="D1969" i="20" s="1"/>
  <c r="G1968" i="20"/>
  <c r="G1969" i="20" s="1"/>
  <c r="M1968" i="20"/>
  <c r="M1969" i="20" s="1"/>
  <c r="O1968" i="20"/>
  <c r="O1969" i="20" s="1"/>
  <c r="B1970" i="20"/>
  <c r="B1971" i="20" s="1"/>
  <c r="D1970" i="20"/>
  <c r="D1971" i="20" s="1"/>
  <c r="G1970" i="20"/>
  <c r="G1971" i="20" s="1"/>
  <c r="M1970" i="20"/>
  <c r="M1971" i="20" s="1"/>
  <c r="O1970" i="20"/>
  <c r="O1971" i="20" s="1"/>
  <c r="B1972" i="20"/>
  <c r="B1973" i="20" s="1"/>
  <c r="D1972" i="20"/>
  <c r="D1973" i="20" s="1"/>
  <c r="G1972" i="20"/>
  <c r="G1973" i="20" s="1"/>
  <c r="M1972" i="20"/>
  <c r="M1973" i="20" s="1"/>
  <c r="O1972" i="20"/>
  <c r="O1973" i="20" s="1"/>
  <c r="B1974" i="20"/>
  <c r="B1975" i="20" s="1"/>
  <c r="D1974" i="20"/>
  <c r="D1975" i="20" s="1"/>
  <c r="G1974" i="20"/>
  <c r="G1975" i="20" s="1"/>
  <c r="M1974" i="20"/>
  <c r="M1975" i="20" s="1"/>
  <c r="O1974" i="20"/>
  <c r="O1975" i="20" s="1"/>
  <c r="B1976" i="20"/>
  <c r="B1977" i="20" s="1"/>
  <c r="D1976" i="20"/>
  <c r="D1977" i="20" s="1"/>
  <c r="G1976" i="20"/>
  <c r="G1977" i="20" s="1"/>
  <c r="M1976" i="20"/>
  <c r="M1977" i="20" s="1"/>
  <c r="O1976" i="20"/>
  <c r="O1977" i="20" s="1"/>
  <c r="B1978" i="20"/>
  <c r="B1979" i="20" s="1"/>
  <c r="D1978" i="20"/>
  <c r="D1979" i="20" s="1"/>
  <c r="G1978" i="20"/>
  <c r="G1979" i="20" s="1"/>
  <c r="M1978" i="20"/>
  <c r="M1979" i="20" s="1"/>
  <c r="O1978" i="20"/>
  <c r="O1979" i="20" s="1"/>
  <c r="B1980" i="20"/>
  <c r="B1981" i="20" s="1"/>
  <c r="D1980" i="20"/>
  <c r="D1981" i="20" s="1"/>
  <c r="G1980" i="20"/>
  <c r="G1981" i="20" s="1"/>
  <c r="M1980" i="20"/>
  <c r="M1981" i="20" s="1"/>
  <c r="O1980" i="20"/>
  <c r="O1981" i="20" s="1"/>
  <c r="B1982" i="20"/>
  <c r="B1983" i="20" s="1"/>
  <c r="D1982" i="20"/>
  <c r="D1983" i="20" s="1"/>
  <c r="G1982" i="20"/>
  <c r="G1983" i="20" s="1"/>
  <c r="M1982" i="20"/>
  <c r="M1983" i="20" s="1"/>
  <c r="O1982" i="20"/>
  <c r="O1983" i="20" s="1"/>
  <c r="B1984" i="20"/>
  <c r="B1985" i="20" s="1"/>
  <c r="D1984" i="20"/>
  <c r="D1985" i="20" s="1"/>
  <c r="G1984" i="20"/>
  <c r="G1985" i="20" s="1"/>
  <c r="M1984" i="20"/>
  <c r="M1985" i="20" s="1"/>
  <c r="O1984" i="20"/>
  <c r="O1985" i="20" s="1"/>
  <c r="B1986" i="20"/>
  <c r="B1987" i="20" s="1"/>
  <c r="D1986" i="20"/>
  <c r="D1987" i="20" s="1"/>
  <c r="G1986" i="20"/>
  <c r="G1987" i="20" s="1"/>
  <c r="M1986" i="20"/>
  <c r="M1987" i="20" s="1"/>
  <c r="O1986" i="20"/>
  <c r="O1987" i="20" s="1"/>
  <c r="B1988" i="20"/>
  <c r="B1989" i="20" s="1"/>
  <c r="D1988" i="20"/>
  <c r="D1989" i="20" s="1"/>
  <c r="G1988" i="20"/>
  <c r="G1989" i="20" s="1"/>
  <c r="M1988" i="20"/>
  <c r="M1989" i="20" s="1"/>
  <c r="O1988" i="20"/>
  <c r="O1989" i="20" s="1"/>
  <c r="B1990" i="20"/>
  <c r="B1991" i="20" s="1"/>
  <c r="D1990" i="20"/>
  <c r="D1991" i="20" s="1"/>
  <c r="G1990" i="20"/>
  <c r="G1991" i="20" s="1"/>
  <c r="M1990" i="20"/>
  <c r="M1991" i="20" s="1"/>
  <c r="O1990" i="20"/>
  <c r="O1991" i="20" s="1"/>
  <c r="B1992" i="20"/>
  <c r="B1993" i="20" s="1"/>
  <c r="D1992" i="20"/>
  <c r="D1993" i="20" s="1"/>
  <c r="G1992" i="20"/>
  <c r="G1993" i="20" s="1"/>
  <c r="M1992" i="20"/>
  <c r="M1993" i="20" s="1"/>
  <c r="O1992" i="20"/>
  <c r="O1993" i="20" s="1"/>
  <c r="B1994" i="20"/>
  <c r="B1995" i="20" s="1"/>
  <c r="D1994" i="20"/>
  <c r="D1995" i="20" s="1"/>
  <c r="G1994" i="20"/>
  <c r="G1995" i="20" s="1"/>
  <c r="M1994" i="20"/>
  <c r="M1995" i="20" s="1"/>
  <c r="O1994" i="20"/>
  <c r="O1995" i="20" s="1"/>
  <c r="B1996" i="20"/>
  <c r="B1997" i="20" s="1"/>
  <c r="D1996" i="20"/>
  <c r="D1997" i="20" s="1"/>
  <c r="G1996" i="20"/>
  <c r="G1997" i="20" s="1"/>
  <c r="M1996" i="20"/>
  <c r="M1997" i="20" s="1"/>
  <c r="O1996" i="20"/>
  <c r="O1997" i="20" s="1"/>
  <c r="B1998" i="20"/>
  <c r="B1999" i="20" s="1"/>
  <c r="D1998" i="20"/>
  <c r="D1999" i="20" s="1"/>
  <c r="G1998" i="20"/>
  <c r="G1999" i="20" s="1"/>
  <c r="M1998" i="20"/>
  <c r="M1999" i="20" s="1"/>
  <c r="O1998" i="20"/>
  <c r="O1999" i="20" s="1"/>
  <c r="B2000" i="20"/>
  <c r="B2001" i="20" s="1"/>
  <c r="D2000" i="20"/>
  <c r="D2001" i="20" s="1"/>
  <c r="G2000" i="20"/>
  <c r="G2001" i="20" s="1"/>
  <c r="M2000" i="20"/>
  <c r="M2001" i="20" s="1"/>
  <c r="O2000" i="20"/>
  <c r="O2001" i="20" s="1"/>
  <c r="B2002" i="20"/>
  <c r="B2003" i="20" s="1"/>
  <c r="D2002" i="20"/>
  <c r="D2003" i="20" s="1"/>
  <c r="G2002" i="20"/>
  <c r="G2003" i="20" s="1"/>
  <c r="M2002" i="20"/>
  <c r="M2003" i="20" s="1"/>
  <c r="O2002" i="20"/>
  <c r="O2003" i="20" s="1"/>
  <c r="B2004" i="20"/>
  <c r="B2005" i="20" s="1"/>
  <c r="D2004" i="20"/>
  <c r="D2005" i="20" s="1"/>
  <c r="G2004" i="20"/>
  <c r="G2005" i="20" s="1"/>
  <c r="M2004" i="20"/>
  <c r="M2005" i="20" s="1"/>
  <c r="O2004" i="20"/>
  <c r="O2005" i="20" s="1"/>
  <c r="B2006" i="20"/>
  <c r="B2007" i="20" s="1"/>
  <c r="D2006" i="20"/>
  <c r="D2007" i="20" s="1"/>
  <c r="G2006" i="20"/>
  <c r="G2007" i="20" s="1"/>
  <c r="M2006" i="20"/>
  <c r="M2007" i="20" s="1"/>
  <c r="O2006" i="20"/>
  <c r="O2007" i="20" s="1"/>
  <c r="B2008" i="20"/>
  <c r="B2009" i="20" s="1"/>
  <c r="D2008" i="20"/>
  <c r="D2009" i="20" s="1"/>
  <c r="G2008" i="20"/>
  <c r="G2009" i="20" s="1"/>
  <c r="M2008" i="20"/>
  <c r="M2009" i="20" s="1"/>
  <c r="O2008" i="20"/>
  <c r="O2009" i="20" s="1"/>
  <c r="B2010" i="20"/>
  <c r="B2011" i="20" s="1"/>
  <c r="D2010" i="20"/>
  <c r="D2011" i="20" s="1"/>
  <c r="G2010" i="20"/>
  <c r="G2011" i="20" s="1"/>
  <c r="M2010" i="20"/>
  <c r="M2011" i="20" s="1"/>
  <c r="O2010" i="20"/>
  <c r="O2011" i="20" s="1"/>
  <c r="B2012" i="20"/>
  <c r="B2013" i="20" s="1"/>
  <c r="D2012" i="20"/>
  <c r="D2013" i="20" s="1"/>
  <c r="G2012" i="20"/>
  <c r="G2013" i="20" s="1"/>
  <c r="M2012" i="20"/>
  <c r="M2013" i="20" s="1"/>
  <c r="O2012" i="20"/>
  <c r="O2013" i="20" s="1"/>
  <c r="B2014" i="20"/>
  <c r="B2015" i="20" s="1"/>
  <c r="D2014" i="20"/>
  <c r="D2015" i="20" s="1"/>
  <c r="G2014" i="20"/>
  <c r="G2015" i="20" s="1"/>
  <c r="M2014" i="20"/>
  <c r="M2015" i="20" s="1"/>
  <c r="O2014" i="20"/>
  <c r="O2015" i="20" s="1"/>
  <c r="B2016" i="20"/>
  <c r="B2017" i="20" s="1"/>
  <c r="D2016" i="20"/>
  <c r="D2017" i="20" s="1"/>
  <c r="G2016" i="20"/>
  <c r="G2017" i="20" s="1"/>
  <c r="M2016" i="20"/>
  <c r="M2017" i="20" s="1"/>
  <c r="O2016" i="20"/>
  <c r="O2017" i="20" s="1"/>
  <c r="B2018" i="20"/>
  <c r="B2019" i="20" s="1"/>
  <c r="D2018" i="20"/>
  <c r="D2019" i="20" s="1"/>
  <c r="G2018" i="20"/>
  <c r="G2019" i="20" s="1"/>
  <c r="M2018" i="20"/>
  <c r="M2019" i="20" s="1"/>
  <c r="O2018" i="20"/>
  <c r="O2019" i="20" s="1"/>
  <c r="B2020" i="20"/>
  <c r="B2021" i="20" s="1"/>
  <c r="D2020" i="20"/>
  <c r="D2021" i="20" s="1"/>
  <c r="G2020" i="20"/>
  <c r="G2021" i="20" s="1"/>
  <c r="M2020" i="20"/>
  <c r="M2021" i="20" s="1"/>
  <c r="O2020" i="20"/>
  <c r="O2021" i="20" s="1"/>
  <c r="O1922" i="20"/>
  <c r="O1923" i="20" s="1"/>
  <c r="B1922" i="20" l="1"/>
  <c r="B1923" i="20" s="1"/>
  <c r="M1922" i="20"/>
  <c r="M1923" i="20" s="1"/>
  <c r="G1922" i="20"/>
  <c r="G1923" i="20" s="1"/>
  <c r="D1922" i="20"/>
  <c r="D1923" i="20" s="1"/>
  <c r="AQ66" i="26" l="1"/>
  <c r="P122" i="16" s="1"/>
  <c r="AQ67" i="26"/>
  <c r="P123" i="16" s="1"/>
  <c r="AQ68" i="26"/>
  <c r="P124" i="16" s="1"/>
  <c r="AQ69" i="26"/>
  <c r="P125" i="16" s="1"/>
  <c r="AQ70" i="26"/>
  <c r="P126" i="16" s="1"/>
  <c r="AQ71" i="26"/>
  <c r="P127" i="16" s="1"/>
  <c r="AQ72" i="26"/>
  <c r="P128" i="16" s="1"/>
  <c r="AQ73" i="26"/>
  <c r="P129" i="16" s="1"/>
  <c r="AQ74" i="26"/>
  <c r="P130" i="16" s="1"/>
  <c r="AQ75" i="26"/>
  <c r="P131" i="16" s="1"/>
  <c r="AQ76" i="26"/>
  <c r="P132" i="16" s="1"/>
  <c r="AQ77" i="26"/>
  <c r="P133" i="16" s="1"/>
  <c r="AQ78" i="26"/>
  <c r="P134" i="16" s="1"/>
  <c r="AQ79" i="26"/>
  <c r="P135" i="16" s="1"/>
  <c r="AQ80" i="26"/>
  <c r="P136" i="16" s="1"/>
  <c r="AQ81" i="26"/>
  <c r="P137" i="16" s="1"/>
  <c r="AQ82" i="26"/>
  <c r="P138" i="16" s="1"/>
  <c r="AQ83" i="26"/>
  <c r="P139" i="16" s="1"/>
  <c r="AQ84" i="26"/>
  <c r="P140" i="16" s="1"/>
  <c r="AQ85" i="26"/>
  <c r="P141" i="16" s="1"/>
  <c r="AQ86" i="26"/>
  <c r="P142" i="16" s="1"/>
  <c r="AQ87" i="26"/>
  <c r="P143" i="16" s="1"/>
  <c r="AQ88" i="26"/>
  <c r="P144" i="16" s="1"/>
  <c r="AQ89" i="26"/>
  <c r="P145" i="16" s="1"/>
  <c r="AQ90" i="26"/>
  <c r="P146" i="16" s="1"/>
  <c r="AQ91" i="26"/>
  <c r="P147" i="16" s="1"/>
  <c r="AQ92" i="26"/>
  <c r="P148" i="16" s="1"/>
  <c r="AQ93" i="26"/>
  <c r="P149" i="16" s="1"/>
  <c r="AQ94" i="26"/>
  <c r="P150" i="16" s="1"/>
  <c r="AQ95" i="26"/>
  <c r="P151" i="16" s="1"/>
  <c r="AQ96" i="26"/>
  <c r="P152" i="16" s="1"/>
  <c r="AQ97" i="26"/>
  <c r="P153" i="16" s="1"/>
  <c r="AQ98" i="26"/>
  <c r="P154" i="16" s="1"/>
  <c r="AQ99" i="26"/>
  <c r="P155" i="16" s="1"/>
  <c r="AQ100" i="26"/>
  <c r="P156" i="16" s="1"/>
  <c r="AQ101" i="26"/>
  <c r="P157" i="16" s="1"/>
  <c r="AQ102" i="26"/>
  <c r="P158" i="16" s="1"/>
  <c r="AQ103" i="26"/>
  <c r="P159" i="16" s="1"/>
  <c r="AQ104" i="26"/>
  <c r="P160" i="16" s="1"/>
  <c r="AQ105" i="26"/>
  <c r="P161" i="16" s="1"/>
  <c r="AQ106" i="26"/>
  <c r="P162" i="16" s="1"/>
  <c r="AQ107" i="26"/>
  <c r="P163" i="16" s="1"/>
  <c r="AQ108" i="26"/>
  <c r="P164" i="16" s="1"/>
  <c r="AQ109" i="26"/>
  <c r="P165" i="16" s="1"/>
  <c r="AQ110" i="26"/>
  <c r="P166" i="16" s="1"/>
  <c r="AQ111" i="26"/>
  <c r="P167" i="16" s="1"/>
  <c r="AQ112" i="26"/>
  <c r="P168" i="16" s="1"/>
  <c r="AQ113" i="26"/>
  <c r="P169" i="16" s="1"/>
  <c r="AQ114" i="26"/>
  <c r="P170" i="16" s="1"/>
  <c r="AQ115" i="26"/>
  <c r="P171" i="16" s="1"/>
  <c r="AN115" i="26"/>
  <c r="AG115" i="26"/>
  <c r="Z115" i="26"/>
  <c r="S115" i="26"/>
  <c r="AP114" i="26"/>
  <c r="O170" i="16" s="1"/>
  <c r="AO114" i="26"/>
  <c r="N170" i="16" s="1"/>
  <c r="AN114" i="26"/>
  <c r="AG114" i="26"/>
  <c r="Z114" i="26"/>
  <c r="S114" i="26"/>
  <c r="AP113" i="26"/>
  <c r="O169" i="16" s="1"/>
  <c r="AO113" i="26"/>
  <c r="N169" i="16" s="1"/>
  <c r="AN113" i="26"/>
  <c r="AG113" i="26"/>
  <c r="Z113" i="26"/>
  <c r="S113" i="26"/>
  <c r="AP112" i="26"/>
  <c r="O168" i="16" s="1"/>
  <c r="AO112" i="26"/>
  <c r="N168" i="16" s="1"/>
  <c r="AN112" i="26"/>
  <c r="AG112" i="26"/>
  <c r="Z112" i="26"/>
  <c r="S112" i="26"/>
  <c r="AP111" i="26"/>
  <c r="O167" i="16" s="1"/>
  <c r="AO111" i="26"/>
  <c r="N167" i="16" s="1"/>
  <c r="AN111" i="26"/>
  <c r="AG111" i="26"/>
  <c r="Z111" i="26"/>
  <c r="S111" i="26"/>
  <c r="AP110" i="26"/>
  <c r="O166" i="16" s="1"/>
  <c r="AO110" i="26"/>
  <c r="N166" i="16" s="1"/>
  <c r="AN110" i="26"/>
  <c r="AG110" i="26"/>
  <c r="Z110" i="26"/>
  <c r="S110" i="26"/>
  <c r="AP109" i="26"/>
  <c r="O165" i="16" s="1"/>
  <c r="AO109" i="26"/>
  <c r="N165" i="16" s="1"/>
  <c r="AN109" i="26"/>
  <c r="AG109" i="26"/>
  <c r="Z109" i="26"/>
  <c r="S109" i="26"/>
  <c r="AP108" i="26"/>
  <c r="O164" i="16" s="1"/>
  <c r="AO108" i="26"/>
  <c r="N164" i="16" s="1"/>
  <c r="AN108" i="26"/>
  <c r="AG108" i="26"/>
  <c r="Z108" i="26"/>
  <c r="S108" i="26"/>
  <c r="AP107" i="26"/>
  <c r="O163" i="16" s="1"/>
  <c r="AO107" i="26"/>
  <c r="N163" i="16" s="1"/>
  <c r="AN107" i="26"/>
  <c r="AG107" i="26"/>
  <c r="Z107" i="26"/>
  <c r="S107" i="26"/>
  <c r="AP106" i="26"/>
  <c r="O162" i="16" s="1"/>
  <c r="AO106" i="26"/>
  <c r="N162" i="16" s="1"/>
  <c r="AN106" i="26"/>
  <c r="AG106" i="26"/>
  <c r="Z106" i="26"/>
  <c r="S106" i="26"/>
  <c r="AP105" i="26"/>
  <c r="O161" i="16" s="1"/>
  <c r="AO105" i="26"/>
  <c r="N161" i="16" s="1"/>
  <c r="AN105" i="26"/>
  <c r="AG105" i="26"/>
  <c r="Z105" i="26"/>
  <c r="S105" i="26"/>
  <c r="AP104" i="26"/>
  <c r="O160" i="16" s="1"/>
  <c r="AO104" i="26"/>
  <c r="N160" i="16" s="1"/>
  <c r="AN104" i="26"/>
  <c r="AG104" i="26"/>
  <c r="Z104" i="26"/>
  <c r="S104" i="26"/>
  <c r="AP103" i="26"/>
  <c r="O159" i="16" s="1"/>
  <c r="AO103" i="26"/>
  <c r="N159" i="16" s="1"/>
  <c r="AN103" i="26"/>
  <c r="AG103" i="26"/>
  <c r="Z103" i="26"/>
  <c r="S103" i="26"/>
  <c r="AP102" i="26"/>
  <c r="O158" i="16" s="1"/>
  <c r="AO102" i="26"/>
  <c r="N158" i="16" s="1"/>
  <c r="AN102" i="26"/>
  <c r="AG102" i="26"/>
  <c r="Z102" i="26"/>
  <c r="S102" i="26"/>
  <c r="AP101" i="26"/>
  <c r="O157" i="16" s="1"/>
  <c r="AO101" i="26"/>
  <c r="N157" i="16" s="1"/>
  <c r="AN101" i="26"/>
  <c r="AG101" i="26"/>
  <c r="Z101" i="26"/>
  <c r="S101" i="26"/>
  <c r="AP100" i="26"/>
  <c r="O156" i="16" s="1"/>
  <c r="AO100" i="26"/>
  <c r="N156" i="16" s="1"/>
  <c r="AN100" i="26"/>
  <c r="AG100" i="26"/>
  <c r="Z100" i="26"/>
  <c r="S100" i="26"/>
  <c r="AP99" i="26"/>
  <c r="O155" i="16" s="1"/>
  <c r="AO99" i="26"/>
  <c r="N155" i="16" s="1"/>
  <c r="AN99" i="26"/>
  <c r="AG99" i="26"/>
  <c r="Z99" i="26"/>
  <c r="S99" i="26"/>
  <c r="AP98" i="26"/>
  <c r="O154" i="16" s="1"/>
  <c r="AO98" i="26"/>
  <c r="N154" i="16" s="1"/>
  <c r="AN98" i="26"/>
  <c r="AG98" i="26"/>
  <c r="Z98" i="26"/>
  <c r="S98" i="26"/>
  <c r="AP97" i="26"/>
  <c r="O153" i="16" s="1"/>
  <c r="AO97" i="26"/>
  <c r="N153" i="16" s="1"/>
  <c r="AN97" i="26"/>
  <c r="AG97" i="26"/>
  <c r="Z97" i="26"/>
  <c r="S97" i="26"/>
  <c r="AP96" i="26"/>
  <c r="O152" i="16" s="1"/>
  <c r="AO96" i="26"/>
  <c r="N152" i="16" s="1"/>
  <c r="AN96" i="26"/>
  <c r="AG96" i="26"/>
  <c r="Z96" i="26"/>
  <c r="S96" i="26"/>
  <c r="AP95" i="26"/>
  <c r="O151" i="16" s="1"/>
  <c r="AO95" i="26"/>
  <c r="N151" i="16" s="1"/>
  <c r="AN95" i="26"/>
  <c r="AG95" i="26"/>
  <c r="Z95" i="26"/>
  <c r="S95" i="26"/>
  <c r="AP94" i="26"/>
  <c r="O150" i="16" s="1"/>
  <c r="AO94" i="26"/>
  <c r="N150" i="16" s="1"/>
  <c r="AN94" i="26"/>
  <c r="AG94" i="26"/>
  <c r="Z94" i="26"/>
  <c r="S94" i="26"/>
  <c r="AP93" i="26"/>
  <c r="O149" i="16" s="1"/>
  <c r="AO93" i="26"/>
  <c r="N149" i="16" s="1"/>
  <c r="AN93" i="26"/>
  <c r="AG93" i="26"/>
  <c r="Z93" i="26"/>
  <c r="S93" i="26"/>
  <c r="AP92" i="26"/>
  <c r="O148" i="16" s="1"/>
  <c r="AO92" i="26"/>
  <c r="N148" i="16" s="1"/>
  <c r="AN92" i="26"/>
  <c r="AG92" i="26"/>
  <c r="Z92" i="26"/>
  <c r="S92" i="26"/>
  <c r="AP91" i="26"/>
  <c r="O147" i="16" s="1"/>
  <c r="AO91" i="26"/>
  <c r="N147" i="16" s="1"/>
  <c r="AN91" i="26"/>
  <c r="AG91" i="26"/>
  <c r="Z91" i="26"/>
  <c r="S91" i="26"/>
  <c r="AP90" i="26"/>
  <c r="O146" i="16" s="1"/>
  <c r="AO90" i="26"/>
  <c r="N146" i="16" s="1"/>
  <c r="AN90" i="26"/>
  <c r="AG90" i="26"/>
  <c r="Z90" i="26"/>
  <c r="S90" i="26"/>
  <c r="AP89" i="26"/>
  <c r="O145" i="16" s="1"/>
  <c r="AO89" i="26"/>
  <c r="N145" i="16" s="1"/>
  <c r="AN89" i="26"/>
  <c r="AG89" i="26"/>
  <c r="Z89" i="26"/>
  <c r="S89" i="26"/>
  <c r="AP88" i="26"/>
  <c r="O144" i="16" s="1"/>
  <c r="AO88" i="26"/>
  <c r="N144" i="16" s="1"/>
  <c r="AN88" i="26"/>
  <c r="AG88" i="26"/>
  <c r="Z88" i="26"/>
  <c r="S88" i="26"/>
  <c r="AP87" i="26"/>
  <c r="O143" i="16" s="1"/>
  <c r="AO87" i="26"/>
  <c r="N143" i="16" s="1"/>
  <c r="AN87" i="26"/>
  <c r="AG87" i="26"/>
  <c r="Z87" i="26"/>
  <c r="S87" i="26"/>
  <c r="AP86" i="26"/>
  <c r="O142" i="16" s="1"/>
  <c r="AO86" i="26"/>
  <c r="N142" i="16" s="1"/>
  <c r="AN86" i="26"/>
  <c r="AG86" i="26"/>
  <c r="Z86" i="26"/>
  <c r="S86" i="26"/>
  <c r="AP85" i="26"/>
  <c r="O141" i="16" s="1"/>
  <c r="AO85" i="26"/>
  <c r="N141" i="16" s="1"/>
  <c r="AN85" i="26"/>
  <c r="AG85" i="26"/>
  <c r="Z85" i="26"/>
  <c r="S85" i="26"/>
  <c r="AP84" i="26"/>
  <c r="O140" i="16" s="1"/>
  <c r="AO84" i="26"/>
  <c r="N140" i="16" s="1"/>
  <c r="AN84" i="26"/>
  <c r="AG84" i="26"/>
  <c r="Z84" i="26"/>
  <c r="S84" i="26"/>
  <c r="AP83" i="26"/>
  <c r="O139" i="16" s="1"/>
  <c r="AO83" i="26"/>
  <c r="N139" i="16" s="1"/>
  <c r="AN83" i="26"/>
  <c r="AG83" i="26"/>
  <c r="S83" i="26"/>
  <c r="AP82" i="26"/>
  <c r="O138" i="16" s="1"/>
  <c r="AO82" i="26"/>
  <c r="N138" i="16" s="1"/>
  <c r="AN82" i="26"/>
  <c r="AG82" i="26"/>
  <c r="S82" i="26"/>
  <c r="AP81" i="26"/>
  <c r="O137" i="16" s="1"/>
  <c r="AO81" i="26"/>
  <c r="N137" i="16" s="1"/>
  <c r="AN81" i="26"/>
  <c r="AG81" i="26"/>
  <c r="S81" i="26"/>
  <c r="AP80" i="26"/>
  <c r="O136" i="16" s="1"/>
  <c r="AO80" i="26"/>
  <c r="N136" i="16" s="1"/>
  <c r="AN80" i="26"/>
  <c r="AG80" i="26"/>
  <c r="S80" i="26"/>
  <c r="AP79" i="26"/>
  <c r="O135" i="16" s="1"/>
  <c r="AO79" i="26"/>
  <c r="N135" i="16" s="1"/>
  <c r="AP78" i="26"/>
  <c r="O134" i="16" s="1"/>
  <c r="AO78" i="26"/>
  <c r="N134" i="16" s="1"/>
  <c r="AP77" i="26"/>
  <c r="O133" i="16" s="1"/>
  <c r="AO77" i="26"/>
  <c r="N133" i="16" s="1"/>
  <c r="AN77" i="26"/>
  <c r="Z77" i="26"/>
  <c r="S77" i="26"/>
  <c r="AP76" i="26"/>
  <c r="O132" i="16" s="1"/>
  <c r="AO76" i="26"/>
  <c r="N132" i="16" s="1"/>
  <c r="AP75" i="26"/>
  <c r="O131" i="16" s="1"/>
  <c r="AO75" i="26"/>
  <c r="N131" i="16" s="1"/>
  <c r="AP74" i="26"/>
  <c r="O130" i="16" s="1"/>
  <c r="AO74" i="26"/>
  <c r="N130" i="16" s="1"/>
  <c r="AP73" i="26"/>
  <c r="O129" i="16" s="1"/>
  <c r="AO73" i="26"/>
  <c r="N129" i="16" s="1"/>
  <c r="AP72" i="26"/>
  <c r="O128" i="16" s="1"/>
  <c r="AO72" i="26"/>
  <c r="N128" i="16" s="1"/>
  <c r="AP71" i="26"/>
  <c r="O127" i="16" s="1"/>
  <c r="AO71" i="26"/>
  <c r="N127" i="16" s="1"/>
  <c r="AP70" i="26"/>
  <c r="O126" i="16" s="1"/>
  <c r="AO70" i="26"/>
  <c r="N126" i="16" s="1"/>
  <c r="AP69" i="26"/>
  <c r="O125" i="16" s="1"/>
  <c r="AO69" i="26"/>
  <c r="N125" i="16" s="1"/>
  <c r="AP68" i="26"/>
  <c r="O124" i="16" s="1"/>
  <c r="AO68" i="26"/>
  <c r="N124" i="16" s="1"/>
  <c r="AP67" i="26"/>
  <c r="O123" i="16" s="1"/>
  <c r="AO67" i="26"/>
  <c r="N123" i="16" s="1"/>
  <c r="AP66" i="26"/>
  <c r="AO66" i="26"/>
  <c r="N122" i="16" s="1"/>
  <c r="AA56" i="26"/>
  <c r="T56" i="26"/>
  <c r="M56" i="26"/>
  <c r="AP55" i="26"/>
  <c r="D170" i="16" s="1"/>
  <c r="AO55" i="26"/>
  <c r="C170" i="16" s="1"/>
  <c r="AH55" i="26"/>
  <c r="AA55" i="26"/>
  <c r="T55" i="26"/>
  <c r="M55" i="26"/>
  <c r="AP54" i="26"/>
  <c r="D169" i="16" s="1"/>
  <c r="AO54" i="26"/>
  <c r="C169" i="16" s="1"/>
  <c r="AH54" i="26"/>
  <c r="AA54" i="26"/>
  <c r="T54" i="26"/>
  <c r="M54" i="26"/>
  <c r="AP53" i="26"/>
  <c r="D168" i="16" s="1"/>
  <c r="AO53" i="26"/>
  <c r="C168" i="16" s="1"/>
  <c r="AH53" i="26"/>
  <c r="AA53" i="26"/>
  <c r="T53" i="26"/>
  <c r="M53" i="26"/>
  <c r="AP52" i="26"/>
  <c r="D167" i="16" s="1"/>
  <c r="AO52" i="26"/>
  <c r="C167" i="16" s="1"/>
  <c r="AH52" i="26"/>
  <c r="AA52" i="26"/>
  <c r="T52" i="26"/>
  <c r="M52" i="26"/>
  <c r="AP51" i="26"/>
  <c r="D166" i="16" s="1"/>
  <c r="AO51" i="26"/>
  <c r="C166" i="16" s="1"/>
  <c r="AH51" i="26"/>
  <c r="AA51" i="26"/>
  <c r="T51" i="26"/>
  <c r="M51" i="26"/>
  <c r="AP50" i="26"/>
  <c r="D165" i="16" s="1"/>
  <c r="AO50" i="26"/>
  <c r="C165" i="16" s="1"/>
  <c r="AH50" i="26"/>
  <c r="AA50" i="26"/>
  <c r="T50" i="26"/>
  <c r="M50" i="26"/>
  <c r="AP49" i="26"/>
  <c r="D164" i="16" s="1"/>
  <c r="AO49" i="26"/>
  <c r="C164" i="16" s="1"/>
  <c r="AH49" i="26"/>
  <c r="AA49" i="26"/>
  <c r="T49" i="26"/>
  <c r="M49" i="26"/>
  <c r="AP48" i="26"/>
  <c r="D163" i="16" s="1"/>
  <c r="AO48" i="26"/>
  <c r="C163" i="16" s="1"/>
  <c r="AH48" i="26"/>
  <c r="AA48" i="26"/>
  <c r="T48" i="26"/>
  <c r="M48" i="26"/>
  <c r="AP47" i="26"/>
  <c r="D162" i="16" s="1"/>
  <c r="AO47" i="26"/>
  <c r="C162" i="16" s="1"/>
  <c r="AH47" i="26"/>
  <c r="AA47" i="26"/>
  <c r="T47" i="26"/>
  <c r="M47" i="26"/>
  <c r="AP46" i="26"/>
  <c r="D161" i="16" s="1"/>
  <c r="AO46" i="26"/>
  <c r="C161" i="16" s="1"/>
  <c r="AH46" i="26"/>
  <c r="AA46" i="26"/>
  <c r="T46" i="26"/>
  <c r="M46" i="26"/>
  <c r="AP45" i="26"/>
  <c r="D160" i="16" s="1"/>
  <c r="AO45" i="26"/>
  <c r="C160" i="16" s="1"/>
  <c r="AH45" i="26"/>
  <c r="AA45" i="26"/>
  <c r="T45" i="26"/>
  <c r="M45" i="26"/>
  <c r="AP44" i="26"/>
  <c r="D159" i="16" s="1"/>
  <c r="AO44" i="26"/>
  <c r="C159" i="16" s="1"/>
  <c r="AH44" i="26"/>
  <c r="AA44" i="26"/>
  <c r="T44" i="26"/>
  <c r="M44" i="26"/>
  <c r="AP43" i="26"/>
  <c r="D158" i="16" s="1"/>
  <c r="AO43" i="26"/>
  <c r="C158" i="16" s="1"/>
  <c r="AH43" i="26"/>
  <c r="AA43" i="26"/>
  <c r="T43" i="26"/>
  <c r="M43" i="26"/>
  <c r="AP42" i="26"/>
  <c r="D157" i="16" s="1"/>
  <c r="AO42" i="26"/>
  <c r="C157" i="16" s="1"/>
  <c r="AH42" i="26"/>
  <c r="AA42" i="26"/>
  <c r="T42" i="26"/>
  <c r="M42" i="26"/>
  <c r="AP41" i="26"/>
  <c r="D156" i="16" s="1"/>
  <c r="AO41" i="26"/>
  <c r="C156" i="16" s="1"/>
  <c r="AH41" i="26"/>
  <c r="AA41" i="26"/>
  <c r="T41" i="26"/>
  <c r="M41" i="26"/>
  <c r="AP40" i="26"/>
  <c r="D155" i="16" s="1"/>
  <c r="AO40" i="26"/>
  <c r="C155" i="16" s="1"/>
  <c r="AH40" i="26"/>
  <c r="AA40" i="26"/>
  <c r="T40" i="26"/>
  <c r="M40" i="26"/>
  <c r="AP39" i="26"/>
  <c r="D154" i="16" s="1"/>
  <c r="AO39" i="26"/>
  <c r="C154" i="16" s="1"/>
  <c r="AH39" i="26"/>
  <c r="AA39" i="26"/>
  <c r="T39" i="26"/>
  <c r="M39" i="26"/>
  <c r="AP38" i="26"/>
  <c r="D153" i="16" s="1"/>
  <c r="AO38" i="26"/>
  <c r="C153" i="16" s="1"/>
  <c r="AH38" i="26"/>
  <c r="AA38" i="26"/>
  <c r="T38" i="26"/>
  <c r="M38" i="26"/>
  <c r="AP37" i="26"/>
  <c r="D152" i="16" s="1"/>
  <c r="AO37" i="26"/>
  <c r="C152" i="16" s="1"/>
  <c r="AH37" i="26"/>
  <c r="AA37" i="26"/>
  <c r="T37" i="26"/>
  <c r="M37" i="26"/>
  <c r="AP36" i="26"/>
  <c r="D151" i="16" s="1"/>
  <c r="AO36" i="26"/>
  <c r="C151" i="16" s="1"/>
  <c r="AH36" i="26"/>
  <c r="AA36" i="26"/>
  <c r="T36" i="26"/>
  <c r="M36" i="26"/>
  <c r="AP35" i="26"/>
  <c r="D150" i="16" s="1"/>
  <c r="AO35" i="26"/>
  <c r="C150" i="16" s="1"/>
  <c r="AH35" i="26"/>
  <c r="AA35" i="26"/>
  <c r="T35" i="26"/>
  <c r="M35" i="26"/>
  <c r="AP34" i="26"/>
  <c r="D149" i="16" s="1"/>
  <c r="AO34" i="26"/>
  <c r="C149" i="16" s="1"/>
  <c r="AH34" i="26"/>
  <c r="AA34" i="26"/>
  <c r="T34" i="26"/>
  <c r="M34" i="26"/>
  <c r="AP33" i="26"/>
  <c r="D148" i="16" s="1"/>
  <c r="AO33" i="26"/>
  <c r="C148" i="16" s="1"/>
  <c r="AH33" i="26"/>
  <c r="AA33" i="26"/>
  <c r="T33" i="26"/>
  <c r="M33" i="26"/>
  <c r="AP32" i="26"/>
  <c r="D147" i="16" s="1"/>
  <c r="AO32" i="26"/>
  <c r="C147" i="16" s="1"/>
  <c r="AH32" i="26"/>
  <c r="AA32" i="26"/>
  <c r="T32" i="26"/>
  <c r="M32" i="26"/>
  <c r="AP31" i="26"/>
  <c r="D146" i="16" s="1"/>
  <c r="AO31" i="26"/>
  <c r="C146" i="16" s="1"/>
  <c r="AH31" i="26"/>
  <c r="AA31" i="26"/>
  <c r="T31" i="26"/>
  <c r="M31" i="26"/>
  <c r="AP30" i="26"/>
  <c r="D145" i="16" s="1"/>
  <c r="AO30" i="26"/>
  <c r="C145" i="16" s="1"/>
  <c r="AH30" i="26"/>
  <c r="AA30" i="26"/>
  <c r="T30" i="26"/>
  <c r="M30" i="26"/>
  <c r="AP29" i="26"/>
  <c r="D144" i="16" s="1"/>
  <c r="AO29" i="26"/>
  <c r="C144" i="16" s="1"/>
  <c r="AH29" i="26"/>
  <c r="AA29" i="26"/>
  <c r="T29" i="26"/>
  <c r="M29" i="26"/>
  <c r="AP28" i="26"/>
  <c r="D143" i="16" s="1"/>
  <c r="AO28" i="26"/>
  <c r="C143" i="16" s="1"/>
  <c r="AH28" i="26"/>
  <c r="AA28" i="26"/>
  <c r="T28" i="26"/>
  <c r="M28" i="26"/>
  <c r="AP27" i="26"/>
  <c r="D142" i="16" s="1"/>
  <c r="AO27" i="26"/>
  <c r="C142" i="16" s="1"/>
  <c r="AH27" i="26"/>
  <c r="AA27" i="26"/>
  <c r="T27" i="26"/>
  <c r="M27" i="26"/>
  <c r="AP26" i="26"/>
  <c r="D141" i="16" s="1"/>
  <c r="AO26" i="26"/>
  <c r="C141" i="16" s="1"/>
  <c r="AH26" i="26"/>
  <c r="AA26" i="26"/>
  <c r="T26" i="26"/>
  <c r="M26" i="26"/>
  <c r="AP25" i="26"/>
  <c r="D140" i="16" s="1"/>
  <c r="AO25" i="26"/>
  <c r="C140" i="16" s="1"/>
  <c r="AH25" i="26"/>
  <c r="AA25" i="26"/>
  <c r="T25" i="26"/>
  <c r="M25" i="26"/>
  <c r="AP24" i="26"/>
  <c r="D139" i="16" s="1"/>
  <c r="AO24" i="26"/>
  <c r="C139" i="16" s="1"/>
  <c r="AH24" i="26"/>
  <c r="AA24" i="26"/>
  <c r="T24" i="26"/>
  <c r="M24" i="26"/>
  <c r="AP23" i="26"/>
  <c r="D138" i="16" s="1"/>
  <c r="AO23" i="26"/>
  <c r="C138" i="16" s="1"/>
  <c r="AH23" i="26"/>
  <c r="AA23" i="26"/>
  <c r="T23" i="26"/>
  <c r="M23" i="26"/>
  <c r="AP22" i="26"/>
  <c r="D137" i="16" s="1"/>
  <c r="AO22" i="26"/>
  <c r="C137" i="16" s="1"/>
  <c r="AH22" i="26"/>
  <c r="AA22" i="26"/>
  <c r="T22" i="26"/>
  <c r="M22" i="26"/>
  <c r="AP21" i="26"/>
  <c r="D136" i="16" s="1"/>
  <c r="AO21" i="26"/>
  <c r="C136" i="16" s="1"/>
  <c r="AH21" i="26"/>
  <c r="AA21" i="26"/>
  <c r="T21" i="26"/>
  <c r="M21" i="26"/>
  <c r="AP20" i="26"/>
  <c r="D135" i="16" s="1"/>
  <c r="AO20" i="26"/>
  <c r="C135" i="16" s="1"/>
  <c r="AH20" i="26"/>
  <c r="AA20" i="26"/>
  <c r="T20" i="26"/>
  <c r="M20" i="26"/>
  <c r="AP19" i="26"/>
  <c r="D134" i="16" s="1"/>
  <c r="AO19" i="26"/>
  <c r="C134" i="16" s="1"/>
  <c r="AH19" i="26"/>
  <c r="AA19" i="26"/>
  <c r="T19" i="26"/>
  <c r="M19" i="26"/>
  <c r="AP18" i="26"/>
  <c r="D133" i="16" s="1"/>
  <c r="AO18" i="26"/>
  <c r="C133" i="16" s="1"/>
  <c r="AH18" i="26"/>
  <c r="AA18" i="26"/>
  <c r="T18" i="26"/>
  <c r="M18" i="26"/>
  <c r="AP17" i="26"/>
  <c r="D132" i="16" s="1"/>
  <c r="AO17" i="26"/>
  <c r="C132" i="16" s="1"/>
  <c r="AH17" i="26"/>
  <c r="AA17" i="26"/>
  <c r="T17" i="26"/>
  <c r="M17" i="26"/>
  <c r="AP16" i="26"/>
  <c r="D131" i="16" s="1"/>
  <c r="AO16" i="26"/>
  <c r="C131" i="16" s="1"/>
  <c r="AH16" i="26"/>
  <c r="AA16" i="26"/>
  <c r="T16" i="26"/>
  <c r="M16" i="26"/>
  <c r="AP15" i="26"/>
  <c r="D130" i="16" s="1"/>
  <c r="AO15" i="26"/>
  <c r="C130" i="16" s="1"/>
  <c r="AH15" i="26"/>
  <c r="AA15" i="26"/>
  <c r="T15" i="26"/>
  <c r="M15" i="26"/>
  <c r="AP14" i="26"/>
  <c r="D129" i="16" s="1"/>
  <c r="AO14" i="26"/>
  <c r="C129" i="16" s="1"/>
  <c r="AH14" i="26"/>
  <c r="AA14" i="26"/>
  <c r="T14" i="26"/>
  <c r="M14" i="26"/>
  <c r="AP13" i="26"/>
  <c r="D128" i="16" s="1"/>
  <c r="AO13" i="26"/>
  <c r="C128" i="16" s="1"/>
  <c r="AH13" i="26"/>
  <c r="AA13" i="26"/>
  <c r="T13" i="26"/>
  <c r="M13" i="26"/>
  <c r="AP12" i="26"/>
  <c r="D127" i="16" s="1"/>
  <c r="AO12" i="26"/>
  <c r="C127" i="16" s="1"/>
  <c r="AH12" i="26"/>
  <c r="AA12" i="26"/>
  <c r="T12" i="26"/>
  <c r="M12" i="26"/>
  <c r="AP11" i="26"/>
  <c r="D126" i="16" s="1"/>
  <c r="AO11" i="26"/>
  <c r="C126" i="16" s="1"/>
  <c r="AH11" i="26"/>
  <c r="AA11" i="26"/>
  <c r="T11" i="26"/>
  <c r="M11" i="26"/>
  <c r="AP10" i="26"/>
  <c r="AO10" i="26"/>
  <c r="AH10" i="26"/>
  <c r="AA10" i="26"/>
  <c r="T10" i="26"/>
  <c r="M10" i="26"/>
  <c r="AP9" i="26"/>
  <c r="AO9" i="26"/>
  <c r="AH9" i="26"/>
  <c r="AA9" i="26"/>
  <c r="T9" i="26"/>
  <c r="M9" i="26"/>
  <c r="AP8" i="26"/>
  <c r="D123" i="16" s="1"/>
  <c r="AO8" i="26"/>
  <c r="C123" i="16" s="1"/>
  <c r="AH8" i="26"/>
  <c r="AA8" i="26"/>
  <c r="T8" i="26"/>
  <c r="M8" i="26"/>
  <c r="AP7" i="26"/>
  <c r="D122" i="16" s="1"/>
  <c r="AO7" i="26"/>
  <c r="AH7" i="26"/>
  <c r="AA7" i="26"/>
  <c r="T7" i="26"/>
  <c r="M7" i="26"/>
  <c r="E1" i="26"/>
  <c r="F1" i="26" s="1"/>
  <c r="G1" i="26" s="1"/>
  <c r="H1" i="26" s="1"/>
  <c r="I1" i="26" s="1"/>
  <c r="J1" i="26" s="1"/>
  <c r="K1" i="26" s="1"/>
  <c r="L1" i="26" s="1"/>
  <c r="M1" i="26" s="1"/>
  <c r="N1" i="26" s="1"/>
  <c r="O1" i="26" s="1"/>
  <c r="P1" i="26" s="1"/>
  <c r="Q1" i="26" s="1"/>
  <c r="R1" i="26" s="1"/>
  <c r="S1" i="26" s="1"/>
  <c r="T1" i="26" s="1"/>
  <c r="U1" i="26" s="1"/>
  <c r="V1" i="26" s="1"/>
  <c r="W1" i="26" s="1"/>
  <c r="X1" i="26" s="1"/>
  <c r="Y1" i="26" s="1"/>
  <c r="Z1" i="26" s="1"/>
  <c r="AA1" i="26" s="1"/>
  <c r="AB1" i="26" s="1"/>
  <c r="AC1" i="26" s="1"/>
  <c r="AD1" i="26" s="1"/>
  <c r="AE1" i="26" s="1"/>
  <c r="AF1" i="26" s="1"/>
  <c r="AG1" i="26" s="1"/>
  <c r="AH1" i="26" s="1"/>
  <c r="AI1" i="26" s="1"/>
  <c r="AJ1" i="26" s="1"/>
  <c r="AK1" i="26" s="1"/>
  <c r="AL1" i="26" s="1"/>
  <c r="AM1" i="26" s="1"/>
  <c r="AN1" i="26" s="1"/>
  <c r="AP56" i="26"/>
  <c r="D171" i="16" s="1"/>
  <c r="AO56" i="26"/>
  <c r="C171" i="16" s="1"/>
  <c r="AH56" i="26"/>
  <c r="AP115" i="26"/>
  <c r="O171" i="16" s="1"/>
  <c r="AO115" i="26"/>
  <c r="N171" i="16" s="1"/>
  <c r="AQ7" i="26"/>
  <c r="AQ8" i="26"/>
  <c r="E123" i="16" s="1"/>
  <c r="AQ9" i="26"/>
  <c r="E124" i="16" s="1"/>
  <c r="AQ10" i="26"/>
  <c r="E125" i="16" s="1"/>
  <c r="AQ11" i="26"/>
  <c r="E126" i="16" s="1"/>
  <c r="AQ12" i="26"/>
  <c r="E127" i="16" s="1"/>
  <c r="AQ13" i="26"/>
  <c r="E128" i="16" s="1"/>
  <c r="AQ14" i="26"/>
  <c r="E129" i="16" s="1"/>
  <c r="AQ15" i="26"/>
  <c r="E130" i="16" s="1"/>
  <c r="AQ16" i="26"/>
  <c r="E131" i="16" s="1"/>
  <c r="AQ17" i="26"/>
  <c r="E132" i="16" s="1"/>
  <c r="AQ18" i="26"/>
  <c r="E133" i="16" s="1"/>
  <c r="AQ19" i="26"/>
  <c r="E134" i="16" s="1"/>
  <c r="AQ20" i="26"/>
  <c r="E135" i="16" s="1"/>
  <c r="AQ21" i="26"/>
  <c r="E136" i="16" s="1"/>
  <c r="AQ22" i="26"/>
  <c r="E137" i="16" s="1"/>
  <c r="AQ23" i="26"/>
  <c r="E138" i="16" s="1"/>
  <c r="AQ24" i="26"/>
  <c r="E139" i="16" s="1"/>
  <c r="AQ25" i="26"/>
  <c r="E140" i="16" s="1"/>
  <c r="AQ26" i="26"/>
  <c r="E141" i="16" s="1"/>
  <c r="AQ27" i="26"/>
  <c r="E142" i="16" s="1"/>
  <c r="AQ28" i="26"/>
  <c r="E143" i="16" s="1"/>
  <c r="AQ29" i="26"/>
  <c r="E144" i="16" s="1"/>
  <c r="AQ30" i="26"/>
  <c r="E145" i="16" s="1"/>
  <c r="AQ31" i="26"/>
  <c r="E146" i="16" s="1"/>
  <c r="AQ32" i="26"/>
  <c r="E147" i="16" s="1"/>
  <c r="AQ33" i="26"/>
  <c r="E148" i="16" s="1"/>
  <c r="AQ34" i="26"/>
  <c r="E149" i="16" s="1"/>
  <c r="AQ35" i="26"/>
  <c r="E150" i="16" s="1"/>
  <c r="AQ36" i="26"/>
  <c r="E151" i="16" s="1"/>
  <c r="AQ37" i="26"/>
  <c r="E152" i="16" s="1"/>
  <c r="AQ38" i="26"/>
  <c r="E153" i="16" s="1"/>
  <c r="AQ39" i="26"/>
  <c r="E154" i="16" s="1"/>
  <c r="AQ40" i="26"/>
  <c r="E155" i="16" s="1"/>
  <c r="AQ41" i="26"/>
  <c r="E156" i="16" s="1"/>
  <c r="AQ42" i="26"/>
  <c r="E157" i="16" s="1"/>
  <c r="AQ43" i="26"/>
  <c r="E158" i="16" s="1"/>
  <c r="AQ44" i="26"/>
  <c r="E159" i="16" s="1"/>
  <c r="AQ45" i="26"/>
  <c r="E160" i="16" s="1"/>
  <c r="AQ46" i="26"/>
  <c r="E161" i="16" s="1"/>
  <c r="AQ47" i="26"/>
  <c r="E162" i="16" s="1"/>
  <c r="AQ48" i="26"/>
  <c r="E163" i="16" s="1"/>
  <c r="AQ49" i="26"/>
  <c r="E164" i="16" s="1"/>
  <c r="AQ50" i="26"/>
  <c r="E165" i="16" s="1"/>
  <c r="AQ51" i="26"/>
  <c r="E166" i="16" s="1"/>
  <c r="AQ52" i="26"/>
  <c r="E167" i="16" s="1"/>
  <c r="AQ53" i="26"/>
  <c r="E168" i="16" s="1"/>
  <c r="AQ54" i="26"/>
  <c r="E169" i="16" s="1"/>
  <c r="AQ55" i="26"/>
  <c r="E170" i="16" s="1"/>
  <c r="AQ56" i="26"/>
  <c r="E171" i="16" s="1"/>
  <c r="AB63" i="10" l="1"/>
  <c r="L541" i="11"/>
  <c r="O541" i="11" s="1"/>
  <c r="P541" i="11" s="1"/>
  <c r="AA66" i="10"/>
  <c r="L444" i="11"/>
  <c r="O444" i="11" s="1"/>
  <c r="P444" i="11" s="1"/>
  <c r="AD68" i="10"/>
  <c r="L746" i="11"/>
  <c r="O746" i="11" s="1"/>
  <c r="P746" i="11" s="1"/>
  <c r="AC69" i="10"/>
  <c r="L647" i="11"/>
  <c r="O647" i="11" s="1"/>
  <c r="P647" i="11" s="1"/>
  <c r="AA70" i="10"/>
  <c r="L448" i="11"/>
  <c r="O448" i="11" s="1"/>
  <c r="P448" i="11" s="1"/>
  <c r="AC71" i="10"/>
  <c r="L649" i="11"/>
  <c r="O649" i="11" s="1"/>
  <c r="P649" i="11" s="1"/>
  <c r="AA72" i="10"/>
  <c r="L450" i="11"/>
  <c r="O450" i="11" s="1"/>
  <c r="P450" i="11" s="1"/>
  <c r="AC73" i="10"/>
  <c r="L651" i="11"/>
  <c r="O651" i="11" s="1"/>
  <c r="P651" i="11" s="1"/>
  <c r="AA74" i="10"/>
  <c r="L452" i="11"/>
  <c r="O452" i="11" s="1"/>
  <c r="P452" i="11" s="1"/>
  <c r="AC75" i="10"/>
  <c r="L653" i="11"/>
  <c r="O653" i="11" s="1"/>
  <c r="P653" i="11" s="1"/>
  <c r="AA76" i="10"/>
  <c r="L454" i="11"/>
  <c r="O454" i="11" s="1"/>
  <c r="P454" i="11" s="1"/>
  <c r="AC77" i="10"/>
  <c r="L655" i="11"/>
  <c r="O655" i="11" s="1"/>
  <c r="P655" i="11" s="1"/>
  <c r="AA78" i="10"/>
  <c r="L456" i="11"/>
  <c r="O456" i="11" s="1"/>
  <c r="P456" i="11" s="1"/>
  <c r="AC79" i="10"/>
  <c r="L657" i="11"/>
  <c r="O657" i="11" s="1"/>
  <c r="P657" i="11" s="1"/>
  <c r="AA80" i="10"/>
  <c r="L458" i="11"/>
  <c r="O458" i="11" s="1"/>
  <c r="P458" i="11" s="1"/>
  <c r="AC81" i="10"/>
  <c r="L659" i="11"/>
  <c r="O659" i="11" s="1"/>
  <c r="P659" i="11" s="1"/>
  <c r="AA82" i="10"/>
  <c r="L460" i="11"/>
  <c r="O460" i="11" s="1"/>
  <c r="P460" i="11" s="1"/>
  <c r="AC83" i="10"/>
  <c r="L661" i="11"/>
  <c r="O661" i="11" s="1"/>
  <c r="P661" i="11" s="1"/>
  <c r="AA84" i="10"/>
  <c r="L462" i="11"/>
  <c r="O462" i="11" s="1"/>
  <c r="P462" i="11" s="1"/>
  <c r="AC85" i="10"/>
  <c r="L663" i="11"/>
  <c r="O663" i="11" s="1"/>
  <c r="P663" i="11" s="1"/>
  <c r="AA86" i="10"/>
  <c r="L464" i="11"/>
  <c r="O464" i="11" s="1"/>
  <c r="P464" i="11" s="1"/>
  <c r="AC87" i="10"/>
  <c r="L665" i="11"/>
  <c r="O665" i="11" s="1"/>
  <c r="P665" i="11" s="1"/>
  <c r="AA88" i="10"/>
  <c r="L466" i="11"/>
  <c r="O466" i="11" s="1"/>
  <c r="P466" i="11" s="1"/>
  <c r="AC89" i="10"/>
  <c r="L667" i="11"/>
  <c r="O667" i="11" s="1"/>
  <c r="P667" i="11" s="1"/>
  <c r="AA90" i="10"/>
  <c r="L468" i="11"/>
  <c r="O468" i="11" s="1"/>
  <c r="P468" i="11" s="1"/>
  <c r="AC91" i="10"/>
  <c r="L669" i="11"/>
  <c r="O669" i="11" s="1"/>
  <c r="P669" i="11" s="1"/>
  <c r="AA92" i="10"/>
  <c r="L470" i="11"/>
  <c r="O470" i="11" s="1"/>
  <c r="P470" i="11" s="1"/>
  <c r="AC93" i="10"/>
  <c r="L671" i="11"/>
  <c r="O671" i="11" s="1"/>
  <c r="P671" i="11" s="1"/>
  <c r="AA94" i="10"/>
  <c r="L472" i="11"/>
  <c r="O472" i="11" s="1"/>
  <c r="P472" i="11" s="1"/>
  <c r="AC95" i="10"/>
  <c r="L673" i="11"/>
  <c r="O673" i="11" s="1"/>
  <c r="P673" i="11" s="1"/>
  <c r="AA96" i="10"/>
  <c r="L474" i="11"/>
  <c r="O474" i="11" s="1"/>
  <c r="P474" i="11" s="1"/>
  <c r="AC97" i="10"/>
  <c r="L675" i="11"/>
  <c r="O675" i="11" s="1"/>
  <c r="P675" i="11" s="1"/>
  <c r="AA98" i="10"/>
  <c r="L476" i="11"/>
  <c r="O476" i="11" s="1"/>
  <c r="P476" i="11" s="1"/>
  <c r="AC99" i="10"/>
  <c r="L677" i="11"/>
  <c r="O677" i="11" s="1"/>
  <c r="P677" i="11" s="1"/>
  <c r="AA100" i="10"/>
  <c r="L478" i="11"/>
  <c r="O478" i="11" s="1"/>
  <c r="P478" i="11" s="1"/>
  <c r="AD63" i="10"/>
  <c r="L741" i="11"/>
  <c r="O741" i="11" s="1"/>
  <c r="P741" i="11" s="1"/>
  <c r="AC66" i="10"/>
  <c r="L644" i="11"/>
  <c r="O644" i="11" s="1"/>
  <c r="P644" i="11" s="1"/>
  <c r="AA67" i="10"/>
  <c r="L445" i="11"/>
  <c r="O445" i="11" s="1"/>
  <c r="P445" i="11" s="1"/>
  <c r="AD69" i="10"/>
  <c r="L747" i="11"/>
  <c r="O747" i="11" s="1"/>
  <c r="P747" i="11" s="1"/>
  <c r="AB70" i="10"/>
  <c r="L548" i="11"/>
  <c r="O548" i="11" s="1"/>
  <c r="P548" i="11" s="1"/>
  <c r="AD71" i="10"/>
  <c r="L749" i="11"/>
  <c r="O749" i="11" s="1"/>
  <c r="P749" i="11" s="1"/>
  <c r="AB72" i="10"/>
  <c r="L550" i="11"/>
  <c r="O550" i="11" s="1"/>
  <c r="P550" i="11" s="1"/>
  <c r="AD73" i="10"/>
  <c r="L751" i="11"/>
  <c r="O751" i="11" s="1"/>
  <c r="P751" i="11" s="1"/>
  <c r="AB74" i="10"/>
  <c r="L552" i="11"/>
  <c r="O552" i="11" s="1"/>
  <c r="P552" i="11" s="1"/>
  <c r="AD75" i="10"/>
  <c r="L753" i="11"/>
  <c r="O753" i="11" s="1"/>
  <c r="P753" i="11" s="1"/>
  <c r="AB76" i="10"/>
  <c r="L554" i="11"/>
  <c r="O554" i="11" s="1"/>
  <c r="P554" i="11" s="1"/>
  <c r="AD77" i="10"/>
  <c r="L755" i="11"/>
  <c r="O755" i="11" s="1"/>
  <c r="P755" i="11" s="1"/>
  <c r="AB78" i="10"/>
  <c r="L556" i="11"/>
  <c r="O556" i="11" s="1"/>
  <c r="P556" i="11" s="1"/>
  <c r="AD79" i="10"/>
  <c r="L757" i="11"/>
  <c r="O757" i="11" s="1"/>
  <c r="P757" i="11" s="1"/>
  <c r="AB80" i="10"/>
  <c r="L558" i="11"/>
  <c r="O558" i="11" s="1"/>
  <c r="P558" i="11" s="1"/>
  <c r="AD81" i="10"/>
  <c r="L759" i="11"/>
  <c r="O759" i="11" s="1"/>
  <c r="P759" i="11" s="1"/>
  <c r="AB82" i="10"/>
  <c r="L560" i="11"/>
  <c r="O560" i="11" s="1"/>
  <c r="P560" i="11" s="1"/>
  <c r="AD83" i="10"/>
  <c r="L761" i="11"/>
  <c r="O761" i="11" s="1"/>
  <c r="P761" i="11" s="1"/>
  <c r="AB84" i="10"/>
  <c r="L562" i="11"/>
  <c r="O562" i="11" s="1"/>
  <c r="P562" i="11" s="1"/>
  <c r="AD85" i="10"/>
  <c r="L763" i="11"/>
  <c r="O763" i="11" s="1"/>
  <c r="P763" i="11" s="1"/>
  <c r="AB86" i="10"/>
  <c r="L564" i="11"/>
  <c r="O564" i="11" s="1"/>
  <c r="P564" i="11" s="1"/>
  <c r="AD87" i="10"/>
  <c r="L765" i="11"/>
  <c r="O765" i="11" s="1"/>
  <c r="P765" i="11" s="1"/>
  <c r="AB88" i="10"/>
  <c r="L566" i="11"/>
  <c r="O566" i="11" s="1"/>
  <c r="P566" i="11" s="1"/>
  <c r="AD89" i="10"/>
  <c r="L767" i="11"/>
  <c r="O767" i="11" s="1"/>
  <c r="P767" i="11" s="1"/>
  <c r="AB90" i="10"/>
  <c r="L568" i="11"/>
  <c r="O568" i="11" s="1"/>
  <c r="P568" i="11" s="1"/>
  <c r="AD91" i="10"/>
  <c r="L769" i="11"/>
  <c r="O769" i="11" s="1"/>
  <c r="P769" i="11" s="1"/>
  <c r="AB92" i="10"/>
  <c r="L570" i="11"/>
  <c r="O570" i="11" s="1"/>
  <c r="P570" i="11" s="1"/>
  <c r="AD93" i="10"/>
  <c r="L771" i="11"/>
  <c r="O771" i="11" s="1"/>
  <c r="P771" i="11" s="1"/>
  <c r="AB94" i="10"/>
  <c r="L572" i="11"/>
  <c r="O572" i="11" s="1"/>
  <c r="P572" i="11" s="1"/>
  <c r="AD95" i="10"/>
  <c r="L773" i="11"/>
  <c r="O773" i="11" s="1"/>
  <c r="P773" i="11" s="1"/>
  <c r="AB96" i="10"/>
  <c r="L574" i="11"/>
  <c r="O574" i="11" s="1"/>
  <c r="P574" i="11" s="1"/>
  <c r="AD97" i="10"/>
  <c r="L775" i="11"/>
  <c r="O775" i="11" s="1"/>
  <c r="P775" i="11" s="1"/>
  <c r="AB98" i="10"/>
  <c r="L576" i="11"/>
  <c r="O576" i="11" s="1"/>
  <c r="P576" i="11" s="1"/>
  <c r="AD99" i="10"/>
  <c r="L777" i="11"/>
  <c r="O777" i="11" s="1"/>
  <c r="P777" i="11" s="1"/>
  <c r="AB100" i="10"/>
  <c r="L578" i="11"/>
  <c r="O578" i="11" s="1"/>
  <c r="P578" i="11" s="1"/>
  <c r="AD66" i="10"/>
  <c r="L744" i="11"/>
  <c r="O744" i="11" s="1"/>
  <c r="P744" i="11" s="1"/>
  <c r="AC67" i="10"/>
  <c r="L645" i="11"/>
  <c r="O645" i="11" s="1"/>
  <c r="P645" i="11" s="1"/>
  <c r="AA68" i="10"/>
  <c r="L446" i="11"/>
  <c r="O446" i="11" s="1"/>
  <c r="P446" i="11" s="1"/>
  <c r="AC70" i="10"/>
  <c r="L648" i="11"/>
  <c r="O648" i="11" s="1"/>
  <c r="P648" i="11" s="1"/>
  <c r="AA71" i="10"/>
  <c r="L449" i="11"/>
  <c r="O449" i="11" s="1"/>
  <c r="P449" i="11" s="1"/>
  <c r="AC72" i="10"/>
  <c r="L650" i="11"/>
  <c r="O650" i="11" s="1"/>
  <c r="P650" i="11" s="1"/>
  <c r="AA73" i="10"/>
  <c r="L451" i="11"/>
  <c r="O451" i="11" s="1"/>
  <c r="P451" i="11" s="1"/>
  <c r="AC74" i="10"/>
  <c r="L652" i="11"/>
  <c r="O652" i="11" s="1"/>
  <c r="P652" i="11" s="1"/>
  <c r="AA75" i="10"/>
  <c r="L453" i="11"/>
  <c r="O453" i="11" s="1"/>
  <c r="P453" i="11" s="1"/>
  <c r="AC76" i="10"/>
  <c r="L654" i="11"/>
  <c r="O654" i="11" s="1"/>
  <c r="P654" i="11" s="1"/>
  <c r="AA77" i="10"/>
  <c r="L455" i="11"/>
  <c r="O455" i="11" s="1"/>
  <c r="P455" i="11" s="1"/>
  <c r="AC78" i="10"/>
  <c r="L656" i="11"/>
  <c r="O656" i="11" s="1"/>
  <c r="P656" i="11" s="1"/>
  <c r="AA79" i="10"/>
  <c r="L457" i="11"/>
  <c r="O457" i="11" s="1"/>
  <c r="P457" i="11" s="1"/>
  <c r="AC80" i="10"/>
  <c r="L658" i="11"/>
  <c r="O658" i="11" s="1"/>
  <c r="P658" i="11" s="1"/>
  <c r="AA81" i="10"/>
  <c r="L459" i="11"/>
  <c r="O459" i="11" s="1"/>
  <c r="P459" i="11" s="1"/>
  <c r="AC82" i="10"/>
  <c r="L660" i="11"/>
  <c r="O660" i="11" s="1"/>
  <c r="P660" i="11" s="1"/>
  <c r="AA83" i="10"/>
  <c r="L461" i="11"/>
  <c r="O461" i="11" s="1"/>
  <c r="P461" i="11" s="1"/>
  <c r="AC84" i="10"/>
  <c r="L662" i="11"/>
  <c r="O662" i="11" s="1"/>
  <c r="P662" i="11" s="1"/>
  <c r="AA85" i="10"/>
  <c r="L463" i="11"/>
  <c r="O463" i="11" s="1"/>
  <c r="P463" i="11" s="1"/>
  <c r="AC86" i="10"/>
  <c r="L664" i="11"/>
  <c r="O664" i="11" s="1"/>
  <c r="P664" i="11" s="1"/>
  <c r="AA87" i="10"/>
  <c r="L465" i="11"/>
  <c r="O465" i="11" s="1"/>
  <c r="P465" i="11" s="1"/>
  <c r="AC88" i="10"/>
  <c r="L666" i="11"/>
  <c r="O666" i="11" s="1"/>
  <c r="P666" i="11" s="1"/>
  <c r="AA89" i="10"/>
  <c r="L467" i="11"/>
  <c r="O467" i="11" s="1"/>
  <c r="P467" i="11" s="1"/>
  <c r="AC90" i="10"/>
  <c r="L668" i="11"/>
  <c r="O668" i="11" s="1"/>
  <c r="P668" i="11" s="1"/>
  <c r="AA91" i="10"/>
  <c r="L469" i="11"/>
  <c r="O469" i="11" s="1"/>
  <c r="P469" i="11" s="1"/>
  <c r="AC92" i="10"/>
  <c r="L670" i="11"/>
  <c r="O670" i="11" s="1"/>
  <c r="P670" i="11" s="1"/>
  <c r="AA93" i="10"/>
  <c r="L471" i="11"/>
  <c r="O471" i="11" s="1"/>
  <c r="P471" i="11" s="1"/>
  <c r="AC94" i="10"/>
  <c r="L672" i="11"/>
  <c r="O672" i="11" s="1"/>
  <c r="P672" i="11" s="1"/>
  <c r="AA95" i="10"/>
  <c r="L473" i="11"/>
  <c r="O473" i="11" s="1"/>
  <c r="P473" i="11" s="1"/>
  <c r="AC96" i="10"/>
  <c r="L674" i="11"/>
  <c r="O674" i="11" s="1"/>
  <c r="P674" i="11" s="1"/>
  <c r="AA97" i="10"/>
  <c r="L475" i="11"/>
  <c r="O475" i="11" s="1"/>
  <c r="P475" i="11" s="1"/>
  <c r="AC98" i="10"/>
  <c r="L676" i="11"/>
  <c r="O676" i="11" s="1"/>
  <c r="P676" i="11" s="1"/>
  <c r="AA99" i="10"/>
  <c r="L477" i="11"/>
  <c r="O477" i="11" s="1"/>
  <c r="P477" i="11" s="1"/>
  <c r="AC100" i="10"/>
  <c r="L678" i="11"/>
  <c r="O678" i="11" s="1"/>
  <c r="P678" i="11" s="1"/>
  <c r="AA63" i="10"/>
  <c r="L441" i="11"/>
  <c r="O441" i="11" s="1"/>
  <c r="P441" i="11" s="1"/>
  <c r="AD67" i="10"/>
  <c r="L745" i="11"/>
  <c r="O745" i="11" s="1"/>
  <c r="P745" i="11" s="1"/>
  <c r="AC68" i="10"/>
  <c r="L646" i="11"/>
  <c r="O646" i="11" s="1"/>
  <c r="P646" i="11" s="1"/>
  <c r="AA69" i="10"/>
  <c r="L447" i="11"/>
  <c r="O447" i="11" s="1"/>
  <c r="P447" i="11" s="1"/>
  <c r="AD70" i="10"/>
  <c r="L748" i="11"/>
  <c r="O748" i="11" s="1"/>
  <c r="P748" i="11" s="1"/>
  <c r="AB71" i="10"/>
  <c r="L549" i="11"/>
  <c r="O549" i="11" s="1"/>
  <c r="P549" i="11" s="1"/>
  <c r="AD72" i="10"/>
  <c r="L750" i="11"/>
  <c r="O750" i="11" s="1"/>
  <c r="P750" i="11" s="1"/>
  <c r="AB73" i="10"/>
  <c r="L551" i="11"/>
  <c r="O551" i="11" s="1"/>
  <c r="P551" i="11" s="1"/>
  <c r="AD74" i="10"/>
  <c r="L752" i="11"/>
  <c r="O752" i="11" s="1"/>
  <c r="P752" i="11" s="1"/>
  <c r="AB75" i="10"/>
  <c r="L553" i="11"/>
  <c r="O553" i="11" s="1"/>
  <c r="P553" i="11" s="1"/>
  <c r="AD76" i="10"/>
  <c r="L754" i="11"/>
  <c r="O754" i="11" s="1"/>
  <c r="P754" i="11" s="1"/>
  <c r="AB77" i="10"/>
  <c r="L555" i="11"/>
  <c r="O555" i="11" s="1"/>
  <c r="P555" i="11" s="1"/>
  <c r="AD78" i="10"/>
  <c r="L756" i="11"/>
  <c r="O756" i="11" s="1"/>
  <c r="P756" i="11" s="1"/>
  <c r="AB79" i="10"/>
  <c r="L557" i="11"/>
  <c r="O557" i="11" s="1"/>
  <c r="P557" i="11" s="1"/>
  <c r="AD80" i="10"/>
  <c r="L758" i="11"/>
  <c r="O758" i="11" s="1"/>
  <c r="P758" i="11" s="1"/>
  <c r="AB81" i="10"/>
  <c r="L559" i="11"/>
  <c r="O559" i="11" s="1"/>
  <c r="P559" i="11" s="1"/>
  <c r="AD82" i="10"/>
  <c r="L760" i="11"/>
  <c r="O760" i="11" s="1"/>
  <c r="P760" i="11" s="1"/>
  <c r="AB83" i="10"/>
  <c r="L561" i="11"/>
  <c r="O561" i="11" s="1"/>
  <c r="P561" i="11" s="1"/>
  <c r="AD84" i="10"/>
  <c r="L762" i="11"/>
  <c r="O762" i="11" s="1"/>
  <c r="P762" i="11" s="1"/>
  <c r="AB85" i="10"/>
  <c r="L563" i="11"/>
  <c r="O563" i="11" s="1"/>
  <c r="P563" i="11" s="1"/>
  <c r="AD86" i="10"/>
  <c r="L764" i="11"/>
  <c r="O764" i="11" s="1"/>
  <c r="P764" i="11" s="1"/>
  <c r="AB87" i="10"/>
  <c r="L565" i="11"/>
  <c r="O565" i="11" s="1"/>
  <c r="P565" i="11" s="1"/>
  <c r="AD88" i="10"/>
  <c r="L766" i="11"/>
  <c r="O766" i="11" s="1"/>
  <c r="P766" i="11" s="1"/>
  <c r="AB89" i="10"/>
  <c r="L567" i="11"/>
  <c r="O567" i="11" s="1"/>
  <c r="P567" i="11" s="1"/>
  <c r="AD90" i="10"/>
  <c r="L768" i="11"/>
  <c r="O768" i="11" s="1"/>
  <c r="P768" i="11" s="1"/>
  <c r="AB91" i="10"/>
  <c r="L569" i="11"/>
  <c r="O569" i="11" s="1"/>
  <c r="P569" i="11" s="1"/>
  <c r="AD92" i="10"/>
  <c r="L770" i="11"/>
  <c r="O770" i="11" s="1"/>
  <c r="P770" i="11" s="1"/>
  <c r="AB93" i="10"/>
  <c r="L571" i="11"/>
  <c r="O571" i="11" s="1"/>
  <c r="P571" i="11" s="1"/>
  <c r="AD94" i="10"/>
  <c r="L772" i="11"/>
  <c r="O772" i="11" s="1"/>
  <c r="P772" i="11" s="1"/>
  <c r="AB95" i="10"/>
  <c r="L573" i="11"/>
  <c r="O573" i="11" s="1"/>
  <c r="P573" i="11" s="1"/>
  <c r="AD96" i="10"/>
  <c r="L774" i="11"/>
  <c r="O774" i="11" s="1"/>
  <c r="P774" i="11" s="1"/>
  <c r="AB97" i="10"/>
  <c r="L575" i="11"/>
  <c r="O575" i="11" s="1"/>
  <c r="P575" i="11" s="1"/>
  <c r="AD98" i="10"/>
  <c r="L776" i="11"/>
  <c r="O776" i="11" s="1"/>
  <c r="P776" i="11" s="1"/>
  <c r="AB99" i="10"/>
  <c r="L577" i="11"/>
  <c r="O577" i="11" s="1"/>
  <c r="P577" i="11" s="1"/>
  <c r="AD100" i="10"/>
  <c r="L778" i="11"/>
  <c r="O778" i="11" s="1"/>
  <c r="P778" i="11" s="1"/>
  <c r="AC101" i="10"/>
  <c r="L679" i="11"/>
  <c r="O679" i="11" s="1"/>
  <c r="P679" i="11" s="1"/>
  <c r="AD101" i="10"/>
  <c r="L779" i="11"/>
  <c r="O779" i="11" s="1"/>
  <c r="P779" i="11" s="1"/>
  <c r="AA101" i="10"/>
  <c r="L479" i="11"/>
  <c r="O479" i="11" s="1"/>
  <c r="P479" i="11" s="1"/>
  <c r="AB101" i="10"/>
  <c r="L579" i="11"/>
  <c r="O579" i="11" s="1"/>
  <c r="P579" i="11" s="1"/>
  <c r="C124" i="16"/>
  <c r="C125" i="16"/>
  <c r="E122" i="16"/>
  <c r="D124" i="16"/>
  <c r="D125" i="16"/>
  <c r="J77" i="26"/>
  <c r="I80" i="26"/>
  <c r="L80" i="26"/>
  <c r="K81" i="26"/>
  <c r="I82" i="26"/>
  <c r="L82" i="26"/>
  <c r="K83" i="26"/>
  <c r="I84" i="26"/>
  <c r="K84" i="26"/>
  <c r="I85" i="26"/>
  <c r="K85" i="26"/>
  <c r="I86" i="26"/>
  <c r="K86" i="26"/>
  <c r="I87" i="26"/>
  <c r="K87" i="26"/>
  <c r="I88" i="26"/>
  <c r="K88" i="26"/>
  <c r="I89" i="26"/>
  <c r="K89" i="26"/>
  <c r="I90" i="26"/>
  <c r="K90" i="26"/>
  <c r="I91" i="26"/>
  <c r="K91" i="26"/>
  <c r="I92" i="26"/>
  <c r="K92" i="26"/>
  <c r="I93" i="26"/>
  <c r="K93" i="26"/>
  <c r="I94" i="26"/>
  <c r="K94" i="26"/>
  <c r="I95" i="26"/>
  <c r="K95" i="26"/>
  <c r="I96" i="26"/>
  <c r="K96" i="26"/>
  <c r="I97" i="26"/>
  <c r="K97" i="26"/>
  <c r="I98" i="26"/>
  <c r="K98" i="26"/>
  <c r="I99" i="26"/>
  <c r="K99" i="26"/>
  <c r="I100" i="26"/>
  <c r="K100" i="26"/>
  <c r="I101" i="26"/>
  <c r="K101" i="26"/>
  <c r="I102" i="26"/>
  <c r="K102" i="26"/>
  <c r="I103" i="26"/>
  <c r="K103" i="26"/>
  <c r="I104" i="26"/>
  <c r="K104" i="26"/>
  <c r="I105" i="26"/>
  <c r="K105" i="26"/>
  <c r="I106" i="26"/>
  <c r="K106" i="26"/>
  <c r="I107" i="26"/>
  <c r="K107" i="26"/>
  <c r="I108" i="26"/>
  <c r="K108" i="26"/>
  <c r="I109" i="26"/>
  <c r="K109" i="26"/>
  <c r="I110" i="26"/>
  <c r="K110" i="26"/>
  <c r="I111" i="26"/>
  <c r="K111" i="26"/>
  <c r="I112" i="26"/>
  <c r="K112" i="26"/>
  <c r="I113" i="26"/>
  <c r="K113" i="26"/>
  <c r="I114" i="26"/>
  <c r="K114" i="26"/>
  <c r="I115" i="26"/>
  <c r="K115" i="26"/>
  <c r="I77" i="26"/>
  <c r="L77" i="26"/>
  <c r="K80" i="26"/>
  <c r="I81" i="26"/>
  <c r="L81" i="26"/>
  <c r="K82" i="26"/>
  <c r="I83" i="26"/>
  <c r="L83" i="26"/>
  <c r="J84" i="26"/>
  <c r="L84" i="26"/>
  <c r="J85" i="26"/>
  <c r="L85" i="26"/>
  <c r="J86" i="26"/>
  <c r="L86" i="26"/>
  <c r="J87" i="26"/>
  <c r="L87" i="26"/>
  <c r="J88" i="26"/>
  <c r="L88" i="26"/>
  <c r="J89" i="26"/>
  <c r="L89" i="26"/>
  <c r="J90" i="26"/>
  <c r="L90" i="26"/>
  <c r="J91" i="26"/>
  <c r="L91" i="26"/>
  <c r="J92" i="26"/>
  <c r="L92" i="26"/>
  <c r="J93" i="26"/>
  <c r="L93" i="26"/>
  <c r="J94" i="26"/>
  <c r="L94" i="26"/>
  <c r="J95" i="26"/>
  <c r="L95" i="26"/>
  <c r="J96" i="26"/>
  <c r="L96" i="26"/>
  <c r="J97" i="26"/>
  <c r="L97" i="26"/>
  <c r="J98" i="26"/>
  <c r="L98" i="26"/>
  <c r="J99" i="26"/>
  <c r="L99" i="26"/>
  <c r="J100" i="26"/>
  <c r="L100" i="26"/>
  <c r="J101" i="26"/>
  <c r="L101" i="26"/>
  <c r="J102" i="26"/>
  <c r="L102" i="26"/>
  <c r="J103" i="26"/>
  <c r="L103" i="26"/>
  <c r="J104" i="26"/>
  <c r="L104" i="26"/>
  <c r="J105" i="26"/>
  <c r="L105" i="26"/>
  <c r="J106" i="26"/>
  <c r="L106" i="26"/>
  <c r="J107" i="26"/>
  <c r="L107" i="26"/>
  <c r="J108" i="26"/>
  <c r="L108" i="26"/>
  <c r="J109" i="26"/>
  <c r="L109" i="26"/>
  <c r="J110" i="26"/>
  <c r="L110" i="26"/>
  <c r="J111" i="26"/>
  <c r="L111" i="26"/>
  <c r="J112" i="26"/>
  <c r="L112" i="26"/>
  <c r="J113" i="26"/>
  <c r="L113" i="26"/>
  <c r="J114" i="26"/>
  <c r="L114" i="26"/>
  <c r="J115" i="26"/>
  <c r="L115" i="26"/>
  <c r="AO57" i="26"/>
  <c r="C122" i="16"/>
  <c r="AP116" i="26"/>
  <c r="O122" i="16"/>
  <c r="AO116" i="26"/>
  <c r="AP57" i="26"/>
  <c r="AQ57" i="26"/>
  <c r="AQ116" i="26"/>
  <c r="AG77" i="26"/>
  <c r="Z80" i="26"/>
  <c r="Z81" i="26"/>
  <c r="Z82" i="26"/>
  <c r="Z83" i="26"/>
  <c r="C66" i="26"/>
  <c r="C67" i="26"/>
  <c r="C68" i="26"/>
  <c r="C69" i="26"/>
  <c r="C70" i="26"/>
  <c r="C71" i="26"/>
  <c r="C72" i="26"/>
  <c r="C73" i="26"/>
  <c r="C74" i="26"/>
  <c r="C75" i="26"/>
  <c r="C76" i="26"/>
  <c r="C77" i="26"/>
  <c r="C78" i="26"/>
  <c r="C79" i="26"/>
  <c r="C80" i="26"/>
  <c r="C81" i="26"/>
  <c r="C82" i="26"/>
  <c r="C83" i="26"/>
  <c r="C84" i="26"/>
  <c r="C85" i="26"/>
  <c r="C86" i="26"/>
  <c r="C87" i="26"/>
  <c r="C88" i="26"/>
  <c r="C89" i="26"/>
  <c r="C90" i="26"/>
  <c r="C91" i="26"/>
  <c r="C92" i="26"/>
  <c r="C93" i="26"/>
  <c r="C94" i="26"/>
  <c r="C95" i="26"/>
  <c r="C96" i="26"/>
  <c r="C97" i="26"/>
  <c r="C98" i="26"/>
  <c r="C99" i="26"/>
  <c r="C100" i="26"/>
  <c r="C101" i="26"/>
  <c r="C102" i="26"/>
  <c r="C103" i="26"/>
  <c r="C104" i="26"/>
  <c r="C105" i="26"/>
  <c r="C106" i="26"/>
  <c r="C107" i="26"/>
  <c r="C108" i="26"/>
  <c r="C109" i="26"/>
  <c r="C110" i="26"/>
  <c r="C111" i="26"/>
  <c r="C112" i="26"/>
  <c r="C113" i="26"/>
  <c r="C114" i="26"/>
  <c r="C115" i="26"/>
  <c r="C7" i="26"/>
  <c r="C8" i="26"/>
  <c r="C9" i="26"/>
  <c r="C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29" i="26"/>
  <c r="C30" i="26"/>
  <c r="C31" i="26"/>
  <c r="C32" i="26"/>
  <c r="C33" i="26"/>
  <c r="C34" i="26"/>
  <c r="C35" i="26"/>
  <c r="C36" i="26"/>
  <c r="C37" i="26"/>
  <c r="C38" i="26"/>
  <c r="C39" i="26"/>
  <c r="C40" i="26"/>
  <c r="C41" i="26"/>
  <c r="C42" i="26"/>
  <c r="C43" i="26"/>
  <c r="C44" i="26"/>
  <c r="C45" i="26"/>
  <c r="C46" i="26"/>
  <c r="C47" i="26"/>
  <c r="C48" i="26"/>
  <c r="C49" i="26"/>
  <c r="C50" i="26"/>
  <c r="C51" i="26"/>
  <c r="C52" i="26"/>
  <c r="C53" i="26"/>
  <c r="C54" i="26"/>
  <c r="C55" i="26"/>
  <c r="C56" i="26"/>
  <c r="C2" i="26"/>
  <c r="AB66" i="10" l="1"/>
  <c r="L544" i="11"/>
  <c r="O544" i="11" s="1"/>
  <c r="P544" i="11" s="1"/>
  <c r="AB69" i="10"/>
  <c r="L547" i="11"/>
  <c r="O547" i="11" s="1"/>
  <c r="P547" i="11" s="1"/>
  <c r="AC63" i="10"/>
  <c r="L641" i="11"/>
  <c r="O641" i="11" s="1"/>
  <c r="P641" i="11" s="1"/>
  <c r="AB68" i="10"/>
  <c r="L546" i="11"/>
  <c r="O546" i="11" s="1"/>
  <c r="P546" i="11" s="1"/>
  <c r="AB67" i="10"/>
  <c r="L545" i="11"/>
  <c r="O545" i="11" s="1"/>
  <c r="P545" i="11" s="1"/>
  <c r="J83" i="26"/>
  <c r="J81" i="26"/>
  <c r="K77" i="26"/>
  <c r="J82" i="26"/>
  <c r="J80" i="26"/>
  <c r="E94" i="9"/>
  <c r="D94" i="9"/>
  <c r="J32" i="9" s="1"/>
  <c r="E93" i="9"/>
  <c r="D93" i="9"/>
  <c r="J31" i="9" s="1"/>
  <c r="E92" i="9"/>
  <c r="D92" i="9"/>
  <c r="J30" i="9" s="1"/>
  <c r="E91" i="9"/>
  <c r="D91" i="9"/>
  <c r="J29" i="9" s="1"/>
  <c r="AH66" i="26" l="1"/>
  <c r="AH67" i="26"/>
  <c r="AH68" i="26"/>
  <c r="AH69" i="26"/>
  <c r="AH70" i="26"/>
  <c r="AH71" i="26"/>
  <c r="AH72" i="26"/>
  <c r="AH73" i="26"/>
  <c r="AH74" i="26"/>
  <c r="AH75" i="26"/>
  <c r="AH76" i="26"/>
  <c r="AH77" i="26"/>
  <c r="AH78" i="26"/>
  <c r="AH79" i="26"/>
  <c r="AH80" i="26"/>
  <c r="AH81" i="26"/>
  <c r="AH82" i="26"/>
  <c r="AH83" i="26"/>
  <c r="AH84" i="26"/>
  <c r="AH85" i="26"/>
  <c r="AH86" i="26"/>
  <c r="AH87" i="26"/>
  <c r="AH88" i="26"/>
  <c r="AH89" i="26"/>
  <c r="AH90" i="26"/>
  <c r="AH91" i="26"/>
  <c r="AH92" i="26"/>
  <c r="AH93" i="26"/>
  <c r="AH94" i="26"/>
  <c r="AH95" i="26"/>
  <c r="AH96" i="26"/>
  <c r="AH97" i="26"/>
  <c r="AH98" i="26"/>
  <c r="AH99" i="26"/>
  <c r="AH100" i="26"/>
  <c r="AH101" i="26"/>
  <c r="AH102" i="26"/>
  <c r="AH103" i="26"/>
  <c r="AH104" i="26"/>
  <c r="AH105" i="26"/>
  <c r="AH106" i="26"/>
  <c r="AH107" i="26"/>
  <c r="AH108" i="26"/>
  <c r="AH109" i="26"/>
  <c r="AH110" i="26"/>
  <c r="AH111" i="26"/>
  <c r="AH112" i="26"/>
  <c r="AH113" i="26"/>
  <c r="AH114" i="26"/>
  <c r="AH115" i="26"/>
  <c r="AA66" i="26"/>
  <c r="AA67" i="26"/>
  <c r="AA68" i="26"/>
  <c r="AA69" i="26"/>
  <c r="AA70" i="26"/>
  <c r="AA71" i="26"/>
  <c r="AA72" i="26"/>
  <c r="AA73" i="26"/>
  <c r="AA74" i="26"/>
  <c r="AA75" i="26"/>
  <c r="AA76" i="26"/>
  <c r="AA77" i="26"/>
  <c r="AA78" i="26"/>
  <c r="AA79" i="26"/>
  <c r="AA80" i="26"/>
  <c r="AA81" i="26"/>
  <c r="AA82" i="26"/>
  <c r="AA83" i="26"/>
  <c r="AA84" i="26"/>
  <c r="AA85" i="26"/>
  <c r="AA86" i="26"/>
  <c r="AA87" i="26"/>
  <c r="AA88" i="26"/>
  <c r="AA89" i="26"/>
  <c r="AA90" i="26"/>
  <c r="AA91" i="26"/>
  <c r="AA92" i="26"/>
  <c r="AA93" i="26"/>
  <c r="AA94" i="26"/>
  <c r="AA95" i="26"/>
  <c r="AA96" i="26"/>
  <c r="AA97" i="26"/>
  <c r="AA98" i="26"/>
  <c r="AA99" i="26"/>
  <c r="AA100" i="26"/>
  <c r="AA101" i="26"/>
  <c r="AA102" i="26"/>
  <c r="AA103" i="26"/>
  <c r="AA104" i="26"/>
  <c r="AA105" i="26"/>
  <c r="AA106" i="26"/>
  <c r="AA107" i="26"/>
  <c r="AA108" i="26"/>
  <c r="AA109" i="26"/>
  <c r="AA110" i="26"/>
  <c r="AA111" i="26"/>
  <c r="AA112" i="26"/>
  <c r="AA113" i="26"/>
  <c r="AA114" i="26"/>
  <c r="AA115" i="26"/>
  <c r="T66" i="26"/>
  <c r="T67" i="26"/>
  <c r="T68" i="26"/>
  <c r="T69" i="26"/>
  <c r="T70" i="26"/>
  <c r="T71" i="26"/>
  <c r="T72" i="26"/>
  <c r="T73" i="26"/>
  <c r="T74" i="26"/>
  <c r="T75" i="26"/>
  <c r="T76" i="26"/>
  <c r="T77" i="26"/>
  <c r="T78" i="26"/>
  <c r="T79" i="26"/>
  <c r="T80" i="26"/>
  <c r="T81" i="26"/>
  <c r="T82" i="26"/>
  <c r="T83" i="26"/>
  <c r="T84" i="26"/>
  <c r="T85" i="26"/>
  <c r="T86" i="26"/>
  <c r="T87" i="26"/>
  <c r="T88" i="26"/>
  <c r="T89" i="26"/>
  <c r="T90" i="26"/>
  <c r="T91" i="26"/>
  <c r="T92" i="26"/>
  <c r="T93" i="26"/>
  <c r="T94" i="26"/>
  <c r="T95" i="26"/>
  <c r="T96" i="26"/>
  <c r="T97" i="26"/>
  <c r="T98" i="26"/>
  <c r="T99" i="26"/>
  <c r="T100" i="26"/>
  <c r="T101" i="26"/>
  <c r="T102" i="26"/>
  <c r="T103" i="26"/>
  <c r="T104" i="26"/>
  <c r="T105" i="26"/>
  <c r="T106" i="26"/>
  <c r="T107" i="26"/>
  <c r="T108" i="26"/>
  <c r="T109" i="26"/>
  <c r="T110" i="26"/>
  <c r="T111" i="26"/>
  <c r="T112" i="26"/>
  <c r="T113" i="26"/>
  <c r="T114" i="26"/>
  <c r="T115" i="26"/>
  <c r="M66" i="26"/>
  <c r="M67" i="26"/>
  <c r="M68" i="26"/>
  <c r="M69" i="26"/>
  <c r="M70" i="26"/>
  <c r="M71" i="26"/>
  <c r="M72" i="26"/>
  <c r="M73" i="26"/>
  <c r="M74" i="26"/>
  <c r="M75" i="26"/>
  <c r="M76" i="26"/>
  <c r="M77" i="26"/>
  <c r="M78" i="26"/>
  <c r="M79" i="26"/>
  <c r="M80" i="26"/>
  <c r="M81" i="26"/>
  <c r="M82" i="26"/>
  <c r="M83" i="26"/>
  <c r="M84" i="26"/>
  <c r="M85" i="26"/>
  <c r="M86" i="26"/>
  <c r="M87" i="26"/>
  <c r="M88" i="26"/>
  <c r="M89" i="26"/>
  <c r="M90" i="26"/>
  <c r="M91" i="26"/>
  <c r="M92" i="26"/>
  <c r="M93" i="26"/>
  <c r="M94" i="26"/>
  <c r="M95" i="26"/>
  <c r="M96" i="26"/>
  <c r="M97" i="26"/>
  <c r="M98" i="26"/>
  <c r="M99" i="26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M112" i="26"/>
  <c r="M113" i="26"/>
  <c r="M114" i="26"/>
  <c r="M115" i="26"/>
  <c r="AJ116" i="26"/>
  <c r="AC116" i="26"/>
  <c r="V116" i="26"/>
  <c r="O116" i="26"/>
  <c r="D116" i="26"/>
  <c r="M171" i="16"/>
  <c r="AR114" i="26"/>
  <c r="M170" i="16"/>
  <c r="M169" i="16"/>
  <c r="M168" i="16"/>
  <c r="AR111" i="26"/>
  <c r="M167" i="16"/>
  <c r="M166" i="16"/>
  <c r="M165" i="16"/>
  <c r="M164" i="16"/>
  <c r="AR107" i="26"/>
  <c r="M163" i="16"/>
  <c r="AR106" i="26"/>
  <c r="M162" i="16"/>
  <c r="M161" i="16"/>
  <c r="AR104" i="26"/>
  <c r="M160" i="16"/>
  <c r="AR103" i="26"/>
  <c r="M159" i="16"/>
  <c r="M158" i="16"/>
  <c r="M157" i="16"/>
  <c r="M156" i="16"/>
  <c r="AR99" i="26"/>
  <c r="M155" i="16"/>
  <c r="AR98" i="26"/>
  <c r="M154" i="16"/>
  <c r="M153" i="16"/>
  <c r="M152" i="16"/>
  <c r="AR95" i="26"/>
  <c r="M151" i="16"/>
  <c r="M150" i="16"/>
  <c r="M149" i="16"/>
  <c r="M148" i="16"/>
  <c r="M147" i="16"/>
  <c r="M146" i="16"/>
  <c r="M145" i="16"/>
  <c r="AR88" i="26"/>
  <c r="M144" i="16"/>
  <c r="M143" i="16"/>
  <c r="AR86" i="26"/>
  <c r="M142" i="16"/>
  <c r="AR85" i="26"/>
  <c r="M141" i="16"/>
  <c r="M140" i="16"/>
  <c r="M139" i="16"/>
  <c r="M138" i="16"/>
  <c r="AR81" i="26"/>
  <c r="M137" i="16"/>
  <c r="AR80" i="26"/>
  <c r="M136" i="16"/>
  <c r="AR79" i="26"/>
  <c r="M135" i="16"/>
  <c r="AR78" i="26"/>
  <c r="M134" i="16"/>
  <c r="M133" i="16"/>
  <c r="AR76" i="26"/>
  <c r="M132" i="16"/>
  <c r="AR75" i="26"/>
  <c r="M131" i="16"/>
  <c r="AR74" i="26"/>
  <c r="M130" i="16"/>
  <c r="AR73" i="26"/>
  <c r="M129" i="16"/>
  <c r="AR72" i="26"/>
  <c r="M128" i="16"/>
  <c r="M127" i="16"/>
  <c r="AR70" i="26"/>
  <c r="M126" i="16"/>
  <c r="M125" i="16"/>
  <c r="AR68" i="26"/>
  <c r="M124" i="16"/>
  <c r="AR67" i="26"/>
  <c r="M123" i="16"/>
  <c r="M122" i="16"/>
  <c r="AS96" i="26" l="1"/>
  <c r="AS113" i="26"/>
  <c r="AR71" i="26"/>
  <c r="AS83" i="26"/>
  <c r="AS95" i="26"/>
  <c r="AS99" i="26"/>
  <c r="AS77" i="26"/>
  <c r="AS94" i="26"/>
  <c r="AS110" i="26"/>
  <c r="AS84" i="26"/>
  <c r="AS87" i="26"/>
  <c r="AS115" i="26"/>
  <c r="AS112" i="26"/>
  <c r="AS70" i="26"/>
  <c r="AS80" i="26"/>
  <c r="AS69" i="26"/>
  <c r="AS102" i="26"/>
  <c r="AS111" i="26"/>
  <c r="AS85" i="26"/>
  <c r="AR94" i="26"/>
  <c r="AR110" i="26"/>
  <c r="AS68" i="26"/>
  <c r="AR69" i="26"/>
  <c r="AS71" i="26"/>
  <c r="AS76" i="26"/>
  <c r="AS79" i="26"/>
  <c r="AS86" i="26"/>
  <c r="AR102" i="26"/>
  <c r="AS104" i="26"/>
  <c r="AS108" i="26"/>
  <c r="AS114" i="26"/>
  <c r="AR66" i="26"/>
  <c r="AR100" i="26"/>
  <c r="AS100" i="26"/>
  <c r="AR77" i="26"/>
  <c r="AS78" i="26"/>
  <c r="AR83" i="26"/>
  <c r="AR84" i="26"/>
  <c r="AR92" i="26"/>
  <c r="AS103" i="26"/>
  <c r="AS75" i="26"/>
  <c r="AS72" i="26"/>
  <c r="AS73" i="26"/>
  <c r="AS81" i="26"/>
  <c r="AR82" i="26"/>
  <c r="AS82" i="26"/>
  <c r="AR89" i="26"/>
  <c r="AR97" i="26"/>
  <c r="AS97" i="26"/>
  <c r="AS67" i="26"/>
  <c r="AS89" i="26"/>
  <c r="AR90" i="26"/>
  <c r="AS90" i="26"/>
  <c r="AR91" i="26"/>
  <c r="AS66" i="26"/>
  <c r="AS74" i="26"/>
  <c r="AS91" i="26"/>
  <c r="AS92" i="26"/>
  <c r="AR93" i="26"/>
  <c r="AS93" i="26"/>
  <c r="AR96" i="26"/>
  <c r="AR87" i="26"/>
  <c r="AS88" i="26"/>
  <c r="AR101" i="26"/>
  <c r="AS101" i="26"/>
  <c r="AR105" i="26"/>
  <c r="AS105" i="26"/>
  <c r="AR108" i="26"/>
  <c r="AR109" i="26"/>
  <c r="AS109" i="26"/>
  <c r="AS98" i="26"/>
  <c r="AS106" i="26"/>
  <c r="AR112" i="26"/>
  <c r="AR115" i="26"/>
  <c r="AS107" i="26"/>
  <c r="AR113" i="26"/>
  <c r="AJ57" i="26"/>
  <c r="E78" i="9"/>
  <c r="D78" i="9"/>
  <c r="E76" i="9"/>
  <c r="D76" i="9"/>
  <c r="E77" i="9"/>
  <c r="D77" i="9"/>
  <c r="E75" i="9"/>
  <c r="AR7" i="26"/>
  <c r="AR8" i="26"/>
  <c r="AR9" i="26"/>
  <c r="AR10" i="26"/>
  <c r="AR11" i="26"/>
  <c r="AR12" i="26"/>
  <c r="AR13" i="26"/>
  <c r="AR14" i="26"/>
  <c r="AR15" i="26"/>
  <c r="AR16" i="26"/>
  <c r="AR17" i="26"/>
  <c r="AR18" i="26"/>
  <c r="AR19" i="26"/>
  <c r="AR20" i="26"/>
  <c r="AR21" i="26"/>
  <c r="AR22" i="26"/>
  <c r="AR23" i="26"/>
  <c r="AR24" i="26"/>
  <c r="AR25" i="26"/>
  <c r="AR26" i="26"/>
  <c r="AR27" i="26"/>
  <c r="AR28" i="26"/>
  <c r="AR29" i="26"/>
  <c r="AR30" i="26"/>
  <c r="AR31" i="26"/>
  <c r="AR32" i="26"/>
  <c r="AR33" i="26"/>
  <c r="AR34" i="26"/>
  <c r="AR35" i="26"/>
  <c r="AR36" i="26"/>
  <c r="AR37" i="26"/>
  <c r="AR38" i="26"/>
  <c r="AR39" i="26"/>
  <c r="AR40" i="26"/>
  <c r="AR41" i="26"/>
  <c r="AR42" i="26"/>
  <c r="AR43" i="26"/>
  <c r="AR44" i="26"/>
  <c r="AR45" i="26"/>
  <c r="AR46" i="26"/>
  <c r="AR47" i="26"/>
  <c r="AR48" i="26"/>
  <c r="AR49" i="26"/>
  <c r="AR50" i="26"/>
  <c r="AR51" i="26"/>
  <c r="AR52" i="26"/>
  <c r="AR53" i="26"/>
  <c r="AR54" i="26"/>
  <c r="AR55" i="26"/>
  <c r="AR56" i="26"/>
  <c r="G63" i="9"/>
  <c r="G64" i="9"/>
  <c r="G65" i="9"/>
  <c r="G66" i="9"/>
  <c r="G67" i="9"/>
  <c r="G68" i="9"/>
  <c r="G69" i="9"/>
  <c r="G70" i="9"/>
  <c r="G71" i="9"/>
  <c r="G72" i="9"/>
  <c r="G73" i="9"/>
  <c r="G74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F63" i="9"/>
  <c r="F64" i="9"/>
  <c r="F65" i="9"/>
  <c r="F66" i="9"/>
  <c r="F67" i="9"/>
  <c r="F68" i="9"/>
  <c r="F69" i="9"/>
  <c r="F70" i="9"/>
  <c r="F71" i="9"/>
  <c r="F72" i="9"/>
  <c r="F73" i="9"/>
  <c r="F74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D75" i="9"/>
  <c r="G75" i="9" l="1"/>
  <c r="I29" i="9"/>
  <c r="G77" i="9"/>
  <c r="I31" i="9"/>
  <c r="G76" i="9"/>
  <c r="I30" i="9"/>
  <c r="G78" i="9"/>
  <c r="I32" i="9"/>
  <c r="AR116" i="26"/>
  <c r="AS116" i="26"/>
  <c r="AR57" i="26"/>
  <c r="F75" i="9"/>
  <c r="F76" i="9"/>
  <c r="F78" i="9"/>
  <c r="F77" i="9"/>
  <c r="E95" i="9"/>
  <c r="D95" i="9"/>
  <c r="A31" i="11" l="1"/>
  <c r="U12" i="11"/>
  <c r="U10" i="11"/>
  <c r="U8" i="11"/>
  <c r="U11" i="11"/>
  <c r="U9" i="11"/>
  <c r="U7" i="11"/>
  <c r="G95" i="9"/>
  <c r="B31" i="11" s="1"/>
  <c r="F95" i="9"/>
  <c r="B124" i="16" l="1"/>
  <c r="B125" i="16"/>
  <c r="B126" i="16"/>
  <c r="B127" i="16"/>
  <c r="H2132" i="20" l="1"/>
  <c r="H2133" i="20" s="1"/>
  <c r="H2032" i="20"/>
  <c r="H2033" i="20" s="1"/>
  <c r="H2232" i="20"/>
  <c r="H2233" i="20" s="1"/>
  <c r="H1932" i="20"/>
  <c r="H1933" i="20" s="1"/>
  <c r="H2128" i="20"/>
  <c r="H2129" i="20" s="1"/>
  <c r="H2028" i="20"/>
  <c r="H2029" i="20" s="1"/>
  <c r="H2228" i="20"/>
  <c r="H2229" i="20" s="1"/>
  <c r="H1928" i="20"/>
  <c r="H1929" i="20" s="1"/>
  <c r="I2232" i="20"/>
  <c r="I2233" i="20" s="1"/>
  <c r="I1932" i="20"/>
  <c r="I1933" i="20" s="1"/>
  <c r="I2132" i="20"/>
  <c r="I2133" i="20" s="1"/>
  <c r="I2032" i="20"/>
  <c r="I2033" i="20" s="1"/>
  <c r="I2228" i="20"/>
  <c r="I2229" i="20" s="1"/>
  <c r="I1928" i="20"/>
  <c r="I1929" i="20" s="1"/>
  <c r="I2128" i="20"/>
  <c r="I2129" i="20" s="1"/>
  <c r="I2028" i="20"/>
  <c r="I2029" i="20" s="1"/>
  <c r="J2132" i="20"/>
  <c r="J2133" i="20" s="1"/>
  <c r="J2032" i="20"/>
  <c r="J2033" i="20" s="1"/>
  <c r="J2232" i="20"/>
  <c r="J2233" i="20" s="1"/>
  <c r="J1932" i="20"/>
  <c r="J1933" i="20" s="1"/>
  <c r="J2128" i="20"/>
  <c r="J2129" i="20" s="1"/>
  <c r="J2028" i="20"/>
  <c r="J2029" i="20" s="1"/>
  <c r="J2228" i="20"/>
  <c r="J2229" i="20" s="1"/>
  <c r="J1928" i="20"/>
  <c r="J1929" i="20" s="1"/>
  <c r="H2230" i="20"/>
  <c r="H2231" i="20" s="1"/>
  <c r="H1930" i="20"/>
  <c r="H1931" i="20" s="1"/>
  <c r="H2130" i="20"/>
  <c r="H2131" i="20" s="1"/>
  <c r="H2030" i="20"/>
  <c r="H2031" i="20" s="1"/>
  <c r="H2226" i="20"/>
  <c r="H2227" i="20" s="1"/>
  <c r="H1926" i="20"/>
  <c r="H1927" i="20" s="1"/>
  <c r="H2126" i="20"/>
  <c r="H2127" i="20" s="1"/>
  <c r="H2026" i="20"/>
  <c r="H2027" i="20" s="1"/>
  <c r="I2130" i="20"/>
  <c r="I2131" i="20" s="1"/>
  <c r="I2030" i="20"/>
  <c r="I2031" i="20" s="1"/>
  <c r="I2230" i="20"/>
  <c r="I2231" i="20" s="1"/>
  <c r="I1930" i="20"/>
  <c r="I1931" i="20" s="1"/>
  <c r="I2126" i="20"/>
  <c r="I2127" i="20" s="1"/>
  <c r="I2026" i="20"/>
  <c r="I2027" i="20" s="1"/>
  <c r="I2226" i="20"/>
  <c r="I2227" i="20" s="1"/>
  <c r="I1926" i="20"/>
  <c r="I1927" i="20" s="1"/>
  <c r="J2230" i="20"/>
  <c r="J2231" i="20" s="1"/>
  <c r="J1930" i="20"/>
  <c r="J1931" i="20" s="1"/>
  <c r="J2130" i="20"/>
  <c r="J2131" i="20" s="1"/>
  <c r="J2030" i="20"/>
  <c r="J2031" i="20" s="1"/>
  <c r="J2226" i="20"/>
  <c r="J2227" i="20" s="1"/>
  <c r="J1926" i="20"/>
  <c r="J1927" i="20" s="1"/>
  <c r="J2126" i="20"/>
  <c r="J2127" i="20" s="1"/>
  <c r="J2026" i="20"/>
  <c r="J2027" i="20" s="1"/>
  <c r="Z7" i="26"/>
  <c r="U66" i="26" s="1"/>
  <c r="AB2" i="10" l="1"/>
  <c r="L480" i="11"/>
  <c r="O480" i="11" s="1"/>
  <c r="P480" i="11" s="1"/>
  <c r="J7" i="26"/>
  <c r="D57" i="26"/>
  <c r="AC57" i="26"/>
  <c r="V57" i="26"/>
  <c r="O57" i="26"/>
  <c r="AS55" i="26" l="1"/>
  <c r="AS53" i="26"/>
  <c r="AS51" i="26"/>
  <c r="AS49" i="26"/>
  <c r="AS47" i="26"/>
  <c r="AS45" i="26"/>
  <c r="AS43" i="26"/>
  <c r="AS41" i="26"/>
  <c r="AS39" i="26"/>
  <c r="AS37" i="26"/>
  <c r="AS35" i="26"/>
  <c r="AS33" i="26"/>
  <c r="AS31" i="26"/>
  <c r="AS29" i="26"/>
  <c r="AS27" i="26"/>
  <c r="AS25" i="26"/>
  <c r="AS23" i="26"/>
  <c r="AS21" i="26"/>
  <c r="AS19" i="26"/>
  <c r="AS17" i="26"/>
  <c r="AS15" i="26"/>
  <c r="AS13" i="26"/>
  <c r="AS11" i="26"/>
  <c r="AS9" i="26"/>
  <c r="AS7" i="26"/>
  <c r="AS56" i="26"/>
  <c r="AS54" i="26"/>
  <c r="AS52" i="26"/>
  <c r="AS50" i="26"/>
  <c r="AS48" i="26"/>
  <c r="AS46" i="26"/>
  <c r="AS44" i="26"/>
  <c r="AS42" i="26"/>
  <c r="AS40" i="26"/>
  <c r="AS38" i="26"/>
  <c r="AS36" i="26"/>
  <c r="AS34" i="26"/>
  <c r="AS32" i="26"/>
  <c r="AS30" i="26"/>
  <c r="AS28" i="26"/>
  <c r="AS26" i="26"/>
  <c r="AS24" i="26"/>
  <c r="AS22" i="26"/>
  <c r="AS20" i="26"/>
  <c r="AS18" i="26"/>
  <c r="AS16" i="26"/>
  <c r="AS14" i="26"/>
  <c r="AS12" i="26"/>
  <c r="AS10" i="26"/>
  <c r="AS8" i="26"/>
  <c r="AN7" i="26"/>
  <c r="AN8" i="26"/>
  <c r="AN9" i="26"/>
  <c r="L682" i="11" s="1"/>
  <c r="O682" i="11" s="1"/>
  <c r="P682" i="11" s="1"/>
  <c r="AN10" i="26"/>
  <c r="AN11" i="26"/>
  <c r="L684" i="11" s="1"/>
  <c r="O684" i="11" s="1"/>
  <c r="P684" i="11" s="1"/>
  <c r="AN12" i="26"/>
  <c r="L685" i="11" s="1"/>
  <c r="O685" i="11" s="1"/>
  <c r="P685" i="11" s="1"/>
  <c r="AN13" i="26"/>
  <c r="L686" i="11" s="1"/>
  <c r="O686" i="11" s="1"/>
  <c r="P686" i="11" s="1"/>
  <c r="AN14" i="26"/>
  <c r="L687" i="11" s="1"/>
  <c r="O687" i="11" s="1"/>
  <c r="P687" i="11" s="1"/>
  <c r="AN15" i="26"/>
  <c r="L688" i="11" s="1"/>
  <c r="O688" i="11" s="1"/>
  <c r="P688" i="11" s="1"/>
  <c r="AN16" i="26"/>
  <c r="L689" i="11" s="1"/>
  <c r="O689" i="11" s="1"/>
  <c r="P689" i="11" s="1"/>
  <c r="AN17" i="26"/>
  <c r="L690" i="11" s="1"/>
  <c r="O690" i="11" s="1"/>
  <c r="P690" i="11" s="1"/>
  <c r="AN18" i="26"/>
  <c r="L691" i="11" s="1"/>
  <c r="O691" i="11" s="1"/>
  <c r="P691" i="11" s="1"/>
  <c r="AN19" i="26"/>
  <c r="L692" i="11" s="1"/>
  <c r="O692" i="11" s="1"/>
  <c r="P692" i="11" s="1"/>
  <c r="AN20" i="26"/>
  <c r="L693" i="11" s="1"/>
  <c r="O693" i="11" s="1"/>
  <c r="P693" i="11" s="1"/>
  <c r="AN21" i="26"/>
  <c r="AN22" i="26"/>
  <c r="AN23" i="26"/>
  <c r="AN24" i="26"/>
  <c r="AN25" i="26"/>
  <c r="AN26" i="26"/>
  <c r="AN27" i="26"/>
  <c r="AN28" i="26"/>
  <c r="AN29" i="26"/>
  <c r="AN30" i="26"/>
  <c r="AN31" i="26"/>
  <c r="AN32" i="26"/>
  <c r="AN33" i="26"/>
  <c r="AN34" i="26"/>
  <c r="AN35" i="26"/>
  <c r="AN36" i="26"/>
  <c r="AN37" i="26"/>
  <c r="AN38" i="26"/>
  <c r="AN39" i="26"/>
  <c r="AN40" i="26"/>
  <c r="AN41" i="26"/>
  <c r="AN42" i="26"/>
  <c r="AN43" i="26"/>
  <c r="AN44" i="26"/>
  <c r="AN45" i="26"/>
  <c r="AN46" i="26"/>
  <c r="AN47" i="26"/>
  <c r="AN48" i="26"/>
  <c r="AN49" i="26"/>
  <c r="AN50" i="26"/>
  <c r="AN51" i="26"/>
  <c r="AN52" i="26"/>
  <c r="AN53" i="26"/>
  <c r="AN54" i="26"/>
  <c r="AN55" i="26"/>
  <c r="AN56" i="26"/>
  <c r="AG7" i="26"/>
  <c r="AB66" i="26" s="1"/>
  <c r="AG8" i="26"/>
  <c r="AG9" i="26"/>
  <c r="L582" i="11" s="1"/>
  <c r="O582" i="11" s="1"/>
  <c r="P582" i="11" s="1"/>
  <c r="AG10" i="26"/>
  <c r="L583" i="11" s="1"/>
  <c r="O583" i="11" s="1"/>
  <c r="P583" i="11" s="1"/>
  <c r="AG11" i="26"/>
  <c r="L584" i="11" s="1"/>
  <c r="O584" i="11" s="1"/>
  <c r="P584" i="11" s="1"/>
  <c r="AG12" i="26"/>
  <c r="L585" i="11" s="1"/>
  <c r="O585" i="11" s="1"/>
  <c r="P585" i="11" s="1"/>
  <c r="AG13" i="26"/>
  <c r="L586" i="11" s="1"/>
  <c r="O586" i="11" s="1"/>
  <c r="P586" i="11" s="1"/>
  <c r="AG14" i="26"/>
  <c r="L587" i="11" s="1"/>
  <c r="O587" i="11" s="1"/>
  <c r="P587" i="11" s="1"/>
  <c r="AG15" i="26"/>
  <c r="L588" i="11" s="1"/>
  <c r="O588" i="11" s="1"/>
  <c r="P588" i="11" s="1"/>
  <c r="AG16" i="26"/>
  <c r="L589" i="11" s="1"/>
  <c r="O589" i="11" s="1"/>
  <c r="P589" i="11" s="1"/>
  <c r="AG17" i="26"/>
  <c r="L590" i="11" s="1"/>
  <c r="O590" i="11" s="1"/>
  <c r="P590" i="11" s="1"/>
  <c r="AG18" i="26"/>
  <c r="L591" i="11" s="1"/>
  <c r="O591" i="11" s="1"/>
  <c r="P591" i="11" s="1"/>
  <c r="AG19" i="26"/>
  <c r="L592" i="11" s="1"/>
  <c r="O592" i="11" s="1"/>
  <c r="P592" i="11" s="1"/>
  <c r="AG20" i="26"/>
  <c r="L593" i="11" s="1"/>
  <c r="O593" i="11" s="1"/>
  <c r="P593" i="11" s="1"/>
  <c r="AG21" i="26"/>
  <c r="AG22" i="26"/>
  <c r="AG23" i="26"/>
  <c r="AG24" i="26"/>
  <c r="AG25" i="26"/>
  <c r="AG26" i="26"/>
  <c r="AG27" i="26"/>
  <c r="AG28" i="26"/>
  <c r="AG29" i="26"/>
  <c r="AG30" i="26"/>
  <c r="AG31" i="26"/>
  <c r="AG32" i="26"/>
  <c r="AG33" i="26"/>
  <c r="AG34" i="26"/>
  <c r="AG35" i="26"/>
  <c r="AG36" i="26"/>
  <c r="AG37" i="26"/>
  <c r="AG38" i="26"/>
  <c r="AG39" i="26"/>
  <c r="AG40" i="26"/>
  <c r="AG41" i="26"/>
  <c r="AG42" i="26"/>
  <c r="AG43" i="26"/>
  <c r="AG44" i="26"/>
  <c r="AG45" i="26"/>
  <c r="AG46" i="26"/>
  <c r="AG47" i="26"/>
  <c r="AG48" i="26"/>
  <c r="AG49" i="26"/>
  <c r="AG50" i="26"/>
  <c r="AG51" i="26"/>
  <c r="AG52" i="26"/>
  <c r="AG53" i="26"/>
  <c r="AG54" i="26"/>
  <c r="AG55" i="26"/>
  <c r="AG56" i="26"/>
  <c r="Z8" i="26"/>
  <c r="Z9" i="26"/>
  <c r="L482" i="11" s="1"/>
  <c r="O482" i="11" s="1"/>
  <c r="P482" i="11" s="1"/>
  <c r="Z10" i="26"/>
  <c r="L483" i="11" s="1"/>
  <c r="O483" i="11" s="1"/>
  <c r="P483" i="11" s="1"/>
  <c r="Z11" i="26"/>
  <c r="L484" i="11" s="1"/>
  <c r="O484" i="11" s="1"/>
  <c r="P484" i="11" s="1"/>
  <c r="Z12" i="26"/>
  <c r="L485" i="11" s="1"/>
  <c r="O485" i="11" s="1"/>
  <c r="P485" i="11" s="1"/>
  <c r="Z13" i="26"/>
  <c r="L486" i="11" s="1"/>
  <c r="O486" i="11" s="1"/>
  <c r="P486" i="11" s="1"/>
  <c r="Z14" i="26"/>
  <c r="L487" i="11" s="1"/>
  <c r="O487" i="11" s="1"/>
  <c r="P487" i="11" s="1"/>
  <c r="Z15" i="26"/>
  <c r="L488" i="11" s="1"/>
  <c r="O488" i="11" s="1"/>
  <c r="P488" i="11" s="1"/>
  <c r="Z16" i="26"/>
  <c r="L489" i="11" s="1"/>
  <c r="O489" i="11" s="1"/>
  <c r="P489" i="11" s="1"/>
  <c r="Z17" i="26"/>
  <c r="L490" i="11" s="1"/>
  <c r="O490" i="11" s="1"/>
  <c r="P490" i="11" s="1"/>
  <c r="Z18" i="26"/>
  <c r="L491" i="11" s="1"/>
  <c r="O491" i="11" s="1"/>
  <c r="P491" i="11" s="1"/>
  <c r="Z19" i="26"/>
  <c r="L492" i="11" s="1"/>
  <c r="O492" i="11" s="1"/>
  <c r="P492" i="11" s="1"/>
  <c r="Z20" i="26"/>
  <c r="L493" i="11" s="1"/>
  <c r="O493" i="11" s="1"/>
  <c r="P493" i="11" s="1"/>
  <c r="Z21" i="26"/>
  <c r="Z22" i="26"/>
  <c r="Z23" i="26"/>
  <c r="Z24" i="26"/>
  <c r="Z25" i="26"/>
  <c r="Z26" i="26"/>
  <c r="Z27" i="26"/>
  <c r="Z28" i="26"/>
  <c r="Z29" i="26"/>
  <c r="Z30" i="26"/>
  <c r="Z31" i="26"/>
  <c r="Z32" i="26"/>
  <c r="Z33" i="26"/>
  <c r="Z34" i="26"/>
  <c r="Z35" i="26"/>
  <c r="Z36" i="26"/>
  <c r="Z37" i="26"/>
  <c r="Z38" i="26"/>
  <c r="Z39" i="26"/>
  <c r="Z40" i="26"/>
  <c r="Z41" i="26"/>
  <c r="Z42" i="26"/>
  <c r="Z43" i="26"/>
  <c r="Z44" i="26"/>
  <c r="Z45" i="26"/>
  <c r="Z46" i="26"/>
  <c r="Z47" i="26"/>
  <c r="Z48" i="26"/>
  <c r="Z49" i="26"/>
  <c r="Z50" i="26"/>
  <c r="Z51" i="26"/>
  <c r="Z52" i="26"/>
  <c r="Z53" i="26"/>
  <c r="Z54" i="26"/>
  <c r="Z55" i="26"/>
  <c r="Z5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L380" i="11" l="1"/>
  <c r="O380" i="11" s="1"/>
  <c r="P380" i="11" s="1"/>
  <c r="N66" i="26"/>
  <c r="L680" i="11"/>
  <c r="O680" i="11" s="1"/>
  <c r="P680" i="11" s="1"/>
  <c r="AI66" i="26"/>
  <c r="AN66" i="26" s="1"/>
  <c r="L730" i="11" s="1"/>
  <c r="O730" i="11" s="1"/>
  <c r="P730" i="11" s="1"/>
  <c r="AC45" i="10"/>
  <c r="L623" i="11"/>
  <c r="O623" i="11" s="1"/>
  <c r="P623" i="11" s="1"/>
  <c r="AC37" i="10"/>
  <c r="L615" i="11"/>
  <c r="O615" i="11" s="1"/>
  <c r="P615" i="11" s="1"/>
  <c r="AC29" i="10"/>
  <c r="L607" i="11"/>
  <c r="O607" i="11" s="1"/>
  <c r="P607" i="11" s="1"/>
  <c r="AC21" i="10"/>
  <c r="L599" i="11"/>
  <c r="O599" i="11" s="1"/>
  <c r="P599" i="11" s="1"/>
  <c r="AD47" i="10"/>
  <c r="L725" i="11"/>
  <c r="O725" i="11" s="1"/>
  <c r="P725" i="11" s="1"/>
  <c r="AD39" i="10"/>
  <c r="L717" i="11"/>
  <c r="O717" i="11" s="1"/>
  <c r="P717" i="11" s="1"/>
  <c r="AD31" i="10"/>
  <c r="L709" i="11"/>
  <c r="O709" i="11" s="1"/>
  <c r="P709" i="11" s="1"/>
  <c r="AD23" i="10"/>
  <c r="L701" i="11"/>
  <c r="O701" i="11" s="1"/>
  <c r="P701" i="11" s="1"/>
  <c r="AB51" i="10"/>
  <c r="L529" i="11"/>
  <c r="O529" i="11" s="1"/>
  <c r="P529" i="11" s="1"/>
  <c r="AD46" i="10"/>
  <c r="L724" i="11"/>
  <c r="O724" i="11" s="1"/>
  <c r="P724" i="11" s="1"/>
  <c r="AD38" i="10"/>
  <c r="L716" i="11"/>
  <c r="O716" i="11" s="1"/>
  <c r="P716" i="11" s="1"/>
  <c r="AD30" i="10"/>
  <c r="L708" i="11"/>
  <c r="O708" i="11" s="1"/>
  <c r="P708" i="11" s="1"/>
  <c r="AD22" i="10"/>
  <c r="L700" i="11"/>
  <c r="O700" i="11" s="1"/>
  <c r="P700" i="11" s="1"/>
  <c r="AA9" i="10"/>
  <c r="L387" i="11"/>
  <c r="O387" i="11" s="1"/>
  <c r="P387" i="11" s="1"/>
  <c r="AB19" i="10"/>
  <c r="L497" i="11"/>
  <c r="O497" i="11" s="1"/>
  <c r="P497" i="11" s="1"/>
  <c r="AC51" i="10"/>
  <c r="L629" i="11"/>
  <c r="O629" i="11" s="1"/>
  <c r="P629" i="11" s="1"/>
  <c r="AC43" i="10"/>
  <c r="L621" i="11"/>
  <c r="O621" i="11" s="1"/>
  <c r="P621" i="11" s="1"/>
  <c r="AC35" i="10"/>
  <c r="L613" i="11"/>
  <c r="O613" i="11" s="1"/>
  <c r="P613" i="11" s="1"/>
  <c r="AC27" i="10"/>
  <c r="L605" i="11"/>
  <c r="O605" i="11" s="1"/>
  <c r="P605" i="11" s="1"/>
  <c r="AC19" i="10"/>
  <c r="L597" i="11"/>
  <c r="O597" i="11" s="1"/>
  <c r="P597" i="11" s="1"/>
  <c r="AD45" i="10"/>
  <c r="L723" i="11"/>
  <c r="O723" i="11" s="1"/>
  <c r="P723" i="11" s="1"/>
  <c r="AD37" i="10"/>
  <c r="L715" i="11"/>
  <c r="O715" i="11" s="1"/>
  <c r="P715" i="11" s="1"/>
  <c r="AD29" i="10"/>
  <c r="L707" i="11"/>
  <c r="O707" i="11" s="1"/>
  <c r="P707" i="11" s="1"/>
  <c r="AD21" i="10"/>
  <c r="L699" i="11"/>
  <c r="O699" i="11" s="1"/>
  <c r="P699" i="11" s="1"/>
  <c r="AD5" i="10"/>
  <c r="L683" i="11"/>
  <c r="O683" i="11" s="1"/>
  <c r="P683" i="11" s="1"/>
  <c r="AA25" i="10"/>
  <c r="L403" i="11"/>
  <c r="O403" i="11" s="1"/>
  <c r="P403" i="11" s="1"/>
  <c r="AB27" i="10"/>
  <c r="L505" i="11"/>
  <c r="O505" i="11" s="1"/>
  <c r="P505" i="11" s="1"/>
  <c r="AA31" i="10"/>
  <c r="L409" i="11"/>
  <c r="O409" i="11" s="1"/>
  <c r="P409" i="11" s="1"/>
  <c r="AA7" i="10"/>
  <c r="L385" i="11"/>
  <c r="O385" i="11" s="1"/>
  <c r="P385" i="11" s="1"/>
  <c r="AB33" i="10"/>
  <c r="L511" i="11"/>
  <c r="O511" i="11" s="1"/>
  <c r="P511" i="11" s="1"/>
  <c r="AD44" i="10"/>
  <c r="L722" i="11"/>
  <c r="O722" i="11" s="1"/>
  <c r="P722" i="11" s="1"/>
  <c r="AD36" i="10"/>
  <c r="L714" i="11"/>
  <c r="O714" i="11" s="1"/>
  <c r="P714" i="11" s="1"/>
  <c r="AD28" i="10"/>
  <c r="L706" i="11"/>
  <c r="O706" i="11" s="1"/>
  <c r="P706" i="11" s="1"/>
  <c r="AD20" i="10"/>
  <c r="L698" i="11"/>
  <c r="O698" i="11" s="1"/>
  <c r="P698" i="11" s="1"/>
  <c r="AA49" i="10"/>
  <c r="L427" i="11"/>
  <c r="O427" i="11" s="1"/>
  <c r="P427" i="11" s="1"/>
  <c r="AB43" i="10"/>
  <c r="L521" i="11"/>
  <c r="O521" i="11" s="1"/>
  <c r="P521" i="11" s="1"/>
  <c r="AA39" i="10"/>
  <c r="L417" i="11"/>
  <c r="O417" i="11" s="1"/>
  <c r="P417" i="11" s="1"/>
  <c r="AA15" i="10"/>
  <c r="L393" i="11"/>
  <c r="O393" i="11" s="1"/>
  <c r="P393" i="11" s="1"/>
  <c r="AB41" i="10"/>
  <c r="L519" i="11"/>
  <c r="O519" i="11" s="1"/>
  <c r="P519" i="11" s="1"/>
  <c r="AB17" i="10"/>
  <c r="L495" i="11"/>
  <c r="O495" i="11" s="1"/>
  <c r="P495" i="11" s="1"/>
  <c r="AC49" i="10"/>
  <c r="L627" i="11"/>
  <c r="O627" i="11" s="1"/>
  <c r="P627" i="11" s="1"/>
  <c r="AC41" i="10"/>
  <c r="L619" i="11"/>
  <c r="O619" i="11" s="1"/>
  <c r="P619" i="11" s="1"/>
  <c r="AC33" i="10"/>
  <c r="L611" i="11"/>
  <c r="O611" i="11" s="1"/>
  <c r="P611" i="11" s="1"/>
  <c r="AC25" i="10"/>
  <c r="L603" i="11"/>
  <c r="O603" i="11" s="1"/>
  <c r="P603" i="11" s="1"/>
  <c r="AC17" i="10"/>
  <c r="L595" i="11"/>
  <c r="O595" i="11" s="1"/>
  <c r="P595" i="11" s="1"/>
  <c r="AD51" i="10"/>
  <c r="L729" i="11"/>
  <c r="O729" i="11" s="1"/>
  <c r="P729" i="11" s="1"/>
  <c r="AD43" i="10"/>
  <c r="L721" i="11"/>
  <c r="O721" i="11" s="1"/>
  <c r="P721" i="11" s="1"/>
  <c r="AD35" i="10"/>
  <c r="L713" i="11"/>
  <c r="O713" i="11" s="1"/>
  <c r="P713" i="11" s="1"/>
  <c r="AD27" i="10"/>
  <c r="L705" i="11"/>
  <c r="O705" i="11" s="1"/>
  <c r="P705" i="11" s="1"/>
  <c r="AD19" i="10"/>
  <c r="L697" i="11"/>
  <c r="O697" i="11" s="1"/>
  <c r="P697" i="11" s="1"/>
  <c r="AA33" i="10"/>
  <c r="L411" i="11"/>
  <c r="O411" i="11" s="1"/>
  <c r="P411" i="11" s="1"/>
  <c r="AB35" i="10"/>
  <c r="L513" i="11"/>
  <c r="O513" i="11" s="1"/>
  <c r="P513" i="11" s="1"/>
  <c r="AA23" i="10"/>
  <c r="L401" i="11"/>
  <c r="O401" i="11" s="1"/>
  <c r="P401" i="11" s="1"/>
  <c r="AB49" i="10"/>
  <c r="L527" i="11"/>
  <c r="O527" i="11" s="1"/>
  <c r="P527" i="11" s="1"/>
  <c r="AB25" i="10"/>
  <c r="L503" i="11"/>
  <c r="O503" i="11" s="1"/>
  <c r="P503" i="11" s="1"/>
  <c r="AA45" i="10"/>
  <c r="L423" i="11"/>
  <c r="O423" i="11" s="1"/>
  <c r="P423" i="11" s="1"/>
  <c r="AA29" i="10"/>
  <c r="L407" i="11"/>
  <c r="O407" i="11" s="1"/>
  <c r="P407" i="11" s="1"/>
  <c r="AA21" i="10"/>
  <c r="L399" i="11"/>
  <c r="O399" i="11" s="1"/>
  <c r="P399" i="11" s="1"/>
  <c r="AA13" i="10"/>
  <c r="L391" i="11"/>
  <c r="O391" i="11" s="1"/>
  <c r="P391" i="11" s="1"/>
  <c r="AA5" i="10"/>
  <c r="L383" i="11"/>
  <c r="O383" i="11" s="1"/>
  <c r="P383" i="11" s="1"/>
  <c r="AB47" i="10"/>
  <c r="L525" i="11"/>
  <c r="O525" i="11" s="1"/>
  <c r="P525" i="11" s="1"/>
  <c r="AB39" i="10"/>
  <c r="L517" i="11"/>
  <c r="O517" i="11" s="1"/>
  <c r="P517" i="11" s="1"/>
  <c r="AB31" i="10"/>
  <c r="L509" i="11"/>
  <c r="O509" i="11" s="1"/>
  <c r="P509" i="11" s="1"/>
  <c r="AB23" i="10"/>
  <c r="L501" i="11"/>
  <c r="O501" i="11" s="1"/>
  <c r="P501" i="11" s="1"/>
  <c r="AD50" i="10"/>
  <c r="L728" i="11"/>
  <c r="O728" i="11" s="1"/>
  <c r="P728" i="11" s="1"/>
  <c r="AD42" i="10"/>
  <c r="L720" i="11"/>
  <c r="O720" i="11" s="1"/>
  <c r="P720" i="11" s="1"/>
  <c r="AD34" i="10"/>
  <c r="L712" i="11"/>
  <c r="O712" i="11" s="1"/>
  <c r="P712" i="11" s="1"/>
  <c r="AD26" i="10"/>
  <c r="L704" i="11"/>
  <c r="O704" i="11" s="1"/>
  <c r="P704" i="11" s="1"/>
  <c r="AD18" i="10"/>
  <c r="L696" i="11"/>
  <c r="O696" i="11" s="1"/>
  <c r="P696" i="11" s="1"/>
  <c r="AA41" i="10"/>
  <c r="L419" i="11"/>
  <c r="O419" i="11" s="1"/>
  <c r="P419" i="11" s="1"/>
  <c r="AA47" i="10"/>
  <c r="L425" i="11"/>
  <c r="O425" i="11" s="1"/>
  <c r="P425" i="11" s="1"/>
  <c r="AA37" i="10"/>
  <c r="L415" i="11"/>
  <c r="O415" i="11" s="1"/>
  <c r="P415" i="11" s="1"/>
  <c r="AC47" i="10"/>
  <c r="L625" i="11"/>
  <c r="O625" i="11" s="1"/>
  <c r="P625" i="11" s="1"/>
  <c r="AC39" i="10"/>
  <c r="L617" i="11"/>
  <c r="O617" i="11" s="1"/>
  <c r="P617" i="11" s="1"/>
  <c r="AC31" i="10"/>
  <c r="L609" i="11"/>
  <c r="O609" i="11" s="1"/>
  <c r="P609" i="11" s="1"/>
  <c r="AC23" i="10"/>
  <c r="L601" i="11"/>
  <c r="O601" i="11" s="1"/>
  <c r="P601" i="11" s="1"/>
  <c r="AD49" i="10"/>
  <c r="L727" i="11"/>
  <c r="O727" i="11" s="1"/>
  <c r="P727" i="11" s="1"/>
  <c r="AD41" i="10"/>
  <c r="L719" i="11"/>
  <c r="O719" i="11" s="1"/>
  <c r="P719" i="11" s="1"/>
  <c r="AD33" i="10"/>
  <c r="L711" i="11"/>
  <c r="O711" i="11" s="1"/>
  <c r="P711" i="11" s="1"/>
  <c r="AD25" i="10"/>
  <c r="L703" i="11"/>
  <c r="O703" i="11" s="1"/>
  <c r="P703" i="11" s="1"/>
  <c r="AD17" i="10"/>
  <c r="L695" i="11"/>
  <c r="O695" i="11" s="1"/>
  <c r="P695" i="11" s="1"/>
  <c r="AA17" i="10"/>
  <c r="L395" i="11"/>
  <c r="O395" i="11" s="1"/>
  <c r="P395" i="11" s="1"/>
  <c r="AA51" i="10"/>
  <c r="L429" i="11"/>
  <c r="O429" i="11" s="1"/>
  <c r="P429" i="11" s="1"/>
  <c r="AA43" i="10"/>
  <c r="L421" i="11"/>
  <c r="O421" i="11" s="1"/>
  <c r="P421" i="11" s="1"/>
  <c r="AA35" i="10"/>
  <c r="L413" i="11"/>
  <c r="O413" i="11" s="1"/>
  <c r="P413" i="11" s="1"/>
  <c r="AA27" i="10"/>
  <c r="L405" i="11"/>
  <c r="O405" i="11" s="1"/>
  <c r="P405" i="11" s="1"/>
  <c r="AA19" i="10"/>
  <c r="L397" i="11"/>
  <c r="O397" i="11" s="1"/>
  <c r="P397" i="11" s="1"/>
  <c r="AA11" i="10"/>
  <c r="L389" i="11"/>
  <c r="O389" i="11" s="1"/>
  <c r="P389" i="11" s="1"/>
  <c r="AB45" i="10"/>
  <c r="L523" i="11"/>
  <c r="O523" i="11" s="1"/>
  <c r="P523" i="11" s="1"/>
  <c r="AB37" i="10"/>
  <c r="L515" i="11"/>
  <c r="O515" i="11" s="1"/>
  <c r="P515" i="11" s="1"/>
  <c r="AB29" i="10"/>
  <c r="L507" i="11"/>
  <c r="O507" i="11" s="1"/>
  <c r="P507" i="11" s="1"/>
  <c r="AB21" i="10"/>
  <c r="L499" i="11"/>
  <c r="O499" i="11" s="1"/>
  <c r="P499" i="11" s="1"/>
  <c r="AD48" i="10"/>
  <c r="L726" i="11"/>
  <c r="O726" i="11" s="1"/>
  <c r="P726" i="11" s="1"/>
  <c r="AD40" i="10"/>
  <c r="L718" i="11"/>
  <c r="O718" i="11" s="1"/>
  <c r="P718" i="11" s="1"/>
  <c r="AD32" i="10"/>
  <c r="L710" i="11"/>
  <c r="O710" i="11" s="1"/>
  <c r="P710" i="11" s="1"/>
  <c r="AD24" i="10"/>
  <c r="L702" i="11"/>
  <c r="O702" i="11" s="1"/>
  <c r="P702" i="11" s="1"/>
  <c r="AD16" i="10"/>
  <c r="L694" i="11"/>
  <c r="O694" i="11" s="1"/>
  <c r="P694" i="11" s="1"/>
  <c r="AN69" i="26"/>
  <c r="L733" i="11" s="1"/>
  <c r="O733" i="11" s="1"/>
  <c r="P733" i="11" s="1"/>
  <c r="L681" i="11"/>
  <c r="O681" i="11" s="1"/>
  <c r="P681" i="11" s="1"/>
  <c r="AB3" i="10"/>
  <c r="L481" i="11"/>
  <c r="O481" i="11" s="1"/>
  <c r="P481" i="11" s="1"/>
  <c r="AC3" i="10"/>
  <c r="L581" i="11"/>
  <c r="O581" i="11" s="1"/>
  <c r="P581" i="11" s="1"/>
  <c r="AA3" i="10"/>
  <c r="L381" i="11"/>
  <c r="O381" i="11" s="1"/>
  <c r="P381" i="11" s="1"/>
  <c r="AC50" i="10"/>
  <c r="L628" i="11"/>
  <c r="O628" i="11" s="1"/>
  <c r="P628" i="11" s="1"/>
  <c r="AC48" i="10"/>
  <c r="L626" i="11"/>
  <c r="O626" i="11" s="1"/>
  <c r="P626" i="11" s="1"/>
  <c r="AC46" i="10"/>
  <c r="L624" i="11"/>
  <c r="O624" i="11" s="1"/>
  <c r="P624" i="11" s="1"/>
  <c r="AC44" i="10"/>
  <c r="L622" i="11"/>
  <c r="O622" i="11" s="1"/>
  <c r="P622" i="11" s="1"/>
  <c r="AC42" i="10"/>
  <c r="L620" i="11"/>
  <c r="O620" i="11" s="1"/>
  <c r="P620" i="11" s="1"/>
  <c r="AC40" i="10"/>
  <c r="L618" i="11"/>
  <c r="O618" i="11" s="1"/>
  <c r="P618" i="11" s="1"/>
  <c r="AC38" i="10"/>
  <c r="L616" i="11"/>
  <c r="O616" i="11" s="1"/>
  <c r="P616" i="11" s="1"/>
  <c r="AC36" i="10"/>
  <c r="L614" i="11"/>
  <c r="O614" i="11" s="1"/>
  <c r="P614" i="11" s="1"/>
  <c r="AC34" i="10"/>
  <c r="L612" i="11"/>
  <c r="O612" i="11" s="1"/>
  <c r="P612" i="11" s="1"/>
  <c r="AC32" i="10"/>
  <c r="L610" i="11"/>
  <c r="O610" i="11" s="1"/>
  <c r="P610" i="11" s="1"/>
  <c r="AC30" i="10"/>
  <c r="L608" i="11"/>
  <c r="O608" i="11" s="1"/>
  <c r="P608" i="11" s="1"/>
  <c r="AC28" i="10"/>
  <c r="L606" i="11"/>
  <c r="O606" i="11" s="1"/>
  <c r="P606" i="11" s="1"/>
  <c r="AC26" i="10"/>
  <c r="L604" i="11"/>
  <c r="O604" i="11" s="1"/>
  <c r="P604" i="11" s="1"/>
  <c r="AC24" i="10"/>
  <c r="L602" i="11"/>
  <c r="O602" i="11" s="1"/>
  <c r="P602" i="11" s="1"/>
  <c r="AC22" i="10"/>
  <c r="L600" i="11"/>
  <c r="O600" i="11" s="1"/>
  <c r="P600" i="11" s="1"/>
  <c r="AC20" i="10"/>
  <c r="L598" i="11"/>
  <c r="O598" i="11" s="1"/>
  <c r="P598" i="11" s="1"/>
  <c r="AC18" i="10"/>
  <c r="L596" i="11"/>
  <c r="O596" i="11" s="1"/>
  <c r="P596" i="11" s="1"/>
  <c r="AC16" i="10"/>
  <c r="L594" i="11"/>
  <c r="O594" i="11" s="1"/>
  <c r="P594" i="11" s="1"/>
  <c r="AB50" i="10"/>
  <c r="L528" i="11"/>
  <c r="O528" i="11" s="1"/>
  <c r="P528" i="11" s="1"/>
  <c r="AB48" i="10"/>
  <c r="L526" i="11"/>
  <c r="O526" i="11" s="1"/>
  <c r="P526" i="11" s="1"/>
  <c r="AB46" i="10"/>
  <c r="L524" i="11"/>
  <c r="O524" i="11" s="1"/>
  <c r="P524" i="11" s="1"/>
  <c r="AB44" i="10"/>
  <c r="L522" i="11"/>
  <c r="O522" i="11" s="1"/>
  <c r="P522" i="11" s="1"/>
  <c r="AB42" i="10"/>
  <c r="L520" i="11"/>
  <c r="O520" i="11" s="1"/>
  <c r="P520" i="11" s="1"/>
  <c r="AB40" i="10"/>
  <c r="L518" i="11"/>
  <c r="O518" i="11" s="1"/>
  <c r="P518" i="11" s="1"/>
  <c r="AB38" i="10"/>
  <c r="L516" i="11"/>
  <c r="O516" i="11" s="1"/>
  <c r="P516" i="11" s="1"/>
  <c r="AB36" i="10"/>
  <c r="L514" i="11"/>
  <c r="O514" i="11" s="1"/>
  <c r="P514" i="11" s="1"/>
  <c r="AB34" i="10"/>
  <c r="L512" i="11"/>
  <c r="O512" i="11" s="1"/>
  <c r="P512" i="11" s="1"/>
  <c r="AB32" i="10"/>
  <c r="L510" i="11"/>
  <c r="O510" i="11" s="1"/>
  <c r="P510" i="11" s="1"/>
  <c r="AB30" i="10"/>
  <c r="L508" i="11"/>
  <c r="O508" i="11" s="1"/>
  <c r="P508" i="11" s="1"/>
  <c r="AB28" i="10"/>
  <c r="L506" i="11"/>
  <c r="O506" i="11" s="1"/>
  <c r="P506" i="11" s="1"/>
  <c r="AB26" i="10"/>
  <c r="L504" i="11"/>
  <c r="O504" i="11" s="1"/>
  <c r="P504" i="11" s="1"/>
  <c r="AB24" i="10"/>
  <c r="L502" i="11"/>
  <c r="O502" i="11" s="1"/>
  <c r="P502" i="11" s="1"/>
  <c r="AB22" i="10"/>
  <c r="L500" i="11"/>
  <c r="O500" i="11" s="1"/>
  <c r="P500" i="11" s="1"/>
  <c r="AB20" i="10"/>
  <c r="L498" i="11"/>
  <c r="O498" i="11" s="1"/>
  <c r="P498" i="11" s="1"/>
  <c r="AB18" i="10"/>
  <c r="L496" i="11"/>
  <c r="O496" i="11" s="1"/>
  <c r="P496" i="11" s="1"/>
  <c r="AB16" i="10"/>
  <c r="L494" i="11"/>
  <c r="O494" i="11" s="1"/>
  <c r="P494" i="11" s="1"/>
  <c r="AA50" i="10"/>
  <c r="L428" i="11"/>
  <c r="O428" i="11" s="1"/>
  <c r="P428" i="11" s="1"/>
  <c r="AA48" i="10"/>
  <c r="L426" i="11"/>
  <c r="O426" i="11" s="1"/>
  <c r="P426" i="11" s="1"/>
  <c r="AA46" i="10"/>
  <c r="L424" i="11"/>
  <c r="O424" i="11" s="1"/>
  <c r="P424" i="11" s="1"/>
  <c r="AA44" i="10"/>
  <c r="L422" i="11"/>
  <c r="O422" i="11" s="1"/>
  <c r="P422" i="11" s="1"/>
  <c r="AA42" i="10"/>
  <c r="L420" i="11"/>
  <c r="O420" i="11" s="1"/>
  <c r="P420" i="11" s="1"/>
  <c r="AA40" i="10"/>
  <c r="L418" i="11"/>
  <c r="O418" i="11" s="1"/>
  <c r="P418" i="11" s="1"/>
  <c r="AA38" i="10"/>
  <c r="L416" i="11"/>
  <c r="O416" i="11" s="1"/>
  <c r="P416" i="11" s="1"/>
  <c r="AA36" i="10"/>
  <c r="L414" i="11"/>
  <c r="O414" i="11" s="1"/>
  <c r="P414" i="11" s="1"/>
  <c r="AA34" i="10"/>
  <c r="L412" i="11"/>
  <c r="O412" i="11" s="1"/>
  <c r="P412" i="11" s="1"/>
  <c r="AA32" i="10"/>
  <c r="L410" i="11"/>
  <c r="O410" i="11" s="1"/>
  <c r="P410" i="11" s="1"/>
  <c r="AA30" i="10"/>
  <c r="L408" i="11"/>
  <c r="O408" i="11" s="1"/>
  <c r="P408" i="11" s="1"/>
  <c r="AA28" i="10"/>
  <c r="L406" i="11"/>
  <c r="O406" i="11" s="1"/>
  <c r="P406" i="11" s="1"/>
  <c r="AA26" i="10"/>
  <c r="L404" i="11"/>
  <c r="O404" i="11" s="1"/>
  <c r="P404" i="11" s="1"/>
  <c r="AA24" i="10"/>
  <c r="L402" i="11"/>
  <c r="O402" i="11" s="1"/>
  <c r="P402" i="11" s="1"/>
  <c r="AA22" i="10"/>
  <c r="L400" i="11"/>
  <c r="O400" i="11" s="1"/>
  <c r="P400" i="11" s="1"/>
  <c r="AA20" i="10"/>
  <c r="L398" i="11"/>
  <c r="O398" i="11" s="1"/>
  <c r="P398" i="11" s="1"/>
  <c r="AA18" i="10"/>
  <c r="L396" i="11"/>
  <c r="O396" i="11" s="1"/>
  <c r="P396" i="11" s="1"/>
  <c r="AA16" i="10"/>
  <c r="L394" i="11"/>
  <c r="O394" i="11" s="1"/>
  <c r="P394" i="11" s="1"/>
  <c r="AA14" i="10"/>
  <c r="L392" i="11"/>
  <c r="O392" i="11" s="1"/>
  <c r="P392" i="11" s="1"/>
  <c r="AA12" i="10"/>
  <c r="L390" i="11"/>
  <c r="O390" i="11" s="1"/>
  <c r="P390" i="11" s="1"/>
  <c r="AA10" i="10"/>
  <c r="L388" i="11"/>
  <c r="O388" i="11" s="1"/>
  <c r="P388" i="11" s="1"/>
  <c r="AA8" i="10"/>
  <c r="L386" i="11"/>
  <c r="O386" i="11" s="1"/>
  <c r="P386" i="11" s="1"/>
  <c r="AA6" i="10"/>
  <c r="L384" i="11"/>
  <c r="O384" i="11" s="1"/>
  <c r="P384" i="11" s="1"/>
  <c r="AA4" i="10"/>
  <c r="L382" i="11"/>
  <c r="O382" i="11" s="1"/>
  <c r="P382" i="11" s="1"/>
  <c r="AC2" i="10"/>
  <c r="L580" i="11"/>
  <c r="O580" i="11" s="1"/>
  <c r="P580" i="11" s="1"/>
  <c r="AA2" i="10"/>
  <c r="J20" i="26"/>
  <c r="AB15" i="10"/>
  <c r="J18" i="26"/>
  <c r="AB13" i="10"/>
  <c r="J16" i="26"/>
  <c r="AB11" i="10"/>
  <c r="J14" i="26"/>
  <c r="AB9" i="10"/>
  <c r="J12" i="26"/>
  <c r="AB7" i="10"/>
  <c r="Z69" i="26"/>
  <c r="AB5" i="10"/>
  <c r="K19" i="26"/>
  <c r="AC14" i="10"/>
  <c r="K17" i="26"/>
  <c r="AC12" i="10"/>
  <c r="K15" i="26"/>
  <c r="AC10" i="10"/>
  <c r="K13" i="26"/>
  <c r="AC8" i="10"/>
  <c r="K11" i="26"/>
  <c r="AC6" i="10"/>
  <c r="K9" i="26"/>
  <c r="AC4" i="10"/>
  <c r="L19" i="26"/>
  <c r="AD14" i="10"/>
  <c r="L17" i="26"/>
  <c r="AD12" i="10"/>
  <c r="L15" i="26"/>
  <c r="AD10" i="10"/>
  <c r="L13" i="26"/>
  <c r="AD8" i="10"/>
  <c r="L11" i="26"/>
  <c r="AD6" i="10"/>
  <c r="L9" i="26"/>
  <c r="AD4" i="10"/>
  <c r="L7" i="26"/>
  <c r="AD2" i="10"/>
  <c r="J19" i="26"/>
  <c r="AB14" i="10"/>
  <c r="J17" i="26"/>
  <c r="AB12" i="10"/>
  <c r="J15" i="26"/>
  <c r="AB10" i="10"/>
  <c r="J13" i="26"/>
  <c r="AB8" i="10"/>
  <c r="J11" i="26"/>
  <c r="AB6" i="10"/>
  <c r="J9" i="26"/>
  <c r="AB4" i="10"/>
  <c r="K20" i="26"/>
  <c r="AC15" i="10"/>
  <c r="K18" i="26"/>
  <c r="AC13" i="10"/>
  <c r="K16" i="26"/>
  <c r="AC11" i="10"/>
  <c r="K14" i="26"/>
  <c r="AC9" i="10"/>
  <c r="K12" i="26"/>
  <c r="AC7" i="10"/>
  <c r="AG69" i="26"/>
  <c r="AC5" i="10"/>
  <c r="L20" i="26"/>
  <c r="AD15" i="10"/>
  <c r="L18" i="26"/>
  <c r="AD13" i="10"/>
  <c r="L16" i="26"/>
  <c r="AD11" i="10"/>
  <c r="L14" i="26"/>
  <c r="AD9" i="10"/>
  <c r="L12" i="26"/>
  <c r="AD7" i="10"/>
  <c r="L8" i="26"/>
  <c r="AD3" i="10"/>
  <c r="I19" i="26"/>
  <c r="I17" i="26"/>
  <c r="I15" i="26"/>
  <c r="I13" i="26"/>
  <c r="I11" i="26"/>
  <c r="I9" i="26"/>
  <c r="I20" i="26"/>
  <c r="I18" i="26"/>
  <c r="I16" i="26"/>
  <c r="I14" i="26"/>
  <c r="I12" i="26"/>
  <c r="S69" i="26"/>
  <c r="I7" i="26"/>
  <c r="K8" i="26"/>
  <c r="I8" i="26"/>
  <c r="K7" i="26"/>
  <c r="J8" i="26"/>
  <c r="I55" i="26"/>
  <c r="I53" i="26"/>
  <c r="I51" i="26"/>
  <c r="I49" i="26"/>
  <c r="I47" i="26"/>
  <c r="I45" i="26"/>
  <c r="I43" i="26"/>
  <c r="I41" i="26"/>
  <c r="I39" i="26"/>
  <c r="I37" i="26"/>
  <c r="I35" i="26"/>
  <c r="I33" i="26"/>
  <c r="I31" i="26"/>
  <c r="I29" i="26"/>
  <c r="I27" i="26"/>
  <c r="I25" i="26"/>
  <c r="I23" i="26"/>
  <c r="I21" i="26"/>
  <c r="J55" i="26"/>
  <c r="J53" i="26"/>
  <c r="J51" i="26"/>
  <c r="J49" i="26"/>
  <c r="J47" i="26"/>
  <c r="J45" i="26"/>
  <c r="J43" i="26"/>
  <c r="J41" i="26"/>
  <c r="J39" i="26"/>
  <c r="J37" i="26"/>
  <c r="J35" i="26"/>
  <c r="J33" i="26"/>
  <c r="J31" i="26"/>
  <c r="J29" i="26"/>
  <c r="J27" i="26"/>
  <c r="J25" i="26"/>
  <c r="J23" i="26"/>
  <c r="J21" i="26"/>
  <c r="K56" i="26"/>
  <c r="K54" i="26"/>
  <c r="K52" i="26"/>
  <c r="K50" i="26"/>
  <c r="K48" i="26"/>
  <c r="K46" i="26"/>
  <c r="K44" i="26"/>
  <c r="K42" i="26"/>
  <c r="K40" i="26"/>
  <c r="K38" i="26"/>
  <c r="K36" i="26"/>
  <c r="K34" i="26"/>
  <c r="K32" i="26"/>
  <c r="K30" i="26"/>
  <c r="K28" i="26"/>
  <c r="K26" i="26"/>
  <c r="K24" i="26"/>
  <c r="K22" i="26"/>
  <c r="K10" i="26"/>
  <c r="L56" i="26"/>
  <c r="L54" i="26"/>
  <c r="L52" i="26"/>
  <c r="L50" i="26"/>
  <c r="L48" i="26"/>
  <c r="L46" i="26"/>
  <c r="L44" i="26"/>
  <c r="L42" i="26"/>
  <c r="L40" i="26"/>
  <c r="L38" i="26"/>
  <c r="L36" i="26"/>
  <c r="L34" i="26"/>
  <c r="L32" i="26"/>
  <c r="L30" i="26"/>
  <c r="L28" i="26"/>
  <c r="L26" i="26"/>
  <c r="L24" i="26"/>
  <c r="L22" i="26"/>
  <c r="L10" i="26"/>
  <c r="I56" i="26"/>
  <c r="I54" i="26"/>
  <c r="I52" i="26"/>
  <c r="I50" i="26"/>
  <c r="I48" i="26"/>
  <c r="I46" i="26"/>
  <c r="I44" i="26"/>
  <c r="I42" i="26"/>
  <c r="I40" i="26"/>
  <c r="I38" i="26"/>
  <c r="I36" i="26"/>
  <c r="I34" i="26"/>
  <c r="I32" i="26"/>
  <c r="I30" i="26"/>
  <c r="I28" i="26"/>
  <c r="I26" i="26"/>
  <c r="I24" i="26"/>
  <c r="I22" i="26"/>
  <c r="I10" i="26"/>
  <c r="J56" i="26"/>
  <c r="J54" i="26"/>
  <c r="J52" i="26"/>
  <c r="J50" i="26"/>
  <c r="J48" i="26"/>
  <c r="J46" i="26"/>
  <c r="J44" i="26"/>
  <c r="J42" i="26"/>
  <c r="J40" i="26"/>
  <c r="J38" i="26"/>
  <c r="J36" i="26"/>
  <c r="J34" i="26"/>
  <c r="J32" i="26"/>
  <c r="J30" i="26"/>
  <c r="J28" i="26"/>
  <c r="J26" i="26"/>
  <c r="J24" i="26"/>
  <c r="J22" i="26"/>
  <c r="J10" i="26"/>
  <c r="K55" i="26"/>
  <c r="K53" i="26"/>
  <c r="K51" i="26"/>
  <c r="K49" i="26"/>
  <c r="K47" i="26"/>
  <c r="K45" i="26"/>
  <c r="K43" i="26"/>
  <c r="K41" i="26"/>
  <c r="K39" i="26"/>
  <c r="K37" i="26"/>
  <c r="K35" i="26"/>
  <c r="K33" i="26"/>
  <c r="K31" i="26"/>
  <c r="K29" i="26"/>
  <c r="K27" i="26"/>
  <c r="K25" i="26"/>
  <c r="K23" i="26"/>
  <c r="K21" i="26"/>
  <c r="L55" i="26"/>
  <c r="L53" i="26"/>
  <c r="L51" i="26"/>
  <c r="L49" i="26"/>
  <c r="L47" i="26"/>
  <c r="L45" i="26"/>
  <c r="L43" i="26"/>
  <c r="L41" i="26"/>
  <c r="L39" i="26"/>
  <c r="L37" i="26"/>
  <c r="L35" i="26"/>
  <c r="L33" i="26"/>
  <c r="L31" i="26"/>
  <c r="L29" i="26"/>
  <c r="L27" i="26"/>
  <c r="L25" i="26"/>
  <c r="L23" i="26"/>
  <c r="L21" i="26"/>
  <c r="S78" i="26"/>
  <c r="S71" i="26"/>
  <c r="Z71" i="26"/>
  <c r="L535" i="11" s="1"/>
  <c r="O535" i="11" s="1"/>
  <c r="P535" i="11" s="1"/>
  <c r="AG76" i="26"/>
  <c r="L640" i="11" s="1"/>
  <c r="O640" i="11" s="1"/>
  <c r="P640" i="11" s="1"/>
  <c r="AN74" i="26"/>
  <c r="L738" i="11" s="1"/>
  <c r="O738" i="11" s="1"/>
  <c r="P738" i="11" s="1"/>
  <c r="AN78" i="26"/>
  <c r="L742" i="11" s="1"/>
  <c r="O742" i="11" s="1"/>
  <c r="P742" i="11" s="1"/>
  <c r="AN79" i="26"/>
  <c r="L743" i="11" s="1"/>
  <c r="O743" i="11" s="1"/>
  <c r="P743" i="11" s="1"/>
  <c r="AG79" i="26"/>
  <c r="L643" i="11" s="1"/>
  <c r="O643" i="11" s="1"/>
  <c r="P643" i="11" s="1"/>
  <c r="Z79" i="26"/>
  <c r="L543" i="11" s="1"/>
  <c r="O543" i="11" s="1"/>
  <c r="P543" i="11" s="1"/>
  <c r="S79" i="26"/>
  <c r="Z78" i="26"/>
  <c r="L542" i="11" s="1"/>
  <c r="O542" i="11" s="1"/>
  <c r="P542" i="11" s="1"/>
  <c r="AG78" i="26"/>
  <c r="L642" i="11" s="1"/>
  <c r="O642" i="11" s="1"/>
  <c r="P642" i="11" s="1"/>
  <c r="AN76" i="26"/>
  <c r="L740" i="11" s="1"/>
  <c r="O740" i="11" s="1"/>
  <c r="P740" i="11" s="1"/>
  <c r="Z76" i="26"/>
  <c r="L540" i="11" s="1"/>
  <c r="O540" i="11" s="1"/>
  <c r="P540" i="11" s="1"/>
  <c r="S76" i="26"/>
  <c r="Z75" i="26"/>
  <c r="L539" i="11" s="1"/>
  <c r="O539" i="11" s="1"/>
  <c r="P539" i="11" s="1"/>
  <c r="AG75" i="26"/>
  <c r="L639" i="11" s="1"/>
  <c r="O639" i="11" s="1"/>
  <c r="P639" i="11" s="1"/>
  <c r="S75" i="26"/>
  <c r="AN75" i="26"/>
  <c r="L739" i="11" s="1"/>
  <c r="O739" i="11" s="1"/>
  <c r="P739" i="11" s="1"/>
  <c r="AG74" i="26"/>
  <c r="L638" i="11" s="1"/>
  <c r="O638" i="11" s="1"/>
  <c r="P638" i="11" s="1"/>
  <c r="Z74" i="26"/>
  <c r="L538" i="11" s="1"/>
  <c r="O538" i="11" s="1"/>
  <c r="P538" i="11" s="1"/>
  <c r="S74" i="26"/>
  <c r="AN73" i="26"/>
  <c r="L737" i="11" s="1"/>
  <c r="O737" i="11" s="1"/>
  <c r="P737" i="11" s="1"/>
  <c r="AG73" i="26"/>
  <c r="L637" i="11" s="1"/>
  <c r="O637" i="11" s="1"/>
  <c r="P637" i="11" s="1"/>
  <c r="S73" i="26"/>
  <c r="Z73" i="26"/>
  <c r="L537" i="11" s="1"/>
  <c r="O537" i="11" s="1"/>
  <c r="P537" i="11" s="1"/>
  <c r="AG72" i="26"/>
  <c r="L636" i="11" s="1"/>
  <c r="O636" i="11" s="1"/>
  <c r="P636" i="11" s="1"/>
  <c r="S72" i="26"/>
  <c r="AN72" i="26"/>
  <c r="L736" i="11" s="1"/>
  <c r="O736" i="11" s="1"/>
  <c r="P736" i="11" s="1"/>
  <c r="Z72" i="26"/>
  <c r="L536" i="11" s="1"/>
  <c r="O536" i="11" s="1"/>
  <c r="P536" i="11" s="1"/>
  <c r="AN71" i="26"/>
  <c r="L735" i="11" s="1"/>
  <c r="O735" i="11" s="1"/>
  <c r="P735" i="11" s="1"/>
  <c r="AG71" i="26"/>
  <c r="L635" i="11" s="1"/>
  <c r="O635" i="11" s="1"/>
  <c r="P635" i="11" s="1"/>
  <c r="AN70" i="26"/>
  <c r="L734" i="11" s="1"/>
  <c r="O734" i="11" s="1"/>
  <c r="P734" i="11" s="1"/>
  <c r="AG70" i="26"/>
  <c r="L634" i="11" s="1"/>
  <c r="O634" i="11" s="1"/>
  <c r="P634" i="11" s="1"/>
  <c r="Z70" i="26"/>
  <c r="L534" i="11" s="1"/>
  <c r="O534" i="11" s="1"/>
  <c r="P534" i="11" s="1"/>
  <c r="S70" i="26"/>
  <c r="AN68" i="26"/>
  <c r="L732" i="11" s="1"/>
  <c r="O732" i="11" s="1"/>
  <c r="P732" i="11" s="1"/>
  <c r="AG68" i="26"/>
  <c r="L632" i="11" s="1"/>
  <c r="O632" i="11" s="1"/>
  <c r="P632" i="11" s="1"/>
  <c r="Z68" i="26"/>
  <c r="L532" i="11" s="1"/>
  <c r="O532" i="11" s="1"/>
  <c r="P532" i="11" s="1"/>
  <c r="S68" i="26"/>
  <c r="AN67" i="26"/>
  <c r="L731" i="11" s="1"/>
  <c r="O731" i="11" s="1"/>
  <c r="P731" i="11" s="1"/>
  <c r="Z66" i="26"/>
  <c r="AS57" i="26"/>
  <c r="B123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22" i="16"/>
  <c r="AB52" i="10" l="1"/>
  <c r="L530" i="11"/>
  <c r="O530" i="11" s="1"/>
  <c r="P530" i="11" s="1"/>
  <c r="AA59" i="10"/>
  <c r="L437" i="11"/>
  <c r="O437" i="11" s="1"/>
  <c r="P437" i="11" s="1"/>
  <c r="AA54" i="10"/>
  <c r="L432" i="11"/>
  <c r="O432" i="11" s="1"/>
  <c r="P432" i="11" s="1"/>
  <c r="AA56" i="10"/>
  <c r="L434" i="11"/>
  <c r="O434" i="11" s="1"/>
  <c r="P434" i="11" s="1"/>
  <c r="AA58" i="10"/>
  <c r="L436" i="11"/>
  <c r="O436" i="11" s="1"/>
  <c r="P436" i="11" s="1"/>
  <c r="K69" i="26"/>
  <c r="L633" i="11"/>
  <c r="O633" i="11" s="1"/>
  <c r="P633" i="11" s="1"/>
  <c r="AA62" i="10"/>
  <c r="L440" i="11"/>
  <c r="O440" i="11" s="1"/>
  <c r="P440" i="11" s="1"/>
  <c r="AA60" i="10"/>
  <c r="L438" i="11"/>
  <c r="O438" i="11" s="1"/>
  <c r="P438" i="11" s="1"/>
  <c r="AA61" i="10"/>
  <c r="L439" i="11"/>
  <c r="O439" i="11" s="1"/>
  <c r="P439" i="11" s="1"/>
  <c r="AA65" i="10"/>
  <c r="L443" i="11"/>
  <c r="O443" i="11" s="1"/>
  <c r="P443" i="11" s="1"/>
  <c r="AA57" i="10"/>
  <c r="L435" i="11"/>
  <c r="O435" i="11" s="1"/>
  <c r="P435" i="11" s="1"/>
  <c r="J69" i="26"/>
  <c r="L533" i="11"/>
  <c r="O533" i="11" s="1"/>
  <c r="P533" i="11" s="1"/>
  <c r="AA64" i="10"/>
  <c r="L442" i="11"/>
  <c r="O442" i="11" s="1"/>
  <c r="P442" i="11" s="1"/>
  <c r="I69" i="26"/>
  <c r="L433" i="11"/>
  <c r="O433" i="11" s="1"/>
  <c r="P433" i="11" s="1"/>
  <c r="J70" i="26"/>
  <c r="AB56" i="10"/>
  <c r="L72" i="26"/>
  <c r="AD58" i="10"/>
  <c r="L73" i="26"/>
  <c r="AD59" i="10"/>
  <c r="J74" i="26"/>
  <c r="AB60" i="10"/>
  <c r="L75" i="26"/>
  <c r="AD61" i="10"/>
  <c r="K75" i="26"/>
  <c r="AC61" i="10"/>
  <c r="L76" i="26"/>
  <c r="AD62" i="10"/>
  <c r="J78" i="26"/>
  <c r="AB64" i="10"/>
  <c r="J79" i="26"/>
  <c r="AB65" i="10"/>
  <c r="L79" i="26"/>
  <c r="AD65" i="10"/>
  <c r="L74" i="26"/>
  <c r="AD60" i="10"/>
  <c r="J71" i="26"/>
  <c r="AB57" i="10"/>
  <c r="Z67" i="26"/>
  <c r="AG66" i="26"/>
  <c r="AG67" i="26"/>
  <c r="L66" i="26"/>
  <c r="AD52" i="10"/>
  <c r="K68" i="26"/>
  <c r="AC54" i="10"/>
  <c r="L70" i="26"/>
  <c r="AD56" i="10"/>
  <c r="L71" i="26"/>
  <c r="AD57" i="10"/>
  <c r="K72" i="26"/>
  <c r="AC58" i="10"/>
  <c r="L67" i="26"/>
  <c r="AD53" i="10"/>
  <c r="J68" i="26"/>
  <c r="AB54" i="10"/>
  <c r="L68" i="26"/>
  <c r="AD54" i="10"/>
  <c r="K70" i="26"/>
  <c r="AC56" i="10"/>
  <c r="K71" i="26"/>
  <c r="AC57" i="10"/>
  <c r="J72" i="26"/>
  <c r="AB58" i="10"/>
  <c r="J73" i="26"/>
  <c r="AB59" i="10"/>
  <c r="K73" i="26"/>
  <c r="AC59" i="10"/>
  <c r="K74" i="26"/>
  <c r="AC60" i="10"/>
  <c r="J75" i="26"/>
  <c r="AB61" i="10"/>
  <c r="J76" i="26"/>
  <c r="AB62" i="10"/>
  <c r="K78" i="26"/>
  <c r="AC64" i="10"/>
  <c r="K79" i="26"/>
  <c r="AC65" i="10"/>
  <c r="L78" i="26"/>
  <c r="AD64" i="10"/>
  <c r="K76" i="26"/>
  <c r="AC62" i="10"/>
  <c r="L69" i="26"/>
  <c r="AD55" i="10"/>
  <c r="AC55" i="10"/>
  <c r="AB55" i="10"/>
  <c r="AA55" i="10"/>
  <c r="I73" i="26"/>
  <c r="I76" i="26"/>
  <c r="I78" i="26"/>
  <c r="I70" i="26"/>
  <c r="I72" i="26"/>
  <c r="I74" i="26"/>
  <c r="I75" i="26"/>
  <c r="I79" i="26"/>
  <c r="I71" i="26"/>
  <c r="I68" i="26"/>
  <c r="S67" i="26"/>
  <c r="S66" i="26"/>
  <c r="J66" i="26"/>
  <c r="H2318" i="20"/>
  <c r="H2319" i="20" s="1"/>
  <c r="H2218" i="20"/>
  <c r="H2219" i="20" s="1"/>
  <c r="H2118" i="20"/>
  <c r="H2119" i="20" s="1"/>
  <c r="H2018" i="20"/>
  <c r="H2019" i="20" s="1"/>
  <c r="H2314" i="20"/>
  <c r="H2315" i="20" s="1"/>
  <c r="H2014" i="20"/>
  <c r="H2015" i="20" s="1"/>
  <c r="H2214" i="20"/>
  <c r="H2215" i="20" s="1"/>
  <c r="H2114" i="20"/>
  <c r="H2115" i="20" s="1"/>
  <c r="H2302" i="20"/>
  <c r="H2303" i="20" s="1"/>
  <c r="H2202" i="20"/>
  <c r="H2203" i="20" s="1"/>
  <c r="H2102" i="20"/>
  <c r="H2103" i="20" s="1"/>
  <c r="H2002" i="20"/>
  <c r="H2003" i="20" s="1"/>
  <c r="H2298" i="20"/>
  <c r="H2299" i="20" s="1"/>
  <c r="H1998" i="20"/>
  <c r="H1999" i="20" s="1"/>
  <c r="H2198" i="20"/>
  <c r="H2199" i="20" s="1"/>
  <c r="H2098" i="20"/>
  <c r="H2099" i="20" s="1"/>
  <c r="H2216" i="20"/>
  <c r="H2217" i="20" s="1"/>
  <c r="H2116" i="20"/>
  <c r="H2117" i="20" s="1"/>
  <c r="H2316" i="20"/>
  <c r="H2317" i="20" s="1"/>
  <c r="H2016" i="20"/>
  <c r="H2017" i="20" s="1"/>
  <c r="H2212" i="20"/>
  <c r="H2213" i="20" s="1"/>
  <c r="H2112" i="20"/>
  <c r="H2113" i="20" s="1"/>
  <c r="H2312" i="20"/>
  <c r="H2313" i="20" s="1"/>
  <c r="H2012" i="20"/>
  <c r="H2013" i="20" s="1"/>
  <c r="H2208" i="20"/>
  <c r="H2209" i="20" s="1"/>
  <c r="H2108" i="20"/>
  <c r="H2109" i="20" s="1"/>
  <c r="H2308" i="20"/>
  <c r="H2309" i="20" s="1"/>
  <c r="H2008" i="20"/>
  <c r="H2009" i="20" s="1"/>
  <c r="H2204" i="20"/>
  <c r="H2205" i="20" s="1"/>
  <c r="H2104" i="20"/>
  <c r="H2105" i="20" s="1"/>
  <c r="H2304" i="20"/>
  <c r="H2305" i="20" s="1"/>
  <c r="H2004" i="20"/>
  <c r="H2005" i="20" s="1"/>
  <c r="H2200" i="20"/>
  <c r="H2201" i="20" s="1"/>
  <c r="H2100" i="20"/>
  <c r="H2101" i="20" s="1"/>
  <c r="H2300" i="20"/>
  <c r="H2301" i="20" s="1"/>
  <c r="H2000" i="20"/>
  <c r="H2001" i="20" s="1"/>
  <c r="H2196" i="20"/>
  <c r="H2197" i="20" s="1"/>
  <c r="H2096" i="20"/>
  <c r="H2097" i="20" s="1"/>
  <c r="H2296" i="20"/>
  <c r="H2297" i="20" s="1"/>
  <c r="H1996" i="20"/>
  <c r="H1997" i="20" s="1"/>
  <c r="H2192" i="20"/>
  <c r="H2193" i="20" s="1"/>
  <c r="H2092" i="20"/>
  <c r="H2093" i="20" s="1"/>
  <c r="H2292" i="20"/>
  <c r="H2293" i="20" s="1"/>
  <c r="H1992" i="20"/>
  <c r="H1993" i="20" s="1"/>
  <c r="H2188" i="20"/>
  <c r="H2189" i="20" s="1"/>
  <c r="H2088" i="20"/>
  <c r="H2089" i="20" s="1"/>
  <c r="H2288" i="20"/>
  <c r="H2289" i="20" s="1"/>
  <c r="H1988" i="20"/>
  <c r="H1989" i="20" s="1"/>
  <c r="H2184" i="20"/>
  <c r="H2185" i="20" s="1"/>
  <c r="H2084" i="20"/>
  <c r="H2085" i="20" s="1"/>
  <c r="H2284" i="20"/>
  <c r="H2285" i="20" s="1"/>
  <c r="H1984" i="20"/>
  <c r="H1985" i="20" s="1"/>
  <c r="H2180" i="20"/>
  <c r="H2181" i="20" s="1"/>
  <c r="H2080" i="20"/>
  <c r="H2081" i="20" s="1"/>
  <c r="H2280" i="20"/>
  <c r="H2281" i="20" s="1"/>
  <c r="H1980" i="20"/>
  <c r="H1981" i="20" s="1"/>
  <c r="H2176" i="20"/>
  <c r="H2177" i="20" s="1"/>
  <c r="H2076" i="20"/>
  <c r="H2077" i="20" s="1"/>
  <c r="H2276" i="20"/>
  <c r="H2277" i="20" s="1"/>
  <c r="H1976" i="20"/>
  <c r="H1977" i="20" s="1"/>
  <c r="H2172" i="20"/>
  <c r="H2173" i="20" s="1"/>
  <c r="H2072" i="20"/>
  <c r="H2073" i="20" s="1"/>
  <c r="H2272" i="20"/>
  <c r="H2273" i="20" s="1"/>
  <c r="H1972" i="20"/>
  <c r="H1973" i="20" s="1"/>
  <c r="H2168" i="20"/>
  <c r="H2169" i="20" s="1"/>
  <c r="H2068" i="20"/>
  <c r="H2069" i="20" s="1"/>
  <c r="H2268" i="20"/>
  <c r="H2269" i="20" s="1"/>
  <c r="H1968" i="20"/>
  <c r="H1969" i="20" s="1"/>
  <c r="H2164" i="20"/>
  <c r="H2165" i="20" s="1"/>
  <c r="H2064" i="20"/>
  <c r="H2065" i="20" s="1"/>
  <c r="H2264" i="20"/>
  <c r="H2265" i="20" s="1"/>
  <c r="H1964" i="20"/>
  <c r="H1965" i="20" s="1"/>
  <c r="H2160" i="20"/>
  <c r="H2161" i="20" s="1"/>
  <c r="H2060" i="20"/>
  <c r="H2061" i="20" s="1"/>
  <c r="H2260" i="20"/>
  <c r="H2261" i="20" s="1"/>
  <c r="H1960" i="20"/>
  <c r="H1961" i="20" s="1"/>
  <c r="H2156" i="20"/>
  <c r="H2157" i="20" s="1"/>
  <c r="H2056" i="20"/>
  <c r="H2057" i="20" s="1"/>
  <c r="H2256" i="20"/>
  <c r="H2257" i="20" s="1"/>
  <c r="H1956" i="20"/>
  <c r="H1957" i="20" s="1"/>
  <c r="H2152" i="20"/>
  <c r="H2153" i="20" s="1"/>
  <c r="H2052" i="20"/>
  <c r="H2053" i="20" s="1"/>
  <c r="H2252" i="20"/>
  <c r="H2253" i="20" s="1"/>
  <c r="H1952" i="20"/>
  <c r="H1953" i="20" s="1"/>
  <c r="H2148" i="20"/>
  <c r="H2149" i="20" s="1"/>
  <c r="H2048" i="20"/>
  <c r="H2049" i="20" s="1"/>
  <c r="H2248" i="20"/>
  <c r="H2249" i="20" s="1"/>
  <c r="H1948" i="20"/>
  <c r="H1949" i="20" s="1"/>
  <c r="H2144" i="20"/>
  <c r="H2145" i="20" s="1"/>
  <c r="H2044" i="20"/>
  <c r="H2045" i="20" s="1"/>
  <c r="H2244" i="20"/>
  <c r="H2245" i="20" s="1"/>
  <c r="H1944" i="20"/>
  <c r="H1945" i="20" s="1"/>
  <c r="H2140" i="20"/>
  <c r="H2141" i="20" s="1"/>
  <c r="H2040" i="20"/>
  <c r="H2041" i="20" s="1"/>
  <c r="H2240" i="20"/>
  <c r="H2241" i="20" s="1"/>
  <c r="H1940" i="20"/>
  <c r="H1941" i="20" s="1"/>
  <c r="H2136" i="20"/>
  <c r="H2137" i="20" s="1"/>
  <c r="H2036" i="20"/>
  <c r="H2037" i="20" s="1"/>
  <c r="H2236" i="20"/>
  <c r="H2237" i="20" s="1"/>
  <c r="H1936" i="20"/>
  <c r="H1937" i="20" s="1"/>
  <c r="H2124" i="20"/>
  <c r="H2125" i="20" s="1"/>
  <c r="H2025" i="20"/>
  <c r="H2224" i="20"/>
  <c r="H2225" i="20" s="1"/>
  <c r="H1924" i="20"/>
  <c r="H1925" i="20" s="1"/>
  <c r="I2316" i="20"/>
  <c r="I2317" i="20" s="1"/>
  <c r="I2016" i="20"/>
  <c r="I2017" i="20" s="1"/>
  <c r="I2216" i="20"/>
  <c r="I2217" i="20" s="1"/>
  <c r="I2116" i="20"/>
  <c r="I2117" i="20" s="1"/>
  <c r="I2312" i="20"/>
  <c r="I2313" i="20" s="1"/>
  <c r="I2212" i="20"/>
  <c r="I2213" i="20" s="1"/>
  <c r="I2112" i="20"/>
  <c r="I2113" i="20" s="1"/>
  <c r="I2012" i="20"/>
  <c r="I2013" i="20" s="1"/>
  <c r="I2308" i="20"/>
  <c r="I2309" i="20" s="1"/>
  <c r="I2008" i="20"/>
  <c r="I2009" i="20" s="1"/>
  <c r="I2208" i="20"/>
  <c r="I2209" i="20" s="1"/>
  <c r="I2108" i="20"/>
  <c r="I2109" i="20" s="1"/>
  <c r="I2304" i="20"/>
  <c r="I2305" i="20" s="1"/>
  <c r="I2204" i="20"/>
  <c r="I2205" i="20" s="1"/>
  <c r="I2104" i="20"/>
  <c r="I2105" i="20" s="1"/>
  <c r="I2004" i="20"/>
  <c r="I2005" i="20" s="1"/>
  <c r="I2300" i="20"/>
  <c r="I2301" i="20" s="1"/>
  <c r="I2000" i="20"/>
  <c r="I2001" i="20" s="1"/>
  <c r="I2200" i="20"/>
  <c r="I2201" i="20" s="1"/>
  <c r="I2100" i="20"/>
  <c r="I2101" i="20" s="1"/>
  <c r="I2296" i="20"/>
  <c r="I2297" i="20" s="1"/>
  <c r="I1996" i="20"/>
  <c r="I1997" i="20" s="1"/>
  <c r="I2196" i="20"/>
  <c r="I2197" i="20" s="1"/>
  <c r="I2096" i="20"/>
  <c r="I2097" i="20" s="1"/>
  <c r="I2292" i="20"/>
  <c r="I2293" i="20" s="1"/>
  <c r="I1992" i="20"/>
  <c r="I1993" i="20" s="1"/>
  <c r="I2192" i="20"/>
  <c r="I2193" i="20" s="1"/>
  <c r="I2092" i="20"/>
  <c r="I2093" i="20" s="1"/>
  <c r="I2288" i="20"/>
  <c r="I2289" i="20" s="1"/>
  <c r="I1988" i="20"/>
  <c r="I1989" i="20" s="1"/>
  <c r="I2188" i="20"/>
  <c r="I2189" i="20" s="1"/>
  <c r="I2088" i="20"/>
  <c r="I2089" i="20" s="1"/>
  <c r="I2284" i="20"/>
  <c r="I2285" i="20" s="1"/>
  <c r="I1984" i="20"/>
  <c r="I1985" i="20" s="1"/>
  <c r="I2184" i="20"/>
  <c r="I2185" i="20" s="1"/>
  <c r="I2084" i="20"/>
  <c r="I2085" i="20" s="1"/>
  <c r="I2280" i="20"/>
  <c r="I2281" i="20" s="1"/>
  <c r="I1980" i="20"/>
  <c r="I1981" i="20" s="1"/>
  <c r="I2180" i="20"/>
  <c r="I2181" i="20" s="1"/>
  <c r="I2080" i="20"/>
  <c r="I2081" i="20" s="1"/>
  <c r="I2276" i="20"/>
  <c r="I2277" i="20" s="1"/>
  <c r="I1976" i="20"/>
  <c r="I1977" i="20" s="1"/>
  <c r="I2176" i="20"/>
  <c r="I2177" i="20" s="1"/>
  <c r="I2076" i="20"/>
  <c r="I2077" i="20" s="1"/>
  <c r="I2272" i="20"/>
  <c r="I2273" i="20" s="1"/>
  <c r="I1972" i="20"/>
  <c r="I1973" i="20" s="1"/>
  <c r="I2172" i="20"/>
  <c r="I2173" i="20" s="1"/>
  <c r="I2072" i="20"/>
  <c r="I2073" i="20" s="1"/>
  <c r="I2268" i="20"/>
  <c r="I2269" i="20" s="1"/>
  <c r="I1968" i="20"/>
  <c r="I1969" i="20" s="1"/>
  <c r="I2168" i="20"/>
  <c r="I2169" i="20" s="1"/>
  <c r="I2068" i="20"/>
  <c r="I2069" i="20" s="1"/>
  <c r="I2264" i="20"/>
  <c r="I2265" i="20" s="1"/>
  <c r="I1964" i="20"/>
  <c r="I1965" i="20" s="1"/>
  <c r="I2164" i="20"/>
  <c r="I2165" i="20" s="1"/>
  <c r="I2064" i="20"/>
  <c r="I2065" i="20" s="1"/>
  <c r="I2260" i="20"/>
  <c r="I2261" i="20" s="1"/>
  <c r="I1960" i="20"/>
  <c r="I1961" i="20" s="1"/>
  <c r="I2160" i="20"/>
  <c r="I2161" i="20" s="1"/>
  <c r="I2060" i="20"/>
  <c r="I2061" i="20" s="1"/>
  <c r="I2256" i="20"/>
  <c r="I2257" i="20" s="1"/>
  <c r="I1956" i="20"/>
  <c r="I1957" i="20" s="1"/>
  <c r="I2156" i="20"/>
  <c r="I2157" i="20" s="1"/>
  <c r="I2056" i="20"/>
  <c r="I2057" i="20" s="1"/>
  <c r="I2252" i="20"/>
  <c r="I2253" i="20" s="1"/>
  <c r="I1952" i="20"/>
  <c r="I1953" i="20" s="1"/>
  <c r="I2152" i="20"/>
  <c r="I2153" i="20" s="1"/>
  <c r="I2052" i="20"/>
  <c r="I2053" i="20" s="1"/>
  <c r="I2248" i="20"/>
  <c r="I2249" i="20" s="1"/>
  <c r="I1948" i="20"/>
  <c r="I1949" i="20" s="1"/>
  <c r="I2148" i="20"/>
  <c r="I2149" i="20" s="1"/>
  <c r="I2048" i="20"/>
  <c r="I2049" i="20" s="1"/>
  <c r="I2244" i="20"/>
  <c r="I2245" i="20" s="1"/>
  <c r="I1944" i="20"/>
  <c r="I1945" i="20" s="1"/>
  <c r="I2144" i="20"/>
  <c r="I2145" i="20" s="1"/>
  <c r="I2044" i="20"/>
  <c r="I2045" i="20" s="1"/>
  <c r="I2240" i="20"/>
  <c r="I2241" i="20" s="1"/>
  <c r="I1940" i="20"/>
  <c r="I1941" i="20" s="1"/>
  <c r="I2140" i="20"/>
  <c r="I2141" i="20" s="1"/>
  <c r="I2040" i="20"/>
  <c r="I2041" i="20" s="1"/>
  <c r="I2236" i="20"/>
  <c r="I2237" i="20" s="1"/>
  <c r="I1936" i="20"/>
  <c r="I1937" i="20" s="1"/>
  <c r="I2136" i="20"/>
  <c r="I2137" i="20" s="1"/>
  <c r="I2036" i="20"/>
  <c r="I2037" i="20" s="1"/>
  <c r="I2224" i="20"/>
  <c r="I2225" i="20" s="1"/>
  <c r="I1924" i="20"/>
  <c r="I1925" i="20" s="1"/>
  <c r="I2124" i="20"/>
  <c r="I2125" i="20" s="1"/>
  <c r="I2025" i="20"/>
  <c r="J2216" i="20"/>
  <c r="J2217" i="20" s="1"/>
  <c r="J2116" i="20"/>
  <c r="J2117" i="20" s="1"/>
  <c r="J2316" i="20"/>
  <c r="J2317" i="20" s="1"/>
  <c r="J2016" i="20"/>
  <c r="J2017" i="20" s="1"/>
  <c r="J2212" i="20"/>
  <c r="J2213" i="20" s="1"/>
  <c r="J2112" i="20"/>
  <c r="J2113" i="20" s="1"/>
  <c r="J2312" i="20"/>
  <c r="J2313" i="20" s="1"/>
  <c r="J2012" i="20"/>
  <c r="J2013" i="20" s="1"/>
  <c r="J2208" i="20"/>
  <c r="J2209" i="20" s="1"/>
  <c r="J2108" i="20"/>
  <c r="J2109" i="20" s="1"/>
  <c r="J2308" i="20"/>
  <c r="J2309" i="20" s="1"/>
  <c r="J2008" i="20"/>
  <c r="J2009" i="20" s="1"/>
  <c r="J2204" i="20"/>
  <c r="J2205" i="20" s="1"/>
  <c r="J2104" i="20"/>
  <c r="J2105" i="20" s="1"/>
  <c r="J2304" i="20"/>
  <c r="J2305" i="20" s="1"/>
  <c r="J2004" i="20"/>
  <c r="J2005" i="20" s="1"/>
  <c r="J2200" i="20"/>
  <c r="J2201" i="20" s="1"/>
  <c r="J2100" i="20"/>
  <c r="J2101" i="20" s="1"/>
  <c r="J2300" i="20"/>
  <c r="J2301" i="20" s="1"/>
  <c r="J2000" i="20"/>
  <c r="J2001" i="20" s="1"/>
  <c r="J2196" i="20"/>
  <c r="J2197" i="20" s="1"/>
  <c r="J2096" i="20"/>
  <c r="J2097" i="20" s="1"/>
  <c r="J2296" i="20"/>
  <c r="J2297" i="20" s="1"/>
  <c r="J1996" i="20"/>
  <c r="J1997" i="20" s="1"/>
  <c r="J2192" i="20"/>
  <c r="J2193" i="20" s="1"/>
  <c r="J2092" i="20"/>
  <c r="J2093" i="20" s="1"/>
  <c r="J2292" i="20"/>
  <c r="J2293" i="20" s="1"/>
  <c r="J1992" i="20"/>
  <c r="J1993" i="20" s="1"/>
  <c r="J2188" i="20"/>
  <c r="J2189" i="20" s="1"/>
  <c r="J2088" i="20"/>
  <c r="J2089" i="20" s="1"/>
  <c r="J2288" i="20"/>
  <c r="J2289" i="20" s="1"/>
  <c r="J1988" i="20"/>
  <c r="J1989" i="20" s="1"/>
  <c r="J2184" i="20"/>
  <c r="J2185" i="20" s="1"/>
  <c r="J2084" i="20"/>
  <c r="J2085" i="20" s="1"/>
  <c r="J2284" i="20"/>
  <c r="J2285" i="20" s="1"/>
  <c r="J1984" i="20"/>
  <c r="J1985" i="20" s="1"/>
  <c r="J2180" i="20"/>
  <c r="J2181" i="20" s="1"/>
  <c r="J2080" i="20"/>
  <c r="J2081" i="20" s="1"/>
  <c r="J2280" i="20"/>
  <c r="J2281" i="20" s="1"/>
  <c r="J1980" i="20"/>
  <c r="J1981" i="20" s="1"/>
  <c r="J2176" i="20"/>
  <c r="J2177" i="20" s="1"/>
  <c r="J2076" i="20"/>
  <c r="J2077" i="20" s="1"/>
  <c r="J2276" i="20"/>
  <c r="J2277" i="20" s="1"/>
  <c r="J1976" i="20"/>
  <c r="J1977" i="20" s="1"/>
  <c r="J2172" i="20"/>
  <c r="J2173" i="20" s="1"/>
  <c r="J2072" i="20"/>
  <c r="J2073" i="20" s="1"/>
  <c r="J2272" i="20"/>
  <c r="J2273" i="20" s="1"/>
  <c r="J1972" i="20"/>
  <c r="J1973" i="20" s="1"/>
  <c r="J2168" i="20"/>
  <c r="J2169" i="20" s="1"/>
  <c r="J2068" i="20"/>
  <c r="J2069" i="20" s="1"/>
  <c r="J2268" i="20"/>
  <c r="J2269" i="20" s="1"/>
  <c r="J1968" i="20"/>
  <c r="J1969" i="20" s="1"/>
  <c r="J2164" i="20"/>
  <c r="J2165" i="20" s="1"/>
  <c r="J2064" i="20"/>
  <c r="J2065" i="20" s="1"/>
  <c r="J2264" i="20"/>
  <c r="J2265" i="20" s="1"/>
  <c r="J1964" i="20"/>
  <c r="J1965" i="20" s="1"/>
  <c r="J2160" i="20"/>
  <c r="J2161" i="20" s="1"/>
  <c r="J2060" i="20"/>
  <c r="J2061" i="20" s="1"/>
  <c r="J2260" i="20"/>
  <c r="J2261" i="20" s="1"/>
  <c r="J1960" i="20"/>
  <c r="J1961" i="20" s="1"/>
  <c r="J2156" i="20"/>
  <c r="J2157" i="20" s="1"/>
  <c r="J2056" i="20"/>
  <c r="J2057" i="20" s="1"/>
  <c r="J2256" i="20"/>
  <c r="J2257" i="20" s="1"/>
  <c r="J1956" i="20"/>
  <c r="J1957" i="20" s="1"/>
  <c r="J2152" i="20"/>
  <c r="J2153" i="20" s="1"/>
  <c r="J2052" i="20"/>
  <c r="J2053" i="20" s="1"/>
  <c r="J2252" i="20"/>
  <c r="J2253" i="20" s="1"/>
  <c r="J1952" i="20"/>
  <c r="J1953" i="20" s="1"/>
  <c r="J2148" i="20"/>
  <c r="J2149" i="20" s="1"/>
  <c r="J2048" i="20"/>
  <c r="J2049" i="20" s="1"/>
  <c r="J2248" i="20"/>
  <c r="J2249" i="20" s="1"/>
  <c r="J1948" i="20"/>
  <c r="J1949" i="20" s="1"/>
  <c r="J2144" i="20"/>
  <c r="J2145" i="20" s="1"/>
  <c r="J2044" i="20"/>
  <c r="J2045" i="20" s="1"/>
  <c r="J2244" i="20"/>
  <c r="J2245" i="20" s="1"/>
  <c r="J1944" i="20"/>
  <c r="J1945" i="20" s="1"/>
  <c r="J2140" i="20"/>
  <c r="J2141" i="20" s="1"/>
  <c r="J2040" i="20"/>
  <c r="J2041" i="20" s="1"/>
  <c r="J2240" i="20"/>
  <c r="J2241" i="20" s="1"/>
  <c r="J1940" i="20"/>
  <c r="J1941" i="20" s="1"/>
  <c r="J2136" i="20"/>
  <c r="J2137" i="20" s="1"/>
  <c r="J2036" i="20"/>
  <c r="J2037" i="20" s="1"/>
  <c r="J2236" i="20"/>
  <c r="J2237" i="20" s="1"/>
  <c r="J1936" i="20"/>
  <c r="J1937" i="20" s="1"/>
  <c r="J2124" i="20"/>
  <c r="J2125" i="20" s="1"/>
  <c r="J2025" i="20"/>
  <c r="J2224" i="20"/>
  <c r="J2225" i="20" s="1"/>
  <c r="J1924" i="20"/>
  <c r="J1925" i="20" s="1"/>
  <c r="H2310" i="20"/>
  <c r="H2311" i="20" s="1"/>
  <c r="H2210" i="20"/>
  <c r="H2211" i="20" s="1"/>
  <c r="H2110" i="20"/>
  <c r="H2111" i="20" s="1"/>
  <c r="H2010" i="20"/>
  <c r="H2011" i="20" s="1"/>
  <c r="H2306" i="20"/>
  <c r="H2307" i="20" s="1"/>
  <c r="H2006" i="20"/>
  <c r="H2007" i="20" s="1"/>
  <c r="H2206" i="20"/>
  <c r="H2207" i="20" s="1"/>
  <c r="H2106" i="20"/>
  <c r="H2107" i="20" s="1"/>
  <c r="H2294" i="20"/>
  <c r="H2295" i="20" s="1"/>
  <c r="H1994" i="20"/>
  <c r="H1995" i="20" s="1"/>
  <c r="H2194" i="20"/>
  <c r="H2195" i="20" s="1"/>
  <c r="H2094" i="20"/>
  <c r="H2095" i="20" s="1"/>
  <c r="H2290" i="20"/>
  <c r="H2291" i="20" s="1"/>
  <c r="H1990" i="20"/>
  <c r="H1991" i="20" s="1"/>
  <c r="H2190" i="20"/>
  <c r="H2191" i="20" s="1"/>
  <c r="H2090" i="20"/>
  <c r="H2091" i="20" s="1"/>
  <c r="H2286" i="20"/>
  <c r="H2287" i="20" s="1"/>
  <c r="H1986" i="20"/>
  <c r="H1987" i="20" s="1"/>
  <c r="H2186" i="20"/>
  <c r="H2187" i="20" s="1"/>
  <c r="H2086" i="20"/>
  <c r="H2087" i="20" s="1"/>
  <c r="H2282" i="20"/>
  <c r="H2283" i="20" s="1"/>
  <c r="H1982" i="20"/>
  <c r="H1983" i="20" s="1"/>
  <c r="H2182" i="20"/>
  <c r="H2183" i="20" s="1"/>
  <c r="H2082" i="20"/>
  <c r="H2083" i="20" s="1"/>
  <c r="H2278" i="20"/>
  <c r="H2279" i="20" s="1"/>
  <c r="H1978" i="20"/>
  <c r="H1979" i="20" s="1"/>
  <c r="H2178" i="20"/>
  <c r="H2179" i="20" s="1"/>
  <c r="H2078" i="20"/>
  <c r="H2079" i="20" s="1"/>
  <c r="H2274" i="20"/>
  <c r="H2275" i="20" s="1"/>
  <c r="H1974" i="20"/>
  <c r="H1975" i="20" s="1"/>
  <c r="H2174" i="20"/>
  <c r="H2175" i="20" s="1"/>
  <c r="H2074" i="20"/>
  <c r="H2075" i="20" s="1"/>
  <c r="H2270" i="20"/>
  <c r="H2271" i="20" s="1"/>
  <c r="H1970" i="20"/>
  <c r="H1971" i="20" s="1"/>
  <c r="H2170" i="20"/>
  <c r="H2171" i="20" s="1"/>
  <c r="H2070" i="20"/>
  <c r="H2071" i="20" s="1"/>
  <c r="H2266" i="20"/>
  <c r="H2267" i="20" s="1"/>
  <c r="H1966" i="20"/>
  <c r="H1967" i="20" s="1"/>
  <c r="H2166" i="20"/>
  <c r="H2167" i="20" s="1"/>
  <c r="H2066" i="20"/>
  <c r="H2067" i="20" s="1"/>
  <c r="H2262" i="20"/>
  <c r="H2263" i="20" s="1"/>
  <c r="H1962" i="20"/>
  <c r="H1963" i="20" s="1"/>
  <c r="H2162" i="20"/>
  <c r="H2163" i="20" s="1"/>
  <c r="H2062" i="20"/>
  <c r="H2063" i="20" s="1"/>
  <c r="H2258" i="20"/>
  <c r="H2259" i="20" s="1"/>
  <c r="H1958" i="20"/>
  <c r="H1959" i="20" s="1"/>
  <c r="H2158" i="20"/>
  <c r="H2159" i="20" s="1"/>
  <c r="H2058" i="20"/>
  <c r="H2059" i="20" s="1"/>
  <c r="H2254" i="20"/>
  <c r="H2255" i="20" s="1"/>
  <c r="H1954" i="20"/>
  <c r="H1955" i="20" s="1"/>
  <c r="H2154" i="20"/>
  <c r="H2155" i="20" s="1"/>
  <c r="H2054" i="20"/>
  <c r="H2055" i="20" s="1"/>
  <c r="H2250" i="20"/>
  <c r="H2251" i="20" s="1"/>
  <c r="H1950" i="20"/>
  <c r="H1951" i="20" s="1"/>
  <c r="H2150" i="20"/>
  <c r="H2151" i="20" s="1"/>
  <c r="H2050" i="20"/>
  <c r="H2051" i="20" s="1"/>
  <c r="H2246" i="20"/>
  <c r="H2247" i="20" s="1"/>
  <c r="H1946" i="20"/>
  <c r="H1947" i="20" s="1"/>
  <c r="H2146" i="20"/>
  <c r="H2147" i="20" s="1"/>
  <c r="H2046" i="20"/>
  <c r="H2047" i="20" s="1"/>
  <c r="H2242" i="20"/>
  <c r="H2243" i="20" s="1"/>
  <c r="H1942" i="20"/>
  <c r="H1943" i="20" s="1"/>
  <c r="H2142" i="20"/>
  <c r="H2143" i="20" s="1"/>
  <c r="H2042" i="20"/>
  <c r="H2043" i="20" s="1"/>
  <c r="H2238" i="20"/>
  <c r="H2239" i="20" s="1"/>
  <c r="H1938" i="20"/>
  <c r="H1939" i="20" s="1"/>
  <c r="H2138" i="20"/>
  <c r="H2139" i="20" s="1"/>
  <c r="H2038" i="20"/>
  <c r="H2039" i="20" s="1"/>
  <c r="H2234" i="20"/>
  <c r="H2235" i="20" s="1"/>
  <c r="H1934" i="20"/>
  <c r="H1935" i="20" s="1"/>
  <c r="H2134" i="20"/>
  <c r="H2135" i="20" s="1"/>
  <c r="H2034" i="20"/>
  <c r="H2035" i="20" s="1"/>
  <c r="I2218" i="20"/>
  <c r="I2219" i="20" s="1"/>
  <c r="I2118" i="20"/>
  <c r="I2119" i="20" s="1"/>
  <c r="I2318" i="20"/>
  <c r="I2319" i="20" s="1"/>
  <c r="I2018" i="20"/>
  <c r="I2019" i="20" s="1"/>
  <c r="I2214" i="20"/>
  <c r="I2215" i="20" s="1"/>
  <c r="I2114" i="20"/>
  <c r="I2115" i="20" s="1"/>
  <c r="I2314" i="20"/>
  <c r="I2315" i="20" s="1"/>
  <c r="I2014" i="20"/>
  <c r="I2015" i="20" s="1"/>
  <c r="I2210" i="20"/>
  <c r="I2211" i="20" s="1"/>
  <c r="I2110" i="20"/>
  <c r="I2111" i="20" s="1"/>
  <c r="I2310" i="20"/>
  <c r="I2311" i="20" s="1"/>
  <c r="I2010" i="20"/>
  <c r="I2011" i="20" s="1"/>
  <c r="I2206" i="20"/>
  <c r="I2207" i="20" s="1"/>
  <c r="I2106" i="20"/>
  <c r="I2107" i="20" s="1"/>
  <c r="I2306" i="20"/>
  <c r="I2307" i="20" s="1"/>
  <c r="I2006" i="20"/>
  <c r="I2007" i="20" s="1"/>
  <c r="I2202" i="20"/>
  <c r="I2203" i="20" s="1"/>
  <c r="I2102" i="20"/>
  <c r="I2103" i="20" s="1"/>
  <c r="I2302" i="20"/>
  <c r="I2303" i="20" s="1"/>
  <c r="I2002" i="20"/>
  <c r="I2003" i="20" s="1"/>
  <c r="I2198" i="20"/>
  <c r="I2199" i="20" s="1"/>
  <c r="I2098" i="20"/>
  <c r="I2099" i="20" s="1"/>
  <c r="I2298" i="20"/>
  <c r="I2299" i="20" s="1"/>
  <c r="I1998" i="20"/>
  <c r="I1999" i="20" s="1"/>
  <c r="I2194" i="20"/>
  <c r="I2195" i="20" s="1"/>
  <c r="I2094" i="20"/>
  <c r="I2095" i="20" s="1"/>
  <c r="I2294" i="20"/>
  <c r="I2295" i="20" s="1"/>
  <c r="I1994" i="20"/>
  <c r="I1995" i="20" s="1"/>
  <c r="I2190" i="20"/>
  <c r="I2191" i="20" s="1"/>
  <c r="I2090" i="20"/>
  <c r="I2091" i="20" s="1"/>
  <c r="I2290" i="20"/>
  <c r="I2291" i="20" s="1"/>
  <c r="I1990" i="20"/>
  <c r="I1991" i="20" s="1"/>
  <c r="I2186" i="20"/>
  <c r="I2187" i="20" s="1"/>
  <c r="I2086" i="20"/>
  <c r="I2087" i="20" s="1"/>
  <c r="I2286" i="20"/>
  <c r="I2287" i="20" s="1"/>
  <c r="I1986" i="20"/>
  <c r="I1987" i="20" s="1"/>
  <c r="I2182" i="20"/>
  <c r="I2183" i="20" s="1"/>
  <c r="I2082" i="20"/>
  <c r="I2083" i="20" s="1"/>
  <c r="I2282" i="20"/>
  <c r="I2283" i="20" s="1"/>
  <c r="I1982" i="20"/>
  <c r="I1983" i="20" s="1"/>
  <c r="I2178" i="20"/>
  <c r="I2179" i="20" s="1"/>
  <c r="I2078" i="20"/>
  <c r="I2079" i="20" s="1"/>
  <c r="I2278" i="20"/>
  <c r="I2279" i="20" s="1"/>
  <c r="I1978" i="20"/>
  <c r="I1979" i="20" s="1"/>
  <c r="I2174" i="20"/>
  <c r="I2175" i="20" s="1"/>
  <c r="I2074" i="20"/>
  <c r="I2075" i="20" s="1"/>
  <c r="I2274" i="20"/>
  <c r="I2275" i="20" s="1"/>
  <c r="I1974" i="20"/>
  <c r="I1975" i="20" s="1"/>
  <c r="I2170" i="20"/>
  <c r="I2171" i="20" s="1"/>
  <c r="I2070" i="20"/>
  <c r="I2071" i="20" s="1"/>
  <c r="I2270" i="20"/>
  <c r="I2271" i="20" s="1"/>
  <c r="I1970" i="20"/>
  <c r="I1971" i="20" s="1"/>
  <c r="I2166" i="20"/>
  <c r="I2167" i="20" s="1"/>
  <c r="I2066" i="20"/>
  <c r="I2067" i="20" s="1"/>
  <c r="I2266" i="20"/>
  <c r="I2267" i="20" s="1"/>
  <c r="I1966" i="20"/>
  <c r="I1967" i="20" s="1"/>
  <c r="I2162" i="20"/>
  <c r="I2163" i="20" s="1"/>
  <c r="I2062" i="20"/>
  <c r="I2063" i="20" s="1"/>
  <c r="I2262" i="20"/>
  <c r="I2263" i="20" s="1"/>
  <c r="I1962" i="20"/>
  <c r="I1963" i="20" s="1"/>
  <c r="I2158" i="20"/>
  <c r="I2159" i="20" s="1"/>
  <c r="I2058" i="20"/>
  <c r="I2059" i="20" s="1"/>
  <c r="I2258" i="20"/>
  <c r="I2259" i="20" s="1"/>
  <c r="I1958" i="20"/>
  <c r="I1959" i="20" s="1"/>
  <c r="I2154" i="20"/>
  <c r="I2155" i="20" s="1"/>
  <c r="I2054" i="20"/>
  <c r="I2055" i="20" s="1"/>
  <c r="I2254" i="20"/>
  <c r="I2255" i="20" s="1"/>
  <c r="I1954" i="20"/>
  <c r="I1955" i="20" s="1"/>
  <c r="I2150" i="20"/>
  <c r="I2151" i="20" s="1"/>
  <c r="I2050" i="20"/>
  <c r="I2051" i="20" s="1"/>
  <c r="I2250" i="20"/>
  <c r="I2251" i="20" s="1"/>
  <c r="I1950" i="20"/>
  <c r="I1951" i="20" s="1"/>
  <c r="I2146" i="20"/>
  <c r="I2147" i="20" s="1"/>
  <c r="I2046" i="20"/>
  <c r="I2047" i="20" s="1"/>
  <c r="I2246" i="20"/>
  <c r="I2247" i="20" s="1"/>
  <c r="I1946" i="20"/>
  <c r="I1947" i="20" s="1"/>
  <c r="I2142" i="20"/>
  <c r="I2143" i="20" s="1"/>
  <c r="I2042" i="20"/>
  <c r="I2043" i="20" s="1"/>
  <c r="I2242" i="20"/>
  <c r="I2243" i="20" s="1"/>
  <c r="I1942" i="20"/>
  <c r="I1943" i="20" s="1"/>
  <c r="I2138" i="20"/>
  <c r="I2139" i="20" s="1"/>
  <c r="I2038" i="20"/>
  <c r="I2039" i="20" s="1"/>
  <c r="I2238" i="20"/>
  <c r="I2239" i="20" s="1"/>
  <c r="I1938" i="20"/>
  <c r="I1939" i="20" s="1"/>
  <c r="I2134" i="20"/>
  <c r="I2135" i="20" s="1"/>
  <c r="I2034" i="20"/>
  <c r="I2035" i="20" s="1"/>
  <c r="I2234" i="20"/>
  <c r="I2235" i="20" s="1"/>
  <c r="I1934" i="20"/>
  <c r="I1935" i="20" s="1"/>
  <c r="J2318" i="20"/>
  <c r="J2319" i="20" s="1"/>
  <c r="J2018" i="20"/>
  <c r="J2019" i="20" s="1"/>
  <c r="J2218" i="20"/>
  <c r="J2219" i="20" s="1"/>
  <c r="J2118" i="20"/>
  <c r="J2119" i="20" s="1"/>
  <c r="J2314" i="20"/>
  <c r="J2315" i="20" s="1"/>
  <c r="J2214" i="20"/>
  <c r="J2215" i="20" s="1"/>
  <c r="J2114" i="20"/>
  <c r="J2115" i="20" s="1"/>
  <c r="J2014" i="20"/>
  <c r="J2015" i="20" s="1"/>
  <c r="J2310" i="20"/>
  <c r="J2311" i="20" s="1"/>
  <c r="J2010" i="20"/>
  <c r="J2011" i="20" s="1"/>
  <c r="J2210" i="20"/>
  <c r="J2211" i="20" s="1"/>
  <c r="J2110" i="20"/>
  <c r="J2111" i="20" s="1"/>
  <c r="J2306" i="20"/>
  <c r="J2307" i="20" s="1"/>
  <c r="J2206" i="20"/>
  <c r="J2207" i="20" s="1"/>
  <c r="J2106" i="20"/>
  <c r="J2107" i="20" s="1"/>
  <c r="J2006" i="20"/>
  <c r="J2007" i="20" s="1"/>
  <c r="J2302" i="20"/>
  <c r="J2303" i="20" s="1"/>
  <c r="J2002" i="20"/>
  <c r="J2003" i="20" s="1"/>
  <c r="J2202" i="20"/>
  <c r="J2203" i="20" s="1"/>
  <c r="J2102" i="20"/>
  <c r="J2103" i="20" s="1"/>
  <c r="J2298" i="20"/>
  <c r="J2299" i="20" s="1"/>
  <c r="J2198" i="20"/>
  <c r="J2199" i="20" s="1"/>
  <c r="J2098" i="20"/>
  <c r="J2099" i="20" s="1"/>
  <c r="J1998" i="20"/>
  <c r="J1999" i="20" s="1"/>
  <c r="J2294" i="20"/>
  <c r="J2295" i="20" s="1"/>
  <c r="J1994" i="20"/>
  <c r="J1995" i="20" s="1"/>
  <c r="J2194" i="20"/>
  <c r="J2195" i="20" s="1"/>
  <c r="J2094" i="20"/>
  <c r="J2095" i="20" s="1"/>
  <c r="J2290" i="20"/>
  <c r="J2291" i="20" s="1"/>
  <c r="J1990" i="20"/>
  <c r="J1991" i="20" s="1"/>
  <c r="J2190" i="20"/>
  <c r="J2191" i="20" s="1"/>
  <c r="J2090" i="20"/>
  <c r="J2091" i="20" s="1"/>
  <c r="J2286" i="20"/>
  <c r="J2287" i="20" s="1"/>
  <c r="J1986" i="20"/>
  <c r="J1987" i="20" s="1"/>
  <c r="J2186" i="20"/>
  <c r="J2187" i="20" s="1"/>
  <c r="J2086" i="20"/>
  <c r="J2087" i="20" s="1"/>
  <c r="J2282" i="20"/>
  <c r="J2283" i="20" s="1"/>
  <c r="J1982" i="20"/>
  <c r="J1983" i="20" s="1"/>
  <c r="J2182" i="20"/>
  <c r="J2183" i="20" s="1"/>
  <c r="J2082" i="20"/>
  <c r="J2083" i="20" s="1"/>
  <c r="J2278" i="20"/>
  <c r="J2279" i="20" s="1"/>
  <c r="J1978" i="20"/>
  <c r="J1979" i="20" s="1"/>
  <c r="J2178" i="20"/>
  <c r="J2179" i="20" s="1"/>
  <c r="J2078" i="20"/>
  <c r="J2079" i="20" s="1"/>
  <c r="J2274" i="20"/>
  <c r="J2275" i="20" s="1"/>
  <c r="J1974" i="20"/>
  <c r="J1975" i="20" s="1"/>
  <c r="J2174" i="20"/>
  <c r="J2175" i="20" s="1"/>
  <c r="J2074" i="20"/>
  <c r="J2075" i="20" s="1"/>
  <c r="J2270" i="20"/>
  <c r="J2271" i="20" s="1"/>
  <c r="J1970" i="20"/>
  <c r="J1971" i="20" s="1"/>
  <c r="J2170" i="20"/>
  <c r="J2171" i="20" s="1"/>
  <c r="J2070" i="20"/>
  <c r="J2071" i="20" s="1"/>
  <c r="J2266" i="20"/>
  <c r="J2267" i="20" s="1"/>
  <c r="J1966" i="20"/>
  <c r="J1967" i="20" s="1"/>
  <c r="J2166" i="20"/>
  <c r="J2167" i="20" s="1"/>
  <c r="J2066" i="20"/>
  <c r="J2067" i="20" s="1"/>
  <c r="J2262" i="20"/>
  <c r="J2263" i="20" s="1"/>
  <c r="J1962" i="20"/>
  <c r="J1963" i="20" s="1"/>
  <c r="J2162" i="20"/>
  <c r="J2163" i="20" s="1"/>
  <c r="J2062" i="20"/>
  <c r="J2063" i="20" s="1"/>
  <c r="J2258" i="20"/>
  <c r="J2259" i="20" s="1"/>
  <c r="J1958" i="20"/>
  <c r="J1959" i="20" s="1"/>
  <c r="J2158" i="20"/>
  <c r="J2159" i="20" s="1"/>
  <c r="J2058" i="20"/>
  <c r="J2059" i="20" s="1"/>
  <c r="J2254" i="20"/>
  <c r="J2255" i="20" s="1"/>
  <c r="J1954" i="20"/>
  <c r="J1955" i="20" s="1"/>
  <c r="J2154" i="20"/>
  <c r="J2155" i="20" s="1"/>
  <c r="J2054" i="20"/>
  <c r="J2055" i="20" s="1"/>
  <c r="J2250" i="20"/>
  <c r="J2251" i="20" s="1"/>
  <c r="J1950" i="20"/>
  <c r="J1951" i="20" s="1"/>
  <c r="J2150" i="20"/>
  <c r="J2151" i="20" s="1"/>
  <c r="J2050" i="20"/>
  <c r="J2051" i="20" s="1"/>
  <c r="J2246" i="20"/>
  <c r="J2247" i="20" s="1"/>
  <c r="J1946" i="20"/>
  <c r="J1947" i="20" s="1"/>
  <c r="J2146" i="20"/>
  <c r="J2147" i="20" s="1"/>
  <c r="J2046" i="20"/>
  <c r="J2047" i="20" s="1"/>
  <c r="J2242" i="20"/>
  <c r="J2243" i="20" s="1"/>
  <c r="J1942" i="20"/>
  <c r="J1943" i="20" s="1"/>
  <c r="J2142" i="20"/>
  <c r="J2143" i="20" s="1"/>
  <c r="J2042" i="20"/>
  <c r="J2043" i="20" s="1"/>
  <c r="J2238" i="20"/>
  <c r="J2239" i="20" s="1"/>
  <c r="J1938" i="20"/>
  <c r="J1939" i="20" s="1"/>
  <c r="J2138" i="20"/>
  <c r="J2139" i="20" s="1"/>
  <c r="J2038" i="20"/>
  <c r="J2039" i="20" s="1"/>
  <c r="J2234" i="20"/>
  <c r="J2235" i="20" s="1"/>
  <c r="J1934" i="20"/>
  <c r="J1935" i="20" s="1"/>
  <c r="J2134" i="20"/>
  <c r="J2135" i="20" s="1"/>
  <c r="J2034" i="20"/>
  <c r="J2035" i="20" s="1"/>
  <c r="H2222" i="20"/>
  <c r="H2223" i="20" s="1"/>
  <c r="H2122" i="20"/>
  <c r="H2123" i="20" s="1"/>
  <c r="I2222" i="20"/>
  <c r="I2223" i="20" s="1"/>
  <c r="I2122" i="20"/>
  <c r="I2123" i="20" s="1"/>
  <c r="J2222" i="20"/>
  <c r="J2223" i="20" s="1"/>
  <c r="J2122" i="20"/>
  <c r="J2123" i="20" s="1"/>
  <c r="H2320" i="20"/>
  <c r="H2321" i="20" s="1"/>
  <c r="H2220" i="20"/>
  <c r="H2221" i="20" s="1"/>
  <c r="J2320" i="20"/>
  <c r="J2321" i="20" s="1"/>
  <c r="J2220" i="20"/>
  <c r="J2221" i="20" s="1"/>
  <c r="I2320" i="20"/>
  <c r="I2321" i="20" s="1"/>
  <c r="I2220" i="20"/>
  <c r="I2221" i="20" s="1"/>
  <c r="H2120" i="20"/>
  <c r="H2121" i="20" s="1"/>
  <c r="H2020" i="20"/>
  <c r="H2021" i="20" s="1"/>
  <c r="I2020" i="20"/>
  <c r="I2021" i="20" s="1"/>
  <c r="I2120" i="20"/>
  <c r="I2121" i="20" s="1"/>
  <c r="J2120" i="20"/>
  <c r="J2121" i="20" s="1"/>
  <c r="J2020" i="20"/>
  <c r="J2021" i="20" s="1"/>
  <c r="H1922" i="20"/>
  <c r="H1923" i="20" s="1"/>
  <c r="H2023" i="20"/>
  <c r="I1922" i="20"/>
  <c r="I1923" i="20" s="1"/>
  <c r="I2023" i="20"/>
  <c r="J1922" i="20"/>
  <c r="J1923" i="20" s="1"/>
  <c r="J2023" i="20"/>
  <c r="I66" i="26" l="1"/>
  <c r="L430" i="11"/>
  <c r="O430" i="11" s="1"/>
  <c r="P430" i="11" s="1"/>
  <c r="I67" i="26"/>
  <c r="L431" i="11"/>
  <c r="O431" i="11" s="1"/>
  <c r="P431" i="11" s="1"/>
  <c r="K67" i="26"/>
  <c r="L631" i="11"/>
  <c r="O631" i="11" s="1"/>
  <c r="P631" i="11" s="1"/>
  <c r="K66" i="26"/>
  <c r="L630" i="11"/>
  <c r="O630" i="11" s="1"/>
  <c r="P630" i="11" s="1"/>
  <c r="J67" i="26"/>
  <c r="L531" i="11"/>
  <c r="O531" i="11" s="1"/>
  <c r="P531" i="11" s="1"/>
  <c r="AC53" i="10"/>
  <c r="AC52" i="10"/>
  <c r="AB53" i="10"/>
  <c r="AA52" i="10"/>
  <c r="AA53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32" i="10"/>
  <c r="R3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2" i="10"/>
  <c r="I62" i="14" l="1"/>
  <c r="I2" i="14"/>
  <c r="I62" i="12"/>
  <c r="I2" i="12"/>
  <c r="I42" i="4"/>
  <c r="I2" i="4"/>
  <c r="H42" i="22"/>
  <c r="H2" i="22"/>
  <c r="F933" i="10" l="1"/>
  <c r="F934" i="10"/>
  <c r="F935" i="10"/>
  <c r="F936" i="10"/>
  <c r="F937" i="10"/>
  <c r="F938" i="10"/>
  <c r="F939" i="10"/>
  <c r="F940" i="10"/>
  <c r="F941" i="10"/>
  <c r="F942" i="10"/>
  <c r="F943" i="10"/>
  <c r="F944" i="10"/>
  <c r="F945" i="10"/>
  <c r="F946" i="10"/>
  <c r="F947" i="10"/>
  <c r="F948" i="10"/>
  <c r="F949" i="10"/>
  <c r="F950" i="10"/>
  <c r="F951" i="10"/>
  <c r="F952" i="10"/>
  <c r="F953" i="10"/>
  <c r="F954" i="10"/>
  <c r="F955" i="10"/>
  <c r="F956" i="10"/>
  <c r="F957" i="10"/>
  <c r="F958" i="10"/>
  <c r="F959" i="10"/>
  <c r="F960" i="10"/>
  <c r="F961" i="10"/>
  <c r="F932" i="10"/>
  <c r="F903" i="10"/>
  <c r="F904" i="10"/>
  <c r="F905" i="10"/>
  <c r="F906" i="10"/>
  <c r="F907" i="10"/>
  <c r="F908" i="10"/>
  <c r="F909" i="10"/>
  <c r="F910" i="10"/>
  <c r="F911" i="10"/>
  <c r="F912" i="10"/>
  <c r="F913" i="10"/>
  <c r="F914" i="10"/>
  <c r="F915" i="10"/>
  <c r="F916" i="10"/>
  <c r="F917" i="10"/>
  <c r="F918" i="10"/>
  <c r="F919" i="10"/>
  <c r="F920" i="10"/>
  <c r="F921" i="10"/>
  <c r="F922" i="10"/>
  <c r="F923" i="10"/>
  <c r="F924" i="10"/>
  <c r="F925" i="10"/>
  <c r="F926" i="10"/>
  <c r="F927" i="10"/>
  <c r="F928" i="10"/>
  <c r="F929" i="10"/>
  <c r="F930" i="10"/>
  <c r="F931" i="10"/>
  <c r="F902" i="10"/>
  <c r="F873" i="10"/>
  <c r="F874" i="10"/>
  <c r="F875" i="10"/>
  <c r="F876" i="10"/>
  <c r="F877" i="10"/>
  <c r="F878" i="10"/>
  <c r="F879" i="10"/>
  <c r="F880" i="10"/>
  <c r="F881" i="10"/>
  <c r="F882" i="10"/>
  <c r="F883" i="10"/>
  <c r="F884" i="10"/>
  <c r="F885" i="10"/>
  <c r="F886" i="10"/>
  <c r="F887" i="10"/>
  <c r="F888" i="10"/>
  <c r="F889" i="10"/>
  <c r="F890" i="10"/>
  <c r="F891" i="10"/>
  <c r="F892" i="10"/>
  <c r="F893" i="10"/>
  <c r="F894" i="10"/>
  <c r="F895" i="10"/>
  <c r="F896" i="10"/>
  <c r="F897" i="10"/>
  <c r="F898" i="10"/>
  <c r="F899" i="10"/>
  <c r="F900" i="10"/>
  <c r="F901" i="10"/>
  <c r="F87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F84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1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78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3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68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3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58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3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48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5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2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39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4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29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4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19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4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9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6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32" i="10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2" i="10"/>
  <c r="O1916" i="20" l="1"/>
  <c r="O1911" i="20"/>
  <c r="O1910" i="20"/>
  <c r="O1905" i="20"/>
  <c r="O1904" i="20"/>
  <c r="O1899" i="20"/>
  <c r="O1898" i="20"/>
  <c r="O1893" i="20"/>
  <c r="O1892" i="20"/>
  <c r="O1887" i="20"/>
  <c r="O1886" i="20"/>
  <c r="O1881" i="20"/>
  <c r="O1880" i="20"/>
  <c r="O1875" i="20"/>
  <c r="O1874" i="20"/>
  <c r="O1869" i="20"/>
  <c r="O1868" i="20"/>
  <c r="O1863" i="20"/>
  <c r="O1862" i="20"/>
  <c r="O1857" i="20"/>
  <c r="O1856" i="20"/>
  <c r="O1851" i="20"/>
  <c r="O1850" i="20"/>
  <c r="O1845" i="20"/>
  <c r="O1844" i="20"/>
  <c r="O1839" i="20"/>
  <c r="O1838" i="20"/>
  <c r="O1833" i="20"/>
  <c r="O1832" i="20"/>
  <c r="O1827" i="20"/>
  <c r="O1826" i="20"/>
  <c r="O1821" i="20"/>
  <c r="O1820" i="20"/>
  <c r="O1815" i="20"/>
  <c r="O1814" i="20"/>
  <c r="O1809" i="20"/>
  <c r="O1808" i="20"/>
  <c r="O1803" i="20"/>
  <c r="O1802" i="20"/>
  <c r="O1797" i="20"/>
  <c r="O1796" i="20"/>
  <c r="O1791" i="20"/>
  <c r="O1790" i="20"/>
  <c r="O1773" i="20"/>
  <c r="O1772" i="20"/>
  <c r="O1767" i="20"/>
  <c r="O1766" i="20"/>
  <c r="O1761" i="20"/>
  <c r="O1760" i="20"/>
  <c r="O1755" i="20"/>
  <c r="O1754" i="20"/>
  <c r="O1749" i="20"/>
  <c r="O1748" i="20"/>
  <c r="O1743" i="20"/>
  <c r="O1742" i="20"/>
  <c r="O956" i="20"/>
  <c r="O951" i="20"/>
  <c r="O950" i="20"/>
  <c r="O945" i="20"/>
  <c r="O944" i="20"/>
  <c r="O939" i="20"/>
  <c r="O938" i="20"/>
  <c r="O933" i="20"/>
  <c r="O932" i="20"/>
  <c r="O927" i="20"/>
  <c r="O926" i="20"/>
  <c r="O921" i="20"/>
  <c r="O920" i="20"/>
  <c r="O915" i="20"/>
  <c r="O914" i="20"/>
  <c r="O909" i="20"/>
  <c r="O908" i="20"/>
  <c r="O903" i="20"/>
  <c r="O902" i="20"/>
  <c r="O897" i="20"/>
  <c r="O896" i="20"/>
  <c r="O891" i="20"/>
  <c r="O890" i="20"/>
  <c r="O885" i="20"/>
  <c r="O884" i="20"/>
  <c r="O879" i="20"/>
  <c r="O878" i="20"/>
  <c r="O873" i="20"/>
  <c r="O872" i="20"/>
  <c r="O867" i="20"/>
  <c r="O866" i="20"/>
  <c r="O861" i="20"/>
  <c r="O860" i="20"/>
  <c r="O855" i="20"/>
  <c r="O854" i="20"/>
  <c r="O849" i="20"/>
  <c r="O848" i="20"/>
  <c r="O843" i="20"/>
  <c r="O842" i="20"/>
  <c r="O837" i="20"/>
  <c r="O836" i="20"/>
  <c r="O831" i="20"/>
  <c r="O830" i="20"/>
  <c r="O825" i="20"/>
  <c r="O824" i="20"/>
  <c r="O819" i="20"/>
  <c r="O818" i="20"/>
  <c r="O813" i="20"/>
  <c r="O812" i="20"/>
  <c r="O807" i="20"/>
  <c r="O806" i="20"/>
  <c r="O801" i="20"/>
  <c r="O800" i="20"/>
  <c r="O795" i="20"/>
  <c r="O794" i="20"/>
  <c r="O789" i="20"/>
  <c r="O788" i="20"/>
  <c r="O783" i="20"/>
  <c r="O782" i="20"/>
  <c r="O1740" i="20"/>
  <c r="O1739" i="20"/>
  <c r="O1738" i="20"/>
  <c r="O1737" i="20"/>
  <c r="O1736" i="20"/>
  <c r="O1735" i="20"/>
  <c r="O1734" i="20"/>
  <c r="O1733" i="20"/>
  <c r="O1732" i="20"/>
  <c r="O1731" i="20"/>
  <c r="O1730" i="20"/>
  <c r="O1729" i="20"/>
  <c r="O1728" i="20"/>
  <c r="O1727" i="20"/>
  <c r="O1726" i="20"/>
  <c r="O1725" i="20"/>
  <c r="O1724" i="20"/>
  <c r="O1723" i="20"/>
  <c r="O1722" i="20"/>
  <c r="O1721" i="20"/>
  <c r="O1720" i="20"/>
  <c r="O1719" i="20"/>
  <c r="O1718" i="20"/>
  <c r="O1717" i="20"/>
  <c r="O1716" i="20"/>
  <c r="O1715" i="20"/>
  <c r="O1714" i="20"/>
  <c r="O1713" i="20"/>
  <c r="O1712" i="20"/>
  <c r="O1711" i="20"/>
  <c r="O1710" i="20"/>
  <c r="O1709" i="20"/>
  <c r="O1708" i="20"/>
  <c r="O1707" i="20"/>
  <c r="O1706" i="20"/>
  <c r="O1705" i="20"/>
  <c r="O1704" i="20"/>
  <c r="O1703" i="20"/>
  <c r="O1702" i="20"/>
  <c r="O1701" i="20"/>
  <c r="O1700" i="20"/>
  <c r="O1699" i="20"/>
  <c r="O1698" i="20"/>
  <c r="O1697" i="20"/>
  <c r="O1696" i="20"/>
  <c r="O1695" i="20"/>
  <c r="O1694" i="20"/>
  <c r="O1693" i="20"/>
  <c r="O1692" i="20"/>
  <c r="O1691" i="20"/>
  <c r="O1690" i="20"/>
  <c r="O1689" i="20"/>
  <c r="O1688" i="20"/>
  <c r="O1687" i="20"/>
  <c r="O1686" i="20"/>
  <c r="O1685" i="20"/>
  <c r="O1684" i="20"/>
  <c r="O1642" i="20"/>
  <c r="O1643" i="20" s="1"/>
  <c r="O1640" i="20"/>
  <c r="O1639" i="20"/>
  <c r="O1638" i="20"/>
  <c r="O1637" i="20"/>
  <c r="O1636" i="20"/>
  <c r="O1635" i="20"/>
  <c r="O1634" i="20"/>
  <c r="O1633" i="20"/>
  <c r="O1632" i="20"/>
  <c r="O1631" i="20"/>
  <c r="O1630" i="20"/>
  <c r="O1629" i="20"/>
  <c r="O1628" i="20"/>
  <c r="O1627" i="20"/>
  <c r="O1626" i="20"/>
  <c r="O1625" i="20"/>
  <c r="O1624" i="20"/>
  <c r="O1623" i="20"/>
  <c r="O1622" i="20"/>
  <c r="O1621" i="20"/>
  <c r="O1620" i="20"/>
  <c r="O1619" i="20"/>
  <c r="O1618" i="20"/>
  <c r="O1617" i="20"/>
  <c r="O1616" i="20"/>
  <c r="O1615" i="20"/>
  <c r="O1614" i="20"/>
  <c r="O1613" i="20"/>
  <c r="O1612" i="20"/>
  <c r="O1611" i="20"/>
  <c r="O1610" i="20"/>
  <c r="O1609" i="20"/>
  <c r="O1608" i="20"/>
  <c r="O1607" i="20"/>
  <c r="O1606" i="20"/>
  <c r="O1605" i="20"/>
  <c r="O1604" i="20"/>
  <c r="O1603" i="20"/>
  <c r="O1602" i="20"/>
  <c r="O1601" i="20"/>
  <c r="O1600" i="20"/>
  <c r="O1599" i="20"/>
  <c r="O1598" i="20"/>
  <c r="O1597" i="20"/>
  <c r="O1596" i="20"/>
  <c r="O1595" i="20"/>
  <c r="O1594" i="20"/>
  <c r="O1593" i="20"/>
  <c r="O1592" i="20"/>
  <c r="O1591" i="20"/>
  <c r="O1590" i="20"/>
  <c r="O1589" i="20"/>
  <c r="O1588" i="20"/>
  <c r="O1587" i="20"/>
  <c r="O1586" i="20"/>
  <c r="O1585" i="20"/>
  <c r="O1584" i="20"/>
  <c r="O1542" i="20"/>
  <c r="O1543" i="20" s="1"/>
  <c r="O1540" i="20"/>
  <c r="O1538" i="20"/>
  <c r="O1536" i="20"/>
  <c r="O1534" i="20"/>
  <c r="O1532" i="20"/>
  <c r="O1530" i="20"/>
  <c r="O1528" i="20"/>
  <c r="O1526" i="20"/>
  <c r="O1524" i="20"/>
  <c r="O1522" i="20"/>
  <c r="O1520" i="20"/>
  <c r="O1518" i="20"/>
  <c r="O1516" i="20"/>
  <c r="O1514" i="20"/>
  <c r="O1512" i="20"/>
  <c r="O1510" i="20"/>
  <c r="O1508" i="20"/>
  <c r="O1506" i="20"/>
  <c r="O1504" i="20"/>
  <c r="O1502" i="20"/>
  <c r="O1500" i="20"/>
  <c r="O1498" i="20"/>
  <c r="O1496" i="20"/>
  <c r="O1494" i="20"/>
  <c r="O1492" i="20"/>
  <c r="O1490" i="20"/>
  <c r="O1488" i="20"/>
  <c r="O1486" i="20"/>
  <c r="O1484" i="20"/>
  <c r="O1442" i="20"/>
  <c r="O1443" i="20" s="1"/>
  <c r="O1440" i="20"/>
  <c r="O1438" i="20"/>
  <c r="O1436" i="20"/>
  <c r="O1434" i="20"/>
  <c r="O1432" i="20"/>
  <c r="O1430" i="20"/>
  <c r="O1428" i="20"/>
  <c r="O1426" i="20"/>
  <c r="O1424" i="20"/>
  <c r="O1422" i="20"/>
  <c r="O1420" i="20"/>
  <c r="O1418" i="20"/>
  <c r="O1416" i="20"/>
  <c r="O1414" i="20"/>
  <c r="O1412" i="20"/>
  <c r="O1410" i="20"/>
  <c r="O1408" i="20"/>
  <c r="O1406" i="20"/>
  <c r="O1404" i="20"/>
  <c r="O1402" i="20"/>
  <c r="O1400" i="20"/>
  <c r="O1398" i="20"/>
  <c r="O1396" i="20"/>
  <c r="O1394" i="20"/>
  <c r="O1392" i="20"/>
  <c r="O1390" i="20"/>
  <c r="O1388" i="20"/>
  <c r="O1386" i="20"/>
  <c r="O1384" i="20"/>
  <c r="O1342" i="20"/>
  <c r="O1340" i="20"/>
  <c r="O1338" i="20"/>
  <c r="O1336" i="20"/>
  <c r="O1334" i="20"/>
  <c r="O1332" i="20"/>
  <c r="O1330" i="20"/>
  <c r="O1328" i="20"/>
  <c r="O1326" i="20"/>
  <c r="O1324" i="20"/>
  <c r="O1322" i="20"/>
  <c r="O1320" i="20"/>
  <c r="O1318" i="20"/>
  <c r="O1316" i="20"/>
  <c r="O1314" i="20"/>
  <c r="O1312" i="20"/>
  <c r="O1310" i="20"/>
  <c r="O1308" i="20"/>
  <c r="O1306" i="20"/>
  <c r="O1304" i="20"/>
  <c r="O1302" i="20"/>
  <c r="O1300" i="20"/>
  <c r="O1298" i="20"/>
  <c r="O1296" i="20"/>
  <c r="O1294" i="20"/>
  <c r="O1292" i="20"/>
  <c r="O1290" i="20"/>
  <c r="O1288" i="20"/>
  <c r="O1286" i="20"/>
  <c r="O1284" i="20"/>
  <c r="O1242" i="20"/>
  <c r="O1240" i="20"/>
  <c r="O1238" i="20"/>
  <c r="O1236" i="20"/>
  <c r="O1234" i="20"/>
  <c r="O1232" i="20"/>
  <c r="O1230" i="20"/>
  <c r="O1228" i="20"/>
  <c r="O1226" i="20"/>
  <c r="O1224" i="20"/>
  <c r="O1222" i="20"/>
  <c r="O1220" i="20"/>
  <c r="O1218" i="20"/>
  <c r="O1216" i="20"/>
  <c r="O1214" i="20"/>
  <c r="O1212" i="20"/>
  <c r="O1210" i="20"/>
  <c r="O1208" i="20"/>
  <c r="O1206" i="20"/>
  <c r="O1204" i="20"/>
  <c r="O1202" i="20"/>
  <c r="O1200" i="20"/>
  <c r="O1198" i="20"/>
  <c r="O1196" i="20"/>
  <c r="O1194" i="20"/>
  <c r="O1192" i="20"/>
  <c r="O1190" i="20"/>
  <c r="O1188" i="20"/>
  <c r="O1186" i="20"/>
  <c r="O1184" i="20"/>
  <c r="O1142" i="20"/>
  <c r="O1140" i="20"/>
  <c r="O1138" i="20"/>
  <c r="O1136" i="20"/>
  <c r="O1134" i="20"/>
  <c r="O1132" i="20"/>
  <c r="O1130" i="20"/>
  <c r="O1128" i="20"/>
  <c r="O1126" i="20"/>
  <c r="O1124" i="20"/>
  <c r="O1122" i="20"/>
  <c r="O1120" i="20"/>
  <c r="O1118" i="20"/>
  <c r="O1116" i="20"/>
  <c r="O1114" i="20"/>
  <c r="O1112" i="20"/>
  <c r="O1110" i="20"/>
  <c r="O1108" i="20"/>
  <c r="O1106" i="20"/>
  <c r="O1104" i="20"/>
  <c r="O1102" i="20"/>
  <c r="O1100" i="20"/>
  <c r="O1098" i="20"/>
  <c r="O1096" i="20"/>
  <c r="O1094" i="20"/>
  <c r="O1092" i="20"/>
  <c r="O1090" i="20"/>
  <c r="O1088" i="20"/>
  <c r="O1086" i="20"/>
  <c r="O1084" i="20"/>
  <c r="O1082" i="20"/>
  <c r="O1080" i="20"/>
  <c r="O1078" i="20"/>
  <c r="O1076" i="20"/>
  <c r="O1074" i="20"/>
  <c r="O1072" i="20"/>
  <c r="O1070" i="20"/>
  <c r="O1068" i="20"/>
  <c r="O1066" i="20"/>
  <c r="O1064" i="20"/>
  <c r="O1062" i="20"/>
  <c r="O1060" i="20"/>
  <c r="O1058" i="20"/>
  <c r="O1056" i="20"/>
  <c r="O1054" i="20"/>
  <c r="O1052" i="20"/>
  <c r="O1050" i="20"/>
  <c r="O1048" i="20"/>
  <c r="O1046" i="20"/>
  <c r="O1044" i="20"/>
  <c r="O1042" i="20"/>
  <c r="O1040" i="20"/>
  <c r="O1038" i="20"/>
  <c r="O1036" i="20"/>
  <c r="O1034" i="20"/>
  <c r="O1032" i="20"/>
  <c r="O1030" i="20"/>
  <c r="O1028" i="20"/>
  <c r="O1026" i="20"/>
  <c r="O1024" i="20"/>
  <c r="O1022" i="20"/>
  <c r="O1020" i="20"/>
  <c r="O1018" i="20"/>
  <c r="O1016" i="20"/>
  <c r="O1014" i="20"/>
  <c r="O1012" i="20"/>
  <c r="O1010" i="20"/>
  <c r="O1008" i="20"/>
  <c r="O1006" i="20"/>
  <c r="O1004" i="20"/>
  <c r="O1002" i="20"/>
  <c r="O1000" i="20"/>
  <c r="O998" i="20"/>
  <c r="O996" i="20"/>
  <c r="O994" i="20"/>
  <c r="O992" i="20"/>
  <c r="O990" i="20"/>
  <c r="O988" i="20"/>
  <c r="O986" i="20"/>
  <c r="O984" i="20"/>
  <c r="O982" i="20"/>
  <c r="O980" i="20"/>
  <c r="O978" i="20"/>
  <c r="O976" i="20"/>
  <c r="O974" i="20"/>
  <c r="O972" i="20"/>
  <c r="O970" i="20"/>
  <c r="O968" i="20"/>
  <c r="O966" i="20"/>
  <c r="O964" i="20"/>
  <c r="O962" i="20"/>
  <c r="O780" i="20"/>
  <c r="O778" i="20"/>
  <c r="O776" i="20"/>
  <c r="O774" i="20"/>
  <c r="O772" i="20"/>
  <c r="O770" i="20"/>
  <c r="O768" i="20"/>
  <c r="O766" i="20"/>
  <c r="O764" i="20"/>
  <c r="O762" i="20"/>
  <c r="O760" i="20"/>
  <c r="O758" i="20"/>
  <c r="O756" i="20"/>
  <c r="O754" i="20"/>
  <c r="O752" i="20"/>
  <c r="O750" i="20"/>
  <c r="O748" i="20"/>
  <c r="O746" i="20"/>
  <c r="O744" i="20"/>
  <c r="O742" i="20"/>
  <c r="O740" i="20"/>
  <c r="O738" i="20"/>
  <c r="O736" i="20"/>
  <c r="O734" i="20"/>
  <c r="O732" i="20"/>
  <c r="O730" i="20"/>
  <c r="O728" i="20"/>
  <c r="O726" i="20"/>
  <c r="O724" i="20"/>
  <c r="O682" i="20"/>
  <c r="O683" i="20" s="1"/>
  <c r="O680" i="20"/>
  <c r="O678" i="20"/>
  <c r="O676" i="20"/>
  <c r="O674" i="20"/>
  <c r="O672" i="20"/>
  <c r="O670" i="20"/>
  <c r="O668" i="20"/>
  <c r="O666" i="20"/>
  <c r="O664" i="20"/>
  <c r="O662" i="20"/>
  <c r="O660" i="20"/>
  <c r="O658" i="20"/>
  <c r="O656" i="20"/>
  <c r="O654" i="20"/>
  <c r="O652" i="20"/>
  <c r="O650" i="20"/>
  <c r="O648" i="20"/>
  <c r="O646" i="20"/>
  <c r="O644" i="20"/>
  <c r="O642" i="20"/>
  <c r="O640" i="20"/>
  <c r="O638" i="20"/>
  <c r="O636" i="20"/>
  <c r="O634" i="20"/>
  <c r="O632" i="20"/>
  <c r="O630" i="20"/>
  <c r="O628" i="20"/>
  <c r="O626" i="20"/>
  <c r="O624" i="20"/>
  <c r="O582" i="20"/>
  <c r="O583" i="20" s="1"/>
  <c r="O580" i="20"/>
  <c r="O578" i="20"/>
  <c r="O576" i="20"/>
  <c r="O574" i="20"/>
  <c r="O572" i="20"/>
  <c r="O570" i="20"/>
  <c r="O568" i="20"/>
  <c r="O566" i="20"/>
  <c r="O564" i="20"/>
  <c r="O562" i="20"/>
  <c r="O560" i="20"/>
  <c r="O558" i="20"/>
  <c r="O556" i="20"/>
  <c r="O554" i="20"/>
  <c r="O552" i="20"/>
  <c r="O550" i="20"/>
  <c r="O548" i="20"/>
  <c r="O546" i="20"/>
  <c r="O544" i="20"/>
  <c r="O542" i="20"/>
  <c r="O540" i="20"/>
  <c r="O538" i="20"/>
  <c r="O536" i="20"/>
  <c r="O534" i="20"/>
  <c r="O532" i="20"/>
  <c r="O530" i="20"/>
  <c r="O528" i="20"/>
  <c r="O526" i="20"/>
  <c r="O524" i="20"/>
  <c r="O482" i="20"/>
  <c r="O483" i="20" s="1"/>
  <c r="O480" i="20"/>
  <c r="O478" i="20"/>
  <c r="O476" i="20"/>
  <c r="O474" i="20"/>
  <c r="O472" i="20"/>
  <c r="O470" i="20"/>
  <c r="O468" i="20"/>
  <c r="O466" i="20"/>
  <c r="O464" i="20"/>
  <c r="O462" i="20"/>
  <c r="O460" i="20"/>
  <c r="O458" i="20"/>
  <c r="O456" i="20"/>
  <c r="O454" i="20"/>
  <c r="O452" i="20"/>
  <c r="O450" i="20"/>
  <c r="O448" i="20"/>
  <c r="O446" i="20"/>
  <c r="O444" i="20"/>
  <c r="O442" i="20"/>
  <c r="O440" i="20"/>
  <c r="O438" i="20"/>
  <c r="O436" i="20"/>
  <c r="O434" i="20"/>
  <c r="O432" i="20"/>
  <c r="O430" i="20"/>
  <c r="O428" i="20"/>
  <c r="O426" i="20"/>
  <c r="O424" i="20"/>
  <c r="O382" i="20"/>
  <c r="O380" i="20"/>
  <c r="O378" i="20"/>
  <c r="O376" i="20"/>
  <c r="O374" i="20"/>
  <c r="O372" i="20"/>
  <c r="O370" i="20"/>
  <c r="O368" i="20"/>
  <c r="O366" i="20"/>
  <c r="O364" i="20"/>
  <c r="O362" i="20"/>
  <c r="O360" i="20"/>
  <c r="O358" i="20"/>
  <c r="O356" i="20"/>
  <c r="O354" i="20"/>
  <c r="O352" i="20"/>
  <c r="O350" i="20"/>
  <c r="O348" i="20"/>
  <c r="O346" i="20"/>
  <c r="O344" i="20"/>
  <c r="O342" i="20"/>
  <c r="O340" i="20"/>
  <c r="O338" i="20"/>
  <c r="O336" i="20"/>
  <c r="O334" i="20"/>
  <c r="O332" i="20"/>
  <c r="O330" i="20"/>
  <c r="O328" i="20"/>
  <c r="O326" i="20"/>
  <c r="O324" i="20"/>
  <c r="O282" i="20"/>
  <c r="O280" i="20"/>
  <c r="O278" i="20"/>
  <c r="O276" i="20"/>
  <c r="O274" i="20"/>
  <c r="O272" i="20"/>
  <c r="O270" i="20"/>
  <c r="O268" i="20"/>
  <c r="O266" i="20"/>
  <c r="O264" i="20"/>
  <c r="O262" i="20"/>
  <c r="O260" i="20"/>
  <c r="O258" i="20"/>
  <c r="O256" i="20"/>
  <c r="O254" i="20"/>
  <c r="O252" i="20"/>
  <c r="O250" i="20"/>
  <c r="O248" i="20"/>
  <c r="O246" i="20"/>
  <c r="O244" i="20"/>
  <c r="O242" i="20"/>
  <c r="O240" i="20"/>
  <c r="O238" i="20"/>
  <c r="O236" i="20"/>
  <c r="O234" i="20"/>
  <c r="O232" i="20"/>
  <c r="O230" i="20"/>
  <c r="O228" i="20"/>
  <c r="O226" i="20"/>
  <c r="O224" i="20"/>
  <c r="O182" i="20"/>
  <c r="O180" i="20"/>
  <c r="O178" i="20"/>
  <c r="O176" i="20"/>
  <c r="O174" i="20"/>
  <c r="O172" i="20"/>
  <c r="O170" i="20"/>
  <c r="O168" i="20"/>
  <c r="O166" i="20"/>
  <c r="O164" i="20"/>
  <c r="O162" i="20"/>
  <c r="O160" i="20"/>
  <c r="O158" i="20"/>
  <c r="O156" i="20"/>
  <c r="O154" i="20"/>
  <c r="O152" i="20"/>
  <c r="O150" i="20"/>
  <c r="O148" i="20"/>
  <c r="O146" i="20"/>
  <c r="O144" i="20"/>
  <c r="O142" i="20"/>
  <c r="O140" i="20"/>
  <c r="O138" i="20"/>
  <c r="O136" i="20"/>
  <c r="O134" i="20"/>
  <c r="O132" i="20"/>
  <c r="O130" i="20"/>
  <c r="O128" i="20"/>
  <c r="O126" i="20"/>
  <c r="O124" i="20"/>
  <c r="O122" i="20"/>
  <c r="O120" i="20"/>
  <c r="O118" i="20"/>
  <c r="O116" i="20"/>
  <c r="O114" i="20"/>
  <c r="O112" i="20"/>
  <c r="O110" i="20"/>
  <c r="O108" i="20"/>
  <c r="O106" i="20"/>
  <c r="O104" i="20"/>
  <c r="O102" i="20"/>
  <c r="O100" i="20"/>
  <c r="O98" i="20"/>
  <c r="O96" i="20"/>
  <c r="O94" i="20"/>
  <c r="O92" i="20"/>
  <c r="O90" i="20"/>
  <c r="O88" i="20"/>
  <c r="O86" i="20"/>
  <c r="O84" i="20"/>
  <c r="O82" i="20"/>
  <c r="O80" i="20"/>
  <c r="O78" i="20"/>
  <c r="O76" i="20"/>
  <c r="O74" i="20"/>
  <c r="O72" i="20"/>
  <c r="O70" i="20"/>
  <c r="O68" i="20"/>
  <c r="O66" i="20"/>
  <c r="O64" i="20"/>
  <c r="O62" i="20"/>
  <c r="O60" i="20"/>
  <c r="O58" i="20"/>
  <c r="O56" i="20"/>
  <c r="O54" i="20"/>
  <c r="O52" i="20"/>
  <c r="O50" i="20"/>
  <c r="O48" i="20"/>
  <c r="O46" i="20"/>
  <c r="O44" i="20"/>
  <c r="O42" i="20"/>
  <c r="O40" i="20"/>
  <c r="O38" i="20"/>
  <c r="O36" i="20"/>
  <c r="O34" i="20"/>
  <c r="O32" i="20"/>
  <c r="O30" i="20"/>
  <c r="O28" i="20"/>
  <c r="O26" i="20"/>
  <c r="O24" i="20"/>
  <c r="O22" i="20"/>
  <c r="O20" i="20"/>
  <c r="O18" i="20"/>
  <c r="O16" i="20"/>
  <c r="O14" i="20"/>
  <c r="O12" i="20"/>
  <c r="O10" i="20"/>
  <c r="O8" i="20"/>
  <c r="O6" i="20"/>
  <c r="O4" i="20"/>
  <c r="O2" i="20"/>
  <c r="F1917" i="20" l="1"/>
  <c r="F1918" i="20" s="1"/>
  <c r="F1919" i="20" s="1"/>
  <c r="F1920" i="20" s="1"/>
  <c r="F1921" i="20" s="1"/>
  <c r="F1911" i="20"/>
  <c r="F1912" i="20" s="1"/>
  <c r="F1913" i="20" s="1"/>
  <c r="F1914" i="20" s="1"/>
  <c r="F1915" i="20" s="1"/>
  <c r="F1905" i="20"/>
  <c r="F1906" i="20" s="1"/>
  <c r="F1907" i="20" s="1"/>
  <c r="F1908" i="20" s="1"/>
  <c r="F1909" i="20" s="1"/>
  <c r="F1899" i="20"/>
  <c r="F1900" i="20" s="1"/>
  <c r="F1901" i="20" s="1"/>
  <c r="F1902" i="20" s="1"/>
  <c r="F1903" i="20" s="1"/>
  <c r="F1893" i="20"/>
  <c r="F1894" i="20" s="1"/>
  <c r="F1895" i="20" s="1"/>
  <c r="F1896" i="20" s="1"/>
  <c r="F1897" i="20" s="1"/>
  <c r="F1887" i="20"/>
  <c r="F1888" i="20" s="1"/>
  <c r="F1889" i="20" s="1"/>
  <c r="F1890" i="20" s="1"/>
  <c r="F1891" i="20" s="1"/>
  <c r="F1881" i="20"/>
  <c r="F1882" i="20" s="1"/>
  <c r="F1883" i="20" s="1"/>
  <c r="F1884" i="20" s="1"/>
  <c r="F1885" i="20" s="1"/>
  <c r="F1875" i="20"/>
  <c r="F1876" i="20" s="1"/>
  <c r="F1877" i="20" s="1"/>
  <c r="F1878" i="20" s="1"/>
  <c r="F1879" i="20" s="1"/>
  <c r="F1869" i="20"/>
  <c r="F1870" i="20" s="1"/>
  <c r="F1871" i="20" s="1"/>
  <c r="F1872" i="20" s="1"/>
  <c r="F1873" i="20" s="1"/>
  <c r="F1863" i="20"/>
  <c r="F1864" i="20" s="1"/>
  <c r="F1865" i="20" s="1"/>
  <c r="F1866" i="20" s="1"/>
  <c r="F1867" i="20" s="1"/>
  <c r="F1857" i="20"/>
  <c r="F1858" i="20" s="1"/>
  <c r="F1859" i="20" s="1"/>
  <c r="F1860" i="20" s="1"/>
  <c r="F1861" i="20" s="1"/>
  <c r="F1851" i="20"/>
  <c r="F1852" i="20" s="1"/>
  <c r="F1853" i="20" s="1"/>
  <c r="F1854" i="20" s="1"/>
  <c r="F1855" i="20" s="1"/>
  <c r="F1845" i="20"/>
  <c r="F1846" i="20" s="1"/>
  <c r="F1847" i="20" s="1"/>
  <c r="F1848" i="20" s="1"/>
  <c r="F1849" i="20" s="1"/>
  <c r="F1839" i="20"/>
  <c r="F1840" i="20" s="1"/>
  <c r="F1841" i="20" s="1"/>
  <c r="F1842" i="20" s="1"/>
  <c r="F1843" i="20" s="1"/>
  <c r="F1833" i="20"/>
  <c r="F1834" i="20" s="1"/>
  <c r="F1835" i="20" s="1"/>
  <c r="F1836" i="20" s="1"/>
  <c r="F1837" i="20" s="1"/>
  <c r="F1827" i="20"/>
  <c r="F1828" i="20" s="1"/>
  <c r="F1829" i="20" s="1"/>
  <c r="F1830" i="20" s="1"/>
  <c r="F1831" i="20" s="1"/>
  <c r="F1821" i="20"/>
  <c r="F1822" i="20" s="1"/>
  <c r="F1823" i="20" s="1"/>
  <c r="F1824" i="20" s="1"/>
  <c r="F1825" i="20" s="1"/>
  <c r="F1815" i="20"/>
  <c r="F1816" i="20" s="1"/>
  <c r="F1817" i="20" s="1"/>
  <c r="F1818" i="20" s="1"/>
  <c r="F1819" i="20" s="1"/>
  <c r="F1809" i="20"/>
  <c r="F1810" i="20" s="1"/>
  <c r="F1811" i="20" s="1"/>
  <c r="F1812" i="20" s="1"/>
  <c r="F1813" i="20" s="1"/>
  <c r="F1803" i="20"/>
  <c r="F1804" i="20" s="1"/>
  <c r="F1805" i="20" s="1"/>
  <c r="F1806" i="20" s="1"/>
  <c r="F1807" i="20" s="1"/>
  <c r="F1797" i="20"/>
  <c r="F1798" i="20" s="1"/>
  <c r="F1799" i="20" s="1"/>
  <c r="F1800" i="20" s="1"/>
  <c r="F1801" i="20" s="1"/>
  <c r="F1791" i="20"/>
  <c r="F1792" i="20" s="1"/>
  <c r="F1793" i="20" s="1"/>
  <c r="F1794" i="20" s="1"/>
  <c r="F1795" i="20" s="1"/>
  <c r="F1773" i="20"/>
  <c r="F1774" i="20" s="1"/>
  <c r="F1775" i="20" s="1"/>
  <c r="F1776" i="20" s="1"/>
  <c r="F1777" i="20" s="1"/>
  <c r="F1767" i="20"/>
  <c r="F1768" i="20" s="1"/>
  <c r="F1769" i="20" s="1"/>
  <c r="F1770" i="20" s="1"/>
  <c r="F1771" i="20" s="1"/>
  <c r="F1761" i="20"/>
  <c r="F1762" i="20" s="1"/>
  <c r="F1763" i="20" s="1"/>
  <c r="F1764" i="20" s="1"/>
  <c r="F1765" i="20" s="1"/>
  <c r="F1755" i="20"/>
  <c r="F1756" i="20" s="1"/>
  <c r="F1757" i="20" s="1"/>
  <c r="F1758" i="20" s="1"/>
  <c r="F1759" i="20" s="1"/>
  <c r="F1749" i="20"/>
  <c r="F1750" i="20" s="1"/>
  <c r="F1751" i="20" s="1"/>
  <c r="F1752" i="20" s="1"/>
  <c r="F1753" i="20" s="1"/>
  <c r="F1743" i="20"/>
  <c r="F1744" i="20" s="1"/>
  <c r="F1745" i="20" s="1"/>
  <c r="F1746" i="20" s="1"/>
  <c r="F1747" i="20" s="1"/>
  <c r="F958" i="20"/>
  <c r="F959" i="20" s="1"/>
  <c r="F960" i="20" s="1"/>
  <c r="F961" i="20" s="1"/>
  <c r="F951" i="20"/>
  <c r="F952" i="20" s="1"/>
  <c r="F953" i="20" s="1"/>
  <c r="F954" i="20" s="1"/>
  <c r="F955" i="20" s="1"/>
  <c r="F945" i="20"/>
  <c r="F946" i="20" s="1"/>
  <c r="F947" i="20" s="1"/>
  <c r="F948" i="20" s="1"/>
  <c r="F949" i="20" s="1"/>
  <c r="F939" i="20"/>
  <c r="F940" i="20" s="1"/>
  <c r="F941" i="20" s="1"/>
  <c r="F942" i="20" s="1"/>
  <c r="F943" i="20" s="1"/>
  <c r="F933" i="20"/>
  <c r="F934" i="20" s="1"/>
  <c r="F935" i="20" s="1"/>
  <c r="F936" i="20" s="1"/>
  <c r="F937" i="20" s="1"/>
  <c r="F927" i="20"/>
  <c r="F928" i="20" s="1"/>
  <c r="F929" i="20" s="1"/>
  <c r="F930" i="20" s="1"/>
  <c r="F931" i="20" s="1"/>
  <c r="F921" i="20"/>
  <c r="F922" i="20" s="1"/>
  <c r="F923" i="20" s="1"/>
  <c r="F924" i="20" s="1"/>
  <c r="F925" i="20" s="1"/>
  <c r="F915" i="20"/>
  <c r="F916" i="20" s="1"/>
  <c r="F917" i="20" s="1"/>
  <c r="F918" i="20" s="1"/>
  <c r="F919" i="20" s="1"/>
  <c r="F909" i="20"/>
  <c r="F910" i="20" s="1"/>
  <c r="F911" i="20" s="1"/>
  <c r="F912" i="20" s="1"/>
  <c r="F913" i="20" s="1"/>
  <c r="F903" i="20"/>
  <c r="F904" i="20" s="1"/>
  <c r="F905" i="20" s="1"/>
  <c r="F906" i="20" s="1"/>
  <c r="F907" i="20" s="1"/>
  <c r="F897" i="20"/>
  <c r="F898" i="20" s="1"/>
  <c r="F899" i="20" s="1"/>
  <c r="F900" i="20" s="1"/>
  <c r="F901" i="20" s="1"/>
  <c r="F891" i="20"/>
  <c r="F892" i="20" s="1"/>
  <c r="F893" i="20" s="1"/>
  <c r="F894" i="20" s="1"/>
  <c r="F895" i="20" s="1"/>
  <c r="F885" i="20"/>
  <c r="F886" i="20" s="1"/>
  <c r="F887" i="20" s="1"/>
  <c r="F888" i="20" s="1"/>
  <c r="F889" i="20" s="1"/>
  <c r="F879" i="20"/>
  <c r="F880" i="20" s="1"/>
  <c r="F881" i="20" s="1"/>
  <c r="F882" i="20" s="1"/>
  <c r="F883" i="20" s="1"/>
  <c r="F873" i="20"/>
  <c r="F874" i="20" s="1"/>
  <c r="F875" i="20" s="1"/>
  <c r="F876" i="20" s="1"/>
  <c r="F877" i="20" s="1"/>
  <c r="F867" i="20"/>
  <c r="F868" i="20" s="1"/>
  <c r="F869" i="20" s="1"/>
  <c r="F870" i="20" s="1"/>
  <c r="F871" i="20" s="1"/>
  <c r="F861" i="20"/>
  <c r="F862" i="20" s="1"/>
  <c r="F863" i="20" s="1"/>
  <c r="F864" i="20" s="1"/>
  <c r="F865" i="20" s="1"/>
  <c r="F855" i="20"/>
  <c r="F856" i="20" s="1"/>
  <c r="F857" i="20" s="1"/>
  <c r="F858" i="20" s="1"/>
  <c r="F859" i="20" s="1"/>
  <c r="F849" i="20"/>
  <c r="F850" i="20" s="1"/>
  <c r="F851" i="20" s="1"/>
  <c r="F852" i="20" s="1"/>
  <c r="F853" i="20" s="1"/>
  <c r="F843" i="20"/>
  <c r="F844" i="20" s="1"/>
  <c r="F845" i="20" s="1"/>
  <c r="F846" i="20" s="1"/>
  <c r="F847" i="20" s="1"/>
  <c r="F837" i="20"/>
  <c r="F838" i="20" s="1"/>
  <c r="F839" i="20" s="1"/>
  <c r="F840" i="20" s="1"/>
  <c r="F841" i="20" s="1"/>
  <c r="F831" i="20"/>
  <c r="F832" i="20" s="1"/>
  <c r="F833" i="20" s="1"/>
  <c r="F834" i="20" s="1"/>
  <c r="F835" i="20" s="1"/>
  <c r="F825" i="20"/>
  <c r="F826" i="20" s="1"/>
  <c r="F827" i="20" s="1"/>
  <c r="F828" i="20" s="1"/>
  <c r="F829" i="20" s="1"/>
  <c r="F819" i="20"/>
  <c r="F820" i="20" s="1"/>
  <c r="F821" i="20" s="1"/>
  <c r="F822" i="20" s="1"/>
  <c r="F823" i="20" s="1"/>
  <c r="F813" i="20"/>
  <c r="F814" i="20" s="1"/>
  <c r="F815" i="20" s="1"/>
  <c r="F816" i="20" s="1"/>
  <c r="F817" i="20" s="1"/>
  <c r="F807" i="20"/>
  <c r="F808" i="20" s="1"/>
  <c r="F809" i="20" s="1"/>
  <c r="F810" i="20" s="1"/>
  <c r="F811" i="20" s="1"/>
  <c r="F801" i="20"/>
  <c r="F802" i="20" s="1"/>
  <c r="F803" i="20" s="1"/>
  <c r="F804" i="20" s="1"/>
  <c r="F805" i="20" s="1"/>
  <c r="F795" i="20"/>
  <c r="F796" i="20" s="1"/>
  <c r="F797" i="20" s="1"/>
  <c r="F798" i="20" s="1"/>
  <c r="F799" i="20" s="1"/>
  <c r="F789" i="20"/>
  <c r="F790" i="20" s="1"/>
  <c r="F791" i="20" s="1"/>
  <c r="F792" i="20" s="1"/>
  <c r="F793" i="20" s="1"/>
  <c r="C1917" i="20"/>
  <c r="C1918" i="20" s="1"/>
  <c r="C1919" i="20" s="1"/>
  <c r="C1920" i="20" s="1"/>
  <c r="C1921" i="20" s="1"/>
  <c r="C1911" i="20"/>
  <c r="C1912" i="20" s="1"/>
  <c r="C1913" i="20" s="1"/>
  <c r="C1914" i="20" s="1"/>
  <c r="C1915" i="20" s="1"/>
  <c r="C1905" i="20"/>
  <c r="C1906" i="20" s="1"/>
  <c r="C1907" i="20" s="1"/>
  <c r="C1908" i="20" s="1"/>
  <c r="C1909" i="20" s="1"/>
  <c r="C1899" i="20"/>
  <c r="C1900" i="20" s="1"/>
  <c r="C1901" i="20" s="1"/>
  <c r="C1902" i="20" s="1"/>
  <c r="C1903" i="20" s="1"/>
  <c r="C1893" i="20"/>
  <c r="C1894" i="20" s="1"/>
  <c r="C1895" i="20" s="1"/>
  <c r="C1896" i="20" s="1"/>
  <c r="C1897" i="20" s="1"/>
  <c r="C1887" i="20"/>
  <c r="C1888" i="20" s="1"/>
  <c r="C1889" i="20" s="1"/>
  <c r="C1890" i="20" s="1"/>
  <c r="C1891" i="20" s="1"/>
  <c r="C1881" i="20"/>
  <c r="C1882" i="20" s="1"/>
  <c r="C1883" i="20" s="1"/>
  <c r="C1884" i="20" s="1"/>
  <c r="C1885" i="20" s="1"/>
  <c r="C1875" i="20"/>
  <c r="C1876" i="20" s="1"/>
  <c r="C1877" i="20" s="1"/>
  <c r="C1878" i="20" s="1"/>
  <c r="C1879" i="20" s="1"/>
  <c r="C1869" i="20"/>
  <c r="C1870" i="20" s="1"/>
  <c r="C1871" i="20" s="1"/>
  <c r="C1872" i="20" s="1"/>
  <c r="C1873" i="20" s="1"/>
  <c r="C1863" i="20"/>
  <c r="C1864" i="20" s="1"/>
  <c r="C1865" i="20" s="1"/>
  <c r="C1866" i="20" s="1"/>
  <c r="C1867" i="20" s="1"/>
  <c r="C1857" i="20"/>
  <c r="C1858" i="20" s="1"/>
  <c r="C1859" i="20" s="1"/>
  <c r="C1860" i="20" s="1"/>
  <c r="C1861" i="20" s="1"/>
  <c r="C1851" i="20"/>
  <c r="C1852" i="20" s="1"/>
  <c r="C1853" i="20" s="1"/>
  <c r="C1854" i="20" s="1"/>
  <c r="C1855" i="20" s="1"/>
  <c r="C1845" i="20"/>
  <c r="C1846" i="20" s="1"/>
  <c r="C1847" i="20" s="1"/>
  <c r="C1848" i="20" s="1"/>
  <c r="C1849" i="20" s="1"/>
  <c r="C1839" i="20"/>
  <c r="C1840" i="20" s="1"/>
  <c r="C1841" i="20" s="1"/>
  <c r="C1842" i="20" s="1"/>
  <c r="C1843" i="20" s="1"/>
  <c r="C1833" i="20"/>
  <c r="C1834" i="20" s="1"/>
  <c r="C1835" i="20" s="1"/>
  <c r="C1836" i="20" s="1"/>
  <c r="C1837" i="20" s="1"/>
  <c r="C1827" i="20"/>
  <c r="C1828" i="20" s="1"/>
  <c r="C1829" i="20" s="1"/>
  <c r="C1830" i="20" s="1"/>
  <c r="C1831" i="20" s="1"/>
  <c r="C1821" i="20"/>
  <c r="C1822" i="20" s="1"/>
  <c r="C1823" i="20" s="1"/>
  <c r="C1824" i="20" s="1"/>
  <c r="C1825" i="20" s="1"/>
  <c r="C1815" i="20"/>
  <c r="C1816" i="20" s="1"/>
  <c r="C1817" i="20" s="1"/>
  <c r="C1818" i="20" s="1"/>
  <c r="C1819" i="20" s="1"/>
  <c r="C1809" i="20"/>
  <c r="C1810" i="20" s="1"/>
  <c r="C1811" i="20" s="1"/>
  <c r="C1812" i="20" s="1"/>
  <c r="C1813" i="20" s="1"/>
  <c r="C1803" i="20"/>
  <c r="C1804" i="20" s="1"/>
  <c r="C1805" i="20" s="1"/>
  <c r="C1806" i="20" s="1"/>
  <c r="C1807" i="20" s="1"/>
  <c r="C1797" i="20"/>
  <c r="C1798" i="20" s="1"/>
  <c r="C1799" i="20" s="1"/>
  <c r="C1800" i="20" s="1"/>
  <c r="C1801" i="20" s="1"/>
  <c r="C1791" i="20"/>
  <c r="C1792" i="20" s="1"/>
  <c r="C1793" i="20" s="1"/>
  <c r="C1794" i="20" s="1"/>
  <c r="C1795" i="20" s="1"/>
  <c r="C1773" i="20"/>
  <c r="C1774" i="20" s="1"/>
  <c r="C1775" i="20" s="1"/>
  <c r="C1776" i="20" s="1"/>
  <c r="C1777" i="20" s="1"/>
  <c r="C1767" i="20"/>
  <c r="C1768" i="20" s="1"/>
  <c r="C1769" i="20" s="1"/>
  <c r="C1770" i="20" s="1"/>
  <c r="C1771" i="20" s="1"/>
  <c r="C1761" i="20"/>
  <c r="C1762" i="20" s="1"/>
  <c r="C1763" i="20" s="1"/>
  <c r="C1764" i="20" s="1"/>
  <c r="C1765" i="20" s="1"/>
  <c r="C1755" i="20"/>
  <c r="C1756" i="20" s="1"/>
  <c r="C1757" i="20" s="1"/>
  <c r="C1758" i="20" s="1"/>
  <c r="C1759" i="20" s="1"/>
  <c r="C1749" i="20"/>
  <c r="C1750" i="20" s="1"/>
  <c r="C1751" i="20" s="1"/>
  <c r="C1752" i="20" s="1"/>
  <c r="C1753" i="20" s="1"/>
  <c r="C1743" i="20"/>
  <c r="C1744" i="20" s="1"/>
  <c r="C1745" i="20" s="1"/>
  <c r="C1746" i="20" s="1"/>
  <c r="C1747" i="20" s="1"/>
  <c r="C958" i="20"/>
  <c r="C959" i="20" s="1"/>
  <c r="C960" i="20" s="1"/>
  <c r="C961" i="20" s="1"/>
  <c r="C951" i="20"/>
  <c r="C952" i="20" s="1"/>
  <c r="C953" i="20" s="1"/>
  <c r="C954" i="20" s="1"/>
  <c r="C955" i="20" s="1"/>
  <c r="C945" i="20"/>
  <c r="C946" i="20" s="1"/>
  <c r="C947" i="20" s="1"/>
  <c r="C948" i="20" s="1"/>
  <c r="C949" i="20" s="1"/>
  <c r="C939" i="20"/>
  <c r="C940" i="20" s="1"/>
  <c r="C941" i="20" s="1"/>
  <c r="C942" i="20" s="1"/>
  <c r="C943" i="20" s="1"/>
  <c r="C933" i="20"/>
  <c r="C934" i="20" s="1"/>
  <c r="C935" i="20" s="1"/>
  <c r="C936" i="20" s="1"/>
  <c r="C937" i="20" s="1"/>
  <c r="C927" i="20"/>
  <c r="C928" i="20" s="1"/>
  <c r="C929" i="20" s="1"/>
  <c r="C930" i="20" s="1"/>
  <c r="C931" i="20" s="1"/>
  <c r="C921" i="20"/>
  <c r="C922" i="20" s="1"/>
  <c r="C923" i="20" s="1"/>
  <c r="C924" i="20" s="1"/>
  <c r="C925" i="20" s="1"/>
  <c r="C915" i="20"/>
  <c r="C916" i="20" s="1"/>
  <c r="C917" i="20" s="1"/>
  <c r="C918" i="20" s="1"/>
  <c r="C919" i="20" s="1"/>
  <c r="C909" i="20"/>
  <c r="C910" i="20" s="1"/>
  <c r="C911" i="20" s="1"/>
  <c r="C912" i="20" s="1"/>
  <c r="C913" i="20" s="1"/>
  <c r="C903" i="20"/>
  <c r="C904" i="20" s="1"/>
  <c r="C905" i="20" s="1"/>
  <c r="C906" i="20" s="1"/>
  <c r="C907" i="20" s="1"/>
  <c r="C897" i="20"/>
  <c r="C898" i="20" s="1"/>
  <c r="C899" i="20" s="1"/>
  <c r="C900" i="20" s="1"/>
  <c r="C901" i="20" s="1"/>
  <c r="C891" i="20"/>
  <c r="C892" i="20" s="1"/>
  <c r="C893" i="20" s="1"/>
  <c r="C894" i="20" s="1"/>
  <c r="C895" i="20" s="1"/>
  <c r="C885" i="20"/>
  <c r="C886" i="20" s="1"/>
  <c r="C887" i="20" s="1"/>
  <c r="C888" i="20" s="1"/>
  <c r="C889" i="20" s="1"/>
  <c r="C879" i="20"/>
  <c r="C880" i="20" s="1"/>
  <c r="C881" i="20" s="1"/>
  <c r="C882" i="20" s="1"/>
  <c r="C883" i="20" s="1"/>
  <c r="C873" i="20"/>
  <c r="C874" i="20" s="1"/>
  <c r="C875" i="20" s="1"/>
  <c r="C876" i="20" s="1"/>
  <c r="C877" i="20" s="1"/>
  <c r="C867" i="20"/>
  <c r="C868" i="20" s="1"/>
  <c r="C869" i="20" s="1"/>
  <c r="C870" i="20" s="1"/>
  <c r="C871" i="20" s="1"/>
  <c r="C861" i="20"/>
  <c r="C862" i="20" s="1"/>
  <c r="C863" i="20" s="1"/>
  <c r="C864" i="20" s="1"/>
  <c r="C865" i="20" s="1"/>
  <c r="C855" i="20"/>
  <c r="C856" i="20" s="1"/>
  <c r="C857" i="20" s="1"/>
  <c r="C858" i="20" s="1"/>
  <c r="C859" i="20" s="1"/>
  <c r="C849" i="20"/>
  <c r="C850" i="20" s="1"/>
  <c r="C851" i="20" s="1"/>
  <c r="C852" i="20" s="1"/>
  <c r="C853" i="20" s="1"/>
  <c r="C843" i="20"/>
  <c r="C844" i="20" s="1"/>
  <c r="C845" i="20" s="1"/>
  <c r="C846" i="20" s="1"/>
  <c r="C847" i="20" s="1"/>
  <c r="C837" i="20"/>
  <c r="C838" i="20" s="1"/>
  <c r="C839" i="20" s="1"/>
  <c r="C840" i="20" s="1"/>
  <c r="C841" i="20" s="1"/>
  <c r="C831" i="20"/>
  <c r="C832" i="20" s="1"/>
  <c r="C833" i="20" s="1"/>
  <c r="C834" i="20" s="1"/>
  <c r="C835" i="20" s="1"/>
  <c r="C825" i="20"/>
  <c r="C826" i="20" s="1"/>
  <c r="C827" i="20" s="1"/>
  <c r="C828" i="20" s="1"/>
  <c r="C829" i="20" s="1"/>
  <c r="C819" i="20"/>
  <c r="C820" i="20" s="1"/>
  <c r="C821" i="20" s="1"/>
  <c r="C822" i="20" s="1"/>
  <c r="C823" i="20" s="1"/>
  <c r="C813" i="20"/>
  <c r="C814" i="20" s="1"/>
  <c r="C815" i="20" s="1"/>
  <c r="C816" i="20" s="1"/>
  <c r="C817" i="20" s="1"/>
  <c r="C807" i="20"/>
  <c r="C808" i="20" s="1"/>
  <c r="C809" i="20" s="1"/>
  <c r="C810" i="20" s="1"/>
  <c r="C811" i="20" s="1"/>
  <c r="C801" i="20"/>
  <c r="C802" i="20" s="1"/>
  <c r="C803" i="20" s="1"/>
  <c r="C804" i="20" s="1"/>
  <c r="C805" i="20" s="1"/>
  <c r="C795" i="20"/>
  <c r="C796" i="20" s="1"/>
  <c r="C797" i="20" s="1"/>
  <c r="C798" i="20" s="1"/>
  <c r="C799" i="20" s="1"/>
  <c r="C789" i="20"/>
  <c r="C790" i="20" s="1"/>
  <c r="C791" i="20" s="1"/>
  <c r="C792" i="20" s="1"/>
  <c r="C793" i="20" s="1"/>
  <c r="M1916" i="20" l="1"/>
  <c r="M1910" i="20"/>
  <c r="M1904" i="20"/>
  <c r="M1898" i="20"/>
  <c r="M1892" i="20"/>
  <c r="M1886" i="20"/>
  <c r="M1880" i="20"/>
  <c r="M1874" i="20"/>
  <c r="M1868" i="20"/>
  <c r="M1862" i="20"/>
  <c r="M1856" i="20"/>
  <c r="M1850" i="20"/>
  <c r="M1844" i="20"/>
  <c r="M1838" i="20"/>
  <c r="M1832" i="20"/>
  <c r="M1826" i="20"/>
  <c r="M1820" i="20"/>
  <c r="M1814" i="20"/>
  <c r="M1808" i="20"/>
  <c r="M1802" i="20"/>
  <c r="M1796" i="20"/>
  <c r="M1790" i="20"/>
  <c r="M1772" i="20"/>
  <c r="M1766" i="20"/>
  <c r="M1760" i="20"/>
  <c r="M1754" i="20"/>
  <c r="M1748" i="20"/>
  <c r="M1742" i="20"/>
  <c r="F1741" i="20" l="1"/>
  <c r="C1741" i="20"/>
  <c r="F1739" i="20"/>
  <c r="C1739" i="20"/>
  <c r="F1737" i="20"/>
  <c r="C1737" i="20"/>
  <c r="F1735" i="20"/>
  <c r="C1735" i="20"/>
  <c r="F1733" i="20"/>
  <c r="C1733" i="20"/>
  <c r="F1731" i="20"/>
  <c r="C1731" i="20"/>
  <c r="F1729" i="20"/>
  <c r="C1729" i="20"/>
  <c r="F1727" i="20"/>
  <c r="C1727" i="20"/>
  <c r="F1725" i="20"/>
  <c r="C1725" i="20"/>
  <c r="F1723" i="20"/>
  <c r="C1723" i="20"/>
  <c r="F1721" i="20"/>
  <c r="C1721" i="20"/>
  <c r="F1719" i="20"/>
  <c r="C1719" i="20"/>
  <c r="F1717" i="20"/>
  <c r="C1717" i="20"/>
  <c r="F1715" i="20"/>
  <c r="C1715" i="20"/>
  <c r="F1713" i="20"/>
  <c r="C1713" i="20"/>
  <c r="F1711" i="20"/>
  <c r="C1711" i="20"/>
  <c r="F1709" i="20"/>
  <c r="C1709" i="20"/>
  <c r="F1707" i="20"/>
  <c r="C1707" i="20"/>
  <c r="F1705" i="20"/>
  <c r="C1705" i="20"/>
  <c r="F1703" i="20"/>
  <c r="C1703" i="20"/>
  <c r="F1701" i="20"/>
  <c r="C1701" i="20"/>
  <c r="F1699" i="20"/>
  <c r="C1699" i="20"/>
  <c r="F1697" i="20"/>
  <c r="C1697" i="20"/>
  <c r="F1695" i="20"/>
  <c r="C1695" i="20"/>
  <c r="F1693" i="20"/>
  <c r="C1693" i="20"/>
  <c r="F1691" i="20"/>
  <c r="C1691" i="20"/>
  <c r="F1689" i="20"/>
  <c r="C1689" i="20"/>
  <c r="F1687" i="20"/>
  <c r="C1687" i="20"/>
  <c r="F1685" i="20"/>
  <c r="C1685" i="20"/>
  <c r="F1641" i="20"/>
  <c r="C1641" i="20"/>
  <c r="F1639" i="20"/>
  <c r="C1639" i="20"/>
  <c r="F1637" i="20"/>
  <c r="C1637" i="20"/>
  <c r="F1635" i="20"/>
  <c r="C1635" i="20"/>
  <c r="F1633" i="20"/>
  <c r="C1633" i="20"/>
  <c r="F1631" i="20"/>
  <c r="C1631" i="20"/>
  <c r="F1629" i="20"/>
  <c r="C1629" i="20"/>
  <c r="F1627" i="20"/>
  <c r="C1627" i="20"/>
  <c r="F1625" i="20"/>
  <c r="C1625" i="20"/>
  <c r="F1623" i="20"/>
  <c r="C1623" i="20"/>
  <c r="F1621" i="20"/>
  <c r="C1621" i="20"/>
  <c r="F1619" i="20"/>
  <c r="C1619" i="20"/>
  <c r="F1617" i="20"/>
  <c r="C1617" i="20"/>
  <c r="F1615" i="20"/>
  <c r="C1615" i="20"/>
  <c r="F1613" i="20"/>
  <c r="C1613" i="20"/>
  <c r="F1611" i="20"/>
  <c r="C1611" i="20"/>
  <c r="F1609" i="20"/>
  <c r="C1609" i="20"/>
  <c r="F1607" i="20"/>
  <c r="C1607" i="20"/>
  <c r="F1605" i="20"/>
  <c r="C1605" i="20"/>
  <c r="F1603" i="20"/>
  <c r="C1603" i="20"/>
  <c r="F1601" i="20"/>
  <c r="C1601" i="20"/>
  <c r="F1599" i="20"/>
  <c r="C1599" i="20"/>
  <c r="F1597" i="20"/>
  <c r="C1597" i="20"/>
  <c r="F1595" i="20"/>
  <c r="C1595" i="20"/>
  <c r="F1593" i="20"/>
  <c r="C1593" i="20"/>
  <c r="F1591" i="20"/>
  <c r="C1591" i="20"/>
  <c r="F1589" i="20"/>
  <c r="C1589" i="20"/>
  <c r="F1587" i="20"/>
  <c r="C1587" i="20"/>
  <c r="F1585" i="20"/>
  <c r="C1585" i="20"/>
  <c r="F1541" i="20"/>
  <c r="C1541" i="20"/>
  <c r="F1539" i="20"/>
  <c r="C1539" i="20"/>
  <c r="F1537" i="20"/>
  <c r="C1537" i="20"/>
  <c r="F1535" i="20"/>
  <c r="C1535" i="20"/>
  <c r="F1533" i="20"/>
  <c r="C1533" i="20"/>
  <c r="F1531" i="20"/>
  <c r="C1531" i="20"/>
  <c r="F1529" i="20"/>
  <c r="C1529" i="20"/>
  <c r="F1527" i="20"/>
  <c r="C1527" i="20"/>
  <c r="F1525" i="20"/>
  <c r="C1525" i="20"/>
  <c r="F1523" i="20"/>
  <c r="C1523" i="20"/>
  <c r="F1521" i="20"/>
  <c r="C1521" i="20"/>
  <c r="F1519" i="20"/>
  <c r="C1519" i="20"/>
  <c r="F1517" i="20"/>
  <c r="C1517" i="20"/>
  <c r="F1515" i="20"/>
  <c r="C1515" i="20"/>
  <c r="F1513" i="20"/>
  <c r="C1513" i="20"/>
  <c r="F1511" i="20"/>
  <c r="C1511" i="20"/>
  <c r="F1509" i="20"/>
  <c r="C1509" i="20"/>
  <c r="F1507" i="20"/>
  <c r="C1507" i="20"/>
  <c r="F1505" i="20"/>
  <c r="C1505" i="20"/>
  <c r="F1503" i="20"/>
  <c r="C1503" i="20"/>
  <c r="F1501" i="20"/>
  <c r="C1501" i="20"/>
  <c r="F1499" i="20"/>
  <c r="C1499" i="20"/>
  <c r="F1497" i="20"/>
  <c r="C1497" i="20"/>
  <c r="F1495" i="20"/>
  <c r="C1495" i="20"/>
  <c r="F1493" i="20"/>
  <c r="C1493" i="20"/>
  <c r="F1491" i="20"/>
  <c r="C1491" i="20"/>
  <c r="F1489" i="20"/>
  <c r="C1489" i="20"/>
  <c r="F1487" i="20"/>
  <c r="C1487" i="20"/>
  <c r="F1485" i="20"/>
  <c r="C1485" i="20"/>
  <c r="F1441" i="20"/>
  <c r="C1441" i="20"/>
  <c r="F1439" i="20"/>
  <c r="C1439" i="20"/>
  <c r="F1437" i="20"/>
  <c r="C1437" i="20"/>
  <c r="F1435" i="20"/>
  <c r="C1435" i="20"/>
  <c r="F1433" i="20"/>
  <c r="C1433" i="20"/>
  <c r="F1431" i="20"/>
  <c r="C1431" i="20"/>
  <c r="F1429" i="20"/>
  <c r="C1429" i="20"/>
  <c r="F1427" i="20"/>
  <c r="C1427" i="20"/>
  <c r="F1425" i="20"/>
  <c r="C1425" i="20"/>
  <c r="F1423" i="20"/>
  <c r="C1423" i="20"/>
  <c r="F1421" i="20"/>
  <c r="C1421" i="20"/>
  <c r="F1419" i="20"/>
  <c r="C1419" i="20"/>
  <c r="F1417" i="20"/>
  <c r="C1417" i="20"/>
  <c r="F1415" i="20"/>
  <c r="C1415" i="20"/>
  <c r="F1413" i="20"/>
  <c r="C1413" i="20"/>
  <c r="F1411" i="20"/>
  <c r="C1411" i="20"/>
  <c r="F1409" i="20"/>
  <c r="C1409" i="20"/>
  <c r="F1407" i="20"/>
  <c r="C1407" i="20"/>
  <c r="F1405" i="20"/>
  <c r="C1405" i="20"/>
  <c r="F1403" i="20"/>
  <c r="C1403" i="20"/>
  <c r="F1401" i="20"/>
  <c r="C1401" i="20"/>
  <c r="F1399" i="20"/>
  <c r="C1399" i="20"/>
  <c r="F1397" i="20"/>
  <c r="C1397" i="20"/>
  <c r="F1395" i="20"/>
  <c r="C1395" i="20"/>
  <c r="F1393" i="20"/>
  <c r="C1393" i="20"/>
  <c r="F1391" i="20"/>
  <c r="C1391" i="20"/>
  <c r="F1389" i="20"/>
  <c r="C1389" i="20"/>
  <c r="F1387" i="20"/>
  <c r="C1387" i="20"/>
  <c r="F1385" i="20"/>
  <c r="C1385" i="20"/>
  <c r="F1343" i="20"/>
  <c r="C1343" i="20"/>
  <c r="F1341" i="20"/>
  <c r="C1341" i="20"/>
  <c r="F1339" i="20"/>
  <c r="C1339" i="20"/>
  <c r="F1337" i="20"/>
  <c r="C1337" i="20"/>
  <c r="F1335" i="20"/>
  <c r="C1335" i="20"/>
  <c r="F1333" i="20"/>
  <c r="C1333" i="20"/>
  <c r="F1331" i="20"/>
  <c r="C1331" i="20"/>
  <c r="F1329" i="20"/>
  <c r="C1329" i="20"/>
  <c r="F1327" i="20"/>
  <c r="C1327" i="20"/>
  <c r="F1325" i="20"/>
  <c r="C1325" i="20"/>
  <c r="F1323" i="20"/>
  <c r="C1323" i="20"/>
  <c r="F1321" i="20"/>
  <c r="C1321" i="20"/>
  <c r="F1319" i="20"/>
  <c r="C1319" i="20"/>
  <c r="F1317" i="20"/>
  <c r="C1317" i="20"/>
  <c r="F1315" i="20"/>
  <c r="C1315" i="20"/>
  <c r="F1313" i="20"/>
  <c r="C1313" i="20"/>
  <c r="F1311" i="20"/>
  <c r="C1311" i="20"/>
  <c r="F1309" i="20"/>
  <c r="C1309" i="20"/>
  <c r="F1307" i="20"/>
  <c r="C1307" i="20"/>
  <c r="F1305" i="20"/>
  <c r="C1305" i="20"/>
  <c r="F1303" i="20"/>
  <c r="C1303" i="20"/>
  <c r="F1301" i="20"/>
  <c r="C1301" i="20"/>
  <c r="F1299" i="20"/>
  <c r="C1299" i="20"/>
  <c r="F1297" i="20"/>
  <c r="C1297" i="20"/>
  <c r="F1295" i="20"/>
  <c r="C1295" i="20"/>
  <c r="F1293" i="20"/>
  <c r="C1293" i="20"/>
  <c r="F1291" i="20"/>
  <c r="C1291" i="20"/>
  <c r="F1289" i="20"/>
  <c r="C1289" i="20"/>
  <c r="F1287" i="20"/>
  <c r="C1287" i="20"/>
  <c r="F1285" i="20"/>
  <c r="C1285" i="20"/>
  <c r="F1243" i="20"/>
  <c r="C1243" i="20"/>
  <c r="F1241" i="20"/>
  <c r="C1241" i="20"/>
  <c r="F1239" i="20"/>
  <c r="C1239" i="20"/>
  <c r="F1237" i="20"/>
  <c r="C1237" i="20"/>
  <c r="F1235" i="20"/>
  <c r="C1235" i="20"/>
  <c r="F1233" i="20"/>
  <c r="C1233" i="20"/>
  <c r="F1231" i="20"/>
  <c r="C1231" i="20"/>
  <c r="F1229" i="20"/>
  <c r="C1229" i="20"/>
  <c r="F1227" i="20"/>
  <c r="C1227" i="20"/>
  <c r="F1225" i="20"/>
  <c r="C1225" i="20"/>
  <c r="F1223" i="20"/>
  <c r="C1223" i="20"/>
  <c r="F1221" i="20"/>
  <c r="C1221" i="20"/>
  <c r="F1219" i="20"/>
  <c r="C1219" i="20"/>
  <c r="F1217" i="20"/>
  <c r="C1217" i="20"/>
  <c r="F1215" i="20"/>
  <c r="C1215" i="20"/>
  <c r="F1213" i="20"/>
  <c r="C1213" i="20"/>
  <c r="F1211" i="20"/>
  <c r="C1211" i="20"/>
  <c r="F1209" i="20"/>
  <c r="C1209" i="20"/>
  <c r="F1207" i="20"/>
  <c r="C1207" i="20"/>
  <c r="F1205" i="20"/>
  <c r="C1205" i="20"/>
  <c r="F1203" i="20"/>
  <c r="C1203" i="20"/>
  <c r="F1201" i="20"/>
  <c r="C1201" i="20"/>
  <c r="F1199" i="20"/>
  <c r="C1199" i="20"/>
  <c r="F1197" i="20"/>
  <c r="C1197" i="20"/>
  <c r="F1195" i="20"/>
  <c r="C1195" i="20"/>
  <c r="F1193" i="20"/>
  <c r="C1193" i="20"/>
  <c r="F1191" i="20"/>
  <c r="C1191" i="20"/>
  <c r="F1189" i="20"/>
  <c r="C1189" i="20"/>
  <c r="F1187" i="20"/>
  <c r="C1187" i="20"/>
  <c r="F1185" i="20"/>
  <c r="C1185" i="20"/>
  <c r="F1143" i="20"/>
  <c r="C1143" i="20"/>
  <c r="F1141" i="20"/>
  <c r="C1141" i="20"/>
  <c r="F1139" i="20"/>
  <c r="C1139" i="20"/>
  <c r="F1137" i="20"/>
  <c r="C1137" i="20"/>
  <c r="F1135" i="20"/>
  <c r="C1135" i="20"/>
  <c r="F1133" i="20"/>
  <c r="C1133" i="20"/>
  <c r="F1131" i="20"/>
  <c r="C1131" i="20"/>
  <c r="F1129" i="20"/>
  <c r="C1129" i="20"/>
  <c r="F1127" i="20"/>
  <c r="C1127" i="20"/>
  <c r="F1125" i="20"/>
  <c r="C1125" i="20"/>
  <c r="F1123" i="20"/>
  <c r="C1123" i="20"/>
  <c r="F1121" i="20"/>
  <c r="C1121" i="20"/>
  <c r="F1119" i="20"/>
  <c r="C1119" i="20"/>
  <c r="F1117" i="20"/>
  <c r="C1117" i="20"/>
  <c r="F1115" i="20"/>
  <c r="C1115" i="20"/>
  <c r="F1113" i="20"/>
  <c r="C1113" i="20"/>
  <c r="F1111" i="20"/>
  <c r="C1111" i="20"/>
  <c r="F1109" i="20"/>
  <c r="C1109" i="20"/>
  <c r="F1107" i="20"/>
  <c r="C1107" i="20"/>
  <c r="F1105" i="20"/>
  <c r="C1105" i="20"/>
  <c r="F1103" i="20"/>
  <c r="C1103" i="20"/>
  <c r="F1101" i="20"/>
  <c r="C1101" i="20"/>
  <c r="F1099" i="20"/>
  <c r="C1099" i="20"/>
  <c r="F1097" i="20"/>
  <c r="C1097" i="20"/>
  <c r="F1095" i="20"/>
  <c r="C1095" i="20"/>
  <c r="F1093" i="20"/>
  <c r="C1093" i="20"/>
  <c r="F1091" i="20"/>
  <c r="C1091" i="20"/>
  <c r="F1089" i="20"/>
  <c r="C1089" i="20"/>
  <c r="F1087" i="20"/>
  <c r="C1087" i="20"/>
  <c r="F1085" i="20"/>
  <c r="C1085" i="20"/>
  <c r="F1083" i="20"/>
  <c r="C1083" i="20"/>
  <c r="F1081" i="20"/>
  <c r="C1081" i="20"/>
  <c r="F1079" i="20"/>
  <c r="C1079" i="20"/>
  <c r="F1077" i="20"/>
  <c r="C1077" i="20"/>
  <c r="F1075" i="20"/>
  <c r="C1075" i="20"/>
  <c r="F1073" i="20"/>
  <c r="C1073" i="20"/>
  <c r="F1071" i="20"/>
  <c r="C1071" i="20"/>
  <c r="F1069" i="20"/>
  <c r="C1069" i="20"/>
  <c r="F1067" i="20"/>
  <c r="C1067" i="20"/>
  <c r="F1065" i="20"/>
  <c r="C1065" i="20"/>
  <c r="F1063" i="20"/>
  <c r="C1063" i="20"/>
  <c r="F1061" i="20"/>
  <c r="C1061" i="20"/>
  <c r="F1059" i="20"/>
  <c r="C1059" i="20"/>
  <c r="F1057" i="20"/>
  <c r="C1057" i="20"/>
  <c r="F1055" i="20"/>
  <c r="C1055" i="20"/>
  <c r="F1053" i="20"/>
  <c r="C1053" i="20"/>
  <c r="F1051" i="20"/>
  <c r="C1051" i="20"/>
  <c r="F1049" i="20"/>
  <c r="C1049" i="20"/>
  <c r="F1047" i="20"/>
  <c r="C1047" i="20"/>
  <c r="F1045" i="20"/>
  <c r="C1045" i="20"/>
  <c r="F1043" i="20"/>
  <c r="C1043" i="20"/>
  <c r="F1041" i="20"/>
  <c r="C1041" i="20"/>
  <c r="F1039" i="20"/>
  <c r="C1039" i="20"/>
  <c r="F1037" i="20"/>
  <c r="C1037" i="20"/>
  <c r="F1035" i="20"/>
  <c r="C1035" i="20"/>
  <c r="F1033" i="20"/>
  <c r="C1033" i="20"/>
  <c r="F1031" i="20"/>
  <c r="C1031" i="20"/>
  <c r="F1029" i="20"/>
  <c r="C1029" i="20"/>
  <c r="F1027" i="20"/>
  <c r="C1027" i="20"/>
  <c r="F1025" i="20"/>
  <c r="C1025" i="20"/>
  <c r="F1023" i="20"/>
  <c r="C1023" i="20"/>
  <c r="F1021" i="20"/>
  <c r="C1021" i="20"/>
  <c r="F1019" i="20"/>
  <c r="C1019" i="20"/>
  <c r="F1017" i="20"/>
  <c r="C1017" i="20"/>
  <c r="F1015" i="20"/>
  <c r="C1015" i="20"/>
  <c r="F1013" i="20"/>
  <c r="C1013" i="20"/>
  <c r="F1011" i="20"/>
  <c r="C1011" i="20"/>
  <c r="F1009" i="20"/>
  <c r="C1009" i="20"/>
  <c r="F1007" i="20"/>
  <c r="C1007" i="20"/>
  <c r="F1005" i="20"/>
  <c r="C1005" i="20"/>
  <c r="F1003" i="20"/>
  <c r="C1003" i="20"/>
  <c r="F1001" i="20"/>
  <c r="C1001" i="20"/>
  <c r="F999" i="20"/>
  <c r="C999" i="20"/>
  <c r="F997" i="20"/>
  <c r="C997" i="20"/>
  <c r="F995" i="20"/>
  <c r="C995" i="20"/>
  <c r="F993" i="20"/>
  <c r="C993" i="20"/>
  <c r="F991" i="20"/>
  <c r="C991" i="20"/>
  <c r="F989" i="20"/>
  <c r="C989" i="20"/>
  <c r="F987" i="20"/>
  <c r="C987" i="20"/>
  <c r="F985" i="20"/>
  <c r="C985" i="20"/>
  <c r="F983" i="20"/>
  <c r="C983" i="20"/>
  <c r="F981" i="20"/>
  <c r="C981" i="20"/>
  <c r="F979" i="20"/>
  <c r="C979" i="20"/>
  <c r="F977" i="20"/>
  <c r="C977" i="20"/>
  <c r="F975" i="20"/>
  <c r="C975" i="20"/>
  <c r="F973" i="20"/>
  <c r="C973" i="20"/>
  <c r="F971" i="20"/>
  <c r="C971" i="20"/>
  <c r="F969" i="20"/>
  <c r="C969" i="20"/>
  <c r="F967" i="20"/>
  <c r="C967" i="20"/>
  <c r="F965" i="20"/>
  <c r="C965" i="20"/>
  <c r="F963" i="20"/>
  <c r="C963" i="20"/>
  <c r="F783" i="20"/>
  <c r="F784" i="20" s="1"/>
  <c r="F785" i="20" s="1"/>
  <c r="F786" i="20" s="1"/>
  <c r="F787" i="20" s="1"/>
  <c r="C783" i="20"/>
  <c r="C784" i="20" s="1"/>
  <c r="C785" i="20" s="1"/>
  <c r="C786" i="20" s="1"/>
  <c r="C787" i="20" s="1"/>
  <c r="F781" i="20"/>
  <c r="C781" i="20"/>
  <c r="F779" i="20"/>
  <c r="C779" i="20"/>
  <c r="F777" i="20"/>
  <c r="C777" i="20"/>
  <c r="F775" i="20"/>
  <c r="C775" i="20"/>
  <c r="F773" i="20"/>
  <c r="C773" i="20"/>
  <c r="F771" i="20"/>
  <c r="C771" i="20"/>
  <c r="F769" i="20"/>
  <c r="C769" i="20"/>
  <c r="F767" i="20"/>
  <c r="C767" i="20"/>
  <c r="F765" i="20"/>
  <c r="C765" i="20"/>
  <c r="F763" i="20"/>
  <c r="C763" i="20"/>
  <c r="F761" i="20"/>
  <c r="C761" i="20"/>
  <c r="F759" i="20"/>
  <c r="C759" i="20"/>
  <c r="F757" i="20"/>
  <c r="C757" i="20"/>
  <c r="F755" i="20"/>
  <c r="C755" i="20"/>
  <c r="F753" i="20"/>
  <c r="C753" i="20"/>
  <c r="F751" i="20"/>
  <c r="C751" i="20"/>
  <c r="F749" i="20"/>
  <c r="C749" i="20"/>
  <c r="F747" i="20"/>
  <c r="C747" i="20"/>
  <c r="F745" i="20"/>
  <c r="C745" i="20"/>
  <c r="F743" i="20"/>
  <c r="C743" i="20"/>
  <c r="F741" i="20"/>
  <c r="C741" i="20"/>
  <c r="F739" i="20"/>
  <c r="C739" i="20"/>
  <c r="F737" i="20"/>
  <c r="C737" i="20"/>
  <c r="F735" i="20"/>
  <c r="C735" i="20"/>
  <c r="F733" i="20"/>
  <c r="C733" i="20"/>
  <c r="F731" i="20"/>
  <c r="C731" i="20"/>
  <c r="F729" i="20"/>
  <c r="C729" i="20"/>
  <c r="F727" i="20"/>
  <c r="C727" i="20"/>
  <c r="F725" i="20"/>
  <c r="C725" i="20"/>
  <c r="F681" i="20"/>
  <c r="C681" i="20"/>
  <c r="F679" i="20"/>
  <c r="C679" i="20"/>
  <c r="F677" i="20"/>
  <c r="C677" i="20"/>
  <c r="F675" i="20"/>
  <c r="C675" i="20"/>
  <c r="F673" i="20"/>
  <c r="C673" i="20"/>
  <c r="F671" i="20"/>
  <c r="C671" i="20"/>
  <c r="F669" i="20"/>
  <c r="C669" i="20"/>
  <c r="F667" i="20"/>
  <c r="C667" i="20"/>
  <c r="F665" i="20"/>
  <c r="C665" i="20"/>
  <c r="F663" i="20"/>
  <c r="C663" i="20"/>
  <c r="F661" i="20"/>
  <c r="C661" i="20"/>
  <c r="F659" i="20"/>
  <c r="C659" i="20"/>
  <c r="F657" i="20"/>
  <c r="C657" i="20"/>
  <c r="F655" i="20"/>
  <c r="C655" i="20"/>
  <c r="F653" i="20"/>
  <c r="C653" i="20"/>
  <c r="F651" i="20"/>
  <c r="C651" i="20"/>
  <c r="F649" i="20"/>
  <c r="C649" i="20"/>
  <c r="F647" i="20"/>
  <c r="C647" i="20"/>
  <c r="F645" i="20"/>
  <c r="C645" i="20"/>
  <c r="F643" i="20"/>
  <c r="C643" i="20"/>
  <c r="F641" i="20"/>
  <c r="C641" i="20"/>
  <c r="F639" i="20"/>
  <c r="C639" i="20"/>
  <c r="F637" i="20"/>
  <c r="C637" i="20"/>
  <c r="F635" i="20"/>
  <c r="C635" i="20"/>
  <c r="F633" i="20"/>
  <c r="C633" i="20"/>
  <c r="F631" i="20"/>
  <c r="C631" i="20"/>
  <c r="F629" i="20"/>
  <c r="C629" i="20"/>
  <c r="F627" i="20"/>
  <c r="C627" i="20"/>
  <c r="F625" i="20"/>
  <c r="C625" i="20"/>
  <c r="F581" i="20"/>
  <c r="C581" i="20"/>
  <c r="F579" i="20"/>
  <c r="C579" i="20"/>
  <c r="F577" i="20"/>
  <c r="C577" i="20"/>
  <c r="F575" i="20"/>
  <c r="C575" i="20"/>
  <c r="F573" i="20"/>
  <c r="C573" i="20"/>
  <c r="F571" i="20"/>
  <c r="C571" i="20"/>
  <c r="F569" i="20"/>
  <c r="C569" i="20"/>
  <c r="F567" i="20"/>
  <c r="C567" i="20"/>
  <c r="F565" i="20"/>
  <c r="C565" i="20"/>
  <c r="F563" i="20"/>
  <c r="C563" i="20"/>
  <c r="F561" i="20"/>
  <c r="C561" i="20"/>
  <c r="F559" i="20"/>
  <c r="C559" i="20"/>
  <c r="F557" i="20"/>
  <c r="C557" i="20"/>
  <c r="F555" i="20"/>
  <c r="C555" i="20"/>
  <c r="F553" i="20"/>
  <c r="C553" i="20"/>
  <c r="F551" i="20"/>
  <c r="C551" i="20"/>
  <c r="F549" i="20"/>
  <c r="C549" i="20"/>
  <c r="F547" i="20"/>
  <c r="C547" i="20"/>
  <c r="F545" i="20"/>
  <c r="C545" i="20"/>
  <c r="F543" i="20"/>
  <c r="C543" i="20"/>
  <c r="F541" i="20"/>
  <c r="C541" i="20"/>
  <c r="F539" i="20"/>
  <c r="C539" i="20"/>
  <c r="F537" i="20"/>
  <c r="C537" i="20"/>
  <c r="F535" i="20"/>
  <c r="C535" i="20"/>
  <c r="F533" i="20"/>
  <c r="C533" i="20"/>
  <c r="F531" i="20"/>
  <c r="C531" i="20"/>
  <c r="F529" i="20"/>
  <c r="C529" i="20"/>
  <c r="F527" i="20"/>
  <c r="C527" i="20"/>
  <c r="F525" i="20"/>
  <c r="C525" i="20"/>
  <c r="F481" i="20"/>
  <c r="C481" i="20"/>
  <c r="F479" i="20"/>
  <c r="C479" i="20"/>
  <c r="F477" i="20"/>
  <c r="C477" i="20"/>
  <c r="F475" i="20"/>
  <c r="C475" i="20"/>
  <c r="F473" i="20"/>
  <c r="C473" i="20"/>
  <c r="F471" i="20"/>
  <c r="C471" i="20"/>
  <c r="F469" i="20"/>
  <c r="C469" i="20"/>
  <c r="F467" i="20"/>
  <c r="C467" i="20"/>
  <c r="F465" i="20"/>
  <c r="C465" i="20"/>
  <c r="F463" i="20"/>
  <c r="C463" i="20"/>
  <c r="F461" i="20"/>
  <c r="C461" i="20"/>
  <c r="F459" i="20"/>
  <c r="C459" i="20"/>
  <c r="F457" i="20"/>
  <c r="C457" i="20"/>
  <c r="F455" i="20"/>
  <c r="C455" i="20"/>
  <c r="F453" i="20"/>
  <c r="C453" i="20"/>
  <c r="F451" i="20"/>
  <c r="C451" i="20"/>
  <c r="F449" i="20"/>
  <c r="C449" i="20"/>
  <c r="F447" i="20"/>
  <c r="C447" i="20"/>
  <c r="F445" i="20"/>
  <c r="C445" i="20"/>
  <c r="F443" i="20"/>
  <c r="C443" i="20"/>
  <c r="F441" i="20"/>
  <c r="C441" i="20"/>
  <c r="F439" i="20"/>
  <c r="C439" i="20"/>
  <c r="F437" i="20"/>
  <c r="C437" i="20"/>
  <c r="F435" i="20"/>
  <c r="C435" i="20"/>
  <c r="F433" i="20"/>
  <c r="C433" i="20"/>
  <c r="F431" i="20"/>
  <c r="C431" i="20"/>
  <c r="F429" i="20"/>
  <c r="C429" i="20"/>
  <c r="F427" i="20"/>
  <c r="C427" i="20"/>
  <c r="F425" i="20"/>
  <c r="C425" i="20"/>
  <c r="F383" i="20"/>
  <c r="C383" i="20"/>
  <c r="F381" i="20"/>
  <c r="C381" i="20"/>
  <c r="F379" i="20"/>
  <c r="C379" i="20"/>
  <c r="F377" i="20"/>
  <c r="C377" i="20"/>
  <c r="F375" i="20"/>
  <c r="C375" i="20"/>
  <c r="F373" i="20"/>
  <c r="C373" i="20"/>
  <c r="F371" i="20"/>
  <c r="C371" i="20"/>
  <c r="F369" i="20"/>
  <c r="C369" i="20"/>
  <c r="F367" i="20"/>
  <c r="C367" i="20"/>
  <c r="F365" i="20"/>
  <c r="C365" i="20"/>
  <c r="F363" i="20"/>
  <c r="C363" i="20"/>
  <c r="F361" i="20"/>
  <c r="C361" i="20"/>
  <c r="F359" i="20"/>
  <c r="C359" i="20"/>
  <c r="F357" i="20"/>
  <c r="C357" i="20"/>
  <c r="F355" i="20"/>
  <c r="C355" i="20"/>
  <c r="F353" i="20"/>
  <c r="C353" i="20"/>
  <c r="F351" i="20"/>
  <c r="C351" i="20"/>
  <c r="F349" i="20"/>
  <c r="C349" i="20"/>
  <c r="F347" i="20"/>
  <c r="C347" i="20"/>
  <c r="F345" i="20"/>
  <c r="C345" i="20"/>
  <c r="F343" i="20"/>
  <c r="C343" i="20"/>
  <c r="F341" i="20"/>
  <c r="C341" i="20"/>
  <c r="F339" i="20"/>
  <c r="C339" i="20"/>
  <c r="F337" i="20"/>
  <c r="C337" i="20"/>
  <c r="F335" i="20"/>
  <c r="C335" i="20"/>
  <c r="F333" i="20"/>
  <c r="C333" i="20"/>
  <c r="F331" i="20"/>
  <c r="C331" i="20"/>
  <c r="F329" i="20"/>
  <c r="C329" i="20"/>
  <c r="F327" i="20"/>
  <c r="C327" i="20"/>
  <c r="F325" i="20"/>
  <c r="C325" i="20"/>
  <c r="F283" i="20"/>
  <c r="C283" i="20"/>
  <c r="F281" i="20"/>
  <c r="C281" i="20"/>
  <c r="F279" i="20"/>
  <c r="C279" i="20"/>
  <c r="F277" i="20"/>
  <c r="C277" i="20"/>
  <c r="F275" i="20"/>
  <c r="C275" i="20"/>
  <c r="F273" i="20"/>
  <c r="C273" i="20"/>
  <c r="F271" i="20"/>
  <c r="C271" i="20"/>
  <c r="F269" i="20"/>
  <c r="C269" i="20"/>
  <c r="F267" i="20"/>
  <c r="C267" i="20"/>
  <c r="F265" i="20"/>
  <c r="C265" i="20"/>
  <c r="F263" i="20"/>
  <c r="C263" i="20"/>
  <c r="F261" i="20"/>
  <c r="C261" i="20"/>
  <c r="F259" i="20"/>
  <c r="C259" i="20"/>
  <c r="F257" i="20"/>
  <c r="C257" i="20"/>
  <c r="F255" i="20"/>
  <c r="C255" i="20"/>
  <c r="F253" i="20"/>
  <c r="C253" i="20"/>
  <c r="F251" i="20"/>
  <c r="C251" i="20"/>
  <c r="F249" i="20"/>
  <c r="C249" i="20"/>
  <c r="F247" i="20"/>
  <c r="C247" i="20"/>
  <c r="F245" i="20"/>
  <c r="C245" i="20"/>
  <c r="F243" i="20"/>
  <c r="C243" i="20"/>
  <c r="F241" i="20"/>
  <c r="C241" i="20"/>
  <c r="F239" i="20"/>
  <c r="C239" i="20"/>
  <c r="F237" i="20"/>
  <c r="C237" i="20"/>
  <c r="F235" i="20"/>
  <c r="C235" i="20"/>
  <c r="F233" i="20"/>
  <c r="C233" i="20"/>
  <c r="F231" i="20"/>
  <c r="C231" i="20"/>
  <c r="F229" i="20"/>
  <c r="C229" i="20"/>
  <c r="F227" i="20"/>
  <c r="C227" i="20"/>
  <c r="F225" i="20"/>
  <c r="C225" i="20"/>
  <c r="F183" i="20"/>
  <c r="C183" i="20"/>
  <c r="F181" i="20"/>
  <c r="C181" i="20"/>
  <c r="F179" i="20"/>
  <c r="C179" i="20"/>
  <c r="F177" i="20"/>
  <c r="C177" i="20"/>
  <c r="F175" i="20"/>
  <c r="C175" i="20"/>
  <c r="F173" i="20"/>
  <c r="C173" i="20"/>
  <c r="F171" i="20"/>
  <c r="C171" i="20"/>
  <c r="F169" i="20"/>
  <c r="C169" i="20"/>
  <c r="F167" i="20"/>
  <c r="C167" i="20"/>
  <c r="F165" i="20"/>
  <c r="C165" i="20"/>
  <c r="F163" i="20"/>
  <c r="C163" i="20"/>
  <c r="F161" i="20"/>
  <c r="C161" i="20"/>
  <c r="F159" i="20"/>
  <c r="C159" i="20"/>
  <c r="F157" i="20"/>
  <c r="C157" i="20"/>
  <c r="F155" i="20"/>
  <c r="C155" i="20"/>
  <c r="F153" i="20"/>
  <c r="C153" i="20"/>
  <c r="F151" i="20"/>
  <c r="C151" i="20"/>
  <c r="F149" i="20"/>
  <c r="C149" i="20"/>
  <c r="F147" i="20"/>
  <c r="C147" i="20"/>
  <c r="F145" i="20"/>
  <c r="C145" i="20"/>
  <c r="F143" i="20"/>
  <c r="C143" i="20"/>
  <c r="F141" i="20"/>
  <c r="C141" i="20"/>
  <c r="F139" i="20"/>
  <c r="C139" i="20"/>
  <c r="F137" i="20"/>
  <c r="C137" i="20"/>
  <c r="F135" i="20"/>
  <c r="C135" i="20"/>
  <c r="F133" i="20"/>
  <c r="C133" i="20"/>
  <c r="F131" i="20"/>
  <c r="C131" i="20"/>
  <c r="F129" i="20"/>
  <c r="C129" i="20"/>
  <c r="F127" i="20"/>
  <c r="C127" i="20"/>
  <c r="F125" i="20"/>
  <c r="C125" i="20"/>
  <c r="F123" i="20"/>
  <c r="C123" i="20"/>
  <c r="F121" i="20"/>
  <c r="C121" i="20"/>
  <c r="F119" i="20"/>
  <c r="C119" i="20"/>
  <c r="F117" i="20"/>
  <c r="C117" i="20"/>
  <c r="F115" i="20"/>
  <c r="C115" i="20"/>
  <c r="F113" i="20"/>
  <c r="C113" i="20"/>
  <c r="F111" i="20"/>
  <c r="C111" i="20"/>
  <c r="F109" i="20"/>
  <c r="C109" i="20"/>
  <c r="F107" i="20"/>
  <c r="C107" i="20"/>
  <c r="F105" i="20"/>
  <c r="C105" i="20"/>
  <c r="F103" i="20"/>
  <c r="C103" i="20"/>
  <c r="F101" i="20"/>
  <c r="C101" i="20"/>
  <c r="F99" i="20"/>
  <c r="C99" i="20"/>
  <c r="F97" i="20"/>
  <c r="C97" i="20"/>
  <c r="F95" i="20"/>
  <c r="C95" i="20"/>
  <c r="F93" i="20"/>
  <c r="C93" i="20"/>
  <c r="F91" i="20"/>
  <c r="C91" i="20"/>
  <c r="F89" i="20"/>
  <c r="C89" i="20"/>
  <c r="F87" i="20"/>
  <c r="C87" i="20"/>
  <c r="F85" i="20"/>
  <c r="C85" i="20"/>
  <c r="F83" i="20"/>
  <c r="C83" i="20"/>
  <c r="F81" i="20"/>
  <c r="C81" i="20"/>
  <c r="F79" i="20"/>
  <c r="C79" i="20"/>
  <c r="F77" i="20"/>
  <c r="C77" i="20"/>
  <c r="F75" i="20"/>
  <c r="C75" i="20"/>
  <c r="F73" i="20"/>
  <c r="C73" i="20"/>
  <c r="F71" i="20"/>
  <c r="C71" i="20"/>
  <c r="F69" i="20"/>
  <c r="C69" i="20"/>
  <c r="F67" i="20"/>
  <c r="C67" i="20"/>
  <c r="F65" i="20"/>
  <c r="C65" i="20"/>
  <c r="F63" i="20"/>
  <c r="C63" i="20"/>
  <c r="F61" i="20"/>
  <c r="C61" i="20"/>
  <c r="F59" i="20"/>
  <c r="C59" i="20"/>
  <c r="F57" i="20"/>
  <c r="C57" i="20"/>
  <c r="F55" i="20"/>
  <c r="C55" i="20"/>
  <c r="F53" i="20"/>
  <c r="C53" i="20"/>
  <c r="F51" i="20"/>
  <c r="C51" i="20"/>
  <c r="F49" i="20"/>
  <c r="C49" i="20"/>
  <c r="F47" i="20"/>
  <c r="C47" i="20"/>
  <c r="F45" i="20"/>
  <c r="C45" i="20"/>
  <c r="F43" i="20"/>
  <c r="C43" i="20"/>
  <c r="F41" i="20"/>
  <c r="C41" i="20"/>
  <c r="F39" i="20"/>
  <c r="C39" i="20"/>
  <c r="F37" i="20"/>
  <c r="C37" i="20"/>
  <c r="F35" i="20"/>
  <c r="C35" i="20"/>
  <c r="F33" i="20"/>
  <c r="C33" i="20"/>
  <c r="F31" i="20"/>
  <c r="C31" i="20"/>
  <c r="F29" i="20"/>
  <c r="C29" i="20"/>
  <c r="F27" i="20"/>
  <c r="C27" i="20"/>
  <c r="F25" i="20"/>
  <c r="C25" i="20"/>
  <c r="F23" i="20"/>
  <c r="C23" i="20"/>
  <c r="F21" i="20"/>
  <c r="C21" i="20"/>
  <c r="F19" i="20"/>
  <c r="C19" i="20"/>
  <c r="F17" i="20"/>
  <c r="C17" i="20"/>
  <c r="F15" i="20"/>
  <c r="C15" i="20"/>
  <c r="F13" i="20"/>
  <c r="C13" i="20"/>
  <c r="F11" i="20"/>
  <c r="C11" i="20"/>
  <c r="F9" i="20"/>
  <c r="C9" i="20"/>
  <c r="F7" i="20"/>
  <c r="C7" i="20"/>
  <c r="F5" i="20"/>
  <c r="C5" i="20"/>
  <c r="F3" i="20"/>
  <c r="C3" i="20"/>
  <c r="O5" i="20" l="1"/>
  <c r="M4" i="20"/>
  <c r="M5" i="20" s="1"/>
  <c r="G4" i="20"/>
  <c r="G5" i="20" s="1"/>
  <c r="E4" i="20"/>
  <c r="E5" i="20" s="1"/>
  <c r="D4" i="20"/>
  <c r="B4" i="20"/>
  <c r="B5" i="20" s="1"/>
  <c r="D1084" i="20"/>
  <c r="D1085" i="20" s="1"/>
  <c r="D1086" i="20"/>
  <c r="D1087" i="20" s="1"/>
  <c r="D1088" i="20"/>
  <c r="D1089" i="20" s="1"/>
  <c r="D1090" i="20"/>
  <c r="D1091" i="20" s="1"/>
  <c r="D1092" i="20"/>
  <c r="D1093" i="20" s="1"/>
  <c r="D1094" i="20"/>
  <c r="D1095" i="20" s="1"/>
  <c r="D1096" i="20"/>
  <c r="D1097" i="20" s="1"/>
  <c r="D1098" i="20"/>
  <c r="D1099" i="20" s="1"/>
  <c r="D1100" i="20"/>
  <c r="D1101" i="20" s="1"/>
  <c r="D1102" i="20"/>
  <c r="D1103" i="20" s="1"/>
  <c r="D1104" i="20"/>
  <c r="D1105" i="20" s="1"/>
  <c r="D1106" i="20"/>
  <c r="D1107" i="20" s="1"/>
  <c r="D1108" i="20"/>
  <c r="D1109" i="20" s="1"/>
  <c r="D1110" i="20"/>
  <c r="D1111" i="20" s="1"/>
  <c r="D1112" i="20"/>
  <c r="D1113" i="20" s="1"/>
  <c r="D1114" i="20"/>
  <c r="D1115" i="20" s="1"/>
  <c r="D1116" i="20"/>
  <c r="D1117" i="20" s="1"/>
  <c r="D1118" i="20"/>
  <c r="D1119" i="20" s="1"/>
  <c r="D1120" i="20"/>
  <c r="D1121" i="20" s="1"/>
  <c r="D1122" i="20"/>
  <c r="D1123" i="20" s="1"/>
  <c r="D1124" i="20"/>
  <c r="D1125" i="20" s="1"/>
  <c r="D1126" i="20"/>
  <c r="D1127" i="20" s="1"/>
  <c r="D1128" i="20"/>
  <c r="D1129" i="20" s="1"/>
  <c r="D1130" i="20"/>
  <c r="D1131" i="20" s="1"/>
  <c r="D1132" i="20"/>
  <c r="D1133" i="20" s="1"/>
  <c r="D1134" i="20"/>
  <c r="D1135" i="20" s="1"/>
  <c r="D1136" i="20"/>
  <c r="D1137" i="20" s="1"/>
  <c r="D1138" i="20"/>
  <c r="D1139" i="20" s="1"/>
  <c r="D1140" i="20"/>
  <c r="D1141" i="20" s="1"/>
  <c r="D1024" i="20"/>
  <c r="D1025" i="20" s="1"/>
  <c r="D1026" i="20"/>
  <c r="D1027" i="20" s="1"/>
  <c r="D1028" i="20"/>
  <c r="D1029" i="20" s="1"/>
  <c r="D1030" i="20"/>
  <c r="D1031" i="20" s="1"/>
  <c r="D1032" i="20"/>
  <c r="D1033" i="20" s="1"/>
  <c r="D1034" i="20"/>
  <c r="D1035" i="20" s="1"/>
  <c r="D1036" i="20"/>
  <c r="D1037" i="20" s="1"/>
  <c r="D1038" i="20"/>
  <c r="D1039" i="20" s="1"/>
  <c r="D1040" i="20"/>
  <c r="D1041" i="20" s="1"/>
  <c r="D1042" i="20"/>
  <c r="D1043" i="20" s="1"/>
  <c r="D1044" i="20"/>
  <c r="D1045" i="20" s="1"/>
  <c r="D1046" i="20"/>
  <c r="D1047" i="20" s="1"/>
  <c r="D1048" i="20"/>
  <c r="D1049" i="20" s="1"/>
  <c r="D1050" i="20"/>
  <c r="D1051" i="20" s="1"/>
  <c r="D1052" i="20"/>
  <c r="D1053" i="20" s="1"/>
  <c r="D1054" i="20"/>
  <c r="D1055" i="20" s="1"/>
  <c r="D1056" i="20"/>
  <c r="D1057" i="20" s="1"/>
  <c r="D1058" i="20"/>
  <c r="D1059" i="20" s="1"/>
  <c r="D1060" i="20"/>
  <c r="D1061" i="20" s="1"/>
  <c r="D1062" i="20"/>
  <c r="D1063" i="20" s="1"/>
  <c r="D1064" i="20"/>
  <c r="D1065" i="20" s="1"/>
  <c r="D1066" i="20"/>
  <c r="D1067" i="20" s="1"/>
  <c r="D1068" i="20"/>
  <c r="D1069" i="20" s="1"/>
  <c r="D1070" i="20"/>
  <c r="D1071" i="20" s="1"/>
  <c r="D1072" i="20"/>
  <c r="D1073" i="20" s="1"/>
  <c r="D1074" i="20"/>
  <c r="D1075" i="20" s="1"/>
  <c r="D1076" i="20"/>
  <c r="D1077" i="20" s="1"/>
  <c r="D1078" i="20"/>
  <c r="D1079" i="20" s="1"/>
  <c r="D1080" i="20"/>
  <c r="D1081" i="20" s="1"/>
  <c r="D964" i="20"/>
  <c r="D965" i="20" s="1"/>
  <c r="D966" i="20"/>
  <c r="D967" i="20" s="1"/>
  <c r="D968" i="20"/>
  <c r="D969" i="20" s="1"/>
  <c r="D970" i="20"/>
  <c r="D971" i="20" s="1"/>
  <c r="D972" i="20"/>
  <c r="D973" i="20" s="1"/>
  <c r="D974" i="20"/>
  <c r="D975" i="20" s="1"/>
  <c r="D976" i="20"/>
  <c r="D977" i="20" s="1"/>
  <c r="D978" i="20"/>
  <c r="D979" i="20" s="1"/>
  <c r="D980" i="20"/>
  <c r="D981" i="20" s="1"/>
  <c r="D982" i="20"/>
  <c r="D983" i="20" s="1"/>
  <c r="D984" i="20"/>
  <c r="D985" i="20" s="1"/>
  <c r="D986" i="20"/>
  <c r="D987" i="20" s="1"/>
  <c r="D988" i="20"/>
  <c r="D989" i="20" s="1"/>
  <c r="D990" i="20"/>
  <c r="D991" i="20" s="1"/>
  <c r="D992" i="20"/>
  <c r="D993" i="20" s="1"/>
  <c r="D994" i="20"/>
  <c r="D995" i="20" s="1"/>
  <c r="D996" i="20"/>
  <c r="D997" i="20" s="1"/>
  <c r="D998" i="20"/>
  <c r="D999" i="20" s="1"/>
  <c r="D1000" i="20"/>
  <c r="D1001" i="20" s="1"/>
  <c r="D1002" i="20"/>
  <c r="D1003" i="20" s="1"/>
  <c r="D1004" i="20"/>
  <c r="D1005" i="20" s="1"/>
  <c r="D1006" i="20"/>
  <c r="D1007" i="20" s="1"/>
  <c r="D1008" i="20"/>
  <c r="D1009" i="20" s="1"/>
  <c r="D1010" i="20"/>
  <c r="D1011" i="20" s="1"/>
  <c r="D1012" i="20"/>
  <c r="D1013" i="20" s="1"/>
  <c r="D1014" i="20"/>
  <c r="D1015" i="20" s="1"/>
  <c r="D1016" i="20"/>
  <c r="D1017" i="20" s="1"/>
  <c r="D1018" i="20"/>
  <c r="D1019" i="20" s="1"/>
  <c r="D1020" i="20"/>
  <c r="D1021" i="20" s="1"/>
  <c r="J4" i="20" l="1"/>
  <c r="J5" i="20" s="1"/>
  <c r="D5" i="20"/>
  <c r="I4" i="20"/>
  <c r="I5" i="20" s="1"/>
  <c r="H4" i="20"/>
  <c r="H5" i="20" s="1"/>
  <c r="X6" i="22" l="1"/>
  <c r="G843" i="10" s="1"/>
  <c r="P6" i="22"/>
  <c r="G813" i="10" s="1"/>
  <c r="H6" i="22"/>
  <c r="G783" i="10" s="1"/>
  <c r="H46" i="22"/>
  <c r="P46" i="22"/>
  <c r="G903" i="10" s="1"/>
  <c r="X46" i="22"/>
  <c r="G933" i="10" s="1"/>
  <c r="H47" i="22"/>
  <c r="G874" i="10" s="1"/>
  <c r="P47" i="22"/>
  <c r="G904" i="10" s="1"/>
  <c r="X47" i="22"/>
  <c r="G934" i="10" s="1"/>
  <c r="H48" i="22"/>
  <c r="P48" i="22"/>
  <c r="G905" i="10" s="1"/>
  <c r="X48" i="22"/>
  <c r="G935" i="10" s="1"/>
  <c r="H49" i="22"/>
  <c r="G876" i="10" s="1"/>
  <c r="P49" i="22"/>
  <c r="X49" i="22"/>
  <c r="G936" i="10" s="1"/>
  <c r="H50" i="22"/>
  <c r="G877" i="10" s="1"/>
  <c r="P50" i="22"/>
  <c r="G907" i="10" s="1"/>
  <c r="X50" i="22"/>
  <c r="G937" i="10" s="1"/>
  <c r="H51" i="22"/>
  <c r="G878" i="10" s="1"/>
  <c r="P51" i="22"/>
  <c r="X51" i="22"/>
  <c r="G938" i="10" s="1"/>
  <c r="H52" i="22"/>
  <c r="G879" i="10" s="1"/>
  <c r="P52" i="22"/>
  <c r="G909" i="10" s="1"/>
  <c r="X52" i="22"/>
  <c r="G939" i="10" s="1"/>
  <c r="H53" i="22"/>
  <c r="G880" i="10" s="1"/>
  <c r="P53" i="22"/>
  <c r="G910" i="10" s="1"/>
  <c r="X53" i="22"/>
  <c r="G940" i="10" s="1"/>
  <c r="H54" i="22"/>
  <c r="G881" i="10" s="1"/>
  <c r="P54" i="22"/>
  <c r="G911" i="10" s="1"/>
  <c r="X54" i="22"/>
  <c r="G941" i="10" s="1"/>
  <c r="H55" i="22"/>
  <c r="G882" i="10" s="1"/>
  <c r="P55" i="22"/>
  <c r="G912" i="10" s="1"/>
  <c r="X55" i="22"/>
  <c r="G942" i="10" s="1"/>
  <c r="H56" i="22"/>
  <c r="G883" i="10" s="1"/>
  <c r="P56" i="22"/>
  <c r="G913" i="10" s="1"/>
  <c r="X56" i="22"/>
  <c r="G943" i="10" s="1"/>
  <c r="H57" i="22"/>
  <c r="G884" i="10" s="1"/>
  <c r="P57" i="22"/>
  <c r="X57" i="22"/>
  <c r="G944" i="10" s="1"/>
  <c r="H58" i="22"/>
  <c r="G885" i="10" s="1"/>
  <c r="P58" i="22"/>
  <c r="G915" i="10" s="1"/>
  <c r="X58" i="22"/>
  <c r="H59" i="22"/>
  <c r="G886" i="10" s="1"/>
  <c r="P59" i="22"/>
  <c r="G916" i="10" s="1"/>
  <c r="X59" i="22"/>
  <c r="G946" i="10" s="1"/>
  <c r="H60" i="22"/>
  <c r="P60" i="22"/>
  <c r="G917" i="10" s="1"/>
  <c r="X60" i="22"/>
  <c r="H61" i="22"/>
  <c r="G888" i="10" s="1"/>
  <c r="P61" i="22"/>
  <c r="G918" i="10" s="1"/>
  <c r="X61" i="22"/>
  <c r="G948" i="10" s="1"/>
  <c r="H62" i="22"/>
  <c r="P62" i="22"/>
  <c r="G919" i="10" s="1"/>
  <c r="X62" i="22"/>
  <c r="G949" i="10" s="1"/>
  <c r="H63" i="22"/>
  <c r="G890" i="10" s="1"/>
  <c r="P63" i="22"/>
  <c r="G920" i="10" s="1"/>
  <c r="X63" i="22"/>
  <c r="G950" i="10" s="1"/>
  <c r="H64" i="22"/>
  <c r="G891" i="10" s="1"/>
  <c r="P64" i="22"/>
  <c r="G921" i="10" s="1"/>
  <c r="X64" i="22"/>
  <c r="G951" i="10" s="1"/>
  <c r="H65" i="22"/>
  <c r="G892" i="10" s="1"/>
  <c r="P65" i="22"/>
  <c r="G922" i="10" s="1"/>
  <c r="X65" i="22"/>
  <c r="G952" i="10" s="1"/>
  <c r="H66" i="22"/>
  <c r="G893" i="10" s="1"/>
  <c r="P66" i="22"/>
  <c r="G923" i="10" s="1"/>
  <c r="X66" i="22"/>
  <c r="H67" i="22"/>
  <c r="G894" i="10" s="1"/>
  <c r="P67" i="22"/>
  <c r="G924" i="10" s="1"/>
  <c r="X67" i="22"/>
  <c r="G954" i="10" s="1"/>
  <c r="H68" i="22"/>
  <c r="P68" i="22"/>
  <c r="G925" i="10" s="1"/>
  <c r="X68" i="22"/>
  <c r="G955" i="10" s="1"/>
  <c r="H69" i="22"/>
  <c r="G896" i="10" s="1"/>
  <c r="P69" i="22"/>
  <c r="G926" i="10" s="1"/>
  <c r="X69" i="22"/>
  <c r="G956" i="10" s="1"/>
  <c r="H70" i="22"/>
  <c r="G897" i="10" s="1"/>
  <c r="P70" i="22"/>
  <c r="G927" i="10" s="1"/>
  <c r="X70" i="22"/>
  <c r="G957" i="10" s="1"/>
  <c r="H71" i="22"/>
  <c r="G898" i="10" s="1"/>
  <c r="P71" i="22"/>
  <c r="G928" i="10" s="1"/>
  <c r="X71" i="22"/>
  <c r="G958" i="10" s="1"/>
  <c r="H72" i="22"/>
  <c r="P72" i="22"/>
  <c r="G929" i="10" s="1"/>
  <c r="X72" i="22"/>
  <c r="H73" i="22"/>
  <c r="G900" i="10" s="1"/>
  <c r="P73" i="22"/>
  <c r="X73" i="22"/>
  <c r="G960" i="10" s="1"/>
  <c r="H74" i="22"/>
  <c r="P74" i="22"/>
  <c r="G931" i="10" s="1"/>
  <c r="X74" i="22"/>
  <c r="H45" i="22"/>
  <c r="G872" i="10" s="1"/>
  <c r="P45" i="22"/>
  <c r="G902" i="10" s="1"/>
  <c r="X45" i="22"/>
  <c r="G932" i="10" s="1"/>
  <c r="H7" i="22"/>
  <c r="G784" i="10" s="1"/>
  <c r="P7" i="22"/>
  <c r="G814" i="10" s="1"/>
  <c r="X7" i="22"/>
  <c r="G844" i="10" s="1"/>
  <c r="H8" i="22"/>
  <c r="G785" i="10" s="1"/>
  <c r="P8" i="22"/>
  <c r="G815" i="10" s="1"/>
  <c r="X8" i="22"/>
  <c r="G845" i="10" s="1"/>
  <c r="H9" i="22"/>
  <c r="G786" i="10" s="1"/>
  <c r="P9" i="22"/>
  <c r="G816" i="10" s="1"/>
  <c r="X9" i="22"/>
  <c r="G846" i="10" s="1"/>
  <c r="H10" i="22"/>
  <c r="G787" i="10" s="1"/>
  <c r="P10" i="22"/>
  <c r="G817" i="10" s="1"/>
  <c r="X10" i="22"/>
  <c r="G847" i="10" s="1"/>
  <c r="H11" i="22"/>
  <c r="P11" i="22"/>
  <c r="G818" i="10" s="1"/>
  <c r="X11" i="22"/>
  <c r="G848" i="10" s="1"/>
  <c r="H12" i="22"/>
  <c r="G789" i="10" s="1"/>
  <c r="P12" i="22"/>
  <c r="G819" i="10" s="1"/>
  <c r="X12" i="22"/>
  <c r="G849" i="10" s="1"/>
  <c r="H13" i="22"/>
  <c r="G790" i="10" s="1"/>
  <c r="P13" i="22"/>
  <c r="G820" i="10" s="1"/>
  <c r="X13" i="22"/>
  <c r="G850" i="10" s="1"/>
  <c r="H14" i="22"/>
  <c r="G791" i="10" s="1"/>
  <c r="P14" i="22"/>
  <c r="G821" i="10" s="1"/>
  <c r="X14" i="22"/>
  <c r="G851" i="10" s="1"/>
  <c r="H15" i="22"/>
  <c r="P15" i="22"/>
  <c r="G822" i="10" s="1"/>
  <c r="X15" i="22"/>
  <c r="G852" i="10" s="1"/>
  <c r="H16" i="22"/>
  <c r="G793" i="10" s="1"/>
  <c r="P16" i="22"/>
  <c r="G823" i="10" s="1"/>
  <c r="X16" i="22"/>
  <c r="G853" i="10" s="1"/>
  <c r="H17" i="22"/>
  <c r="P17" i="22"/>
  <c r="G824" i="10" s="1"/>
  <c r="X17" i="22"/>
  <c r="H18" i="22"/>
  <c r="G795" i="10" s="1"/>
  <c r="P18" i="22"/>
  <c r="X18" i="22"/>
  <c r="G855" i="10" s="1"/>
  <c r="H19" i="22"/>
  <c r="P19" i="22"/>
  <c r="G826" i="10" s="1"/>
  <c r="X19" i="22"/>
  <c r="H20" i="22"/>
  <c r="G797" i="10" s="1"/>
  <c r="P20" i="22"/>
  <c r="X20" i="22"/>
  <c r="G857" i="10" s="1"/>
  <c r="H21" i="22"/>
  <c r="G798" i="10" s="1"/>
  <c r="P21" i="22"/>
  <c r="G828" i="10" s="1"/>
  <c r="X21" i="22"/>
  <c r="H22" i="22"/>
  <c r="G799" i="10" s="1"/>
  <c r="P22" i="22"/>
  <c r="X22" i="22"/>
  <c r="G859" i="10" s="1"/>
  <c r="H23" i="22"/>
  <c r="P23" i="22"/>
  <c r="G830" i="10" s="1"/>
  <c r="X23" i="22"/>
  <c r="G860" i="10" s="1"/>
  <c r="H24" i="22"/>
  <c r="G801" i="10" s="1"/>
  <c r="P24" i="22"/>
  <c r="G831" i="10" s="1"/>
  <c r="X24" i="22"/>
  <c r="G861" i="10" s="1"/>
  <c r="H25" i="22"/>
  <c r="G802" i="10" s="1"/>
  <c r="P25" i="22"/>
  <c r="G832" i="10" s="1"/>
  <c r="X25" i="22"/>
  <c r="G862" i="10" s="1"/>
  <c r="H26" i="22"/>
  <c r="G803" i="10" s="1"/>
  <c r="P26" i="22"/>
  <c r="G833" i="10" s="1"/>
  <c r="X26" i="22"/>
  <c r="G863" i="10" s="1"/>
  <c r="H27" i="22"/>
  <c r="P27" i="22"/>
  <c r="G834" i="10" s="1"/>
  <c r="X27" i="22"/>
  <c r="G864" i="10" s="1"/>
  <c r="H28" i="22"/>
  <c r="G805" i="10" s="1"/>
  <c r="P28" i="22"/>
  <c r="X28" i="22"/>
  <c r="G865" i="10" s="1"/>
  <c r="H29" i="22"/>
  <c r="G806" i="10" s="1"/>
  <c r="P29" i="22"/>
  <c r="G836" i="10" s="1"/>
  <c r="X29" i="22"/>
  <c r="G866" i="10" s="1"/>
  <c r="H30" i="22"/>
  <c r="G807" i="10" s="1"/>
  <c r="P30" i="22"/>
  <c r="G837" i="10" s="1"/>
  <c r="X30" i="22"/>
  <c r="G867" i="10" s="1"/>
  <c r="H31" i="22"/>
  <c r="P31" i="22"/>
  <c r="G838" i="10" s="1"/>
  <c r="X31" i="22"/>
  <c r="G868" i="10" s="1"/>
  <c r="H32" i="22"/>
  <c r="G809" i="10" s="1"/>
  <c r="P32" i="22"/>
  <c r="X32" i="22"/>
  <c r="G869" i="10" s="1"/>
  <c r="H33" i="22"/>
  <c r="P33" i="22"/>
  <c r="G840" i="10" s="1"/>
  <c r="X33" i="22"/>
  <c r="H34" i="22"/>
  <c r="G811" i="10" s="1"/>
  <c r="P34" i="22"/>
  <c r="G841" i="10" s="1"/>
  <c r="X34" i="22"/>
  <c r="G871" i="10" s="1"/>
  <c r="H5" i="22"/>
  <c r="D782" i="10" s="1"/>
  <c r="P5" i="22"/>
  <c r="G812" i="10" s="1"/>
  <c r="X5" i="22"/>
  <c r="G842" i="10" s="1"/>
  <c r="J30" i="11"/>
  <c r="J29" i="11"/>
  <c r="J43" i="11"/>
  <c r="J42" i="11"/>
  <c r="J41" i="11"/>
  <c r="J40" i="11"/>
  <c r="J39" i="11"/>
  <c r="J38" i="11"/>
  <c r="J37" i="11"/>
  <c r="J36" i="11"/>
  <c r="J34" i="11"/>
  <c r="J33" i="11"/>
  <c r="J32" i="11"/>
  <c r="J31" i="11"/>
  <c r="AW52" i="4"/>
  <c r="O9" i="16" s="1"/>
  <c r="AV52" i="4"/>
  <c r="AU52" i="4"/>
  <c r="M9" i="16" s="1"/>
  <c r="Y52" i="4"/>
  <c r="BE52" i="4" s="1"/>
  <c r="Q52" i="4"/>
  <c r="BD52" i="4" s="1"/>
  <c r="I52" i="4"/>
  <c r="B174" i="17"/>
  <c r="AW51" i="4"/>
  <c r="O8" i="16" s="1"/>
  <c r="AV51" i="4"/>
  <c r="N8" i="16" s="1"/>
  <c r="AU51" i="4"/>
  <c r="M8" i="16" s="1"/>
  <c r="Y51" i="4"/>
  <c r="BE51" i="4" s="1"/>
  <c r="Q51" i="4"/>
  <c r="BD51" i="4" s="1"/>
  <c r="I51" i="4"/>
  <c r="B173" i="17"/>
  <c r="F40" i="11"/>
  <c r="F39" i="11"/>
  <c r="F38" i="11"/>
  <c r="F37" i="11"/>
  <c r="F36" i="11"/>
  <c r="F35" i="11"/>
  <c r="F34" i="11"/>
  <c r="F33" i="11"/>
  <c r="F32" i="11"/>
  <c r="F31" i="11"/>
  <c r="F30" i="11"/>
  <c r="F29" i="11"/>
  <c r="E34" i="11"/>
  <c r="E33" i="11"/>
  <c r="E32" i="11"/>
  <c r="E31" i="11"/>
  <c r="E30" i="11"/>
  <c r="E29" i="11"/>
  <c r="E35" i="11"/>
  <c r="E36" i="11"/>
  <c r="E37" i="11"/>
  <c r="E38" i="11"/>
  <c r="E39" i="11"/>
  <c r="E40" i="11"/>
  <c r="L148" i="23"/>
  <c r="M148" i="23"/>
  <c r="L147" i="23"/>
  <c r="M147" i="23"/>
  <c r="L146" i="23"/>
  <c r="M146" i="23"/>
  <c r="L145" i="23"/>
  <c r="M145" i="23"/>
  <c r="L144" i="23"/>
  <c r="M144" i="23"/>
  <c r="L143" i="23"/>
  <c r="M143" i="23"/>
  <c r="L142" i="23"/>
  <c r="M142" i="23"/>
  <c r="L141" i="23"/>
  <c r="M141" i="23"/>
  <c r="L140" i="23"/>
  <c r="M140" i="23"/>
  <c r="L114" i="23"/>
  <c r="M114" i="23"/>
  <c r="L113" i="23"/>
  <c r="M113" i="23"/>
  <c r="L112" i="23"/>
  <c r="M112" i="23"/>
  <c r="L111" i="23"/>
  <c r="M111" i="23"/>
  <c r="L110" i="23"/>
  <c r="M110" i="23"/>
  <c r="L109" i="23"/>
  <c r="M109" i="23"/>
  <c r="L108" i="23"/>
  <c r="M108" i="23"/>
  <c r="L107" i="23"/>
  <c r="M107" i="23"/>
  <c r="L106" i="23"/>
  <c r="M106" i="23"/>
  <c r="L46" i="23"/>
  <c r="M46" i="23"/>
  <c r="L45" i="23"/>
  <c r="M45" i="23"/>
  <c r="L44" i="23"/>
  <c r="M44" i="23"/>
  <c r="L43" i="23"/>
  <c r="M43" i="23"/>
  <c r="L42" i="23"/>
  <c r="M42" i="23"/>
  <c r="L41" i="23"/>
  <c r="M41" i="23"/>
  <c r="L40" i="23"/>
  <c r="M40" i="23"/>
  <c r="L39" i="23"/>
  <c r="M39" i="23"/>
  <c r="L38" i="23"/>
  <c r="M38" i="23"/>
  <c r="L12" i="23"/>
  <c r="M12" i="23"/>
  <c r="L11" i="23"/>
  <c r="M11" i="23"/>
  <c r="L10" i="23"/>
  <c r="M10" i="23"/>
  <c r="L9" i="23"/>
  <c r="M9" i="23"/>
  <c r="L8" i="23"/>
  <c r="M8" i="23"/>
  <c r="L7" i="23"/>
  <c r="M7" i="23"/>
  <c r="L6" i="23"/>
  <c r="M6" i="23"/>
  <c r="L5" i="23"/>
  <c r="M5" i="23"/>
  <c r="L4" i="23"/>
  <c r="M4" i="23"/>
  <c r="O170" i="23"/>
  <c r="O136" i="23"/>
  <c r="O68" i="23"/>
  <c r="O34" i="23"/>
  <c r="E489" i="19"/>
  <c r="E380" i="19"/>
  <c r="E217" i="19"/>
  <c r="E108" i="19"/>
  <c r="E487" i="18"/>
  <c r="E378" i="18"/>
  <c r="E216" i="18"/>
  <c r="E108" i="18"/>
  <c r="O170" i="15"/>
  <c r="O136" i="15"/>
  <c r="O68" i="15"/>
  <c r="AU9" i="4"/>
  <c r="B6" i="16" s="1"/>
  <c r="B7" i="17"/>
  <c r="O34" i="15"/>
  <c r="AU8" i="4"/>
  <c r="B5" i="16" s="1"/>
  <c r="B6" i="17"/>
  <c r="AU7" i="4"/>
  <c r="B4" i="16" s="1"/>
  <c r="B5" i="17"/>
  <c r="AU6" i="4"/>
  <c r="B3" i="16" s="1"/>
  <c r="B4" i="17"/>
  <c r="AU5" i="4"/>
  <c r="B3" i="17"/>
  <c r="C62" i="12"/>
  <c r="V27" i="12"/>
  <c r="V28" i="12"/>
  <c r="V29" i="12"/>
  <c r="V30" i="12"/>
  <c r="V31" i="12"/>
  <c r="V32" i="12"/>
  <c r="V33" i="12"/>
  <c r="V34" i="12"/>
  <c r="V35" i="12"/>
  <c r="V36" i="12"/>
  <c r="V37" i="12"/>
  <c r="V38" i="12"/>
  <c r="V39" i="12"/>
  <c r="V40" i="12"/>
  <c r="V41" i="12"/>
  <c r="V42" i="12"/>
  <c r="V43" i="12"/>
  <c r="AM43" i="12" s="1"/>
  <c r="V44" i="12"/>
  <c r="V45" i="12"/>
  <c r="V46" i="12"/>
  <c r="V47" i="12"/>
  <c r="V48" i="12"/>
  <c r="V49" i="12"/>
  <c r="V50" i="12"/>
  <c r="V51" i="12"/>
  <c r="V52" i="12"/>
  <c r="V53" i="12"/>
  <c r="V54" i="12"/>
  <c r="AM54" i="12" s="1"/>
  <c r="N5" i="12"/>
  <c r="V5" i="12"/>
  <c r="I5" i="12"/>
  <c r="Q5" i="12"/>
  <c r="T5" i="12" s="1"/>
  <c r="Y5" i="12"/>
  <c r="I6" i="4"/>
  <c r="BC6" i="4" s="1"/>
  <c r="Q6" i="4"/>
  <c r="BD6" i="4" s="1"/>
  <c r="Y6" i="4"/>
  <c r="BE6" i="4" s="1"/>
  <c r="I7" i="4"/>
  <c r="Q7" i="4"/>
  <c r="Y7" i="4"/>
  <c r="BE7" i="4" s="1"/>
  <c r="I8" i="4"/>
  <c r="Q8" i="4"/>
  <c r="BD8" i="4" s="1"/>
  <c r="Y8" i="4"/>
  <c r="BE8" i="4" s="1"/>
  <c r="I9" i="4"/>
  <c r="Q9" i="4"/>
  <c r="BD9" i="4" s="1"/>
  <c r="Y9" i="4"/>
  <c r="BE9" i="4" s="1"/>
  <c r="I5" i="4"/>
  <c r="BC5" i="4" s="1"/>
  <c r="Q5" i="4"/>
  <c r="BD5" i="4" s="1"/>
  <c r="Y5" i="4"/>
  <c r="BE5" i="4" s="1"/>
  <c r="I45" i="4"/>
  <c r="Q45" i="4"/>
  <c r="BD45" i="4" s="1"/>
  <c r="Y45" i="4"/>
  <c r="BE45" i="4" s="1"/>
  <c r="I46" i="4"/>
  <c r="Q46" i="4"/>
  <c r="BD46" i="4" s="1"/>
  <c r="Y46" i="4"/>
  <c r="N5" i="14"/>
  <c r="V5" i="14"/>
  <c r="F26" i="14"/>
  <c r="N26" i="14"/>
  <c r="V26" i="14"/>
  <c r="F27" i="14"/>
  <c r="N27" i="14"/>
  <c r="V27" i="14"/>
  <c r="F28" i="14"/>
  <c r="N28" i="14"/>
  <c r="V28" i="14"/>
  <c r="F29" i="14"/>
  <c r="N29" i="14"/>
  <c r="V29" i="14"/>
  <c r="F30" i="14"/>
  <c r="N30" i="14"/>
  <c r="V30" i="14"/>
  <c r="F31" i="14"/>
  <c r="N31" i="14"/>
  <c r="V31" i="14"/>
  <c r="F32" i="14"/>
  <c r="N32" i="14"/>
  <c r="V32" i="14"/>
  <c r="F33" i="14"/>
  <c r="N33" i="14"/>
  <c r="V33" i="14"/>
  <c r="F34" i="14"/>
  <c r="N34" i="14"/>
  <c r="V34" i="14"/>
  <c r="F35" i="14"/>
  <c r="N35" i="14"/>
  <c r="V35" i="14"/>
  <c r="F36" i="14"/>
  <c r="N36" i="14"/>
  <c r="V36" i="14"/>
  <c r="F37" i="14"/>
  <c r="N37" i="14"/>
  <c r="V37" i="14"/>
  <c r="F38" i="14"/>
  <c r="N38" i="14"/>
  <c r="V38" i="14"/>
  <c r="F39" i="14"/>
  <c r="N39" i="14"/>
  <c r="V39" i="14"/>
  <c r="F40" i="14"/>
  <c r="N40" i="14"/>
  <c r="V40" i="14"/>
  <c r="F41" i="14"/>
  <c r="N41" i="14"/>
  <c r="V41" i="14"/>
  <c r="F42" i="14"/>
  <c r="N42" i="14"/>
  <c r="V42" i="14"/>
  <c r="F43" i="14"/>
  <c r="N43" i="14"/>
  <c r="V43" i="14"/>
  <c r="F44" i="14"/>
  <c r="N44" i="14"/>
  <c r="V44" i="14"/>
  <c r="F45" i="14"/>
  <c r="N45" i="14"/>
  <c r="V45" i="14"/>
  <c r="F46" i="14"/>
  <c r="N46" i="14"/>
  <c r="V46" i="14"/>
  <c r="F47" i="14"/>
  <c r="N47" i="14"/>
  <c r="V47" i="14"/>
  <c r="F48" i="14"/>
  <c r="N48" i="14"/>
  <c r="V48" i="14"/>
  <c r="F49" i="14"/>
  <c r="N49" i="14"/>
  <c r="V49" i="14"/>
  <c r="F50" i="14"/>
  <c r="N50" i="14"/>
  <c r="V50" i="14"/>
  <c r="F51" i="14"/>
  <c r="N51" i="14"/>
  <c r="V51" i="14"/>
  <c r="F52" i="14"/>
  <c r="N52" i="14"/>
  <c r="V52" i="14"/>
  <c r="F53" i="14"/>
  <c r="N53" i="14"/>
  <c r="V53" i="14"/>
  <c r="F54" i="14"/>
  <c r="N54" i="14"/>
  <c r="V54" i="14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B8" i="17"/>
  <c r="AU10" i="4"/>
  <c r="B7" i="16" s="1"/>
  <c r="B9" i="17"/>
  <c r="AU11" i="4"/>
  <c r="B8" i="16" s="1"/>
  <c r="B10" i="17"/>
  <c r="AU12" i="4"/>
  <c r="B9" i="16" s="1"/>
  <c r="B11" i="17"/>
  <c r="AU13" i="4"/>
  <c r="B10" i="16" s="1"/>
  <c r="B12" i="17"/>
  <c r="AU14" i="4"/>
  <c r="B11" i="16" s="1"/>
  <c r="B13" i="17"/>
  <c r="AU15" i="4"/>
  <c r="B12" i="16" s="1"/>
  <c r="B14" i="17"/>
  <c r="AU16" i="4"/>
  <c r="B13" i="16" s="1"/>
  <c r="B15" i="17"/>
  <c r="AU17" i="4"/>
  <c r="B14" i="16" s="1"/>
  <c r="B16" i="17"/>
  <c r="AU18" i="4"/>
  <c r="B15" i="16" s="1"/>
  <c r="B17" i="17"/>
  <c r="AU19" i="4"/>
  <c r="B16" i="16" s="1"/>
  <c r="D20" i="4"/>
  <c r="AU20" i="4"/>
  <c r="B17" i="16" s="1"/>
  <c r="D21" i="4"/>
  <c r="AU21" i="4"/>
  <c r="B18" i="16" s="1"/>
  <c r="D22" i="4"/>
  <c r="AU22" i="4"/>
  <c r="B19" i="16" s="1"/>
  <c r="D23" i="4"/>
  <c r="AU23" i="4"/>
  <c r="B20" i="16" s="1"/>
  <c r="D24" i="4"/>
  <c r="AU24" i="4"/>
  <c r="B21" i="16" s="1"/>
  <c r="D25" i="4"/>
  <c r="AU25" i="4"/>
  <c r="B22" i="16" s="1"/>
  <c r="D26" i="4"/>
  <c r="AU26" i="4"/>
  <c r="B23" i="16" s="1"/>
  <c r="D27" i="4"/>
  <c r="AU27" i="4"/>
  <c r="B24" i="16" s="1"/>
  <c r="D28" i="4"/>
  <c r="AU28" i="4"/>
  <c r="B25" i="16" s="1"/>
  <c r="D29" i="4"/>
  <c r="AU29" i="4"/>
  <c r="B26" i="16" s="1"/>
  <c r="D30" i="4"/>
  <c r="AU30" i="4"/>
  <c r="B27" i="16" s="1"/>
  <c r="D31" i="4"/>
  <c r="AU31" i="4"/>
  <c r="B28" i="16" s="1"/>
  <c r="D32" i="4"/>
  <c r="AU32" i="4"/>
  <c r="B29" i="16" s="1"/>
  <c r="D33" i="4"/>
  <c r="AU33" i="4"/>
  <c r="B30" i="16" s="1"/>
  <c r="D34" i="4"/>
  <c r="AU34" i="4"/>
  <c r="B31" i="16" s="1"/>
  <c r="B33" i="17"/>
  <c r="AU5" i="12"/>
  <c r="B54" i="17"/>
  <c r="AU26" i="12"/>
  <c r="H25" i="18" s="1"/>
  <c r="AU27" i="12"/>
  <c r="B56" i="17"/>
  <c r="AU28" i="12"/>
  <c r="B57" i="17"/>
  <c r="AU29" i="12"/>
  <c r="H244" i="18" s="1"/>
  <c r="B58" i="17"/>
  <c r="AU30" i="12"/>
  <c r="H245" i="18" s="1"/>
  <c r="B59" i="17"/>
  <c r="AU31" i="12"/>
  <c r="H246" i="18" s="1"/>
  <c r="B60" i="17"/>
  <c r="AU32" i="12"/>
  <c r="AU33" i="12"/>
  <c r="H248" i="18" s="1"/>
  <c r="B62" i="17"/>
  <c r="AU34" i="12"/>
  <c r="H141" i="18" s="1"/>
  <c r="B63" i="17"/>
  <c r="AU35" i="12"/>
  <c r="B64" i="17"/>
  <c r="AU36" i="12"/>
  <c r="AU37" i="12"/>
  <c r="B66" i="17"/>
  <c r="AU38" i="12"/>
  <c r="B67" i="17"/>
  <c r="AU39" i="12"/>
  <c r="B68" i="17"/>
  <c r="AU40" i="12"/>
  <c r="H255" i="18" s="1"/>
  <c r="B69" i="17"/>
  <c r="AU41" i="12"/>
  <c r="H256" i="18" s="1"/>
  <c r="B70" i="17"/>
  <c r="AU42" i="12"/>
  <c r="B71" i="17"/>
  <c r="AU43" i="12"/>
  <c r="H258" i="18" s="1"/>
  <c r="B72" i="17"/>
  <c r="AU44" i="12"/>
  <c r="H259" i="18" s="1"/>
  <c r="AU45" i="12"/>
  <c r="B74" i="17"/>
  <c r="AU46" i="12"/>
  <c r="H261" i="18" s="1"/>
  <c r="B75" i="17"/>
  <c r="AU47" i="12"/>
  <c r="B76" i="17"/>
  <c r="AU48" i="12"/>
  <c r="H263" i="18" s="1"/>
  <c r="B77" i="17"/>
  <c r="AU49" i="12"/>
  <c r="H264" i="18" s="1"/>
  <c r="B78" i="17"/>
  <c r="AU50" i="12"/>
  <c r="B79" i="17"/>
  <c r="AU51" i="12"/>
  <c r="H266" i="18" s="1"/>
  <c r="B80" i="17"/>
  <c r="AU52" i="12"/>
  <c r="B81" i="17"/>
  <c r="AU53" i="12"/>
  <c r="H268" i="18" s="1"/>
  <c r="B82" i="17"/>
  <c r="AU54" i="12"/>
  <c r="B83" i="17"/>
  <c r="AU5" i="14"/>
  <c r="B62" i="16" s="1"/>
  <c r="B104" i="17"/>
  <c r="AU26" i="14"/>
  <c r="B63" i="16" s="1"/>
  <c r="B105" i="17"/>
  <c r="AU27" i="14"/>
  <c r="B64" i="16" s="1"/>
  <c r="B106" i="17"/>
  <c r="AU28" i="14"/>
  <c r="B65" i="16" s="1"/>
  <c r="B107" i="17"/>
  <c r="AU29" i="14"/>
  <c r="B66" i="16" s="1"/>
  <c r="B108" i="17"/>
  <c r="AU30" i="14"/>
  <c r="B67" i="16" s="1"/>
  <c r="AU31" i="14"/>
  <c r="B68" i="16" s="1"/>
  <c r="B110" i="17"/>
  <c r="AU32" i="14"/>
  <c r="B69" i="16" s="1"/>
  <c r="B111" i="17"/>
  <c r="AU33" i="14"/>
  <c r="B70" i="16" s="1"/>
  <c r="AU34" i="14"/>
  <c r="B71" i="16" s="1"/>
  <c r="B113" i="17"/>
  <c r="AU35" i="14"/>
  <c r="B72" i="16" s="1"/>
  <c r="B114" i="17"/>
  <c r="AU36" i="14"/>
  <c r="B73" i="16" s="1"/>
  <c r="AU37" i="14"/>
  <c r="B74" i="16" s="1"/>
  <c r="B116" i="17"/>
  <c r="AU38" i="14"/>
  <c r="B75" i="16" s="1"/>
  <c r="B117" i="17"/>
  <c r="AU39" i="14"/>
  <c r="B76" i="16" s="1"/>
  <c r="B118" i="17"/>
  <c r="AU40" i="14"/>
  <c r="B77" i="16" s="1"/>
  <c r="AU41" i="14"/>
  <c r="B78" i="16" s="1"/>
  <c r="B120" i="17"/>
  <c r="AU42" i="14"/>
  <c r="B79" i="16" s="1"/>
  <c r="B121" i="17"/>
  <c r="AU43" i="14"/>
  <c r="B80" i="16" s="1"/>
  <c r="B122" i="17"/>
  <c r="AU44" i="14"/>
  <c r="B81" i="16" s="1"/>
  <c r="AU45" i="14"/>
  <c r="B82" i="16" s="1"/>
  <c r="B124" i="17"/>
  <c r="AU46" i="14"/>
  <c r="B83" i="16" s="1"/>
  <c r="B125" i="17"/>
  <c r="AU47" i="14"/>
  <c r="B84" i="16" s="1"/>
  <c r="D48" i="14"/>
  <c r="AU48" i="14"/>
  <c r="B85" i="16" s="1"/>
  <c r="D49" i="14"/>
  <c r="AU49" i="14"/>
  <c r="B86" i="16" s="1"/>
  <c r="D50" i="14"/>
  <c r="AU50" i="14"/>
  <c r="B87" i="16" s="1"/>
  <c r="D51" i="14"/>
  <c r="AU51" i="14"/>
  <c r="B88" i="16" s="1"/>
  <c r="D52" i="14"/>
  <c r="AU52" i="14"/>
  <c r="B89" i="16" s="1"/>
  <c r="D53" i="14"/>
  <c r="AU53" i="14"/>
  <c r="B90" i="16" s="1"/>
  <c r="D54" i="14"/>
  <c r="AU54" i="14"/>
  <c r="B91" i="16" s="1"/>
  <c r="B167" i="17"/>
  <c r="AU45" i="4"/>
  <c r="B168" i="17"/>
  <c r="AU46" i="4"/>
  <c r="M3" i="16" s="1"/>
  <c r="B169" i="17"/>
  <c r="AU47" i="4"/>
  <c r="M4" i="16" s="1"/>
  <c r="B170" i="17"/>
  <c r="AU48" i="4"/>
  <c r="M5" i="16" s="1"/>
  <c r="B171" i="17"/>
  <c r="AU49" i="4"/>
  <c r="M6" i="16" s="1"/>
  <c r="B172" i="17"/>
  <c r="AU50" i="4"/>
  <c r="M7" i="16" s="1"/>
  <c r="B175" i="17"/>
  <c r="AU53" i="4"/>
  <c r="M10" i="16" s="1"/>
  <c r="D54" i="4"/>
  <c r="AU54" i="4"/>
  <c r="M11" i="16" s="1"/>
  <c r="D55" i="4"/>
  <c r="AU55" i="4"/>
  <c r="M12" i="16" s="1"/>
  <c r="D56" i="4"/>
  <c r="AU56" i="4"/>
  <c r="M13" i="16" s="1"/>
  <c r="D57" i="4"/>
  <c r="AU57" i="4"/>
  <c r="M14" i="16" s="1"/>
  <c r="D58" i="4"/>
  <c r="AU58" i="4"/>
  <c r="M15" i="16" s="1"/>
  <c r="D59" i="4"/>
  <c r="AU59" i="4"/>
  <c r="M16" i="16" s="1"/>
  <c r="D60" i="4"/>
  <c r="AU60" i="4"/>
  <c r="M17" i="16" s="1"/>
  <c r="D61" i="4"/>
  <c r="AU61" i="4"/>
  <c r="M18" i="16" s="1"/>
  <c r="D62" i="4"/>
  <c r="AU62" i="4"/>
  <c r="M19" i="16" s="1"/>
  <c r="D63" i="4"/>
  <c r="AU63" i="4"/>
  <c r="M20" i="16" s="1"/>
  <c r="D64" i="4"/>
  <c r="AU64" i="4"/>
  <c r="M21" i="16" s="1"/>
  <c r="D65" i="4"/>
  <c r="AU65" i="4"/>
  <c r="M22" i="16" s="1"/>
  <c r="D66" i="4"/>
  <c r="AU66" i="4"/>
  <c r="M23" i="16" s="1"/>
  <c r="D67" i="4"/>
  <c r="AU67" i="4"/>
  <c r="M24" i="16" s="1"/>
  <c r="D68" i="4"/>
  <c r="AU68" i="4"/>
  <c r="M25" i="16" s="1"/>
  <c r="D69" i="4"/>
  <c r="AU69" i="4"/>
  <c r="M26" i="16" s="1"/>
  <c r="D70" i="4"/>
  <c r="AU70" i="4"/>
  <c r="M27" i="16" s="1"/>
  <c r="D71" i="4"/>
  <c r="AU71" i="4"/>
  <c r="M28" i="16" s="1"/>
  <c r="D72" i="4"/>
  <c r="AU72" i="4"/>
  <c r="M29" i="16" s="1"/>
  <c r="D73" i="4"/>
  <c r="AU73" i="4"/>
  <c r="M30" i="16" s="1"/>
  <c r="D74" i="4"/>
  <c r="AU74" i="4"/>
  <c r="M31" i="16" s="1"/>
  <c r="D65" i="12"/>
  <c r="AU65" i="12"/>
  <c r="AU86" i="12"/>
  <c r="AU87" i="12"/>
  <c r="M34" i="16" s="1"/>
  <c r="AU88" i="12"/>
  <c r="AU89" i="12"/>
  <c r="AU90" i="12"/>
  <c r="AU91" i="12"/>
  <c r="AU92" i="12"/>
  <c r="M39" i="16" s="1"/>
  <c r="AU93" i="12"/>
  <c r="AU94" i="12"/>
  <c r="AU95" i="12"/>
  <c r="AU96" i="12"/>
  <c r="AU97" i="12"/>
  <c r="AU98" i="12"/>
  <c r="AU99" i="12"/>
  <c r="H417" i="18" s="1"/>
  <c r="AU100" i="12"/>
  <c r="AU101" i="12"/>
  <c r="AU102" i="12"/>
  <c r="AU103" i="12"/>
  <c r="AU104" i="12"/>
  <c r="AU105" i="12"/>
  <c r="AU106" i="12"/>
  <c r="AU107" i="12"/>
  <c r="AU108" i="12"/>
  <c r="AU109" i="12"/>
  <c r="AU110" i="12"/>
  <c r="AU111" i="12"/>
  <c r="AU112" i="12"/>
  <c r="AU113" i="12"/>
  <c r="AU114" i="12"/>
  <c r="D65" i="14"/>
  <c r="AU65" i="14"/>
  <c r="D86" i="14"/>
  <c r="AU86" i="14"/>
  <c r="D87" i="14"/>
  <c r="AU87" i="14"/>
  <c r="M64" i="16" s="1"/>
  <c r="D88" i="14"/>
  <c r="AU88" i="14"/>
  <c r="D89" i="14"/>
  <c r="AU89" i="14"/>
  <c r="B272" i="17"/>
  <c r="AU90" i="14"/>
  <c r="D91" i="14"/>
  <c r="AU91" i="14"/>
  <c r="D92" i="14"/>
  <c r="AU92" i="14"/>
  <c r="M69" i="16" s="1"/>
  <c r="D93" i="14"/>
  <c r="AU93" i="14"/>
  <c r="D94" i="14"/>
  <c r="AU94" i="14"/>
  <c r="D95" i="14"/>
  <c r="AU95" i="14"/>
  <c r="D96" i="14"/>
  <c r="AU96" i="14"/>
  <c r="D97" i="14"/>
  <c r="AU97" i="14"/>
  <c r="B280" i="17"/>
  <c r="AU98" i="14"/>
  <c r="D99" i="14"/>
  <c r="AU99" i="14"/>
  <c r="D100" i="14"/>
  <c r="AU100" i="14"/>
  <c r="B283" i="17"/>
  <c r="AU101" i="14"/>
  <c r="B284" i="17"/>
  <c r="AU102" i="14"/>
  <c r="D103" i="14"/>
  <c r="AU103" i="14"/>
  <c r="D104" i="14"/>
  <c r="AU104" i="14"/>
  <c r="D105" i="14"/>
  <c r="AU105" i="14"/>
  <c r="D106" i="14"/>
  <c r="AU106" i="14"/>
  <c r="D107" i="14"/>
  <c r="AU107" i="14"/>
  <c r="D108" i="14"/>
  <c r="AU108" i="14"/>
  <c r="D109" i="14"/>
  <c r="AU109" i="14"/>
  <c r="D110" i="14"/>
  <c r="AU110" i="14"/>
  <c r="D111" i="14"/>
  <c r="AU111" i="14"/>
  <c r="D112" i="14"/>
  <c r="AU112" i="14"/>
  <c r="D113" i="14"/>
  <c r="AU113" i="14"/>
  <c r="D114" i="14"/>
  <c r="AU114" i="14"/>
  <c r="I47" i="4"/>
  <c r="Q47" i="4"/>
  <c r="Y47" i="4"/>
  <c r="BE47" i="4" s="1"/>
  <c r="I48" i="4"/>
  <c r="Q48" i="4"/>
  <c r="BD48" i="4" s="1"/>
  <c r="Y48" i="4"/>
  <c r="BE48" i="4" s="1"/>
  <c r="I49" i="4"/>
  <c r="Q49" i="4"/>
  <c r="BD49" i="4" s="1"/>
  <c r="Y49" i="4"/>
  <c r="BE49" i="4" s="1"/>
  <c r="I50" i="4"/>
  <c r="Q50" i="4"/>
  <c r="BD50" i="4" s="1"/>
  <c r="Y50" i="4"/>
  <c r="BE50" i="4" s="1"/>
  <c r="I10" i="4"/>
  <c r="Q10" i="4"/>
  <c r="BD10" i="4" s="1"/>
  <c r="Y10" i="4"/>
  <c r="BE10" i="4" s="1"/>
  <c r="I38" i="10"/>
  <c r="I39" i="10"/>
  <c r="C458" i="10"/>
  <c r="C459" i="10"/>
  <c r="C428" i="10"/>
  <c r="C429" i="10"/>
  <c r="C398" i="10"/>
  <c r="C399" i="10"/>
  <c r="I97" i="12"/>
  <c r="G514" i="10" s="1"/>
  <c r="Y44" i="12"/>
  <c r="G231" i="10" s="1"/>
  <c r="Y36" i="12"/>
  <c r="G223" i="10" s="1"/>
  <c r="Y47" i="12"/>
  <c r="G234" i="10" s="1"/>
  <c r="Y27" i="12"/>
  <c r="G214" i="10" s="1"/>
  <c r="Y28" i="12"/>
  <c r="G215" i="10" s="1"/>
  <c r="Y29" i="12"/>
  <c r="G216" i="10" s="1"/>
  <c r="Y30" i="12"/>
  <c r="G217" i="10" s="1"/>
  <c r="Y31" i="12"/>
  <c r="G218" i="10" s="1"/>
  <c r="Y32" i="12"/>
  <c r="Y33" i="12"/>
  <c r="G220" i="10" s="1"/>
  <c r="Y34" i="12"/>
  <c r="G221" i="10" s="1"/>
  <c r="Y35" i="12"/>
  <c r="G222" i="10" s="1"/>
  <c r="Y37" i="12"/>
  <c r="G224" i="10" s="1"/>
  <c r="Y38" i="12"/>
  <c r="G225" i="10" s="1"/>
  <c r="Y39" i="12"/>
  <c r="G226" i="10" s="1"/>
  <c r="Y40" i="12"/>
  <c r="G227" i="10" s="1"/>
  <c r="Y41" i="12"/>
  <c r="G228" i="10" s="1"/>
  <c r="Y42" i="12"/>
  <c r="G229" i="10" s="1"/>
  <c r="Y43" i="12"/>
  <c r="G230" i="10" s="1"/>
  <c r="Y45" i="12"/>
  <c r="G232" i="10" s="1"/>
  <c r="Y46" i="12"/>
  <c r="G233" i="10" s="1"/>
  <c r="Y48" i="12"/>
  <c r="G235" i="10" s="1"/>
  <c r="Y49" i="12"/>
  <c r="Y50" i="12"/>
  <c r="G237" i="10" s="1"/>
  <c r="Y51" i="12"/>
  <c r="G238" i="10" s="1"/>
  <c r="Y52" i="12"/>
  <c r="G239" i="10" s="1"/>
  <c r="Y53" i="12"/>
  <c r="Y54" i="12"/>
  <c r="G241" i="10" s="1"/>
  <c r="D184" i="10"/>
  <c r="D133" i="10"/>
  <c r="T40" i="12"/>
  <c r="U40" i="12" s="1"/>
  <c r="D183" i="10"/>
  <c r="O55" i="12"/>
  <c r="C38" i="9" s="1"/>
  <c r="I17" i="9" s="1"/>
  <c r="W55" i="12"/>
  <c r="D38" i="9" s="1"/>
  <c r="I18" i="9" s="1"/>
  <c r="G55" i="12"/>
  <c r="B38" i="9" s="1"/>
  <c r="I16" i="9" s="1"/>
  <c r="G35" i="4"/>
  <c r="B37" i="9" s="1"/>
  <c r="W35" i="4"/>
  <c r="D37" i="9" s="1"/>
  <c r="I13" i="9" s="1"/>
  <c r="O35" i="4"/>
  <c r="C37" i="9" s="1"/>
  <c r="I12" i="9" s="1"/>
  <c r="O161" i="10"/>
  <c r="L161" i="10"/>
  <c r="I61" i="10"/>
  <c r="O160" i="10"/>
  <c r="L160" i="10"/>
  <c r="I60" i="10"/>
  <c r="O159" i="10"/>
  <c r="L159" i="10"/>
  <c r="I59" i="10"/>
  <c r="O158" i="10"/>
  <c r="L158" i="10"/>
  <c r="I58" i="10"/>
  <c r="O157" i="10"/>
  <c r="L157" i="10"/>
  <c r="I57" i="10"/>
  <c r="O156" i="10"/>
  <c r="L156" i="10"/>
  <c r="I56" i="10"/>
  <c r="O155" i="10"/>
  <c r="L155" i="10"/>
  <c r="I55" i="10"/>
  <c r="O154" i="10"/>
  <c r="L154" i="10"/>
  <c r="I54" i="10"/>
  <c r="O153" i="10"/>
  <c r="L153" i="10"/>
  <c r="I53" i="10"/>
  <c r="O152" i="10"/>
  <c r="L152" i="10"/>
  <c r="I52" i="10"/>
  <c r="O151" i="10"/>
  <c r="L151" i="10"/>
  <c r="I51" i="10"/>
  <c r="O150" i="10"/>
  <c r="L150" i="10"/>
  <c r="I50" i="10"/>
  <c r="O149" i="10"/>
  <c r="L149" i="10"/>
  <c r="I49" i="10"/>
  <c r="O148" i="10"/>
  <c r="L148" i="10"/>
  <c r="I48" i="10"/>
  <c r="O147" i="10"/>
  <c r="L147" i="10"/>
  <c r="I47" i="10"/>
  <c r="O146" i="10"/>
  <c r="L146" i="10"/>
  <c r="I46" i="10"/>
  <c r="O145" i="10"/>
  <c r="L145" i="10"/>
  <c r="I45" i="10"/>
  <c r="O144" i="10"/>
  <c r="L144" i="10"/>
  <c r="I44" i="10"/>
  <c r="O143" i="10"/>
  <c r="L143" i="10"/>
  <c r="I43" i="10"/>
  <c r="O142" i="10"/>
  <c r="L142" i="10"/>
  <c r="I42" i="10"/>
  <c r="O141" i="10"/>
  <c r="L141" i="10"/>
  <c r="I41" i="10"/>
  <c r="O140" i="10"/>
  <c r="L140" i="10"/>
  <c r="I40" i="10"/>
  <c r="O139" i="10"/>
  <c r="L139" i="10"/>
  <c r="I37" i="10"/>
  <c r="O138" i="10"/>
  <c r="L138" i="10"/>
  <c r="I36" i="10"/>
  <c r="O137" i="10"/>
  <c r="L137" i="10"/>
  <c r="I35" i="10"/>
  <c r="O136" i="10"/>
  <c r="L136" i="10"/>
  <c r="I34" i="10"/>
  <c r="O135" i="10"/>
  <c r="L135" i="10"/>
  <c r="I33" i="10"/>
  <c r="O134" i="10"/>
  <c r="L134" i="10"/>
  <c r="O133" i="10"/>
  <c r="L133" i="10"/>
  <c r="O112" i="10"/>
  <c r="L112" i="10"/>
  <c r="I32" i="10"/>
  <c r="O111" i="10"/>
  <c r="L111" i="10"/>
  <c r="I31" i="10"/>
  <c r="O110" i="10"/>
  <c r="L110" i="10"/>
  <c r="I30" i="10"/>
  <c r="O109" i="10"/>
  <c r="L109" i="10"/>
  <c r="I29" i="10"/>
  <c r="O108" i="10"/>
  <c r="L108" i="10"/>
  <c r="I28" i="10"/>
  <c r="O107" i="10"/>
  <c r="L107" i="10"/>
  <c r="I27" i="10"/>
  <c r="O106" i="10"/>
  <c r="L106" i="10"/>
  <c r="I26" i="10"/>
  <c r="O105" i="10"/>
  <c r="L105" i="10"/>
  <c r="I25" i="10"/>
  <c r="O104" i="10"/>
  <c r="L104" i="10"/>
  <c r="I24" i="10"/>
  <c r="O103" i="10"/>
  <c r="L103" i="10"/>
  <c r="I23" i="10"/>
  <c r="O102" i="10"/>
  <c r="L102" i="10"/>
  <c r="I22" i="10"/>
  <c r="O101" i="10"/>
  <c r="L101" i="10"/>
  <c r="I21" i="10"/>
  <c r="O100" i="10"/>
  <c r="L100" i="10"/>
  <c r="I20" i="10"/>
  <c r="O99" i="10"/>
  <c r="L99" i="10"/>
  <c r="I19" i="10"/>
  <c r="O98" i="10"/>
  <c r="L98" i="10"/>
  <c r="I18" i="10"/>
  <c r="O97" i="10"/>
  <c r="L97" i="10"/>
  <c r="I17" i="10"/>
  <c r="O96" i="10"/>
  <c r="L96" i="10"/>
  <c r="I16" i="10"/>
  <c r="O95" i="10"/>
  <c r="L95" i="10"/>
  <c r="I15" i="10"/>
  <c r="O94" i="10"/>
  <c r="L94" i="10"/>
  <c r="I14" i="10"/>
  <c r="O93" i="10"/>
  <c r="L93" i="10"/>
  <c r="I13" i="10"/>
  <c r="O92" i="10"/>
  <c r="L92" i="10"/>
  <c r="I12" i="10"/>
  <c r="O91" i="10"/>
  <c r="L91" i="10"/>
  <c r="I11" i="10"/>
  <c r="O90" i="10"/>
  <c r="L90" i="10"/>
  <c r="I10" i="10"/>
  <c r="O89" i="10"/>
  <c r="L89" i="10"/>
  <c r="I9" i="10"/>
  <c r="O88" i="10"/>
  <c r="L88" i="10"/>
  <c r="I8" i="10"/>
  <c r="O87" i="10"/>
  <c r="L87" i="10"/>
  <c r="I7" i="10"/>
  <c r="O86" i="10"/>
  <c r="L86" i="10"/>
  <c r="I6" i="10"/>
  <c r="O85" i="10"/>
  <c r="L85" i="10"/>
  <c r="I5" i="10"/>
  <c r="O84" i="10"/>
  <c r="L84" i="10"/>
  <c r="I4" i="10"/>
  <c r="O83" i="10"/>
  <c r="L83" i="10"/>
  <c r="I3" i="10"/>
  <c r="O62" i="10"/>
  <c r="L62" i="10"/>
  <c r="I2" i="10"/>
  <c r="H31" i="10"/>
  <c r="H30" i="10"/>
  <c r="H29" i="10"/>
  <c r="H28" i="10"/>
  <c r="H27" i="10"/>
  <c r="H26" i="10"/>
  <c r="H25" i="10"/>
  <c r="H24" i="10"/>
  <c r="H23" i="10"/>
  <c r="H2" i="10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R46" i="4"/>
  <c r="Q53" i="4"/>
  <c r="BD53" i="4" s="1"/>
  <c r="Q54" i="4"/>
  <c r="BD54" i="4" s="1"/>
  <c r="Q55" i="4"/>
  <c r="BD55" i="4" s="1"/>
  <c r="Q56" i="4"/>
  <c r="BD56" i="4" s="1"/>
  <c r="Q57" i="4"/>
  <c r="BD57" i="4" s="1"/>
  <c r="Q58" i="4"/>
  <c r="BD58" i="4" s="1"/>
  <c r="Q59" i="4"/>
  <c r="BD59" i="4" s="1"/>
  <c r="Q60" i="4"/>
  <c r="BD60" i="4" s="1"/>
  <c r="Q61" i="4"/>
  <c r="R61" i="4" s="1"/>
  <c r="S61" i="4" s="1"/>
  <c r="Q62" i="4"/>
  <c r="BD62" i="4" s="1"/>
  <c r="Q63" i="4"/>
  <c r="BD63" i="4" s="1"/>
  <c r="Q64" i="4"/>
  <c r="BD64" i="4" s="1"/>
  <c r="Q65" i="4"/>
  <c r="BD65" i="4" s="1"/>
  <c r="Q66" i="4"/>
  <c r="BD66" i="4" s="1"/>
  <c r="Q67" i="4"/>
  <c r="BD67" i="4" s="1"/>
  <c r="Q68" i="4"/>
  <c r="BD68" i="4" s="1"/>
  <c r="Q69" i="4"/>
  <c r="BD69" i="4" s="1"/>
  <c r="Q70" i="4"/>
  <c r="BD70" i="4" s="1"/>
  <c r="Q71" i="4"/>
  <c r="BD71" i="4" s="1"/>
  <c r="Q72" i="4"/>
  <c r="BD72" i="4" s="1"/>
  <c r="Q73" i="4"/>
  <c r="Q74" i="4"/>
  <c r="BD74" i="4" s="1"/>
  <c r="Y53" i="4"/>
  <c r="BE53" i="4" s="1"/>
  <c r="Y54" i="4"/>
  <c r="BE54" i="4" s="1"/>
  <c r="Y55" i="4"/>
  <c r="BE55" i="4" s="1"/>
  <c r="Y56" i="4"/>
  <c r="BE56" i="4" s="1"/>
  <c r="Y57" i="4"/>
  <c r="BE57" i="4" s="1"/>
  <c r="Y58" i="4"/>
  <c r="BE58" i="4" s="1"/>
  <c r="Y59" i="4"/>
  <c r="BE59" i="4" s="1"/>
  <c r="Y60" i="4"/>
  <c r="BE60" i="4" s="1"/>
  <c r="Y61" i="4"/>
  <c r="BE61" i="4" s="1"/>
  <c r="Y62" i="4"/>
  <c r="BE62" i="4" s="1"/>
  <c r="Y63" i="4"/>
  <c r="BE63" i="4" s="1"/>
  <c r="Y64" i="4"/>
  <c r="BE64" i="4" s="1"/>
  <c r="Y65" i="4"/>
  <c r="BE65" i="4" s="1"/>
  <c r="Y66" i="4"/>
  <c r="BE66" i="4" s="1"/>
  <c r="Y67" i="4"/>
  <c r="BE67" i="4" s="1"/>
  <c r="Y68" i="4"/>
  <c r="BE68" i="4" s="1"/>
  <c r="Y69" i="4"/>
  <c r="BE69" i="4" s="1"/>
  <c r="Y70" i="4"/>
  <c r="BE70" i="4" s="1"/>
  <c r="Y71" i="4"/>
  <c r="BE71" i="4" s="1"/>
  <c r="Y72" i="4"/>
  <c r="BE72" i="4" s="1"/>
  <c r="Y73" i="4"/>
  <c r="BE73" i="4" s="1"/>
  <c r="Y74" i="4"/>
  <c r="BE74" i="4" s="1"/>
  <c r="C933" i="10"/>
  <c r="E933" i="10"/>
  <c r="C934" i="10"/>
  <c r="E934" i="10"/>
  <c r="C935" i="10"/>
  <c r="E935" i="10"/>
  <c r="C936" i="10"/>
  <c r="E936" i="10"/>
  <c r="C937" i="10"/>
  <c r="E937" i="10"/>
  <c r="C938" i="10"/>
  <c r="E938" i="10"/>
  <c r="C939" i="10"/>
  <c r="E939" i="10"/>
  <c r="C940" i="10"/>
  <c r="E940" i="10"/>
  <c r="C941" i="10"/>
  <c r="E941" i="10"/>
  <c r="C942" i="10"/>
  <c r="E942" i="10"/>
  <c r="C943" i="10"/>
  <c r="E943" i="10"/>
  <c r="C944" i="10"/>
  <c r="E944" i="10"/>
  <c r="C945" i="10"/>
  <c r="E945" i="10"/>
  <c r="C946" i="10"/>
  <c r="E946" i="10"/>
  <c r="C947" i="10"/>
  <c r="E947" i="10"/>
  <c r="C948" i="10"/>
  <c r="E948" i="10"/>
  <c r="C949" i="10"/>
  <c r="E949" i="10"/>
  <c r="C950" i="10"/>
  <c r="E950" i="10"/>
  <c r="C951" i="10"/>
  <c r="E951" i="10"/>
  <c r="C952" i="10"/>
  <c r="E952" i="10"/>
  <c r="C953" i="10"/>
  <c r="E953" i="10"/>
  <c r="C954" i="10"/>
  <c r="E954" i="10"/>
  <c r="C955" i="10"/>
  <c r="E955" i="10"/>
  <c r="C956" i="10"/>
  <c r="E956" i="10"/>
  <c r="C957" i="10"/>
  <c r="E957" i="10"/>
  <c r="C958" i="10"/>
  <c r="E958" i="10"/>
  <c r="C959" i="10"/>
  <c r="E959" i="10"/>
  <c r="C960" i="10"/>
  <c r="E960" i="10"/>
  <c r="C961" i="10"/>
  <c r="E961" i="10"/>
  <c r="E932" i="10"/>
  <c r="C932" i="10"/>
  <c r="C903" i="10"/>
  <c r="E903" i="10"/>
  <c r="C904" i="10"/>
  <c r="E904" i="10"/>
  <c r="C905" i="10"/>
  <c r="E905" i="10"/>
  <c r="C906" i="10"/>
  <c r="E906" i="10"/>
  <c r="C907" i="10"/>
  <c r="E907" i="10"/>
  <c r="C908" i="10"/>
  <c r="E908" i="10"/>
  <c r="C909" i="10"/>
  <c r="E909" i="10"/>
  <c r="C910" i="10"/>
  <c r="E910" i="10"/>
  <c r="C911" i="10"/>
  <c r="E911" i="10"/>
  <c r="C912" i="10"/>
  <c r="E912" i="10"/>
  <c r="C913" i="10"/>
  <c r="E913" i="10"/>
  <c r="C914" i="10"/>
  <c r="E914" i="10"/>
  <c r="C915" i="10"/>
  <c r="E915" i="10"/>
  <c r="C916" i="10"/>
  <c r="E916" i="10"/>
  <c r="C917" i="10"/>
  <c r="E917" i="10"/>
  <c r="C918" i="10"/>
  <c r="E918" i="10"/>
  <c r="C919" i="10"/>
  <c r="E919" i="10"/>
  <c r="C920" i="10"/>
  <c r="E920" i="10"/>
  <c r="C921" i="10"/>
  <c r="E921" i="10"/>
  <c r="C922" i="10"/>
  <c r="E922" i="10"/>
  <c r="C923" i="10"/>
  <c r="E923" i="10"/>
  <c r="C924" i="10"/>
  <c r="E924" i="10"/>
  <c r="C925" i="10"/>
  <c r="E925" i="10"/>
  <c r="C926" i="10"/>
  <c r="E926" i="10"/>
  <c r="C927" i="10"/>
  <c r="E927" i="10"/>
  <c r="C928" i="10"/>
  <c r="E928" i="10"/>
  <c r="C929" i="10"/>
  <c r="E929" i="10"/>
  <c r="C930" i="10"/>
  <c r="E930" i="10"/>
  <c r="C931" i="10"/>
  <c r="E931" i="10"/>
  <c r="E902" i="10"/>
  <c r="C902" i="10"/>
  <c r="C873" i="10"/>
  <c r="E873" i="10"/>
  <c r="C874" i="10"/>
  <c r="E874" i="10"/>
  <c r="C875" i="10"/>
  <c r="E875" i="10"/>
  <c r="C876" i="10"/>
  <c r="E876" i="10"/>
  <c r="C877" i="10"/>
  <c r="E877" i="10"/>
  <c r="C878" i="10"/>
  <c r="E878" i="10"/>
  <c r="C879" i="10"/>
  <c r="E879" i="10"/>
  <c r="C880" i="10"/>
  <c r="E880" i="10"/>
  <c r="C881" i="10"/>
  <c r="E881" i="10"/>
  <c r="C882" i="10"/>
  <c r="E882" i="10"/>
  <c r="C883" i="10"/>
  <c r="E883" i="10"/>
  <c r="C884" i="10"/>
  <c r="E884" i="10"/>
  <c r="C885" i="10"/>
  <c r="E885" i="10"/>
  <c r="C886" i="10"/>
  <c r="E886" i="10"/>
  <c r="C887" i="10"/>
  <c r="E887" i="10"/>
  <c r="C888" i="10"/>
  <c r="E888" i="10"/>
  <c r="C889" i="10"/>
  <c r="E889" i="10"/>
  <c r="C890" i="10"/>
  <c r="E890" i="10"/>
  <c r="C891" i="10"/>
  <c r="E891" i="10"/>
  <c r="C892" i="10"/>
  <c r="E892" i="10"/>
  <c r="C893" i="10"/>
  <c r="E893" i="10"/>
  <c r="C894" i="10"/>
  <c r="E894" i="10"/>
  <c r="C895" i="10"/>
  <c r="E895" i="10"/>
  <c r="C896" i="10"/>
  <c r="E896" i="10"/>
  <c r="C897" i="10"/>
  <c r="E897" i="10"/>
  <c r="C898" i="10"/>
  <c r="E898" i="10"/>
  <c r="C899" i="10"/>
  <c r="E899" i="10"/>
  <c r="C900" i="10"/>
  <c r="E900" i="10"/>
  <c r="C901" i="10"/>
  <c r="E901" i="10"/>
  <c r="E872" i="10"/>
  <c r="C872" i="10"/>
  <c r="A873" i="10"/>
  <c r="A874" i="10"/>
  <c r="A875" i="10"/>
  <c r="A876" i="10"/>
  <c r="A877" i="10"/>
  <c r="A878" i="10"/>
  <c r="A879" i="10"/>
  <c r="A880" i="10"/>
  <c r="A881" i="10"/>
  <c r="A882" i="10"/>
  <c r="A883" i="10"/>
  <c r="A884" i="10"/>
  <c r="A885" i="10"/>
  <c r="A886" i="10"/>
  <c r="A887" i="10"/>
  <c r="A888" i="10"/>
  <c r="A889" i="10"/>
  <c r="A890" i="10"/>
  <c r="A891" i="10"/>
  <c r="A892" i="10"/>
  <c r="A893" i="10"/>
  <c r="A894" i="10"/>
  <c r="A895" i="10"/>
  <c r="A896" i="10"/>
  <c r="A897" i="10"/>
  <c r="A898" i="10"/>
  <c r="A899" i="10"/>
  <c r="A900" i="10"/>
  <c r="A901" i="10"/>
  <c r="A902" i="10"/>
  <c r="A903" i="10"/>
  <c r="A904" i="10"/>
  <c r="A905" i="10"/>
  <c r="A906" i="10"/>
  <c r="A907" i="10"/>
  <c r="A908" i="10"/>
  <c r="A909" i="10"/>
  <c r="A910" i="10"/>
  <c r="A911" i="10"/>
  <c r="A912" i="10"/>
  <c r="A913" i="10"/>
  <c r="A914" i="10"/>
  <c r="A915" i="10"/>
  <c r="A916" i="10"/>
  <c r="A917" i="10"/>
  <c r="A918" i="10"/>
  <c r="A919" i="10"/>
  <c r="A920" i="10"/>
  <c r="A921" i="10"/>
  <c r="A922" i="10"/>
  <c r="A923" i="10"/>
  <c r="A924" i="10"/>
  <c r="A925" i="10"/>
  <c r="A926" i="10"/>
  <c r="A927" i="10"/>
  <c r="A928" i="10"/>
  <c r="A929" i="10"/>
  <c r="A930" i="10"/>
  <c r="A931" i="10"/>
  <c r="A932" i="10"/>
  <c r="A933" i="10"/>
  <c r="A934" i="10"/>
  <c r="A935" i="10"/>
  <c r="A936" i="10"/>
  <c r="A937" i="10"/>
  <c r="A938" i="10"/>
  <c r="A939" i="10"/>
  <c r="A940" i="10"/>
  <c r="A941" i="10"/>
  <c r="A942" i="10"/>
  <c r="A943" i="10"/>
  <c r="A944" i="10"/>
  <c r="A945" i="10"/>
  <c r="A946" i="10"/>
  <c r="A947" i="10"/>
  <c r="A948" i="10"/>
  <c r="A949" i="10"/>
  <c r="A950" i="10"/>
  <c r="A951" i="10"/>
  <c r="A952" i="10"/>
  <c r="A953" i="10"/>
  <c r="A954" i="10"/>
  <c r="A955" i="10"/>
  <c r="A956" i="10"/>
  <c r="A957" i="10"/>
  <c r="A958" i="10"/>
  <c r="A959" i="10"/>
  <c r="A960" i="10"/>
  <c r="A961" i="10"/>
  <c r="A872" i="10"/>
  <c r="C843" i="10"/>
  <c r="E843" i="10"/>
  <c r="C844" i="10"/>
  <c r="E844" i="10"/>
  <c r="C845" i="10"/>
  <c r="E845" i="10"/>
  <c r="C846" i="10"/>
  <c r="E846" i="10"/>
  <c r="C847" i="10"/>
  <c r="E847" i="10"/>
  <c r="C848" i="10"/>
  <c r="E848" i="10"/>
  <c r="C849" i="10"/>
  <c r="E849" i="10"/>
  <c r="C850" i="10"/>
  <c r="E850" i="10"/>
  <c r="C851" i="10"/>
  <c r="E851" i="10"/>
  <c r="C852" i="10"/>
  <c r="E852" i="10"/>
  <c r="C853" i="10"/>
  <c r="E853" i="10"/>
  <c r="C854" i="10"/>
  <c r="E854" i="10"/>
  <c r="C855" i="10"/>
  <c r="E855" i="10"/>
  <c r="C856" i="10"/>
  <c r="E856" i="10"/>
  <c r="C857" i="10"/>
  <c r="E857" i="10"/>
  <c r="C858" i="10"/>
  <c r="E858" i="10"/>
  <c r="C859" i="10"/>
  <c r="E859" i="10"/>
  <c r="C860" i="10"/>
  <c r="E860" i="10"/>
  <c r="C861" i="10"/>
  <c r="E861" i="10"/>
  <c r="C862" i="10"/>
  <c r="E862" i="10"/>
  <c r="C863" i="10"/>
  <c r="E863" i="10"/>
  <c r="C864" i="10"/>
  <c r="E864" i="10"/>
  <c r="C865" i="10"/>
  <c r="E865" i="10"/>
  <c r="C866" i="10"/>
  <c r="E866" i="10"/>
  <c r="C867" i="10"/>
  <c r="E867" i="10"/>
  <c r="C868" i="10"/>
  <c r="E868" i="10"/>
  <c r="C869" i="10"/>
  <c r="E869" i="10"/>
  <c r="C870" i="10"/>
  <c r="E870" i="10"/>
  <c r="C871" i="10"/>
  <c r="E871" i="10"/>
  <c r="E842" i="10"/>
  <c r="C842" i="10"/>
  <c r="C813" i="10"/>
  <c r="E813" i="10"/>
  <c r="C814" i="10"/>
  <c r="E814" i="10"/>
  <c r="C815" i="10"/>
  <c r="E815" i="10"/>
  <c r="C816" i="10"/>
  <c r="E816" i="10"/>
  <c r="C817" i="10"/>
  <c r="E817" i="10"/>
  <c r="C818" i="10"/>
  <c r="E818" i="10"/>
  <c r="C819" i="10"/>
  <c r="E819" i="10"/>
  <c r="C820" i="10"/>
  <c r="E820" i="10"/>
  <c r="C821" i="10"/>
  <c r="E821" i="10"/>
  <c r="C822" i="10"/>
  <c r="E822" i="10"/>
  <c r="C823" i="10"/>
  <c r="E823" i="10"/>
  <c r="C824" i="10"/>
  <c r="E824" i="10"/>
  <c r="C825" i="10"/>
  <c r="E825" i="10"/>
  <c r="C826" i="10"/>
  <c r="E826" i="10"/>
  <c r="C827" i="10"/>
  <c r="E827" i="10"/>
  <c r="C828" i="10"/>
  <c r="E828" i="10"/>
  <c r="C829" i="10"/>
  <c r="E829" i="10"/>
  <c r="C830" i="10"/>
  <c r="E830" i="10"/>
  <c r="C831" i="10"/>
  <c r="E831" i="10"/>
  <c r="C832" i="10"/>
  <c r="E832" i="10"/>
  <c r="C833" i="10"/>
  <c r="E833" i="10"/>
  <c r="C834" i="10"/>
  <c r="E834" i="10"/>
  <c r="C835" i="10"/>
  <c r="E835" i="10"/>
  <c r="C836" i="10"/>
  <c r="E836" i="10"/>
  <c r="C837" i="10"/>
  <c r="E837" i="10"/>
  <c r="C838" i="10"/>
  <c r="E838" i="10"/>
  <c r="C839" i="10"/>
  <c r="E839" i="10"/>
  <c r="C840" i="10"/>
  <c r="E840" i="10"/>
  <c r="C841" i="10"/>
  <c r="E841" i="10"/>
  <c r="E812" i="10"/>
  <c r="C812" i="10"/>
  <c r="C783" i="10"/>
  <c r="E783" i="10"/>
  <c r="C784" i="10"/>
  <c r="E784" i="10"/>
  <c r="C785" i="10"/>
  <c r="E785" i="10"/>
  <c r="C786" i="10"/>
  <c r="E786" i="10"/>
  <c r="C787" i="10"/>
  <c r="E787" i="10"/>
  <c r="C788" i="10"/>
  <c r="E788" i="10"/>
  <c r="C789" i="10"/>
  <c r="E789" i="10"/>
  <c r="C790" i="10"/>
  <c r="E790" i="10"/>
  <c r="C791" i="10"/>
  <c r="D791" i="10"/>
  <c r="E791" i="10"/>
  <c r="C792" i="10"/>
  <c r="E792" i="10"/>
  <c r="C793" i="10"/>
  <c r="D793" i="10"/>
  <c r="E793" i="10"/>
  <c r="C794" i="10"/>
  <c r="E794" i="10"/>
  <c r="C795" i="10"/>
  <c r="E795" i="10"/>
  <c r="C796" i="10"/>
  <c r="E796" i="10"/>
  <c r="C797" i="10"/>
  <c r="D797" i="10"/>
  <c r="E797" i="10"/>
  <c r="C798" i="10"/>
  <c r="E798" i="10"/>
  <c r="C799" i="10"/>
  <c r="D799" i="10"/>
  <c r="E799" i="10"/>
  <c r="C800" i="10"/>
  <c r="E800" i="10"/>
  <c r="C801" i="10"/>
  <c r="D801" i="10"/>
  <c r="E801" i="10"/>
  <c r="C802" i="10"/>
  <c r="E802" i="10"/>
  <c r="C803" i="10"/>
  <c r="E803" i="10"/>
  <c r="C804" i="10"/>
  <c r="E804" i="10"/>
  <c r="C805" i="10"/>
  <c r="E805" i="10"/>
  <c r="C806" i="10"/>
  <c r="E806" i="10"/>
  <c r="C807" i="10"/>
  <c r="D807" i="10"/>
  <c r="E807" i="10"/>
  <c r="C808" i="10"/>
  <c r="E808" i="10"/>
  <c r="C809" i="10"/>
  <c r="D809" i="10"/>
  <c r="E809" i="10"/>
  <c r="C810" i="10"/>
  <c r="E810" i="10"/>
  <c r="C811" i="10"/>
  <c r="E811" i="10"/>
  <c r="E782" i="10"/>
  <c r="C782" i="10"/>
  <c r="A871" i="10"/>
  <c r="A870" i="10"/>
  <c r="A869" i="10"/>
  <c r="A868" i="10"/>
  <c r="A867" i="10"/>
  <c r="A866" i="10"/>
  <c r="A865" i="10"/>
  <c r="A864" i="10"/>
  <c r="A863" i="10"/>
  <c r="A862" i="10"/>
  <c r="A861" i="10"/>
  <c r="A860" i="10"/>
  <c r="A859" i="10"/>
  <c r="A858" i="10"/>
  <c r="A857" i="10"/>
  <c r="A856" i="10"/>
  <c r="A855" i="10"/>
  <c r="A854" i="10"/>
  <c r="A853" i="10"/>
  <c r="A852" i="10"/>
  <c r="A851" i="10"/>
  <c r="A850" i="10"/>
  <c r="A849" i="10"/>
  <c r="A848" i="10"/>
  <c r="A847" i="10"/>
  <c r="A846" i="10"/>
  <c r="A845" i="10"/>
  <c r="A844" i="10"/>
  <c r="A843" i="10"/>
  <c r="A842" i="10"/>
  <c r="A841" i="10"/>
  <c r="A840" i="10"/>
  <c r="A839" i="10"/>
  <c r="A838" i="10"/>
  <c r="A837" i="10"/>
  <c r="A836" i="10"/>
  <c r="A835" i="10"/>
  <c r="A834" i="10"/>
  <c r="A833" i="10"/>
  <c r="A832" i="10"/>
  <c r="A831" i="10"/>
  <c r="A830" i="10"/>
  <c r="A829" i="10"/>
  <c r="A828" i="10"/>
  <c r="A827" i="10"/>
  <c r="A826" i="10"/>
  <c r="A825" i="10"/>
  <c r="A824" i="10"/>
  <c r="A823" i="10"/>
  <c r="A822" i="10"/>
  <c r="A821" i="10"/>
  <c r="A820" i="10"/>
  <c r="A819" i="10"/>
  <c r="A818" i="10"/>
  <c r="A817" i="10"/>
  <c r="A816" i="10"/>
  <c r="A815" i="10"/>
  <c r="A814" i="10"/>
  <c r="A813" i="10"/>
  <c r="A812" i="10"/>
  <c r="A811" i="10"/>
  <c r="A810" i="10"/>
  <c r="A809" i="10"/>
  <c r="A808" i="10"/>
  <c r="A807" i="10"/>
  <c r="A806" i="10"/>
  <c r="A805" i="10"/>
  <c r="A804" i="10"/>
  <c r="A803" i="10"/>
  <c r="A802" i="10"/>
  <c r="A801" i="10"/>
  <c r="A800" i="10"/>
  <c r="A799" i="10"/>
  <c r="A798" i="10"/>
  <c r="A797" i="10"/>
  <c r="A796" i="10"/>
  <c r="A795" i="10"/>
  <c r="A794" i="10"/>
  <c r="A793" i="10"/>
  <c r="A792" i="10"/>
  <c r="A791" i="10"/>
  <c r="A790" i="10"/>
  <c r="A789" i="10"/>
  <c r="A788" i="10"/>
  <c r="A787" i="10"/>
  <c r="A786" i="10"/>
  <c r="A785" i="10"/>
  <c r="A784" i="10"/>
  <c r="A783" i="10"/>
  <c r="A782" i="10"/>
  <c r="I105" i="12"/>
  <c r="G522" i="10" s="1"/>
  <c r="I108" i="12"/>
  <c r="G525" i="10" s="1"/>
  <c r="Y105" i="12"/>
  <c r="Y108" i="12"/>
  <c r="G625" i="10" s="1"/>
  <c r="I99" i="12"/>
  <c r="G516" i="10" s="1"/>
  <c r="I98" i="12"/>
  <c r="G515" i="10" s="1"/>
  <c r="I104" i="12"/>
  <c r="G521" i="10" s="1"/>
  <c r="Y99" i="12"/>
  <c r="G616" i="10" s="1"/>
  <c r="Y98" i="12"/>
  <c r="G615" i="10" s="1"/>
  <c r="Y104" i="12"/>
  <c r="G621" i="10" s="1"/>
  <c r="I90" i="12"/>
  <c r="I106" i="12"/>
  <c r="G523" i="10" s="1"/>
  <c r="Y90" i="12"/>
  <c r="G607" i="10" s="1"/>
  <c r="Y106" i="12"/>
  <c r="G623" i="10" s="1"/>
  <c r="I107" i="12"/>
  <c r="G524" i="10" s="1"/>
  <c r="Y107" i="12"/>
  <c r="G624" i="10" s="1"/>
  <c r="I96" i="12"/>
  <c r="G513" i="10" s="1"/>
  <c r="Y96" i="12"/>
  <c r="G613" i="10" s="1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297" i="17"/>
  <c r="A162" i="17"/>
  <c r="A161" i="17"/>
  <c r="A160" i="17"/>
  <c r="A159" i="17"/>
  <c r="A158" i="17"/>
  <c r="A157" i="17"/>
  <c r="A156" i="17"/>
  <c r="A155" i="17"/>
  <c r="A154" i="17"/>
  <c r="A153" i="17"/>
  <c r="A152" i="17"/>
  <c r="A151" i="17"/>
  <c r="A150" i="17"/>
  <c r="A149" i="17"/>
  <c r="A148" i="17"/>
  <c r="A147" i="17"/>
  <c r="A146" i="17"/>
  <c r="A145" i="17"/>
  <c r="A144" i="17"/>
  <c r="A143" i="17"/>
  <c r="A142" i="17"/>
  <c r="A141" i="17"/>
  <c r="A140" i="17"/>
  <c r="A139" i="17"/>
  <c r="A138" i="17"/>
  <c r="A137" i="17"/>
  <c r="A136" i="17"/>
  <c r="A135" i="17"/>
  <c r="A134" i="17"/>
  <c r="A13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83" i="17"/>
  <c r="B1748" i="20"/>
  <c r="B1749" i="20" s="1"/>
  <c r="B1750" i="20" s="1"/>
  <c r="B1751" i="20" s="1"/>
  <c r="B1752" i="20" s="1"/>
  <c r="B1753" i="20" s="1"/>
  <c r="D1748" i="20"/>
  <c r="J1748" i="20" s="1"/>
  <c r="J1749" i="20" s="1"/>
  <c r="J1750" i="20" s="1"/>
  <c r="J1751" i="20" s="1"/>
  <c r="J1752" i="20" s="1"/>
  <c r="J1753" i="20" s="1"/>
  <c r="E1748" i="20"/>
  <c r="E1749" i="20" s="1"/>
  <c r="E1750" i="20" s="1"/>
  <c r="E1751" i="20" s="1"/>
  <c r="E1752" i="20" s="1"/>
  <c r="E1753" i="20" s="1"/>
  <c r="G1748" i="20"/>
  <c r="G1749" i="20" s="1"/>
  <c r="G1750" i="20" s="1"/>
  <c r="G1751" i="20" s="1"/>
  <c r="G1752" i="20" s="1"/>
  <c r="G1753" i="20" s="1"/>
  <c r="K1749" i="20"/>
  <c r="K1750" i="20" s="1"/>
  <c r="K1751" i="20" s="1"/>
  <c r="K1752" i="20" s="1"/>
  <c r="K1753" i="20" s="1"/>
  <c r="L1748" i="20"/>
  <c r="L1749" i="20" s="1"/>
  <c r="L1750" i="20" s="1"/>
  <c r="L1751" i="20" s="1"/>
  <c r="L1752" i="20" s="1"/>
  <c r="L1753" i="20" s="1"/>
  <c r="M1749" i="20"/>
  <c r="M1750" i="20" s="1"/>
  <c r="M1751" i="20" s="1"/>
  <c r="M1752" i="20" s="1"/>
  <c r="M1753" i="20" s="1"/>
  <c r="B1754" i="20"/>
  <c r="B1755" i="20" s="1"/>
  <c r="B1756" i="20" s="1"/>
  <c r="B1757" i="20" s="1"/>
  <c r="B1758" i="20" s="1"/>
  <c r="B1759" i="20" s="1"/>
  <c r="D1754" i="20"/>
  <c r="D1755" i="20" s="1"/>
  <c r="D1756" i="20" s="1"/>
  <c r="D1757" i="20" s="1"/>
  <c r="D1758" i="20" s="1"/>
  <c r="D1759" i="20" s="1"/>
  <c r="E1754" i="20"/>
  <c r="E1755" i="20" s="1"/>
  <c r="E1756" i="20" s="1"/>
  <c r="E1757" i="20" s="1"/>
  <c r="E1758" i="20" s="1"/>
  <c r="E1759" i="20" s="1"/>
  <c r="G1754" i="20"/>
  <c r="G1755" i="20" s="1"/>
  <c r="G1756" i="20" s="1"/>
  <c r="G1757" i="20" s="1"/>
  <c r="G1758" i="20" s="1"/>
  <c r="G1759" i="20" s="1"/>
  <c r="K1755" i="20"/>
  <c r="K1756" i="20" s="1"/>
  <c r="K1757" i="20" s="1"/>
  <c r="K1758" i="20" s="1"/>
  <c r="K1759" i="20" s="1"/>
  <c r="L1754" i="20"/>
  <c r="L1755" i="20" s="1"/>
  <c r="L1756" i="20" s="1"/>
  <c r="L1757" i="20" s="1"/>
  <c r="L1758" i="20" s="1"/>
  <c r="L1759" i="20" s="1"/>
  <c r="M1755" i="20"/>
  <c r="M1756" i="20" s="1"/>
  <c r="M1757" i="20" s="1"/>
  <c r="M1758" i="20" s="1"/>
  <c r="M1759" i="20" s="1"/>
  <c r="B1760" i="20"/>
  <c r="B1761" i="20" s="1"/>
  <c r="B1762" i="20" s="1"/>
  <c r="B1763" i="20" s="1"/>
  <c r="B1764" i="20" s="1"/>
  <c r="B1765" i="20" s="1"/>
  <c r="D1760" i="20"/>
  <c r="D1761" i="20" s="1"/>
  <c r="D1762" i="20" s="1"/>
  <c r="D1763" i="20" s="1"/>
  <c r="D1764" i="20" s="1"/>
  <c r="D1765" i="20" s="1"/>
  <c r="E1760" i="20"/>
  <c r="E1761" i="20" s="1"/>
  <c r="E1762" i="20" s="1"/>
  <c r="E1763" i="20" s="1"/>
  <c r="E1764" i="20" s="1"/>
  <c r="E1765" i="20" s="1"/>
  <c r="G1760" i="20"/>
  <c r="G1761" i="20" s="1"/>
  <c r="G1762" i="20" s="1"/>
  <c r="G1763" i="20" s="1"/>
  <c r="G1764" i="20" s="1"/>
  <c r="G1765" i="20" s="1"/>
  <c r="K1761" i="20"/>
  <c r="K1762" i="20" s="1"/>
  <c r="K1763" i="20" s="1"/>
  <c r="K1764" i="20" s="1"/>
  <c r="K1765" i="20" s="1"/>
  <c r="L1760" i="20"/>
  <c r="L1761" i="20" s="1"/>
  <c r="L1762" i="20" s="1"/>
  <c r="L1763" i="20" s="1"/>
  <c r="L1764" i="20" s="1"/>
  <c r="L1765" i="20" s="1"/>
  <c r="M1761" i="20"/>
  <c r="M1762" i="20" s="1"/>
  <c r="M1763" i="20" s="1"/>
  <c r="M1764" i="20" s="1"/>
  <c r="M1765" i="20" s="1"/>
  <c r="B1766" i="20"/>
  <c r="B1767" i="20" s="1"/>
  <c r="B1768" i="20" s="1"/>
  <c r="B1769" i="20" s="1"/>
  <c r="B1770" i="20" s="1"/>
  <c r="B1771" i="20" s="1"/>
  <c r="D1766" i="20"/>
  <c r="J1766" i="20" s="1"/>
  <c r="J1767" i="20" s="1"/>
  <c r="J1768" i="20" s="1"/>
  <c r="J1769" i="20" s="1"/>
  <c r="J1770" i="20" s="1"/>
  <c r="J1771" i="20" s="1"/>
  <c r="E1766" i="20"/>
  <c r="E1767" i="20" s="1"/>
  <c r="E1768" i="20" s="1"/>
  <c r="E1769" i="20" s="1"/>
  <c r="E1770" i="20" s="1"/>
  <c r="E1771" i="20" s="1"/>
  <c r="G1766" i="20"/>
  <c r="G1767" i="20" s="1"/>
  <c r="G1768" i="20" s="1"/>
  <c r="G1769" i="20" s="1"/>
  <c r="G1770" i="20" s="1"/>
  <c r="G1771" i="20" s="1"/>
  <c r="K1767" i="20"/>
  <c r="K1768" i="20" s="1"/>
  <c r="K1769" i="20" s="1"/>
  <c r="K1770" i="20" s="1"/>
  <c r="K1771" i="20" s="1"/>
  <c r="L1767" i="20"/>
  <c r="L1768" i="20" s="1"/>
  <c r="L1769" i="20" s="1"/>
  <c r="L1770" i="20" s="1"/>
  <c r="L1771" i="20" s="1"/>
  <c r="M1767" i="20"/>
  <c r="M1768" i="20" s="1"/>
  <c r="M1769" i="20" s="1"/>
  <c r="M1770" i="20" s="1"/>
  <c r="M1771" i="20" s="1"/>
  <c r="B1772" i="20"/>
  <c r="B1773" i="20" s="1"/>
  <c r="B1774" i="20" s="1"/>
  <c r="B1775" i="20" s="1"/>
  <c r="B1776" i="20" s="1"/>
  <c r="B1777" i="20" s="1"/>
  <c r="D1772" i="20"/>
  <c r="J1772" i="20" s="1"/>
  <c r="J1773" i="20" s="1"/>
  <c r="J1774" i="20" s="1"/>
  <c r="J1775" i="20" s="1"/>
  <c r="J1776" i="20" s="1"/>
  <c r="J1777" i="20" s="1"/>
  <c r="E1772" i="20"/>
  <c r="E1773" i="20" s="1"/>
  <c r="E1774" i="20" s="1"/>
  <c r="E1775" i="20" s="1"/>
  <c r="E1776" i="20" s="1"/>
  <c r="E1777" i="20" s="1"/>
  <c r="G1772" i="20"/>
  <c r="G1773" i="20" s="1"/>
  <c r="G1774" i="20" s="1"/>
  <c r="G1775" i="20" s="1"/>
  <c r="G1776" i="20" s="1"/>
  <c r="G1777" i="20" s="1"/>
  <c r="K1773" i="20"/>
  <c r="K1774" i="20" s="1"/>
  <c r="K1775" i="20" s="1"/>
  <c r="K1776" i="20" s="1"/>
  <c r="K1777" i="20" s="1"/>
  <c r="L1773" i="20"/>
  <c r="L1774" i="20" s="1"/>
  <c r="L1775" i="20" s="1"/>
  <c r="L1776" i="20" s="1"/>
  <c r="L1777" i="20" s="1"/>
  <c r="M1773" i="20"/>
  <c r="M1774" i="20" s="1"/>
  <c r="M1775" i="20" s="1"/>
  <c r="M1776" i="20" s="1"/>
  <c r="M1777" i="20" s="1"/>
  <c r="B1790" i="20"/>
  <c r="B1791" i="20" s="1"/>
  <c r="B1792" i="20" s="1"/>
  <c r="B1793" i="20" s="1"/>
  <c r="B1794" i="20" s="1"/>
  <c r="B1795" i="20" s="1"/>
  <c r="D1790" i="20"/>
  <c r="I1790" i="20" s="1"/>
  <c r="I1791" i="20" s="1"/>
  <c r="I1792" i="20" s="1"/>
  <c r="I1793" i="20" s="1"/>
  <c r="I1794" i="20" s="1"/>
  <c r="I1795" i="20" s="1"/>
  <c r="E1790" i="20"/>
  <c r="E1791" i="20" s="1"/>
  <c r="E1792" i="20" s="1"/>
  <c r="E1793" i="20" s="1"/>
  <c r="E1794" i="20" s="1"/>
  <c r="E1795" i="20" s="1"/>
  <c r="G1790" i="20"/>
  <c r="G1791" i="20" s="1"/>
  <c r="G1792" i="20" s="1"/>
  <c r="G1793" i="20" s="1"/>
  <c r="G1794" i="20" s="1"/>
  <c r="G1795" i="20" s="1"/>
  <c r="K1791" i="20"/>
  <c r="K1792" i="20" s="1"/>
  <c r="K1793" i="20" s="1"/>
  <c r="K1794" i="20" s="1"/>
  <c r="K1795" i="20" s="1"/>
  <c r="L1791" i="20"/>
  <c r="L1792" i="20" s="1"/>
  <c r="L1793" i="20" s="1"/>
  <c r="L1794" i="20" s="1"/>
  <c r="L1795" i="20" s="1"/>
  <c r="M1791" i="20"/>
  <c r="M1792" i="20" s="1"/>
  <c r="M1793" i="20" s="1"/>
  <c r="M1794" i="20" s="1"/>
  <c r="M1795" i="20" s="1"/>
  <c r="B1796" i="20"/>
  <c r="B1797" i="20" s="1"/>
  <c r="B1798" i="20" s="1"/>
  <c r="B1799" i="20" s="1"/>
  <c r="B1800" i="20" s="1"/>
  <c r="B1801" i="20" s="1"/>
  <c r="D1796" i="20"/>
  <c r="E1796" i="20"/>
  <c r="E1797" i="20" s="1"/>
  <c r="E1798" i="20" s="1"/>
  <c r="E1799" i="20" s="1"/>
  <c r="E1800" i="20" s="1"/>
  <c r="E1801" i="20" s="1"/>
  <c r="G1796" i="20"/>
  <c r="G1797" i="20" s="1"/>
  <c r="G1798" i="20" s="1"/>
  <c r="G1799" i="20" s="1"/>
  <c r="G1800" i="20" s="1"/>
  <c r="G1801" i="20" s="1"/>
  <c r="K1797" i="20"/>
  <c r="K1798" i="20" s="1"/>
  <c r="K1799" i="20" s="1"/>
  <c r="K1800" i="20" s="1"/>
  <c r="K1801" i="20" s="1"/>
  <c r="L1797" i="20"/>
  <c r="L1798" i="20" s="1"/>
  <c r="L1799" i="20" s="1"/>
  <c r="L1800" i="20" s="1"/>
  <c r="L1801" i="20" s="1"/>
  <c r="M1797" i="20"/>
  <c r="M1798" i="20" s="1"/>
  <c r="M1799" i="20" s="1"/>
  <c r="M1800" i="20" s="1"/>
  <c r="M1801" i="20" s="1"/>
  <c r="B1802" i="20"/>
  <c r="B1803" i="20" s="1"/>
  <c r="B1804" i="20" s="1"/>
  <c r="B1805" i="20" s="1"/>
  <c r="B1806" i="20" s="1"/>
  <c r="B1807" i="20" s="1"/>
  <c r="D1802" i="20"/>
  <c r="H1802" i="20" s="1"/>
  <c r="H1803" i="20" s="1"/>
  <c r="H1804" i="20" s="1"/>
  <c r="H1805" i="20" s="1"/>
  <c r="H1806" i="20" s="1"/>
  <c r="H1807" i="20" s="1"/>
  <c r="E1802" i="20"/>
  <c r="E1803" i="20" s="1"/>
  <c r="E1804" i="20" s="1"/>
  <c r="E1805" i="20" s="1"/>
  <c r="E1806" i="20" s="1"/>
  <c r="E1807" i="20" s="1"/>
  <c r="G1802" i="20"/>
  <c r="G1803" i="20" s="1"/>
  <c r="G1804" i="20" s="1"/>
  <c r="G1805" i="20" s="1"/>
  <c r="G1806" i="20" s="1"/>
  <c r="G1807" i="20" s="1"/>
  <c r="K1803" i="20"/>
  <c r="K1804" i="20" s="1"/>
  <c r="K1805" i="20" s="1"/>
  <c r="K1806" i="20" s="1"/>
  <c r="K1807" i="20" s="1"/>
  <c r="L1803" i="20"/>
  <c r="L1804" i="20" s="1"/>
  <c r="L1805" i="20" s="1"/>
  <c r="L1806" i="20" s="1"/>
  <c r="L1807" i="20" s="1"/>
  <c r="M1803" i="20"/>
  <c r="M1804" i="20" s="1"/>
  <c r="M1805" i="20" s="1"/>
  <c r="M1806" i="20" s="1"/>
  <c r="M1807" i="20" s="1"/>
  <c r="B1808" i="20"/>
  <c r="B1809" i="20" s="1"/>
  <c r="B1810" i="20" s="1"/>
  <c r="B1811" i="20" s="1"/>
  <c r="B1812" i="20" s="1"/>
  <c r="B1813" i="20" s="1"/>
  <c r="D1808" i="20"/>
  <c r="E1808" i="20"/>
  <c r="E1809" i="20" s="1"/>
  <c r="E1810" i="20" s="1"/>
  <c r="E1811" i="20" s="1"/>
  <c r="E1812" i="20" s="1"/>
  <c r="E1813" i="20" s="1"/>
  <c r="G1808" i="20"/>
  <c r="G1809" i="20" s="1"/>
  <c r="G1810" i="20" s="1"/>
  <c r="G1811" i="20" s="1"/>
  <c r="G1812" i="20" s="1"/>
  <c r="G1813" i="20" s="1"/>
  <c r="K1809" i="20"/>
  <c r="K1810" i="20" s="1"/>
  <c r="K1811" i="20" s="1"/>
  <c r="K1812" i="20" s="1"/>
  <c r="K1813" i="20" s="1"/>
  <c r="L1809" i="20"/>
  <c r="L1810" i="20" s="1"/>
  <c r="L1811" i="20" s="1"/>
  <c r="L1812" i="20" s="1"/>
  <c r="L1813" i="20" s="1"/>
  <c r="M1809" i="20"/>
  <c r="M1810" i="20" s="1"/>
  <c r="M1811" i="20" s="1"/>
  <c r="M1812" i="20" s="1"/>
  <c r="M1813" i="20" s="1"/>
  <c r="B1814" i="20"/>
  <c r="B1815" i="20" s="1"/>
  <c r="B1816" i="20" s="1"/>
  <c r="B1817" i="20" s="1"/>
  <c r="B1818" i="20" s="1"/>
  <c r="B1819" i="20" s="1"/>
  <c r="D1814" i="20"/>
  <c r="D1815" i="20" s="1"/>
  <c r="D1816" i="20" s="1"/>
  <c r="D1817" i="20" s="1"/>
  <c r="D1818" i="20" s="1"/>
  <c r="D1819" i="20" s="1"/>
  <c r="E1814" i="20"/>
  <c r="E1815" i="20" s="1"/>
  <c r="E1816" i="20" s="1"/>
  <c r="E1817" i="20" s="1"/>
  <c r="E1818" i="20" s="1"/>
  <c r="E1819" i="20" s="1"/>
  <c r="G1814" i="20"/>
  <c r="G1815" i="20" s="1"/>
  <c r="G1816" i="20" s="1"/>
  <c r="G1817" i="20" s="1"/>
  <c r="G1818" i="20" s="1"/>
  <c r="G1819" i="20" s="1"/>
  <c r="K1815" i="20"/>
  <c r="K1816" i="20" s="1"/>
  <c r="K1817" i="20" s="1"/>
  <c r="K1818" i="20" s="1"/>
  <c r="K1819" i="20" s="1"/>
  <c r="L1815" i="20"/>
  <c r="L1816" i="20" s="1"/>
  <c r="L1817" i="20" s="1"/>
  <c r="L1818" i="20" s="1"/>
  <c r="L1819" i="20" s="1"/>
  <c r="M1815" i="20"/>
  <c r="M1816" i="20" s="1"/>
  <c r="M1817" i="20" s="1"/>
  <c r="M1818" i="20" s="1"/>
  <c r="M1819" i="20" s="1"/>
  <c r="B1820" i="20"/>
  <c r="B1821" i="20" s="1"/>
  <c r="B1822" i="20" s="1"/>
  <c r="B1823" i="20" s="1"/>
  <c r="B1824" i="20" s="1"/>
  <c r="B1825" i="20" s="1"/>
  <c r="D1820" i="20"/>
  <c r="I1820" i="20" s="1"/>
  <c r="I1821" i="20" s="1"/>
  <c r="I1822" i="20" s="1"/>
  <c r="I1823" i="20" s="1"/>
  <c r="I1824" i="20" s="1"/>
  <c r="I1825" i="20" s="1"/>
  <c r="E1820" i="20"/>
  <c r="E1821" i="20" s="1"/>
  <c r="E1822" i="20" s="1"/>
  <c r="E1823" i="20" s="1"/>
  <c r="E1824" i="20" s="1"/>
  <c r="E1825" i="20" s="1"/>
  <c r="G1820" i="20"/>
  <c r="G1821" i="20" s="1"/>
  <c r="G1822" i="20" s="1"/>
  <c r="G1823" i="20" s="1"/>
  <c r="G1824" i="20" s="1"/>
  <c r="G1825" i="20" s="1"/>
  <c r="K1821" i="20"/>
  <c r="K1822" i="20" s="1"/>
  <c r="K1823" i="20" s="1"/>
  <c r="K1824" i="20" s="1"/>
  <c r="K1825" i="20" s="1"/>
  <c r="L1821" i="20"/>
  <c r="L1822" i="20" s="1"/>
  <c r="L1823" i="20" s="1"/>
  <c r="L1824" i="20" s="1"/>
  <c r="L1825" i="20" s="1"/>
  <c r="M1821" i="20"/>
  <c r="M1822" i="20" s="1"/>
  <c r="M1823" i="20" s="1"/>
  <c r="M1824" i="20" s="1"/>
  <c r="M1825" i="20" s="1"/>
  <c r="B1826" i="20"/>
  <c r="B1827" i="20" s="1"/>
  <c r="B1828" i="20" s="1"/>
  <c r="B1829" i="20" s="1"/>
  <c r="B1830" i="20" s="1"/>
  <c r="B1831" i="20" s="1"/>
  <c r="D1826" i="20"/>
  <c r="J1826" i="20" s="1"/>
  <c r="J1827" i="20" s="1"/>
  <c r="J1828" i="20" s="1"/>
  <c r="J1829" i="20" s="1"/>
  <c r="J1830" i="20" s="1"/>
  <c r="J1831" i="20" s="1"/>
  <c r="E1826" i="20"/>
  <c r="E1827" i="20" s="1"/>
  <c r="E1828" i="20" s="1"/>
  <c r="E1829" i="20" s="1"/>
  <c r="E1830" i="20" s="1"/>
  <c r="E1831" i="20" s="1"/>
  <c r="G1826" i="20"/>
  <c r="G1827" i="20" s="1"/>
  <c r="G1828" i="20" s="1"/>
  <c r="G1829" i="20" s="1"/>
  <c r="G1830" i="20" s="1"/>
  <c r="G1831" i="20" s="1"/>
  <c r="K1827" i="20"/>
  <c r="K1828" i="20" s="1"/>
  <c r="K1829" i="20" s="1"/>
  <c r="K1830" i="20" s="1"/>
  <c r="K1831" i="20" s="1"/>
  <c r="L1827" i="20"/>
  <c r="L1828" i="20" s="1"/>
  <c r="L1829" i="20" s="1"/>
  <c r="L1830" i="20" s="1"/>
  <c r="L1831" i="20" s="1"/>
  <c r="M1827" i="20"/>
  <c r="M1828" i="20" s="1"/>
  <c r="M1829" i="20" s="1"/>
  <c r="M1830" i="20" s="1"/>
  <c r="M1831" i="20" s="1"/>
  <c r="B1832" i="20"/>
  <c r="B1833" i="20" s="1"/>
  <c r="B1834" i="20" s="1"/>
  <c r="B1835" i="20" s="1"/>
  <c r="B1836" i="20" s="1"/>
  <c r="B1837" i="20" s="1"/>
  <c r="D1832" i="20"/>
  <c r="E1832" i="20"/>
  <c r="E1833" i="20" s="1"/>
  <c r="E1834" i="20" s="1"/>
  <c r="E1835" i="20" s="1"/>
  <c r="E1836" i="20" s="1"/>
  <c r="E1837" i="20" s="1"/>
  <c r="G1832" i="20"/>
  <c r="G1833" i="20" s="1"/>
  <c r="G1834" i="20" s="1"/>
  <c r="G1835" i="20" s="1"/>
  <c r="G1836" i="20" s="1"/>
  <c r="G1837" i="20" s="1"/>
  <c r="K1833" i="20"/>
  <c r="K1834" i="20" s="1"/>
  <c r="K1835" i="20" s="1"/>
  <c r="K1836" i="20" s="1"/>
  <c r="K1837" i="20" s="1"/>
  <c r="L1833" i="20"/>
  <c r="L1834" i="20" s="1"/>
  <c r="L1835" i="20" s="1"/>
  <c r="L1836" i="20" s="1"/>
  <c r="L1837" i="20" s="1"/>
  <c r="M1833" i="20"/>
  <c r="M1834" i="20" s="1"/>
  <c r="M1835" i="20" s="1"/>
  <c r="M1836" i="20" s="1"/>
  <c r="M1837" i="20" s="1"/>
  <c r="B1838" i="20"/>
  <c r="B1839" i="20" s="1"/>
  <c r="B1840" i="20" s="1"/>
  <c r="B1841" i="20" s="1"/>
  <c r="B1842" i="20" s="1"/>
  <c r="B1843" i="20" s="1"/>
  <c r="D1838" i="20"/>
  <c r="I1838" i="20" s="1"/>
  <c r="I1839" i="20" s="1"/>
  <c r="I1840" i="20" s="1"/>
  <c r="I1841" i="20" s="1"/>
  <c r="I1842" i="20" s="1"/>
  <c r="I1843" i="20" s="1"/>
  <c r="E1838" i="20"/>
  <c r="E1839" i="20" s="1"/>
  <c r="E1840" i="20" s="1"/>
  <c r="E1841" i="20" s="1"/>
  <c r="E1842" i="20" s="1"/>
  <c r="E1843" i="20" s="1"/>
  <c r="G1838" i="20"/>
  <c r="G1839" i="20" s="1"/>
  <c r="G1840" i="20" s="1"/>
  <c r="G1841" i="20" s="1"/>
  <c r="G1842" i="20" s="1"/>
  <c r="G1843" i="20" s="1"/>
  <c r="K1839" i="20"/>
  <c r="K1840" i="20" s="1"/>
  <c r="K1841" i="20" s="1"/>
  <c r="K1842" i="20" s="1"/>
  <c r="K1843" i="20" s="1"/>
  <c r="L1839" i="20"/>
  <c r="L1840" i="20" s="1"/>
  <c r="L1841" i="20" s="1"/>
  <c r="L1842" i="20" s="1"/>
  <c r="L1843" i="20" s="1"/>
  <c r="M1839" i="20"/>
  <c r="M1840" i="20" s="1"/>
  <c r="M1841" i="20" s="1"/>
  <c r="M1842" i="20" s="1"/>
  <c r="M1843" i="20" s="1"/>
  <c r="B1844" i="20"/>
  <c r="B1845" i="20" s="1"/>
  <c r="B1846" i="20" s="1"/>
  <c r="B1847" i="20" s="1"/>
  <c r="B1848" i="20" s="1"/>
  <c r="B1849" i="20" s="1"/>
  <c r="D1844" i="20"/>
  <c r="J1844" i="20" s="1"/>
  <c r="J1845" i="20" s="1"/>
  <c r="J1846" i="20" s="1"/>
  <c r="J1847" i="20" s="1"/>
  <c r="J1848" i="20" s="1"/>
  <c r="J1849" i="20" s="1"/>
  <c r="E1844" i="20"/>
  <c r="E1845" i="20" s="1"/>
  <c r="E1846" i="20" s="1"/>
  <c r="E1847" i="20" s="1"/>
  <c r="E1848" i="20" s="1"/>
  <c r="E1849" i="20" s="1"/>
  <c r="G1844" i="20"/>
  <c r="G1845" i="20" s="1"/>
  <c r="G1846" i="20" s="1"/>
  <c r="G1847" i="20" s="1"/>
  <c r="G1848" i="20" s="1"/>
  <c r="G1849" i="20" s="1"/>
  <c r="K1845" i="20"/>
  <c r="K1846" i="20" s="1"/>
  <c r="K1847" i="20" s="1"/>
  <c r="K1848" i="20" s="1"/>
  <c r="K1849" i="20" s="1"/>
  <c r="L1845" i="20"/>
  <c r="L1846" i="20" s="1"/>
  <c r="L1847" i="20" s="1"/>
  <c r="L1848" i="20" s="1"/>
  <c r="L1849" i="20" s="1"/>
  <c r="M1845" i="20"/>
  <c r="M1846" i="20" s="1"/>
  <c r="M1847" i="20" s="1"/>
  <c r="M1848" i="20" s="1"/>
  <c r="M1849" i="20" s="1"/>
  <c r="B1850" i="20"/>
  <c r="B1851" i="20" s="1"/>
  <c r="B1852" i="20" s="1"/>
  <c r="B1853" i="20" s="1"/>
  <c r="B1854" i="20" s="1"/>
  <c r="B1855" i="20" s="1"/>
  <c r="D1850" i="20"/>
  <c r="H1850" i="20" s="1"/>
  <c r="H1851" i="20" s="1"/>
  <c r="H1852" i="20" s="1"/>
  <c r="H1853" i="20" s="1"/>
  <c r="H1854" i="20" s="1"/>
  <c r="H1855" i="20" s="1"/>
  <c r="E1850" i="20"/>
  <c r="E1851" i="20" s="1"/>
  <c r="E1852" i="20" s="1"/>
  <c r="E1853" i="20" s="1"/>
  <c r="E1854" i="20" s="1"/>
  <c r="E1855" i="20" s="1"/>
  <c r="G1850" i="20"/>
  <c r="G1851" i="20" s="1"/>
  <c r="G1852" i="20" s="1"/>
  <c r="G1853" i="20" s="1"/>
  <c r="G1854" i="20" s="1"/>
  <c r="G1855" i="20" s="1"/>
  <c r="K1851" i="20"/>
  <c r="K1852" i="20" s="1"/>
  <c r="K1853" i="20" s="1"/>
  <c r="K1854" i="20" s="1"/>
  <c r="K1855" i="20" s="1"/>
  <c r="L1851" i="20"/>
  <c r="L1852" i="20" s="1"/>
  <c r="L1853" i="20" s="1"/>
  <c r="L1854" i="20" s="1"/>
  <c r="L1855" i="20" s="1"/>
  <c r="M1851" i="20"/>
  <c r="M1852" i="20" s="1"/>
  <c r="M1853" i="20" s="1"/>
  <c r="M1854" i="20" s="1"/>
  <c r="M1855" i="20" s="1"/>
  <c r="B1856" i="20"/>
  <c r="B1857" i="20" s="1"/>
  <c r="B1858" i="20" s="1"/>
  <c r="B1859" i="20" s="1"/>
  <c r="B1860" i="20" s="1"/>
  <c r="B1861" i="20" s="1"/>
  <c r="D1856" i="20"/>
  <c r="I1856" i="20" s="1"/>
  <c r="I1857" i="20" s="1"/>
  <c r="I1858" i="20" s="1"/>
  <c r="I1859" i="20" s="1"/>
  <c r="I1860" i="20" s="1"/>
  <c r="I1861" i="20" s="1"/>
  <c r="E1856" i="20"/>
  <c r="E1857" i="20" s="1"/>
  <c r="E1858" i="20" s="1"/>
  <c r="E1859" i="20" s="1"/>
  <c r="E1860" i="20" s="1"/>
  <c r="E1861" i="20" s="1"/>
  <c r="G1856" i="20"/>
  <c r="G1857" i="20" s="1"/>
  <c r="G1858" i="20" s="1"/>
  <c r="G1859" i="20" s="1"/>
  <c r="G1860" i="20" s="1"/>
  <c r="G1861" i="20" s="1"/>
  <c r="K1857" i="20"/>
  <c r="K1858" i="20" s="1"/>
  <c r="K1859" i="20" s="1"/>
  <c r="K1860" i="20" s="1"/>
  <c r="K1861" i="20" s="1"/>
  <c r="L1857" i="20"/>
  <c r="L1858" i="20" s="1"/>
  <c r="L1859" i="20" s="1"/>
  <c r="L1860" i="20" s="1"/>
  <c r="L1861" i="20" s="1"/>
  <c r="M1857" i="20"/>
  <c r="M1858" i="20" s="1"/>
  <c r="M1859" i="20" s="1"/>
  <c r="M1860" i="20" s="1"/>
  <c r="M1861" i="20" s="1"/>
  <c r="B1862" i="20"/>
  <c r="B1863" i="20" s="1"/>
  <c r="B1864" i="20" s="1"/>
  <c r="B1865" i="20" s="1"/>
  <c r="B1866" i="20" s="1"/>
  <c r="B1867" i="20" s="1"/>
  <c r="D1862" i="20"/>
  <c r="J1862" i="20" s="1"/>
  <c r="J1863" i="20" s="1"/>
  <c r="J1864" i="20" s="1"/>
  <c r="J1865" i="20" s="1"/>
  <c r="J1866" i="20" s="1"/>
  <c r="J1867" i="20" s="1"/>
  <c r="E1862" i="20"/>
  <c r="E1863" i="20" s="1"/>
  <c r="E1864" i="20" s="1"/>
  <c r="E1865" i="20" s="1"/>
  <c r="E1866" i="20" s="1"/>
  <c r="E1867" i="20" s="1"/>
  <c r="G1862" i="20"/>
  <c r="G1863" i="20" s="1"/>
  <c r="G1864" i="20" s="1"/>
  <c r="G1865" i="20" s="1"/>
  <c r="G1866" i="20" s="1"/>
  <c r="G1867" i="20" s="1"/>
  <c r="K1863" i="20"/>
  <c r="K1864" i="20" s="1"/>
  <c r="K1865" i="20" s="1"/>
  <c r="K1866" i="20" s="1"/>
  <c r="K1867" i="20" s="1"/>
  <c r="L1863" i="20"/>
  <c r="L1864" i="20" s="1"/>
  <c r="L1865" i="20" s="1"/>
  <c r="L1866" i="20" s="1"/>
  <c r="L1867" i="20" s="1"/>
  <c r="M1863" i="20"/>
  <c r="M1864" i="20" s="1"/>
  <c r="M1865" i="20" s="1"/>
  <c r="M1866" i="20" s="1"/>
  <c r="M1867" i="20" s="1"/>
  <c r="B1868" i="20"/>
  <c r="B1869" i="20" s="1"/>
  <c r="B1870" i="20" s="1"/>
  <c r="B1871" i="20" s="1"/>
  <c r="B1872" i="20" s="1"/>
  <c r="B1873" i="20" s="1"/>
  <c r="D1868" i="20"/>
  <c r="H1868" i="20" s="1"/>
  <c r="H1869" i="20" s="1"/>
  <c r="H1870" i="20" s="1"/>
  <c r="H1871" i="20" s="1"/>
  <c r="H1872" i="20" s="1"/>
  <c r="H1873" i="20" s="1"/>
  <c r="E1868" i="20"/>
  <c r="E1869" i="20" s="1"/>
  <c r="E1870" i="20" s="1"/>
  <c r="E1871" i="20" s="1"/>
  <c r="E1872" i="20" s="1"/>
  <c r="E1873" i="20" s="1"/>
  <c r="G1868" i="20"/>
  <c r="G1869" i="20" s="1"/>
  <c r="G1870" i="20" s="1"/>
  <c r="G1871" i="20" s="1"/>
  <c r="G1872" i="20" s="1"/>
  <c r="G1873" i="20" s="1"/>
  <c r="K1869" i="20"/>
  <c r="K1870" i="20" s="1"/>
  <c r="K1871" i="20" s="1"/>
  <c r="K1872" i="20" s="1"/>
  <c r="K1873" i="20" s="1"/>
  <c r="L1869" i="20"/>
  <c r="L1870" i="20" s="1"/>
  <c r="L1871" i="20" s="1"/>
  <c r="L1872" i="20" s="1"/>
  <c r="L1873" i="20" s="1"/>
  <c r="M1869" i="20"/>
  <c r="M1870" i="20" s="1"/>
  <c r="M1871" i="20" s="1"/>
  <c r="M1872" i="20" s="1"/>
  <c r="M1873" i="20" s="1"/>
  <c r="B1874" i="20"/>
  <c r="B1875" i="20" s="1"/>
  <c r="B1876" i="20" s="1"/>
  <c r="B1877" i="20" s="1"/>
  <c r="B1878" i="20" s="1"/>
  <c r="B1879" i="20" s="1"/>
  <c r="D1874" i="20"/>
  <c r="D1875" i="20" s="1"/>
  <c r="D1876" i="20" s="1"/>
  <c r="D1877" i="20" s="1"/>
  <c r="D1878" i="20" s="1"/>
  <c r="D1879" i="20" s="1"/>
  <c r="E1874" i="20"/>
  <c r="E1875" i="20" s="1"/>
  <c r="E1876" i="20" s="1"/>
  <c r="E1877" i="20" s="1"/>
  <c r="E1878" i="20" s="1"/>
  <c r="E1879" i="20" s="1"/>
  <c r="G1874" i="20"/>
  <c r="G1875" i="20" s="1"/>
  <c r="G1876" i="20" s="1"/>
  <c r="G1877" i="20" s="1"/>
  <c r="G1878" i="20" s="1"/>
  <c r="G1879" i="20" s="1"/>
  <c r="K1875" i="20"/>
  <c r="K1876" i="20" s="1"/>
  <c r="K1877" i="20" s="1"/>
  <c r="K1878" i="20" s="1"/>
  <c r="K1879" i="20" s="1"/>
  <c r="L1875" i="20"/>
  <c r="L1876" i="20" s="1"/>
  <c r="L1877" i="20" s="1"/>
  <c r="L1878" i="20" s="1"/>
  <c r="L1879" i="20" s="1"/>
  <c r="M1875" i="20"/>
  <c r="M1876" i="20" s="1"/>
  <c r="M1877" i="20" s="1"/>
  <c r="M1878" i="20" s="1"/>
  <c r="M1879" i="20" s="1"/>
  <c r="B1880" i="20"/>
  <c r="B1881" i="20" s="1"/>
  <c r="B1882" i="20" s="1"/>
  <c r="B1883" i="20" s="1"/>
  <c r="B1884" i="20" s="1"/>
  <c r="B1885" i="20" s="1"/>
  <c r="D1880" i="20"/>
  <c r="J1880" i="20" s="1"/>
  <c r="J1881" i="20" s="1"/>
  <c r="J1882" i="20" s="1"/>
  <c r="J1883" i="20" s="1"/>
  <c r="J1884" i="20" s="1"/>
  <c r="J1885" i="20" s="1"/>
  <c r="E1880" i="20"/>
  <c r="E1881" i="20" s="1"/>
  <c r="E1882" i="20" s="1"/>
  <c r="E1883" i="20" s="1"/>
  <c r="E1884" i="20" s="1"/>
  <c r="E1885" i="20" s="1"/>
  <c r="G1880" i="20"/>
  <c r="G1881" i="20" s="1"/>
  <c r="G1882" i="20" s="1"/>
  <c r="G1883" i="20" s="1"/>
  <c r="G1884" i="20" s="1"/>
  <c r="G1885" i="20" s="1"/>
  <c r="K1881" i="20"/>
  <c r="K1882" i="20" s="1"/>
  <c r="K1883" i="20" s="1"/>
  <c r="K1884" i="20" s="1"/>
  <c r="K1885" i="20" s="1"/>
  <c r="L1881" i="20"/>
  <c r="L1882" i="20" s="1"/>
  <c r="L1883" i="20" s="1"/>
  <c r="L1884" i="20" s="1"/>
  <c r="L1885" i="20" s="1"/>
  <c r="M1881" i="20"/>
  <c r="M1882" i="20" s="1"/>
  <c r="M1883" i="20" s="1"/>
  <c r="M1884" i="20" s="1"/>
  <c r="M1885" i="20" s="1"/>
  <c r="B1886" i="20"/>
  <c r="B1887" i="20" s="1"/>
  <c r="B1888" i="20" s="1"/>
  <c r="B1889" i="20" s="1"/>
  <c r="B1890" i="20" s="1"/>
  <c r="B1891" i="20" s="1"/>
  <c r="D1886" i="20"/>
  <c r="H1886" i="20" s="1"/>
  <c r="H1887" i="20" s="1"/>
  <c r="H1888" i="20" s="1"/>
  <c r="H1889" i="20" s="1"/>
  <c r="H1890" i="20" s="1"/>
  <c r="H1891" i="20" s="1"/>
  <c r="E1886" i="20"/>
  <c r="E1887" i="20" s="1"/>
  <c r="E1888" i="20" s="1"/>
  <c r="E1889" i="20" s="1"/>
  <c r="E1890" i="20" s="1"/>
  <c r="E1891" i="20" s="1"/>
  <c r="G1886" i="20"/>
  <c r="G1887" i="20" s="1"/>
  <c r="G1888" i="20" s="1"/>
  <c r="G1889" i="20" s="1"/>
  <c r="G1890" i="20" s="1"/>
  <c r="G1891" i="20" s="1"/>
  <c r="K1887" i="20"/>
  <c r="K1888" i="20" s="1"/>
  <c r="K1889" i="20" s="1"/>
  <c r="K1890" i="20" s="1"/>
  <c r="K1891" i="20" s="1"/>
  <c r="L1887" i="20"/>
  <c r="L1888" i="20" s="1"/>
  <c r="L1889" i="20" s="1"/>
  <c r="L1890" i="20" s="1"/>
  <c r="L1891" i="20" s="1"/>
  <c r="M1887" i="20"/>
  <c r="M1888" i="20" s="1"/>
  <c r="M1889" i="20" s="1"/>
  <c r="M1890" i="20" s="1"/>
  <c r="M1891" i="20" s="1"/>
  <c r="B1892" i="20"/>
  <c r="B1893" i="20" s="1"/>
  <c r="B1894" i="20" s="1"/>
  <c r="B1895" i="20" s="1"/>
  <c r="B1896" i="20" s="1"/>
  <c r="B1897" i="20" s="1"/>
  <c r="D1892" i="20"/>
  <c r="D1893" i="20" s="1"/>
  <c r="D1894" i="20" s="1"/>
  <c r="D1895" i="20" s="1"/>
  <c r="D1896" i="20" s="1"/>
  <c r="D1897" i="20" s="1"/>
  <c r="E1892" i="20"/>
  <c r="E1893" i="20" s="1"/>
  <c r="E1894" i="20" s="1"/>
  <c r="E1895" i="20" s="1"/>
  <c r="E1896" i="20" s="1"/>
  <c r="E1897" i="20" s="1"/>
  <c r="G1892" i="20"/>
  <c r="G1893" i="20" s="1"/>
  <c r="G1894" i="20" s="1"/>
  <c r="G1895" i="20" s="1"/>
  <c r="G1896" i="20" s="1"/>
  <c r="G1897" i="20" s="1"/>
  <c r="K1893" i="20"/>
  <c r="K1894" i="20" s="1"/>
  <c r="K1895" i="20" s="1"/>
  <c r="K1896" i="20" s="1"/>
  <c r="K1897" i="20" s="1"/>
  <c r="L1893" i="20"/>
  <c r="L1894" i="20" s="1"/>
  <c r="L1895" i="20" s="1"/>
  <c r="L1896" i="20" s="1"/>
  <c r="L1897" i="20" s="1"/>
  <c r="M1893" i="20"/>
  <c r="M1894" i="20" s="1"/>
  <c r="M1895" i="20" s="1"/>
  <c r="M1896" i="20" s="1"/>
  <c r="M1897" i="20" s="1"/>
  <c r="B1898" i="20"/>
  <c r="B1899" i="20" s="1"/>
  <c r="B1900" i="20" s="1"/>
  <c r="B1901" i="20" s="1"/>
  <c r="B1902" i="20" s="1"/>
  <c r="B1903" i="20" s="1"/>
  <c r="D1898" i="20"/>
  <c r="E1898" i="20"/>
  <c r="E1899" i="20" s="1"/>
  <c r="E1900" i="20" s="1"/>
  <c r="E1901" i="20" s="1"/>
  <c r="E1902" i="20" s="1"/>
  <c r="E1903" i="20" s="1"/>
  <c r="G1898" i="20"/>
  <c r="G1899" i="20" s="1"/>
  <c r="G1900" i="20" s="1"/>
  <c r="G1901" i="20" s="1"/>
  <c r="G1902" i="20" s="1"/>
  <c r="G1903" i="20" s="1"/>
  <c r="K1899" i="20"/>
  <c r="K1900" i="20" s="1"/>
  <c r="K1901" i="20" s="1"/>
  <c r="K1902" i="20" s="1"/>
  <c r="K1903" i="20" s="1"/>
  <c r="L1899" i="20"/>
  <c r="L1900" i="20" s="1"/>
  <c r="L1901" i="20" s="1"/>
  <c r="L1902" i="20" s="1"/>
  <c r="L1903" i="20" s="1"/>
  <c r="M1899" i="20"/>
  <c r="M1900" i="20" s="1"/>
  <c r="M1901" i="20" s="1"/>
  <c r="M1902" i="20" s="1"/>
  <c r="M1903" i="20" s="1"/>
  <c r="B1904" i="20"/>
  <c r="B1905" i="20" s="1"/>
  <c r="B1906" i="20" s="1"/>
  <c r="B1907" i="20" s="1"/>
  <c r="B1908" i="20" s="1"/>
  <c r="B1909" i="20" s="1"/>
  <c r="D1904" i="20"/>
  <c r="D1905" i="20" s="1"/>
  <c r="D1906" i="20" s="1"/>
  <c r="D1907" i="20" s="1"/>
  <c r="D1908" i="20" s="1"/>
  <c r="D1909" i="20" s="1"/>
  <c r="E1904" i="20"/>
  <c r="E1905" i="20" s="1"/>
  <c r="E1906" i="20" s="1"/>
  <c r="E1907" i="20" s="1"/>
  <c r="E1908" i="20" s="1"/>
  <c r="E1909" i="20" s="1"/>
  <c r="G1904" i="20"/>
  <c r="G1905" i="20" s="1"/>
  <c r="G1906" i="20" s="1"/>
  <c r="G1907" i="20" s="1"/>
  <c r="G1908" i="20" s="1"/>
  <c r="G1909" i="20" s="1"/>
  <c r="K1905" i="20"/>
  <c r="K1906" i="20" s="1"/>
  <c r="K1907" i="20" s="1"/>
  <c r="K1908" i="20" s="1"/>
  <c r="K1909" i="20" s="1"/>
  <c r="L1905" i="20"/>
  <c r="L1906" i="20" s="1"/>
  <c r="L1907" i="20" s="1"/>
  <c r="L1908" i="20" s="1"/>
  <c r="L1909" i="20" s="1"/>
  <c r="M1905" i="20"/>
  <c r="M1906" i="20" s="1"/>
  <c r="M1907" i="20" s="1"/>
  <c r="M1908" i="20" s="1"/>
  <c r="M1909" i="20" s="1"/>
  <c r="B1910" i="20"/>
  <c r="B1911" i="20" s="1"/>
  <c r="B1912" i="20" s="1"/>
  <c r="B1913" i="20" s="1"/>
  <c r="B1914" i="20" s="1"/>
  <c r="B1915" i="20" s="1"/>
  <c r="D1910" i="20"/>
  <c r="H1910" i="20" s="1"/>
  <c r="H1911" i="20" s="1"/>
  <c r="H1912" i="20" s="1"/>
  <c r="H1913" i="20" s="1"/>
  <c r="H1914" i="20" s="1"/>
  <c r="H1915" i="20" s="1"/>
  <c r="E1910" i="20"/>
  <c r="E1911" i="20" s="1"/>
  <c r="E1912" i="20" s="1"/>
  <c r="E1913" i="20" s="1"/>
  <c r="E1914" i="20" s="1"/>
  <c r="E1915" i="20" s="1"/>
  <c r="G1910" i="20"/>
  <c r="G1911" i="20" s="1"/>
  <c r="G1912" i="20" s="1"/>
  <c r="G1913" i="20" s="1"/>
  <c r="G1914" i="20" s="1"/>
  <c r="G1915" i="20" s="1"/>
  <c r="K1911" i="20"/>
  <c r="K1912" i="20" s="1"/>
  <c r="K1913" i="20" s="1"/>
  <c r="K1914" i="20" s="1"/>
  <c r="K1915" i="20" s="1"/>
  <c r="L1911" i="20"/>
  <c r="L1912" i="20" s="1"/>
  <c r="L1913" i="20" s="1"/>
  <c r="L1914" i="20" s="1"/>
  <c r="L1915" i="20" s="1"/>
  <c r="M1911" i="20"/>
  <c r="M1912" i="20" s="1"/>
  <c r="M1913" i="20" s="1"/>
  <c r="M1914" i="20" s="1"/>
  <c r="M1915" i="20" s="1"/>
  <c r="B1916" i="20"/>
  <c r="B1917" i="20" s="1"/>
  <c r="B1918" i="20" s="1"/>
  <c r="B1919" i="20" s="1"/>
  <c r="B1920" i="20" s="1"/>
  <c r="B1921" i="20" s="1"/>
  <c r="D1916" i="20"/>
  <c r="J1916" i="20" s="1"/>
  <c r="J1917" i="20" s="1"/>
  <c r="J1918" i="20" s="1"/>
  <c r="J1919" i="20" s="1"/>
  <c r="J1920" i="20" s="1"/>
  <c r="J1921" i="20" s="1"/>
  <c r="E1916" i="20"/>
  <c r="E1917" i="20" s="1"/>
  <c r="E1918" i="20" s="1"/>
  <c r="E1919" i="20" s="1"/>
  <c r="E1920" i="20" s="1"/>
  <c r="E1921" i="20" s="1"/>
  <c r="G1916" i="20"/>
  <c r="G1917" i="20" s="1"/>
  <c r="G1918" i="20" s="1"/>
  <c r="G1919" i="20" s="1"/>
  <c r="G1920" i="20" s="1"/>
  <c r="G1921" i="20" s="1"/>
  <c r="K1917" i="20"/>
  <c r="K1918" i="20" s="1"/>
  <c r="K1919" i="20" s="1"/>
  <c r="K1920" i="20" s="1"/>
  <c r="K1921" i="20" s="1"/>
  <c r="L1917" i="20"/>
  <c r="L1918" i="20" s="1"/>
  <c r="L1919" i="20" s="1"/>
  <c r="L1920" i="20" s="1"/>
  <c r="L1921" i="20" s="1"/>
  <c r="M1917" i="20"/>
  <c r="M1918" i="20" s="1"/>
  <c r="M1919" i="20" s="1"/>
  <c r="M1920" i="20" s="1"/>
  <c r="M1921" i="20" s="1"/>
  <c r="N1924" i="20"/>
  <c r="N1926" i="20" s="1"/>
  <c r="N1928" i="20" s="1"/>
  <c r="N1930" i="20" s="1"/>
  <c r="N1932" i="20" s="1"/>
  <c r="N1934" i="20" s="1"/>
  <c r="N1936" i="20" s="1"/>
  <c r="N1938" i="20" s="1"/>
  <c r="N1940" i="20" s="1"/>
  <c r="N1942" i="20" s="1"/>
  <c r="N1944" i="20" s="1"/>
  <c r="N1946" i="20" s="1"/>
  <c r="N1948" i="20" s="1"/>
  <c r="N1950" i="20" s="1"/>
  <c r="N1952" i="20" s="1"/>
  <c r="N1954" i="20" s="1"/>
  <c r="N1956" i="20" s="1"/>
  <c r="N1958" i="20" s="1"/>
  <c r="N1960" i="20" s="1"/>
  <c r="N1962" i="20" s="1"/>
  <c r="N1964" i="20" s="1"/>
  <c r="N1966" i="20" s="1"/>
  <c r="N1968" i="20" s="1"/>
  <c r="N1970" i="20" s="1"/>
  <c r="N1972" i="20" s="1"/>
  <c r="N1974" i="20" s="1"/>
  <c r="N1976" i="20" s="1"/>
  <c r="N1978" i="20" s="1"/>
  <c r="N1980" i="20" s="1"/>
  <c r="N1982" i="20" s="1"/>
  <c r="N1984" i="20" s="1"/>
  <c r="N1986" i="20" s="1"/>
  <c r="N1988" i="20" s="1"/>
  <c r="N1990" i="20" s="1"/>
  <c r="N1992" i="20" s="1"/>
  <c r="N1994" i="20" s="1"/>
  <c r="N1996" i="20" s="1"/>
  <c r="N1998" i="20" s="1"/>
  <c r="N2000" i="20" s="1"/>
  <c r="N2002" i="20" s="1"/>
  <c r="N2004" i="20" s="1"/>
  <c r="N2006" i="20" s="1"/>
  <c r="N2008" i="20" s="1"/>
  <c r="N2010" i="20" s="1"/>
  <c r="N2012" i="20" s="1"/>
  <c r="N2014" i="20" s="1"/>
  <c r="N2016" i="20" s="1"/>
  <c r="N2018" i="20" s="1"/>
  <c r="N2020" i="20" s="1"/>
  <c r="N1923" i="20" s="1"/>
  <c r="N1925" i="20" s="1"/>
  <c r="N1927" i="20" s="1"/>
  <c r="N1929" i="20" s="1"/>
  <c r="N1931" i="20" s="1"/>
  <c r="N1933" i="20" s="1"/>
  <c r="N1935" i="20" s="1"/>
  <c r="N1937" i="20" s="1"/>
  <c r="N1939" i="20" s="1"/>
  <c r="N1941" i="20" s="1"/>
  <c r="N1943" i="20" s="1"/>
  <c r="N1945" i="20" s="1"/>
  <c r="N1947" i="20" s="1"/>
  <c r="N1949" i="20" s="1"/>
  <c r="N1951" i="20" s="1"/>
  <c r="N1953" i="20" s="1"/>
  <c r="N1955" i="20" s="1"/>
  <c r="N1957" i="20" s="1"/>
  <c r="N1959" i="20" s="1"/>
  <c r="N1961" i="20" s="1"/>
  <c r="N1963" i="20" s="1"/>
  <c r="N1965" i="20" s="1"/>
  <c r="N1967" i="20" s="1"/>
  <c r="N1969" i="20" s="1"/>
  <c r="N1971" i="20" s="1"/>
  <c r="N1973" i="20" s="1"/>
  <c r="N1975" i="20" s="1"/>
  <c r="N1977" i="20" s="1"/>
  <c r="N1979" i="20" s="1"/>
  <c r="N1981" i="20" s="1"/>
  <c r="N1983" i="20" s="1"/>
  <c r="N1985" i="20" s="1"/>
  <c r="N1987" i="20" s="1"/>
  <c r="N1989" i="20" s="1"/>
  <c r="N1991" i="20" s="1"/>
  <c r="N1993" i="20" s="1"/>
  <c r="N1995" i="20" s="1"/>
  <c r="N1997" i="20" s="1"/>
  <c r="N1999" i="20" s="1"/>
  <c r="N2001" i="20" s="1"/>
  <c r="N2003" i="20" s="1"/>
  <c r="N2005" i="20" s="1"/>
  <c r="N2007" i="20" s="1"/>
  <c r="N2009" i="20" s="1"/>
  <c r="N2011" i="20" s="1"/>
  <c r="N2013" i="20" s="1"/>
  <c r="N2015" i="20" s="1"/>
  <c r="N2017" i="20" s="1"/>
  <c r="N2019" i="20" s="1"/>
  <c r="N2021" i="20" s="1"/>
  <c r="N2022" i="20" s="1"/>
  <c r="N2024" i="20" s="1"/>
  <c r="O1917" i="20"/>
  <c r="L1743" i="20"/>
  <c r="L1744" i="20" s="1"/>
  <c r="L1745" i="20" s="1"/>
  <c r="L1746" i="20" s="1"/>
  <c r="L1747" i="20" s="1"/>
  <c r="K1743" i="20"/>
  <c r="K1744" i="20" s="1"/>
  <c r="K1745" i="20" s="1"/>
  <c r="K1746" i="20" s="1"/>
  <c r="K1747" i="20" s="1"/>
  <c r="G1742" i="20"/>
  <c r="G1743" i="20" s="1"/>
  <c r="G1744" i="20" s="1"/>
  <c r="G1745" i="20" s="1"/>
  <c r="G1746" i="20" s="1"/>
  <c r="G1747" i="20" s="1"/>
  <c r="E1742" i="20"/>
  <c r="E1743" i="20" s="1"/>
  <c r="E1744" i="20" s="1"/>
  <c r="E1745" i="20" s="1"/>
  <c r="E1746" i="20" s="1"/>
  <c r="E1747" i="20" s="1"/>
  <c r="D1742" i="20"/>
  <c r="B1742" i="20"/>
  <c r="B1743" i="20" s="1"/>
  <c r="B1744" i="20" s="1"/>
  <c r="B1745" i="20" s="1"/>
  <c r="B1746" i="20" s="1"/>
  <c r="B1747" i="20" s="1"/>
  <c r="M1743" i="20"/>
  <c r="M1744" i="20" s="1"/>
  <c r="M1745" i="20" s="1"/>
  <c r="M1746" i="20" s="1"/>
  <c r="M1747" i="20" s="1"/>
  <c r="K958" i="20"/>
  <c r="K959" i="20" s="1"/>
  <c r="K960" i="20" s="1"/>
  <c r="K961" i="20" s="1"/>
  <c r="G956" i="20"/>
  <c r="E956" i="20"/>
  <c r="D956" i="20"/>
  <c r="K951" i="20"/>
  <c r="K952" i="20" s="1"/>
  <c r="K953" i="20" s="1"/>
  <c r="K954" i="20" s="1"/>
  <c r="K955" i="20" s="1"/>
  <c r="G950" i="20"/>
  <c r="G951" i="20" s="1"/>
  <c r="G952" i="20" s="1"/>
  <c r="G953" i="20" s="1"/>
  <c r="G954" i="20" s="1"/>
  <c r="G955" i="20" s="1"/>
  <c r="E950" i="20"/>
  <c r="E951" i="20" s="1"/>
  <c r="E952" i="20" s="1"/>
  <c r="E953" i="20" s="1"/>
  <c r="E954" i="20" s="1"/>
  <c r="E955" i="20" s="1"/>
  <c r="D950" i="20"/>
  <c r="K945" i="20"/>
  <c r="K946" i="20" s="1"/>
  <c r="K947" i="20" s="1"/>
  <c r="K948" i="20" s="1"/>
  <c r="K949" i="20" s="1"/>
  <c r="G944" i="20"/>
  <c r="G945" i="20" s="1"/>
  <c r="G946" i="20" s="1"/>
  <c r="G947" i="20" s="1"/>
  <c r="G948" i="20" s="1"/>
  <c r="G949" i="20" s="1"/>
  <c r="E944" i="20"/>
  <c r="E945" i="20" s="1"/>
  <c r="E946" i="20" s="1"/>
  <c r="E947" i="20" s="1"/>
  <c r="E948" i="20" s="1"/>
  <c r="E949" i="20" s="1"/>
  <c r="D944" i="20"/>
  <c r="K939" i="20"/>
  <c r="K940" i="20" s="1"/>
  <c r="K941" i="20" s="1"/>
  <c r="K942" i="20" s="1"/>
  <c r="K943" i="20" s="1"/>
  <c r="G938" i="20"/>
  <c r="G939" i="20" s="1"/>
  <c r="G940" i="20" s="1"/>
  <c r="G941" i="20" s="1"/>
  <c r="G942" i="20" s="1"/>
  <c r="G943" i="20" s="1"/>
  <c r="E938" i="20"/>
  <c r="E939" i="20" s="1"/>
  <c r="E940" i="20" s="1"/>
  <c r="E941" i="20" s="1"/>
  <c r="E942" i="20" s="1"/>
  <c r="E943" i="20" s="1"/>
  <c r="D938" i="20"/>
  <c r="K933" i="20"/>
  <c r="K934" i="20" s="1"/>
  <c r="K935" i="20" s="1"/>
  <c r="K936" i="20" s="1"/>
  <c r="K937" i="20" s="1"/>
  <c r="G932" i="20"/>
  <c r="G933" i="20" s="1"/>
  <c r="G934" i="20" s="1"/>
  <c r="G935" i="20" s="1"/>
  <c r="G936" i="20" s="1"/>
  <c r="G937" i="20" s="1"/>
  <c r="E932" i="20"/>
  <c r="E933" i="20" s="1"/>
  <c r="E934" i="20" s="1"/>
  <c r="E935" i="20" s="1"/>
  <c r="E936" i="20" s="1"/>
  <c r="E937" i="20" s="1"/>
  <c r="D932" i="20"/>
  <c r="D933" i="20" s="1"/>
  <c r="D934" i="20" s="1"/>
  <c r="D935" i="20" s="1"/>
  <c r="D936" i="20" s="1"/>
  <c r="D937" i="20" s="1"/>
  <c r="K927" i="20"/>
  <c r="K928" i="20" s="1"/>
  <c r="K929" i="20" s="1"/>
  <c r="K930" i="20" s="1"/>
  <c r="K931" i="20" s="1"/>
  <c r="G926" i="20"/>
  <c r="G927" i="20" s="1"/>
  <c r="G928" i="20" s="1"/>
  <c r="G929" i="20" s="1"/>
  <c r="G930" i="20" s="1"/>
  <c r="G931" i="20" s="1"/>
  <c r="E926" i="20"/>
  <c r="E927" i="20" s="1"/>
  <c r="E928" i="20" s="1"/>
  <c r="E929" i="20" s="1"/>
  <c r="E930" i="20" s="1"/>
  <c r="E931" i="20" s="1"/>
  <c r="D926" i="20"/>
  <c r="D927" i="20" s="1"/>
  <c r="D928" i="20" s="1"/>
  <c r="D929" i="20" s="1"/>
  <c r="D930" i="20" s="1"/>
  <c r="D931" i="20" s="1"/>
  <c r="K921" i="20"/>
  <c r="K922" i="20" s="1"/>
  <c r="K923" i="20" s="1"/>
  <c r="K924" i="20" s="1"/>
  <c r="K925" i="20" s="1"/>
  <c r="G920" i="20"/>
  <c r="G921" i="20" s="1"/>
  <c r="G922" i="20" s="1"/>
  <c r="G923" i="20" s="1"/>
  <c r="G924" i="20" s="1"/>
  <c r="G925" i="20" s="1"/>
  <c r="E920" i="20"/>
  <c r="E921" i="20" s="1"/>
  <c r="E922" i="20" s="1"/>
  <c r="E923" i="20" s="1"/>
  <c r="E924" i="20" s="1"/>
  <c r="E925" i="20" s="1"/>
  <c r="D920" i="20"/>
  <c r="K915" i="20"/>
  <c r="K916" i="20" s="1"/>
  <c r="K917" i="20" s="1"/>
  <c r="K918" i="20" s="1"/>
  <c r="K919" i="20" s="1"/>
  <c r="G914" i="20"/>
  <c r="G915" i="20" s="1"/>
  <c r="G916" i="20" s="1"/>
  <c r="G917" i="20" s="1"/>
  <c r="G918" i="20" s="1"/>
  <c r="G919" i="20" s="1"/>
  <c r="E914" i="20"/>
  <c r="E915" i="20" s="1"/>
  <c r="E916" i="20" s="1"/>
  <c r="E917" i="20" s="1"/>
  <c r="E918" i="20" s="1"/>
  <c r="E919" i="20" s="1"/>
  <c r="D914" i="20"/>
  <c r="K909" i="20"/>
  <c r="K910" i="20" s="1"/>
  <c r="K911" i="20" s="1"/>
  <c r="K912" i="20" s="1"/>
  <c r="K913" i="20" s="1"/>
  <c r="G908" i="20"/>
  <c r="G909" i="20" s="1"/>
  <c r="G910" i="20" s="1"/>
  <c r="G911" i="20" s="1"/>
  <c r="G912" i="20" s="1"/>
  <c r="G913" i="20" s="1"/>
  <c r="E908" i="20"/>
  <c r="E909" i="20" s="1"/>
  <c r="E910" i="20" s="1"/>
  <c r="E911" i="20" s="1"/>
  <c r="E912" i="20" s="1"/>
  <c r="E913" i="20" s="1"/>
  <c r="D908" i="20"/>
  <c r="J908" i="20" s="1"/>
  <c r="J909" i="20" s="1"/>
  <c r="J910" i="20" s="1"/>
  <c r="J911" i="20" s="1"/>
  <c r="J912" i="20" s="1"/>
  <c r="J913" i="20" s="1"/>
  <c r="K903" i="20"/>
  <c r="K904" i="20" s="1"/>
  <c r="K905" i="20" s="1"/>
  <c r="K906" i="20" s="1"/>
  <c r="K907" i="20" s="1"/>
  <c r="G902" i="20"/>
  <c r="G903" i="20" s="1"/>
  <c r="G904" i="20" s="1"/>
  <c r="G905" i="20" s="1"/>
  <c r="G906" i="20" s="1"/>
  <c r="G907" i="20" s="1"/>
  <c r="E902" i="20"/>
  <c r="E903" i="20" s="1"/>
  <c r="E904" i="20" s="1"/>
  <c r="E905" i="20" s="1"/>
  <c r="E906" i="20" s="1"/>
  <c r="E907" i="20" s="1"/>
  <c r="D902" i="20"/>
  <c r="I902" i="20" s="1"/>
  <c r="I903" i="20" s="1"/>
  <c r="I904" i="20" s="1"/>
  <c r="I905" i="20" s="1"/>
  <c r="I906" i="20" s="1"/>
  <c r="I907" i="20" s="1"/>
  <c r="K897" i="20"/>
  <c r="K898" i="20" s="1"/>
  <c r="K899" i="20" s="1"/>
  <c r="K900" i="20" s="1"/>
  <c r="K901" i="20" s="1"/>
  <c r="G896" i="20"/>
  <c r="G897" i="20" s="1"/>
  <c r="G898" i="20" s="1"/>
  <c r="G899" i="20" s="1"/>
  <c r="G900" i="20" s="1"/>
  <c r="G901" i="20" s="1"/>
  <c r="E896" i="20"/>
  <c r="E897" i="20" s="1"/>
  <c r="E898" i="20" s="1"/>
  <c r="E899" i="20" s="1"/>
  <c r="E900" i="20" s="1"/>
  <c r="E901" i="20" s="1"/>
  <c r="D896" i="20"/>
  <c r="K891" i="20"/>
  <c r="K892" i="20" s="1"/>
  <c r="K893" i="20" s="1"/>
  <c r="K894" i="20" s="1"/>
  <c r="K895" i="20" s="1"/>
  <c r="G890" i="20"/>
  <c r="G891" i="20" s="1"/>
  <c r="G892" i="20" s="1"/>
  <c r="G893" i="20" s="1"/>
  <c r="G894" i="20" s="1"/>
  <c r="G895" i="20" s="1"/>
  <c r="E890" i="20"/>
  <c r="E891" i="20" s="1"/>
  <c r="E892" i="20" s="1"/>
  <c r="E893" i="20" s="1"/>
  <c r="E894" i="20" s="1"/>
  <c r="E895" i="20" s="1"/>
  <c r="D890" i="20"/>
  <c r="J890" i="20" s="1"/>
  <c r="J891" i="20" s="1"/>
  <c r="J892" i="20" s="1"/>
  <c r="J893" i="20" s="1"/>
  <c r="J894" i="20" s="1"/>
  <c r="J895" i="20" s="1"/>
  <c r="K885" i="20"/>
  <c r="K886" i="20" s="1"/>
  <c r="K887" i="20" s="1"/>
  <c r="K888" i="20" s="1"/>
  <c r="K889" i="20" s="1"/>
  <c r="G884" i="20"/>
  <c r="G885" i="20" s="1"/>
  <c r="G886" i="20" s="1"/>
  <c r="G887" i="20" s="1"/>
  <c r="G888" i="20" s="1"/>
  <c r="G889" i="20" s="1"/>
  <c r="E884" i="20"/>
  <c r="E885" i="20" s="1"/>
  <c r="E886" i="20" s="1"/>
  <c r="E887" i="20" s="1"/>
  <c r="E888" i="20" s="1"/>
  <c r="E889" i="20" s="1"/>
  <c r="D884" i="20"/>
  <c r="D885" i="20" s="1"/>
  <c r="D886" i="20" s="1"/>
  <c r="D887" i="20" s="1"/>
  <c r="D888" i="20" s="1"/>
  <c r="D889" i="20" s="1"/>
  <c r="K879" i="20"/>
  <c r="K880" i="20" s="1"/>
  <c r="K881" i="20" s="1"/>
  <c r="K882" i="20" s="1"/>
  <c r="K883" i="20" s="1"/>
  <c r="G878" i="20"/>
  <c r="G879" i="20" s="1"/>
  <c r="G880" i="20" s="1"/>
  <c r="G881" i="20" s="1"/>
  <c r="G882" i="20" s="1"/>
  <c r="G883" i="20" s="1"/>
  <c r="E878" i="20"/>
  <c r="E879" i="20" s="1"/>
  <c r="E880" i="20" s="1"/>
  <c r="E881" i="20" s="1"/>
  <c r="E882" i="20" s="1"/>
  <c r="E883" i="20" s="1"/>
  <c r="D878" i="20"/>
  <c r="D879" i="20" s="1"/>
  <c r="D880" i="20" s="1"/>
  <c r="D881" i="20" s="1"/>
  <c r="D882" i="20" s="1"/>
  <c r="D883" i="20" s="1"/>
  <c r="K873" i="20"/>
  <c r="K874" i="20" s="1"/>
  <c r="K875" i="20" s="1"/>
  <c r="K876" i="20" s="1"/>
  <c r="K877" i="20" s="1"/>
  <c r="G872" i="20"/>
  <c r="G873" i="20" s="1"/>
  <c r="G874" i="20" s="1"/>
  <c r="G875" i="20" s="1"/>
  <c r="G876" i="20" s="1"/>
  <c r="G877" i="20" s="1"/>
  <c r="E872" i="20"/>
  <c r="E873" i="20" s="1"/>
  <c r="E874" i="20" s="1"/>
  <c r="E875" i="20" s="1"/>
  <c r="E876" i="20" s="1"/>
  <c r="E877" i="20" s="1"/>
  <c r="D872" i="20"/>
  <c r="K867" i="20"/>
  <c r="K868" i="20" s="1"/>
  <c r="K869" i="20" s="1"/>
  <c r="K870" i="20" s="1"/>
  <c r="K871" i="20" s="1"/>
  <c r="G866" i="20"/>
  <c r="G867" i="20" s="1"/>
  <c r="G868" i="20" s="1"/>
  <c r="G869" i="20" s="1"/>
  <c r="G870" i="20" s="1"/>
  <c r="G871" i="20" s="1"/>
  <c r="E866" i="20"/>
  <c r="E867" i="20" s="1"/>
  <c r="E868" i="20" s="1"/>
  <c r="E869" i="20" s="1"/>
  <c r="E870" i="20" s="1"/>
  <c r="E871" i="20" s="1"/>
  <c r="D866" i="20"/>
  <c r="I866" i="20" s="1"/>
  <c r="I867" i="20" s="1"/>
  <c r="I868" i="20" s="1"/>
  <c r="I869" i="20" s="1"/>
  <c r="I870" i="20" s="1"/>
  <c r="I871" i="20" s="1"/>
  <c r="K861" i="20"/>
  <c r="K862" i="20" s="1"/>
  <c r="K863" i="20" s="1"/>
  <c r="K864" i="20" s="1"/>
  <c r="K865" i="20" s="1"/>
  <c r="G860" i="20"/>
  <c r="G861" i="20" s="1"/>
  <c r="G862" i="20" s="1"/>
  <c r="G863" i="20" s="1"/>
  <c r="G864" i="20" s="1"/>
  <c r="G865" i="20" s="1"/>
  <c r="E860" i="20"/>
  <c r="E861" i="20" s="1"/>
  <c r="E862" i="20" s="1"/>
  <c r="E863" i="20" s="1"/>
  <c r="E864" i="20" s="1"/>
  <c r="E865" i="20" s="1"/>
  <c r="D860" i="20"/>
  <c r="D861" i="20" s="1"/>
  <c r="D862" i="20" s="1"/>
  <c r="D863" i="20" s="1"/>
  <c r="D864" i="20" s="1"/>
  <c r="D865" i="20" s="1"/>
  <c r="K855" i="20"/>
  <c r="K856" i="20" s="1"/>
  <c r="K857" i="20" s="1"/>
  <c r="K858" i="20" s="1"/>
  <c r="K859" i="20" s="1"/>
  <c r="G854" i="20"/>
  <c r="G855" i="20" s="1"/>
  <c r="G856" i="20" s="1"/>
  <c r="G857" i="20" s="1"/>
  <c r="G858" i="20" s="1"/>
  <c r="G859" i="20" s="1"/>
  <c r="E854" i="20"/>
  <c r="E855" i="20" s="1"/>
  <c r="E856" i="20" s="1"/>
  <c r="E857" i="20" s="1"/>
  <c r="E858" i="20" s="1"/>
  <c r="E859" i="20" s="1"/>
  <c r="D854" i="20"/>
  <c r="J854" i="20" s="1"/>
  <c r="J855" i="20" s="1"/>
  <c r="J856" i="20" s="1"/>
  <c r="J857" i="20" s="1"/>
  <c r="J858" i="20" s="1"/>
  <c r="J859" i="20" s="1"/>
  <c r="K849" i="20"/>
  <c r="K850" i="20" s="1"/>
  <c r="K851" i="20" s="1"/>
  <c r="K852" i="20" s="1"/>
  <c r="K853" i="20" s="1"/>
  <c r="G848" i="20"/>
  <c r="G849" i="20" s="1"/>
  <c r="G850" i="20" s="1"/>
  <c r="G851" i="20" s="1"/>
  <c r="G852" i="20" s="1"/>
  <c r="G853" i="20" s="1"/>
  <c r="E848" i="20"/>
  <c r="E849" i="20" s="1"/>
  <c r="E850" i="20" s="1"/>
  <c r="E851" i="20" s="1"/>
  <c r="E852" i="20" s="1"/>
  <c r="E853" i="20" s="1"/>
  <c r="D848" i="20"/>
  <c r="K843" i="20"/>
  <c r="K844" i="20" s="1"/>
  <c r="K845" i="20" s="1"/>
  <c r="K846" i="20" s="1"/>
  <c r="K847" i="20" s="1"/>
  <c r="G842" i="20"/>
  <c r="G843" i="20" s="1"/>
  <c r="G844" i="20" s="1"/>
  <c r="G845" i="20" s="1"/>
  <c r="G846" i="20" s="1"/>
  <c r="G847" i="20" s="1"/>
  <c r="E842" i="20"/>
  <c r="E843" i="20" s="1"/>
  <c r="E844" i="20" s="1"/>
  <c r="E845" i="20" s="1"/>
  <c r="E846" i="20" s="1"/>
  <c r="E847" i="20" s="1"/>
  <c r="D842" i="20"/>
  <c r="J842" i="20" s="1"/>
  <c r="J843" i="20" s="1"/>
  <c r="J844" i="20" s="1"/>
  <c r="J845" i="20" s="1"/>
  <c r="J846" i="20" s="1"/>
  <c r="J847" i="20" s="1"/>
  <c r="K837" i="20"/>
  <c r="K838" i="20" s="1"/>
  <c r="K839" i="20" s="1"/>
  <c r="K840" i="20" s="1"/>
  <c r="K841" i="20" s="1"/>
  <c r="G836" i="20"/>
  <c r="G837" i="20" s="1"/>
  <c r="G838" i="20" s="1"/>
  <c r="G839" i="20" s="1"/>
  <c r="G840" i="20" s="1"/>
  <c r="G841" i="20" s="1"/>
  <c r="E836" i="20"/>
  <c r="E837" i="20" s="1"/>
  <c r="E838" i="20" s="1"/>
  <c r="E839" i="20" s="1"/>
  <c r="E840" i="20" s="1"/>
  <c r="E841" i="20" s="1"/>
  <c r="D836" i="20"/>
  <c r="J836" i="20" s="1"/>
  <c r="J837" i="20" s="1"/>
  <c r="J838" i="20" s="1"/>
  <c r="J839" i="20" s="1"/>
  <c r="J840" i="20" s="1"/>
  <c r="J841" i="20" s="1"/>
  <c r="K831" i="20"/>
  <c r="K832" i="20" s="1"/>
  <c r="K833" i="20" s="1"/>
  <c r="K834" i="20" s="1"/>
  <c r="K835" i="20" s="1"/>
  <c r="G830" i="20"/>
  <c r="G831" i="20" s="1"/>
  <c r="G832" i="20" s="1"/>
  <c r="G833" i="20" s="1"/>
  <c r="G834" i="20" s="1"/>
  <c r="G835" i="20" s="1"/>
  <c r="E830" i="20"/>
  <c r="E831" i="20" s="1"/>
  <c r="E832" i="20" s="1"/>
  <c r="E833" i="20" s="1"/>
  <c r="E834" i="20" s="1"/>
  <c r="E835" i="20" s="1"/>
  <c r="D830" i="20"/>
  <c r="J830" i="20" s="1"/>
  <c r="J831" i="20" s="1"/>
  <c r="J832" i="20" s="1"/>
  <c r="J833" i="20" s="1"/>
  <c r="J834" i="20" s="1"/>
  <c r="J835" i="20" s="1"/>
  <c r="K825" i="20"/>
  <c r="K826" i="20" s="1"/>
  <c r="K827" i="20" s="1"/>
  <c r="K828" i="20" s="1"/>
  <c r="K829" i="20" s="1"/>
  <c r="G824" i="20"/>
  <c r="G825" i="20" s="1"/>
  <c r="G826" i="20" s="1"/>
  <c r="G827" i="20" s="1"/>
  <c r="G828" i="20" s="1"/>
  <c r="G829" i="20" s="1"/>
  <c r="E824" i="20"/>
  <c r="E825" i="20" s="1"/>
  <c r="E826" i="20" s="1"/>
  <c r="E827" i="20" s="1"/>
  <c r="E828" i="20" s="1"/>
  <c r="E829" i="20" s="1"/>
  <c r="D824" i="20"/>
  <c r="I824" i="20" s="1"/>
  <c r="I825" i="20" s="1"/>
  <c r="I826" i="20" s="1"/>
  <c r="I827" i="20" s="1"/>
  <c r="I828" i="20" s="1"/>
  <c r="I829" i="20" s="1"/>
  <c r="K819" i="20"/>
  <c r="K820" i="20" s="1"/>
  <c r="K821" i="20" s="1"/>
  <c r="K822" i="20" s="1"/>
  <c r="K823" i="20" s="1"/>
  <c r="G818" i="20"/>
  <c r="G819" i="20" s="1"/>
  <c r="G820" i="20" s="1"/>
  <c r="G821" i="20" s="1"/>
  <c r="G822" i="20" s="1"/>
  <c r="G823" i="20" s="1"/>
  <c r="E818" i="20"/>
  <c r="E819" i="20" s="1"/>
  <c r="E820" i="20" s="1"/>
  <c r="E821" i="20" s="1"/>
  <c r="E822" i="20" s="1"/>
  <c r="E823" i="20" s="1"/>
  <c r="D818" i="20"/>
  <c r="J818" i="20" s="1"/>
  <c r="J819" i="20" s="1"/>
  <c r="J820" i="20" s="1"/>
  <c r="J821" i="20" s="1"/>
  <c r="J822" i="20" s="1"/>
  <c r="J823" i="20" s="1"/>
  <c r="K813" i="20"/>
  <c r="K814" i="20" s="1"/>
  <c r="K815" i="20" s="1"/>
  <c r="K816" i="20" s="1"/>
  <c r="K817" i="20" s="1"/>
  <c r="G812" i="20"/>
  <c r="G813" i="20" s="1"/>
  <c r="G814" i="20" s="1"/>
  <c r="G815" i="20" s="1"/>
  <c r="G816" i="20" s="1"/>
  <c r="G817" i="20" s="1"/>
  <c r="E812" i="20"/>
  <c r="E813" i="20" s="1"/>
  <c r="E814" i="20" s="1"/>
  <c r="E815" i="20" s="1"/>
  <c r="E816" i="20" s="1"/>
  <c r="E817" i="20" s="1"/>
  <c r="D812" i="20"/>
  <c r="K807" i="20"/>
  <c r="K808" i="20" s="1"/>
  <c r="K809" i="20" s="1"/>
  <c r="K810" i="20" s="1"/>
  <c r="K811" i="20" s="1"/>
  <c r="G806" i="20"/>
  <c r="G807" i="20" s="1"/>
  <c r="G808" i="20" s="1"/>
  <c r="G809" i="20" s="1"/>
  <c r="G810" i="20" s="1"/>
  <c r="G811" i="20" s="1"/>
  <c r="E806" i="20"/>
  <c r="E807" i="20" s="1"/>
  <c r="E808" i="20" s="1"/>
  <c r="E809" i="20" s="1"/>
  <c r="E810" i="20" s="1"/>
  <c r="E811" i="20" s="1"/>
  <c r="D806" i="20"/>
  <c r="I806" i="20" s="1"/>
  <c r="I807" i="20" s="1"/>
  <c r="I808" i="20" s="1"/>
  <c r="I809" i="20" s="1"/>
  <c r="I810" i="20" s="1"/>
  <c r="I811" i="20" s="1"/>
  <c r="K801" i="20"/>
  <c r="K802" i="20" s="1"/>
  <c r="K803" i="20" s="1"/>
  <c r="K804" i="20" s="1"/>
  <c r="K805" i="20" s="1"/>
  <c r="G800" i="20"/>
  <c r="G801" i="20" s="1"/>
  <c r="G802" i="20" s="1"/>
  <c r="G803" i="20" s="1"/>
  <c r="G804" i="20" s="1"/>
  <c r="G805" i="20" s="1"/>
  <c r="E800" i="20"/>
  <c r="E801" i="20" s="1"/>
  <c r="E802" i="20" s="1"/>
  <c r="E803" i="20" s="1"/>
  <c r="E804" i="20" s="1"/>
  <c r="E805" i="20" s="1"/>
  <c r="D800" i="20"/>
  <c r="I800" i="20" s="1"/>
  <c r="I801" i="20" s="1"/>
  <c r="I802" i="20" s="1"/>
  <c r="I803" i="20" s="1"/>
  <c r="I804" i="20" s="1"/>
  <c r="I805" i="20" s="1"/>
  <c r="K795" i="20"/>
  <c r="K796" i="20" s="1"/>
  <c r="K797" i="20" s="1"/>
  <c r="K798" i="20" s="1"/>
  <c r="K799" i="20" s="1"/>
  <c r="G794" i="20"/>
  <c r="G795" i="20" s="1"/>
  <c r="G796" i="20" s="1"/>
  <c r="G797" i="20" s="1"/>
  <c r="G798" i="20" s="1"/>
  <c r="G799" i="20" s="1"/>
  <c r="E794" i="20"/>
  <c r="E795" i="20" s="1"/>
  <c r="E796" i="20" s="1"/>
  <c r="E797" i="20" s="1"/>
  <c r="E798" i="20" s="1"/>
  <c r="E799" i="20" s="1"/>
  <c r="D794" i="20"/>
  <c r="J794" i="20" s="1"/>
  <c r="J795" i="20" s="1"/>
  <c r="J796" i="20" s="1"/>
  <c r="J797" i="20" s="1"/>
  <c r="J798" i="20" s="1"/>
  <c r="J799" i="20" s="1"/>
  <c r="K789" i="20"/>
  <c r="K790" i="20" s="1"/>
  <c r="K791" i="20" s="1"/>
  <c r="K792" i="20" s="1"/>
  <c r="K793" i="20" s="1"/>
  <c r="G788" i="20"/>
  <c r="G789" i="20" s="1"/>
  <c r="G790" i="20" s="1"/>
  <c r="G791" i="20" s="1"/>
  <c r="G792" i="20" s="1"/>
  <c r="G793" i="20" s="1"/>
  <c r="E788" i="20"/>
  <c r="E789" i="20" s="1"/>
  <c r="E790" i="20" s="1"/>
  <c r="E791" i="20" s="1"/>
  <c r="E792" i="20" s="1"/>
  <c r="E793" i="20" s="1"/>
  <c r="D788" i="20"/>
  <c r="H788" i="20" s="1"/>
  <c r="H789" i="20" s="1"/>
  <c r="H790" i="20" s="1"/>
  <c r="H791" i="20" s="1"/>
  <c r="H792" i="20" s="1"/>
  <c r="H793" i="20" s="1"/>
  <c r="K783" i="20"/>
  <c r="K784" i="20" s="1"/>
  <c r="K785" i="20" s="1"/>
  <c r="K786" i="20" s="1"/>
  <c r="K787" i="20" s="1"/>
  <c r="G782" i="20"/>
  <c r="G783" i="20" s="1"/>
  <c r="G784" i="20" s="1"/>
  <c r="G785" i="20" s="1"/>
  <c r="G786" i="20" s="1"/>
  <c r="G787" i="20" s="1"/>
  <c r="E782" i="20"/>
  <c r="E783" i="20" s="1"/>
  <c r="E784" i="20" s="1"/>
  <c r="E785" i="20" s="1"/>
  <c r="E786" i="20" s="1"/>
  <c r="E787" i="20" s="1"/>
  <c r="D782" i="20"/>
  <c r="I782" i="20" s="1"/>
  <c r="I783" i="20" s="1"/>
  <c r="I784" i="20" s="1"/>
  <c r="I785" i="20" s="1"/>
  <c r="I786" i="20" s="1"/>
  <c r="I787" i="20" s="1"/>
  <c r="B788" i="20"/>
  <c r="B789" i="20" s="1"/>
  <c r="B790" i="20" s="1"/>
  <c r="B791" i="20" s="1"/>
  <c r="B792" i="20" s="1"/>
  <c r="B793" i="20" s="1"/>
  <c r="M788" i="20"/>
  <c r="M789" i="20" s="1"/>
  <c r="M790" i="20" s="1"/>
  <c r="M791" i="20" s="1"/>
  <c r="M792" i="20" s="1"/>
  <c r="M793" i="20" s="1"/>
  <c r="B794" i="20"/>
  <c r="B795" i="20" s="1"/>
  <c r="B796" i="20" s="1"/>
  <c r="B797" i="20" s="1"/>
  <c r="B798" i="20" s="1"/>
  <c r="B799" i="20" s="1"/>
  <c r="M794" i="20"/>
  <c r="M795" i="20" s="1"/>
  <c r="M796" i="20" s="1"/>
  <c r="M797" i="20" s="1"/>
  <c r="M798" i="20" s="1"/>
  <c r="M799" i="20" s="1"/>
  <c r="B800" i="20"/>
  <c r="B801" i="20" s="1"/>
  <c r="B802" i="20" s="1"/>
  <c r="B803" i="20" s="1"/>
  <c r="B804" i="20" s="1"/>
  <c r="B805" i="20" s="1"/>
  <c r="M800" i="20"/>
  <c r="M801" i="20" s="1"/>
  <c r="M802" i="20" s="1"/>
  <c r="M803" i="20" s="1"/>
  <c r="M804" i="20" s="1"/>
  <c r="M805" i="20" s="1"/>
  <c r="B806" i="20"/>
  <c r="B807" i="20" s="1"/>
  <c r="B808" i="20" s="1"/>
  <c r="B809" i="20" s="1"/>
  <c r="B810" i="20" s="1"/>
  <c r="B811" i="20" s="1"/>
  <c r="M806" i="20"/>
  <c r="M807" i="20" s="1"/>
  <c r="M808" i="20" s="1"/>
  <c r="M809" i="20" s="1"/>
  <c r="M810" i="20" s="1"/>
  <c r="M811" i="20" s="1"/>
  <c r="B812" i="20"/>
  <c r="B813" i="20" s="1"/>
  <c r="B814" i="20" s="1"/>
  <c r="B815" i="20" s="1"/>
  <c r="B816" i="20" s="1"/>
  <c r="B817" i="20" s="1"/>
  <c r="M812" i="20"/>
  <c r="M813" i="20" s="1"/>
  <c r="M814" i="20" s="1"/>
  <c r="M815" i="20" s="1"/>
  <c r="M816" i="20" s="1"/>
  <c r="M817" i="20" s="1"/>
  <c r="B818" i="20"/>
  <c r="B819" i="20" s="1"/>
  <c r="B820" i="20" s="1"/>
  <c r="B821" i="20" s="1"/>
  <c r="B822" i="20" s="1"/>
  <c r="B823" i="20" s="1"/>
  <c r="M818" i="20"/>
  <c r="M819" i="20" s="1"/>
  <c r="M820" i="20" s="1"/>
  <c r="M821" i="20" s="1"/>
  <c r="M822" i="20" s="1"/>
  <c r="M823" i="20" s="1"/>
  <c r="B824" i="20"/>
  <c r="B825" i="20" s="1"/>
  <c r="B826" i="20" s="1"/>
  <c r="B827" i="20" s="1"/>
  <c r="B828" i="20" s="1"/>
  <c r="B829" i="20" s="1"/>
  <c r="M824" i="20"/>
  <c r="M825" i="20" s="1"/>
  <c r="M826" i="20" s="1"/>
  <c r="M827" i="20" s="1"/>
  <c r="M828" i="20" s="1"/>
  <c r="M829" i="20" s="1"/>
  <c r="B830" i="20"/>
  <c r="B831" i="20" s="1"/>
  <c r="B832" i="20" s="1"/>
  <c r="B833" i="20" s="1"/>
  <c r="B834" i="20" s="1"/>
  <c r="B835" i="20" s="1"/>
  <c r="M830" i="20"/>
  <c r="M831" i="20" s="1"/>
  <c r="M832" i="20" s="1"/>
  <c r="M833" i="20" s="1"/>
  <c r="M834" i="20" s="1"/>
  <c r="M835" i="20" s="1"/>
  <c r="B836" i="20"/>
  <c r="B837" i="20" s="1"/>
  <c r="B838" i="20" s="1"/>
  <c r="B839" i="20" s="1"/>
  <c r="B840" i="20" s="1"/>
  <c r="B841" i="20" s="1"/>
  <c r="M836" i="20"/>
  <c r="M837" i="20" s="1"/>
  <c r="M838" i="20" s="1"/>
  <c r="M839" i="20" s="1"/>
  <c r="M840" i="20" s="1"/>
  <c r="M841" i="20" s="1"/>
  <c r="B842" i="20"/>
  <c r="B843" i="20" s="1"/>
  <c r="B844" i="20" s="1"/>
  <c r="B845" i="20" s="1"/>
  <c r="B846" i="20" s="1"/>
  <c r="B847" i="20" s="1"/>
  <c r="M842" i="20"/>
  <c r="M843" i="20" s="1"/>
  <c r="M844" i="20" s="1"/>
  <c r="M845" i="20" s="1"/>
  <c r="M846" i="20" s="1"/>
  <c r="M847" i="20" s="1"/>
  <c r="B848" i="20"/>
  <c r="B849" i="20" s="1"/>
  <c r="B850" i="20" s="1"/>
  <c r="B851" i="20" s="1"/>
  <c r="B852" i="20" s="1"/>
  <c r="B853" i="20" s="1"/>
  <c r="M848" i="20"/>
  <c r="M849" i="20" s="1"/>
  <c r="M850" i="20" s="1"/>
  <c r="M851" i="20" s="1"/>
  <c r="M852" i="20" s="1"/>
  <c r="M853" i="20" s="1"/>
  <c r="B854" i="20"/>
  <c r="B855" i="20" s="1"/>
  <c r="B856" i="20" s="1"/>
  <c r="B857" i="20" s="1"/>
  <c r="B858" i="20" s="1"/>
  <c r="B859" i="20" s="1"/>
  <c r="M854" i="20"/>
  <c r="M855" i="20" s="1"/>
  <c r="M856" i="20" s="1"/>
  <c r="M857" i="20" s="1"/>
  <c r="M858" i="20" s="1"/>
  <c r="M859" i="20" s="1"/>
  <c r="B860" i="20"/>
  <c r="B861" i="20" s="1"/>
  <c r="B862" i="20" s="1"/>
  <c r="B863" i="20" s="1"/>
  <c r="B864" i="20" s="1"/>
  <c r="B865" i="20" s="1"/>
  <c r="M860" i="20"/>
  <c r="M861" i="20" s="1"/>
  <c r="M862" i="20" s="1"/>
  <c r="M863" i="20" s="1"/>
  <c r="M864" i="20" s="1"/>
  <c r="M865" i="20" s="1"/>
  <c r="B866" i="20"/>
  <c r="B867" i="20" s="1"/>
  <c r="B868" i="20" s="1"/>
  <c r="B869" i="20" s="1"/>
  <c r="B870" i="20" s="1"/>
  <c r="B871" i="20" s="1"/>
  <c r="M866" i="20"/>
  <c r="M867" i="20" s="1"/>
  <c r="M868" i="20" s="1"/>
  <c r="M869" i="20" s="1"/>
  <c r="M870" i="20" s="1"/>
  <c r="M871" i="20" s="1"/>
  <c r="B872" i="20"/>
  <c r="B873" i="20" s="1"/>
  <c r="B874" i="20" s="1"/>
  <c r="B875" i="20" s="1"/>
  <c r="B876" i="20" s="1"/>
  <c r="B877" i="20" s="1"/>
  <c r="M872" i="20"/>
  <c r="M873" i="20" s="1"/>
  <c r="M874" i="20" s="1"/>
  <c r="M875" i="20" s="1"/>
  <c r="M876" i="20" s="1"/>
  <c r="M877" i="20" s="1"/>
  <c r="B878" i="20"/>
  <c r="B879" i="20" s="1"/>
  <c r="B880" i="20" s="1"/>
  <c r="B881" i="20" s="1"/>
  <c r="B882" i="20" s="1"/>
  <c r="B883" i="20" s="1"/>
  <c r="M878" i="20"/>
  <c r="M879" i="20" s="1"/>
  <c r="M880" i="20" s="1"/>
  <c r="M881" i="20" s="1"/>
  <c r="M882" i="20" s="1"/>
  <c r="M883" i="20" s="1"/>
  <c r="B884" i="20"/>
  <c r="B885" i="20" s="1"/>
  <c r="B886" i="20" s="1"/>
  <c r="B887" i="20" s="1"/>
  <c r="B888" i="20" s="1"/>
  <c r="B889" i="20" s="1"/>
  <c r="M884" i="20"/>
  <c r="M885" i="20" s="1"/>
  <c r="M886" i="20" s="1"/>
  <c r="M887" i="20" s="1"/>
  <c r="M888" i="20" s="1"/>
  <c r="M889" i="20" s="1"/>
  <c r="B890" i="20"/>
  <c r="B891" i="20" s="1"/>
  <c r="B892" i="20" s="1"/>
  <c r="B893" i="20" s="1"/>
  <c r="B894" i="20" s="1"/>
  <c r="B895" i="20" s="1"/>
  <c r="M890" i="20"/>
  <c r="M891" i="20" s="1"/>
  <c r="M892" i="20" s="1"/>
  <c r="M893" i="20" s="1"/>
  <c r="M894" i="20" s="1"/>
  <c r="M895" i="20" s="1"/>
  <c r="B896" i="20"/>
  <c r="B897" i="20" s="1"/>
  <c r="B898" i="20" s="1"/>
  <c r="B899" i="20" s="1"/>
  <c r="B900" i="20" s="1"/>
  <c r="B901" i="20" s="1"/>
  <c r="M896" i="20"/>
  <c r="M897" i="20" s="1"/>
  <c r="M898" i="20" s="1"/>
  <c r="M899" i="20" s="1"/>
  <c r="M900" i="20" s="1"/>
  <c r="M901" i="20" s="1"/>
  <c r="B902" i="20"/>
  <c r="B903" i="20" s="1"/>
  <c r="B904" i="20" s="1"/>
  <c r="B905" i="20" s="1"/>
  <c r="B906" i="20" s="1"/>
  <c r="B907" i="20" s="1"/>
  <c r="M902" i="20"/>
  <c r="M903" i="20" s="1"/>
  <c r="M904" i="20" s="1"/>
  <c r="M905" i="20" s="1"/>
  <c r="M906" i="20" s="1"/>
  <c r="M907" i="20" s="1"/>
  <c r="B908" i="20"/>
  <c r="B909" i="20" s="1"/>
  <c r="B910" i="20" s="1"/>
  <c r="B911" i="20" s="1"/>
  <c r="B912" i="20" s="1"/>
  <c r="B913" i="20" s="1"/>
  <c r="M908" i="20"/>
  <c r="M909" i="20" s="1"/>
  <c r="M910" i="20" s="1"/>
  <c r="M911" i="20" s="1"/>
  <c r="M912" i="20" s="1"/>
  <c r="M913" i="20" s="1"/>
  <c r="B914" i="20"/>
  <c r="B915" i="20" s="1"/>
  <c r="B916" i="20" s="1"/>
  <c r="B917" i="20" s="1"/>
  <c r="B918" i="20" s="1"/>
  <c r="B919" i="20" s="1"/>
  <c r="M914" i="20"/>
  <c r="M915" i="20" s="1"/>
  <c r="M916" i="20" s="1"/>
  <c r="M917" i="20" s="1"/>
  <c r="M918" i="20" s="1"/>
  <c r="M919" i="20" s="1"/>
  <c r="B920" i="20"/>
  <c r="B921" i="20" s="1"/>
  <c r="B922" i="20" s="1"/>
  <c r="B923" i="20" s="1"/>
  <c r="B924" i="20" s="1"/>
  <c r="B925" i="20" s="1"/>
  <c r="M920" i="20"/>
  <c r="M921" i="20" s="1"/>
  <c r="M922" i="20" s="1"/>
  <c r="M923" i="20" s="1"/>
  <c r="M924" i="20" s="1"/>
  <c r="M925" i="20" s="1"/>
  <c r="B926" i="20"/>
  <c r="B927" i="20" s="1"/>
  <c r="B928" i="20" s="1"/>
  <c r="B929" i="20" s="1"/>
  <c r="B930" i="20" s="1"/>
  <c r="B931" i="20" s="1"/>
  <c r="M926" i="20"/>
  <c r="M927" i="20" s="1"/>
  <c r="M928" i="20" s="1"/>
  <c r="M929" i="20" s="1"/>
  <c r="M930" i="20" s="1"/>
  <c r="M931" i="20" s="1"/>
  <c r="B932" i="20"/>
  <c r="B933" i="20" s="1"/>
  <c r="B934" i="20" s="1"/>
  <c r="B935" i="20" s="1"/>
  <c r="B936" i="20" s="1"/>
  <c r="B937" i="20" s="1"/>
  <c r="M932" i="20"/>
  <c r="M933" i="20" s="1"/>
  <c r="M934" i="20" s="1"/>
  <c r="M935" i="20" s="1"/>
  <c r="M936" i="20" s="1"/>
  <c r="M937" i="20" s="1"/>
  <c r="B938" i="20"/>
  <c r="B939" i="20" s="1"/>
  <c r="B940" i="20" s="1"/>
  <c r="B941" i="20" s="1"/>
  <c r="B942" i="20" s="1"/>
  <c r="B943" i="20" s="1"/>
  <c r="M938" i="20"/>
  <c r="M939" i="20" s="1"/>
  <c r="M940" i="20" s="1"/>
  <c r="M941" i="20" s="1"/>
  <c r="M942" i="20" s="1"/>
  <c r="M943" i="20" s="1"/>
  <c r="B944" i="20"/>
  <c r="B945" i="20" s="1"/>
  <c r="B946" i="20" s="1"/>
  <c r="B947" i="20" s="1"/>
  <c r="B948" i="20" s="1"/>
  <c r="B949" i="20" s="1"/>
  <c r="M944" i="20"/>
  <c r="M945" i="20" s="1"/>
  <c r="M946" i="20" s="1"/>
  <c r="M947" i="20" s="1"/>
  <c r="M948" i="20" s="1"/>
  <c r="M949" i="20" s="1"/>
  <c r="B950" i="20"/>
  <c r="B951" i="20" s="1"/>
  <c r="B952" i="20" s="1"/>
  <c r="B953" i="20" s="1"/>
  <c r="B954" i="20" s="1"/>
  <c r="B955" i="20" s="1"/>
  <c r="M950" i="20"/>
  <c r="M951" i="20" s="1"/>
  <c r="M952" i="20" s="1"/>
  <c r="M953" i="20" s="1"/>
  <c r="M954" i="20" s="1"/>
  <c r="M955" i="20" s="1"/>
  <c r="B956" i="20"/>
  <c r="M956" i="20"/>
  <c r="M782" i="20"/>
  <c r="M783" i="20" s="1"/>
  <c r="M784" i="20" s="1"/>
  <c r="M785" i="20" s="1"/>
  <c r="M786" i="20" s="1"/>
  <c r="M787" i="20" s="1"/>
  <c r="B782" i="20"/>
  <c r="B783" i="20" s="1"/>
  <c r="B784" i="20" s="1"/>
  <c r="B785" i="20" s="1"/>
  <c r="B786" i="20" s="1"/>
  <c r="B787" i="20" s="1"/>
  <c r="Y97" i="12"/>
  <c r="G614" i="10" s="1"/>
  <c r="B182" i="23"/>
  <c r="I182" i="23" s="1"/>
  <c r="B181" i="23"/>
  <c r="G181" i="23" s="1"/>
  <c r="B180" i="23"/>
  <c r="I180" i="23" s="1"/>
  <c r="B179" i="23"/>
  <c r="H179" i="23" s="1"/>
  <c r="B178" i="23"/>
  <c r="C178" i="23" s="1"/>
  <c r="B177" i="23"/>
  <c r="H177" i="23" s="1"/>
  <c r="B176" i="23"/>
  <c r="B175" i="23"/>
  <c r="C175" i="23" s="1"/>
  <c r="B174" i="23"/>
  <c r="G174" i="23" s="1"/>
  <c r="B148" i="23"/>
  <c r="G148" i="23" s="1"/>
  <c r="B147" i="23"/>
  <c r="H147" i="23" s="1"/>
  <c r="B146" i="23"/>
  <c r="H146" i="23" s="1"/>
  <c r="B145" i="23"/>
  <c r="H145" i="23" s="1"/>
  <c r="B144" i="23"/>
  <c r="G144" i="23" s="1"/>
  <c r="B143" i="23"/>
  <c r="C143" i="23" s="1"/>
  <c r="B142" i="23"/>
  <c r="G142" i="23" s="1"/>
  <c r="B141" i="23"/>
  <c r="C141" i="23" s="1"/>
  <c r="B140" i="23"/>
  <c r="G140" i="23" s="1"/>
  <c r="B114" i="23"/>
  <c r="I114" i="23" s="1"/>
  <c r="B113" i="23"/>
  <c r="G113" i="23" s="1"/>
  <c r="B112" i="23"/>
  <c r="C112" i="23" s="1"/>
  <c r="B111" i="23"/>
  <c r="C111" i="23" s="1"/>
  <c r="B110" i="23"/>
  <c r="I110" i="23" s="1"/>
  <c r="B109" i="23"/>
  <c r="C109" i="23" s="1"/>
  <c r="B108" i="23"/>
  <c r="C108" i="23" s="1"/>
  <c r="B107" i="23"/>
  <c r="C107" i="23" s="1"/>
  <c r="B106" i="23"/>
  <c r="C106" i="23" s="1"/>
  <c r="B80" i="23"/>
  <c r="G80" i="23" s="1"/>
  <c r="B79" i="23"/>
  <c r="C79" i="23" s="1"/>
  <c r="B78" i="23"/>
  <c r="G78" i="23" s="1"/>
  <c r="B77" i="23"/>
  <c r="C77" i="23" s="1"/>
  <c r="B76" i="23"/>
  <c r="G76" i="23" s="1"/>
  <c r="B75" i="23"/>
  <c r="C75" i="23" s="1"/>
  <c r="B74" i="23"/>
  <c r="H74" i="23" s="1"/>
  <c r="B73" i="23"/>
  <c r="G73" i="23" s="1"/>
  <c r="B72" i="23"/>
  <c r="H72" i="23" s="1"/>
  <c r="B46" i="23"/>
  <c r="I46" i="23" s="1"/>
  <c r="B45" i="23"/>
  <c r="I45" i="23" s="1"/>
  <c r="B44" i="23"/>
  <c r="B43" i="23"/>
  <c r="I43" i="23" s="1"/>
  <c r="B42" i="23"/>
  <c r="H42" i="23" s="1"/>
  <c r="B41" i="23"/>
  <c r="C41" i="23" s="1"/>
  <c r="B40" i="23"/>
  <c r="B39" i="23"/>
  <c r="C39" i="23" s="1"/>
  <c r="B38" i="23"/>
  <c r="AT5" i="22"/>
  <c r="B92" i="16" s="1"/>
  <c r="B12" i="23"/>
  <c r="G12" i="23" s="1"/>
  <c r="B11" i="23"/>
  <c r="I11" i="23" s="1"/>
  <c r="B10" i="23"/>
  <c r="H10" i="23" s="1"/>
  <c r="B9" i="23"/>
  <c r="G9" i="23" s="1"/>
  <c r="B8" i="23"/>
  <c r="G8" i="23" s="1"/>
  <c r="B7" i="23"/>
  <c r="I7" i="23" s="1"/>
  <c r="B6" i="23"/>
  <c r="I6" i="23" s="1"/>
  <c r="B5" i="23"/>
  <c r="G5" i="23" s="1"/>
  <c r="B4" i="23"/>
  <c r="I4" i="23" s="1"/>
  <c r="J22" i="11"/>
  <c r="F22" i="11"/>
  <c r="B22" i="11"/>
  <c r="J9" i="11"/>
  <c r="K9" i="11"/>
  <c r="M9" i="11" s="1"/>
  <c r="F9" i="11"/>
  <c r="B9" i="11"/>
  <c r="D5" i="22"/>
  <c r="E204" i="23"/>
  <c r="E170" i="23"/>
  <c r="E136" i="23"/>
  <c r="E102" i="23"/>
  <c r="E68" i="23"/>
  <c r="E34" i="23"/>
  <c r="V75" i="22"/>
  <c r="D57" i="9" s="1"/>
  <c r="J27" i="9" s="1"/>
  <c r="N75" i="22"/>
  <c r="C57" i="9" s="1"/>
  <c r="J26" i="9" s="1"/>
  <c r="F75" i="22"/>
  <c r="B57" i="9" s="1"/>
  <c r="J25" i="9" s="1"/>
  <c r="AV74" i="22"/>
  <c r="O121" i="16" s="1"/>
  <c r="AU74" i="22"/>
  <c r="AT74" i="22"/>
  <c r="M121" i="16" s="1"/>
  <c r="U74" i="22"/>
  <c r="D931" i="10"/>
  <c r="M74" i="22"/>
  <c r="AN74" i="22" s="1"/>
  <c r="E74" i="22"/>
  <c r="D74" i="22"/>
  <c r="AV73" i="22"/>
  <c r="O120" i="16" s="1"/>
  <c r="AU73" i="22"/>
  <c r="N120" i="16" s="1"/>
  <c r="AT73" i="22"/>
  <c r="M120" i="16" s="1"/>
  <c r="U73" i="22"/>
  <c r="AO73" i="22" s="1"/>
  <c r="M73" i="22"/>
  <c r="E73" i="22"/>
  <c r="D73" i="22"/>
  <c r="AV72" i="22"/>
  <c r="O119" i="16" s="1"/>
  <c r="AU72" i="22"/>
  <c r="N119" i="16" s="1"/>
  <c r="AT72" i="22"/>
  <c r="M119" i="16" s="1"/>
  <c r="U72" i="22"/>
  <c r="D929" i="10"/>
  <c r="M72" i="22"/>
  <c r="AN72" i="22" s="1"/>
  <c r="E72" i="22"/>
  <c r="D72" i="22"/>
  <c r="AV71" i="22"/>
  <c r="O118" i="16" s="1"/>
  <c r="AU71" i="22"/>
  <c r="N118" i="16" s="1"/>
  <c r="AT71" i="22"/>
  <c r="M118" i="16" s="1"/>
  <c r="D958" i="10"/>
  <c r="U71" i="22"/>
  <c r="AO71" i="22" s="1"/>
  <c r="M71" i="22"/>
  <c r="D898" i="10"/>
  <c r="E71" i="22"/>
  <c r="AM71" i="22" s="1"/>
  <c r="D71" i="22"/>
  <c r="AV70" i="22"/>
  <c r="O117" i="16" s="1"/>
  <c r="AU70" i="22"/>
  <c r="N117" i="16" s="1"/>
  <c r="AT70" i="22"/>
  <c r="M117" i="16" s="1"/>
  <c r="U70" i="22"/>
  <c r="D927" i="10"/>
  <c r="M70" i="22"/>
  <c r="E70" i="22"/>
  <c r="D70" i="22"/>
  <c r="AV69" i="22"/>
  <c r="O116" i="16" s="1"/>
  <c r="AU69" i="22"/>
  <c r="AT69" i="22"/>
  <c r="M116" i="16" s="1"/>
  <c r="D956" i="10"/>
  <c r="U69" i="22"/>
  <c r="AO69" i="22" s="1"/>
  <c r="M69" i="22"/>
  <c r="D896" i="10"/>
  <c r="E69" i="22"/>
  <c r="AM69" i="22" s="1"/>
  <c r="D69" i="22"/>
  <c r="AV68" i="22"/>
  <c r="O115" i="16" s="1"/>
  <c r="AU68" i="22"/>
  <c r="N115" i="16" s="1"/>
  <c r="AT68" i="22"/>
  <c r="M115" i="16" s="1"/>
  <c r="U68" i="22"/>
  <c r="M68" i="22"/>
  <c r="AN68" i="22" s="1"/>
  <c r="E68" i="22"/>
  <c r="D68" i="22"/>
  <c r="AV67" i="22"/>
  <c r="O114" i="16" s="1"/>
  <c r="AU67" i="22"/>
  <c r="N114" i="16" s="1"/>
  <c r="AT67" i="22"/>
  <c r="M114" i="16" s="1"/>
  <c r="U67" i="22"/>
  <c r="M67" i="22"/>
  <c r="D894" i="10"/>
  <c r="E67" i="22"/>
  <c r="AM67" i="22" s="1"/>
  <c r="D67" i="22"/>
  <c r="AV66" i="22"/>
  <c r="O113" i="16" s="1"/>
  <c r="AU66" i="22"/>
  <c r="N113" i="16" s="1"/>
  <c r="AT66" i="22"/>
  <c r="M113" i="16" s="1"/>
  <c r="U66" i="22"/>
  <c r="AO66" i="22" s="1"/>
  <c r="D923" i="10"/>
  <c r="M66" i="22"/>
  <c r="AN66" i="22" s="1"/>
  <c r="E66" i="22"/>
  <c r="D66" i="22"/>
  <c r="AV65" i="22"/>
  <c r="O112" i="16" s="1"/>
  <c r="AU65" i="22"/>
  <c r="N112" i="16" s="1"/>
  <c r="AT65" i="22"/>
  <c r="M112" i="16" s="1"/>
  <c r="U65" i="22"/>
  <c r="AO65" i="22" s="1"/>
  <c r="D922" i="10"/>
  <c r="M65" i="22"/>
  <c r="E65" i="22"/>
  <c r="AM65" i="22" s="1"/>
  <c r="D65" i="22"/>
  <c r="AV64" i="22"/>
  <c r="O111" i="16" s="1"/>
  <c r="AU64" i="22"/>
  <c r="N111" i="16" s="1"/>
  <c r="AT64" i="22"/>
  <c r="M111" i="16" s="1"/>
  <c r="D951" i="10"/>
  <c r="U64" i="22"/>
  <c r="D921" i="10"/>
  <c r="M64" i="22"/>
  <c r="AN64" i="22" s="1"/>
  <c r="D891" i="10"/>
  <c r="E64" i="22"/>
  <c r="D64" i="22"/>
  <c r="AV63" i="22"/>
  <c r="O110" i="16" s="1"/>
  <c r="AU63" i="22"/>
  <c r="N110" i="16" s="1"/>
  <c r="AT63" i="22"/>
  <c r="M110" i="16" s="1"/>
  <c r="D950" i="10"/>
  <c r="U63" i="22"/>
  <c r="AO63" i="22" s="1"/>
  <c r="M63" i="22"/>
  <c r="E63" i="22"/>
  <c r="AM63" i="22" s="1"/>
  <c r="D63" i="22"/>
  <c r="AV62" i="22"/>
  <c r="O109" i="16" s="1"/>
  <c r="AU62" i="22"/>
  <c r="N109" i="16" s="1"/>
  <c r="AT62" i="22"/>
  <c r="M109" i="16" s="1"/>
  <c r="D949" i="10"/>
  <c r="U62" i="22"/>
  <c r="M62" i="22"/>
  <c r="E62" i="22"/>
  <c r="D62" i="22"/>
  <c r="AV61" i="22"/>
  <c r="O108" i="16" s="1"/>
  <c r="AU61" i="22"/>
  <c r="N108" i="16" s="1"/>
  <c r="AT61" i="22"/>
  <c r="M108" i="16" s="1"/>
  <c r="D948" i="10"/>
  <c r="U61" i="22"/>
  <c r="AO61" i="22" s="1"/>
  <c r="M61" i="22"/>
  <c r="D888" i="10"/>
  <c r="E61" i="22"/>
  <c r="AM61" i="22" s="1"/>
  <c r="D61" i="22"/>
  <c r="AV60" i="22"/>
  <c r="O107" i="16" s="1"/>
  <c r="AU60" i="22"/>
  <c r="AT60" i="22"/>
  <c r="M107" i="16" s="1"/>
  <c r="U60" i="22"/>
  <c r="D917" i="10"/>
  <c r="M60" i="22"/>
  <c r="E60" i="22"/>
  <c r="D60" i="22"/>
  <c r="AV59" i="22"/>
  <c r="O106" i="16" s="1"/>
  <c r="AU59" i="22"/>
  <c r="N106" i="16" s="1"/>
  <c r="AT59" i="22"/>
  <c r="M106" i="16" s="1"/>
  <c r="D946" i="10"/>
  <c r="U59" i="22"/>
  <c r="AO59" i="22" s="1"/>
  <c r="M59" i="22"/>
  <c r="D886" i="10"/>
  <c r="E59" i="22"/>
  <c r="AM59" i="22" s="1"/>
  <c r="D59" i="22"/>
  <c r="AV58" i="22"/>
  <c r="O105" i="16" s="1"/>
  <c r="AU58" i="22"/>
  <c r="N105" i="16" s="1"/>
  <c r="AT58" i="22"/>
  <c r="M105" i="16" s="1"/>
  <c r="U58" i="22"/>
  <c r="AO58" i="22" s="1"/>
  <c r="D915" i="10"/>
  <c r="M58" i="22"/>
  <c r="AN58" i="22" s="1"/>
  <c r="E58" i="22"/>
  <c r="D58" i="22"/>
  <c r="AV57" i="22"/>
  <c r="O104" i="16" s="1"/>
  <c r="AU57" i="22"/>
  <c r="N104" i="16" s="1"/>
  <c r="AT57" i="22"/>
  <c r="M104" i="16" s="1"/>
  <c r="D944" i="10"/>
  <c r="U57" i="22"/>
  <c r="AO57" i="22" s="1"/>
  <c r="M57" i="22"/>
  <c r="D884" i="10"/>
  <c r="E57" i="22"/>
  <c r="D57" i="22"/>
  <c r="AV56" i="22"/>
  <c r="O103" i="16" s="1"/>
  <c r="AU56" i="22"/>
  <c r="N103" i="16" s="1"/>
  <c r="AT56" i="22"/>
  <c r="M103" i="16" s="1"/>
  <c r="U56" i="22"/>
  <c r="D913" i="10"/>
  <c r="M56" i="22"/>
  <c r="AN56" i="22" s="1"/>
  <c r="E56" i="22"/>
  <c r="D56" i="22"/>
  <c r="AV55" i="22"/>
  <c r="O102" i="16" s="1"/>
  <c r="AU55" i="22"/>
  <c r="N102" i="16" s="1"/>
  <c r="AT55" i="22"/>
  <c r="M102" i="16" s="1"/>
  <c r="D942" i="10"/>
  <c r="U55" i="22"/>
  <c r="AO55" i="22" s="1"/>
  <c r="M55" i="22"/>
  <c r="D882" i="10"/>
  <c r="E55" i="22"/>
  <c r="AM55" i="22" s="1"/>
  <c r="D55" i="22"/>
  <c r="AV54" i="22"/>
  <c r="O101" i="16" s="1"/>
  <c r="AU54" i="22"/>
  <c r="N101" i="16" s="1"/>
  <c r="AT54" i="22"/>
  <c r="M101" i="16" s="1"/>
  <c r="U54" i="22"/>
  <c r="M54" i="22"/>
  <c r="E54" i="22"/>
  <c r="D54" i="22"/>
  <c r="A54" i="22"/>
  <c r="B115" i="23" s="1"/>
  <c r="C115" i="23" s="1"/>
  <c r="AV53" i="22"/>
  <c r="O100" i="16" s="1"/>
  <c r="AU53" i="22"/>
  <c r="AT53" i="22"/>
  <c r="M100" i="16" s="1"/>
  <c r="D940" i="10"/>
  <c r="U53" i="22"/>
  <c r="AO53" i="22" s="1"/>
  <c r="M53" i="22"/>
  <c r="D880" i="10"/>
  <c r="E53" i="22"/>
  <c r="AM53" i="22" s="1"/>
  <c r="D53" i="22"/>
  <c r="AV52" i="22"/>
  <c r="O99" i="16" s="1"/>
  <c r="AU52" i="22"/>
  <c r="N99" i="16" s="1"/>
  <c r="AT52" i="22"/>
  <c r="M99" i="16" s="1"/>
  <c r="U52" i="22"/>
  <c r="M52" i="22"/>
  <c r="E52" i="22"/>
  <c r="D52" i="22"/>
  <c r="AV51" i="22"/>
  <c r="O98" i="16" s="1"/>
  <c r="AU51" i="22"/>
  <c r="AT51" i="22"/>
  <c r="M98" i="16" s="1"/>
  <c r="U51" i="22"/>
  <c r="M51" i="22"/>
  <c r="D878" i="10"/>
  <c r="E51" i="22"/>
  <c r="AM51" i="22" s="1"/>
  <c r="D51" i="22"/>
  <c r="AV50" i="22"/>
  <c r="O97" i="16" s="1"/>
  <c r="AU50" i="22"/>
  <c r="N97" i="16" s="1"/>
  <c r="AT50" i="22"/>
  <c r="M97" i="16" s="1"/>
  <c r="U50" i="22"/>
  <c r="D907" i="10"/>
  <c r="M50" i="22"/>
  <c r="AN50" i="22" s="1"/>
  <c r="E50" i="22"/>
  <c r="D50" i="22"/>
  <c r="AV49" i="22"/>
  <c r="O96" i="16" s="1"/>
  <c r="AU49" i="22"/>
  <c r="AT49" i="22"/>
  <c r="M96" i="16" s="1"/>
  <c r="U49" i="22"/>
  <c r="AO49" i="22" s="1"/>
  <c r="M49" i="22"/>
  <c r="D876" i="10"/>
  <c r="E49" i="22"/>
  <c r="D49" i="22"/>
  <c r="AV48" i="22"/>
  <c r="O95" i="16" s="1"/>
  <c r="AU48" i="22"/>
  <c r="N95" i="16" s="1"/>
  <c r="AT48" i="22"/>
  <c r="M95" i="16" s="1"/>
  <c r="U48" i="22"/>
  <c r="AO48" i="22" s="1"/>
  <c r="D905" i="10"/>
  <c r="M48" i="22"/>
  <c r="AN48" i="22" s="1"/>
  <c r="E48" i="22"/>
  <c r="D48" i="22"/>
  <c r="AV47" i="22"/>
  <c r="O94" i="16" s="1"/>
  <c r="AU47" i="22"/>
  <c r="N94" i="16" s="1"/>
  <c r="AT47" i="22"/>
  <c r="M94" i="16" s="1"/>
  <c r="D934" i="10"/>
  <c r="U47" i="22"/>
  <c r="AO47" i="22" s="1"/>
  <c r="M47" i="22"/>
  <c r="D874" i="10"/>
  <c r="E47" i="22"/>
  <c r="AM47" i="22" s="1"/>
  <c r="D47" i="22"/>
  <c r="AV46" i="22"/>
  <c r="O93" i="16" s="1"/>
  <c r="AU46" i="22"/>
  <c r="N93" i="16" s="1"/>
  <c r="AT46" i="22"/>
  <c r="M93" i="16" s="1"/>
  <c r="U46" i="22"/>
  <c r="M46" i="22"/>
  <c r="E46" i="22"/>
  <c r="D46" i="22"/>
  <c r="AV45" i="22"/>
  <c r="O92" i="16" s="1"/>
  <c r="AU45" i="22"/>
  <c r="N92" i="16" s="1"/>
  <c r="AT45" i="22"/>
  <c r="M92" i="16" s="1"/>
  <c r="U45" i="22"/>
  <c r="M45" i="22"/>
  <c r="AN45" i="22" s="1"/>
  <c r="D872" i="10"/>
  <c r="E45" i="22"/>
  <c r="AM45" i="22" s="1"/>
  <c r="D45" i="22"/>
  <c r="X42" i="22"/>
  <c r="C42" i="22"/>
  <c r="V35" i="22"/>
  <c r="D40" i="9" s="1"/>
  <c r="I27" i="9" s="1"/>
  <c r="N35" i="22"/>
  <c r="C40" i="9" s="1"/>
  <c r="I26" i="9" s="1"/>
  <c r="F35" i="22"/>
  <c r="B40" i="9" s="1"/>
  <c r="I25" i="9" s="1"/>
  <c r="AV34" i="22"/>
  <c r="D121" i="16" s="1"/>
  <c r="AU34" i="22"/>
  <c r="C121" i="16" s="1"/>
  <c r="AT34" i="22"/>
  <c r="B121" i="16" s="1"/>
  <c r="U34" i="22"/>
  <c r="AO34" i="22" s="1"/>
  <c r="M34" i="22"/>
  <c r="E34" i="22"/>
  <c r="AM34" i="22" s="1"/>
  <c r="D34" i="22"/>
  <c r="AV33" i="22"/>
  <c r="D120" i="16" s="1"/>
  <c r="AU33" i="22"/>
  <c r="AT33" i="22"/>
  <c r="B120" i="16" s="1"/>
  <c r="U33" i="22"/>
  <c r="M33" i="22"/>
  <c r="E33" i="22"/>
  <c r="D33" i="22"/>
  <c r="AV32" i="22"/>
  <c r="D119" i="16" s="1"/>
  <c r="AU32" i="22"/>
  <c r="C119" i="16" s="1"/>
  <c r="AT32" i="22"/>
  <c r="B119" i="16" s="1"/>
  <c r="U32" i="22"/>
  <c r="AO32" i="22" s="1"/>
  <c r="D839" i="10"/>
  <c r="M32" i="22"/>
  <c r="E32" i="22"/>
  <c r="AM32" i="22" s="1"/>
  <c r="D32" i="22"/>
  <c r="AV31" i="22"/>
  <c r="D118" i="16" s="1"/>
  <c r="AU31" i="22"/>
  <c r="C118" i="16" s="1"/>
  <c r="AT31" i="22"/>
  <c r="B118" i="16" s="1"/>
  <c r="U31" i="22"/>
  <c r="M31" i="22"/>
  <c r="AN31" i="22" s="1"/>
  <c r="AC31" i="22"/>
  <c r="D159" i="17" s="1"/>
  <c r="E31" i="22"/>
  <c r="D31" i="22"/>
  <c r="AV30" i="22"/>
  <c r="D117" i="16" s="1"/>
  <c r="AU30" i="22"/>
  <c r="C117" i="16" s="1"/>
  <c r="AT30" i="22"/>
  <c r="B117" i="16" s="1"/>
  <c r="U30" i="22"/>
  <c r="AO30" i="22" s="1"/>
  <c r="D837" i="10"/>
  <c r="M30" i="22"/>
  <c r="E30" i="22"/>
  <c r="AM30" i="22" s="1"/>
  <c r="D30" i="22"/>
  <c r="AV29" i="22"/>
  <c r="D116" i="16" s="1"/>
  <c r="AU29" i="22"/>
  <c r="C116" i="16" s="1"/>
  <c r="AT29" i="22"/>
  <c r="B116" i="16" s="1"/>
  <c r="U29" i="22"/>
  <c r="AO29" i="22" s="1"/>
  <c r="D836" i="10"/>
  <c r="M29" i="22"/>
  <c r="AN29" i="22" s="1"/>
  <c r="E29" i="22"/>
  <c r="D29" i="22"/>
  <c r="AV28" i="22"/>
  <c r="D115" i="16" s="1"/>
  <c r="AU28" i="22"/>
  <c r="C115" i="16" s="1"/>
  <c r="AT28" i="22"/>
  <c r="B115" i="16" s="1"/>
  <c r="D865" i="10"/>
  <c r="U28" i="22"/>
  <c r="AO28" i="22" s="1"/>
  <c r="M28" i="22"/>
  <c r="E28" i="22"/>
  <c r="D28" i="22"/>
  <c r="AV27" i="22"/>
  <c r="D114" i="16" s="1"/>
  <c r="AU27" i="22"/>
  <c r="C114" i="16" s="1"/>
  <c r="AT27" i="22"/>
  <c r="B114" i="16" s="1"/>
  <c r="U27" i="22"/>
  <c r="D834" i="10"/>
  <c r="M27" i="22"/>
  <c r="AN27" i="22" s="1"/>
  <c r="E27" i="22"/>
  <c r="D27" i="22"/>
  <c r="AV26" i="22"/>
  <c r="D113" i="16" s="1"/>
  <c r="AU26" i="22"/>
  <c r="C113" i="16" s="1"/>
  <c r="AT26" i="22"/>
  <c r="B113" i="16" s="1"/>
  <c r="D863" i="10"/>
  <c r="U26" i="22"/>
  <c r="AO26" i="22" s="1"/>
  <c r="M26" i="22"/>
  <c r="E26" i="22"/>
  <c r="AM26" i="22" s="1"/>
  <c r="D26" i="22"/>
  <c r="AV25" i="22"/>
  <c r="D112" i="16" s="1"/>
  <c r="AU25" i="22"/>
  <c r="C112" i="16" s="1"/>
  <c r="AT25" i="22"/>
  <c r="B112" i="16" s="1"/>
  <c r="U25" i="22"/>
  <c r="M25" i="22"/>
  <c r="E25" i="22"/>
  <c r="D25" i="22"/>
  <c r="AV24" i="22"/>
  <c r="D111" i="16" s="1"/>
  <c r="AU24" i="22"/>
  <c r="C111" i="16" s="1"/>
  <c r="AT24" i="22"/>
  <c r="B111" i="16" s="1"/>
  <c r="D861" i="10"/>
  <c r="U24" i="22"/>
  <c r="AO24" i="22" s="1"/>
  <c r="M24" i="22"/>
  <c r="E24" i="22"/>
  <c r="AM24" i="22" s="1"/>
  <c r="D24" i="22"/>
  <c r="AV23" i="22"/>
  <c r="D110" i="16" s="1"/>
  <c r="AU23" i="22"/>
  <c r="C110" i="16" s="1"/>
  <c r="AT23" i="22"/>
  <c r="B110" i="16" s="1"/>
  <c r="U23" i="22"/>
  <c r="D830" i="10"/>
  <c r="M23" i="22"/>
  <c r="AN23" i="22" s="1"/>
  <c r="E23" i="22"/>
  <c r="AM23" i="22" s="1"/>
  <c r="D23" i="22"/>
  <c r="AV22" i="22"/>
  <c r="D109" i="16" s="1"/>
  <c r="AU22" i="22"/>
  <c r="C109" i="16" s="1"/>
  <c r="AT22" i="22"/>
  <c r="B109" i="16" s="1"/>
  <c r="U22" i="22"/>
  <c r="M22" i="22"/>
  <c r="E22" i="22"/>
  <c r="AM22" i="22" s="1"/>
  <c r="D22" i="22"/>
  <c r="AV21" i="22"/>
  <c r="D108" i="16" s="1"/>
  <c r="AU21" i="22"/>
  <c r="C108" i="16" s="1"/>
  <c r="AT21" i="22"/>
  <c r="B108" i="16" s="1"/>
  <c r="U21" i="22"/>
  <c r="AO21" i="22" s="1"/>
  <c r="D828" i="10"/>
  <c r="M21" i="22"/>
  <c r="AN21" i="22" s="1"/>
  <c r="E21" i="22"/>
  <c r="D21" i="22"/>
  <c r="AV20" i="22"/>
  <c r="D107" i="16" s="1"/>
  <c r="AU20" i="22"/>
  <c r="C107" i="16" s="1"/>
  <c r="AT20" i="22"/>
  <c r="B107" i="16" s="1"/>
  <c r="D857" i="10"/>
  <c r="U20" i="22"/>
  <c r="AO20" i="22" s="1"/>
  <c r="M20" i="22"/>
  <c r="E20" i="22"/>
  <c r="D20" i="22"/>
  <c r="AV19" i="22"/>
  <c r="D106" i="16" s="1"/>
  <c r="AU19" i="22"/>
  <c r="C106" i="16" s="1"/>
  <c r="AT19" i="22"/>
  <c r="B106" i="16" s="1"/>
  <c r="U19" i="22"/>
  <c r="AO19" i="22" s="1"/>
  <c r="D826" i="10"/>
  <c r="M19" i="22"/>
  <c r="AN19" i="22" s="1"/>
  <c r="E19" i="22"/>
  <c r="D19" i="22"/>
  <c r="AV18" i="22"/>
  <c r="AU18" i="22"/>
  <c r="C105" i="16" s="1"/>
  <c r="AT18" i="22"/>
  <c r="B105" i="16" s="1"/>
  <c r="D855" i="10"/>
  <c r="U18" i="22"/>
  <c r="AO18" i="22" s="1"/>
  <c r="M18" i="22"/>
  <c r="E18" i="22"/>
  <c r="AM18" i="22" s="1"/>
  <c r="D18" i="22"/>
  <c r="AV17" i="22"/>
  <c r="D104" i="16" s="1"/>
  <c r="AU17" i="22"/>
  <c r="C104" i="16" s="1"/>
  <c r="AT17" i="22"/>
  <c r="B104" i="16" s="1"/>
  <c r="U17" i="22"/>
  <c r="AO17" i="22" s="1"/>
  <c r="M17" i="22"/>
  <c r="AC17" i="22"/>
  <c r="C145" i="17" s="1"/>
  <c r="E145" i="17" s="1"/>
  <c r="F145" i="17" s="1"/>
  <c r="E17" i="22"/>
  <c r="D17" i="22"/>
  <c r="AV16" i="22"/>
  <c r="D103" i="16" s="1"/>
  <c r="AU16" i="22"/>
  <c r="C103" i="16" s="1"/>
  <c r="AT16" i="22"/>
  <c r="B103" i="16" s="1"/>
  <c r="AA16" i="22"/>
  <c r="AB16" i="22" s="1"/>
  <c r="U16" i="22"/>
  <c r="AO16" i="22" s="1"/>
  <c r="M16" i="22"/>
  <c r="E16" i="22"/>
  <c r="AM16" i="22" s="1"/>
  <c r="D16" i="22"/>
  <c r="AV15" i="22"/>
  <c r="D102" i="16" s="1"/>
  <c r="AU15" i="22"/>
  <c r="C102" i="16" s="1"/>
  <c r="AT15" i="22"/>
  <c r="B102" i="16" s="1"/>
  <c r="U15" i="22"/>
  <c r="AO15" i="22" s="1"/>
  <c r="M15" i="22"/>
  <c r="AN15" i="22" s="1"/>
  <c r="E15" i="22"/>
  <c r="AM15" i="22" s="1"/>
  <c r="D15" i="22"/>
  <c r="AV14" i="22"/>
  <c r="D101" i="16" s="1"/>
  <c r="AU14" i="22"/>
  <c r="C101" i="16" s="1"/>
  <c r="AT14" i="22"/>
  <c r="B101" i="16" s="1"/>
  <c r="U14" i="22"/>
  <c r="AO14" i="22" s="1"/>
  <c r="M14" i="22"/>
  <c r="E14" i="22"/>
  <c r="AM14" i="22" s="1"/>
  <c r="B142" i="17"/>
  <c r="A14" i="22"/>
  <c r="B13" i="23" s="1"/>
  <c r="H13" i="23" s="1"/>
  <c r="AV13" i="22"/>
  <c r="D100" i="16" s="1"/>
  <c r="AU13" i="22"/>
  <c r="C100" i="16" s="1"/>
  <c r="AT13" i="22"/>
  <c r="B100" i="16" s="1"/>
  <c r="U13" i="22"/>
  <c r="M13" i="22"/>
  <c r="AN13" i="22" s="1"/>
  <c r="E13" i="22"/>
  <c r="D13" i="22"/>
  <c r="AV12" i="22"/>
  <c r="D99" i="16" s="1"/>
  <c r="AU12" i="22"/>
  <c r="AT12" i="22"/>
  <c r="B99" i="16" s="1"/>
  <c r="U12" i="22"/>
  <c r="AO12" i="22" s="1"/>
  <c r="M12" i="22"/>
  <c r="AN12" i="22" s="1"/>
  <c r="E12" i="22"/>
  <c r="AM12" i="22" s="1"/>
  <c r="D12" i="22"/>
  <c r="AV11" i="22"/>
  <c r="D98" i="16" s="1"/>
  <c r="AU11" i="22"/>
  <c r="C98" i="16" s="1"/>
  <c r="AT11" i="22"/>
  <c r="B98" i="16" s="1"/>
  <c r="U11" i="22"/>
  <c r="M11" i="22"/>
  <c r="AN11" i="22" s="1"/>
  <c r="E11" i="22"/>
  <c r="B139" i="17"/>
  <c r="AV10" i="22"/>
  <c r="D97" i="16" s="1"/>
  <c r="AU10" i="22"/>
  <c r="C97" i="16" s="1"/>
  <c r="AT10" i="22"/>
  <c r="B97" i="16" s="1"/>
  <c r="U10" i="22"/>
  <c r="AO10" i="22" s="1"/>
  <c r="M10" i="22"/>
  <c r="E10" i="22"/>
  <c r="D10" i="22"/>
  <c r="AV9" i="22"/>
  <c r="D96" i="16" s="1"/>
  <c r="AU9" i="22"/>
  <c r="C96" i="16" s="1"/>
  <c r="AT9" i="22"/>
  <c r="B96" i="16" s="1"/>
  <c r="U9" i="22"/>
  <c r="M9" i="22"/>
  <c r="E9" i="22"/>
  <c r="D9" i="22"/>
  <c r="AV8" i="22"/>
  <c r="D95" i="16" s="1"/>
  <c r="AU8" i="22"/>
  <c r="C95" i="16" s="1"/>
  <c r="AT8" i="22"/>
  <c r="B95" i="16" s="1"/>
  <c r="U8" i="22"/>
  <c r="AO8" i="22" s="1"/>
  <c r="M8" i="22"/>
  <c r="E8" i="22"/>
  <c r="AM8" i="22" s="1"/>
  <c r="B136" i="17"/>
  <c r="AV7" i="22"/>
  <c r="D94" i="16" s="1"/>
  <c r="AU7" i="22"/>
  <c r="C94" i="16" s="1"/>
  <c r="AT7" i="22"/>
  <c r="B94" i="16" s="1"/>
  <c r="U7" i="22"/>
  <c r="M7" i="22"/>
  <c r="E7" i="22"/>
  <c r="D7" i="22"/>
  <c r="AV6" i="22"/>
  <c r="D93" i="16" s="1"/>
  <c r="AU6" i="22"/>
  <c r="C93" i="16" s="1"/>
  <c r="AT6" i="22"/>
  <c r="B93" i="16" s="1"/>
  <c r="D843" i="10"/>
  <c r="U6" i="22"/>
  <c r="AO6" i="22" s="1"/>
  <c r="M6" i="22"/>
  <c r="AC6" i="22"/>
  <c r="AC7" i="22"/>
  <c r="C135" i="17" s="1"/>
  <c r="E135" i="17" s="1"/>
  <c r="F135" i="17" s="1"/>
  <c r="AC8" i="22"/>
  <c r="C136" i="17" s="1"/>
  <c r="E136" i="17" s="1"/>
  <c r="F136" i="17" s="1"/>
  <c r="AC9" i="22"/>
  <c r="C137" i="17" s="1"/>
  <c r="E137" i="17" s="1"/>
  <c r="F137" i="17" s="1"/>
  <c r="AC10" i="22"/>
  <c r="C138" i="17" s="1"/>
  <c r="E138" i="17" s="1"/>
  <c r="F138" i="17" s="1"/>
  <c r="AC14" i="22"/>
  <c r="C142" i="17" s="1"/>
  <c r="E142" i="17" s="1"/>
  <c r="F142" i="17" s="1"/>
  <c r="AC16" i="22"/>
  <c r="C144" i="17" s="1"/>
  <c r="E144" i="17" s="1"/>
  <c r="F144" i="17" s="1"/>
  <c r="AC18" i="22"/>
  <c r="C146" i="17" s="1"/>
  <c r="E146" i="17" s="1"/>
  <c r="F146" i="17" s="1"/>
  <c r="AC22" i="22"/>
  <c r="C150" i="17" s="1"/>
  <c r="E150" i="17" s="1"/>
  <c r="F150" i="17" s="1"/>
  <c r="AC24" i="22"/>
  <c r="C152" i="17" s="1"/>
  <c r="E152" i="17" s="1"/>
  <c r="F152" i="17" s="1"/>
  <c r="AC26" i="22"/>
  <c r="C154" i="17" s="1"/>
  <c r="E154" i="17" s="1"/>
  <c r="F154" i="17" s="1"/>
  <c r="AC30" i="22"/>
  <c r="C158" i="17" s="1"/>
  <c r="E158" i="17" s="1"/>
  <c r="F158" i="17" s="1"/>
  <c r="AC32" i="22"/>
  <c r="C160" i="17" s="1"/>
  <c r="E160" i="17" s="1"/>
  <c r="F160" i="17" s="1"/>
  <c r="AC34" i="22"/>
  <c r="C162" i="17" s="1"/>
  <c r="E162" i="17" s="1"/>
  <c r="F162" i="17" s="1"/>
  <c r="E6" i="22"/>
  <c r="AM6" i="22" s="1"/>
  <c r="D6" i="22"/>
  <c r="AV5" i="22"/>
  <c r="D92" i="16" s="1"/>
  <c r="AU5" i="22"/>
  <c r="C92" i="16" s="1"/>
  <c r="U5" i="22"/>
  <c r="M5" i="22"/>
  <c r="E5" i="22"/>
  <c r="X2" i="22"/>
  <c r="C2" i="22"/>
  <c r="D1" i="22"/>
  <c r="E1" i="22" s="1"/>
  <c r="F1" i="22" s="1"/>
  <c r="G1" i="22" s="1"/>
  <c r="H1" i="22" s="1"/>
  <c r="I1" i="22" s="1"/>
  <c r="J1" i="22" s="1"/>
  <c r="K1" i="22" s="1"/>
  <c r="L1" i="22" s="1"/>
  <c r="M1" i="22" s="1"/>
  <c r="N1" i="22" s="1"/>
  <c r="O1" i="22" s="1"/>
  <c r="P1" i="22" s="1"/>
  <c r="Q1" i="22" s="1"/>
  <c r="R1" i="22" s="1"/>
  <c r="S1" i="22" s="1"/>
  <c r="T1" i="22" s="1"/>
  <c r="U1" i="22" s="1"/>
  <c r="V1" i="22" s="1"/>
  <c r="W1" i="22" s="1"/>
  <c r="X1" i="22" s="1"/>
  <c r="Y1" i="22" s="1"/>
  <c r="Z1" i="22" s="1"/>
  <c r="AA1" i="22" s="1"/>
  <c r="AB1" i="22" s="1"/>
  <c r="AC1" i="22" s="1"/>
  <c r="AD1" i="22" s="1"/>
  <c r="AE1" i="22" s="1"/>
  <c r="AF1" i="22" s="1"/>
  <c r="AG1" i="22" s="1"/>
  <c r="AH1" i="22" s="1"/>
  <c r="AI1" i="22" s="1"/>
  <c r="AJ1" i="22" s="1"/>
  <c r="AK1" i="22" s="1"/>
  <c r="AL1" i="22" s="1"/>
  <c r="AM1" i="22" s="1"/>
  <c r="AN1" i="22" s="1"/>
  <c r="AO1" i="22" s="1"/>
  <c r="AP1" i="22" s="1"/>
  <c r="AR1" i="22" s="1"/>
  <c r="AS1" i="22" s="1"/>
  <c r="AT1" i="22" s="1"/>
  <c r="AU1" i="22" s="1"/>
  <c r="AV1" i="22" s="1"/>
  <c r="AW1" i="22" s="1"/>
  <c r="D895" i="10"/>
  <c r="AC71" i="22"/>
  <c r="D323" i="17" s="1"/>
  <c r="AC73" i="22"/>
  <c r="C325" i="17" s="1"/>
  <c r="E325" i="17" s="1"/>
  <c r="F325" i="17" s="1"/>
  <c r="D900" i="10"/>
  <c r="D881" i="10"/>
  <c r="D785" i="10"/>
  <c r="K15" i="22"/>
  <c r="L15" i="22" s="1"/>
  <c r="S15" i="22"/>
  <c r="T15" i="22" s="1"/>
  <c r="K16" i="22"/>
  <c r="L16" i="22" s="1"/>
  <c r="I16" i="22"/>
  <c r="J16" i="22" s="1"/>
  <c r="K18" i="22"/>
  <c r="L18" i="22" s="1"/>
  <c r="I18" i="22"/>
  <c r="J18" i="22" s="1"/>
  <c r="AA18" i="22"/>
  <c r="AB18" i="22" s="1"/>
  <c r="Y18" i="22"/>
  <c r="Z18" i="22" s="1"/>
  <c r="K19" i="22"/>
  <c r="L19" i="22" s="1"/>
  <c r="Q19" i="22"/>
  <c r="R19" i="22" s="1"/>
  <c r="S19" i="22"/>
  <c r="T19" i="22" s="1"/>
  <c r="K20" i="22"/>
  <c r="L20" i="22" s="1"/>
  <c r="I20" i="22"/>
  <c r="J20" i="22" s="1"/>
  <c r="AA20" i="22"/>
  <c r="AB20" i="22" s="1"/>
  <c r="Y20" i="22"/>
  <c r="Z20" i="22" s="1"/>
  <c r="K21" i="22"/>
  <c r="L21" i="22" s="1"/>
  <c r="S21" i="22"/>
  <c r="T21" i="22" s="1"/>
  <c r="Q21" i="22"/>
  <c r="R21" i="22" s="1"/>
  <c r="K32" i="22"/>
  <c r="L32" i="22" s="1"/>
  <c r="I32" i="22"/>
  <c r="J32" i="22" s="1"/>
  <c r="AA32" i="22"/>
  <c r="AB32" i="22" s="1"/>
  <c r="K34" i="22"/>
  <c r="L34" i="22" s="1"/>
  <c r="I34" i="22"/>
  <c r="J34" i="22" s="1"/>
  <c r="S34" i="22"/>
  <c r="T34" i="22" s="1"/>
  <c r="Y34" i="22"/>
  <c r="Z34" i="22" s="1"/>
  <c r="S48" i="22"/>
  <c r="T48" i="22" s="1"/>
  <c r="S50" i="22"/>
  <c r="T50" i="22" s="1"/>
  <c r="Q53" i="22"/>
  <c r="R53" i="22" s="1"/>
  <c r="S57" i="22"/>
  <c r="T57" i="22" s="1"/>
  <c r="K61" i="22"/>
  <c r="L61" i="22" s="1"/>
  <c r="I61" i="22"/>
  <c r="J61" i="22" s="1"/>
  <c r="AA61" i="22"/>
  <c r="AB61" i="22" s="1"/>
  <c r="Y61" i="22"/>
  <c r="Z61" i="22" s="1"/>
  <c r="K62" i="22"/>
  <c r="L62" i="22" s="1"/>
  <c r="AC62" i="22"/>
  <c r="C314" i="17" s="1"/>
  <c r="E314" i="17" s="1"/>
  <c r="F314" i="17" s="1"/>
  <c r="Q62" i="22"/>
  <c r="R62" i="22" s="1"/>
  <c r="S62" i="22"/>
  <c r="T62" i="22" s="1"/>
  <c r="Y62" i="22"/>
  <c r="Z62" i="22" s="1"/>
  <c r="I8" i="22"/>
  <c r="J8" i="22" s="1"/>
  <c r="AA8" i="22"/>
  <c r="AB8" i="22" s="1"/>
  <c r="I17" i="22"/>
  <c r="J17" i="22" s="1"/>
  <c r="S17" i="22"/>
  <c r="T17" i="22" s="1"/>
  <c r="Q17" i="22"/>
  <c r="R17" i="22" s="1"/>
  <c r="Y17" i="22"/>
  <c r="Z17" i="22" s="1"/>
  <c r="Q22" i="22"/>
  <c r="R22" i="22" s="1"/>
  <c r="K30" i="22"/>
  <c r="L30" i="22" s="1"/>
  <c r="I30" i="22"/>
  <c r="J30" i="22" s="1"/>
  <c r="Y30" i="22"/>
  <c r="Z30" i="22" s="1"/>
  <c r="I31" i="22"/>
  <c r="J31" i="22" s="1"/>
  <c r="S31" i="22"/>
  <c r="T31" i="22" s="1"/>
  <c r="K59" i="22"/>
  <c r="L59" i="22" s="1"/>
  <c r="I59" i="22"/>
  <c r="J59" i="22" s="1"/>
  <c r="AA59" i="22"/>
  <c r="AB59" i="22" s="1"/>
  <c r="Y59" i="22"/>
  <c r="Z59" i="22" s="1"/>
  <c r="I60" i="22"/>
  <c r="J60" i="22" s="1"/>
  <c r="S60" i="22"/>
  <c r="T60" i="22" s="1"/>
  <c r="Q60" i="22"/>
  <c r="R60" i="22" s="1"/>
  <c r="I7" i="22"/>
  <c r="J7" i="22" s="1"/>
  <c r="AA7" i="22"/>
  <c r="AB7" i="22" s="1"/>
  <c r="Q13" i="22"/>
  <c r="R13" i="22" s="1"/>
  <c r="Y13" i="22"/>
  <c r="Z13" i="22" s="1"/>
  <c r="S20" i="22"/>
  <c r="T20" i="22" s="1"/>
  <c r="K26" i="22"/>
  <c r="L26" i="22" s="1"/>
  <c r="I26" i="22"/>
  <c r="J26" i="22" s="1"/>
  <c r="AA26" i="22"/>
  <c r="AB26" i="22" s="1"/>
  <c r="Y26" i="22"/>
  <c r="Z26" i="22" s="1"/>
  <c r="I27" i="22"/>
  <c r="J27" i="22" s="1"/>
  <c r="Q27" i="22"/>
  <c r="R27" i="22" s="1"/>
  <c r="S27" i="22"/>
  <c r="T27" i="22" s="1"/>
  <c r="Y27" i="22"/>
  <c r="Z27" i="22" s="1"/>
  <c r="K28" i="22"/>
  <c r="L28" i="22" s="1"/>
  <c r="I28" i="22"/>
  <c r="J28" i="22" s="1"/>
  <c r="AA28" i="22"/>
  <c r="AB28" i="22" s="1"/>
  <c r="Y28" i="22"/>
  <c r="Z28" i="22" s="1"/>
  <c r="S29" i="22"/>
  <c r="T29" i="22" s="1"/>
  <c r="Q29" i="22"/>
  <c r="R29" i="22" s="1"/>
  <c r="Y29" i="22"/>
  <c r="Z29" i="22" s="1"/>
  <c r="S33" i="22"/>
  <c r="T33" i="22" s="1"/>
  <c r="Y46" i="22"/>
  <c r="Z46" i="22" s="1"/>
  <c r="K47" i="22"/>
  <c r="I47" i="22"/>
  <c r="J47" i="22" s="1"/>
  <c r="Y47" i="22"/>
  <c r="Z47" i="22" s="1"/>
  <c r="AA48" i="22"/>
  <c r="AB48" i="22" s="1"/>
  <c r="K49" i="22"/>
  <c r="I49" i="22"/>
  <c r="J49" i="22" s="1"/>
  <c r="K51" i="22"/>
  <c r="I51" i="22"/>
  <c r="J51" i="22" s="1"/>
  <c r="AA51" i="22"/>
  <c r="Y51" i="22"/>
  <c r="Z51" i="22" s="1"/>
  <c r="K53" i="22"/>
  <c r="L53" i="22" s="1"/>
  <c r="I53" i="22"/>
  <c r="J53" i="22" s="1"/>
  <c r="AA53" i="22"/>
  <c r="AB53" i="22" s="1"/>
  <c r="Y53" i="22"/>
  <c r="Z53" i="22" s="1"/>
  <c r="K55" i="22"/>
  <c r="L55" i="22" s="1"/>
  <c r="I55" i="22"/>
  <c r="J55" i="22" s="1"/>
  <c r="AA55" i="22"/>
  <c r="AB55" i="22" s="1"/>
  <c r="Y55" i="22"/>
  <c r="Z55" i="22" s="1"/>
  <c r="K56" i="22"/>
  <c r="L56" i="22" s="1"/>
  <c r="S56" i="22"/>
  <c r="T56" i="22" s="1"/>
  <c r="Q56" i="22"/>
  <c r="R56" i="22" s="1"/>
  <c r="AA56" i="22"/>
  <c r="AB56" i="22" s="1"/>
  <c r="K57" i="22"/>
  <c r="L57" i="22" s="1"/>
  <c r="I57" i="22"/>
  <c r="J57" i="22" s="1"/>
  <c r="AA57" i="22"/>
  <c r="AB57" i="22" s="1"/>
  <c r="Y57" i="22"/>
  <c r="Z57" i="22" s="1"/>
  <c r="I58" i="22"/>
  <c r="J58" i="22" s="1"/>
  <c r="S58" i="22"/>
  <c r="T58" i="22" s="1"/>
  <c r="Q58" i="22"/>
  <c r="R58" i="22" s="1"/>
  <c r="AA58" i="22"/>
  <c r="AB58" i="22" s="1"/>
  <c r="Q61" i="22"/>
  <c r="R61" i="22" s="1"/>
  <c r="Q9" i="22"/>
  <c r="R9" i="22" s="1"/>
  <c r="I11" i="22"/>
  <c r="J11" i="22" s="1"/>
  <c r="Q11" i="22"/>
  <c r="R11" i="22" s="1"/>
  <c r="K12" i="22"/>
  <c r="I12" i="22"/>
  <c r="J12" i="22" s="1"/>
  <c r="K14" i="22"/>
  <c r="L14" i="22" s="1"/>
  <c r="I14" i="22"/>
  <c r="J14" i="22" s="1"/>
  <c r="K22" i="22"/>
  <c r="L22" i="22" s="1"/>
  <c r="I22" i="22"/>
  <c r="J22" i="22" s="1"/>
  <c r="AA22" i="22"/>
  <c r="AB22" i="22" s="1"/>
  <c r="Y22" i="22"/>
  <c r="Z22" i="22" s="1"/>
  <c r="I23" i="22"/>
  <c r="J23" i="22" s="1"/>
  <c r="S23" i="22"/>
  <c r="T23" i="22" s="1"/>
  <c r="Q23" i="22"/>
  <c r="R23" i="22" s="1"/>
  <c r="K24" i="22"/>
  <c r="L24" i="22" s="1"/>
  <c r="I24" i="22"/>
  <c r="J24" i="22" s="1"/>
  <c r="Y24" i="22"/>
  <c r="Z24" i="22" s="1"/>
  <c r="AA24" i="22"/>
  <c r="AB24" i="22" s="1"/>
  <c r="K25" i="22"/>
  <c r="L25" i="22" s="1"/>
  <c r="AA25" i="22"/>
  <c r="AB25" i="22" s="1"/>
  <c r="I54" i="22"/>
  <c r="J54" i="22" s="1"/>
  <c r="Q54" i="22"/>
  <c r="R54" i="22" s="1"/>
  <c r="S54" i="22"/>
  <c r="T54" i="22" s="1"/>
  <c r="S59" i="22"/>
  <c r="T59" i="22" s="1"/>
  <c r="K63" i="22"/>
  <c r="L63" i="22" s="1"/>
  <c r="I63" i="22"/>
  <c r="J63" i="22" s="1"/>
  <c r="AA63" i="22"/>
  <c r="AB63" i="22" s="1"/>
  <c r="Y63" i="22"/>
  <c r="Z63" i="22" s="1"/>
  <c r="K64" i="22"/>
  <c r="L64" i="22" s="1"/>
  <c r="AC64" i="22"/>
  <c r="C316" i="17" s="1"/>
  <c r="E316" i="17" s="1"/>
  <c r="F316" i="17" s="1"/>
  <c r="S64" i="22"/>
  <c r="T64" i="22" s="1"/>
  <c r="Q64" i="22"/>
  <c r="R64" i="22" s="1"/>
  <c r="Q65" i="22"/>
  <c r="R65" i="22" s="1"/>
  <c r="K65" i="22"/>
  <c r="L65" i="22" s="1"/>
  <c r="I65" i="22"/>
  <c r="J65" i="22" s="1"/>
  <c r="AA65" i="22"/>
  <c r="AB65" i="22" s="1"/>
  <c r="Y65" i="22"/>
  <c r="Z65" i="22" s="1"/>
  <c r="S66" i="22"/>
  <c r="T66" i="22" s="1"/>
  <c r="Q66" i="22"/>
  <c r="R66" i="22" s="1"/>
  <c r="AA66" i="22"/>
  <c r="AB66" i="22" s="1"/>
  <c r="K67" i="22"/>
  <c r="L67" i="22" s="1"/>
  <c r="I67" i="22"/>
  <c r="J67" i="22" s="1"/>
  <c r="AA67" i="22"/>
  <c r="AB67" i="22" s="1"/>
  <c r="Y67" i="22"/>
  <c r="Z67" i="22" s="1"/>
  <c r="K68" i="22"/>
  <c r="L68" i="22" s="1"/>
  <c r="S68" i="22"/>
  <c r="T68" i="22" s="1"/>
  <c r="Q68" i="22"/>
  <c r="R68" i="22" s="1"/>
  <c r="AA64" i="22"/>
  <c r="AB64" i="22" s="1"/>
  <c r="S69" i="22"/>
  <c r="T69" i="22" s="1"/>
  <c r="I70" i="22"/>
  <c r="J70" i="22" s="1"/>
  <c r="Y70" i="22"/>
  <c r="Z70" i="22" s="1"/>
  <c r="K71" i="22"/>
  <c r="L71" i="22" s="1"/>
  <c r="I71" i="22"/>
  <c r="J71" i="22" s="1"/>
  <c r="AA71" i="22"/>
  <c r="AB71" i="22" s="1"/>
  <c r="Y71" i="22"/>
  <c r="Z71" i="22" s="1"/>
  <c r="K72" i="22"/>
  <c r="L72" i="22" s="1"/>
  <c r="AA72" i="22"/>
  <c r="AB72" i="22" s="1"/>
  <c r="K73" i="22"/>
  <c r="L73" i="22" s="1"/>
  <c r="I73" i="22"/>
  <c r="J73" i="22" s="1"/>
  <c r="S73" i="22"/>
  <c r="T73" i="22" s="1"/>
  <c r="AA73" i="22"/>
  <c r="AB73" i="22" s="1"/>
  <c r="Y73" i="22"/>
  <c r="Z73" i="22" s="1"/>
  <c r="S67" i="22"/>
  <c r="T67" i="22" s="1"/>
  <c r="K69" i="22"/>
  <c r="L69" i="22" s="1"/>
  <c r="I69" i="22"/>
  <c r="J69" i="22" s="1"/>
  <c r="AA69" i="22"/>
  <c r="AB69" i="22" s="1"/>
  <c r="Y69" i="22"/>
  <c r="Z69" i="22" s="1"/>
  <c r="S72" i="22"/>
  <c r="T72" i="22" s="1"/>
  <c r="Q72" i="22"/>
  <c r="R72" i="22" s="1"/>
  <c r="AA74" i="22"/>
  <c r="AB74" i="22" s="1"/>
  <c r="S74" i="22"/>
  <c r="T74" i="22" s="1"/>
  <c r="Q74" i="22"/>
  <c r="R74" i="22" s="1"/>
  <c r="AA45" i="22"/>
  <c r="AB45" i="22" s="1"/>
  <c r="Y45" i="22"/>
  <c r="Z45" i="22" s="1"/>
  <c r="Q45" i="22"/>
  <c r="R45" i="22" s="1"/>
  <c r="K45" i="22"/>
  <c r="L45" i="22" s="1"/>
  <c r="I45" i="22"/>
  <c r="J45" i="22" s="1"/>
  <c r="AA6" i="22"/>
  <c r="AB6" i="22" s="1"/>
  <c r="Y6" i="22"/>
  <c r="Z6" i="22" s="1"/>
  <c r="Q6" i="22"/>
  <c r="R6" i="22" s="1"/>
  <c r="AC46" i="22"/>
  <c r="D298" i="17" s="1"/>
  <c r="AC55" i="22"/>
  <c r="D307" i="17" s="1"/>
  <c r="AC59" i="22"/>
  <c r="C311" i="17" s="1"/>
  <c r="E311" i="17" s="1"/>
  <c r="F311" i="17" s="1"/>
  <c r="AC61" i="22"/>
  <c r="C313" i="17" s="1"/>
  <c r="E313" i="17" s="1"/>
  <c r="F313" i="17" s="1"/>
  <c r="AC69" i="22"/>
  <c r="D321" i="17" s="1"/>
  <c r="AC45" i="22"/>
  <c r="C297" i="17" s="1"/>
  <c r="E297" i="17" s="1"/>
  <c r="F297" i="17" s="1"/>
  <c r="AC47" i="22"/>
  <c r="D299" i="17" s="1"/>
  <c r="AC49" i="22"/>
  <c r="C301" i="17" s="1"/>
  <c r="E301" i="17" s="1"/>
  <c r="F301" i="17" s="1"/>
  <c r="AC51" i="22"/>
  <c r="D303" i="17" s="1"/>
  <c r="AC53" i="22"/>
  <c r="C305" i="17" s="1"/>
  <c r="E305" i="17" s="1"/>
  <c r="F305" i="17" s="1"/>
  <c r="AC57" i="22"/>
  <c r="C309" i="17" s="1"/>
  <c r="E309" i="17" s="1"/>
  <c r="F309" i="17" s="1"/>
  <c r="AC65" i="22"/>
  <c r="C317" i="17" s="1"/>
  <c r="E317" i="17" s="1"/>
  <c r="F317" i="17" s="1"/>
  <c r="AC70" i="22"/>
  <c r="C322" i="17" s="1"/>
  <c r="E322" i="17" s="1"/>
  <c r="F322" i="17" s="1"/>
  <c r="AC63" i="22"/>
  <c r="C315" i="17" s="1"/>
  <c r="E315" i="17" s="1"/>
  <c r="F315" i="17" s="1"/>
  <c r="AC67" i="22"/>
  <c r="C319" i="17" s="1"/>
  <c r="E319" i="17" s="1"/>
  <c r="F319" i="17" s="1"/>
  <c r="I86" i="12"/>
  <c r="G503" i="10" s="1"/>
  <c r="Y86" i="12"/>
  <c r="G603" i="10" s="1"/>
  <c r="I65" i="12"/>
  <c r="Y65" i="12"/>
  <c r="I91" i="12"/>
  <c r="G508" i="10" s="1"/>
  <c r="Y91" i="12"/>
  <c r="G608" i="10" s="1"/>
  <c r="Y62" i="14"/>
  <c r="Y62" i="12"/>
  <c r="I87" i="12"/>
  <c r="G504" i="10" s="1"/>
  <c r="I88" i="12"/>
  <c r="G505" i="10" s="1"/>
  <c r="Y87" i="12"/>
  <c r="G604" i="10" s="1"/>
  <c r="Y88" i="12"/>
  <c r="G605" i="10" s="1"/>
  <c r="G521" i="19"/>
  <c r="G303" i="19"/>
  <c r="E781" i="10"/>
  <c r="C781" i="10"/>
  <c r="A781" i="10"/>
  <c r="E780" i="10"/>
  <c r="C780" i="10"/>
  <c r="A780" i="10"/>
  <c r="E779" i="10"/>
  <c r="C779" i="10"/>
  <c r="A779" i="10"/>
  <c r="E778" i="10"/>
  <c r="C778" i="10"/>
  <c r="A778" i="10"/>
  <c r="E777" i="10"/>
  <c r="C777" i="10"/>
  <c r="A777" i="10"/>
  <c r="E776" i="10"/>
  <c r="C776" i="10"/>
  <c r="A776" i="10"/>
  <c r="E775" i="10"/>
  <c r="C775" i="10"/>
  <c r="A775" i="10"/>
  <c r="E774" i="10"/>
  <c r="C774" i="10"/>
  <c r="A774" i="10"/>
  <c r="E773" i="10"/>
  <c r="C773" i="10"/>
  <c r="A773" i="10"/>
  <c r="E772" i="10"/>
  <c r="C772" i="10"/>
  <c r="A772" i="10"/>
  <c r="E771" i="10"/>
  <c r="C771" i="10"/>
  <c r="A771" i="10"/>
  <c r="E770" i="10"/>
  <c r="C770" i="10"/>
  <c r="A770" i="10"/>
  <c r="E769" i="10"/>
  <c r="C769" i="10"/>
  <c r="A769" i="10"/>
  <c r="E768" i="10"/>
  <c r="C768" i="10"/>
  <c r="A768" i="10"/>
  <c r="E767" i="10"/>
  <c r="C767" i="10"/>
  <c r="A767" i="10"/>
  <c r="E766" i="10"/>
  <c r="C766" i="10"/>
  <c r="A766" i="10"/>
  <c r="E765" i="10"/>
  <c r="C765" i="10"/>
  <c r="A765" i="10"/>
  <c r="E764" i="10"/>
  <c r="C764" i="10"/>
  <c r="A764" i="10"/>
  <c r="E763" i="10"/>
  <c r="C763" i="10"/>
  <c r="A763" i="10"/>
  <c r="E762" i="10"/>
  <c r="C762" i="10"/>
  <c r="A762" i="10"/>
  <c r="E761" i="10"/>
  <c r="C761" i="10"/>
  <c r="A761" i="10"/>
  <c r="E760" i="10"/>
  <c r="C760" i="10"/>
  <c r="A760" i="10"/>
  <c r="E759" i="10"/>
  <c r="C759" i="10"/>
  <c r="A759" i="10"/>
  <c r="E758" i="10"/>
  <c r="C758" i="10"/>
  <c r="A758" i="10"/>
  <c r="E757" i="10"/>
  <c r="C757" i="10"/>
  <c r="A757" i="10"/>
  <c r="E756" i="10"/>
  <c r="C756" i="10"/>
  <c r="A756" i="10"/>
  <c r="E755" i="10"/>
  <c r="C755" i="10"/>
  <c r="A755" i="10"/>
  <c r="E754" i="10"/>
  <c r="C754" i="10"/>
  <c r="A754" i="10"/>
  <c r="E753" i="10"/>
  <c r="C753" i="10"/>
  <c r="A753" i="10"/>
  <c r="E732" i="10"/>
  <c r="C732" i="10"/>
  <c r="A732" i="10"/>
  <c r="E731" i="10"/>
  <c r="C731" i="10"/>
  <c r="A731" i="10"/>
  <c r="E730" i="10"/>
  <c r="C730" i="10"/>
  <c r="A730" i="10"/>
  <c r="E729" i="10"/>
  <c r="C729" i="10"/>
  <c r="A729" i="10"/>
  <c r="E728" i="10"/>
  <c r="C728" i="10"/>
  <c r="A728" i="10"/>
  <c r="E727" i="10"/>
  <c r="C727" i="10"/>
  <c r="A727" i="10"/>
  <c r="E726" i="10"/>
  <c r="C726" i="10"/>
  <c r="A726" i="10"/>
  <c r="E725" i="10"/>
  <c r="C725" i="10"/>
  <c r="A725" i="10"/>
  <c r="E724" i="10"/>
  <c r="C724" i="10"/>
  <c r="A724" i="10"/>
  <c r="E723" i="10"/>
  <c r="C723" i="10"/>
  <c r="A723" i="10"/>
  <c r="E722" i="10"/>
  <c r="C722" i="10"/>
  <c r="A722" i="10"/>
  <c r="E721" i="10"/>
  <c r="C721" i="10"/>
  <c r="A721" i="10"/>
  <c r="E720" i="10"/>
  <c r="C720" i="10"/>
  <c r="A720" i="10"/>
  <c r="E719" i="10"/>
  <c r="C719" i="10"/>
  <c r="A719" i="10"/>
  <c r="E718" i="10"/>
  <c r="C718" i="10"/>
  <c r="A718" i="10"/>
  <c r="E717" i="10"/>
  <c r="C717" i="10"/>
  <c r="A717" i="10"/>
  <c r="E716" i="10"/>
  <c r="C716" i="10"/>
  <c r="A716" i="10"/>
  <c r="E715" i="10"/>
  <c r="C715" i="10"/>
  <c r="A715" i="10"/>
  <c r="E714" i="10"/>
  <c r="C714" i="10"/>
  <c r="A714" i="10"/>
  <c r="E713" i="10"/>
  <c r="C713" i="10"/>
  <c r="A713" i="10"/>
  <c r="E712" i="10"/>
  <c r="C712" i="10"/>
  <c r="A712" i="10"/>
  <c r="E711" i="10"/>
  <c r="C711" i="10"/>
  <c r="A711" i="10"/>
  <c r="E710" i="10"/>
  <c r="C710" i="10"/>
  <c r="A710" i="10"/>
  <c r="E709" i="10"/>
  <c r="C709" i="10"/>
  <c r="A709" i="10"/>
  <c r="E708" i="10"/>
  <c r="C708" i="10"/>
  <c r="A708" i="10"/>
  <c r="E707" i="10"/>
  <c r="C707" i="10"/>
  <c r="A707" i="10"/>
  <c r="E706" i="10"/>
  <c r="C706" i="10"/>
  <c r="A706" i="10"/>
  <c r="E705" i="10"/>
  <c r="C705" i="10"/>
  <c r="A705" i="10"/>
  <c r="E704" i="10"/>
  <c r="C704" i="10"/>
  <c r="A704" i="10"/>
  <c r="E703" i="10"/>
  <c r="C703" i="10"/>
  <c r="A703" i="10"/>
  <c r="E682" i="10"/>
  <c r="C682" i="10"/>
  <c r="A682" i="10"/>
  <c r="E681" i="10"/>
  <c r="C681" i="10"/>
  <c r="A681" i="10"/>
  <c r="E680" i="10"/>
  <c r="C680" i="10"/>
  <c r="A680" i="10"/>
  <c r="E679" i="10"/>
  <c r="C679" i="10"/>
  <c r="A679" i="10"/>
  <c r="E678" i="10"/>
  <c r="C678" i="10"/>
  <c r="A678" i="10"/>
  <c r="E677" i="10"/>
  <c r="C677" i="10"/>
  <c r="A677" i="10"/>
  <c r="E676" i="10"/>
  <c r="C676" i="10"/>
  <c r="A676" i="10"/>
  <c r="E675" i="10"/>
  <c r="C675" i="10"/>
  <c r="A675" i="10"/>
  <c r="E674" i="10"/>
  <c r="C674" i="10"/>
  <c r="A674" i="10"/>
  <c r="E673" i="10"/>
  <c r="C673" i="10"/>
  <c r="A673" i="10"/>
  <c r="E672" i="10"/>
  <c r="C672" i="10"/>
  <c r="A672" i="10"/>
  <c r="E671" i="10"/>
  <c r="C671" i="10"/>
  <c r="A671" i="10"/>
  <c r="E670" i="10"/>
  <c r="C670" i="10"/>
  <c r="A670" i="10"/>
  <c r="E669" i="10"/>
  <c r="C669" i="10"/>
  <c r="A669" i="10"/>
  <c r="E668" i="10"/>
  <c r="C668" i="10"/>
  <c r="A668" i="10"/>
  <c r="E667" i="10"/>
  <c r="C667" i="10"/>
  <c r="A667" i="10"/>
  <c r="E666" i="10"/>
  <c r="C666" i="10"/>
  <c r="A666" i="10"/>
  <c r="E665" i="10"/>
  <c r="C665" i="10"/>
  <c r="A665" i="10"/>
  <c r="E664" i="10"/>
  <c r="C664" i="10"/>
  <c r="A664" i="10"/>
  <c r="E663" i="10"/>
  <c r="C663" i="10"/>
  <c r="A663" i="10"/>
  <c r="E662" i="10"/>
  <c r="C662" i="10"/>
  <c r="A662" i="10"/>
  <c r="E661" i="10"/>
  <c r="C661" i="10"/>
  <c r="A661" i="10"/>
  <c r="E660" i="10"/>
  <c r="C660" i="10"/>
  <c r="A660" i="10"/>
  <c r="E659" i="10"/>
  <c r="C659" i="10"/>
  <c r="A659" i="10"/>
  <c r="E658" i="10"/>
  <c r="C658" i="10"/>
  <c r="A658" i="10"/>
  <c r="E657" i="10"/>
  <c r="C657" i="10"/>
  <c r="A657" i="10"/>
  <c r="E656" i="10"/>
  <c r="C656" i="10"/>
  <c r="A656" i="10"/>
  <c r="E655" i="10"/>
  <c r="C655" i="10"/>
  <c r="A655" i="10"/>
  <c r="E654" i="10"/>
  <c r="C654" i="10"/>
  <c r="A654" i="10"/>
  <c r="E653" i="10"/>
  <c r="C653" i="10"/>
  <c r="A653" i="10"/>
  <c r="E632" i="10"/>
  <c r="C632" i="10"/>
  <c r="A632" i="10"/>
  <c r="E631" i="10"/>
  <c r="C631" i="10"/>
  <c r="A631" i="10"/>
  <c r="E630" i="10"/>
  <c r="C630" i="10"/>
  <c r="A630" i="10"/>
  <c r="E629" i="10"/>
  <c r="C629" i="10"/>
  <c r="A629" i="10"/>
  <c r="E628" i="10"/>
  <c r="C628" i="10"/>
  <c r="A628" i="10"/>
  <c r="E627" i="10"/>
  <c r="C627" i="10"/>
  <c r="A627" i="10"/>
  <c r="E626" i="10"/>
  <c r="C626" i="10"/>
  <c r="A626" i="10"/>
  <c r="E625" i="10"/>
  <c r="C625" i="10"/>
  <c r="A625" i="10"/>
  <c r="E624" i="10"/>
  <c r="C624" i="10"/>
  <c r="A624" i="10"/>
  <c r="E623" i="10"/>
  <c r="C623" i="10"/>
  <c r="A623" i="10"/>
  <c r="E622" i="10"/>
  <c r="C622" i="10"/>
  <c r="A622" i="10"/>
  <c r="E621" i="10"/>
  <c r="C621" i="10"/>
  <c r="A621" i="10"/>
  <c r="E620" i="10"/>
  <c r="C620" i="10"/>
  <c r="A620" i="10"/>
  <c r="E619" i="10"/>
  <c r="C619" i="10"/>
  <c r="A619" i="10"/>
  <c r="E618" i="10"/>
  <c r="C618" i="10"/>
  <c r="A618" i="10"/>
  <c r="E617" i="10"/>
  <c r="C617" i="10"/>
  <c r="A617" i="10"/>
  <c r="E616" i="10"/>
  <c r="C616" i="10"/>
  <c r="A616" i="10"/>
  <c r="E615" i="10"/>
  <c r="C615" i="10"/>
  <c r="A615" i="10"/>
  <c r="E614" i="10"/>
  <c r="C614" i="10"/>
  <c r="A614" i="10"/>
  <c r="E613" i="10"/>
  <c r="C613" i="10"/>
  <c r="A613" i="10"/>
  <c r="E612" i="10"/>
  <c r="C612" i="10"/>
  <c r="A612" i="10"/>
  <c r="E611" i="10"/>
  <c r="C611" i="10"/>
  <c r="A611" i="10"/>
  <c r="E610" i="10"/>
  <c r="C610" i="10"/>
  <c r="A610" i="10"/>
  <c r="E609" i="10"/>
  <c r="C609" i="10"/>
  <c r="A609" i="10"/>
  <c r="E608" i="10"/>
  <c r="C608" i="10"/>
  <c r="A608" i="10"/>
  <c r="E607" i="10"/>
  <c r="C607" i="10"/>
  <c r="A607" i="10"/>
  <c r="E606" i="10"/>
  <c r="C606" i="10"/>
  <c r="A606" i="10"/>
  <c r="E605" i="10"/>
  <c r="C605" i="10"/>
  <c r="A605" i="10"/>
  <c r="E604" i="10"/>
  <c r="C604" i="10"/>
  <c r="A604" i="10"/>
  <c r="E603" i="10"/>
  <c r="C603" i="10"/>
  <c r="A603" i="10"/>
  <c r="E582" i="10"/>
  <c r="C582" i="10"/>
  <c r="A582" i="10"/>
  <c r="E581" i="10"/>
  <c r="C581" i="10"/>
  <c r="A581" i="10"/>
  <c r="E580" i="10"/>
  <c r="C580" i="10"/>
  <c r="A580" i="10"/>
  <c r="E579" i="10"/>
  <c r="C579" i="10"/>
  <c r="A579" i="10"/>
  <c r="E578" i="10"/>
  <c r="C578" i="10"/>
  <c r="A578" i="10"/>
  <c r="E577" i="10"/>
  <c r="C577" i="10"/>
  <c r="A577" i="10"/>
  <c r="E576" i="10"/>
  <c r="C576" i="10"/>
  <c r="A576" i="10"/>
  <c r="E575" i="10"/>
  <c r="C575" i="10"/>
  <c r="A575" i="10"/>
  <c r="E574" i="10"/>
  <c r="C574" i="10"/>
  <c r="A574" i="10"/>
  <c r="E573" i="10"/>
  <c r="C573" i="10"/>
  <c r="A573" i="10"/>
  <c r="E572" i="10"/>
  <c r="C572" i="10"/>
  <c r="A572" i="10"/>
  <c r="E571" i="10"/>
  <c r="C571" i="10"/>
  <c r="A571" i="10"/>
  <c r="E570" i="10"/>
  <c r="C570" i="10"/>
  <c r="A570" i="10"/>
  <c r="E569" i="10"/>
  <c r="C569" i="10"/>
  <c r="A569" i="10"/>
  <c r="E568" i="10"/>
  <c r="C568" i="10"/>
  <c r="A568" i="10"/>
  <c r="E567" i="10"/>
  <c r="C567" i="10"/>
  <c r="A567" i="10"/>
  <c r="E566" i="10"/>
  <c r="C566" i="10"/>
  <c r="A566" i="10"/>
  <c r="E565" i="10"/>
  <c r="C565" i="10"/>
  <c r="A565" i="10"/>
  <c r="E564" i="10"/>
  <c r="C564" i="10"/>
  <c r="A564" i="10"/>
  <c r="E563" i="10"/>
  <c r="C563" i="10"/>
  <c r="A563" i="10"/>
  <c r="E562" i="10"/>
  <c r="C562" i="10"/>
  <c r="A562" i="10"/>
  <c r="E561" i="10"/>
  <c r="C561" i="10"/>
  <c r="A561" i="10"/>
  <c r="E560" i="10"/>
  <c r="C560" i="10"/>
  <c r="A560" i="10"/>
  <c r="E559" i="10"/>
  <c r="C559" i="10"/>
  <c r="A559" i="10"/>
  <c r="E558" i="10"/>
  <c r="C558" i="10"/>
  <c r="A558" i="10"/>
  <c r="E557" i="10"/>
  <c r="C557" i="10"/>
  <c r="A557" i="10"/>
  <c r="E556" i="10"/>
  <c r="C556" i="10"/>
  <c r="A556" i="10"/>
  <c r="E555" i="10"/>
  <c r="C555" i="10"/>
  <c r="A555" i="10"/>
  <c r="E554" i="10"/>
  <c r="C554" i="10"/>
  <c r="A554" i="10"/>
  <c r="E553" i="10"/>
  <c r="C553" i="10"/>
  <c r="A553" i="10"/>
  <c r="E532" i="10"/>
  <c r="C532" i="10"/>
  <c r="A532" i="10"/>
  <c r="E531" i="10"/>
  <c r="C531" i="10"/>
  <c r="A531" i="10"/>
  <c r="E530" i="10"/>
  <c r="C530" i="10"/>
  <c r="A530" i="10"/>
  <c r="E529" i="10"/>
  <c r="C529" i="10"/>
  <c r="A529" i="10"/>
  <c r="E528" i="10"/>
  <c r="C528" i="10"/>
  <c r="A528" i="10"/>
  <c r="E527" i="10"/>
  <c r="C527" i="10"/>
  <c r="A527" i="10"/>
  <c r="E526" i="10"/>
  <c r="C526" i="10"/>
  <c r="A526" i="10"/>
  <c r="E525" i="10"/>
  <c r="C525" i="10"/>
  <c r="A525" i="10"/>
  <c r="E524" i="10"/>
  <c r="C524" i="10"/>
  <c r="A524" i="10"/>
  <c r="E523" i="10"/>
  <c r="C523" i="10"/>
  <c r="A523" i="10"/>
  <c r="E522" i="10"/>
  <c r="C522" i="10"/>
  <c r="A522" i="10"/>
  <c r="E521" i="10"/>
  <c r="C521" i="10"/>
  <c r="A521" i="10"/>
  <c r="E520" i="10"/>
  <c r="C520" i="10"/>
  <c r="A520" i="10"/>
  <c r="E519" i="10"/>
  <c r="C519" i="10"/>
  <c r="A519" i="10"/>
  <c r="E518" i="10"/>
  <c r="C518" i="10"/>
  <c r="A518" i="10"/>
  <c r="E517" i="10"/>
  <c r="C517" i="10"/>
  <c r="A517" i="10"/>
  <c r="E516" i="10"/>
  <c r="C516" i="10"/>
  <c r="A516" i="10"/>
  <c r="E515" i="10"/>
  <c r="C515" i="10"/>
  <c r="A515" i="10"/>
  <c r="E514" i="10"/>
  <c r="C514" i="10"/>
  <c r="A514" i="10"/>
  <c r="E513" i="10"/>
  <c r="C513" i="10"/>
  <c r="A513" i="10"/>
  <c r="E512" i="10"/>
  <c r="C512" i="10"/>
  <c r="A512" i="10"/>
  <c r="E511" i="10"/>
  <c r="C511" i="10"/>
  <c r="A511" i="10"/>
  <c r="E510" i="10"/>
  <c r="C510" i="10"/>
  <c r="A510" i="10"/>
  <c r="E509" i="10"/>
  <c r="C509" i="10"/>
  <c r="A509" i="10"/>
  <c r="E508" i="10"/>
  <c r="C508" i="10"/>
  <c r="A508" i="10"/>
  <c r="E507" i="10"/>
  <c r="C507" i="10"/>
  <c r="A507" i="10"/>
  <c r="E506" i="10"/>
  <c r="C506" i="10"/>
  <c r="A506" i="10"/>
  <c r="E505" i="10"/>
  <c r="C505" i="10"/>
  <c r="A505" i="10"/>
  <c r="E504" i="10"/>
  <c r="C504" i="10"/>
  <c r="A504" i="10"/>
  <c r="E503" i="10"/>
  <c r="C503" i="10"/>
  <c r="A503" i="10"/>
  <c r="E482" i="10"/>
  <c r="C482" i="10"/>
  <c r="A482" i="10"/>
  <c r="E481" i="10"/>
  <c r="C481" i="10"/>
  <c r="A481" i="10"/>
  <c r="E480" i="10"/>
  <c r="C480" i="10"/>
  <c r="A480" i="10"/>
  <c r="E479" i="10"/>
  <c r="C479" i="10"/>
  <c r="A479" i="10"/>
  <c r="E478" i="10"/>
  <c r="C478" i="10"/>
  <c r="A478" i="10"/>
  <c r="E477" i="10"/>
  <c r="C477" i="10"/>
  <c r="A477" i="10"/>
  <c r="E476" i="10"/>
  <c r="C476" i="10"/>
  <c r="A476" i="10"/>
  <c r="E475" i="10"/>
  <c r="C475" i="10"/>
  <c r="A475" i="10"/>
  <c r="E474" i="10"/>
  <c r="C474" i="10"/>
  <c r="A474" i="10"/>
  <c r="E473" i="10"/>
  <c r="C473" i="10"/>
  <c r="A473" i="10"/>
  <c r="E472" i="10"/>
  <c r="C472" i="10"/>
  <c r="A472" i="10"/>
  <c r="E471" i="10"/>
  <c r="C471" i="10"/>
  <c r="A471" i="10"/>
  <c r="E470" i="10"/>
  <c r="C470" i="10"/>
  <c r="A470" i="10"/>
  <c r="E469" i="10"/>
  <c r="C469" i="10"/>
  <c r="A469" i="10"/>
  <c r="E468" i="10"/>
  <c r="C468" i="10"/>
  <c r="A468" i="10"/>
  <c r="E467" i="10"/>
  <c r="C467" i="10"/>
  <c r="A467" i="10"/>
  <c r="E466" i="10"/>
  <c r="C466" i="10"/>
  <c r="A466" i="10"/>
  <c r="E465" i="10"/>
  <c r="C465" i="10"/>
  <c r="A465" i="10"/>
  <c r="E464" i="10"/>
  <c r="C464" i="10"/>
  <c r="A464" i="10"/>
  <c r="E463" i="10"/>
  <c r="C463" i="10"/>
  <c r="A463" i="10"/>
  <c r="E462" i="10"/>
  <c r="C462" i="10"/>
  <c r="A462" i="10"/>
  <c r="E461" i="10"/>
  <c r="C461" i="10"/>
  <c r="A461" i="10"/>
  <c r="E460" i="10"/>
  <c r="C460" i="10"/>
  <c r="A460" i="10"/>
  <c r="E459" i="10"/>
  <c r="C457" i="10"/>
  <c r="A459" i="10"/>
  <c r="E458" i="10"/>
  <c r="C456" i="10"/>
  <c r="A458" i="10"/>
  <c r="E457" i="10"/>
  <c r="C455" i="10"/>
  <c r="A457" i="10"/>
  <c r="E456" i="10"/>
  <c r="C454" i="10"/>
  <c r="A456" i="10"/>
  <c r="E455" i="10"/>
  <c r="C453" i="10"/>
  <c r="A455" i="10"/>
  <c r="E454" i="10"/>
  <c r="A454" i="10"/>
  <c r="E453" i="10"/>
  <c r="A453" i="10"/>
  <c r="E452" i="10"/>
  <c r="C452" i="10"/>
  <c r="A452" i="10"/>
  <c r="E451" i="10"/>
  <c r="C451" i="10"/>
  <c r="A451" i="10"/>
  <c r="E450" i="10"/>
  <c r="C450" i="10"/>
  <c r="A450" i="10"/>
  <c r="E449" i="10"/>
  <c r="C449" i="10"/>
  <c r="A449" i="10"/>
  <c r="E448" i="10"/>
  <c r="C448" i="10"/>
  <c r="A448" i="10"/>
  <c r="E447" i="10"/>
  <c r="C447" i="10"/>
  <c r="A447" i="10"/>
  <c r="E446" i="10"/>
  <c r="C446" i="10"/>
  <c r="A446" i="10"/>
  <c r="E445" i="10"/>
  <c r="C445" i="10"/>
  <c r="A445" i="10"/>
  <c r="E444" i="10"/>
  <c r="C444" i="10"/>
  <c r="A444" i="10"/>
  <c r="E443" i="10"/>
  <c r="C443" i="10"/>
  <c r="A443" i="10"/>
  <c r="E442" i="10"/>
  <c r="C442" i="10"/>
  <c r="A442" i="10"/>
  <c r="E441" i="10"/>
  <c r="C441" i="10"/>
  <c r="A441" i="10"/>
  <c r="E440" i="10"/>
  <c r="C440" i="10"/>
  <c r="A440" i="10"/>
  <c r="E439" i="10"/>
  <c r="C439" i="10"/>
  <c r="A439" i="10"/>
  <c r="E438" i="10"/>
  <c r="C438" i="10"/>
  <c r="A438" i="10"/>
  <c r="E437" i="10"/>
  <c r="C437" i="10"/>
  <c r="A437" i="10"/>
  <c r="E436" i="10"/>
  <c r="C436" i="10"/>
  <c r="A436" i="10"/>
  <c r="E435" i="10"/>
  <c r="C435" i="10"/>
  <c r="A435" i="10"/>
  <c r="E434" i="10"/>
  <c r="C434" i="10"/>
  <c r="A434" i="10"/>
  <c r="E433" i="10"/>
  <c r="C433" i="10"/>
  <c r="A433" i="10"/>
  <c r="E432" i="10"/>
  <c r="C432" i="10"/>
  <c r="A432" i="10"/>
  <c r="E431" i="10"/>
  <c r="C431" i="10"/>
  <c r="A431" i="10"/>
  <c r="E430" i="10"/>
  <c r="C430" i="10"/>
  <c r="A430" i="10"/>
  <c r="E429" i="10"/>
  <c r="C427" i="10"/>
  <c r="A429" i="10"/>
  <c r="E428" i="10"/>
  <c r="C426" i="10"/>
  <c r="A428" i="10"/>
  <c r="E427" i="10"/>
  <c r="C425" i="10"/>
  <c r="A427" i="10"/>
  <c r="E426" i="10"/>
  <c r="C424" i="10"/>
  <c r="A426" i="10"/>
  <c r="E425" i="10"/>
  <c r="C423" i="10"/>
  <c r="A425" i="10"/>
  <c r="E424" i="10"/>
  <c r="A424" i="10"/>
  <c r="E423" i="10"/>
  <c r="A423" i="10"/>
  <c r="E422" i="10"/>
  <c r="C422" i="10"/>
  <c r="A422" i="10"/>
  <c r="E421" i="10"/>
  <c r="C421" i="10"/>
  <c r="A421" i="10"/>
  <c r="E420" i="10"/>
  <c r="C420" i="10"/>
  <c r="A420" i="10"/>
  <c r="E419" i="10"/>
  <c r="C419" i="10"/>
  <c r="A419" i="10"/>
  <c r="E418" i="10"/>
  <c r="C418" i="10"/>
  <c r="A418" i="10"/>
  <c r="E417" i="10"/>
  <c r="C417" i="10"/>
  <c r="A417" i="10"/>
  <c r="E416" i="10"/>
  <c r="C416" i="10"/>
  <c r="A416" i="10"/>
  <c r="E415" i="10"/>
  <c r="C415" i="10"/>
  <c r="A415" i="10"/>
  <c r="E414" i="10"/>
  <c r="C414" i="10"/>
  <c r="A414" i="10"/>
  <c r="E413" i="10"/>
  <c r="C413" i="10"/>
  <c r="A413" i="10"/>
  <c r="E412" i="10"/>
  <c r="C412" i="10"/>
  <c r="A412" i="10"/>
  <c r="E411" i="10"/>
  <c r="C411" i="10"/>
  <c r="A411" i="10"/>
  <c r="E410" i="10"/>
  <c r="C410" i="10"/>
  <c r="A410" i="10"/>
  <c r="E409" i="10"/>
  <c r="C409" i="10"/>
  <c r="A409" i="10"/>
  <c r="E408" i="10"/>
  <c r="C408" i="10"/>
  <c r="A408" i="10"/>
  <c r="E407" i="10"/>
  <c r="C407" i="10"/>
  <c r="A407" i="10"/>
  <c r="E406" i="10"/>
  <c r="C406" i="10"/>
  <c r="A406" i="10"/>
  <c r="E405" i="10"/>
  <c r="C405" i="10"/>
  <c r="A405" i="10"/>
  <c r="E404" i="10"/>
  <c r="C404" i="10"/>
  <c r="A404" i="10"/>
  <c r="E403" i="10"/>
  <c r="C403" i="10"/>
  <c r="A403" i="10"/>
  <c r="E402" i="10"/>
  <c r="C402" i="10"/>
  <c r="A402" i="10"/>
  <c r="E401" i="10"/>
  <c r="C401" i="10"/>
  <c r="A401" i="10"/>
  <c r="E400" i="10"/>
  <c r="C400" i="10"/>
  <c r="A400" i="10"/>
  <c r="E399" i="10"/>
  <c r="C397" i="10"/>
  <c r="A399" i="10"/>
  <c r="E398" i="10"/>
  <c r="C396" i="10"/>
  <c r="A398" i="10"/>
  <c r="E397" i="10"/>
  <c r="C395" i="10"/>
  <c r="A397" i="10"/>
  <c r="E396" i="10"/>
  <c r="C394" i="10"/>
  <c r="A396" i="10"/>
  <c r="E395" i="10"/>
  <c r="C393" i="10"/>
  <c r="A395" i="10"/>
  <c r="E394" i="10"/>
  <c r="A394" i="10"/>
  <c r="E393" i="10"/>
  <c r="A393" i="10"/>
  <c r="E392" i="10"/>
  <c r="C392" i="10"/>
  <c r="A392" i="10"/>
  <c r="E391" i="10"/>
  <c r="C391" i="10"/>
  <c r="A391" i="10"/>
  <c r="E390" i="10"/>
  <c r="C390" i="10"/>
  <c r="A390" i="10"/>
  <c r="E389" i="10"/>
  <c r="C389" i="10"/>
  <c r="A389" i="10"/>
  <c r="E388" i="10"/>
  <c r="C388" i="10"/>
  <c r="A388" i="10"/>
  <c r="E387" i="10"/>
  <c r="C387" i="10"/>
  <c r="A387" i="10"/>
  <c r="E386" i="10"/>
  <c r="C386" i="10"/>
  <c r="A386" i="10"/>
  <c r="E385" i="10"/>
  <c r="C385" i="10"/>
  <c r="A385" i="10"/>
  <c r="E384" i="10"/>
  <c r="C384" i="10"/>
  <c r="A384" i="10"/>
  <c r="E383" i="10"/>
  <c r="C383" i="10"/>
  <c r="A383" i="10"/>
  <c r="E382" i="10"/>
  <c r="C382" i="10"/>
  <c r="A382" i="10"/>
  <c r="E381" i="10"/>
  <c r="C381" i="10"/>
  <c r="A381" i="10"/>
  <c r="E380" i="10"/>
  <c r="C380" i="10"/>
  <c r="A380" i="10"/>
  <c r="E379" i="10"/>
  <c r="C379" i="10"/>
  <c r="A379" i="10"/>
  <c r="E378" i="10"/>
  <c r="C378" i="10"/>
  <c r="A378" i="10"/>
  <c r="E377" i="10"/>
  <c r="C377" i="10"/>
  <c r="A377" i="10"/>
  <c r="E376" i="10"/>
  <c r="C376" i="10"/>
  <c r="A376" i="10"/>
  <c r="E375" i="10"/>
  <c r="C375" i="10"/>
  <c r="A375" i="10"/>
  <c r="E374" i="10"/>
  <c r="C374" i="10"/>
  <c r="A374" i="10"/>
  <c r="E373" i="10"/>
  <c r="C373" i="10"/>
  <c r="A373" i="10"/>
  <c r="E372" i="10"/>
  <c r="C372" i="10"/>
  <c r="A372" i="10"/>
  <c r="E371" i="10"/>
  <c r="C371" i="10"/>
  <c r="A371" i="10"/>
  <c r="E370" i="10"/>
  <c r="C370" i="10"/>
  <c r="A370" i="10"/>
  <c r="E369" i="10"/>
  <c r="C369" i="10"/>
  <c r="A369" i="10"/>
  <c r="E368" i="10"/>
  <c r="C368" i="10"/>
  <c r="A368" i="10"/>
  <c r="E367" i="10"/>
  <c r="C367" i="10"/>
  <c r="A367" i="10"/>
  <c r="E366" i="10"/>
  <c r="C366" i="10"/>
  <c r="A366" i="10"/>
  <c r="E365" i="10"/>
  <c r="C365" i="10"/>
  <c r="A365" i="10"/>
  <c r="E364" i="10"/>
  <c r="C364" i="10"/>
  <c r="A364" i="10"/>
  <c r="E363" i="10"/>
  <c r="C363" i="10"/>
  <c r="A363" i="10"/>
  <c r="E342" i="10"/>
  <c r="C342" i="10"/>
  <c r="A342" i="10"/>
  <c r="E341" i="10"/>
  <c r="C341" i="10"/>
  <c r="A341" i="10"/>
  <c r="E340" i="10"/>
  <c r="C340" i="10"/>
  <c r="A340" i="10"/>
  <c r="E339" i="10"/>
  <c r="C339" i="10"/>
  <c r="A339" i="10"/>
  <c r="E338" i="10"/>
  <c r="C338" i="10"/>
  <c r="A338" i="10"/>
  <c r="E337" i="10"/>
  <c r="C337" i="10"/>
  <c r="A337" i="10"/>
  <c r="E336" i="10"/>
  <c r="C336" i="10"/>
  <c r="A336" i="10"/>
  <c r="E335" i="10"/>
  <c r="C335" i="10"/>
  <c r="A335" i="10"/>
  <c r="E334" i="10"/>
  <c r="C334" i="10"/>
  <c r="A334" i="10"/>
  <c r="E333" i="10"/>
  <c r="C333" i="10"/>
  <c r="A333" i="10"/>
  <c r="E332" i="10"/>
  <c r="C332" i="10"/>
  <c r="A332" i="10"/>
  <c r="E331" i="10"/>
  <c r="C331" i="10"/>
  <c r="A331" i="10"/>
  <c r="E330" i="10"/>
  <c r="C330" i="10"/>
  <c r="A330" i="10"/>
  <c r="E329" i="10"/>
  <c r="C329" i="10"/>
  <c r="A329" i="10"/>
  <c r="E328" i="10"/>
  <c r="C328" i="10"/>
  <c r="A328" i="10"/>
  <c r="E327" i="10"/>
  <c r="C327" i="10"/>
  <c r="A327" i="10"/>
  <c r="E326" i="10"/>
  <c r="C326" i="10"/>
  <c r="A326" i="10"/>
  <c r="E325" i="10"/>
  <c r="C325" i="10"/>
  <c r="A325" i="10"/>
  <c r="E324" i="10"/>
  <c r="C324" i="10"/>
  <c r="A324" i="10"/>
  <c r="E323" i="10"/>
  <c r="C323" i="10"/>
  <c r="A323" i="10"/>
  <c r="E322" i="10"/>
  <c r="C322" i="10"/>
  <c r="A322" i="10"/>
  <c r="E321" i="10"/>
  <c r="C321" i="10"/>
  <c r="A321" i="10"/>
  <c r="E320" i="10"/>
  <c r="C320" i="10"/>
  <c r="A320" i="10"/>
  <c r="E319" i="10"/>
  <c r="C319" i="10"/>
  <c r="A319" i="10"/>
  <c r="E318" i="10"/>
  <c r="C318" i="10"/>
  <c r="A318" i="10"/>
  <c r="E317" i="10"/>
  <c r="C317" i="10"/>
  <c r="A317" i="10"/>
  <c r="E316" i="10"/>
  <c r="C316" i="10"/>
  <c r="A316" i="10"/>
  <c r="E315" i="10"/>
  <c r="C315" i="10"/>
  <c r="A315" i="10"/>
  <c r="E314" i="10"/>
  <c r="C314" i="10"/>
  <c r="A314" i="10"/>
  <c r="E313" i="10"/>
  <c r="C313" i="10"/>
  <c r="A313" i="10"/>
  <c r="E292" i="10"/>
  <c r="C292" i="10"/>
  <c r="A292" i="10"/>
  <c r="E291" i="10"/>
  <c r="C291" i="10"/>
  <c r="A291" i="10"/>
  <c r="E290" i="10"/>
  <c r="C290" i="10"/>
  <c r="A290" i="10"/>
  <c r="E289" i="10"/>
  <c r="C289" i="10"/>
  <c r="A289" i="10"/>
  <c r="E288" i="10"/>
  <c r="C288" i="10"/>
  <c r="A288" i="10"/>
  <c r="E287" i="10"/>
  <c r="C287" i="10"/>
  <c r="A287" i="10"/>
  <c r="E286" i="10"/>
  <c r="C286" i="10"/>
  <c r="A286" i="10"/>
  <c r="E285" i="10"/>
  <c r="C285" i="10"/>
  <c r="A285" i="10"/>
  <c r="E284" i="10"/>
  <c r="C284" i="10"/>
  <c r="A284" i="10"/>
  <c r="E283" i="10"/>
  <c r="C283" i="10"/>
  <c r="A283" i="10"/>
  <c r="E282" i="10"/>
  <c r="C282" i="10"/>
  <c r="A282" i="10"/>
  <c r="E281" i="10"/>
  <c r="C281" i="10"/>
  <c r="A281" i="10"/>
  <c r="E280" i="10"/>
  <c r="C280" i="10"/>
  <c r="A280" i="10"/>
  <c r="E279" i="10"/>
  <c r="C279" i="10"/>
  <c r="A279" i="10"/>
  <c r="E278" i="10"/>
  <c r="C278" i="10"/>
  <c r="A278" i="10"/>
  <c r="E277" i="10"/>
  <c r="C277" i="10"/>
  <c r="A277" i="10"/>
  <c r="E276" i="10"/>
  <c r="C276" i="10"/>
  <c r="A276" i="10"/>
  <c r="E275" i="10"/>
  <c r="C275" i="10"/>
  <c r="A275" i="10"/>
  <c r="E274" i="10"/>
  <c r="C274" i="10"/>
  <c r="A274" i="10"/>
  <c r="E273" i="10"/>
  <c r="C273" i="10"/>
  <c r="A273" i="10"/>
  <c r="E272" i="10"/>
  <c r="C272" i="10"/>
  <c r="A272" i="10"/>
  <c r="E271" i="10"/>
  <c r="C271" i="10"/>
  <c r="A271" i="10"/>
  <c r="E270" i="10"/>
  <c r="C270" i="10"/>
  <c r="A270" i="10"/>
  <c r="E269" i="10"/>
  <c r="C269" i="10"/>
  <c r="A269" i="10"/>
  <c r="E268" i="10"/>
  <c r="C268" i="10"/>
  <c r="A268" i="10"/>
  <c r="E267" i="10"/>
  <c r="C267" i="10"/>
  <c r="A267" i="10"/>
  <c r="E266" i="10"/>
  <c r="C266" i="10"/>
  <c r="A266" i="10"/>
  <c r="E265" i="10"/>
  <c r="C265" i="10"/>
  <c r="A265" i="10"/>
  <c r="E264" i="10"/>
  <c r="C264" i="10"/>
  <c r="A264" i="10"/>
  <c r="E263" i="10"/>
  <c r="C263" i="10"/>
  <c r="A263" i="10"/>
  <c r="E242" i="10"/>
  <c r="C242" i="10"/>
  <c r="A242" i="10"/>
  <c r="E241" i="10"/>
  <c r="C241" i="10"/>
  <c r="A241" i="10"/>
  <c r="E240" i="10"/>
  <c r="C240" i="10"/>
  <c r="A240" i="10"/>
  <c r="E239" i="10"/>
  <c r="C239" i="10"/>
  <c r="A239" i="10"/>
  <c r="E238" i="10"/>
  <c r="C238" i="10"/>
  <c r="A238" i="10"/>
  <c r="E237" i="10"/>
  <c r="C237" i="10"/>
  <c r="A237" i="10"/>
  <c r="E236" i="10"/>
  <c r="C236" i="10"/>
  <c r="A236" i="10"/>
  <c r="E235" i="10"/>
  <c r="C235" i="10"/>
  <c r="A235" i="10"/>
  <c r="E234" i="10"/>
  <c r="C234" i="10"/>
  <c r="A234" i="10"/>
  <c r="E233" i="10"/>
  <c r="C233" i="10"/>
  <c r="A233" i="10"/>
  <c r="E232" i="10"/>
  <c r="C232" i="10"/>
  <c r="A232" i="10"/>
  <c r="E231" i="10"/>
  <c r="C231" i="10"/>
  <c r="A231" i="10"/>
  <c r="E230" i="10"/>
  <c r="C230" i="10"/>
  <c r="A230" i="10"/>
  <c r="E229" i="10"/>
  <c r="C229" i="10"/>
  <c r="A229" i="10"/>
  <c r="E228" i="10"/>
  <c r="C228" i="10"/>
  <c r="A228" i="10"/>
  <c r="E227" i="10"/>
  <c r="C227" i="10"/>
  <c r="A227" i="10"/>
  <c r="E226" i="10"/>
  <c r="C226" i="10"/>
  <c r="A226" i="10"/>
  <c r="E225" i="10"/>
  <c r="C225" i="10"/>
  <c r="A225" i="10"/>
  <c r="E224" i="10"/>
  <c r="C224" i="10"/>
  <c r="A224" i="10"/>
  <c r="E223" i="10"/>
  <c r="C223" i="10"/>
  <c r="A223" i="10"/>
  <c r="E222" i="10"/>
  <c r="C222" i="10"/>
  <c r="A222" i="10"/>
  <c r="E221" i="10"/>
  <c r="C221" i="10"/>
  <c r="A221" i="10"/>
  <c r="E220" i="10"/>
  <c r="C220" i="10"/>
  <c r="A220" i="10"/>
  <c r="E219" i="10"/>
  <c r="C219" i="10"/>
  <c r="A219" i="10"/>
  <c r="E218" i="10"/>
  <c r="C218" i="10"/>
  <c r="A218" i="10"/>
  <c r="E217" i="10"/>
  <c r="C217" i="10"/>
  <c r="A217" i="10"/>
  <c r="E216" i="10"/>
  <c r="C216" i="10"/>
  <c r="A216" i="10"/>
  <c r="E215" i="10"/>
  <c r="C215" i="10"/>
  <c r="A215" i="10"/>
  <c r="E214" i="10"/>
  <c r="C214" i="10"/>
  <c r="A214" i="10"/>
  <c r="E213" i="10"/>
  <c r="C213" i="10"/>
  <c r="A213" i="10"/>
  <c r="E192" i="10"/>
  <c r="C192" i="10"/>
  <c r="A192" i="10"/>
  <c r="E191" i="10"/>
  <c r="C191" i="10"/>
  <c r="A191" i="10"/>
  <c r="E190" i="10"/>
  <c r="C190" i="10"/>
  <c r="A190" i="10"/>
  <c r="E189" i="10"/>
  <c r="C189" i="10"/>
  <c r="A189" i="10"/>
  <c r="E188" i="10"/>
  <c r="C188" i="10"/>
  <c r="A188" i="10"/>
  <c r="E187" i="10"/>
  <c r="C187" i="10"/>
  <c r="A187" i="10"/>
  <c r="E186" i="10"/>
  <c r="C186" i="10"/>
  <c r="A186" i="10"/>
  <c r="E185" i="10"/>
  <c r="C185" i="10"/>
  <c r="A185" i="10"/>
  <c r="E184" i="10"/>
  <c r="C184" i="10"/>
  <c r="A184" i="10"/>
  <c r="E183" i="10"/>
  <c r="C183" i="10"/>
  <c r="A183" i="10"/>
  <c r="E182" i="10"/>
  <c r="C182" i="10"/>
  <c r="A182" i="10"/>
  <c r="E181" i="10"/>
  <c r="C181" i="10"/>
  <c r="A181" i="10"/>
  <c r="E180" i="10"/>
  <c r="C180" i="10"/>
  <c r="A180" i="10"/>
  <c r="E179" i="10"/>
  <c r="C179" i="10"/>
  <c r="A179" i="10"/>
  <c r="E178" i="10"/>
  <c r="C178" i="10"/>
  <c r="A178" i="10"/>
  <c r="E177" i="10"/>
  <c r="C177" i="10"/>
  <c r="A177" i="10"/>
  <c r="E176" i="10"/>
  <c r="C176" i="10"/>
  <c r="A176" i="10"/>
  <c r="E175" i="10"/>
  <c r="C175" i="10"/>
  <c r="A175" i="10"/>
  <c r="E174" i="10"/>
  <c r="C174" i="10"/>
  <c r="A174" i="10"/>
  <c r="E173" i="10"/>
  <c r="C173" i="10"/>
  <c r="A173" i="10"/>
  <c r="E172" i="10"/>
  <c r="C172" i="10"/>
  <c r="A172" i="10"/>
  <c r="E171" i="10"/>
  <c r="C171" i="10"/>
  <c r="A171" i="10"/>
  <c r="E170" i="10"/>
  <c r="C170" i="10"/>
  <c r="A170" i="10"/>
  <c r="E169" i="10"/>
  <c r="C169" i="10"/>
  <c r="A169" i="10"/>
  <c r="E168" i="10"/>
  <c r="C168" i="10"/>
  <c r="A168" i="10"/>
  <c r="E167" i="10"/>
  <c r="C167" i="10"/>
  <c r="A167" i="10"/>
  <c r="E166" i="10"/>
  <c r="C166" i="10"/>
  <c r="A166" i="10"/>
  <c r="E165" i="10"/>
  <c r="C165" i="10"/>
  <c r="A165" i="10"/>
  <c r="E164" i="10"/>
  <c r="C164" i="10"/>
  <c r="A164" i="10"/>
  <c r="E163" i="10"/>
  <c r="C163" i="10"/>
  <c r="A163" i="10"/>
  <c r="E142" i="10"/>
  <c r="C142" i="10"/>
  <c r="A142" i="10"/>
  <c r="E141" i="10"/>
  <c r="C141" i="10"/>
  <c r="A141" i="10"/>
  <c r="E140" i="10"/>
  <c r="C140" i="10"/>
  <c r="A140" i="10"/>
  <c r="E139" i="10"/>
  <c r="C139" i="10"/>
  <c r="A139" i="10"/>
  <c r="E138" i="10"/>
  <c r="C138" i="10"/>
  <c r="A138" i="10"/>
  <c r="E137" i="10"/>
  <c r="C137" i="10"/>
  <c r="A137" i="10"/>
  <c r="E136" i="10"/>
  <c r="C136" i="10"/>
  <c r="A136" i="10"/>
  <c r="E135" i="10"/>
  <c r="C135" i="10"/>
  <c r="A135" i="10"/>
  <c r="E134" i="10"/>
  <c r="C134" i="10"/>
  <c r="A134" i="10"/>
  <c r="E133" i="10"/>
  <c r="C133" i="10"/>
  <c r="A133" i="10"/>
  <c r="E132" i="10"/>
  <c r="C132" i="10"/>
  <c r="A132" i="10"/>
  <c r="E131" i="10"/>
  <c r="C131" i="10"/>
  <c r="A131" i="10"/>
  <c r="E130" i="10"/>
  <c r="C130" i="10"/>
  <c r="A130" i="10"/>
  <c r="E129" i="10"/>
  <c r="C129" i="10"/>
  <c r="A129" i="10"/>
  <c r="E128" i="10"/>
  <c r="C128" i="10"/>
  <c r="A128" i="10"/>
  <c r="E127" i="10"/>
  <c r="C127" i="10"/>
  <c r="A127" i="10"/>
  <c r="E126" i="10"/>
  <c r="C126" i="10"/>
  <c r="A126" i="10"/>
  <c r="E125" i="10"/>
  <c r="C125" i="10"/>
  <c r="A125" i="10"/>
  <c r="E124" i="10"/>
  <c r="C124" i="10"/>
  <c r="A124" i="10"/>
  <c r="E123" i="10"/>
  <c r="C123" i="10"/>
  <c r="A123" i="10"/>
  <c r="E122" i="10"/>
  <c r="C122" i="10"/>
  <c r="A122" i="10"/>
  <c r="E121" i="10"/>
  <c r="C121" i="10"/>
  <c r="A121" i="10"/>
  <c r="E120" i="10"/>
  <c r="C120" i="10"/>
  <c r="A120" i="10"/>
  <c r="E119" i="10"/>
  <c r="C119" i="10"/>
  <c r="A119" i="10"/>
  <c r="E118" i="10"/>
  <c r="C118" i="10"/>
  <c r="A118" i="10"/>
  <c r="E117" i="10"/>
  <c r="C117" i="10"/>
  <c r="A117" i="10"/>
  <c r="E116" i="10"/>
  <c r="C116" i="10"/>
  <c r="A116" i="10"/>
  <c r="E115" i="10"/>
  <c r="C115" i="10"/>
  <c r="A115" i="10"/>
  <c r="E114" i="10"/>
  <c r="C114" i="10"/>
  <c r="A114" i="10"/>
  <c r="E113" i="10"/>
  <c r="C113" i="10"/>
  <c r="A113" i="10"/>
  <c r="E92" i="10"/>
  <c r="C92" i="10"/>
  <c r="A92" i="10"/>
  <c r="E91" i="10"/>
  <c r="C91" i="10"/>
  <c r="A91" i="10"/>
  <c r="E90" i="10"/>
  <c r="C90" i="10"/>
  <c r="A90" i="10"/>
  <c r="E89" i="10"/>
  <c r="C89" i="10"/>
  <c r="A89" i="10"/>
  <c r="E88" i="10"/>
  <c r="C88" i="10"/>
  <c r="A88" i="10"/>
  <c r="E87" i="10"/>
  <c r="C87" i="10"/>
  <c r="A87" i="10"/>
  <c r="E86" i="10"/>
  <c r="C86" i="10"/>
  <c r="A86" i="10"/>
  <c r="E85" i="10"/>
  <c r="C85" i="10"/>
  <c r="A85" i="10"/>
  <c r="E84" i="10"/>
  <c r="C84" i="10"/>
  <c r="A84" i="10"/>
  <c r="E83" i="10"/>
  <c r="C83" i="10"/>
  <c r="A83" i="10"/>
  <c r="E82" i="10"/>
  <c r="C82" i="10"/>
  <c r="A82" i="10"/>
  <c r="E81" i="10"/>
  <c r="C81" i="10"/>
  <c r="A81" i="10"/>
  <c r="E80" i="10"/>
  <c r="C80" i="10"/>
  <c r="A80" i="10"/>
  <c r="E79" i="10"/>
  <c r="C79" i="10"/>
  <c r="A79" i="10"/>
  <c r="E78" i="10"/>
  <c r="C78" i="10"/>
  <c r="A78" i="10"/>
  <c r="E77" i="10"/>
  <c r="C77" i="10"/>
  <c r="A77" i="10"/>
  <c r="E76" i="10"/>
  <c r="C76" i="10"/>
  <c r="A76" i="10"/>
  <c r="E75" i="10"/>
  <c r="C75" i="10"/>
  <c r="A75" i="10"/>
  <c r="E74" i="10"/>
  <c r="C74" i="10"/>
  <c r="A74" i="10"/>
  <c r="E73" i="10"/>
  <c r="C73" i="10"/>
  <c r="A73" i="10"/>
  <c r="E72" i="10"/>
  <c r="C72" i="10"/>
  <c r="A72" i="10"/>
  <c r="E71" i="10"/>
  <c r="C71" i="10"/>
  <c r="A71" i="10"/>
  <c r="E70" i="10"/>
  <c r="C70" i="10"/>
  <c r="A70" i="10"/>
  <c r="E69" i="10"/>
  <c r="C69" i="10"/>
  <c r="A69" i="10"/>
  <c r="E68" i="10"/>
  <c r="C68" i="10"/>
  <c r="A68" i="10"/>
  <c r="E67" i="10"/>
  <c r="C67" i="10"/>
  <c r="A67" i="10"/>
  <c r="E66" i="10"/>
  <c r="C66" i="10"/>
  <c r="A66" i="10"/>
  <c r="E65" i="10"/>
  <c r="C65" i="10"/>
  <c r="A65" i="10"/>
  <c r="E64" i="10"/>
  <c r="C64" i="10"/>
  <c r="A64" i="10"/>
  <c r="E63" i="10"/>
  <c r="C63" i="10"/>
  <c r="A63" i="10"/>
  <c r="E62" i="10"/>
  <c r="C62" i="10"/>
  <c r="A62" i="10"/>
  <c r="E61" i="10"/>
  <c r="C61" i="10"/>
  <c r="A61" i="10"/>
  <c r="E60" i="10"/>
  <c r="C60" i="10"/>
  <c r="A60" i="10"/>
  <c r="E59" i="10"/>
  <c r="C59" i="10"/>
  <c r="A59" i="10"/>
  <c r="E58" i="10"/>
  <c r="C58" i="10"/>
  <c r="A58" i="10"/>
  <c r="E57" i="10"/>
  <c r="C57" i="10"/>
  <c r="A57" i="10"/>
  <c r="E56" i="10"/>
  <c r="C56" i="10"/>
  <c r="A56" i="10"/>
  <c r="E55" i="10"/>
  <c r="C55" i="10"/>
  <c r="A55" i="10"/>
  <c r="E54" i="10"/>
  <c r="C54" i="10"/>
  <c r="A54" i="10"/>
  <c r="E53" i="10"/>
  <c r="C53" i="10"/>
  <c r="A53" i="10"/>
  <c r="E52" i="10"/>
  <c r="C52" i="10"/>
  <c r="A52" i="10"/>
  <c r="E51" i="10"/>
  <c r="C51" i="10"/>
  <c r="A51" i="10"/>
  <c r="E50" i="10"/>
  <c r="C50" i="10"/>
  <c r="A50" i="10"/>
  <c r="E49" i="10"/>
  <c r="C49" i="10"/>
  <c r="A49" i="10"/>
  <c r="E48" i="10"/>
  <c r="C48" i="10"/>
  <c r="A48" i="10"/>
  <c r="E47" i="10"/>
  <c r="C47" i="10"/>
  <c r="A47" i="10"/>
  <c r="E46" i="10"/>
  <c r="C46" i="10"/>
  <c r="A46" i="10"/>
  <c r="E45" i="10"/>
  <c r="C45" i="10"/>
  <c r="A45" i="10"/>
  <c r="E44" i="10"/>
  <c r="C44" i="10"/>
  <c r="A44" i="10"/>
  <c r="E43" i="10"/>
  <c r="C43" i="10"/>
  <c r="A43" i="10"/>
  <c r="E42" i="10"/>
  <c r="C42" i="10"/>
  <c r="A42" i="10"/>
  <c r="E41" i="10"/>
  <c r="C41" i="10"/>
  <c r="A41" i="10"/>
  <c r="E40" i="10"/>
  <c r="C40" i="10"/>
  <c r="A40" i="10"/>
  <c r="E39" i="10"/>
  <c r="C39" i="10"/>
  <c r="A39" i="10"/>
  <c r="E38" i="10"/>
  <c r="C38" i="10"/>
  <c r="A38" i="10"/>
  <c r="E37" i="10"/>
  <c r="C37" i="10"/>
  <c r="A37" i="10"/>
  <c r="E36" i="10"/>
  <c r="C36" i="10"/>
  <c r="A36" i="10"/>
  <c r="E35" i="10"/>
  <c r="C35" i="10"/>
  <c r="A35" i="10"/>
  <c r="E34" i="10"/>
  <c r="C34" i="10"/>
  <c r="A34" i="10"/>
  <c r="E33" i="10"/>
  <c r="C33" i="10"/>
  <c r="A33" i="10"/>
  <c r="E32" i="10"/>
  <c r="C32" i="10"/>
  <c r="A32" i="10"/>
  <c r="E31" i="10"/>
  <c r="C31" i="10"/>
  <c r="A31" i="10"/>
  <c r="E30" i="10"/>
  <c r="C30" i="10"/>
  <c r="A30" i="10"/>
  <c r="E29" i="10"/>
  <c r="C29" i="10"/>
  <c r="A29" i="10"/>
  <c r="E28" i="10"/>
  <c r="C28" i="10"/>
  <c r="A28" i="10"/>
  <c r="E27" i="10"/>
  <c r="C27" i="10"/>
  <c r="A27" i="10"/>
  <c r="E26" i="10"/>
  <c r="C26" i="10"/>
  <c r="A26" i="10"/>
  <c r="E25" i="10"/>
  <c r="C25" i="10"/>
  <c r="A25" i="10"/>
  <c r="E24" i="10"/>
  <c r="C24" i="10"/>
  <c r="A24" i="10"/>
  <c r="E23" i="10"/>
  <c r="C23" i="10"/>
  <c r="A23" i="10"/>
  <c r="E22" i="10"/>
  <c r="C22" i="10"/>
  <c r="A22" i="10"/>
  <c r="E21" i="10"/>
  <c r="C21" i="10"/>
  <c r="A21" i="10"/>
  <c r="E20" i="10"/>
  <c r="C20" i="10"/>
  <c r="A20" i="10"/>
  <c r="E19" i="10"/>
  <c r="C19" i="10"/>
  <c r="A19" i="10"/>
  <c r="E18" i="10"/>
  <c r="C18" i="10"/>
  <c r="A18" i="10"/>
  <c r="E17" i="10"/>
  <c r="C17" i="10"/>
  <c r="A17" i="10"/>
  <c r="E16" i="10"/>
  <c r="C16" i="10"/>
  <c r="A16" i="10"/>
  <c r="E15" i="10"/>
  <c r="C15" i="10"/>
  <c r="A15" i="10"/>
  <c r="E14" i="10"/>
  <c r="C14" i="10"/>
  <c r="A14" i="10"/>
  <c r="E13" i="10"/>
  <c r="C13" i="10"/>
  <c r="A13" i="10"/>
  <c r="E12" i="10"/>
  <c r="C12" i="10"/>
  <c r="A12" i="10"/>
  <c r="E11" i="10"/>
  <c r="C11" i="10"/>
  <c r="A11" i="10"/>
  <c r="E10" i="10"/>
  <c r="C10" i="10"/>
  <c r="A10" i="10"/>
  <c r="E9" i="10"/>
  <c r="C9" i="10"/>
  <c r="A9" i="10"/>
  <c r="E8" i="10"/>
  <c r="C8" i="10"/>
  <c r="A8" i="10"/>
  <c r="E7" i="10"/>
  <c r="C7" i="10"/>
  <c r="A7" i="10"/>
  <c r="E6" i="10"/>
  <c r="C6" i="10"/>
  <c r="A6" i="10"/>
  <c r="E5" i="10"/>
  <c r="C5" i="10"/>
  <c r="A5" i="10"/>
  <c r="E4" i="10"/>
  <c r="C4" i="10"/>
  <c r="A4" i="10"/>
  <c r="E3" i="10"/>
  <c r="C3" i="10"/>
  <c r="A3" i="10"/>
  <c r="E2" i="10"/>
  <c r="C2" i="10"/>
  <c r="A2" i="10"/>
  <c r="W55" i="14"/>
  <c r="D39" i="9" s="1"/>
  <c r="I23" i="9" s="1"/>
  <c r="O55" i="14"/>
  <c r="C39" i="9" s="1"/>
  <c r="I22" i="9" s="1"/>
  <c r="G55" i="14"/>
  <c r="B39" i="9" s="1"/>
  <c r="I21" i="9" s="1"/>
  <c r="W115" i="14"/>
  <c r="D56" i="9" s="1"/>
  <c r="J23" i="9" s="1"/>
  <c r="O115" i="14"/>
  <c r="C56" i="9" s="1"/>
  <c r="J22" i="9" s="1"/>
  <c r="G115" i="14"/>
  <c r="B56" i="9" s="1"/>
  <c r="J21" i="9" s="1"/>
  <c r="W115" i="12"/>
  <c r="D55" i="9" s="1"/>
  <c r="J18" i="9" s="1"/>
  <c r="O115" i="12"/>
  <c r="G115" i="12"/>
  <c r="B55" i="9" s="1"/>
  <c r="J16" i="9" s="1"/>
  <c r="I95" i="12"/>
  <c r="G512" i="10" s="1"/>
  <c r="Q95" i="12"/>
  <c r="G562" i="10" s="1"/>
  <c r="Y95" i="12"/>
  <c r="G612" i="10" s="1"/>
  <c r="Q96" i="12"/>
  <c r="G563" i="10" s="1"/>
  <c r="Q97" i="12"/>
  <c r="G564" i="10" s="1"/>
  <c r="Q98" i="12"/>
  <c r="G565" i="10" s="1"/>
  <c r="Q99" i="12"/>
  <c r="G566" i="10" s="1"/>
  <c r="I100" i="12"/>
  <c r="G517" i="10" s="1"/>
  <c r="Q100" i="12"/>
  <c r="G567" i="10" s="1"/>
  <c r="Y100" i="12"/>
  <c r="G617" i="10" s="1"/>
  <c r="I101" i="12"/>
  <c r="G518" i="10" s="1"/>
  <c r="Q101" i="12"/>
  <c r="G568" i="10" s="1"/>
  <c r="Y101" i="12"/>
  <c r="G618" i="10" s="1"/>
  <c r="I102" i="12"/>
  <c r="G519" i="10" s="1"/>
  <c r="Q102" i="12"/>
  <c r="G569" i="10" s="1"/>
  <c r="Y102" i="12"/>
  <c r="G619" i="10" s="1"/>
  <c r="Q104" i="12"/>
  <c r="I103" i="12"/>
  <c r="G520" i="10" s="1"/>
  <c r="Q103" i="12"/>
  <c r="G570" i="10" s="1"/>
  <c r="Y103" i="12"/>
  <c r="G620" i="10" s="1"/>
  <c r="Q105" i="12"/>
  <c r="G572" i="10" s="1"/>
  <c r="Q106" i="12"/>
  <c r="G573" i="10" s="1"/>
  <c r="Q107" i="12"/>
  <c r="G574" i="10" s="1"/>
  <c r="Q108" i="12"/>
  <c r="G575" i="10" s="1"/>
  <c r="O1485" i="20"/>
  <c r="O1487" i="20"/>
  <c r="O1489" i="20"/>
  <c r="O1491" i="20"/>
  <c r="O1493" i="20"/>
  <c r="O1495" i="20"/>
  <c r="O1497" i="20"/>
  <c r="O1499" i="20"/>
  <c r="O1501" i="20"/>
  <c r="O1503" i="20"/>
  <c r="O1505" i="20"/>
  <c r="O1507" i="20"/>
  <c r="O1509" i="20"/>
  <c r="O1511" i="20"/>
  <c r="O1513" i="20"/>
  <c r="O1515" i="20"/>
  <c r="O1517" i="20"/>
  <c r="O1519" i="20"/>
  <c r="O1521" i="20"/>
  <c r="O1523" i="20"/>
  <c r="O1525" i="20"/>
  <c r="O1527" i="20"/>
  <c r="O1529" i="20"/>
  <c r="O1531" i="20"/>
  <c r="O1533" i="20"/>
  <c r="O1535" i="20"/>
  <c r="O1537" i="20"/>
  <c r="O1539" i="20"/>
  <c r="O1541" i="20"/>
  <c r="O1641" i="20"/>
  <c r="O1741" i="20"/>
  <c r="O1185" i="20"/>
  <c r="O1187" i="20"/>
  <c r="O1189" i="20"/>
  <c r="O1191" i="20"/>
  <c r="O1193" i="20"/>
  <c r="O1195" i="20"/>
  <c r="O1197" i="20"/>
  <c r="O1199" i="20"/>
  <c r="O1201" i="20"/>
  <c r="O1203" i="20"/>
  <c r="O1205" i="20"/>
  <c r="O1207" i="20"/>
  <c r="O1209" i="20"/>
  <c r="O1211" i="20"/>
  <c r="O1213" i="20"/>
  <c r="O1215" i="20"/>
  <c r="O1217" i="20"/>
  <c r="O1219" i="20"/>
  <c r="O1221" i="20"/>
  <c r="O1223" i="20"/>
  <c r="O1225" i="20"/>
  <c r="O1227" i="20"/>
  <c r="O1229" i="20"/>
  <c r="O1231" i="20"/>
  <c r="O1233" i="20"/>
  <c r="O1235" i="20"/>
  <c r="O1237" i="20"/>
  <c r="O1239" i="20"/>
  <c r="O1241" i="20"/>
  <c r="O1243" i="20"/>
  <c r="O1285" i="20"/>
  <c r="O1287" i="20"/>
  <c r="O1289" i="20"/>
  <c r="O1291" i="20"/>
  <c r="O1293" i="20"/>
  <c r="O1295" i="20"/>
  <c r="O1297" i="20"/>
  <c r="O1299" i="20"/>
  <c r="O1301" i="20"/>
  <c r="O1303" i="20"/>
  <c r="O1305" i="20"/>
  <c r="O1307" i="20"/>
  <c r="O1309" i="20"/>
  <c r="O1311" i="20"/>
  <c r="O1313" i="20"/>
  <c r="O1315" i="20"/>
  <c r="O1317" i="20"/>
  <c r="O1319" i="20"/>
  <c r="O1321" i="20"/>
  <c r="O1323" i="20"/>
  <c r="O1325" i="20"/>
  <c r="O1327" i="20"/>
  <c r="O1329" i="20"/>
  <c r="O1331" i="20"/>
  <c r="O1333" i="20"/>
  <c r="O1335" i="20"/>
  <c r="O1337" i="20"/>
  <c r="O1339" i="20"/>
  <c r="O1341" i="20"/>
  <c r="O1343" i="20"/>
  <c r="O1385" i="20"/>
  <c r="O1387" i="20"/>
  <c r="O1389" i="20"/>
  <c r="O1391" i="20"/>
  <c r="O1393" i="20"/>
  <c r="O1395" i="20"/>
  <c r="O1397" i="20"/>
  <c r="O1399" i="20"/>
  <c r="O1401" i="20"/>
  <c r="O1403" i="20"/>
  <c r="O1405" i="20"/>
  <c r="O1407" i="20"/>
  <c r="O1409" i="20"/>
  <c r="O1411" i="20"/>
  <c r="O1413" i="20"/>
  <c r="O1415" i="20"/>
  <c r="O1417" i="20"/>
  <c r="O1419" i="20"/>
  <c r="O1421" i="20"/>
  <c r="O1423" i="20"/>
  <c r="O1425" i="20"/>
  <c r="O1427" i="20"/>
  <c r="O1429" i="20"/>
  <c r="O1431" i="20"/>
  <c r="O1433" i="20"/>
  <c r="O1435" i="20"/>
  <c r="O1437" i="20"/>
  <c r="O1439" i="20"/>
  <c r="O1441" i="20"/>
  <c r="O1143" i="20"/>
  <c r="O965" i="20"/>
  <c r="O967" i="20"/>
  <c r="O969" i="20"/>
  <c r="O971" i="20"/>
  <c r="O973" i="20"/>
  <c r="O975" i="20"/>
  <c r="O977" i="20"/>
  <c r="O979" i="20"/>
  <c r="O981" i="20"/>
  <c r="O983" i="20"/>
  <c r="O985" i="20"/>
  <c r="O987" i="20"/>
  <c r="O989" i="20"/>
  <c r="O991" i="20"/>
  <c r="O993" i="20"/>
  <c r="O995" i="20"/>
  <c r="O997" i="20"/>
  <c r="O999" i="20"/>
  <c r="O1001" i="20"/>
  <c r="O1003" i="20"/>
  <c r="O1005" i="20"/>
  <c r="O1007" i="20"/>
  <c r="O1009" i="20"/>
  <c r="O1011" i="20"/>
  <c r="O1013" i="20"/>
  <c r="O1015" i="20"/>
  <c r="O1017" i="20"/>
  <c r="O1019" i="20"/>
  <c r="O1021" i="20"/>
  <c r="O1023" i="20"/>
  <c r="O1025" i="20"/>
  <c r="O1027" i="20"/>
  <c r="O1029" i="20"/>
  <c r="O1031" i="20"/>
  <c r="O1033" i="20"/>
  <c r="O1035" i="20"/>
  <c r="O1037" i="20"/>
  <c r="O1039" i="20"/>
  <c r="O1041" i="20"/>
  <c r="O1043" i="20"/>
  <c r="O1045" i="20"/>
  <c r="O1047" i="20"/>
  <c r="O1049" i="20"/>
  <c r="O1051" i="20"/>
  <c r="O1053" i="20"/>
  <c r="O1055" i="20"/>
  <c r="O1057" i="20"/>
  <c r="O1059" i="20"/>
  <c r="O1061" i="20"/>
  <c r="O1063" i="20"/>
  <c r="O1065" i="20"/>
  <c r="O1067" i="20"/>
  <c r="O1069" i="20"/>
  <c r="O1071" i="20"/>
  <c r="O1073" i="20"/>
  <c r="O1075" i="20"/>
  <c r="O1077" i="20"/>
  <c r="O1079" i="20"/>
  <c r="O1081" i="20"/>
  <c r="O1083" i="20"/>
  <c r="O1085" i="20"/>
  <c r="O1087" i="20"/>
  <c r="O1089" i="20"/>
  <c r="O1091" i="20"/>
  <c r="O1093" i="20"/>
  <c r="O1095" i="20"/>
  <c r="O1097" i="20"/>
  <c r="O1099" i="20"/>
  <c r="O1101" i="20"/>
  <c r="O1103" i="20"/>
  <c r="O1105" i="20"/>
  <c r="O1107" i="20"/>
  <c r="O1109" i="20"/>
  <c r="O1111" i="20"/>
  <c r="O1113" i="20"/>
  <c r="O1115" i="20"/>
  <c r="O1117" i="20"/>
  <c r="O1119" i="20"/>
  <c r="O1121" i="20"/>
  <c r="O1123" i="20"/>
  <c r="O1125" i="20"/>
  <c r="O1127" i="20"/>
  <c r="O1129" i="20"/>
  <c r="O1131" i="20"/>
  <c r="O1133" i="20"/>
  <c r="O1135" i="20"/>
  <c r="O1137" i="20"/>
  <c r="O1139" i="20"/>
  <c r="O1141" i="20"/>
  <c r="O963" i="20"/>
  <c r="O525" i="20"/>
  <c r="O527" i="20"/>
  <c r="O529" i="20"/>
  <c r="O531" i="20"/>
  <c r="O533" i="20"/>
  <c r="O535" i="20"/>
  <c r="O537" i="20"/>
  <c r="O539" i="20"/>
  <c r="O541" i="20"/>
  <c r="O543" i="20"/>
  <c r="O545" i="20"/>
  <c r="O547" i="20"/>
  <c r="O549" i="20"/>
  <c r="O551" i="20"/>
  <c r="O553" i="20"/>
  <c r="O555" i="20"/>
  <c r="O557" i="20"/>
  <c r="O559" i="20"/>
  <c r="O561" i="20"/>
  <c r="O563" i="20"/>
  <c r="O565" i="20"/>
  <c r="O567" i="20"/>
  <c r="O569" i="20"/>
  <c r="O571" i="20"/>
  <c r="O573" i="20"/>
  <c r="O575" i="20"/>
  <c r="O577" i="20"/>
  <c r="O579" i="20"/>
  <c r="O581" i="20"/>
  <c r="O625" i="20"/>
  <c r="O627" i="20"/>
  <c r="O629" i="20"/>
  <c r="O631" i="20"/>
  <c r="O633" i="20"/>
  <c r="O635" i="20"/>
  <c r="O637" i="20"/>
  <c r="O639" i="20"/>
  <c r="O641" i="20"/>
  <c r="O643" i="20"/>
  <c r="O645" i="20"/>
  <c r="O647" i="20"/>
  <c r="O649" i="20"/>
  <c r="O651" i="20"/>
  <c r="O653" i="20"/>
  <c r="O655" i="20"/>
  <c r="O657" i="20"/>
  <c r="O659" i="20"/>
  <c r="O661" i="20"/>
  <c r="O663" i="20"/>
  <c r="O665" i="20"/>
  <c r="O667" i="20"/>
  <c r="O669" i="20"/>
  <c r="O671" i="20"/>
  <c r="O673" i="20"/>
  <c r="O675" i="20"/>
  <c r="O677" i="20"/>
  <c r="O679" i="20"/>
  <c r="O681" i="20"/>
  <c r="O725" i="20"/>
  <c r="O727" i="20"/>
  <c r="O729" i="20"/>
  <c r="O731" i="20"/>
  <c r="O733" i="20"/>
  <c r="O735" i="20"/>
  <c r="O737" i="20"/>
  <c r="O739" i="20"/>
  <c r="O741" i="20"/>
  <c r="O743" i="20"/>
  <c r="O745" i="20"/>
  <c r="O747" i="20"/>
  <c r="O749" i="20"/>
  <c r="O751" i="20"/>
  <c r="O753" i="20"/>
  <c r="O755" i="20"/>
  <c r="O757" i="20"/>
  <c r="O759" i="20"/>
  <c r="O761" i="20"/>
  <c r="O763" i="20"/>
  <c r="O765" i="20"/>
  <c r="O767" i="20"/>
  <c r="O769" i="20"/>
  <c r="O771" i="20"/>
  <c r="O773" i="20"/>
  <c r="O775" i="20"/>
  <c r="O777" i="20"/>
  <c r="O779" i="20"/>
  <c r="O781" i="20"/>
  <c r="O225" i="20"/>
  <c r="O227" i="20"/>
  <c r="O229" i="20"/>
  <c r="O231" i="20"/>
  <c r="O233" i="20"/>
  <c r="O235" i="20"/>
  <c r="O237" i="20"/>
  <c r="O239" i="20"/>
  <c r="O241" i="20"/>
  <c r="O243" i="20"/>
  <c r="O245" i="20"/>
  <c r="O247" i="20"/>
  <c r="O249" i="20"/>
  <c r="O251" i="20"/>
  <c r="O253" i="20"/>
  <c r="O255" i="20"/>
  <c r="O257" i="20"/>
  <c r="O259" i="20"/>
  <c r="O261" i="20"/>
  <c r="O263" i="20"/>
  <c r="O265" i="20"/>
  <c r="O267" i="20"/>
  <c r="O269" i="20"/>
  <c r="O271" i="20"/>
  <c r="O273" i="20"/>
  <c r="O275" i="20"/>
  <c r="O277" i="20"/>
  <c r="O279" i="20"/>
  <c r="O281" i="20"/>
  <c r="O283" i="20"/>
  <c r="O325" i="20"/>
  <c r="O327" i="20"/>
  <c r="O329" i="20"/>
  <c r="O331" i="20"/>
  <c r="O333" i="20"/>
  <c r="O335" i="20"/>
  <c r="O337" i="20"/>
  <c r="O339" i="20"/>
  <c r="O341" i="20"/>
  <c r="O343" i="20"/>
  <c r="O345" i="20"/>
  <c r="O347" i="20"/>
  <c r="O349" i="20"/>
  <c r="O351" i="20"/>
  <c r="O353" i="20"/>
  <c r="O355" i="20"/>
  <c r="O357" i="20"/>
  <c r="O359" i="20"/>
  <c r="O361" i="20"/>
  <c r="O363" i="20"/>
  <c r="O365" i="20"/>
  <c r="O367" i="20"/>
  <c r="O369" i="20"/>
  <c r="O371" i="20"/>
  <c r="O373" i="20"/>
  <c r="O375" i="20"/>
  <c r="O377" i="20"/>
  <c r="O379" i="20"/>
  <c r="O381" i="20"/>
  <c r="O383" i="20"/>
  <c r="O425" i="20"/>
  <c r="O427" i="20"/>
  <c r="O429" i="20"/>
  <c r="O431" i="20"/>
  <c r="O433" i="20"/>
  <c r="O435" i="20"/>
  <c r="O437" i="20"/>
  <c r="O439" i="20"/>
  <c r="O441" i="20"/>
  <c r="O443" i="20"/>
  <c r="O445" i="20"/>
  <c r="O447" i="20"/>
  <c r="O449" i="20"/>
  <c r="O451" i="20"/>
  <c r="O453" i="20"/>
  <c r="O455" i="20"/>
  <c r="O457" i="20"/>
  <c r="O459" i="20"/>
  <c r="O461" i="20"/>
  <c r="O463" i="20"/>
  <c r="O465" i="20"/>
  <c r="O467" i="20"/>
  <c r="O469" i="20"/>
  <c r="O471" i="20"/>
  <c r="O473" i="20"/>
  <c r="O475" i="20"/>
  <c r="O477" i="20"/>
  <c r="O479" i="20"/>
  <c r="O481" i="20"/>
  <c r="O183" i="20"/>
  <c r="O7" i="20"/>
  <c r="O9" i="20"/>
  <c r="O11" i="20"/>
  <c r="O13" i="20"/>
  <c r="O15" i="20"/>
  <c r="O17" i="20"/>
  <c r="O19" i="20"/>
  <c r="O21" i="20"/>
  <c r="O23" i="20"/>
  <c r="O25" i="20"/>
  <c r="O27" i="20"/>
  <c r="O29" i="20"/>
  <c r="O31" i="20"/>
  <c r="O33" i="20"/>
  <c r="O35" i="20"/>
  <c r="O37" i="20"/>
  <c r="O39" i="20"/>
  <c r="O41" i="20"/>
  <c r="O43" i="20"/>
  <c r="O45" i="20"/>
  <c r="O47" i="20"/>
  <c r="O49" i="20"/>
  <c r="O51" i="20"/>
  <c r="O53" i="20"/>
  <c r="O55" i="20"/>
  <c r="O57" i="20"/>
  <c r="O59" i="20"/>
  <c r="O61" i="20"/>
  <c r="O63" i="20"/>
  <c r="O65" i="20"/>
  <c r="O67" i="20"/>
  <c r="O69" i="20"/>
  <c r="O71" i="20"/>
  <c r="O73" i="20"/>
  <c r="O75" i="20"/>
  <c r="O77" i="20"/>
  <c r="O79" i="20"/>
  <c r="O81" i="20"/>
  <c r="O83" i="20"/>
  <c r="O85" i="20"/>
  <c r="O87" i="20"/>
  <c r="O89" i="20"/>
  <c r="O91" i="20"/>
  <c r="O93" i="20"/>
  <c r="O95" i="20"/>
  <c r="O97" i="20"/>
  <c r="O99" i="20"/>
  <c r="O101" i="20"/>
  <c r="O103" i="20"/>
  <c r="O105" i="20"/>
  <c r="O107" i="20"/>
  <c r="O109" i="20"/>
  <c r="O111" i="20"/>
  <c r="O113" i="20"/>
  <c r="O115" i="20"/>
  <c r="O117" i="20"/>
  <c r="O119" i="20"/>
  <c r="O121" i="20"/>
  <c r="O123" i="20"/>
  <c r="O125" i="20"/>
  <c r="O127" i="20"/>
  <c r="O129" i="20"/>
  <c r="O131" i="20"/>
  <c r="O133" i="20"/>
  <c r="O135" i="20"/>
  <c r="O137" i="20"/>
  <c r="O139" i="20"/>
  <c r="O141" i="20"/>
  <c r="O143" i="20"/>
  <c r="O145" i="20"/>
  <c r="O147" i="20"/>
  <c r="O149" i="20"/>
  <c r="O151" i="20"/>
  <c r="O153" i="20"/>
  <c r="O155" i="20"/>
  <c r="O157" i="20"/>
  <c r="O159" i="20"/>
  <c r="O161" i="20"/>
  <c r="O163" i="20"/>
  <c r="O165" i="20"/>
  <c r="O167" i="20"/>
  <c r="O169" i="20"/>
  <c r="O171" i="20"/>
  <c r="O173" i="20"/>
  <c r="O175" i="20"/>
  <c r="O177" i="20"/>
  <c r="O179" i="20"/>
  <c r="O181" i="20"/>
  <c r="O3" i="20"/>
  <c r="D1684" i="20"/>
  <c r="I1684" i="20" s="1"/>
  <c r="I1685" i="20" s="1"/>
  <c r="E1684" i="20"/>
  <c r="E1685" i="20" s="1"/>
  <c r="G1684" i="20"/>
  <c r="G1685" i="20" s="1"/>
  <c r="K1684" i="20"/>
  <c r="K1685" i="20" s="1"/>
  <c r="L1684" i="20"/>
  <c r="L1685" i="20" s="1"/>
  <c r="D1686" i="20"/>
  <c r="D1687" i="20" s="1"/>
  <c r="E1686" i="20"/>
  <c r="E1687" i="20" s="1"/>
  <c r="G1686" i="20"/>
  <c r="G1687" i="20" s="1"/>
  <c r="K1686" i="20"/>
  <c r="K1687" i="20" s="1"/>
  <c r="L1686" i="20"/>
  <c r="L1687" i="20" s="1"/>
  <c r="D1688" i="20"/>
  <c r="J1688" i="20" s="1"/>
  <c r="J1689" i="20" s="1"/>
  <c r="E1688" i="20"/>
  <c r="E1689" i="20" s="1"/>
  <c r="G1688" i="20"/>
  <c r="G1689" i="20" s="1"/>
  <c r="K1688" i="20"/>
  <c r="K1689" i="20" s="1"/>
  <c r="L1688" i="20"/>
  <c r="L1689" i="20" s="1"/>
  <c r="D1690" i="20"/>
  <c r="E1690" i="20"/>
  <c r="E1691" i="20" s="1"/>
  <c r="G1690" i="20"/>
  <c r="G1691" i="20" s="1"/>
  <c r="K1690" i="20"/>
  <c r="K1691" i="20" s="1"/>
  <c r="L1690" i="20"/>
  <c r="L1691" i="20" s="1"/>
  <c r="D1692" i="20"/>
  <c r="D1693" i="20" s="1"/>
  <c r="E1692" i="20"/>
  <c r="E1693" i="20" s="1"/>
  <c r="G1692" i="20"/>
  <c r="G1693" i="20" s="1"/>
  <c r="K1692" i="20"/>
  <c r="K1693" i="20" s="1"/>
  <c r="L1692" i="20"/>
  <c r="L1693" i="20" s="1"/>
  <c r="D1694" i="20"/>
  <c r="H1694" i="20" s="1"/>
  <c r="H1695" i="20" s="1"/>
  <c r="E1694" i="20"/>
  <c r="E1695" i="20" s="1"/>
  <c r="G1694" i="20"/>
  <c r="G1695" i="20" s="1"/>
  <c r="K1694" i="20"/>
  <c r="K1695" i="20" s="1"/>
  <c r="L1694" i="20"/>
  <c r="L1695" i="20" s="1"/>
  <c r="D1696" i="20"/>
  <c r="J1696" i="20" s="1"/>
  <c r="J1697" i="20" s="1"/>
  <c r="E1696" i="20"/>
  <c r="E1697" i="20" s="1"/>
  <c r="G1696" i="20"/>
  <c r="G1697" i="20" s="1"/>
  <c r="K1696" i="20"/>
  <c r="K1697" i="20" s="1"/>
  <c r="L1696" i="20"/>
  <c r="L1697" i="20" s="1"/>
  <c r="D1698" i="20"/>
  <c r="I1698" i="20" s="1"/>
  <c r="I1699" i="20" s="1"/>
  <c r="E1698" i="20"/>
  <c r="E1699" i="20" s="1"/>
  <c r="G1698" i="20"/>
  <c r="G1699" i="20" s="1"/>
  <c r="K1698" i="20"/>
  <c r="K1699" i="20" s="1"/>
  <c r="L1698" i="20"/>
  <c r="L1699" i="20" s="1"/>
  <c r="D1700" i="20"/>
  <c r="E1700" i="20"/>
  <c r="E1701" i="20" s="1"/>
  <c r="G1700" i="20"/>
  <c r="G1701" i="20" s="1"/>
  <c r="K1700" i="20"/>
  <c r="K1701" i="20" s="1"/>
  <c r="L1700" i="20"/>
  <c r="L1701" i="20" s="1"/>
  <c r="D1702" i="20"/>
  <c r="D1703" i="20" s="1"/>
  <c r="E1702" i="20"/>
  <c r="E1703" i="20" s="1"/>
  <c r="G1702" i="20"/>
  <c r="G1703" i="20" s="1"/>
  <c r="K1702" i="20"/>
  <c r="K1703" i="20" s="1"/>
  <c r="L1702" i="20"/>
  <c r="L1703" i="20" s="1"/>
  <c r="D1704" i="20"/>
  <c r="E1704" i="20"/>
  <c r="E1705" i="20" s="1"/>
  <c r="G1704" i="20"/>
  <c r="G1705" i="20" s="1"/>
  <c r="K1704" i="20"/>
  <c r="K1705" i="20" s="1"/>
  <c r="L1704" i="20"/>
  <c r="L1705" i="20" s="1"/>
  <c r="D1706" i="20"/>
  <c r="E1706" i="20"/>
  <c r="E1707" i="20" s="1"/>
  <c r="G1706" i="20"/>
  <c r="G1707" i="20" s="1"/>
  <c r="K1706" i="20"/>
  <c r="K1707" i="20" s="1"/>
  <c r="L1706" i="20"/>
  <c r="L1707" i="20" s="1"/>
  <c r="D1708" i="20"/>
  <c r="J1708" i="20" s="1"/>
  <c r="J1709" i="20" s="1"/>
  <c r="E1708" i="20"/>
  <c r="E1709" i="20" s="1"/>
  <c r="G1708" i="20"/>
  <c r="G1709" i="20" s="1"/>
  <c r="K1708" i="20"/>
  <c r="K1709" i="20" s="1"/>
  <c r="L1708" i="20"/>
  <c r="L1709" i="20" s="1"/>
  <c r="D1710" i="20"/>
  <c r="D1711" i="20" s="1"/>
  <c r="E1710" i="20"/>
  <c r="E1711" i="20" s="1"/>
  <c r="G1710" i="20"/>
  <c r="G1711" i="20" s="1"/>
  <c r="K1710" i="20"/>
  <c r="K1711" i="20" s="1"/>
  <c r="L1710" i="20"/>
  <c r="L1711" i="20" s="1"/>
  <c r="D1712" i="20"/>
  <c r="I1712" i="20" s="1"/>
  <c r="I1713" i="20" s="1"/>
  <c r="E1712" i="20"/>
  <c r="E1713" i="20" s="1"/>
  <c r="G1712" i="20"/>
  <c r="G1713" i="20" s="1"/>
  <c r="K1712" i="20"/>
  <c r="K1713" i="20" s="1"/>
  <c r="L1712" i="20"/>
  <c r="L1713" i="20" s="1"/>
  <c r="D1714" i="20"/>
  <c r="H1714" i="20" s="1"/>
  <c r="H1715" i="20" s="1"/>
  <c r="E1714" i="20"/>
  <c r="E1715" i="20" s="1"/>
  <c r="G1714" i="20"/>
  <c r="G1715" i="20" s="1"/>
  <c r="K1714" i="20"/>
  <c r="K1715" i="20" s="1"/>
  <c r="L1714" i="20"/>
  <c r="L1715" i="20" s="1"/>
  <c r="D1716" i="20"/>
  <c r="D1717" i="20" s="1"/>
  <c r="E1716" i="20"/>
  <c r="E1717" i="20" s="1"/>
  <c r="G1716" i="20"/>
  <c r="G1717" i="20" s="1"/>
  <c r="K1716" i="20"/>
  <c r="K1717" i="20" s="1"/>
  <c r="L1716" i="20"/>
  <c r="L1717" i="20" s="1"/>
  <c r="D1718" i="20"/>
  <c r="J1718" i="20" s="1"/>
  <c r="J1719" i="20" s="1"/>
  <c r="E1718" i="20"/>
  <c r="E1719" i="20" s="1"/>
  <c r="G1718" i="20"/>
  <c r="G1719" i="20" s="1"/>
  <c r="K1718" i="20"/>
  <c r="K1719" i="20" s="1"/>
  <c r="L1718" i="20"/>
  <c r="L1719" i="20" s="1"/>
  <c r="D1720" i="20"/>
  <c r="E1720" i="20"/>
  <c r="E1721" i="20" s="1"/>
  <c r="G1720" i="20"/>
  <c r="G1721" i="20" s="1"/>
  <c r="K1720" i="20"/>
  <c r="K1721" i="20" s="1"/>
  <c r="L1720" i="20"/>
  <c r="L1721" i="20" s="1"/>
  <c r="D1722" i="20"/>
  <c r="H1722" i="20" s="1"/>
  <c r="H1723" i="20" s="1"/>
  <c r="E1722" i="20"/>
  <c r="E1723" i="20" s="1"/>
  <c r="G1722" i="20"/>
  <c r="G1723" i="20" s="1"/>
  <c r="K1722" i="20"/>
  <c r="K1723" i="20" s="1"/>
  <c r="L1722" i="20"/>
  <c r="L1723" i="20" s="1"/>
  <c r="D1724" i="20"/>
  <c r="E1724" i="20"/>
  <c r="E1725" i="20" s="1"/>
  <c r="G1724" i="20"/>
  <c r="G1725" i="20" s="1"/>
  <c r="K1724" i="20"/>
  <c r="K1725" i="20" s="1"/>
  <c r="L1724" i="20"/>
  <c r="L1725" i="20" s="1"/>
  <c r="D1726" i="20"/>
  <c r="H1726" i="20" s="1"/>
  <c r="H1727" i="20" s="1"/>
  <c r="E1726" i="20"/>
  <c r="E1727" i="20" s="1"/>
  <c r="G1726" i="20"/>
  <c r="G1727" i="20" s="1"/>
  <c r="K1726" i="20"/>
  <c r="K1727" i="20" s="1"/>
  <c r="L1726" i="20"/>
  <c r="L1727" i="20" s="1"/>
  <c r="D1728" i="20"/>
  <c r="J1728" i="20" s="1"/>
  <c r="J1729" i="20" s="1"/>
  <c r="E1728" i="20"/>
  <c r="E1729" i="20" s="1"/>
  <c r="G1728" i="20"/>
  <c r="G1729" i="20" s="1"/>
  <c r="K1728" i="20"/>
  <c r="K1729" i="20" s="1"/>
  <c r="L1728" i="20"/>
  <c r="L1729" i="20" s="1"/>
  <c r="D1730" i="20"/>
  <c r="I1730" i="20" s="1"/>
  <c r="I1731" i="20" s="1"/>
  <c r="E1730" i="20"/>
  <c r="E1731" i="20" s="1"/>
  <c r="G1730" i="20"/>
  <c r="G1731" i="20" s="1"/>
  <c r="K1730" i="20"/>
  <c r="K1731" i="20" s="1"/>
  <c r="L1730" i="20"/>
  <c r="L1731" i="20" s="1"/>
  <c r="D1732" i="20"/>
  <c r="E1732" i="20"/>
  <c r="E1733" i="20" s="1"/>
  <c r="G1732" i="20"/>
  <c r="G1733" i="20" s="1"/>
  <c r="K1732" i="20"/>
  <c r="K1733" i="20" s="1"/>
  <c r="L1732" i="20"/>
  <c r="L1733" i="20" s="1"/>
  <c r="D1734" i="20"/>
  <c r="I1734" i="20" s="1"/>
  <c r="I1735" i="20" s="1"/>
  <c r="E1734" i="20"/>
  <c r="E1735" i="20" s="1"/>
  <c r="G1734" i="20"/>
  <c r="G1735" i="20" s="1"/>
  <c r="K1734" i="20"/>
  <c r="K1735" i="20" s="1"/>
  <c r="L1734" i="20"/>
  <c r="L1735" i="20" s="1"/>
  <c r="D1736" i="20"/>
  <c r="E1736" i="20"/>
  <c r="E1737" i="20" s="1"/>
  <c r="G1736" i="20"/>
  <c r="G1737" i="20" s="1"/>
  <c r="K1736" i="20"/>
  <c r="K1737" i="20" s="1"/>
  <c r="L1736" i="20"/>
  <c r="L1737" i="20" s="1"/>
  <c r="D1738" i="20"/>
  <c r="H1738" i="20" s="1"/>
  <c r="H1739" i="20" s="1"/>
  <c r="E1738" i="20"/>
  <c r="E1739" i="20" s="1"/>
  <c r="G1738" i="20"/>
  <c r="G1739" i="20" s="1"/>
  <c r="K1738" i="20"/>
  <c r="K1739" i="20" s="1"/>
  <c r="L1738" i="20"/>
  <c r="L1739" i="20" s="1"/>
  <c r="D1740" i="20"/>
  <c r="E1740" i="20"/>
  <c r="E1741" i="20" s="1"/>
  <c r="G1740" i="20"/>
  <c r="G1741" i="20" s="1"/>
  <c r="K1740" i="20"/>
  <c r="K1741" i="20" s="1"/>
  <c r="L1740" i="20"/>
  <c r="L1741" i="20" s="1"/>
  <c r="L1642" i="20"/>
  <c r="L1643" i="20" s="1"/>
  <c r="K1642" i="20"/>
  <c r="K1643" i="20" s="1"/>
  <c r="G1642" i="20"/>
  <c r="G1643" i="20" s="1"/>
  <c r="E1642" i="20"/>
  <c r="E1643" i="20" s="1"/>
  <c r="D1642" i="20"/>
  <c r="D1584" i="20"/>
  <c r="J1584" i="20" s="1"/>
  <c r="J1585" i="20" s="1"/>
  <c r="E1584" i="20"/>
  <c r="E1585" i="20" s="1"/>
  <c r="G1584" i="20"/>
  <c r="G1585" i="20" s="1"/>
  <c r="K1584" i="20"/>
  <c r="K1585" i="20" s="1"/>
  <c r="L1584" i="20"/>
  <c r="L1585" i="20" s="1"/>
  <c r="D1586" i="20"/>
  <c r="I1586" i="20" s="1"/>
  <c r="I1587" i="20" s="1"/>
  <c r="E1586" i="20"/>
  <c r="E1587" i="20" s="1"/>
  <c r="G1586" i="20"/>
  <c r="G1587" i="20" s="1"/>
  <c r="K1586" i="20"/>
  <c r="K1587" i="20" s="1"/>
  <c r="L1586" i="20"/>
  <c r="L1587" i="20" s="1"/>
  <c r="D1588" i="20"/>
  <c r="D1589" i="20" s="1"/>
  <c r="E1588" i="20"/>
  <c r="E1589" i="20" s="1"/>
  <c r="G1588" i="20"/>
  <c r="G1589" i="20" s="1"/>
  <c r="K1588" i="20"/>
  <c r="K1589" i="20" s="1"/>
  <c r="L1588" i="20"/>
  <c r="L1589" i="20" s="1"/>
  <c r="D1590" i="20"/>
  <c r="I1590" i="20" s="1"/>
  <c r="I1591" i="20" s="1"/>
  <c r="E1590" i="20"/>
  <c r="E1591" i="20" s="1"/>
  <c r="G1590" i="20"/>
  <c r="G1591" i="20" s="1"/>
  <c r="K1590" i="20"/>
  <c r="K1591" i="20" s="1"/>
  <c r="L1590" i="20"/>
  <c r="L1591" i="20" s="1"/>
  <c r="D1592" i="20"/>
  <c r="E1592" i="20"/>
  <c r="E1593" i="20" s="1"/>
  <c r="G1592" i="20"/>
  <c r="G1593" i="20" s="1"/>
  <c r="K1592" i="20"/>
  <c r="K1593" i="20" s="1"/>
  <c r="L1592" i="20"/>
  <c r="L1593" i="20" s="1"/>
  <c r="D1594" i="20"/>
  <c r="I1594" i="20" s="1"/>
  <c r="I1595" i="20" s="1"/>
  <c r="E1594" i="20"/>
  <c r="E1595" i="20" s="1"/>
  <c r="G1594" i="20"/>
  <c r="G1595" i="20" s="1"/>
  <c r="K1594" i="20"/>
  <c r="K1595" i="20" s="1"/>
  <c r="L1594" i="20"/>
  <c r="L1595" i="20" s="1"/>
  <c r="D1596" i="20"/>
  <c r="D1597" i="20" s="1"/>
  <c r="E1596" i="20"/>
  <c r="E1597" i="20" s="1"/>
  <c r="G1596" i="20"/>
  <c r="G1597" i="20" s="1"/>
  <c r="K1596" i="20"/>
  <c r="K1597" i="20" s="1"/>
  <c r="L1596" i="20"/>
  <c r="L1597" i="20" s="1"/>
  <c r="D1598" i="20"/>
  <c r="J1598" i="20" s="1"/>
  <c r="J1599" i="20" s="1"/>
  <c r="E1598" i="20"/>
  <c r="E1599" i="20" s="1"/>
  <c r="G1598" i="20"/>
  <c r="G1599" i="20" s="1"/>
  <c r="K1598" i="20"/>
  <c r="K1599" i="20" s="1"/>
  <c r="L1598" i="20"/>
  <c r="L1599" i="20" s="1"/>
  <c r="D1600" i="20"/>
  <c r="I1600" i="20" s="1"/>
  <c r="I1601" i="20" s="1"/>
  <c r="E1600" i="20"/>
  <c r="E1601" i="20" s="1"/>
  <c r="G1600" i="20"/>
  <c r="G1601" i="20" s="1"/>
  <c r="K1600" i="20"/>
  <c r="K1601" i="20" s="1"/>
  <c r="L1600" i="20"/>
  <c r="L1601" i="20" s="1"/>
  <c r="D1602" i="20"/>
  <c r="E1602" i="20"/>
  <c r="E1603" i="20" s="1"/>
  <c r="G1602" i="20"/>
  <c r="G1603" i="20" s="1"/>
  <c r="K1602" i="20"/>
  <c r="K1603" i="20" s="1"/>
  <c r="L1602" i="20"/>
  <c r="L1603" i="20" s="1"/>
  <c r="D1604" i="20"/>
  <c r="D1605" i="20" s="1"/>
  <c r="E1604" i="20"/>
  <c r="E1605" i="20" s="1"/>
  <c r="G1604" i="20"/>
  <c r="G1605" i="20" s="1"/>
  <c r="K1604" i="20"/>
  <c r="K1605" i="20" s="1"/>
  <c r="L1604" i="20"/>
  <c r="L1605" i="20" s="1"/>
  <c r="D1606" i="20"/>
  <c r="J1606" i="20" s="1"/>
  <c r="J1607" i="20" s="1"/>
  <c r="E1606" i="20"/>
  <c r="E1607" i="20" s="1"/>
  <c r="G1606" i="20"/>
  <c r="G1607" i="20" s="1"/>
  <c r="K1606" i="20"/>
  <c r="K1607" i="20" s="1"/>
  <c r="L1606" i="20"/>
  <c r="L1607" i="20" s="1"/>
  <c r="D1608" i="20"/>
  <c r="J1608" i="20" s="1"/>
  <c r="J1609" i="20" s="1"/>
  <c r="E1608" i="20"/>
  <c r="E1609" i="20" s="1"/>
  <c r="G1608" i="20"/>
  <c r="G1609" i="20" s="1"/>
  <c r="K1608" i="20"/>
  <c r="K1609" i="20" s="1"/>
  <c r="L1608" i="20"/>
  <c r="L1609" i="20" s="1"/>
  <c r="D1610" i="20"/>
  <c r="I1610" i="20" s="1"/>
  <c r="I1611" i="20" s="1"/>
  <c r="E1610" i="20"/>
  <c r="E1611" i="20" s="1"/>
  <c r="G1610" i="20"/>
  <c r="G1611" i="20" s="1"/>
  <c r="K1610" i="20"/>
  <c r="K1611" i="20" s="1"/>
  <c r="L1610" i="20"/>
  <c r="L1611" i="20" s="1"/>
  <c r="D1612" i="20"/>
  <c r="I1612" i="20" s="1"/>
  <c r="I1613" i="20" s="1"/>
  <c r="E1612" i="20"/>
  <c r="E1613" i="20" s="1"/>
  <c r="G1612" i="20"/>
  <c r="G1613" i="20" s="1"/>
  <c r="K1612" i="20"/>
  <c r="K1613" i="20" s="1"/>
  <c r="L1612" i="20"/>
  <c r="L1613" i="20" s="1"/>
  <c r="D1614" i="20"/>
  <c r="D1615" i="20" s="1"/>
  <c r="E1614" i="20"/>
  <c r="E1615" i="20" s="1"/>
  <c r="G1614" i="20"/>
  <c r="G1615" i="20" s="1"/>
  <c r="K1614" i="20"/>
  <c r="K1615" i="20" s="1"/>
  <c r="L1614" i="20"/>
  <c r="L1615" i="20" s="1"/>
  <c r="D1616" i="20"/>
  <c r="I1616" i="20" s="1"/>
  <c r="I1617" i="20" s="1"/>
  <c r="E1616" i="20"/>
  <c r="E1617" i="20" s="1"/>
  <c r="G1616" i="20"/>
  <c r="G1617" i="20" s="1"/>
  <c r="K1616" i="20"/>
  <c r="K1617" i="20" s="1"/>
  <c r="L1616" i="20"/>
  <c r="L1617" i="20" s="1"/>
  <c r="D1618" i="20"/>
  <c r="H1618" i="20" s="1"/>
  <c r="H1619" i="20" s="1"/>
  <c r="E1618" i="20"/>
  <c r="E1619" i="20" s="1"/>
  <c r="G1618" i="20"/>
  <c r="G1619" i="20" s="1"/>
  <c r="K1618" i="20"/>
  <c r="K1619" i="20" s="1"/>
  <c r="L1618" i="20"/>
  <c r="L1619" i="20" s="1"/>
  <c r="D1620" i="20"/>
  <c r="J1620" i="20" s="1"/>
  <c r="J1621" i="20" s="1"/>
  <c r="E1620" i="20"/>
  <c r="E1621" i="20" s="1"/>
  <c r="G1620" i="20"/>
  <c r="G1621" i="20" s="1"/>
  <c r="K1620" i="20"/>
  <c r="K1621" i="20" s="1"/>
  <c r="L1620" i="20"/>
  <c r="L1621" i="20" s="1"/>
  <c r="D1622" i="20"/>
  <c r="E1622" i="20"/>
  <c r="E1623" i="20" s="1"/>
  <c r="G1622" i="20"/>
  <c r="G1623" i="20" s="1"/>
  <c r="K1622" i="20"/>
  <c r="K1623" i="20" s="1"/>
  <c r="L1622" i="20"/>
  <c r="L1623" i="20" s="1"/>
  <c r="D1624" i="20"/>
  <c r="H1624" i="20" s="1"/>
  <c r="H1625" i="20" s="1"/>
  <c r="E1624" i="20"/>
  <c r="E1625" i="20" s="1"/>
  <c r="G1624" i="20"/>
  <c r="G1625" i="20" s="1"/>
  <c r="K1624" i="20"/>
  <c r="K1625" i="20" s="1"/>
  <c r="L1624" i="20"/>
  <c r="L1625" i="20" s="1"/>
  <c r="D1626" i="20"/>
  <c r="H1626" i="20" s="1"/>
  <c r="H1627" i="20" s="1"/>
  <c r="E1626" i="20"/>
  <c r="E1627" i="20" s="1"/>
  <c r="G1626" i="20"/>
  <c r="G1627" i="20" s="1"/>
  <c r="K1626" i="20"/>
  <c r="K1627" i="20" s="1"/>
  <c r="L1626" i="20"/>
  <c r="L1627" i="20" s="1"/>
  <c r="D1628" i="20"/>
  <c r="E1628" i="20"/>
  <c r="E1629" i="20" s="1"/>
  <c r="G1628" i="20"/>
  <c r="G1629" i="20" s="1"/>
  <c r="K1628" i="20"/>
  <c r="K1629" i="20" s="1"/>
  <c r="L1628" i="20"/>
  <c r="L1629" i="20" s="1"/>
  <c r="D1630" i="20"/>
  <c r="I1630" i="20" s="1"/>
  <c r="I1631" i="20" s="1"/>
  <c r="E1630" i="20"/>
  <c r="E1631" i="20" s="1"/>
  <c r="G1630" i="20"/>
  <c r="G1631" i="20" s="1"/>
  <c r="K1630" i="20"/>
  <c r="K1631" i="20" s="1"/>
  <c r="L1630" i="20"/>
  <c r="L1631" i="20" s="1"/>
  <c r="D1632" i="20"/>
  <c r="E1632" i="20"/>
  <c r="E1633" i="20" s="1"/>
  <c r="G1632" i="20"/>
  <c r="G1633" i="20" s="1"/>
  <c r="K1632" i="20"/>
  <c r="K1633" i="20" s="1"/>
  <c r="L1632" i="20"/>
  <c r="L1633" i="20" s="1"/>
  <c r="D1634" i="20"/>
  <c r="I1634" i="20" s="1"/>
  <c r="I1635" i="20" s="1"/>
  <c r="E1634" i="20"/>
  <c r="E1635" i="20" s="1"/>
  <c r="G1634" i="20"/>
  <c r="G1635" i="20" s="1"/>
  <c r="K1634" i="20"/>
  <c r="K1635" i="20" s="1"/>
  <c r="L1634" i="20"/>
  <c r="L1635" i="20" s="1"/>
  <c r="D1636" i="20"/>
  <c r="D1637" i="20" s="1"/>
  <c r="E1636" i="20"/>
  <c r="E1637" i="20" s="1"/>
  <c r="G1636" i="20"/>
  <c r="G1637" i="20" s="1"/>
  <c r="K1636" i="20"/>
  <c r="K1637" i="20" s="1"/>
  <c r="L1636" i="20"/>
  <c r="L1637" i="20" s="1"/>
  <c r="D1638" i="20"/>
  <c r="J1638" i="20" s="1"/>
  <c r="J1639" i="20" s="1"/>
  <c r="E1638" i="20"/>
  <c r="E1639" i="20" s="1"/>
  <c r="G1638" i="20"/>
  <c r="G1639" i="20" s="1"/>
  <c r="K1638" i="20"/>
  <c r="K1639" i="20" s="1"/>
  <c r="L1638" i="20"/>
  <c r="L1639" i="20" s="1"/>
  <c r="D1640" i="20"/>
  <c r="I1640" i="20" s="1"/>
  <c r="I1641" i="20" s="1"/>
  <c r="E1640" i="20"/>
  <c r="E1641" i="20" s="1"/>
  <c r="G1640" i="20"/>
  <c r="G1641" i="20" s="1"/>
  <c r="K1640" i="20"/>
  <c r="K1641" i="20" s="1"/>
  <c r="L1640" i="20"/>
  <c r="L1641" i="20" s="1"/>
  <c r="L1542" i="20"/>
  <c r="L1543" i="20" s="1"/>
  <c r="K1542" i="20"/>
  <c r="K1543" i="20" s="1"/>
  <c r="K624" i="20"/>
  <c r="K625" i="20" s="1"/>
  <c r="L624" i="20"/>
  <c r="L625" i="20" s="1"/>
  <c r="K626" i="20"/>
  <c r="K627" i="20" s="1"/>
  <c r="L626" i="20"/>
  <c r="L627" i="20" s="1"/>
  <c r="K628" i="20"/>
  <c r="K629" i="20" s="1"/>
  <c r="L628" i="20"/>
  <c r="L629" i="20" s="1"/>
  <c r="K630" i="20"/>
  <c r="K631" i="20" s="1"/>
  <c r="L630" i="20"/>
  <c r="L631" i="20" s="1"/>
  <c r="K632" i="20"/>
  <c r="K633" i="20" s="1"/>
  <c r="L632" i="20"/>
  <c r="L633" i="20" s="1"/>
  <c r="K634" i="20"/>
  <c r="K635" i="20" s="1"/>
  <c r="L634" i="20"/>
  <c r="L635" i="20" s="1"/>
  <c r="K636" i="20"/>
  <c r="K637" i="20" s="1"/>
  <c r="L636" i="20"/>
  <c r="L637" i="20" s="1"/>
  <c r="K638" i="20"/>
  <c r="K639" i="20" s="1"/>
  <c r="L638" i="20"/>
  <c r="L639" i="20" s="1"/>
  <c r="K640" i="20"/>
  <c r="K641" i="20" s="1"/>
  <c r="L640" i="20"/>
  <c r="L641" i="20" s="1"/>
  <c r="K642" i="20"/>
  <c r="K643" i="20" s="1"/>
  <c r="L642" i="20"/>
  <c r="L643" i="20" s="1"/>
  <c r="K644" i="20"/>
  <c r="K645" i="20" s="1"/>
  <c r="L644" i="20"/>
  <c r="L645" i="20" s="1"/>
  <c r="K646" i="20"/>
  <c r="K647" i="20" s="1"/>
  <c r="L646" i="20"/>
  <c r="L647" i="20" s="1"/>
  <c r="K648" i="20"/>
  <c r="K649" i="20" s="1"/>
  <c r="L648" i="20"/>
  <c r="L649" i="20" s="1"/>
  <c r="K650" i="20"/>
  <c r="K651" i="20" s="1"/>
  <c r="L650" i="20"/>
  <c r="L651" i="20" s="1"/>
  <c r="K652" i="20"/>
  <c r="K653" i="20" s="1"/>
  <c r="L652" i="20"/>
  <c r="L653" i="20" s="1"/>
  <c r="K654" i="20"/>
  <c r="K655" i="20" s="1"/>
  <c r="L654" i="20"/>
  <c r="L655" i="20" s="1"/>
  <c r="K656" i="20"/>
  <c r="K657" i="20" s="1"/>
  <c r="L656" i="20"/>
  <c r="L657" i="20" s="1"/>
  <c r="K658" i="20"/>
  <c r="K659" i="20" s="1"/>
  <c r="L658" i="20"/>
  <c r="L659" i="20" s="1"/>
  <c r="K660" i="20"/>
  <c r="K661" i="20" s="1"/>
  <c r="L660" i="20"/>
  <c r="L661" i="20" s="1"/>
  <c r="K662" i="20"/>
  <c r="K663" i="20" s="1"/>
  <c r="L662" i="20"/>
  <c r="L663" i="20" s="1"/>
  <c r="K664" i="20"/>
  <c r="K665" i="20" s="1"/>
  <c r="L664" i="20"/>
  <c r="L665" i="20" s="1"/>
  <c r="K666" i="20"/>
  <c r="K667" i="20" s="1"/>
  <c r="L666" i="20"/>
  <c r="L667" i="20" s="1"/>
  <c r="K668" i="20"/>
  <c r="K669" i="20" s="1"/>
  <c r="L668" i="20"/>
  <c r="L669" i="20" s="1"/>
  <c r="K670" i="20"/>
  <c r="K671" i="20" s="1"/>
  <c r="L670" i="20"/>
  <c r="L671" i="20" s="1"/>
  <c r="K672" i="20"/>
  <c r="K673" i="20" s="1"/>
  <c r="L672" i="20"/>
  <c r="L673" i="20" s="1"/>
  <c r="K674" i="20"/>
  <c r="K675" i="20" s="1"/>
  <c r="L674" i="20"/>
  <c r="L675" i="20" s="1"/>
  <c r="K676" i="20"/>
  <c r="K677" i="20" s="1"/>
  <c r="L676" i="20"/>
  <c r="L677" i="20" s="1"/>
  <c r="K678" i="20"/>
  <c r="K679" i="20" s="1"/>
  <c r="L678" i="20"/>
  <c r="L679" i="20" s="1"/>
  <c r="K680" i="20"/>
  <c r="K681" i="20" s="1"/>
  <c r="L680" i="20"/>
  <c r="L681" i="20" s="1"/>
  <c r="L582" i="20"/>
  <c r="L583" i="20" s="1"/>
  <c r="K582" i="20"/>
  <c r="K583" i="20" s="1"/>
  <c r="G1542" i="20"/>
  <c r="G1543" i="20" s="1"/>
  <c r="E1542" i="20"/>
  <c r="E1543" i="20" s="1"/>
  <c r="D1542" i="20"/>
  <c r="L780" i="20"/>
  <c r="L781" i="20" s="1"/>
  <c r="K780" i="20"/>
  <c r="K781" i="20" s="1"/>
  <c r="G780" i="20"/>
  <c r="G781" i="20" s="1"/>
  <c r="L778" i="20"/>
  <c r="L779" i="20" s="1"/>
  <c r="K778" i="20"/>
  <c r="K779" i="20" s="1"/>
  <c r="G778" i="20"/>
  <c r="G779" i="20" s="1"/>
  <c r="L776" i="20"/>
  <c r="L777" i="20" s="1"/>
  <c r="K776" i="20"/>
  <c r="K777" i="20" s="1"/>
  <c r="G776" i="20"/>
  <c r="G777" i="20" s="1"/>
  <c r="L774" i="20"/>
  <c r="L775" i="20" s="1"/>
  <c r="K774" i="20"/>
  <c r="K775" i="20" s="1"/>
  <c r="G774" i="20"/>
  <c r="G775" i="20" s="1"/>
  <c r="L772" i="20"/>
  <c r="L773" i="20" s="1"/>
  <c r="K772" i="20"/>
  <c r="K773" i="20" s="1"/>
  <c r="G772" i="20"/>
  <c r="G773" i="20" s="1"/>
  <c r="L770" i="20"/>
  <c r="L771" i="20" s="1"/>
  <c r="K770" i="20"/>
  <c r="K771" i="20" s="1"/>
  <c r="G770" i="20"/>
  <c r="G771" i="20" s="1"/>
  <c r="L768" i="20"/>
  <c r="L769" i="20" s="1"/>
  <c r="K768" i="20"/>
  <c r="K769" i="20" s="1"/>
  <c r="G768" i="20"/>
  <c r="G769" i="20" s="1"/>
  <c r="L766" i="20"/>
  <c r="L767" i="20" s="1"/>
  <c r="K766" i="20"/>
  <c r="K767" i="20" s="1"/>
  <c r="G766" i="20"/>
  <c r="G767" i="20" s="1"/>
  <c r="L764" i="20"/>
  <c r="L765" i="20" s="1"/>
  <c r="K764" i="20"/>
  <c r="K765" i="20" s="1"/>
  <c r="G764" i="20"/>
  <c r="G765" i="20" s="1"/>
  <c r="L762" i="20"/>
  <c r="L763" i="20" s="1"/>
  <c r="K762" i="20"/>
  <c r="K763" i="20" s="1"/>
  <c r="G762" i="20"/>
  <c r="G763" i="20" s="1"/>
  <c r="L760" i="20"/>
  <c r="L761" i="20" s="1"/>
  <c r="K760" i="20"/>
  <c r="K761" i="20" s="1"/>
  <c r="G760" i="20"/>
  <c r="G761" i="20" s="1"/>
  <c r="L758" i="20"/>
  <c r="L759" i="20" s="1"/>
  <c r="K758" i="20"/>
  <c r="K759" i="20" s="1"/>
  <c r="G758" i="20"/>
  <c r="G759" i="20" s="1"/>
  <c r="L756" i="20"/>
  <c r="L757" i="20" s="1"/>
  <c r="K756" i="20"/>
  <c r="K757" i="20" s="1"/>
  <c r="G756" i="20"/>
  <c r="G757" i="20" s="1"/>
  <c r="L754" i="20"/>
  <c r="L755" i="20" s="1"/>
  <c r="K754" i="20"/>
  <c r="K755" i="20" s="1"/>
  <c r="G754" i="20"/>
  <c r="G755" i="20" s="1"/>
  <c r="L752" i="20"/>
  <c r="L753" i="20" s="1"/>
  <c r="K752" i="20"/>
  <c r="K753" i="20" s="1"/>
  <c r="G752" i="20"/>
  <c r="G753" i="20" s="1"/>
  <c r="L750" i="20"/>
  <c r="L751" i="20" s="1"/>
  <c r="K750" i="20"/>
  <c r="K751" i="20" s="1"/>
  <c r="G750" i="20"/>
  <c r="G751" i="20" s="1"/>
  <c r="L748" i="20"/>
  <c r="L749" i="20" s="1"/>
  <c r="K748" i="20"/>
  <c r="K749" i="20" s="1"/>
  <c r="G748" i="20"/>
  <c r="G749" i="20" s="1"/>
  <c r="L746" i="20"/>
  <c r="L747" i="20" s="1"/>
  <c r="K746" i="20"/>
  <c r="K747" i="20" s="1"/>
  <c r="G746" i="20"/>
  <c r="G747" i="20" s="1"/>
  <c r="L744" i="20"/>
  <c r="L745" i="20" s="1"/>
  <c r="K744" i="20"/>
  <c r="K745" i="20" s="1"/>
  <c r="G744" i="20"/>
  <c r="G745" i="20" s="1"/>
  <c r="L742" i="20"/>
  <c r="L743" i="20" s="1"/>
  <c r="K742" i="20"/>
  <c r="K743" i="20" s="1"/>
  <c r="G742" i="20"/>
  <c r="G743" i="20" s="1"/>
  <c r="L740" i="20"/>
  <c r="L741" i="20" s="1"/>
  <c r="K740" i="20"/>
  <c r="K741" i="20" s="1"/>
  <c r="G740" i="20"/>
  <c r="G741" i="20" s="1"/>
  <c r="L738" i="20"/>
  <c r="L739" i="20" s="1"/>
  <c r="K738" i="20"/>
  <c r="K739" i="20" s="1"/>
  <c r="G738" i="20"/>
  <c r="G739" i="20" s="1"/>
  <c r="L736" i="20"/>
  <c r="L737" i="20" s="1"/>
  <c r="K736" i="20"/>
  <c r="K737" i="20" s="1"/>
  <c r="G736" i="20"/>
  <c r="G737" i="20" s="1"/>
  <c r="L734" i="20"/>
  <c r="L735" i="20" s="1"/>
  <c r="K734" i="20"/>
  <c r="K735" i="20" s="1"/>
  <c r="G734" i="20"/>
  <c r="G735" i="20" s="1"/>
  <c r="L732" i="20"/>
  <c r="L733" i="20" s="1"/>
  <c r="K732" i="20"/>
  <c r="K733" i="20" s="1"/>
  <c r="G732" i="20"/>
  <c r="G733" i="20" s="1"/>
  <c r="L730" i="20"/>
  <c r="L731" i="20" s="1"/>
  <c r="K730" i="20"/>
  <c r="K731" i="20" s="1"/>
  <c r="G730" i="20"/>
  <c r="G731" i="20" s="1"/>
  <c r="L728" i="20"/>
  <c r="L729" i="20" s="1"/>
  <c r="K728" i="20"/>
  <c r="K729" i="20" s="1"/>
  <c r="G728" i="20"/>
  <c r="G729" i="20" s="1"/>
  <c r="L726" i="20"/>
  <c r="L727" i="20" s="1"/>
  <c r="K726" i="20"/>
  <c r="K727" i="20" s="1"/>
  <c r="G726" i="20"/>
  <c r="G727" i="20" s="1"/>
  <c r="L724" i="20"/>
  <c r="L725" i="20" s="1"/>
  <c r="K724" i="20"/>
  <c r="K725" i="20" s="1"/>
  <c r="G724" i="20"/>
  <c r="G725" i="20" s="1"/>
  <c r="L682" i="20"/>
  <c r="L683" i="20" s="1"/>
  <c r="K682" i="20"/>
  <c r="K683" i="20" s="1"/>
  <c r="G682" i="20"/>
  <c r="G683" i="20" s="1"/>
  <c r="E780" i="20"/>
  <c r="E781" i="20" s="1"/>
  <c r="D780" i="20"/>
  <c r="J780" i="20" s="1"/>
  <c r="J781" i="20" s="1"/>
  <c r="E778" i="20"/>
  <c r="E779" i="20" s="1"/>
  <c r="D778" i="20"/>
  <c r="H778" i="20" s="1"/>
  <c r="H779" i="20" s="1"/>
  <c r="E776" i="20"/>
  <c r="E777" i="20" s="1"/>
  <c r="D776" i="20"/>
  <c r="E774" i="20"/>
  <c r="E775" i="20" s="1"/>
  <c r="D774" i="20"/>
  <c r="D775" i="20" s="1"/>
  <c r="E772" i="20"/>
  <c r="E773" i="20" s="1"/>
  <c r="D772" i="20"/>
  <c r="I772" i="20" s="1"/>
  <c r="I773" i="20" s="1"/>
  <c r="E770" i="20"/>
  <c r="E771" i="20" s="1"/>
  <c r="D770" i="20"/>
  <c r="H770" i="20" s="1"/>
  <c r="H771" i="20" s="1"/>
  <c r="E768" i="20"/>
  <c r="E769" i="20" s="1"/>
  <c r="D768" i="20"/>
  <c r="H768" i="20" s="1"/>
  <c r="H769" i="20" s="1"/>
  <c r="E766" i="20"/>
  <c r="E767" i="20" s="1"/>
  <c r="D766" i="20"/>
  <c r="J766" i="20" s="1"/>
  <c r="J767" i="20" s="1"/>
  <c r="E764" i="20"/>
  <c r="E765" i="20" s="1"/>
  <c r="D764" i="20"/>
  <c r="H764" i="20" s="1"/>
  <c r="H765" i="20" s="1"/>
  <c r="E762" i="20"/>
  <c r="E763" i="20" s="1"/>
  <c r="D762" i="20"/>
  <c r="I762" i="20" s="1"/>
  <c r="I763" i="20" s="1"/>
  <c r="E760" i="20"/>
  <c r="E761" i="20" s="1"/>
  <c r="D760" i="20"/>
  <c r="E758" i="20"/>
  <c r="E759" i="20" s="1"/>
  <c r="D758" i="20"/>
  <c r="E756" i="20"/>
  <c r="E757" i="20" s="1"/>
  <c r="D756" i="20"/>
  <c r="E754" i="20"/>
  <c r="E755" i="20" s="1"/>
  <c r="D754" i="20"/>
  <c r="J754" i="20" s="1"/>
  <c r="J755" i="20" s="1"/>
  <c r="E752" i="20"/>
  <c r="E753" i="20" s="1"/>
  <c r="D752" i="20"/>
  <c r="I752" i="20" s="1"/>
  <c r="I753" i="20" s="1"/>
  <c r="E750" i="20"/>
  <c r="E751" i="20" s="1"/>
  <c r="D750" i="20"/>
  <c r="H750" i="20" s="1"/>
  <c r="H751" i="20" s="1"/>
  <c r="E748" i="20"/>
  <c r="E749" i="20" s="1"/>
  <c r="D748" i="20"/>
  <c r="J748" i="20" s="1"/>
  <c r="J749" i="20" s="1"/>
  <c r="E746" i="20"/>
  <c r="E747" i="20" s="1"/>
  <c r="D746" i="20"/>
  <c r="E744" i="20"/>
  <c r="E745" i="20" s="1"/>
  <c r="D744" i="20"/>
  <c r="I744" i="20" s="1"/>
  <c r="I745" i="20" s="1"/>
  <c r="E742" i="20"/>
  <c r="E743" i="20" s="1"/>
  <c r="D742" i="20"/>
  <c r="E740" i="20"/>
  <c r="E741" i="20" s="1"/>
  <c r="D740" i="20"/>
  <c r="H740" i="20" s="1"/>
  <c r="H741" i="20" s="1"/>
  <c r="E738" i="20"/>
  <c r="E739" i="20" s="1"/>
  <c r="D738" i="20"/>
  <c r="I738" i="20" s="1"/>
  <c r="I739" i="20" s="1"/>
  <c r="E736" i="20"/>
  <c r="E737" i="20" s="1"/>
  <c r="D736" i="20"/>
  <c r="E734" i="20"/>
  <c r="E735" i="20" s="1"/>
  <c r="D734" i="20"/>
  <c r="E732" i="20"/>
  <c r="E733" i="20" s="1"/>
  <c r="D732" i="20"/>
  <c r="E730" i="20"/>
  <c r="E731" i="20" s="1"/>
  <c r="D730" i="20"/>
  <c r="I730" i="20" s="1"/>
  <c r="I731" i="20" s="1"/>
  <c r="E728" i="20"/>
  <c r="E729" i="20" s="1"/>
  <c r="D728" i="20"/>
  <c r="H728" i="20" s="1"/>
  <c r="H729" i="20" s="1"/>
  <c r="E726" i="20"/>
  <c r="E727" i="20" s="1"/>
  <c r="D726" i="20"/>
  <c r="E724" i="20"/>
  <c r="E725" i="20" s="1"/>
  <c r="D724" i="20"/>
  <c r="I724" i="20" s="1"/>
  <c r="I725" i="20" s="1"/>
  <c r="E682" i="20"/>
  <c r="E683" i="20" s="1"/>
  <c r="D682" i="20"/>
  <c r="E680" i="20"/>
  <c r="E681" i="20" s="1"/>
  <c r="D680" i="20"/>
  <c r="E678" i="20"/>
  <c r="E679" i="20" s="1"/>
  <c r="D678" i="20"/>
  <c r="I678" i="20" s="1"/>
  <c r="I679" i="20" s="1"/>
  <c r="E676" i="20"/>
  <c r="E677" i="20" s="1"/>
  <c r="D676" i="20"/>
  <c r="E674" i="20"/>
  <c r="E675" i="20" s="1"/>
  <c r="D674" i="20"/>
  <c r="J674" i="20" s="1"/>
  <c r="J675" i="20" s="1"/>
  <c r="E672" i="20"/>
  <c r="E673" i="20" s="1"/>
  <c r="D672" i="20"/>
  <c r="H672" i="20" s="1"/>
  <c r="H673" i="20" s="1"/>
  <c r="E670" i="20"/>
  <c r="E671" i="20" s="1"/>
  <c r="D670" i="20"/>
  <c r="J670" i="20" s="1"/>
  <c r="J671" i="20" s="1"/>
  <c r="E668" i="20"/>
  <c r="E669" i="20" s="1"/>
  <c r="D668" i="20"/>
  <c r="I668" i="20" s="1"/>
  <c r="I669" i="20" s="1"/>
  <c r="E666" i="20"/>
  <c r="E667" i="20" s="1"/>
  <c r="D666" i="20"/>
  <c r="E664" i="20"/>
  <c r="E665" i="20" s="1"/>
  <c r="D664" i="20"/>
  <c r="J664" i="20" s="1"/>
  <c r="J665" i="20" s="1"/>
  <c r="E662" i="20"/>
  <c r="E663" i="20" s="1"/>
  <c r="D662" i="20"/>
  <c r="E660" i="20"/>
  <c r="E661" i="20" s="1"/>
  <c r="D660" i="20"/>
  <c r="E658" i="20"/>
  <c r="E659" i="20" s="1"/>
  <c r="D658" i="20"/>
  <c r="J658" i="20" s="1"/>
  <c r="J659" i="20" s="1"/>
  <c r="E656" i="20"/>
  <c r="E657" i="20" s="1"/>
  <c r="D656" i="20"/>
  <c r="E654" i="20"/>
  <c r="E655" i="20" s="1"/>
  <c r="D654" i="20"/>
  <c r="I654" i="20" s="1"/>
  <c r="I655" i="20" s="1"/>
  <c r="E652" i="20"/>
  <c r="E653" i="20" s="1"/>
  <c r="D652" i="20"/>
  <c r="E650" i="20"/>
  <c r="E651" i="20" s="1"/>
  <c r="D650" i="20"/>
  <c r="E648" i="20"/>
  <c r="E649" i="20" s="1"/>
  <c r="D648" i="20"/>
  <c r="I648" i="20" s="1"/>
  <c r="I649" i="20" s="1"/>
  <c r="E646" i="20"/>
  <c r="E647" i="20" s="1"/>
  <c r="D646" i="20"/>
  <c r="E644" i="20"/>
  <c r="E645" i="20" s="1"/>
  <c r="D644" i="20"/>
  <c r="E642" i="20"/>
  <c r="E643" i="20" s="1"/>
  <c r="D642" i="20"/>
  <c r="H642" i="20" s="1"/>
  <c r="H643" i="20" s="1"/>
  <c r="E640" i="20"/>
  <c r="E641" i="20" s="1"/>
  <c r="D640" i="20"/>
  <c r="H640" i="20" s="1"/>
  <c r="H641" i="20" s="1"/>
  <c r="E638" i="20"/>
  <c r="E639" i="20" s="1"/>
  <c r="D638" i="20"/>
  <c r="E636" i="20"/>
  <c r="E637" i="20" s="1"/>
  <c r="D636" i="20"/>
  <c r="I636" i="20" s="1"/>
  <c r="I637" i="20" s="1"/>
  <c r="E634" i="20"/>
  <c r="E635" i="20" s="1"/>
  <c r="D634" i="20"/>
  <c r="E632" i="20"/>
  <c r="E633" i="20" s="1"/>
  <c r="D632" i="20"/>
  <c r="J632" i="20" s="1"/>
  <c r="J633" i="20" s="1"/>
  <c r="E630" i="20"/>
  <c r="E631" i="20" s="1"/>
  <c r="D630" i="20"/>
  <c r="E628" i="20"/>
  <c r="E629" i="20" s="1"/>
  <c r="D628" i="20"/>
  <c r="E626" i="20"/>
  <c r="E627" i="20" s="1"/>
  <c r="D626" i="20"/>
  <c r="E624" i="20"/>
  <c r="E625" i="20" s="1"/>
  <c r="D624" i="20"/>
  <c r="H624" i="20" s="1"/>
  <c r="H625" i="20" s="1"/>
  <c r="E582" i="20"/>
  <c r="E583" i="20" s="1"/>
  <c r="D582" i="20"/>
  <c r="D1484" i="20"/>
  <c r="D1485" i="20" s="1"/>
  <c r="E1484" i="20"/>
  <c r="E1485" i="20" s="1"/>
  <c r="G1484" i="20"/>
  <c r="G1485" i="20" s="1"/>
  <c r="K1484" i="20"/>
  <c r="K1485" i="20" s="1"/>
  <c r="L1484" i="20"/>
  <c r="L1485" i="20" s="1"/>
  <c r="D1486" i="20"/>
  <c r="H1486" i="20" s="1"/>
  <c r="H1487" i="20" s="1"/>
  <c r="E1486" i="20"/>
  <c r="E1487" i="20" s="1"/>
  <c r="G1486" i="20"/>
  <c r="G1487" i="20" s="1"/>
  <c r="K1486" i="20"/>
  <c r="K1487" i="20" s="1"/>
  <c r="L1486" i="20"/>
  <c r="L1487" i="20" s="1"/>
  <c r="D1488" i="20"/>
  <c r="H1488" i="20" s="1"/>
  <c r="H1489" i="20" s="1"/>
  <c r="E1488" i="20"/>
  <c r="E1489" i="20" s="1"/>
  <c r="G1488" i="20"/>
  <c r="G1489" i="20" s="1"/>
  <c r="K1488" i="20"/>
  <c r="K1489" i="20" s="1"/>
  <c r="L1488" i="20"/>
  <c r="L1489" i="20" s="1"/>
  <c r="D1490" i="20"/>
  <c r="H1490" i="20" s="1"/>
  <c r="H1491" i="20" s="1"/>
  <c r="E1490" i="20"/>
  <c r="E1491" i="20" s="1"/>
  <c r="G1490" i="20"/>
  <c r="G1491" i="20" s="1"/>
  <c r="K1490" i="20"/>
  <c r="K1491" i="20" s="1"/>
  <c r="L1490" i="20"/>
  <c r="L1491" i="20" s="1"/>
  <c r="D1492" i="20"/>
  <c r="E1492" i="20"/>
  <c r="E1493" i="20" s="1"/>
  <c r="G1492" i="20"/>
  <c r="G1493" i="20" s="1"/>
  <c r="K1492" i="20"/>
  <c r="K1493" i="20" s="1"/>
  <c r="L1492" i="20"/>
  <c r="L1493" i="20" s="1"/>
  <c r="D1494" i="20"/>
  <c r="H1494" i="20" s="1"/>
  <c r="H1495" i="20" s="1"/>
  <c r="E1494" i="20"/>
  <c r="E1495" i="20" s="1"/>
  <c r="G1494" i="20"/>
  <c r="G1495" i="20" s="1"/>
  <c r="K1494" i="20"/>
  <c r="K1495" i="20" s="1"/>
  <c r="L1494" i="20"/>
  <c r="L1495" i="20" s="1"/>
  <c r="D1496" i="20"/>
  <c r="D1497" i="20" s="1"/>
  <c r="E1496" i="20"/>
  <c r="E1497" i="20" s="1"/>
  <c r="G1496" i="20"/>
  <c r="G1497" i="20" s="1"/>
  <c r="K1496" i="20"/>
  <c r="K1497" i="20" s="1"/>
  <c r="L1496" i="20"/>
  <c r="L1497" i="20" s="1"/>
  <c r="D1498" i="20"/>
  <c r="E1498" i="20"/>
  <c r="E1499" i="20" s="1"/>
  <c r="G1498" i="20"/>
  <c r="G1499" i="20" s="1"/>
  <c r="K1498" i="20"/>
  <c r="K1499" i="20" s="1"/>
  <c r="L1498" i="20"/>
  <c r="L1499" i="20" s="1"/>
  <c r="D1500" i="20"/>
  <c r="D1501" i="20" s="1"/>
  <c r="E1500" i="20"/>
  <c r="E1501" i="20" s="1"/>
  <c r="G1500" i="20"/>
  <c r="G1501" i="20" s="1"/>
  <c r="K1500" i="20"/>
  <c r="K1501" i="20" s="1"/>
  <c r="L1500" i="20"/>
  <c r="L1501" i="20" s="1"/>
  <c r="D1502" i="20"/>
  <c r="J1502" i="20" s="1"/>
  <c r="J1503" i="20" s="1"/>
  <c r="E1502" i="20"/>
  <c r="E1503" i="20" s="1"/>
  <c r="G1502" i="20"/>
  <c r="G1503" i="20" s="1"/>
  <c r="K1502" i="20"/>
  <c r="K1503" i="20" s="1"/>
  <c r="L1502" i="20"/>
  <c r="L1503" i="20" s="1"/>
  <c r="D1504" i="20"/>
  <c r="I1504" i="20" s="1"/>
  <c r="I1505" i="20" s="1"/>
  <c r="E1504" i="20"/>
  <c r="E1505" i="20" s="1"/>
  <c r="G1504" i="20"/>
  <c r="G1505" i="20" s="1"/>
  <c r="K1504" i="20"/>
  <c r="K1505" i="20" s="1"/>
  <c r="L1504" i="20"/>
  <c r="L1505" i="20" s="1"/>
  <c r="D1506" i="20"/>
  <c r="J1506" i="20" s="1"/>
  <c r="J1507" i="20" s="1"/>
  <c r="E1506" i="20"/>
  <c r="E1507" i="20" s="1"/>
  <c r="G1506" i="20"/>
  <c r="G1507" i="20" s="1"/>
  <c r="K1506" i="20"/>
  <c r="K1507" i="20" s="1"/>
  <c r="L1506" i="20"/>
  <c r="L1507" i="20" s="1"/>
  <c r="D1508" i="20"/>
  <c r="E1508" i="20"/>
  <c r="E1509" i="20" s="1"/>
  <c r="G1508" i="20"/>
  <c r="G1509" i="20" s="1"/>
  <c r="K1508" i="20"/>
  <c r="K1509" i="20" s="1"/>
  <c r="L1508" i="20"/>
  <c r="L1509" i="20" s="1"/>
  <c r="D1510" i="20"/>
  <c r="H1510" i="20" s="1"/>
  <c r="H1511" i="20" s="1"/>
  <c r="E1510" i="20"/>
  <c r="E1511" i="20" s="1"/>
  <c r="G1510" i="20"/>
  <c r="G1511" i="20" s="1"/>
  <c r="K1510" i="20"/>
  <c r="K1511" i="20" s="1"/>
  <c r="L1510" i="20"/>
  <c r="L1511" i="20" s="1"/>
  <c r="D1512" i="20"/>
  <c r="H1512" i="20" s="1"/>
  <c r="H1513" i="20" s="1"/>
  <c r="E1512" i="20"/>
  <c r="E1513" i="20" s="1"/>
  <c r="G1512" i="20"/>
  <c r="G1513" i="20" s="1"/>
  <c r="K1512" i="20"/>
  <c r="K1513" i="20" s="1"/>
  <c r="L1512" i="20"/>
  <c r="L1513" i="20" s="1"/>
  <c r="D1514" i="20"/>
  <c r="E1514" i="20"/>
  <c r="E1515" i="20" s="1"/>
  <c r="G1514" i="20"/>
  <c r="G1515" i="20" s="1"/>
  <c r="K1514" i="20"/>
  <c r="K1515" i="20" s="1"/>
  <c r="L1514" i="20"/>
  <c r="L1515" i="20" s="1"/>
  <c r="D1516" i="20"/>
  <c r="J1516" i="20" s="1"/>
  <c r="J1517" i="20" s="1"/>
  <c r="E1516" i="20"/>
  <c r="E1517" i="20" s="1"/>
  <c r="G1516" i="20"/>
  <c r="G1517" i="20" s="1"/>
  <c r="K1516" i="20"/>
  <c r="K1517" i="20" s="1"/>
  <c r="L1516" i="20"/>
  <c r="L1517" i="20" s="1"/>
  <c r="D1518" i="20"/>
  <c r="I1518" i="20" s="1"/>
  <c r="I1519" i="20" s="1"/>
  <c r="E1518" i="20"/>
  <c r="E1519" i="20" s="1"/>
  <c r="G1518" i="20"/>
  <c r="G1519" i="20" s="1"/>
  <c r="K1518" i="20"/>
  <c r="K1519" i="20" s="1"/>
  <c r="L1518" i="20"/>
  <c r="L1519" i="20" s="1"/>
  <c r="D1520" i="20"/>
  <c r="H1520" i="20" s="1"/>
  <c r="H1521" i="20" s="1"/>
  <c r="E1520" i="20"/>
  <c r="E1521" i="20" s="1"/>
  <c r="G1520" i="20"/>
  <c r="G1521" i="20" s="1"/>
  <c r="K1520" i="20"/>
  <c r="K1521" i="20" s="1"/>
  <c r="L1520" i="20"/>
  <c r="L1521" i="20" s="1"/>
  <c r="D1522" i="20"/>
  <c r="J1522" i="20" s="1"/>
  <c r="J1523" i="20" s="1"/>
  <c r="E1522" i="20"/>
  <c r="E1523" i="20" s="1"/>
  <c r="G1522" i="20"/>
  <c r="G1523" i="20" s="1"/>
  <c r="K1522" i="20"/>
  <c r="K1523" i="20" s="1"/>
  <c r="L1522" i="20"/>
  <c r="L1523" i="20" s="1"/>
  <c r="D1524" i="20"/>
  <c r="I1524" i="20" s="1"/>
  <c r="I1525" i="20" s="1"/>
  <c r="E1524" i="20"/>
  <c r="E1525" i="20" s="1"/>
  <c r="G1524" i="20"/>
  <c r="G1525" i="20" s="1"/>
  <c r="K1524" i="20"/>
  <c r="K1525" i="20" s="1"/>
  <c r="L1524" i="20"/>
  <c r="L1525" i="20" s="1"/>
  <c r="D1526" i="20"/>
  <c r="E1526" i="20"/>
  <c r="E1527" i="20" s="1"/>
  <c r="G1526" i="20"/>
  <c r="G1527" i="20" s="1"/>
  <c r="K1526" i="20"/>
  <c r="K1527" i="20" s="1"/>
  <c r="L1526" i="20"/>
  <c r="L1527" i="20" s="1"/>
  <c r="D1528" i="20"/>
  <c r="D1529" i="20" s="1"/>
  <c r="E1528" i="20"/>
  <c r="E1529" i="20" s="1"/>
  <c r="G1528" i="20"/>
  <c r="G1529" i="20" s="1"/>
  <c r="K1528" i="20"/>
  <c r="K1529" i="20" s="1"/>
  <c r="L1528" i="20"/>
  <c r="L1529" i="20" s="1"/>
  <c r="D1530" i="20"/>
  <c r="J1530" i="20" s="1"/>
  <c r="J1531" i="20" s="1"/>
  <c r="E1530" i="20"/>
  <c r="E1531" i="20" s="1"/>
  <c r="G1530" i="20"/>
  <c r="G1531" i="20" s="1"/>
  <c r="K1530" i="20"/>
  <c r="K1531" i="20" s="1"/>
  <c r="L1530" i="20"/>
  <c r="L1531" i="20" s="1"/>
  <c r="D1532" i="20"/>
  <c r="I1532" i="20" s="1"/>
  <c r="I1533" i="20" s="1"/>
  <c r="E1532" i="20"/>
  <c r="E1533" i="20" s="1"/>
  <c r="G1532" i="20"/>
  <c r="G1533" i="20" s="1"/>
  <c r="K1532" i="20"/>
  <c r="K1533" i="20" s="1"/>
  <c r="L1532" i="20"/>
  <c r="L1533" i="20" s="1"/>
  <c r="D1534" i="20"/>
  <c r="D1535" i="20" s="1"/>
  <c r="E1534" i="20"/>
  <c r="E1535" i="20" s="1"/>
  <c r="G1534" i="20"/>
  <c r="G1535" i="20" s="1"/>
  <c r="K1534" i="20"/>
  <c r="K1535" i="20" s="1"/>
  <c r="L1534" i="20"/>
  <c r="L1535" i="20" s="1"/>
  <c r="D1536" i="20"/>
  <c r="J1536" i="20" s="1"/>
  <c r="J1537" i="20" s="1"/>
  <c r="E1536" i="20"/>
  <c r="E1537" i="20" s="1"/>
  <c r="G1536" i="20"/>
  <c r="G1537" i="20" s="1"/>
  <c r="K1536" i="20"/>
  <c r="K1537" i="20" s="1"/>
  <c r="L1536" i="20"/>
  <c r="L1537" i="20" s="1"/>
  <c r="D1538" i="20"/>
  <c r="E1538" i="20"/>
  <c r="E1539" i="20" s="1"/>
  <c r="G1538" i="20"/>
  <c r="G1539" i="20" s="1"/>
  <c r="K1538" i="20"/>
  <c r="K1539" i="20" s="1"/>
  <c r="L1538" i="20"/>
  <c r="L1539" i="20" s="1"/>
  <c r="D1540" i="20"/>
  <c r="I1540" i="20" s="1"/>
  <c r="I1541" i="20" s="1"/>
  <c r="E1540" i="20"/>
  <c r="E1541" i="20" s="1"/>
  <c r="G1540" i="20"/>
  <c r="G1541" i="20" s="1"/>
  <c r="K1540" i="20"/>
  <c r="K1541" i="20" s="1"/>
  <c r="L1540" i="20"/>
  <c r="L1541" i="20" s="1"/>
  <c r="L1442" i="20"/>
  <c r="L1443" i="20" s="1"/>
  <c r="K1442" i="20"/>
  <c r="K1443" i="20" s="1"/>
  <c r="G1442" i="20"/>
  <c r="G1443" i="20" s="1"/>
  <c r="E1442" i="20"/>
  <c r="E1443" i="20" s="1"/>
  <c r="D1442" i="20"/>
  <c r="D1384" i="20"/>
  <c r="E1384" i="20"/>
  <c r="E1385" i="20" s="1"/>
  <c r="G1384" i="20"/>
  <c r="G1385" i="20" s="1"/>
  <c r="K1384" i="20"/>
  <c r="K1385" i="20" s="1"/>
  <c r="L1384" i="20"/>
  <c r="L1385" i="20" s="1"/>
  <c r="D1386" i="20"/>
  <c r="E1386" i="20"/>
  <c r="E1387" i="20" s="1"/>
  <c r="G1386" i="20"/>
  <c r="G1387" i="20" s="1"/>
  <c r="K1386" i="20"/>
  <c r="K1387" i="20" s="1"/>
  <c r="L1386" i="20"/>
  <c r="L1387" i="20" s="1"/>
  <c r="D1388" i="20"/>
  <c r="D1389" i="20" s="1"/>
  <c r="E1388" i="20"/>
  <c r="E1389" i="20" s="1"/>
  <c r="G1388" i="20"/>
  <c r="G1389" i="20" s="1"/>
  <c r="K1388" i="20"/>
  <c r="K1389" i="20" s="1"/>
  <c r="L1388" i="20"/>
  <c r="L1389" i="20" s="1"/>
  <c r="D1390" i="20"/>
  <c r="I1390" i="20" s="1"/>
  <c r="I1391" i="20" s="1"/>
  <c r="E1390" i="20"/>
  <c r="E1391" i="20" s="1"/>
  <c r="G1390" i="20"/>
  <c r="G1391" i="20" s="1"/>
  <c r="K1390" i="20"/>
  <c r="K1391" i="20" s="1"/>
  <c r="L1390" i="20"/>
  <c r="L1391" i="20" s="1"/>
  <c r="D1392" i="20"/>
  <c r="H1392" i="20" s="1"/>
  <c r="H1393" i="20" s="1"/>
  <c r="E1392" i="20"/>
  <c r="E1393" i="20" s="1"/>
  <c r="G1392" i="20"/>
  <c r="G1393" i="20" s="1"/>
  <c r="K1392" i="20"/>
  <c r="K1393" i="20" s="1"/>
  <c r="L1392" i="20"/>
  <c r="L1393" i="20" s="1"/>
  <c r="D1394" i="20"/>
  <c r="E1394" i="20"/>
  <c r="E1395" i="20" s="1"/>
  <c r="G1394" i="20"/>
  <c r="G1395" i="20" s="1"/>
  <c r="K1394" i="20"/>
  <c r="K1395" i="20" s="1"/>
  <c r="L1394" i="20"/>
  <c r="L1395" i="20" s="1"/>
  <c r="D1396" i="20"/>
  <c r="E1396" i="20"/>
  <c r="E1397" i="20" s="1"/>
  <c r="G1396" i="20"/>
  <c r="G1397" i="20" s="1"/>
  <c r="K1396" i="20"/>
  <c r="K1397" i="20" s="1"/>
  <c r="L1396" i="20"/>
  <c r="L1397" i="20" s="1"/>
  <c r="D1398" i="20"/>
  <c r="H1398" i="20" s="1"/>
  <c r="H1399" i="20" s="1"/>
  <c r="E1398" i="20"/>
  <c r="E1399" i="20" s="1"/>
  <c r="G1398" i="20"/>
  <c r="G1399" i="20" s="1"/>
  <c r="K1398" i="20"/>
  <c r="K1399" i="20" s="1"/>
  <c r="L1398" i="20"/>
  <c r="L1399" i="20" s="1"/>
  <c r="D1400" i="20"/>
  <c r="E1400" i="20"/>
  <c r="E1401" i="20" s="1"/>
  <c r="G1400" i="20"/>
  <c r="G1401" i="20" s="1"/>
  <c r="K1400" i="20"/>
  <c r="K1401" i="20" s="1"/>
  <c r="L1400" i="20"/>
  <c r="L1401" i="20" s="1"/>
  <c r="D1402" i="20"/>
  <c r="H1402" i="20" s="1"/>
  <c r="H1403" i="20" s="1"/>
  <c r="E1402" i="20"/>
  <c r="E1403" i="20" s="1"/>
  <c r="G1402" i="20"/>
  <c r="G1403" i="20" s="1"/>
  <c r="K1402" i="20"/>
  <c r="K1403" i="20" s="1"/>
  <c r="L1402" i="20"/>
  <c r="L1403" i="20" s="1"/>
  <c r="D1404" i="20"/>
  <c r="J1404" i="20" s="1"/>
  <c r="J1405" i="20" s="1"/>
  <c r="E1404" i="20"/>
  <c r="E1405" i="20" s="1"/>
  <c r="G1404" i="20"/>
  <c r="G1405" i="20" s="1"/>
  <c r="K1404" i="20"/>
  <c r="K1405" i="20" s="1"/>
  <c r="L1404" i="20"/>
  <c r="L1405" i="20" s="1"/>
  <c r="D1406" i="20"/>
  <c r="H1406" i="20" s="1"/>
  <c r="H1407" i="20" s="1"/>
  <c r="E1406" i="20"/>
  <c r="E1407" i="20" s="1"/>
  <c r="G1406" i="20"/>
  <c r="G1407" i="20" s="1"/>
  <c r="K1406" i="20"/>
  <c r="K1407" i="20" s="1"/>
  <c r="L1406" i="20"/>
  <c r="L1407" i="20" s="1"/>
  <c r="D1408" i="20"/>
  <c r="I1408" i="20" s="1"/>
  <c r="I1409" i="20" s="1"/>
  <c r="E1408" i="20"/>
  <c r="E1409" i="20" s="1"/>
  <c r="G1408" i="20"/>
  <c r="G1409" i="20" s="1"/>
  <c r="K1408" i="20"/>
  <c r="K1409" i="20" s="1"/>
  <c r="L1408" i="20"/>
  <c r="L1409" i="20" s="1"/>
  <c r="D1410" i="20"/>
  <c r="H1410" i="20" s="1"/>
  <c r="H1411" i="20" s="1"/>
  <c r="E1410" i="20"/>
  <c r="E1411" i="20" s="1"/>
  <c r="G1410" i="20"/>
  <c r="G1411" i="20" s="1"/>
  <c r="K1410" i="20"/>
  <c r="K1411" i="20" s="1"/>
  <c r="L1410" i="20"/>
  <c r="L1411" i="20" s="1"/>
  <c r="D1412" i="20"/>
  <c r="I1412" i="20" s="1"/>
  <c r="I1413" i="20" s="1"/>
  <c r="E1412" i="20"/>
  <c r="E1413" i="20" s="1"/>
  <c r="G1412" i="20"/>
  <c r="G1413" i="20" s="1"/>
  <c r="K1412" i="20"/>
  <c r="K1413" i="20" s="1"/>
  <c r="L1412" i="20"/>
  <c r="L1413" i="20" s="1"/>
  <c r="D1414" i="20"/>
  <c r="H1414" i="20" s="1"/>
  <c r="H1415" i="20" s="1"/>
  <c r="E1414" i="20"/>
  <c r="E1415" i="20" s="1"/>
  <c r="G1414" i="20"/>
  <c r="G1415" i="20" s="1"/>
  <c r="K1414" i="20"/>
  <c r="K1415" i="20" s="1"/>
  <c r="L1414" i="20"/>
  <c r="L1415" i="20" s="1"/>
  <c r="D1416" i="20"/>
  <c r="D1417" i="20" s="1"/>
  <c r="E1416" i="20"/>
  <c r="E1417" i="20" s="1"/>
  <c r="G1416" i="20"/>
  <c r="G1417" i="20" s="1"/>
  <c r="K1416" i="20"/>
  <c r="K1417" i="20" s="1"/>
  <c r="L1416" i="20"/>
  <c r="L1417" i="20" s="1"/>
  <c r="D1418" i="20"/>
  <c r="J1418" i="20" s="1"/>
  <c r="J1419" i="20" s="1"/>
  <c r="E1418" i="20"/>
  <c r="E1419" i="20" s="1"/>
  <c r="G1418" i="20"/>
  <c r="G1419" i="20" s="1"/>
  <c r="K1418" i="20"/>
  <c r="K1419" i="20" s="1"/>
  <c r="L1418" i="20"/>
  <c r="L1419" i="20" s="1"/>
  <c r="D1420" i="20"/>
  <c r="D1421" i="20" s="1"/>
  <c r="E1420" i="20"/>
  <c r="E1421" i="20" s="1"/>
  <c r="G1420" i="20"/>
  <c r="G1421" i="20" s="1"/>
  <c r="K1420" i="20"/>
  <c r="K1421" i="20" s="1"/>
  <c r="L1420" i="20"/>
  <c r="L1421" i="20" s="1"/>
  <c r="D1422" i="20"/>
  <c r="I1422" i="20" s="1"/>
  <c r="I1423" i="20" s="1"/>
  <c r="E1422" i="20"/>
  <c r="E1423" i="20" s="1"/>
  <c r="G1422" i="20"/>
  <c r="G1423" i="20" s="1"/>
  <c r="K1422" i="20"/>
  <c r="K1423" i="20" s="1"/>
  <c r="L1422" i="20"/>
  <c r="L1423" i="20" s="1"/>
  <c r="D1424" i="20"/>
  <c r="I1424" i="20" s="1"/>
  <c r="I1425" i="20" s="1"/>
  <c r="E1424" i="20"/>
  <c r="E1425" i="20" s="1"/>
  <c r="G1424" i="20"/>
  <c r="G1425" i="20" s="1"/>
  <c r="K1424" i="20"/>
  <c r="K1425" i="20" s="1"/>
  <c r="L1424" i="20"/>
  <c r="L1425" i="20" s="1"/>
  <c r="D1426" i="20"/>
  <c r="H1426" i="20" s="1"/>
  <c r="H1427" i="20" s="1"/>
  <c r="E1426" i="20"/>
  <c r="E1427" i="20" s="1"/>
  <c r="G1426" i="20"/>
  <c r="G1427" i="20" s="1"/>
  <c r="K1426" i="20"/>
  <c r="K1427" i="20" s="1"/>
  <c r="L1426" i="20"/>
  <c r="L1427" i="20" s="1"/>
  <c r="D1428" i="20"/>
  <c r="D1429" i="20" s="1"/>
  <c r="E1428" i="20"/>
  <c r="E1429" i="20" s="1"/>
  <c r="G1428" i="20"/>
  <c r="G1429" i="20" s="1"/>
  <c r="K1428" i="20"/>
  <c r="K1429" i="20" s="1"/>
  <c r="L1428" i="20"/>
  <c r="L1429" i="20" s="1"/>
  <c r="D1430" i="20"/>
  <c r="H1430" i="20" s="1"/>
  <c r="H1431" i="20" s="1"/>
  <c r="E1430" i="20"/>
  <c r="E1431" i="20" s="1"/>
  <c r="G1430" i="20"/>
  <c r="G1431" i="20" s="1"/>
  <c r="K1430" i="20"/>
  <c r="K1431" i="20" s="1"/>
  <c r="L1430" i="20"/>
  <c r="L1431" i="20" s="1"/>
  <c r="D1432" i="20"/>
  <c r="H1432" i="20" s="1"/>
  <c r="H1433" i="20" s="1"/>
  <c r="E1432" i="20"/>
  <c r="E1433" i="20" s="1"/>
  <c r="G1432" i="20"/>
  <c r="G1433" i="20" s="1"/>
  <c r="K1432" i="20"/>
  <c r="K1433" i="20" s="1"/>
  <c r="L1432" i="20"/>
  <c r="L1433" i="20" s="1"/>
  <c r="D1434" i="20"/>
  <c r="H1434" i="20" s="1"/>
  <c r="H1435" i="20" s="1"/>
  <c r="E1434" i="20"/>
  <c r="E1435" i="20" s="1"/>
  <c r="G1434" i="20"/>
  <c r="G1435" i="20" s="1"/>
  <c r="K1434" i="20"/>
  <c r="K1435" i="20" s="1"/>
  <c r="L1434" i="20"/>
  <c r="L1435" i="20" s="1"/>
  <c r="D1436" i="20"/>
  <c r="D1437" i="20" s="1"/>
  <c r="E1436" i="20"/>
  <c r="E1437" i="20" s="1"/>
  <c r="G1436" i="20"/>
  <c r="G1437" i="20" s="1"/>
  <c r="K1436" i="20"/>
  <c r="K1437" i="20" s="1"/>
  <c r="L1436" i="20"/>
  <c r="L1437" i="20" s="1"/>
  <c r="D1438" i="20"/>
  <c r="H1438" i="20" s="1"/>
  <c r="H1439" i="20" s="1"/>
  <c r="E1438" i="20"/>
  <c r="E1439" i="20" s="1"/>
  <c r="G1438" i="20"/>
  <c r="G1439" i="20" s="1"/>
  <c r="K1438" i="20"/>
  <c r="K1439" i="20" s="1"/>
  <c r="L1438" i="20"/>
  <c r="L1439" i="20" s="1"/>
  <c r="D1440" i="20"/>
  <c r="J1440" i="20" s="1"/>
  <c r="J1441" i="20" s="1"/>
  <c r="E1440" i="20"/>
  <c r="E1441" i="20" s="1"/>
  <c r="G1440" i="20"/>
  <c r="G1441" i="20" s="1"/>
  <c r="K1440" i="20"/>
  <c r="K1441" i="20" s="1"/>
  <c r="L1440" i="20"/>
  <c r="L1441" i="20" s="1"/>
  <c r="L1342" i="20"/>
  <c r="L1343" i="20" s="1"/>
  <c r="K1342" i="20"/>
  <c r="K1343" i="20" s="1"/>
  <c r="G1342" i="20"/>
  <c r="G1343" i="20" s="1"/>
  <c r="E1342" i="20"/>
  <c r="E1343" i="20" s="1"/>
  <c r="D1342" i="20"/>
  <c r="D1284" i="20"/>
  <c r="D1285" i="20" s="1"/>
  <c r="E1284" i="20"/>
  <c r="E1285" i="20" s="1"/>
  <c r="G1284" i="20"/>
  <c r="G1285" i="20" s="1"/>
  <c r="K1284" i="20"/>
  <c r="K1285" i="20" s="1"/>
  <c r="L1284" i="20"/>
  <c r="L1285" i="20" s="1"/>
  <c r="D1286" i="20"/>
  <c r="I1286" i="20" s="1"/>
  <c r="I1287" i="20" s="1"/>
  <c r="E1286" i="20"/>
  <c r="E1287" i="20" s="1"/>
  <c r="G1286" i="20"/>
  <c r="G1287" i="20" s="1"/>
  <c r="K1286" i="20"/>
  <c r="K1287" i="20" s="1"/>
  <c r="L1286" i="20"/>
  <c r="L1287" i="20" s="1"/>
  <c r="D1288" i="20"/>
  <c r="J1288" i="20" s="1"/>
  <c r="J1289" i="20" s="1"/>
  <c r="E1288" i="20"/>
  <c r="E1289" i="20" s="1"/>
  <c r="G1288" i="20"/>
  <c r="G1289" i="20" s="1"/>
  <c r="K1288" i="20"/>
  <c r="K1289" i="20" s="1"/>
  <c r="L1288" i="20"/>
  <c r="L1289" i="20" s="1"/>
  <c r="D1290" i="20"/>
  <c r="E1290" i="20"/>
  <c r="E1291" i="20" s="1"/>
  <c r="G1290" i="20"/>
  <c r="G1291" i="20" s="1"/>
  <c r="K1290" i="20"/>
  <c r="K1291" i="20" s="1"/>
  <c r="L1290" i="20"/>
  <c r="L1291" i="20" s="1"/>
  <c r="D1292" i="20"/>
  <c r="E1292" i="20"/>
  <c r="E1293" i="20" s="1"/>
  <c r="G1292" i="20"/>
  <c r="G1293" i="20" s="1"/>
  <c r="K1292" i="20"/>
  <c r="K1293" i="20" s="1"/>
  <c r="L1292" i="20"/>
  <c r="L1293" i="20" s="1"/>
  <c r="D1294" i="20"/>
  <c r="J1294" i="20" s="1"/>
  <c r="J1295" i="20" s="1"/>
  <c r="E1294" i="20"/>
  <c r="E1295" i="20" s="1"/>
  <c r="G1294" i="20"/>
  <c r="G1295" i="20" s="1"/>
  <c r="K1294" i="20"/>
  <c r="K1295" i="20" s="1"/>
  <c r="L1294" i="20"/>
  <c r="L1295" i="20" s="1"/>
  <c r="D1296" i="20"/>
  <c r="D1297" i="20" s="1"/>
  <c r="E1296" i="20"/>
  <c r="E1297" i="20" s="1"/>
  <c r="G1296" i="20"/>
  <c r="G1297" i="20" s="1"/>
  <c r="K1296" i="20"/>
  <c r="K1297" i="20" s="1"/>
  <c r="L1296" i="20"/>
  <c r="L1297" i="20" s="1"/>
  <c r="D1298" i="20"/>
  <c r="J1298" i="20" s="1"/>
  <c r="J1299" i="20" s="1"/>
  <c r="E1298" i="20"/>
  <c r="E1299" i="20" s="1"/>
  <c r="G1298" i="20"/>
  <c r="G1299" i="20" s="1"/>
  <c r="K1298" i="20"/>
  <c r="K1299" i="20" s="1"/>
  <c r="L1298" i="20"/>
  <c r="L1299" i="20" s="1"/>
  <c r="D1300" i="20"/>
  <c r="I1300" i="20" s="1"/>
  <c r="I1301" i="20" s="1"/>
  <c r="E1300" i="20"/>
  <c r="E1301" i="20" s="1"/>
  <c r="G1300" i="20"/>
  <c r="G1301" i="20" s="1"/>
  <c r="K1300" i="20"/>
  <c r="K1301" i="20" s="1"/>
  <c r="L1300" i="20"/>
  <c r="L1301" i="20" s="1"/>
  <c r="D1302" i="20"/>
  <c r="J1302" i="20" s="1"/>
  <c r="J1303" i="20" s="1"/>
  <c r="E1302" i="20"/>
  <c r="E1303" i="20" s="1"/>
  <c r="G1302" i="20"/>
  <c r="G1303" i="20" s="1"/>
  <c r="K1302" i="20"/>
  <c r="K1303" i="20" s="1"/>
  <c r="L1302" i="20"/>
  <c r="L1303" i="20" s="1"/>
  <c r="D1304" i="20"/>
  <c r="J1304" i="20" s="1"/>
  <c r="J1305" i="20" s="1"/>
  <c r="E1304" i="20"/>
  <c r="E1305" i="20" s="1"/>
  <c r="G1304" i="20"/>
  <c r="G1305" i="20" s="1"/>
  <c r="K1304" i="20"/>
  <c r="K1305" i="20" s="1"/>
  <c r="L1304" i="20"/>
  <c r="L1305" i="20" s="1"/>
  <c r="D1306" i="20"/>
  <c r="H1306" i="20" s="1"/>
  <c r="H1307" i="20" s="1"/>
  <c r="E1306" i="20"/>
  <c r="E1307" i="20" s="1"/>
  <c r="G1306" i="20"/>
  <c r="G1307" i="20" s="1"/>
  <c r="K1306" i="20"/>
  <c r="K1307" i="20" s="1"/>
  <c r="L1306" i="20"/>
  <c r="L1307" i="20" s="1"/>
  <c r="D1308" i="20"/>
  <c r="J1308" i="20" s="1"/>
  <c r="J1309" i="20" s="1"/>
  <c r="E1308" i="20"/>
  <c r="E1309" i="20" s="1"/>
  <c r="G1308" i="20"/>
  <c r="G1309" i="20" s="1"/>
  <c r="K1308" i="20"/>
  <c r="K1309" i="20" s="1"/>
  <c r="L1308" i="20"/>
  <c r="L1309" i="20" s="1"/>
  <c r="D1310" i="20"/>
  <c r="H1310" i="20" s="1"/>
  <c r="H1311" i="20" s="1"/>
  <c r="E1310" i="20"/>
  <c r="E1311" i="20" s="1"/>
  <c r="G1310" i="20"/>
  <c r="G1311" i="20" s="1"/>
  <c r="K1310" i="20"/>
  <c r="K1311" i="20" s="1"/>
  <c r="L1310" i="20"/>
  <c r="L1311" i="20" s="1"/>
  <c r="D1312" i="20"/>
  <c r="J1312" i="20" s="1"/>
  <c r="J1313" i="20" s="1"/>
  <c r="E1312" i="20"/>
  <c r="E1313" i="20" s="1"/>
  <c r="G1312" i="20"/>
  <c r="G1313" i="20" s="1"/>
  <c r="K1312" i="20"/>
  <c r="K1313" i="20" s="1"/>
  <c r="L1312" i="20"/>
  <c r="L1313" i="20" s="1"/>
  <c r="D1314" i="20"/>
  <c r="E1314" i="20"/>
  <c r="E1315" i="20" s="1"/>
  <c r="G1314" i="20"/>
  <c r="G1315" i="20" s="1"/>
  <c r="K1314" i="20"/>
  <c r="K1315" i="20" s="1"/>
  <c r="L1314" i="20"/>
  <c r="L1315" i="20" s="1"/>
  <c r="D1316" i="20"/>
  <c r="H1316" i="20" s="1"/>
  <c r="H1317" i="20" s="1"/>
  <c r="E1316" i="20"/>
  <c r="E1317" i="20" s="1"/>
  <c r="G1316" i="20"/>
  <c r="G1317" i="20" s="1"/>
  <c r="K1316" i="20"/>
  <c r="K1317" i="20" s="1"/>
  <c r="L1316" i="20"/>
  <c r="L1317" i="20" s="1"/>
  <c r="D1318" i="20"/>
  <c r="E1318" i="20"/>
  <c r="E1319" i="20" s="1"/>
  <c r="G1318" i="20"/>
  <c r="G1319" i="20" s="1"/>
  <c r="K1318" i="20"/>
  <c r="K1319" i="20" s="1"/>
  <c r="L1318" i="20"/>
  <c r="L1319" i="20" s="1"/>
  <c r="D1320" i="20"/>
  <c r="H1320" i="20" s="1"/>
  <c r="H1321" i="20" s="1"/>
  <c r="E1320" i="20"/>
  <c r="E1321" i="20" s="1"/>
  <c r="G1320" i="20"/>
  <c r="G1321" i="20" s="1"/>
  <c r="K1320" i="20"/>
  <c r="K1321" i="20" s="1"/>
  <c r="L1320" i="20"/>
  <c r="L1321" i="20" s="1"/>
  <c r="D1322" i="20"/>
  <c r="I1322" i="20" s="1"/>
  <c r="I1323" i="20" s="1"/>
  <c r="E1322" i="20"/>
  <c r="E1323" i="20" s="1"/>
  <c r="G1322" i="20"/>
  <c r="G1323" i="20" s="1"/>
  <c r="K1322" i="20"/>
  <c r="K1323" i="20" s="1"/>
  <c r="L1322" i="20"/>
  <c r="L1323" i="20" s="1"/>
  <c r="D1324" i="20"/>
  <c r="J1324" i="20" s="1"/>
  <c r="J1325" i="20" s="1"/>
  <c r="E1324" i="20"/>
  <c r="E1325" i="20" s="1"/>
  <c r="G1324" i="20"/>
  <c r="G1325" i="20" s="1"/>
  <c r="K1324" i="20"/>
  <c r="K1325" i="20" s="1"/>
  <c r="L1324" i="20"/>
  <c r="L1325" i="20" s="1"/>
  <c r="D1326" i="20"/>
  <c r="H1326" i="20" s="1"/>
  <c r="H1327" i="20" s="1"/>
  <c r="E1326" i="20"/>
  <c r="E1327" i="20" s="1"/>
  <c r="G1326" i="20"/>
  <c r="G1327" i="20" s="1"/>
  <c r="K1326" i="20"/>
  <c r="K1327" i="20" s="1"/>
  <c r="L1326" i="20"/>
  <c r="L1327" i="20" s="1"/>
  <c r="D1328" i="20"/>
  <c r="J1328" i="20" s="1"/>
  <c r="J1329" i="20" s="1"/>
  <c r="E1328" i="20"/>
  <c r="E1329" i="20" s="1"/>
  <c r="G1328" i="20"/>
  <c r="G1329" i="20" s="1"/>
  <c r="K1328" i="20"/>
  <c r="K1329" i="20" s="1"/>
  <c r="L1328" i="20"/>
  <c r="L1329" i="20" s="1"/>
  <c r="D1330" i="20"/>
  <c r="E1330" i="20"/>
  <c r="E1331" i="20" s="1"/>
  <c r="G1330" i="20"/>
  <c r="G1331" i="20" s="1"/>
  <c r="K1330" i="20"/>
  <c r="K1331" i="20" s="1"/>
  <c r="L1330" i="20"/>
  <c r="L1331" i="20" s="1"/>
  <c r="D1332" i="20"/>
  <c r="D1333" i="20" s="1"/>
  <c r="E1332" i="20"/>
  <c r="E1333" i="20" s="1"/>
  <c r="G1332" i="20"/>
  <c r="G1333" i="20" s="1"/>
  <c r="K1332" i="20"/>
  <c r="K1333" i="20" s="1"/>
  <c r="L1332" i="20"/>
  <c r="L1333" i="20" s="1"/>
  <c r="D1334" i="20"/>
  <c r="I1334" i="20" s="1"/>
  <c r="I1335" i="20" s="1"/>
  <c r="E1334" i="20"/>
  <c r="E1335" i="20" s="1"/>
  <c r="G1334" i="20"/>
  <c r="G1335" i="20" s="1"/>
  <c r="K1334" i="20"/>
  <c r="K1335" i="20" s="1"/>
  <c r="L1334" i="20"/>
  <c r="L1335" i="20" s="1"/>
  <c r="D1336" i="20"/>
  <c r="J1336" i="20" s="1"/>
  <c r="J1337" i="20" s="1"/>
  <c r="E1336" i="20"/>
  <c r="E1337" i="20" s="1"/>
  <c r="G1336" i="20"/>
  <c r="G1337" i="20" s="1"/>
  <c r="K1336" i="20"/>
  <c r="K1337" i="20" s="1"/>
  <c r="L1336" i="20"/>
  <c r="L1337" i="20" s="1"/>
  <c r="D1338" i="20"/>
  <c r="J1338" i="20" s="1"/>
  <c r="J1339" i="20" s="1"/>
  <c r="E1338" i="20"/>
  <c r="E1339" i="20" s="1"/>
  <c r="G1338" i="20"/>
  <c r="G1339" i="20" s="1"/>
  <c r="K1338" i="20"/>
  <c r="K1339" i="20" s="1"/>
  <c r="L1338" i="20"/>
  <c r="L1339" i="20" s="1"/>
  <c r="D1340" i="20"/>
  <c r="H1340" i="20" s="1"/>
  <c r="H1341" i="20" s="1"/>
  <c r="E1340" i="20"/>
  <c r="E1341" i="20" s="1"/>
  <c r="G1340" i="20"/>
  <c r="G1341" i="20" s="1"/>
  <c r="K1340" i="20"/>
  <c r="K1341" i="20" s="1"/>
  <c r="L1340" i="20"/>
  <c r="L1341" i="20" s="1"/>
  <c r="L1242" i="20"/>
  <c r="L1243" i="20" s="1"/>
  <c r="K1242" i="20"/>
  <c r="K1243" i="20" s="1"/>
  <c r="G1242" i="20"/>
  <c r="G1243" i="20" s="1"/>
  <c r="E1242" i="20"/>
  <c r="E1243" i="20" s="1"/>
  <c r="D1242" i="20"/>
  <c r="J1242" i="20" s="1"/>
  <c r="J1243" i="20" s="1"/>
  <c r="K1184" i="20"/>
  <c r="K1185" i="20" s="1"/>
  <c r="L1184" i="20"/>
  <c r="L1185" i="20" s="1"/>
  <c r="K1186" i="20"/>
  <c r="K1187" i="20" s="1"/>
  <c r="L1186" i="20"/>
  <c r="L1187" i="20" s="1"/>
  <c r="K1188" i="20"/>
  <c r="K1189" i="20" s="1"/>
  <c r="L1188" i="20"/>
  <c r="L1189" i="20" s="1"/>
  <c r="K1190" i="20"/>
  <c r="K1191" i="20" s="1"/>
  <c r="L1190" i="20"/>
  <c r="L1191" i="20" s="1"/>
  <c r="K1192" i="20"/>
  <c r="K1193" i="20" s="1"/>
  <c r="L1192" i="20"/>
  <c r="L1193" i="20" s="1"/>
  <c r="K1194" i="20"/>
  <c r="K1195" i="20" s="1"/>
  <c r="L1194" i="20"/>
  <c r="L1195" i="20" s="1"/>
  <c r="K1196" i="20"/>
  <c r="K1197" i="20" s="1"/>
  <c r="L1196" i="20"/>
  <c r="L1197" i="20" s="1"/>
  <c r="K1198" i="20"/>
  <c r="K1199" i="20" s="1"/>
  <c r="L1198" i="20"/>
  <c r="L1199" i="20" s="1"/>
  <c r="K1200" i="20"/>
  <c r="K1201" i="20" s="1"/>
  <c r="L1200" i="20"/>
  <c r="L1201" i="20" s="1"/>
  <c r="K1202" i="20"/>
  <c r="K1203" i="20" s="1"/>
  <c r="L1202" i="20"/>
  <c r="L1203" i="20" s="1"/>
  <c r="K1204" i="20"/>
  <c r="K1205" i="20" s="1"/>
  <c r="L1204" i="20"/>
  <c r="L1205" i="20" s="1"/>
  <c r="K1206" i="20"/>
  <c r="K1207" i="20" s="1"/>
  <c r="L1206" i="20"/>
  <c r="L1207" i="20" s="1"/>
  <c r="K1208" i="20"/>
  <c r="K1209" i="20" s="1"/>
  <c r="L1208" i="20"/>
  <c r="L1209" i="20" s="1"/>
  <c r="K1210" i="20"/>
  <c r="K1211" i="20" s="1"/>
  <c r="L1210" i="20"/>
  <c r="L1211" i="20" s="1"/>
  <c r="K1212" i="20"/>
  <c r="K1213" i="20" s="1"/>
  <c r="L1212" i="20"/>
  <c r="L1213" i="20" s="1"/>
  <c r="K1214" i="20"/>
  <c r="K1215" i="20" s="1"/>
  <c r="L1214" i="20"/>
  <c r="L1215" i="20" s="1"/>
  <c r="K1216" i="20"/>
  <c r="K1217" i="20" s="1"/>
  <c r="L1216" i="20"/>
  <c r="L1217" i="20" s="1"/>
  <c r="K1218" i="20"/>
  <c r="K1219" i="20" s="1"/>
  <c r="L1218" i="20"/>
  <c r="L1219" i="20" s="1"/>
  <c r="K1220" i="20"/>
  <c r="K1221" i="20" s="1"/>
  <c r="L1220" i="20"/>
  <c r="L1221" i="20" s="1"/>
  <c r="K1222" i="20"/>
  <c r="K1223" i="20" s="1"/>
  <c r="L1222" i="20"/>
  <c r="L1223" i="20" s="1"/>
  <c r="K1224" i="20"/>
  <c r="K1225" i="20" s="1"/>
  <c r="L1224" i="20"/>
  <c r="L1225" i="20" s="1"/>
  <c r="K1226" i="20"/>
  <c r="K1227" i="20" s="1"/>
  <c r="L1226" i="20"/>
  <c r="L1227" i="20" s="1"/>
  <c r="K1228" i="20"/>
  <c r="K1229" i="20" s="1"/>
  <c r="L1228" i="20"/>
  <c r="L1229" i="20" s="1"/>
  <c r="K1230" i="20"/>
  <c r="K1231" i="20" s="1"/>
  <c r="L1230" i="20"/>
  <c r="L1231" i="20" s="1"/>
  <c r="K1232" i="20"/>
  <c r="K1233" i="20" s="1"/>
  <c r="L1232" i="20"/>
  <c r="L1233" i="20" s="1"/>
  <c r="K1234" i="20"/>
  <c r="K1235" i="20" s="1"/>
  <c r="L1234" i="20"/>
  <c r="L1235" i="20" s="1"/>
  <c r="K1236" i="20"/>
  <c r="K1237" i="20" s="1"/>
  <c r="L1236" i="20"/>
  <c r="L1237" i="20" s="1"/>
  <c r="K1238" i="20"/>
  <c r="K1239" i="20" s="1"/>
  <c r="L1238" i="20"/>
  <c r="L1239" i="20" s="1"/>
  <c r="K1240" i="20"/>
  <c r="K1241" i="20" s="1"/>
  <c r="L1240" i="20"/>
  <c r="L1241" i="20" s="1"/>
  <c r="L1142" i="20"/>
  <c r="L1143" i="20" s="1"/>
  <c r="K1142" i="20"/>
  <c r="K1143" i="20" s="1"/>
  <c r="D1184" i="20"/>
  <c r="E1184" i="20"/>
  <c r="E1185" i="20" s="1"/>
  <c r="G1184" i="20"/>
  <c r="G1185" i="20" s="1"/>
  <c r="D1186" i="20"/>
  <c r="J1186" i="20" s="1"/>
  <c r="J1187" i="20" s="1"/>
  <c r="E1186" i="20"/>
  <c r="E1187" i="20" s="1"/>
  <c r="G1186" i="20"/>
  <c r="G1187" i="20" s="1"/>
  <c r="D1188" i="20"/>
  <c r="D1189" i="20" s="1"/>
  <c r="E1188" i="20"/>
  <c r="E1189" i="20" s="1"/>
  <c r="G1188" i="20"/>
  <c r="G1189" i="20" s="1"/>
  <c r="D1190" i="20"/>
  <c r="E1190" i="20"/>
  <c r="E1191" i="20" s="1"/>
  <c r="G1190" i="20"/>
  <c r="G1191" i="20" s="1"/>
  <c r="D1192" i="20"/>
  <c r="E1192" i="20"/>
  <c r="E1193" i="20" s="1"/>
  <c r="G1192" i="20"/>
  <c r="G1193" i="20" s="1"/>
  <c r="D1194" i="20"/>
  <c r="H1194" i="20" s="1"/>
  <c r="H1195" i="20" s="1"/>
  <c r="E1194" i="20"/>
  <c r="E1195" i="20" s="1"/>
  <c r="G1194" i="20"/>
  <c r="G1195" i="20" s="1"/>
  <c r="D1196" i="20"/>
  <c r="E1196" i="20"/>
  <c r="E1197" i="20" s="1"/>
  <c r="G1196" i="20"/>
  <c r="G1197" i="20" s="1"/>
  <c r="D1198" i="20"/>
  <c r="E1198" i="20"/>
  <c r="E1199" i="20" s="1"/>
  <c r="G1198" i="20"/>
  <c r="G1199" i="20" s="1"/>
  <c r="D1200" i="20"/>
  <c r="J1200" i="20" s="1"/>
  <c r="J1201" i="20" s="1"/>
  <c r="E1200" i="20"/>
  <c r="E1201" i="20" s="1"/>
  <c r="G1200" i="20"/>
  <c r="G1201" i="20" s="1"/>
  <c r="D1202" i="20"/>
  <c r="H1202" i="20" s="1"/>
  <c r="H1203" i="20" s="1"/>
  <c r="E1202" i="20"/>
  <c r="E1203" i="20" s="1"/>
  <c r="G1202" i="20"/>
  <c r="G1203" i="20" s="1"/>
  <c r="D1204" i="20"/>
  <c r="D1205" i="20" s="1"/>
  <c r="E1204" i="20"/>
  <c r="E1205" i="20" s="1"/>
  <c r="G1204" i="20"/>
  <c r="G1205" i="20" s="1"/>
  <c r="D1206" i="20"/>
  <c r="E1206" i="20"/>
  <c r="E1207" i="20" s="1"/>
  <c r="G1206" i="20"/>
  <c r="G1207" i="20" s="1"/>
  <c r="D1208" i="20"/>
  <c r="H1208" i="20" s="1"/>
  <c r="H1209" i="20" s="1"/>
  <c r="E1208" i="20"/>
  <c r="E1209" i="20" s="1"/>
  <c r="G1208" i="20"/>
  <c r="G1209" i="20" s="1"/>
  <c r="D1210" i="20"/>
  <c r="E1210" i="20"/>
  <c r="E1211" i="20" s="1"/>
  <c r="G1210" i="20"/>
  <c r="G1211" i="20" s="1"/>
  <c r="D1212" i="20"/>
  <c r="D1213" i="20" s="1"/>
  <c r="E1212" i="20"/>
  <c r="E1213" i="20" s="1"/>
  <c r="G1212" i="20"/>
  <c r="G1213" i="20" s="1"/>
  <c r="D1214" i="20"/>
  <c r="E1214" i="20"/>
  <c r="E1215" i="20" s="1"/>
  <c r="G1214" i="20"/>
  <c r="G1215" i="20" s="1"/>
  <c r="D1216" i="20"/>
  <c r="J1216" i="20" s="1"/>
  <c r="J1217" i="20" s="1"/>
  <c r="E1216" i="20"/>
  <c r="E1217" i="20" s="1"/>
  <c r="G1216" i="20"/>
  <c r="G1217" i="20" s="1"/>
  <c r="D1218" i="20"/>
  <c r="E1218" i="20"/>
  <c r="E1219" i="20" s="1"/>
  <c r="G1218" i="20"/>
  <c r="G1219" i="20" s="1"/>
  <c r="D1220" i="20"/>
  <c r="E1220" i="20"/>
  <c r="E1221" i="20" s="1"/>
  <c r="G1220" i="20"/>
  <c r="G1221" i="20" s="1"/>
  <c r="D1222" i="20"/>
  <c r="H1222" i="20" s="1"/>
  <c r="H1223" i="20" s="1"/>
  <c r="E1222" i="20"/>
  <c r="E1223" i="20" s="1"/>
  <c r="G1222" i="20"/>
  <c r="G1223" i="20" s="1"/>
  <c r="D1224" i="20"/>
  <c r="I1224" i="20" s="1"/>
  <c r="I1225" i="20" s="1"/>
  <c r="E1224" i="20"/>
  <c r="E1225" i="20" s="1"/>
  <c r="G1224" i="20"/>
  <c r="G1225" i="20" s="1"/>
  <c r="D1226" i="20"/>
  <c r="E1226" i="20"/>
  <c r="E1227" i="20" s="1"/>
  <c r="G1226" i="20"/>
  <c r="G1227" i="20" s="1"/>
  <c r="D1228" i="20"/>
  <c r="E1228" i="20"/>
  <c r="E1229" i="20" s="1"/>
  <c r="G1228" i="20"/>
  <c r="G1229" i="20" s="1"/>
  <c r="D1230" i="20"/>
  <c r="J1230" i="20" s="1"/>
  <c r="J1231" i="20" s="1"/>
  <c r="E1230" i="20"/>
  <c r="E1231" i="20" s="1"/>
  <c r="G1230" i="20"/>
  <c r="G1231" i="20" s="1"/>
  <c r="D1232" i="20"/>
  <c r="D1233" i="20" s="1"/>
  <c r="E1232" i="20"/>
  <c r="E1233" i="20" s="1"/>
  <c r="G1232" i="20"/>
  <c r="G1233" i="20" s="1"/>
  <c r="D1234" i="20"/>
  <c r="H1234" i="20" s="1"/>
  <c r="H1235" i="20" s="1"/>
  <c r="E1234" i="20"/>
  <c r="E1235" i="20" s="1"/>
  <c r="G1234" i="20"/>
  <c r="G1235" i="20" s="1"/>
  <c r="D1236" i="20"/>
  <c r="E1236" i="20"/>
  <c r="E1237" i="20" s="1"/>
  <c r="G1236" i="20"/>
  <c r="G1237" i="20" s="1"/>
  <c r="D1238" i="20"/>
  <c r="I1238" i="20" s="1"/>
  <c r="I1239" i="20" s="1"/>
  <c r="E1238" i="20"/>
  <c r="E1239" i="20" s="1"/>
  <c r="G1238" i="20"/>
  <c r="G1239" i="20" s="1"/>
  <c r="D1240" i="20"/>
  <c r="H1240" i="20" s="1"/>
  <c r="H1241" i="20" s="1"/>
  <c r="E1240" i="20"/>
  <c r="E1241" i="20" s="1"/>
  <c r="G1240" i="20"/>
  <c r="G1241" i="20" s="1"/>
  <c r="G1142" i="20"/>
  <c r="G1143" i="20" s="1"/>
  <c r="E1142" i="20"/>
  <c r="E1143" i="20" s="1"/>
  <c r="D1142" i="20"/>
  <c r="H1142" i="20" s="1"/>
  <c r="H1143" i="20" s="1"/>
  <c r="E1084" i="20"/>
  <c r="E1085" i="20" s="1"/>
  <c r="G1084" i="20"/>
  <c r="G1085" i="20" s="1"/>
  <c r="H1086" i="20"/>
  <c r="H1087" i="20" s="1"/>
  <c r="E1086" i="20"/>
  <c r="E1087" i="20" s="1"/>
  <c r="G1086" i="20"/>
  <c r="G1087" i="20" s="1"/>
  <c r="H1088" i="20"/>
  <c r="H1089" i="20" s="1"/>
  <c r="E1088" i="20"/>
  <c r="E1089" i="20" s="1"/>
  <c r="G1088" i="20"/>
  <c r="G1089" i="20" s="1"/>
  <c r="E1090" i="20"/>
  <c r="E1091" i="20" s="1"/>
  <c r="G1090" i="20"/>
  <c r="G1091" i="20" s="1"/>
  <c r="H1092" i="20"/>
  <c r="H1093" i="20" s="1"/>
  <c r="E1092" i="20"/>
  <c r="E1093" i="20" s="1"/>
  <c r="G1092" i="20"/>
  <c r="G1093" i="20" s="1"/>
  <c r="J1094" i="20"/>
  <c r="J1095" i="20" s="1"/>
  <c r="E1094" i="20"/>
  <c r="E1095" i="20" s="1"/>
  <c r="G1094" i="20"/>
  <c r="G1095" i="20" s="1"/>
  <c r="H1096" i="20"/>
  <c r="H1097" i="20" s="1"/>
  <c r="E1096" i="20"/>
  <c r="E1097" i="20" s="1"/>
  <c r="G1096" i="20"/>
  <c r="G1097" i="20" s="1"/>
  <c r="J1098" i="20"/>
  <c r="J1099" i="20" s="1"/>
  <c r="E1098" i="20"/>
  <c r="E1099" i="20" s="1"/>
  <c r="G1098" i="20"/>
  <c r="G1099" i="20" s="1"/>
  <c r="J1100" i="20"/>
  <c r="J1101" i="20" s="1"/>
  <c r="E1100" i="20"/>
  <c r="E1101" i="20" s="1"/>
  <c r="G1100" i="20"/>
  <c r="G1101" i="20" s="1"/>
  <c r="I1102" i="20"/>
  <c r="I1103" i="20" s="1"/>
  <c r="E1102" i="20"/>
  <c r="E1103" i="20" s="1"/>
  <c r="G1102" i="20"/>
  <c r="G1103" i="20" s="1"/>
  <c r="E1104" i="20"/>
  <c r="E1105" i="20" s="1"/>
  <c r="G1104" i="20"/>
  <c r="G1105" i="20" s="1"/>
  <c r="H1106" i="20"/>
  <c r="H1107" i="20" s="1"/>
  <c r="E1106" i="20"/>
  <c r="E1107" i="20" s="1"/>
  <c r="G1106" i="20"/>
  <c r="G1107" i="20" s="1"/>
  <c r="J1108" i="20"/>
  <c r="J1109" i="20" s="1"/>
  <c r="E1108" i="20"/>
  <c r="E1109" i="20" s="1"/>
  <c r="G1108" i="20"/>
  <c r="G1109" i="20" s="1"/>
  <c r="I1110" i="20"/>
  <c r="I1111" i="20" s="1"/>
  <c r="E1110" i="20"/>
  <c r="E1111" i="20" s="1"/>
  <c r="G1110" i="20"/>
  <c r="G1111" i="20" s="1"/>
  <c r="E1112" i="20"/>
  <c r="E1113" i="20" s="1"/>
  <c r="G1112" i="20"/>
  <c r="G1113" i="20" s="1"/>
  <c r="J1114" i="20"/>
  <c r="J1115" i="20" s="1"/>
  <c r="E1114" i="20"/>
  <c r="E1115" i="20" s="1"/>
  <c r="G1114" i="20"/>
  <c r="G1115" i="20" s="1"/>
  <c r="J1116" i="20"/>
  <c r="J1117" i="20" s="1"/>
  <c r="E1116" i="20"/>
  <c r="E1117" i="20" s="1"/>
  <c r="G1116" i="20"/>
  <c r="G1117" i="20" s="1"/>
  <c r="I1118" i="20"/>
  <c r="I1119" i="20" s="1"/>
  <c r="E1118" i="20"/>
  <c r="E1119" i="20" s="1"/>
  <c r="G1118" i="20"/>
  <c r="G1119" i="20" s="1"/>
  <c r="E1120" i="20"/>
  <c r="E1121" i="20" s="1"/>
  <c r="G1120" i="20"/>
  <c r="G1121" i="20" s="1"/>
  <c r="J1122" i="20"/>
  <c r="J1123" i="20" s="1"/>
  <c r="E1122" i="20"/>
  <c r="E1123" i="20" s="1"/>
  <c r="G1122" i="20"/>
  <c r="G1123" i="20" s="1"/>
  <c r="J1124" i="20"/>
  <c r="J1125" i="20" s="1"/>
  <c r="E1124" i="20"/>
  <c r="E1125" i="20" s="1"/>
  <c r="G1124" i="20"/>
  <c r="G1125" i="20" s="1"/>
  <c r="I1126" i="20"/>
  <c r="I1127" i="20" s="1"/>
  <c r="E1126" i="20"/>
  <c r="E1127" i="20" s="1"/>
  <c r="G1126" i="20"/>
  <c r="G1127" i="20" s="1"/>
  <c r="H1128" i="20"/>
  <c r="H1129" i="20" s="1"/>
  <c r="E1128" i="20"/>
  <c r="E1129" i="20" s="1"/>
  <c r="G1128" i="20"/>
  <c r="G1129" i="20" s="1"/>
  <c r="J1130" i="20"/>
  <c r="J1131" i="20" s="1"/>
  <c r="E1130" i="20"/>
  <c r="E1131" i="20" s="1"/>
  <c r="G1130" i="20"/>
  <c r="G1131" i="20" s="1"/>
  <c r="J1132" i="20"/>
  <c r="J1133" i="20" s="1"/>
  <c r="E1132" i="20"/>
  <c r="E1133" i="20" s="1"/>
  <c r="G1132" i="20"/>
  <c r="G1133" i="20" s="1"/>
  <c r="I1134" i="20"/>
  <c r="I1135" i="20" s="1"/>
  <c r="E1134" i="20"/>
  <c r="E1135" i="20" s="1"/>
  <c r="G1134" i="20"/>
  <c r="G1135" i="20" s="1"/>
  <c r="I1136" i="20"/>
  <c r="I1137" i="20" s="1"/>
  <c r="E1136" i="20"/>
  <c r="E1137" i="20" s="1"/>
  <c r="G1136" i="20"/>
  <c r="G1137" i="20" s="1"/>
  <c r="J1138" i="20"/>
  <c r="J1139" i="20" s="1"/>
  <c r="E1138" i="20"/>
  <c r="E1139" i="20" s="1"/>
  <c r="G1138" i="20"/>
  <c r="G1139" i="20" s="1"/>
  <c r="H1140" i="20"/>
  <c r="H1141" i="20" s="1"/>
  <c r="E1140" i="20"/>
  <c r="E1141" i="20" s="1"/>
  <c r="G1140" i="20"/>
  <c r="G1141" i="20" s="1"/>
  <c r="G1082" i="20"/>
  <c r="G1083" i="20" s="1"/>
  <c r="E1082" i="20"/>
  <c r="E1083" i="20" s="1"/>
  <c r="D1082" i="20"/>
  <c r="J1024" i="20"/>
  <c r="J1025" i="20" s="1"/>
  <c r="E1024" i="20"/>
  <c r="E1025" i="20" s="1"/>
  <c r="G1024" i="20"/>
  <c r="G1025" i="20" s="1"/>
  <c r="E1026" i="20"/>
  <c r="E1027" i="20" s="1"/>
  <c r="G1026" i="20"/>
  <c r="G1027" i="20" s="1"/>
  <c r="J1028" i="20"/>
  <c r="J1029" i="20" s="1"/>
  <c r="E1028" i="20"/>
  <c r="E1029" i="20" s="1"/>
  <c r="G1028" i="20"/>
  <c r="G1029" i="20" s="1"/>
  <c r="J1030" i="20"/>
  <c r="J1031" i="20" s="1"/>
  <c r="E1030" i="20"/>
  <c r="E1031" i="20" s="1"/>
  <c r="G1030" i="20"/>
  <c r="G1031" i="20" s="1"/>
  <c r="E1032" i="20"/>
  <c r="E1033" i="20" s="1"/>
  <c r="G1032" i="20"/>
  <c r="G1033" i="20" s="1"/>
  <c r="J1034" i="20"/>
  <c r="J1035" i="20" s="1"/>
  <c r="E1034" i="20"/>
  <c r="E1035" i="20" s="1"/>
  <c r="G1034" i="20"/>
  <c r="G1035" i="20" s="1"/>
  <c r="H1036" i="20"/>
  <c r="H1037" i="20" s="1"/>
  <c r="E1036" i="20"/>
  <c r="E1037" i="20" s="1"/>
  <c r="G1036" i="20"/>
  <c r="G1037" i="20" s="1"/>
  <c r="I1038" i="20"/>
  <c r="I1039" i="20" s="1"/>
  <c r="E1038" i="20"/>
  <c r="E1039" i="20" s="1"/>
  <c r="G1038" i="20"/>
  <c r="G1039" i="20" s="1"/>
  <c r="E1040" i="20"/>
  <c r="E1041" i="20" s="1"/>
  <c r="G1040" i="20"/>
  <c r="G1041" i="20" s="1"/>
  <c r="E1042" i="20"/>
  <c r="E1043" i="20" s="1"/>
  <c r="G1042" i="20"/>
  <c r="G1043" i="20" s="1"/>
  <c r="I1044" i="20"/>
  <c r="I1045" i="20" s="1"/>
  <c r="E1044" i="20"/>
  <c r="E1045" i="20" s="1"/>
  <c r="G1044" i="20"/>
  <c r="G1045" i="20" s="1"/>
  <c r="I1046" i="20"/>
  <c r="I1047" i="20" s="1"/>
  <c r="E1046" i="20"/>
  <c r="E1047" i="20" s="1"/>
  <c r="G1046" i="20"/>
  <c r="G1047" i="20" s="1"/>
  <c r="E1048" i="20"/>
  <c r="E1049" i="20" s="1"/>
  <c r="G1048" i="20"/>
  <c r="G1049" i="20" s="1"/>
  <c r="J1050" i="20"/>
  <c r="J1051" i="20" s="1"/>
  <c r="E1050" i="20"/>
  <c r="E1051" i="20" s="1"/>
  <c r="G1050" i="20"/>
  <c r="G1051" i="20" s="1"/>
  <c r="H1052" i="20"/>
  <c r="H1053" i="20" s="1"/>
  <c r="E1052" i="20"/>
  <c r="E1053" i="20" s="1"/>
  <c r="G1052" i="20"/>
  <c r="G1053" i="20" s="1"/>
  <c r="E1054" i="20"/>
  <c r="E1055" i="20" s="1"/>
  <c r="G1054" i="20"/>
  <c r="G1055" i="20" s="1"/>
  <c r="E1056" i="20"/>
  <c r="E1057" i="20" s="1"/>
  <c r="G1056" i="20"/>
  <c r="G1057" i="20" s="1"/>
  <c r="J1058" i="20"/>
  <c r="J1059" i="20" s="1"/>
  <c r="E1058" i="20"/>
  <c r="E1059" i="20" s="1"/>
  <c r="G1058" i="20"/>
  <c r="G1059" i="20" s="1"/>
  <c r="I1060" i="20"/>
  <c r="I1061" i="20" s="1"/>
  <c r="E1060" i="20"/>
  <c r="E1061" i="20" s="1"/>
  <c r="G1060" i="20"/>
  <c r="G1061" i="20" s="1"/>
  <c r="I1062" i="20"/>
  <c r="I1063" i="20" s="1"/>
  <c r="E1062" i="20"/>
  <c r="E1063" i="20" s="1"/>
  <c r="G1062" i="20"/>
  <c r="G1063" i="20" s="1"/>
  <c r="E1064" i="20"/>
  <c r="E1065" i="20" s="1"/>
  <c r="G1064" i="20"/>
  <c r="G1065" i="20" s="1"/>
  <c r="J1066" i="20"/>
  <c r="J1067" i="20" s="1"/>
  <c r="E1066" i="20"/>
  <c r="E1067" i="20" s="1"/>
  <c r="G1066" i="20"/>
  <c r="G1067" i="20" s="1"/>
  <c r="H1068" i="20"/>
  <c r="H1069" i="20" s="1"/>
  <c r="E1068" i="20"/>
  <c r="E1069" i="20" s="1"/>
  <c r="G1068" i="20"/>
  <c r="G1069" i="20" s="1"/>
  <c r="E1070" i="20"/>
  <c r="E1071" i="20" s="1"/>
  <c r="G1070" i="20"/>
  <c r="G1071" i="20" s="1"/>
  <c r="E1072" i="20"/>
  <c r="E1073" i="20" s="1"/>
  <c r="G1072" i="20"/>
  <c r="G1073" i="20" s="1"/>
  <c r="J1074" i="20"/>
  <c r="J1075" i="20" s="1"/>
  <c r="E1074" i="20"/>
  <c r="E1075" i="20" s="1"/>
  <c r="G1074" i="20"/>
  <c r="G1075" i="20" s="1"/>
  <c r="I1076" i="20"/>
  <c r="I1077" i="20" s="1"/>
  <c r="E1076" i="20"/>
  <c r="E1077" i="20" s="1"/>
  <c r="G1076" i="20"/>
  <c r="G1077" i="20" s="1"/>
  <c r="I1078" i="20"/>
  <c r="I1079" i="20" s="1"/>
  <c r="E1078" i="20"/>
  <c r="E1079" i="20" s="1"/>
  <c r="G1078" i="20"/>
  <c r="G1079" i="20" s="1"/>
  <c r="E1080" i="20"/>
  <c r="E1081" i="20" s="1"/>
  <c r="G1080" i="20"/>
  <c r="G1081" i="20" s="1"/>
  <c r="G1022" i="20"/>
  <c r="G1023" i="20" s="1"/>
  <c r="E1022" i="20"/>
  <c r="E1023" i="20" s="1"/>
  <c r="D1022" i="20"/>
  <c r="H1022" i="20" s="1"/>
  <c r="H1023" i="20" s="1"/>
  <c r="H964" i="20"/>
  <c r="H965" i="20" s="1"/>
  <c r="E964" i="20"/>
  <c r="E965" i="20" s="1"/>
  <c r="G964" i="20"/>
  <c r="G965" i="20" s="1"/>
  <c r="I966" i="20"/>
  <c r="I967" i="20" s="1"/>
  <c r="E966" i="20"/>
  <c r="E967" i="20" s="1"/>
  <c r="G966" i="20"/>
  <c r="G967" i="20" s="1"/>
  <c r="J968" i="20"/>
  <c r="J969" i="20" s="1"/>
  <c r="E968" i="20"/>
  <c r="E969" i="20" s="1"/>
  <c r="G968" i="20"/>
  <c r="G969" i="20" s="1"/>
  <c r="J970" i="20"/>
  <c r="J971" i="20" s="1"/>
  <c r="E970" i="20"/>
  <c r="E971" i="20" s="1"/>
  <c r="G970" i="20"/>
  <c r="G971" i="20" s="1"/>
  <c r="I972" i="20"/>
  <c r="I973" i="20" s="1"/>
  <c r="E972" i="20"/>
  <c r="E973" i="20" s="1"/>
  <c r="G972" i="20"/>
  <c r="G973" i="20" s="1"/>
  <c r="I974" i="20"/>
  <c r="I975" i="20" s="1"/>
  <c r="E974" i="20"/>
  <c r="E975" i="20" s="1"/>
  <c r="G974" i="20"/>
  <c r="G975" i="20" s="1"/>
  <c r="I976" i="20"/>
  <c r="I977" i="20" s="1"/>
  <c r="E976" i="20"/>
  <c r="E977" i="20" s="1"/>
  <c r="G976" i="20"/>
  <c r="G977" i="20" s="1"/>
  <c r="I978" i="20"/>
  <c r="I979" i="20" s="1"/>
  <c r="E978" i="20"/>
  <c r="E979" i="20" s="1"/>
  <c r="G978" i="20"/>
  <c r="G979" i="20" s="1"/>
  <c r="I980" i="20"/>
  <c r="I981" i="20" s="1"/>
  <c r="E980" i="20"/>
  <c r="E981" i="20" s="1"/>
  <c r="G980" i="20"/>
  <c r="G981" i="20" s="1"/>
  <c r="E982" i="20"/>
  <c r="E983" i="20" s="1"/>
  <c r="G982" i="20"/>
  <c r="G983" i="20" s="1"/>
  <c r="J984" i="20"/>
  <c r="J985" i="20" s="1"/>
  <c r="E984" i="20"/>
  <c r="E985" i="20" s="1"/>
  <c r="G984" i="20"/>
  <c r="G985" i="20" s="1"/>
  <c r="I986" i="20"/>
  <c r="I987" i="20" s="1"/>
  <c r="E986" i="20"/>
  <c r="E987" i="20" s="1"/>
  <c r="G986" i="20"/>
  <c r="G987" i="20" s="1"/>
  <c r="E988" i="20"/>
  <c r="E989" i="20" s="1"/>
  <c r="G988" i="20"/>
  <c r="G989" i="20" s="1"/>
  <c r="J990" i="20"/>
  <c r="J991" i="20" s="1"/>
  <c r="E990" i="20"/>
  <c r="E991" i="20" s="1"/>
  <c r="G990" i="20"/>
  <c r="G991" i="20" s="1"/>
  <c r="I992" i="20"/>
  <c r="I993" i="20" s="1"/>
  <c r="E992" i="20"/>
  <c r="E993" i="20" s="1"/>
  <c r="G992" i="20"/>
  <c r="G993" i="20" s="1"/>
  <c r="H994" i="20"/>
  <c r="H995" i="20" s="1"/>
  <c r="E994" i="20"/>
  <c r="E995" i="20" s="1"/>
  <c r="G994" i="20"/>
  <c r="G995" i="20" s="1"/>
  <c r="H996" i="20"/>
  <c r="H997" i="20" s="1"/>
  <c r="E996" i="20"/>
  <c r="E997" i="20" s="1"/>
  <c r="G996" i="20"/>
  <c r="G997" i="20" s="1"/>
  <c r="I998" i="20"/>
  <c r="I999" i="20" s="1"/>
  <c r="E998" i="20"/>
  <c r="E999" i="20" s="1"/>
  <c r="G998" i="20"/>
  <c r="G999" i="20" s="1"/>
  <c r="E1000" i="20"/>
  <c r="E1001" i="20" s="1"/>
  <c r="G1000" i="20"/>
  <c r="G1001" i="20" s="1"/>
  <c r="J1002" i="20"/>
  <c r="J1003" i="20" s="1"/>
  <c r="E1002" i="20"/>
  <c r="E1003" i="20" s="1"/>
  <c r="G1002" i="20"/>
  <c r="G1003" i="20" s="1"/>
  <c r="J1004" i="20"/>
  <c r="J1005" i="20" s="1"/>
  <c r="E1004" i="20"/>
  <c r="E1005" i="20" s="1"/>
  <c r="G1004" i="20"/>
  <c r="G1005" i="20" s="1"/>
  <c r="I1006" i="20"/>
  <c r="I1007" i="20" s="1"/>
  <c r="E1006" i="20"/>
  <c r="E1007" i="20" s="1"/>
  <c r="G1006" i="20"/>
  <c r="G1007" i="20" s="1"/>
  <c r="I1008" i="20"/>
  <c r="I1009" i="20" s="1"/>
  <c r="E1008" i="20"/>
  <c r="E1009" i="20" s="1"/>
  <c r="G1008" i="20"/>
  <c r="G1009" i="20" s="1"/>
  <c r="J1010" i="20"/>
  <c r="J1011" i="20" s="1"/>
  <c r="E1010" i="20"/>
  <c r="E1011" i="20" s="1"/>
  <c r="G1010" i="20"/>
  <c r="G1011" i="20" s="1"/>
  <c r="I1012" i="20"/>
  <c r="I1013" i="20" s="1"/>
  <c r="E1012" i="20"/>
  <c r="E1013" i="20" s="1"/>
  <c r="G1012" i="20"/>
  <c r="G1013" i="20" s="1"/>
  <c r="H1014" i="20"/>
  <c r="H1015" i="20" s="1"/>
  <c r="E1014" i="20"/>
  <c r="E1015" i="20" s="1"/>
  <c r="G1014" i="20"/>
  <c r="G1015" i="20" s="1"/>
  <c r="J1016" i="20"/>
  <c r="J1017" i="20" s="1"/>
  <c r="E1016" i="20"/>
  <c r="E1017" i="20" s="1"/>
  <c r="G1016" i="20"/>
  <c r="G1017" i="20" s="1"/>
  <c r="I1018" i="20"/>
  <c r="I1019" i="20" s="1"/>
  <c r="E1018" i="20"/>
  <c r="E1019" i="20" s="1"/>
  <c r="G1018" i="20"/>
  <c r="G1019" i="20" s="1"/>
  <c r="J1020" i="20"/>
  <c r="J1021" i="20" s="1"/>
  <c r="E1020" i="20"/>
  <c r="E1021" i="20" s="1"/>
  <c r="G1020" i="20"/>
  <c r="G1021" i="20" s="1"/>
  <c r="G962" i="20"/>
  <c r="G963" i="20" s="1"/>
  <c r="E962" i="20"/>
  <c r="E963" i="20" s="1"/>
  <c r="D962" i="20"/>
  <c r="H990" i="20"/>
  <c r="H991" i="20" s="1"/>
  <c r="J1104" i="20"/>
  <c r="J1105" i="20" s="1"/>
  <c r="I1024" i="20"/>
  <c r="I1025" i="20" s="1"/>
  <c r="G624" i="20"/>
  <c r="G625" i="20" s="1"/>
  <c r="G626" i="20"/>
  <c r="G627" i="20" s="1"/>
  <c r="G628" i="20"/>
  <c r="G629" i="20" s="1"/>
  <c r="G630" i="20"/>
  <c r="G631" i="20" s="1"/>
  <c r="G632" i="20"/>
  <c r="G633" i="20" s="1"/>
  <c r="G634" i="20"/>
  <c r="G635" i="20" s="1"/>
  <c r="G636" i="20"/>
  <c r="G637" i="20" s="1"/>
  <c r="G638" i="20"/>
  <c r="G639" i="20" s="1"/>
  <c r="G640" i="20"/>
  <c r="G641" i="20" s="1"/>
  <c r="G642" i="20"/>
  <c r="G643" i="20" s="1"/>
  <c r="G644" i="20"/>
  <c r="G645" i="20" s="1"/>
  <c r="G646" i="20"/>
  <c r="G647" i="20" s="1"/>
  <c r="G648" i="20"/>
  <c r="G649" i="20" s="1"/>
  <c r="G650" i="20"/>
  <c r="G651" i="20" s="1"/>
  <c r="G652" i="20"/>
  <c r="G653" i="20" s="1"/>
  <c r="G654" i="20"/>
  <c r="G655" i="20" s="1"/>
  <c r="G656" i="20"/>
  <c r="G657" i="20" s="1"/>
  <c r="G658" i="20"/>
  <c r="G659" i="20" s="1"/>
  <c r="G660" i="20"/>
  <c r="G661" i="20" s="1"/>
  <c r="G662" i="20"/>
  <c r="G663" i="20" s="1"/>
  <c r="G664" i="20"/>
  <c r="G665" i="20" s="1"/>
  <c r="G666" i="20"/>
  <c r="G667" i="20" s="1"/>
  <c r="G668" i="20"/>
  <c r="G669" i="20" s="1"/>
  <c r="G670" i="20"/>
  <c r="G671" i="20" s="1"/>
  <c r="G672" i="20"/>
  <c r="G673" i="20" s="1"/>
  <c r="G674" i="20"/>
  <c r="G675" i="20" s="1"/>
  <c r="G676" i="20"/>
  <c r="G677" i="20" s="1"/>
  <c r="G678" i="20"/>
  <c r="G679" i="20" s="1"/>
  <c r="G680" i="20"/>
  <c r="G681" i="20" s="1"/>
  <c r="G582" i="20"/>
  <c r="G583" i="20" s="1"/>
  <c r="G324" i="20"/>
  <c r="G325" i="20" s="1"/>
  <c r="G326" i="20"/>
  <c r="G327" i="20" s="1"/>
  <c r="G328" i="20"/>
  <c r="G329" i="20" s="1"/>
  <c r="G330" i="20"/>
  <c r="G331" i="20" s="1"/>
  <c r="G332" i="20"/>
  <c r="G333" i="20" s="1"/>
  <c r="G334" i="20"/>
  <c r="G335" i="20" s="1"/>
  <c r="G336" i="20"/>
  <c r="G337" i="20" s="1"/>
  <c r="G338" i="20"/>
  <c r="G339" i="20" s="1"/>
  <c r="G340" i="20"/>
  <c r="G341" i="20" s="1"/>
  <c r="G342" i="20"/>
  <c r="G343" i="20" s="1"/>
  <c r="G344" i="20"/>
  <c r="G345" i="20" s="1"/>
  <c r="G346" i="20"/>
  <c r="G347" i="20" s="1"/>
  <c r="G348" i="20"/>
  <c r="G349" i="20" s="1"/>
  <c r="G350" i="20"/>
  <c r="G351" i="20" s="1"/>
  <c r="G352" i="20"/>
  <c r="G353" i="20" s="1"/>
  <c r="G354" i="20"/>
  <c r="G355" i="20" s="1"/>
  <c r="G356" i="20"/>
  <c r="G357" i="20" s="1"/>
  <c r="G358" i="20"/>
  <c r="G359" i="20" s="1"/>
  <c r="G360" i="20"/>
  <c r="G361" i="20" s="1"/>
  <c r="G362" i="20"/>
  <c r="G363" i="20" s="1"/>
  <c r="G364" i="20"/>
  <c r="G365" i="20" s="1"/>
  <c r="G366" i="20"/>
  <c r="G367" i="20" s="1"/>
  <c r="G368" i="20"/>
  <c r="G369" i="20" s="1"/>
  <c r="G370" i="20"/>
  <c r="G371" i="20" s="1"/>
  <c r="G372" i="20"/>
  <c r="G373" i="20" s="1"/>
  <c r="G374" i="20"/>
  <c r="G375" i="20" s="1"/>
  <c r="G376" i="20"/>
  <c r="G377" i="20" s="1"/>
  <c r="G378" i="20"/>
  <c r="G379" i="20" s="1"/>
  <c r="G380" i="20"/>
  <c r="G381" i="20" s="1"/>
  <c r="G282" i="20"/>
  <c r="G283" i="20" s="1"/>
  <c r="D524" i="20"/>
  <c r="E524" i="20"/>
  <c r="E525" i="20" s="1"/>
  <c r="G524" i="20"/>
  <c r="G525" i="20" s="1"/>
  <c r="K524" i="20"/>
  <c r="K525" i="20" s="1"/>
  <c r="L524" i="20"/>
  <c r="L525" i="20" s="1"/>
  <c r="D526" i="20"/>
  <c r="E526" i="20"/>
  <c r="E527" i="20" s="1"/>
  <c r="G526" i="20"/>
  <c r="G527" i="20" s="1"/>
  <c r="K526" i="20"/>
  <c r="K527" i="20" s="1"/>
  <c r="L526" i="20"/>
  <c r="L527" i="20" s="1"/>
  <c r="D528" i="20"/>
  <c r="E528" i="20"/>
  <c r="E529" i="20" s="1"/>
  <c r="G528" i="20"/>
  <c r="G529" i="20" s="1"/>
  <c r="K528" i="20"/>
  <c r="K529" i="20" s="1"/>
  <c r="L528" i="20"/>
  <c r="L529" i="20" s="1"/>
  <c r="D530" i="20"/>
  <c r="H530" i="20" s="1"/>
  <c r="H531" i="20" s="1"/>
  <c r="E530" i="20"/>
  <c r="E531" i="20" s="1"/>
  <c r="G530" i="20"/>
  <c r="G531" i="20" s="1"/>
  <c r="K530" i="20"/>
  <c r="K531" i="20" s="1"/>
  <c r="L530" i="20"/>
  <c r="L531" i="20" s="1"/>
  <c r="D532" i="20"/>
  <c r="E532" i="20"/>
  <c r="E533" i="20" s="1"/>
  <c r="G532" i="20"/>
  <c r="G533" i="20" s="1"/>
  <c r="K532" i="20"/>
  <c r="K533" i="20" s="1"/>
  <c r="L532" i="20"/>
  <c r="L533" i="20" s="1"/>
  <c r="D534" i="20"/>
  <c r="E534" i="20"/>
  <c r="E535" i="20" s="1"/>
  <c r="G534" i="20"/>
  <c r="G535" i="20" s="1"/>
  <c r="K534" i="20"/>
  <c r="K535" i="20" s="1"/>
  <c r="L534" i="20"/>
  <c r="L535" i="20" s="1"/>
  <c r="D536" i="20"/>
  <c r="H536" i="20" s="1"/>
  <c r="H537" i="20" s="1"/>
  <c r="E536" i="20"/>
  <c r="E537" i="20" s="1"/>
  <c r="G536" i="20"/>
  <c r="G537" i="20" s="1"/>
  <c r="K536" i="20"/>
  <c r="K537" i="20" s="1"/>
  <c r="L536" i="20"/>
  <c r="L537" i="20" s="1"/>
  <c r="D538" i="20"/>
  <c r="D539" i="20" s="1"/>
  <c r="E538" i="20"/>
  <c r="E539" i="20" s="1"/>
  <c r="G538" i="20"/>
  <c r="G539" i="20" s="1"/>
  <c r="K538" i="20"/>
  <c r="K539" i="20" s="1"/>
  <c r="L538" i="20"/>
  <c r="L539" i="20" s="1"/>
  <c r="D540" i="20"/>
  <c r="I540" i="20" s="1"/>
  <c r="I541" i="20" s="1"/>
  <c r="E540" i="20"/>
  <c r="E541" i="20" s="1"/>
  <c r="G540" i="20"/>
  <c r="G541" i="20" s="1"/>
  <c r="K540" i="20"/>
  <c r="K541" i="20" s="1"/>
  <c r="L540" i="20"/>
  <c r="L541" i="20" s="1"/>
  <c r="D542" i="20"/>
  <c r="J542" i="20" s="1"/>
  <c r="J543" i="20" s="1"/>
  <c r="E542" i="20"/>
  <c r="E543" i="20" s="1"/>
  <c r="G542" i="20"/>
  <c r="G543" i="20" s="1"/>
  <c r="K542" i="20"/>
  <c r="K543" i="20" s="1"/>
  <c r="L542" i="20"/>
  <c r="L543" i="20" s="1"/>
  <c r="D544" i="20"/>
  <c r="E544" i="20"/>
  <c r="E545" i="20" s="1"/>
  <c r="G544" i="20"/>
  <c r="G545" i="20" s="1"/>
  <c r="K544" i="20"/>
  <c r="K545" i="20" s="1"/>
  <c r="L544" i="20"/>
  <c r="L545" i="20" s="1"/>
  <c r="D546" i="20"/>
  <c r="E546" i="20"/>
  <c r="E547" i="20" s="1"/>
  <c r="G546" i="20"/>
  <c r="G547" i="20" s="1"/>
  <c r="K546" i="20"/>
  <c r="K547" i="20" s="1"/>
  <c r="L546" i="20"/>
  <c r="L547" i="20" s="1"/>
  <c r="D548" i="20"/>
  <c r="J548" i="20" s="1"/>
  <c r="J549" i="20" s="1"/>
  <c r="E548" i="20"/>
  <c r="E549" i="20" s="1"/>
  <c r="G548" i="20"/>
  <c r="G549" i="20" s="1"/>
  <c r="K548" i="20"/>
  <c r="K549" i="20" s="1"/>
  <c r="L548" i="20"/>
  <c r="L549" i="20" s="1"/>
  <c r="D550" i="20"/>
  <c r="J550" i="20" s="1"/>
  <c r="J551" i="20" s="1"/>
  <c r="E550" i="20"/>
  <c r="E551" i="20" s="1"/>
  <c r="G550" i="20"/>
  <c r="G551" i="20" s="1"/>
  <c r="K550" i="20"/>
  <c r="K551" i="20" s="1"/>
  <c r="L550" i="20"/>
  <c r="L551" i="20" s="1"/>
  <c r="D552" i="20"/>
  <c r="I552" i="20" s="1"/>
  <c r="I553" i="20" s="1"/>
  <c r="E552" i="20"/>
  <c r="E553" i="20" s="1"/>
  <c r="G552" i="20"/>
  <c r="G553" i="20" s="1"/>
  <c r="K552" i="20"/>
  <c r="K553" i="20" s="1"/>
  <c r="L552" i="20"/>
  <c r="L553" i="20" s="1"/>
  <c r="D554" i="20"/>
  <c r="J554" i="20" s="1"/>
  <c r="J555" i="20" s="1"/>
  <c r="E554" i="20"/>
  <c r="E555" i="20" s="1"/>
  <c r="G554" i="20"/>
  <c r="G555" i="20" s="1"/>
  <c r="K554" i="20"/>
  <c r="K555" i="20" s="1"/>
  <c r="L554" i="20"/>
  <c r="L555" i="20" s="1"/>
  <c r="D556" i="20"/>
  <c r="H556" i="20" s="1"/>
  <c r="H557" i="20" s="1"/>
  <c r="E556" i="20"/>
  <c r="E557" i="20" s="1"/>
  <c r="G556" i="20"/>
  <c r="G557" i="20" s="1"/>
  <c r="K556" i="20"/>
  <c r="K557" i="20" s="1"/>
  <c r="L556" i="20"/>
  <c r="L557" i="20" s="1"/>
  <c r="D558" i="20"/>
  <c r="J558" i="20" s="1"/>
  <c r="J559" i="20" s="1"/>
  <c r="E558" i="20"/>
  <c r="E559" i="20" s="1"/>
  <c r="G558" i="20"/>
  <c r="G559" i="20" s="1"/>
  <c r="K558" i="20"/>
  <c r="K559" i="20" s="1"/>
  <c r="L558" i="20"/>
  <c r="L559" i="20" s="1"/>
  <c r="D560" i="20"/>
  <c r="E560" i="20"/>
  <c r="E561" i="20" s="1"/>
  <c r="G560" i="20"/>
  <c r="G561" i="20" s="1"/>
  <c r="K560" i="20"/>
  <c r="K561" i="20" s="1"/>
  <c r="L560" i="20"/>
  <c r="L561" i="20" s="1"/>
  <c r="D562" i="20"/>
  <c r="I562" i="20" s="1"/>
  <c r="I563" i="20" s="1"/>
  <c r="E562" i="20"/>
  <c r="E563" i="20" s="1"/>
  <c r="G562" i="20"/>
  <c r="G563" i="20" s="1"/>
  <c r="K562" i="20"/>
  <c r="K563" i="20" s="1"/>
  <c r="L562" i="20"/>
  <c r="L563" i="20" s="1"/>
  <c r="D564" i="20"/>
  <c r="I564" i="20" s="1"/>
  <c r="I565" i="20" s="1"/>
  <c r="E564" i="20"/>
  <c r="E565" i="20" s="1"/>
  <c r="G564" i="20"/>
  <c r="G565" i="20" s="1"/>
  <c r="K564" i="20"/>
  <c r="K565" i="20" s="1"/>
  <c r="L564" i="20"/>
  <c r="L565" i="20" s="1"/>
  <c r="D566" i="20"/>
  <c r="J566" i="20" s="1"/>
  <c r="J567" i="20" s="1"/>
  <c r="E566" i="20"/>
  <c r="E567" i="20" s="1"/>
  <c r="G566" i="20"/>
  <c r="G567" i="20" s="1"/>
  <c r="K566" i="20"/>
  <c r="K567" i="20" s="1"/>
  <c r="L566" i="20"/>
  <c r="L567" i="20" s="1"/>
  <c r="D568" i="20"/>
  <c r="J568" i="20" s="1"/>
  <c r="J569" i="20" s="1"/>
  <c r="E568" i="20"/>
  <c r="E569" i="20" s="1"/>
  <c r="G568" i="20"/>
  <c r="G569" i="20" s="1"/>
  <c r="K568" i="20"/>
  <c r="K569" i="20" s="1"/>
  <c r="L568" i="20"/>
  <c r="L569" i="20" s="1"/>
  <c r="D570" i="20"/>
  <c r="E570" i="20"/>
  <c r="E571" i="20" s="1"/>
  <c r="G570" i="20"/>
  <c r="G571" i="20" s="1"/>
  <c r="K570" i="20"/>
  <c r="K571" i="20" s="1"/>
  <c r="L570" i="20"/>
  <c r="L571" i="20" s="1"/>
  <c r="D572" i="20"/>
  <c r="E572" i="20"/>
  <c r="E573" i="20" s="1"/>
  <c r="G572" i="20"/>
  <c r="G573" i="20" s="1"/>
  <c r="K572" i="20"/>
  <c r="K573" i="20" s="1"/>
  <c r="L572" i="20"/>
  <c r="L573" i="20" s="1"/>
  <c r="D574" i="20"/>
  <c r="J574" i="20" s="1"/>
  <c r="J575" i="20" s="1"/>
  <c r="E574" i="20"/>
  <c r="E575" i="20" s="1"/>
  <c r="G574" i="20"/>
  <c r="G575" i="20" s="1"/>
  <c r="K574" i="20"/>
  <c r="K575" i="20" s="1"/>
  <c r="L574" i="20"/>
  <c r="L575" i="20" s="1"/>
  <c r="D576" i="20"/>
  <c r="E576" i="20"/>
  <c r="E577" i="20" s="1"/>
  <c r="G576" i="20"/>
  <c r="G577" i="20" s="1"/>
  <c r="K576" i="20"/>
  <c r="K577" i="20" s="1"/>
  <c r="L576" i="20"/>
  <c r="L577" i="20" s="1"/>
  <c r="D578" i="20"/>
  <c r="E578" i="20"/>
  <c r="E579" i="20" s="1"/>
  <c r="G578" i="20"/>
  <c r="G579" i="20" s="1"/>
  <c r="K578" i="20"/>
  <c r="K579" i="20" s="1"/>
  <c r="L578" i="20"/>
  <c r="L579" i="20" s="1"/>
  <c r="D580" i="20"/>
  <c r="J580" i="20" s="1"/>
  <c r="J581" i="20" s="1"/>
  <c r="E580" i="20"/>
  <c r="E581" i="20" s="1"/>
  <c r="G580" i="20"/>
  <c r="G581" i="20" s="1"/>
  <c r="K580" i="20"/>
  <c r="K581" i="20" s="1"/>
  <c r="L580" i="20"/>
  <c r="L581" i="20" s="1"/>
  <c r="L482" i="20"/>
  <c r="L483" i="20" s="1"/>
  <c r="K482" i="20"/>
  <c r="K483" i="20" s="1"/>
  <c r="G482" i="20"/>
  <c r="G483" i="20" s="1"/>
  <c r="E482" i="20"/>
  <c r="E483" i="20" s="1"/>
  <c r="D482" i="20"/>
  <c r="G424" i="20"/>
  <c r="G425" i="20" s="1"/>
  <c r="K424" i="20"/>
  <c r="K425" i="20" s="1"/>
  <c r="L424" i="20"/>
  <c r="L425" i="20" s="1"/>
  <c r="G426" i="20"/>
  <c r="G427" i="20" s="1"/>
  <c r="K426" i="20"/>
  <c r="K427" i="20" s="1"/>
  <c r="L426" i="20"/>
  <c r="L427" i="20" s="1"/>
  <c r="G428" i="20"/>
  <c r="G429" i="20" s="1"/>
  <c r="K428" i="20"/>
  <c r="K429" i="20" s="1"/>
  <c r="L428" i="20"/>
  <c r="L429" i="20" s="1"/>
  <c r="G430" i="20"/>
  <c r="G431" i="20" s="1"/>
  <c r="K430" i="20"/>
  <c r="K431" i="20" s="1"/>
  <c r="L430" i="20"/>
  <c r="L431" i="20" s="1"/>
  <c r="G432" i="20"/>
  <c r="G433" i="20" s="1"/>
  <c r="K432" i="20"/>
  <c r="K433" i="20" s="1"/>
  <c r="L432" i="20"/>
  <c r="L433" i="20" s="1"/>
  <c r="G434" i="20"/>
  <c r="G435" i="20" s="1"/>
  <c r="K434" i="20"/>
  <c r="K435" i="20" s="1"/>
  <c r="L434" i="20"/>
  <c r="L435" i="20" s="1"/>
  <c r="G436" i="20"/>
  <c r="G437" i="20" s="1"/>
  <c r="K436" i="20"/>
  <c r="K437" i="20" s="1"/>
  <c r="L436" i="20"/>
  <c r="L437" i="20" s="1"/>
  <c r="G438" i="20"/>
  <c r="G439" i="20" s="1"/>
  <c r="K438" i="20"/>
  <c r="K439" i="20" s="1"/>
  <c r="L438" i="20"/>
  <c r="L439" i="20" s="1"/>
  <c r="G440" i="20"/>
  <c r="G441" i="20" s="1"/>
  <c r="K440" i="20"/>
  <c r="K441" i="20" s="1"/>
  <c r="L440" i="20"/>
  <c r="L441" i="20" s="1"/>
  <c r="G442" i="20"/>
  <c r="G443" i="20" s="1"/>
  <c r="K442" i="20"/>
  <c r="K443" i="20" s="1"/>
  <c r="L442" i="20"/>
  <c r="L443" i="20" s="1"/>
  <c r="G444" i="20"/>
  <c r="G445" i="20" s="1"/>
  <c r="K444" i="20"/>
  <c r="K445" i="20" s="1"/>
  <c r="L444" i="20"/>
  <c r="L445" i="20" s="1"/>
  <c r="G446" i="20"/>
  <c r="G447" i="20" s="1"/>
  <c r="K446" i="20"/>
  <c r="K447" i="20" s="1"/>
  <c r="L446" i="20"/>
  <c r="L447" i="20" s="1"/>
  <c r="G448" i="20"/>
  <c r="G449" i="20" s="1"/>
  <c r="K448" i="20"/>
  <c r="K449" i="20" s="1"/>
  <c r="L448" i="20"/>
  <c r="L449" i="20" s="1"/>
  <c r="G450" i="20"/>
  <c r="G451" i="20" s="1"/>
  <c r="K450" i="20"/>
  <c r="K451" i="20" s="1"/>
  <c r="L450" i="20"/>
  <c r="L451" i="20" s="1"/>
  <c r="G452" i="20"/>
  <c r="G453" i="20" s="1"/>
  <c r="K452" i="20"/>
  <c r="K453" i="20" s="1"/>
  <c r="L452" i="20"/>
  <c r="L453" i="20" s="1"/>
  <c r="G454" i="20"/>
  <c r="G455" i="20" s="1"/>
  <c r="K454" i="20"/>
  <c r="K455" i="20" s="1"/>
  <c r="L454" i="20"/>
  <c r="L455" i="20" s="1"/>
  <c r="G456" i="20"/>
  <c r="G457" i="20" s="1"/>
  <c r="K456" i="20"/>
  <c r="K457" i="20" s="1"/>
  <c r="L456" i="20"/>
  <c r="L457" i="20" s="1"/>
  <c r="G458" i="20"/>
  <c r="G459" i="20" s="1"/>
  <c r="K458" i="20"/>
  <c r="K459" i="20" s="1"/>
  <c r="L458" i="20"/>
  <c r="L459" i="20" s="1"/>
  <c r="G460" i="20"/>
  <c r="G461" i="20" s="1"/>
  <c r="K460" i="20"/>
  <c r="K461" i="20" s="1"/>
  <c r="L460" i="20"/>
  <c r="L461" i="20" s="1"/>
  <c r="G462" i="20"/>
  <c r="G463" i="20" s="1"/>
  <c r="K462" i="20"/>
  <c r="K463" i="20" s="1"/>
  <c r="L462" i="20"/>
  <c r="L463" i="20" s="1"/>
  <c r="G464" i="20"/>
  <c r="G465" i="20" s="1"/>
  <c r="K464" i="20"/>
  <c r="K465" i="20" s="1"/>
  <c r="L464" i="20"/>
  <c r="L465" i="20" s="1"/>
  <c r="G466" i="20"/>
  <c r="G467" i="20" s="1"/>
  <c r="K466" i="20"/>
  <c r="K467" i="20" s="1"/>
  <c r="L466" i="20"/>
  <c r="L467" i="20" s="1"/>
  <c r="G468" i="20"/>
  <c r="G469" i="20" s="1"/>
  <c r="K468" i="20"/>
  <c r="K469" i="20" s="1"/>
  <c r="L468" i="20"/>
  <c r="L469" i="20" s="1"/>
  <c r="G470" i="20"/>
  <c r="G471" i="20" s="1"/>
  <c r="K470" i="20"/>
  <c r="K471" i="20" s="1"/>
  <c r="L470" i="20"/>
  <c r="L471" i="20" s="1"/>
  <c r="G472" i="20"/>
  <c r="G473" i="20" s="1"/>
  <c r="K472" i="20"/>
  <c r="K473" i="20" s="1"/>
  <c r="L472" i="20"/>
  <c r="L473" i="20" s="1"/>
  <c r="G474" i="20"/>
  <c r="G475" i="20" s="1"/>
  <c r="K474" i="20"/>
  <c r="K475" i="20" s="1"/>
  <c r="L474" i="20"/>
  <c r="L475" i="20" s="1"/>
  <c r="G476" i="20"/>
  <c r="G477" i="20" s="1"/>
  <c r="K476" i="20"/>
  <c r="K477" i="20" s="1"/>
  <c r="L476" i="20"/>
  <c r="L477" i="20" s="1"/>
  <c r="G478" i="20"/>
  <c r="G479" i="20" s="1"/>
  <c r="K478" i="20"/>
  <c r="K479" i="20" s="1"/>
  <c r="L478" i="20"/>
  <c r="L479" i="20" s="1"/>
  <c r="G480" i="20"/>
  <c r="G481" i="20" s="1"/>
  <c r="K480" i="20"/>
  <c r="K481" i="20" s="1"/>
  <c r="L480" i="20"/>
  <c r="L481" i="20" s="1"/>
  <c r="G382" i="20"/>
  <c r="G383" i="20" s="1"/>
  <c r="G122" i="20"/>
  <c r="G123" i="20" s="1"/>
  <c r="L382" i="20"/>
  <c r="L383" i="20" s="1"/>
  <c r="K382" i="20"/>
  <c r="K383" i="20" s="1"/>
  <c r="K324" i="20"/>
  <c r="K325" i="20" s="1"/>
  <c r="L324" i="20"/>
  <c r="L325" i="20" s="1"/>
  <c r="K326" i="20"/>
  <c r="K327" i="20" s="1"/>
  <c r="L326" i="20"/>
  <c r="L327" i="20" s="1"/>
  <c r="K328" i="20"/>
  <c r="K329" i="20" s="1"/>
  <c r="L328" i="20"/>
  <c r="L329" i="20" s="1"/>
  <c r="K330" i="20"/>
  <c r="K331" i="20" s="1"/>
  <c r="L330" i="20"/>
  <c r="L331" i="20" s="1"/>
  <c r="K332" i="20"/>
  <c r="K333" i="20" s="1"/>
  <c r="L332" i="20"/>
  <c r="L333" i="20" s="1"/>
  <c r="K334" i="20"/>
  <c r="K335" i="20" s="1"/>
  <c r="L334" i="20"/>
  <c r="L335" i="20" s="1"/>
  <c r="K336" i="20"/>
  <c r="K337" i="20" s="1"/>
  <c r="L336" i="20"/>
  <c r="L337" i="20" s="1"/>
  <c r="K338" i="20"/>
  <c r="K339" i="20" s="1"/>
  <c r="L338" i="20"/>
  <c r="L339" i="20" s="1"/>
  <c r="K340" i="20"/>
  <c r="K341" i="20" s="1"/>
  <c r="L340" i="20"/>
  <c r="L341" i="20" s="1"/>
  <c r="K342" i="20"/>
  <c r="K343" i="20" s="1"/>
  <c r="L342" i="20"/>
  <c r="L343" i="20" s="1"/>
  <c r="K344" i="20"/>
  <c r="K345" i="20" s="1"/>
  <c r="L344" i="20"/>
  <c r="L345" i="20" s="1"/>
  <c r="K346" i="20"/>
  <c r="K347" i="20" s="1"/>
  <c r="L346" i="20"/>
  <c r="L347" i="20" s="1"/>
  <c r="K348" i="20"/>
  <c r="K349" i="20" s="1"/>
  <c r="L348" i="20"/>
  <c r="L349" i="20" s="1"/>
  <c r="K350" i="20"/>
  <c r="K351" i="20" s="1"/>
  <c r="L350" i="20"/>
  <c r="L351" i="20" s="1"/>
  <c r="K352" i="20"/>
  <c r="K353" i="20" s="1"/>
  <c r="L352" i="20"/>
  <c r="L353" i="20" s="1"/>
  <c r="K354" i="20"/>
  <c r="K355" i="20" s="1"/>
  <c r="L354" i="20"/>
  <c r="L355" i="20" s="1"/>
  <c r="K356" i="20"/>
  <c r="K357" i="20" s="1"/>
  <c r="L356" i="20"/>
  <c r="L357" i="20" s="1"/>
  <c r="K358" i="20"/>
  <c r="K359" i="20" s="1"/>
  <c r="L358" i="20"/>
  <c r="L359" i="20" s="1"/>
  <c r="K360" i="20"/>
  <c r="K361" i="20" s="1"/>
  <c r="L360" i="20"/>
  <c r="L361" i="20" s="1"/>
  <c r="K362" i="20"/>
  <c r="K363" i="20" s="1"/>
  <c r="L362" i="20"/>
  <c r="L363" i="20" s="1"/>
  <c r="K364" i="20"/>
  <c r="K365" i="20" s="1"/>
  <c r="L364" i="20"/>
  <c r="L365" i="20" s="1"/>
  <c r="K366" i="20"/>
  <c r="K367" i="20" s="1"/>
  <c r="L366" i="20"/>
  <c r="L367" i="20" s="1"/>
  <c r="K368" i="20"/>
  <c r="K369" i="20" s="1"/>
  <c r="L368" i="20"/>
  <c r="L369" i="20" s="1"/>
  <c r="K370" i="20"/>
  <c r="K371" i="20" s="1"/>
  <c r="L370" i="20"/>
  <c r="L371" i="20" s="1"/>
  <c r="K372" i="20"/>
  <c r="K373" i="20" s="1"/>
  <c r="L372" i="20"/>
  <c r="L373" i="20" s="1"/>
  <c r="K374" i="20"/>
  <c r="K375" i="20" s="1"/>
  <c r="L374" i="20"/>
  <c r="L375" i="20" s="1"/>
  <c r="K376" i="20"/>
  <c r="K377" i="20" s="1"/>
  <c r="L376" i="20"/>
  <c r="L377" i="20" s="1"/>
  <c r="K378" i="20"/>
  <c r="K379" i="20" s="1"/>
  <c r="L378" i="20"/>
  <c r="L379" i="20" s="1"/>
  <c r="K380" i="20"/>
  <c r="K381" i="20" s="1"/>
  <c r="L380" i="20"/>
  <c r="L381" i="20" s="1"/>
  <c r="L282" i="20"/>
  <c r="L283" i="20" s="1"/>
  <c r="K282" i="20"/>
  <c r="K283" i="20" s="1"/>
  <c r="K224" i="20"/>
  <c r="K225" i="20" s="1"/>
  <c r="L225" i="20"/>
  <c r="K226" i="20"/>
  <c r="K227" i="20" s="1"/>
  <c r="L226" i="20"/>
  <c r="L227" i="20" s="1"/>
  <c r="K228" i="20"/>
  <c r="K229" i="20" s="1"/>
  <c r="L228" i="20"/>
  <c r="L229" i="20" s="1"/>
  <c r="K230" i="20"/>
  <c r="K231" i="20" s="1"/>
  <c r="L230" i="20"/>
  <c r="L231" i="20" s="1"/>
  <c r="K232" i="20"/>
  <c r="K233" i="20" s="1"/>
  <c r="L232" i="20"/>
  <c r="L233" i="20" s="1"/>
  <c r="K234" i="20"/>
  <c r="K235" i="20" s="1"/>
  <c r="L234" i="20"/>
  <c r="L235" i="20" s="1"/>
  <c r="K236" i="20"/>
  <c r="K237" i="20" s="1"/>
  <c r="L236" i="20"/>
  <c r="L237" i="20" s="1"/>
  <c r="K238" i="20"/>
  <c r="K239" i="20" s="1"/>
  <c r="L238" i="20"/>
  <c r="L239" i="20" s="1"/>
  <c r="K240" i="20"/>
  <c r="K241" i="20" s="1"/>
  <c r="L240" i="20"/>
  <c r="L241" i="20" s="1"/>
  <c r="K242" i="20"/>
  <c r="K243" i="20" s="1"/>
  <c r="L242" i="20"/>
  <c r="L243" i="20" s="1"/>
  <c r="K244" i="20"/>
  <c r="K245" i="20" s="1"/>
  <c r="L244" i="20"/>
  <c r="L245" i="20" s="1"/>
  <c r="K246" i="20"/>
  <c r="K247" i="20" s="1"/>
  <c r="L246" i="20"/>
  <c r="L247" i="20" s="1"/>
  <c r="K248" i="20"/>
  <c r="K249" i="20" s="1"/>
  <c r="L248" i="20"/>
  <c r="L249" i="20" s="1"/>
  <c r="K250" i="20"/>
  <c r="K251" i="20" s="1"/>
  <c r="L250" i="20"/>
  <c r="L251" i="20" s="1"/>
  <c r="K252" i="20"/>
  <c r="K253" i="20" s="1"/>
  <c r="L252" i="20"/>
  <c r="L253" i="20" s="1"/>
  <c r="K254" i="20"/>
  <c r="K255" i="20" s="1"/>
  <c r="L254" i="20"/>
  <c r="L255" i="20" s="1"/>
  <c r="K256" i="20"/>
  <c r="K257" i="20" s="1"/>
  <c r="L256" i="20"/>
  <c r="L257" i="20" s="1"/>
  <c r="K258" i="20"/>
  <c r="K259" i="20" s="1"/>
  <c r="L258" i="20"/>
  <c r="L259" i="20" s="1"/>
  <c r="K260" i="20"/>
  <c r="K261" i="20" s="1"/>
  <c r="L260" i="20"/>
  <c r="L261" i="20" s="1"/>
  <c r="K262" i="20"/>
  <c r="K263" i="20" s="1"/>
  <c r="L262" i="20"/>
  <c r="L263" i="20" s="1"/>
  <c r="K264" i="20"/>
  <c r="K265" i="20" s="1"/>
  <c r="L264" i="20"/>
  <c r="L265" i="20" s="1"/>
  <c r="K266" i="20"/>
  <c r="K267" i="20" s="1"/>
  <c r="L266" i="20"/>
  <c r="L267" i="20" s="1"/>
  <c r="K268" i="20"/>
  <c r="K269" i="20" s="1"/>
  <c r="L268" i="20"/>
  <c r="L269" i="20" s="1"/>
  <c r="K270" i="20"/>
  <c r="K271" i="20" s="1"/>
  <c r="L270" i="20"/>
  <c r="L271" i="20" s="1"/>
  <c r="K272" i="20"/>
  <c r="K273" i="20" s="1"/>
  <c r="L272" i="20"/>
  <c r="L273" i="20" s="1"/>
  <c r="K274" i="20"/>
  <c r="K275" i="20" s="1"/>
  <c r="L274" i="20"/>
  <c r="L275" i="20" s="1"/>
  <c r="K276" i="20"/>
  <c r="K277" i="20" s="1"/>
  <c r="L276" i="20"/>
  <c r="L277" i="20" s="1"/>
  <c r="K278" i="20"/>
  <c r="K279" i="20" s="1"/>
  <c r="L278" i="20"/>
  <c r="L279" i="20" s="1"/>
  <c r="K280" i="20"/>
  <c r="K281" i="20" s="1"/>
  <c r="L280" i="20"/>
  <c r="L281" i="20" s="1"/>
  <c r="L182" i="20"/>
  <c r="L183" i="20" s="1"/>
  <c r="K182" i="20"/>
  <c r="K183" i="20" s="1"/>
  <c r="G224" i="20"/>
  <c r="G225" i="20" s="1"/>
  <c r="G226" i="20"/>
  <c r="G227" i="20" s="1"/>
  <c r="G228" i="20"/>
  <c r="G229" i="20" s="1"/>
  <c r="G230" i="20"/>
  <c r="G231" i="20" s="1"/>
  <c r="G232" i="20"/>
  <c r="G233" i="20" s="1"/>
  <c r="G234" i="20"/>
  <c r="G235" i="20" s="1"/>
  <c r="G236" i="20"/>
  <c r="G237" i="20" s="1"/>
  <c r="G238" i="20"/>
  <c r="G239" i="20" s="1"/>
  <c r="G240" i="20"/>
  <c r="G241" i="20" s="1"/>
  <c r="G242" i="20"/>
  <c r="G243" i="20" s="1"/>
  <c r="G244" i="20"/>
  <c r="G245" i="20" s="1"/>
  <c r="G246" i="20"/>
  <c r="G247" i="20" s="1"/>
  <c r="G248" i="20"/>
  <c r="G249" i="20" s="1"/>
  <c r="G250" i="20"/>
  <c r="G251" i="20" s="1"/>
  <c r="G252" i="20"/>
  <c r="G253" i="20" s="1"/>
  <c r="G254" i="20"/>
  <c r="G255" i="20" s="1"/>
  <c r="G256" i="20"/>
  <c r="G257" i="20" s="1"/>
  <c r="G258" i="20"/>
  <c r="G259" i="20" s="1"/>
  <c r="G260" i="20"/>
  <c r="G261" i="20" s="1"/>
  <c r="G262" i="20"/>
  <c r="G263" i="20" s="1"/>
  <c r="G264" i="20"/>
  <c r="G265" i="20" s="1"/>
  <c r="G266" i="20"/>
  <c r="G267" i="20" s="1"/>
  <c r="G268" i="20"/>
  <c r="G269" i="20" s="1"/>
  <c r="G270" i="20"/>
  <c r="G271" i="20" s="1"/>
  <c r="G272" i="20"/>
  <c r="G273" i="20" s="1"/>
  <c r="G274" i="20"/>
  <c r="G275" i="20" s="1"/>
  <c r="G276" i="20"/>
  <c r="G277" i="20" s="1"/>
  <c r="G278" i="20"/>
  <c r="G279" i="20" s="1"/>
  <c r="G280" i="20"/>
  <c r="G281" i="20" s="1"/>
  <c r="G182" i="20"/>
  <c r="G183" i="20" s="1"/>
  <c r="N963" i="20"/>
  <c r="N964" i="20" s="1"/>
  <c r="N965" i="20" s="1"/>
  <c r="N966" i="20" s="1"/>
  <c r="N967" i="20" s="1"/>
  <c r="N968" i="20" s="1"/>
  <c r="N969" i="20" s="1"/>
  <c r="N970" i="20" s="1"/>
  <c r="N971" i="20" s="1"/>
  <c r="N972" i="20" s="1"/>
  <c r="N973" i="20" s="1"/>
  <c r="N974" i="20" s="1"/>
  <c r="N975" i="20" s="1"/>
  <c r="N976" i="20" s="1"/>
  <c r="N977" i="20" s="1"/>
  <c r="N978" i="20" s="1"/>
  <c r="N979" i="20" s="1"/>
  <c r="N980" i="20" s="1"/>
  <c r="N981" i="20" s="1"/>
  <c r="N982" i="20" s="1"/>
  <c r="N983" i="20" s="1"/>
  <c r="N984" i="20" s="1"/>
  <c r="N985" i="20" s="1"/>
  <c r="N986" i="20" s="1"/>
  <c r="N987" i="20" s="1"/>
  <c r="N988" i="20" s="1"/>
  <c r="N989" i="20" s="1"/>
  <c r="N990" i="20" s="1"/>
  <c r="N991" i="20" s="1"/>
  <c r="N992" i="20" s="1"/>
  <c r="N993" i="20" s="1"/>
  <c r="N994" i="20" s="1"/>
  <c r="N995" i="20" s="1"/>
  <c r="N996" i="20" s="1"/>
  <c r="N997" i="20" s="1"/>
  <c r="N998" i="20" s="1"/>
  <c r="N999" i="20" s="1"/>
  <c r="N1000" i="20" s="1"/>
  <c r="N1001" i="20" s="1"/>
  <c r="N1002" i="20" s="1"/>
  <c r="N1003" i="20" s="1"/>
  <c r="N1004" i="20" s="1"/>
  <c r="N1005" i="20" s="1"/>
  <c r="N1006" i="20" s="1"/>
  <c r="N1007" i="20" s="1"/>
  <c r="N1008" i="20" s="1"/>
  <c r="N1009" i="20" s="1"/>
  <c r="N1010" i="20" s="1"/>
  <c r="N1011" i="20" s="1"/>
  <c r="N1012" i="20" s="1"/>
  <c r="N1013" i="20" s="1"/>
  <c r="N1014" i="20" s="1"/>
  <c r="N1015" i="20" s="1"/>
  <c r="N1016" i="20" s="1"/>
  <c r="N1017" i="20" s="1"/>
  <c r="N1018" i="20" s="1"/>
  <c r="N1019" i="20" s="1"/>
  <c r="N1020" i="20" s="1"/>
  <c r="N1021" i="20" s="1"/>
  <c r="N1022" i="20" s="1"/>
  <c r="N1023" i="20" s="1"/>
  <c r="N1024" i="20" s="1"/>
  <c r="N1025" i="20" s="1"/>
  <c r="N1026" i="20" s="1"/>
  <c r="N1027" i="20" s="1"/>
  <c r="N1028" i="20" s="1"/>
  <c r="N1029" i="20" s="1"/>
  <c r="N1030" i="20" s="1"/>
  <c r="N1031" i="20" s="1"/>
  <c r="N1032" i="20" s="1"/>
  <c r="N1033" i="20" s="1"/>
  <c r="N1034" i="20" s="1"/>
  <c r="N1035" i="20" s="1"/>
  <c r="N1036" i="20" s="1"/>
  <c r="N1037" i="20" s="1"/>
  <c r="N1038" i="20" s="1"/>
  <c r="N1039" i="20" s="1"/>
  <c r="N1040" i="20" s="1"/>
  <c r="N1041" i="20" s="1"/>
  <c r="N1042" i="20" s="1"/>
  <c r="N1043" i="20" s="1"/>
  <c r="N1044" i="20" s="1"/>
  <c r="N1045" i="20" s="1"/>
  <c r="N1046" i="20" s="1"/>
  <c r="N1047" i="20" s="1"/>
  <c r="N1048" i="20" s="1"/>
  <c r="N1049" i="20" s="1"/>
  <c r="N1050" i="20" s="1"/>
  <c r="N1051" i="20" s="1"/>
  <c r="N1052" i="20" s="1"/>
  <c r="N1053" i="20" s="1"/>
  <c r="N1054" i="20" s="1"/>
  <c r="N1055" i="20" s="1"/>
  <c r="N1056" i="20" s="1"/>
  <c r="N1057" i="20" s="1"/>
  <c r="N1058" i="20" s="1"/>
  <c r="N1059" i="20" s="1"/>
  <c r="N1060" i="20" s="1"/>
  <c r="N1061" i="20" s="1"/>
  <c r="N1062" i="20" s="1"/>
  <c r="N1063" i="20" s="1"/>
  <c r="N1064" i="20" s="1"/>
  <c r="N1065" i="20" s="1"/>
  <c r="N1066" i="20" s="1"/>
  <c r="N1067" i="20" s="1"/>
  <c r="N1068" i="20" s="1"/>
  <c r="N1069" i="20" s="1"/>
  <c r="N1070" i="20" s="1"/>
  <c r="N1071" i="20" s="1"/>
  <c r="N1072" i="20" s="1"/>
  <c r="N1073" i="20" s="1"/>
  <c r="N1074" i="20" s="1"/>
  <c r="N1075" i="20" s="1"/>
  <c r="N1076" i="20" s="1"/>
  <c r="N1077" i="20" s="1"/>
  <c r="N1078" i="20" s="1"/>
  <c r="N1079" i="20" s="1"/>
  <c r="N1080" i="20" s="1"/>
  <c r="N1081" i="20" s="1"/>
  <c r="N1082" i="20" s="1"/>
  <c r="N1083" i="20" s="1"/>
  <c r="N1084" i="20" s="1"/>
  <c r="N1085" i="20" s="1"/>
  <c r="N1086" i="20" s="1"/>
  <c r="N1087" i="20" s="1"/>
  <c r="N1088" i="20" s="1"/>
  <c r="N1089" i="20" s="1"/>
  <c r="N1090" i="20" s="1"/>
  <c r="N1091" i="20" s="1"/>
  <c r="N1092" i="20" s="1"/>
  <c r="N1093" i="20" s="1"/>
  <c r="N1094" i="20" s="1"/>
  <c r="N1095" i="20" s="1"/>
  <c r="N1096" i="20" s="1"/>
  <c r="N1097" i="20" s="1"/>
  <c r="N1098" i="20" s="1"/>
  <c r="N1099" i="20" s="1"/>
  <c r="N1100" i="20" s="1"/>
  <c r="N1101" i="20" s="1"/>
  <c r="N1102" i="20" s="1"/>
  <c r="N1103" i="20" s="1"/>
  <c r="N1104" i="20" s="1"/>
  <c r="N1105" i="20" s="1"/>
  <c r="N1106" i="20" s="1"/>
  <c r="N1107" i="20" s="1"/>
  <c r="N1108" i="20" s="1"/>
  <c r="N1109" i="20" s="1"/>
  <c r="N1110" i="20" s="1"/>
  <c r="N1111" i="20" s="1"/>
  <c r="N1112" i="20" s="1"/>
  <c r="N1113" i="20" s="1"/>
  <c r="N1114" i="20" s="1"/>
  <c r="N1115" i="20" s="1"/>
  <c r="N1116" i="20" s="1"/>
  <c r="N1117" i="20" s="1"/>
  <c r="N1118" i="20" s="1"/>
  <c r="N1119" i="20" s="1"/>
  <c r="N1120" i="20" s="1"/>
  <c r="N1121" i="20" s="1"/>
  <c r="N1122" i="20" s="1"/>
  <c r="N1123" i="20" s="1"/>
  <c r="N1124" i="20" s="1"/>
  <c r="N1125" i="20" s="1"/>
  <c r="N1126" i="20" s="1"/>
  <c r="N1127" i="20" s="1"/>
  <c r="N1128" i="20" s="1"/>
  <c r="N1129" i="20" s="1"/>
  <c r="N1130" i="20" s="1"/>
  <c r="N1131" i="20" s="1"/>
  <c r="N1132" i="20" s="1"/>
  <c r="N1133" i="20" s="1"/>
  <c r="N1134" i="20" s="1"/>
  <c r="N1135" i="20" s="1"/>
  <c r="N1136" i="20" s="1"/>
  <c r="N1137" i="20" s="1"/>
  <c r="N1138" i="20" s="1"/>
  <c r="N1139" i="20" s="1"/>
  <c r="N1140" i="20" s="1"/>
  <c r="N1141" i="20" s="1"/>
  <c r="N1142" i="20" s="1"/>
  <c r="N1143" i="20" s="1"/>
  <c r="N1144" i="20" s="1"/>
  <c r="N1145" i="20" s="1"/>
  <c r="N1146" i="20" s="1"/>
  <c r="N1147" i="20" s="1"/>
  <c r="N1148" i="20" s="1"/>
  <c r="N1149" i="20" s="1"/>
  <c r="N1150" i="20" s="1"/>
  <c r="N1151" i="20" s="1"/>
  <c r="N1152" i="20" s="1"/>
  <c r="N1153" i="20" s="1"/>
  <c r="N1154" i="20" s="1"/>
  <c r="N1155" i="20" s="1"/>
  <c r="N1156" i="20" s="1"/>
  <c r="N1157" i="20" s="1"/>
  <c r="N1158" i="20" s="1"/>
  <c r="N1159" i="20" s="1"/>
  <c r="N1160" i="20" s="1"/>
  <c r="N1161" i="20" s="1"/>
  <c r="N1162" i="20" s="1"/>
  <c r="N1163" i="20" s="1"/>
  <c r="N1164" i="20" s="1"/>
  <c r="N1165" i="20" s="1"/>
  <c r="N1166" i="20" s="1"/>
  <c r="N1167" i="20" s="1"/>
  <c r="N1168" i="20" s="1"/>
  <c r="N1169" i="20" s="1"/>
  <c r="N1170" i="20" s="1"/>
  <c r="N1171" i="20" s="1"/>
  <c r="N1172" i="20" s="1"/>
  <c r="N1173" i="20" s="1"/>
  <c r="N1174" i="20" s="1"/>
  <c r="N1175" i="20" s="1"/>
  <c r="N1176" i="20" s="1"/>
  <c r="N1177" i="20" s="1"/>
  <c r="N1178" i="20" s="1"/>
  <c r="N1179" i="20" s="1"/>
  <c r="N1180" i="20" s="1"/>
  <c r="N1181" i="20" s="1"/>
  <c r="N1182" i="20" s="1"/>
  <c r="N1183" i="20" s="1"/>
  <c r="N1184" i="20" s="1"/>
  <c r="N1185" i="20" s="1"/>
  <c r="N1186" i="20" s="1"/>
  <c r="N1187" i="20" s="1"/>
  <c r="N1188" i="20" s="1"/>
  <c r="N1189" i="20" s="1"/>
  <c r="N1190" i="20" s="1"/>
  <c r="N1191" i="20" s="1"/>
  <c r="N1192" i="20" s="1"/>
  <c r="N1193" i="20" s="1"/>
  <c r="N1194" i="20" s="1"/>
  <c r="N1195" i="20" s="1"/>
  <c r="N1196" i="20" s="1"/>
  <c r="N1197" i="20" s="1"/>
  <c r="N1198" i="20" s="1"/>
  <c r="N1199" i="20" s="1"/>
  <c r="N1200" i="20" s="1"/>
  <c r="N1201" i="20" s="1"/>
  <c r="N1202" i="20" s="1"/>
  <c r="N1203" i="20" s="1"/>
  <c r="N1204" i="20" s="1"/>
  <c r="N1205" i="20" s="1"/>
  <c r="N1206" i="20" s="1"/>
  <c r="N1207" i="20" s="1"/>
  <c r="N1208" i="20" s="1"/>
  <c r="N1209" i="20" s="1"/>
  <c r="N1210" i="20" s="1"/>
  <c r="N1211" i="20" s="1"/>
  <c r="N1212" i="20" s="1"/>
  <c r="N1213" i="20" s="1"/>
  <c r="N1214" i="20" s="1"/>
  <c r="N1215" i="20" s="1"/>
  <c r="N1216" i="20" s="1"/>
  <c r="N1217" i="20" s="1"/>
  <c r="N1218" i="20" s="1"/>
  <c r="N1219" i="20" s="1"/>
  <c r="N1220" i="20" s="1"/>
  <c r="N1221" i="20" s="1"/>
  <c r="N1222" i="20" s="1"/>
  <c r="N1223" i="20" s="1"/>
  <c r="N1224" i="20" s="1"/>
  <c r="N1225" i="20" s="1"/>
  <c r="N1226" i="20" s="1"/>
  <c r="N1227" i="20" s="1"/>
  <c r="N1228" i="20" s="1"/>
  <c r="N1229" i="20" s="1"/>
  <c r="N1230" i="20" s="1"/>
  <c r="N1231" i="20" s="1"/>
  <c r="N1232" i="20" s="1"/>
  <c r="N1233" i="20" s="1"/>
  <c r="N1234" i="20" s="1"/>
  <c r="N1235" i="20" s="1"/>
  <c r="N1236" i="20" s="1"/>
  <c r="N1237" i="20" s="1"/>
  <c r="N1238" i="20" s="1"/>
  <c r="N1239" i="20" s="1"/>
  <c r="N1240" i="20" s="1"/>
  <c r="N1241" i="20" s="1"/>
  <c r="N1242" i="20" s="1"/>
  <c r="N1243" i="20" s="1"/>
  <c r="N1244" i="20" s="1"/>
  <c r="N1245" i="20" s="1"/>
  <c r="N1246" i="20" s="1"/>
  <c r="N1247" i="20" s="1"/>
  <c r="N1248" i="20" s="1"/>
  <c r="N1249" i="20" s="1"/>
  <c r="N1250" i="20" s="1"/>
  <c r="N1251" i="20" s="1"/>
  <c r="N1252" i="20" s="1"/>
  <c r="N1253" i="20" s="1"/>
  <c r="N1254" i="20" s="1"/>
  <c r="N1255" i="20" s="1"/>
  <c r="N1256" i="20" s="1"/>
  <c r="N1257" i="20" s="1"/>
  <c r="N1258" i="20" s="1"/>
  <c r="N1259" i="20" s="1"/>
  <c r="N1260" i="20" s="1"/>
  <c r="N1261" i="20" s="1"/>
  <c r="N1262" i="20" s="1"/>
  <c r="N1263" i="20" s="1"/>
  <c r="N1264" i="20" s="1"/>
  <c r="N1265" i="20" s="1"/>
  <c r="N1266" i="20" s="1"/>
  <c r="N1267" i="20" s="1"/>
  <c r="N1268" i="20" s="1"/>
  <c r="N1269" i="20" s="1"/>
  <c r="N1270" i="20" s="1"/>
  <c r="N1271" i="20" s="1"/>
  <c r="N1272" i="20" s="1"/>
  <c r="N1273" i="20" s="1"/>
  <c r="N1274" i="20" s="1"/>
  <c r="N1275" i="20" s="1"/>
  <c r="N1276" i="20" s="1"/>
  <c r="N1277" i="20" s="1"/>
  <c r="N1278" i="20" s="1"/>
  <c r="N1279" i="20" s="1"/>
  <c r="N1280" i="20" s="1"/>
  <c r="N1281" i="20" s="1"/>
  <c r="N1282" i="20" s="1"/>
  <c r="N1283" i="20" s="1"/>
  <c r="N1284" i="20" s="1"/>
  <c r="N1285" i="20" s="1"/>
  <c r="N1286" i="20" s="1"/>
  <c r="N1287" i="20" s="1"/>
  <c r="N1288" i="20" s="1"/>
  <c r="N1289" i="20" s="1"/>
  <c r="N1290" i="20" s="1"/>
  <c r="N1291" i="20" s="1"/>
  <c r="N1292" i="20" s="1"/>
  <c r="N1293" i="20" s="1"/>
  <c r="N1294" i="20" s="1"/>
  <c r="N1295" i="20" s="1"/>
  <c r="N1296" i="20" s="1"/>
  <c r="N1297" i="20" s="1"/>
  <c r="N1298" i="20" s="1"/>
  <c r="N1299" i="20" s="1"/>
  <c r="N1300" i="20" s="1"/>
  <c r="N1301" i="20" s="1"/>
  <c r="N1302" i="20" s="1"/>
  <c r="N1303" i="20" s="1"/>
  <c r="N1304" i="20" s="1"/>
  <c r="N1305" i="20" s="1"/>
  <c r="N1306" i="20" s="1"/>
  <c r="N1307" i="20" s="1"/>
  <c r="N1308" i="20" s="1"/>
  <c r="N1309" i="20" s="1"/>
  <c r="N1310" i="20" s="1"/>
  <c r="N1311" i="20" s="1"/>
  <c r="N1312" i="20" s="1"/>
  <c r="N1313" i="20" s="1"/>
  <c r="N1314" i="20" s="1"/>
  <c r="N1315" i="20" s="1"/>
  <c r="N1316" i="20" s="1"/>
  <c r="N1317" i="20" s="1"/>
  <c r="N1318" i="20" s="1"/>
  <c r="N1319" i="20" s="1"/>
  <c r="N1320" i="20" s="1"/>
  <c r="N1321" i="20" s="1"/>
  <c r="N1322" i="20" s="1"/>
  <c r="N1323" i="20" s="1"/>
  <c r="N1324" i="20" s="1"/>
  <c r="N1325" i="20" s="1"/>
  <c r="N1326" i="20" s="1"/>
  <c r="N1327" i="20" s="1"/>
  <c r="N1328" i="20" s="1"/>
  <c r="N1329" i="20" s="1"/>
  <c r="N1330" i="20" s="1"/>
  <c r="N1331" i="20" s="1"/>
  <c r="N1332" i="20" s="1"/>
  <c r="N1333" i="20" s="1"/>
  <c r="N1334" i="20" s="1"/>
  <c r="N1335" i="20" s="1"/>
  <c r="N1336" i="20" s="1"/>
  <c r="N1337" i="20" s="1"/>
  <c r="N1338" i="20" s="1"/>
  <c r="N1339" i="20" s="1"/>
  <c r="N1340" i="20" s="1"/>
  <c r="N1341" i="20" s="1"/>
  <c r="N1342" i="20" s="1"/>
  <c r="N1343" i="20" s="1"/>
  <c r="N1344" i="20" s="1"/>
  <c r="N1345" i="20" s="1"/>
  <c r="N1346" i="20" s="1"/>
  <c r="N1347" i="20" s="1"/>
  <c r="N1348" i="20" s="1"/>
  <c r="N1349" i="20" s="1"/>
  <c r="N1350" i="20" s="1"/>
  <c r="N1351" i="20" s="1"/>
  <c r="N1352" i="20" s="1"/>
  <c r="N1353" i="20" s="1"/>
  <c r="N1354" i="20" s="1"/>
  <c r="N1355" i="20" s="1"/>
  <c r="N1356" i="20" s="1"/>
  <c r="N1357" i="20" s="1"/>
  <c r="N1358" i="20" s="1"/>
  <c r="N1359" i="20" s="1"/>
  <c r="N1360" i="20" s="1"/>
  <c r="N1361" i="20" s="1"/>
  <c r="N1362" i="20" s="1"/>
  <c r="N1363" i="20" s="1"/>
  <c r="N1364" i="20" s="1"/>
  <c r="N1365" i="20" s="1"/>
  <c r="N1366" i="20" s="1"/>
  <c r="N1367" i="20" s="1"/>
  <c r="N1368" i="20" s="1"/>
  <c r="N1369" i="20" s="1"/>
  <c r="N1370" i="20" s="1"/>
  <c r="N1371" i="20" s="1"/>
  <c r="N1372" i="20" s="1"/>
  <c r="N1373" i="20" s="1"/>
  <c r="N1374" i="20" s="1"/>
  <c r="N1375" i="20" s="1"/>
  <c r="N1376" i="20" s="1"/>
  <c r="N1377" i="20" s="1"/>
  <c r="N1378" i="20" s="1"/>
  <c r="N1379" i="20" s="1"/>
  <c r="N1380" i="20" s="1"/>
  <c r="N1381" i="20" s="1"/>
  <c r="N1382" i="20" s="1"/>
  <c r="N1383" i="20" s="1"/>
  <c r="N1384" i="20" s="1"/>
  <c r="N1385" i="20" s="1"/>
  <c r="N1386" i="20" s="1"/>
  <c r="N1387" i="20" s="1"/>
  <c r="N1388" i="20" s="1"/>
  <c r="N1389" i="20" s="1"/>
  <c r="N1390" i="20" s="1"/>
  <c r="N1391" i="20" s="1"/>
  <c r="N1392" i="20" s="1"/>
  <c r="N1393" i="20" s="1"/>
  <c r="N1394" i="20" s="1"/>
  <c r="N1395" i="20" s="1"/>
  <c r="N1396" i="20" s="1"/>
  <c r="N1397" i="20" s="1"/>
  <c r="N1398" i="20" s="1"/>
  <c r="N1399" i="20" s="1"/>
  <c r="N1400" i="20" s="1"/>
  <c r="N1401" i="20" s="1"/>
  <c r="N1402" i="20" s="1"/>
  <c r="N1403" i="20" s="1"/>
  <c r="N1404" i="20" s="1"/>
  <c r="N1405" i="20" s="1"/>
  <c r="N1406" i="20" s="1"/>
  <c r="N1407" i="20" s="1"/>
  <c r="N1408" i="20" s="1"/>
  <c r="N1409" i="20" s="1"/>
  <c r="N1410" i="20" s="1"/>
  <c r="N1411" i="20" s="1"/>
  <c r="N1412" i="20" s="1"/>
  <c r="N1413" i="20" s="1"/>
  <c r="N1414" i="20" s="1"/>
  <c r="N1415" i="20" s="1"/>
  <c r="N1416" i="20" s="1"/>
  <c r="N1417" i="20" s="1"/>
  <c r="N1418" i="20" s="1"/>
  <c r="N1419" i="20" s="1"/>
  <c r="N1420" i="20" s="1"/>
  <c r="N1421" i="20" s="1"/>
  <c r="N1422" i="20" s="1"/>
  <c r="N1423" i="20" s="1"/>
  <c r="N1424" i="20" s="1"/>
  <c r="N1425" i="20" s="1"/>
  <c r="N1426" i="20" s="1"/>
  <c r="N1427" i="20" s="1"/>
  <c r="N1428" i="20" s="1"/>
  <c r="N1429" i="20" s="1"/>
  <c r="N1430" i="20" s="1"/>
  <c r="N1431" i="20" s="1"/>
  <c r="N1432" i="20" s="1"/>
  <c r="N1433" i="20" s="1"/>
  <c r="N1434" i="20" s="1"/>
  <c r="N1435" i="20" s="1"/>
  <c r="N1436" i="20" s="1"/>
  <c r="N1437" i="20" s="1"/>
  <c r="N1438" i="20" s="1"/>
  <c r="N1439" i="20" s="1"/>
  <c r="N1440" i="20" s="1"/>
  <c r="N1441" i="20" s="1"/>
  <c r="N1442" i="20" s="1"/>
  <c r="N1443" i="20" s="1"/>
  <c r="N1444" i="20" s="1"/>
  <c r="N1445" i="20" s="1"/>
  <c r="N1446" i="20" s="1"/>
  <c r="N1447" i="20" s="1"/>
  <c r="N1448" i="20" s="1"/>
  <c r="N1449" i="20" s="1"/>
  <c r="N1450" i="20" s="1"/>
  <c r="N1451" i="20" s="1"/>
  <c r="N1452" i="20" s="1"/>
  <c r="N1453" i="20" s="1"/>
  <c r="N1454" i="20" s="1"/>
  <c r="N1455" i="20" s="1"/>
  <c r="N1456" i="20" s="1"/>
  <c r="N1457" i="20" s="1"/>
  <c r="N1458" i="20" s="1"/>
  <c r="N1459" i="20" s="1"/>
  <c r="N1460" i="20" s="1"/>
  <c r="N1461" i="20" s="1"/>
  <c r="N1462" i="20" s="1"/>
  <c r="N1463" i="20" s="1"/>
  <c r="N1464" i="20" s="1"/>
  <c r="N1465" i="20" s="1"/>
  <c r="N1466" i="20" s="1"/>
  <c r="N1467" i="20" s="1"/>
  <c r="N1468" i="20" s="1"/>
  <c r="N1469" i="20" s="1"/>
  <c r="N1470" i="20" s="1"/>
  <c r="N1471" i="20" s="1"/>
  <c r="N1472" i="20" s="1"/>
  <c r="N1473" i="20" s="1"/>
  <c r="N1474" i="20" s="1"/>
  <c r="N1475" i="20" s="1"/>
  <c r="N1476" i="20" s="1"/>
  <c r="N1477" i="20" s="1"/>
  <c r="N1478" i="20" s="1"/>
  <c r="N1479" i="20" s="1"/>
  <c r="N1480" i="20" s="1"/>
  <c r="N1481" i="20" s="1"/>
  <c r="N1482" i="20" s="1"/>
  <c r="N1483" i="20" s="1"/>
  <c r="N1484" i="20" s="1"/>
  <c r="N1485" i="20" s="1"/>
  <c r="N1486" i="20" s="1"/>
  <c r="N1487" i="20" s="1"/>
  <c r="N1488" i="20" s="1"/>
  <c r="N1489" i="20" s="1"/>
  <c r="N1490" i="20" s="1"/>
  <c r="N1491" i="20" s="1"/>
  <c r="N1492" i="20" s="1"/>
  <c r="N1493" i="20" s="1"/>
  <c r="N1494" i="20" s="1"/>
  <c r="N1495" i="20" s="1"/>
  <c r="N1496" i="20" s="1"/>
  <c r="N1497" i="20" s="1"/>
  <c r="N1498" i="20" s="1"/>
  <c r="N1499" i="20" s="1"/>
  <c r="N1500" i="20" s="1"/>
  <c r="N1501" i="20" s="1"/>
  <c r="N1502" i="20" s="1"/>
  <c r="N1503" i="20" s="1"/>
  <c r="N1504" i="20" s="1"/>
  <c r="N1505" i="20" s="1"/>
  <c r="N1506" i="20" s="1"/>
  <c r="N1507" i="20" s="1"/>
  <c r="N1508" i="20" s="1"/>
  <c r="N1509" i="20" s="1"/>
  <c r="N1510" i="20" s="1"/>
  <c r="N1511" i="20" s="1"/>
  <c r="N1512" i="20" s="1"/>
  <c r="N1513" i="20" s="1"/>
  <c r="N1514" i="20" s="1"/>
  <c r="N1515" i="20" s="1"/>
  <c r="N1516" i="20" s="1"/>
  <c r="N1517" i="20" s="1"/>
  <c r="N1518" i="20" s="1"/>
  <c r="N1519" i="20" s="1"/>
  <c r="N1520" i="20" s="1"/>
  <c r="N1521" i="20" s="1"/>
  <c r="N1522" i="20" s="1"/>
  <c r="N1523" i="20" s="1"/>
  <c r="N1524" i="20" s="1"/>
  <c r="N1525" i="20" s="1"/>
  <c r="N1526" i="20" s="1"/>
  <c r="N1527" i="20" s="1"/>
  <c r="N1528" i="20" s="1"/>
  <c r="N1529" i="20" s="1"/>
  <c r="N1530" i="20" s="1"/>
  <c r="N1531" i="20" s="1"/>
  <c r="N1532" i="20" s="1"/>
  <c r="N1533" i="20" s="1"/>
  <c r="N1534" i="20" s="1"/>
  <c r="N1535" i="20" s="1"/>
  <c r="N1536" i="20" s="1"/>
  <c r="N1537" i="20" s="1"/>
  <c r="N1538" i="20" s="1"/>
  <c r="N1539" i="20" s="1"/>
  <c r="N1540" i="20" s="1"/>
  <c r="N1541" i="20" s="1"/>
  <c r="N1542" i="20" s="1"/>
  <c r="N1543" i="20" s="1"/>
  <c r="N1544" i="20" s="1"/>
  <c r="N1545" i="20" s="1"/>
  <c r="N1546" i="20" s="1"/>
  <c r="N1547" i="20" s="1"/>
  <c r="N1548" i="20" s="1"/>
  <c r="N1549" i="20" s="1"/>
  <c r="N1550" i="20" s="1"/>
  <c r="N1551" i="20" s="1"/>
  <c r="N1552" i="20" s="1"/>
  <c r="N1553" i="20" s="1"/>
  <c r="N1554" i="20" s="1"/>
  <c r="N1555" i="20" s="1"/>
  <c r="N1556" i="20" s="1"/>
  <c r="N1557" i="20" s="1"/>
  <c r="N1558" i="20" s="1"/>
  <c r="N1559" i="20" s="1"/>
  <c r="N1560" i="20" s="1"/>
  <c r="N1561" i="20" s="1"/>
  <c r="N1562" i="20" s="1"/>
  <c r="N1563" i="20" s="1"/>
  <c r="N1564" i="20" s="1"/>
  <c r="N1565" i="20" s="1"/>
  <c r="N1566" i="20" s="1"/>
  <c r="N1567" i="20" s="1"/>
  <c r="N1568" i="20" s="1"/>
  <c r="N1569" i="20" s="1"/>
  <c r="N1570" i="20" s="1"/>
  <c r="N1571" i="20" s="1"/>
  <c r="N1572" i="20" s="1"/>
  <c r="N1573" i="20" s="1"/>
  <c r="N1574" i="20" s="1"/>
  <c r="N1575" i="20" s="1"/>
  <c r="N1576" i="20" s="1"/>
  <c r="N1577" i="20" s="1"/>
  <c r="N1578" i="20" s="1"/>
  <c r="N1579" i="20" s="1"/>
  <c r="N1580" i="20" s="1"/>
  <c r="N1581" i="20" s="1"/>
  <c r="N1582" i="20" s="1"/>
  <c r="N1583" i="20" s="1"/>
  <c r="N1584" i="20" s="1"/>
  <c r="N1585" i="20" s="1"/>
  <c r="N1586" i="20" s="1"/>
  <c r="N1587" i="20" s="1"/>
  <c r="N1588" i="20" s="1"/>
  <c r="N1589" i="20" s="1"/>
  <c r="N1590" i="20" s="1"/>
  <c r="N1591" i="20" s="1"/>
  <c r="N1592" i="20" s="1"/>
  <c r="N1593" i="20" s="1"/>
  <c r="N1594" i="20" s="1"/>
  <c r="N1595" i="20" s="1"/>
  <c r="N1596" i="20" s="1"/>
  <c r="N1597" i="20" s="1"/>
  <c r="N1598" i="20" s="1"/>
  <c r="N1599" i="20" s="1"/>
  <c r="N1600" i="20" s="1"/>
  <c r="N1601" i="20" s="1"/>
  <c r="N1602" i="20" s="1"/>
  <c r="N1603" i="20" s="1"/>
  <c r="N1604" i="20" s="1"/>
  <c r="N1605" i="20" s="1"/>
  <c r="N1606" i="20" s="1"/>
  <c r="N1607" i="20" s="1"/>
  <c r="N1608" i="20" s="1"/>
  <c r="N1609" i="20" s="1"/>
  <c r="N1610" i="20" s="1"/>
  <c r="N1611" i="20" s="1"/>
  <c r="N1612" i="20" s="1"/>
  <c r="N1613" i="20" s="1"/>
  <c r="N1614" i="20" s="1"/>
  <c r="N1615" i="20" s="1"/>
  <c r="N1616" i="20" s="1"/>
  <c r="N1617" i="20" s="1"/>
  <c r="N1618" i="20" s="1"/>
  <c r="N1619" i="20" s="1"/>
  <c r="N1620" i="20" s="1"/>
  <c r="N1621" i="20" s="1"/>
  <c r="N1622" i="20" s="1"/>
  <c r="N1623" i="20" s="1"/>
  <c r="N1624" i="20" s="1"/>
  <c r="N1625" i="20" s="1"/>
  <c r="N1626" i="20" s="1"/>
  <c r="N1627" i="20" s="1"/>
  <c r="N1628" i="20" s="1"/>
  <c r="N1629" i="20" s="1"/>
  <c r="N1630" i="20" s="1"/>
  <c r="N1631" i="20" s="1"/>
  <c r="N1632" i="20" s="1"/>
  <c r="N1633" i="20" s="1"/>
  <c r="N1634" i="20" s="1"/>
  <c r="N1635" i="20" s="1"/>
  <c r="N1636" i="20" s="1"/>
  <c r="N1637" i="20" s="1"/>
  <c r="N1638" i="20" s="1"/>
  <c r="N1639" i="20" s="1"/>
  <c r="N1640" i="20" s="1"/>
  <c r="N1641" i="20" s="1"/>
  <c r="N1642" i="20" s="1"/>
  <c r="N1643" i="20" s="1"/>
  <c r="N1644" i="20" s="1"/>
  <c r="N1645" i="20" s="1"/>
  <c r="N1646" i="20" s="1"/>
  <c r="N1647" i="20" s="1"/>
  <c r="N1648" i="20" s="1"/>
  <c r="N1649" i="20" s="1"/>
  <c r="N1650" i="20" s="1"/>
  <c r="N1651" i="20" s="1"/>
  <c r="N1652" i="20" s="1"/>
  <c r="N1653" i="20" s="1"/>
  <c r="N1654" i="20" s="1"/>
  <c r="N1655" i="20" s="1"/>
  <c r="N1656" i="20" s="1"/>
  <c r="N1657" i="20" s="1"/>
  <c r="N1658" i="20" s="1"/>
  <c r="N1659" i="20" s="1"/>
  <c r="N1660" i="20" s="1"/>
  <c r="N1661" i="20" s="1"/>
  <c r="N1662" i="20" s="1"/>
  <c r="N1663" i="20" s="1"/>
  <c r="N1664" i="20" s="1"/>
  <c r="N1665" i="20" s="1"/>
  <c r="N1666" i="20" s="1"/>
  <c r="N1667" i="20" s="1"/>
  <c r="N1668" i="20" s="1"/>
  <c r="N1669" i="20" s="1"/>
  <c r="N1670" i="20" s="1"/>
  <c r="N1671" i="20" s="1"/>
  <c r="N1672" i="20" s="1"/>
  <c r="N1673" i="20" s="1"/>
  <c r="N1674" i="20" s="1"/>
  <c r="N1675" i="20" s="1"/>
  <c r="N1676" i="20" s="1"/>
  <c r="N1677" i="20" s="1"/>
  <c r="N1678" i="20" s="1"/>
  <c r="N1679" i="20" s="1"/>
  <c r="N1680" i="20" s="1"/>
  <c r="N1681" i="20" s="1"/>
  <c r="N1682" i="20" s="1"/>
  <c r="N1683" i="20" s="1"/>
  <c r="N1684" i="20" s="1"/>
  <c r="N1685" i="20" s="1"/>
  <c r="N1686" i="20" s="1"/>
  <c r="N1687" i="20" s="1"/>
  <c r="N1688" i="20" s="1"/>
  <c r="N1689" i="20" s="1"/>
  <c r="N1690" i="20" s="1"/>
  <c r="N1691" i="20" s="1"/>
  <c r="N1692" i="20" s="1"/>
  <c r="N1693" i="20" s="1"/>
  <c r="N1694" i="20" s="1"/>
  <c r="N1695" i="20" s="1"/>
  <c r="N1696" i="20" s="1"/>
  <c r="N1697" i="20" s="1"/>
  <c r="N1698" i="20" s="1"/>
  <c r="N1699" i="20" s="1"/>
  <c r="N1700" i="20" s="1"/>
  <c r="N1701" i="20" s="1"/>
  <c r="N1702" i="20" s="1"/>
  <c r="N1703" i="20" s="1"/>
  <c r="N1704" i="20" s="1"/>
  <c r="N1705" i="20" s="1"/>
  <c r="N1706" i="20" s="1"/>
  <c r="N1707" i="20" s="1"/>
  <c r="N1708" i="20" s="1"/>
  <c r="N1709" i="20" s="1"/>
  <c r="N1710" i="20" s="1"/>
  <c r="N1711" i="20" s="1"/>
  <c r="N1712" i="20" s="1"/>
  <c r="N1713" i="20" s="1"/>
  <c r="N1714" i="20" s="1"/>
  <c r="N1715" i="20" s="1"/>
  <c r="N1716" i="20" s="1"/>
  <c r="N1717" i="20" s="1"/>
  <c r="N1718" i="20" s="1"/>
  <c r="N1719" i="20" s="1"/>
  <c r="N1720" i="20" s="1"/>
  <c r="N1721" i="20" s="1"/>
  <c r="N1722" i="20" s="1"/>
  <c r="N1723" i="20" s="1"/>
  <c r="N1724" i="20" s="1"/>
  <c r="N1725" i="20" s="1"/>
  <c r="N1726" i="20" s="1"/>
  <c r="N1727" i="20" s="1"/>
  <c r="N1728" i="20" s="1"/>
  <c r="N1729" i="20" s="1"/>
  <c r="N1730" i="20" s="1"/>
  <c r="N1731" i="20" s="1"/>
  <c r="N1732" i="20" s="1"/>
  <c r="N1733" i="20" s="1"/>
  <c r="N1734" i="20" s="1"/>
  <c r="N1735" i="20" s="1"/>
  <c r="N1736" i="20" s="1"/>
  <c r="N1737" i="20" s="1"/>
  <c r="N1738" i="20" s="1"/>
  <c r="N1739" i="20" s="1"/>
  <c r="N1740" i="20" s="1"/>
  <c r="N1741" i="20" s="1"/>
  <c r="N1742" i="20" s="1"/>
  <c r="N1743" i="20" s="1"/>
  <c r="M182" i="20"/>
  <c r="M183" i="20" s="1"/>
  <c r="M224" i="20"/>
  <c r="M225" i="20" s="1"/>
  <c r="M226" i="20"/>
  <c r="M227" i="20" s="1"/>
  <c r="M228" i="20"/>
  <c r="M229" i="20" s="1"/>
  <c r="M230" i="20"/>
  <c r="M231" i="20" s="1"/>
  <c r="M232" i="20"/>
  <c r="M233" i="20" s="1"/>
  <c r="M234" i="20"/>
  <c r="M235" i="20" s="1"/>
  <c r="M236" i="20"/>
  <c r="M237" i="20" s="1"/>
  <c r="M238" i="20"/>
  <c r="M239" i="20" s="1"/>
  <c r="M240" i="20"/>
  <c r="M241" i="20" s="1"/>
  <c r="M242" i="20"/>
  <c r="M243" i="20" s="1"/>
  <c r="M244" i="20"/>
  <c r="M245" i="20" s="1"/>
  <c r="M246" i="20"/>
  <c r="M247" i="20" s="1"/>
  <c r="M248" i="20"/>
  <c r="M249" i="20" s="1"/>
  <c r="M250" i="20"/>
  <c r="M251" i="20" s="1"/>
  <c r="M252" i="20"/>
  <c r="M253" i="20" s="1"/>
  <c r="M254" i="20"/>
  <c r="M255" i="20" s="1"/>
  <c r="M256" i="20"/>
  <c r="M257" i="20" s="1"/>
  <c r="M258" i="20"/>
  <c r="M259" i="20" s="1"/>
  <c r="M260" i="20"/>
  <c r="M261" i="20" s="1"/>
  <c r="M262" i="20"/>
  <c r="M263" i="20" s="1"/>
  <c r="M264" i="20"/>
  <c r="M265" i="20" s="1"/>
  <c r="M266" i="20"/>
  <c r="M267" i="20" s="1"/>
  <c r="M268" i="20"/>
  <c r="M269" i="20" s="1"/>
  <c r="M270" i="20"/>
  <c r="M271" i="20" s="1"/>
  <c r="M272" i="20"/>
  <c r="M273" i="20" s="1"/>
  <c r="M274" i="20"/>
  <c r="M275" i="20" s="1"/>
  <c r="M276" i="20"/>
  <c r="M277" i="20" s="1"/>
  <c r="M278" i="20"/>
  <c r="M279" i="20" s="1"/>
  <c r="M280" i="20"/>
  <c r="M281" i="20" s="1"/>
  <c r="M282" i="20"/>
  <c r="M283" i="20" s="1"/>
  <c r="M324" i="20"/>
  <c r="M325" i="20" s="1"/>
  <c r="M326" i="20"/>
  <c r="M327" i="20" s="1"/>
  <c r="M328" i="20"/>
  <c r="M329" i="20" s="1"/>
  <c r="M330" i="20"/>
  <c r="M331" i="20" s="1"/>
  <c r="M332" i="20"/>
  <c r="M333" i="20" s="1"/>
  <c r="M334" i="20"/>
  <c r="M335" i="20" s="1"/>
  <c r="M336" i="20"/>
  <c r="M337" i="20" s="1"/>
  <c r="M338" i="20"/>
  <c r="M339" i="20" s="1"/>
  <c r="M340" i="20"/>
  <c r="M341" i="20" s="1"/>
  <c r="M342" i="20"/>
  <c r="M343" i="20" s="1"/>
  <c r="M344" i="20"/>
  <c r="M345" i="20" s="1"/>
  <c r="M346" i="20"/>
  <c r="M347" i="20" s="1"/>
  <c r="M348" i="20"/>
  <c r="M349" i="20" s="1"/>
  <c r="M350" i="20"/>
  <c r="M351" i="20" s="1"/>
  <c r="M352" i="20"/>
  <c r="M353" i="20" s="1"/>
  <c r="M354" i="20"/>
  <c r="M355" i="20" s="1"/>
  <c r="M356" i="20"/>
  <c r="M357" i="20" s="1"/>
  <c r="M358" i="20"/>
  <c r="M359" i="20" s="1"/>
  <c r="M360" i="20"/>
  <c r="M361" i="20" s="1"/>
  <c r="M362" i="20"/>
  <c r="M363" i="20" s="1"/>
  <c r="M364" i="20"/>
  <c r="M365" i="20" s="1"/>
  <c r="M366" i="20"/>
  <c r="M367" i="20" s="1"/>
  <c r="M368" i="20"/>
  <c r="M369" i="20" s="1"/>
  <c r="M370" i="20"/>
  <c r="M371" i="20" s="1"/>
  <c r="M372" i="20"/>
  <c r="M373" i="20" s="1"/>
  <c r="M374" i="20"/>
  <c r="M375" i="20" s="1"/>
  <c r="M376" i="20"/>
  <c r="M377" i="20" s="1"/>
  <c r="M378" i="20"/>
  <c r="M379" i="20" s="1"/>
  <c r="M380" i="20"/>
  <c r="M381" i="20" s="1"/>
  <c r="M382" i="20"/>
  <c r="M383" i="20" s="1"/>
  <c r="M424" i="20"/>
  <c r="M425" i="20" s="1"/>
  <c r="M426" i="20"/>
  <c r="M427" i="20" s="1"/>
  <c r="M428" i="20"/>
  <c r="M429" i="20" s="1"/>
  <c r="M430" i="20"/>
  <c r="M431" i="20" s="1"/>
  <c r="M432" i="20"/>
  <c r="M433" i="20" s="1"/>
  <c r="M434" i="20"/>
  <c r="M435" i="20" s="1"/>
  <c r="M436" i="20"/>
  <c r="M437" i="20" s="1"/>
  <c r="M438" i="20"/>
  <c r="M439" i="20" s="1"/>
  <c r="M440" i="20"/>
  <c r="M441" i="20" s="1"/>
  <c r="M442" i="20"/>
  <c r="M443" i="20" s="1"/>
  <c r="M444" i="20"/>
  <c r="M445" i="20" s="1"/>
  <c r="M446" i="20"/>
  <c r="M447" i="20" s="1"/>
  <c r="M448" i="20"/>
  <c r="M449" i="20" s="1"/>
  <c r="M450" i="20"/>
  <c r="M451" i="20" s="1"/>
  <c r="M452" i="20"/>
  <c r="M453" i="20" s="1"/>
  <c r="M454" i="20"/>
  <c r="M455" i="20" s="1"/>
  <c r="M456" i="20"/>
  <c r="M457" i="20" s="1"/>
  <c r="M458" i="20"/>
  <c r="M459" i="20" s="1"/>
  <c r="M460" i="20"/>
  <c r="M461" i="20" s="1"/>
  <c r="M462" i="20"/>
  <c r="M463" i="20" s="1"/>
  <c r="M464" i="20"/>
  <c r="M465" i="20" s="1"/>
  <c r="M466" i="20"/>
  <c r="M467" i="20" s="1"/>
  <c r="M468" i="20"/>
  <c r="M469" i="20" s="1"/>
  <c r="M470" i="20"/>
  <c r="M471" i="20" s="1"/>
  <c r="M472" i="20"/>
  <c r="M473" i="20" s="1"/>
  <c r="M474" i="20"/>
  <c r="M475" i="20" s="1"/>
  <c r="M476" i="20"/>
  <c r="M477" i="20" s="1"/>
  <c r="M478" i="20"/>
  <c r="M479" i="20" s="1"/>
  <c r="M480" i="20"/>
  <c r="M481" i="20" s="1"/>
  <c r="M482" i="20"/>
  <c r="M483" i="20" s="1"/>
  <c r="M524" i="20"/>
  <c r="M525" i="20" s="1"/>
  <c r="M526" i="20"/>
  <c r="M527" i="20" s="1"/>
  <c r="M528" i="20"/>
  <c r="M529" i="20" s="1"/>
  <c r="M530" i="20"/>
  <c r="M531" i="20" s="1"/>
  <c r="M532" i="20"/>
  <c r="M533" i="20" s="1"/>
  <c r="M534" i="20"/>
  <c r="M535" i="20" s="1"/>
  <c r="M536" i="20"/>
  <c r="M537" i="20" s="1"/>
  <c r="M538" i="20"/>
  <c r="M539" i="20" s="1"/>
  <c r="M540" i="20"/>
  <c r="M541" i="20" s="1"/>
  <c r="M542" i="20"/>
  <c r="M543" i="20" s="1"/>
  <c r="M544" i="20"/>
  <c r="M545" i="20" s="1"/>
  <c r="M546" i="20"/>
  <c r="M547" i="20" s="1"/>
  <c r="M548" i="20"/>
  <c r="M549" i="20" s="1"/>
  <c r="M550" i="20"/>
  <c r="M551" i="20" s="1"/>
  <c r="M552" i="20"/>
  <c r="M553" i="20" s="1"/>
  <c r="M554" i="20"/>
  <c r="M555" i="20" s="1"/>
  <c r="M556" i="20"/>
  <c r="M557" i="20" s="1"/>
  <c r="M558" i="20"/>
  <c r="M559" i="20" s="1"/>
  <c r="M560" i="20"/>
  <c r="M561" i="20" s="1"/>
  <c r="M562" i="20"/>
  <c r="M563" i="20" s="1"/>
  <c r="M564" i="20"/>
  <c r="M565" i="20" s="1"/>
  <c r="M566" i="20"/>
  <c r="M567" i="20" s="1"/>
  <c r="M568" i="20"/>
  <c r="M569" i="20" s="1"/>
  <c r="M570" i="20"/>
  <c r="M571" i="20" s="1"/>
  <c r="M572" i="20"/>
  <c r="M573" i="20" s="1"/>
  <c r="M574" i="20"/>
  <c r="M575" i="20" s="1"/>
  <c r="M576" i="20"/>
  <c r="M577" i="20" s="1"/>
  <c r="M578" i="20"/>
  <c r="M579" i="20" s="1"/>
  <c r="M580" i="20"/>
  <c r="M581" i="20" s="1"/>
  <c r="M582" i="20"/>
  <c r="M583" i="20" s="1"/>
  <c r="M624" i="20"/>
  <c r="M625" i="20" s="1"/>
  <c r="M626" i="20"/>
  <c r="M627" i="20" s="1"/>
  <c r="M628" i="20"/>
  <c r="M629" i="20" s="1"/>
  <c r="M630" i="20"/>
  <c r="M631" i="20" s="1"/>
  <c r="M632" i="20"/>
  <c r="M633" i="20" s="1"/>
  <c r="M634" i="20"/>
  <c r="M635" i="20" s="1"/>
  <c r="M636" i="20"/>
  <c r="M637" i="20" s="1"/>
  <c r="M638" i="20"/>
  <c r="M639" i="20" s="1"/>
  <c r="M640" i="20"/>
  <c r="M641" i="20" s="1"/>
  <c r="M642" i="20"/>
  <c r="M643" i="20" s="1"/>
  <c r="M644" i="20"/>
  <c r="M645" i="20" s="1"/>
  <c r="M646" i="20"/>
  <c r="M647" i="20" s="1"/>
  <c r="M648" i="20"/>
  <c r="M649" i="20" s="1"/>
  <c r="M650" i="20"/>
  <c r="M651" i="20" s="1"/>
  <c r="M652" i="20"/>
  <c r="M653" i="20" s="1"/>
  <c r="M654" i="20"/>
  <c r="M655" i="20" s="1"/>
  <c r="M656" i="20"/>
  <c r="M657" i="20" s="1"/>
  <c r="M658" i="20"/>
  <c r="M659" i="20" s="1"/>
  <c r="M660" i="20"/>
  <c r="M661" i="20" s="1"/>
  <c r="M662" i="20"/>
  <c r="M663" i="20" s="1"/>
  <c r="M664" i="20"/>
  <c r="M665" i="20" s="1"/>
  <c r="M666" i="20"/>
  <c r="M667" i="20" s="1"/>
  <c r="M668" i="20"/>
  <c r="M669" i="20" s="1"/>
  <c r="M670" i="20"/>
  <c r="M671" i="20" s="1"/>
  <c r="M672" i="20"/>
  <c r="M673" i="20" s="1"/>
  <c r="M674" i="20"/>
  <c r="M675" i="20" s="1"/>
  <c r="M676" i="20"/>
  <c r="M677" i="20" s="1"/>
  <c r="M678" i="20"/>
  <c r="M679" i="20" s="1"/>
  <c r="M680" i="20"/>
  <c r="M681" i="20" s="1"/>
  <c r="M682" i="20"/>
  <c r="M683" i="20" s="1"/>
  <c r="M724" i="20"/>
  <c r="M725" i="20" s="1"/>
  <c r="M726" i="20"/>
  <c r="M727" i="20" s="1"/>
  <c r="M728" i="20"/>
  <c r="M729" i="20" s="1"/>
  <c r="M730" i="20"/>
  <c r="M731" i="20" s="1"/>
  <c r="M732" i="20"/>
  <c r="M733" i="20" s="1"/>
  <c r="M734" i="20"/>
  <c r="M735" i="20" s="1"/>
  <c r="M736" i="20"/>
  <c r="M737" i="20" s="1"/>
  <c r="M738" i="20"/>
  <c r="M739" i="20" s="1"/>
  <c r="M740" i="20"/>
  <c r="M741" i="20" s="1"/>
  <c r="M742" i="20"/>
  <c r="M743" i="20" s="1"/>
  <c r="M744" i="20"/>
  <c r="M745" i="20" s="1"/>
  <c r="M746" i="20"/>
  <c r="M747" i="20" s="1"/>
  <c r="M748" i="20"/>
  <c r="M749" i="20" s="1"/>
  <c r="M750" i="20"/>
  <c r="M751" i="20" s="1"/>
  <c r="M752" i="20"/>
  <c r="M753" i="20" s="1"/>
  <c r="M754" i="20"/>
  <c r="M755" i="20" s="1"/>
  <c r="M756" i="20"/>
  <c r="M757" i="20" s="1"/>
  <c r="M758" i="20"/>
  <c r="M759" i="20" s="1"/>
  <c r="M760" i="20"/>
  <c r="M761" i="20" s="1"/>
  <c r="M762" i="20"/>
  <c r="M763" i="20" s="1"/>
  <c r="M764" i="20"/>
  <c r="M765" i="20" s="1"/>
  <c r="M766" i="20"/>
  <c r="M767" i="20" s="1"/>
  <c r="M768" i="20"/>
  <c r="M769" i="20" s="1"/>
  <c r="M770" i="20"/>
  <c r="M771" i="20" s="1"/>
  <c r="M772" i="20"/>
  <c r="M773" i="20" s="1"/>
  <c r="M774" i="20"/>
  <c r="M775" i="20" s="1"/>
  <c r="M776" i="20"/>
  <c r="M777" i="20" s="1"/>
  <c r="M778" i="20"/>
  <c r="M779" i="20" s="1"/>
  <c r="M780" i="20"/>
  <c r="M781" i="20" s="1"/>
  <c r="G124" i="20"/>
  <c r="G125" i="20" s="1"/>
  <c r="G126" i="20"/>
  <c r="G127" i="20" s="1"/>
  <c r="G128" i="20"/>
  <c r="G129" i="20" s="1"/>
  <c r="G130" i="20"/>
  <c r="G131" i="20" s="1"/>
  <c r="G132" i="20"/>
  <c r="G133" i="20" s="1"/>
  <c r="G134" i="20"/>
  <c r="G135" i="20" s="1"/>
  <c r="G136" i="20"/>
  <c r="G137" i="20" s="1"/>
  <c r="G138" i="20"/>
  <c r="G139" i="20" s="1"/>
  <c r="G140" i="20"/>
  <c r="G141" i="20" s="1"/>
  <c r="G142" i="20"/>
  <c r="G143" i="20" s="1"/>
  <c r="G144" i="20"/>
  <c r="G145" i="20" s="1"/>
  <c r="G146" i="20"/>
  <c r="G147" i="20" s="1"/>
  <c r="G148" i="20"/>
  <c r="G149" i="20" s="1"/>
  <c r="G150" i="20"/>
  <c r="G151" i="20" s="1"/>
  <c r="G152" i="20"/>
  <c r="G153" i="20" s="1"/>
  <c r="G154" i="20"/>
  <c r="G155" i="20" s="1"/>
  <c r="G156" i="20"/>
  <c r="G157" i="20" s="1"/>
  <c r="G158" i="20"/>
  <c r="G159" i="20" s="1"/>
  <c r="G160" i="20"/>
  <c r="G161" i="20" s="1"/>
  <c r="G162" i="20"/>
  <c r="G163" i="20" s="1"/>
  <c r="G164" i="20"/>
  <c r="G165" i="20" s="1"/>
  <c r="G166" i="20"/>
  <c r="G167" i="20" s="1"/>
  <c r="G168" i="20"/>
  <c r="G169" i="20" s="1"/>
  <c r="G170" i="20"/>
  <c r="G171" i="20" s="1"/>
  <c r="G172" i="20"/>
  <c r="G173" i="20" s="1"/>
  <c r="G174" i="20"/>
  <c r="G175" i="20" s="1"/>
  <c r="G176" i="20"/>
  <c r="G177" i="20" s="1"/>
  <c r="G178" i="20"/>
  <c r="G179" i="20" s="1"/>
  <c r="G180" i="20"/>
  <c r="G181" i="20" s="1"/>
  <c r="G64" i="20"/>
  <c r="G65" i="20" s="1"/>
  <c r="G66" i="20"/>
  <c r="G67" i="20" s="1"/>
  <c r="G68" i="20"/>
  <c r="G69" i="20" s="1"/>
  <c r="G70" i="20"/>
  <c r="G71" i="20" s="1"/>
  <c r="G72" i="20"/>
  <c r="G73" i="20" s="1"/>
  <c r="G74" i="20"/>
  <c r="G75" i="20" s="1"/>
  <c r="G76" i="20"/>
  <c r="G77" i="20" s="1"/>
  <c r="G78" i="20"/>
  <c r="G79" i="20" s="1"/>
  <c r="G80" i="20"/>
  <c r="G81" i="20" s="1"/>
  <c r="G82" i="20"/>
  <c r="G83" i="20" s="1"/>
  <c r="G84" i="20"/>
  <c r="G85" i="20" s="1"/>
  <c r="G86" i="20"/>
  <c r="G87" i="20" s="1"/>
  <c r="G88" i="20"/>
  <c r="G89" i="20" s="1"/>
  <c r="G90" i="20"/>
  <c r="G91" i="20" s="1"/>
  <c r="G92" i="20"/>
  <c r="G93" i="20" s="1"/>
  <c r="G94" i="20"/>
  <c r="G95" i="20" s="1"/>
  <c r="G96" i="20"/>
  <c r="G97" i="20" s="1"/>
  <c r="G98" i="20"/>
  <c r="G99" i="20" s="1"/>
  <c r="G100" i="20"/>
  <c r="G101" i="20" s="1"/>
  <c r="G102" i="20"/>
  <c r="G103" i="20" s="1"/>
  <c r="G104" i="20"/>
  <c r="G105" i="20" s="1"/>
  <c r="G106" i="20"/>
  <c r="G107" i="20" s="1"/>
  <c r="G108" i="20"/>
  <c r="G109" i="20" s="1"/>
  <c r="G110" i="20"/>
  <c r="G111" i="20" s="1"/>
  <c r="G112" i="20"/>
  <c r="G113" i="20" s="1"/>
  <c r="G114" i="20"/>
  <c r="G115" i="20" s="1"/>
  <c r="G116" i="20"/>
  <c r="G117" i="20" s="1"/>
  <c r="G118" i="20"/>
  <c r="G119" i="20" s="1"/>
  <c r="G120" i="20"/>
  <c r="G121" i="20" s="1"/>
  <c r="G62" i="20"/>
  <c r="G63" i="20" s="1"/>
  <c r="G6" i="20"/>
  <c r="G7" i="20" s="1"/>
  <c r="G8" i="20"/>
  <c r="G9" i="20" s="1"/>
  <c r="G10" i="20"/>
  <c r="G11" i="20" s="1"/>
  <c r="G12" i="20"/>
  <c r="G13" i="20" s="1"/>
  <c r="G14" i="20"/>
  <c r="G15" i="20" s="1"/>
  <c r="G16" i="20"/>
  <c r="G17" i="20" s="1"/>
  <c r="G18" i="20"/>
  <c r="G19" i="20" s="1"/>
  <c r="G20" i="20"/>
  <c r="G21" i="20" s="1"/>
  <c r="G22" i="20"/>
  <c r="G23" i="20" s="1"/>
  <c r="G24" i="20"/>
  <c r="G25" i="20" s="1"/>
  <c r="G26" i="20"/>
  <c r="G27" i="20" s="1"/>
  <c r="G28" i="20"/>
  <c r="G29" i="20" s="1"/>
  <c r="G30" i="20"/>
  <c r="G31" i="20" s="1"/>
  <c r="G32" i="20"/>
  <c r="G33" i="20" s="1"/>
  <c r="G34" i="20"/>
  <c r="G35" i="20" s="1"/>
  <c r="G36" i="20"/>
  <c r="G37" i="20" s="1"/>
  <c r="G38" i="20"/>
  <c r="G39" i="20" s="1"/>
  <c r="G40" i="20"/>
  <c r="G41" i="20" s="1"/>
  <c r="G42" i="20"/>
  <c r="G43" i="20" s="1"/>
  <c r="G44" i="20"/>
  <c r="G45" i="20" s="1"/>
  <c r="G46" i="20"/>
  <c r="G47" i="20" s="1"/>
  <c r="G48" i="20"/>
  <c r="G49" i="20" s="1"/>
  <c r="G50" i="20"/>
  <c r="G51" i="20" s="1"/>
  <c r="G52" i="20"/>
  <c r="G53" i="20" s="1"/>
  <c r="G54" i="20"/>
  <c r="G55" i="20" s="1"/>
  <c r="G56" i="20"/>
  <c r="G57" i="20" s="1"/>
  <c r="G58" i="20"/>
  <c r="G59" i="20" s="1"/>
  <c r="G60" i="20"/>
  <c r="G61" i="20" s="1"/>
  <c r="B964" i="20"/>
  <c r="B965" i="20" s="1"/>
  <c r="B966" i="20"/>
  <c r="B967" i="20" s="1"/>
  <c r="B968" i="20"/>
  <c r="B969" i="20" s="1"/>
  <c r="B970" i="20"/>
  <c r="B971" i="20" s="1"/>
  <c r="B972" i="20"/>
  <c r="B973" i="20" s="1"/>
  <c r="B974" i="20"/>
  <c r="B975" i="20" s="1"/>
  <c r="B976" i="20"/>
  <c r="B977" i="20" s="1"/>
  <c r="B978" i="20"/>
  <c r="B979" i="20" s="1"/>
  <c r="B980" i="20"/>
  <c r="B981" i="20" s="1"/>
  <c r="B982" i="20"/>
  <c r="B983" i="20" s="1"/>
  <c r="B984" i="20"/>
  <c r="B985" i="20" s="1"/>
  <c r="B986" i="20"/>
  <c r="B987" i="20" s="1"/>
  <c r="B988" i="20"/>
  <c r="B989" i="20" s="1"/>
  <c r="B990" i="20"/>
  <c r="B991" i="20" s="1"/>
  <c r="B992" i="20"/>
  <c r="B993" i="20" s="1"/>
  <c r="B994" i="20"/>
  <c r="B995" i="20" s="1"/>
  <c r="B996" i="20"/>
  <c r="B997" i="20" s="1"/>
  <c r="B998" i="20"/>
  <c r="B999" i="20" s="1"/>
  <c r="B1000" i="20"/>
  <c r="B1001" i="20" s="1"/>
  <c r="B1002" i="20"/>
  <c r="B1003" i="20" s="1"/>
  <c r="B1004" i="20"/>
  <c r="B1005" i="20" s="1"/>
  <c r="B1006" i="20"/>
  <c r="B1007" i="20" s="1"/>
  <c r="B1008" i="20"/>
  <c r="B1009" i="20" s="1"/>
  <c r="B1010" i="20"/>
  <c r="B1011" i="20" s="1"/>
  <c r="B1012" i="20"/>
  <c r="B1013" i="20" s="1"/>
  <c r="B1014" i="20"/>
  <c r="B1015" i="20" s="1"/>
  <c r="B1016" i="20"/>
  <c r="B1017" i="20" s="1"/>
  <c r="B1018" i="20"/>
  <c r="B1019" i="20" s="1"/>
  <c r="B1020" i="20"/>
  <c r="B1021" i="20" s="1"/>
  <c r="B1022" i="20"/>
  <c r="B1023" i="20" s="1"/>
  <c r="B1024" i="20"/>
  <c r="B1025" i="20" s="1"/>
  <c r="B1026" i="20"/>
  <c r="B1027" i="20" s="1"/>
  <c r="B1028" i="20"/>
  <c r="B1029" i="20" s="1"/>
  <c r="B1030" i="20"/>
  <c r="B1031" i="20" s="1"/>
  <c r="B1032" i="20"/>
  <c r="B1033" i="20" s="1"/>
  <c r="B1034" i="20"/>
  <c r="B1035" i="20" s="1"/>
  <c r="B1036" i="20"/>
  <c r="B1037" i="20" s="1"/>
  <c r="B1038" i="20"/>
  <c r="B1039" i="20" s="1"/>
  <c r="B1040" i="20"/>
  <c r="B1041" i="20" s="1"/>
  <c r="B1042" i="20"/>
  <c r="B1043" i="20" s="1"/>
  <c r="B1044" i="20"/>
  <c r="B1045" i="20" s="1"/>
  <c r="B1046" i="20"/>
  <c r="B1047" i="20" s="1"/>
  <c r="B1048" i="20"/>
  <c r="B1049" i="20" s="1"/>
  <c r="B1050" i="20"/>
  <c r="B1051" i="20" s="1"/>
  <c r="B1052" i="20"/>
  <c r="B1053" i="20" s="1"/>
  <c r="B1054" i="20"/>
  <c r="B1055" i="20" s="1"/>
  <c r="B1056" i="20"/>
  <c r="B1057" i="20" s="1"/>
  <c r="B1058" i="20"/>
  <c r="B1059" i="20" s="1"/>
  <c r="B1060" i="20"/>
  <c r="B1061" i="20" s="1"/>
  <c r="B1062" i="20"/>
  <c r="B1063" i="20" s="1"/>
  <c r="B1064" i="20"/>
  <c r="B1065" i="20" s="1"/>
  <c r="B1066" i="20"/>
  <c r="B1067" i="20" s="1"/>
  <c r="B1068" i="20"/>
  <c r="B1069" i="20" s="1"/>
  <c r="B1070" i="20"/>
  <c r="B1071" i="20" s="1"/>
  <c r="B1072" i="20"/>
  <c r="B1073" i="20" s="1"/>
  <c r="B1074" i="20"/>
  <c r="B1075" i="20" s="1"/>
  <c r="B1076" i="20"/>
  <c r="B1077" i="20" s="1"/>
  <c r="B1078" i="20"/>
  <c r="B1079" i="20" s="1"/>
  <c r="B1080" i="20"/>
  <c r="B1081" i="20" s="1"/>
  <c r="B1082" i="20"/>
  <c r="B1083" i="20" s="1"/>
  <c r="B1084" i="20"/>
  <c r="B1085" i="20" s="1"/>
  <c r="B1086" i="20"/>
  <c r="B1087" i="20" s="1"/>
  <c r="B1088" i="20"/>
  <c r="B1089" i="20" s="1"/>
  <c r="B1090" i="20"/>
  <c r="B1091" i="20" s="1"/>
  <c r="B1092" i="20"/>
  <c r="B1093" i="20" s="1"/>
  <c r="B1094" i="20"/>
  <c r="B1095" i="20" s="1"/>
  <c r="B1096" i="20"/>
  <c r="B1097" i="20" s="1"/>
  <c r="B1098" i="20"/>
  <c r="B1099" i="20" s="1"/>
  <c r="B1100" i="20"/>
  <c r="B1101" i="20" s="1"/>
  <c r="B1102" i="20"/>
  <c r="B1103" i="20" s="1"/>
  <c r="B1104" i="20"/>
  <c r="B1105" i="20" s="1"/>
  <c r="B1106" i="20"/>
  <c r="B1107" i="20" s="1"/>
  <c r="B1108" i="20"/>
  <c r="B1109" i="20" s="1"/>
  <c r="B1110" i="20"/>
  <c r="B1111" i="20" s="1"/>
  <c r="B1112" i="20"/>
  <c r="B1113" i="20" s="1"/>
  <c r="B1114" i="20"/>
  <c r="B1115" i="20" s="1"/>
  <c r="B1116" i="20"/>
  <c r="B1117" i="20" s="1"/>
  <c r="B1118" i="20"/>
  <c r="B1119" i="20" s="1"/>
  <c r="B1120" i="20"/>
  <c r="B1121" i="20" s="1"/>
  <c r="B1122" i="20"/>
  <c r="B1123" i="20" s="1"/>
  <c r="B1124" i="20"/>
  <c r="B1125" i="20" s="1"/>
  <c r="B1126" i="20"/>
  <c r="B1127" i="20" s="1"/>
  <c r="B1128" i="20"/>
  <c r="B1129" i="20" s="1"/>
  <c r="B1130" i="20"/>
  <c r="B1131" i="20" s="1"/>
  <c r="B1132" i="20"/>
  <c r="B1133" i="20" s="1"/>
  <c r="B1134" i="20"/>
  <c r="B1135" i="20" s="1"/>
  <c r="B1136" i="20"/>
  <c r="B1137" i="20" s="1"/>
  <c r="B1138" i="20"/>
  <c r="B1139" i="20" s="1"/>
  <c r="B1140" i="20"/>
  <c r="B1141" i="20" s="1"/>
  <c r="B1142" i="20"/>
  <c r="B1143" i="20" s="1"/>
  <c r="B1184" i="20"/>
  <c r="B1185" i="20" s="1"/>
  <c r="B1186" i="20"/>
  <c r="B1187" i="20" s="1"/>
  <c r="B1188" i="20"/>
  <c r="B1189" i="20" s="1"/>
  <c r="B1190" i="20"/>
  <c r="B1191" i="20" s="1"/>
  <c r="B1192" i="20"/>
  <c r="B1193" i="20" s="1"/>
  <c r="B1194" i="20"/>
  <c r="B1195" i="20" s="1"/>
  <c r="B1196" i="20"/>
  <c r="B1197" i="20" s="1"/>
  <c r="B1198" i="20"/>
  <c r="B1199" i="20" s="1"/>
  <c r="B1200" i="20"/>
  <c r="B1201" i="20" s="1"/>
  <c r="B1202" i="20"/>
  <c r="B1203" i="20" s="1"/>
  <c r="B1204" i="20"/>
  <c r="B1205" i="20" s="1"/>
  <c r="B1206" i="20"/>
  <c r="B1207" i="20" s="1"/>
  <c r="B1208" i="20"/>
  <c r="B1209" i="20" s="1"/>
  <c r="B1210" i="20"/>
  <c r="B1211" i="20" s="1"/>
  <c r="B1212" i="20"/>
  <c r="B1213" i="20" s="1"/>
  <c r="B1214" i="20"/>
  <c r="B1215" i="20" s="1"/>
  <c r="B1216" i="20"/>
  <c r="B1217" i="20" s="1"/>
  <c r="B1218" i="20"/>
  <c r="B1219" i="20" s="1"/>
  <c r="B1220" i="20"/>
  <c r="B1221" i="20" s="1"/>
  <c r="B1222" i="20"/>
  <c r="B1223" i="20" s="1"/>
  <c r="B1224" i="20"/>
  <c r="B1225" i="20" s="1"/>
  <c r="B1226" i="20"/>
  <c r="B1227" i="20" s="1"/>
  <c r="B1228" i="20"/>
  <c r="B1229" i="20" s="1"/>
  <c r="B1230" i="20"/>
  <c r="B1231" i="20" s="1"/>
  <c r="B1232" i="20"/>
  <c r="B1233" i="20" s="1"/>
  <c r="B1234" i="20"/>
  <c r="B1235" i="20" s="1"/>
  <c r="B1236" i="20"/>
  <c r="B1237" i="20" s="1"/>
  <c r="B1238" i="20"/>
  <c r="B1239" i="20" s="1"/>
  <c r="B1240" i="20"/>
  <c r="B1241" i="20" s="1"/>
  <c r="B1242" i="20"/>
  <c r="B1243" i="20" s="1"/>
  <c r="B1284" i="20"/>
  <c r="B1285" i="20" s="1"/>
  <c r="B1286" i="20"/>
  <c r="B1287" i="20" s="1"/>
  <c r="B1288" i="20"/>
  <c r="B1289" i="20" s="1"/>
  <c r="B1290" i="20"/>
  <c r="B1291" i="20" s="1"/>
  <c r="B1292" i="20"/>
  <c r="B1293" i="20" s="1"/>
  <c r="B1294" i="20"/>
  <c r="B1295" i="20" s="1"/>
  <c r="B1296" i="20"/>
  <c r="B1297" i="20" s="1"/>
  <c r="B1298" i="20"/>
  <c r="B1299" i="20" s="1"/>
  <c r="B1300" i="20"/>
  <c r="B1301" i="20" s="1"/>
  <c r="B1302" i="20"/>
  <c r="B1303" i="20" s="1"/>
  <c r="B1304" i="20"/>
  <c r="B1305" i="20" s="1"/>
  <c r="B1306" i="20"/>
  <c r="B1307" i="20" s="1"/>
  <c r="B1308" i="20"/>
  <c r="B1309" i="20" s="1"/>
  <c r="B1310" i="20"/>
  <c r="B1311" i="20" s="1"/>
  <c r="B1312" i="20"/>
  <c r="B1313" i="20" s="1"/>
  <c r="B1314" i="20"/>
  <c r="B1315" i="20" s="1"/>
  <c r="B1316" i="20"/>
  <c r="B1317" i="20" s="1"/>
  <c r="B1318" i="20"/>
  <c r="B1319" i="20" s="1"/>
  <c r="B1320" i="20"/>
  <c r="B1321" i="20" s="1"/>
  <c r="B1322" i="20"/>
  <c r="B1323" i="20" s="1"/>
  <c r="B1324" i="20"/>
  <c r="B1325" i="20" s="1"/>
  <c r="B1326" i="20"/>
  <c r="B1327" i="20" s="1"/>
  <c r="B1328" i="20"/>
  <c r="B1329" i="20" s="1"/>
  <c r="B1330" i="20"/>
  <c r="B1331" i="20" s="1"/>
  <c r="B1332" i="20"/>
  <c r="B1333" i="20" s="1"/>
  <c r="B1334" i="20"/>
  <c r="B1335" i="20" s="1"/>
  <c r="B1336" i="20"/>
  <c r="B1337" i="20" s="1"/>
  <c r="B1338" i="20"/>
  <c r="B1339" i="20" s="1"/>
  <c r="B1340" i="20"/>
  <c r="B1341" i="20" s="1"/>
  <c r="B1342" i="20"/>
  <c r="B1343" i="20" s="1"/>
  <c r="B1384" i="20"/>
  <c r="B1385" i="20" s="1"/>
  <c r="B1386" i="20"/>
  <c r="B1387" i="20" s="1"/>
  <c r="B1388" i="20"/>
  <c r="B1389" i="20" s="1"/>
  <c r="B1390" i="20"/>
  <c r="B1391" i="20" s="1"/>
  <c r="B1392" i="20"/>
  <c r="B1393" i="20" s="1"/>
  <c r="B1394" i="20"/>
  <c r="B1395" i="20" s="1"/>
  <c r="B1396" i="20"/>
  <c r="B1397" i="20" s="1"/>
  <c r="B1398" i="20"/>
  <c r="B1399" i="20" s="1"/>
  <c r="B1400" i="20"/>
  <c r="B1401" i="20" s="1"/>
  <c r="B1402" i="20"/>
  <c r="B1403" i="20" s="1"/>
  <c r="B1404" i="20"/>
  <c r="B1405" i="20" s="1"/>
  <c r="B1406" i="20"/>
  <c r="B1407" i="20" s="1"/>
  <c r="B1408" i="20"/>
  <c r="B1409" i="20" s="1"/>
  <c r="B1410" i="20"/>
  <c r="B1411" i="20" s="1"/>
  <c r="B1412" i="20"/>
  <c r="B1413" i="20" s="1"/>
  <c r="B1414" i="20"/>
  <c r="B1415" i="20" s="1"/>
  <c r="B1416" i="20"/>
  <c r="B1417" i="20" s="1"/>
  <c r="B1418" i="20"/>
  <c r="B1419" i="20" s="1"/>
  <c r="B1420" i="20"/>
  <c r="B1421" i="20" s="1"/>
  <c r="B1422" i="20"/>
  <c r="B1423" i="20" s="1"/>
  <c r="B1424" i="20"/>
  <c r="B1425" i="20" s="1"/>
  <c r="B1426" i="20"/>
  <c r="B1427" i="20" s="1"/>
  <c r="B1428" i="20"/>
  <c r="B1429" i="20" s="1"/>
  <c r="B1430" i="20"/>
  <c r="B1431" i="20" s="1"/>
  <c r="B1432" i="20"/>
  <c r="B1433" i="20" s="1"/>
  <c r="B1434" i="20"/>
  <c r="B1435" i="20" s="1"/>
  <c r="B1436" i="20"/>
  <c r="B1437" i="20" s="1"/>
  <c r="B1438" i="20"/>
  <c r="B1439" i="20" s="1"/>
  <c r="B1440" i="20"/>
  <c r="B1441" i="20" s="1"/>
  <c r="B1442" i="20"/>
  <c r="B1443" i="20" s="1"/>
  <c r="B1484" i="20"/>
  <c r="B1485" i="20" s="1"/>
  <c r="B1486" i="20"/>
  <c r="B1487" i="20" s="1"/>
  <c r="B1488" i="20"/>
  <c r="B1489" i="20" s="1"/>
  <c r="B1490" i="20"/>
  <c r="B1491" i="20" s="1"/>
  <c r="B1492" i="20"/>
  <c r="B1493" i="20" s="1"/>
  <c r="B1494" i="20"/>
  <c r="B1495" i="20" s="1"/>
  <c r="B1496" i="20"/>
  <c r="B1497" i="20" s="1"/>
  <c r="B1498" i="20"/>
  <c r="B1499" i="20" s="1"/>
  <c r="B1500" i="20"/>
  <c r="B1501" i="20" s="1"/>
  <c r="B1502" i="20"/>
  <c r="B1503" i="20" s="1"/>
  <c r="B1504" i="20"/>
  <c r="B1505" i="20" s="1"/>
  <c r="B1506" i="20"/>
  <c r="B1507" i="20" s="1"/>
  <c r="B1508" i="20"/>
  <c r="B1509" i="20" s="1"/>
  <c r="B1510" i="20"/>
  <c r="B1511" i="20" s="1"/>
  <c r="B1512" i="20"/>
  <c r="B1513" i="20" s="1"/>
  <c r="B1514" i="20"/>
  <c r="B1515" i="20" s="1"/>
  <c r="B1516" i="20"/>
  <c r="B1517" i="20" s="1"/>
  <c r="B1518" i="20"/>
  <c r="B1519" i="20" s="1"/>
  <c r="B1520" i="20"/>
  <c r="B1521" i="20" s="1"/>
  <c r="B1522" i="20"/>
  <c r="B1523" i="20" s="1"/>
  <c r="B1524" i="20"/>
  <c r="B1525" i="20" s="1"/>
  <c r="B1526" i="20"/>
  <c r="B1527" i="20" s="1"/>
  <c r="B1528" i="20"/>
  <c r="B1529" i="20" s="1"/>
  <c r="B1530" i="20"/>
  <c r="B1531" i="20" s="1"/>
  <c r="B1532" i="20"/>
  <c r="B1533" i="20" s="1"/>
  <c r="B1534" i="20"/>
  <c r="B1535" i="20" s="1"/>
  <c r="B1536" i="20"/>
  <c r="B1537" i="20" s="1"/>
  <c r="B1538" i="20"/>
  <c r="B1539" i="20" s="1"/>
  <c r="B1540" i="20"/>
  <c r="B1541" i="20" s="1"/>
  <c r="B1542" i="20"/>
  <c r="B1543" i="20" s="1"/>
  <c r="B1584" i="20"/>
  <c r="B1585" i="20" s="1"/>
  <c r="B1586" i="20"/>
  <c r="B1587" i="20" s="1"/>
  <c r="B1588" i="20"/>
  <c r="B1589" i="20" s="1"/>
  <c r="B1590" i="20"/>
  <c r="B1591" i="20" s="1"/>
  <c r="B1592" i="20"/>
  <c r="B1593" i="20" s="1"/>
  <c r="B1594" i="20"/>
  <c r="B1595" i="20" s="1"/>
  <c r="B1596" i="20"/>
  <c r="B1597" i="20" s="1"/>
  <c r="B1598" i="20"/>
  <c r="B1599" i="20" s="1"/>
  <c r="B1600" i="20"/>
  <c r="B1601" i="20" s="1"/>
  <c r="B1602" i="20"/>
  <c r="B1603" i="20" s="1"/>
  <c r="B1604" i="20"/>
  <c r="B1605" i="20" s="1"/>
  <c r="B1606" i="20"/>
  <c r="B1607" i="20" s="1"/>
  <c r="B1608" i="20"/>
  <c r="B1609" i="20" s="1"/>
  <c r="B1610" i="20"/>
  <c r="B1611" i="20" s="1"/>
  <c r="B1612" i="20"/>
  <c r="B1613" i="20" s="1"/>
  <c r="B1614" i="20"/>
  <c r="B1615" i="20" s="1"/>
  <c r="B1616" i="20"/>
  <c r="B1617" i="20" s="1"/>
  <c r="B1618" i="20"/>
  <c r="B1619" i="20" s="1"/>
  <c r="B1620" i="20"/>
  <c r="B1621" i="20" s="1"/>
  <c r="B1622" i="20"/>
  <c r="B1623" i="20" s="1"/>
  <c r="B1624" i="20"/>
  <c r="B1625" i="20" s="1"/>
  <c r="B1626" i="20"/>
  <c r="B1627" i="20" s="1"/>
  <c r="B1628" i="20"/>
  <c r="B1629" i="20" s="1"/>
  <c r="B1630" i="20"/>
  <c r="B1631" i="20" s="1"/>
  <c r="B1632" i="20"/>
  <c r="B1633" i="20" s="1"/>
  <c r="B1634" i="20"/>
  <c r="B1635" i="20" s="1"/>
  <c r="B1636" i="20"/>
  <c r="B1637" i="20" s="1"/>
  <c r="B1638" i="20"/>
  <c r="B1639" i="20" s="1"/>
  <c r="B1640" i="20"/>
  <c r="B1641" i="20" s="1"/>
  <c r="B1642" i="20"/>
  <c r="B1643" i="20" s="1"/>
  <c r="B1684" i="20"/>
  <c r="B1685" i="20" s="1"/>
  <c r="B1686" i="20"/>
  <c r="B1687" i="20" s="1"/>
  <c r="B1688" i="20"/>
  <c r="B1689" i="20" s="1"/>
  <c r="B1690" i="20"/>
  <c r="B1691" i="20" s="1"/>
  <c r="B1692" i="20"/>
  <c r="B1693" i="20" s="1"/>
  <c r="B1694" i="20"/>
  <c r="B1695" i="20" s="1"/>
  <c r="B1696" i="20"/>
  <c r="B1697" i="20" s="1"/>
  <c r="B1698" i="20"/>
  <c r="B1699" i="20" s="1"/>
  <c r="B1700" i="20"/>
  <c r="B1701" i="20" s="1"/>
  <c r="B1702" i="20"/>
  <c r="B1703" i="20" s="1"/>
  <c r="B1704" i="20"/>
  <c r="B1705" i="20" s="1"/>
  <c r="B1706" i="20"/>
  <c r="B1707" i="20" s="1"/>
  <c r="B1708" i="20"/>
  <c r="B1709" i="20" s="1"/>
  <c r="B1710" i="20"/>
  <c r="B1711" i="20" s="1"/>
  <c r="B1712" i="20"/>
  <c r="B1713" i="20" s="1"/>
  <c r="B1714" i="20"/>
  <c r="B1715" i="20" s="1"/>
  <c r="B1716" i="20"/>
  <c r="B1717" i="20" s="1"/>
  <c r="B1718" i="20"/>
  <c r="B1719" i="20" s="1"/>
  <c r="B1720" i="20"/>
  <c r="B1721" i="20" s="1"/>
  <c r="B1722" i="20"/>
  <c r="B1723" i="20" s="1"/>
  <c r="B1724" i="20"/>
  <c r="B1725" i="20" s="1"/>
  <c r="B1726" i="20"/>
  <c r="B1727" i="20" s="1"/>
  <c r="B1728" i="20"/>
  <c r="B1729" i="20" s="1"/>
  <c r="B1730" i="20"/>
  <c r="B1731" i="20" s="1"/>
  <c r="B1732" i="20"/>
  <c r="B1733" i="20" s="1"/>
  <c r="B1734" i="20"/>
  <c r="B1735" i="20" s="1"/>
  <c r="B1736" i="20"/>
  <c r="B1737" i="20" s="1"/>
  <c r="B1738" i="20"/>
  <c r="B1739" i="20" s="1"/>
  <c r="B1740" i="20"/>
  <c r="B1741" i="20" s="1"/>
  <c r="B962" i="20"/>
  <c r="B963" i="20" s="1"/>
  <c r="M6" i="20"/>
  <c r="M7" i="20" s="1"/>
  <c r="M8" i="20"/>
  <c r="M9" i="20" s="1"/>
  <c r="M10" i="20"/>
  <c r="M11" i="20" s="1"/>
  <c r="M12" i="20"/>
  <c r="M13" i="20" s="1"/>
  <c r="M14" i="20"/>
  <c r="M15" i="20" s="1"/>
  <c r="M16" i="20"/>
  <c r="M17" i="20" s="1"/>
  <c r="M18" i="20"/>
  <c r="M19" i="20" s="1"/>
  <c r="M20" i="20"/>
  <c r="M21" i="20" s="1"/>
  <c r="M22" i="20"/>
  <c r="M23" i="20" s="1"/>
  <c r="M24" i="20"/>
  <c r="M25" i="20" s="1"/>
  <c r="M26" i="20"/>
  <c r="M27" i="20" s="1"/>
  <c r="M28" i="20"/>
  <c r="M29" i="20" s="1"/>
  <c r="M30" i="20"/>
  <c r="M31" i="20" s="1"/>
  <c r="M32" i="20"/>
  <c r="M33" i="20" s="1"/>
  <c r="M34" i="20"/>
  <c r="M35" i="20" s="1"/>
  <c r="M36" i="20"/>
  <c r="M37" i="20" s="1"/>
  <c r="M38" i="20"/>
  <c r="M39" i="20" s="1"/>
  <c r="M40" i="20"/>
  <c r="M41" i="20" s="1"/>
  <c r="M42" i="20"/>
  <c r="M43" i="20" s="1"/>
  <c r="M44" i="20"/>
  <c r="M45" i="20" s="1"/>
  <c r="M46" i="20"/>
  <c r="M47" i="20" s="1"/>
  <c r="M48" i="20"/>
  <c r="M49" i="20" s="1"/>
  <c r="M50" i="20"/>
  <c r="M51" i="20" s="1"/>
  <c r="M52" i="20"/>
  <c r="M53" i="20" s="1"/>
  <c r="M54" i="20"/>
  <c r="M55" i="20" s="1"/>
  <c r="M56" i="20"/>
  <c r="M57" i="20" s="1"/>
  <c r="M58" i="20"/>
  <c r="M59" i="20" s="1"/>
  <c r="M60" i="20"/>
  <c r="M61" i="20" s="1"/>
  <c r="M62" i="20"/>
  <c r="M63" i="20" s="1"/>
  <c r="M64" i="20"/>
  <c r="M65" i="20" s="1"/>
  <c r="M66" i="20"/>
  <c r="M67" i="20" s="1"/>
  <c r="M68" i="20"/>
  <c r="M69" i="20" s="1"/>
  <c r="M70" i="20"/>
  <c r="M71" i="20" s="1"/>
  <c r="M72" i="20"/>
  <c r="M73" i="20" s="1"/>
  <c r="M74" i="20"/>
  <c r="M75" i="20" s="1"/>
  <c r="M76" i="20"/>
  <c r="M77" i="20" s="1"/>
  <c r="M78" i="20"/>
  <c r="M79" i="20" s="1"/>
  <c r="M80" i="20"/>
  <c r="M81" i="20" s="1"/>
  <c r="M82" i="20"/>
  <c r="M83" i="20" s="1"/>
  <c r="M84" i="20"/>
  <c r="M85" i="20" s="1"/>
  <c r="M86" i="20"/>
  <c r="M87" i="20" s="1"/>
  <c r="M88" i="20"/>
  <c r="M89" i="20" s="1"/>
  <c r="M90" i="20"/>
  <c r="M91" i="20" s="1"/>
  <c r="M92" i="20"/>
  <c r="M93" i="20" s="1"/>
  <c r="M94" i="20"/>
  <c r="M95" i="20" s="1"/>
  <c r="M96" i="20"/>
  <c r="M97" i="20" s="1"/>
  <c r="M98" i="20"/>
  <c r="M99" i="20" s="1"/>
  <c r="M100" i="20"/>
  <c r="M101" i="20" s="1"/>
  <c r="M102" i="20"/>
  <c r="M103" i="20" s="1"/>
  <c r="M104" i="20"/>
  <c r="M105" i="20" s="1"/>
  <c r="M106" i="20"/>
  <c r="M107" i="20" s="1"/>
  <c r="M108" i="20"/>
  <c r="M109" i="20" s="1"/>
  <c r="M110" i="20"/>
  <c r="M111" i="20" s="1"/>
  <c r="M112" i="20"/>
  <c r="M113" i="20" s="1"/>
  <c r="M114" i="20"/>
  <c r="M115" i="20" s="1"/>
  <c r="M116" i="20"/>
  <c r="M117" i="20" s="1"/>
  <c r="M118" i="20"/>
  <c r="M119" i="20" s="1"/>
  <c r="M120" i="20"/>
  <c r="M121" i="20" s="1"/>
  <c r="M122" i="20"/>
  <c r="M123" i="20" s="1"/>
  <c r="M124" i="20"/>
  <c r="M125" i="20" s="1"/>
  <c r="M126" i="20"/>
  <c r="M127" i="20" s="1"/>
  <c r="M128" i="20"/>
  <c r="M129" i="20" s="1"/>
  <c r="M130" i="20"/>
  <c r="M131" i="20" s="1"/>
  <c r="M132" i="20"/>
  <c r="M133" i="20" s="1"/>
  <c r="M134" i="20"/>
  <c r="M135" i="20" s="1"/>
  <c r="M136" i="20"/>
  <c r="M137" i="20" s="1"/>
  <c r="M138" i="20"/>
  <c r="M139" i="20" s="1"/>
  <c r="M140" i="20"/>
  <c r="M141" i="20" s="1"/>
  <c r="M142" i="20"/>
  <c r="M143" i="20" s="1"/>
  <c r="M144" i="20"/>
  <c r="M145" i="20" s="1"/>
  <c r="M146" i="20"/>
  <c r="M147" i="20" s="1"/>
  <c r="M148" i="20"/>
  <c r="M149" i="20" s="1"/>
  <c r="M150" i="20"/>
  <c r="M151" i="20" s="1"/>
  <c r="M152" i="20"/>
  <c r="M153" i="20" s="1"/>
  <c r="M154" i="20"/>
  <c r="M155" i="20" s="1"/>
  <c r="M156" i="20"/>
  <c r="M157" i="20" s="1"/>
  <c r="M158" i="20"/>
  <c r="M159" i="20" s="1"/>
  <c r="M160" i="20"/>
  <c r="M161" i="20" s="1"/>
  <c r="M162" i="20"/>
  <c r="M163" i="20" s="1"/>
  <c r="M164" i="20"/>
  <c r="M165" i="20" s="1"/>
  <c r="M166" i="20"/>
  <c r="M167" i="20" s="1"/>
  <c r="M168" i="20"/>
  <c r="M169" i="20" s="1"/>
  <c r="M170" i="20"/>
  <c r="M171" i="20" s="1"/>
  <c r="M172" i="20"/>
  <c r="M173" i="20" s="1"/>
  <c r="M174" i="20"/>
  <c r="M175" i="20" s="1"/>
  <c r="M176" i="20"/>
  <c r="M177" i="20" s="1"/>
  <c r="M178" i="20"/>
  <c r="M179" i="20" s="1"/>
  <c r="M180" i="20"/>
  <c r="M181" i="20" s="1"/>
  <c r="N3" i="20"/>
  <c r="N4" i="20" s="1"/>
  <c r="N5" i="20" s="1"/>
  <c r="N6" i="20" s="1"/>
  <c r="N7" i="20" s="1"/>
  <c r="N8" i="20" s="1"/>
  <c r="N9" i="20" s="1"/>
  <c r="N10" i="20" s="1"/>
  <c r="N11" i="20" s="1"/>
  <c r="N12" i="20" s="1"/>
  <c r="N13" i="20" s="1"/>
  <c r="N14" i="20" s="1"/>
  <c r="N15" i="20" s="1"/>
  <c r="N16" i="20" s="1"/>
  <c r="N17" i="20" s="1"/>
  <c r="N18" i="20" s="1"/>
  <c r="N19" i="20" s="1"/>
  <c r="N20" i="20" s="1"/>
  <c r="N21" i="20" s="1"/>
  <c r="N22" i="20" s="1"/>
  <c r="N23" i="20" s="1"/>
  <c r="N24" i="20" s="1"/>
  <c r="N25" i="20" s="1"/>
  <c r="N26" i="20" s="1"/>
  <c r="N27" i="20" s="1"/>
  <c r="N28" i="20" s="1"/>
  <c r="N29" i="20" s="1"/>
  <c r="N30" i="20" s="1"/>
  <c r="N31" i="20" s="1"/>
  <c r="N32" i="20" s="1"/>
  <c r="N33" i="20" s="1"/>
  <c r="N34" i="20" s="1"/>
  <c r="N35" i="20" s="1"/>
  <c r="N36" i="20" s="1"/>
  <c r="N37" i="20" s="1"/>
  <c r="N38" i="20" s="1"/>
  <c r="N39" i="20" s="1"/>
  <c r="N40" i="20" s="1"/>
  <c r="N41" i="20" s="1"/>
  <c r="N42" i="20" s="1"/>
  <c r="N43" i="20" s="1"/>
  <c r="N44" i="20" s="1"/>
  <c r="N45" i="20" s="1"/>
  <c r="N46" i="20" s="1"/>
  <c r="N47" i="20" s="1"/>
  <c r="N48" i="20" s="1"/>
  <c r="N49" i="20" s="1"/>
  <c r="N50" i="20" s="1"/>
  <c r="N51" i="20" s="1"/>
  <c r="N52" i="20" s="1"/>
  <c r="N53" i="20" s="1"/>
  <c r="N54" i="20" s="1"/>
  <c r="N55" i="20" s="1"/>
  <c r="N56" i="20" s="1"/>
  <c r="N57" i="20" s="1"/>
  <c r="N58" i="20" s="1"/>
  <c r="N59" i="20" s="1"/>
  <c r="N60" i="20" s="1"/>
  <c r="N61" i="20" s="1"/>
  <c r="N62" i="20" s="1"/>
  <c r="N63" i="20" s="1"/>
  <c r="N64" i="20" s="1"/>
  <c r="N65" i="20" s="1"/>
  <c r="N66" i="20" s="1"/>
  <c r="N67" i="20" s="1"/>
  <c r="N68" i="20" s="1"/>
  <c r="N69" i="20" s="1"/>
  <c r="N70" i="20" s="1"/>
  <c r="N71" i="20" s="1"/>
  <c r="N72" i="20" s="1"/>
  <c r="N73" i="20" s="1"/>
  <c r="N74" i="20" s="1"/>
  <c r="N75" i="20" s="1"/>
  <c r="N76" i="20" s="1"/>
  <c r="N77" i="20" s="1"/>
  <c r="N78" i="20" s="1"/>
  <c r="N79" i="20" s="1"/>
  <c r="N80" i="20" s="1"/>
  <c r="N81" i="20" s="1"/>
  <c r="N82" i="20" s="1"/>
  <c r="N83" i="20" s="1"/>
  <c r="N84" i="20" s="1"/>
  <c r="N85" i="20" s="1"/>
  <c r="N86" i="20" s="1"/>
  <c r="N87" i="20" s="1"/>
  <c r="N88" i="20" s="1"/>
  <c r="N89" i="20" s="1"/>
  <c r="N90" i="20" s="1"/>
  <c r="N91" i="20" s="1"/>
  <c r="N92" i="20" s="1"/>
  <c r="N93" i="20" s="1"/>
  <c r="N94" i="20" s="1"/>
  <c r="N95" i="20" s="1"/>
  <c r="N96" i="20" s="1"/>
  <c r="N97" i="20" s="1"/>
  <c r="N98" i="20" s="1"/>
  <c r="N99" i="20" s="1"/>
  <c r="N100" i="20" s="1"/>
  <c r="N101" i="20" s="1"/>
  <c r="N102" i="20" s="1"/>
  <c r="N103" i="20" s="1"/>
  <c r="N104" i="20" s="1"/>
  <c r="N105" i="20" s="1"/>
  <c r="N106" i="20" s="1"/>
  <c r="N107" i="20" s="1"/>
  <c r="N108" i="20" s="1"/>
  <c r="N109" i="20" s="1"/>
  <c r="N110" i="20" s="1"/>
  <c r="N111" i="20" s="1"/>
  <c r="N112" i="20" s="1"/>
  <c r="N113" i="20" s="1"/>
  <c r="N114" i="20" s="1"/>
  <c r="N115" i="20" s="1"/>
  <c r="N116" i="20" s="1"/>
  <c r="N117" i="20" s="1"/>
  <c r="N118" i="20" s="1"/>
  <c r="N119" i="20" s="1"/>
  <c r="N120" i="20" s="1"/>
  <c r="N121" i="20" s="1"/>
  <c r="N122" i="20" s="1"/>
  <c r="N123" i="20" s="1"/>
  <c r="N124" i="20" s="1"/>
  <c r="N125" i="20" s="1"/>
  <c r="N126" i="20" s="1"/>
  <c r="N127" i="20" s="1"/>
  <c r="N128" i="20" s="1"/>
  <c r="N129" i="20" s="1"/>
  <c r="N130" i="20" s="1"/>
  <c r="N131" i="20" s="1"/>
  <c r="N132" i="20" s="1"/>
  <c r="N133" i="20" s="1"/>
  <c r="N134" i="20" s="1"/>
  <c r="N135" i="20" s="1"/>
  <c r="N136" i="20" s="1"/>
  <c r="N137" i="20" s="1"/>
  <c r="N138" i="20" s="1"/>
  <c r="N139" i="20" s="1"/>
  <c r="N140" i="20" s="1"/>
  <c r="N141" i="20" s="1"/>
  <c r="N142" i="20" s="1"/>
  <c r="N143" i="20" s="1"/>
  <c r="N144" i="20" s="1"/>
  <c r="N145" i="20" s="1"/>
  <c r="N146" i="20" s="1"/>
  <c r="N147" i="20" s="1"/>
  <c r="N148" i="20" s="1"/>
  <c r="N149" i="20" s="1"/>
  <c r="N150" i="20" s="1"/>
  <c r="N151" i="20" s="1"/>
  <c r="N152" i="20" s="1"/>
  <c r="N153" i="20" s="1"/>
  <c r="N154" i="20" s="1"/>
  <c r="N155" i="20" s="1"/>
  <c r="N156" i="20" s="1"/>
  <c r="N157" i="20" s="1"/>
  <c r="N158" i="20" s="1"/>
  <c r="N159" i="20" s="1"/>
  <c r="N160" i="20" s="1"/>
  <c r="N161" i="20" s="1"/>
  <c r="N162" i="20" s="1"/>
  <c r="N163" i="20" s="1"/>
  <c r="N164" i="20" s="1"/>
  <c r="N165" i="20" s="1"/>
  <c r="N166" i="20" s="1"/>
  <c r="N167" i="20" s="1"/>
  <c r="N168" i="20" s="1"/>
  <c r="N169" i="20" s="1"/>
  <c r="N170" i="20" s="1"/>
  <c r="N171" i="20" s="1"/>
  <c r="N172" i="20" s="1"/>
  <c r="N173" i="20" s="1"/>
  <c r="N174" i="20" s="1"/>
  <c r="N175" i="20" s="1"/>
  <c r="N176" i="20" s="1"/>
  <c r="N177" i="20" s="1"/>
  <c r="N178" i="20" s="1"/>
  <c r="N179" i="20" s="1"/>
  <c r="N180" i="20" s="1"/>
  <c r="N181" i="20" s="1"/>
  <c r="N182" i="20" s="1"/>
  <c r="N183" i="20" s="1"/>
  <c r="N184" i="20" s="1"/>
  <c r="N185" i="20" s="1"/>
  <c r="N186" i="20" s="1"/>
  <c r="N187" i="20" s="1"/>
  <c r="N188" i="20" s="1"/>
  <c r="N189" i="20" s="1"/>
  <c r="N190" i="20" s="1"/>
  <c r="N191" i="20" s="1"/>
  <c r="N192" i="20" s="1"/>
  <c r="N193" i="20" s="1"/>
  <c r="N194" i="20" s="1"/>
  <c r="N195" i="20" s="1"/>
  <c r="N196" i="20" s="1"/>
  <c r="N197" i="20" s="1"/>
  <c r="N198" i="20" s="1"/>
  <c r="N199" i="20" s="1"/>
  <c r="N200" i="20" s="1"/>
  <c r="N201" i="20" s="1"/>
  <c r="N202" i="20" s="1"/>
  <c r="N203" i="20" s="1"/>
  <c r="N204" i="20" s="1"/>
  <c r="N205" i="20" s="1"/>
  <c r="N206" i="20" s="1"/>
  <c r="N207" i="20" s="1"/>
  <c r="N208" i="20" s="1"/>
  <c r="N209" i="20" s="1"/>
  <c r="N210" i="20" s="1"/>
  <c r="N211" i="20" s="1"/>
  <c r="N212" i="20" s="1"/>
  <c r="N213" i="20" s="1"/>
  <c r="N214" i="20" s="1"/>
  <c r="N215" i="20" s="1"/>
  <c r="N216" i="20" s="1"/>
  <c r="N217" i="20" s="1"/>
  <c r="N218" i="20" s="1"/>
  <c r="N219" i="20" s="1"/>
  <c r="N220" i="20" s="1"/>
  <c r="N221" i="20" s="1"/>
  <c r="N222" i="20" s="1"/>
  <c r="N223" i="20" s="1"/>
  <c r="N224" i="20" s="1"/>
  <c r="N225" i="20" s="1"/>
  <c r="N226" i="20" s="1"/>
  <c r="N227" i="20" s="1"/>
  <c r="N228" i="20" s="1"/>
  <c r="N229" i="20" s="1"/>
  <c r="N230" i="20" s="1"/>
  <c r="N231" i="20" s="1"/>
  <c r="N232" i="20" s="1"/>
  <c r="N233" i="20" s="1"/>
  <c r="N234" i="20" s="1"/>
  <c r="N235" i="20" s="1"/>
  <c r="N236" i="20" s="1"/>
  <c r="N237" i="20" s="1"/>
  <c r="N238" i="20" s="1"/>
  <c r="N239" i="20" s="1"/>
  <c r="N240" i="20" s="1"/>
  <c r="N241" i="20" s="1"/>
  <c r="N242" i="20" s="1"/>
  <c r="N243" i="20" s="1"/>
  <c r="N244" i="20" s="1"/>
  <c r="N245" i="20" s="1"/>
  <c r="N246" i="20" s="1"/>
  <c r="N247" i="20" s="1"/>
  <c r="N248" i="20" s="1"/>
  <c r="N249" i="20" s="1"/>
  <c r="N250" i="20" s="1"/>
  <c r="N251" i="20" s="1"/>
  <c r="N252" i="20" s="1"/>
  <c r="N253" i="20" s="1"/>
  <c r="N254" i="20" s="1"/>
  <c r="N255" i="20" s="1"/>
  <c r="N256" i="20" s="1"/>
  <c r="N257" i="20" s="1"/>
  <c r="N258" i="20" s="1"/>
  <c r="N259" i="20" s="1"/>
  <c r="N260" i="20" s="1"/>
  <c r="N261" i="20" s="1"/>
  <c r="N262" i="20" s="1"/>
  <c r="N263" i="20" s="1"/>
  <c r="N264" i="20" s="1"/>
  <c r="N265" i="20" s="1"/>
  <c r="N266" i="20" s="1"/>
  <c r="N267" i="20" s="1"/>
  <c r="N268" i="20" s="1"/>
  <c r="N269" i="20" s="1"/>
  <c r="N270" i="20" s="1"/>
  <c r="N271" i="20" s="1"/>
  <c r="N272" i="20" s="1"/>
  <c r="N273" i="20" s="1"/>
  <c r="N274" i="20" s="1"/>
  <c r="N275" i="20" s="1"/>
  <c r="N276" i="20" s="1"/>
  <c r="N277" i="20" s="1"/>
  <c r="N278" i="20" s="1"/>
  <c r="N279" i="20" s="1"/>
  <c r="N280" i="20" s="1"/>
  <c r="N281" i="20" s="1"/>
  <c r="N282" i="20" s="1"/>
  <c r="N283" i="20" s="1"/>
  <c r="N284" i="20" s="1"/>
  <c r="N285" i="20" s="1"/>
  <c r="N286" i="20" s="1"/>
  <c r="N287" i="20" s="1"/>
  <c r="N288" i="20" s="1"/>
  <c r="N289" i="20" s="1"/>
  <c r="N290" i="20" s="1"/>
  <c r="N291" i="20" s="1"/>
  <c r="N292" i="20" s="1"/>
  <c r="N293" i="20" s="1"/>
  <c r="N294" i="20" s="1"/>
  <c r="N295" i="20" s="1"/>
  <c r="N296" i="20" s="1"/>
  <c r="N297" i="20" s="1"/>
  <c r="N298" i="20" s="1"/>
  <c r="N299" i="20" s="1"/>
  <c r="N300" i="20" s="1"/>
  <c r="N301" i="20" s="1"/>
  <c r="N302" i="20" s="1"/>
  <c r="N303" i="20" s="1"/>
  <c r="N304" i="20" s="1"/>
  <c r="N305" i="20" s="1"/>
  <c r="N306" i="20" s="1"/>
  <c r="N307" i="20" s="1"/>
  <c r="N308" i="20" s="1"/>
  <c r="N309" i="20" s="1"/>
  <c r="N310" i="20" s="1"/>
  <c r="N311" i="20" s="1"/>
  <c r="N312" i="20" s="1"/>
  <c r="N313" i="20" s="1"/>
  <c r="N314" i="20" s="1"/>
  <c r="N315" i="20" s="1"/>
  <c r="N316" i="20" s="1"/>
  <c r="N317" i="20" s="1"/>
  <c r="N318" i="20" s="1"/>
  <c r="N319" i="20" s="1"/>
  <c r="N320" i="20" s="1"/>
  <c r="N321" i="20" s="1"/>
  <c r="N322" i="20" s="1"/>
  <c r="N323" i="20" s="1"/>
  <c r="N324" i="20" s="1"/>
  <c r="N325" i="20" s="1"/>
  <c r="N326" i="20" s="1"/>
  <c r="N327" i="20" s="1"/>
  <c r="N328" i="20" s="1"/>
  <c r="N329" i="20" s="1"/>
  <c r="N330" i="20" s="1"/>
  <c r="N331" i="20" s="1"/>
  <c r="N332" i="20" s="1"/>
  <c r="N333" i="20" s="1"/>
  <c r="N334" i="20" s="1"/>
  <c r="N335" i="20" s="1"/>
  <c r="N336" i="20" s="1"/>
  <c r="N337" i="20" s="1"/>
  <c r="N338" i="20" s="1"/>
  <c r="N339" i="20" s="1"/>
  <c r="N340" i="20" s="1"/>
  <c r="N341" i="20" s="1"/>
  <c r="N342" i="20" s="1"/>
  <c r="N343" i="20" s="1"/>
  <c r="N344" i="20" s="1"/>
  <c r="N345" i="20" s="1"/>
  <c r="N346" i="20" s="1"/>
  <c r="N347" i="20" s="1"/>
  <c r="N348" i="20" s="1"/>
  <c r="N349" i="20" s="1"/>
  <c r="N350" i="20" s="1"/>
  <c r="N351" i="20" s="1"/>
  <c r="N352" i="20" s="1"/>
  <c r="N353" i="20" s="1"/>
  <c r="N354" i="20" s="1"/>
  <c r="N355" i="20" s="1"/>
  <c r="N356" i="20" s="1"/>
  <c r="N357" i="20" s="1"/>
  <c r="N358" i="20" s="1"/>
  <c r="N359" i="20" s="1"/>
  <c r="N360" i="20" s="1"/>
  <c r="N361" i="20" s="1"/>
  <c r="N362" i="20" s="1"/>
  <c r="N363" i="20" s="1"/>
  <c r="N364" i="20" s="1"/>
  <c r="N365" i="20" s="1"/>
  <c r="N366" i="20" s="1"/>
  <c r="N367" i="20" s="1"/>
  <c r="N368" i="20" s="1"/>
  <c r="N369" i="20" s="1"/>
  <c r="N370" i="20" s="1"/>
  <c r="N371" i="20" s="1"/>
  <c r="N372" i="20" s="1"/>
  <c r="N373" i="20" s="1"/>
  <c r="N374" i="20" s="1"/>
  <c r="N375" i="20" s="1"/>
  <c r="N376" i="20" s="1"/>
  <c r="N377" i="20" s="1"/>
  <c r="N378" i="20" s="1"/>
  <c r="N379" i="20" s="1"/>
  <c r="N380" i="20" s="1"/>
  <c r="N381" i="20" s="1"/>
  <c r="N382" i="20" s="1"/>
  <c r="N383" i="20" s="1"/>
  <c r="N384" i="20" s="1"/>
  <c r="N385" i="20" s="1"/>
  <c r="N386" i="20" s="1"/>
  <c r="N387" i="20" s="1"/>
  <c r="N388" i="20" s="1"/>
  <c r="N389" i="20" s="1"/>
  <c r="N390" i="20" s="1"/>
  <c r="N391" i="20" s="1"/>
  <c r="N392" i="20" s="1"/>
  <c r="N393" i="20" s="1"/>
  <c r="N394" i="20" s="1"/>
  <c r="N395" i="20" s="1"/>
  <c r="N396" i="20" s="1"/>
  <c r="N397" i="20" s="1"/>
  <c r="N398" i="20" s="1"/>
  <c r="N399" i="20" s="1"/>
  <c r="N400" i="20" s="1"/>
  <c r="N401" i="20" s="1"/>
  <c r="N402" i="20" s="1"/>
  <c r="N403" i="20" s="1"/>
  <c r="N404" i="20" s="1"/>
  <c r="N405" i="20" s="1"/>
  <c r="N406" i="20" s="1"/>
  <c r="N407" i="20" s="1"/>
  <c r="N408" i="20" s="1"/>
  <c r="N409" i="20" s="1"/>
  <c r="N410" i="20" s="1"/>
  <c r="N411" i="20" s="1"/>
  <c r="N412" i="20" s="1"/>
  <c r="N413" i="20" s="1"/>
  <c r="N414" i="20" s="1"/>
  <c r="N415" i="20" s="1"/>
  <c r="N416" i="20" s="1"/>
  <c r="N417" i="20" s="1"/>
  <c r="N418" i="20" s="1"/>
  <c r="N419" i="20" s="1"/>
  <c r="N420" i="20" s="1"/>
  <c r="N421" i="20" s="1"/>
  <c r="N422" i="20" s="1"/>
  <c r="N423" i="20" s="1"/>
  <c r="N424" i="20" s="1"/>
  <c r="N425" i="20" s="1"/>
  <c r="N426" i="20" s="1"/>
  <c r="N427" i="20" s="1"/>
  <c r="N428" i="20" s="1"/>
  <c r="N429" i="20" s="1"/>
  <c r="N430" i="20" s="1"/>
  <c r="N431" i="20" s="1"/>
  <c r="N432" i="20" s="1"/>
  <c r="N433" i="20" s="1"/>
  <c r="N434" i="20" s="1"/>
  <c r="N435" i="20" s="1"/>
  <c r="N436" i="20" s="1"/>
  <c r="N437" i="20" s="1"/>
  <c r="N438" i="20" s="1"/>
  <c r="N439" i="20" s="1"/>
  <c r="N440" i="20" s="1"/>
  <c r="N441" i="20" s="1"/>
  <c r="N442" i="20" s="1"/>
  <c r="N443" i="20" s="1"/>
  <c r="N444" i="20" s="1"/>
  <c r="N445" i="20" s="1"/>
  <c r="N446" i="20" s="1"/>
  <c r="N447" i="20" s="1"/>
  <c r="N448" i="20" s="1"/>
  <c r="N449" i="20" s="1"/>
  <c r="N450" i="20" s="1"/>
  <c r="N451" i="20" s="1"/>
  <c r="N452" i="20" s="1"/>
  <c r="N453" i="20" s="1"/>
  <c r="N454" i="20" s="1"/>
  <c r="N455" i="20" s="1"/>
  <c r="N456" i="20" s="1"/>
  <c r="N457" i="20" s="1"/>
  <c r="N458" i="20" s="1"/>
  <c r="N459" i="20" s="1"/>
  <c r="N460" i="20" s="1"/>
  <c r="N461" i="20" s="1"/>
  <c r="N462" i="20" s="1"/>
  <c r="N463" i="20" s="1"/>
  <c r="N464" i="20" s="1"/>
  <c r="N465" i="20" s="1"/>
  <c r="N466" i="20" s="1"/>
  <c r="N467" i="20" s="1"/>
  <c r="N468" i="20" s="1"/>
  <c r="N469" i="20" s="1"/>
  <c r="N470" i="20" s="1"/>
  <c r="N471" i="20" s="1"/>
  <c r="N472" i="20" s="1"/>
  <c r="N473" i="20" s="1"/>
  <c r="N474" i="20" s="1"/>
  <c r="N475" i="20" s="1"/>
  <c r="N476" i="20" s="1"/>
  <c r="N477" i="20" s="1"/>
  <c r="N478" i="20" s="1"/>
  <c r="N479" i="20" s="1"/>
  <c r="N480" i="20" s="1"/>
  <c r="N481" i="20" s="1"/>
  <c r="N482" i="20" s="1"/>
  <c r="N483" i="20" s="1"/>
  <c r="N484" i="20" s="1"/>
  <c r="N485" i="20" s="1"/>
  <c r="N486" i="20" s="1"/>
  <c r="N487" i="20" s="1"/>
  <c r="N488" i="20" s="1"/>
  <c r="N489" i="20" s="1"/>
  <c r="N490" i="20" s="1"/>
  <c r="N491" i="20" s="1"/>
  <c r="N492" i="20" s="1"/>
  <c r="N493" i="20" s="1"/>
  <c r="N494" i="20" s="1"/>
  <c r="N495" i="20" s="1"/>
  <c r="N496" i="20" s="1"/>
  <c r="N497" i="20" s="1"/>
  <c r="N498" i="20" s="1"/>
  <c r="N499" i="20" s="1"/>
  <c r="N500" i="20" s="1"/>
  <c r="N501" i="20" s="1"/>
  <c r="N502" i="20" s="1"/>
  <c r="N503" i="20" s="1"/>
  <c r="N504" i="20" s="1"/>
  <c r="N505" i="20" s="1"/>
  <c r="N506" i="20" s="1"/>
  <c r="N507" i="20" s="1"/>
  <c r="N508" i="20" s="1"/>
  <c r="N509" i="20" s="1"/>
  <c r="N510" i="20" s="1"/>
  <c r="N511" i="20" s="1"/>
  <c r="N512" i="20" s="1"/>
  <c r="N513" i="20" s="1"/>
  <c r="N514" i="20" s="1"/>
  <c r="N515" i="20" s="1"/>
  <c r="N516" i="20" s="1"/>
  <c r="N517" i="20" s="1"/>
  <c r="N518" i="20" s="1"/>
  <c r="N519" i="20" s="1"/>
  <c r="N520" i="20" s="1"/>
  <c r="N521" i="20" s="1"/>
  <c r="N522" i="20" s="1"/>
  <c r="N523" i="20" s="1"/>
  <c r="N524" i="20" s="1"/>
  <c r="N525" i="20" s="1"/>
  <c r="N526" i="20" s="1"/>
  <c r="N527" i="20" s="1"/>
  <c r="N528" i="20" s="1"/>
  <c r="N529" i="20" s="1"/>
  <c r="N530" i="20" s="1"/>
  <c r="N531" i="20" s="1"/>
  <c r="N532" i="20" s="1"/>
  <c r="N533" i="20" s="1"/>
  <c r="N534" i="20" s="1"/>
  <c r="N535" i="20" s="1"/>
  <c r="N536" i="20" s="1"/>
  <c r="N537" i="20" s="1"/>
  <c r="N538" i="20" s="1"/>
  <c r="N539" i="20" s="1"/>
  <c r="N540" i="20" s="1"/>
  <c r="N541" i="20" s="1"/>
  <c r="N542" i="20" s="1"/>
  <c r="N543" i="20" s="1"/>
  <c r="N544" i="20" s="1"/>
  <c r="N545" i="20" s="1"/>
  <c r="N546" i="20" s="1"/>
  <c r="N547" i="20" s="1"/>
  <c r="N548" i="20" s="1"/>
  <c r="N549" i="20" s="1"/>
  <c r="N550" i="20" s="1"/>
  <c r="N551" i="20" s="1"/>
  <c r="N552" i="20" s="1"/>
  <c r="N553" i="20" s="1"/>
  <c r="N554" i="20" s="1"/>
  <c r="N555" i="20" s="1"/>
  <c r="N556" i="20" s="1"/>
  <c r="N557" i="20" s="1"/>
  <c r="N558" i="20" s="1"/>
  <c r="N559" i="20" s="1"/>
  <c r="N560" i="20" s="1"/>
  <c r="N561" i="20" s="1"/>
  <c r="N562" i="20" s="1"/>
  <c r="N563" i="20" s="1"/>
  <c r="N564" i="20" s="1"/>
  <c r="N565" i="20" s="1"/>
  <c r="N566" i="20" s="1"/>
  <c r="N567" i="20" s="1"/>
  <c r="N568" i="20" s="1"/>
  <c r="N569" i="20" s="1"/>
  <c r="N570" i="20" s="1"/>
  <c r="N571" i="20" s="1"/>
  <c r="N572" i="20" s="1"/>
  <c r="N573" i="20" s="1"/>
  <c r="N574" i="20" s="1"/>
  <c r="N575" i="20" s="1"/>
  <c r="N576" i="20" s="1"/>
  <c r="N577" i="20" s="1"/>
  <c r="N578" i="20" s="1"/>
  <c r="N579" i="20" s="1"/>
  <c r="N580" i="20" s="1"/>
  <c r="N581" i="20" s="1"/>
  <c r="N582" i="20" s="1"/>
  <c r="N583" i="20" s="1"/>
  <c r="N584" i="20" s="1"/>
  <c r="N585" i="20" s="1"/>
  <c r="N586" i="20" s="1"/>
  <c r="N587" i="20" s="1"/>
  <c r="N588" i="20" s="1"/>
  <c r="N589" i="20" s="1"/>
  <c r="N590" i="20" s="1"/>
  <c r="N591" i="20" s="1"/>
  <c r="N592" i="20" s="1"/>
  <c r="N593" i="20" s="1"/>
  <c r="N594" i="20" s="1"/>
  <c r="N595" i="20" s="1"/>
  <c r="N596" i="20" s="1"/>
  <c r="N597" i="20" s="1"/>
  <c r="N598" i="20" s="1"/>
  <c r="N599" i="20" s="1"/>
  <c r="N600" i="20" s="1"/>
  <c r="N601" i="20" s="1"/>
  <c r="N602" i="20" s="1"/>
  <c r="N603" i="20" s="1"/>
  <c r="N604" i="20" s="1"/>
  <c r="N605" i="20" s="1"/>
  <c r="N606" i="20" s="1"/>
  <c r="N607" i="20" s="1"/>
  <c r="N608" i="20" s="1"/>
  <c r="N609" i="20" s="1"/>
  <c r="N610" i="20" s="1"/>
  <c r="N611" i="20" s="1"/>
  <c r="N612" i="20" s="1"/>
  <c r="N613" i="20" s="1"/>
  <c r="N614" i="20" s="1"/>
  <c r="N615" i="20" s="1"/>
  <c r="N616" i="20" s="1"/>
  <c r="N617" i="20" s="1"/>
  <c r="N618" i="20" s="1"/>
  <c r="N619" i="20" s="1"/>
  <c r="N620" i="20" s="1"/>
  <c r="N621" i="20" s="1"/>
  <c r="N622" i="20" s="1"/>
  <c r="N623" i="20" s="1"/>
  <c r="N624" i="20" s="1"/>
  <c r="N625" i="20" s="1"/>
  <c r="N626" i="20" s="1"/>
  <c r="N627" i="20" s="1"/>
  <c r="N628" i="20" s="1"/>
  <c r="N629" i="20" s="1"/>
  <c r="N630" i="20" s="1"/>
  <c r="N631" i="20" s="1"/>
  <c r="N632" i="20" s="1"/>
  <c r="N633" i="20" s="1"/>
  <c r="N634" i="20" s="1"/>
  <c r="N635" i="20" s="1"/>
  <c r="N636" i="20" s="1"/>
  <c r="N637" i="20" s="1"/>
  <c r="N638" i="20" s="1"/>
  <c r="N639" i="20" s="1"/>
  <c r="N640" i="20" s="1"/>
  <c r="N641" i="20" s="1"/>
  <c r="N642" i="20" s="1"/>
  <c r="N643" i="20" s="1"/>
  <c r="N644" i="20" s="1"/>
  <c r="N645" i="20" s="1"/>
  <c r="N646" i="20" s="1"/>
  <c r="N647" i="20" s="1"/>
  <c r="N648" i="20" s="1"/>
  <c r="N649" i="20" s="1"/>
  <c r="N650" i="20" s="1"/>
  <c r="N651" i="20" s="1"/>
  <c r="N652" i="20" s="1"/>
  <c r="N653" i="20" s="1"/>
  <c r="N654" i="20" s="1"/>
  <c r="N655" i="20" s="1"/>
  <c r="N656" i="20" s="1"/>
  <c r="N657" i="20" s="1"/>
  <c r="N658" i="20" s="1"/>
  <c r="N659" i="20" s="1"/>
  <c r="N660" i="20" s="1"/>
  <c r="N661" i="20" s="1"/>
  <c r="N662" i="20" s="1"/>
  <c r="N663" i="20" s="1"/>
  <c r="N664" i="20" s="1"/>
  <c r="N665" i="20" s="1"/>
  <c r="N666" i="20" s="1"/>
  <c r="N667" i="20" s="1"/>
  <c r="N668" i="20" s="1"/>
  <c r="N669" i="20" s="1"/>
  <c r="N670" i="20" s="1"/>
  <c r="N671" i="20" s="1"/>
  <c r="N672" i="20" s="1"/>
  <c r="N673" i="20" s="1"/>
  <c r="N674" i="20" s="1"/>
  <c r="N675" i="20" s="1"/>
  <c r="N676" i="20" s="1"/>
  <c r="N677" i="20" s="1"/>
  <c r="N678" i="20" s="1"/>
  <c r="N679" i="20" s="1"/>
  <c r="N680" i="20" s="1"/>
  <c r="N681" i="20" s="1"/>
  <c r="N682" i="20" s="1"/>
  <c r="N683" i="20" s="1"/>
  <c r="N684" i="20" s="1"/>
  <c r="N685" i="20" s="1"/>
  <c r="N686" i="20" s="1"/>
  <c r="N687" i="20" s="1"/>
  <c r="N688" i="20" s="1"/>
  <c r="N689" i="20" s="1"/>
  <c r="N690" i="20" s="1"/>
  <c r="N691" i="20" s="1"/>
  <c r="N692" i="20" s="1"/>
  <c r="N693" i="20" s="1"/>
  <c r="N694" i="20" s="1"/>
  <c r="N695" i="20" s="1"/>
  <c r="N696" i="20" s="1"/>
  <c r="N697" i="20" s="1"/>
  <c r="N698" i="20" s="1"/>
  <c r="N699" i="20" s="1"/>
  <c r="N700" i="20" s="1"/>
  <c r="N701" i="20" s="1"/>
  <c r="N702" i="20" s="1"/>
  <c r="N703" i="20" s="1"/>
  <c r="N704" i="20" s="1"/>
  <c r="N705" i="20" s="1"/>
  <c r="N706" i="20" s="1"/>
  <c r="N707" i="20" s="1"/>
  <c r="N708" i="20" s="1"/>
  <c r="N709" i="20" s="1"/>
  <c r="N710" i="20" s="1"/>
  <c r="N711" i="20" s="1"/>
  <c r="N712" i="20" s="1"/>
  <c r="N713" i="20" s="1"/>
  <c r="N714" i="20" s="1"/>
  <c r="N715" i="20" s="1"/>
  <c r="N716" i="20" s="1"/>
  <c r="N717" i="20" s="1"/>
  <c r="N718" i="20" s="1"/>
  <c r="N719" i="20" s="1"/>
  <c r="N720" i="20" s="1"/>
  <c r="N721" i="20" s="1"/>
  <c r="N722" i="20" s="1"/>
  <c r="N723" i="20" s="1"/>
  <c r="N724" i="20" s="1"/>
  <c r="N725" i="20" s="1"/>
  <c r="N726" i="20" s="1"/>
  <c r="N727" i="20" s="1"/>
  <c r="N728" i="20" s="1"/>
  <c r="N729" i="20" s="1"/>
  <c r="N730" i="20" s="1"/>
  <c r="N731" i="20" s="1"/>
  <c r="N732" i="20" s="1"/>
  <c r="N733" i="20" s="1"/>
  <c r="N734" i="20" s="1"/>
  <c r="N735" i="20" s="1"/>
  <c r="N736" i="20" s="1"/>
  <c r="N737" i="20" s="1"/>
  <c r="N738" i="20" s="1"/>
  <c r="N739" i="20" s="1"/>
  <c r="N740" i="20" s="1"/>
  <c r="N741" i="20" s="1"/>
  <c r="N742" i="20" s="1"/>
  <c r="N743" i="20" s="1"/>
  <c r="N744" i="20" s="1"/>
  <c r="N745" i="20" s="1"/>
  <c r="N746" i="20" s="1"/>
  <c r="N747" i="20" s="1"/>
  <c r="N748" i="20" s="1"/>
  <c r="N749" i="20" s="1"/>
  <c r="N750" i="20" s="1"/>
  <c r="N751" i="20" s="1"/>
  <c r="N752" i="20" s="1"/>
  <c r="N753" i="20" s="1"/>
  <c r="N754" i="20" s="1"/>
  <c r="N755" i="20" s="1"/>
  <c r="N756" i="20" s="1"/>
  <c r="N757" i="20" s="1"/>
  <c r="N758" i="20" s="1"/>
  <c r="N759" i="20" s="1"/>
  <c r="N760" i="20" s="1"/>
  <c r="N761" i="20" s="1"/>
  <c r="N762" i="20" s="1"/>
  <c r="N763" i="20" s="1"/>
  <c r="N764" i="20" s="1"/>
  <c r="N765" i="20" s="1"/>
  <c r="N766" i="20" s="1"/>
  <c r="N767" i="20" s="1"/>
  <c r="N768" i="20" s="1"/>
  <c r="N769" i="20" s="1"/>
  <c r="N770" i="20" s="1"/>
  <c r="N771" i="20" s="1"/>
  <c r="N772" i="20" s="1"/>
  <c r="N773" i="20" s="1"/>
  <c r="N774" i="20" s="1"/>
  <c r="N775" i="20" s="1"/>
  <c r="N776" i="20" s="1"/>
  <c r="N777" i="20" s="1"/>
  <c r="N778" i="20" s="1"/>
  <c r="N779" i="20" s="1"/>
  <c r="N780" i="20" s="1"/>
  <c r="N781" i="20" s="1"/>
  <c r="N782" i="20" s="1"/>
  <c r="N783" i="20" s="1"/>
  <c r="M2" i="20"/>
  <c r="M3" i="20" s="1"/>
  <c r="G2" i="20"/>
  <c r="G3" i="20" s="1"/>
  <c r="B780" i="20"/>
  <c r="B781" i="20" s="1"/>
  <c r="B778" i="20"/>
  <c r="B779" i="20" s="1"/>
  <c r="B776" i="20"/>
  <c r="B777" i="20" s="1"/>
  <c r="B774" i="20"/>
  <c r="B775" i="20" s="1"/>
  <c r="B772" i="20"/>
  <c r="B773" i="20" s="1"/>
  <c r="B770" i="20"/>
  <c r="B771" i="20" s="1"/>
  <c r="B768" i="20"/>
  <c r="B769" i="20" s="1"/>
  <c r="B766" i="20"/>
  <c r="B767" i="20" s="1"/>
  <c r="B764" i="20"/>
  <c r="B765" i="20" s="1"/>
  <c r="B762" i="20"/>
  <c r="B763" i="20" s="1"/>
  <c r="B760" i="20"/>
  <c r="B761" i="20" s="1"/>
  <c r="B758" i="20"/>
  <c r="B759" i="20" s="1"/>
  <c r="B756" i="20"/>
  <c r="B757" i="20" s="1"/>
  <c r="B754" i="20"/>
  <c r="B755" i="20" s="1"/>
  <c r="B752" i="20"/>
  <c r="B753" i="20" s="1"/>
  <c r="B750" i="20"/>
  <c r="B751" i="20" s="1"/>
  <c r="B748" i="20"/>
  <c r="B749" i="20" s="1"/>
  <c r="B746" i="20"/>
  <c r="B747" i="20" s="1"/>
  <c r="B744" i="20"/>
  <c r="B745" i="20" s="1"/>
  <c r="B742" i="20"/>
  <c r="B743" i="20" s="1"/>
  <c r="B740" i="20"/>
  <c r="B741" i="20" s="1"/>
  <c r="B738" i="20"/>
  <c r="B739" i="20" s="1"/>
  <c r="B736" i="20"/>
  <c r="B737" i="20" s="1"/>
  <c r="B734" i="20"/>
  <c r="B735" i="20" s="1"/>
  <c r="B732" i="20"/>
  <c r="B733" i="20" s="1"/>
  <c r="B730" i="20"/>
  <c r="B731" i="20" s="1"/>
  <c r="B728" i="20"/>
  <c r="B729" i="20" s="1"/>
  <c r="B726" i="20"/>
  <c r="B727" i="20" s="1"/>
  <c r="B724" i="20"/>
  <c r="B725" i="20" s="1"/>
  <c r="B682" i="20"/>
  <c r="B683" i="20" s="1"/>
  <c r="B680" i="20"/>
  <c r="B681" i="20" s="1"/>
  <c r="B678" i="20"/>
  <c r="B679" i="20" s="1"/>
  <c r="B676" i="20"/>
  <c r="B677" i="20" s="1"/>
  <c r="B674" i="20"/>
  <c r="B675" i="20" s="1"/>
  <c r="B672" i="20"/>
  <c r="B673" i="20" s="1"/>
  <c r="B670" i="20"/>
  <c r="B671" i="20" s="1"/>
  <c r="B668" i="20"/>
  <c r="B669" i="20" s="1"/>
  <c r="B666" i="20"/>
  <c r="B667" i="20" s="1"/>
  <c r="B664" i="20"/>
  <c r="B665" i="20" s="1"/>
  <c r="B662" i="20"/>
  <c r="B663" i="20" s="1"/>
  <c r="B660" i="20"/>
  <c r="B661" i="20" s="1"/>
  <c r="B658" i="20"/>
  <c r="B659" i="20" s="1"/>
  <c r="B656" i="20"/>
  <c r="B657" i="20" s="1"/>
  <c r="B654" i="20"/>
  <c r="B655" i="20" s="1"/>
  <c r="B652" i="20"/>
  <c r="B653" i="20" s="1"/>
  <c r="B650" i="20"/>
  <c r="B651" i="20" s="1"/>
  <c r="B648" i="20"/>
  <c r="B649" i="20" s="1"/>
  <c r="B646" i="20"/>
  <c r="B647" i="20" s="1"/>
  <c r="B644" i="20"/>
  <c r="B645" i="20" s="1"/>
  <c r="B642" i="20"/>
  <c r="B643" i="20" s="1"/>
  <c r="B640" i="20"/>
  <c r="B641" i="20" s="1"/>
  <c r="B638" i="20"/>
  <c r="B639" i="20" s="1"/>
  <c r="B636" i="20"/>
  <c r="B637" i="20" s="1"/>
  <c r="B634" i="20"/>
  <c r="B635" i="20" s="1"/>
  <c r="B632" i="20"/>
  <c r="B633" i="20" s="1"/>
  <c r="B630" i="20"/>
  <c r="B631" i="20" s="1"/>
  <c r="B628" i="20"/>
  <c r="B629" i="20" s="1"/>
  <c r="B626" i="20"/>
  <c r="B627" i="20" s="1"/>
  <c r="B624" i="20"/>
  <c r="B625" i="20" s="1"/>
  <c r="B582" i="20"/>
  <c r="B583" i="20" s="1"/>
  <c r="B580" i="20"/>
  <c r="B581" i="20" s="1"/>
  <c r="B578" i="20"/>
  <c r="B579" i="20" s="1"/>
  <c r="B576" i="20"/>
  <c r="B577" i="20" s="1"/>
  <c r="B574" i="20"/>
  <c r="B575" i="20" s="1"/>
  <c r="B572" i="20"/>
  <c r="B573" i="20" s="1"/>
  <c r="B570" i="20"/>
  <c r="B571" i="20" s="1"/>
  <c r="B568" i="20"/>
  <c r="B569" i="20" s="1"/>
  <c r="B566" i="20"/>
  <c r="B567" i="20" s="1"/>
  <c r="B564" i="20"/>
  <c r="B565" i="20" s="1"/>
  <c r="B562" i="20"/>
  <c r="B563" i="20" s="1"/>
  <c r="B560" i="20"/>
  <c r="B561" i="20" s="1"/>
  <c r="B558" i="20"/>
  <c r="B559" i="20" s="1"/>
  <c r="B556" i="20"/>
  <c r="B557" i="20" s="1"/>
  <c r="B554" i="20"/>
  <c r="B555" i="20" s="1"/>
  <c r="B552" i="20"/>
  <c r="B553" i="20" s="1"/>
  <c r="B550" i="20"/>
  <c r="B551" i="20" s="1"/>
  <c r="B548" i="20"/>
  <c r="B549" i="20" s="1"/>
  <c r="B546" i="20"/>
  <c r="B547" i="20" s="1"/>
  <c r="B544" i="20"/>
  <c r="B545" i="20" s="1"/>
  <c r="B542" i="20"/>
  <c r="B543" i="20" s="1"/>
  <c r="B540" i="20"/>
  <c r="B541" i="20" s="1"/>
  <c r="B538" i="20"/>
  <c r="B539" i="20" s="1"/>
  <c r="B536" i="20"/>
  <c r="B537" i="20" s="1"/>
  <c r="B534" i="20"/>
  <c r="B535" i="20" s="1"/>
  <c r="B532" i="20"/>
  <c r="B533" i="20" s="1"/>
  <c r="B530" i="20"/>
  <c r="B531" i="20" s="1"/>
  <c r="B528" i="20"/>
  <c r="B529" i="20" s="1"/>
  <c r="B526" i="20"/>
  <c r="B527" i="20" s="1"/>
  <c r="B524" i="20"/>
  <c r="B525" i="20" s="1"/>
  <c r="B482" i="20"/>
  <c r="B483" i="20" s="1"/>
  <c r="E480" i="20"/>
  <c r="E481" i="20" s="1"/>
  <c r="D480" i="20"/>
  <c r="D481" i="20" s="1"/>
  <c r="B480" i="20"/>
  <c r="B481" i="20" s="1"/>
  <c r="E478" i="20"/>
  <c r="E479" i="20" s="1"/>
  <c r="D478" i="20"/>
  <c r="B478" i="20"/>
  <c r="B479" i="20" s="1"/>
  <c r="E476" i="20"/>
  <c r="E477" i="20" s="1"/>
  <c r="D476" i="20"/>
  <c r="B476" i="20"/>
  <c r="B477" i="20" s="1"/>
  <c r="E474" i="20"/>
  <c r="E475" i="20" s="1"/>
  <c r="D474" i="20"/>
  <c r="B474" i="20"/>
  <c r="B475" i="20" s="1"/>
  <c r="E472" i="20"/>
  <c r="E473" i="20" s="1"/>
  <c r="D472" i="20"/>
  <c r="B472" i="20"/>
  <c r="B473" i="20" s="1"/>
  <c r="E470" i="20"/>
  <c r="E471" i="20" s="1"/>
  <c r="D470" i="20"/>
  <c r="H470" i="20" s="1"/>
  <c r="H471" i="20" s="1"/>
  <c r="B470" i="20"/>
  <c r="B471" i="20" s="1"/>
  <c r="E468" i="20"/>
  <c r="E469" i="20" s="1"/>
  <c r="D468" i="20"/>
  <c r="B468" i="20"/>
  <c r="B469" i="20" s="1"/>
  <c r="E466" i="20"/>
  <c r="E467" i="20" s="1"/>
  <c r="D466" i="20"/>
  <c r="I466" i="20" s="1"/>
  <c r="I467" i="20" s="1"/>
  <c r="B466" i="20"/>
  <c r="B467" i="20" s="1"/>
  <c r="E464" i="20"/>
  <c r="E465" i="20" s="1"/>
  <c r="D464" i="20"/>
  <c r="B464" i="20"/>
  <c r="B465" i="20" s="1"/>
  <c r="E462" i="20"/>
  <c r="E463" i="20" s="1"/>
  <c r="D462" i="20"/>
  <c r="D463" i="20" s="1"/>
  <c r="B462" i="20"/>
  <c r="B463" i="20" s="1"/>
  <c r="E460" i="20"/>
  <c r="E461" i="20" s="1"/>
  <c r="D460" i="20"/>
  <c r="I460" i="20" s="1"/>
  <c r="I461" i="20" s="1"/>
  <c r="B460" i="20"/>
  <c r="B461" i="20" s="1"/>
  <c r="E458" i="20"/>
  <c r="E459" i="20" s="1"/>
  <c r="D458" i="20"/>
  <c r="H458" i="20" s="1"/>
  <c r="H459" i="20" s="1"/>
  <c r="B458" i="20"/>
  <c r="B459" i="20" s="1"/>
  <c r="E456" i="20"/>
  <c r="E457" i="20" s="1"/>
  <c r="D456" i="20"/>
  <c r="D457" i="20" s="1"/>
  <c r="B456" i="20"/>
  <c r="B457" i="20" s="1"/>
  <c r="E454" i="20"/>
  <c r="E455" i="20" s="1"/>
  <c r="D454" i="20"/>
  <c r="B454" i="20"/>
  <c r="B455" i="20" s="1"/>
  <c r="E452" i="20"/>
  <c r="E453" i="20" s="1"/>
  <c r="D452" i="20"/>
  <c r="B452" i="20"/>
  <c r="B453" i="20" s="1"/>
  <c r="E450" i="20"/>
  <c r="E451" i="20" s="1"/>
  <c r="D450" i="20"/>
  <c r="H450" i="20" s="1"/>
  <c r="H451" i="20" s="1"/>
  <c r="B450" i="20"/>
  <c r="B451" i="20" s="1"/>
  <c r="E448" i="20"/>
  <c r="E449" i="20" s="1"/>
  <c r="D448" i="20"/>
  <c r="J448" i="20" s="1"/>
  <c r="J449" i="20" s="1"/>
  <c r="B448" i="20"/>
  <c r="B449" i="20" s="1"/>
  <c r="E446" i="20"/>
  <c r="E447" i="20" s="1"/>
  <c r="D446" i="20"/>
  <c r="B446" i="20"/>
  <c r="B447" i="20" s="1"/>
  <c r="E444" i="20"/>
  <c r="E445" i="20" s="1"/>
  <c r="D444" i="20"/>
  <c r="B444" i="20"/>
  <c r="B445" i="20" s="1"/>
  <c r="E442" i="20"/>
  <c r="E443" i="20" s="1"/>
  <c r="D442" i="20"/>
  <c r="B442" i="20"/>
  <c r="B443" i="20" s="1"/>
  <c r="E440" i="20"/>
  <c r="E441" i="20" s="1"/>
  <c r="D440" i="20"/>
  <c r="B440" i="20"/>
  <c r="B441" i="20" s="1"/>
  <c r="E438" i="20"/>
  <c r="E439" i="20" s="1"/>
  <c r="D438" i="20"/>
  <c r="J438" i="20" s="1"/>
  <c r="J439" i="20" s="1"/>
  <c r="B438" i="20"/>
  <c r="B439" i="20" s="1"/>
  <c r="E436" i="20"/>
  <c r="E437" i="20" s="1"/>
  <c r="D436" i="20"/>
  <c r="D437" i="20" s="1"/>
  <c r="B436" i="20"/>
  <c r="B437" i="20" s="1"/>
  <c r="E434" i="20"/>
  <c r="E435" i="20" s="1"/>
  <c r="D434" i="20"/>
  <c r="B434" i="20"/>
  <c r="B435" i="20" s="1"/>
  <c r="E432" i="20"/>
  <c r="E433" i="20" s="1"/>
  <c r="D432" i="20"/>
  <c r="D433" i="20" s="1"/>
  <c r="B432" i="20"/>
  <c r="B433" i="20" s="1"/>
  <c r="E430" i="20"/>
  <c r="E431" i="20" s="1"/>
  <c r="D430" i="20"/>
  <c r="J430" i="20" s="1"/>
  <c r="J431" i="20" s="1"/>
  <c r="B430" i="20"/>
  <c r="B431" i="20" s="1"/>
  <c r="E428" i="20"/>
  <c r="E429" i="20" s="1"/>
  <c r="D428" i="20"/>
  <c r="B428" i="20"/>
  <c r="B429" i="20" s="1"/>
  <c r="E426" i="20"/>
  <c r="E427" i="20" s="1"/>
  <c r="D426" i="20"/>
  <c r="D427" i="20" s="1"/>
  <c r="B426" i="20"/>
  <c r="B427" i="20" s="1"/>
  <c r="E424" i="20"/>
  <c r="E425" i="20" s="1"/>
  <c r="D424" i="20"/>
  <c r="H424" i="20" s="1"/>
  <c r="H425" i="20" s="1"/>
  <c r="B424" i="20"/>
  <c r="B425" i="20" s="1"/>
  <c r="E382" i="20"/>
  <c r="E383" i="20" s="1"/>
  <c r="D382" i="20"/>
  <c r="I382" i="20" s="1"/>
  <c r="I383" i="20" s="1"/>
  <c r="B382" i="20"/>
  <c r="B383" i="20" s="1"/>
  <c r="E380" i="20"/>
  <c r="E381" i="20" s="1"/>
  <c r="D380" i="20"/>
  <c r="B380" i="20"/>
  <c r="B381" i="20" s="1"/>
  <c r="E378" i="20"/>
  <c r="E379" i="20" s="1"/>
  <c r="D378" i="20"/>
  <c r="H378" i="20" s="1"/>
  <c r="H379" i="20" s="1"/>
  <c r="B378" i="20"/>
  <c r="B379" i="20" s="1"/>
  <c r="E376" i="20"/>
  <c r="E377" i="20" s="1"/>
  <c r="D376" i="20"/>
  <c r="D377" i="20" s="1"/>
  <c r="B376" i="20"/>
  <c r="B377" i="20" s="1"/>
  <c r="E374" i="20"/>
  <c r="E375" i="20" s="1"/>
  <c r="D374" i="20"/>
  <c r="B374" i="20"/>
  <c r="B375" i="20" s="1"/>
  <c r="E372" i="20"/>
  <c r="E373" i="20" s="1"/>
  <c r="D372" i="20"/>
  <c r="B372" i="20"/>
  <c r="B373" i="20" s="1"/>
  <c r="E370" i="20"/>
  <c r="E371" i="20" s="1"/>
  <c r="D370" i="20"/>
  <c r="B370" i="20"/>
  <c r="B371" i="20" s="1"/>
  <c r="E368" i="20"/>
  <c r="E369" i="20" s="1"/>
  <c r="D368" i="20"/>
  <c r="B368" i="20"/>
  <c r="B369" i="20" s="1"/>
  <c r="E366" i="20"/>
  <c r="E367" i="20" s="1"/>
  <c r="D366" i="20"/>
  <c r="I366" i="20" s="1"/>
  <c r="I367" i="20" s="1"/>
  <c r="B366" i="20"/>
  <c r="B367" i="20" s="1"/>
  <c r="E364" i="20"/>
  <c r="E365" i="20" s="1"/>
  <c r="D364" i="20"/>
  <c r="D365" i="20" s="1"/>
  <c r="B364" i="20"/>
  <c r="B365" i="20" s="1"/>
  <c r="E362" i="20"/>
  <c r="E363" i="20" s="1"/>
  <c r="D362" i="20"/>
  <c r="J362" i="20" s="1"/>
  <c r="J363" i="20" s="1"/>
  <c r="B362" i="20"/>
  <c r="B363" i="20" s="1"/>
  <c r="E360" i="20"/>
  <c r="E361" i="20" s="1"/>
  <c r="D360" i="20"/>
  <c r="B360" i="20"/>
  <c r="B361" i="20" s="1"/>
  <c r="E358" i="20"/>
  <c r="E359" i="20" s="1"/>
  <c r="D358" i="20"/>
  <c r="B358" i="20"/>
  <c r="B359" i="20" s="1"/>
  <c r="E356" i="20"/>
  <c r="E357" i="20" s="1"/>
  <c r="D356" i="20"/>
  <c r="B356" i="20"/>
  <c r="B357" i="20" s="1"/>
  <c r="E354" i="20"/>
  <c r="E355" i="20" s="1"/>
  <c r="D354" i="20"/>
  <c r="I354" i="20" s="1"/>
  <c r="I355" i="20" s="1"/>
  <c r="B354" i="20"/>
  <c r="B355" i="20" s="1"/>
  <c r="E352" i="20"/>
  <c r="E353" i="20" s="1"/>
  <c r="D352" i="20"/>
  <c r="B352" i="20"/>
  <c r="B353" i="20" s="1"/>
  <c r="E350" i="20"/>
  <c r="E351" i="20" s="1"/>
  <c r="D350" i="20"/>
  <c r="B350" i="20"/>
  <c r="B351" i="20" s="1"/>
  <c r="E348" i="20"/>
  <c r="E349" i="20" s="1"/>
  <c r="D348" i="20"/>
  <c r="B348" i="20"/>
  <c r="B349" i="20" s="1"/>
  <c r="E346" i="20"/>
  <c r="E347" i="20" s="1"/>
  <c r="D346" i="20"/>
  <c r="B346" i="20"/>
  <c r="B347" i="20" s="1"/>
  <c r="E344" i="20"/>
  <c r="E345" i="20" s="1"/>
  <c r="D344" i="20"/>
  <c r="B344" i="20"/>
  <c r="B345" i="20" s="1"/>
  <c r="E342" i="20"/>
  <c r="E343" i="20" s="1"/>
  <c r="D342" i="20"/>
  <c r="D343" i="20" s="1"/>
  <c r="B342" i="20"/>
  <c r="B343" i="20" s="1"/>
  <c r="E340" i="20"/>
  <c r="E341" i="20" s="1"/>
  <c r="D340" i="20"/>
  <c r="B340" i="20"/>
  <c r="B341" i="20" s="1"/>
  <c r="E338" i="20"/>
  <c r="E339" i="20" s="1"/>
  <c r="D338" i="20"/>
  <c r="H338" i="20" s="1"/>
  <c r="H339" i="20" s="1"/>
  <c r="B338" i="20"/>
  <c r="B339" i="20" s="1"/>
  <c r="E336" i="20"/>
  <c r="E337" i="20" s="1"/>
  <c r="D336" i="20"/>
  <c r="B336" i="20"/>
  <c r="B337" i="20" s="1"/>
  <c r="E334" i="20"/>
  <c r="E335" i="20" s="1"/>
  <c r="D334" i="20"/>
  <c r="D335" i="20" s="1"/>
  <c r="B334" i="20"/>
  <c r="B335" i="20" s="1"/>
  <c r="E332" i="20"/>
  <c r="E333" i="20" s="1"/>
  <c r="D332" i="20"/>
  <c r="B332" i="20"/>
  <c r="B333" i="20" s="1"/>
  <c r="E330" i="20"/>
  <c r="E331" i="20" s="1"/>
  <c r="D330" i="20"/>
  <c r="B330" i="20"/>
  <c r="B331" i="20" s="1"/>
  <c r="E328" i="20"/>
  <c r="E329" i="20" s="1"/>
  <c r="D328" i="20"/>
  <c r="B328" i="20"/>
  <c r="B329" i="20" s="1"/>
  <c r="E326" i="20"/>
  <c r="E327" i="20" s="1"/>
  <c r="D326" i="20"/>
  <c r="I326" i="20" s="1"/>
  <c r="I327" i="20" s="1"/>
  <c r="B326" i="20"/>
  <c r="B327" i="20" s="1"/>
  <c r="E324" i="20"/>
  <c r="E325" i="20" s="1"/>
  <c r="D324" i="20"/>
  <c r="B324" i="20"/>
  <c r="B325" i="20" s="1"/>
  <c r="E282" i="20"/>
  <c r="E283" i="20" s="1"/>
  <c r="D282" i="20"/>
  <c r="D283" i="20" s="1"/>
  <c r="B282" i="20"/>
  <c r="B283" i="20" s="1"/>
  <c r="E280" i="20"/>
  <c r="E281" i="20" s="1"/>
  <c r="D280" i="20"/>
  <c r="B280" i="20"/>
  <c r="B281" i="20" s="1"/>
  <c r="E278" i="20"/>
  <c r="E279" i="20" s="1"/>
  <c r="D278" i="20"/>
  <c r="I278" i="20" s="1"/>
  <c r="I279" i="20" s="1"/>
  <c r="B278" i="20"/>
  <c r="B279" i="20" s="1"/>
  <c r="E276" i="20"/>
  <c r="E277" i="20" s="1"/>
  <c r="D276" i="20"/>
  <c r="D277" i="20" s="1"/>
  <c r="B276" i="20"/>
  <c r="B277" i="20" s="1"/>
  <c r="E274" i="20"/>
  <c r="E275" i="20" s="1"/>
  <c r="D274" i="20"/>
  <c r="J274" i="20" s="1"/>
  <c r="J275" i="20" s="1"/>
  <c r="B274" i="20"/>
  <c r="B275" i="20" s="1"/>
  <c r="E272" i="20"/>
  <c r="E273" i="20" s="1"/>
  <c r="D272" i="20"/>
  <c r="H272" i="20" s="1"/>
  <c r="H273" i="20" s="1"/>
  <c r="B272" i="20"/>
  <c r="B273" i="20" s="1"/>
  <c r="E270" i="20"/>
  <c r="E271" i="20" s="1"/>
  <c r="D270" i="20"/>
  <c r="B270" i="20"/>
  <c r="B271" i="20" s="1"/>
  <c r="E268" i="20"/>
  <c r="E269" i="20" s="1"/>
  <c r="D268" i="20"/>
  <c r="D269" i="20" s="1"/>
  <c r="B268" i="20"/>
  <c r="B269" i="20" s="1"/>
  <c r="E266" i="20"/>
  <c r="E267" i="20" s="1"/>
  <c r="D266" i="20"/>
  <c r="J266" i="20" s="1"/>
  <c r="J267" i="20" s="1"/>
  <c r="B266" i="20"/>
  <c r="B267" i="20" s="1"/>
  <c r="E264" i="20"/>
  <c r="E265" i="20" s="1"/>
  <c r="D264" i="20"/>
  <c r="I264" i="20" s="1"/>
  <c r="I265" i="20" s="1"/>
  <c r="B264" i="20"/>
  <c r="B265" i="20" s="1"/>
  <c r="E262" i="20"/>
  <c r="E263" i="20" s="1"/>
  <c r="D262" i="20"/>
  <c r="B262" i="20"/>
  <c r="B263" i="20" s="1"/>
  <c r="E260" i="20"/>
  <c r="E261" i="20" s="1"/>
  <c r="D260" i="20"/>
  <c r="B260" i="20"/>
  <c r="B261" i="20" s="1"/>
  <c r="E258" i="20"/>
  <c r="E259" i="20" s="1"/>
  <c r="D258" i="20"/>
  <c r="H258" i="20" s="1"/>
  <c r="H259" i="20" s="1"/>
  <c r="B258" i="20"/>
  <c r="B259" i="20" s="1"/>
  <c r="E256" i="20"/>
  <c r="E257" i="20" s="1"/>
  <c r="D256" i="20"/>
  <c r="B256" i="20"/>
  <c r="B257" i="20" s="1"/>
  <c r="E254" i="20"/>
  <c r="E255" i="20" s="1"/>
  <c r="D254" i="20"/>
  <c r="I254" i="20" s="1"/>
  <c r="I255" i="20" s="1"/>
  <c r="B254" i="20"/>
  <c r="B255" i="20" s="1"/>
  <c r="E252" i="20"/>
  <c r="E253" i="20" s="1"/>
  <c r="D252" i="20"/>
  <c r="B252" i="20"/>
  <c r="B253" i="20" s="1"/>
  <c r="E250" i="20"/>
  <c r="E251" i="20" s="1"/>
  <c r="D250" i="20"/>
  <c r="B250" i="20"/>
  <c r="B251" i="20" s="1"/>
  <c r="E248" i="20"/>
  <c r="E249" i="20" s="1"/>
  <c r="D248" i="20"/>
  <c r="D249" i="20" s="1"/>
  <c r="B248" i="20"/>
  <c r="B249" i="20" s="1"/>
  <c r="E246" i="20"/>
  <c r="E247" i="20" s="1"/>
  <c r="D246" i="20"/>
  <c r="I246" i="20" s="1"/>
  <c r="I247" i="20" s="1"/>
  <c r="B246" i="20"/>
  <c r="B247" i="20" s="1"/>
  <c r="E244" i="20"/>
  <c r="E245" i="20" s="1"/>
  <c r="D244" i="20"/>
  <c r="D245" i="20" s="1"/>
  <c r="B244" i="20"/>
  <c r="B245" i="20" s="1"/>
  <c r="E242" i="20"/>
  <c r="E243" i="20" s="1"/>
  <c r="D242" i="20"/>
  <c r="J242" i="20" s="1"/>
  <c r="J243" i="20" s="1"/>
  <c r="B242" i="20"/>
  <c r="B243" i="20" s="1"/>
  <c r="E240" i="20"/>
  <c r="E241" i="20" s="1"/>
  <c r="D240" i="20"/>
  <c r="H240" i="20" s="1"/>
  <c r="H241" i="20" s="1"/>
  <c r="B240" i="20"/>
  <c r="B241" i="20" s="1"/>
  <c r="E238" i="20"/>
  <c r="E239" i="20" s="1"/>
  <c r="D238" i="20"/>
  <c r="B238" i="20"/>
  <c r="B239" i="20" s="1"/>
  <c r="E236" i="20"/>
  <c r="E237" i="20" s="1"/>
  <c r="D236" i="20"/>
  <c r="D237" i="20" s="1"/>
  <c r="B236" i="20"/>
  <c r="B237" i="20" s="1"/>
  <c r="E234" i="20"/>
  <c r="E235" i="20" s="1"/>
  <c r="D234" i="20"/>
  <c r="I234" i="20" s="1"/>
  <c r="I235" i="20" s="1"/>
  <c r="B234" i="20"/>
  <c r="B235" i="20" s="1"/>
  <c r="E232" i="20"/>
  <c r="E233" i="20" s="1"/>
  <c r="D232" i="20"/>
  <c r="D233" i="20" s="1"/>
  <c r="B232" i="20"/>
  <c r="B233" i="20" s="1"/>
  <c r="E230" i="20"/>
  <c r="E231" i="20" s="1"/>
  <c r="D230" i="20"/>
  <c r="J230" i="20" s="1"/>
  <c r="J231" i="20" s="1"/>
  <c r="B230" i="20"/>
  <c r="B231" i="20" s="1"/>
  <c r="E228" i="20"/>
  <c r="E229" i="20" s="1"/>
  <c r="D228" i="20"/>
  <c r="J228" i="20" s="1"/>
  <c r="J229" i="20" s="1"/>
  <c r="B228" i="20"/>
  <c r="B229" i="20" s="1"/>
  <c r="E226" i="20"/>
  <c r="E227" i="20" s="1"/>
  <c r="D226" i="20"/>
  <c r="I226" i="20" s="1"/>
  <c r="I227" i="20" s="1"/>
  <c r="B226" i="20"/>
  <c r="B227" i="20" s="1"/>
  <c r="E224" i="20"/>
  <c r="E225" i="20" s="1"/>
  <c r="D224" i="20"/>
  <c r="I224" i="20" s="1"/>
  <c r="I225" i="20" s="1"/>
  <c r="B224" i="20"/>
  <c r="B225" i="20" s="1"/>
  <c r="E182" i="20"/>
  <c r="E183" i="20" s="1"/>
  <c r="D182" i="20"/>
  <c r="B182" i="20"/>
  <c r="B183" i="20" s="1"/>
  <c r="E180" i="20"/>
  <c r="E181" i="20" s="1"/>
  <c r="D180" i="20"/>
  <c r="D181" i="20" s="1"/>
  <c r="B180" i="20"/>
  <c r="B181" i="20" s="1"/>
  <c r="E178" i="20"/>
  <c r="E179" i="20" s="1"/>
  <c r="D178" i="20"/>
  <c r="H178" i="20" s="1"/>
  <c r="H179" i="20" s="1"/>
  <c r="B178" i="20"/>
  <c r="B179" i="20" s="1"/>
  <c r="E176" i="20"/>
  <c r="E177" i="20" s="1"/>
  <c r="D176" i="20"/>
  <c r="D177" i="20" s="1"/>
  <c r="B176" i="20"/>
  <c r="B177" i="20" s="1"/>
  <c r="E174" i="20"/>
  <c r="E175" i="20" s="1"/>
  <c r="D174" i="20"/>
  <c r="B174" i="20"/>
  <c r="B175" i="20" s="1"/>
  <c r="E172" i="20"/>
  <c r="E173" i="20" s="1"/>
  <c r="D172" i="20"/>
  <c r="B172" i="20"/>
  <c r="B173" i="20" s="1"/>
  <c r="E170" i="20"/>
  <c r="E171" i="20" s="1"/>
  <c r="D170" i="20"/>
  <c r="B170" i="20"/>
  <c r="B171" i="20" s="1"/>
  <c r="E168" i="20"/>
  <c r="E169" i="20" s="1"/>
  <c r="D168" i="20"/>
  <c r="B168" i="20"/>
  <c r="B169" i="20" s="1"/>
  <c r="E166" i="20"/>
  <c r="E167" i="20" s="1"/>
  <c r="D166" i="20"/>
  <c r="D167" i="20" s="1"/>
  <c r="B166" i="20"/>
  <c r="B167" i="20" s="1"/>
  <c r="E164" i="20"/>
  <c r="E165" i="20" s="1"/>
  <c r="D164" i="20"/>
  <c r="D165" i="20" s="1"/>
  <c r="B164" i="20"/>
  <c r="B165" i="20" s="1"/>
  <c r="E162" i="20"/>
  <c r="E163" i="20" s="1"/>
  <c r="D162" i="20"/>
  <c r="H162" i="20" s="1"/>
  <c r="H163" i="20" s="1"/>
  <c r="B162" i="20"/>
  <c r="B163" i="20" s="1"/>
  <c r="E160" i="20"/>
  <c r="E161" i="20" s="1"/>
  <c r="D160" i="20"/>
  <c r="J160" i="20" s="1"/>
  <c r="J161" i="20" s="1"/>
  <c r="B160" i="20"/>
  <c r="B161" i="20" s="1"/>
  <c r="E158" i="20"/>
  <c r="E159" i="20" s="1"/>
  <c r="D158" i="20"/>
  <c r="B158" i="20"/>
  <c r="B159" i="20" s="1"/>
  <c r="E156" i="20"/>
  <c r="E157" i="20" s="1"/>
  <c r="D156" i="20"/>
  <c r="B156" i="20"/>
  <c r="B157" i="20" s="1"/>
  <c r="E154" i="20"/>
  <c r="E155" i="20" s="1"/>
  <c r="D154" i="20"/>
  <c r="B154" i="20"/>
  <c r="B155" i="20" s="1"/>
  <c r="E152" i="20"/>
  <c r="E153" i="20" s="1"/>
  <c r="D152" i="20"/>
  <c r="B152" i="20"/>
  <c r="B153" i="20" s="1"/>
  <c r="E150" i="20"/>
  <c r="E151" i="20" s="1"/>
  <c r="D150" i="20"/>
  <c r="H150" i="20" s="1"/>
  <c r="H151" i="20" s="1"/>
  <c r="B150" i="20"/>
  <c r="B151" i="20" s="1"/>
  <c r="E148" i="20"/>
  <c r="E149" i="20" s="1"/>
  <c r="D148" i="20"/>
  <c r="D149" i="20" s="1"/>
  <c r="B148" i="20"/>
  <c r="B149" i="20" s="1"/>
  <c r="E146" i="20"/>
  <c r="E147" i="20" s="1"/>
  <c r="D146" i="20"/>
  <c r="H146" i="20" s="1"/>
  <c r="H147" i="20" s="1"/>
  <c r="B146" i="20"/>
  <c r="B147" i="20" s="1"/>
  <c r="E144" i="20"/>
  <c r="E145" i="20" s="1"/>
  <c r="D144" i="20"/>
  <c r="B144" i="20"/>
  <c r="B145" i="20" s="1"/>
  <c r="E142" i="20"/>
  <c r="E143" i="20" s="1"/>
  <c r="D142" i="20"/>
  <c r="I142" i="20" s="1"/>
  <c r="I143" i="20" s="1"/>
  <c r="B142" i="20"/>
  <c r="B143" i="20" s="1"/>
  <c r="E140" i="20"/>
  <c r="E141" i="20" s="1"/>
  <c r="D140" i="20"/>
  <c r="B140" i="20"/>
  <c r="B141" i="20" s="1"/>
  <c r="E138" i="20"/>
  <c r="E139" i="20" s="1"/>
  <c r="D138" i="20"/>
  <c r="J138" i="20" s="1"/>
  <c r="J139" i="20" s="1"/>
  <c r="B138" i="20"/>
  <c r="B139" i="20" s="1"/>
  <c r="E136" i="20"/>
  <c r="E137" i="20" s="1"/>
  <c r="D136" i="20"/>
  <c r="B136" i="20"/>
  <c r="B137" i="20" s="1"/>
  <c r="E134" i="20"/>
  <c r="E135" i="20" s="1"/>
  <c r="D134" i="20"/>
  <c r="J134" i="20" s="1"/>
  <c r="J135" i="20" s="1"/>
  <c r="B134" i="20"/>
  <c r="B135" i="20" s="1"/>
  <c r="E132" i="20"/>
  <c r="E133" i="20" s="1"/>
  <c r="D132" i="20"/>
  <c r="D133" i="20" s="1"/>
  <c r="B132" i="20"/>
  <c r="B133" i="20" s="1"/>
  <c r="E130" i="20"/>
  <c r="E131" i="20" s="1"/>
  <c r="D130" i="20"/>
  <c r="I130" i="20" s="1"/>
  <c r="I131" i="20" s="1"/>
  <c r="B130" i="20"/>
  <c r="B131" i="20" s="1"/>
  <c r="E128" i="20"/>
  <c r="E129" i="20" s="1"/>
  <c r="D128" i="20"/>
  <c r="D129" i="20" s="1"/>
  <c r="B128" i="20"/>
  <c r="B129" i="20" s="1"/>
  <c r="E126" i="20"/>
  <c r="E127" i="20" s="1"/>
  <c r="D126" i="20"/>
  <c r="J126" i="20" s="1"/>
  <c r="J127" i="20" s="1"/>
  <c r="B126" i="20"/>
  <c r="B127" i="20" s="1"/>
  <c r="E124" i="20"/>
  <c r="E125" i="20" s="1"/>
  <c r="D124" i="20"/>
  <c r="D125" i="20" s="1"/>
  <c r="B124" i="20"/>
  <c r="B125" i="20" s="1"/>
  <c r="E122" i="20"/>
  <c r="E123" i="20" s="1"/>
  <c r="D122" i="20"/>
  <c r="J122" i="20" s="1"/>
  <c r="J123" i="20" s="1"/>
  <c r="B122" i="20"/>
  <c r="B123" i="20" s="1"/>
  <c r="E120" i="20"/>
  <c r="E121" i="20" s="1"/>
  <c r="D120" i="20"/>
  <c r="B120" i="20"/>
  <c r="B121" i="20" s="1"/>
  <c r="E118" i="20"/>
  <c r="E119" i="20" s="1"/>
  <c r="D118" i="20"/>
  <c r="I118" i="20" s="1"/>
  <c r="I119" i="20" s="1"/>
  <c r="B118" i="20"/>
  <c r="B119" i="20" s="1"/>
  <c r="E116" i="20"/>
  <c r="E117" i="20" s="1"/>
  <c r="D116" i="20"/>
  <c r="D117" i="20" s="1"/>
  <c r="B116" i="20"/>
  <c r="B117" i="20" s="1"/>
  <c r="E114" i="20"/>
  <c r="E115" i="20" s="1"/>
  <c r="D114" i="20"/>
  <c r="H114" i="20" s="1"/>
  <c r="H115" i="20" s="1"/>
  <c r="B114" i="20"/>
  <c r="B115" i="20" s="1"/>
  <c r="E112" i="20"/>
  <c r="E113" i="20" s="1"/>
  <c r="D112" i="20"/>
  <c r="B112" i="20"/>
  <c r="B113" i="20" s="1"/>
  <c r="E110" i="20"/>
  <c r="E111" i="20" s="1"/>
  <c r="D110" i="20"/>
  <c r="H110" i="20" s="1"/>
  <c r="H111" i="20" s="1"/>
  <c r="B110" i="20"/>
  <c r="B111" i="20" s="1"/>
  <c r="E108" i="20"/>
  <c r="E109" i="20" s="1"/>
  <c r="D108" i="20"/>
  <c r="B108" i="20"/>
  <c r="B109" i="20" s="1"/>
  <c r="E106" i="20"/>
  <c r="E107" i="20" s="1"/>
  <c r="D106" i="20"/>
  <c r="B106" i="20"/>
  <c r="B107" i="20" s="1"/>
  <c r="E104" i="20"/>
  <c r="E105" i="20" s="1"/>
  <c r="D104" i="20"/>
  <c r="B104" i="20"/>
  <c r="B105" i="20" s="1"/>
  <c r="E102" i="20"/>
  <c r="E103" i="20" s="1"/>
  <c r="D102" i="20"/>
  <c r="B102" i="20"/>
  <c r="B103" i="20" s="1"/>
  <c r="E100" i="20"/>
  <c r="E101" i="20" s="1"/>
  <c r="D100" i="20"/>
  <c r="B100" i="20"/>
  <c r="B101" i="20" s="1"/>
  <c r="E98" i="20"/>
  <c r="E99" i="20" s="1"/>
  <c r="D98" i="20"/>
  <c r="J98" i="20" s="1"/>
  <c r="J99" i="20" s="1"/>
  <c r="B98" i="20"/>
  <c r="B99" i="20" s="1"/>
  <c r="E96" i="20"/>
  <c r="E97" i="20" s="1"/>
  <c r="D96" i="20"/>
  <c r="I96" i="20" s="1"/>
  <c r="I97" i="20" s="1"/>
  <c r="B96" i="20"/>
  <c r="B97" i="20" s="1"/>
  <c r="E94" i="20"/>
  <c r="E95" i="20" s="1"/>
  <c r="D94" i="20"/>
  <c r="H94" i="20" s="1"/>
  <c r="H95" i="20" s="1"/>
  <c r="B94" i="20"/>
  <c r="B95" i="20" s="1"/>
  <c r="E92" i="20"/>
  <c r="E93" i="20" s="1"/>
  <c r="D92" i="20"/>
  <c r="J92" i="20" s="1"/>
  <c r="J93" i="20" s="1"/>
  <c r="B92" i="20"/>
  <c r="B93" i="20" s="1"/>
  <c r="E90" i="20"/>
  <c r="E91" i="20" s="1"/>
  <c r="D90" i="20"/>
  <c r="J90" i="20" s="1"/>
  <c r="J91" i="20" s="1"/>
  <c r="B90" i="20"/>
  <c r="B91" i="20" s="1"/>
  <c r="E88" i="20"/>
  <c r="E89" i="20" s="1"/>
  <c r="D88" i="20"/>
  <c r="D89" i="20" s="1"/>
  <c r="B88" i="20"/>
  <c r="B89" i="20" s="1"/>
  <c r="E86" i="20"/>
  <c r="E87" i="20" s="1"/>
  <c r="D86" i="20"/>
  <c r="J86" i="20" s="1"/>
  <c r="J87" i="20" s="1"/>
  <c r="B86" i="20"/>
  <c r="B87" i="20" s="1"/>
  <c r="E84" i="20"/>
  <c r="E85" i="20" s="1"/>
  <c r="D84" i="20"/>
  <c r="B84" i="20"/>
  <c r="B85" i="20" s="1"/>
  <c r="E82" i="20"/>
  <c r="E83" i="20" s="1"/>
  <c r="D82" i="20"/>
  <c r="H82" i="20" s="1"/>
  <c r="H83" i="20" s="1"/>
  <c r="B82" i="20"/>
  <c r="B83" i="20" s="1"/>
  <c r="E80" i="20"/>
  <c r="E81" i="20" s="1"/>
  <c r="D80" i="20"/>
  <c r="D81" i="20" s="1"/>
  <c r="B80" i="20"/>
  <c r="B81" i="20" s="1"/>
  <c r="E78" i="20"/>
  <c r="E79" i="20" s="1"/>
  <c r="D78" i="20"/>
  <c r="I78" i="20" s="1"/>
  <c r="I79" i="20" s="1"/>
  <c r="B78" i="20"/>
  <c r="B79" i="20" s="1"/>
  <c r="E76" i="20"/>
  <c r="E77" i="20" s="1"/>
  <c r="D76" i="20"/>
  <c r="B76" i="20"/>
  <c r="B77" i="20" s="1"/>
  <c r="E74" i="20"/>
  <c r="E75" i="20" s="1"/>
  <c r="D74" i="20"/>
  <c r="H74" i="20" s="1"/>
  <c r="H75" i="20" s="1"/>
  <c r="B74" i="20"/>
  <c r="B75" i="20" s="1"/>
  <c r="E72" i="20"/>
  <c r="E73" i="20" s="1"/>
  <c r="D72" i="20"/>
  <c r="D73" i="20" s="1"/>
  <c r="B72" i="20"/>
  <c r="B73" i="20" s="1"/>
  <c r="E70" i="20"/>
  <c r="E71" i="20" s="1"/>
  <c r="D70" i="20"/>
  <c r="H70" i="20" s="1"/>
  <c r="H71" i="20" s="1"/>
  <c r="B70" i="20"/>
  <c r="B71" i="20" s="1"/>
  <c r="E68" i="20"/>
  <c r="E69" i="20" s="1"/>
  <c r="D68" i="20"/>
  <c r="H68" i="20" s="1"/>
  <c r="H69" i="20" s="1"/>
  <c r="B68" i="20"/>
  <c r="B69" i="20" s="1"/>
  <c r="E66" i="20"/>
  <c r="E67" i="20" s="1"/>
  <c r="D66" i="20"/>
  <c r="B66" i="20"/>
  <c r="B67" i="20" s="1"/>
  <c r="E64" i="20"/>
  <c r="E65" i="20" s="1"/>
  <c r="D64" i="20"/>
  <c r="B64" i="20"/>
  <c r="B65" i="20" s="1"/>
  <c r="E62" i="20"/>
  <c r="E63" i="20" s="1"/>
  <c r="D62" i="20"/>
  <c r="J62" i="20" s="1"/>
  <c r="J63" i="20" s="1"/>
  <c r="B62" i="20"/>
  <c r="B63" i="20" s="1"/>
  <c r="E60" i="20"/>
  <c r="E61" i="20" s="1"/>
  <c r="D60" i="20"/>
  <c r="D61" i="20" s="1"/>
  <c r="B60" i="20"/>
  <c r="B61" i="20" s="1"/>
  <c r="E58" i="20"/>
  <c r="E59" i="20" s="1"/>
  <c r="D58" i="20"/>
  <c r="J58" i="20" s="1"/>
  <c r="J59" i="20" s="1"/>
  <c r="B58" i="20"/>
  <c r="B59" i="20" s="1"/>
  <c r="E56" i="20"/>
  <c r="E57" i="20" s="1"/>
  <c r="D56" i="20"/>
  <c r="B56" i="20"/>
  <c r="B57" i="20" s="1"/>
  <c r="E54" i="20"/>
  <c r="E55" i="20" s="1"/>
  <c r="D54" i="20"/>
  <c r="B54" i="20"/>
  <c r="B55" i="20" s="1"/>
  <c r="E52" i="20"/>
  <c r="E53" i="20" s="1"/>
  <c r="D52" i="20"/>
  <c r="D53" i="20" s="1"/>
  <c r="B52" i="20"/>
  <c r="B53" i="20" s="1"/>
  <c r="E50" i="20"/>
  <c r="E51" i="20" s="1"/>
  <c r="D50" i="20"/>
  <c r="I50" i="20" s="1"/>
  <c r="I51" i="20" s="1"/>
  <c r="B50" i="20"/>
  <c r="B51" i="20" s="1"/>
  <c r="E48" i="20"/>
  <c r="E49" i="20" s="1"/>
  <c r="D48" i="20"/>
  <c r="H48" i="20" s="1"/>
  <c r="H49" i="20" s="1"/>
  <c r="B48" i="20"/>
  <c r="B49" i="20" s="1"/>
  <c r="E46" i="20"/>
  <c r="E47" i="20" s="1"/>
  <c r="D46" i="20"/>
  <c r="B46" i="20"/>
  <c r="B47" i="20" s="1"/>
  <c r="E44" i="20"/>
  <c r="E45" i="20" s="1"/>
  <c r="D44" i="20"/>
  <c r="D45" i="20" s="1"/>
  <c r="B44" i="20"/>
  <c r="B45" i="20" s="1"/>
  <c r="E42" i="20"/>
  <c r="E43" i="20" s="1"/>
  <c r="D42" i="20"/>
  <c r="I42" i="20" s="1"/>
  <c r="I43" i="20" s="1"/>
  <c r="B42" i="20"/>
  <c r="B43" i="20" s="1"/>
  <c r="E40" i="20"/>
  <c r="E41" i="20" s="1"/>
  <c r="D40" i="20"/>
  <c r="B40" i="20"/>
  <c r="B41" i="20" s="1"/>
  <c r="E38" i="20"/>
  <c r="E39" i="20" s="1"/>
  <c r="D38" i="20"/>
  <c r="I38" i="20" s="1"/>
  <c r="I39" i="20" s="1"/>
  <c r="B38" i="20"/>
  <c r="B39" i="20" s="1"/>
  <c r="E36" i="20"/>
  <c r="E37" i="20" s="1"/>
  <c r="D36" i="20"/>
  <c r="B36" i="20"/>
  <c r="B37" i="20" s="1"/>
  <c r="E34" i="20"/>
  <c r="E35" i="20" s="1"/>
  <c r="D34" i="20"/>
  <c r="J34" i="20" s="1"/>
  <c r="J35" i="20" s="1"/>
  <c r="B34" i="20"/>
  <c r="B35" i="20" s="1"/>
  <c r="E32" i="20"/>
  <c r="E33" i="20" s="1"/>
  <c r="D32" i="20"/>
  <c r="H32" i="20" s="1"/>
  <c r="H33" i="20" s="1"/>
  <c r="B32" i="20"/>
  <c r="B33" i="20" s="1"/>
  <c r="E30" i="20"/>
  <c r="E31" i="20" s="1"/>
  <c r="D30" i="20"/>
  <c r="H30" i="20" s="1"/>
  <c r="H31" i="20" s="1"/>
  <c r="B30" i="20"/>
  <c r="B31" i="20" s="1"/>
  <c r="E28" i="20"/>
  <c r="E29" i="20" s="1"/>
  <c r="D28" i="20"/>
  <c r="B28" i="20"/>
  <c r="B29" i="20" s="1"/>
  <c r="E26" i="20"/>
  <c r="E27" i="20" s="1"/>
  <c r="D26" i="20"/>
  <c r="H26" i="20" s="1"/>
  <c r="H27" i="20" s="1"/>
  <c r="B26" i="20"/>
  <c r="B27" i="20" s="1"/>
  <c r="E24" i="20"/>
  <c r="E25" i="20" s="1"/>
  <c r="D24" i="20"/>
  <c r="B24" i="20"/>
  <c r="B25" i="20" s="1"/>
  <c r="E22" i="20"/>
  <c r="E23" i="20" s="1"/>
  <c r="D22" i="20"/>
  <c r="I22" i="20" s="1"/>
  <c r="I23" i="20" s="1"/>
  <c r="B22" i="20"/>
  <c r="B23" i="20" s="1"/>
  <c r="E20" i="20"/>
  <c r="E21" i="20" s="1"/>
  <c r="D20" i="20"/>
  <c r="H20" i="20" s="1"/>
  <c r="B20" i="20"/>
  <c r="B21" i="20" s="1"/>
  <c r="E18" i="20"/>
  <c r="E19" i="20" s="1"/>
  <c r="D18" i="20"/>
  <c r="J18" i="20" s="1"/>
  <c r="J19" i="20" s="1"/>
  <c r="B18" i="20"/>
  <c r="B19" i="20" s="1"/>
  <c r="E16" i="20"/>
  <c r="E17" i="20" s="1"/>
  <c r="D16" i="20"/>
  <c r="B16" i="20"/>
  <c r="B17" i="20" s="1"/>
  <c r="E14" i="20"/>
  <c r="E15" i="20" s="1"/>
  <c r="D14" i="20"/>
  <c r="B14" i="20"/>
  <c r="B15" i="20" s="1"/>
  <c r="E12" i="20"/>
  <c r="E13" i="20" s="1"/>
  <c r="D12" i="20"/>
  <c r="D13" i="20" s="1"/>
  <c r="B12" i="20"/>
  <c r="B13" i="20" s="1"/>
  <c r="E10" i="20"/>
  <c r="E11" i="20" s="1"/>
  <c r="D10" i="20"/>
  <c r="I10" i="20" s="1"/>
  <c r="I11" i="20" s="1"/>
  <c r="B10" i="20"/>
  <c r="B11" i="20" s="1"/>
  <c r="E8" i="20"/>
  <c r="E9" i="20" s="1"/>
  <c r="D8" i="20"/>
  <c r="B8" i="20"/>
  <c r="B9" i="20" s="1"/>
  <c r="E6" i="20"/>
  <c r="E7" i="20" s="1"/>
  <c r="D6" i="20"/>
  <c r="J6" i="20" s="1"/>
  <c r="J7" i="20" s="1"/>
  <c r="B6" i="20"/>
  <c r="B7" i="20" s="1"/>
  <c r="E2" i="20"/>
  <c r="E3" i="20" s="1"/>
  <c r="D2" i="20"/>
  <c r="H2" i="20" s="1"/>
  <c r="H3" i="20" s="1"/>
  <c r="B2" i="20"/>
  <c r="B3" i="20" s="1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47" i="17"/>
  <c r="A197" i="17"/>
  <c r="A167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33" i="17"/>
  <c r="A4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" i="17"/>
  <c r="E544" i="19"/>
  <c r="E435" i="19"/>
  <c r="E326" i="19"/>
  <c r="E542" i="18"/>
  <c r="E433" i="18"/>
  <c r="E324" i="18"/>
  <c r="I94" i="12"/>
  <c r="G511" i="10" s="1"/>
  <c r="Y94" i="12"/>
  <c r="G611" i="10" s="1"/>
  <c r="Y93" i="12"/>
  <c r="G610" i="10" s="1"/>
  <c r="Y92" i="12"/>
  <c r="G609" i="10" s="1"/>
  <c r="Y89" i="12"/>
  <c r="G606" i="10" s="1"/>
  <c r="I93" i="12"/>
  <c r="G510" i="10" s="1"/>
  <c r="I92" i="12"/>
  <c r="G509" i="10" s="1"/>
  <c r="I89" i="12"/>
  <c r="G506" i="10" s="1"/>
  <c r="C62" i="14"/>
  <c r="AW114" i="14"/>
  <c r="O91" i="16" s="1"/>
  <c r="AV114" i="14"/>
  <c r="N91" i="16" s="1"/>
  <c r="Y114" i="14"/>
  <c r="Q114" i="14"/>
  <c r="I114" i="14"/>
  <c r="AW113" i="14"/>
  <c r="O90" i="16" s="1"/>
  <c r="AV113" i="14"/>
  <c r="N90" i="16" s="1"/>
  <c r="Y113" i="14"/>
  <c r="Q113" i="14"/>
  <c r="I113" i="14"/>
  <c r="AW112" i="14"/>
  <c r="O89" i="16" s="1"/>
  <c r="AV112" i="14"/>
  <c r="N89" i="16" s="1"/>
  <c r="Y112" i="14"/>
  <c r="Q112" i="14"/>
  <c r="I112" i="14"/>
  <c r="AW111" i="14"/>
  <c r="AV111" i="14"/>
  <c r="N88" i="16" s="1"/>
  <c r="Y111" i="14"/>
  <c r="Q111" i="14"/>
  <c r="I111" i="14"/>
  <c r="AW110" i="14"/>
  <c r="O87" i="16" s="1"/>
  <c r="AV110" i="14"/>
  <c r="Y110" i="14"/>
  <c r="Q110" i="14"/>
  <c r="I110" i="14"/>
  <c r="AW109" i="14"/>
  <c r="O86" i="16" s="1"/>
  <c r="AV109" i="14"/>
  <c r="N86" i="16" s="1"/>
  <c r="Y109" i="14"/>
  <c r="Q109" i="14"/>
  <c r="I109" i="14"/>
  <c r="AW108" i="14"/>
  <c r="O85" i="16" s="1"/>
  <c r="AV108" i="14"/>
  <c r="N85" i="16" s="1"/>
  <c r="Y108" i="14"/>
  <c r="Q108" i="14"/>
  <c r="I108" i="14"/>
  <c r="AW107" i="14"/>
  <c r="O84" i="16" s="1"/>
  <c r="AV107" i="14"/>
  <c r="N84" i="16" s="1"/>
  <c r="Y107" i="14"/>
  <c r="Q107" i="14"/>
  <c r="I107" i="14"/>
  <c r="AW106" i="14"/>
  <c r="AV106" i="14"/>
  <c r="N83" i="16" s="1"/>
  <c r="Y106" i="14"/>
  <c r="Q106" i="14"/>
  <c r="I106" i="14"/>
  <c r="AW105" i="14"/>
  <c r="O82" i="16" s="1"/>
  <c r="AV105" i="14"/>
  <c r="N82" i="16" s="1"/>
  <c r="Y105" i="14"/>
  <c r="Q105" i="14"/>
  <c r="I105" i="14"/>
  <c r="AW104" i="14"/>
  <c r="O81" i="16" s="1"/>
  <c r="AV104" i="14"/>
  <c r="Y104" i="14"/>
  <c r="Q104" i="14"/>
  <c r="I104" i="14"/>
  <c r="AW103" i="14"/>
  <c r="O80" i="16" s="1"/>
  <c r="AV103" i="14"/>
  <c r="N80" i="16" s="1"/>
  <c r="Y103" i="14"/>
  <c r="Q103" i="14"/>
  <c r="I103" i="14"/>
  <c r="AW102" i="14"/>
  <c r="O79" i="16" s="1"/>
  <c r="AV102" i="14"/>
  <c r="N79" i="16" s="1"/>
  <c r="Y102" i="14"/>
  <c r="Q102" i="14"/>
  <c r="I102" i="14"/>
  <c r="AW101" i="14"/>
  <c r="O78" i="16" s="1"/>
  <c r="AV101" i="14"/>
  <c r="N78" i="16" s="1"/>
  <c r="Y101" i="14"/>
  <c r="Q101" i="14"/>
  <c r="I101" i="14"/>
  <c r="AW100" i="14"/>
  <c r="O77" i="16" s="1"/>
  <c r="AV100" i="14"/>
  <c r="N77" i="16" s="1"/>
  <c r="Y100" i="14"/>
  <c r="Q100" i="14"/>
  <c r="I100" i="14"/>
  <c r="AW99" i="14"/>
  <c r="AV99" i="14"/>
  <c r="N76" i="16" s="1"/>
  <c r="Y99" i="14"/>
  <c r="Q99" i="14"/>
  <c r="I99" i="14"/>
  <c r="AW98" i="14"/>
  <c r="O75" i="16" s="1"/>
  <c r="AV98" i="14"/>
  <c r="N75" i="16" s="1"/>
  <c r="Y98" i="14"/>
  <c r="Q98" i="14"/>
  <c r="I98" i="14"/>
  <c r="AW97" i="14"/>
  <c r="O74" i="16" s="1"/>
  <c r="AV97" i="14"/>
  <c r="N74" i="16" s="1"/>
  <c r="Y97" i="14"/>
  <c r="Q97" i="14"/>
  <c r="I97" i="14"/>
  <c r="AW96" i="14"/>
  <c r="O73" i="16" s="1"/>
  <c r="AV96" i="14"/>
  <c r="N73" i="16" s="1"/>
  <c r="Y96" i="14"/>
  <c r="Q96" i="14"/>
  <c r="I96" i="14"/>
  <c r="AW95" i="14"/>
  <c r="O72" i="16" s="1"/>
  <c r="AV95" i="14"/>
  <c r="N72" i="16" s="1"/>
  <c r="Y95" i="14"/>
  <c r="Q95" i="14"/>
  <c r="I95" i="14"/>
  <c r="AW94" i="14"/>
  <c r="O71" i="16" s="1"/>
  <c r="AV94" i="14"/>
  <c r="N71" i="16" s="1"/>
  <c r="Y94" i="14"/>
  <c r="Q94" i="14"/>
  <c r="I94" i="14"/>
  <c r="AW93" i="14"/>
  <c r="O70" i="16" s="1"/>
  <c r="AV93" i="14"/>
  <c r="N70" i="16" s="1"/>
  <c r="Y93" i="14"/>
  <c r="Q93" i="14"/>
  <c r="I93" i="14"/>
  <c r="AW92" i="14"/>
  <c r="O69" i="16" s="1"/>
  <c r="AV92" i="14"/>
  <c r="N69" i="16" s="1"/>
  <c r="Y92" i="14"/>
  <c r="Q92" i="14"/>
  <c r="I92" i="14"/>
  <c r="AW91" i="14"/>
  <c r="O68" i="16" s="1"/>
  <c r="AV91" i="14"/>
  <c r="N68" i="16" s="1"/>
  <c r="Y91" i="14"/>
  <c r="Q91" i="14"/>
  <c r="I91" i="14"/>
  <c r="AW90" i="14"/>
  <c r="O67" i="16" s="1"/>
  <c r="AV90" i="14"/>
  <c r="N67" i="16" s="1"/>
  <c r="Y90" i="14"/>
  <c r="Q90" i="14"/>
  <c r="I90" i="14"/>
  <c r="AW89" i="14"/>
  <c r="O66" i="16" s="1"/>
  <c r="AV89" i="14"/>
  <c r="N66" i="16" s="1"/>
  <c r="Y89" i="14"/>
  <c r="Q89" i="14"/>
  <c r="I89" i="14"/>
  <c r="AW88" i="14"/>
  <c r="O65" i="16" s="1"/>
  <c r="AV88" i="14"/>
  <c r="Y88" i="14"/>
  <c r="Q88" i="14"/>
  <c r="I88" i="14"/>
  <c r="AW87" i="14"/>
  <c r="O64" i="16" s="1"/>
  <c r="AV87" i="14"/>
  <c r="N64" i="16" s="1"/>
  <c r="Y87" i="14"/>
  <c r="Q87" i="14"/>
  <c r="I87" i="14"/>
  <c r="AW86" i="14"/>
  <c r="O63" i="16" s="1"/>
  <c r="AV86" i="14"/>
  <c r="N63" i="16" s="1"/>
  <c r="Y86" i="14"/>
  <c r="Q86" i="14"/>
  <c r="I86" i="14"/>
  <c r="AW65" i="14"/>
  <c r="O62" i="16" s="1"/>
  <c r="AV65" i="14"/>
  <c r="N62" i="16" s="1"/>
  <c r="Y65" i="14"/>
  <c r="Q65" i="14"/>
  <c r="I65" i="14"/>
  <c r="AW54" i="14"/>
  <c r="D91" i="16" s="1"/>
  <c r="AV54" i="14"/>
  <c r="C91" i="16" s="1"/>
  <c r="AW53" i="14"/>
  <c r="D90" i="16" s="1"/>
  <c r="AV53" i="14"/>
  <c r="AW52" i="14"/>
  <c r="D89" i="16" s="1"/>
  <c r="AV52" i="14"/>
  <c r="C89" i="16" s="1"/>
  <c r="AW51" i="14"/>
  <c r="D88" i="16" s="1"/>
  <c r="AV51" i="14"/>
  <c r="C88" i="16" s="1"/>
  <c r="AW50" i="14"/>
  <c r="D87" i="16" s="1"/>
  <c r="AV50" i="14"/>
  <c r="C87" i="16" s="1"/>
  <c r="AW49" i="14"/>
  <c r="D86" i="16" s="1"/>
  <c r="AV49" i="14"/>
  <c r="C86" i="16" s="1"/>
  <c r="AW48" i="14"/>
  <c r="D85" i="16" s="1"/>
  <c r="AV48" i="14"/>
  <c r="C85" i="16" s="1"/>
  <c r="AW47" i="14"/>
  <c r="D84" i="16" s="1"/>
  <c r="AV47" i="14"/>
  <c r="AW46" i="14"/>
  <c r="AV46" i="14"/>
  <c r="C83" i="16" s="1"/>
  <c r="AW45" i="14"/>
  <c r="D82" i="16" s="1"/>
  <c r="AV45" i="14"/>
  <c r="C82" i="16" s="1"/>
  <c r="AW44" i="14"/>
  <c r="D81" i="16" s="1"/>
  <c r="AV44" i="14"/>
  <c r="C81" i="16" s="1"/>
  <c r="AW43" i="14"/>
  <c r="D80" i="16" s="1"/>
  <c r="AV43" i="14"/>
  <c r="AW42" i="14"/>
  <c r="D79" i="16" s="1"/>
  <c r="AV42" i="14"/>
  <c r="C79" i="16" s="1"/>
  <c r="AW41" i="14"/>
  <c r="D78" i="16" s="1"/>
  <c r="AV41" i="14"/>
  <c r="C78" i="16" s="1"/>
  <c r="AW40" i="14"/>
  <c r="D77" i="16" s="1"/>
  <c r="AV40" i="14"/>
  <c r="C77" i="16" s="1"/>
  <c r="AW39" i="14"/>
  <c r="AV39" i="14"/>
  <c r="C76" i="16" s="1"/>
  <c r="AW38" i="14"/>
  <c r="D75" i="16" s="1"/>
  <c r="AV38" i="14"/>
  <c r="C75" i="16" s="1"/>
  <c r="AW37" i="14"/>
  <c r="D74" i="16" s="1"/>
  <c r="AV37" i="14"/>
  <c r="C74" i="16" s="1"/>
  <c r="AW36" i="14"/>
  <c r="AV36" i="14"/>
  <c r="C73" i="16" s="1"/>
  <c r="AW35" i="14"/>
  <c r="D72" i="16" s="1"/>
  <c r="AV35" i="14"/>
  <c r="C72" i="16" s="1"/>
  <c r="AW34" i="14"/>
  <c r="AV34" i="14"/>
  <c r="C71" i="16" s="1"/>
  <c r="AW33" i="14"/>
  <c r="D70" i="16" s="1"/>
  <c r="AV33" i="14"/>
  <c r="AW32" i="14"/>
  <c r="AV32" i="14"/>
  <c r="C69" i="16" s="1"/>
  <c r="AW31" i="14"/>
  <c r="D68" i="16" s="1"/>
  <c r="AV31" i="14"/>
  <c r="AW30" i="14"/>
  <c r="D67" i="16" s="1"/>
  <c r="AV30" i="14"/>
  <c r="C67" i="16" s="1"/>
  <c r="AW29" i="14"/>
  <c r="D66" i="16" s="1"/>
  <c r="AV29" i="14"/>
  <c r="AW28" i="14"/>
  <c r="AV28" i="14"/>
  <c r="C65" i="16" s="1"/>
  <c r="AW27" i="14"/>
  <c r="D64" i="16" s="1"/>
  <c r="AV27" i="14"/>
  <c r="C64" i="16" s="1"/>
  <c r="AW26" i="14"/>
  <c r="D63" i="16" s="1"/>
  <c r="AV26" i="14"/>
  <c r="C63" i="16" s="1"/>
  <c r="AW5" i="14"/>
  <c r="AV5" i="14"/>
  <c r="C62" i="16" s="1"/>
  <c r="C174" i="15"/>
  <c r="C175" i="15"/>
  <c r="G180" i="15"/>
  <c r="E204" i="15"/>
  <c r="G141" i="15"/>
  <c r="H142" i="15"/>
  <c r="H144" i="15"/>
  <c r="H146" i="15"/>
  <c r="C148" i="15"/>
  <c r="E170" i="15"/>
  <c r="G107" i="15"/>
  <c r="C108" i="15"/>
  <c r="G112" i="15"/>
  <c r="E136" i="15"/>
  <c r="AV2" i="4"/>
  <c r="Q90" i="12"/>
  <c r="G557" i="10" s="1"/>
  <c r="Q86" i="12"/>
  <c r="Q65" i="12"/>
  <c r="G532" i="10" s="1"/>
  <c r="Q91" i="12"/>
  <c r="G558" i="10" s="1"/>
  <c r="Q87" i="12"/>
  <c r="G554" i="10" s="1"/>
  <c r="Q88" i="12"/>
  <c r="G555" i="10" s="1"/>
  <c r="Q94" i="12"/>
  <c r="G561" i="10" s="1"/>
  <c r="Q93" i="12"/>
  <c r="G560" i="10" s="1"/>
  <c r="Q92" i="12"/>
  <c r="G559" i="10" s="1"/>
  <c r="Q89" i="12"/>
  <c r="G556" i="10" s="1"/>
  <c r="Y2" i="12"/>
  <c r="C2" i="12"/>
  <c r="AW114" i="12"/>
  <c r="O61" i="16" s="1"/>
  <c r="AV114" i="12"/>
  <c r="Y114" i="12"/>
  <c r="G631" i="10" s="1"/>
  <c r="Q114" i="12"/>
  <c r="G581" i="10" s="1"/>
  <c r="I114" i="12"/>
  <c r="G531" i="10" s="1"/>
  <c r="AW113" i="12"/>
  <c r="O60" i="16" s="1"/>
  <c r="AV113" i="12"/>
  <c r="N60" i="16" s="1"/>
  <c r="Y113" i="12"/>
  <c r="G630" i="10" s="1"/>
  <c r="Q113" i="12"/>
  <c r="G580" i="10" s="1"/>
  <c r="I113" i="12"/>
  <c r="G530" i="10" s="1"/>
  <c r="AW112" i="12"/>
  <c r="O59" i="16" s="1"/>
  <c r="AV112" i="12"/>
  <c r="N59" i="16" s="1"/>
  <c r="Y112" i="12"/>
  <c r="G629" i="10" s="1"/>
  <c r="Q112" i="12"/>
  <c r="G579" i="10" s="1"/>
  <c r="I112" i="12"/>
  <c r="G529" i="10" s="1"/>
  <c r="AW111" i="12"/>
  <c r="O58" i="16" s="1"/>
  <c r="AV111" i="12"/>
  <c r="N58" i="16" s="1"/>
  <c r="Y111" i="12"/>
  <c r="G628" i="10" s="1"/>
  <c r="Q111" i="12"/>
  <c r="G578" i="10" s="1"/>
  <c r="I111" i="12"/>
  <c r="G528" i="10" s="1"/>
  <c r="AW110" i="12"/>
  <c r="O57" i="16" s="1"/>
  <c r="AV110" i="12"/>
  <c r="N57" i="16" s="1"/>
  <c r="Y110" i="12"/>
  <c r="G627" i="10" s="1"/>
  <c r="Q110" i="12"/>
  <c r="G577" i="10" s="1"/>
  <c r="I110" i="12"/>
  <c r="G527" i="10" s="1"/>
  <c r="AW109" i="12"/>
  <c r="O56" i="16" s="1"/>
  <c r="AV109" i="12"/>
  <c r="N56" i="16" s="1"/>
  <c r="Y109" i="12"/>
  <c r="G626" i="10" s="1"/>
  <c r="Q109" i="12"/>
  <c r="G576" i="10" s="1"/>
  <c r="I109" i="12"/>
  <c r="G526" i="10" s="1"/>
  <c r="AW108" i="12"/>
  <c r="O55" i="16" s="1"/>
  <c r="AV108" i="12"/>
  <c r="N55" i="16" s="1"/>
  <c r="D625" i="10"/>
  <c r="AW107" i="12"/>
  <c r="O54" i="16" s="1"/>
  <c r="AV107" i="12"/>
  <c r="N54" i="16" s="1"/>
  <c r="D624" i="10"/>
  <c r="AW106" i="12"/>
  <c r="O53" i="16" s="1"/>
  <c r="AV106" i="12"/>
  <c r="N53" i="16" s="1"/>
  <c r="D523" i="10"/>
  <c r="AW105" i="12"/>
  <c r="O52" i="16" s="1"/>
  <c r="AV105" i="12"/>
  <c r="N52" i="16" s="1"/>
  <c r="AW104" i="12"/>
  <c r="O51" i="16" s="1"/>
  <c r="AV104" i="12"/>
  <c r="N51" i="16" s="1"/>
  <c r="AW103" i="12"/>
  <c r="O50" i="16" s="1"/>
  <c r="AV103" i="12"/>
  <c r="N50" i="16" s="1"/>
  <c r="AW102" i="12"/>
  <c r="O49" i="16" s="1"/>
  <c r="AV102" i="12"/>
  <c r="N49" i="16" s="1"/>
  <c r="AW101" i="12"/>
  <c r="O48" i="16" s="1"/>
  <c r="AV101" i="12"/>
  <c r="AW100" i="12"/>
  <c r="O47" i="16" s="1"/>
  <c r="AV100" i="12"/>
  <c r="N47" i="16" s="1"/>
  <c r="AW99" i="12"/>
  <c r="O46" i="16" s="1"/>
  <c r="AV99" i="12"/>
  <c r="N46" i="16" s="1"/>
  <c r="AW98" i="12"/>
  <c r="O45" i="16" s="1"/>
  <c r="AV98" i="12"/>
  <c r="N45" i="16" s="1"/>
  <c r="AW97" i="12"/>
  <c r="O44" i="16" s="1"/>
  <c r="AV97" i="12"/>
  <c r="AW96" i="12"/>
  <c r="O43" i="16" s="1"/>
  <c r="AV96" i="12"/>
  <c r="N43" i="16" s="1"/>
  <c r="D613" i="10"/>
  <c r="AW95" i="12"/>
  <c r="O42" i="16" s="1"/>
  <c r="AV95" i="12"/>
  <c r="N42" i="16" s="1"/>
  <c r="AW94" i="12"/>
  <c r="O41" i="16" s="1"/>
  <c r="AV94" i="12"/>
  <c r="N41" i="16" s="1"/>
  <c r="AW93" i="12"/>
  <c r="O40" i="16" s="1"/>
  <c r="AV93" i="12"/>
  <c r="N40" i="16" s="1"/>
  <c r="AW92" i="12"/>
  <c r="O39" i="16" s="1"/>
  <c r="AV92" i="12"/>
  <c r="N39" i="16" s="1"/>
  <c r="AW91" i="12"/>
  <c r="O38" i="16" s="1"/>
  <c r="AV91" i="12"/>
  <c r="N38" i="16" s="1"/>
  <c r="AW90" i="12"/>
  <c r="AV90" i="12"/>
  <c r="N37" i="16" s="1"/>
  <c r="AW89" i="12"/>
  <c r="O36" i="16" s="1"/>
  <c r="AV89" i="12"/>
  <c r="AW88" i="12"/>
  <c r="O35" i="16" s="1"/>
  <c r="AV88" i="12"/>
  <c r="N35" i="16" s="1"/>
  <c r="AW87" i="12"/>
  <c r="O34" i="16" s="1"/>
  <c r="AV87" i="12"/>
  <c r="AW86" i="12"/>
  <c r="O33" i="16" s="1"/>
  <c r="AV86" i="12"/>
  <c r="N33" i="16" s="1"/>
  <c r="AW65" i="12"/>
  <c r="O32" i="16" s="1"/>
  <c r="AV65" i="12"/>
  <c r="N32" i="16" s="1"/>
  <c r="D582" i="10"/>
  <c r="AB65" i="12"/>
  <c r="AB105" i="12"/>
  <c r="AC105" i="12" s="1"/>
  <c r="AB108" i="12"/>
  <c r="AC108" i="12" s="1"/>
  <c r="L106" i="12"/>
  <c r="M106" i="12" s="1"/>
  <c r="Z96" i="12"/>
  <c r="AA96" i="12" s="1"/>
  <c r="Z65" i="12"/>
  <c r="Z88" i="12"/>
  <c r="AA88" i="12" s="1"/>
  <c r="Z108" i="12"/>
  <c r="AA108" i="12" s="1"/>
  <c r="J102" i="12"/>
  <c r="K102" i="12" s="1"/>
  <c r="J106" i="12"/>
  <c r="K106" i="12" s="1"/>
  <c r="J21" i="11"/>
  <c r="F21" i="11"/>
  <c r="J20" i="11"/>
  <c r="F20" i="11"/>
  <c r="J19" i="11"/>
  <c r="F19" i="11"/>
  <c r="B21" i="11"/>
  <c r="B20" i="11"/>
  <c r="B19" i="11"/>
  <c r="J2" i="11"/>
  <c r="B15" i="11"/>
  <c r="W75" i="4"/>
  <c r="D54" i="9" s="1"/>
  <c r="J13" i="9" s="1"/>
  <c r="O75" i="4"/>
  <c r="C54" i="9" s="1"/>
  <c r="J12" i="9" s="1"/>
  <c r="G75" i="4"/>
  <c r="B54" i="9" s="1"/>
  <c r="J11" i="9" s="1"/>
  <c r="M964" i="20"/>
  <c r="M965" i="20" s="1"/>
  <c r="M968" i="20"/>
  <c r="M969" i="20" s="1"/>
  <c r="M972" i="20"/>
  <c r="M973" i="20" s="1"/>
  <c r="M976" i="20"/>
  <c r="M977" i="20" s="1"/>
  <c r="M980" i="20"/>
  <c r="M981" i="20" s="1"/>
  <c r="M984" i="20"/>
  <c r="M985" i="20" s="1"/>
  <c r="M988" i="20"/>
  <c r="M989" i="20" s="1"/>
  <c r="M992" i="20"/>
  <c r="M993" i="20" s="1"/>
  <c r="M996" i="20"/>
  <c r="M997" i="20" s="1"/>
  <c r="M1000" i="20"/>
  <c r="M1001" i="20" s="1"/>
  <c r="M1004" i="20"/>
  <c r="M1005" i="20" s="1"/>
  <c r="M1008" i="20"/>
  <c r="M1009" i="20" s="1"/>
  <c r="M1012" i="20"/>
  <c r="M1013" i="20" s="1"/>
  <c r="M1016" i="20"/>
  <c r="M1017" i="20" s="1"/>
  <c r="M1020" i="20"/>
  <c r="M1021" i="20" s="1"/>
  <c r="M1024" i="20"/>
  <c r="M1025" i="20" s="1"/>
  <c r="M1028" i="20"/>
  <c r="M1029" i="20" s="1"/>
  <c r="M1032" i="20"/>
  <c r="M1033" i="20" s="1"/>
  <c r="M1036" i="20"/>
  <c r="M1037" i="20" s="1"/>
  <c r="M1040" i="20"/>
  <c r="M1041" i="20" s="1"/>
  <c r="M1044" i="20"/>
  <c r="M1045" i="20" s="1"/>
  <c r="M1048" i="20"/>
  <c r="M1049" i="20" s="1"/>
  <c r="M1052" i="20"/>
  <c r="M1053" i="20" s="1"/>
  <c r="M1056" i="20"/>
  <c r="M1057" i="20" s="1"/>
  <c r="M1060" i="20"/>
  <c r="M1061" i="20" s="1"/>
  <c r="M1064" i="20"/>
  <c r="M1065" i="20" s="1"/>
  <c r="M1068" i="20"/>
  <c r="M1069" i="20" s="1"/>
  <c r="M1072" i="20"/>
  <c r="M1073" i="20" s="1"/>
  <c r="M1076" i="20"/>
  <c r="M1077" i="20" s="1"/>
  <c r="M1080" i="20"/>
  <c r="M1081" i="20" s="1"/>
  <c r="M1084" i="20"/>
  <c r="M1085" i="20" s="1"/>
  <c r="M1088" i="20"/>
  <c r="M1089" i="20" s="1"/>
  <c r="M1092" i="20"/>
  <c r="M1093" i="20" s="1"/>
  <c r="M1096" i="20"/>
  <c r="M1097" i="20" s="1"/>
  <c r="M1100" i="20"/>
  <c r="M1101" i="20" s="1"/>
  <c r="M1104" i="20"/>
  <c r="M1105" i="20" s="1"/>
  <c r="M1108" i="20"/>
  <c r="M1109" i="20" s="1"/>
  <c r="M1112" i="20"/>
  <c r="M1113" i="20" s="1"/>
  <c r="M1116" i="20"/>
  <c r="M1117" i="20" s="1"/>
  <c r="M1120" i="20"/>
  <c r="M1121" i="20" s="1"/>
  <c r="M1124" i="20"/>
  <c r="M1125" i="20" s="1"/>
  <c r="M1128" i="20"/>
  <c r="M1129" i="20" s="1"/>
  <c r="M1132" i="20"/>
  <c r="M1133" i="20" s="1"/>
  <c r="M1136" i="20"/>
  <c r="M1137" i="20" s="1"/>
  <c r="M1140" i="20"/>
  <c r="M1141" i="20" s="1"/>
  <c r="M1184" i="20"/>
  <c r="M1185" i="20" s="1"/>
  <c r="M1188" i="20"/>
  <c r="M1189" i="20" s="1"/>
  <c r="M1192" i="20"/>
  <c r="M1193" i="20" s="1"/>
  <c r="M1196" i="20"/>
  <c r="M1197" i="20" s="1"/>
  <c r="M1200" i="20"/>
  <c r="M1201" i="20" s="1"/>
  <c r="M1204" i="20"/>
  <c r="M1205" i="20" s="1"/>
  <c r="M1208" i="20"/>
  <c r="M1209" i="20" s="1"/>
  <c r="M1212" i="20"/>
  <c r="M1213" i="20" s="1"/>
  <c r="M1216" i="20"/>
  <c r="M1217" i="20" s="1"/>
  <c r="M1220" i="20"/>
  <c r="M1221" i="20" s="1"/>
  <c r="M1224" i="20"/>
  <c r="M1225" i="20" s="1"/>
  <c r="M1228" i="20"/>
  <c r="M1229" i="20" s="1"/>
  <c r="M1232" i="20"/>
  <c r="M1233" i="20" s="1"/>
  <c r="M1236" i="20"/>
  <c r="M1237" i="20" s="1"/>
  <c r="M1240" i="20"/>
  <c r="M1241" i="20" s="1"/>
  <c r="M1284" i="20"/>
  <c r="M1285" i="20" s="1"/>
  <c r="M1288" i="20"/>
  <c r="M1289" i="20" s="1"/>
  <c r="M1292" i="20"/>
  <c r="M1293" i="20" s="1"/>
  <c r="M1296" i="20"/>
  <c r="M1297" i="20" s="1"/>
  <c r="M1300" i="20"/>
  <c r="M1301" i="20" s="1"/>
  <c r="M1304" i="20"/>
  <c r="M1305" i="20" s="1"/>
  <c r="M1308" i="20"/>
  <c r="M1309" i="20" s="1"/>
  <c r="M1312" i="20"/>
  <c r="M1313" i="20" s="1"/>
  <c r="M1316" i="20"/>
  <c r="M1317" i="20" s="1"/>
  <c r="M1320" i="20"/>
  <c r="M1321" i="20" s="1"/>
  <c r="M1324" i="20"/>
  <c r="M1325" i="20" s="1"/>
  <c r="M1328" i="20"/>
  <c r="M1329" i="20" s="1"/>
  <c r="M1332" i="20"/>
  <c r="M1333" i="20" s="1"/>
  <c r="M1336" i="20"/>
  <c r="M1337" i="20" s="1"/>
  <c r="M1340" i="20"/>
  <c r="M1341" i="20" s="1"/>
  <c r="M1384" i="20"/>
  <c r="M1385" i="20" s="1"/>
  <c r="M1388" i="20"/>
  <c r="M1389" i="20" s="1"/>
  <c r="M1392" i="20"/>
  <c r="M1393" i="20" s="1"/>
  <c r="M1396" i="20"/>
  <c r="M1397" i="20" s="1"/>
  <c r="M1400" i="20"/>
  <c r="M1401" i="20" s="1"/>
  <c r="M1404" i="20"/>
  <c r="M1405" i="20" s="1"/>
  <c r="M1408" i="20"/>
  <c r="M1409" i="20" s="1"/>
  <c r="M1412" i="20"/>
  <c r="M1413" i="20" s="1"/>
  <c r="M1416" i="20"/>
  <c r="M1417" i="20" s="1"/>
  <c r="M1420" i="20"/>
  <c r="M1421" i="20" s="1"/>
  <c r="M966" i="20"/>
  <c r="M967" i="20" s="1"/>
  <c r="M974" i="20"/>
  <c r="M975" i="20" s="1"/>
  <c r="M982" i="20"/>
  <c r="M983" i="20" s="1"/>
  <c r="M990" i="20"/>
  <c r="M991" i="20" s="1"/>
  <c r="M998" i="20"/>
  <c r="M999" i="20" s="1"/>
  <c r="M1006" i="20"/>
  <c r="M1007" i="20" s="1"/>
  <c r="M1014" i="20"/>
  <c r="M1015" i="20" s="1"/>
  <c r="M1022" i="20"/>
  <c r="M1023" i="20" s="1"/>
  <c r="M1030" i="20"/>
  <c r="M1031" i="20" s="1"/>
  <c r="M1038" i="20"/>
  <c r="M1039" i="20" s="1"/>
  <c r="M1046" i="20"/>
  <c r="M1047" i="20" s="1"/>
  <c r="M1054" i="20"/>
  <c r="M1055" i="20" s="1"/>
  <c r="M1062" i="20"/>
  <c r="M1063" i="20" s="1"/>
  <c r="M1070" i="20"/>
  <c r="M1071" i="20" s="1"/>
  <c r="M1078" i="20"/>
  <c r="M1079" i="20" s="1"/>
  <c r="M1086" i="20"/>
  <c r="M1087" i="20" s="1"/>
  <c r="M1094" i="20"/>
  <c r="M1095" i="20" s="1"/>
  <c r="M1102" i="20"/>
  <c r="M1103" i="20" s="1"/>
  <c r="M1110" i="20"/>
  <c r="M1111" i="20" s="1"/>
  <c r="M1118" i="20"/>
  <c r="M1119" i="20" s="1"/>
  <c r="M1126" i="20"/>
  <c r="M1127" i="20" s="1"/>
  <c r="M1134" i="20"/>
  <c r="M1135" i="20" s="1"/>
  <c r="M1142" i="20"/>
  <c r="M1143" i="20" s="1"/>
  <c r="M1190" i="20"/>
  <c r="M1191" i="20" s="1"/>
  <c r="M1198" i="20"/>
  <c r="M1199" i="20" s="1"/>
  <c r="M1206" i="20"/>
  <c r="M1207" i="20" s="1"/>
  <c r="M1214" i="20"/>
  <c r="M1215" i="20" s="1"/>
  <c r="M1222" i="20"/>
  <c r="M1223" i="20" s="1"/>
  <c r="M1230" i="20"/>
  <c r="M1231" i="20" s="1"/>
  <c r="M1238" i="20"/>
  <c r="M1239" i="20" s="1"/>
  <c r="M1286" i="20"/>
  <c r="M1287" i="20" s="1"/>
  <c r="M1294" i="20"/>
  <c r="M1295" i="20" s="1"/>
  <c r="M1302" i="20"/>
  <c r="M1303" i="20" s="1"/>
  <c r="M1310" i="20"/>
  <c r="M1311" i="20" s="1"/>
  <c r="M1318" i="20"/>
  <c r="M1319" i="20" s="1"/>
  <c r="M1326" i="20"/>
  <c r="M1327" i="20" s="1"/>
  <c r="M1334" i="20"/>
  <c r="M1335" i="20" s="1"/>
  <c r="M1342" i="20"/>
  <c r="M1343" i="20" s="1"/>
  <c r="M1390" i="20"/>
  <c r="M1391" i="20" s="1"/>
  <c r="M1398" i="20"/>
  <c r="M1399" i="20" s="1"/>
  <c r="M1406" i="20"/>
  <c r="M1407" i="20" s="1"/>
  <c r="M1414" i="20"/>
  <c r="M1415" i="20" s="1"/>
  <c r="M1422" i="20"/>
  <c r="M1423" i="20" s="1"/>
  <c r="M1426" i="20"/>
  <c r="M1427" i="20" s="1"/>
  <c r="M1430" i="20"/>
  <c r="M1431" i="20" s="1"/>
  <c r="M1434" i="20"/>
  <c r="M1435" i="20" s="1"/>
  <c r="M1438" i="20"/>
  <c r="M1439" i="20" s="1"/>
  <c r="M1442" i="20"/>
  <c r="M1443" i="20" s="1"/>
  <c r="M1486" i="20"/>
  <c r="M1487" i="20" s="1"/>
  <c r="M1490" i="20"/>
  <c r="M1491" i="20" s="1"/>
  <c r="M1494" i="20"/>
  <c r="M1495" i="20" s="1"/>
  <c r="M1498" i="20"/>
  <c r="M1499" i="20" s="1"/>
  <c r="M1502" i="20"/>
  <c r="M1503" i="20" s="1"/>
  <c r="M1506" i="20"/>
  <c r="M1507" i="20" s="1"/>
  <c r="M1510" i="20"/>
  <c r="M1511" i="20" s="1"/>
  <c r="M1514" i="20"/>
  <c r="M1515" i="20" s="1"/>
  <c r="M1518" i="20"/>
  <c r="M1519" i="20" s="1"/>
  <c r="M1522" i="20"/>
  <c r="M1523" i="20" s="1"/>
  <c r="M1526" i="20"/>
  <c r="M1527" i="20" s="1"/>
  <c r="M1530" i="20"/>
  <c r="M1531" i="20" s="1"/>
  <c r="M1534" i="20"/>
  <c r="M1535" i="20" s="1"/>
  <c r="M1538" i="20"/>
  <c r="M1539" i="20" s="1"/>
  <c r="M1542" i="20"/>
  <c r="M1543" i="20" s="1"/>
  <c r="M1586" i="20"/>
  <c r="M1587" i="20" s="1"/>
  <c r="M1590" i="20"/>
  <c r="M1591" i="20" s="1"/>
  <c r="M1594" i="20"/>
  <c r="M1595" i="20" s="1"/>
  <c r="M1598" i="20"/>
  <c r="M1599" i="20" s="1"/>
  <c r="M1602" i="20"/>
  <c r="M1603" i="20" s="1"/>
  <c r="M1606" i="20"/>
  <c r="M1607" i="20" s="1"/>
  <c r="M1610" i="20"/>
  <c r="M1611" i="20" s="1"/>
  <c r="M1614" i="20"/>
  <c r="M1615" i="20" s="1"/>
  <c r="M1618" i="20"/>
  <c r="M1619" i="20" s="1"/>
  <c r="M1622" i="20"/>
  <c r="M1623" i="20" s="1"/>
  <c r="M1626" i="20"/>
  <c r="M1627" i="20" s="1"/>
  <c r="M1630" i="20"/>
  <c r="M1631" i="20" s="1"/>
  <c r="M1634" i="20"/>
  <c r="M1635" i="20" s="1"/>
  <c r="M1638" i="20"/>
  <c r="M1639" i="20" s="1"/>
  <c r="M1642" i="20"/>
  <c r="M1643" i="20" s="1"/>
  <c r="M1686" i="20"/>
  <c r="M1687" i="20" s="1"/>
  <c r="M1690" i="20"/>
  <c r="M1691" i="20" s="1"/>
  <c r="M1694" i="20"/>
  <c r="M1695" i="20" s="1"/>
  <c r="M1698" i="20"/>
  <c r="M1699" i="20" s="1"/>
  <c r="M1702" i="20"/>
  <c r="M1703" i="20" s="1"/>
  <c r="M1706" i="20"/>
  <c r="M1707" i="20" s="1"/>
  <c r="M1710" i="20"/>
  <c r="M1711" i="20" s="1"/>
  <c r="M1714" i="20"/>
  <c r="M1715" i="20" s="1"/>
  <c r="M1718" i="20"/>
  <c r="M1719" i="20" s="1"/>
  <c r="M1722" i="20"/>
  <c r="M1723" i="20" s="1"/>
  <c r="M1726" i="20"/>
  <c r="M1727" i="20" s="1"/>
  <c r="M1730" i="20"/>
  <c r="M1731" i="20" s="1"/>
  <c r="M1734" i="20"/>
  <c r="M1735" i="20" s="1"/>
  <c r="M1738" i="20"/>
  <c r="M1739" i="20" s="1"/>
  <c r="M1066" i="20"/>
  <c r="M1067" i="20" s="1"/>
  <c r="M1082" i="20"/>
  <c r="M1083" i="20" s="1"/>
  <c r="M1106" i="20"/>
  <c r="M1107" i="20" s="1"/>
  <c r="M1114" i="20"/>
  <c r="M1115" i="20" s="1"/>
  <c r="M1130" i="20"/>
  <c r="M1131" i="20" s="1"/>
  <c r="M1186" i="20"/>
  <c r="M1187" i="20" s="1"/>
  <c r="M1202" i="20"/>
  <c r="M1203" i="20" s="1"/>
  <c r="M1218" i="20"/>
  <c r="M1219" i="20" s="1"/>
  <c r="M1226" i="20"/>
  <c r="M1227" i="20" s="1"/>
  <c r="M1234" i="20"/>
  <c r="M1235" i="20" s="1"/>
  <c r="M1242" i="20"/>
  <c r="M1243" i="20" s="1"/>
  <c r="M1290" i="20"/>
  <c r="M1291" i="20" s="1"/>
  <c r="M1298" i="20"/>
  <c r="M1299" i="20" s="1"/>
  <c r="M1306" i="20"/>
  <c r="M1307" i="20" s="1"/>
  <c r="M1314" i="20"/>
  <c r="M1315" i="20" s="1"/>
  <c r="M1322" i="20"/>
  <c r="M1323" i="20" s="1"/>
  <c r="M1330" i="20"/>
  <c r="M1331" i="20" s="1"/>
  <c r="M1338" i="20"/>
  <c r="M1339" i="20" s="1"/>
  <c r="M1386" i="20"/>
  <c r="M1387" i="20" s="1"/>
  <c r="M1394" i="20"/>
  <c r="M1395" i="20" s="1"/>
  <c r="M1402" i="20"/>
  <c r="M1403" i="20" s="1"/>
  <c r="M1410" i="20"/>
  <c r="M1411" i="20" s="1"/>
  <c r="M1418" i="20"/>
  <c r="M1419" i="20" s="1"/>
  <c r="M1424" i="20"/>
  <c r="M1425" i="20" s="1"/>
  <c r="M1428" i="20"/>
  <c r="M1429" i="20" s="1"/>
  <c r="M1432" i="20"/>
  <c r="M1433" i="20" s="1"/>
  <c r="M1436" i="20"/>
  <c r="M1437" i="20" s="1"/>
  <c r="M1440" i="20"/>
  <c r="M1441" i="20" s="1"/>
  <c r="M1484" i="20"/>
  <c r="M1485" i="20" s="1"/>
  <c r="M1488" i="20"/>
  <c r="M1489" i="20" s="1"/>
  <c r="M1492" i="20"/>
  <c r="M1493" i="20" s="1"/>
  <c r="M1496" i="20"/>
  <c r="M1497" i="20" s="1"/>
  <c r="M1500" i="20"/>
  <c r="M1501" i="20" s="1"/>
  <c r="M1504" i="20"/>
  <c r="M1505" i="20" s="1"/>
  <c r="M1508" i="20"/>
  <c r="M1509" i="20" s="1"/>
  <c r="M1512" i="20"/>
  <c r="M1513" i="20" s="1"/>
  <c r="M1516" i="20"/>
  <c r="M1517" i="20" s="1"/>
  <c r="M1520" i="20"/>
  <c r="M1521" i="20" s="1"/>
  <c r="M1524" i="20"/>
  <c r="M1525" i="20" s="1"/>
  <c r="M1528" i="20"/>
  <c r="M1529" i="20" s="1"/>
  <c r="M1532" i="20"/>
  <c r="M1533" i="20" s="1"/>
  <c r="M1536" i="20"/>
  <c r="M1537" i="20" s="1"/>
  <c r="M1540" i="20"/>
  <c r="M1541" i="20" s="1"/>
  <c r="M1584" i="20"/>
  <c r="M1585" i="20" s="1"/>
  <c r="M1588" i="20"/>
  <c r="M1589" i="20" s="1"/>
  <c r="M1592" i="20"/>
  <c r="M1593" i="20" s="1"/>
  <c r="M1596" i="20"/>
  <c r="M1597" i="20" s="1"/>
  <c r="M1600" i="20"/>
  <c r="M1601" i="20" s="1"/>
  <c r="M1604" i="20"/>
  <c r="M1605" i="20" s="1"/>
  <c r="M1608" i="20"/>
  <c r="M1609" i="20" s="1"/>
  <c r="M1612" i="20"/>
  <c r="M1613" i="20" s="1"/>
  <c r="M1616" i="20"/>
  <c r="M1617" i="20" s="1"/>
  <c r="M1620" i="20"/>
  <c r="M1621" i="20" s="1"/>
  <c r="M1624" i="20"/>
  <c r="M1625" i="20" s="1"/>
  <c r="M1628" i="20"/>
  <c r="M1629" i="20" s="1"/>
  <c r="M1632" i="20"/>
  <c r="M1633" i="20" s="1"/>
  <c r="M1640" i="20"/>
  <c r="M1641" i="20" s="1"/>
  <c r="M1684" i="20"/>
  <c r="M1685" i="20" s="1"/>
  <c r="M1688" i="20"/>
  <c r="M1689" i="20" s="1"/>
  <c r="M1692" i="20"/>
  <c r="M1693" i="20" s="1"/>
  <c r="M1696" i="20"/>
  <c r="M1697" i="20" s="1"/>
  <c r="M1700" i="20"/>
  <c r="M1701" i="20" s="1"/>
  <c r="M1704" i="20"/>
  <c r="M1705" i="20" s="1"/>
  <c r="M1708" i="20"/>
  <c r="M1709" i="20" s="1"/>
  <c r="M1712" i="20"/>
  <c r="M1713" i="20" s="1"/>
  <c r="M1716" i="20"/>
  <c r="M1717" i="20" s="1"/>
  <c r="M1724" i="20"/>
  <c r="M1725" i="20" s="1"/>
  <c r="M1732" i="20"/>
  <c r="M1733" i="20" s="1"/>
  <c r="M1736" i="20"/>
  <c r="M1737" i="20" s="1"/>
  <c r="M962" i="20"/>
  <c r="M963" i="20" s="1"/>
  <c r="M970" i="20"/>
  <c r="M971" i="20" s="1"/>
  <c r="M978" i="20"/>
  <c r="M979" i="20" s="1"/>
  <c r="M986" i="20"/>
  <c r="M987" i="20" s="1"/>
  <c r="M994" i="20"/>
  <c r="M995" i="20" s="1"/>
  <c r="M1002" i="20"/>
  <c r="M1003" i="20" s="1"/>
  <c r="M1010" i="20"/>
  <c r="M1011" i="20" s="1"/>
  <c r="M1018" i="20"/>
  <c r="M1019" i="20" s="1"/>
  <c r="M1026" i="20"/>
  <c r="M1027" i="20" s="1"/>
  <c r="M1034" i="20"/>
  <c r="M1035" i="20" s="1"/>
  <c r="M1042" i="20"/>
  <c r="M1043" i="20" s="1"/>
  <c r="M1050" i="20"/>
  <c r="M1051" i="20" s="1"/>
  <c r="M1058" i="20"/>
  <c r="M1059" i="20" s="1"/>
  <c r="M1074" i="20"/>
  <c r="M1075" i="20" s="1"/>
  <c r="M1090" i="20"/>
  <c r="M1091" i="20" s="1"/>
  <c r="M1098" i="20"/>
  <c r="M1099" i="20" s="1"/>
  <c r="M1122" i="20"/>
  <c r="M1123" i="20" s="1"/>
  <c r="M1138" i="20"/>
  <c r="M1139" i="20" s="1"/>
  <c r="M1194" i="20"/>
  <c r="M1195" i="20" s="1"/>
  <c r="M1210" i="20"/>
  <c r="M1211" i="20" s="1"/>
  <c r="M1636" i="20"/>
  <c r="M1637" i="20" s="1"/>
  <c r="M1720" i="20"/>
  <c r="M1721" i="20" s="1"/>
  <c r="M1728" i="20"/>
  <c r="M1729" i="20" s="1"/>
  <c r="M1740" i="20"/>
  <c r="M1741" i="20" s="1"/>
  <c r="J15" i="11"/>
  <c r="AV42" i="4"/>
  <c r="Y42" i="4"/>
  <c r="C42" i="4"/>
  <c r="AW74" i="4"/>
  <c r="O31" i="16" s="1"/>
  <c r="AV74" i="4"/>
  <c r="AW73" i="4"/>
  <c r="O30" i="16" s="1"/>
  <c r="AV73" i="4"/>
  <c r="N30" i="16" s="1"/>
  <c r="D420" i="10"/>
  <c r="AW72" i="4"/>
  <c r="O29" i="16" s="1"/>
  <c r="AV72" i="4"/>
  <c r="AW71" i="4"/>
  <c r="O28" i="16" s="1"/>
  <c r="AV71" i="4"/>
  <c r="AW70" i="4"/>
  <c r="O27" i="16" s="1"/>
  <c r="AV70" i="4"/>
  <c r="N27" i="16" s="1"/>
  <c r="AW69" i="4"/>
  <c r="O26" i="16" s="1"/>
  <c r="AV69" i="4"/>
  <c r="N26" i="16" s="1"/>
  <c r="D416" i="10"/>
  <c r="AW68" i="4"/>
  <c r="O25" i="16" s="1"/>
  <c r="AV68" i="4"/>
  <c r="D445" i="10"/>
  <c r="AW67" i="4"/>
  <c r="O24" i="16" s="1"/>
  <c r="AV67" i="4"/>
  <c r="N24" i="16" s="1"/>
  <c r="AW66" i="4"/>
  <c r="O23" i="16" s="1"/>
  <c r="AV66" i="4"/>
  <c r="N23" i="16" s="1"/>
  <c r="AW65" i="4"/>
  <c r="O22" i="16" s="1"/>
  <c r="AV65" i="4"/>
  <c r="D412" i="10"/>
  <c r="AW64" i="4"/>
  <c r="O21" i="16" s="1"/>
  <c r="AV64" i="4"/>
  <c r="N21" i="16" s="1"/>
  <c r="AW63" i="4"/>
  <c r="O20" i="16" s="1"/>
  <c r="AV63" i="4"/>
  <c r="N20" i="16" s="1"/>
  <c r="AW62" i="4"/>
  <c r="O19" i="16" s="1"/>
  <c r="AV62" i="4"/>
  <c r="N19" i="16" s="1"/>
  <c r="D469" i="10"/>
  <c r="AW61" i="4"/>
  <c r="O18" i="16" s="1"/>
  <c r="AV61" i="4"/>
  <c r="N18" i="16" s="1"/>
  <c r="D408" i="10"/>
  <c r="AW60" i="4"/>
  <c r="O17" i="16" s="1"/>
  <c r="AV60" i="4"/>
  <c r="AW59" i="4"/>
  <c r="AV59" i="4"/>
  <c r="N16" i="16" s="1"/>
  <c r="AW58" i="4"/>
  <c r="O15" i="16" s="1"/>
  <c r="AV58" i="4"/>
  <c r="N15" i="16" s="1"/>
  <c r="D465" i="10"/>
  <c r="AW57" i="4"/>
  <c r="O14" i="16" s="1"/>
  <c r="AV57" i="4"/>
  <c r="N14" i="16" s="1"/>
  <c r="AW56" i="4"/>
  <c r="O13" i="16" s="1"/>
  <c r="AV56" i="4"/>
  <c r="N13" i="16" s="1"/>
  <c r="AW55" i="4"/>
  <c r="O12" i="16" s="1"/>
  <c r="AV55" i="4"/>
  <c r="N12" i="16" s="1"/>
  <c r="AW54" i="4"/>
  <c r="O11" i="16" s="1"/>
  <c r="AV54" i="4"/>
  <c r="A54" i="4"/>
  <c r="AW53" i="4"/>
  <c r="O10" i="16" s="1"/>
  <c r="AV53" i="4"/>
  <c r="D400" i="10"/>
  <c r="D429" i="10"/>
  <c r="D398" i="10"/>
  <c r="AW50" i="4"/>
  <c r="O7" i="16" s="1"/>
  <c r="AV50" i="4"/>
  <c r="AW49" i="4"/>
  <c r="O6" i="16" s="1"/>
  <c r="AV49" i="4"/>
  <c r="AW48" i="4"/>
  <c r="O5" i="16" s="1"/>
  <c r="AV48" i="4"/>
  <c r="AW47" i="4"/>
  <c r="AV47" i="4"/>
  <c r="AW46" i="4"/>
  <c r="O3" i="16" s="1"/>
  <c r="AV46" i="4"/>
  <c r="AW45" i="4"/>
  <c r="AV45" i="4"/>
  <c r="D422" i="10"/>
  <c r="AV5" i="12"/>
  <c r="C32" i="16" s="1"/>
  <c r="AW5" i="12"/>
  <c r="D32" i="16" s="1"/>
  <c r="AV26" i="12"/>
  <c r="C33" i="16" s="1"/>
  <c r="AW26" i="12"/>
  <c r="D33" i="16" s="1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Y42" i="14"/>
  <c r="Y43" i="14"/>
  <c r="Y44" i="14"/>
  <c r="Y45" i="14"/>
  <c r="Y46" i="14"/>
  <c r="Y47" i="14"/>
  <c r="Y48" i="14"/>
  <c r="Y49" i="14"/>
  <c r="Y50" i="14"/>
  <c r="Y51" i="14"/>
  <c r="Y52" i="14"/>
  <c r="Y53" i="14"/>
  <c r="Y54" i="14"/>
  <c r="Y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" i="14"/>
  <c r="D231" i="10"/>
  <c r="D239" i="10"/>
  <c r="D186" i="10"/>
  <c r="D189" i="10"/>
  <c r="D190" i="10"/>
  <c r="D135" i="10"/>
  <c r="D138" i="10"/>
  <c r="D180" i="10"/>
  <c r="D130" i="10"/>
  <c r="D171" i="10"/>
  <c r="D214" i="10"/>
  <c r="D165" i="10"/>
  <c r="E272" i="19"/>
  <c r="E163" i="19"/>
  <c r="E54" i="19"/>
  <c r="C220" i="18"/>
  <c r="E270" i="18"/>
  <c r="G72" i="15"/>
  <c r="C73" i="15"/>
  <c r="G75" i="15"/>
  <c r="G76" i="15"/>
  <c r="C77" i="15"/>
  <c r="C78" i="15"/>
  <c r="G79" i="15"/>
  <c r="E102" i="15"/>
  <c r="I38" i="15"/>
  <c r="C40" i="15"/>
  <c r="C41" i="15"/>
  <c r="I42" i="15"/>
  <c r="H43" i="15"/>
  <c r="I44" i="15"/>
  <c r="I45" i="15"/>
  <c r="I46" i="15"/>
  <c r="F133" i="18"/>
  <c r="F134" i="18"/>
  <c r="F139" i="18"/>
  <c r="C32" i="18"/>
  <c r="F26" i="18"/>
  <c r="E162" i="18"/>
  <c r="E54" i="18"/>
  <c r="E68" i="15"/>
  <c r="AW54" i="12"/>
  <c r="D61" i="16" s="1"/>
  <c r="AV54" i="12"/>
  <c r="C61" i="16" s="1"/>
  <c r="AW53" i="12"/>
  <c r="D60" i="16" s="1"/>
  <c r="AV53" i="12"/>
  <c r="C60" i="16" s="1"/>
  <c r="AW52" i="12"/>
  <c r="D59" i="16" s="1"/>
  <c r="AV52" i="12"/>
  <c r="C59" i="16" s="1"/>
  <c r="AW51" i="12"/>
  <c r="D58" i="16" s="1"/>
  <c r="AV51" i="12"/>
  <c r="C58" i="16" s="1"/>
  <c r="AW50" i="12"/>
  <c r="D57" i="16" s="1"/>
  <c r="AV50" i="12"/>
  <c r="AW49" i="12"/>
  <c r="D56" i="16" s="1"/>
  <c r="AV49" i="12"/>
  <c r="C56" i="16" s="1"/>
  <c r="AW48" i="12"/>
  <c r="D55" i="16" s="1"/>
  <c r="AV48" i="12"/>
  <c r="C55" i="16" s="1"/>
  <c r="AW47" i="12"/>
  <c r="D54" i="16" s="1"/>
  <c r="AV47" i="12"/>
  <c r="C54" i="16" s="1"/>
  <c r="AW46" i="12"/>
  <c r="D53" i="16" s="1"/>
  <c r="AV46" i="12"/>
  <c r="AW45" i="12"/>
  <c r="D52" i="16" s="1"/>
  <c r="AV45" i="12"/>
  <c r="AW44" i="12"/>
  <c r="D51" i="16" s="1"/>
  <c r="AV44" i="12"/>
  <c r="C51" i="16" s="1"/>
  <c r="AW43" i="12"/>
  <c r="D50" i="16" s="1"/>
  <c r="AV43" i="12"/>
  <c r="C50" i="16" s="1"/>
  <c r="AW42" i="12"/>
  <c r="D49" i="16" s="1"/>
  <c r="AV42" i="12"/>
  <c r="C49" i="16" s="1"/>
  <c r="AW41" i="12"/>
  <c r="D48" i="16" s="1"/>
  <c r="AV41" i="12"/>
  <c r="AW40" i="12"/>
  <c r="D47" i="16" s="1"/>
  <c r="AV40" i="12"/>
  <c r="C47" i="16" s="1"/>
  <c r="AW39" i="12"/>
  <c r="D46" i="16" s="1"/>
  <c r="AV39" i="12"/>
  <c r="C46" i="16" s="1"/>
  <c r="AW38" i="12"/>
  <c r="D45" i="16" s="1"/>
  <c r="AV38" i="12"/>
  <c r="AW37" i="12"/>
  <c r="D44" i="16" s="1"/>
  <c r="AV37" i="12"/>
  <c r="AW36" i="12"/>
  <c r="D43" i="16" s="1"/>
  <c r="AV36" i="12"/>
  <c r="C43" i="16" s="1"/>
  <c r="AW35" i="12"/>
  <c r="AV35" i="12"/>
  <c r="C42" i="16" s="1"/>
  <c r="AW34" i="12"/>
  <c r="D41" i="16" s="1"/>
  <c r="AV34" i="12"/>
  <c r="C41" i="16" s="1"/>
  <c r="AW33" i="12"/>
  <c r="D40" i="16" s="1"/>
  <c r="AV33" i="12"/>
  <c r="C40" i="16" s="1"/>
  <c r="AW32" i="12"/>
  <c r="AV32" i="12"/>
  <c r="C39" i="16" s="1"/>
  <c r="AW31" i="12"/>
  <c r="D38" i="16" s="1"/>
  <c r="AV31" i="12"/>
  <c r="C38" i="16" s="1"/>
  <c r="AW30" i="12"/>
  <c r="D37" i="16" s="1"/>
  <c r="AV30" i="12"/>
  <c r="C37" i="16" s="1"/>
  <c r="AW29" i="12"/>
  <c r="D36" i="16" s="1"/>
  <c r="AV29" i="12"/>
  <c r="C36" i="16" s="1"/>
  <c r="AW28" i="12"/>
  <c r="D35" i="16" s="1"/>
  <c r="AV28" i="12"/>
  <c r="C35" i="16" s="1"/>
  <c r="AW27" i="12"/>
  <c r="AV27" i="12"/>
  <c r="C34" i="16" s="1"/>
  <c r="AW6" i="4"/>
  <c r="D3" i="16" s="1"/>
  <c r="AW7" i="4"/>
  <c r="D4" i="16" s="1"/>
  <c r="AW8" i="4"/>
  <c r="D5" i="16" s="1"/>
  <c r="AW9" i="4"/>
  <c r="D6" i="16" s="1"/>
  <c r="AW10" i="4"/>
  <c r="AW11" i="4"/>
  <c r="D8" i="16" s="1"/>
  <c r="AW12" i="4"/>
  <c r="D9" i="16" s="1"/>
  <c r="AW13" i="4"/>
  <c r="D10" i="16" s="1"/>
  <c r="AW14" i="4"/>
  <c r="D11" i="16" s="1"/>
  <c r="AW15" i="4"/>
  <c r="D12" i="16" s="1"/>
  <c r="AW16" i="4"/>
  <c r="D13" i="16" s="1"/>
  <c r="AW17" i="4"/>
  <c r="D14" i="16" s="1"/>
  <c r="AW18" i="4"/>
  <c r="AW19" i="4"/>
  <c r="D16" i="16" s="1"/>
  <c r="AW20" i="4"/>
  <c r="D17" i="16" s="1"/>
  <c r="AW21" i="4"/>
  <c r="D18" i="16" s="1"/>
  <c r="AW22" i="4"/>
  <c r="D19" i="16" s="1"/>
  <c r="AW23" i="4"/>
  <c r="D20" i="16" s="1"/>
  <c r="AW24" i="4"/>
  <c r="D21" i="16" s="1"/>
  <c r="AW25" i="4"/>
  <c r="D22" i="16" s="1"/>
  <c r="AW26" i="4"/>
  <c r="AW27" i="4"/>
  <c r="D24" i="16" s="1"/>
  <c r="AW28" i="4"/>
  <c r="D25" i="16" s="1"/>
  <c r="AW29" i="4"/>
  <c r="D26" i="16" s="1"/>
  <c r="AW30" i="4"/>
  <c r="AW31" i="4"/>
  <c r="D28" i="16" s="1"/>
  <c r="AW32" i="4"/>
  <c r="D29" i="16" s="1"/>
  <c r="AW33" i="4"/>
  <c r="D30" i="16" s="1"/>
  <c r="AW34" i="4"/>
  <c r="D31" i="16" s="1"/>
  <c r="AW5" i="4"/>
  <c r="D2" i="16" s="1"/>
  <c r="AV6" i="4"/>
  <c r="AV7" i="4"/>
  <c r="AV8" i="4"/>
  <c r="AV9" i="4"/>
  <c r="AV10" i="4"/>
  <c r="AV11" i="4"/>
  <c r="AV12" i="4"/>
  <c r="AX12" i="4" s="1"/>
  <c r="AV13" i="4"/>
  <c r="AV14" i="4"/>
  <c r="AV15" i="4"/>
  <c r="C12" i="16" s="1"/>
  <c r="AV16" i="4"/>
  <c r="AV17" i="4"/>
  <c r="C14" i="16" s="1"/>
  <c r="AV18" i="4"/>
  <c r="C15" i="16" s="1"/>
  <c r="AV19" i="4"/>
  <c r="C16" i="16" s="1"/>
  <c r="AV20" i="4"/>
  <c r="AV21" i="4"/>
  <c r="C18" i="16" s="1"/>
  <c r="AV22" i="4"/>
  <c r="C19" i="16" s="1"/>
  <c r="AV23" i="4"/>
  <c r="C20" i="16" s="1"/>
  <c r="AV24" i="4"/>
  <c r="C21" i="16" s="1"/>
  <c r="AV25" i="4"/>
  <c r="C22" i="16" s="1"/>
  <c r="AV26" i="4"/>
  <c r="C23" i="16" s="1"/>
  <c r="AV27" i="4"/>
  <c r="C24" i="16" s="1"/>
  <c r="AV28" i="4"/>
  <c r="C25" i="16" s="1"/>
  <c r="AV29" i="4"/>
  <c r="C26" i="16" s="1"/>
  <c r="AV30" i="4"/>
  <c r="C27" i="16" s="1"/>
  <c r="AV31" i="4"/>
  <c r="AV32" i="4"/>
  <c r="AV33" i="4"/>
  <c r="C30" i="16" s="1"/>
  <c r="AV34" i="4"/>
  <c r="C31" i="16" s="1"/>
  <c r="AV5" i="4"/>
  <c r="E34" i="15"/>
  <c r="C4" i="15"/>
  <c r="G6" i="15"/>
  <c r="C8" i="15"/>
  <c r="C12" i="15"/>
  <c r="Y11" i="4"/>
  <c r="BE11" i="4" s="1"/>
  <c r="Y12" i="4"/>
  <c r="BE12" i="4" s="1"/>
  <c r="Y13" i="4"/>
  <c r="BE13" i="4" s="1"/>
  <c r="Y14" i="4"/>
  <c r="BE14" i="4" s="1"/>
  <c r="Y15" i="4"/>
  <c r="BE15" i="4" s="1"/>
  <c r="Y16" i="4"/>
  <c r="BE16" i="4" s="1"/>
  <c r="Y17" i="4"/>
  <c r="BE17" i="4" s="1"/>
  <c r="Y18" i="4"/>
  <c r="BE18" i="4" s="1"/>
  <c r="Y19" i="4"/>
  <c r="BE19" i="4" s="1"/>
  <c r="Y20" i="4"/>
  <c r="BE20" i="4" s="1"/>
  <c r="Y21" i="4"/>
  <c r="BE21" i="4" s="1"/>
  <c r="Y22" i="4"/>
  <c r="BE22" i="4" s="1"/>
  <c r="Y23" i="4"/>
  <c r="BE23" i="4" s="1"/>
  <c r="Y24" i="4"/>
  <c r="BE24" i="4" s="1"/>
  <c r="Y25" i="4"/>
  <c r="BE25" i="4" s="1"/>
  <c r="Y26" i="4"/>
  <c r="BE26" i="4" s="1"/>
  <c r="Y27" i="4"/>
  <c r="BE27" i="4" s="1"/>
  <c r="Y28" i="4"/>
  <c r="BE28" i="4" s="1"/>
  <c r="Y29" i="4"/>
  <c r="BE29" i="4" s="1"/>
  <c r="Y30" i="4"/>
  <c r="BE30" i="4" s="1"/>
  <c r="Y31" i="4"/>
  <c r="BE31" i="4" s="1"/>
  <c r="Y32" i="4"/>
  <c r="BE32" i="4" s="1"/>
  <c r="Y33" i="4"/>
  <c r="BE33" i="4" s="1"/>
  <c r="Y34" i="4"/>
  <c r="BE34" i="4" s="1"/>
  <c r="Q11" i="4"/>
  <c r="BD11" i="4" s="1"/>
  <c r="Q12" i="4"/>
  <c r="BD12" i="4" s="1"/>
  <c r="Q13" i="4"/>
  <c r="BD13" i="4" s="1"/>
  <c r="Q14" i="4"/>
  <c r="BD14" i="4" s="1"/>
  <c r="Q15" i="4"/>
  <c r="BD15" i="4" s="1"/>
  <c r="Q16" i="4"/>
  <c r="BD16" i="4" s="1"/>
  <c r="Q17" i="4"/>
  <c r="BD17" i="4" s="1"/>
  <c r="Q18" i="4"/>
  <c r="BD18" i="4" s="1"/>
  <c r="Q19" i="4"/>
  <c r="BD19" i="4" s="1"/>
  <c r="Q20" i="4"/>
  <c r="BD20" i="4" s="1"/>
  <c r="Q21" i="4"/>
  <c r="BD21" i="4" s="1"/>
  <c r="Q22" i="4"/>
  <c r="BD22" i="4" s="1"/>
  <c r="Q23" i="4"/>
  <c r="BD23" i="4" s="1"/>
  <c r="Q24" i="4"/>
  <c r="BD24" i="4" s="1"/>
  <c r="Q25" i="4"/>
  <c r="BD25" i="4" s="1"/>
  <c r="Q26" i="4"/>
  <c r="BD26" i="4" s="1"/>
  <c r="Q27" i="4"/>
  <c r="BD27" i="4" s="1"/>
  <c r="Q28" i="4"/>
  <c r="BD28" i="4" s="1"/>
  <c r="Q29" i="4"/>
  <c r="BD29" i="4" s="1"/>
  <c r="Q30" i="4"/>
  <c r="BD30" i="4" s="1"/>
  <c r="Q31" i="4"/>
  <c r="BD31" i="4" s="1"/>
  <c r="Q32" i="4"/>
  <c r="BD32" i="4" s="1"/>
  <c r="Q33" i="4"/>
  <c r="BD33" i="4" s="1"/>
  <c r="Q34" i="4"/>
  <c r="BD34" i="4" s="1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R7" i="4"/>
  <c r="S7" i="4" s="1"/>
  <c r="J8" i="11"/>
  <c r="J7" i="11"/>
  <c r="Y2" i="14"/>
  <c r="C2" i="14"/>
  <c r="AB52" i="12"/>
  <c r="AC52" i="12" s="1"/>
  <c r="T54" i="12"/>
  <c r="U54" i="12" s="1"/>
  <c r="T50" i="12"/>
  <c r="U50" i="12" s="1"/>
  <c r="T53" i="12"/>
  <c r="U53" i="12" s="1"/>
  <c r="T49" i="12"/>
  <c r="U49" i="12" s="1"/>
  <c r="T43" i="12"/>
  <c r="U43" i="12" s="1"/>
  <c r="T28" i="12"/>
  <c r="U28" i="12" s="1"/>
  <c r="F8" i="11"/>
  <c r="B8" i="11"/>
  <c r="F7" i="11"/>
  <c r="B7" i="11"/>
  <c r="B123" i="17"/>
  <c r="B119" i="17"/>
  <c r="B115" i="17"/>
  <c r="B112" i="17"/>
  <c r="B109" i="17"/>
  <c r="B73" i="17"/>
  <c r="B65" i="17"/>
  <c r="B61" i="17"/>
  <c r="B55" i="17"/>
  <c r="Y2" i="4"/>
  <c r="C2" i="4"/>
  <c r="J6" i="11"/>
  <c r="F6" i="11"/>
  <c r="B6" i="11"/>
  <c r="B2" i="11"/>
  <c r="A14" i="4"/>
  <c r="T91" i="12"/>
  <c r="U91" i="12" s="1"/>
  <c r="D847" i="10"/>
  <c r="AA10" i="22"/>
  <c r="AB10" i="22" s="1"/>
  <c r="D818" i="10"/>
  <c r="S11" i="22"/>
  <c r="D848" i="10"/>
  <c r="AA12" i="22"/>
  <c r="Y12" i="22"/>
  <c r="Z12" i="22" s="1"/>
  <c r="S14" i="22"/>
  <c r="Q16" i="22"/>
  <c r="R16" i="22" s="1"/>
  <c r="D869" i="10"/>
  <c r="Y32" i="22"/>
  <c r="Z32" i="22" s="1"/>
  <c r="D871" i="10"/>
  <c r="AA34" i="22"/>
  <c r="AB34" i="22" s="1"/>
  <c r="H984" i="20"/>
  <c r="H985" i="20" s="1"/>
  <c r="I6" i="22"/>
  <c r="J6" i="22" s="1"/>
  <c r="Y10" i="22"/>
  <c r="Z10" i="22" s="1"/>
  <c r="D783" i="10"/>
  <c r="D845" i="10"/>
  <c r="Y8" i="22"/>
  <c r="Z8" i="22" s="1"/>
  <c r="D786" i="10"/>
  <c r="D816" i="10"/>
  <c r="S9" i="22"/>
  <c r="T9" i="22" s="1"/>
  <c r="Y9" i="22"/>
  <c r="Z9" i="22" s="1"/>
  <c r="D867" i="10"/>
  <c r="AA30" i="22"/>
  <c r="AB30" i="22" s="1"/>
  <c r="D838" i="10"/>
  <c r="Q31" i="22"/>
  <c r="R31" i="22" s="1"/>
  <c r="Y31" i="22"/>
  <c r="Z31" i="22" s="1"/>
  <c r="D840" i="10"/>
  <c r="Q33" i="22"/>
  <c r="R33" i="22" s="1"/>
  <c r="C120" i="16"/>
  <c r="R47" i="4"/>
  <c r="S47" i="4" s="1"/>
  <c r="J73" i="4"/>
  <c r="K73" i="4" s="1"/>
  <c r="L73" i="4"/>
  <c r="M73" i="4" s="1"/>
  <c r="J71" i="4"/>
  <c r="K71" i="4" s="1"/>
  <c r="D322" i="17"/>
  <c r="AW6" i="22"/>
  <c r="E93" i="16" s="1"/>
  <c r="D844" i="10"/>
  <c r="K8" i="22"/>
  <c r="L8" i="22" s="1"/>
  <c r="D815" i="10"/>
  <c r="D820" i="10"/>
  <c r="S13" i="22"/>
  <c r="D850" i="10"/>
  <c r="D822" i="10"/>
  <c r="Q15" i="22"/>
  <c r="R15" i="22" s="1"/>
  <c r="Y15" i="22"/>
  <c r="Z15" i="22" s="1"/>
  <c r="Y23" i="22"/>
  <c r="Z23" i="22" s="1"/>
  <c r="Y25" i="22"/>
  <c r="Z25" i="22" s="1"/>
  <c r="AA27" i="22"/>
  <c r="AB27" i="22" s="1"/>
  <c r="AA29" i="22"/>
  <c r="AB29" i="22" s="1"/>
  <c r="H1094" i="20"/>
  <c r="H1095" i="20" s="1"/>
  <c r="D319" i="17"/>
  <c r="D812" i="10"/>
  <c r="K6" i="22"/>
  <c r="D846" i="10"/>
  <c r="D819" i="10"/>
  <c r="S12" i="22"/>
  <c r="T12" i="22" s="1"/>
  <c r="D849" i="10"/>
  <c r="D821" i="10"/>
  <c r="D851" i="10"/>
  <c r="AA14" i="22"/>
  <c r="AB14" i="22" s="1"/>
  <c r="D823" i="10"/>
  <c r="D853" i="10"/>
  <c r="D105" i="16"/>
  <c r="Q24" i="22"/>
  <c r="R24" i="22" s="1"/>
  <c r="D835" i="10"/>
  <c r="R48" i="4"/>
  <c r="S48" i="4" s="1"/>
  <c r="S30" i="22"/>
  <c r="T30" i="22" s="1"/>
  <c r="AA47" i="22"/>
  <c r="AB47" i="22" s="1"/>
  <c r="AA31" i="22"/>
  <c r="AB31" i="22" s="1"/>
  <c r="Q50" i="22"/>
  <c r="R50" i="22" s="1"/>
  <c r="Q48" i="22"/>
  <c r="R48" i="22" s="1"/>
  <c r="S46" i="22"/>
  <c r="T46" i="22" s="1"/>
  <c r="Q34" i="22"/>
  <c r="R34" i="22" s="1"/>
  <c r="Q32" i="22"/>
  <c r="R32" i="22" s="1"/>
  <c r="Z74" i="4"/>
  <c r="AA74" i="4" s="1"/>
  <c r="AB70" i="4"/>
  <c r="AC70" i="4" s="1"/>
  <c r="H1114" i="20"/>
  <c r="H1115" i="20" s="1"/>
  <c r="H1090" i="20"/>
  <c r="H1091" i="20" s="1"/>
  <c r="I1090" i="20"/>
  <c r="I1091" i="20" s="1"/>
  <c r="J1088" i="20"/>
  <c r="J1089" i="20" s="1"/>
  <c r="I1088" i="20"/>
  <c r="I1089" i="20" s="1"/>
  <c r="J1096" i="20"/>
  <c r="J1097" i="20" s="1"/>
  <c r="H1130" i="20"/>
  <c r="H1131" i="20" s="1"/>
  <c r="J1128" i="20"/>
  <c r="J1129" i="20" s="1"/>
  <c r="T32" i="4"/>
  <c r="U32" i="4" s="1"/>
  <c r="D670" i="10"/>
  <c r="D817" i="10"/>
  <c r="J966" i="20"/>
  <c r="J967" i="20" s="1"/>
  <c r="I1122" i="20"/>
  <c r="I1123" i="20" s="1"/>
  <c r="I1058" i="20"/>
  <c r="I1059" i="20" s="1"/>
  <c r="D162" i="17"/>
  <c r="AA13" i="22"/>
  <c r="AB13" i="22" s="1"/>
  <c r="S24" i="22"/>
  <c r="T24" i="22" s="1"/>
  <c r="Q28" i="22"/>
  <c r="R28" i="22" s="1"/>
  <c r="Y16" i="22"/>
  <c r="Z16" i="22" s="1"/>
  <c r="Q10" i="22"/>
  <c r="R10" i="22" s="1"/>
  <c r="L115" i="23"/>
  <c r="D883" i="10"/>
  <c r="L57" i="4"/>
  <c r="M57" i="4" s="1"/>
  <c r="L61" i="4"/>
  <c r="M61" i="4" s="1"/>
  <c r="L65" i="4"/>
  <c r="M65" i="4" s="1"/>
  <c r="L69" i="4"/>
  <c r="M69" i="4" s="1"/>
  <c r="L53" i="4"/>
  <c r="M53" i="4" s="1"/>
  <c r="AN46" i="12"/>
  <c r="AO52" i="12"/>
  <c r="AO49" i="12"/>
  <c r="I1014" i="20"/>
  <c r="I1015" i="20" s="1"/>
  <c r="J1014" i="20"/>
  <c r="J1015" i="20" s="1"/>
  <c r="I982" i="20"/>
  <c r="I983" i="20" s="1"/>
  <c r="H982" i="20"/>
  <c r="H983" i="20" s="1"/>
  <c r="I1054" i="20"/>
  <c r="I1055" i="20" s="1"/>
  <c r="J1054" i="20"/>
  <c r="J1055" i="20" s="1"/>
  <c r="J1038" i="20"/>
  <c r="J1039" i="20" s="1"/>
  <c r="H1026" i="20"/>
  <c r="H1027" i="20" s="1"/>
  <c r="I1026" i="20"/>
  <c r="I1027" i="20" s="1"/>
  <c r="J1106" i="20"/>
  <c r="J1107" i="20" s="1"/>
  <c r="I1106" i="20"/>
  <c r="I1107" i="20" s="1"/>
  <c r="J1086" i="20"/>
  <c r="J1087" i="20" s="1"/>
  <c r="I1086" i="20"/>
  <c r="I1087" i="20" s="1"/>
  <c r="I1094" i="20"/>
  <c r="I1095" i="20" s="1"/>
  <c r="J1026" i="20"/>
  <c r="J1027" i="20" s="1"/>
  <c r="H1098" i="20"/>
  <c r="H1099" i="20" s="1"/>
  <c r="J1102" i="20"/>
  <c r="J1103" i="20" s="1"/>
  <c r="H1102" i="20"/>
  <c r="H1103" i="20" s="1"/>
  <c r="J978" i="20"/>
  <c r="J979" i="20" s="1"/>
  <c r="H1024" i="20"/>
  <c r="H1025" i="20" s="1"/>
  <c r="I970" i="20"/>
  <c r="I971" i="20" s="1"/>
  <c r="H1016" i="20"/>
  <c r="H1017" i="20" s="1"/>
  <c r="H1138" i="20"/>
  <c r="H1139" i="20" s="1"/>
  <c r="I1114" i="20"/>
  <c r="I1115" i="20" s="1"/>
  <c r="I1128" i="20"/>
  <c r="I1129" i="20" s="1"/>
  <c r="H978" i="20"/>
  <c r="H979" i="20" s="1"/>
  <c r="I1074" i="20"/>
  <c r="I1075" i="20" s="1"/>
  <c r="J988" i="20"/>
  <c r="J989" i="20" s="1"/>
  <c r="H988" i="20"/>
  <c r="H989" i="20" s="1"/>
  <c r="H1084" i="20"/>
  <c r="H1085" i="20" s="1"/>
  <c r="I1084" i="20"/>
  <c r="I1085" i="20" s="1"/>
  <c r="I1000" i="20"/>
  <c r="I1001" i="20" s="1"/>
  <c r="J1000" i="20"/>
  <c r="J1001" i="20" s="1"/>
  <c r="H968" i="20"/>
  <c r="H969" i="20" s="1"/>
  <c r="I968" i="20"/>
  <c r="I969" i="20" s="1"/>
  <c r="H1136" i="20"/>
  <c r="H1137" i="20" s="1"/>
  <c r="J1136" i="20"/>
  <c r="J1137" i="20" s="1"/>
  <c r="H1120" i="20"/>
  <c r="H1121" i="20" s="1"/>
  <c r="I1120" i="20"/>
  <c r="I1121" i="20" s="1"/>
  <c r="H1112" i="20"/>
  <c r="H1113" i="20" s="1"/>
  <c r="J1112" i="20"/>
  <c r="J1113" i="20" s="1"/>
  <c r="H1104" i="20"/>
  <c r="H1105" i="20" s="1"/>
  <c r="I1104" i="20"/>
  <c r="I1105" i="20" s="1"/>
  <c r="J1084" i="20"/>
  <c r="J1085" i="20" s="1"/>
  <c r="H1004" i="20"/>
  <c r="H1005" i="20" s="1"/>
  <c r="I1092" i="20"/>
  <c r="I1093" i="20" s="1"/>
  <c r="J1140" i="20"/>
  <c r="J1141" i="20" s="1"/>
  <c r="J1092" i="20"/>
  <c r="J1093" i="20" s="1"/>
  <c r="H1000" i="20"/>
  <c r="H1001" i="20" s="1"/>
  <c r="J1120" i="20"/>
  <c r="J1121" i="20" s="1"/>
  <c r="I1096" i="20"/>
  <c r="I1097" i="20" s="1"/>
  <c r="I1112" i="20"/>
  <c r="I1113" i="20" s="1"/>
  <c r="J1090" i="20"/>
  <c r="J1091" i="20" s="1"/>
  <c r="H1122" i="20"/>
  <c r="H1123" i="20" s="1"/>
  <c r="I1098" i="20"/>
  <c r="I1099" i="20" s="1"/>
  <c r="I1130" i="20"/>
  <c r="I1131" i="20" s="1"/>
  <c r="J996" i="20"/>
  <c r="J997" i="20" s="1"/>
  <c r="H1002" i="20"/>
  <c r="H1003" i="20" s="1"/>
  <c r="I1140" i="20"/>
  <c r="I1141" i="20" s="1"/>
  <c r="J1042" i="20"/>
  <c r="J1043" i="20" s="1"/>
  <c r="I1042" i="20"/>
  <c r="I1043" i="20" s="1"/>
  <c r="J982" i="20"/>
  <c r="J983" i="20" s="1"/>
  <c r="I1016" i="20"/>
  <c r="I1017" i="20" s="1"/>
  <c r="I1010" i="20"/>
  <c r="I1011" i="20" s="1"/>
  <c r="I1004" i="20"/>
  <c r="I1005" i="20" s="1"/>
  <c r="I1002" i="20"/>
  <c r="I1003" i="20" s="1"/>
  <c r="I996" i="20"/>
  <c r="I997" i="20" s="1"/>
  <c r="I994" i="20"/>
  <c r="I995" i="20" s="1"/>
  <c r="I990" i="20"/>
  <c r="I991" i="20" s="1"/>
  <c r="I988" i="20"/>
  <c r="I989" i="20" s="1"/>
  <c r="I984" i="20"/>
  <c r="I985" i="20" s="1"/>
  <c r="H970" i="20"/>
  <c r="H971" i="20" s="1"/>
  <c r="H966" i="20"/>
  <c r="H967" i="20" s="1"/>
  <c r="I1070" i="20"/>
  <c r="I1071" i="20" s="1"/>
  <c r="J1070" i="20"/>
  <c r="J1071" i="20" s="1"/>
  <c r="J1134" i="20"/>
  <c r="J1135" i="20" s="1"/>
  <c r="H1134" i="20"/>
  <c r="H1135" i="20" s="1"/>
  <c r="J1126" i="20"/>
  <c r="J1127" i="20" s="1"/>
  <c r="H1126" i="20"/>
  <c r="H1127" i="20" s="1"/>
  <c r="J1118" i="20"/>
  <c r="J1119" i="20" s="1"/>
  <c r="H1118" i="20"/>
  <c r="H1119" i="20" s="1"/>
  <c r="J1110" i="20"/>
  <c r="J1111" i="20" s="1"/>
  <c r="H1110" i="20"/>
  <c r="H1111" i="20" s="1"/>
  <c r="H992" i="20"/>
  <c r="H993" i="20" s="1"/>
  <c r="J992" i="20"/>
  <c r="J993" i="20" s="1"/>
  <c r="H986" i="20"/>
  <c r="H987" i="20" s="1"/>
  <c r="J986" i="20"/>
  <c r="J987" i="20" s="1"/>
  <c r="H1132" i="20"/>
  <c r="H1133" i="20" s="1"/>
  <c r="I1132" i="20"/>
  <c r="I1133" i="20" s="1"/>
  <c r="H1124" i="20"/>
  <c r="H1125" i="20" s="1"/>
  <c r="I1124" i="20"/>
  <c r="I1125" i="20" s="1"/>
  <c r="H1116" i="20"/>
  <c r="H1117" i="20" s="1"/>
  <c r="I1116" i="20"/>
  <c r="I1117" i="20" s="1"/>
  <c r="H1108" i="20"/>
  <c r="H1109" i="20" s="1"/>
  <c r="I1108" i="20"/>
  <c r="I1109" i="20" s="1"/>
  <c r="H1100" i="20"/>
  <c r="H1101" i="20" s="1"/>
  <c r="I1100" i="20"/>
  <c r="I1101" i="20" s="1"/>
  <c r="H1080" i="20"/>
  <c r="H1081" i="20" s="1"/>
  <c r="J1080" i="20"/>
  <c r="J1081" i="20" s="1"/>
  <c r="J1064" i="20"/>
  <c r="J1065" i="20" s="1"/>
  <c r="I1064" i="20"/>
  <c r="I1065" i="20" s="1"/>
  <c r="J1056" i="20"/>
  <c r="J1057" i="20" s="1"/>
  <c r="I1056" i="20"/>
  <c r="I1057" i="20" s="1"/>
  <c r="J1048" i="20"/>
  <c r="J1049" i="20" s="1"/>
  <c r="I1048" i="20"/>
  <c r="I1049" i="20" s="1"/>
  <c r="J1040" i="20"/>
  <c r="J1041" i="20" s="1"/>
  <c r="I1040" i="20"/>
  <c r="I1041" i="20" s="1"/>
  <c r="J1072" i="20"/>
  <c r="J1073" i="20" s="1"/>
  <c r="I1072" i="20"/>
  <c r="I1073" i="20" s="1"/>
  <c r="J1032" i="20"/>
  <c r="J1033" i="20" s="1"/>
  <c r="H1032" i="20"/>
  <c r="H1033" i="20" s="1"/>
  <c r="H1030" i="20"/>
  <c r="H1031" i="20" s="1"/>
  <c r="J1036" i="20"/>
  <c r="J1037" i="20" s="1"/>
  <c r="J1052" i="20"/>
  <c r="J1053" i="20" s="1"/>
  <c r="J1068" i="20"/>
  <c r="J1069" i="20" s="1"/>
  <c r="H1010" i="20"/>
  <c r="H1011" i="20" s="1"/>
  <c r="I1036" i="20"/>
  <c r="I1037" i="20" s="1"/>
  <c r="I1052" i="20"/>
  <c r="I1053" i="20" s="1"/>
  <c r="I1068" i="20"/>
  <c r="I1069" i="20" s="1"/>
  <c r="J994" i="20"/>
  <c r="J995" i="20" s="1"/>
  <c r="I1080" i="20"/>
  <c r="I1081" i="20" s="1"/>
  <c r="H1078" i="20"/>
  <c r="H1079" i="20" s="1"/>
  <c r="H1076" i="20"/>
  <c r="H1077" i="20" s="1"/>
  <c r="H1074" i="20"/>
  <c r="H1075" i="20" s="1"/>
  <c r="H1072" i="20"/>
  <c r="H1073" i="20" s="1"/>
  <c r="H1070" i="20"/>
  <c r="H1071" i="20" s="1"/>
  <c r="H1066" i="20"/>
  <c r="H1067" i="20" s="1"/>
  <c r="H1064" i="20"/>
  <c r="H1065" i="20" s="1"/>
  <c r="H1062" i="20"/>
  <c r="H1063" i="20" s="1"/>
  <c r="H1060" i="20"/>
  <c r="H1061" i="20" s="1"/>
  <c r="H1058" i="20"/>
  <c r="H1059" i="20" s="1"/>
  <c r="H1056" i="20"/>
  <c r="H1057" i="20" s="1"/>
  <c r="H1054" i="20"/>
  <c r="H1055" i="20" s="1"/>
  <c r="H1050" i="20"/>
  <c r="H1051" i="20" s="1"/>
  <c r="H1048" i="20"/>
  <c r="H1049" i="20" s="1"/>
  <c r="H1046" i="20"/>
  <c r="H1047" i="20" s="1"/>
  <c r="H1044" i="20"/>
  <c r="H1045" i="20" s="1"/>
  <c r="H1042" i="20"/>
  <c r="H1043" i="20" s="1"/>
  <c r="H1040" i="20"/>
  <c r="H1041" i="20" s="1"/>
  <c r="H1038" i="20"/>
  <c r="H1039" i="20" s="1"/>
  <c r="H1034" i="20"/>
  <c r="H1035" i="20" s="1"/>
  <c r="I1032" i="20"/>
  <c r="I1033" i="20" s="1"/>
  <c r="I1030" i="20"/>
  <c r="I1031" i="20" s="1"/>
  <c r="I1028" i="20"/>
  <c r="I1029" i="20" s="1"/>
  <c r="H1028" i="20"/>
  <c r="H1029" i="20" s="1"/>
  <c r="J1046" i="20"/>
  <c r="J1047" i="20" s="1"/>
  <c r="J1062" i="20"/>
  <c r="J1063" i="20" s="1"/>
  <c r="J1078" i="20"/>
  <c r="J1079" i="20" s="1"/>
  <c r="I1034" i="20"/>
  <c r="I1035" i="20" s="1"/>
  <c r="I1050" i="20"/>
  <c r="I1051" i="20" s="1"/>
  <c r="I1066" i="20"/>
  <c r="I1067" i="20" s="1"/>
  <c r="H1020" i="20"/>
  <c r="H1021" i="20" s="1"/>
  <c r="I1020" i="20"/>
  <c r="I1021" i="20" s="1"/>
  <c r="J1018" i="20"/>
  <c r="J1019" i="20" s="1"/>
  <c r="H1018" i="20"/>
  <c r="H1019" i="20" s="1"/>
  <c r="J1012" i="20"/>
  <c r="J1013" i="20" s="1"/>
  <c r="H1012" i="20"/>
  <c r="H1013" i="20" s="1"/>
  <c r="H1008" i="20"/>
  <c r="H1009" i="20" s="1"/>
  <c r="J1008" i="20"/>
  <c r="J1009" i="20" s="1"/>
  <c r="J1006" i="20"/>
  <c r="J1007" i="20" s="1"/>
  <c r="H1006" i="20"/>
  <c r="H1007" i="20" s="1"/>
  <c r="H998" i="20"/>
  <c r="H999" i="20" s="1"/>
  <c r="J998" i="20"/>
  <c r="J999" i="20" s="1"/>
  <c r="J980" i="20"/>
  <c r="J981" i="20" s="1"/>
  <c r="H980" i="20"/>
  <c r="H981" i="20" s="1"/>
  <c r="H976" i="20"/>
  <c r="H977" i="20" s="1"/>
  <c r="J976" i="20"/>
  <c r="J977" i="20" s="1"/>
  <c r="J974" i="20"/>
  <c r="J975" i="20" s="1"/>
  <c r="H974" i="20"/>
  <c r="H975" i="20" s="1"/>
  <c r="H972" i="20"/>
  <c r="H973" i="20" s="1"/>
  <c r="J972" i="20"/>
  <c r="J973" i="20" s="1"/>
  <c r="I964" i="20"/>
  <c r="I965" i="20" s="1"/>
  <c r="J964" i="20"/>
  <c r="J965" i="20" s="1"/>
  <c r="J1044" i="20"/>
  <c r="J1045" i="20" s="1"/>
  <c r="J1060" i="20"/>
  <c r="J1061" i="20" s="1"/>
  <c r="J1076" i="20"/>
  <c r="J1077" i="20" s="1"/>
  <c r="I1138" i="20"/>
  <c r="I1139" i="20" s="1"/>
  <c r="AM49" i="12"/>
  <c r="D2" i="10"/>
  <c r="AM19" i="4"/>
  <c r="Z66" i="4" l="1"/>
  <c r="AA66" i="4" s="1"/>
  <c r="Z72" i="4"/>
  <c r="AA72" i="4" s="1"/>
  <c r="D481" i="10"/>
  <c r="N1748" i="20"/>
  <c r="N1749" i="20" s="1"/>
  <c r="N1744" i="20"/>
  <c r="N1745" i="20" s="1"/>
  <c r="N1746" i="20" s="1"/>
  <c r="N1747" i="20" s="1"/>
  <c r="B957" i="20"/>
  <c r="B958" i="20" s="1"/>
  <c r="B959" i="20" s="1"/>
  <c r="B960" i="20" s="1"/>
  <c r="B961" i="20" s="1"/>
  <c r="E957" i="20"/>
  <c r="E958" i="20" s="1"/>
  <c r="E959" i="20" s="1"/>
  <c r="E960" i="20" s="1"/>
  <c r="E961" i="20" s="1"/>
  <c r="M957" i="20"/>
  <c r="M958" i="20" s="1"/>
  <c r="M959" i="20" s="1"/>
  <c r="M960" i="20" s="1"/>
  <c r="M961" i="20" s="1"/>
  <c r="D957" i="20"/>
  <c r="D958" i="20" s="1"/>
  <c r="D959" i="20" s="1"/>
  <c r="D960" i="20" s="1"/>
  <c r="D961" i="20" s="1"/>
  <c r="G957" i="20"/>
  <c r="G958" i="20" s="1"/>
  <c r="G959" i="20" s="1"/>
  <c r="G960" i="20" s="1"/>
  <c r="G961" i="20" s="1"/>
  <c r="N788" i="20"/>
  <c r="N789" i="20" s="1"/>
  <c r="N784" i="20"/>
  <c r="N785" i="20" s="1"/>
  <c r="N786" i="20" s="1"/>
  <c r="N787" i="20" s="1"/>
  <c r="T69" i="4"/>
  <c r="U69" i="4" s="1"/>
  <c r="D468" i="10"/>
  <c r="T68" i="4"/>
  <c r="U68" i="4" s="1"/>
  <c r="AB66" i="4"/>
  <c r="AC66" i="4" s="1"/>
  <c r="AB68" i="4"/>
  <c r="AC68" i="4" s="1"/>
  <c r="Z70" i="4"/>
  <c r="AA70" i="4" s="1"/>
  <c r="AB74" i="4"/>
  <c r="AC74" i="4" s="1"/>
  <c r="D463" i="10"/>
  <c r="D437" i="10"/>
  <c r="D441" i="10"/>
  <c r="D473" i="10"/>
  <c r="D475" i="10"/>
  <c r="D477" i="10"/>
  <c r="D451" i="10"/>
  <c r="T71" i="4"/>
  <c r="U71" i="4" s="1"/>
  <c r="BC31" i="4"/>
  <c r="BA31" i="4"/>
  <c r="AZ31" i="4"/>
  <c r="BC27" i="4"/>
  <c r="BA27" i="4"/>
  <c r="AZ27" i="4"/>
  <c r="BC23" i="4"/>
  <c r="BA23" i="4"/>
  <c r="AZ23" i="4"/>
  <c r="BC19" i="4"/>
  <c r="BA19" i="4"/>
  <c r="AZ19" i="4"/>
  <c r="T73" i="4"/>
  <c r="U73" i="4" s="1"/>
  <c r="BD73" i="4"/>
  <c r="D438" i="10"/>
  <c r="BD61" i="4"/>
  <c r="R65" i="4"/>
  <c r="S65" i="4" s="1"/>
  <c r="BC34" i="4"/>
  <c r="BA34" i="4"/>
  <c r="AZ34" i="4"/>
  <c r="BA32" i="4"/>
  <c r="BC32" i="4"/>
  <c r="AZ32" i="4"/>
  <c r="BC30" i="4"/>
  <c r="BA30" i="4"/>
  <c r="AZ30" i="4"/>
  <c r="BA28" i="4"/>
  <c r="BC28" i="4"/>
  <c r="AZ28" i="4"/>
  <c r="BC26" i="4"/>
  <c r="BA26" i="4"/>
  <c r="AZ26" i="4"/>
  <c r="BA24" i="4"/>
  <c r="BC24" i="4"/>
  <c r="AZ24" i="4"/>
  <c r="BC22" i="4"/>
  <c r="BA22" i="4"/>
  <c r="AZ22" i="4"/>
  <c r="BA20" i="4"/>
  <c r="BC20" i="4"/>
  <c r="AZ20" i="4"/>
  <c r="BC18" i="4"/>
  <c r="BA18" i="4"/>
  <c r="AZ18" i="4"/>
  <c r="BA16" i="4"/>
  <c r="BC16" i="4"/>
  <c r="AZ16" i="4"/>
  <c r="BC14" i="4"/>
  <c r="BA14" i="4"/>
  <c r="AZ14" i="4"/>
  <c r="BA12" i="4"/>
  <c r="BC12" i="4"/>
  <c r="AZ12" i="4"/>
  <c r="BC73" i="4"/>
  <c r="AZ73" i="4"/>
  <c r="BA73" i="4"/>
  <c r="BC71" i="4"/>
  <c r="AZ71" i="4"/>
  <c r="BA71" i="4"/>
  <c r="BC69" i="4"/>
  <c r="AZ69" i="4"/>
  <c r="BA69" i="4"/>
  <c r="BC67" i="4"/>
  <c r="AZ67" i="4"/>
  <c r="BA67" i="4"/>
  <c r="BC65" i="4"/>
  <c r="AZ65" i="4"/>
  <c r="BA65" i="4"/>
  <c r="BC63" i="4"/>
  <c r="AZ63" i="4"/>
  <c r="BA63" i="4"/>
  <c r="BC61" i="4"/>
  <c r="AZ61" i="4"/>
  <c r="BA61" i="4"/>
  <c r="BC59" i="4"/>
  <c r="AZ59" i="4"/>
  <c r="BA59" i="4"/>
  <c r="BC57" i="4"/>
  <c r="AZ57" i="4"/>
  <c r="BA57" i="4"/>
  <c r="BC55" i="4"/>
  <c r="AZ55" i="4"/>
  <c r="BA55" i="4"/>
  <c r="BC53" i="4"/>
  <c r="AZ53" i="4"/>
  <c r="BA53" i="4"/>
  <c r="BC10" i="4"/>
  <c r="BA10" i="4"/>
  <c r="AZ10" i="4"/>
  <c r="BC49" i="4"/>
  <c r="AZ49" i="4"/>
  <c r="BA49" i="4"/>
  <c r="BC47" i="4"/>
  <c r="AZ47" i="4"/>
  <c r="BA47" i="4"/>
  <c r="BC9" i="4"/>
  <c r="BA9" i="4"/>
  <c r="AZ9" i="4"/>
  <c r="BC7" i="4"/>
  <c r="BA7" i="4"/>
  <c r="AZ7" i="4"/>
  <c r="AZ52" i="4"/>
  <c r="BC52" i="4"/>
  <c r="BA52" i="4"/>
  <c r="BC33" i="4"/>
  <c r="BA33" i="4"/>
  <c r="AZ33" i="4"/>
  <c r="BC29" i="4"/>
  <c r="BA29" i="4"/>
  <c r="AZ29" i="4"/>
  <c r="BC25" i="4"/>
  <c r="BA25" i="4"/>
  <c r="AZ25" i="4"/>
  <c r="BC21" i="4"/>
  <c r="BA21" i="4"/>
  <c r="AZ21" i="4"/>
  <c r="BC17" i="4"/>
  <c r="BA17" i="4"/>
  <c r="AZ17" i="4"/>
  <c r="BC15" i="4"/>
  <c r="BA15" i="4"/>
  <c r="AZ15" i="4"/>
  <c r="BC13" i="4"/>
  <c r="BA13" i="4"/>
  <c r="AZ13" i="4"/>
  <c r="BC11" i="4"/>
  <c r="BA11" i="4"/>
  <c r="AZ11" i="4"/>
  <c r="BA74" i="4"/>
  <c r="BC74" i="4"/>
  <c r="AZ74" i="4"/>
  <c r="AZ72" i="4"/>
  <c r="BC72" i="4"/>
  <c r="BA72" i="4"/>
  <c r="BC70" i="4"/>
  <c r="AZ70" i="4"/>
  <c r="BA70" i="4"/>
  <c r="AZ68" i="4"/>
  <c r="BC68" i="4"/>
  <c r="BA68" i="4"/>
  <c r="BC66" i="4"/>
  <c r="AZ66" i="4"/>
  <c r="BA66" i="4"/>
  <c r="AZ64" i="4"/>
  <c r="BC64" i="4"/>
  <c r="BA64" i="4"/>
  <c r="BC62" i="4"/>
  <c r="AZ62" i="4"/>
  <c r="BA62" i="4"/>
  <c r="AZ60" i="4"/>
  <c r="BC60" i="4"/>
  <c r="BA60" i="4"/>
  <c r="BC58" i="4"/>
  <c r="AZ58" i="4"/>
  <c r="BA58" i="4"/>
  <c r="AZ56" i="4"/>
  <c r="BC56" i="4"/>
  <c r="BA56" i="4"/>
  <c r="BC54" i="4"/>
  <c r="AZ54" i="4"/>
  <c r="BA54" i="4"/>
  <c r="J50" i="4"/>
  <c r="K50" i="4" s="1"/>
  <c r="BC50" i="4"/>
  <c r="AZ50" i="4"/>
  <c r="BA50" i="4"/>
  <c r="AZ48" i="4"/>
  <c r="BC48" i="4"/>
  <c r="BA48" i="4"/>
  <c r="G424" i="10"/>
  <c r="BD47" i="4"/>
  <c r="BA8" i="4"/>
  <c r="BC8" i="4"/>
  <c r="AZ8" i="4"/>
  <c r="D34" i="10"/>
  <c r="BD7" i="4"/>
  <c r="BC51" i="4"/>
  <c r="AZ51" i="4"/>
  <c r="BA51" i="4"/>
  <c r="G453" i="10"/>
  <c r="BE46" i="4"/>
  <c r="BC46" i="4"/>
  <c r="BA46" i="4"/>
  <c r="AZ46" i="4"/>
  <c r="AZ45" i="4"/>
  <c r="BA45" i="4"/>
  <c r="BC45" i="4"/>
  <c r="H1826" i="20"/>
  <c r="H1827" i="20" s="1"/>
  <c r="H1828" i="20" s="1"/>
  <c r="H1829" i="20" s="1"/>
  <c r="H1830" i="20" s="1"/>
  <c r="H1831" i="20" s="1"/>
  <c r="I1868" i="20"/>
  <c r="I1869" i="20" s="1"/>
  <c r="I1870" i="20" s="1"/>
  <c r="I1871" i="20" s="1"/>
  <c r="I1872" i="20" s="1"/>
  <c r="I1873" i="20" s="1"/>
  <c r="I932" i="20"/>
  <c r="I933" i="20" s="1"/>
  <c r="I934" i="20" s="1"/>
  <c r="I935" i="20" s="1"/>
  <c r="I936" i="20" s="1"/>
  <c r="I937" i="20" s="1"/>
  <c r="I1910" i="20"/>
  <c r="I1911" i="20" s="1"/>
  <c r="I1912" i="20" s="1"/>
  <c r="I1913" i="20" s="1"/>
  <c r="I1914" i="20" s="1"/>
  <c r="I1915" i="20" s="1"/>
  <c r="H1766" i="20"/>
  <c r="H1767" i="20" s="1"/>
  <c r="H1768" i="20" s="1"/>
  <c r="H1769" i="20" s="1"/>
  <c r="H1770" i="20" s="1"/>
  <c r="H1771" i="20" s="1"/>
  <c r="J1820" i="20"/>
  <c r="J1821" i="20" s="1"/>
  <c r="J1822" i="20" s="1"/>
  <c r="J1823" i="20" s="1"/>
  <c r="J1824" i="20" s="1"/>
  <c r="J1825" i="20" s="1"/>
  <c r="J1802" i="20"/>
  <c r="J1803" i="20" s="1"/>
  <c r="J1804" i="20" s="1"/>
  <c r="J1805" i="20" s="1"/>
  <c r="J1806" i="20" s="1"/>
  <c r="J1807" i="20" s="1"/>
  <c r="H1898" i="20"/>
  <c r="H1899" i="20" s="1"/>
  <c r="H1900" i="20" s="1"/>
  <c r="H1901" i="20" s="1"/>
  <c r="H1902" i="20" s="1"/>
  <c r="H1903" i="20" s="1"/>
  <c r="I1898" i="20"/>
  <c r="I1899" i="20" s="1"/>
  <c r="I1900" i="20" s="1"/>
  <c r="I1901" i="20" s="1"/>
  <c r="I1902" i="20" s="1"/>
  <c r="I1903" i="20" s="1"/>
  <c r="J1856" i="20"/>
  <c r="J1857" i="20" s="1"/>
  <c r="J1858" i="20" s="1"/>
  <c r="J1859" i="20" s="1"/>
  <c r="J1860" i="20" s="1"/>
  <c r="J1861" i="20" s="1"/>
  <c r="I914" i="20"/>
  <c r="I915" i="20" s="1"/>
  <c r="I916" i="20" s="1"/>
  <c r="I917" i="20" s="1"/>
  <c r="I918" i="20" s="1"/>
  <c r="I919" i="20" s="1"/>
  <c r="H1790" i="20"/>
  <c r="H1791" i="20" s="1"/>
  <c r="H1792" i="20" s="1"/>
  <c r="H1793" i="20" s="1"/>
  <c r="H1794" i="20" s="1"/>
  <c r="H1795" i="20" s="1"/>
  <c r="J1850" i="20"/>
  <c r="J1851" i="20" s="1"/>
  <c r="J1852" i="20" s="1"/>
  <c r="J1853" i="20" s="1"/>
  <c r="J1854" i="20" s="1"/>
  <c r="J1855" i="20" s="1"/>
  <c r="H1832" i="20"/>
  <c r="H1833" i="20" s="1"/>
  <c r="H1834" i="20" s="1"/>
  <c r="H1835" i="20" s="1"/>
  <c r="H1836" i="20" s="1"/>
  <c r="H1837" i="20" s="1"/>
  <c r="J1832" i="20"/>
  <c r="J1833" i="20" s="1"/>
  <c r="J1834" i="20" s="1"/>
  <c r="J1835" i="20" s="1"/>
  <c r="J1836" i="20" s="1"/>
  <c r="J1837" i="20" s="1"/>
  <c r="I830" i="20"/>
  <c r="I831" i="20" s="1"/>
  <c r="I832" i="20" s="1"/>
  <c r="I833" i="20" s="1"/>
  <c r="I834" i="20" s="1"/>
  <c r="I835" i="20" s="1"/>
  <c r="I1874" i="20"/>
  <c r="I1875" i="20" s="1"/>
  <c r="I1876" i="20" s="1"/>
  <c r="I1877" i="20" s="1"/>
  <c r="I1878" i="20" s="1"/>
  <c r="I1879" i="20" s="1"/>
  <c r="H1874" i="20"/>
  <c r="H1875" i="20" s="1"/>
  <c r="H1876" i="20" s="1"/>
  <c r="H1877" i="20" s="1"/>
  <c r="H1878" i="20" s="1"/>
  <c r="H1879" i="20" s="1"/>
  <c r="I1796" i="20"/>
  <c r="I1797" i="20" s="1"/>
  <c r="I1798" i="20" s="1"/>
  <c r="I1799" i="20" s="1"/>
  <c r="I1800" i="20" s="1"/>
  <c r="I1801" i="20" s="1"/>
  <c r="H1796" i="20"/>
  <c r="H1797" i="20" s="1"/>
  <c r="H1798" i="20" s="1"/>
  <c r="H1799" i="20" s="1"/>
  <c r="H1800" i="20" s="1"/>
  <c r="H1801" i="20" s="1"/>
  <c r="J1886" i="20"/>
  <c r="J1887" i="20" s="1"/>
  <c r="J1888" i="20" s="1"/>
  <c r="J1889" i="20" s="1"/>
  <c r="J1890" i="20" s="1"/>
  <c r="J1891" i="20" s="1"/>
  <c r="J1838" i="20"/>
  <c r="J1839" i="20" s="1"/>
  <c r="J1840" i="20" s="1"/>
  <c r="J1841" i="20" s="1"/>
  <c r="J1842" i="20" s="1"/>
  <c r="J1843" i="20" s="1"/>
  <c r="H1808" i="20"/>
  <c r="H1809" i="20" s="1"/>
  <c r="H1810" i="20" s="1"/>
  <c r="H1811" i="20" s="1"/>
  <c r="H1812" i="20" s="1"/>
  <c r="H1813" i="20" s="1"/>
  <c r="I1808" i="20"/>
  <c r="I1809" i="20" s="1"/>
  <c r="I1810" i="20" s="1"/>
  <c r="I1811" i="20" s="1"/>
  <c r="I1812" i="20" s="1"/>
  <c r="I1813" i="20" s="1"/>
  <c r="J1892" i="20"/>
  <c r="J1893" i="20" s="1"/>
  <c r="J1894" i="20" s="1"/>
  <c r="J1895" i="20" s="1"/>
  <c r="J1896" i="20" s="1"/>
  <c r="J1897" i="20" s="1"/>
  <c r="J914" i="20"/>
  <c r="J915" i="20" s="1"/>
  <c r="J916" i="20" s="1"/>
  <c r="J917" i="20" s="1"/>
  <c r="J918" i="20" s="1"/>
  <c r="J919" i="20" s="1"/>
  <c r="H878" i="20"/>
  <c r="H879" i="20" s="1"/>
  <c r="H880" i="20" s="1"/>
  <c r="H881" i="20" s="1"/>
  <c r="H882" i="20" s="1"/>
  <c r="H883" i="20" s="1"/>
  <c r="I890" i="20"/>
  <c r="I891" i="20" s="1"/>
  <c r="I892" i="20" s="1"/>
  <c r="I893" i="20" s="1"/>
  <c r="I894" i="20" s="1"/>
  <c r="I895" i="20" s="1"/>
  <c r="J938" i="20"/>
  <c r="J939" i="20" s="1"/>
  <c r="J940" i="20" s="1"/>
  <c r="J941" i="20" s="1"/>
  <c r="J942" i="20" s="1"/>
  <c r="J943" i="20" s="1"/>
  <c r="I938" i="20"/>
  <c r="I939" i="20" s="1"/>
  <c r="I940" i="20" s="1"/>
  <c r="I941" i="20" s="1"/>
  <c r="I942" i="20" s="1"/>
  <c r="I943" i="20" s="1"/>
  <c r="I1904" i="20"/>
  <c r="I1905" i="20" s="1"/>
  <c r="I1906" i="20" s="1"/>
  <c r="I1907" i="20" s="1"/>
  <c r="I1908" i="20" s="1"/>
  <c r="I1909" i="20" s="1"/>
  <c r="J902" i="20"/>
  <c r="J903" i="20" s="1"/>
  <c r="J904" i="20" s="1"/>
  <c r="J905" i="20" s="1"/>
  <c r="J906" i="20" s="1"/>
  <c r="J907" i="20" s="1"/>
  <c r="J800" i="20"/>
  <c r="J801" i="20" s="1"/>
  <c r="J802" i="20" s="1"/>
  <c r="J803" i="20" s="1"/>
  <c r="J804" i="20" s="1"/>
  <c r="J805" i="20" s="1"/>
  <c r="J824" i="20"/>
  <c r="J825" i="20" s="1"/>
  <c r="J826" i="20" s="1"/>
  <c r="J827" i="20" s="1"/>
  <c r="J828" i="20" s="1"/>
  <c r="J829" i="20" s="1"/>
  <c r="I848" i="20"/>
  <c r="I849" i="20" s="1"/>
  <c r="I850" i="20" s="1"/>
  <c r="I851" i="20" s="1"/>
  <c r="I852" i="20" s="1"/>
  <c r="I853" i="20" s="1"/>
  <c r="J848" i="20"/>
  <c r="J849" i="20" s="1"/>
  <c r="J850" i="20" s="1"/>
  <c r="J851" i="20" s="1"/>
  <c r="J852" i="20" s="1"/>
  <c r="J853" i="20" s="1"/>
  <c r="I872" i="20"/>
  <c r="I873" i="20" s="1"/>
  <c r="I874" i="20" s="1"/>
  <c r="I875" i="20" s="1"/>
  <c r="I876" i="20" s="1"/>
  <c r="I877" i="20" s="1"/>
  <c r="J872" i="20"/>
  <c r="J873" i="20" s="1"/>
  <c r="J874" i="20" s="1"/>
  <c r="J875" i="20" s="1"/>
  <c r="J876" i="20" s="1"/>
  <c r="J877" i="20" s="1"/>
  <c r="I896" i="20"/>
  <c r="I897" i="20" s="1"/>
  <c r="I898" i="20" s="1"/>
  <c r="I899" i="20" s="1"/>
  <c r="I900" i="20" s="1"/>
  <c r="I901" i="20" s="1"/>
  <c r="J896" i="20"/>
  <c r="J897" i="20" s="1"/>
  <c r="J898" i="20" s="1"/>
  <c r="J899" i="20" s="1"/>
  <c r="J900" i="20" s="1"/>
  <c r="J901" i="20" s="1"/>
  <c r="I920" i="20"/>
  <c r="I921" i="20" s="1"/>
  <c r="I922" i="20" s="1"/>
  <c r="I923" i="20" s="1"/>
  <c r="I924" i="20" s="1"/>
  <c r="I925" i="20" s="1"/>
  <c r="J920" i="20"/>
  <c r="J921" i="20" s="1"/>
  <c r="J922" i="20" s="1"/>
  <c r="J923" i="20" s="1"/>
  <c r="J924" i="20" s="1"/>
  <c r="J925" i="20" s="1"/>
  <c r="I944" i="20"/>
  <c r="I945" i="20" s="1"/>
  <c r="I946" i="20" s="1"/>
  <c r="I947" i="20" s="1"/>
  <c r="I948" i="20" s="1"/>
  <c r="I949" i="20" s="1"/>
  <c r="J944" i="20"/>
  <c r="J945" i="20" s="1"/>
  <c r="J946" i="20" s="1"/>
  <c r="J947" i="20" s="1"/>
  <c r="J948" i="20" s="1"/>
  <c r="J949" i="20" s="1"/>
  <c r="AY6" i="22"/>
  <c r="AZ6" i="22"/>
  <c r="C134" i="17"/>
  <c r="E134" i="17" s="1"/>
  <c r="F134" i="17" s="1"/>
  <c r="N321" i="11"/>
  <c r="BA5" i="14"/>
  <c r="AZ5" i="14"/>
  <c r="BA5" i="12"/>
  <c r="AZ5" i="12"/>
  <c r="BA5" i="4"/>
  <c r="AZ5" i="4"/>
  <c r="AZ6" i="4"/>
  <c r="BA6" i="4"/>
  <c r="AM54" i="14"/>
  <c r="B147" i="17"/>
  <c r="J334" i="11"/>
  <c r="B157" i="17"/>
  <c r="J344" i="11"/>
  <c r="B311" i="17"/>
  <c r="J364" i="11"/>
  <c r="B323" i="17"/>
  <c r="J376" i="11"/>
  <c r="B295" i="17"/>
  <c r="J318" i="11"/>
  <c r="B291" i="17"/>
  <c r="J314" i="11"/>
  <c r="B287" i="17"/>
  <c r="J310" i="11"/>
  <c r="B279" i="17"/>
  <c r="J302" i="11"/>
  <c r="B275" i="17"/>
  <c r="J298" i="11"/>
  <c r="B271" i="17"/>
  <c r="J294" i="11"/>
  <c r="B247" i="17"/>
  <c r="J270" i="11"/>
  <c r="B32" i="17"/>
  <c r="J89" i="11"/>
  <c r="B28" i="17"/>
  <c r="J85" i="11"/>
  <c r="B24" i="17"/>
  <c r="J81" i="11"/>
  <c r="B20" i="17"/>
  <c r="J77" i="11"/>
  <c r="B134" i="17"/>
  <c r="J321" i="11"/>
  <c r="B148" i="17"/>
  <c r="J335" i="11"/>
  <c r="B158" i="17"/>
  <c r="J345" i="11"/>
  <c r="B297" i="17"/>
  <c r="J350" i="11"/>
  <c r="B298" i="17"/>
  <c r="J351" i="11"/>
  <c r="B299" i="17"/>
  <c r="J352" i="11"/>
  <c r="B196" i="17"/>
  <c r="J119" i="11"/>
  <c r="B192" i="17"/>
  <c r="J115" i="11"/>
  <c r="B188" i="17"/>
  <c r="J111" i="11"/>
  <c r="B184" i="17"/>
  <c r="J107" i="11"/>
  <c r="B180" i="17"/>
  <c r="J103" i="11"/>
  <c r="B176" i="17"/>
  <c r="J99" i="11"/>
  <c r="B132" i="17"/>
  <c r="J269" i="11"/>
  <c r="B128" i="17"/>
  <c r="J265" i="11"/>
  <c r="B149" i="17"/>
  <c r="J336" i="11"/>
  <c r="B159" i="17"/>
  <c r="J346" i="11"/>
  <c r="B306" i="17"/>
  <c r="J359" i="11"/>
  <c r="B307" i="17"/>
  <c r="J360" i="11"/>
  <c r="B312" i="17"/>
  <c r="J365" i="11"/>
  <c r="B317" i="17"/>
  <c r="J370" i="11"/>
  <c r="B324" i="17"/>
  <c r="J377" i="11"/>
  <c r="B294" i="17"/>
  <c r="J317" i="11"/>
  <c r="B290" i="17"/>
  <c r="J313" i="11"/>
  <c r="B286" i="17"/>
  <c r="J309" i="11"/>
  <c r="B282" i="17"/>
  <c r="J305" i="11"/>
  <c r="B278" i="17"/>
  <c r="J301" i="11"/>
  <c r="B274" i="17"/>
  <c r="J297" i="11"/>
  <c r="B270" i="17"/>
  <c r="J293" i="11"/>
  <c r="B31" i="17"/>
  <c r="J88" i="11"/>
  <c r="B27" i="17"/>
  <c r="J84" i="11"/>
  <c r="B23" i="17"/>
  <c r="J80" i="11"/>
  <c r="B19" i="17"/>
  <c r="J76" i="11"/>
  <c r="B150" i="17"/>
  <c r="J337" i="11"/>
  <c r="B151" i="17"/>
  <c r="J338" i="11"/>
  <c r="B160" i="17"/>
  <c r="J347" i="11"/>
  <c r="B300" i="17"/>
  <c r="J353" i="11"/>
  <c r="B313" i="17"/>
  <c r="J366" i="11"/>
  <c r="B318" i="17"/>
  <c r="J371" i="11"/>
  <c r="B325" i="17"/>
  <c r="J378" i="11"/>
  <c r="B195" i="17"/>
  <c r="J118" i="11"/>
  <c r="B191" i="17"/>
  <c r="J114" i="11"/>
  <c r="B187" i="17"/>
  <c r="J110" i="11"/>
  <c r="B183" i="17"/>
  <c r="J106" i="11"/>
  <c r="B179" i="17"/>
  <c r="J102" i="11"/>
  <c r="B131" i="17"/>
  <c r="J268" i="11"/>
  <c r="B127" i="17"/>
  <c r="J264" i="11"/>
  <c r="B138" i="17"/>
  <c r="J325" i="11"/>
  <c r="B140" i="17"/>
  <c r="J327" i="11"/>
  <c r="B141" i="17"/>
  <c r="J328" i="11"/>
  <c r="B152" i="17"/>
  <c r="J339" i="11"/>
  <c r="B161" i="17"/>
  <c r="J348" i="11"/>
  <c r="B162" i="17"/>
  <c r="J349" i="11"/>
  <c r="B301" i="17"/>
  <c r="J354" i="11"/>
  <c r="B308" i="17"/>
  <c r="J361" i="11"/>
  <c r="B319" i="17"/>
  <c r="J372" i="11"/>
  <c r="B293" i="17"/>
  <c r="J316" i="11"/>
  <c r="B289" i="17"/>
  <c r="J312" i="11"/>
  <c r="B285" i="17"/>
  <c r="J308" i="11"/>
  <c r="B281" i="17"/>
  <c r="J304" i="11"/>
  <c r="B277" i="17"/>
  <c r="J300" i="11"/>
  <c r="B273" i="17"/>
  <c r="J296" i="11"/>
  <c r="B269" i="17"/>
  <c r="J292" i="11"/>
  <c r="B30" i="17"/>
  <c r="J87" i="11"/>
  <c r="B26" i="17"/>
  <c r="J83" i="11"/>
  <c r="B22" i="17"/>
  <c r="J79" i="11"/>
  <c r="B18" i="17"/>
  <c r="J75" i="11"/>
  <c r="B137" i="17"/>
  <c r="J324" i="11"/>
  <c r="B143" i="17"/>
  <c r="J330" i="11"/>
  <c r="B144" i="17"/>
  <c r="J331" i="11"/>
  <c r="B153" i="17"/>
  <c r="J340" i="11"/>
  <c r="B154" i="17"/>
  <c r="J341" i="11"/>
  <c r="B302" i="17"/>
  <c r="J355" i="11"/>
  <c r="B309" i="17"/>
  <c r="J362" i="11"/>
  <c r="B314" i="17"/>
  <c r="J367" i="11"/>
  <c r="B320" i="17"/>
  <c r="J373" i="11"/>
  <c r="B321" i="17"/>
  <c r="J374" i="11"/>
  <c r="B194" i="17"/>
  <c r="J117" i="11"/>
  <c r="B190" i="17"/>
  <c r="J113" i="11"/>
  <c r="B186" i="17"/>
  <c r="J109" i="11"/>
  <c r="B182" i="17"/>
  <c r="J105" i="11"/>
  <c r="B178" i="17"/>
  <c r="J101" i="11"/>
  <c r="B130" i="17"/>
  <c r="J267" i="11"/>
  <c r="B126" i="17"/>
  <c r="J263" i="11"/>
  <c r="B145" i="17"/>
  <c r="J332" i="11"/>
  <c r="B155" i="17"/>
  <c r="J342" i="11"/>
  <c r="B303" i="17"/>
  <c r="J356" i="11"/>
  <c r="B315" i="17"/>
  <c r="J368" i="11"/>
  <c r="B292" i="17"/>
  <c r="J315" i="11"/>
  <c r="B288" i="17"/>
  <c r="J311" i="11"/>
  <c r="B276" i="17"/>
  <c r="J299" i="11"/>
  <c r="B268" i="17"/>
  <c r="J291" i="11"/>
  <c r="B29" i="17"/>
  <c r="J86" i="11"/>
  <c r="B25" i="17"/>
  <c r="J82" i="11"/>
  <c r="B21" i="17"/>
  <c r="J78" i="11"/>
  <c r="B135" i="17"/>
  <c r="J322" i="11"/>
  <c r="B146" i="17"/>
  <c r="J333" i="11"/>
  <c r="B156" i="17"/>
  <c r="J343" i="11"/>
  <c r="B304" i="17"/>
  <c r="J357" i="11"/>
  <c r="B305" i="17"/>
  <c r="J358" i="11"/>
  <c r="B310" i="17"/>
  <c r="J363" i="11"/>
  <c r="B316" i="17"/>
  <c r="J369" i="11"/>
  <c r="B322" i="17"/>
  <c r="J375" i="11"/>
  <c r="B197" i="17"/>
  <c r="J170" i="11"/>
  <c r="B193" i="17"/>
  <c r="J116" i="11"/>
  <c r="B189" i="17"/>
  <c r="J112" i="11"/>
  <c r="B185" i="17"/>
  <c r="J108" i="11"/>
  <c r="B181" i="17"/>
  <c r="J104" i="11"/>
  <c r="B177" i="17"/>
  <c r="J100" i="11"/>
  <c r="B129" i="17"/>
  <c r="J266" i="11"/>
  <c r="B326" i="17"/>
  <c r="J379" i="11"/>
  <c r="B133" i="17"/>
  <c r="J320" i="11"/>
  <c r="B296" i="17"/>
  <c r="J319" i="11"/>
  <c r="M91" i="16"/>
  <c r="H325" i="19"/>
  <c r="H434" i="19"/>
  <c r="H543" i="19"/>
  <c r="M90" i="16"/>
  <c r="H433" i="19"/>
  <c r="H542" i="19"/>
  <c r="M89" i="16"/>
  <c r="H323" i="19"/>
  <c r="H432" i="19"/>
  <c r="H541" i="19"/>
  <c r="M88" i="16"/>
  <c r="H540" i="19"/>
  <c r="M87" i="16"/>
  <c r="H430" i="19"/>
  <c r="M86" i="16"/>
  <c r="H320" i="19"/>
  <c r="H538" i="19"/>
  <c r="H429" i="19"/>
  <c r="M85" i="16"/>
  <c r="H319" i="19"/>
  <c r="H537" i="19"/>
  <c r="H428" i="19"/>
  <c r="M84" i="16"/>
  <c r="H427" i="19"/>
  <c r="M83" i="16"/>
  <c r="H426" i="19"/>
  <c r="H317" i="19"/>
  <c r="H535" i="19"/>
  <c r="M82" i="16"/>
  <c r="H425" i="19"/>
  <c r="M81" i="16"/>
  <c r="H533" i="19"/>
  <c r="M80" i="16"/>
  <c r="H423" i="19"/>
  <c r="H314" i="19"/>
  <c r="H532" i="19"/>
  <c r="M79" i="16"/>
  <c r="H422" i="19"/>
  <c r="M78" i="16"/>
  <c r="H312" i="19"/>
  <c r="H530" i="19"/>
  <c r="H421" i="19"/>
  <c r="M77" i="16"/>
  <c r="H311" i="19"/>
  <c r="H420" i="19"/>
  <c r="H529" i="19"/>
  <c r="M76" i="16"/>
  <c r="H419" i="19"/>
  <c r="M75" i="16"/>
  <c r="H527" i="19"/>
  <c r="H309" i="19"/>
  <c r="H418" i="19"/>
  <c r="M74" i="16"/>
  <c r="H308" i="19"/>
  <c r="H417" i="19"/>
  <c r="H526" i="19"/>
  <c r="M73" i="16"/>
  <c r="H307" i="19"/>
  <c r="H525" i="19"/>
  <c r="M72" i="16"/>
  <c r="H415" i="19"/>
  <c r="M71" i="16"/>
  <c r="H414" i="19"/>
  <c r="H305" i="19"/>
  <c r="M70" i="16"/>
  <c r="H522" i="19"/>
  <c r="H413" i="19"/>
  <c r="M68" i="16"/>
  <c r="H302" i="19"/>
  <c r="H411" i="19"/>
  <c r="H520" i="19"/>
  <c r="M67" i="16"/>
  <c r="H301" i="19"/>
  <c r="H519" i="19"/>
  <c r="H410" i="19"/>
  <c r="M66" i="16"/>
  <c r="H518" i="19"/>
  <c r="H300" i="19"/>
  <c r="H409" i="19"/>
  <c r="M65" i="16"/>
  <c r="H408" i="19"/>
  <c r="H299" i="19"/>
  <c r="H517" i="19"/>
  <c r="M63" i="16"/>
  <c r="H297" i="19"/>
  <c r="H406" i="19"/>
  <c r="M62" i="16"/>
  <c r="H276" i="19"/>
  <c r="H385" i="19"/>
  <c r="H432" i="18"/>
  <c r="H323" i="18"/>
  <c r="H541" i="18"/>
  <c r="M59" i="16"/>
  <c r="H321" i="18"/>
  <c r="H430" i="18"/>
  <c r="H539" i="18"/>
  <c r="M57" i="16"/>
  <c r="H428" i="18"/>
  <c r="M55" i="16"/>
  <c r="H426" i="18"/>
  <c r="H317" i="18"/>
  <c r="H535" i="18"/>
  <c r="M53" i="16"/>
  <c r="H424" i="18"/>
  <c r="H315" i="18"/>
  <c r="H533" i="18"/>
  <c r="M51" i="16"/>
  <c r="H531" i="18"/>
  <c r="M49" i="16"/>
  <c r="H420" i="18"/>
  <c r="M47" i="16"/>
  <c r="H418" i="18"/>
  <c r="H527" i="18"/>
  <c r="H309" i="18"/>
  <c r="H416" i="18"/>
  <c r="H307" i="18"/>
  <c r="H525" i="18"/>
  <c r="M43" i="16"/>
  <c r="H305" i="18"/>
  <c r="H523" i="18"/>
  <c r="H412" i="18"/>
  <c r="H303" i="18"/>
  <c r="H408" i="18"/>
  <c r="H299" i="18"/>
  <c r="H517" i="18"/>
  <c r="H297" i="18"/>
  <c r="H406" i="18"/>
  <c r="H515" i="18"/>
  <c r="H295" i="18"/>
  <c r="H404" i="18"/>
  <c r="M60" i="16"/>
  <c r="H431" i="18"/>
  <c r="H540" i="18"/>
  <c r="M58" i="16"/>
  <c r="H538" i="18"/>
  <c r="M56" i="16"/>
  <c r="H427" i="18"/>
  <c r="H536" i="18"/>
  <c r="H318" i="18"/>
  <c r="M54" i="16"/>
  <c r="H425" i="18"/>
  <c r="M52" i="16"/>
  <c r="H423" i="18"/>
  <c r="M50" i="16"/>
  <c r="H530" i="18"/>
  <c r="H312" i="18"/>
  <c r="H421" i="18"/>
  <c r="M48" i="16"/>
  <c r="H419" i="18"/>
  <c r="H528" i="18"/>
  <c r="H310" i="18"/>
  <c r="M44" i="16"/>
  <c r="H415" i="18"/>
  <c r="H524" i="18"/>
  <c r="H306" i="18"/>
  <c r="M42" i="16"/>
  <c r="H413" i="18"/>
  <c r="H411" i="18"/>
  <c r="H520" i="18"/>
  <c r="H300" i="18"/>
  <c r="H518" i="18"/>
  <c r="H409" i="18"/>
  <c r="H407" i="18"/>
  <c r="H516" i="18"/>
  <c r="H298" i="18"/>
  <c r="H53" i="18"/>
  <c r="H269" i="18"/>
  <c r="H51" i="18"/>
  <c r="H267" i="18"/>
  <c r="H251" i="18"/>
  <c r="H35" i="18"/>
  <c r="H253" i="18"/>
  <c r="H145" i="18"/>
  <c r="H252" i="18"/>
  <c r="H36" i="18"/>
  <c r="H243" i="18"/>
  <c r="H135" i="18"/>
  <c r="M41" i="16"/>
  <c r="M33" i="16"/>
  <c r="M40" i="16"/>
  <c r="M46" i="16"/>
  <c r="M38" i="16"/>
  <c r="M45" i="16"/>
  <c r="M37" i="16"/>
  <c r="M36" i="16"/>
  <c r="M35" i="16"/>
  <c r="J90" i="12"/>
  <c r="K90" i="12" s="1"/>
  <c r="G507" i="10"/>
  <c r="T102" i="12"/>
  <c r="U102" i="12" s="1"/>
  <c r="D571" i="10"/>
  <c r="G571" i="10"/>
  <c r="T106" i="12"/>
  <c r="U106" i="12" s="1"/>
  <c r="G553" i="10"/>
  <c r="AB107" i="12"/>
  <c r="AC107" i="12" s="1"/>
  <c r="Z105" i="12"/>
  <c r="AA105" i="12" s="1"/>
  <c r="G622" i="10"/>
  <c r="D616" i="10"/>
  <c r="AB99" i="12"/>
  <c r="AC99" i="12" s="1"/>
  <c r="D236" i="10"/>
  <c r="G236" i="10"/>
  <c r="AB53" i="12"/>
  <c r="AC53" i="12" s="1"/>
  <c r="G240" i="10"/>
  <c r="AP49" i="12"/>
  <c r="AP32" i="12"/>
  <c r="G219" i="10"/>
  <c r="R5" i="12"/>
  <c r="S5" i="12" s="1"/>
  <c r="I1642" i="20"/>
  <c r="I1643" i="20" s="1"/>
  <c r="D1643" i="20"/>
  <c r="J1542" i="20"/>
  <c r="J1543" i="20" s="1"/>
  <c r="D1543" i="20"/>
  <c r="H1442" i="20"/>
  <c r="H1443" i="20" s="1"/>
  <c r="D1443" i="20"/>
  <c r="J682" i="20"/>
  <c r="J683" i="20" s="1"/>
  <c r="D683" i="20"/>
  <c r="I582" i="20"/>
  <c r="I583" i="20" s="1"/>
  <c r="D583" i="20"/>
  <c r="H482" i="20"/>
  <c r="H483" i="20" s="1"/>
  <c r="D483" i="20"/>
  <c r="I1716" i="20"/>
  <c r="I1717" i="20" s="1"/>
  <c r="I1512" i="20"/>
  <c r="I1513" i="20" s="1"/>
  <c r="G754" i="10"/>
  <c r="G705" i="10"/>
  <c r="G756" i="10"/>
  <c r="G707" i="10"/>
  <c r="D758" i="10"/>
  <c r="D709" i="10"/>
  <c r="G760" i="10"/>
  <c r="Z94" i="14"/>
  <c r="AA94" i="14" s="1"/>
  <c r="D763" i="10"/>
  <c r="G714" i="10"/>
  <c r="D765" i="10"/>
  <c r="G716" i="10"/>
  <c r="AB100" i="14"/>
  <c r="T101" i="14"/>
  <c r="D769" i="10"/>
  <c r="D720" i="10"/>
  <c r="Z104" i="14"/>
  <c r="AA104" i="14" s="1"/>
  <c r="T105" i="14"/>
  <c r="U105" i="14" s="1"/>
  <c r="AB106" i="14"/>
  <c r="AC106" i="14" s="1"/>
  <c r="D724" i="10"/>
  <c r="Z108" i="14"/>
  <c r="AA108" i="14" s="1"/>
  <c r="D726" i="10"/>
  <c r="D777" i="10"/>
  <c r="G728" i="10"/>
  <c r="D779" i="10"/>
  <c r="AB114" i="14"/>
  <c r="AC114" i="14" s="1"/>
  <c r="G753" i="10"/>
  <c r="D704" i="10"/>
  <c r="G755" i="10"/>
  <c r="D708" i="10"/>
  <c r="G759" i="10"/>
  <c r="R93" i="14"/>
  <c r="S93" i="14" s="1"/>
  <c r="Z95" i="14"/>
  <c r="AA95" i="14" s="1"/>
  <c r="T96" i="14"/>
  <c r="L97" i="14"/>
  <c r="M97" i="14" s="1"/>
  <c r="AB97" i="14"/>
  <c r="AC97" i="14" s="1"/>
  <c r="R98" i="14"/>
  <c r="S98" i="14" s="1"/>
  <c r="G766" i="10"/>
  <c r="G717" i="10"/>
  <c r="Z101" i="14"/>
  <c r="AA101" i="14" s="1"/>
  <c r="D719" i="10"/>
  <c r="G770" i="10"/>
  <c r="T104" i="14"/>
  <c r="U104" i="14" s="1"/>
  <c r="L105" i="14"/>
  <c r="M105" i="14" s="1"/>
  <c r="G772" i="10"/>
  <c r="D723" i="10"/>
  <c r="Z107" i="14"/>
  <c r="AA107" i="14" s="1"/>
  <c r="T108" i="14"/>
  <c r="U108" i="14" s="1"/>
  <c r="D776" i="10"/>
  <c r="G727" i="10"/>
  <c r="Z111" i="14"/>
  <c r="AA111" i="14" s="1"/>
  <c r="T112" i="14"/>
  <c r="U112" i="14" s="1"/>
  <c r="AB113" i="14"/>
  <c r="AC113" i="14" s="1"/>
  <c r="D731" i="10"/>
  <c r="G703" i="10"/>
  <c r="G523" i="19"/>
  <c r="R100" i="14"/>
  <c r="S100" i="14" s="1"/>
  <c r="D778" i="10"/>
  <c r="D664" i="10"/>
  <c r="R110" i="14"/>
  <c r="S110" i="14" s="1"/>
  <c r="Q147" i="10"/>
  <c r="Q157" i="10"/>
  <c r="AM51" i="14"/>
  <c r="G782" i="10"/>
  <c r="AC5" i="22"/>
  <c r="G870" i="10"/>
  <c r="Y33" i="22"/>
  <c r="Z33" i="22" s="1"/>
  <c r="G810" i="10"/>
  <c r="K33" i="22"/>
  <c r="L33" i="22" s="1"/>
  <c r="G839" i="10"/>
  <c r="S32" i="22"/>
  <c r="T32" i="22" s="1"/>
  <c r="AI32" i="22" s="1"/>
  <c r="G808" i="10"/>
  <c r="D808" i="10"/>
  <c r="G835" i="10"/>
  <c r="S28" i="22"/>
  <c r="T28" i="22" s="1"/>
  <c r="AI28" i="22" s="1"/>
  <c r="G804" i="10"/>
  <c r="D804" i="10"/>
  <c r="G800" i="10"/>
  <c r="D800" i="10"/>
  <c r="AC23" i="22"/>
  <c r="G829" i="10"/>
  <c r="D829" i="10"/>
  <c r="G858" i="10"/>
  <c r="D858" i="10"/>
  <c r="AA21" i="22"/>
  <c r="AB21" i="22" s="1"/>
  <c r="AI21" i="22" s="1"/>
  <c r="G827" i="10"/>
  <c r="D827" i="10"/>
  <c r="G856" i="10"/>
  <c r="D856" i="10"/>
  <c r="AA19" i="22"/>
  <c r="AB19" i="22" s="1"/>
  <c r="G796" i="10"/>
  <c r="I19" i="22"/>
  <c r="J19" i="22" s="1"/>
  <c r="G825" i="10"/>
  <c r="D825" i="10"/>
  <c r="G854" i="10"/>
  <c r="D854" i="10"/>
  <c r="G794" i="10"/>
  <c r="D794" i="10"/>
  <c r="G792" i="10"/>
  <c r="D792" i="10"/>
  <c r="AC15" i="22"/>
  <c r="C143" i="17" s="1"/>
  <c r="E143" i="17" s="1"/>
  <c r="F143" i="17" s="1"/>
  <c r="I15" i="22"/>
  <c r="J15" i="22" s="1"/>
  <c r="AD15" i="22" s="1"/>
  <c r="AF15" i="22" s="1"/>
  <c r="AG15" i="22" s="1"/>
  <c r="G788" i="10"/>
  <c r="D788" i="10"/>
  <c r="AC11" i="22"/>
  <c r="G961" i="10"/>
  <c r="D961" i="10"/>
  <c r="G901" i="10"/>
  <c r="D901" i="10"/>
  <c r="G930" i="10"/>
  <c r="D930" i="10"/>
  <c r="G959" i="10"/>
  <c r="D959" i="10"/>
  <c r="G899" i="10"/>
  <c r="D899" i="10"/>
  <c r="G895" i="10"/>
  <c r="AC68" i="22"/>
  <c r="D320" i="17" s="1"/>
  <c r="G953" i="10"/>
  <c r="D953" i="10"/>
  <c r="G889" i="10"/>
  <c r="D889" i="10"/>
  <c r="G947" i="10"/>
  <c r="D947" i="10"/>
  <c r="G887" i="10"/>
  <c r="AC60" i="22"/>
  <c r="D312" i="17" s="1"/>
  <c r="D887" i="10"/>
  <c r="G945" i="10"/>
  <c r="D945" i="10"/>
  <c r="G914" i="10"/>
  <c r="D914" i="10"/>
  <c r="G908" i="10"/>
  <c r="Q51" i="22"/>
  <c r="R51" i="22" s="1"/>
  <c r="G906" i="10"/>
  <c r="D906" i="10"/>
  <c r="S49" i="22"/>
  <c r="T49" i="22" s="1"/>
  <c r="G875" i="10"/>
  <c r="D875" i="10"/>
  <c r="G873" i="10"/>
  <c r="D873" i="10"/>
  <c r="I778" i="20"/>
  <c r="I779" i="20" s="1"/>
  <c r="AP53" i="12"/>
  <c r="AC56" i="22"/>
  <c r="C308" i="17" s="1"/>
  <c r="E308" i="17" s="1"/>
  <c r="F308" i="17" s="1"/>
  <c r="D784" i="10"/>
  <c r="AA15" i="22"/>
  <c r="AB15" i="22" s="1"/>
  <c r="Q26" i="22"/>
  <c r="R26" i="22" s="1"/>
  <c r="AE26" i="22" s="1"/>
  <c r="Q8" i="22"/>
  <c r="R8" i="22" s="1"/>
  <c r="Y7" i="22"/>
  <c r="Z7" i="22" s="1"/>
  <c r="S10" i="22"/>
  <c r="T10" i="22" s="1"/>
  <c r="T61" i="4"/>
  <c r="U61" i="4" s="1"/>
  <c r="T65" i="4"/>
  <c r="U65" i="4" s="1"/>
  <c r="AB59" i="4"/>
  <c r="AC59" i="4" s="1"/>
  <c r="AA33" i="22"/>
  <c r="AB33" i="22" s="1"/>
  <c r="D833" i="10"/>
  <c r="D831" i="10"/>
  <c r="S16" i="22"/>
  <c r="T16" i="22" s="1"/>
  <c r="AI16" i="22" s="1"/>
  <c r="Q14" i="22"/>
  <c r="R14" i="22" s="1"/>
  <c r="Q12" i="22"/>
  <c r="R12" i="22" s="1"/>
  <c r="AE12" i="22" s="1"/>
  <c r="AA9" i="22"/>
  <c r="AB9" i="22" s="1"/>
  <c r="I5" i="22"/>
  <c r="J5" i="22" s="1"/>
  <c r="D316" i="17"/>
  <c r="D866" i="10"/>
  <c r="D864" i="10"/>
  <c r="D862" i="10"/>
  <c r="D860" i="10"/>
  <c r="D852" i="10"/>
  <c r="R69" i="4"/>
  <c r="S69" i="4" s="1"/>
  <c r="D870" i="10"/>
  <c r="D868" i="10"/>
  <c r="K9" i="22"/>
  <c r="L9" i="22" s="1"/>
  <c r="D142" i="17"/>
  <c r="AW14" i="22"/>
  <c r="E101" i="16" s="1"/>
  <c r="AA11" i="22"/>
  <c r="AB11" i="22" s="1"/>
  <c r="Z6" i="4"/>
  <c r="F140" i="19"/>
  <c r="F138" i="19"/>
  <c r="D426" i="10"/>
  <c r="D434" i="10"/>
  <c r="F222" i="19"/>
  <c r="G222" i="19" s="1"/>
  <c r="AC72" i="22"/>
  <c r="D324" i="17" s="1"/>
  <c r="Y5" i="22"/>
  <c r="Z5" i="22" s="1"/>
  <c r="S6" i="22"/>
  <c r="T6" i="22" s="1"/>
  <c r="Y74" i="22"/>
  <c r="Z74" i="22" s="1"/>
  <c r="Q67" i="22"/>
  <c r="R67" i="22" s="1"/>
  <c r="Q73" i="22"/>
  <c r="R73" i="22" s="1"/>
  <c r="Y72" i="22"/>
  <c r="Z72" i="22" s="1"/>
  <c r="AE72" i="22" s="1"/>
  <c r="I72" i="22"/>
  <c r="J72" i="22" s="1"/>
  <c r="AA70" i="22"/>
  <c r="AB70" i="22" s="1"/>
  <c r="K70" i="22"/>
  <c r="L70" i="22" s="1"/>
  <c r="Q69" i="22"/>
  <c r="R69" i="22" s="1"/>
  <c r="AE69" i="22" s="1"/>
  <c r="Y64" i="22"/>
  <c r="Z64" i="22" s="1"/>
  <c r="I68" i="22"/>
  <c r="J68" i="22" s="1"/>
  <c r="Y66" i="22"/>
  <c r="Z66" i="22" s="1"/>
  <c r="I66" i="22"/>
  <c r="J66" i="22" s="1"/>
  <c r="S65" i="22"/>
  <c r="T65" i="22" s="1"/>
  <c r="I64" i="22"/>
  <c r="J64" i="22" s="1"/>
  <c r="Q59" i="22"/>
  <c r="R59" i="22" s="1"/>
  <c r="AA54" i="22"/>
  <c r="AB54" i="22" s="1"/>
  <c r="Q30" i="22"/>
  <c r="R30" i="22" s="1"/>
  <c r="I25" i="22"/>
  <c r="J25" i="22" s="1"/>
  <c r="K23" i="22"/>
  <c r="L23" i="22" s="1"/>
  <c r="Y11" i="22"/>
  <c r="Z11" i="22" s="1"/>
  <c r="AE11" i="22" s="1"/>
  <c r="K11" i="22"/>
  <c r="S61" i="22"/>
  <c r="T61" i="22" s="1"/>
  <c r="Y58" i="22"/>
  <c r="Z58" i="22" s="1"/>
  <c r="Y56" i="22"/>
  <c r="Z56" i="22" s="1"/>
  <c r="AD56" i="22" s="1"/>
  <c r="AF56" i="22" s="1"/>
  <c r="AG56" i="22" s="1"/>
  <c r="I56" i="22"/>
  <c r="J56" i="22" s="1"/>
  <c r="AA50" i="22"/>
  <c r="AB50" i="22" s="1"/>
  <c r="K29" i="22"/>
  <c r="L29" i="22" s="1"/>
  <c r="AI29" i="22" s="1"/>
  <c r="K27" i="22"/>
  <c r="L27" i="22" s="1"/>
  <c r="AI27" i="22" s="1"/>
  <c r="Q20" i="22"/>
  <c r="R20" i="22" s="1"/>
  <c r="Q18" i="22"/>
  <c r="R18" i="22" s="1"/>
  <c r="AE18" i="22" s="1"/>
  <c r="K7" i="22"/>
  <c r="L7" i="22" s="1"/>
  <c r="S63" i="22"/>
  <c r="T63" i="22" s="1"/>
  <c r="AH63" i="22" s="1"/>
  <c r="AJ63" i="22" s="1"/>
  <c r="AK63" i="22" s="1"/>
  <c r="K60" i="22"/>
  <c r="L60" i="22" s="1"/>
  <c r="K31" i="22"/>
  <c r="L31" i="22" s="1"/>
  <c r="AH31" i="22" s="1"/>
  <c r="AJ31" i="22" s="1"/>
  <c r="AK31" i="22" s="1"/>
  <c r="S22" i="22"/>
  <c r="T22" i="22" s="1"/>
  <c r="AA17" i="22"/>
  <c r="AB17" i="22" s="1"/>
  <c r="K17" i="22"/>
  <c r="L17" i="22" s="1"/>
  <c r="S8" i="22"/>
  <c r="T8" i="22" s="1"/>
  <c r="AI8" i="22" s="1"/>
  <c r="I9" i="22"/>
  <c r="J9" i="22" s="1"/>
  <c r="AD9" i="22" s="1"/>
  <c r="AF9" i="22" s="1"/>
  <c r="AG9" i="22" s="1"/>
  <c r="AA62" i="22"/>
  <c r="AB62" i="22" s="1"/>
  <c r="AH62" i="22" s="1"/>
  <c r="AJ62" i="22" s="1"/>
  <c r="AK62" i="22" s="1"/>
  <c r="I62" i="22"/>
  <c r="J62" i="22" s="1"/>
  <c r="Q57" i="22"/>
  <c r="R57" i="22" s="1"/>
  <c r="S55" i="22"/>
  <c r="T55" i="22" s="1"/>
  <c r="I33" i="22"/>
  <c r="J33" i="22" s="1"/>
  <c r="AE33" i="22" s="1"/>
  <c r="Y21" i="22"/>
  <c r="Z21" i="22" s="1"/>
  <c r="Y19" i="22"/>
  <c r="Z19" i="22" s="1"/>
  <c r="D842" i="10"/>
  <c r="AC33" i="22"/>
  <c r="C161" i="17" s="1"/>
  <c r="E161" i="17" s="1"/>
  <c r="F161" i="17" s="1"/>
  <c r="AC19" i="22"/>
  <c r="D813" i="10"/>
  <c r="AM11" i="22"/>
  <c r="AN20" i="22"/>
  <c r="AN22" i="22"/>
  <c r="AO23" i="22"/>
  <c r="AC25" i="22"/>
  <c r="C153" i="17" s="1"/>
  <c r="E153" i="17" s="1"/>
  <c r="F153" i="17" s="1"/>
  <c r="AO25" i="22"/>
  <c r="AC27" i="22"/>
  <c r="C155" i="17" s="1"/>
  <c r="E155" i="17" s="1"/>
  <c r="F155" i="17" s="1"/>
  <c r="AN28" i="22"/>
  <c r="D904" i="10"/>
  <c r="D908" i="10"/>
  <c r="D910" i="10"/>
  <c r="D912" i="10"/>
  <c r="AM56" i="22"/>
  <c r="D943" i="10"/>
  <c r="AN57" i="22"/>
  <c r="D916" i="10"/>
  <c r="AM60" i="22"/>
  <c r="D918" i="10"/>
  <c r="AM62" i="22"/>
  <c r="D924" i="10"/>
  <c r="D926" i="10"/>
  <c r="AM70" i="22"/>
  <c r="D957" i="10"/>
  <c r="AM72" i="22"/>
  <c r="AN73" i="22"/>
  <c r="AO74" i="22"/>
  <c r="D796" i="10"/>
  <c r="AM5" i="22"/>
  <c r="AO5" i="22"/>
  <c r="AN6" i="22"/>
  <c r="AM7" i="22"/>
  <c r="AO7" i="22"/>
  <c r="AN8" i="22"/>
  <c r="AM9" i="22"/>
  <c r="AO9" i="22"/>
  <c r="AN10" i="22"/>
  <c r="AO11" i="22"/>
  <c r="AO13" i="22"/>
  <c r="AN14" i="22"/>
  <c r="AN16" i="22"/>
  <c r="AM17" i="22"/>
  <c r="AM19" i="22"/>
  <c r="AM21" i="22"/>
  <c r="AN24" i="22"/>
  <c r="AM25" i="22"/>
  <c r="AM27" i="22"/>
  <c r="AO27" i="22"/>
  <c r="AM29" i="22"/>
  <c r="AN30" i="22"/>
  <c r="AM31" i="22"/>
  <c r="AN32" i="22"/>
  <c r="AM33" i="22"/>
  <c r="AO33" i="22"/>
  <c r="AO46" i="22"/>
  <c r="AO50" i="22"/>
  <c r="AM54" i="22"/>
  <c r="AO54" i="22"/>
  <c r="AN55" i="22"/>
  <c r="AO56" i="22"/>
  <c r="AN59" i="22"/>
  <c r="AN61" i="22"/>
  <c r="AO62" i="22"/>
  <c r="AN63" i="22"/>
  <c r="AM64" i="22"/>
  <c r="AO64" i="22"/>
  <c r="AN65" i="22"/>
  <c r="AN67" i="22"/>
  <c r="AM68" i="22"/>
  <c r="AN69" i="22"/>
  <c r="AO70" i="22"/>
  <c r="AN34" i="4"/>
  <c r="K31" i="10"/>
  <c r="L32" i="4"/>
  <c r="M32" i="4" s="1"/>
  <c r="K29" i="10"/>
  <c r="L30" i="4"/>
  <c r="M30" i="4" s="1"/>
  <c r="K27" i="10"/>
  <c r="G25" i="10"/>
  <c r="K25" i="10"/>
  <c r="AN26" i="4"/>
  <c r="K23" i="10"/>
  <c r="G21" i="10"/>
  <c r="K21" i="10"/>
  <c r="AN22" i="4"/>
  <c r="K19" i="10"/>
  <c r="D17" i="10"/>
  <c r="K17" i="10"/>
  <c r="G15" i="10"/>
  <c r="K15" i="10"/>
  <c r="D13" i="10"/>
  <c r="K13" i="10"/>
  <c r="AN14" i="4"/>
  <c r="K11" i="10"/>
  <c r="J12" i="4"/>
  <c r="K9" i="10"/>
  <c r="R32" i="4"/>
  <c r="S32" i="4" s="1"/>
  <c r="R30" i="4"/>
  <c r="S30" i="4" s="1"/>
  <c r="R26" i="4"/>
  <c r="S26" i="4" s="1"/>
  <c r="G51" i="10"/>
  <c r="R22" i="4"/>
  <c r="S22" i="4" s="1"/>
  <c r="G47" i="10"/>
  <c r="G45" i="10"/>
  <c r="D43" i="10"/>
  <c r="D41" i="10"/>
  <c r="R12" i="4"/>
  <c r="S12" i="4" s="1"/>
  <c r="AB33" i="4"/>
  <c r="AC33" i="4" s="1"/>
  <c r="AP31" i="4"/>
  <c r="AB29" i="4"/>
  <c r="AC29" i="4" s="1"/>
  <c r="Z27" i="4"/>
  <c r="AA27" i="4" s="1"/>
  <c r="D80" i="10"/>
  <c r="D76" i="10"/>
  <c r="Z17" i="4"/>
  <c r="AA17" i="4" s="1"/>
  <c r="D72" i="10"/>
  <c r="Z13" i="4"/>
  <c r="AA13" i="4" s="1"/>
  <c r="AP11" i="4"/>
  <c r="Q110" i="10"/>
  <c r="G288" i="10"/>
  <c r="Q108" i="10"/>
  <c r="Q106" i="10"/>
  <c r="L47" i="14"/>
  <c r="M47" i="14" s="1"/>
  <c r="Q104" i="10"/>
  <c r="Q102" i="10"/>
  <c r="G280" i="10"/>
  <c r="Q100" i="10"/>
  <c r="L41" i="14"/>
  <c r="M41" i="14" s="1"/>
  <c r="Q98" i="10"/>
  <c r="Q96" i="10"/>
  <c r="J37" i="14"/>
  <c r="Q94" i="10"/>
  <c r="Q92" i="10"/>
  <c r="G270" i="10"/>
  <c r="Q90" i="10"/>
  <c r="Q88" i="10"/>
  <c r="G266" i="10"/>
  <c r="Q86" i="10"/>
  <c r="G264" i="10"/>
  <c r="Q84" i="10"/>
  <c r="G338" i="10"/>
  <c r="G334" i="10"/>
  <c r="G330" i="10"/>
  <c r="R41" i="14"/>
  <c r="S41" i="14" s="1"/>
  <c r="T39" i="14"/>
  <c r="U39" i="14" s="1"/>
  <c r="R35" i="14"/>
  <c r="S35" i="14" s="1"/>
  <c r="D320" i="10"/>
  <c r="G318" i="10"/>
  <c r="G316" i="10"/>
  <c r="R27" i="14"/>
  <c r="S27" i="14" s="1"/>
  <c r="AP51" i="14"/>
  <c r="AP45" i="14"/>
  <c r="AP43" i="14"/>
  <c r="Z41" i="14"/>
  <c r="AA41" i="14" s="1"/>
  <c r="D372" i="10"/>
  <c r="G370" i="10"/>
  <c r="G366" i="10"/>
  <c r="AP27" i="14"/>
  <c r="N156" i="10"/>
  <c r="Z109" i="12"/>
  <c r="AA109" i="12" s="1"/>
  <c r="T110" i="12"/>
  <c r="U110" i="12" s="1"/>
  <c r="L111" i="12"/>
  <c r="M111" i="12" s="1"/>
  <c r="N158" i="10"/>
  <c r="AB111" i="12"/>
  <c r="AC111" i="12" s="1"/>
  <c r="J113" i="12"/>
  <c r="K113" i="12" s="1"/>
  <c r="N160" i="10"/>
  <c r="D560" i="10"/>
  <c r="D558" i="10"/>
  <c r="G653" i="10"/>
  <c r="Q133" i="10"/>
  <c r="Q135" i="10"/>
  <c r="G657" i="10"/>
  <c r="Q137" i="10"/>
  <c r="G659" i="10"/>
  <c r="Q139" i="10"/>
  <c r="J95" i="14"/>
  <c r="K95" i="14" s="1"/>
  <c r="Q142" i="10"/>
  <c r="J97" i="14"/>
  <c r="Q144" i="10"/>
  <c r="J99" i="14"/>
  <c r="K99" i="14" s="1"/>
  <c r="Q146" i="10"/>
  <c r="G668" i="10"/>
  <c r="Q148" i="10"/>
  <c r="G670" i="10"/>
  <c r="Q150" i="10"/>
  <c r="G672" i="10"/>
  <c r="Q152" i="10"/>
  <c r="D674" i="10"/>
  <c r="Q154" i="10"/>
  <c r="G676" i="10"/>
  <c r="Q156" i="10"/>
  <c r="Q158" i="10"/>
  <c r="Q160" i="10"/>
  <c r="N139" i="10"/>
  <c r="N141" i="10"/>
  <c r="N150" i="10"/>
  <c r="N149" i="10"/>
  <c r="N147" i="10"/>
  <c r="N135" i="10"/>
  <c r="N153" i="10"/>
  <c r="N145" i="10"/>
  <c r="N155" i="10"/>
  <c r="G481" i="10"/>
  <c r="G479" i="10"/>
  <c r="G477" i="10"/>
  <c r="G475" i="10"/>
  <c r="G473" i="10"/>
  <c r="G471" i="10"/>
  <c r="G469" i="10"/>
  <c r="G467" i="10"/>
  <c r="G465" i="10"/>
  <c r="G463" i="10"/>
  <c r="G461" i="10"/>
  <c r="T72" i="4"/>
  <c r="U72" i="4" s="1"/>
  <c r="D447" i="10"/>
  <c r="G445" i="10"/>
  <c r="G443" i="10"/>
  <c r="T60" i="4"/>
  <c r="U60" i="4" s="1"/>
  <c r="D431" i="10"/>
  <c r="G420" i="10"/>
  <c r="K60" i="10"/>
  <c r="G418" i="10"/>
  <c r="K58" i="10"/>
  <c r="G416" i="10"/>
  <c r="K56" i="10"/>
  <c r="G414" i="10"/>
  <c r="K54" i="10"/>
  <c r="K52" i="10"/>
  <c r="G410" i="10"/>
  <c r="K50" i="10"/>
  <c r="K48" i="10"/>
  <c r="L59" i="4"/>
  <c r="M59" i="4" s="1"/>
  <c r="K46" i="10"/>
  <c r="K44" i="10"/>
  <c r="L55" i="4"/>
  <c r="M55" i="4" s="1"/>
  <c r="K42" i="10"/>
  <c r="K40" i="10"/>
  <c r="AB54" i="12"/>
  <c r="AC54" i="12" s="1"/>
  <c r="AI54" i="12" s="1"/>
  <c r="AK54" i="12" s="1"/>
  <c r="AL54" i="12" s="1"/>
  <c r="N111" i="10"/>
  <c r="N109" i="10"/>
  <c r="D237" i="10"/>
  <c r="N107" i="10"/>
  <c r="D235" i="10"/>
  <c r="N105" i="10"/>
  <c r="D232" i="10"/>
  <c r="N102" i="10"/>
  <c r="D229" i="10"/>
  <c r="N99" i="10"/>
  <c r="AB40" i="12"/>
  <c r="AC40" i="12" s="1"/>
  <c r="AI40" i="12" s="1"/>
  <c r="AK40" i="12" s="1"/>
  <c r="AL40" i="12" s="1"/>
  <c r="N97" i="10"/>
  <c r="D225" i="10"/>
  <c r="N95" i="10"/>
  <c r="N92" i="10"/>
  <c r="N90" i="10"/>
  <c r="N88" i="10"/>
  <c r="N86" i="10"/>
  <c r="N84" i="10"/>
  <c r="N104" i="10"/>
  <c r="N101" i="10"/>
  <c r="K7" i="10"/>
  <c r="K34" i="10"/>
  <c r="K32" i="10"/>
  <c r="G62" i="10"/>
  <c r="K2" i="10"/>
  <c r="G36" i="10"/>
  <c r="K5" i="10"/>
  <c r="K3" i="10"/>
  <c r="G398" i="10"/>
  <c r="K38" i="10"/>
  <c r="G458" i="10"/>
  <c r="G429" i="10"/>
  <c r="K30" i="10"/>
  <c r="AN31" i="4"/>
  <c r="K28" i="10"/>
  <c r="D26" i="10"/>
  <c r="K26" i="10"/>
  <c r="D24" i="10"/>
  <c r="K24" i="10"/>
  <c r="G22" i="10"/>
  <c r="K22" i="10"/>
  <c r="L23" i="4"/>
  <c r="M23" i="4" s="1"/>
  <c r="K20" i="10"/>
  <c r="J21" i="4"/>
  <c r="K21" i="4" s="1"/>
  <c r="K18" i="10"/>
  <c r="AN19" i="4"/>
  <c r="K16" i="10"/>
  <c r="J17" i="4"/>
  <c r="K17" i="4" s="1"/>
  <c r="K14" i="10"/>
  <c r="L15" i="4"/>
  <c r="K12" i="10"/>
  <c r="L13" i="4"/>
  <c r="M13" i="4" s="1"/>
  <c r="K10" i="10"/>
  <c r="D8" i="10"/>
  <c r="K8" i="10"/>
  <c r="D60" i="10"/>
  <c r="T31" i="4"/>
  <c r="U31" i="4" s="1"/>
  <c r="R29" i="4"/>
  <c r="S29" i="4" s="1"/>
  <c r="G54" i="10"/>
  <c r="G48" i="10"/>
  <c r="G46" i="10"/>
  <c r="T15" i="4"/>
  <c r="G38" i="10"/>
  <c r="G91" i="10"/>
  <c r="G89" i="10"/>
  <c r="D87" i="10"/>
  <c r="AP28" i="4"/>
  <c r="G83" i="10"/>
  <c r="G81" i="10"/>
  <c r="D79" i="10"/>
  <c r="AP20" i="4"/>
  <c r="G75" i="10"/>
  <c r="G73" i="10"/>
  <c r="D71" i="10"/>
  <c r="AP12" i="4"/>
  <c r="D291" i="10"/>
  <c r="Q111" i="10"/>
  <c r="D289" i="10"/>
  <c r="Q109" i="10"/>
  <c r="D287" i="10"/>
  <c r="Q107" i="10"/>
  <c r="Q105" i="10"/>
  <c r="L46" i="14"/>
  <c r="M46" i="14" s="1"/>
  <c r="Q103" i="10"/>
  <c r="J44" i="14"/>
  <c r="K44" i="14" s="1"/>
  <c r="Q101" i="10"/>
  <c r="Q99" i="10"/>
  <c r="D277" i="10"/>
  <c r="Q97" i="10"/>
  <c r="G275" i="10"/>
  <c r="Q95" i="10"/>
  <c r="G273" i="10"/>
  <c r="Q93" i="10"/>
  <c r="L34" i="14"/>
  <c r="Q91" i="10"/>
  <c r="Q89" i="10"/>
  <c r="G267" i="10"/>
  <c r="Q87" i="10"/>
  <c r="G265" i="10"/>
  <c r="Q85" i="10"/>
  <c r="G263" i="10"/>
  <c r="Q83" i="10"/>
  <c r="G341" i="10"/>
  <c r="G339" i="10"/>
  <c r="G337" i="10"/>
  <c r="G335" i="10"/>
  <c r="G333" i="10"/>
  <c r="G331" i="10"/>
  <c r="D329" i="10"/>
  <c r="G327" i="10"/>
  <c r="AO38" i="14"/>
  <c r="G323" i="10"/>
  <c r="G321" i="10"/>
  <c r="G317" i="10"/>
  <c r="T28" i="14"/>
  <c r="U28" i="14" s="1"/>
  <c r="G387" i="10"/>
  <c r="G385" i="10"/>
  <c r="G379" i="10"/>
  <c r="AB38" i="14"/>
  <c r="AC38" i="14" s="1"/>
  <c r="G373" i="10"/>
  <c r="G371" i="10"/>
  <c r="G367" i="10"/>
  <c r="G363" i="10"/>
  <c r="R109" i="12"/>
  <c r="S109" i="12" s="1"/>
  <c r="D527" i="10"/>
  <c r="N157" i="10"/>
  <c r="N159" i="10"/>
  <c r="D629" i="10"/>
  <c r="T113" i="12"/>
  <c r="U113" i="12" s="1"/>
  <c r="N161" i="10"/>
  <c r="AB114" i="12"/>
  <c r="AC114" i="12" s="1"/>
  <c r="D559" i="10"/>
  <c r="D554" i="10"/>
  <c r="D557" i="10"/>
  <c r="G654" i="10"/>
  <c r="Q134" i="10"/>
  <c r="J89" i="14"/>
  <c r="K89" i="14" s="1"/>
  <c r="Q136" i="10"/>
  <c r="L91" i="14"/>
  <c r="Q138" i="10"/>
  <c r="J93" i="14"/>
  <c r="K93" i="14" s="1"/>
  <c r="Q140" i="10"/>
  <c r="J94" i="14"/>
  <c r="Q141" i="10"/>
  <c r="L96" i="14"/>
  <c r="Q143" i="10"/>
  <c r="L98" i="14"/>
  <c r="Q145" i="10"/>
  <c r="D669" i="10"/>
  <c r="Q149" i="10"/>
  <c r="L104" i="14"/>
  <c r="M104" i="14" s="1"/>
  <c r="Q151" i="10"/>
  <c r="J106" i="14"/>
  <c r="K106" i="14" s="1"/>
  <c r="Q153" i="10"/>
  <c r="J108" i="14"/>
  <c r="K108" i="14" s="1"/>
  <c r="Q155" i="10"/>
  <c r="G679" i="10"/>
  <c r="Q159" i="10"/>
  <c r="D681" i="10"/>
  <c r="Q161" i="10"/>
  <c r="N136" i="10"/>
  <c r="D510" i="10"/>
  <c r="N140" i="10"/>
  <c r="N148" i="10"/>
  <c r="N142" i="10"/>
  <c r="N134" i="10"/>
  <c r="N138" i="10"/>
  <c r="N112" i="10"/>
  <c r="N133" i="10"/>
  <c r="N143" i="10"/>
  <c r="N154" i="10"/>
  <c r="N137" i="10"/>
  <c r="N151" i="10"/>
  <c r="N146" i="10"/>
  <c r="N152" i="10"/>
  <c r="AB71" i="4"/>
  <c r="AC71" i="4" s="1"/>
  <c r="AB67" i="4"/>
  <c r="AC67" i="4" s="1"/>
  <c r="D450" i="10"/>
  <c r="D448" i="10"/>
  <c r="T67" i="4"/>
  <c r="U67" i="4" s="1"/>
  <c r="G440" i="10"/>
  <c r="G438" i="10"/>
  <c r="D436" i="10"/>
  <c r="D432" i="10"/>
  <c r="G430" i="10"/>
  <c r="K61" i="10"/>
  <c r="K59" i="10"/>
  <c r="L70" i="4"/>
  <c r="M70" i="4" s="1"/>
  <c r="K57" i="10"/>
  <c r="K55" i="10"/>
  <c r="K53" i="10"/>
  <c r="L64" i="4"/>
  <c r="M64" i="4" s="1"/>
  <c r="K51" i="10"/>
  <c r="K49" i="10"/>
  <c r="K47" i="10"/>
  <c r="K45" i="10"/>
  <c r="K43" i="10"/>
  <c r="K41" i="10"/>
  <c r="D240" i="10"/>
  <c r="N110" i="10"/>
  <c r="AB51" i="12"/>
  <c r="AC51" i="12" s="1"/>
  <c r="N108" i="10"/>
  <c r="AB49" i="12"/>
  <c r="AC49" i="12" s="1"/>
  <c r="AJ49" i="12" s="1"/>
  <c r="N106" i="10"/>
  <c r="AB46" i="12"/>
  <c r="N103" i="10"/>
  <c r="D230" i="10"/>
  <c r="N100" i="10"/>
  <c r="D228" i="10"/>
  <c r="N98" i="10"/>
  <c r="AB39" i="12"/>
  <c r="N96" i="10"/>
  <c r="D224" i="10"/>
  <c r="N94" i="10"/>
  <c r="N91" i="10"/>
  <c r="N89" i="10"/>
  <c r="Z30" i="12"/>
  <c r="AA30" i="12" s="1"/>
  <c r="N87" i="10"/>
  <c r="N85" i="10"/>
  <c r="N93" i="10"/>
  <c r="N144" i="10"/>
  <c r="G37" i="10"/>
  <c r="AB50" i="4"/>
  <c r="AC50" i="4" s="1"/>
  <c r="G397" i="10"/>
  <c r="K37" i="10"/>
  <c r="G395" i="10"/>
  <c r="K35" i="10"/>
  <c r="K33" i="10"/>
  <c r="J9" i="4"/>
  <c r="K9" i="4" s="1"/>
  <c r="K6" i="10"/>
  <c r="K4" i="10"/>
  <c r="N62" i="10"/>
  <c r="G428" i="10"/>
  <c r="G399" i="10"/>
  <c r="K39" i="10"/>
  <c r="AM41" i="14"/>
  <c r="G732" i="10"/>
  <c r="T65" i="14"/>
  <c r="G632" i="10"/>
  <c r="Q112" i="10"/>
  <c r="G242" i="10"/>
  <c r="Q62" i="10"/>
  <c r="G292" i="10"/>
  <c r="AB5" i="14"/>
  <c r="G582" i="10"/>
  <c r="G482" i="10"/>
  <c r="G192" i="10"/>
  <c r="G142" i="10"/>
  <c r="G92" i="10"/>
  <c r="K36" i="10"/>
  <c r="G454" i="10"/>
  <c r="G423" i="10"/>
  <c r="G455" i="10"/>
  <c r="Z49" i="4"/>
  <c r="AA49" i="4" s="1"/>
  <c r="G66" i="10"/>
  <c r="G35" i="10"/>
  <c r="G5" i="10"/>
  <c r="AX7" i="4"/>
  <c r="E4" i="16" s="1"/>
  <c r="G34" i="10"/>
  <c r="G392" i="10"/>
  <c r="AB45" i="4"/>
  <c r="G422" i="10"/>
  <c r="D32" i="10"/>
  <c r="G33" i="10"/>
  <c r="G2" i="10"/>
  <c r="B60" i="16"/>
  <c r="H52" i="18"/>
  <c r="H160" i="18"/>
  <c r="B56" i="16"/>
  <c r="H48" i="18"/>
  <c r="H156" i="18"/>
  <c r="B55" i="16"/>
  <c r="H155" i="18"/>
  <c r="H47" i="18"/>
  <c r="B54" i="16"/>
  <c r="H46" i="18"/>
  <c r="H154" i="18"/>
  <c r="B53" i="16"/>
  <c r="H45" i="18"/>
  <c r="H153" i="18"/>
  <c r="B52" i="16"/>
  <c r="H44" i="18"/>
  <c r="H152" i="18"/>
  <c r="B43" i="16"/>
  <c r="B42" i="16"/>
  <c r="H34" i="18"/>
  <c r="H142" i="18"/>
  <c r="B41" i="16"/>
  <c r="H33" i="18"/>
  <c r="B40" i="16"/>
  <c r="H32" i="18"/>
  <c r="H140" i="18"/>
  <c r="B33" i="16"/>
  <c r="H133" i="18"/>
  <c r="B51" i="16"/>
  <c r="H43" i="18"/>
  <c r="H151" i="18"/>
  <c r="B50" i="16"/>
  <c r="H42" i="18"/>
  <c r="H150" i="18"/>
  <c r="B49" i="16"/>
  <c r="H149" i="18"/>
  <c r="H41" i="18"/>
  <c r="B48" i="16"/>
  <c r="H40" i="18"/>
  <c r="H148" i="18"/>
  <c r="B47" i="16"/>
  <c r="H147" i="18"/>
  <c r="H39" i="18"/>
  <c r="B46" i="16"/>
  <c r="H146" i="18"/>
  <c r="B45" i="16"/>
  <c r="H37" i="18"/>
  <c r="B44" i="16"/>
  <c r="H144" i="18"/>
  <c r="B39" i="16"/>
  <c r="H139" i="18"/>
  <c r="B38" i="16"/>
  <c r="H30" i="18"/>
  <c r="H138" i="18"/>
  <c r="B37" i="16"/>
  <c r="H29" i="18"/>
  <c r="H137" i="18"/>
  <c r="B36" i="16"/>
  <c r="H28" i="18"/>
  <c r="H136" i="18"/>
  <c r="B35" i="16"/>
  <c r="H27" i="18"/>
  <c r="B34" i="16"/>
  <c r="H26" i="18"/>
  <c r="B59" i="16"/>
  <c r="H159" i="18"/>
  <c r="B61" i="16"/>
  <c r="H161" i="18"/>
  <c r="B58" i="16"/>
  <c r="H50" i="18"/>
  <c r="H158" i="18"/>
  <c r="B57" i="16"/>
  <c r="H49" i="18"/>
  <c r="H157" i="18"/>
  <c r="AB48" i="12"/>
  <c r="AC48" i="12" s="1"/>
  <c r="M61" i="16"/>
  <c r="M32" i="16"/>
  <c r="H274" i="18"/>
  <c r="H492" i="18"/>
  <c r="H383" i="18"/>
  <c r="B32" i="16"/>
  <c r="H4" i="18"/>
  <c r="H112" i="18"/>
  <c r="H220" i="18"/>
  <c r="H1630" i="20"/>
  <c r="H1631" i="20" s="1"/>
  <c r="I1598" i="20"/>
  <c r="I1599" i="20" s="1"/>
  <c r="I1430" i="20"/>
  <c r="I1431" i="20" s="1"/>
  <c r="I1502" i="20"/>
  <c r="I1503" i="20" s="1"/>
  <c r="I1494" i="20"/>
  <c r="I1495" i="20" s="1"/>
  <c r="H674" i="20"/>
  <c r="H675" i="20" s="1"/>
  <c r="F58" i="18"/>
  <c r="H58" i="18" s="1"/>
  <c r="D226" i="10"/>
  <c r="J107" i="12"/>
  <c r="K107" i="12" s="1"/>
  <c r="L107" i="12"/>
  <c r="M107" i="12" s="1"/>
  <c r="L104" i="12"/>
  <c r="M104" i="12" s="1"/>
  <c r="R102" i="12"/>
  <c r="S102" i="12" s="1"/>
  <c r="D507" i="10"/>
  <c r="D508" i="10"/>
  <c r="H1338" i="20"/>
  <c r="H1339" i="20" s="1"/>
  <c r="J1334" i="20"/>
  <c r="J1335" i="20" s="1"/>
  <c r="H278" i="20"/>
  <c r="H279" i="20" s="1"/>
  <c r="J1426" i="20"/>
  <c r="J1427" i="20" s="1"/>
  <c r="H1418" i="20"/>
  <c r="H1419" i="20" s="1"/>
  <c r="AO54" i="12"/>
  <c r="AP43" i="12"/>
  <c r="AP51" i="12"/>
  <c r="T42" i="12"/>
  <c r="AB30" i="12"/>
  <c r="T52" i="12"/>
  <c r="U52" i="12" s="1"/>
  <c r="AI52" i="12" s="1"/>
  <c r="AK52" i="12" s="1"/>
  <c r="AL52" i="12" s="1"/>
  <c r="D117" i="10"/>
  <c r="D191" i="10"/>
  <c r="D177" i="10"/>
  <c r="D139" i="10"/>
  <c r="D137" i="10"/>
  <c r="D187" i="10"/>
  <c r="D238" i="10"/>
  <c r="J104" i="12"/>
  <c r="K104" i="12" s="1"/>
  <c r="L90" i="12"/>
  <c r="M90" i="12" s="1"/>
  <c r="T107" i="12"/>
  <c r="U107" i="12" s="1"/>
  <c r="T104" i="12"/>
  <c r="U104" i="12" s="1"/>
  <c r="R104" i="12"/>
  <c r="S104" i="12" s="1"/>
  <c r="D566" i="10"/>
  <c r="D569" i="10"/>
  <c r="D521" i="10"/>
  <c r="D622" i="10"/>
  <c r="D524" i="10"/>
  <c r="D759" i="10"/>
  <c r="AO53" i="12"/>
  <c r="AO50" i="12"/>
  <c r="AN48" i="12"/>
  <c r="AO26" i="12"/>
  <c r="AX9" i="4"/>
  <c r="AX48" i="4"/>
  <c r="P5" i="16" s="1"/>
  <c r="AN53" i="14"/>
  <c r="AP47" i="14"/>
  <c r="AM48" i="14"/>
  <c r="AM45" i="14"/>
  <c r="AM42" i="14"/>
  <c r="AM42" i="12"/>
  <c r="I728" i="20"/>
  <c r="I729" i="20" s="1"/>
  <c r="H1730" i="20"/>
  <c r="H1731" i="20" s="1"/>
  <c r="I740" i="20"/>
  <c r="I741" i="20" s="1"/>
  <c r="Z26" i="4"/>
  <c r="AA26" i="4" s="1"/>
  <c r="AX5" i="4"/>
  <c r="E2" i="16" s="1"/>
  <c r="C8" i="16"/>
  <c r="AX11" i="4"/>
  <c r="E8" i="16" s="1"/>
  <c r="T5" i="14"/>
  <c r="U5" i="14" s="1"/>
  <c r="AX49" i="4"/>
  <c r="P6" i="16" s="1"/>
  <c r="K74" i="22"/>
  <c r="L74" i="22" s="1"/>
  <c r="AH74" i="22" s="1"/>
  <c r="AJ74" i="22" s="1"/>
  <c r="AK74" i="22" s="1"/>
  <c r="Q70" i="22"/>
  <c r="R70" i="22" s="1"/>
  <c r="AE70" i="22" s="1"/>
  <c r="Y68" i="22"/>
  <c r="Z68" i="22" s="1"/>
  <c r="Q25" i="22"/>
  <c r="R25" i="22" s="1"/>
  <c r="AA23" i="22"/>
  <c r="AB23" i="22" s="1"/>
  <c r="AI23" i="22" s="1"/>
  <c r="S18" i="22"/>
  <c r="T18" i="22" s="1"/>
  <c r="AH18" i="22" s="1"/>
  <c r="AJ18" i="22" s="1"/>
  <c r="AK18" i="22" s="1"/>
  <c r="Y60" i="22"/>
  <c r="Z60" i="22" s="1"/>
  <c r="Q47" i="22"/>
  <c r="R47" i="22" s="1"/>
  <c r="AD47" i="22" s="1"/>
  <c r="AF47" i="22" s="1"/>
  <c r="AG47" i="22" s="1"/>
  <c r="D885" i="10"/>
  <c r="AC66" i="22"/>
  <c r="C318" i="17" s="1"/>
  <c r="E318" i="17" s="1"/>
  <c r="F318" i="17" s="1"/>
  <c r="AC28" i="22"/>
  <c r="C156" i="17" s="1"/>
  <c r="E156" i="17" s="1"/>
  <c r="F156" i="17" s="1"/>
  <c r="AN9" i="22"/>
  <c r="AC12" i="22"/>
  <c r="C140" i="17" s="1"/>
  <c r="E140" i="17" s="1"/>
  <c r="F140" i="17" s="1"/>
  <c r="AO22" i="22"/>
  <c r="AM28" i="22"/>
  <c r="AO31" i="22"/>
  <c r="AN33" i="22"/>
  <c r="AN34" i="22"/>
  <c r="AO45" i="22"/>
  <c r="AN46" i="22"/>
  <c r="AN54" i="22"/>
  <c r="AM58" i="22"/>
  <c r="D920" i="10"/>
  <c r="D897" i="10"/>
  <c r="AM73" i="22"/>
  <c r="D798" i="10"/>
  <c r="B81" i="15"/>
  <c r="I81" i="15" s="1"/>
  <c r="M13" i="15"/>
  <c r="B13" i="15"/>
  <c r="I13" i="15" s="1"/>
  <c r="B47" i="15"/>
  <c r="I47" i="15" s="1"/>
  <c r="L47" i="15"/>
  <c r="M47" i="15"/>
  <c r="L13" i="15"/>
  <c r="C7" i="16"/>
  <c r="AX10" i="4"/>
  <c r="E7" i="16" s="1"/>
  <c r="N3" i="16"/>
  <c r="AX46" i="4"/>
  <c r="P3" i="16" s="1"/>
  <c r="R107" i="12"/>
  <c r="S107" i="12" s="1"/>
  <c r="I74" i="22"/>
  <c r="J74" i="22" s="1"/>
  <c r="S70" i="22"/>
  <c r="T70" i="22" s="1"/>
  <c r="AH70" i="22" s="1"/>
  <c r="AJ70" i="22" s="1"/>
  <c r="AK70" i="22" s="1"/>
  <c r="AA68" i="22"/>
  <c r="AB68" i="22" s="1"/>
  <c r="AH68" i="22" s="1"/>
  <c r="AJ68" i="22" s="1"/>
  <c r="AK68" i="22" s="1"/>
  <c r="S25" i="22"/>
  <c r="T25" i="22" s="1"/>
  <c r="AH25" i="22" s="1"/>
  <c r="AJ25" i="22" s="1"/>
  <c r="AK25" i="22" s="1"/>
  <c r="Y14" i="22"/>
  <c r="Z14" i="22" s="1"/>
  <c r="K58" i="22"/>
  <c r="L58" i="22" s="1"/>
  <c r="AH58" i="22" s="1"/>
  <c r="AJ58" i="22" s="1"/>
  <c r="AK58" i="22" s="1"/>
  <c r="AA60" i="22"/>
  <c r="AB60" i="22" s="1"/>
  <c r="AI60" i="22" s="1"/>
  <c r="Q55" i="22"/>
  <c r="R55" i="22" s="1"/>
  <c r="AE55" i="22" s="1"/>
  <c r="Q46" i="22"/>
  <c r="R46" i="22" s="1"/>
  <c r="I21" i="22"/>
  <c r="J21" i="22" s="1"/>
  <c r="AC58" i="22"/>
  <c r="C310" i="17" s="1"/>
  <c r="E310" i="17" s="1"/>
  <c r="F310" i="17" s="1"/>
  <c r="AM20" i="22"/>
  <c r="D859" i="10"/>
  <c r="D841" i="10"/>
  <c r="D932" i="10"/>
  <c r="D903" i="10"/>
  <c r="D911" i="10"/>
  <c r="AO60" i="22"/>
  <c r="AN70" i="22"/>
  <c r="AO72" i="22"/>
  <c r="AM74" i="22"/>
  <c r="D806" i="10"/>
  <c r="D789" i="10"/>
  <c r="J45" i="4"/>
  <c r="AP52" i="12"/>
  <c r="D51" i="10"/>
  <c r="C5" i="16"/>
  <c r="AX8" i="4"/>
  <c r="E5" i="16" s="1"/>
  <c r="N4" i="16"/>
  <c r="AX47" i="4"/>
  <c r="P4" i="16" s="1"/>
  <c r="B149" i="15"/>
  <c r="I149" i="15" s="1"/>
  <c r="B183" i="15"/>
  <c r="I183" i="15" s="1"/>
  <c r="M115" i="15"/>
  <c r="L149" i="15"/>
  <c r="B115" i="15"/>
  <c r="I115" i="15" s="1"/>
  <c r="M149" i="15"/>
  <c r="L115" i="15"/>
  <c r="D146" i="17"/>
  <c r="Q71" i="22"/>
  <c r="R71" i="22" s="1"/>
  <c r="AD71" i="22" s="1"/>
  <c r="AF71" i="22" s="1"/>
  <c r="AG71" i="22" s="1"/>
  <c r="AC21" i="22"/>
  <c r="C149" i="17" s="1"/>
  <c r="E149" i="17" s="1"/>
  <c r="F149" i="17" s="1"/>
  <c r="AN17" i="22"/>
  <c r="AN25" i="22"/>
  <c r="AO51" i="22"/>
  <c r="D892" i="10"/>
  <c r="AO67" i="22"/>
  <c r="AN71" i="22"/>
  <c r="D805" i="10"/>
  <c r="D802" i="10"/>
  <c r="C3" i="16"/>
  <c r="AX6" i="4"/>
  <c r="E3" i="16" s="1"/>
  <c r="S71" i="22"/>
  <c r="T71" i="22" s="1"/>
  <c r="AH71" i="22" s="1"/>
  <c r="AJ71" i="22" s="1"/>
  <c r="AK71" i="22" s="1"/>
  <c r="AA52" i="22"/>
  <c r="AB52" i="22" s="1"/>
  <c r="I29" i="22"/>
  <c r="J29" i="22" s="1"/>
  <c r="AD29" i="22" s="1"/>
  <c r="AF29" i="22" s="1"/>
  <c r="AG29" i="22" s="1"/>
  <c r="AC20" i="22"/>
  <c r="C148" i="17" s="1"/>
  <c r="E148" i="17" s="1"/>
  <c r="F148" i="17" s="1"/>
  <c r="D824" i="10"/>
  <c r="D832" i="10"/>
  <c r="AN26" i="22"/>
  <c r="AM49" i="22"/>
  <c r="D938" i="10"/>
  <c r="AO52" i="22"/>
  <c r="AM57" i="22"/>
  <c r="AN62" i="22"/>
  <c r="AM66" i="22"/>
  <c r="D954" i="10"/>
  <c r="AO68" i="22"/>
  <c r="D928" i="10"/>
  <c r="D810" i="10"/>
  <c r="AO43" i="12"/>
  <c r="AX14" i="4"/>
  <c r="E11" i="16" s="1"/>
  <c r="Z93" i="12"/>
  <c r="AA93" i="12" s="1"/>
  <c r="AX13" i="4"/>
  <c r="E10" i="16" s="1"/>
  <c r="D574" i="10"/>
  <c r="AC74" i="22"/>
  <c r="K66" i="22"/>
  <c r="L66" i="22" s="1"/>
  <c r="AH66" i="22" s="1"/>
  <c r="AJ66" i="22" s="1"/>
  <c r="AK66" i="22" s="1"/>
  <c r="Q63" i="22"/>
  <c r="R63" i="22" s="1"/>
  <c r="AE63" i="22" s="1"/>
  <c r="AN18" i="22"/>
  <c r="S26" i="22"/>
  <c r="T26" i="22" s="1"/>
  <c r="AI26" i="22" s="1"/>
  <c r="AC29" i="22"/>
  <c r="D919" i="10"/>
  <c r="D893" i="10"/>
  <c r="D955" i="10"/>
  <c r="AM53" i="14"/>
  <c r="AM50" i="14"/>
  <c r="AM47" i="14"/>
  <c r="AM46" i="14"/>
  <c r="AM43" i="14"/>
  <c r="AM39" i="14"/>
  <c r="AM53" i="12"/>
  <c r="AM51" i="12"/>
  <c r="AM50" i="12"/>
  <c r="AM31" i="12"/>
  <c r="AM48" i="12"/>
  <c r="AN42" i="14"/>
  <c r="AP54" i="14"/>
  <c r="AP46" i="14"/>
  <c r="AW19" i="22"/>
  <c r="E106" i="16" s="1"/>
  <c r="D317" i="17"/>
  <c r="I842" i="20"/>
  <c r="I843" i="20" s="1"/>
  <c r="I844" i="20" s="1"/>
  <c r="I845" i="20" s="1"/>
  <c r="I846" i="20" s="1"/>
  <c r="I847" i="20" s="1"/>
  <c r="I878" i="20"/>
  <c r="I879" i="20" s="1"/>
  <c r="I880" i="20" s="1"/>
  <c r="I881" i="20" s="1"/>
  <c r="I882" i="20" s="1"/>
  <c r="I883" i="20" s="1"/>
  <c r="H1892" i="20"/>
  <c r="H1893" i="20" s="1"/>
  <c r="H1894" i="20" s="1"/>
  <c r="H1895" i="20" s="1"/>
  <c r="H1896" i="20" s="1"/>
  <c r="H1897" i="20" s="1"/>
  <c r="H1880" i="20"/>
  <c r="H1881" i="20" s="1"/>
  <c r="H1882" i="20" s="1"/>
  <c r="H1883" i="20" s="1"/>
  <c r="H1884" i="20" s="1"/>
  <c r="H1885" i="20" s="1"/>
  <c r="A30" i="11"/>
  <c r="M2" i="16"/>
  <c r="I106" i="15"/>
  <c r="I174" i="15"/>
  <c r="I140" i="15"/>
  <c r="B2" i="16"/>
  <c r="I4" i="15"/>
  <c r="I72" i="15"/>
  <c r="N2" i="16"/>
  <c r="AX45" i="4"/>
  <c r="P2" i="16" s="1"/>
  <c r="AM37" i="12"/>
  <c r="AM36" i="12"/>
  <c r="D461" i="10"/>
  <c r="D428" i="10"/>
  <c r="T45" i="4"/>
  <c r="R45" i="4"/>
  <c r="S45" i="4" s="1"/>
  <c r="N9" i="16"/>
  <c r="AX52" i="4"/>
  <c r="P9" i="16" s="1"/>
  <c r="N7" i="16"/>
  <c r="AX50" i="4"/>
  <c r="D399" i="10"/>
  <c r="N10" i="16"/>
  <c r="AX53" i="4"/>
  <c r="P10" i="16" s="1"/>
  <c r="N11" i="16"/>
  <c r="AX54" i="4"/>
  <c r="P11" i="16" s="1"/>
  <c r="AX51" i="4"/>
  <c r="P8" i="16" s="1"/>
  <c r="AO5" i="14"/>
  <c r="N65" i="14" s="1"/>
  <c r="AM26" i="14"/>
  <c r="R99" i="12"/>
  <c r="S99" i="12" s="1"/>
  <c r="D564" i="10"/>
  <c r="J91" i="12"/>
  <c r="J86" i="12"/>
  <c r="K86" i="12" s="1"/>
  <c r="L91" i="12"/>
  <c r="M91" i="12" s="1"/>
  <c r="H1286" i="20"/>
  <c r="H1287" i="20" s="1"/>
  <c r="AB29" i="12"/>
  <c r="AC29" i="12" s="1"/>
  <c r="AP39" i="12"/>
  <c r="AO33" i="12"/>
  <c r="AO38" i="12"/>
  <c r="D614" i="10"/>
  <c r="AB97" i="12"/>
  <c r="AC97" i="12" s="1"/>
  <c r="Z97" i="12"/>
  <c r="AA97" i="12" s="1"/>
  <c r="D512" i="10"/>
  <c r="L95" i="12"/>
  <c r="M95" i="12" s="1"/>
  <c r="L96" i="12"/>
  <c r="M96" i="12" s="1"/>
  <c r="J95" i="12"/>
  <c r="K95" i="12" s="1"/>
  <c r="D458" i="10"/>
  <c r="R53" i="4"/>
  <c r="S53" i="4" s="1"/>
  <c r="D430" i="10"/>
  <c r="T53" i="4"/>
  <c r="U53" i="4" s="1"/>
  <c r="AB41" i="12"/>
  <c r="D178" i="10"/>
  <c r="D126" i="10"/>
  <c r="D125" i="10"/>
  <c r="AB36" i="12"/>
  <c r="AP26" i="12"/>
  <c r="AB26" i="12"/>
  <c r="D213" i="10"/>
  <c r="T26" i="12"/>
  <c r="U26" i="12" s="1"/>
  <c r="D163" i="10"/>
  <c r="R9" i="4"/>
  <c r="S9" i="4" s="1"/>
  <c r="T9" i="4"/>
  <c r="U9" i="4" s="1"/>
  <c r="D36" i="10"/>
  <c r="J5" i="4"/>
  <c r="AM38" i="12"/>
  <c r="I754" i="20"/>
  <c r="I755" i="20" s="1"/>
  <c r="A29" i="11"/>
  <c r="B29" i="11"/>
  <c r="AB33" i="14"/>
  <c r="AC33" i="14" s="1"/>
  <c r="R100" i="12"/>
  <c r="S100" i="12" s="1"/>
  <c r="D150" i="17"/>
  <c r="I766" i="20"/>
  <c r="I767" i="20" s="1"/>
  <c r="AW15" i="22"/>
  <c r="E102" i="16" s="1"/>
  <c r="H682" i="20"/>
  <c r="H683" i="20" s="1"/>
  <c r="I558" i="20"/>
  <c r="I559" i="20" s="1"/>
  <c r="D219" i="10"/>
  <c r="AB104" i="12"/>
  <c r="AC104" i="12" s="1"/>
  <c r="AB101" i="12"/>
  <c r="AC101" i="12" s="1"/>
  <c r="J466" i="20"/>
  <c r="J467" i="20" s="1"/>
  <c r="Z101" i="12"/>
  <c r="AA101" i="12" s="1"/>
  <c r="C312" i="17"/>
  <c r="E312" i="17" s="1"/>
  <c r="F312" i="17" s="1"/>
  <c r="T114" i="14"/>
  <c r="U114" i="14" s="1"/>
  <c r="A15" i="22"/>
  <c r="M48" i="23" s="1"/>
  <c r="J111" i="14"/>
  <c r="K111" i="14" s="1"/>
  <c r="C321" i="17"/>
  <c r="E321" i="17" s="1"/>
  <c r="F321" i="17" s="1"/>
  <c r="D567" i="10"/>
  <c r="M47" i="23"/>
  <c r="R47" i="14"/>
  <c r="S47" i="14" s="1"/>
  <c r="T100" i="12"/>
  <c r="U100" i="12" s="1"/>
  <c r="AP32" i="4"/>
  <c r="D678" i="10"/>
  <c r="D618" i="10"/>
  <c r="B27" i="11"/>
  <c r="A28" i="11"/>
  <c r="B28" i="11"/>
  <c r="A27" i="11"/>
  <c r="AW12" i="22"/>
  <c r="E99" i="16" s="1"/>
  <c r="AW18" i="22"/>
  <c r="E105" i="16" s="1"/>
  <c r="AW22" i="22"/>
  <c r="E109" i="16" s="1"/>
  <c r="R113" i="12"/>
  <c r="S113" i="12" s="1"/>
  <c r="Z100" i="14"/>
  <c r="AA100" i="14" s="1"/>
  <c r="Z50" i="14"/>
  <c r="AA50" i="14" s="1"/>
  <c r="D379" i="10"/>
  <c r="I11" i="9"/>
  <c r="Z113" i="12"/>
  <c r="AA113" i="12" s="1"/>
  <c r="D418" i="10"/>
  <c r="D308" i="17"/>
  <c r="I1406" i="20"/>
  <c r="I1407" i="20" s="1"/>
  <c r="D717" i="10"/>
  <c r="R44" i="14"/>
  <c r="S44" i="14" s="1"/>
  <c r="D123" i="10"/>
  <c r="D233" i="10"/>
  <c r="J101" i="12"/>
  <c r="K101" i="12" s="1"/>
  <c r="D570" i="10"/>
  <c r="D114" i="10"/>
  <c r="I1438" i="20"/>
  <c r="I1439" i="20" s="1"/>
  <c r="J1722" i="20"/>
  <c r="J1723" i="20" s="1"/>
  <c r="AO37" i="12"/>
  <c r="D663" i="10"/>
  <c r="Z99" i="14"/>
  <c r="AA99" i="14" s="1"/>
  <c r="T40" i="14"/>
  <c r="U40" i="14" s="1"/>
  <c r="D174" i="10"/>
  <c r="D471" i="10"/>
  <c r="J98" i="12"/>
  <c r="K98" i="12" s="1"/>
  <c r="T103" i="12"/>
  <c r="U103" i="12" s="1"/>
  <c r="D518" i="10"/>
  <c r="H1600" i="20"/>
  <c r="H1601" i="20" s="1"/>
  <c r="L63" i="4"/>
  <c r="M63" i="4" s="1"/>
  <c r="T55" i="4"/>
  <c r="U55" i="4" s="1"/>
  <c r="T37" i="12"/>
  <c r="U37" i="12" s="1"/>
  <c r="T48" i="12"/>
  <c r="U48" i="12" s="1"/>
  <c r="D479" i="10"/>
  <c r="J97" i="12"/>
  <c r="K97" i="12" s="1"/>
  <c r="L86" i="12"/>
  <c r="J113" i="14"/>
  <c r="K113" i="14" s="1"/>
  <c r="L98" i="12"/>
  <c r="M98" i="12" s="1"/>
  <c r="D515" i="10"/>
  <c r="AB113" i="12"/>
  <c r="AC113" i="12" s="1"/>
  <c r="T93" i="12"/>
  <c r="D141" i="10"/>
  <c r="J1594" i="20"/>
  <c r="J1595" i="20" s="1"/>
  <c r="AP46" i="12"/>
  <c r="T63" i="4"/>
  <c r="U63" i="4" s="1"/>
  <c r="D529" i="10"/>
  <c r="Z42" i="14"/>
  <c r="AA42" i="14" s="1"/>
  <c r="D410" i="10"/>
  <c r="Z106" i="12"/>
  <c r="AA106" i="12" s="1"/>
  <c r="D503" i="10"/>
  <c r="D623" i="10"/>
  <c r="J1534" i="20"/>
  <c r="J1535" i="20" s="1"/>
  <c r="AB106" i="12"/>
  <c r="AC106" i="12" s="1"/>
  <c r="AJ106" i="12" s="1"/>
  <c r="R103" i="12"/>
  <c r="S103" i="12" s="1"/>
  <c r="I640" i="20"/>
  <c r="I641" i="20" s="1"/>
  <c r="R63" i="4"/>
  <c r="S63" i="4" s="1"/>
  <c r="AB72" i="4"/>
  <c r="AC72" i="4" s="1"/>
  <c r="L71" i="4"/>
  <c r="M71" i="4" s="1"/>
  <c r="D215" i="10"/>
  <c r="D440" i="10"/>
  <c r="AW65" i="22"/>
  <c r="P112" i="16" s="1"/>
  <c r="AW16" i="22"/>
  <c r="E103" i="16" s="1"/>
  <c r="AM49" i="14"/>
  <c r="J1320" i="20"/>
  <c r="J1321" i="20" s="1"/>
  <c r="AP40" i="12"/>
  <c r="L149" i="23"/>
  <c r="T45" i="12"/>
  <c r="AB45" i="12"/>
  <c r="D241" i="10"/>
  <c r="D173" i="10"/>
  <c r="Z91" i="12"/>
  <c r="AB102" i="12"/>
  <c r="AC102" i="12" s="1"/>
  <c r="I554" i="20"/>
  <c r="I555" i="20" s="1"/>
  <c r="AO51" i="12"/>
  <c r="AP54" i="12"/>
  <c r="J104" i="14"/>
  <c r="K104" i="14" s="1"/>
  <c r="R111" i="14"/>
  <c r="S111" i="14" s="1"/>
  <c r="AB35" i="12"/>
  <c r="AC35" i="12" s="1"/>
  <c r="D124" i="10"/>
  <c r="D188" i="10"/>
  <c r="J96" i="12"/>
  <c r="K96" i="12" s="1"/>
  <c r="Z90" i="12"/>
  <c r="L100" i="12"/>
  <c r="M100" i="12" s="1"/>
  <c r="AB98" i="12"/>
  <c r="AC98" i="12" s="1"/>
  <c r="D516" i="10"/>
  <c r="AW64" i="22"/>
  <c r="P111" i="16" s="1"/>
  <c r="J342" i="20"/>
  <c r="J343" i="20" s="1"/>
  <c r="J1716" i="20"/>
  <c r="J1717" i="20" s="1"/>
  <c r="J1684" i="20"/>
  <c r="J1685" i="20" s="1"/>
  <c r="AO36" i="12"/>
  <c r="AP45" i="12"/>
  <c r="T36" i="12"/>
  <c r="T51" i="12"/>
  <c r="U51" i="12" s="1"/>
  <c r="D218" i="10"/>
  <c r="D443" i="10"/>
  <c r="L105" i="12"/>
  <c r="M105" i="12" s="1"/>
  <c r="AB90" i="12"/>
  <c r="AC90" i="12" s="1"/>
  <c r="D620" i="10"/>
  <c r="D522" i="10"/>
  <c r="AM44" i="12"/>
  <c r="AO41" i="12"/>
  <c r="AW13" i="22"/>
  <c r="E100" i="16" s="1"/>
  <c r="AB110" i="14"/>
  <c r="AC110" i="14" s="1"/>
  <c r="C99" i="16"/>
  <c r="AW27" i="22"/>
  <c r="E114" i="16" s="1"/>
  <c r="AW33" i="22"/>
  <c r="E120" i="16" s="1"/>
  <c r="AB27" i="12"/>
  <c r="T46" i="12"/>
  <c r="U46" i="12" s="1"/>
  <c r="D222" i="10"/>
  <c r="D136" i="10"/>
  <c r="D182" i="10"/>
  <c r="J105" i="12"/>
  <c r="K105" i="12" s="1"/>
  <c r="Z86" i="12"/>
  <c r="AA86" i="12" s="1"/>
  <c r="L99" i="12"/>
  <c r="M99" i="12" s="1"/>
  <c r="D603" i="10"/>
  <c r="D513" i="10"/>
  <c r="H1716" i="20"/>
  <c r="H1717" i="20" s="1"/>
  <c r="M115" i="23"/>
  <c r="Q115" i="23" s="1"/>
  <c r="S115" i="23" s="1"/>
  <c r="AW11" i="22"/>
  <c r="E98" i="16" s="1"/>
  <c r="D781" i="10"/>
  <c r="R99" i="14"/>
  <c r="S99" i="14" s="1"/>
  <c r="D116" i="10"/>
  <c r="J100" i="12"/>
  <c r="K100" i="12" s="1"/>
  <c r="AP48" i="12"/>
  <c r="D136" i="17"/>
  <c r="J382" i="20"/>
  <c r="J383" i="20" s="1"/>
  <c r="AO45" i="12"/>
  <c r="AP35" i="12"/>
  <c r="M149" i="23"/>
  <c r="AB98" i="14"/>
  <c r="AC98" i="14" s="1"/>
  <c r="D530" i="10"/>
  <c r="T41" i="12"/>
  <c r="AB44" i="12"/>
  <c r="AC44" i="12" s="1"/>
  <c r="D128" i="10"/>
  <c r="D227" i="10"/>
  <c r="D132" i="10"/>
  <c r="J99" i="12"/>
  <c r="K99" i="12" s="1"/>
  <c r="AB86" i="12"/>
  <c r="AC86" i="12" s="1"/>
  <c r="T101" i="12"/>
  <c r="U101" i="12" s="1"/>
  <c r="D615" i="10"/>
  <c r="D517" i="10"/>
  <c r="AM37" i="14"/>
  <c r="AM40" i="14"/>
  <c r="AM38" i="14"/>
  <c r="AM35" i="12"/>
  <c r="D305" i="17"/>
  <c r="Y54" i="22"/>
  <c r="Z54" i="22" s="1"/>
  <c r="AE54" i="22" s="1"/>
  <c r="Y52" i="22"/>
  <c r="Z52" i="22" s="1"/>
  <c r="Y50" i="22"/>
  <c r="Z50" i="22" s="1"/>
  <c r="Y48" i="22"/>
  <c r="Z48" i="22" s="1"/>
  <c r="AA46" i="22"/>
  <c r="AB46" i="22" s="1"/>
  <c r="D933" i="10"/>
  <c r="D935" i="10"/>
  <c r="D937" i="10"/>
  <c r="D939" i="10"/>
  <c r="D941" i="10"/>
  <c r="AN51" i="22"/>
  <c r="D297" i="17"/>
  <c r="S45" i="22"/>
  <c r="T45" i="22" s="1"/>
  <c r="AH45" i="22" s="1"/>
  <c r="AJ45" i="22" s="1"/>
  <c r="AK45" i="22" s="1"/>
  <c r="S53" i="22"/>
  <c r="T53" i="22" s="1"/>
  <c r="AI53" i="22" s="1"/>
  <c r="S51" i="22"/>
  <c r="T51" i="22" s="1"/>
  <c r="Q49" i="22"/>
  <c r="R49" i="22" s="1"/>
  <c r="S47" i="22"/>
  <c r="T47" i="22" s="1"/>
  <c r="D902" i="10"/>
  <c r="AN47" i="22"/>
  <c r="AN49" i="22"/>
  <c r="AN53" i="22"/>
  <c r="I46" i="22"/>
  <c r="J46" i="22" s="1"/>
  <c r="AD46" i="22" s="1"/>
  <c r="AF46" i="22" s="1"/>
  <c r="AG46" i="22" s="1"/>
  <c r="I48" i="22"/>
  <c r="J48" i="22" s="1"/>
  <c r="AC48" i="22"/>
  <c r="C300" i="17" s="1"/>
  <c r="E300" i="17" s="1"/>
  <c r="F300" i="17" s="1"/>
  <c r="K54" i="22"/>
  <c r="L54" i="22" s="1"/>
  <c r="K48" i="22"/>
  <c r="L48" i="22" s="1"/>
  <c r="AH48" i="22" s="1"/>
  <c r="AJ48" i="22" s="1"/>
  <c r="AK48" i="22" s="1"/>
  <c r="K46" i="22"/>
  <c r="AM46" i="22"/>
  <c r="AM48" i="22"/>
  <c r="AC54" i="22"/>
  <c r="C306" i="17" s="1"/>
  <c r="E306" i="17" s="1"/>
  <c r="F306" i="17" s="1"/>
  <c r="D770" i="10"/>
  <c r="AB92" i="14"/>
  <c r="AC92" i="14" s="1"/>
  <c r="J103" i="14"/>
  <c r="K103" i="14" s="1"/>
  <c r="H1698" i="20"/>
  <c r="H1699" i="20" s="1"/>
  <c r="Z98" i="12"/>
  <c r="AA98" i="12" s="1"/>
  <c r="Z95" i="12"/>
  <c r="AA95" i="12" s="1"/>
  <c r="AB95" i="12"/>
  <c r="AC95" i="12" s="1"/>
  <c r="D607" i="10"/>
  <c r="D612" i="10"/>
  <c r="J88" i="12"/>
  <c r="K88" i="12" s="1"/>
  <c r="L97" i="12"/>
  <c r="M97" i="12" s="1"/>
  <c r="D514" i="10"/>
  <c r="AP30" i="12"/>
  <c r="AP44" i="12"/>
  <c r="AB37" i="12"/>
  <c r="AC37" i="12" s="1"/>
  <c r="AB34" i="12"/>
  <c r="AB43" i="12"/>
  <c r="AC43" i="12" s="1"/>
  <c r="AJ43" i="12" s="1"/>
  <c r="AB47" i="12"/>
  <c r="D217" i="10"/>
  <c r="D221" i="10"/>
  <c r="D234" i="10"/>
  <c r="AB5" i="12"/>
  <c r="D192" i="10"/>
  <c r="Z5" i="12"/>
  <c r="AA5" i="12" s="1"/>
  <c r="AP47" i="12"/>
  <c r="AP41" i="12"/>
  <c r="AP37" i="12"/>
  <c r="AO31" i="12"/>
  <c r="AO39" i="12"/>
  <c r="T29" i="12"/>
  <c r="U29" i="12" s="1"/>
  <c r="T27" i="12"/>
  <c r="U27" i="12" s="1"/>
  <c r="T39" i="12"/>
  <c r="T47" i="12"/>
  <c r="D166" i="10"/>
  <c r="D168" i="10"/>
  <c r="D176" i="10"/>
  <c r="D179" i="10"/>
  <c r="AO42" i="12"/>
  <c r="AO40" i="12"/>
  <c r="AO30" i="12"/>
  <c r="AO28" i="12"/>
  <c r="AN40" i="12"/>
  <c r="D127" i="10"/>
  <c r="AN41" i="12"/>
  <c r="AN27" i="12"/>
  <c r="AM5" i="12"/>
  <c r="AM41" i="12"/>
  <c r="AM40" i="12"/>
  <c r="AM47" i="12"/>
  <c r="AM46" i="12"/>
  <c r="R97" i="12"/>
  <c r="S97" i="12" s="1"/>
  <c r="I1402" i="20"/>
  <c r="I1403" i="20" s="1"/>
  <c r="I1614" i="20"/>
  <c r="I1615" i="20" s="1"/>
  <c r="J1614" i="20"/>
  <c r="J1615" i="20" s="1"/>
  <c r="AM27" i="14"/>
  <c r="H542" i="20"/>
  <c r="H543" i="20" s="1"/>
  <c r="J482" i="20"/>
  <c r="J483" i="20" s="1"/>
  <c r="I1606" i="20"/>
  <c r="I1607" i="20" s="1"/>
  <c r="I1686" i="20"/>
  <c r="I1687" i="20" s="1"/>
  <c r="J1702" i="20"/>
  <c r="J1703" i="20" s="1"/>
  <c r="I1702" i="20"/>
  <c r="I1703" i="20" s="1"/>
  <c r="AB51" i="22"/>
  <c r="K22" i="11"/>
  <c r="M22" i="11" s="1"/>
  <c r="D936" i="10"/>
  <c r="Y49" i="22"/>
  <c r="Z49" i="22" s="1"/>
  <c r="AA49" i="22"/>
  <c r="AB49" i="22" s="1"/>
  <c r="AN37" i="14"/>
  <c r="AP37" i="14"/>
  <c r="S52" i="22"/>
  <c r="T52" i="22" s="1"/>
  <c r="AN52" i="22"/>
  <c r="D909" i="10"/>
  <c r="G22" i="11"/>
  <c r="I22" i="11" s="1"/>
  <c r="Q52" i="22"/>
  <c r="R52" i="22" s="1"/>
  <c r="I52" i="22"/>
  <c r="J52" i="22" s="1"/>
  <c r="AM52" i="22"/>
  <c r="K52" i="22"/>
  <c r="L52" i="22" s="1"/>
  <c r="D879" i="10"/>
  <c r="AC52" i="22"/>
  <c r="C304" i="17" s="1"/>
  <c r="AC50" i="22"/>
  <c r="C302" i="17" s="1"/>
  <c r="E302" i="17" s="1"/>
  <c r="F302" i="17" s="1"/>
  <c r="AM50" i="22"/>
  <c r="D877" i="10"/>
  <c r="C22" i="11"/>
  <c r="E22" i="11" s="1"/>
  <c r="K50" i="22"/>
  <c r="L50" i="22" s="1"/>
  <c r="I50" i="22"/>
  <c r="J50" i="22" s="1"/>
  <c r="AB12" i="22"/>
  <c r="D135" i="17"/>
  <c r="L9" i="11"/>
  <c r="T11" i="22"/>
  <c r="T13" i="22"/>
  <c r="T14" i="22"/>
  <c r="AI14" i="22" s="1"/>
  <c r="H836" i="20"/>
  <c r="H837" i="20" s="1"/>
  <c r="H838" i="20" s="1"/>
  <c r="H839" i="20" s="1"/>
  <c r="H840" i="20" s="1"/>
  <c r="H841" i="20" s="1"/>
  <c r="AC13" i="22"/>
  <c r="C141" i="17" s="1"/>
  <c r="E141" i="17" s="1"/>
  <c r="F141" i="17" s="1"/>
  <c r="I13" i="22"/>
  <c r="J13" i="22" s="1"/>
  <c r="AE13" i="22" s="1"/>
  <c r="K13" i="22"/>
  <c r="L13" i="22" s="1"/>
  <c r="D790" i="10"/>
  <c r="AM13" i="22"/>
  <c r="AM10" i="22"/>
  <c r="I10" i="22"/>
  <c r="J10" i="22" s="1"/>
  <c r="AE10" i="22" s="1"/>
  <c r="K10" i="22"/>
  <c r="D814" i="10"/>
  <c r="AN7" i="22"/>
  <c r="Q7" i="22"/>
  <c r="R7" i="22" s="1"/>
  <c r="AD7" i="22" s="1"/>
  <c r="AF7" i="22" s="1"/>
  <c r="AG7" i="22" s="1"/>
  <c r="S7" i="22"/>
  <c r="T7" i="22" s="1"/>
  <c r="AB42" i="12"/>
  <c r="AP42" i="12"/>
  <c r="AP34" i="12"/>
  <c r="AP33" i="12"/>
  <c r="T44" i="12"/>
  <c r="D181" i="10"/>
  <c r="AO44" i="12"/>
  <c r="R39" i="12"/>
  <c r="S39" i="12" s="1"/>
  <c r="D172" i="10"/>
  <c r="AO35" i="12"/>
  <c r="T35" i="12"/>
  <c r="AO34" i="12"/>
  <c r="T34" i="12"/>
  <c r="U34" i="12" s="1"/>
  <c r="AO47" i="12"/>
  <c r="Z18" i="4"/>
  <c r="Z68" i="4"/>
  <c r="AA68" i="4" s="1"/>
  <c r="AB48" i="4"/>
  <c r="AC48" i="4" s="1"/>
  <c r="D467" i="10"/>
  <c r="L67" i="4"/>
  <c r="M67" i="4" s="1"/>
  <c r="D83" i="10"/>
  <c r="L29" i="4"/>
  <c r="M29" i="4" s="1"/>
  <c r="Z34" i="4"/>
  <c r="AA34" i="4" s="1"/>
  <c r="AX71" i="4"/>
  <c r="P28" i="16" s="1"/>
  <c r="AN27" i="4"/>
  <c r="AX69" i="4"/>
  <c r="P26" i="16" s="1"/>
  <c r="T24" i="4"/>
  <c r="U24" i="4" s="1"/>
  <c r="T10" i="4"/>
  <c r="U10" i="4" s="1"/>
  <c r="I86" i="20"/>
  <c r="I87" i="20" s="1"/>
  <c r="AP26" i="4"/>
  <c r="T59" i="4"/>
  <c r="U59" i="4" s="1"/>
  <c r="R24" i="4"/>
  <c r="S24" i="4" s="1"/>
  <c r="D414" i="10"/>
  <c r="T18" i="4"/>
  <c r="U18" i="4" s="1"/>
  <c r="R10" i="4"/>
  <c r="S10" i="4" s="1"/>
  <c r="T33" i="12"/>
  <c r="D170" i="10"/>
  <c r="I458" i="20"/>
  <c r="I459" i="20" s="1"/>
  <c r="I282" i="20"/>
  <c r="I283" i="20" s="1"/>
  <c r="D608" i="10"/>
  <c r="D811" i="10"/>
  <c r="D803" i="10"/>
  <c r="D795" i="10"/>
  <c r="D787" i="10"/>
  <c r="H282" i="20"/>
  <c r="H283" i="20" s="1"/>
  <c r="H926" i="20"/>
  <c r="H927" i="20" s="1"/>
  <c r="H928" i="20" s="1"/>
  <c r="H929" i="20" s="1"/>
  <c r="H930" i="20" s="1"/>
  <c r="H931" i="20" s="1"/>
  <c r="I1760" i="20"/>
  <c r="I1761" i="20" s="1"/>
  <c r="I1762" i="20" s="1"/>
  <c r="I1763" i="20" s="1"/>
  <c r="I1764" i="20" s="1"/>
  <c r="I1765" i="20" s="1"/>
  <c r="J1874" i="20"/>
  <c r="J1875" i="20" s="1"/>
  <c r="J1876" i="20" s="1"/>
  <c r="J1877" i="20" s="1"/>
  <c r="J1878" i="20" s="1"/>
  <c r="J1879" i="20" s="1"/>
  <c r="I1892" i="20"/>
  <c r="I1893" i="20" s="1"/>
  <c r="I1894" i="20" s="1"/>
  <c r="I1895" i="20" s="1"/>
  <c r="I1896" i="20" s="1"/>
  <c r="I1897" i="20" s="1"/>
  <c r="I818" i="20"/>
  <c r="I819" i="20" s="1"/>
  <c r="I820" i="20" s="1"/>
  <c r="I821" i="20" s="1"/>
  <c r="I822" i="20" s="1"/>
  <c r="I823" i="20" s="1"/>
  <c r="I1748" i="20"/>
  <c r="I1749" i="20" s="1"/>
  <c r="I1750" i="20" s="1"/>
  <c r="I1751" i="20" s="1"/>
  <c r="I1752" i="20" s="1"/>
  <c r="I1753" i="20" s="1"/>
  <c r="I470" i="20"/>
  <c r="I471" i="20" s="1"/>
  <c r="M13" i="23"/>
  <c r="D138" i="17"/>
  <c r="I1862" i="20"/>
  <c r="I1863" i="20" s="1"/>
  <c r="I1864" i="20" s="1"/>
  <c r="I1865" i="20" s="1"/>
  <c r="I1866" i="20" s="1"/>
  <c r="I1867" i="20" s="1"/>
  <c r="D732" i="10"/>
  <c r="J90" i="14"/>
  <c r="K90" i="14" s="1"/>
  <c r="L50" i="4"/>
  <c r="M50" i="4" s="1"/>
  <c r="D729" i="10"/>
  <c r="L112" i="14"/>
  <c r="M112" i="14" s="1"/>
  <c r="AB50" i="12"/>
  <c r="AC50" i="12" s="1"/>
  <c r="AI50" i="12" s="1"/>
  <c r="AK50" i="12" s="1"/>
  <c r="AL50" i="12" s="1"/>
  <c r="Z92" i="12"/>
  <c r="AA92" i="12" s="1"/>
  <c r="Z99" i="12"/>
  <c r="AA99" i="12" s="1"/>
  <c r="L101" i="12"/>
  <c r="M101" i="12" s="1"/>
  <c r="AO8" i="4"/>
  <c r="N47" i="4" s="1"/>
  <c r="Z96" i="14"/>
  <c r="AA96" i="14" s="1"/>
  <c r="H1754" i="20"/>
  <c r="H1755" i="20" s="1"/>
  <c r="H1756" i="20" s="1"/>
  <c r="H1757" i="20" s="1"/>
  <c r="H1758" i="20" s="1"/>
  <c r="H1759" i="20" s="1"/>
  <c r="J1712" i="20"/>
  <c r="J1713" i="20" s="1"/>
  <c r="J1904" i="20"/>
  <c r="J1905" i="20" s="1"/>
  <c r="J1906" i="20" s="1"/>
  <c r="J1907" i="20" s="1"/>
  <c r="J1908" i="20" s="1"/>
  <c r="J1909" i="20" s="1"/>
  <c r="H1814" i="20"/>
  <c r="H1815" i="20" s="1"/>
  <c r="H1816" i="20" s="1"/>
  <c r="H1817" i="20" s="1"/>
  <c r="H1818" i="20" s="1"/>
  <c r="H1819" i="20" s="1"/>
  <c r="I1310" i="20"/>
  <c r="I1311" i="20" s="1"/>
  <c r="I1536" i="20"/>
  <c r="I1537" i="20" s="1"/>
  <c r="I338" i="20"/>
  <c r="I339" i="20" s="1"/>
  <c r="AO46" i="12"/>
  <c r="AP36" i="12"/>
  <c r="AP50" i="12"/>
  <c r="L13" i="23"/>
  <c r="D774" i="10"/>
  <c r="D773" i="10"/>
  <c r="AX56" i="4"/>
  <c r="P13" i="16" s="1"/>
  <c r="AX44" i="14"/>
  <c r="E81" i="16" s="1"/>
  <c r="AX92" i="12"/>
  <c r="P39" i="16" s="1"/>
  <c r="B81" i="23"/>
  <c r="I81" i="23" s="1"/>
  <c r="J109" i="14"/>
  <c r="K109" i="14" s="1"/>
  <c r="L110" i="12"/>
  <c r="M110" i="12" s="1"/>
  <c r="AB38" i="12"/>
  <c r="AB42" i="14"/>
  <c r="AC42" i="14" s="1"/>
  <c r="D134" i="10"/>
  <c r="J108" i="12"/>
  <c r="K108" i="12" s="1"/>
  <c r="Z107" i="12"/>
  <c r="AA107" i="12" s="1"/>
  <c r="AB92" i="12"/>
  <c r="D562" i="10"/>
  <c r="D619" i="10"/>
  <c r="AW25" i="22"/>
  <c r="E112" i="16" s="1"/>
  <c r="AN60" i="22"/>
  <c r="D890" i="10"/>
  <c r="D925" i="10"/>
  <c r="D960" i="10"/>
  <c r="J1754" i="20"/>
  <c r="J1755" i="20" s="1"/>
  <c r="J1756" i="20" s="1"/>
  <c r="J1757" i="20" s="1"/>
  <c r="J1758" i="20" s="1"/>
  <c r="J1759" i="20" s="1"/>
  <c r="I794" i="20"/>
  <c r="I795" i="20" s="1"/>
  <c r="I796" i="20" s="1"/>
  <c r="I797" i="20" s="1"/>
  <c r="I798" i="20" s="1"/>
  <c r="I799" i="20" s="1"/>
  <c r="J1760" i="20"/>
  <c r="J1761" i="20" s="1"/>
  <c r="J1762" i="20" s="1"/>
  <c r="J1763" i="20" s="1"/>
  <c r="J1764" i="20" s="1"/>
  <c r="J1765" i="20" s="1"/>
  <c r="H1904" i="20"/>
  <c r="H1905" i="20" s="1"/>
  <c r="H1906" i="20" s="1"/>
  <c r="H1907" i="20" s="1"/>
  <c r="H1908" i="20" s="1"/>
  <c r="H1909" i="20" s="1"/>
  <c r="I1814" i="20"/>
  <c r="I1815" i="20" s="1"/>
  <c r="I1816" i="20" s="1"/>
  <c r="I1817" i="20" s="1"/>
  <c r="I1818" i="20" s="1"/>
  <c r="I1819" i="20" s="1"/>
  <c r="I1772" i="20"/>
  <c r="I1773" i="20" s="1"/>
  <c r="I1774" i="20" s="1"/>
  <c r="I1775" i="20" s="1"/>
  <c r="I1776" i="20" s="1"/>
  <c r="I1777" i="20" s="1"/>
  <c r="I566" i="20"/>
  <c r="I567" i="20" s="1"/>
  <c r="I550" i="20"/>
  <c r="I551" i="20" s="1"/>
  <c r="L47" i="23"/>
  <c r="D673" i="10"/>
  <c r="AW20" i="22"/>
  <c r="E107" i="16" s="1"/>
  <c r="R89" i="12"/>
  <c r="S89" i="12" s="1"/>
  <c r="B47" i="23"/>
  <c r="H47" i="23" s="1"/>
  <c r="L109" i="14"/>
  <c r="M109" i="14" s="1"/>
  <c r="AI53" i="12"/>
  <c r="AK53" i="12" s="1"/>
  <c r="AL53" i="12" s="1"/>
  <c r="J43" i="14"/>
  <c r="K43" i="14" s="1"/>
  <c r="D129" i="10"/>
  <c r="D223" i="10"/>
  <c r="D185" i="10"/>
  <c r="D449" i="10"/>
  <c r="Z102" i="12"/>
  <c r="AA102" i="12" s="1"/>
  <c r="L108" i="12"/>
  <c r="M108" i="12" s="1"/>
  <c r="AB91" i="12"/>
  <c r="AC91" i="12" s="1"/>
  <c r="T108" i="12"/>
  <c r="U108" i="12" s="1"/>
  <c r="AB96" i="12"/>
  <c r="AC96" i="12" s="1"/>
  <c r="D610" i="10"/>
  <c r="L51" i="4"/>
  <c r="M51" i="4" s="1"/>
  <c r="I1754" i="20"/>
  <c r="I1755" i="20" s="1"/>
  <c r="I1756" i="20" s="1"/>
  <c r="I1757" i="20" s="1"/>
  <c r="I1758" i="20" s="1"/>
  <c r="I1759" i="20" s="1"/>
  <c r="H1760" i="20"/>
  <c r="H1761" i="20" s="1"/>
  <c r="H1762" i="20" s="1"/>
  <c r="H1763" i="20" s="1"/>
  <c r="H1764" i="20" s="1"/>
  <c r="H1765" i="20" s="1"/>
  <c r="I926" i="20"/>
  <c r="I927" i="20" s="1"/>
  <c r="I928" i="20" s="1"/>
  <c r="I929" i="20" s="1"/>
  <c r="I930" i="20" s="1"/>
  <c r="I931" i="20" s="1"/>
  <c r="J1814" i="20"/>
  <c r="J1815" i="20" s="1"/>
  <c r="J1816" i="20" s="1"/>
  <c r="J1817" i="20" s="1"/>
  <c r="J1818" i="20" s="1"/>
  <c r="J1819" i="20" s="1"/>
  <c r="H366" i="20"/>
  <c r="H367" i="20" s="1"/>
  <c r="H1844" i="20"/>
  <c r="H1845" i="20" s="1"/>
  <c r="H1846" i="20" s="1"/>
  <c r="H1847" i="20" s="1"/>
  <c r="H1848" i="20" s="1"/>
  <c r="H1849" i="20" s="1"/>
  <c r="AO48" i="12"/>
  <c r="AN29" i="12"/>
  <c r="AP38" i="12"/>
  <c r="AP38" i="14"/>
  <c r="T103" i="14"/>
  <c r="U103" i="14" s="1"/>
  <c r="AX94" i="14"/>
  <c r="P71" i="16" s="1"/>
  <c r="AW23" i="22"/>
  <c r="E110" i="16" s="1"/>
  <c r="T30" i="12"/>
  <c r="T38" i="12"/>
  <c r="D175" i="10"/>
  <c r="D140" i="10"/>
  <c r="AP41" i="14"/>
  <c r="D424" i="10"/>
  <c r="D397" i="10"/>
  <c r="R108" i="12"/>
  <c r="S108" i="12" s="1"/>
  <c r="D621" i="10"/>
  <c r="D525" i="10"/>
  <c r="AX39" i="14"/>
  <c r="E76" i="16" s="1"/>
  <c r="D952" i="10"/>
  <c r="C9" i="11"/>
  <c r="E9" i="11" s="1"/>
  <c r="J282" i="20"/>
  <c r="J283" i="20" s="1"/>
  <c r="J1412" i="20"/>
  <c r="J1413" i="20" s="1"/>
  <c r="AN50" i="14"/>
  <c r="AB93" i="14"/>
  <c r="D122" i="10"/>
  <c r="D131" i="10"/>
  <c r="J103" i="12"/>
  <c r="K103" i="12" s="1"/>
  <c r="Z104" i="12"/>
  <c r="AA104" i="12" s="1"/>
  <c r="D575" i="10"/>
  <c r="I98" i="20"/>
  <c r="I99" i="20" s="1"/>
  <c r="T106" i="14"/>
  <c r="U106" i="14" s="1"/>
  <c r="D325" i="10"/>
  <c r="T98" i="12"/>
  <c r="U98" i="12" s="1"/>
  <c r="D565" i="10"/>
  <c r="J22" i="20"/>
  <c r="J23" i="20" s="1"/>
  <c r="D313" i="17"/>
  <c r="R50" i="12"/>
  <c r="S50" i="12" s="1"/>
  <c r="T46" i="14"/>
  <c r="U46" i="14" s="1"/>
  <c r="I574" i="20"/>
  <c r="I575" i="20" s="1"/>
  <c r="T94" i="12"/>
  <c r="J112" i="12"/>
  <c r="K112" i="12" s="1"/>
  <c r="D519" i="10"/>
  <c r="J450" i="20"/>
  <c r="J451" i="20" s="1"/>
  <c r="L112" i="12"/>
  <c r="M112" i="12" s="1"/>
  <c r="AX91" i="12"/>
  <c r="P38" i="16" s="1"/>
  <c r="R106" i="12"/>
  <c r="S106" i="12" s="1"/>
  <c r="D526" i="10"/>
  <c r="R98" i="12"/>
  <c r="S98" i="12" s="1"/>
  <c r="J258" i="20"/>
  <c r="J259" i="20" s="1"/>
  <c r="H58" i="20"/>
  <c r="H59" i="20" s="1"/>
  <c r="R102" i="14"/>
  <c r="S102" i="14" s="1"/>
  <c r="L102" i="12"/>
  <c r="M102" i="12" s="1"/>
  <c r="D573" i="10"/>
  <c r="L103" i="14"/>
  <c r="M103" i="14" s="1"/>
  <c r="I34" i="20"/>
  <c r="I35" i="20" s="1"/>
  <c r="AX99" i="12"/>
  <c r="P46" i="16" s="1"/>
  <c r="D15" i="10"/>
  <c r="Z100" i="12"/>
  <c r="AA100" i="12" s="1"/>
  <c r="D161" i="17"/>
  <c r="AP5" i="4"/>
  <c r="H1440" i="20"/>
  <c r="H1441" i="20" s="1"/>
  <c r="D780" i="10"/>
  <c r="R33" i="4"/>
  <c r="S33" i="4" s="1"/>
  <c r="D301" i="17"/>
  <c r="D658" i="10"/>
  <c r="T111" i="14"/>
  <c r="U111" i="14" s="1"/>
  <c r="AX101" i="14"/>
  <c r="P78" i="16" s="1"/>
  <c r="H1708" i="20"/>
  <c r="H1709" i="20" s="1"/>
  <c r="AX98" i="14"/>
  <c r="P75" i="16" s="1"/>
  <c r="D654" i="10"/>
  <c r="T87" i="12"/>
  <c r="D714" i="10"/>
  <c r="AW9" i="22"/>
  <c r="E96" i="16" s="1"/>
  <c r="D676" i="10"/>
  <c r="D577" i="10"/>
  <c r="D668" i="10"/>
  <c r="D627" i="10"/>
  <c r="AX52" i="12"/>
  <c r="E59" i="16" s="1"/>
  <c r="D322" i="10"/>
  <c r="L103" i="12"/>
  <c r="M103" i="12" s="1"/>
  <c r="AB94" i="12"/>
  <c r="AB100" i="12"/>
  <c r="AC100" i="12" s="1"/>
  <c r="D482" i="10"/>
  <c r="D611" i="10"/>
  <c r="H1322" i="20"/>
  <c r="H1323" i="20" s="1"/>
  <c r="D155" i="17"/>
  <c r="AW51" i="22"/>
  <c r="P98" i="16" s="1"/>
  <c r="R44" i="12"/>
  <c r="AX42" i="14"/>
  <c r="E79" i="16" s="1"/>
  <c r="AW17" i="22"/>
  <c r="E104" i="16" s="1"/>
  <c r="E9" i="16"/>
  <c r="AX18" i="4"/>
  <c r="E15" i="16" s="1"/>
  <c r="D375" i="10"/>
  <c r="H1612" i="20"/>
  <c r="H1613" i="20" s="1"/>
  <c r="Z93" i="14"/>
  <c r="AA93" i="14" s="1"/>
  <c r="AO46" i="14"/>
  <c r="D764" i="10"/>
  <c r="R86" i="14"/>
  <c r="S86" i="14" s="1"/>
  <c r="T92" i="12"/>
  <c r="AX92" i="14"/>
  <c r="P69" i="16" s="1"/>
  <c r="AW29" i="22"/>
  <c r="E116" i="16" s="1"/>
  <c r="AB110" i="12"/>
  <c r="AC110" i="12" s="1"/>
  <c r="B82" i="23"/>
  <c r="I82" i="23" s="1"/>
  <c r="H166" i="20"/>
  <c r="H167" i="20" s="1"/>
  <c r="I1596" i="20"/>
  <c r="I1597" i="20" s="1"/>
  <c r="AP16" i="4"/>
  <c r="AO54" i="14"/>
  <c r="T99" i="14"/>
  <c r="T111" i="12"/>
  <c r="U111" i="12" s="1"/>
  <c r="R105" i="14"/>
  <c r="S105" i="14" s="1"/>
  <c r="T86" i="14"/>
  <c r="U86" i="14" s="1"/>
  <c r="AX95" i="12"/>
  <c r="P42" i="16" s="1"/>
  <c r="J16" i="4"/>
  <c r="J25" i="4"/>
  <c r="K25" i="4" s="1"/>
  <c r="R54" i="14"/>
  <c r="S54" i="14" s="1"/>
  <c r="L65" i="12"/>
  <c r="M65" i="12" s="1"/>
  <c r="T99" i="12"/>
  <c r="U99" i="12" s="1"/>
  <c r="D520" i="10"/>
  <c r="AX49" i="14"/>
  <c r="E86" i="16" s="1"/>
  <c r="AW49" i="22"/>
  <c r="P96" i="16" s="1"/>
  <c r="AW60" i="22"/>
  <c r="P107" i="16" s="1"/>
  <c r="AW74" i="22"/>
  <c r="P121" i="16" s="1"/>
  <c r="Z24" i="4"/>
  <c r="AA24" i="4" s="1"/>
  <c r="T95" i="12"/>
  <c r="U95" i="12" s="1"/>
  <c r="AW69" i="22"/>
  <c r="P116" i="16" s="1"/>
  <c r="R51" i="4"/>
  <c r="S51" i="4" s="1"/>
  <c r="AO43" i="14"/>
  <c r="AX105" i="14"/>
  <c r="P82" i="16" s="1"/>
  <c r="R18" i="4"/>
  <c r="S18" i="4" s="1"/>
  <c r="AP48" i="14"/>
  <c r="D760" i="10"/>
  <c r="R65" i="14"/>
  <c r="S65" i="14" s="1"/>
  <c r="D630" i="10"/>
  <c r="AX110" i="12"/>
  <c r="P57" i="16" s="1"/>
  <c r="Z32" i="4"/>
  <c r="AA32" i="4" s="1"/>
  <c r="AB26" i="14"/>
  <c r="AC26" i="14" s="1"/>
  <c r="AX103" i="12"/>
  <c r="P50" i="16" s="1"/>
  <c r="AX113" i="14"/>
  <c r="P90" i="16" s="1"/>
  <c r="D309" i="17"/>
  <c r="AX23" i="4"/>
  <c r="E20" i="16" s="1"/>
  <c r="J94" i="12"/>
  <c r="K94" i="12" s="1"/>
  <c r="R95" i="12"/>
  <c r="S95" i="12" s="1"/>
  <c r="Z94" i="12"/>
  <c r="AA94" i="12" s="1"/>
  <c r="L94" i="12"/>
  <c r="M94" i="12" s="1"/>
  <c r="D617" i="10"/>
  <c r="AW53" i="22"/>
  <c r="P100" i="16" s="1"/>
  <c r="R54" i="12"/>
  <c r="S54" i="12" s="1"/>
  <c r="R48" i="12"/>
  <c r="S48" i="12" s="1"/>
  <c r="I1584" i="20"/>
  <c r="I1585" i="20" s="1"/>
  <c r="J1204" i="20"/>
  <c r="J1205" i="20" s="1"/>
  <c r="AO19" i="4"/>
  <c r="T107" i="14"/>
  <c r="U107" i="14" s="1"/>
  <c r="AB102" i="14"/>
  <c r="AC102" i="14" s="1"/>
  <c r="AB99" i="14"/>
  <c r="AC99" i="14" s="1"/>
  <c r="Z103" i="14"/>
  <c r="AA103" i="14" s="1"/>
  <c r="D39" i="10"/>
  <c r="D703" i="10"/>
  <c r="D682" i="10"/>
  <c r="D145" i="17"/>
  <c r="D672" i="10"/>
  <c r="T43" i="14"/>
  <c r="U43" i="14" s="1"/>
  <c r="R96" i="12"/>
  <c r="S96" i="12" s="1"/>
  <c r="R105" i="12"/>
  <c r="S105" i="12" s="1"/>
  <c r="T96" i="12"/>
  <c r="U96" i="12" s="1"/>
  <c r="D572" i="10"/>
  <c r="AB105" i="14"/>
  <c r="AC105" i="14" s="1"/>
  <c r="H1506" i="20"/>
  <c r="H1507" i="20" s="1"/>
  <c r="AW46" i="22"/>
  <c r="P93" i="16" s="1"/>
  <c r="F45" i="11"/>
  <c r="R52" i="4"/>
  <c r="S52" i="4" s="1"/>
  <c r="AN46" i="14"/>
  <c r="AX48" i="12"/>
  <c r="E55" i="16" s="1"/>
  <c r="J38" i="14"/>
  <c r="AO42" i="14"/>
  <c r="T110" i="14"/>
  <c r="U110" i="14" s="1"/>
  <c r="D766" i="10"/>
  <c r="T14" i="4"/>
  <c r="U14" i="4" s="1"/>
  <c r="R28" i="4"/>
  <c r="S28" i="4" s="1"/>
  <c r="AW21" i="22"/>
  <c r="E108" i="16" s="1"/>
  <c r="R111" i="12"/>
  <c r="S111" i="12" s="1"/>
  <c r="AW7" i="22"/>
  <c r="E94" i="16" s="1"/>
  <c r="AX103" i="14"/>
  <c r="P80" i="16" s="1"/>
  <c r="D88" i="10"/>
  <c r="R43" i="14"/>
  <c r="S43" i="14" s="1"/>
  <c r="D609" i="10"/>
  <c r="D563" i="10"/>
  <c r="D144" i="17"/>
  <c r="D134" i="17"/>
  <c r="R52" i="12"/>
  <c r="S52" i="12" s="1"/>
  <c r="Z36" i="12"/>
  <c r="AA36" i="12" s="1"/>
  <c r="D716" i="10"/>
  <c r="F306" i="19"/>
  <c r="AN11" i="4"/>
  <c r="H1616" i="20"/>
  <c r="H1617" i="20" s="1"/>
  <c r="AP24" i="4"/>
  <c r="AN54" i="14"/>
  <c r="D727" i="10"/>
  <c r="D666" i="10"/>
  <c r="L102" i="14"/>
  <c r="M102" i="14" s="1"/>
  <c r="AX97" i="14"/>
  <c r="P74" i="16" s="1"/>
  <c r="Z114" i="12"/>
  <c r="AA114" i="12" s="1"/>
  <c r="T28" i="4"/>
  <c r="U28" i="4" s="1"/>
  <c r="D15" i="16"/>
  <c r="D578" i="10"/>
  <c r="R97" i="14"/>
  <c r="N28" i="16"/>
  <c r="L107" i="14"/>
  <c r="M107" i="14" s="1"/>
  <c r="AX102" i="14"/>
  <c r="P79" i="16" s="1"/>
  <c r="AX109" i="12"/>
  <c r="P56" i="16" s="1"/>
  <c r="T20" i="4"/>
  <c r="U20" i="4" s="1"/>
  <c r="Z31" i="4"/>
  <c r="AA31" i="4" s="1"/>
  <c r="AX67" i="4"/>
  <c r="P24" i="16" s="1"/>
  <c r="R94" i="12"/>
  <c r="S94" i="12" s="1"/>
  <c r="R101" i="12"/>
  <c r="S101" i="12" s="1"/>
  <c r="AB103" i="12"/>
  <c r="AC103" i="12" s="1"/>
  <c r="T105" i="12"/>
  <c r="U105" i="12" s="1"/>
  <c r="T97" i="12"/>
  <c r="E45" i="11"/>
  <c r="H1524" i="20"/>
  <c r="H1525" i="20" s="1"/>
  <c r="H562" i="20"/>
  <c r="H563" i="20" s="1"/>
  <c r="D713" i="10"/>
  <c r="R114" i="12"/>
  <c r="S114" i="12" s="1"/>
  <c r="AX62" i="4"/>
  <c r="P19" i="16" s="1"/>
  <c r="T30" i="4"/>
  <c r="U30" i="4" s="1"/>
  <c r="J101" i="14"/>
  <c r="K101" i="14" s="1"/>
  <c r="T114" i="12"/>
  <c r="U114" i="12" s="1"/>
  <c r="T97" i="14"/>
  <c r="U97" i="14" s="1"/>
  <c r="AW10" i="22"/>
  <c r="E97" i="16" s="1"/>
  <c r="L101" i="14"/>
  <c r="M101" i="14" s="1"/>
  <c r="T51" i="14"/>
  <c r="U51" i="14" s="1"/>
  <c r="R90" i="12"/>
  <c r="S90" i="12" s="1"/>
  <c r="Z103" i="12"/>
  <c r="AA103" i="12" s="1"/>
  <c r="AB93" i="12"/>
  <c r="AC93" i="12" s="1"/>
  <c r="D568" i="10"/>
  <c r="AB103" i="14"/>
  <c r="AC103" i="14" s="1"/>
  <c r="C307" i="17"/>
  <c r="E307" i="17" s="1"/>
  <c r="F307" i="17" s="1"/>
  <c r="D310" i="17"/>
  <c r="D160" i="17"/>
  <c r="AW58" i="22"/>
  <c r="P105" i="16" s="1"/>
  <c r="R37" i="12"/>
  <c r="T51" i="4"/>
  <c r="U51" i="4" s="1"/>
  <c r="D581" i="10"/>
  <c r="Z105" i="14"/>
  <c r="AA105" i="14" s="1"/>
  <c r="T21" i="4"/>
  <c r="U21" i="4" s="1"/>
  <c r="T50" i="14"/>
  <c r="U50" i="14" s="1"/>
  <c r="T35" i="14"/>
  <c r="U35" i="14" s="1"/>
  <c r="D330" i="10"/>
  <c r="AX64" i="4"/>
  <c r="P21" i="16" s="1"/>
  <c r="D561" i="10"/>
  <c r="AX40" i="14"/>
  <c r="E77" i="16" s="1"/>
  <c r="AW26" i="22"/>
  <c r="E113" i="16" s="1"/>
  <c r="AB51" i="4"/>
  <c r="AC51" i="4" s="1"/>
  <c r="AX98" i="12"/>
  <c r="P45" i="16" s="1"/>
  <c r="R20" i="4"/>
  <c r="S20" i="4" s="1"/>
  <c r="D772" i="10"/>
  <c r="D47" i="10"/>
  <c r="J53" i="14"/>
  <c r="K53" i="14" s="1"/>
  <c r="AX93" i="12"/>
  <c r="P40" i="16" s="1"/>
  <c r="D755" i="10"/>
  <c r="D154" i="17"/>
  <c r="D325" i="17"/>
  <c r="R42" i="12"/>
  <c r="S42" i="12" s="1"/>
  <c r="Z51" i="4"/>
  <c r="AA51" i="4" s="1"/>
  <c r="AP51" i="4"/>
  <c r="AX22" i="4"/>
  <c r="E19" i="16" s="1"/>
  <c r="J49" i="14"/>
  <c r="K49" i="14" s="1"/>
  <c r="Z48" i="14"/>
  <c r="AA48" i="14" s="1"/>
  <c r="AO15" i="4"/>
  <c r="L106" i="14"/>
  <c r="M106" i="14" s="1"/>
  <c r="AX111" i="12"/>
  <c r="P58" i="16" s="1"/>
  <c r="L49" i="14"/>
  <c r="M49" i="14" s="1"/>
  <c r="AN49" i="14"/>
  <c r="D579" i="10"/>
  <c r="AX108" i="12"/>
  <c r="P55" i="16" s="1"/>
  <c r="D45" i="10"/>
  <c r="J29" i="4"/>
  <c r="K29" i="4" s="1"/>
  <c r="Z16" i="4"/>
  <c r="R33" i="14"/>
  <c r="S33" i="14" s="1"/>
  <c r="N22" i="16"/>
  <c r="AX65" i="4"/>
  <c r="P22" i="16" s="1"/>
  <c r="D631" i="10"/>
  <c r="T86" i="12"/>
  <c r="R86" i="12"/>
  <c r="S86" i="12" s="1"/>
  <c r="D76" i="16"/>
  <c r="AX43" i="14"/>
  <c r="E80" i="16" s="1"/>
  <c r="D83" i="16"/>
  <c r="AX46" i="14"/>
  <c r="E83" i="16" s="1"/>
  <c r="R109" i="14"/>
  <c r="S109" i="14" s="1"/>
  <c r="G290" i="10"/>
  <c r="D290" i="10"/>
  <c r="L53" i="14"/>
  <c r="M53" i="14" s="1"/>
  <c r="J45" i="14"/>
  <c r="K45" i="14" s="1"/>
  <c r="AN45" i="14"/>
  <c r="G278" i="10"/>
  <c r="D278" i="10"/>
  <c r="J41" i="14"/>
  <c r="K41" i="14" s="1"/>
  <c r="D274" i="10"/>
  <c r="G324" i="10"/>
  <c r="R37" i="14"/>
  <c r="S37" i="14" s="1"/>
  <c r="T37" i="14"/>
  <c r="U37" i="14" s="1"/>
  <c r="G313" i="10"/>
  <c r="D313" i="10"/>
  <c r="R26" i="14"/>
  <c r="S26" i="14" s="1"/>
  <c r="G389" i="10"/>
  <c r="Z52" i="14"/>
  <c r="AA52" i="14" s="1"/>
  <c r="G381" i="10"/>
  <c r="Z44" i="14"/>
  <c r="AA44" i="14" s="1"/>
  <c r="G377" i="10"/>
  <c r="Z40" i="14"/>
  <c r="AA40" i="14" s="1"/>
  <c r="G365" i="10"/>
  <c r="Z28" i="14"/>
  <c r="AA28" i="14" s="1"/>
  <c r="O16" i="16"/>
  <c r="AX59" i="4"/>
  <c r="P16" i="16" s="1"/>
  <c r="O37" i="16"/>
  <c r="AX90" i="12"/>
  <c r="P37" i="16" s="1"/>
  <c r="D628" i="10"/>
  <c r="Z111" i="12"/>
  <c r="AA111" i="12" s="1"/>
  <c r="N61" i="16"/>
  <c r="AX114" i="12"/>
  <c r="P61" i="16" s="1"/>
  <c r="T90" i="12"/>
  <c r="U90" i="12" s="1"/>
  <c r="C90" i="16"/>
  <c r="AX53" i="14"/>
  <c r="E90" i="16" s="1"/>
  <c r="G718" i="10"/>
  <c r="D718" i="10"/>
  <c r="R101" i="14"/>
  <c r="S101" i="14" s="1"/>
  <c r="AP25" i="4"/>
  <c r="AB25" i="4"/>
  <c r="AC25" i="4" s="1"/>
  <c r="Z21" i="4"/>
  <c r="AA21" i="4" s="1"/>
  <c r="AB21" i="4"/>
  <c r="AC21" i="4" s="1"/>
  <c r="C57" i="16"/>
  <c r="AX50" i="12"/>
  <c r="E57" i="16" s="1"/>
  <c r="G376" i="10"/>
  <c r="Z39" i="14"/>
  <c r="AA39" i="14" s="1"/>
  <c r="N44" i="16"/>
  <c r="AX97" i="12"/>
  <c r="P44" i="16" s="1"/>
  <c r="N48" i="16"/>
  <c r="AX101" i="12"/>
  <c r="P48" i="16" s="1"/>
  <c r="D626" i="10"/>
  <c r="K20" i="11"/>
  <c r="M20" i="11" s="1"/>
  <c r="AB109" i="12"/>
  <c r="AC109" i="12" s="1"/>
  <c r="AB112" i="12"/>
  <c r="AC112" i="12" s="1"/>
  <c r="J114" i="12"/>
  <c r="K114" i="12" s="1"/>
  <c r="L114" i="12"/>
  <c r="M114" i="12" s="1"/>
  <c r="D531" i="10"/>
  <c r="G715" i="10"/>
  <c r="T98" i="14"/>
  <c r="U98" i="14" s="1"/>
  <c r="D715" i="10"/>
  <c r="G666" i="10"/>
  <c r="L99" i="14"/>
  <c r="O76" i="16"/>
  <c r="AX99" i="14"/>
  <c r="P76" i="16" s="1"/>
  <c r="O83" i="16"/>
  <c r="AX106" i="14"/>
  <c r="P83" i="16" s="1"/>
  <c r="G730" i="10"/>
  <c r="R113" i="14"/>
  <c r="S113" i="14" s="1"/>
  <c r="AX40" i="12"/>
  <c r="E47" i="16" s="1"/>
  <c r="G31" i="10"/>
  <c r="D31" i="10"/>
  <c r="AO23" i="4"/>
  <c r="R23" i="4"/>
  <c r="S23" i="4" s="1"/>
  <c r="AN41" i="14"/>
  <c r="AO37" i="14"/>
  <c r="D730" i="10"/>
  <c r="D677" i="10"/>
  <c r="AX95" i="14"/>
  <c r="P72" i="16" s="1"/>
  <c r="AX100" i="14"/>
  <c r="P77" i="16" s="1"/>
  <c r="AX104" i="12"/>
  <c r="P51" i="16" s="1"/>
  <c r="AX113" i="12"/>
  <c r="P60" i="16" s="1"/>
  <c r="AX24" i="4"/>
  <c r="E21" i="16" s="1"/>
  <c r="AX66" i="4"/>
  <c r="P23" i="16" s="1"/>
  <c r="L45" i="14"/>
  <c r="M45" i="14" s="1"/>
  <c r="AX107" i="14"/>
  <c r="P84" i="16" s="1"/>
  <c r="D768" i="10"/>
  <c r="R112" i="12"/>
  <c r="S112" i="12" s="1"/>
  <c r="D576" i="10"/>
  <c r="AX39" i="12"/>
  <c r="E46" i="16" s="1"/>
  <c r="G53" i="10"/>
  <c r="T26" i="4"/>
  <c r="U26" i="4" s="1"/>
  <c r="D53" i="10"/>
  <c r="G49" i="10"/>
  <c r="D49" i="10"/>
  <c r="G85" i="10"/>
  <c r="Z28" i="4"/>
  <c r="AA28" i="4" s="1"/>
  <c r="G77" i="10"/>
  <c r="Z20" i="4"/>
  <c r="AA20" i="4" s="1"/>
  <c r="G69" i="10"/>
  <c r="Z12" i="4"/>
  <c r="AX49" i="12"/>
  <c r="E56" i="16" s="1"/>
  <c r="G656" i="10"/>
  <c r="G660" i="10"/>
  <c r="D660" i="10"/>
  <c r="L93" i="14"/>
  <c r="M93" i="14" s="1"/>
  <c r="G663" i="10"/>
  <c r="J96" i="14"/>
  <c r="K96" i="14" s="1"/>
  <c r="J100" i="14"/>
  <c r="K100" i="14" s="1"/>
  <c r="L100" i="14"/>
  <c r="G720" i="10"/>
  <c r="R103" i="14"/>
  <c r="S103" i="14" s="1"/>
  <c r="N81" i="16"/>
  <c r="AX104" i="14"/>
  <c r="P81" i="16" s="1"/>
  <c r="G723" i="10"/>
  <c r="R106" i="14"/>
  <c r="S106" i="14" s="1"/>
  <c r="G776" i="10"/>
  <c r="AB109" i="14"/>
  <c r="AC109" i="14" s="1"/>
  <c r="Z109" i="14"/>
  <c r="AA109" i="14" s="1"/>
  <c r="G678" i="10"/>
  <c r="L111" i="14"/>
  <c r="M111" i="14" s="1"/>
  <c r="AX47" i="12"/>
  <c r="E54" i="16" s="1"/>
  <c r="D315" i="17"/>
  <c r="AA5" i="22"/>
  <c r="AB5" i="22" s="1"/>
  <c r="J32" i="4"/>
  <c r="K32" i="4" s="1"/>
  <c r="AX21" i="4"/>
  <c r="E18" i="16" s="1"/>
  <c r="AX63" i="4"/>
  <c r="P20" i="16" s="1"/>
  <c r="T100" i="14"/>
  <c r="U100" i="14" s="1"/>
  <c r="C326" i="17"/>
  <c r="E326" i="17" s="1"/>
  <c r="AW57" i="22"/>
  <c r="P104" i="16" s="1"/>
  <c r="N107" i="16"/>
  <c r="R53" i="12"/>
  <c r="S53" i="12" s="1"/>
  <c r="R51" i="12"/>
  <c r="S51" i="12" s="1"/>
  <c r="R49" i="12"/>
  <c r="S49" i="12" s="1"/>
  <c r="R45" i="12"/>
  <c r="S45" i="12" s="1"/>
  <c r="R43" i="12"/>
  <c r="S43" i="12" s="1"/>
  <c r="R41" i="12"/>
  <c r="S41" i="12" s="1"/>
  <c r="R38" i="12"/>
  <c r="S38" i="12" s="1"/>
  <c r="R36" i="12"/>
  <c r="S36" i="12" s="1"/>
  <c r="Z47" i="12"/>
  <c r="AA47" i="12" s="1"/>
  <c r="Z44" i="12"/>
  <c r="AA44" i="12" s="1"/>
  <c r="Q5" i="22"/>
  <c r="R5" i="22" s="1"/>
  <c r="AW5" i="22"/>
  <c r="E92" i="16" s="1"/>
  <c r="B30" i="11"/>
  <c r="K5" i="22"/>
  <c r="L5" i="22" s="1"/>
  <c r="AG35" i="22"/>
  <c r="E40" i="9" s="1"/>
  <c r="AN5" i="22"/>
  <c r="G9" i="11"/>
  <c r="I9" i="11" s="1"/>
  <c r="S5" i="22"/>
  <c r="T5" i="22" s="1"/>
  <c r="D9" i="11"/>
  <c r="AO11" i="4"/>
  <c r="AN16" i="4"/>
  <c r="AN30" i="4"/>
  <c r="AP19" i="4"/>
  <c r="AN51" i="14"/>
  <c r="L114" i="14"/>
  <c r="M114" i="14" s="1"/>
  <c r="AX109" i="14"/>
  <c r="P86" i="16" s="1"/>
  <c r="AX94" i="12"/>
  <c r="P41" i="16" s="1"/>
  <c r="AX102" i="12"/>
  <c r="P49" i="16" s="1"/>
  <c r="AX57" i="4"/>
  <c r="P14" i="16" s="1"/>
  <c r="AX36" i="12"/>
  <c r="E43" i="16" s="1"/>
  <c r="J14" i="4"/>
  <c r="K14" i="4" s="1"/>
  <c r="T11" i="4"/>
  <c r="U11" i="4" s="1"/>
  <c r="AP39" i="14"/>
  <c r="AX91" i="14"/>
  <c r="P68" i="16" s="1"/>
  <c r="AX37" i="14"/>
  <c r="E74" i="16" s="1"/>
  <c r="AX107" i="12"/>
  <c r="P54" i="16" s="1"/>
  <c r="L51" i="14"/>
  <c r="M51" i="14" s="1"/>
  <c r="AX15" i="4"/>
  <c r="E12" i="16" s="1"/>
  <c r="R31" i="4"/>
  <c r="S31" i="4" s="1"/>
  <c r="J92" i="14"/>
  <c r="AX54" i="14"/>
  <c r="E91" i="16" s="1"/>
  <c r="AX51" i="14"/>
  <c r="E88" i="16" s="1"/>
  <c r="AX45" i="14"/>
  <c r="E82" i="16" s="1"/>
  <c r="T113" i="14"/>
  <c r="U113" i="14" s="1"/>
  <c r="D679" i="10"/>
  <c r="D75" i="10"/>
  <c r="AB17" i="4"/>
  <c r="L22" i="4"/>
  <c r="M22" i="4" s="1"/>
  <c r="AX29" i="4"/>
  <c r="E26" i="16" s="1"/>
  <c r="D84" i="10"/>
  <c r="T27" i="4"/>
  <c r="U27" i="4" s="1"/>
  <c r="AX53" i="12"/>
  <c r="E60" i="16" s="1"/>
  <c r="R48" i="14"/>
  <c r="S48" i="14" s="1"/>
  <c r="D324" i="10"/>
  <c r="G279" i="10"/>
  <c r="J42" i="14"/>
  <c r="K42" i="14" s="1"/>
  <c r="G326" i="10"/>
  <c r="D326" i="10"/>
  <c r="R39" i="14"/>
  <c r="S39" i="14" s="1"/>
  <c r="G391" i="10"/>
  <c r="Z54" i="14"/>
  <c r="AA54" i="14" s="1"/>
  <c r="G383" i="10"/>
  <c r="Z46" i="14"/>
  <c r="AA46" i="14" s="1"/>
  <c r="R91" i="14"/>
  <c r="S91" i="14" s="1"/>
  <c r="AB108" i="14"/>
  <c r="AC108" i="14" s="1"/>
  <c r="G765" i="10"/>
  <c r="Z98" i="14"/>
  <c r="AA98" i="14" s="1"/>
  <c r="G674" i="10"/>
  <c r="J107" i="14"/>
  <c r="K107" i="14" s="1"/>
  <c r="AO31" i="4"/>
  <c r="AQ31" i="4" s="1"/>
  <c r="L110" i="14"/>
  <c r="M110" i="14" s="1"/>
  <c r="L14" i="4"/>
  <c r="M14" i="4" s="1"/>
  <c r="AX41" i="14"/>
  <c r="E78" i="16" s="1"/>
  <c r="AX96" i="12"/>
  <c r="P43" i="16" s="1"/>
  <c r="D327" i="10"/>
  <c r="D659" i="10"/>
  <c r="AB112" i="14"/>
  <c r="AC112" i="14" s="1"/>
  <c r="AB13" i="4"/>
  <c r="F143" i="19"/>
  <c r="D54" i="10"/>
  <c r="G52" i="10"/>
  <c r="D52" i="10"/>
  <c r="G44" i="10"/>
  <c r="R17" i="4"/>
  <c r="S17" i="4" s="1"/>
  <c r="AX54" i="12"/>
  <c r="E61" i="16" s="1"/>
  <c r="T52" i="14"/>
  <c r="U52" i="14" s="1"/>
  <c r="R28" i="14"/>
  <c r="S28" i="14" s="1"/>
  <c r="G378" i="10"/>
  <c r="D378" i="10"/>
  <c r="AB41" i="14"/>
  <c r="AC41" i="14" s="1"/>
  <c r="AX73" i="4"/>
  <c r="P30" i="16" s="1"/>
  <c r="J89" i="12"/>
  <c r="K89" i="12" s="1"/>
  <c r="L93" i="12"/>
  <c r="M93" i="12" s="1"/>
  <c r="L92" i="14"/>
  <c r="M92" i="14" s="1"/>
  <c r="AN18" i="4"/>
  <c r="AO27" i="4"/>
  <c r="D728" i="10"/>
  <c r="AX108" i="14"/>
  <c r="P85" i="16" s="1"/>
  <c r="AX105" i="12"/>
  <c r="P52" i="16" s="1"/>
  <c r="AX44" i="12"/>
  <c r="E51" i="16" s="1"/>
  <c r="AX34" i="4"/>
  <c r="E31" i="16" s="1"/>
  <c r="D29" i="10"/>
  <c r="AX112" i="14"/>
  <c r="P89" i="16" s="1"/>
  <c r="AX38" i="14"/>
  <c r="E75" i="16" s="1"/>
  <c r="C20" i="11"/>
  <c r="E20" i="11" s="1"/>
  <c r="R27" i="4"/>
  <c r="S27" i="4" s="1"/>
  <c r="Z92" i="14"/>
  <c r="AA92" i="14" s="1"/>
  <c r="AX114" i="14"/>
  <c r="P91" i="16" s="1"/>
  <c r="AX50" i="14"/>
  <c r="E87" i="16" s="1"/>
  <c r="AX51" i="12"/>
  <c r="E58" i="16" s="1"/>
  <c r="AX17" i="4"/>
  <c r="E14" i="16" s="1"/>
  <c r="D9" i="10"/>
  <c r="F142" i="19"/>
  <c r="G43" i="10"/>
  <c r="T16" i="4"/>
  <c r="U16" i="4" s="1"/>
  <c r="R16" i="4"/>
  <c r="S16" i="4" s="1"/>
  <c r="G87" i="10"/>
  <c r="Z30" i="4"/>
  <c r="AA30" i="4" s="1"/>
  <c r="G79" i="10"/>
  <c r="Z22" i="4"/>
  <c r="AA22" i="4" s="1"/>
  <c r="G71" i="10"/>
  <c r="Z14" i="4"/>
  <c r="AA14" i="4" s="1"/>
  <c r="J54" i="14"/>
  <c r="K54" i="14" s="1"/>
  <c r="L40" i="14"/>
  <c r="M40" i="14" s="1"/>
  <c r="J30" i="14"/>
  <c r="K30" i="14" s="1"/>
  <c r="G340" i="10"/>
  <c r="R53" i="14"/>
  <c r="S53" i="14" s="1"/>
  <c r="G336" i="10"/>
  <c r="T49" i="14"/>
  <c r="U49" i="14" s="1"/>
  <c r="G332" i="10"/>
  <c r="T45" i="14"/>
  <c r="U45" i="14" s="1"/>
  <c r="G328" i="10"/>
  <c r="D328" i="10"/>
  <c r="T41" i="14"/>
  <c r="U41" i="14" s="1"/>
  <c r="G369" i="10"/>
  <c r="D369" i="10"/>
  <c r="AX70" i="4"/>
  <c r="P27" i="16" s="1"/>
  <c r="AX100" i="12"/>
  <c r="P47" i="16" s="1"/>
  <c r="Z112" i="12"/>
  <c r="AA112" i="12" s="1"/>
  <c r="R92" i="12"/>
  <c r="S92" i="12" s="1"/>
  <c r="AX48" i="14"/>
  <c r="E85" i="16" s="1"/>
  <c r="J112" i="14"/>
  <c r="K112" i="14" s="1"/>
  <c r="G658" i="10"/>
  <c r="J91" i="14"/>
  <c r="K91" i="14" s="1"/>
  <c r="G774" i="10"/>
  <c r="AB107" i="14"/>
  <c r="AC107" i="14" s="1"/>
  <c r="G291" i="10"/>
  <c r="L54" i="14"/>
  <c r="M54" i="14" s="1"/>
  <c r="G277" i="10"/>
  <c r="J40" i="14"/>
  <c r="K40" i="14" s="1"/>
  <c r="D269" i="10"/>
  <c r="J32" i="14"/>
  <c r="G708" i="10"/>
  <c r="T91" i="14"/>
  <c r="G677" i="10"/>
  <c r="J110" i="14"/>
  <c r="K110" i="14" s="1"/>
  <c r="G779" i="10"/>
  <c r="Z112" i="14"/>
  <c r="AA112" i="14" s="1"/>
  <c r="G681" i="10"/>
  <c r="J114" i="14"/>
  <c r="K114" i="14" s="1"/>
  <c r="J93" i="12"/>
  <c r="K93" i="12" s="1"/>
  <c r="AX42" i="12"/>
  <c r="E49" i="16" s="1"/>
  <c r="D156" i="17"/>
  <c r="N121" i="16"/>
  <c r="AW66" i="22"/>
  <c r="P113" i="16" s="1"/>
  <c r="AW73" i="22"/>
  <c r="P120" i="16" s="1"/>
  <c r="AW55" i="22"/>
  <c r="P102" i="16" s="1"/>
  <c r="AW28" i="22"/>
  <c r="E115" i="16" s="1"/>
  <c r="AW61" i="22"/>
  <c r="P108" i="16" s="1"/>
  <c r="A55" i="22"/>
  <c r="AW31" i="22"/>
  <c r="E118" i="16" s="1"/>
  <c r="AB54" i="4"/>
  <c r="AC54" i="4" s="1"/>
  <c r="AO34" i="4"/>
  <c r="AO30" i="4"/>
  <c r="AP27" i="4"/>
  <c r="AO26" i="4"/>
  <c r="AP23" i="4"/>
  <c r="AO22" i="4"/>
  <c r="AO18" i="4"/>
  <c r="AP15" i="4"/>
  <c r="AO14" i="4"/>
  <c r="D153" i="17"/>
  <c r="AW67" i="22"/>
  <c r="P114" i="16" s="1"/>
  <c r="AW62" i="22"/>
  <c r="P109" i="16" s="1"/>
  <c r="AW24" i="22"/>
  <c r="E111" i="16" s="1"/>
  <c r="AW47" i="22"/>
  <c r="P94" i="16" s="1"/>
  <c r="AW59" i="22"/>
  <c r="P106" i="16" s="1"/>
  <c r="AW56" i="22"/>
  <c r="P103" i="16" s="1"/>
  <c r="AB56" i="4"/>
  <c r="AC56" i="4" s="1"/>
  <c r="D511" i="10"/>
  <c r="C298" i="17"/>
  <c r="E298" i="17" s="1"/>
  <c r="F298" i="17" s="1"/>
  <c r="D158" i="17"/>
  <c r="AG75" i="22"/>
  <c r="E57" i="9" s="1"/>
  <c r="N116" i="16"/>
  <c r="AW71" i="22"/>
  <c r="P118" i="16" s="1"/>
  <c r="AW63" i="22"/>
  <c r="P110" i="16" s="1"/>
  <c r="AW34" i="22"/>
  <c r="E121" i="16" s="1"/>
  <c r="AM28" i="4"/>
  <c r="AP21" i="4"/>
  <c r="AM20" i="4"/>
  <c r="AM12" i="4"/>
  <c r="AO51" i="4"/>
  <c r="AM33" i="4"/>
  <c r="AM11" i="4"/>
  <c r="J1234" i="20"/>
  <c r="J1235" i="20" s="1"/>
  <c r="H1686" i="20"/>
  <c r="H1687" i="20" s="1"/>
  <c r="I768" i="20"/>
  <c r="I769" i="20" s="1"/>
  <c r="I1326" i="20"/>
  <c r="I1327" i="20" s="1"/>
  <c r="H1614" i="20"/>
  <c r="H1615" i="20" s="1"/>
  <c r="H1534" i="20"/>
  <c r="H1535" i="20" s="1"/>
  <c r="H1390" i="20"/>
  <c r="H1391" i="20" s="1"/>
  <c r="H1422" i="20"/>
  <c r="H1423" i="20" s="1"/>
  <c r="J1306" i="20"/>
  <c r="J1307" i="20" s="1"/>
  <c r="I1434" i="20"/>
  <c r="I1435" i="20" s="1"/>
  <c r="J1686" i="20"/>
  <c r="J1687" i="20" s="1"/>
  <c r="H1702" i="20"/>
  <c r="H1703" i="20" s="1"/>
  <c r="J1642" i="20"/>
  <c r="J1643" i="20" s="1"/>
  <c r="J762" i="20"/>
  <c r="J763" i="20" s="1"/>
  <c r="I1522" i="20"/>
  <c r="I1523" i="20" s="1"/>
  <c r="H1710" i="20"/>
  <c r="H1711" i="20" s="1"/>
  <c r="I1302" i="20"/>
  <c r="I1303" i="20" s="1"/>
  <c r="J1626" i="20"/>
  <c r="J1627" i="20" s="1"/>
  <c r="I1638" i="20"/>
  <c r="I1639" i="20" s="1"/>
  <c r="I1414" i="20"/>
  <c r="I1415" i="20" s="1"/>
  <c r="J1734" i="20"/>
  <c r="J1735" i="20" s="1"/>
  <c r="I750" i="20"/>
  <c r="I751" i="20" s="1"/>
  <c r="I1298" i="20"/>
  <c r="I1299" i="20" s="1"/>
  <c r="H748" i="20"/>
  <c r="H749" i="20" s="1"/>
  <c r="I624" i="20"/>
  <c r="I625" i="20" s="1"/>
  <c r="H1718" i="20"/>
  <c r="H1719" i="20" s="1"/>
  <c r="H1242" i="20"/>
  <c r="H1243" i="20" s="1"/>
  <c r="J774" i="20"/>
  <c r="J775" i="20" s="1"/>
  <c r="A15" i="4"/>
  <c r="A16" i="4" s="1"/>
  <c r="A17" i="4" s="1"/>
  <c r="G60" i="10"/>
  <c r="T33" i="4"/>
  <c r="U33" i="4" s="1"/>
  <c r="G42" i="10"/>
  <c r="R15" i="4"/>
  <c r="S15" i="4" s="1"/>
  <c r="D42" i="10"/>
  <c r="G40" i="10"/>
  <c r="D40" i="10"/>
  <c r="R13" i="4"/>
  <c r="S13" i="4" s="1"/>
  <c r="C28" i="16"/>
  <c r="AX31" i="4"/>
  <c r="E28" i="16" s="1"/>
  <c r="C13" i="16"/>
  <c r="AX16" i="4"/>
  <c r="E13" i="16" s="1"/>
  <c r="C11" i="16"/>
  <c r="D27" i="16"/>
  <c r="AX30" i="4"/>
  <c r="E27" i="16" s="1"/>
  <c r="D23" i="16"/>
  <c r="AX26" i="4"/>
  <c r="E23" i="16" s="1"/>
  <c r="N17" i="16"/>
  <c r="AX60" i="4"/>
  <c r="P17" i="16" s="1"/>
  <c r="N25" i="16"/>
  <c r="AX68" i="4"/>
  <c r="P25" i="16" s="1"/>
  <c r="N29" i="16"/>
  <c r="AX72" i="4"/>
  <c r="P29" i="16" s="1"/>
  <c r="G480" i="10"/>
  <c r="D480" i="10"/>
  <c r="Z73" i="4"/>
  <c r="AA73" i="4" s="1"/>
  <c r="G478" i="10"/>
  <c r="D478" i="10"/>
  <c r="Z71" i="4"/>
  <c r="AA71" i="4" s="1"/>
  <c r="G476" i="10"/>
  <c r="D476" i="10"/>
  <c r="Z69" i="4"/>
  <c r="AA69" i="4" s="1"/>
  <c r="G474" i="10"/>
  <c r="D474" i="10"/>
  <c r="Z67" i="4"/>
  <c r="AA67" i="4" s="1"/>
  <c r="D472" i="10"/>
  <c r="G470" i="10"/>
  <c r="AB63" i="4"/>
  <c r="AC63" i="4" s="1"/>
  <c r="D470" i="10"/>
  <c r="G466" i="10"/>
  <c r="D466" i="10"/>
  <c r="G464" i="10"/>
  <c r="D464" i="10"/>
  <c r="AB57" i="4"/>
  <c r="AC57" i="4" s="1"/>
  <c r="G462" i="10"/>
  <c r="D462" i="10"/>
  <c r="G460" i="10"/>
  <c r="D460" i="10"/>
  <c r="Z53" i="4"/>
  <c r="AA53" i="4" s="1"/>
  <c r="G441" i="10"/>
  <c r="R64" i="4"/>
  <c r="S64" i="4" s="1"/>
  <c r="T64" i="4"/>
  <c r="U64" i="4" s="1"/>
  <c r="G439" i="10"/>
  <c r="D439" i="10"/>
  <c r="T62" i="4"/>
  <c r="U62" i="4" s="1"/>
  <c r="D435" i="10"/>
  <c r="T58" i="4"/>
  <c r="U58" i="4" s="1"/>
  <c r="D433" i="10"/>
  <c r="T56" i="4"/>
  <c r="U56" i="4" s="1"/>
  <c r="D421" i="10"/>
  <c r="L74" i="4"/>
  <c r="M74" i="4" s="1"/>
  <c r="G419" i="10"/>
  <c r="D419" i="10"/>
  <c r="L72" i="4"/>
  <c r="M72" i="4" s="1"/>
  <c r="G417" i="10"/>
  <c r="D417" i="10"/>
  <c r="J70" i="4"/>
  <c r="K70" i="4" s="1"/>
  <c r="G415" i="10"/>
  <c r="D415" i="10"/>
  <c r="L68" i="4"/>
  <c r="M68" i="4" s="1"/>
  <c r="G413" i="10"/>
  <c r="D413" i="10"/>
  <c r="J66" i="4"/>
  <c r="K66" i="4" s="1"/>
  <c r="G411" i="10"/>
  <c r="D411" i="10"/>
  <c r="J64" i="4"/>
  <c r="K64" i="4" s="1"/>
  <c r="G409" i="10"/>
  <c r="D409" i="10"/>
  <c r="J62" i="4"/>
  <c r="K62" i="4" s="1"/>
  <c r="G407" i="10"/>
  <c r="J60" i="4"/>
  <c r="K60" i="4" s="1"/>
  <c r="D407" i="10"/>
  <c r="G405" i="10"/>
  <c r="J58" i="4"/>
  <c r="K58" i="4" s="1"/>
  <c r="L58" i="4"/>
  <c r="M58" i="4" s="1"/>
  <c r="D405" i="10"/>
  <c r="G403" i="10"/>
  <c r="J56" i="4"/>
  <c r="K56" i="4" s="1"/>
  <c r="L56" i="4"/>
  <c r="M56" i="4" s="1"/>
  <c r="G401" i="10"/>
  <c r="J54" i="4"/>
  <c r="K54" i="4" s="1"/>
  <c r="L54" i="4"/>
  <c r="M54" i="4" s="1"/>
  <c r="D401" i="10"/>
  <c r="G67" i="10"/>
  <c r="D67" i="10"/>
  <c r="G7" i="10"/>
  <c r="J10" i="4"/>
  <c r="G427" i="10"/>
  <c r="R50" i="4"/>
  <c r="S50" i="4" s="1"/>
  <c r="D427" i="10"/>
  <c r="G456" i="10"/>
  <c r="D456" i="10"/>
  <c r="AB49" i="4"/>
  <c r="AC49" i="4" s="1"/>
  <c r="G396" i="10"/>
  <c r="D396" i="10"/>
  <c r="L49" i="4"/>
  <c r="M49" i="4" s="1"/>
  <c r="G425" i="10"/>
  <c r="D425" i="10"/>
  <c r="T48" i="4"/>
  <c r="U48" i="4" s="1"/>
  <c r="G394" i="10"/>
  <c r="D394" i="10"/>
  <c r="J47" i="4"/>
  <c r="K47" i="4" s="1"/>
  <c r="G393" i="10"/>
  <c r="J46" i="4"/>
  <c r="K46" i="4" s="1"/>
  <c r="L46" i="4"/>
  <c r="M46" i="4" s="1"/>
  <c r="D393" i="10"/>
  <c r="G452" i="10"/>
  <c r="Z45" i="4"/>
  <c r="D452" i="10"/>
  <c r="G32" i="10"/>
  <c r="T5" i="4"/>
  <c r="R5" i="4"/>
  <c r="S5" i="4" s="1"/>
  <c r="AM27" i="4"/>
  <c r="AM25" i="4"/>
  <c r="AM15" i="4"/>
  <c r="G6" i="10"/>
  <c r="D6" i="10"/>
  <c r="L9" i="4"/>
  <c r="M9" i="4" s="1"/>
  <c r="G65" i="10"/>
  <c r="D65" i="10"/>
  <c r="AB8" i="4"/>
  <c r="AC8" i="4" s="1"/>
  <c r="G64" i="10"/>
  <c r="AB7" i="4"/>
  <c r="G4" i="10"/>
  <c r="D4" i="10"/>
  <c r="G63" i="10"/>
  <c r="D63" i="10"/>
  <c r="AB6" i="4"/>
  <c r="G3" i="10"/>
  <c r="D3" i="10"/>
  <c r="G459" i="10"/>
  <c r="AB52" i="4"/>
  <c r="AC52" i="4" s="1"/>
  <c r="D459" i="10"/>
  <c r="Z52" i="4"/>
  <c r="AA52" i="4" s="1"/>
  <c r="AN15" i="4"/>
  <c r="AN25" i="4"/>
  <c r="T54" i="4"/>
  <c r="U54" i="4" s="1"/>
  <c r="P7" i="16"/>
  <c r="AX28" i="4"/>
  <c r="E25" i="16" s="1"/>
  <c r="T50" i="4"/>
  <c r="U50" i="4" s="1"/>
  <c r="AB55" i="4"/>
  <c r="AC55" i="4" s="1"/>
  <c r="L47" i="4"/>
  <c r="M47" i="4" s="1"/>
  <c r="J49" i="4"/>
  <c r="K49" i="4" s="1"/>
  <c r="L62" i="4"/>
  <c r="M62" i="4" s="1"/>
  <c r="L66" i="4"/>
  <c r="M66" i="4" s="1"/>
  <c r="AB53" i="4"/>
  <c r="AC53" i="4" s="1"/>
  <c r="AB69" i="4"/>
  <c r="AC69" i="4" s="1"/>
  <c r="AI69" i="4" s="1"/>
  <c r="AB73" i="4"/>
  <c r="AC73" i="4" s="1"/>
  <c r="AI73" i="4" s="1"/>
  <c r="AX61" i="4"/>
  <c r="P18" i="16" s="1"/>
  <c r="AX27" i="4"/>
  <c r="E24" i="16" s="1"/>
  <c r="AX33" i="4"/>
  <c r="E30" i="16" s="1"/>
  <c r="Z8" i="4"/>
  <c r="AA8" i="4" s="1"/>
  <c r="T13" i="4"/>
  <c r="U13" i="4" s="1"/>
  <c r="G30" i="10"/>
  <c r="J33" i="4"/>
  <c r="K33" i="4" s="1"/>
  <c r="AN33" i="4"/>
  <c r="G28" i="10"/>
  <c r="D28" i="10"/>
  <c r="L31" i="4"/>
  <c r="M31" i="4" s="1"/>
  <c r="J31" i="4"/>
  <c r="K31" i="4" s="1"/>
  <c r="G26" i="10"/>
  <c r="AN29" i="4"/>
  <c r="G24" i="10"/>
  <c r="L27" i="4"/>
  <c r="M27" i="4" s="1"/>
  <c r="J27" i="4"/>
  <c r="K27" i="4" s="1"/>
  <c r="G20" i="10"/>
  <c r="J23" i="4"/>
  <c r="K23" i="4" s="1"/>
  <c r="AN23" i="4"/>
  <c r="G18" i="10"/>
  <c r="D18" i="10"/>
  <c r="AN21" i="4"/>
  <c r="G16" i="10"/>
  <c r="D16" i="10"/>
  <c r="L19" i="4"/>
  <c r="M19" i="4" s="1"/>
  <c r="J19" i="4"/>
  <c r="G14" i="10"/>
  <c r="AN17" i="4"/>
  <c r="J15" i="4"/>
  <c r="K15" i="4" s="1"/>
  <c r="G10" i="10"/>
  <c r="AN13" i="4"/>
  <c r="G8" i="10"/>
  <c r="J11" i="4"/>
  <c r="K11" i="4" s="1"/>
  <c r="C9" i="16"/>
  <c r="N6" i="16"/>
  <c r="D403" i="10"/>
  <c r="N31" i="16"/>
  <c r="AX74" i="4"/>
  <c r="P31" i="16" s="1"/>
  <c r="J174" i="20"/>
  <c r="J175" i="20" s="1"/>
  <c r="H174" i="20"/>
  <c r="H175" i="20" s="1"/>
  <c r="I962" i="20"/>
  <c r="I963" i="20" s="1"/>
  <c r="J962" i="20"/>
  <c r="J963" i="20" s="1"/>
  <c r="D1083" i="20"/>
  <c r="H1082" i="20"/>
  <c r="H1083" i="20" s="1"/>
  <c r="L60" i="4"/>
  <c r="M60" i="4" s="1"/>
  <c r="G29" i="10"/>
  <c r="G59" i="10"/>
  <c r="D59" i="10"/>
  <c r="G41" i="10"/>
  <c r="R14" i="4"/>
  <c r="S14" i="4" s="1"/>
  <c r="G39" i="10"/>
  <c r="T12" i="4"/>
  <c r="U12" i="4" s="1"/>
  <c r="G446" i="10"/>
  <c r="D446" i="10"/>
  <c r="G444" i="10"/>
  <c r="D444" i="10"/>
  <c r="G442" i="10"/>
  <c r="D442" i="10"/>
  <c r="G408" i="10"/>
  <c r="J61" i="4"/>
  <c r="K61" i="4" s="1"/>
  <c r="G406" i="10"/>
  <c r="J59" i="4"/>
  <c r="K59" i="4" s="1"/>
  <c r="D406" i="10"/>
  <c r="G404" i="10"/>
  <c r="J57" i="4"/>
  <c r="K57" i="4" s="1"/>
  <c r="D404" i="10"/>
  <c r="G402" i="10"/>
  <c r="J55" i="4"/>
  <c r="K55" i="4" s="1"/>
  <c r="D402" i="10"/>
  <c r="G400" i="10"/>
  <c r="J53" i="4"/>
  <c r="K53" i="4" s="1"/>
  <c r="G457" i="10"/>
  <c r="Z50" i="4"/>
  <c r="AA50" i="4" s="1"/>
  <c r="D457" i="10"/>
  <c r="AP52" i="4"/>
  <c r="AP6" i="4"/>
  <c r="V45" i="4" s="1"/>
  <c r="AN7" i="4"/>
  <c r="J7" i="4"/>
  <c r="K7" i="4" s="1"/>
  <c r="L7" i="4"/>
  <c r="M7" i="4" s="1"/>
  <c r="AH72" i="22"/>
  <c r="AJ72" i="22" s="1"/>
  <c r="AK72" i="22" s="1"/>
  <c r="AI70" i="22"/>
  <c r="AD27" i="22"/>
  <c r="AF27" i="22" s="1"/>
  <c r="AG27" i="22" s="1"/>
  <c r="AI59" i="22"/>
  <c r="AD61" i="22"/>
  <c r="AF61" i="22" s="1"/>
  <c r="AG61" i="22" s="1"/>
  <c r="AE74" i="22"/>
  <c r="AE65" i="22"/>
  <c r="AI64" i="22"/>
  <c r="AI57" i="22"/>
  <c r="AH56" i="22"/>
  <c r="AJ56" i="22" s="1"/>
  <c r="AK56" i="22" s="1"/>
  <c r="AH55" i="22"/>
  <c r="AJ55" i="22" s="1"/>
  <c r="AK55" i="22" s="1"/>
  <c r="AE53" i="22"/>
  <c r="AE60" i="22"/>
  <c r="AE17" i="22"/>
  <c r="AH61" i="22"/>
  <c r="AJ61" i="22" s="1"/>
  <c r="AK61" i="22" s="1"/>
  <c r="AI73" i="22"/>
  <c r="AD17" i="22"/>
  <c r="AF17" i="22" s="1"/>
  <c r="AG17" i="22" s="1"/>
  <c r="AE25" i="22"/>
  <c r="AI61" i="22"/>
  <c r="AD60" i="22"/>
  <c r="AF60" i="22" s="1"/>
  <c r="AG60" i="22" s="1"/>
  <c r="AD22" i="22"/>
  <c r="AF22" i="22" s="1"/>
  <c r="AG22" i="22" s="1"/>
  <c r="AI69" i="22"/>
  <c r="AE59" i="22"/>
  <c r="AH73" i="22"/>
  <c r="AJ73" i="22" s="1"/>
  <c r="AK73" i="22" s="1"/>
  <c r="AD58" i="22"/>
  <c r="AF58" i="22" s="1"/>
  <c r="AG58" i="22" s="1"/>
  <c r="AD31" i="22"/>
  <c r="AF31" i="22" s="1"/>
  <c r="AG31" i="22" s="1"/>
  <c r="AI19" i="22"/>
  <c r="AE31" i="22"/>
  <c r="AD55" i="22"/>
  <c r="AF55" i="22" s="1"/>
  <c r="AG55" i="22" s="1"/>
  <c r="AE22" i="22"/>
  <c r="AD57" i="22"/>
  <c r="AF57" i="22" s="1"/>
  <c r="AG57" i="22" s="1"/>
  <c r="AE51" i="22"/>
  <c r="AH22" i="22"/>
  <c r="AJ22" i="22" s="1"/>
  <c r="AK22" i="22" s="1"/>
  <c r="AD62" i="22"/>
  <c r="AF62" i="22" s="1"/>
  <c r="AG62" i="22" s="1"/>
  <c r="AE47" i="22"/>
  <c r="AH34" i="22"/>
  <c r="AJ34" i="22" s="1"/>
  <c r="AK34" i="22" s="1"/>
  <c r="AE32" i="22"/>
  <c r="AD45" i="22"/>
  <c r="AF45" i="22" s="1"/>
  <c r="AG45" i="22" s="1"/>
  <c r="AI20" i="22"/>
  <c r="AD59" i="22"/>
  <c r="AF59" i="22" s="1"/>
  <c r="AG59" i="22" s="1"/>
  <c r="AD20" i="22"/>
  <c r="AF20" i="22" s="1"/>
  <c r="AG20" i="22" s="1"/>
  <c r="AI56" i="22"/>
  <c r="AD6" i="22"/>
  <c r="AF6" i="22" s="1"/>
  <c r="AG6" i="22" s="1"/>
  <c r="AE57" i="22"/>
  <c r="AI22" i="22"/>
  <c r="AE20" i="22"/>
  <c r="AE58" i="22"/>
  <c r="AH64" i="22"/>
  <c r="AJ64" i="22" s="1"/>
  <c r="AK64" i="22" s="1"/>
  <c r="AI48" i="22"/>
  <c r="AE62" i="22"/>
  <c r="AI55" i="22"/>
  <c r="AD65" i="22"/>
  <c r="AF65" i="22" s="1"/>
  <c r="AG65" i="22" s="1"/>
  <c r="AH19" i="22"/>
  <c r="AJ19" i="22" s="1"/>
  <c r="AK19" i="22" s="1"/>
  <c r="AD34" i="22"/>
  <c r="AF34" i="22" s="1"/>
  <c r="AG34" i="22" s="1"/>
  <c r="AI72" i="22"/>
  <c r="G27" i="10"/>
  <c r="D27" i="10"/>
  <c r="G23" i="10"/>
  <c r="L26" i="4"/>
  <c r="M26" i="4" s="1"/>
  <c r="G19" i="10"/>
  <c r="J22" i="4"/>
  <c r="K22" i="4" s="1"/>
  <c r="D19" i="10"/>
  <c r="G17" i="10"/>
  <c r="J20" i="4"/>
  <c r="K20" i="4" s="1"/>
  <c r="L20" i="4"/>
  <c r="M20" i="4" s="1"/>
  <c r="G13" i="10"/>
  <c r="L16" i="4"/>
  <c r="M16" i="4" s="1"/>
  <c r="G11" i="10"/>
  <c r="D11" i="10"/>
  <c r="G9" i="10"/>
  <c r="L12" i="4"/>
  <c r="M12" i="4" s="1"/>
  <c r="G61" i="10"/>
  <c r="R34" i="4"/>
  <c r="S34" i="4" s="1"/>
  <c r="G58" i="10"/>
  <c r="D58" i="10"/>
  <c r="G56" i="10"/>
  <c r="D56" i="10"/>
  <c r="T29" i="4"/>
  <c r="U29" i="4" s="1"/>
  <c r="G50" i="10"/>
  <c r="D50" i="10"/>
  <c r="T23" i="4"/>
  <c r="U23" i="4" s="1"/>
  <c r="G90" i="10"/>
  <c r="Z33" i="4"/>
  <c r="AA33" i="4" s="1"/>
  <c r="D90" i="10"/>
  <c r="G88" i="10"/>
  <c r="AB31" i="4"/>
  <c r="AC31" i="4" s="1"/>
  <c r="G86" i="10"/>
  <c r="Z29" i="4"/>
  <c r="AA29" i="4" s="1"/>
  <c r="D86" i="10"/>
  <c r="G84" i="10"/>
  <c r="AB27" i="4"/>
  <c r="AC27" i="4" s="1"/>
  <c r="G82" i="10"/>
  <c r="Z25" i="4"/>
  <c r="AA25" i="4" s="1"/>
  <c r="D82" i="10"/>
  <c r="G80" i="10"/>
  <c r="Z23" i="4"/>
  <c r="AA23" i="4" s="1"/>
  <c r="AB23" i="4"/>
  <c r="AC23" i="4" s="1"/>
  <c r="G78" i="10"/>
  <c r="D78" i="10"/>
  <c r="G76" i="10"/>
  <c r="Z19" i="4"/>
  <c r="AB19" i="4"/>
  <c r="AC19" i="4" s="1"/>
  <c r="G74" i="10"/>
  <c r="D74" i="10"/>
  <c r="G72" i="10"/>
  <c r="Z15" i="4"/>
  <c r="AA15" i="4" s="1"/>
  <c r="AB15" i="4"/>
  <c r="G70" i="10"/>
  <c r="D70" i="10"/>
  <c r="G68" i="10"/>
  <c r="Z11" i="4"/>
  <c r="AB11" i="4"/>
  <c r="AC11" i="4" s="1"/>
  <c r="AX32" i="4"/>
  <c r="E29" i="16" s="1"/>
  <c r="C29" i="16"/>
  <c r="C10" i="16"/>
  <c r="C48" i="16"/>
  <c r="AX41" i="12"/>
  <c r="E48" i="16" s="1"/>
  <c r="F33" i="18"/>
  <c r="G12" i="10"/>
  <c r="D12" i="10"/>
  <c r="G289" i="10"/>
  <c r="L52" i="14"/>
  <c r="M52" i="14" s="1"/>
  <c r="G287" i="10"/>
  <c r="J50" i="14"/>
  <c r="K50" i="14" s="1"/>
  <c r="G285" i="10"/>
  <c r="D285" i="10"/>
  <c r="L48" i="14"/>
  <c r="M48" i="14" s="1"/>
  <c r="G283" i="10"/>
  <c r="D283" i="10"/>
  <c r="J46" i="14"/>
  <c r="K46" i="14" s="1"/>
  <c r="G281" i="10"/>
  <c r="D281" i="10"/>
  <c r="L44" i="14"/>
  <c r="M44" i="14" s="1"/>
  <c r="G276" i="10"/>
  <c r="J39" i="14"/>
  <c r="K39" i="14" s="1"/>
  <c r="G274" i="10"/>
  <c r="L37" i="14"/>
  <c r="M37" i="14" s="1"/>
  <c r="G272" i="10"/>
  <c r="J35" i="14"/>
  <c r="K35" i="14" s="1"/>
  <c r="G374" i="10"/>
  <c r="D374" i="10"/>
  <c r="Z37" i="14"/>
  <c r="AA37" i="14" s="1"/>
  <c r="G368" i="10"/>
  <c r="AB31" i="14"/>
  <c r="AC31" i="14" s="1"/>
  <c r="G364" i="10"/>
  <c r="AB27" i="14"/>
  <c r="A55" i="4"/>
  <c r="T109" i="12"/>
  <c r="U109" i="12" s="1"/>
  <c r="J110" i="12"/>
  <c r="K110" i="12" s="1"/>
  <c r="D528" i="10"/>
  <c r="L113" i="12"/>
  <c r="M113" i="12" s="1"/>
  <c r="G712" i="10"/>
  <c r="D712" i="10"/>
  <c r="T95" i="14"/>
  <c r="R95" i="14"/>
  <c r="S95" i="14" s="1"/>
  <c r="G667" i="10"/>
  <c r="D667" i="10"/>
  <c r="G769" i="10"/>
  <c r="Z102" i="14"/>
  <c r="G57" i="10"/>
  <c r="D57" i="10"/>
  <c r="G55" i="10"/>
  <c r="D55" i="10"/>
  <c r="AX20" i="4"/>
  <c r="E17" i="16" s="1"/>
  <c r="L50" i="14"/>
  <c r="M50" i="14" s="1"/>
  <c r="J48" i="14"/>
  <c r="K48" i="14" s="1"/>
  <c r="AB37" i="14"/>
  <c r="AC37" i="14" s="1"/>
  <c r="G286" i="10"/>
  <c r="D286" i="10"/>
  <c r="G284" i="10"/>
  <c r="D284" i="10"/>
  <c r="J47" i="14"/>
  <c r="K47" i="14" s="1"/>
  <c r="G282" i="10"/>
  <c r="D282" i="10"/>
  <c r="G271" i="10"/>
  <c r="D271" i="10"/>
  <c r="J34" i="14"/>
  <c r="G268" i="10"/>
  <c r="J31" i="14"/>
  <c r="K31" i="14" s="1"/>
  <c r="G329" i="10"/>
  <c r="R42" i="14"/>
  <c r="S42" i="14" s="1"/>
  <c r="G325" i="10"/>
  <c r="R38" i="14"/>
  <c r="S38" i="14" s="1"/>
  <c r="T32" i="14"/>
  <c r="U32" i="14" s="1"/>
  <c r="R32" i="14"/>
  <c r="S32" i="14" s="1"/>
  <c r="G390" i="10"/>
  <c r="Z53" i="14"/>
  <c r="AA53" i="14" s="1"/>
  <c r="G388" i="10"/>
  <c r="Z51" i="14"/>
  <c r="AA51" i="14" s="1"/>
  <c r="G386" i="10"/>
  <c r="Z49" i="14"/>
  <c r="AA49" i="14" s="1"/>
  <c r="G384" i="10"/>
  <c r="Z47" i="14"/>
  <c r="AA47" i="14" s="1"/>
  <c r="G382" i="10"/>
  <c r="Z45" i="14"/>
  <c r="AA45" i="14" s="1"/>
  <c r="G380" i="10"/>
  <c r="Z43" i="14"/>
  <c r="AA43" i="14" s="1"/>
  <c r="G375" i="10"/>
  <c r="Z38" i="14"/>
  <c r="AA38" i="14" s="1"/>
  <c r="AX55" i="4"/>
  <c r="P12" i="16" s="1"/>
  <c r="J111" i="12"/>
  <c r="K111" i="12" s="1"/>
  <c r="T112" i="12"/>
  <c r="U112" i="12" s="1"/>
  <c r="R110" i="12"/>
  <c r="S110" i="12" s="1"/>
  <c r="D580" i="10"/>
  <c r="R93" i="12"/>
  <c r="S93" i="12" s="1"/>
  <c r="R87" i="12"/>
  <c r="S87" i="12" s="1"/>
  <c r="R91" i="12"/>
  <c r="C80" i="16"/>
  <c r="J105" i="14"/>
  <c r="K105" i="14" s="1"/>
  <c r="G706" i="10"/>
  <c r="T89" i="14"/>
  <c r="U89" i="14" s="1"/>
  <c r="G662" i="10"/>
  <c r="D662" i="10"/>
  <c r="L95" i="14"/>
  <c r="G762" i="10"/>
  <c r="D762" i="10"/>
  <c r="AB95" i="14"/>
  <c r="G713" i="10"/>
  <c r="R96" i="14"/>
  <c r="S96" i="14" s="1"/>
  <c r="AX96" i="14"/>
  <c r="P73" i="16" s="1"/>
  <c r="G764" i="10"/>
  <c r="Z97" i="14"/>
  <c r="G722" i="10"/>
  <c r="D722" i="10"/>
  <c r="O88" i="16"/>
  <c r="AX111" i="14"/>
  <c r="P88" i="16" s="1"/>
  <c r="G729" i="10"/>
  <c r="R112" i="14"/>
  <c r="S112" i="14" s="1"/>
  <c r="G731" i="10"/>
  <c r="R114" i="14"/>
  <c r="S114" i="14" s="1"/>
  <c r="AX37" i="12"/>
  <c r="E44" i="16" s="1"/>
  <c r="AX38" i="12"/>
  <c r="E45" i="16" s="1"/>
  <c r="AX43" i="12"/>
  <c r="E50" i="16" s="1"/>
  <c r="AX45" i="12"/>
  <c r="E52" i="16" s="1"/>
  <c r="AX46" i="12"/>
  <c r="E53" i="16" s="1"/>
  <c r="J92" i="12"/>
  <c r="K92" i="12" s="1"/>
  <c r="L92" i="12"/>
  <c r="M92" i="12" s="1"/>
  <c r="D506" i="10"/>
  <c r="D509" i="10"/>
  <c r="D152" i="17"/>
  <c r="D304" i="17"/>
  <c r="C303" i="17"/>
  <c r="E303" i="17" s="1"/>
  <c r="F303" i="17" s="1"/>
  <c r="D311" i="17"/>
  <c r="D314" i="17"/>
  <c r="AW45" i="22"/>
  <c r="P92" i="16" s="1"/>
  <c r="AW68" i="22"/>
  <c r="P115" i="16" s="1"/>
  <c r="AW72" i="22"/>
  <c r="P119" i="16" s="1"/>
  <c r="AW70" i="22"/>
  <c r="P117" i="16" s="1"/>
  <c r="N100" i="16"/>
  <c r="N98" i="16"/>
  <c r="N96" i="16"/>
  <c r="AW30" i="22"/>
  <c r="E117" i="16" s="1"/>
  <c r="C159" i="17"/>
  <c r="E159" i="17" s="1"/>
  <c r="F159" i="17" s="1"/>
  <c r="D151" i="17"/>
  <c r="C151" i="17"/>
  <c r="E151" i="17" s="1"/>
  <c r="F151" i="17" s="1"/>
  <c r="G451" i="10"/>
  <c r="R74" i="4"/>
  <c r="S74" i="4" s="1"/>
  <c r="T74" i="4"/>
  <c r="U74" i="4" s="1"/>
  <c r="G449" i="10"/>
  <c r="R72" i="4"/>
  <c r="S72" i="4" s="1"/>
  <c r="G447" i="10"/>
  <c r="R70" i="4"/>
  <c r="S70" i="4" s="1"/>
  <c r="T70" i="4"/>
  <c r="U70" i="4" s="1"/>
  <c r="G436" i="10"/>
  <c r="R59" i="4"/>
  <c r="S59" i="4" s="1"/>
  <c r="G434" i="10"/>
  <c r="R57" i="4"/>
  <c r="S57" i="4" s="1"/>
  <c r="G432" i="10"/>
  <c r="R55" i="4"/>
  <c r="S55" i="4" s="1"/>
  <c r="G412" i="10"/>
  <c r="J65" i="4"/>
  <c r="K65" i="4" s="1"/>
  <c r="R46" i="12"/>
  <c r="S46" i="12" s="1"/>
  <c r="Z54" i="12"/>
  <c r="AA54" i="12" s="1"/>
  <c r="Z52" i="12"/>
  <c r="AA52" i="12" s="1"/>
  <c r="Z50" i="12"/>
  <c r="AA50" i="12" s="1"/>
  <c r="Z48" i="12"/>
  <c r="AA48" i="12" s="1"/>
  <c r="Z45" i="12"/>
  <c r="AA45" i="12" s="1"/>
  <c r="Z42" i="12"/>
  <c r="AA42" i="12" s="1"/>
  <c r="Z40" i="12"/>
  <c r="AA40" i="12" s="1"/>
  <c r="Z38" i="12"/>
  <c r="AA38" i="12" s="1"/>
  <c r="B183" i="23"/>
  <c r="H183" i="23" s="1"/>
  <c r="B149" i="23"/>
  <c r="I149" i="23" s="1"/>
  <c r="T57" i="4"/>
  <c r="U57" i="4" s="1"/>
  <c r="AI57" i="4" s="1"/>
  <c r="G472" i="10"/>
  <c r="AB65" i="4"/>
  <c r="AC65" i="4" s="1"/>
  <c r="AJ65" i="4" s="1"/>
  <c r="G468" i="10"/>
  <c r="AB61" i="4"/>
  <c r="AC61" i="4" s="1"/>
  <c r="G450" i="10"/>
  <c r="R73" i="4"/>
  <c r="S73" i="4" s="1"/>
  <c r="G448" i="10"/>
  <c r="R71" i="4"/>
  <c r="S71" i="4" s="1"/>
  <c r="G437" i="10"/>
  <c r="R60" i="4"/>
  <c r="S60" i="4" s="1"/>
  <c r="G435" i="10"/>
  <c r="R58" i="4"/>
  <c r="S58" i="4" s="1"/>
  <c r="G433" i="10"/>
  <c r="R56" i="4"/>
  <c r="S56" i="4" s="1"/>
  <c r="G431" i="10"/>
  <c r="R54" i="4"/>
  <c r="S54" i="4" s="1"/>
  <c r="G421" i="10"/>
  <c r="J74" i="4"/>
  <c r="K74" i="4" s="1"/>
  <c r="R40" i="12"/>
  <c r="S40" i="12" s="1"/>
  <c r="R47" i="12"/>
  <c r="S47" i="12" s="1"/>
  <c r="Z53" i="12"/>
  <c r="AA53" i="12" s="1"/>
  <c r="Z51" i="12"/>
  <c r="AA51" i="12" s="1"/>
  <c r="Z49" i="12"/>
  <c r="AA49" i="12" s="1"/>
  <c r="Z46" i="12"/>
  <c r="AA46" i="12" s="1"/>
  <c r="Z43" i="12"/>
  <c r="AA43" i="12" s="1"/>
  <c r="Z41" i="12"/>
  <c r="AA41" i="12" s="1"/>
  <c r="Z39" i="12"/>
  <c r="AA39" i="12" s="1"/>
  <c r="Z37" i="12"/>
  <c r="G426" i="10"/>
  <c r="R49" i="4"/>
  <c r="S49" i="4" s="1"/>
  <c r="AW48" i="22"/>
  <c r="P95" i="16" s="1"/>
  <c r="AW50" i="22"/>
  <c r="P97" i="16" s="1"/>
  <c r="AW52" i="22"/>
  <c r="P99" i="16" s="1"/>
  <c r="AW54" i="22"/>
  <c r="P101" i="16" s="1"/>
  <c r="J52" i="4"/>
  <c r="K52" i="4" s="1"/>
  <c r="L52" i="4"/>
  <c r="M52" i="4" s="1"/>
  <c r="AO52" i="4"/>
  <c r="AP8" i="4"/>
  <c r="V47" i="4" s="1"/>
  <c r="AE67" i="22"/>
  <c r="H62" i="20"/>
  <c r="H63" i="20" s="1"/>
  <c r="AM7" i="4"/>
  <c r="AE64" i="22"/>
  <c r="AE45" i="22"/>
  <c r="R88" i="14"/>
  <c r="AX65" i="14"/>
  <c r="P62" i="16" s="1"/>
  <c r="D657" i="10"/>
  <c r="Z36" i="14"/>
  <c r="AA36" i="14" s="1"/>
  <c r="Z32" i="14"/>
  <c r="AA32" i="14" s="1"/>
  <c r="AB28" i="14"/>
  <c r="AC28" i="14" s="1"/>
  <c r="D365" i="10"/>
  <c r="AO30" i="14"/>
  <c r="D319" i="10"/>
  <c r="AO36" i="14"/>
  <c r="R30" i="14"/>
  <c r="S30" i="14" s="1"/>
  <c r="AN33" i="14"/>
  <c r="J5" i="14"/>
  <c r="AX32" i="14"/>
  <c r="E69" i="16" s="1"/>
  <c r="D553" i="10"/>
  <c r="AX35" i="12"/>
  <c r="E42" i="16" s="1"/>
  <c r="Z27" i="12"/>
  <c r="AA27" i="12" s="1"/>
  <c r="T47" i="4"/>
  <c r="U47" i="4" s="1"/>
  <c r="J1082" i="20"/>
  <c r="J1083" i="20" s="1"/>
  <c r="AO10" i="4"/>
  <c r="AO6" i="4"/>
  <c r="N45" i="4" s="1"/>
  <c r="T7" i="4"/>
  <c r="U7" i="4" s="1"/>
  <c r="R6" i="4"/>
  <c r="S6" i="4" s="1"/>
  <c r="T8" i="4"/>
  <c r="U8" i="4" s="1"/>
  <c r="R8" i="4"/>
  <c r="S8" i="4" s="1"/>
  <c r="D37" i="10"/>
  <c r="D35" i="10"/>
  <c r="L5" i="4"/>
  <c r="D42" i="16"/>
  <c r="Z35" i="12"/>
  <c r="AA35" i="12" s="1"/>
  <c r="R35" i="12"/>
  <c r="S35" i="12" s="1"/>
  <c r="AM29" i="4"/>
  <c r="AM26" i="4"/>
  <c r="AM28" i="12"/>
  <c r="D61" i="10"/>
  <c r="D23" i="10"/>
  <c r="D25" i="10"/>
  <c r="R11" i="4"/>
  <c r="S11" i="4" s="1"/>
  <c r="D38" i="10"/>
  <c r="L11" i="4"/>
  <c r="M11" i="4" s="1"/>
  <c r="C45" i="16"/>
  <c r="C53" i="16"/>
  <c r="AX19" i="4"/>
  <c r="E16" i="16" s="1"/>
  <c r="T19" i="4"/>
  <c r="U19" i="4" s="1"/>
  <c r="R25" i="4"/>
  <c r="S25" i="4" s="1"/>
  <c r="R19" i="4"/>
  <c r="S19" i="4" s="1"/>
  <c r="D69" i="10"/>
  <c r="D73" i="10"/>
  <c r="D77" i="10"/>
  <c r="D81" i="10"/>
  <c r="D85" i="10"/>
  <c r="D89" i="10"/>
  <c r="T22" i="4"/>
  <c r="U22" i="4" s="1"/>
  <c r="L24" i="4"/>
  <c r="M24" i="4" s="1"/>
  <c r="L28" i="4"/>
  <c r="M28" i="4" s="1"/>
  <c r="F34" i="18"/>
  <c r="AO50" i="14"/>
  <c r="J34" i="4"/>
  <c r="K34" i="4" s="1"/>
  <c r="J30" i="4"/>
  <c r="K30" i="4" s="1"/>
  <c r="J28" i="4"/>
  <c r="K28" i="4" s="1"/>
  <c r="J26" i="4"/>
  <c r="K26" i="4" s="1"/>
  <c r="J24" i="4"/>
  <c r="K24" i="4" s="1"/>
  <c r="J18" i="4"/>
  <c r="J13" i="4"/>
  <c r="K13" i="4" s="1"/>
  <c r="L33" i="4"/>
  <c r="M33" i="4" s="1"/>
  <c r="L25" i="4"/>
  <c r="M25" i="4" s="1"/>
  <c r="L21" i="4"/>
  <c r="M21" i="4" s="1"/>
  <c r="L17" i="4"/>
  <c r="R21" i="4"/>
  <c r="S21" i="4" s="1"/>
  <c r="T25" i="4"/>
  <c r="U25" i="4" s="1"/>
  <c r="AB12" i="4"/>
  <c r="AC12" i="4" s="1"/>
  <c r="AB14" i="4"/>
  <c r="AC14" i="4" s="1"/>
  <c r="AB16" i="4"/>
  <c r="AC16" i="4" s="1"/>
  <c r="AB18" i="4"/>
  <c r="AC18" i="4" s="1"/>
  <c r="AB20" i="4"/>
  <c r="AC20" i="4" s="1"/>
  <c r="AB22" i="4"/>
  <c r="AC22" i="4" s="1"/>
  <c r="AB24" i="4"/>
  <c r="AC24" i="4" s="1"/>
  <c r="AB26" i="4"/>
  <c r="AC26" i="4" s="1"/>
  <c r="AB28" i="4"/>
  <c r="AC28" i="4" s="1"/>
  <c r="AB30" i="4"/>
  <c r="AC30" i="4" s="1"/>
  <c r="AB32" i="4"/>
  <c r="AC32" i="4" s="1"/>
  <c r="AB34" i="4"/>
  <c r="AC34" i="4" s="1"/>
  <c r="T17" i="4"/>
  <c r="D44" i="10"/>
  <c r="D46" i="10"/>
  <c r="D10" i="10"/>
  <c r="L34" i="4"/>
  <c r="M34" i="4" s="1"/>
  <c r="D30" i="10"/>
  <c r="D22" i="10"/>
  <c r="D21" i="10"/>
  <c r="D20" i="10"/>
  <c r="L18" i="4"/>
  <c r="M18" i="4" s="1"/>
  <c r="D14" i="10"/>
  <c r="T34" i="4"/>
  <c r="U34" i="4" s="1"/>
  <c r="D48" i="10"/>
  <c r="D91" i="10"/>
  <c r="D68" i="10"/>
  <c r="C17" i="16"/>
  <c r="C44" i="16"/>
  <c r="C52" i="16"/>
  <c r="AX25" i="4"/>
  <c r="E22" i="16" s="1"/>
  <c r="E6" i="16"/>
  <c r="AX27" i="12"/>
  <c r="E34" i="16" s="1"/>
  <c r="AX32" i="12"/>
  <c r="E39" i="16" s="1"/>
  <c r="J52" i="14"/>
  <c r="K52" i="14" s="1"/>
  <c r="J51" i="14"/>
  <c r="K51" i="14" s="1"/>
  <c r="L43" i="14"/>
  <c r="M43" i="14" s="1"/>
  <c r="L42" i="14"/>
  <c r="M42" i="14" s="1"/>
  <c r="L39" i="14"/>
  <c r="M39" i="14" s="1"/>
  <c r="L38" i="14"/>
  <c r="M38" i="14" s="1"/>
  <c r="L33" i="14"/>
  <c r="L32" i="14"/>
  <c r="M32" i="14" s="1"/>
  <c r="L31" i="14"/>
  <c r="L30" i="14"/>
  <c r="R5" i="14"/>
  <c r="S5" i="14" s="1"/>
  <c r="T54" i="14"/>
  <c r="U54" i="14" s="1"/>
  <c r="T53" i="14"/>
  <c r="U53" i="14" s="1"/>
  <c r="R52" i="14"/>
  <c r="S52" i="14" s="1"/>
  <c r="R51" i="14"/>
  <c r="S51" i="14" s="1"/>
  <c r="R50" i="14"/>
  <c r="S50" i="14" s="1"/>
  <c r="R49" i="14"/>
  <c r="S49" i="14" s="1"/>
  <c r="T48" i="14"/>
  <c r="U48" i="14" s="1"/>
  <c r="T47" i="14"/>
  <c r="U47" i="14" s="1"/>
  <c r="R46" i="14"/>
  <c r="S46" i="14" s="1"/>
  <c r="R45" i="14"/>
  <c r="S45" i="14" s="1"/>
  <c r="T44" i="14"/>
  <c r="U44" i="14" s="1"/>
  <c r="T42" i="14"/>
  <c r="U42" i="14" s="1"/>
  <c r="R40" i="14"/>
  <c r="S40" i="14" s="1"/>
  <c r="T38" i="14"/>
  <c r="U38" i="14" s="1"/>
  <c r="T36" i="14"/>
  <c r="U36" i="14" s="1"/>
  <c r="T31" i="14"/>
  <c r="U31" i="14" s="1"/>
  <c r="AB54" i="14"/>
  <c r="AC54" i="14" s="1"/>
  <c r="AB53" i="14"/>
  <c r="AC53" i="14" s="1"/>
  <c r="AB52" i="14"/>
  <c r="AC52" i="14" s="1"/>
  <c r="AB51" i="14"/>
  <c r="AC51" i="14" s="1"/>
  <c r="AB50" i="14"/>
  <c r="AC50" i="14" s="1"/>
  <c r="AB49" i="14"/>
  <c r="AC49" i="14" s="1"/>
  <c r="AB48" i="14"/>
  <c r="AC48" i="14" s="1"/>
  <c r="AB47" i="14"/>
  <c r="AC47" i="14" s="1"/>
  <c r="AB46" i="14"/>
  <c r="AC46" i="14" s="1"/>
  <c r="AB45" i="14"/>
  <c r="AC45" i="14" s="1"/>
  <c r="AB44" i="14"/>
  <c r="AC44" i="14" s="1"/>
  <c r="AB43" i="14"/>
  <c r="AC43" i="14" s="1"/>
  <c r="AB40" i="14"/>
  <c r="AC40" i="14" s="1"/>
  <c r="AB39" i="14"/>
  <c r="AC39" i="14" s="1"/>
  <c r="AB36" i="14"/>
  <c r="AC36" i="14" s="1"/>
  <c r="AB35" i="14"/>
  <c r="AC35" i="14" s="1"/>
  <c r="Z31" i="14"/>
  <c r="Z27" i="14"/>
  <c r="AA27" i="14" s="1"/>
  <c r="Z26" i="14"/>
  <c r="AA26" i="14" s="1"/>
  <c r="D373" i="10"/>
  <c r="D276" i="10"/>
  <c r="D377" i="10"/>
  <c r="D280" i="10"/>
  <c r="D288" i="10"/>
  <c r="D279" i="10"/>
  <c r="D275" i="10"/>
  <c r="D292" i="10"/>
  <c r="D341" i="10"/>
  <c r="D340" i="10"/>
  <c r="D339" i="10"/>
  <c r="D338" i="10"/>
  <c r="D337" i="10"/>
  <c r="D336" i="10"/>
  <c r="D335" i="10"/>
  <c r="D334" i="10"/>
  <c r="D333" i="10"/>
  <c r="D332" i="10"/>
  <c r="D331" i="10"/>
  <c r="G322" i="10"/>
  <c r="G320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6" i="10"/>
  <c r="AX58" i="4"/>
  <c r="P15" i="16" s="1"/>
  <c r="AX112" i="12"/>
  <c r="P59" i="16" s="1"/>
  <c r="AX106" i="12"/>
  <c r="P53" i="16" s="1"/>
  <c r="J109" i="12"/>
  <c r="K109" i="12" s="1"/>
  <c r="R88" i="12"/>
  <c r="S88" i="12" s="1"/>
  <c r="Z110" i="12"/>
  <c r="AA110" i="12" s="1"/>
  <c r="L109" i="12"/>
  <c r="M109" i="12" s="1"/>
  <c r="T89" i="12"/>
  <c r="U89" i="12" s="1"/>
  <c r="AX52" i="14"/>
  <c r="E89" i="16" s="1"/>
  <c r="C84" i="16"/>
  <c r="AX47" i="14"/>
  <c r="E84" i="16" s="1"/>
  <c r="Z88" i="14"/>
  <c r="AA88" i="14" s="1"/>
  <c r="J65" i="14"/>
  <c r="K65" i="14" s="1"/>
  <c r="R89" i="14"/>
  <c r="S89" i="14" s="1"/>
  <c r="AX93" i="14"/>
  <c r="P70" i="16" s="1"/>
  <c r="G661" i="10"/>
  <c r="D661" i="10"/>
  <c r="L94" i="14"/>
  <c r="M94" i="14" s="1"/>
  <c r="G761" i="10"/>
  <c r="D761" i="10"/>
  <c r="AB94" i="14"/>
  <c r="AC94" i="14" s="1"/>
  <c r="G763" i="10"/>
  <c r="AB96" i="14"/>
  <c r="G664" i="10"/>
  <c r="G665" i="10"/>
  <c r="D665" i="10"/>
  <c r="J98" i="14"/>
  <c r="G719" i="10"/>
  <c r="T102" i="14"/>
  <c r="U102" i="14" s="1"/>
  <c r="G671" i="10"/>
  <c r="D671" i="10"/>
  <c r="G771" i="10"/>
  <c r="D771" i="10"/>
  <c r="AB104" i="14"/>
  <c r="G673" i="10"/>
  <c r="G773" i="10"/>
  <c r="Z106" i="14"/>
  <c r="AA106" i="14" s="1"/>
  <c r="G675" i="10"/>
  <c r="D675" i="10"/>
  <c r="L108" i="14"/>
  <c r="M108" i="14" s="1"/>
  <c r="G775" i="10"/>
  <c r="D775" i="10"/>
  <c r="G726" i="10"/>
  <c r="T109" i="14"/>
  <c r="U109" i="14" s="1"/>
  <c r="G777" i="10"/>
  <c r="Z110" i="14"/>
  <c r="AA110" i="14" s="1"/>
  <c r="G680" i="10"/>
  <c r="L113" i="14"/>
  <c r="M113" i="14" s="1"/>
  <c r="D680" i="10"/>
  <c r="G780" i="10"/>
  <c r="Z113" i="14"/>
  <c r="AA113" i="14" s="1"/>
  <c r="G269" i="10"/>
  <c r="G319" i="10"/>
  <c r="G315" i="10"/>
  <c r="G314" i="10"/>
  <c r="G372" i="10"/>
  <c r="G682" i="10"/>
  <c r="G704" i="10"/>
  <c r="R87" i="14"/>
  <c r="S87" i="14" s="1"/>
  <c r="G655" i="10"/>
  <c r="D655" i="10"/>
  <c r="G757" i="10"/>
  <c r="D757" i="10"/>
  <c r="G758" i="10"/>
  <c r="AB91" i="14"/>
  <c r="AC91" i="14" s="1"/>
  <c r="Z91" i="14"/>
  <c r="AA91" i="14" s="1"/>
  <c r="G709" i="10"/>
  <c r="T92" i="14"/>
  <c r="U92" i="14" s="1"/>
  <c r="R92" i="14"/>
  <c r="G710" i="10"/>
  <c r="D710" i="10"/>
  <c r="T93" i="14"/>
  <c r="G711" i="10"/>
  <c r="D711" i="10"/>
  <c r="T94" i="14"/>
  <c r="U94" i="14" s="1"/>
  <c r="R94" i="14"/>
  <c r="S94" i="14" s="1"/>
  <c r="G767" i="10"/>
  <c r="D767" i="10"/>
  <c r="G768" i="10"/>
  <c r="AB101" i="14"/>
  <c r="AC101" i="14" s="1"/>
  <c r="G669" i="10"/>
  <c r="J102" i="14"/>
  <c r="K102" i="14" s="1"/>
  <c r="G721" i="10"/>
  <c r="D721" i="10"/>
  <c r="R104" i="14"/>
  <c r="S104" i="14" s="1"/>
  <c r="G724" i="10"/>
  <c r="R107" i="14"/>
  <c r="S107" i="14" s="1"/>
  <c r="G725" i="10"/>
  <c r="D725" i="10"/>
  <c r="R108" i="14"/>
  <c r="S108" i="14" s="1"/>
  <c r="AX110" i="14"/>
  <c r="P87" i="16" s="1"/>
  <c r="N87" i="16"/>
  <c r="G778" i="10"/>
  <c r="AB111" i="14"/>
  <c r="AC111" i="14" s="1"/>
  <c r="G781" i="10"/>
  <c r="Z114" i="14"/>
  <c r="AA114" i="14" s="1"/>
  <c r="C299" i="17"/>
  <c r="E299" i="17" s="1"/>
  <c r="F299" i="17" s="1"/>
  <c r="D137" i="17"/>
  <c r="AD74" i="22"/>
  <c r="AF74" i="22" s="1"/>
  <c r="AG74" i="22" s="1"/>
  <c r="AH69" i="22"/>
  <c r="AJ69" i="22" s="1"/>
  <c r="AK69" i="22" s="1"/>
  <c r="C323" i="17"/>
  <c r="E323" i="17" s="1"/>
  <c r="F323" i="17" s="1"/>
  <c r="AW32" i="22"/>
  <c r="E119" i="16" s="1"/>
  <c r="AE61" i="22"/>
  <c r="AD51" i="22"/>
  <c r="AF51" i="22" s="1"/>
  <c r="AG51" i="22" s="1"/>
  <c r="AH20" i="22"/>
  <c r="AJ20" i="22" s="1"/>
  <c r="AK20" i="22" s="1"/>
  <c r="AW8" i="22"/>
  <c r="E95" i="16" s="1"/>
  <c r="AH59" i="22"/>
  <c r="AJ59" i="22" s="1"/>
  <c r="AK59" i="22" s="1"/>
  <c r="AH57" i="22"/>
  <c r="AJ57" i="22" s="1"/>
  <c r="AK57" i="22" s="1"/>
  <c r="AB58" i="4"/>
  <c r="AC58" i="4" s="1"/>
  <c r="AB60" i="4"/>
  <c r="AC60" i="4" s="1"/>
  <c r="AB62" i="4"/>
  <c r="AC62" i="4" s="1"/>
  <c r="AB64" i="4"/>
  <c r="AC64" i="4" s="1"/>
  <c r="T66" i="4"/>
  <c r="U66" i="4" s="1"/>
  <c r="T49" i="4"/>
  <c r="U49" i="4" s="1"/>
  <c r="Z65" i="4"/>
  <c r="AA65" i="4" s="1"/>
  <c r="Z64" i="4"/>
  <c r="AA64" i="4" s="1"/>
  <c r="Z63" i="4"/>
  <c r="AA63" i="4" s="1"/>
  <c r="Z62" i="4"/>
  <c r="AA62" i="4" s="1"/>
  <c r="Z61" i="4"/>
  <c r="AA61" i="4" s="1"/>
  <c r="Z60" i="4"/>
  <c r="AA60" i="4" s="1"/>
  <c r="Z59" i="4"/>
  <c r="AA59" i="4" s="1"/>
  <c r="Z58" i="4"/>
  <c r="AA58" i="4" s="1"/>
  <c r="Z57" i="4"/>
  <c r="AA57" i="4" s="1"/>
  <c r="Z56" i="4"/>
  <c r="AA56" i="4" s="1"/>
  <c r="Z55" i="4"/>
  <c r="AA55" i="4" s="1"/>
  <c r="Z54" i="4"/>
  <c r="AA54" i="4" s="1"/>
  <c r="R68" i="4"/>
  <c r="S68" i="4" s="1"/>
  <c r="R67" i="4"/>
  <c r="S67" i="4" s="1"/>
  <c r="R66" i="4"/>
  <c r="S66" i="4" s="1"/>
  <c r="R62" i="4"/>
  <c r="S62" i="4" s="1"/>
  <c r="J72" i="4"/>
  <c r="K72" i="4" s="1"/>
  <c r="J69" i="4"/>
  <c r="K69" i="4" s="1"/>
  <c r="J68" i="4"/>
  <c r="K68" i="4" s="1"/>
  <c r="J67" i="4"/>
  <c r="K67" i="4" s="1"/>
  <c r="J63" i="4"/>
  <c r="K63" i="4" s="1"/>
  <c r="R29" i="12"/>
  <c r="R26" i="12"/>
  <c r="S26" i="12" s="1"/>
  <c r="AO53" i="14"/>
  <c r="AP52" i="14"/>
  <c r="AN52" i="14"/>
  <c r="AO51" i="14"/>
  <c r="AP50" i="14"/>
  <c r="AO49" i="14"/>
  <c r="AN48" i="14"/>
  <c r="AO47" i="14"/>
  <c r="AO45" i="14"/>
  <c r="AP44" i="14"/>
  <c r="AN44" i="14"/>
  <c r="AP42" i="14"/>
  <c r="AO41" i="14"/>
  <c r="AP40" i="14"/>
  <c r="AN40" i="14"/>
  <c r="AO39" i="14"/>
  <c r="AN38" i="14"/>
  <c r="AN32" i="14"/>
  <c r="AD73" i="22"/>
  <c r="AF73" i="22" s="1"/>
  <c r="AG73" i="22" s="1"/>
  <c r="AI67" i="22"/>
  <c r="AP53" i="14"/>
  <c r="AO52" i="14"/>
  <c r="AP49" i="14"/>
  <c r="AO48" i="14"/>
  <c r="AN47" i="14"/>
  <c r="AO44" i="14"/>
  <c r="AN43" i="14"/>
  <c r="AO40" i="14"/>
  <c r="AN39" i="14"/>
  <c r="AN31" i="14"/>
  <c r="AO28" i="14"/>
  <c r="AO29" i="14"/>
  <c r="AO27" i="14"/>
  <c r="AP26" i="14"/>
  <c r="AP74" i="4"/>
  <c r="AN74" i="4"/>
  <c r="AO73" i="4"/>
  <c r="AP72" i="4"/>
  <c r="AN72" i="4"/>
  <c r="AO71" i="4"/>
  <c r="AP70" i="4"/>
  <c r="AN70" i="4"/>
  <c r="AP68" i="4"/>
  <c r="AN68" i="4"/>
  <c r="AO67" i="4"/>
  <c r="AP66" i="4"/>
  <c r="AN66" i="4"/>
  <c r="AO65" i="4"/>
  <c r="AP64" i="4"/>
  <c r="AN64" i="4"/>
  <c r="AO63" i="4"/>
  <c r="AP62" i="4"/>
  <c r="AN62" i="4"/>
  <c r="AP60" i="4"/>
  <c r="AN60" i="4"/>
  <c r="AO59" i="4"/>
  <c r="AP58" i="4"/>
  <c r="AN58" i="4"/>
  <c r="AP56" i="4"/>
  <c r="AN56" i="4"/>
  <c r="AO55" i="4"/>
  <c r="AP54" i="4"/>
  <c r="AN54" i="4"/>
  <c r="AP50" i="4"/>
  <c r="AN50" i="4"/>
  <c r="AO49" i="4"/>
  <c r="AP114" i="12"/>
  <c r="AO113" i="12"/>
  <c r="AP112" i="12"/>
  <c r="AN112" i="12"/>
  <c r="AP110" i="12"/>
  <c r="AN110" i="12"/>
  <c r="AO109" i="12"/>
  <c r="AN108" i="12"/>
  <c r="AO107" i="12"/>
  <c r="AP106" i="12"/>
  <c r="AO105" i="12"/>
  <c r="AN104" i="12"/>
  <c r="AP102" i="12"/>
  <c r="AN102" i="12"/>
  <c r="AO101" i="12"/>
  <c r="AN100" i="12"/>
  <c r="AP98" i="12"/>
  <c r="AO97" i="12"/>
  <c r="AN96" i="12"/>
  <c r="AP94" i="12"/>
  <c r="AO93" i="12"/>
  <c r="AN92" i="12"/>
  <c r="AP114" i="14"/>
  <c r="AN114" i="14"/>
  <c r="AO113" i="14"/>
  <c r="AP112" i="14"/>
  <c r="AN112" i="14"/>
  <c r="AO111" i="14"/>
  <c r="AP110" i="14"/>
  <c r="AN110" i="14"/>
  <c r="AO109" i="14"/>
  <c r="AP108" i="14"/>
  <c r="AN108" i="14"/>
  <c r="AO107" i="14"/>
  <c r="AP106" i="14"/>
  <c r="AN106" i="14"/>
  <c r="AO105" i="14"/>
  <c r="AP104" i="14"/>
  <c r="AN104" i="14"/>
  <c r="AO103" i="14"/>
  <c r="AP102" i="14"/>
  <c r="AN102" i="14"/>
  <c r="AO101" i="14"/>
  <c r="AP100" i="14"/>
  <c r="AN100" i="14"/>
  <c r="AO99" i="14"/>
  <c r="AP98" i="14"/>
  <c r="AN98" i="14"/>
  <c r="AO97" i="14"/>
  <c r="AP96" i="14"/>
  <c r="AN96" i="14"/>
  <c r="AO95" i="14"/>
  <c r="AP94" i="14"/>
  <c r="AN94" i="14"/>
  <c r="AO93" i="14"/>
  <c r="AP92" i="14"/>
  <c r="AN92" i="14"/>
  <c r="AO91" i="14"/>
  <c r="AM5" i="4"/>
  <c r="AP33" i="4"/>
  <c r="AO32" i="4"/>
  <c r="AM31" i="4"/>
  <c r="AD31" i="4" s="1"/>
  <c r="N86" i="11" s="1"/>
  <c r="AP29" i="4"/>
  <c r="AO28" i="4"/>
  <c r="AO24" i="4"/>
  <c r="AM23" i="4"/>
  <c r="AO20" i="4"/>
  <c r="AP17" i="4"/>
  <c r="AO16" i="4"/>
  <c r="AP13" i="4"/>
  <c r="AO12" i="4"/>
  <c r="AO9" i="4"/>
  <c r="AO7" i="4"/>
  <c r="AP5" i="12"/>
  <c r="J51" i="4"/>
  <c r="K51" i="4" s="1"/>
  <c r="T52" i="4"/>
  <c r="U52" i="4" s="1"/>
  <c r="AP5" i="22"/>
  <c r="AP34" i="22"/>
  <c r="AP33" i="22"/>
  <c r="AP32" i="22"/>
  <c r="AP31" i="22"/>
  <c r="AP30" i="22"/>
  <c r="AP29" i="22"/>
  <c r="AP28" i="22"/>
  <c r="AP27" i="22"/>
  <c r="AP26" i="22"/>
  <c r="AP25" i="22"/>
  <c r="AP24" i="22"/>
  <c r="AP23" i="22"/>
  <c r="AP22" i="22"/>
  <c r="AP21" i="22"/>
  <c r="AP20" i="22"/>
  <c r="AP19" i="22"/>
  <c r="AP18" i="22"/>
  <c r="AP17" i="22"/>
  <c r="AP16" i="22"/>
  <c r="AP15" i="22"/>
  <c r="AP14" i="22"/>
  <c r="AP13" i="22"/>
  <c r="AP12" i="22"/>
  <c r="AP11" i="22"/>
  <c r="AP10" i="22"/>
  <c r="AP9" i="22"/>
  <c r="AP8" i="22"/>
  <c r="AP7" i="22"/>
  <c r="AP47" i="22"/>
  <c r="AP46" i="22"/>
  <c r="AP45" i="22"/>
  <c r="AP73" i="22"/>
  <c r="AP71" i="22"/>
  <c r="AP69" i="22"/>
  <c r="AP67" i="22"/>
  <c r="AP65" i="22"/>
  <c r="AP63" i="22"/>
  <c r="AP61" i="22"/>
  <c r="AP59" i="22"/>
  <c r="AP57" i="22"/>
  <c r="AP55" i="22"/>
  <c r="AP53" i="22"/>
  <c r="AP51" i="22"/>
  <c r="AP49" i="22"/>
  <c r="AP6" i="22"/>
  <c r="AO74" i="4"/>
  <c r="AP73" i="4"/>
  <c r="AN73" i="4"/>
  <c r="AO72" i="4"/>
  <c r="AP71" i="4"/>
  <c r="AN71" i="4"/>
  <c r="AO70" i="4"/>
  <c r="AP69" i="4"/>
  <c r="AN69" i="4"/>
  <c r="AO68" i="4"/>
  <c r="AP67" i="4"/>
  <c r="AN67" i="4"/>
  <c r="AO66" i="4"/>
  <c r="AP65" i="4"/>
  <c r="AN65" i="4"/>
  <c r="AO64" i="4"/>
  <c r="AP63" i="4"/>
  <c r="AO62" i="4"/>
  <c r="AP61" i="4"/>
  <c r="AN61" i="4"/>
  <c r="AO60" i="4"/>
  <c r="AP59" i="4"/>
  <c r="AN59" i="4"/>
  <c r="AO58" i="4"/>
  <c r="AP57" i="4"/>
  <c r="AN57" i="4"/>
  <c r="AO56" i="4"/>
  <c r="AP55" i="4"/>
  <c r="AN55" i="4"/>
  <c r="AO54" i="4"/>
  <c r="AP53" i="4"/>
  <c r="AN53" i="4"/>
  <c r="AO50" i="4"/>
  <c r="AP49" i="4"/>
  <c r="AN49" i="4"/>
  <c r="AO114" i="12"/>
  <c r="AP113" i="12"/>
  <c r="AN113" i="12"/>
  <c r="AO112" i="12"/>
  <c r="AP111" i="12"/>
  <c r="AN111" i="12"/>
  <c r="AO110" i="12"/>
  <c r="AP109" i="12"/>
  <c r="AN109" i="12"/>
  <c r="AO108" i="12"/>
  <c r="AP107" i="12"/>
  <c r="AN107" i="12"/>
  <c r="AO106" i="12"/>
  <c r="AP105" i="12"/>
  <c r="AN105" i="12"/>
  <c r="AO104" i="12"/>
  <c r="AP103" i="12"/>
  <c r="AN103" i="12"/>
  <c r="AO102" i="12"/>
  <c r="AP101" i="12"/>
  <c r="AO100" i="12"/>
  <c r="AP99" i="12"/>
  <c r="AN99" i="12"/>
  <c r="AO98" i="12"/>
  <c r="AP97" i="12"/>
  <c r="AN97" i="12"/>
  <c r="AO96" i="12"/>
  <c r="AP95" i="12"/>
  <c r="AN95" i="12"/>
  <c r="AO94" i="12"/>
  <c r="AP93" i="12"/>
  <c r="AN93" i="12"/>
  <c r="AO92" i="12"/>
  <c r="AP91" i="12"/>
  <c r="AN91" i="12"/>
  <c r="AO114" i="14"/>
  <c r="AP113" i="14"/>
  <c r="AN113" i="14"/>
  <c r="AO112" i="14"/>
  <c r="AP111" i="14"/>
  <c r="AN111" i="14"/>
  <c r="AO110" i="14"/>
  <c r="AP109" i="14"/>
  <c r="AN109" i="14"/>
  <c r="AO108" i="14"/>
  <c r="AN107" i="14"/>
  <c r="AO106" i="14"/>
  <c r="AP105" i="14"/>
  <c r="AN105" i="14"/>
  <c r="AO104" i="14"/>
  <c r="AP103" i="14"/>
  <c r="AN103" i="14"/>
  <c r="AP101" i="14"/>
  <c r="AN101" i="14"/>
  <c r="AO100" i="14"/>
  <c r="AN99" i="14"/>
  <c r="AO98" i="14"/>
  <c r="AP97" i="14"/>
  <c r="AN97" i="14"/>
  <c r="AO96" i="14"/>
  <c r="AP95" i="14"/>
  <c r="AN95" i="14"/>
  <c r="AP93" i="14"/>
  <c r="AN93" i="14"/>
  <c r="AO92" i="14"/>
  <c r="AN91" i="14"/>
  <c r="AP34" i="4"/>
  <c r="AO33" i="4"/>
  <c r="AN32" i="4"/>
  <c r="AP30" i="4"/>
  <c r="AN28" i="4"/>
  <c r="AO25" i="4"/>
  <c r="AN24" i="4"/>
  <c r="AP22" i="4"/>
  <c r="AO21" i="4"/>
  <c r="AN20" i="4"/>
  <c r="AP18" i="4"/>
  <c r="AO17" i="4"/>
  <c r="AM16" i="4"/>
  <c r="AP14" i="4"/>
  <c r="AO13" i="4"/>
  <c r="AN12" i="4"/>
  <c r="AM9" i="4"/>
  <c r="AM6" i="4"/>
  <c r="AN54" i="12"/>
  <c r="AN53" i="12"/>
  <c r="AM52" i="12"/>
  <c r="AN51" i="12"/>
  <c r="AN50" i="12"/>
  <c r="AN49" i="12"/>
  <c r="AQ49" i="12" s="1"/>
  <c r="AN47" i="12"/>
  <c r="AN45" i="12"/>
  <c r="AN44" i="12"/>
  <c r="AN43" i="12"/>
  <c r="AN42" i="12"/>
  <c r="AN39" i="12"/>
  <c r="AN38" i="12"/>
  <c r="AN37" i="12"/>
  <c r="AN36" i="12"/>
  <c r="AN35" i="12"/>
  <c r="AM27" i="12"/>
  <c r="AP74" i="22"/>
  <c r="AP72" i="22"/>
  <c r="AP70" i="22"/>
  <c r="AP68" i="22"/>
  <c r="AP66" i="22"/>
  <c r="AP64" i="22"/>
  <c r="AP62" i="22"/>
  <c r="AP60" i="22"/>
  <c r="AP58" i="22"/>
  <c r="AP56" i="22"/>
  <c r="AP54" i="22"/>
  <c r="AP52" i="22"/>
  <c r="AP50" i="22"/>
  <c r="AP48" i="22"/>
  <c r="D606" i="10"/>
  <c r="Z89" i="12"/>
  <c r="AA89" i="12" s="1"/>
  <c r="AB88" i="12"/>
  <c r="AC88" i="12" s="1"/>
  <c r="D605" i="10"/>
  <c r="Z87" i="12"/>
  <c r="AA87" i="12" s="1"/>
  <c r="D505" i="10"/>
  <c r="L88" i="12"/>
  <c r="AN88" i="12"/>
  <c r="J87" i="12"/>
  <c r="K87" i="12" s="1"/>
  <c r="D504" i="10"/>
  <c r="L87" i="12"/>
  <c r="AB89" i="12"/>
  <c r="AX89" i="12"/>
  <c r="P36" i="16" s="1"/>
  <c r="N36" i="16"/>
  <c r="D556" i="10"/>
  <c r="L89" i="12"/>
  <c r="L65" i="14"/>
  <c r="M91" i="14" s="1"/>
  <c r="D632" i="10"/>
  <c r="Z87" i="14"/>
  <c r="AA87" i="14" s="1"/>
  <c r="D754" i="10"/>
  <c r="Z90" i="14"/>
  <c r="AA90" i="14" s="1"/>
  <c r="AP31" i="14"/>
  <c r="D368" i="10"/>
  <c r="AP28" i="14"/>
  <c r="AB88" i="14"/>
  <c r="AC88" i="14" s="1"/>
  <c r="AX28" i="14"/>
  <c r="E65" i="16" s="1"/>
  <c r="D266" i="10"/>
  <c r="J29" i="14"/>
  <c r="L29" i="14"/>
  <c r="M29" i="14" s="1"/>
  <c r="D242" i="10"/>
  <c r="AN5" i="14"/>
  <c r="F65" i="14" s="1"/>
  <c r="L5" i="14"/>
  <c r="AX29" i="14"/>
  <c r="E66" i="16" s="1"/>
  <c r="AP29" i="14"/>
  <c r="AN34" i="14"/>
  <c r="L35" i="14"/>
  <c r="D272" i="10"/>
  <c r="D120" i="10"/>
  <c r="AN28" i="12"/>
  <c r="D115" i="10"/>
  <c r="AN30" i="12"/>
  <c r="AB31" i="12"/>
  <c r="AP27" i="12"/>
  <c r="D342" i="10"/>
  <c r="Z5" i="14"/>
  <c r="AA5" i="14" s="1"/>
  <c r="AX5" i="14"/>
  <c r="E62" i="16" s="1"/>
  <c r="D62" i="16"/>
  <c r="AN5" i="12"/>
  <c r="L5" i="12"/>
  <c r="D92" i="10"/>
  <c r="AP87" i="12"/>
  <c r="AB87" i="12"/>
  <c r="AC87" i="12" s="1"/>
  <c r="D604" i="10"/>
  <c r="Z32" i="12"/>
  <c r="AA32" i="12" s="1"/>
  <c r="AB32" i="12"/>
  <c r="AC32" i="12" s="1"/>
  <c r="Z47" i="4"/>
  <c r="AA47" i="4" s="1"/>
  <c r="AB47" i="4"/>
  <c r="AC47" i="4" s="1"/>
  <c r="D66" i="10"/>
  <c r="Z10" i="4"/>
  <c r="AB10" i="4"/>
  <c r="AC10" i="4" s="1"/>
  <c r="AP7" i="4"/>
  <c r="AX88" i="12"/>
  <c r="P35" i="16" s="1"/>
  <c r="T88" i="12"/>
  <c r="U88" i="12" s="1"/>
  <c r="AO88" i="12"/>
  <c r="D555" i="10"/>
  <c r="D395" i="10"/>
  <c r="AN10" i="4"/>
  <c r="J6" i="4"/>
  <c r="L6" i="4"/>
  <c r="M6" i="4" s="1"/>
  <c r="Z34" i="12"/>
  <c r="AA34" i="12" s="1"/>
  <c r="R34" i="12"/>
  <c r="S34" i="12" s="1"/>
  <c r="AX34" i="12"/>
  <c r="E41" i="16" s="1"/>
  <c r="D121" i="10"/>
  <c r="AN34" i="12"/>
  <c r="AM34" i="12"/>
  <c r="D113" i="10"/>
  <c r="AN26" i="12"/>
  <c r="AP36" i="14"/>
  <c r="D323" i="10"/>
  <c r="R36" i="14"/>
  <c r="S36" i="14" s="1"/>
  <c r="AX36" i="14"/>
  <c r="E73" i="16" s="1"/>
  <c r="AN36" i="14"/>
  <c r="J36" i="14"/>
  <c r="K36" i="14" s="1"/>
  <c r="D273" i="10"/>
  <c r="D73" i="16"/>
  <c r="L36" i="14"/>
  <c r="D707" i="10"/>
  <c r="L90" i="14"/>
  <c r="J87" i="14"/>
  <c r="K87" i="14" s="1"/>
  <c r="AB90" i="14"/>
  <c r="AC90" i="14" s="1"/>
  <c r="T90" i="14"/>
  <c r="U90" i="14" s="1"/>
  <c r="R90" i="14"/>
  <c r="S90" i="14" s="1"/>
  <c r="AX90" i="14"/>
  <c r="P67" i="16" s="1"/>
  <c r="G21" i="11"/>
  <c r="I21" i="11" s="1"/>
  <c r="L87" i="14"/>
  <c r="D706" i="10"/>
  <c r="AX89" i="14"/>
  <c r="P66" i="16" s="1"/>
  <c r="L89" i="14"/>
  <c r="M89" i="14" s="1"/>
  <c r="D656" i="10"/>
  <c r="AP35" i="14"/>
  <c r="Z35" i="14"/>
  <c r="AA35" i="14" s="1"/>
  <c r="AO35" i="14"/>
  <c r="AX35" i="14"/>
  <c r="E72" i="16" s="1"/>
  <c r="AN35" i="14"/>
  <c r="AM35" i="14"/>
  <c r="Z34" i="14"/>
  <c r="AA34" i="14" s="1"/>
  <c r="AB34" i="14"/>
  <c r="D371" i="10"/>
  <c r="AX34" i="14"/>
  <c r="E71" i="16" s="1"/>
  <c r="AP34" i="14"/>
  <c r="D321" i="10"/>
  <c r="R34" i="14"/>
  <c r="S34" i="14" s="1"/>
  <c r="AO34" i="14"/>
  <c r="D71" i="16"/>
  <c r="T34" i="14"/>
  <c r="U34" i="14" s="1"/>
  <c r="D220" i="10"/>
  <c r="Z33" i="12"/>
  <c r="AA33" i="12" s="1"/>
  <c r="AB33" i="12"/>
  <c r="AC33" i="12" s="1"/>
  <c r="R33" i="12"/>
  <c r="S33" i="12" s="1"/>
  <c r="AN33" i="12"/>
  <c r="AX33" i="12"/>
  <c r="E40" i="16" s="1"/>
  <c r="AM33" i="12"/>
  <c r="D753" i="10"/>
  <c r="Z86" i="14"/>
  <c r="AA86" i="14" s="1"/>
  <c r="D216" i="10"/>
  <c r="AP29" i="12"/>
  <c r="Z29" i="12"/>
  <c r="AA29" i="12" s="1"/>
  <c r="D455" i="10"/>
  <c r="Z48" i="4"/>
  <c r="AA48" i="4" s="1"/>
  <c r="N5" i="16"/>
  <c r="J48" i="4"/>
  <c r="K48" i="4" s="1"/>
  <c r="L48" i="4"/>
  <c r="M48" i="4" s="1"/>
  <c r="AP10" i="4"/>
  <c r="D7" i="16"/>
  <c r="D7" i="10"/>
  <c r="L10" i="4"/>
  <c r="M10" i="4" s="1"/>
  <c r="I72" i="20"/>
  <c r="I73" i="20" s="1"/>
  <c r="C6" i="11"/>
  <c r="E6" i="11" s="1"/>
  <c r="L8" i="4"/>
  <c r="M8" i="4" s="1"/>
  <c r="D5" i="10"/>
  <c r="D370" i="10"/>
  <c r="AX33" i="14"/>
  <c r="E70" i="16" s="1"/>
  <c r="Z33" i="14"/>
  <c r="AA33" i="14" s="1"/>
  <c r="AP33" i="14"/>
  <c r="T33" i="14"/>
  <c r="U33" i="14" s="1"/>
  <c r="C70" i="16"/>
  <c r="AO33" i="14"/>
  <c r="J33" i="14"/>
  <c r="K33" i="14" s="1"/>
  <c r="D270" i="10"/>
  <c r="AM33" i="14"/>
  <c r="J738" i="20"/>
  <c r="J739" i="20" s="1"/>
  <c r="Z89" i="14"/>
  <c r="AA89" i="14" s="1"/>
  <c r="D756" i="10"/>
  <c r="AB89" i="14"/>
  <c r="AC89" i="14" s="1"/>
  <c r="T88" i="14"/>
  <c r="U88" i="14" s="1"/>
  <c r="AX88" i="14"/>
  <c r="P65" i="16" s="1"/>
  <c r="D705" i="10"/>
  <c r="J88" i="14"/>
  <c r="K88" i="14" s="1"/>
  <c r="N65" i="16"/>
  <c r="L88" i="14"/>
  <c r="M88" i="14" s="1"/>
  <c r="AM34" i="14"/>
  <c r="D69" i="16"/>
  <c r="AB32" i="14"/>
  <c r="AP32" i="14"/>
  <c r="AO32" i="14"/>
  <c r="AM32" i="14"/>
  <c r="Z30" i="14"/>
  <c r="AA30" i="14" s="1"/>
  <c r="D367" i="10"/>
  <c r="AB30" i="14"/>
  <c r="AC30" i="14" s="1"/>
  <c r="AX87" i="12"/>
  <c r="P34" i="16" s="1"/>
  <c r="N34" i="16"/>
  <c r="AH115" i="12"/>
  <c r="E55" i="9" s="1"/>
  <c r="D39" i="16"/>
  <c r="AO32" i="12"/>
  <c r="T32" i="12"/>
  <c r="U32" i="12" s="1"/>
  <c r="D169" i="10"/>
  <c r="R32" i="12"/>
  <c r="S32" i="12" s="1"/>
  <c r="G7" i="11"/>
  <c r="I7" i="11" s="1"/>
  <c r="AN32" i="12"/>
  <c r="D119" i="10"/>
  <c r="AP31" i="12"/>
  <c r="Z31" i="12"/>
  <c r="AA31" i="12" s="1"/>
  <c r="T31" i="12"/>
  <c r="U31" i="12" s="1"/>
  <c r="R31" i="12"/>
  <c r="S31" i="12" s="1"/>
  <c r="AN31" i="12"/>
  <c r="AX31" i="12"/>
  <c r="E38" i="16" s="1"/>
  <c r="C7" i="11"/>
  <c r="E7" i="11" s="1"/>
  <c r="D118" i="10"/>
  <c r="R30" i="12"/>
  <c r="S30" i="12" s="1"/>
  <c r="D167" i="10"/>
  <c r="AX30" i="12"/>
  <c r="E37" i="16" s="1"/>
  <c r="H656" i="20"/>
  <c r="H657" i="20" s="1"/>
  <c r="I656" i="20"/>
  <c r="I657" i="20" s="1"/>
  <c r="AH65" i="22"/>
  <c r="AJ65" i="22" s="1"/>
  <c r="AK65" i="22" s="1"/>
  <c r="AI65" i="22"/>
  <c r="J950" i="20"/>
  <c r="J951" i="20" s="1"/>
  <c r="J952" i="20" s="1"/>
  <c r="J953" i="20" s="1"/>
  <c r="J954" i="20" s="1"/>
  <c r="J955" i="20" s="1"/>
  <c r="I950" i="20"/>
  <c r="I951" i="20" s="1"/>
  <c r="I952" i="20" s="1"/>
  <c r="I953" i="20" s="1"/>
  <c r="I954" i="20" s="1"/>
  <c r="I955" i="20" s="1"/>
  <c r="AN9" i="4"/>
  <c r="AM13" i="4"/>
  <c r="AM21" i="4"/>
  <c r="AM30" i="4"/>
  <c r="AM18" i="4"/>
  <c r="J120" i="20"/>
  <c r="J121" i="20" s="1"/>
  <c r="H120" i="20"/>
  <c r="H121" i="20" s="1"/>
  <c r="D369" i="20"/>
  <c r="H368" i="20"/>
  <c r="H369" i="20" s="1"/>
  <c r="H1218" i="20"/>
  <c r="H1219" i="20" s="1"/>
  <c r="I1218" i="20"/>
  <c r="I1219" i="20" s="1"/>
  <c r="J1526" i="20"/>
  <c r="J1527" i="20" s="1"/>
  <c r="I1526" i="20"/>
  <c r="I1527" i="20" s="1"/>
  <c r="H756" i="20"/>
  <c r="H757" i="20" s="1"/>
  <c r="I756" i="20"/>
  <c r="I757" i="20" s="1"/>
  <c r="I760" i="20"/>
  <c r="I761" i="20" s="1"/>
  <c r="J760" i="20"/>
  <c r="J761" i="20" s="1"/>
  <c r="H776" i="20"/>
  <c r="H777" i="20" s="1"/>
  <c r="J776" i="20"/>
  <c r="J777" i="20" s="1"/>
  <c r="AD30" i="22"/>
  <c r="AF30" i="22" s="1"/>
  <c r="AG30" i="22" s="1"/>
  <c r="AE30" i="22"/>
  <c r="AM10" i="4"/>
  <c r="AO29" i="4"/>
  <c r="AM24" i="4"/>
  <c r="AM32" i="4"/>
  <c r="AM26" i="12"/>
  <c r="J1202" i="20"/>
  <c r="J1203" i="20" s="1"/>
  <c r="H744" i="20"/>
  <c r="H745" i="20" s="1"/>
  <c r="I1486" i="20"/>
  <c r="I1487" i="20" s="1"/>
  <c r="J1518" i="20"/>
  <c r="J1519" i="20" s="1"/>
  <c r="I1618" i="20"/>
  <c r="I1619" i="20" s="1"/>
  <c r="J752" i="20"/>
  <c r="J753" i="20" s="1"/>
  <c r="H264" i="20"/>
  <c r="H265" i="20" s="1"/>
  <c r="I672" i="20"/>
  <c r="I673" i="20" s="1"/>
  <c r="H668" i="20"/>
  <c r="H669" i="20" s="1"/>
  <c r="AN52" i="12"/>
  <c r="AE27" i="22"/>
  <c r="H736" i="20"/>
  <c r="H737" i="20" s="1"/>
  <c r="J736" i="20"/>
  <c r="J737" i="20" s="1"/>
  <c r="AE9" i="22"/>
  <c r="AM8" i="4"/>
  <c r="J878" i="20"/>
  <c r="J879" i="20" s="1"/>
  <c r="J880" i="20" s="1"/>
  <c r="J881" i="20" s="1"/>
  <c r="J882" i="20" s="1"/>
  <c r="J883" i="20" s="1"/>
  <c r="I1294" i="20"/>
  <c r="I1295" i="20" s="1"/>
  <c r="H1610" i="20"/>
  <c r="H1611" i="20" s="1"/>
  <c r="AE34" i="22"/>
  <c r="AD67" i="22"/>
  <c r="AF67" i="22" s="1"/>
  <c r="AG67" i="22" s="1"/>
  <c r="J1714" i="20"/>
  <c r="J1715" i="20" s="1"/>
  <c r="I1398" i="20"/>
  <c r="I1399" i="20" s="1"/>
  <c r="H1186" i="20"/>
  <c r="H1187" i="20" s="1"/>
  <c r="AN6" i="4"/>
  <c r="F45" i="4" s="1"/>
  <c r="AM17" i="4"/>
  <c r="AM34" i="4"/>
  <c r="AM36" i="14"/>
  <c r="AM44" i="14"/>
  <c r="AM52" i="14"/>
  <c r="AM29" i="14"/>
  <c r="AM39" i="12"/>
  <c r="AM14" i="4"/>
  <c r="AM22" i="4"/>
  <c r="AM45" i="12"/>
  <c r="AM30" i="12"/>
  <c r="AM32" i="12"/>
  <c r="H772" i="20"/>
  <c r="H773" i="20" s="1"/>
  <c r="J926" i="20"/>
  <c r="J927" i="20" s="1"/>
  <c r="J928" i="20" s="1"/>
  <c r="J929" i="20" s="1"/>
  <c r="J930" i="20" s="1"/>
  <c r="J931" i="20" s="1"/>
  <c r="AE73" i="22"/>
  <c r="I1534" i="20"/>
  <c r="I1535" i="20" s="1"/>
  <c r="AH67" i="22"/>
  <c r="AJ67" i="22" s="1"/>
  <c r="AK67" i="22" s="1"/>
  <c r="J806" i="20"/>
  <c r="J807" i="20" s="1"/>
  <c r="J808" i="20" s="1"/>
  <c r="J809" i="20" s="1"/>
  <c r="J810" i="20" s="1"/>
  <c r="J811" i="20" s="1"/>
  <c r="I854" i="20"/>
  <c r="I855" i="20" s="1"/>
  <c r="I856" i="20" s="1"/>
  <c r="I857" i="20" s="1"/>
  <c r="I858" i="20" s="1"/>
  <c r="I859" i="20" s="1"/>
  <c r="H724" i="20"/>
  <c r="H725" i="20" s="1"/>
  <c r="J636" i="20"/>
  <c r="J637" i="20" s="1"/>
  <c r="AI34" i="22"/>
  <c r="D454" i="10"/>
  <c r="O4" i="16"/>
  <c r="AB9" i="4"/>
  <c r="AP9" i="4"/>
  <c r="Z9" i="4"/>
  <c r="C6" i="16"/>
  <c r="K19" i="11"/>
  <c r="M19" i="11" s="1"/>
  <c r="Z46" i="4"/>
  <c r="AA46" i="4" s="1"/>
  <c r="D453" i="10"/>
  <c r="AB46" i="4"/>
  <c r="AC46" i="4" s="1"/>
  <c r="G19" i="11"/>
  <c r="I19" i="11" s="1"/>
  <c r="D423" i="10"/>
  <c r="T46" i="4"/>
  <c r="U46" i="4" s="1"/>
  <c r="AN8" i="4"/>
  <c r="F47" i="4" s="1"/>
  <c r="J8" i="4"/>
  <c r="K8" i="4" s="1"/>
  <c r="O2" i="16"/>
  <c r="AH75" i="4"/>
  <c r="E54" i="9" s="1"/>
  <c r="C19" i="11"/>
  <c r="E19" i="11" s="1"/>
  <c r="D392" i="10"/>
  <c r="L45" i="4"/>
  <c r="I1082" i="20"/>
  <c r="I1083" i="20" s="1"/>
  <c r="Z7" i="4"/>
  <c r="AA7" i="4" s="1"/>
  <c r="C178" i="15"/>
  <c r="D64" i="10"/>
  <c r="C4" i="16"/>
  <c r="AM63" i="4"/>
  <c r="I126" i="20"/>
  <c r="I127" i="20" s="1"/>
  <c r="C145" i="15"/>
  <c r="H79" i="15"/>
  <c r="H141" i="15"/>
  <c r="C109" i="15"/>
  <c r="C79" i="15"/>
  <c r="H113" i="15"/>
  <c r="C11" i="15"/>
  <c r="G6" i="11"/>
  <c r="I6" i="11" s="1"/>
  <c r="T6" i="4"/>
  <c r="U6" i="4" s="1"/>
  <c r="D33" i="10"/>
  <c r="I43" i="15"/>
  <c r="G39" i="15"/>
  <c r="H39" i="15" s="1"/>
  <c r="Q4" i="15"/>
  <c r="S4" i="15" s="1"/>
  <c r="Q144" i="15"/>
  <c r="S144" i="15" s="1"/>
  <c r="H145" i="15"/>
  <c r="G43" i="15"/>
  <c r="H176" i="15"/>
  <c r="G77" i="15"/>
  <c r="Q11" i="15"/>
  <c r="S11" i="15" s="1"/>
  <c r="Q9" i="15"/>
  <c r="Q7" i="15"/>
  <c r="S7" i="15" s="1"/>
  <c r="Q46" i="15"/>
  <c r="S46" i="15" s="1"/>
  <c r="Q44" i="15"/>
  <c r="R44" i="15" s="1"/>
  <c r="Q42" i="15"/>
  <c r="R42" i="15" s="1"/>
  <c r="Q40" i="15"/>
  <c r="S40" i="15" s="1"/>
  <c r="Q38" i="15"/>
  <c r="S38" i="15" s="1"/>
  <c r="Q113" i="15"/>
  <c r="Q111" i="15"/>
  <c r="Q109" i="15"/>
  <c r="Q107" i="15"/>
  <c r="Q148" i="15"/>
  <c r="Q146" i="15"/>
  <c r="S146" i="15" s="1"/>
  <c r="Q142" i="15"/>
  <c r="Q140" i="15"/>
  <c r="S140" i="15" s="1"/>
  <c r="D318" i="10"/>
  <c r="AO31" i="14"/>
  <c r="R31" i="14"/>
  <c r="S31" i="14" s="1"/>
  <c r="AX31" i="14"/>
  <c r="E68" i="16" s="1"/>
  <c r="C68" i="16"/>
  <c r="D268" i="10"/>
  <c r="AM31" i="14"/>
  <c r="AO29" i="12"/>
  <c r="AX29" i="12"/>
  <c r="E36" i="16" s="1"/>
  <c r="AM29" i="12"/>
  <c r="H112" i="15"/>
  <c r="C46" i="15"/>
  <c r="H180" i="15"/>
  <c r="G113" i="15"/>
  <c r="C113" i="15"/>
  <c r="C75" i="15"/>
  <c r="G11" i="15"/>
  <c r="G145" i="15"/>
  <c r="H11" i="15"/>
  <c r="G177" i="15"/>
  <c r="H177" i="15" s="1"/>
  <c r="G12" i="15"/>
  <c r="H12" i="15" s="1"/>
  <c r="C43" i="15"/>
  <c r="H75" i="15"/>
  <c r="C180" i="15"/>
  <c r="C38" i="15"/>
  <c r="K6" i="11"/>
  <c r="M6" i="11" s="1"/>
  <c r="AB5" i="4"/>
  <c r="AC5" i="4" s="1"/>
  <c r="D62" i="10"/>
  <c r="G42" i="15"/>
  <c r="C7" i="15"/>
  <c r="G108" i="15"/>
  <c r="I39" i="15"/>
  <c r="C177" i="15"/>
  <c r="G109" i="15"/>
  <c r="H109" i="15" s="1"/>
  <c r="C141" i="15"/>
  <c r="G7" i="15"/>
  <c r="H7" i="15" s="1"/>
  <c r="G78" i="15"/>
  <c r="H78" i="15" s="1"/>
  <c r="C39" i="15"/>
  <c r="Z5" i="4"/>
  <c r="AA5" i="4" s="1"/>
  <c r="C2" i="16"/>
  <c r="Q143" i="15"/>
  <c r="AM49" i="4"/>
  <c r="C146" i="15"/>
  <c r="G80" i="15"/>
  <c r="H80" i="15" s="1"/>
  <c r="AM58" i="4"/>
  <c r="C110" i="15"/>
  <c r="G182" i="15"/>
  <c r="C80" i="15"/>
  <c r="Q12" i="15"/>
  <c r="Q8" i="15"/>
  <c r="S8" i="15" s="1"/>
  <c r="Q6" i="15"/>
  <c r="S6" i="15" s="1"/>
  <c r="Q147" i="15"/>
  <c r="G174" i="15"/>
  <c r="H174" i="15" s="1"/>
  <c r="G142" i="15"/>
  <c r="AO5" i="4"/>
  <c r="G41" i="15"/>
  <c r="H41" i="15" s="1"/>
  <c r="G46" i="15"/>
  <c r="H46" i="15" s="1"/>
  <c r="AM66" i="4"/>
  <c r="AH35" i="4"/>
  <c r="E37" i="9" s="1"/>
  <c r="C144" i="15"/>
  <c r="C111" i="15"/>
  <c r="C10" i="15"/>
  <c r="G74" i="15"/>
  <c r="H74" i="15" s="1"/>
  <c r="AN5" i="4"/>
  <c r="H143" i="15"/>
  <c r="G38" i="15"/>
  <c r="H38" i="15" s="1"/>
  <c r="AM74" i="4"/>
  <c r="AM59" i="4"/>
  <c r="G147" i="15"/>
  <c r="H10" i="15"/>
  <c r="G10" i="15"/>
  <c r="C42" i="15"/>
  <c r="G181" i="15"/>
  <c r="G148" i="15"/>
  <c r="C112" i="15"/>
  <c r="G175" i="15"/>
  <c r="H175" i="15" s="1"/>
  <c r="C45" i="15"/>
  <c r="C147" i="15"/>
  <c r="H122" i="20"/>
  <c r="H123" i="20" s="1"/>
  <c r="AN63" i="4"/>
  <c r="AM70" i="4"/>
  <c r="AM69" i="4"/>
  <c r="AM62" i="4"/>
  <c r="AM61" i="4"/>
  <c r="AM57" i="4"/>
  <c r="AM54" i="4"/>
  <c r="AM53" i="4"/>
  <c r="Q10" i="15"/>
  <c r="Q5" i="15"/>
  <c r="Q45" i="15"/>
  <c r="R45" i="15" s="1"/>
  <c r="Q43" i="15"/>
  <c r="R43" i="15" s="1"/>
  <c r="Q41" i="15"/>
  <c r="R41" i="15" s="1"/>
  <c r="Q39" i="15"/>
  <c r="R39" i="15" s="1"/>
  <c r="Q114" i="15"/>
  <c r="S114" i="15" s="1"/>
  <c r="Q112" i="15"/>
  <c r="Q110" i="15"/>
  <c r="Q108" i="15"/>
  <c r="Q106" i="15"/>
  <c r="S106" i="15" s="1"/>
  <c r="Q145" i="15"/>
  <c r="Q141" i="15"/>
  <c r="C5" i="15"/>
  <c r="C143" i="15"/>
  <c r="G45" i="15"/>
  <c r="H45" i="15" s="1"/>
  <c r="AM67" i="4"/>
  <c r="H111" i="15"/>
  <c r="H6" i="15"/>
  <c r="C74" i="15"/>
  <c r="G140" i="15"/>
  <c r="H140" i="15" s="1"/>
  <c r="C6" i="15"/>
  <c r="H42" i="15"/>
  <c r="G178" i="15"/>
  <c r="G44" i="15"/>
  <c r="AM56" i="4"/>
  <c r="AM72" i="4"/>
  <c r="AM65" i="4"/>
  <c r="H178" i="15"/>
  <c r="G179" i="15"/>
  <c r="G143" i="15"/>
  <c r="H77" i="15"/>
  <c r="AM55" i="4"/>
  <c r="AM71" i="4"/>
  <c r="G146" i="15"/>
  <c r="G110" i="15"/>
  <c r="G73" i="15"/>
  <c r="H73" i="15" s="1"/>
  <c r="I40" i="15"/>
  <c r="C9" i="15"/>
  <c r="G111" i="15"/>
  <c r="H44" i="15"/>
  <c r="C176" i="15"/>
  <c r="C114" i="15"/>
  <c r="C106" i="15"/>
  <c r="H110" i="15"/>
  <c r="G4" i="15"/>
  <c r="H4" i="15" s="1"/>
  <c r="G8" i="15"/>
  <c r="H8" i="15" s="1"/>
  <c r="G5" i="15"/>
  <c r="H5" i="15" s="1"/>
  <c r="C72" i="15"/>
  <c r="C76" i="15"/>
  <c r="G9" i="15"/>
  <c r="H9" i="15" s="1"/>
  <c r="AO53" i="4"/>
  <c r="AO57" i="4"/>
  <c r="AO61" i="4"/>
  <c r="AO69" i="4"/>
  <c r="AM64" i="4"/>
  <c r="AM73" i="4"/>
  <c r="H114" i="15"/>
  <c r="G106" i="15"/>
  <c r="H106" i="15" s="1"/>
  <c r="C179" i="15"/>
  <c r="C107" i="15"/>
  <c r="H107" i="15"/>
  <c r="AM50" i="4"/>
  <c r="AM60" i="4"/>
  <c r="AM68" i="4"/>
  <c r="H179" i="15"/>
  <c r="H182" i="15"/>
  <c r="G114" i="15"/>
  <c r="H40" i="15"/>
  <c r="G40" i="15"/>
  <c r="G176" i="15"/>
  <c r="C182" i="15"/>
  <c r="C142" i="15"/>
  <c r="I41" i="15"/>
  <c r="H147" i="15"/>
  <c r="H76" i="15"/>
  <c r="H72" i="15"/>
  <c r="AP30" i="14"/>
  <c r="AX30" i="14"/>
  <c r="E67" i="16" s="1"/>
  <c r="T30" i="14"/>
  <c r="U30" i="14" s="1"/>
  <c r="D317" i="10"/>
  <c r="D267" i="10"/>
  <c r="AN30" i="14"/>
  <c r="AM30" i="14"/>
  <c r="Z28" i="12"/>
  <c r="AP28" i="12"/>
  <c r="AB28" i="12"/>
  <c r="AX28" i="12"/>
  <c r="E35" i="16" s="1"/>
  <c r="R28" i="12"/>
  <c r="S28" i="12" s="1"/>
  <c r="B10" i="11"/>
  <c r="C66" i="16"/>
  <c r="D366" i="10"/>
  <c r="Z29" i="14"/>
  <c r="AA29" i="14" s="1"/>
  <c r="AB29" i="14"/>
  <c r="AC29" i="14" s="1"/>
  <c r="G8" i="11"/>
  <c r="I8" i="11" s="1"/>
  <c r="R29" i="14"/>
  <c r="S29" i="14" s="1"/>
  <c r="D316" i="10"/>
  <c r="T29" i="14"/>
  <c r="U29" i="14" s="1"/>
  <c r="AN29" i="14"/>
  <c r="D65" i="16"/>
  <c r="D315" i="10"/>
  <c r="D265" i="10"/>
  <c r="J28" i="14"/>
  <c r="K28" i="14" s="1"/>
  <c r="L28" i="14"/>
  <c r="M28" i="14" s="1"/>
  <c r="AN28" i="14"/>
  <c r="AM28" i="14"/>
  <c r="D34" i="16"/>
  <c r="R27" i="12"/>
  <c r="S27" i="12" s="1"/>
  <c r="D164" i="10"/>
  <c r="AO27" i="12"/>
  <c r="H426" i="20"/>
  <c r="H427" i="20" s="1"/>
  <c r="AM101" i="12"/>
  <c r="K8" i="11"/>
  <c r="M8" i="11" s="1"/>
  <c r="D364" i="10"/>
  <c r="AH55" i="14"/>
  <c r="E39" i="9" s="1"/>
  <c r="T27" i="14"/>
  <c r="U27" i="14" s="1"/>
  <c r="D314" i="10"/>
  <c r="J27" i="14"/>
  <c r="K27" i="14" s="1"/>
  <c r="D264" i="10"/>
  <c r="C8" i="11"/>
  <c r="E8" i="11" s="1"/>
  <c r="AX27" i="14"/>
  <c r="E64" i="16" s="1"/>
  <c r="L27" i="14"/>
  <c r="AN27" i="14"/>
  <c r="D58" i="9"/>
  <c r="AX86" i="12"/>
  <c r="P33" i="16" s="1"/>
  <c r="AB87" i="14"/>
  <c r="AX87" i="14"/>
  <c r="P64" i="16" s="1"/>
  <c r="T87" i="14"/>
  <c r="J1586" i="20"/>
  <c r="J1587" i="20" s="1"/>
  <c r="Z26" i="12"/>
  <c r="AA26" i="12" s="1"/>
  <c r="K7" i="11"/>
  <c r="M7" i="11" s="1"/>
  <c r="AX26" i="12"/>
  <c r="E33" i="16" s="1"/>
  <c r="AH55" i="12"/>
  <c r="E38" i="9" s="1"/>
  <c r="F10" i="11"/>
  <c r="B41" i="9"/>
  <c r="K21" i="11"/>
  <c r="M21" i="11" s="1"/>
  <c r="AB86" i="14"/>
  <c r="AC86" i="14" s="1"/>
  <c r="J23" i="11"/>
  <c r="F23" i="11"/>
  <c r="AX86" i="14"/>
  <c r="P63" i="16" s="1"/>
  <c r="C21" i="11"/>
  <c r="E21" i="11" s="1"/>
  <c r="D653" i="10"/>
  <c r="J86" i="14"/>
  <c r="K86" i="14" s="1"/>
  <c r="L86" i="14"/>
  <c r="M86" i="14" s="1"/>
  <c r="AX26" i="14"/>
  <c r="E63" i="16" s="1"/>
  <c r="D363" i="10"/>
  <c r="AM96" i="14"/>
  <c r="AM114" i="14"/>
  <c r="AM108" i="14"/>
  <c r="T26" i="14"/>
  <c r="U26" i="14" s="1"/>
  <c r="AO26" i="14"/>
  <c r="AM104" i="14"/>
  <c r="AM95" i="14"/>
  <c r="AM92" i="14"/>
  <c r="L26" i="14"/>
  <c r="M26" i="14" s="1"/>
  <c r="AM105" i="14"/>
  <c r="AN26" i="14"/>
  <c r="F86" i="14" s="1"/>
  <c r="J26" i="14"/>
  <c r="D263" i="10"/>
  <c r="AB65" i="14"/>
  <c r="Z65" i="14"/>
  <c r="AA65" i="14" s="1"/>
  <c r="AH115" i="14"/>
  <c r="E56" i="9" s="1"/>
  <c r="B58" i="9"/>
  <c r="B23" i="11"/>
  <c r="H1542" i="20"/>
  <c r="H1543" i="20" s="1"/>
  <c r="I1442" i="20"/>
  <c r="I1443" i="20" s="1"/>
  <c r="G342" i="10"/>
  <c r="AM101" i="14"/>
  <c r="AM91" i="14"/>
  <c r="AP5" i="14"/>
  <c r="V65" i="14" s="1"/>
  <c r="AM93" i="14"/>
  <c r="AM111" i="14"/>
  <c r="AM98" i="14"/>
  <c r="AM103" i="14"/>
  <c r="C41" i="9"/>
  <c r="AM109" i="14"/>
  <c r="AM113" i="14"/>
  <c r="AM106" i="14"/>
  <c r="AM5" i="14"/>
  <c r="F139" i="19"/>
  <c r="AP107" i="14"/>
  <c r="AM107" i="14"/>
  <c r="AO102" i="14"/>
  <c r="AM102" i="14"/>
  <c r="AP99" i="14"/>
  <c r="AM99" i="14"/>
  <c r="AM94" i="14"/>
  <c r="AO94" i="14"/>
  <c r="AM110" i="14"/>
  <c r="AM97" i="14"/>
  <c r="AM100" i="14"/>
  <c r="AM112" i="14"/>
  <c r="AP91" i="14"/>
  <c r="C55" i="9"/>
  <c r="G20" i="11"/>
  <c r="H20" i="11" s="1"/>
  <c r="F249" i="19"/>
  <c r="G249" i="19" s="1"/>
  <c r="AX65" i="12"/>
  <c r="P32" i="16" s="1"/>
  <c r="D532" i="10"/>
  <c r="R65" i="12"/>
  <c r="T65" i="12"/>
  <c r="U65" i="12" s="1"/>
  <c r="J65" i="12"/>
  <c r="C136" i="18"/>
  <c r="C133" i="18"/>
  <c r="F81" i="18"/>
  <c r="H81" i="18" s="1"/>
  <c r="F83" i="18"/>
  <c r="H83" i="18" s="1"/>
  <c r="AM113" i="12"/>
  <c r="AM97" i="12"/>
  <c r="J10" i="11"/>
  <c r="AN94" i="12"/>
  <c r="AM94" i="12"/>
  <c r="AO5" i="12"/>
  <c r="F80" i="18"/>
  <c r="H80" i="18" s="1"/>
  <c r="F82" i="18"/>
  <c r="H82" i="18" s="1"/>
  <c r="F86" i="18"/>
  <c r="H86" i="18" s="1"/>
  <c r="D142" i="10"/>
  <c r="AM93" i="12"/>
  <c r="AM109" i="12"/>
  <c r="F113" i="19"/>
  <c r="G113" i="19" s="1"/>
  <c r="AX5" i="12"/>
  <c r="E32" i="16" s="1"/>
  <c r="C134" i="18"/>
  <c r="G304" i="19"/>
  <c r="AM105" i="12"/>
  <c r="AN101" i="12"/>
  <c r="J5" i="12"/>
  <c r="K5" i="12" s="1"/>
  <c r="F138" i="18"/>
  <c r="G138" i="18" s="1"/>
  <c r="C138" i="18"/>
  <c r="AM110" i="12"/>
  <c r="F141" i="19"/>
  <c r="G141" i="19" s="1"/>
  <c r="F245" i="19"/>
  <c r="G245" i="19" s="1"/>
  <c r="AM102" i="12"/>
  <c r="F136" i="18"/>
  <c r="G136" i="18" s="1"/>
  <c r="F522" i="19"/>
  <c r="F32" i="18"/>
  <c r="G32" i="18" s="1"/>
  <c r="C28" i="18"/>
  <c r="G134" i="18"/>
  <c r="F304" i="19"/>
  <c r="F520" i="19"/>
  <c r="G520" i="19" s="1"/>
  <c r="AM112" i="12"/>
  <c r="AM107" i="12"/>
  <c r="F84" i="18"/>
  <c r="H84" i="18" s="1"/>
  <c r="F58" i="19"/>
  <c r="G133" i="18"/>
  <c r="F303" i="19"/>
  <c r="AN114" i="12"/>
  <c r="AM114" i="12"/>
  <c r="AO111" i="12"/>
  <c r="AM111" i="12"/>
  <c r="AP108" i="12"/>
  <c r="AM108" i="12"/>
  <c r="AM106" i="12"/>
  <c r="AN106" i="12"/>
  <c r="AM104" i="12"/>
  <c r="AP104" i="12"/>
  <c r="AO103" i="12"/>
  <c r="AM103" i="12"/>
  <c r="AP100" i="12"/>
  <c r="AM100" i="12"/>
  <c r="AM99" i="12"/>
  <c r="AO99" i="12"/>
  <c r="AM98" i="12"/>
  <c r="AN98" i="12"/>
  <c r="AM96" i="12"/>
  <c r="AP96" i="12"/>
  <c r="AO95" i="12"/>
  <c r="AM95" i="12"/>
  <c r="AP92" i="12"/>
  <c r="AM92" i="12"/>
  <c r="AO91" i="12"/>
  <c r="AM91" i="12"/>
  <c r="AP88" i="12"/>
  <c r="AM88" i="12"/>
  <c r="D37" i="20"/>
  <c r="J36" i="20"/>
  <c r="J37" i="20" s="1"/>
  <c r="H576" i="20"/>
  <c r="H577" i="20" s="1"/>
  <c r="J576" i="20"/>
  <c r="J577" i="20" s="1"/>
  <c r="I1206" i="20"/>
  <c r="I1207" i="20" s="1"/>
  <c r="J1206" i="20"/>
  <c r="J1207" i="20" s="1"/>
  <c r="D1191" i="20"/>
  <c r="J1190" i="20"/>
  <c r="J1191" i="20" s="1"/>
  <c r="J1314" i="20"/>
  <c r="J1315" i="20" s="1"/>
  <c r="I1314" i="20"/>
  <c r="I1315" i="20" s="1"/>
  <c r="J1342" i="20"/>
  <c r="J1343" i="20" s="1"/>
  <c r="I1342" i="20"/>
  <c r="I1343" i="20" s="1"/>
  <c r="H1394" i="20"/>
  <c r="H1395" i="20" s="1"/>
  <c r="J1394" i="20"/>
  <c r="J1395" i="20" s="1"/>
  <c r="J1386" i="20"/>
  <c r="J1387" i="20" s="1"/>
  <c r="H1386" i="20"/>
  <c r="H1387" i="20" s="1"/>
  <c r="H1538" i="20"/>
  <c r="H1539" i="20" s="1"/>
  <c r="J1538" i="20"/>
  <c r="J1539" i="20" s="1"/>
  <c r="J1514" i="20"/>
  <c r="J1515" i="20" s="1"/>
  <c r="H1514" i="20"/>
  <c r="H1515" i="20" s="1"/>
  <c r="I1498" i="20"/>
  <c r="I1499" i="20" s="1"/>
  <c r="H1498" i="20"/>
  <c r="H1499" i="20" s="1"/>
  <c r="H626" i="20"/>
  <c r="H627" i="20" s="1"/>
  <c r="J626" i="20"/>
  <c r="J627" i="20" s="1"/>
  <c r="I638" i="20"/>
  <c r="I639" i="20" s="1"/>
  <c r="J638" i="20"/>
  <c r="J639" i="20" s="1"/>
  <c r="D647" i="20"/>
  <c r="I646" i="20"/>
  <c r="I647" i="20" s="1"/>
  <c r="D663" i="20"/>
  <c r="I662" i="20"/>
  <c r="I663" i="20" s="1"/>
  <c r="I726" i="20"/>
  <c r="I727" i="20" s="1"/>
  <c r="J726" i="20"/>
  <c r="J727" i="20" s="1"/>
  <c r="D743" i="20"/>
  <c r="H742" i="20"/>
  <c r="H743" i="20" s="1"/>
  <c r="J746" i="20"/>
  <c r="J747" i="20" s="1"/>
  <c r="I746" i="20"/>
  <c r="I747" i="20" s="1"/>
  <c r="AE15" i="22"/>
  <c r="C181" i="15"/>
  <c r="H181" i="15"/>
  <c r="C140" i="15"/>
  <c r="G144" i="15"/>
  <c r="H108" i="15"/>
  <c r="H148" i="15"/>
  <c r="J1410" i="20"/>
  <c r="J1411" i="20" s="1"/>
  <c r="H1530" i="20"/>
  <c r="H1531" i="20" s="1"/>
  <c r="D1629" i="20"/>
  <c r="H1628" i="20"/>
  <c r="H1629" i="20" s="1"/>
  <c r="D1741" i="20"/>
  <c r="J1740" i="20"/>
  <c r="J1741" i="20" s="1"/>
  <c r="I530" i="20"/>
  <c r="I531" i="20" s="1"/>
  <c r="D41" i="9"/>
  <c r="D1623" i="20"/>
  <c r="H1622" i="20"/>
  <c r="H1623" i="20" s="1"/>
  <c r="F79" i="18"/>
  <c r="H79" i="18" s="1"/>
  <c r="F166" i="18"/>
  <c r="AE6" i="22"/>
  <c r="G412" i="19"/>
  <c r="F167" i="19"/>
  <c r="F243" i="19"/>
  <c r="G243" i="19" s="1"/>
  <c r="G135" i="19"/>
  <c r="C26" i="18"/>
  <c r="F85" i="18"/>
  <c r="H85" i="18" s="1"/>
  <c r="F247" i="19"/>
  <c r="G247" i="19" s="1"/>
  <c r="F30" i="18"/>
  <c r="G30" i="18" s="1"/>
  <c r="G522" i="19"/>
  <c r="F28" i="18"/>
  <c r="G28" i="18" s="1"/>
  <c r="C30" i="18"/>
  <c r="F137" i="19"/>
  <c r="F220" i="18"/>
  <c r="G220" i="18" s="1"/>
  <c r="G26" i="18"/>
  <c r="G413" i="19"/>
  <c r="F413" i="19"/>
  <c r="G139" i="19"/>
  <c r="G137" i="19"/>
  <c r="F140" i="18"/>
  <c r="G140" i="18" s="1"/>
  <c r="F135" i="19"/>
  <c r="C4" i="18"/>
  <c r="F4" i="18"/>
  <c r="G4" i="18" s="1"/>
  <c r="C44" i="15"/>
  <c r="C140" i="18"/>
  <c r="F251" i="19"/>
  <c r="G251" i="19" s="1"/>
  <c r="C25" i="18"/>
  <c r="F25" i="18"/>
  <c r="G25" i="18" s="1"/>
  <c r="F27" i="18"/>
  <c r="G27" i="18" s="1"/>
  <c r="C27" i="18"/>
  <c r="F29" i="18"/>
  <c r="G29" i="18" s="1"/>
  <c r="C29" i="18"/>
  <c r="F31" i="18"/>
  <c r="G31" i="18" s="1"/>
  <c r="C31" i="18"/>
  <c r="F112" i="18"/>
  <c r="G112" i="18" s="1"/>
  <c r="C112" i="18"/>
  <c r="C139" i="18"/>
  <c r="G139" i="18"/>
  <c r="F137" i="18"/>
  <c r="G137" i="18" s="1"/>
  <c r="F135" i="18"/>
  <c r="G135" i="18" s="1"/>
  <c r="C135" i="18"/>
  <c r="F4" i="19"/>
  <c r="G4" i="19" s="1"/>
  <c r="G140" i="19"/>
  <c r="F305" i="19"/>
  <c r="G305" i="19" s="1"/>
  <c r="C137" i="18"/>
  <c r="F411" i="19"/>
  <c r="G411" i="19" s="1"/>
  <c r="F521" i="19"/>
  <c r="AD53" i="22"/>
  <c r="AF53" i="22" s="1"/>
  <c r="AG53" i="22" s="1"/>
  <c r="AM51" i="4"/>
  <c r="AM52" i="4"/>
  <c r="AD32" i="22"/>
  <c r="AF32" i="22" s="1"/>
  <c r="AG32" i="22" s="1"/>
  <c r="AD16" i="22"/>
  <c r="AF16" i="22" s="1"/>
  <c r="AG16" i="22" s="1"/>
  <c r="AE16" i="22"/>
  <c r="AI24" i="22"/>
  <c r="AH24" i="22"/>
  <c r="AJ24" i="22" s="1"/>
  <c r="AK24" i="22" s="1"/>
  <c r="AH15" i="22"/>
  <c r="AJ15" i="22" s="1"/>
  <c r="AK15" i="22" s="1"/>
  <c r="AI15" i="22"/>
  <c r="AD8" i="22"/>
  <c r="AF8" i="22" s="1"/>
  <c r="AG8" i="22" s="1"/>
  <c r="AE8" i="22"/>
  <c r="AI30" i="22"/>
  <c r="AH30" i="22"/>
  <c r="AJ30" i="22" s="1"/>
  <c r="AK30" i="22" s="1"/>
  <c r="AE28" i="22"/>
  <c r="AD28" i="22"/>
  <c r="AF28" i="22" s="1"/>
  <c r="AG28" i="22" s="1"/>
  <c r="AE24" i="22"/>
  <c r="AD24" i="22"/>
  <c r="AF24" i="22" s="1"/>
  <c r="AG24" i="22" s="1"/>
  <c r="AE23" i="22"/>
  <c r="AD23" i="22"/>
  <c r="AF23" i="22" s="1"/>
  <c r="AG23" i="22" s="1"/>
  <c r="G175" i="23"/>
  <c r="I78" i="23"/>
  <c r="C181" i="23"/>
  <c r="G111" i="23"/>
  <c r="H5" i="23"/>
  <c r="C78" i="23"/>
  <c r="I111" i="23"/>
  <c r="I146" i="23"/>
  <c r="H9" i="23"/>
  <c r="G146" i="23"/>
  <c r="G179" i="23"/>
  <c r="C144" i="23"/>
  <c r="I140" i="23"/>
  <c r="I107" i="23"/>
  <c r="I74" i="23"/>
  <c r="H45" i="23"/>
  <c r="I39" i="23"/>
  <c r="H11" i="23"/>
  <c r="H7" i="23"/>
  <c r="I72" i="23"/>
  <c r="G177" i="23"/>
  <c r="C146" i="23"/>
  <c r="C140" i="23"/>
  <c r="C179" i="23"/>
  <c r="I142" i="23"/>
  <c r="I113" i="23"/>
  <c r="I109" i="23"/>
  <c r="I80" i="23"/>
  <c r="I76" i="23"/>
  <c r="H41" i="23"/>
  <c r="G43" i="23"/>
  <c r="I179" i="23"/>
  <c r="G107" i="23"/>
  <c r="C142" i="23"/>
  <c r="Q9" i="23"/>
  <c r="S9" i="23" s="1"/>
  <c r="Q12" i="23"/>
  <c r="S12" i="23" s="1"/>
  <c r="Q42" i="23"/>
  <c r="S42" i="23" s="1"/>
  <c r="Q111" i="23"/>
  <c r="S111" i="23" s="1"/>
  <c r="Q113" i="23"/>
  <c r="S113" i="23" s="1"/>
  <c r="Q148" i="23"/>
  <c r="S148" i="23" s="1"/>
  <c r="I73" i="23"/>
  <c r="I12" i="23"/>
  <c r="I106" i="23"/>
  <c r="G4" i="23"/>
  <c r="C42" i="23"/>
  <c r="I174" i="23"/>
  <c r="H90" i="20"/>
  <c r="H91" i="20" s="1"/>
  <c r="H130" i="20"/>
  <c r="H131" i="20" s="1"/>
  <c r="I162" i="20"/>
  <c r="I163" i="20" s="1"/>
  <c r="I114" i="20"/>
  <c r="I115" i="20" s="1"/>
  <c r="I378" i="20"/>
  <c r="I379" i="20" s="1"/>
  <c r="H42" i="20"/>
  <c r="H43" i="20" s="1"/>
  <c r="J26" i="20"/>
  <c r="J27" i="20" s="1"/>
  <c r="I430" i="20"/>
  <c r="I431" i="20" s="1"/>
  <c r="J30" i="20"/>
  <c r="J31" i="20" s="1"/>
  <c r="D1023" i="20"/>
  <c r="I1022" i="20"/>
  <c r="I1023" i="20" s="1"/>
  <c r="J1022" i="20"/>
  <c r="J1023" i="20" s="1"/>
  <c r="H1226" i="20"/>
  <c r="H1227" i="20" s="1"/>
  <c r="J1226" i="20"/>
  <c r="J1227" i="20" s="1"/>
  <c r="I1214" i="20"/>
  <c r="I1215" i="20" s="1"/>
  <c r="H1214" i="20"/>
  <c r="H1215" i="20" s="1"/>
  <c r="J1210" i="20"/>
  <c r="J1211" i="20" s="1"/>
  <c r="H1210" i="20"/>
  <c r="H1211" i="20" s="1"/>
  <c r="H1198" i="20"/>
  <c r="H1199" i="20" s="1"/>
  <c r="J1198" i="20"/>
  <c r="J1199" i="20" s="1"/>
  <c r="I1330" i="20"/>
  <c r="I1331" i="20" s="1"/>
  <c r="H1330" i="20"/>
  <c r="H1331" i="20" s="1"/>
  <c r="H1318" i="20"/>
  <c r="H1319" i="20" s="1"/>
  <c r="I1318" i="20"/>
  <c r="I1319" i="20" s="1"/>
  <c r="D1311" i="20"/>
  <c r="J1310" i="20"/>
  <c r="J1311" i="20" s="1"/>
  <c r="J1290" i="20"/>
  <c r="J1291" i="20" s="1"/>
  <c r="I1290" i="20"/>
  <c r="I1291" i="20" s="1"/>
  <c r="D1343" i="20"/>
  <c r="H1342" i="20"/>
  <c r="H1343" i="20" s="1"/>
  <c r="D1435" i="20"/>
  <c r="J1434" i="20"/>
  <c r="J1435" i="20" s="1"/>
  <c r="D1403" i="20"/>
  <c r="J1402" i="20"/>
  <c r="J1403" i="20" s="1"/>
  <c r="D1531" i="20"/>
  <c r="I1530" i="20"/>
  <c r="I1531" i="20" s="1"/>
  <c r="D1515" i="20"/>
  <c r="I1514" i="20"/>
  <c r="I1515" i="20" s="1"/>
  <c r="D1511" i="20"/>
  <c r="J1510" i="20"/>
  <c r="J1511" i="20" s="1"/>
  <c r="I1510" i="20"/>
  <c r="I1511" i="20" s="1"/>
  <c r="D1491" i="20"/>
  <c r="J1490" i="20"/>
  <c r="J1491" i="20" s="1"/>
  <c r="I1490" i="20"/>
  <c r="I1491" i="20" s="1"/>
  <c r="H628" i="20"/>
  <c r="H629" i="20" s="1"/>
  <c r="J628" i="20"/>
  <c r="J629" i="20" s="1"/>
  <c r="I630" i="20"/>
  <c r="I631" i="20" s="1"/>
  <c r="H630" i="20"/>
  <c r="H631" i="20" s="1"/>
  <c r="H644" i="20"/>
  <c r="H645" i="20" s="1"/>
  <c r="J644" i="20"/>
  <c r="J645" i="20" s="1"/>
  <c r="H650" i="20"/>
  <c r="H651" i="20" s="1"/>
  <c r="I650" i="20"/>
  <c r="I651" i="20" s="1"/>
  <c r="D653" i="20"/>
  <c r="J652" i="20"/>
  <c r="J653" i="20" s="1"/>
  <c r="H660" i="20"/>
  <c r="H661" i="20" s="1"/>
  <c r="J660" i="20"/>
  <c r="J661" i="20" s="1"/>
  <c r="D667" i="20"/>
  <c r="I666" i="20"/>
  <c r="I667" i="20" s="1"/>
  <c r="H676" i="20"/>
  <c r="H677" i="20" s="1"/>
  <c r="J676" i="20"/>
  <c r="J677" i="20" s="1"/>
  <c r="D681" i="20"/>
  <c r="H680" i="20"/>
  <c r="H681" i="20" s="1"/>
  <c r="J680" i="20"/>
  <c r="J681" i="20" s="1"/>
  <c r="I680" i="20"/>
  <c r="I681" i="20" s="1"/>
  <c r="D729" i="20"/>
  <c r="J728" i="20"/>
  <c r="J729" i="20" s="1"/>
  <c r="D731" i="20"/>
  <c r="H730" i="20"/>
  <c r="H731" i="20" s="1"/>
  <c r="J730" i="20"/>
  <c r="J731" i="20" s="1"/>
  <c r="I732" i="20"/>
  <c r="I733" i="20" s="1"/>
  <c r="H732" i="20"/>
  <c r="H733" i="20" s="1"/>
  <c r="I734" i="20"/>
  <c r="I735" i="20" s="1"/>
  <c r="J734" i="20"/>
  <c r="J735" i="20" s="1"/>
  <c r="D739" i="20"/>
  <c r="H738" i="20"/>
  <c r="H739" i="20" s="1"/>
  <c r="D753" i="20"/>
  <c r="H752" i="20"/>
  <c r="H753" i="20" s="1"/>
  <c r="H758" i="20"/>
  <c r="H759" i="20" s="1"/>
  <c r="J758" i="20"/>
  <c r="J759" i="20" s="1"/>
  <c r="D763" i="20"/>
  <c r="H762" i="20"/>
  <c r="H763" i="20" s="1"/>
  <c r="D771" i="20"/>
  <c r="J770" i="20"/>
  <c r="J771" i="20" s="1"/>
  <c r="I770" i="20"/>
  <c r="I771" i="20" s="1"/>
  <c r="D773" i="20"/>
  <c r="J772" i="20"/>
  <c r="J773" i="20" s="1"/>
  <c r="I1542" i="20"/>
  <c r="I1543" i="20" s="1"/>
  <c r="D1635" i="20"/>
  <c r="H1634" i="20"/>
  <c r="H1635" i="20" s="1"/>
  <c r="J1634" i="20"/>
  <c r="J1635" i="20" s="1"/>
  <c r="D1611" i="20"/>
  <c r="J1610" i="20"/>
  <c r="J1611" i="20" s="1"/>
  <c r="D1607" i="20"/>
  <c r="H1606" i="20"/>
  <c r="H1607" i="20" s="1"/>
  <c r="H1602" i="20"/>
  <c r="H1603" i="20" s="1"/>
  <c r="I1602" i="20"/>
  <c r="I1603" i="20" s="1"/>
  <c r="D1591" i="20"/>
  <c r="H1590" i="20"/>
  <c r="H1591" i="20" s="1"/>
  <c r="J1590" i="20"/>
  <c r="J1591" i="20" s="1"/>
  <c r="D1739" i="20"/>
  <c r="I1738" i="20"/>
  <c r="I1739" i="20" s="1"/>
  <c r="J1738" i="20"/>
  <c r="J1739" i="20" s="1"/>
  <c r="D1727" i="20"/>
  <c r="J1726" i="20"/>
  <c r="J1727" i="20" s="1"/>
  <c r="I1726" i="20"/>
  <c r="I1727" i="20" s="1"/>
  <c r="J1706" i="20"/>
  <c r="J1707" i="20" s="1"/>
  <c r="I1706" i="20"/>
  <c r="I1707" i="20" s="1"/>
  <c r="D1695" i="20"/>
  <c r="J1694" i="20"/>
  <c r="J1695" i="20" s="1"/>
  <c r="I1694" i="20"/>
  <c r="I1695" i="20" s="1"/>
  <c r="D1691" i="20"/>
  <c r="H1690" i="20"/>
  <c r="H1691" i="20" s="1"/>
  <c r="H1238" i="20"/>
  <c r="H1239" i="20" s="1"/>
  <c r="H1230" i="20"/>
  <c r="H1231" i="20" s="1"/>
  <c r="J1194" i="20"/>
  <c r="J1195" i="20" s="1"/>
  <c r="J1222" i="20"/>
  <c r="J1223" i="20" s="1"/>
  <c r="D11" i="20"/>
  <c r="H10" i="20"/>
  <c r="H11" i="20" s="1"/>
  <c r="J10" i="20"/>
  <c r="J11" i="20" s="1"/>
  <c r="I14" i="20"/>
  <c r="I15" i="20" s="1"/>
  <c r="J14" i="20"/>
  <c r="J15" i="20" s="1"/>
  <c r="D19" i="20"/>
  <c r="H18" i="20"/>
  <c r="H19" i="20" s="1"/>
  <c r="H21" i="20" s="1"/>
  <c r="I18" i="20"/>
  <c r="I19" i="20" s="1"/>
  <c r="D43" i="20"/>
  <c r="J42" i="20"/>
  <c r="J43" i="20" s="1"/>
  <c r="J46" i="20"/>
  <c r="J47" i="20" s="1"/>
  <c r="I46" i="20"/>
  <c r="I47" i="20" s="1"/>
  <c r="D51" i="20"/>
  <c r="J50" i="20"/>
  <c r="J51" i="20" s="1"/>
  <c r="H50" i="20"/>
  <c r="H51" i="20" s="1"/>
  <c r="D55" i="20"/>
  <c r="H54" i="20"/>
  <c r="H55" i="20" s="1"/>
  <c r="J54" i="20"/>
  <c r="J55" i="20" s="1"/>
  <c r="I54" i="20"/>
  <c r="I55" i="20" s="1"/>
  <c r="D59" i="20"/>
  <c r="I58" i="20"/>
  <c r="I59" i="20" s="1"/>
  <c r="H66" i="20"/>
  <c r="H67" i="20" s="1"/>
  <c r="J66" i="20"/>
  <c r="J67" i="20" s="1"/>
  <c r="D87" i="20"/>
  <c r="H86" i="20"/>
  <c r="H87" i="20" s="1"/>
  <c r="D103" i="20"/>
  <c r="H102" i="20"/>
  <c r="H103" i="20" s="1"/>
  <c r="J102" i="20"/>
  <c r="J103" i="20" s="1"/>
  <c r="I102" i="20"/>
  <c r="I103" i="20" s="1"/>
  <c r="I106" i="20"/>
  <c r="I107" i="20" s="1"/>
  <c r="J106" i="20"/>
  <c r="J107" i="20" s="1"/>
  <c r="D127" i="20"/>
  <c r="H126" i="20"/>
  <c r="H127" i="20" s="1"/>
  <c r="H154" i="20"/>
  <c r="H155" i="20" s="1"/>
  <c r="I154" i="20"/>
  <c r="I155" i="20" s="1"/>
  <c r="I158" i="20"/>
  <c r="I159" i="20" s="1"/>
  <c r="J158" i="20"/>
  <c r="J159" i="20" s="1"/>
  <c r="I170" i="20"/>
  <c r="I171" i="20" s="1"/>
  <c r="J170" i="20"/>
  <c r="J171" i="20" s="1"/>
  <c r="J182" i="20"/>
  <c r="J183" i="20" s="1"/>
  <c r="I182" i="20"/>
  <c r="I183" i="20" s="1"/>
  <c r="J238" i="20"/>
  <c r="J239" i="20" s="1"/>
  <c r="H238" i="20"/>
  <c r="H239" i="20" s="1"/>
  <c r="D247" i="20"/>
  <c r="H246" i="20"/>
  <c r="H247" i="20" s="1"/>
  <c r="J246" i="20"/>
  <c r="J247" i="20" s="1"/>
  <c r="H250" i="20"/>
  <c r="H251" i="20" s="1"/>
  <c r="J250" i="20"/>
  <c r="J251" i="20" s="1"/>
  <c r="H262" i="20"/>
  <c r="H263" i="20" s="1"/>
  <c r="I262" i="20"/>
  <c r="I263" i="20" s="1"/>
  <c r="D279" i="20"/>
  <c r="J278" i="20"/>
  <c r="J279" i="20" s="1"/>
  <c r="J330" i="20"/>
  <c r="J331" i="20" s="1"/>
  <c r="I330" i="20"/>
  <c r="I331" i="20" s="1"/>
  <c r="I346" i="20"/>
  <c r="I347" i="20" s="1"/>
  <c r="H346" i="20"/>
  <c r="H347" i="20" s="1"/>
  <c r="J350" i="20"/>
  <c r="J351" i="20" s="1"/>
  <c r="H350" i="20"/>
  <c r="H351" i="20" s="1"/>
  <c r="D371" i="20"/>
  <c r="H370" i="20"/>
  <c r="H371" i="20" s="1"/>
  <c r="I374" i="20"/>
  <c r="I375" i="20" s="1"/>
  <c r="H374" i="20"/>
  <c r="H375" i="20" s="1"/>
  <c r="I434" i="20"/>
  <c r="I435" i="20" s="1"/>
  <c r="H434" i="20"/>
  <c r="H435" i="20" s="1"/>
  <c r="D443" i="20"/>
  <c r="I442" i="20"/>
  <c r="I443" i="20" s="1"/>
  <c r="D447" i="20"/>
  <c r="J446" i="20"/>
  <c r="J447" i="20" s="1"/>
  <c r="H454" i="20"/>
  <c r="H455" i="20" s="1"/>
  <c r="J454" i="20"/>
  <c r="J455" i="20" s="1"/>
  <c r="H474" i="20"/>
  <c r="H475" i="20" s="1"/>
  <c r="J474" i="20"/>
  <c r="J475" i="20" s="1"/>
  <c r="D479" i="20"/>
  <c r="H478" i="20"/>
  <c r="H479" i="20" s="1"/>
  <c r="I578" i="20"/>
  <c r="I579" i="20" s="1"/>
  <c r="J578" i="20"/>
  <c r="J579" i="20" s="1"/>
  <c r="D571" i="20"/>
  <c r="J570" i="20"/>
  <c r="J571" i="20" s="1"/>
  <c r="D563" i="20"/>
  <c r="J562" i="20"/>
  <c r="J563" i="20" s="1"/>
  <c r="J546" i="20"/>
  <c r="J547" i="20" s="1"/>
  <c r="I546" i="20"/>
  <c r="I547" i="20" s="1"/>
  <c r="J534" i="20"/>
  <c r="J535" i="20" s="1"/>
  <c r="I534" i="20"/>
  <c r="I535" i="20" s="1"/>
  <c r="I526" i="20"/>
  <c r="I527" i="20" s="1"/>
  <c r="J526" i="20"/>
  <c r="J527" i="20" s="1"/>
  <c r="H678" i="20"/>
  <c r="H679" i="20" s="1"/>
  <c r="J866" i="20"/>
  <c r="J867" i="20" s="1"/>
  <c r="J868" i="20" s="1"/>
  <c r="J869" i="20" s="1"/>
  <c r="J870" i="20" s="1"/>
  <c r="J871" i="20" s="1"/>
  <c r="I1916" i="20"/>
  <c r="I1917" i="20" s="1"/>
  <c r="I1918" i="20" s="1"/>
  <c r="I1919" i="20" s="1"/>
  <c r="I1920" i="20" s="1"/>
  <c r="I1921" i="20" s="1"/>
  <c r="H956" i="20"/>
  <c r="D345" i="20"/>
  <c r="I344" i="20"/>
  <c r="I345" i="20" s="1"/>
  <c r="I440" i="20"/>
  <c r="I441" i="20" s="1"/>
  <c r="J440" i="20"/>
  <c r="J441" i="20" s="1"/>
  <c r="D1237" i="20"/>
  <c r="J1236" i="20"/>
  <c r="J1237" i="20" s="1"/>
  <c r="D1185" i="20"/>
  <c r="J1184" i="20"/>
  <c r="J1185" i="20" s="1"/>
  <c r="I1400" i="20"/>
  <c r="I1401" i="20" s="1"/>
  <c r="J1400" i="20"/>
  <c r="J1401" i="20" s="1"/>
  <c r="H1632" i="20"/>
  <c r="H1633" i="20" s="1"/>
  <c r="I1632" i="20"/>
  <c r="I1633" i="20" s="1"/>
  <c r="D1733" i="20"/>
  <c r="I1732" i="20"/>
  <c r="I1733" i="20" s="1"/>
  <c r="D1701" i="20"/>
  <c r="J1700" i="20"/>
  <c r="J1701" i="20" s="1"/>
  <c r="D1743" i="20"/>
  <c r="D1744" i="20" s="1"/>
  <c r="D1745" i="20" s="1"/>
  <c r="D1746" i="20" s="1"/>
  <c r="D1747" i="20" s="1"/>
  <c r="H1742" i="20"/>
  <c r="H1743" i="20" s="1"/>
  <c r="H1744" i="20" s="1"/>
  <c r="H1745" i="20" s="1"/>
  <c r="H1746" i="20" s="1"/>
  <c r="H1747" i="20" s="1"/>
  <c r="D1881" i="20"/>
  <c r="D1882" i="20" s="1"/>
  <c r="D1883" i="20" s="1"/>
  <c r="D1884" i="20" s="1"/>
  <c r="D1885" i="20" s="1"/>
  <c r="I1880" i="20"/>
  <c r="I1881" i="20" s="1"/>
  <c r="I1882" i="20" s="1"/>
  <c r="I1883" i="20" s="1"/>
  <c r="I1884" i="20" s="1"/>
  <c r="I1885" i="20" s="1"/>
  <c r="D1869" i="20"/>
  <c r="D1870" i="20" s="1"/>
  <c r="D1871" i="20" s="1"/>
  <c r="D1872" i="20" s="1"/>
  <c r="D1873" i="20" s="1"/>
  <c r="J1868" i="20"/>
  <c r="J1869" i="20" s="1"/>
  <c r="J1870" i="20" s="1"/>
  <c r="J1871" i="20" s="1"/>
  <c r="J1872" i="20" s="1"/>
  <c r="J1873" i="20" s="1"/>
  <c r="D1821" i="20"/>
  <c r="D1822" i="20" s="1"/>
  <c r="D1823" i="20" s="1"/>
  <c r="D1824" i="20" s="1"/>
  <c r="D1825" i="20" s="1"/>
  <c r="H1820" i="20"/>
  <c r="H1821" i="20" s="1"/>
  <c r="H1822" i="20" s="1"/>
  <c r="H1823" i="20" s="1"/>
  <c r="H1824" i="20" s="1"/>
  <c r="H1825" i="20" s="1"/>
  <c r="D1773" i="20"/>
  <c r="D1774" i="20" s="1"/>
  <c r="D1775" i="20" s="1"/>
  <c r="D1776" i="20" s="1"/>
  <c r="D1777" i="20" s="1"/>
  <c r="H1772" i="20"/>
  <c r="H1773" i="20" s="1"/>
  <c r="H1774" i="20" s="1"/>
  <c r="H1775" i="20" s="1"/>
  <c r="H1776" i="20" s="1"/>
  <c r="H1777" i="20" s="1"/>
  <c r="J2" i="20"/>
  <c r="J3" i="20" s="1"/>
  <c r="H460" i="20"/>
  <c r="H461" i="20" s="1"/>
  <c r="I456" i="20"/>
  <c r="I457" i="20" s="1"/>
  <c r="H1428" i="20"/>
  <c r="H1429" i="20" s="1"/>
  <c r="H1496" i="20"/>
  <c r="H1497" i="20" s="1"/>
  <c r="J1500" i="20"/>
  <c r="J1501" i="20" s="1"/>
  <c r="F302" i="19"/>
  <c r="G302" i="19" s="1"/>
  <c r="F412" i="19"/>
  <c r="J240" i="20"/>
  <c r="J241" i="20" s="1"/>
  <c r="D241" i="20"/>
  <c r="H252" i="20"/>
  <c r="H253" i="20" s="1"/>
  <c r="D253" i="20"/>
  <c r="I256" i="20"/>
  <c r="I257" i="20" s="1"/>
  <c r="D257" i="20"/>
  <c r="H260" i="20"/>
  <c r="H261" i="20" s="1"/>
  <c r="D261" i="20"/>
  <c r="J264" i="20"/>
  <c r="J265" i="20" s="1"/>
  <c r="D265" i="20"/>
  <c r="J272" i="20"/>
  <c r="J273" i="20" s="1"/>
  <c r="D273" i="20"/>
  <c r="I280" i="20"/>
  <c r="I281" i="20" s="1"/>
  <c r="D281" i="20"/>
  <c r="H324" i="20"/>
  <c r="H325" i="20" s="1"/>
  <c r="D325" i="20"/>
  <c r="I328" i="20"/>
  <c r="I329" i="20" s="1"/>
  <c r="D329" i="20"/>
  <c r="I332" i="20"/>
  <c r="I333" i="20" s="1"/>
  <c r="D333" i="20"/>
  <c r="H336" i="20"/>
  <c r="H337" i="20" s="1"/>
  <c r="D337" i="20"/>
  <c r="J340" i="20"/>
  <c r="J341" i="20" s="1"/>
  <c r="D341" i="20"/>
  <c r="I348" i="20"/>
  <c r="I349" i="20" s="1"/>
  <c r="D349" i="20"/>
  <c r="I352" i="20"/>
  <c r="I353" i="20" s="1"/>
  <c r="D353" i="20"/>
  <c r="J356" i="20"/>
  <c r="J357" i="20" s="1"/>
  <c r="D357" i="20"/>
  <c r="J360" i="20"/>
  <c r="J361" i="20" s="1"/>
  <c r="D361" i="20"/>
  <c r="J372" i="20"/>
  <c r="J373" i="20" s="1"/>
  <c r="D373" i="20"/>
  <c r="I380" i="20"/>
  <c r="I381" i="20" s="1"/>
  <c r="D381" i="20"/>
  <c r="J424" i="20"/>
  <c r="J425" i="20" s="1"/>
  <c r="D425" i="20"/>
  <c r="I428" i="20"/>
  <c r="I429" i="20" s="1"/>
  <c r="D429" i="20"/>
  <c r="H440" i="20"/>
  <c r="H441" i="20" s="1"/>
  <c r="D441" i="20"/>
  <c r="H444" i="20"/>
  <c r="H445" i="20" s="1"/>
  <c r="D445" i="20"/>
  <c r="H448" i="20"/>
  <c r="H449" i="20" s="1"/>
  <c r="D449" i="20"/>
  <c r="I452" i="20"/>
  <c r="I453" i="20" s="1"/>
  <c r="D453" i="20"/>
  <c r="J460" i="20"/>
  <c r="J461" i="20" s="1"/>
  <c r="D461" i="20"/>
  <c r="I464" i="20"/>
  <c r="I465" i="20" s="1"/>
  <c r="D465" i="20"/>
  <c r="H468" i="20"/>
  <c r="H469" i="20" s="1"/>
  <c r="D469" i="20"/>
  <c r="H472" i="20"/>
  <c r="H473" i="20" s="1"/>
  <c r="D473" i="20"/>
  <c r="I476" i="20"/>
  <c r="I477" i="20" s="1"/>
  <c r="D477" i="20"/>
  <c r="I580" i="20"/>
  <c r="I581" i="20" s="1"/>
  <c r="D581" i="20"/>
  <c r="I576" i="20"/>
  <c r="I577" i="20" s="1"/>
  <c r="D577" i="20"/>
  <c r="I572" i="20"/>
  <c r="I573" i="20" s="1"/>
  <c r="D573" i="20"/>
  <c r="I568" i="20"/>
  <c r="I569" i="20" s="1"/>
  <c r="D569" i="20"/>
  <c r="H564" i="20"/>
  <c r="H565" i="20" s="1"/>
  <c r="D565" i="20"/>
  <c r="J560" i="20"/>
  <c r="J561" i="20" s="1"/>
  <c r="D561" i="20"/>
  <c r="J556" i="20"/>
  <c r="J557" i="20" s="1"/>
  <c r="D557" i="20"/>
  <c r="J552" i="20"/>
  <c r="J553" i="20" s="1"/>
  <c r="D553" i="20"/>
  <c r="I548" i="20"/>
  <c r="I549" i="20" s="1"/>
  <c r="D549" i="20"/>
  <c r="J544" i="20"/>
  <c r="J545" i="20" s="1"/>
  <c r="D545" i="20"/>
  <c r="H540" i="20"/>
  <c r="H541" i="20" s="1"/>
  <c r="D541" i="20"/>
  <c r="I536" i="20"/>
  <c r="I537" i="20" s="1"/>
  <c r="D537" i="20"/>
  <c r="I532" i="20"/>
  <c r="I533" i="20" s="1"/>
  <c r="D533" i="20"/>
  <c r="I528" i="20"/>
  <c r="I529" i="20" s="1"/>
  <c r="D529" i="20"/>
  <c r="J524" i="20"/>
  <c r="J525" i="20" s="1"/>
  <c r="D525" i="20"/>
  <c r="H962" i="20"/>
  <c r="H963" i="20" s="1"/>
  <c r="D963" i="20"/>
  <c r="J1240" i="20"/>
  <c r="J1241" i="20" s="1"/>
  <c r="D1241" i="20"/>
  <c r="I1228" i="20"/>
  <c r="I1229" i="20" s="1"/>
  <c r="D1229" i="20"/>
  <c r="H1224" i="20"/>
  <c r="H1225" i="20" s="1"/>
  <c r="D1225" i="20"/>
  <c r="I1220" i="20"/>
  <c r="I1221" i="20" s="1"/>
  <c r="D1221" i="20"/>
  <c r="H1216" i="20"/>
  <c r="H1217" i="20" s="1"/>
  <c r="D1217" i="20"/>
  <c r="J1208" i="20"/>
  <c r="J1209" i="20" s="1"/>
  <c r="D1209" i="20"/>
  <c r="I1200" i="20"/>
  <c r="I1201" i="20" s="1"/>
  <c r="D1201" i="20"/>
  <c r="I1196" i="20"/>
  <c r="I1197" i="20" s="1"/>
  <c r="D1197" i="20"/>
  <c r="I1192" i="20"/>
  <c r="I1193" i="20" s="1"/>
  <c r="D1193" i="20"/>
  <c r="I1340" i="20"/>
  <c r="I1341" i="20" s="1"/>
  <c r="D1341" i="20"/>
  <c r="I1336" i="20"/>
  <c r="I1337" i="20" s="1"/>
  <c r="D1337" i="20"/>
  <c r="H1328" i="20"/>
  <c r="H1329" i="20" s="1"/>
  <c r="D1329" i="20"/>
  <c r="H1324" i="20"/>
  <c r="H1325" i="20" s="1"/>
  <c r="D1325" i="20"/>
  <c r="I1320" i="20"/>
  <c r="I1321" i="20" s="1"/>
  <c r="D1321" i="20"/>
  <c r="I1316" i="20"/>
  <c r="I1317" i="20" s="1"/>
  <c r="D1317" i="20"/>
  <c r="I1312" i="20"/>
  <c r="I1313" i="20" s="1"/>
  <c r="D1313" i="20"/>
  <c r="H1308" i="20"/>
  <c r="H1309" i="20" s="1"/>
  <c r="D1309" i="20"/>
  <c r="H1304" i="20"/>
  <c r="H1305" i="20" s="1"/>
  <c r="D1305" i="20"/>
  <c r="H1300" i="20"/>
  <c r="H1301" i="20" s="1"/>
  <c r="D1301" i="20"/>
  <c r="I1292" i="20"/>
  <c r="I1293" i="20" s="1"/>
  <c r="D1293" i="20"/>
  <c r="I1288" i="20"/>
  <c r="I1289" i="20" s="1"/>
  <c r="D1289" i="20"/>
  <c r="I1440" i="20"/>
  <c r="I1441" i="20" s="1"/>
  <c r="D1441" i="20"/>
  <c r="I1432" i="20"/>
  <c r="I1433" i="20" s="1"/>
  <c r="D1433" i="20"/>
  <c r="H1424" i="20"/>
  <c r="H1425" i="20" s="1"/>
  <c r="D1425" i="20"/>
  <c r="H1412" i="20"/>
  <c r="H1413" i="20" s="1"/>
  <c r="D1413" i="20"/>
  <c r="H1408" i="20"/>
  <c r="H1409" i="20" s="1"/>
  <c r="D1409" i="20"/>
  <c r="H1404" i="20"/>
  <c r="H1405" i="20" s="1"/>
  <c r="D1405" i="20"/>
  <c r="H1400" i="20"/>
  <c r="H1401" i="20" s="1"/>
  <c r="D1401" i="20"/>
  <c r="I1396" i="20"/>
  <c r="I1397" i="20" s="1"/>
  <c r="D1397" i="20"/>
  <c r="J1392" i="20"/>
  <c r="J1393" i="20" s="1"/>
  <c r="D1393" i="20"/>
  <c r="J1384" i="20"/>
  <c r="J1385" i="20" s="1"/>
  <c r="D1385" i="20"/>
  <c r="J1540" i="20"/>
  <c r="J1541" i="20" s="1"/>
  <c r="D1541" i="20"/>
  <c r="H1536" i="20"/>
  <c r="H1537" i="20" s="1"/>
  <c r="D1537" i="20"/>
  <c r="H1532" i="20"/>
  <c r="H1533" i="20" s="1"/>
  <c r="D1533" i="20"/>
  <c r="J1524" i="20"/>
  <c r="J1525" i="20" s="1"/>
  <c r="D1525" i="20"/>
  <c r="J1520" i="20"/>
  <c r="J1521" i="20" s="1"/>
  <c r="D1521" i="20"/>
  <c r="H1516" i="20"/>
  <c r="H1517" i="20" s="1"/>
  <c r="D1517" i="20"/>
  <c r="J1512" i="20"/>
  <c r="J1513" i="20" s="1"/>
  <c r="D1513" i="20"/>
  <c r="I1508" i="20"/>
  <c r="I1509" i="20" s="1"/>
  <c r="D1509" i="20"/>
  <c r="H1504" i="20"/>
  <c r="H1505" i="20" s="1"/>
  <c r="D1505" i="20"/>
  <c r="I1492" i="20"/>
  <c r="I1493" i="20" s="1"/>
  <c r="D1493" i="20"/>
  <c r="I1488" i="20"/>
  <c r="I1489" i="20" s="1"/>
  <c r="D1489" i="20"/>
  <c r="H1640" i="20"/>
  <c r="H1641" i="20" s="1"/>
  <c r="D1641" i="20"/>
  <c r="J1632" i="20"/>
  <c r="J1633" i="20" s="1"/>
  <c r="D1633" i="20"/>
  <c r="J1624" i="20"/>
  <c r="J1625" i="20" s="1"/>
  <c r="D1625" i="20"/>
  <c r="H1620" i="20"/>
  <c r="H1621" i="20" s="1"/>
  <c r="D1621" i="20"/>
  <c r="J1616" i="20"/>
  <c r="J1617" i="20" s="1"/>
  <c r="D1617" i="20"/>
  <c r="J1612" i="20"/>
  <c r="J1613" i="20" s="1"/>
  <c r="D1613" i="20"/>
  <c r="I1608" i="20"/>
  <c r="I1609" i="20" s="1"/>
  <c r="D1609" i="20"/>
  <c r="J1600" i="20"/>
  <c r="J1601" i="20" s="1"/>
  <c r="D1601" i="20"/>
  <c r="I1592" i="20"/>
  <c r="I1593" i="20" s="1"/>
  <c r="D1593" i="20"/>
  <c r="H1584" i="20"/>
  <c r="H1585" i="20" s="1"/>
  <c r="D1585" i="20"/>
  <c r="J1736" i="20"/>
  <c r="J1737" i="20" s="1"/>
  <c r="D1737" i="20"/>
  <c r="I1728" i="20"/>
  <c r="I1729" i="20" s="1"/>
  <c r="D1729" i="20"/>
  <c r="I1724" i="20"/>
  <c r="I1725" i="20" s="1"/>
  <c r="D1725" i="20"/>
  <c r="H1720" i="20"/>
  <c r="H1721" i="20" s="1"/>
  <c r="D1721" i="20"/>
  <c r="H1712" i="20"/>
  <c r="H1713" i="20" s="1"/>
  <c r="D1713" i="20"/>
  <c r="I1708" i="20"/>
  <c r="I1709" i="20" s="1"/>
  <c r="D1709" i="20"/>
  <c r="H1704" i="20"/>
  <c r="H1705" i="20" s="1"/>
  <c r="D1705" i="20"/>
  <c r="I1696" i="20"/>
  <c r="I1697" i="20" s="1"/>
  <c r="D1697" i="20"/>
  <c r="H1688" i="20"/>
  <c r="H1689" i="20" s="1"/>
  <c r="D1689" i="20"/>
  <c r="H1684" i="20"/>
  <c r="H1685" i="20" s="1"/>
  <c r="D1685" i="20"/>
  <c r="J788" i="20"/>
  <c r="J789" i="20" s="1"/>
  <c r="J790" i="20" s="1"/>
  <c r="J791" i="20" s="1"/>
  <c r="J792" i="20" s="1"/>
  <c r="J793" i="20" s="1"/>
  <c r="D789" i="20"/>
  <c r="D790" i="20" s="1"/>
  <c r="D791" i="20" s="1"/>
  <c r="D792" i="20" s="1"/>
  <c r="D793" i="20" s="1"/>
  <c r="H800" i="20"/>
  <c r="H801" i="20" s="1"/>
  <c r="H802" i="20" s="1"/>
  <c r="H803" i="20" s="1"/>
  <c r="H804" i="20" s="1"/>
  <c r="H805" i="20" s="1"/>
  <c r="D801" i="20"/>
  <c r="D802" i="20" s="1"/>
  <c r="D803" i="20" s="1"/>
  <c r="D804" i="20" s="1"/>
  <c r="D805" i="20" s="1"/>
  <c r="J812" i="20"/>
  <c r="J813" i="20" s="1"/>
  <c r="J814" i="20" s="1"/>
  <c r="J815" i="20" s="1"/>
  <c r="J816" i="20" s="1"/>
  <c r="J817" i="20" s="1"/>
  <c r="D813" i="20"/>
  <c r="D814" i="20" s="1"/>
  <c r="D815" i="20" s="1"/>
  <c r="D816" i="20" s="1"/>
  <c r="D817" i="20" s="1"/>
  <c r="H824" i="20"/>
  <c r="H825" i="20" s="1"/>
  <c r="H826" i="20" s="1"/>
  <c r="H827" i="20" s="1"/>
  <c r="H828" i="20" s="1"/>
  <c r="H829" i="20" s="1"/>
  <c r="D825" i="20"/>
  <c r="D826" i="20" s="1"/>
  <c r="D827" i="20" s="1"/>
  <c r="D828" i="20" s="1"/>
  <c r="D829" i="20" s="1"/>
  <c r="I836" i="20"/>
  <c r="I837" i="20" s="1"/>
  <c r="I838" i="20" s="1"/>
  <c r="I839" i="20" s="1"/>
  <c r="I840" i="20" s="1"/>
  <c r="I841" i="20" s="1"/>
  <c r="D837" i="20"/>
  <c r="D838" i="20" s="1"/>
  <c r="D839" i="20" s="1"/>
  <c r="D840" i="20" s="1"/>
  <c r="D841" i="20" s="1"/>
  <c r="H848" i="20"/>
  <c r="H849" i="20" s="1"/>
  <c r="H850" i="20" s="1"/>
  <c r="H851" i="20" s="1"/>
  <c r="H852" i="20" s="1"/>
  <c r="H853" i="20" s="1"/>
  <c r="D849" i="20"/>
  <c r="D850" i="20" s="1"/>
  <c r="D851" i="20" s="1"/>
  <c r="D852" i="20" s="1"/>
  <c r="D853" i="20" s="1"/>
  <c r="H872" i="20"/>
  <c r="H873" i="20" s="1"/>
  <c r="H874" i="20" s="1"/>
  <c r="H875" i="20" s="1"/>
  <c r="H876" i="20" s="1"/>
  <c r="H877" i="20" s="1"/>
  <c r="D873" i="20"/>
  <c r="D874" i="20" s="1"/>
  <c r="D875" i="20" s="1"/>
  <c r="D876" i="20" s="1"/>
  <c r="D877" i="20" s="1"/>
  <c r="H896" i="20"/>
  <c r="H897" i="20" s="1"/>
  <c r="H898" i="20" s="1"/>
  <c r="H899" i="20" s="1"/>
  <c r="H900" i="20" s="1"/>
  <c r="H901" i="20" s="1"/>
  <c r="D897" i="20"/>
  <c r="D898" i="20" s="1"/>
  <c r="D899" i="20" s="1"/>
  <c r="D900" i="20" s="1"/>
  <c r="D901" i="20" s="1"/>
  <c r="H908" i="20"/>
  <c r="H909" i="20" s="1"/>
  <c r="H910" i="20" s="1"/>
  <c r="H911" i="20" s="1"/>
  <c r="H912" i="20" s="1"/>
  <c r="H913" i="20" s="1"/>
  <c r="D909" i="20"/>
  <c r="D910" i="20" s="1"/>
  <c r="D911" i="20" s="1"/>
  <c r="D912" i="20" s="1"/>
  <c r="D913" i="20" s="1"/>
  <c r="H920" i="20"/>
  <c r="H921" i="20" s="1"/>
  <c r="H922" i="20" s="1"/>
  <c r="H923" i="20" s="1"/>
  <c r="H924" i="20" s="1"/>
  <c r="H925" i="20" s="1"/>
  <c r="D921" i="20"/>
  <c r="D922" i="20" s="1"/>
  <c r="D923" i="20" s="1"/>
  <c r="D924" i="20" s="1"/>
  <c r="D925" i="20" s="1"/>
  <c r="H944" i="20"/>
  <c r="H945" i="20" s="1"/>
  <c r="H946" i="20" s="1"/>
  <c r="H947" i="20" s="1"/>
  <c r="H948" i="20" s="1"/>
  <c r="H949" i="20" s="1"/>
  <c r="D945" i="20"/>
  <c r="D946" i="20" s="1"/>
  <c r="D947" i="20" s="1"/>
  <c r="D948" i="20" s="1"/>
  <c r="D949" i="20" s="1"/>
  <c r="H1916" i="20"/>
  <c r="H1917" i="20" s="1"/>
  <c r="H1918" i="20" s="1"/>
  <c r="H1919" i="20" s="1"/>
  <c r="H1920" i="20" s="1"/>
  <c r="H1921" i="20" s="1"/>
  <c r="D1917" i="20"/>
  <c r="D1918" i="20" s="1"/>
  <c r="D1919" i="20" s="1"/>
  <c r="D1920" i="20" s="1"/>
  <c r="D1921" i="20" s="1"/>
  <c r="J1910" i="20"/>
  <c r="J1911" i="20" s="1"/>
  <c r="J1912" i="20" s="1"/>
  <c r="J1913" i="20" s="1"/>
  <c r="J1914" i="20" s="1"/>
  <c r="J1915" i="20" s="1"/>
  <c r="D1911" i="20"/>
  <c r="D1912" i="20" s="1"/>
  <c r="D1913" i="20" s="1"/>
  <c r="D1914" i="20" s="1"/>
  <c r="D1915" i="20" s="1"/>
  <c r="J1898" i="20"/>
  <c r="J1899" i="20" s="1"/>
  <c r="J1900" i="20" s="1"/>
  <c r="J1901" i="20" s="1"/>
  <c r="J1902" i="20" s="1"/>
  <c r="J1903" i="20" s="1"/>
  <c r="D1899" i="20"/>
  <c r="D1900" i="20" s="1"/>
  <c r="D1901" i="20" s="1"/>
  <c r="D1902" i="20" s="1"/>
  <c r="D1903" i="20" s="1"/>
  <c r="I1886" i="20"/>
  <c r="I1887" i="20" s="1"/>
  <c r="I1888" i="20" s="1"/>
  <c r="I1889" i="20" s="1"/>
  <c r="I1890" i="20" s="1"/>
  <c r="I1891" i="20" s="1"/>
  <c r="D1887" i="20"/>
  <c r="D1888" i="20" s="1"/>
  <c r="D1889" i="20" s="1"/>
  <c r="D1890" i="20" s="1"/>
  <c r="D1891" i="20" s="1"/>
  <c r="H1862" i="20"/>
  <c r="H1863" i="20" s="1"/>
  <c r="H1864" i="20" s="1"/>
  <c r="H1865" i="20" s="1"/>
  <c r="H1866" i="20" s="1"/>
  <c r="H1867" i="20" s="1"/>
  <c r="D1863" i="20"/>
  <c r="D1864" i="20" s="1"/>
  <c r="D1865" i="20" s="1"/>
  <c r="D1866" i="20" s="1"/>
  <c r="D1867" i="20" s="1"/>
  <c r="H1856" i="20"/>
  <c r="H1857" i="20" s="1"/>
  <c r="H1858" i="20" s="1"/>
  <c r="H1859" i="20" s="1"/>
  <c r="H1860" i="20" s="1"/>
  <c r="H1861" i="20" s="1"/>
  <c r="D1857" i="20"/>
  <c r="D1858" i="20" s="1"/>
  <c r="D1859" i="20" s="1"/>
  <c r="D1860" i="20" s="1"/>
  <c r="D1861" i="20" s="1"/>
  <c r="I1850" i="20"/>
  <c r="I1851" i="20" s="1"/>
  <c r="I1852" i="20" s="1"/>
  <c r="I1853" i="20" s="1"/>
  <c r="I1854" i="20" s="1"/>
  <c r="I1855" i="20" s="1"/>
  <c r="D1851" i="20"/>
  <c r="D1852" i="20" s="1"/>
  <c r="D1853" i="20" s="1"/>
  <c r="D1854" i="20" s="1"/>
  <c r="D1855" i="20" s="1"/>
  <c r="I1844" i="20"/>
  <c r="I1845" i="20" s="1"/>
  <c r="I1846" i="20" s="1"/>
  <c r="I1847" i="20" s="1"/>
  <c r="I1848" i="20" s="1"/>
  <c r="I1849" i="20" s="1"/>
  <c r="D1845" i="20"/>
  <c r="D1846" i="20" s="1"/>
  <c r="D1847" i="20" s="1"/>
  <c r="D1848" i="20" s="1"/>
  <c r="D1849" i="20" s="1"/>
  <c r="H1838" i="20"/>
  <c r="H1839" i="20" s="1"/>
  <c r="H1840" i="20" s="1"/>
  <c r="H1841" i="20" s="1"/>
  <c r="H1842" i="20" s="1"/>
  <c r="H1843" i="20" s="1"/>
  <c r="D1839" i="20"/>
  <c r="D1840" i="20" s="1"/>
  <c r="D1841" i="20" s="1"/>
  <c r="D1842" i="20" s="1"/>
  <c r="D1843" i="20" s="1"/>
  <c r="I1832" i="20"/>
  <c r="I1833" i="20" s="1"/>
  <c r="I1834" i="20" s="1"/>
  <c r="I1835" i="20" s="1"/>
  <c r="I1836" i="20" s="1"/>
  <c r="I1837" i="20" s="1"/>
  <c r="D1833" i="20"/>
  <c r="D1834" i="20" s="1"/>
  <c r="D1835" i="20" s="1"/>
  <c r="D1836" i="20" s="1"/>
  <c r="D1837" i="20" s="1"/>
  <c r="I1826" i="20"/>
  <c r="I1827" i="20" s="1"/>
  <c r="I1828" i="20" s="1"/>
  <c r="I1829" i="20" s="1"/>
  <c r="I1830" i="20" s="1"/>
  <c r="I1831" i="20" s="1"/>
  <c r="D1827" i="20"/>
  <c r="D1828" i="20" s="1"/>
  <c r="D1829" i="20" s="1"/>
  <c r="D1830" i="20" s="1"/>
  <c r="D1831" i="20" s="1"/>
  <c r="J1808" i="20"/>
  <c r="J1809" i="20" s="1"/>
  <c r="J1810" i="20" s="1"/>
  <c r="J1811" i="20" s="1"/>
  <c r="J1812" i="20" s="1"/>
  <c r="J1813" i="20" s="1"/>
  <c r="D1809" i="20"/>
  <c r="D1810" i="20" s="1"/>
  <c r="D1811" i="20" s="1"/>
  <c r="D1812" i="20" s="1"/>
  <c r="D1813" i="20" s="1"/>
  <c r="I1802" i="20"/>
  <c r="I1803" i="20" s="1"/>
  <c r="I1804" i="20" s="1"/>
  <c r="I1805" i="20" s="1"/>
  <c r="I1806" i="20" s="1"/>
  <c r="I1807" i="20" s="1"/>
  <c r="D1803" i="20"/>
  <c r="D1804" i="20" s="1"/>
  <c r="D1805" i="20" s="1"/>
  <c r="D1806" i="20" s="1"/>
  <c r="D1807" i="20" s="1"/>
  <c r="J1796" i="20"/>
  <c r="J1797" i="20" s="1"/>
  <c r="J1798" i="20" s="1"/>
  <c r="J1799" i="20" s="1"/>
  <c r="J1800" i="20" s="1"/>
  <c r="J1801" i="20" s="1"/>
  <c r="D1797" i="20"/>
  <c r="D1798" i="20" s="1"/>
  <c r="D1799" i="20" s="1"/>
  <c r="D1800" i="20" s="1"/>
  <c r="D1801" i="20" s="1"/>
  <c r="J1790" i="20"/>
  <c r="J1791" i="20" s="1"/>
  <c r="J1792" i="20" s="1"/>
  <c r="J1793" i="20" s="1"/>
  <c r="J1794" i="20" s="1"/>
  <c r="J1795" i="20" s="1"/>
  <c r="D1791" i="20"/>
  <c r="D1792" i="20" s="1"/>
  <c r="D1793" i="20" s="1"/>
  <c r="D1794" i="20" s="1"/>
  <c r="D1795" i="20" s="1"/>
  <c r="I1766" i="20"/>
  <c r="I1767" i="20" s="1"/>
  <c r="I1768" i="20" s="1"/>
  <c r="I1769" i="20" s="1"/>
  <c r="I1770" i="20" s="1"/>
  <c r="I1771" i="20" s="1"/>
  <c r="D1767" i="20"/>
  <c r="D1768" i="20" s="1"/>
  <c r="D1769" i="20" s="1"/>
  <c r="D1770" i="20" s="1"/>
  <c r="D1771" i="20" s="1"/>
  <c r="H1748" i="20"/>
  <c r="H1749" i="20" s="1"/>
  <c r="H1750" i="20" s="1"/>
  <c r="H1751" i="20" s="1"/>
  <c r="H1752" i="20" s="1"/>
  <c r="H1753" i="20" s="1"/>
  <c r="D1749" i="20"/>
  <c r="D1750" i="20" s="1"/>
  <c r="D1751" i="20" s="1"/>
  <c r="D1752" i="20" s="1"/>
  <c r="D1753" i="20" s="1"/>
  <c r="H234" i="20"/>
  <c r="H235" i="20" s="1"/>
  <c r="D235" i="20"/>
  <c r="I238" i="20"/>
  <c r="I239" i="20" s="1"/>
  <c r="D239" i="20"/>
  <c r="H242" i="20"/>
  <c r="H243" i="20" s="1"/>
  <c r="D243" i="20"/>
  <c r="I250" i="20"/>
  <c r="I251" i="20" s="1"/>
  <c r="D251" i="20"/>
  <c r="H254" i="20"/>
  <c r="H255" i="20" s="1"/>
  <c r="D255" i="20"/>
  <c r="I258" i="20"/>
  <c r="I259" i="20" s="1"/>
  <c r="D259" i="20"/>
  <c r="J262" i="20"/>
  <c r="J263" i="20" s="1"/>
  <c r="D263" i="20"/>
  <c r="I266" i="20"/>
  <c r="I267" i="20" s="1"/>
  <c r="D267" i="20"/>
  <c r="J270" i="20"/>
  <c r="J271" i="20" s="1"/>
  <c r="D271" i="20"/>
  <c r="I274" i="20"/>
  <c r="I275" i="20" s="1"/>
  <c r="D275" i="20"/>
  <c r="H326" i="20"/>
  <c r="H327" i="20" s="1"/>
  <c r="D327" i="20"/>
  <c r="H330" i="20"/>
  <c r="H331" i="20" s="1"/>
  <c r="D331" i="20"/>
  <c r="J338" i="20"/>
  <c r="J339" i="20" s="1"/>
  <c r="D339" i="20"/>
  <c r="J346" i="20"/>
  <c r="J347" i="20" s="1"/>
  <c r="D347" i="20"/>
  <c r="I350" i="20"/>
  <c r="I351" i="20" s="1"/>
  <c r="D351" i="20"/>
  <c r="J354" i="20"/>
  <c r="J355" i="20" s="1"/>
  <c r="D355" i="20"/>
  <c r="I358" i="20"/>
  <c r="I359" i="20" s="1"/>
  <c r="D359" i="20"/>
  <c r="I362" i="20"/>
  <c r="I363" i="20" s="1"/>
  <c r="D363" i="20"/>
  <c r="J366" i="20"/>
  <c r="J367" i="20" s="1"/>
  <c r="D367" i="20"/>
  <c r="J374" i="20"/>
  <c r="J375" i="20" s="1"/>
  <c r="D375" i="20"/>
  <c r="J378" i="20"/>
  <c r="J379" i="20" s="1"/>
  <c r="D379" i="20"/>
  <c r="H382" i="20"/>
  <c r="H383" i="20" s="1"/>
  <c r="D383" i="20"/>
  <c r="H430" i="20"/>
  <c r="H431" i="20" s="1"/>
  <c r="D431" i="20"/>
  <c r="J434" i="20"/>
  <c r="J435" i="20" s="1"/>
  <c r="D435" i="20"/>
  <c r="I438" i="20"/>
  <c r="I439" i="20" s="1"/>
  <c r="D439" i="20"/>
  <c r="I450" i="20"/>
  <c r="I451" i="20" s="1"/>
  <c r="D451" i="20"/>
  <c r="I454" i="20"/>
  <c r="I455" i="20" s="1"/>
  <c r="D455" i="20"/>
  <c r="J458" i="20"/>
  <c r="J459" i="20" s="1"/>
  <c r="D459" i="20"/>
  <c r="H466" i="20"/>
  <c r="H467" i="20" s="1"/>
  <c r="D467" i="20"/>
  <c r="J470" i="20"/>
  <c r="J471" i="20" s="1"/>
  <c r="D471" i="20"/>
  <c r="I474" i="20"/>
  <c r="I475" i="20" s="1"/>
  <c r="D475" i="20"/>
  <c r="I482" i="20"/>
  <c r="I483" i="20" s="1"/>
  <c r="H578" i="20"/>
  <c r="H579" i="20" s="1"/>
  <c r="D579" i="20"/>
  <c r="H574" i="20"/>
  <c r="H575" i="20" s="1"/>
  <c r="D575" i="20"/>
  <c r="H566" i="20"/>
  <c r="H567" i="20" s="1"/>
  <c r="D567" i="20"/>
  <c r="H558" i="20"/>
  <c r="H559" i="20" s="1"/>
  <c r="D559" i="20"/>
  <c r="H554" i="20"/>
  <c r="H555" i="20" s="1"/>
  <c r="D555" i="20"/>
  <c r="H550" i="20"/>
  <c r="H551" i="20" s="1"/>
  <c r="D551" i="20"/>
  <c r="H546" i="20"/>
  <c r="H547" i="20" s="1"/>
  <c r="D547" i="20"/>
  <c r="I542" i="20"/>
  <c r="I543" i="20" s="1"/>
  <c r="D543" i="20"/>
  <c r="H534" i="20"/>
  <c r="H535" i="20" s="1"/>
  <c r="D535" i="20"/>
  <c r="J530" i="20"/>
  <c r="J531" i="20" s="1"/>
  <c r="D531" i="20"/>
  <c r="H526" i="20"/>
  <c r="H527" i="20" s="1"/>
  <c r="D527" i="20"/>
  <c r="I1142" i="20"/>
  <c r="I1143" i="20" s="1"/>
  <c r="D1143" i="20"/>
  <c r="J1238" i="20"/>
  <c r="J1239" i="20" s="1"/>
  <c r="D1239" i="20"/>
  <c r="I1234" i="20"/>
  <c r="I1235" i="20" s="1"/>
  <c r="D1235" i="20"/>
  <c r="I1230" i="20"/>
  <c r="I1231" i="20" s="1"/>
  <c r="D1231" i="20"/>
  <c r="I1226" i="20"/>
  <c r="I1227" i="20" s="1"/>
  <c r="D1227" i="20"/>
  <c r="I1222" i="20"/>
  <c r="I1223" i="20" s="1"/>
  <c r="D1223" i="20"/>
  <c r="J1218" i="20"/>
  <c r="J1219" i="20" s="1"/>
  <c r="D1219" i="20"/>
  <c r="J1214" i="20"/>
  <c r="J1215" i="20" s="1"/>
  <c r="D1215" i="20"/>
  <c r="I1210" i="20"/>
  <c r="I1211" i="20" s="1"/>
  <c r="D1211" i="20"/>
  <c r="H1206" i="20"/>
  <c r="H1207" i="20" s="1"/>
  <c r="D1207" i="20"/>
  <c r="I1202" i="20"/>
  <c r="I1203" i="20" s="1"/>
  <c r="D1203" i="20"/>
  <c r="I1198" i="20"/>
  <c r="I1199" i="20" s="1"/>
  <c r="D1199" i="20"/>
  <c r="I1194" i="20"/>
  <c r="I1195" i="20" s="1"/>
  <c r="D1195" i="20"/>
  <c r="I1186" i="20"/>
  <c r="I1187" i="20" s="1"/>
  <c r="D1187" i="20"/>
  <c r="I1242" i="20"/>
  <c r="I1243" i="20" s="1"/>
  <c r="D1243" i="20"/>
  <c r="I1338" i="20"/>
  <c r="I1339" i="20" s="1"/>
  <c r="D1339" i="20"/>
  <c r="H1334" i="20"/>
  <c r="H1335" i="20" s="1"/>
  <c r="D1335" i="20"/>
  <c r="J1330" i="20"/>
  <c r="J1331" i="20" s="1"/>
  <c r="D1331" i="20"/>
  <c r="J1326" i="20"/>
  <c r="J1327" i="20" s="1"/>
  <c r="D1327" i="20"/>
  <c r="J1322" i="20"/>
  <c r="J1323" i="20" s="1"/>
  <c r="D1323" i="20"/>
  <c r="J1318" i="20"/>
  <c r="J1319" i="20" s="1"/>
  <c r="D1319" i="20"/>
  <c r="H1314" i="20"/>
  <c r="H1315" i="20" s="1"/>
  <c r="D1315" i="20"/>
  <c r="I1306" i="20"/>
  <c r="I1307" i="20" s="1"/>
  <c r="D1307" i="20"/>
  <c r="H1302" i="20"/>
  <c r="H1303" i="20" s="1"/>
  <c r="D1303" i="20"/>
  <c r="H1298" i="20"/>
  <c r="H1299" i="20" s="1"/>
  <c r="D1299" i="20"/>
  <c r="H1294" i="20"/>
  <c r="H1295" i="20" s="1"/>
  <c r="D1295" i="20"/>
  <c r="H1290" i="20"/>
  <c r="H1291" i="20" s="1"/>
  <c r="D1291" i="20"/>
  <c r="J1286" i="20"/>
  <c r="J1287" i="20" s="1"/>
  <c r="D1287" i="20"/>
  <c r="J1438" i="20"/>
  <c r="J1439" i="20" s="1"/>
  <c r="D1439" i="20"/>
  <c r="J1430" i="20"/>
  <c r="J1431" i="20" s="1"/>
  <c r="D1431" i="20"/>
  <c r="I1426" i="20"/>
  <c r="I1427" i="20" s="1"/>
  <c r="D1427" i="20"/>
  <c r="J1422" i="20"/>
  <c r="J1423" i="20" s="1"/>
  <c r="D1423" i="20"/>
  <c r="I1418" i="20"/>
  <c r="I1419" i="20" s="1"/>
  <c r="D1419" i="20"/>
  <c r="J1414" i="20"/>
  <c r="J1415" i="20" s="1"/>
  <c r="D1415" i="20"/>
  <c r="I1410" i="20"/>
  <c r="I1411" i="20" s="1"/>
  <c r="D1411" i="20"/>
  <c r="J1406" i="20"/>
  <c r="J1407" i="20" s="1"/>
  <c r="D1407" i="20"/>
  <c r="J1398" i="20"/>
  <c r="J1399" i="20" s="1"/>
  <c r="D1399" i="20"/>
  <c r="I1394" i="20"/>
  <c r="I1395" i="20" s="1"/>
  <c r="D1395" i="20"/>
  <c r="J1390" i="20"/>
  <c r="J1391" i="20" s="1"/>
  <c r="D1391" i="20"/>
  <c r="I1386" i="20"/>
  <c r="I1387" i="20" s="1"/>
  <c r="D1387" i="20"/>
  <c r="J1442" i="20"/>
  <c r="J1443" i="20" s="1"/>
  <c r="I1538" i="20"/>
  <c r="I1539" i="20" s="1"/>
  <c r="D1539" i="20"/>
  <c r="H1526" i="20"/>
  <c r="H1527" i="20" s="1"/>
  <c r="D1527" i="20"/>
  <c r="H1522" i="20"/>
  <c r="H1523" i="20" s="1"/>
  <c r="D1523" i="20"/>
  <c r="H1518" i="20"/>
  <c r="H1519" i="20" s="1"/>
  <c r="D1519" i="20"/>
  <c r="I1506" i="20"/>
  <c r="I1507" i="20" s="1"/>
  <c r="D1507" i="20"/>
  <c r="H1502" i="20"/>
  <c r="H1503" i="20" s="1"/>
  <c r="D1503" i="20"/>
  <c r="J1498" i="20"/>
  <c r="J1499" i="20" s="1"/>
  <c r="D1499" i="20"/>
  <c r="J1494" i="20"/>
  <c r="J1495" i="20" s="1"/>
  <c r="D1495" i="20"/>
  <c r="J1486" i="20"/>
  <c r="J1487" i="20" s="1"/>
  <c r="D1487" i="20"/>
  <c r="H582" i="20"/>
  <c r="H583" i="20" s="1"/>
  <c r="J624" i="20"/>
  <c r="J625" i="20" s="1"/>
  <c r="D625" i="20"/>
  <c r="I626" i="20"/>
  <c r="I627" i="20" s="1"/>
  <c r="D627" i="20"/>
  <c r="I628" i="20"/>
  <c r="I629" i="20" s="1"/>
  <c r="D629" i="20"/>
  <c r="J630" i="20"/>
  <c r="J631" i="20" s="1"/>
  <c r="D631" i="20"/>
  <c r="H632" i="20"/>
  <c r="H633" i="20" s="1"/>
  <c r="D633" i="20"/>
  <c r="H634" i="20"/>
  <c r="H635" i="20" s="1"/>
  <c r="D635" i="20"/>
  <c r="H636" i="20"/>
  <c r="H637" i="20" s="1"/>
  <c r="D637" i="20"/>
  <c r="H638" i="20"/>
  <c r="H639" i="20" s="1"/>
  <c r="D639" i="20"/>
  <c r="J640" i="20"/>
  <c r="J641" i="20" s="1"/>
  <c r="D641" i="20"/>
  <c r="I642" i="20"/>
  <c r="I643" i="20" s="1"/>
  <c r="D643" i="20"/>
  <c r="I644" i="20"/>
  <c r="I645" i="20" s="1"/>
  <c r="D645" i="20"/>
  <c r="H648" i="20"/>
  <c r="H649" i="20" s="1"/>
  <c r="D649" i="20"/>
  <c r="J650" i="20"/>
  <c r="J651" i="20" s="1"/>
  <c r="D651" i="20"/>
  <c r="H654" i="20"/>
  <c r="H655" i="20" s="1"/>
  <c r="D655" i="20"/>
  <c r="J656" i="20"/>
  <c r="J657" i="20" s="1"/>
  <c r="D657" i="20"/>
  <c r="I658" i="20"/>
  <c r="I659" i="20" s="1"/>
  <c r="D659" i="20"/>
  <c r="I660" i="20"/>
  <c r="I661" i="20" s="1"/>
  <c r="D661" i="20"/>
  <c r="I664" i="20"/>
  <c r="I665" i="20" s="1"/>
  <c r="D665" i="20"/>
  <c r="J668" i="20"/>
  <c r="J669" i="20" s="1"/>
  <c r="D669" i="20"/>
  <c r="H670" i="20"/>
  <c r="H671" i="20" s="1"/>
  <c r="D671" i="20"/>
  <c r="J672" i="20"/>
  <c r="J673" i="20" s="1"/>
  <c r="D673" i="20"/>
  <c r="I674" i="20"/>
  <c r="I675" i="20" s="1"/>
  <c r="D675" i="20"/>
  <c r="I676" i="20"/>
  <c r="I677" i="20" s="1"/>
  <c r="D677" i="20"/>
  <c r="J678" i="20"/>
  <c r="J679" i="20" s="1"/>
  <c r="D679" i="20"/>
  <c r="I682" i="20"/>
  <c r="I683" i="20" s="1"/>
  <c r="J724" i="20"/>
  <c r="J725" i="20" s="1"/>
  <c r="D725" i="20"/>
  <c r="H726" i="20"/>
  <c r="H727" i="20" s="1"/>
  <c r="D727" i="20"/>
  <c r="J732" i="20"/>
  <c r="J733" i="20" s="1"/>
  <c r="D733" i="20"/>
  <c r="H734" i="20"/>
  <c r="H735" i="20" s="1"/>
  <c r="D735" i="20"/>
  <c r="I736" i="20"/>
  <c r="I737" i="20" s="1"/>
  <c r="D737" i="20"/>
  <c r="J740" i="20"/>
  <c r="J741" i="20" s="1"/>
  <c r="D741" i="20"/>
  <c r="J744" i="20"/>
  <c r="J745" i="20" s="1"/>
  <c r="D745" i="20"/>
  <c r="H746" i="20"/>
  <c r="H747" i="20" s="1"/>
  <c r="D747" i="20"/>
  <c r="I748" i="20"/>
  <c r="I749" i="20" s="1"/>
  <c r="D749" i="20"/>
  <c r="J750" i="20"/>
  <c r="J751" i="20" s="1"/>
  <c r="D751" i="20"/>
  <c r="H754" i="20"/>
  <c r="H755" i="20" s="1"/>
  <c r="D755" i="20"/>
  <c r="J756" i="20"/>
  <c r="J757" i="20" s="1"/>
  <c r="D757" i="20"/>
  <c r="I758" i="20"/>
  <c r="I759" i="20" s="1"/>
  <c r="D759" i="20"/>
  <c r="H760" i="20"/>
  <c r="H761" i="20" s="1"/>
  <c r="D761" i="20"/>
  <c r="I764" i="20"/>
  <c r="I765" i="20" s="1"/>
  <c r="D765" i="20"/>
  <c r="H766" i="20"/>
  <c r="H767" i="20" s="1"/>
  <c r="D767" i="20"/>
  <c r="J768" i="20"/>
  <c r="J769" i="20" s="1"/>
  <c r="D769" i="20"/>
  <c r="I776" i="20"/>
  <c r="I777" i="20" s="1"/>
  <c r="D777" i="20"/>
  <c r="J778" i="20"/>
  <c r="J779" i="20" s="1"/>
  <c r="D779" i="20"/>
  <c r="H780" i="20"/>
  <c r="H781" i="20" s="1"/>
  <c r="D781" i="20"/>
  <c r="H1638" i="20"/>
  <c r="H1639" i="20" s="1"/>
  <c r="D1639" i="20"/>
  <c r="J1630" i="20"/>
  <c r="J1631" i="20" s="1"/>
  <c r="D1631" i="20"/>
  <c r="I1626" i="20"/>
  <c r="I1627" i="20" s="1"/>
  <c r="D1627" i="20"/>
  <c r="J1618" i="20"/>
  <c r="J1619" i="20" s="1"/>
  <c r="D1619" i="20"/>
  <c r="J1602" i="20"/>
  <c r="J1603" i="20" s="1"/>
  <c r="D1603" i="20"/>
  <c r="H1598" i="20"/>
  <c r="H1599" i="20" s="1"/>
  <c r="D1599" i="20"/>
  <c r="H1594" i="20"/>
  <c r="H1595" i="20" s="1"/>
  <c r="D1595" i="20"/>
  <c r="H1586" i="20"/>
  <c r="H1587" i="20" s="1"/>
  <c r="D1587" i="20"/>
  <c r="H1642" i="20"/>
  <c r="H1643" i="20" s="1"/>
  <c r="H1734" i="20"/>
  <c r="H1735" i="20" s="1"/>
  <c r="D1735" i="20"/>
  <c r="J1730" i="20"/>
  <c r="J1731" i="20" s="1"/>
  <c r="D1731" i="20"/>
  <c r="I1722" i="20"/>
  <c r="I1723" i="20" s="1"/>
  <c r="D1723" i="20"/>
  <c r="I1718" i="20"/>
  <c r="I1719" i="20" s="1"/>
  <c r="D1719" i="20"/>
  <c r="I1714" i="20"/>
  <c r="I1715" i="20" s="1"/>
  <c r="D1715" i="20"/>
  <c r="H1706" i="20"/>
  <c r="H1707" i="20" s="1"/>
  <c r="D1707" i="20"/>
  <c r="J1698" i="20"/>
  <c r="J1699" i="20" s="1"/>
  <c r="D1699" i="20"/>
  <c r="H782" i="20"/>
  <c r="H783" i="20" s="1"/>
  <c r="H784" i="20" s="1"/>
  <c r="H785" i="20" s="1"/>
  <c r="H786" i="20" s="1"/>
  <c r="H787" i="20" s="1"/>
  <c r="D783" i="20"/>
  <c r="D784" i="20" s="1"/>
  <c r="D785" i="20" s="1"/>
  <c r="D786" i="20" s="1"/>
  <c r="D787" i="20" s="1"/>
  <c r="H794" i="20"/>
  <c r="H795" i="20" s="1"/>
  <c r="H796" i="20" s="1"/>
  <c r="H797" i="20" s="1"/>
  <c r="H798" i="20" s="1"/>
  <c r="H799" i="20" s="1"/>
  <c r="D795" i="20"/>
  <c r="D796" i="20" s="1"/>
  <c r="D797" i="20" s="1"/>
  <c r="D798" i="20" s="1"/>
  <c r="D799" i="20" s="1"/>
  <c r="H806" i="20"/>
  <c r="H807" i="20" s="1"/>
  <c r="H808" i="20" s="1"/>
  <c r="H809" i="20" s="1"/>
  <c r="H810" i="20" s="1"/>
  <c r="H811" i="20" s="1"/>
  <c r="D807" i="20"/>
  <c r="D808" i="20" s="1"/>
  <c r="D809" i="20" s="1"/>
  <c r="D810" i="20" s="1"/>
  <c r="D811" i="20" s="1"/>
  <c r="H818" i="20"/>
  <c r="H819" i="20" s="1"/>
  <c r="H820" i="20" s="1"/>
  <c r="H821" i="20" s="1"/>
  <c r="H822" i="20" s="1"/>
  <c r="H823" i="20" s="1"/>
  <c r="D819" i="20"/>
  <c r="D820" i="20" s="1"/>
  <c r="D821" i="20" s="1"/>
  <c r="D822" i="20" s="1"/>
  <c r="D823" i="20" s="1"/>
  <c r="H830" i="20"/>
  <c r="H831" i="20" s="1"/>
  <c r="H832" i="20" s="1"/>
  <c r="H833" i="20" s="1"/>
  <c r="H834" i="20" s="1"/>
  <c r="H835" i="20" s="1"/>
  <c r="D831" i="20"/>
  <c r="D832" i="20" s="1"/>
  <c r="D833" i="20" s="1"/>
  <c r="D834" i="20" s="1"/>
  <c r="D835" i="20" s="1"/>
  <c r="H842" i="20"/>
  <c r="H843" i="20" s="1"/>
  <c r="H844" i="20" s="1"/>
  <c r="H845" i="20" s="1"/>
  <c r="H846" i="20" s="1"/>
  <c r="H847" i="20" s="1"/>
  <c r="D843" i="20"/>
  <c r="D844" i="20" s="1"/>
  <c r="D845" i="20" s="1"/>
  <c r="D846" i="20" s="1"/>
  <c r="D847" i="20" s="1"/>
  <c r="H854" i="20"/>
  <c r="H855" i="20" s="1"/>
  <c r="H856" i="20" s="1"/>
  <c r="H857" i="20" s="1"/>
  <c r="H858" i="20" s="1"/>
  <c r="H859" i="20" s="1"/>
  <c r="D855" i="20"/>
  <c r="D856" i="20" s="1"/>
  <c r="D857" i="20" s="1"/>
  <c r="D858" i="20" s="1"/>
  <c r="D859" i="20" s="1"/>
  <c r="H866" i="20"/>
  <c r="H867" i="20" s="1"/>
  <c r="H868" i="20" s="1"/>
  <c r="H869" i="20" s="1"/>
  <c r="H870" i="20" s="1"/>
  <c r="H871" i="20" s="1"/>
  <c r="D867" i="20"/>
  <c r="D868" i="20" s="1"/>
  <c r="D869" i="20" s="1"/>
  <c r="D870" i="20" s="1"/>
  <c r="D871" i="20" s="1"/>
  <c r="H890" i="20"/>
  <c r="H891" i="20" s="1"/>
  <c r="H892" i="20" s="1"/>
  <c r="H893" i="20" s="1"/>
  <c r="H894" i="20" s="1"/>
  <c r="H895" i="20" s="1"/>
  <c r="D891" i="20"/>
  <c r="D892" i="20" s="1"/>
  <c r="D893" i="20" s="1"/>
  <c r="D894" i="20" s="1"/>
  <c r="D895" i="20" s="1"/>
  <c r="H902" i="20"/>
  <c r="H903" i="20" s="1"/>
  <c r="H904" i="20" s="1"/>
  <c r="H905" i="20" s="1"/>
  <c r="H906" i="20" s="1"/>
  <c r="H907" i="20" s="1"/>
  <c r="D903" i="20"/>
  <c r="D904" i="20" s="1"/>
  <c r="D905" i="20" s="1"/>
  <c r="D906" i="20" s="1"/>
  <c r="D907" i="20" s="1"/>
  <c r="H914" i="20"/>
  <c r="H915" i="20" s="1"/>
  <c r="H916" i="20" s="1"/>
  <c r="H917" i="20" s="1"/>
  <c r="H918" i="20" s="1"/>
  <c r="H919" i="20" s="1"/>
  <c r="D915" i="20"/>
  <c r="D916" i="20" s="1"/>
  <c r="D917" i="20" s="1"/>
  <c r="D918" i="20" s="1"/>
  <c r="D919" i="20" s="1"/>
  <c r="H938" i="20"/>
  <c r="H939" i="20" s="1"/>
  <c r="H940" i="20" s="1"/>
  <c r="H941" i="20" s="1"/>
  <c r="H942" i="20" s="1"/>
  <c r="H943" i="20" s="1"/>
  <c r="D939" i="20"/>
  <c r="D940" i="20" s="1"/>
  <c r="D941" i="20" s="1"/>
  <c r="D942" i="20" s="1"/>
  <c r="D943" i="20" s="1"/>
  <c r="H950" i="20"/>
  <c r="H951" i="20" s="1"/>
  <c r="H952" i="20" s="1"/>
  <c r="H953" i="20" s="1"/>
  <c r="H954" i="20" s="1"/>
  <c r="H955" i="20" s="1"/>
  <c r="D951" i="20"/>
  <c r="D952" i="20" s="1"/>
  <c r="D953" i="20" s="1"/>
  <c r="D954" i="20" s="1"/>
  <c r="D955" i="20" s="1"/>
  <c r="I2" i="20"/>
  <c r="I3" i="20" s="1"/>
  <c r="D3" i="20"/>
  <c r="H8" i="20"/>
  <c r="H9" i="20" s="1"/>
  <c r="D9" i="20"/>
  <c r="I16" i="20"/>
  <c r="I17" i="20" s="1"/>
  <c r="D17" i="20"/>
  <c r="I20" i="20"/>
  <c r="I21" i="20" s="1"/>
  <c r="D21" i="20"/>
  <c r="I24" i="20"/>
  <c r="I25" i="20" s="1"/>
  <c r="D25" i="20"/>
  <c r="I28" i="20"/>
  <c r="I29" i="20" s="1"/>
  <c r="D29" i="20"/>
  <c r="J32" i="20"/>
  <c r="J33" i="20" s="1"/>
  <c r="D33" i="20"/>
  <c r="J40" i="20"/>
  <c r="J41" i="20" s="1"/>
  <c r="D41" i="20"/>
  <c r="I48" i="20"/>
  <c r="I49" i="20" s="1"/>
  <c r="D49" i="20"/>
  <c r="J56" i="20"/>
  <c r="J57" i="20" s="1"/>
  <c r="D57" i="20"/>
  <c r="I64" i="20"/>
  <c r="I65" i="20" s="1"/>
  <c r="D65" i="20"/>
  <c r="J68" i="20"/>
  <c r="J69" i="20" s="1"/>
  <c r="D69" i="20"/>
  <c r="J76" i="20"/>
  <c r="J77" i="20" s="1"/>
  <c r="D77" i="20"/>
  <c r="I84" i="20"/>
  <c r="I85" i="20" s="1"/>
  <c r="D85" i="20"/>
  <c r="I92" i="20"/>
  <c r="I93" i="20" s="1"/>
  <c r="D93" i="20"/>
  <c r="J96" i="20"/>
  <c r="J97" i="20" s="1"/>
  <c r="D97" i="20"/>
  <c r="I100" i="20"/>
  <c r="I101" i="20" s="1"/>
  <c r="D101" i="20"/>
  <c r="I104" i="20"/>
  <c r="I105" i="20" s="1"/>
  <c r="D105" i="20"/>
  <c r="H108" i="20"/>
  <c r="H109" i="20" s="1"/>
  <c r="D109" i="20"/>
  <c r="J112" i="20"/>
  <c r="J113" i="20" s="1"/>
  <c r="D113" i="20"/>
  <c r="I120" i="20"/>
  <c r="I121" i="20" s="1"/>
  <c r="D121" i="20"/>
  <c r="I136" i="20"/>
  <c r="I137" i="20" s="1"/>
  <c r="D137" i="20"/>
  <c r="H140" i="20"/>
  <c r="H141" i="20" s="1"/>
  <c r="D141" i="20"/>
  <c r="H144" i="20"/>
  <c r="H145" i="20" s="1"/>
  <c r="D145" i="20"/>
  <c r="H152" i="20"/>
  <c r="H153" i="20" s="1"/>
  <c r="D153" i="20"/>
  <c r="H156" i="20"/>
  <c r="H157" i="20" s="1"/>
  <c r="D157" i="20"/>
  <c r="I160" i="20"/>
  <c r="I161" i="20" s="1"/>
  <c r="D161" i="20"/>
  <c r="I168" i="20"/>
  <c r="I169" i="20" s="1"/>
  <c r="D169" i="20"/>
  <c r="H172" i="20"/>
  <c r="H173" i="20" s="1"/>
  <c r="D173" i="20"/>
  <c r="J224" i="20"/>
  <c r="J225" i="20" s="1"/>
  <c r="D225" i="20"/>
  <c r="H228" i="20"/>
  <c r="H229" i="20" s="1"/>
  <c r="D229" i="20"/>
  <c r="H6" i="20"/>
  <c r="H7" i="20" s="1"/>
  <c r="D7" i="20"/>
  <c r="H14" i="20"/>
  <c r="H15" i="20" s="1"/>
  <c r="D15" i="20"/>
  <c r="H22" i="20"/>
  <c r="H23" i="20" s="1"/>
  <c r="D23" i="20"/>
  <c r="I26" i="20"/>
  <c r="I27" i="20" s="1"/>
  <c r="D27" i="20"/>
  <c r="I30" i="20"/>
  <c r="I31" i="20" s="1"/>
  <c r="D31" i="20"/>
  <c r="H34" i="20"/>
  <c r="H35" i="20" s="1"/>
  <c r="D35" i="20"/>
  <c r="H38" i="20"/>
  <c r="H39" i="20" s="1"/>
  <c r="D39" i="20"/>
  <c r="H46" i="20"/>
  <c r="H47" i="20" s="1"/>
  <c r="D47" i="20"/>
  <c r="I62" i="20"/>
  <c r="I63" i="20" s="1"/>
  <c r="D63" i="20"/>
  <c r="I66" i="20"/>
  <c r="I67" i="20" s="1"/>
  <c r="D67" i="20"/>
  <c r="J70" i="20"/>
  <c r="J71" i="20" s="1"/>
  <c r="D71" i="20"/>
  <c r="J74" i="20"/>
  <c r="J75" i="20" s="1"/>
  <c r="D75" i="20"/>
  <c r="H78" i="20"/>
  <c r="H79" i="20" s="1"/>
  <c r="D79" i="20"/>
  <c r="I82" i="20"/>
  <c r="I83" i="20" s="1"/>
  <c r="D83" i="20"/>
  <c r="I90" i="20"/>
  <c r="I91" i="20" s="1"/>
  <c r="D91" i="20"/>
  <c r="I94" i="20"/>
  <c r="I95" i="20" s="1"/>
  <c r="D95" i="20"/>
  <c r="H98" i="20"/>
  <c r="H99" i="20" s="1"/>
  <c r="D99" i="20"/>
  <c r="H106" i="20"/>
  <c r="H107" i="20" s="1"/>
  <c r="D107" i="20"/>
  <c r="I110" i="20"/>
  <c r="I111" i="20" s="1"/>
  <c r="D111" i="20"/>
  <c r="J114" i="20"/>
  <c r="J115" i="20" s="1"/>
  <c r="D115" i="20"/>
  <c r="H118" i="20"/>
  <c r="H119" i="20" s="1"/>
  <c r="D119" i="20"/>
  <c r="I122" i="20"/>
  <c r="I123" i="20" s="1"/>
  <c r="D123" i="20"/>
  <c r="J130" i="20"/>
  <c r="J131" i="20" s="1"/>
  <c r="D131" i="20"/>
  <c r="H134" i="20"/>
  <c r="H135" i="20" s="1"/>
  <c r="D135" i="20"/>
  <c r="H138" i="20"/>
  <c r="H139" i="20" s="1"/>
  <c r="D139" i="20"/>
  <c r="J142" i="20"/>
  <c r="J143" i="20" s="1"/>
  <c r="D143" i="20"/>
  <c r="I146" i="20"/>
  <c r="I147" i="20" s="1"/>
  <c r="D147" i="20"/>
  <c r="I150" i="20"/>
  <c r="I151" i="20" s="1"/>
  <c r="D151" i="20"/>
  <c r="J154" i="20"/>
  <c r="J155" i="20" s="1"/>
  <c r="D155" i="20"/>
  <c r="H158" i="20"/>
  <c r="H159" i="20" s="1"/>
  <c r="D159" i="20"/>
  <c r="J162" i="20"/>
  <c r="J163" i="20" s="1"/>
  <c r="D163" i="20"/>
  <c r="H170" i="20"/>
  <c r="H171" i="20" s="1"/>
  <c r="D171" i="20"/>
  <c r="I174" i="20"/>
  <c r="I175" i="20" s="1"/>
  <c r="D175" i="20"/>
  <c r="I178" i="20"/>
  <c r="I179" i="20" s="1"/>
  <c r="D179" i="20"/>
  <c r="H182" i="20"/>
  <c r="H183" i="20" s="1"/>
  <c r="D183" i="20"/>
  <c r="J226" i="20"/>
  <c r="J227" i="20" s="1"/>
  <c r="D227" i="20"/>
  <c r="H230" i="20"/>
  <c r="H231" i="20" s="1"/>
  <c r="D231" i="20"/>
  <c r="H96" i="20"/>
  <c r="H97" i="20" s="1"/>
  <c r="J104" i="20"/>
  <c r="J105" i="20" s="1"/>
  <c r="J72" i="20"/>
  <c r="J73" i="20" s="1"/>
  <c r="H72" i="20"/>
  <c r="H73" i="20" s="1"/>
  <c r="I164" i="20"/>
  <c r="I165" i="20" s="1"/>
  <c r="H164" i="20"/>
  <c r="H165" i="20" s="1"/>
  <c r="J176" i="20"/>
  <c r="J177" i="20" s="1"/>
  <c r="I176" i="20"/>
  <c r="I177" i="20" s="1"/>
  <c r="J344" i="20"/>
  <c r="J345" i="20" s="1"/>
  <c r="H344" i="20"/>
  <c r="H345" i="20" s="1"/>
  <c r="H364" i="20"/>
  <c r="H365" i="20" s="1"/>
  <c r="J364" i="20"/>
  <c r="J365" i="20" s="1"/>
  <c r="J376" i="20"/>
  <c r="J377" i="20" s="1"/>
  <c r="I376" i="20"/>
  <c r="I377" i="20" s="1"/>
  <c r="J432" i="20"/>
  <c r="J433" i="20" s="1"/>
  <c r="H432" i="20"/>
  <c r="H433" i="20" s="1"/>
  <c r="J436" i="20"/>
  <c r="J437" i="20" s="1"/>
  <c r="I436" i="20"/>
  <c r="I437" i="20" s="1"/>
  <c r="H456" i="20"/>
  <c r="H457" i="20" s="1"/>
  <c r="J456" i="20"/>
  <c r="J457" i="20" s="1"/>
  <c r="H480" i="20"/>
  <c r="H481" i="20" s="1"/>
  <c r="J480" i="20"/>
  <c r="J481" i="20" s="1"/>
  <c r="H1232" i="20"/>
  <c r="H1233" i="20" s="1"/>
  <c r="J1232" i="20"/>
  <c r="J1233" i="20" s="1"/>
  <c r="I1212" i="20"/>
  <c r="I1213" i="20" s="1"/>
  <c r="H1212" i="20"/>
  <c r="H1213" i="20" s="1"/>
  <c r="J1212" i="20"/>
  <c r="J1213" i="20" s="1"/>
  <c r="I1204" i="20"/>
  <c r="I1205" i="20" s="1"/>
  <c r="H1204" i="20"/>
  <c r="H1205" i="20" s="1"/>
  <c r="I1188" i="20"/>
  <c r="I1189" i="20" s="1"/>
  <c r="J1188" i="20"/>
  <c r="J1189" i="20" s="1"/>
  <c r="H1188" i="20"/>
  <c r="H1189" i="20" s="1"/>
  <c r="H1184" i="20"/>
  <c r="H1185" i="20" s="1"/>
  <c r="I1184" i="20"/>
  <c r="I1185" i="20" s="1"/>
  <c r="I1332" i="20"/>
  <c r="I1333" i="20" s="1"/>
  <c r="H1332" i="20"/>
  <c r="H1333" i="20" s="1"/>
  <c r="I1296" i="20"/>
  <c r="I1297" i="20" s="1"/>
  <c r="J1296" i="20"/>
  <c r="J1297" i="20" s="1"/>
  <c r="I1284" i="20"/>
  <c r="I1285" i="20" s="1"/>
  <c r="H1284" i="20"/>
  <c r="H1285" i="20" s="1"/>
  <c r="J1436" i="20"/>
  <c r="J1437" i="20" s="1"/>
  <c r="I1436" i="20"/>
  <c r="I1437" i="20" s="1"/>
  <c r="I1428" i="20"/>
  <c r="I1429" i="20" s="1"/>
  <c r="J1428" i="20"/>
  <c r="J1429" i="20" s="1"/>
  <c r="H1420" i="20"/>
  <c r="H1421" i="20" s="1"/>
  <c r="J1420" i="20"/>
  <c r="J1421" i="20" s="1"/>
  <c r="I1420" i="20"/>
  <c r="I1421" i="20" s="1"/>
  <c r="H1416" i="20"/>
  <c r="H1417" i="20" s="1"/>
  <c r="J1416" i="20"/>
  <c r="J1417" i="20" s="1"/>
  <c r="J1528" i="20"/>
  <c r="J1529" i="20" s="1"/>
  <c r="H1528" i="20"/>
  <c r="H1529" i="20" s="1"/>
  <c r="I1500" i="20"/>
  <c r="I1501" i="20" s="1"/>
  <c r="H1500" i="20"/>
  <c r="H1501" i="20" s="1"/>
  <c r="I1496" i="20"/>
  <c r="I1497" i="20" s="1"/>
  <c r="J1496" i="20"/>
  <c r="J1497" i="20" s="1"/>
  <c r="I1484" i="20"/>
  <c r="I1485" i="20" s="1"/>
  <c r="J1484" i="20"/>
  <c r="J1485" i="20" s="1"/>
  <c r="I1636" i="20"/>
  <c r="I1637" i="20" s="1"/>
  <c r="H1636" i="20"/>
  <c r="H1637" i="20" s="1"/>
  <c r="J1636" i="20"/>
  <c r="J1637" i="20" s="1"/>
  <c r="I1628" i="20"/>
  <c r="I1629" i="20" s="1"/>
  <c r="J1628" i="20"/>
  <c r="J1629" i="20" s="1"/>
  <c r="H1604" i="20"/>
  <c r="H1605" i="20" s="1"/>
  <c r="I1604" i="20"/>
  <c r="I1605" i="20" s="1"/>
  <c r="H1596" i="20"/>
  <c r="H1597" i="20" s="1"/>
  <c r="J1596" i="20"/>
  <c r="J1597" i="20" s="1"/>
  <c r="H1588" i="20"/>
  <c r="H1589" i="20" s="1"/>
  <c r="J1588" i="20"/>
  <c r="J1589" i="20" s="1"/>
  <c r="I1740" i="20"/>
  <c r="I1741" i="20" s="1"/>
  <c r="H1740" i="20"/>
  <c r="H1741" i="20" s="1"/>
  <c r="J1732" i="20"/>
  <c r="J1733" i="20" s="1"/>
  <c r="H1732" i="20"/>
  <c r="H1733" i="20" s="1"/>
  <c r="I1700" i="20"/>
  <c r="I1701" i="20" s="1"/>
  <c r="H1700" i="20"/>
  <c r="H1701" i="20" s="1"/>
  <c r="I1692" i="20"/>
  <c r="I1693" i="20" s="1"/>
  <c r="H1692" i="20"/>
  <c r="H1693" i="20" s="1"/>
  <c r="I860" i="20"/>
  <c r="I861" i="20" s="1"/>
  <c r="I862" i="20" s="1"/>
  <c r="I863" i="20" s="1"/>
  <c r="I864" i="20" s="1"/>
  <c r="I865" i="20" s="1"/>
  <c r="H860" i="20"/>
  <c r="H861" i="20" s="1"/>
  <c r="H862" i="20" s="1"/>
  <c r="H863" i="20" s="1"/>
  <c r="H864" i="20" s="1"/>
  <c r="H865" i="20" s="1"/>
  <c r="J884" i="20"/>
  <c r="J885" i="20" s="1"/>
  <c r="J886" i="20" s="1"/>
  <c r="J887" i="20" s="1"/>
  <c r="J888" i="20" s="1"/>
  <c r="J889" i="20" s="1"/>
  <c r="H884" i="20"/>
  <c r="H885" i="20" s="1"/>
  <c r="H886" i="20" s="1"/>
  <c r="H887" i="20" s="1"/>
  <c r="H888" i="20" s="1"/>
  <c r="H889" i="20" s="1"/>
  <c r="I884" i="20"/>
  <c r="I885" i="20" s="1"/>
  <c r="I886" i="20" s="1"/>
  <c r="I887" i="20" s="1"/>
  <c r="I888" i="20" s="1"/>
  <c r="I889" i="20" s="1"/>
  <c r="H932" i="20"/>
  <c r="H933" i="20" s="1"/>
  <c r="H934" i="20" s="1"/>
  <c r="H935" i="20" s="1"/>
  <c r="H936" i="20" s="1"/>
  <c r="H937" i="20" s="1"/>
  <c r="J932" i="20"/>
  <c r="J933" i="20" s="1"/>
  <c r="J934" i="20" s="1"/>
  <c r="J935" i="20" s="1"/>
  <c r="J936" i="20" s="1"/>
  <c r="J937" i="20" s="1"/>
  <c r="I956" i="20"/>
  <c r="J956" i="20"/>
  <c r="J464" i="20"/>
  <c r="J465" i="20" s="1"/>
  <c r="I432" i="20"/>
  <c r="I433" i="20" s="1"/>
  <c r="I1308" i="20"/>
  <c r="I1309" i="20" s="1"/>
  <c r="I1328" i="20"/>
  <c r="I1329" i="20" s="1"/>
  <c r="J572" i="20"/>
  <c r="J573" i="20" s="1"/>
  <c r="I1392" i="20"/>
  <c r="I1393" i="20" s="1"/>
  <c r="J528" i="20"/>
  <c r="J529" i="20" s="1"/>
  <c r="J1408" i="20"/>
  <c r="J1409" i="20" s="1"/>
  <c r="I1304" i="20"/>
  <c r="I1305" i="20" s="1"/>
  <c r="I1324" i="20"/>
  <c r="I1325" i="20" s="1"/>
  <c r="H528" i="20"/>
  <c r="H529" i="20" s="1"/>
  <c r="H548" i="20"/>
  <c r="H549" i="20" s="1"/>
  <c r="H572" i="20"/>
  <c r="H573" i="20" s="1"/>
  <c r="H580" i="20"/>
  <c r="H581" i="20" s="1"/>
  <c r="I1620" i="20"/>
  <c r="I1621" i="20" s="1"/>
  <c r="H1336" i="20"/>
  <c r="H1337" i="20" s="1"/>
  <c r="I1208" i="20"/>
  <c r="I1209" i="20" s="1"/>
  <c r="I1240" i="20"/>
  <c r="I1241" i="20" s="1"/>
  <c r="I788" i="20"/>
  <c r="I789" i="20" s="1"/>
  <c r="I790" i="20" s="1"/>
  <c r="I791" i="20" s="1"/>
  <c r="I792" i="20" s="1"/>
  <c r="I793" i="20" s="1"/>
  <c r="H1540" i="20"/>
  <c r="H1541" i="20" s="1"/>
  <c r="J1704" i="20"/>
  <c r="J1705" i="20" s="1"/>
  <c r="H1696" i="20"/>
  <c r="H1697" i="20" s="1"/>
  <c r="J1424" i="20"/>
  <c r="J1425" i="20" s="1"/>
  <c r="J1724" i="20"/>
  <c r="J1725" i="20" s="1"/>
  <c r="H1724" i="20"/>
  <c r="H1725" i="20" s="1"/>
  <c r="H1592" i="20"/>
  <c r="H1593" i="20" s="1"/>
  <c r="J1224" i="20"/>
  <c r="J1225" i="20" s="1"/>
  <c r="I112" i="20"/>
  <c r="I113" i="20" s="1"/>
  <c r="J164" i="20"/>
  <c r="J165" i="20" s="1"/>
  <c r="I372" i="20"/>
  <c r="I373" i="20" s="1"/>
  <c r="J452" i="20"/>
  <c r="J453" i="20" s="1"/>
  <c r="J472" i="20"/>
  <c r="J473" i="20" s="1"/>
  <c r="J328" i="20"/>
  <c r="J329" i="20" s="1"/>
  <c r="H1728" i="20"/>
  <c r="H1729" i="20" s="1"/>
  <c r="I1516" i="20"/>
  <c r="I1517" i="20" s="1"/>
  <c r="J1532" i="20"/>
  <c r="J1533" i="20" s="1"/>
  <c r="H360" i="20"/>
  <c r="H361" i="20" s="1"/>
  <c r="H256" i="20"/>
  <c r="H257" i="20" s="1"/>
  <c r="H112" i="20"/>
  <c r="H113" i="20" s="1"/>
  <c r="H1608" i="20"/>
  <c r="H1609" i="20" s="1"/>
  <c r="H1220" i="20"/>
  <c r="H1221" i="20" s="1"/>
  <c r="H1228" i="20"/>
  <c r="H1229" i="20" s="1"/>
  <c r="J1228" i="20"/>
  <c r="J1229" i="20" s="1"/>
  <c r="J1300" i="20"/>
  <c r="J1301" i="20" s="1"/>
  <c r="H1292" i="20"/>
  <c r="H1293" i="20" s="1"/>
  <c r="J152" i="20"/>
  <c r="J153" i="20" s="1"/>
  <c r="I1588" i="20"/>
  <c r="I1589" i="20" s="1"/>
  <c r="J1604" i="20"/>
  <c r="J1605" i="20" s="1"/>
  <c r="I1416" i="20"/>
  <c r="I1417" i="20" s="1"/>
  <c r="H1312" i="20"/>
  <c r="H1313" i="20" s="1"/>
  <c r="H1200" i="20"/>
  <c r="H1201" i="20" s="1"/>
  <c r="I1216" i="20"/>
  <c r="I1217" i="20" s="1"/>
  <c r="I1232" i="20"/>
  <c r="I1233" i="20" s="1"/>
  <c r="H464" i="20"/>
  <c r="H465" i="20" s="1"/>
  <c r="J1340" i="20"/>
  <c r="J1341" i="20" s="1"/>
  <c r="H1196" i="20"/>
  <c r="H1197" i="20" s="1"/>
  <c r="H376" i="20"/>
  <c r="H377" i="20" s="1"/>
  <c r="J280" i="20"/>
  <c r="J281" i="20" s="1"/>
  <c r="J1640" i="20"/>
  <c r="J1641" i="20" s="1"/>
  <c r="J1504" i="20"/>
  <c r="J1505" i="20" s="1"/>
  <c r="I1520" i="20"/>
  <c r="I1521" i="20" s="1"/>
  <c r="I480" i="20"/>
  <c r="I481" i="20" s="1"/>
  <c r="I1624" i="20"/>
  <c r="I1625" i="20" s="1"/>
  <c r="H1436" i="20"/>
  <c r="H1437" i="20" s="1"/>
  <c r="J1332" i="20"/>
  <c r="J1333" i="20" s="1"/>
  <c r="J1196" i="20"/>
  <c r="J1197" i="20" s="1"/>
  <c r="I908" i="20"/>
  <c r="I909" i="20" s="1"/>
  <c r="I910" i="20" s="1"/>
  <c r="I911" i="20" s="1"/>
  <c r="I912" i="20" s="1"/>
  <c r="I913" i="20" s="1"/>
  <c r="J1492" i="20"/>
  <c r="J1493" i="20" s="1"/>
  <c r="H1192" i="20"/>
  <c r="H1193" i="20" s="1"/>
  <c r="J156" i="20"/>
  <c r="J157" i="20" s="1"/>
  <c r="J324" i="20"/>
  <c r="J325" i="20" s="1"/>
  <c r="I812" i="20"/>
  <c r="I813" i="20" s="1"/>
  <c r="I814" i="20" s="1"/>
  <c r="I815" i="20" s="1"/>
  <c r="I816" i="20" s="1"/>
  <c r="I817" i="20" s="1"/>
  <c r="J1592" i="20"/>
  <c r="J1593" i="20" s="1"/>
  <c r="J1284" i="20"/>
  <c r="J1285" i="20" s="1"/>
  <c r="I156" i="20"/>
  <c r="I157" i="20" s="1"/>
  <c r="J1488" i="20"/>
  <c r="J1489" i="20" s="1"/>
  <c r="H812" i="20"/>
  <c r="H813" i="20" s="1"/>
  <c r="H814" i="20" s="1"/>
  <c r="H815" i="20" s="1"/>
  <c r="H816" i="20" s="1"/>
  <c r="H817" i="20" s="1"/>
  <c r="J1692" i="20"/>
  <c r="J1693" i="20" s="1"/>
  <c r="I1528" i="20"/>
  <c r="I1529" i="20" s="1"/>
  <c r="I1704" i="20"/>
  <c r="I1705" i="20" s="1"/>
  <c r="J1508" i="20"/>
  <c r="J1509" i="20" s="1"/>
  <c r="J860" i="20"/>
  <c r="J861" i="20" s="1"/>
  <c r="J862" i="20" s="1"/>
  <c r="J863" i="20" s="1"/>
  <c r="J864" i="20" s="1"/>
  <c r="J865" i="20" s="1"/>
  <c r="H1288" i="20"/>
  <c r="H1289" i="20" s="1"/>
  <c r="I1688" i="20"/>
  <c r="I1689" i="20" s="1"/>
  <c r="I472" i="20"/>
  <c r="I473" i="20" s="1"/>
  <c r="H476" i="20"/>
  <c r="H477" i="20" s="1"/>
  <c r="H136" i="20"/>
  <c r="H137" i="20" s="1"/>
  <c r="J28" i="20"/>
  <c r="J29" i="20" s="1"/>
  <c r="I32" i="20"/>
  <c r="I33" i="20" s="1"/>
  <c r="J428" i="20"/>
  <c r="J429" i="20" s="1"/>
  <c r="I356" i="20"/>
  <c r="I357" i="20" s="1"/>
  <c r="H12" i="20"/>
  <c r="H13" i="20" s="1"/>
  <c r="I12" i="20"/>
  <c r="I13" i="20" s="1"/>
  <c r="J16" i="20"/>
  <c r="J17" i="20" s="1"/>
  <c r="H16" i="20"/>
  <c r="H17" i="20" s="1"/>
  <c r="H36" i="20"/>
  <c r="H37" i="20" s="1"/>
  <c r="I36" i="20"/>
  <c r="I37" i="20" s="1"/>
  <c r="J44" i="20"/>
  <c r="J45" i="20" s="1"/>
  <c r="I44" i="20"/>
  <c r="I45" i="20" s="1"/>
  <c r="I52" i="20"/>
  <c r="I53" i="20" s="1"/>
  <c r="H52" i="20"/>
  <c r="H53" i="20" s="1"/>
  <c r="J52" i="20"/>
  <c r="J53" i="20" s="1"/>
  <c r="I56" i="20"/>
  <c r="I57" i="20" s="1"/>
  <c r="H56" i="20"/>
  <c r="H57" i="20" s="1"/>
  <c r="I60" i="20"/>
  <c r="I61" i="20" s="1"/>
  <c r="H60" i="20"/>
  <c r="H61" i="20" s="1"/>
  <c r="H64" i="20"/>
  <c r="H65" i="20" s="1"/>
  <c r="J64" i="20"/>
  <c r="J65" i="20" s="1"/>
  <c r="H76" i="20"/>
  <c r="H77" i="20" s="1"/>
  <c r="I76" i="20"/>
  <c r="I77" i="20" s="1"/>
  <c r="H80" i="20"/>
  <c r="H81" i="20" s="1"/>
  <c r="J80" i="20"/>
  <c r="J81" i="20" s="1"/>
  <c r="I88" i="20"/>
  <c r="I89" i="20" s="1"/>
  <c r="J88" i="20"/>
  <c r="J89" i="20" s="1"/>
  <c r="H88" i="20"/>
  <c r="H89" i="20" s="1"/>
  <c r="J108" i="20"/>
  <c r="J109" i="20" s="1"/>
  <c r="I108" i="20"/>
  <c r="I109" i="20" s="1"/>
  <c r="H116" i="20"/>
  <c r="H117" i="20" s="1"/>
  <c r="I116" i="20"/>
  <c r="I117" i="20" s="1"/>
  <c r="J128" i="20"/>
  <c r="J129" i="20" s="1"/>
  <c r="I128" i="20"/>
  <c r="I129" i="20" s="1"/>
  <c r="I132" i="20"/>
  <c r="I133" i="20" s="1"/>
  <c r="J132" i="20"/>
  <c r="J133" i="20" s="1"/>
  <c r="J144" i="20"/>
  <c r="J145" i="20" s="1"/>
  <c r="I144" i="20"/>
  <c r="I145" i="20" s="1"/>
  <c r="I148" i="20"/>
  <c r="I149" i="20" s="1"/>
  <c r="J148" i="20"/>
  <c r="J149" i="20" s="1"/>
  <c r="J180" i="20"/>
  <c r="J181" i="20" s="1"/>
  <c r="H180" i="20"/>
  <c r="H181" i="20" s="1"/>
  <c r="J232" i="20"/>
  <c r="J233" i="20" s="1"/>
  <c r="H232" i="20"/>
  <c r="H233" i="20" s="1"/>
  <c r="J236" i="20"/>
  <c r="J237" i="20" s="1"/>
  <c r="H236" i="20"/>
  <c r="H237" i="20" s="1"/>
  <c r="I244" i="20"/>
  <c r="I245" i="20" s="1"/>
  <c r="J244" i="20"/>
  <c r="J245" i="20" s="1"/>
  <c r="J248" i="20"/>
  <c r="J249" i="20" s="1"/>
  <c r="I248" i="20"/>
  <c r="I249" i="20" s="1"/>
  <c r="J252" i="20"/>
  <c r="J253" i="20" s="1"/>
  <c r="I252" i="20"/>
  <c r="I253" i="20" s="1"/>
  <c r="I260" i="20"/>
  <c r="I261" i="20" s="1"/>
  <c r="J260" i="20"/>
  <c r="J261" i="20" s="1"/>
  <c r="J268" i="20"/>
  <c r="J269" i="20" s="1"/>
  <c r="I268" i="20"/>
  <c r="I269" i="20" s="1"/>
  <c r="I276" i="20"/>
  <c r="I277" i="20" s="1"/>
  <c r="H276" i="20"/>
  <c r="H277" i="20" s="1"/>
  <c r="J332" i="20"/>
  <c r="J333" i="20" s="1"/>
  <c r="H332" i="20"/>
  <c r="H333" i="20" s="1"/>
  <c r="J348" i="20"/>
  <c r="J349" i="20" s="1"/>
  <c r="H348" i="20"/>
  <c r="H349" i="20" s="1"/>
  <c r="H352" i="20"/>
  <c r="H353" i="20" s="1"/>
  <c r="J352" i="20"/>
  <c r="J353" i="20" s="1"/>
  <c r="J540" i="20"/>
  <c r="J541" i="20" s="1"/>
  <c r="J564" i="20"/>
  <c r="J565" i="20" s="1"/>
  <c r="H568" i="20"/>
  <c r="H569" i="20" s="1"/>
  <c r="I560" i="20"/>
  <c r="I561" i="20" s="1"/>
  <c r="I524" i="20"/>
  <c r="I525" i="20" s="1"/>
  <c r="I152" i="20"/>
  <c r="I153" i="20" s="1"/>
  <c r="I272" i="20"/>
  <c r="I273" i="20" s="1"/>
  <c r="H224" i="20"/>
  <c r="H225" i="20" s="1"/>
  <c r="J8" i="20"/>
  <c r="J9" i="20" s="1"/>
  <c r="H544" i="20"/>
  <c r="H545" i="20" s="1"/>
  <c r="H524" i="20"/>
  <c r="H525" i="20" s="1"/>
  <c r="H532" i="20"/>
  <c r="H533" i="20" s="1"/>
  <c r="I544" i="20"/>
  <c r="I545" i="20" s="1"/>
  <c r="H552" i="20"/>
  <c r="H553" i="20" s="1"/>
  <c r="H560" i="20"/>
  <c r="H561" i="20" s="1"/>
  <c r="J532" i="20"/>
  <c r="J533" i="20" s="1"/>
  <c r="J536" i="20"/>
  <c r="J537" i="20" s="1"/>
  <c r="I556" i="20"/>
  <c r="I557" i="20" s="1"/>
  <c r="J84" i="20"/>
  <c r="J85" i="20" s="1"/>
  <c r="H100" i="20"/>
  <c r="H101" i="20" s="1"/>
  <c r="J136" i="20"/>
  <c r="J137" i="20" s="1"/>
  <c r="H148" i="20"/>
  <c r="H149" i="20" s="1"/>
  <c r="H244" i="20"/>
  <c r="H245" i="20" s="1"/>
  <c r="I340" i="20"/>
  <c r="I341" i="20" s="1"/>
  <c r="I360" i="20"/>
  <c r="I361" i="20" s="1"/>
  <c r="I228" i="20"/>
  <c r="I229" i="20" s="1"/>
  <c r="J12" i="20"/>
  <c r="J13" i="20" s="1"/>
  <c r="H128" i="20"/>
  <c r="H129" i="20" s="1"/>
  <c r="J256" i="20"/>
  <c r="J257" i="20" s="1"/>
  <c r="J48" i="20"/>
  <c r="J49" i="20" s="1"/>
  <c r="H24" i="20"/>
  <c r="H25" i="20" s="1"/>
  <c r="H104" i="20"/>
  <c r="H105" i="20" s="1"/>
  <c r="H176" i="20"/>
  <c r="H177" i="20" s="1"/>
  <c r="H248" i="20"/>
  <c r="H249" i="20" s="1"/>
  <c r="I336" i="20"/>
  <c r="I337" i="20" s="1"/>
  <c r="I232" i="20"/>
  <c r="I233" i="20" s="1"/>
  <c r="I364" i="20"/>
  <c r="I365" i="20" s="1"/>
  <c r="H356" i="20"/>
  <c r="H357" i="20" s="1"/>
  <c r="H268" i="20"/>
  <c r="H269" i="20" s="1"/>
  <c r="I236" i="20"/>
  <c r="I237" i="20" s="1"/>
  <c r="I180" i="20"/>
  <c r="I181" i="20" s="1"/>
  <c r="J116" i="20"/>
  <c r="J117" i="20" s="1"/>
  <c r="H92" i="20"/>
  <c r="H93" i="20" s="1"/>
  <c r="H44" i="20"/>
  <c r="H45" i="20" s="1"/>
  <c r="J20" i="20"/>
  <c r="J21" i="20" s="1"/>
  <c r="H160" i="20"/>
  <c r="H161" i="20" s="1"/>
  <c r="I8" i="20"/>
  <c r="I9" i="20" s="1"/>
  <c r="J24" i="20"/>
  <c r="J25" i="20" s="1"/>
  <c r="J336" i="20"/>
  <c r="J337" i="20" s="1"/>
  <c r="I240" i="20"/>
  <c r="I241" i="20" s="1"/>
  <c r="H328" i="20"/>
  <c r="H329" i="20" s="1"/>
  <c r="I80" i="20"/>
  <c r="I81" i="20" s="1"/>
  <c r="J100" i="20"/>
  <c r="J101" i="20" s="1"/>
  <c r="J276" i="20"/>
  <c r="J277" i="20" s="1"/>
  <c r="H280" i="20"/>
  <c r="H281" i="20" s="1"/>
  <c r="J370" i="20"/>
  <c r="J371" i="20" s="1"/>
  <c r="I370" i="20"/>
  <c r="I371" i="20" s="1"/>
  <c r="J426" i="20"/>
  <c r="J427" i="20" s="1"/>
  <c r="I426" i="20"/>
  <c r="I427" i="20" s="1"/>
  <c r="H442" i="20"/>
  <c r="H443" i="20" s="1"/>
  <c r="J442" i="20"/>
  <c r="J443" i="20" s="1"/>
  <c r="I446" i="20"/>
  <c r="I447" i="20" s="1"/>
  <c r="H446" i="20"/>
  <c r="H447" i="20" s="1"/>
  <c r="H462" i="20"/>
  <c r="H463" i="20" s="1"/>
  <c r="J462" i="20"/>
  <c r="J463" i="20" s="1"/>
  <c r="I478" i="20"/>
  <c r="I479" i="20" s="1"/>
  <c r="J478" i="20"/>
  <c r="J479" i="20" s="1"/>
  <c r="H570" i="20"/>
  <c r="H571" i="20" s="1"/>
  <c r="I570" i="20"/>
  <c r="I571" i="20" s="1"/>
  <c r="J1220" i="20"/>
  <c r="J1221" i="20" s="1"/>
  <c r="J1316" i="20"/>
  <c r="J1317" i="20" s="1"/>
  <c r="J1292" i="20"/>
  <c r="J1293" i="20" s="1"/>
  <c r="H1492" i="20"/>
  <c r="H1493" i="20" s="1"/>
  <c r="H1508" i="20"/>
  <c r="H1509" i="20" s="1"/>
  <c r="I1404" i="20"/>
  <c r="I1405" i="20" s="1"/>
  <c r="H1484" i="20"/>
  <c r="H1485" i="20" s="1"/>
  <c r="H1296" i="20"/>
  <c r="H1297" i="20" s="1"/>
  <c r="J648" i="20"/>
  <c r="J649" i="20" s="1"/>
  <c r="J1432" i="20"/>
  <c r="J1433" i="20" s="1"/>
  <c r="J1192" i="20"/>
  <c r="J1193" i="20" s="1"/>
  <c r="I780" i="20"/>
  <c r="I781" i="20" s="1"/>
  <c r="H664" i="20"/>
  <c r="H665" i="20" s="1"/>
  <c r="I670" i="20"/>
  <c r="I671" i="20" s="1"/>
  <c r="J654" i="20"/>
  <c r="J655" i="20" s="1"/>
  <c r="J642" i="20"/>
  <c r="J643" i="20" s="1"/>
  <c r="J764" i="20"/>
  <c r="J765" i="20" s="1"/>
  <c r="H28" i="20"/>
  <c r="H29" i="20" s="1"/>
  <c r="J82" i="20"/>
  <c r="J83" i="20" s="1"/>
  <c r="J146" i="20"/>
  <c r="J147" i="20" s="1"/>
  <c r="H84" i="20"/>
  <c r="H85" i="20" s="1"/>
  <c r="H274" i="20"/>
  <c r="H275" i="20" s="1"/>
  <c r="H436" i="20"/>
  <c r="H437" i="20" s="1"/>
  <c r="I74" i="20"/>
  <c r="I75" i="20" s="1"/>
  <c r="I138" i="20"/>
  <c r="I139" i="20" s="1"/>
  <c r="J358" i="20"/>
  <c r="J359" i="20" s="1"/>
  <c r="H270" i="20"/>
  <c r="H271" i="20" s="1"/>
  <c r="J150" i="20"/>
  <c r="J151" i="20" s="1"/>
  <c r="J110" i="20"/>
  <c r="J111" i="20" s="1"/>
  <c r="J94" i="20"/>
  <c r="J95" i="20" s="1"/>
  <c r="I6" i="20"/>
  <c r="I7" i="20" s="1"/>
  <c r="H354" i="20"/>
  <c r="H355" i="20" s="1"/>
  <c r="I68" i="20"/>
  <c r="I69" i="20" s="1"/>
  <c r="J78" i="20"/>
  <c r="J79" i="20" s="1"/>
  <c r="H142" i="20"/>
  <c r="H143" i="20" s="1"/>
  <c r="I166" i="20"/>
  <c r="I167" i="20" s="1"/>
  <c r="J166" i="20"/>
  <c r="J167" i="20" s="1"/>
  <c r="H334" i="20"/>
  <c r="H335" i="20" s="1"/>
  <c r="I334" i="20"/>
  <c r="I335" i="20" s="1"/>
  <c r="J334" i="20"/>
  <c r="J335" i="20" s="1"/>
  <c r="H342" i="20"/>
  <c r="H343" i="20" s="1"/>
  <c r="I342" i="20"/>
  <c r="I343" i="20" s="1"/>
  <c r="I368" i="20"/>
  <c r="I369" i="20" s="1"/>
  <c r="J368" i="20"/>
  <c r="J369" i="20" s="1"/>
  <c r="I468" i="20"/>
  <c r="I469" i="20" s="1"/>
  <c r="J468" i="20"/>
  <c r="J469" i="20" s="1"/>
  <c r="I538" i="20"/>
  <c r="I539" i="20" s="1"/>
  <c r="H538" i="20"/>
  <c r="H539" i="20" s="1"/>
  <c r="I1236" i="20"/>
  <c r="I1237" i="20" s="1"/>
  <c r="H1236" i="20"/>
  <c r="H1237" i="20" s="1"/>
  <c r="J662" i="20"/>
  <c r="J663" i="20" s="1"/>
  <c r="H662" i="20"/>
  <c r="H663" i="20" s="1"/>
  <c r="H1736" i="20"/>
  <c r="H1737" i="20" s="1"/>
  <c r="I1736" i="20"/>
  <c r="I1737" i="20" s="1"/>
  <c r="I1720" i="20"/>
  <c r="I1721" i="20" s="1"/>
  <c r="J1720" i="20"/>
  <c r="J1721" i="20" s="1"/>
  <c r="H266" i="20"/>
  <c r="H267" i="20" s="1"/>
  <c r="J234" i="20"/>
  <c r="J235" i="20" s="1"/>
  <c r="H358" i="20"/>
  <c r="H359" i="20" s="1"/>
  <c r="I270" i="20"/>
  <c r="I271" i="20" s="1"/>
  <c r="J538" i="20"/>
  <c r="J539" i="20" s="1"/>
  <c r="H226" i="20"/>
  <c r="H227" i="20" s="1"/>
  <c r="I424" i="20"/>
  <c r="I425" i="20" s="1"/>
  <c r="I448" i="20"/>
  <c r="I449" i="20" s="1"/>
  <c r="H372" i="20"/>
  <c r="H373" i="20" s="1"/>
  <c r="J254" i="20"/>
  <c r="J255" i="20" s="1"/>
  <c r="I40" i="20"/>
  <c r="I41" i="20" s="1"/>
  <c r="H40" i="20"/>
  <c r="H41" i="20" s="1"/>
  <c r="H124" i="20"/>
  <c r="H125" i="20" s="1"/>
  <c r="J124" i="20"/>
  <c r="J125" i="20" s="1"/>
  <c r="J140" i="20"/>
  <c r="J141" i="20" s="1"/>
  <c r="I140" i="20"/>
  <c r="I141" i="20" s="1"/>
  <c r="H168" i="20"/>
  <c r="H169" i="20" s="1"/>
  <c r="J168" i="20"/>
  <c r="J169" i="20" s="1"/>
  <c r="J172" i="20"/>
  <c r="J173" i="20" s="1"/>
  <c r="I172" i="20"/>
  <c r="I173" i="20" s="1"/>
  <c r="I632" i="20"/>
  <c r="I633" i="20" s="1"/>
  <c r="H1190" i="20"/>
  <c r="H1191" i="20" s="1"/>
  <c r="I1190" i="20"/>
  <c r="I1191" i="20" s="1"/>
  <c r="H1396" i="20"/>
  <c r="H1397" i="20" s="1"/>
  <c r="J1396" i="20"/>
  <c r="J1397" i="20" s="1"/>
  <c r="H1388" i="20"/>
  <c r="H1389" i="20" s="1"/>
  <c r="I1388" i="20"/>
  <c r="I1389" i="20" s="1"/>
  <c r="J1388" i="20"/>
  <c r="J1389" i="20" s="1"/>
  <c r="H1384" i="20"/>
  <c r="H1385" i="20" s="1"/>
  <c r="I1384" i="20"/>
  <c r="I1385" i="20" s="1"/>
  <c r="H652" i="20"/>
  <c r="H653" i="20" s="1"/>
  <c r="I652" i="20"/>
  <c r="I653" i="20" s="1"/>
  <c r="I1690" i="20"/>
  <c r="I1691" i="20" s="1"/>
  <c r="J1690" i="20"/>
  <c r="J1691" i="20" s="1"/>
  <c r="I742" i="20"/>
  <c r="I743" i="20" s="1"/>
  <c r="J742" i="20"/>
  <c r="J743" i="20" s="1"/>
  <c r="I70" i="20"/>
  <c r="I71" i="20" s="1"/>
  <c r="H362" i="20"/>
  <c r="H363" i="20" s="1"/>
  <c r="J476" i="20"/>
  <c r="J477" i="20" s="1"/>
  <c r="I242" i="20"/>
  <c r="I243" i="20" s="1"/>
  <c r="I230" i="20"/>
  <c r="I231" i="20" s="1"/>
  <c r="J1142" i="20"/>
  <c r="J1143" i="20" s="1"/>
  <c r="I124" i="20"/>
  <c r="I125" i="20" s="1"/>
  <c r="I462" i="20"/>
  <c r="I463" i="20" s="1"/>
  <c r="H438" i="20"/>
  <c r="H439" i="20" s="1"/>
  <c r="H132" i="20"/>
  <c r="H133" i="20" s="1"/>
  <c r="H428" i="20"/>
  <c r="H429" i="20" s="1"/>
  <c r="I324" i="20"/>
  <c r="I325" i="20" s="1"/>
  <c r="H452" i="20"/>
  <c r="H453" i="20" s="1"/>
  <c r="H340" i="20"/>
  <c r="H341" i="20" s="1"/>
  <c r="J582" i="20"/>
  <c r="J583" i="20" s="1"/>
  <c r="H658" i="20"/>
  <c r="H659" i="20" s="1"/>
  <c r="I1710" i="20"/>
  <c r="I1711" i="20" s="1"/>
  <c r="J1710" i="20"/>
  <c r="J1711" i="20" s="1"/>
  <c r="I444" i="20"/>
  <c r="I445" i="20" s="1"/>
  <c r="J444" i="20"/>
  <c r="J445" i="20" s="1"/>
  <c r="J634" i="20"/>
  <c r="J635" i="20" s="1"/>
  <c r="I634" i="20"/>
  <c r="I635" i="20" s="1"/>
  <c r="J118" i="20"/>
  <c r="J119" i="20" s="1"/>
  <c r="I134" i="20"/>
  <c r="I135" i="20" s="1"/>
  <c r="J178" i="20"/>
  <c r="J179" i="20" s="1"/>
  <c r="J326" i="20"/>
  <c r="J327" i="20" s="1"/>
  <c r="J38" i="20"/>
  <c r="J39" i="20" s="1"/>
  <c r="J60" i="20"/>
  <c r="J61" i="20" s="1"/>
  <c r="H380" i="20"/>
  <c r="H381" i="20" s="1"/>
  <c r="J380" i="20"/>
  <c r="J381" i="20" s="1"/>
  <c r="J646" i="20"/>
  <c r="J647" i="20" s="1"/>
  <c r="H646" i="20"/>
  <c r="H647" i="20" s="1"/>
  <c r="H666" i="20"/>
  <c r="H667" i="20" s="1"/>
  <c r="J666" i="20"/>
  <c r="J667" i="20" s="1"/>
  <c r="I774" i="20"/>
  <c r="I775" i="20" s="1"/>
  <c r="H774" i="20"/>
  <c r="H775" i="20" s="1"/>
  <c r="I1622" i="20"/>
  <c r="I1623" i="20" s="1"/>
  <c r="J1622" i="20"/>
  <c r="J1623" i="20" s="1"/>
  <c r="I1742" i="20"/>
  <c r="I1743" i="20" s="1"/>
  <c r="I1744" i="20" s="1"/>
  <c r="I1745" i="20" s="1"/>
  <c r="I1746" i="20" s="1"/>
  <c r="I1747" i="20" s="1"/>
  <c r="J1742" i="20"/>
  <c r="J1743" i="20" s="1"/>
  <c r="J1744" i="20" s="1"/>
  <c r="J1745" i="20" s="1"/>
  <c r="J1746" i="20" s="1"/>
  <c r="J1747" i="20" s="1"/>
  <c r="I9" i="23"/>
  <c r="I5" i="23"/>
  <c r="C113" i="23"/>
  <c r="C80" i="23"/>
  <c r="C76" i="23"/>
  <c r="H142" i="23"/>
  <c r="H140" i="23"/>
  <c r="H113" i="23"/>
  <c r="H111" i="23"/>
  <c r="H109" i="23"/>
  <c r="H107" i="23"/>
  <c r="H80" i="23"/>
  <c r="H78" i="23"/>
  <c r="H76" i="23"/>
  <c r="C9" i="23"/>
  <c r="H39" i="23"/>
  <c r="H43" i="23"/>
  <c r="G39" i="23"/>
  <c r="I175" i="23"/>
  <c r="H175" i="23"/>
  <c r="G109" i="23"/>
  <c r="C43" i="23"/>
  <c r="C5" i="23"/>
  <c r="Q44" i="23"/>
  <c r="R44" i="23" s="1"/>
  <c r="Q110" i="23"/>
  <c r="R110" i="23" s="1"/>
  <c r="Q141" i="23"/>
  <c r="S141" i="23" s="1"/>
  <c r="Q147" i="23"/>
  <c r="R147" i="23" s="1"/>
  <c r="I143" i="23"/>
  <c r="I77" i="23"/>
  <c r="I8" i="23"/>
  <c r="C10" i="23"/>
  <c r="G108" i="23"/>
  <c r="C147" i="23"/>
  <c r="J782" i="20"/>
  <c r="J783" i="20" s="1"/>
  <c r="J784" i="20" s="1"/>
  <c r="J785" i="20" s="1"/>
  <c r="J786" i="20" s="1"/>
  <c r="J787" i="20" s="1"/>
  <c r="Q4" i="23"/>
  <c r="Q38" i="23"/>
  <c r="R38" i="23" s="1"/>
  <c r="Q46" i="23"/>
  <c r="S46" i="23" s="1"/>
  <c r="H115" i="23"/>
  <c r="I115" i="23"/>
  <c r="G115" i="23"/>
  <c r="G7" i="23"/>
  <c r="C7" i="23"/>
  <c r="C11" i="23"/>
  <c r="G11" i="23"/>
  <c r="I41" i="23"/>
  <c r="G41" i="23"/>
  <c r="C45" i="23"/>
  <c r="G45" i="23"/>
  <c r="G72" i="23"/>
  <c r="C72" i="23"/>
  <c r="G74" i="23"/>
  <c r="C74" i="23"/>
  <c r="H144" i="23"/>
  <c r="I144" i="23"/>
  <c r="H148" i="23"/>
  <c r="C148" i="23"/>
  <c r="I148" i="23"/>
  <c r="C177" i="23"/>
  <c r="I177" i="23"/>
  <c r="H181" i="23"/>
  <c r="I181" i="23"/>
  <c r="Q5" i="23"/>
  <c r="R5" i="23" s="1"/>
  <c r="Q6" i="23"/>
  <c r="S6" i="23" s="1"/>
  <c r="Q7" i="23"/>
  <c r="S7" i="23" s="1"/>
  <c r="Q8" i="23"/>
  <c r="R8" i="23" s="1"/>
  <c r="Q10" i="23"/>
  <c r="S10" i="23" s="1"/>
  <c r="Q11" i="23"/>
  <c r="R11" i="23" s="1"/>
  <c r="Q39" i="23"/>
  <c r="S39" i="23" s="1"/>
  <c r="Q40" i="23"/>
  <c r="R40" i="23" s="1"/>
  <c r="Q41" i="23"/>
  <c r="Q43" i="23"/>
  <c r="S43" i="23" s="1"/>
  <c r="Q45" i="23"/>
  <c r="S45" i="23" s="1"/>
  <c r="Q106" i="23"/>
  <c r="R106" i="23" s="1"/>
  <c r="Q107" i="23"/>
  <c r="Q108" i="23"/>
  <c r="S108" i="23" s="1"/>
  <c r="Q109" i="23"/>
  <c r="S109" i="23" s="1"/>
  <c r="Q112" i="23"/>
  <c r="R112" i="23" s="1"/>
  <c r="Q114" i="23"/>
  <c r="R114" i="23" s="1"/>
  <c r="Q140" i="23"/>
  <c r="R140" i="23" s="1"/>
  <c r="Q142" i="23"/>
  <c r="R142" i="23" s="1"/>
  <c r="Q143" i="23"/>
  <c r="S143" i="23" s="1"/>
  <c r="Q144" i="23"/>
  <c r="R144" i="23" s="1"/>
  <c r="Q145" i="23"/>
  <c r="R145" i="23" s="1"/>
  <c r="Q146" i="23"/>
  <c r="S146" i="23" s="1"/>
  <c r="I141" i="23"/>
  <c r="I112" i="23"/>
  <c r="I108" i="23"/>
  <c r="I79" i="23"/>
  <c r="I75" i="23"/>
  <c r="H8" i="23"/>
  <c r="C8" i="23"/>
  <c r="I10" i="23"/>
  <c r="G145" i="23"/>
  <c r="G141" i="23"/>
  <c r="G75" i="23"/>
  <c r="G143" i="23"/>
  <c r="C73" i="23"/>
  <c r="C13" i="23"/>
  <c r="G13" i="23"/>
  <c r="H6" i="23"/>
  <c r="C6" i="23"/>
  <c r="I38" i="23"/>
  <c r="G38" i="23"/>
  <c r="C38" i="23"/>
  <c r="I40" i="23"/>
  <c r="G40" i="23"/>
  <c r="C40" i="23"/>
  <c r="I42" i="23"/>
  <c r="G42" i="23"/>
  <c r="H44" i="23"/>
  <c r="G44" i="23"/>
  <c r="C44" i="23"/>
  <c r="H46" i="23"/>
  <c r="C46" i="23"/>
  <c r="C110" i="23"/>
  <c r="G110" i="23"/>
  <c r="G114" i="23"/>
  <c r="C114" i="23"/>
  <c r="H174" i="23"/>
  <c r="C174" i="23"/>
  <c r="H176" i="23"/>
  <c r="G176" i="23"/>
  <c r="C176" i="23"/>
  <c r="H178" i="23"/>
  <c r="G178" i="23"/>
  <c r="H180" i="23"/>
  <c r="G180" i="23"/>
  <c r="H182" i="23"/>
  <c r="C182" i="23"/>
  <c r="G182" i="23"/>
  <c r="H143" i="23"/>
  <c r="H141" i="23"/>
  <c r="H114" i="23"/>
  <c r="H112" i="23"/>
  <c r="H110" i="23"/>
  <c r="H108" i="23"/>
  <c r="H106" i="23"/>
  <c r="H79" i="23"/>
  <c r="H77" i="23"/>
  <c r="H75" i="23"/>
  <c r="H73" i="23"/>
  <c r="H12" i="23"/>
  <c r="C4" i="23"/>
  <c r="C12" i="23"/>
  <c r="I13" i="23"/>
  <c r="G10" i="23"/>
  <c r="G6" i="23"/>
  <c r="H4" i="23"/>
  <c r="I147" i="23"/>
  <c r="I176" i="23"/>
  <c r="C180" i="23"/>
  <c r="C145" i="23"/>
  <c r="I178" i="23"/>
  <c r="I145" i="23"/>
  <c r="G112" i="23"/>
  <c r="G79" i="23"/>
  <c r="G46" i="23"/>
  <c r="I44" i="23"/>
  <c r="H38" i="23"/>
  <c r="G77" i="23"/>
  <c r="G106" i="23"/>
  <c r="G147" i="23"/>
  <c r="H40" i="23"/>
  <c r="AN52" i="4"/>
  <c r="AN51" i="4"/>
  <c r="N1754" i="20" l="1"/>
  <c r="N1755" i="20" s="1"/>
  <c r="N1750" i="20"/>
  <c r="N1751" i="20" s="1"/>
  <c r="N1752" i="20" s="1"/>
  <c r="N1753" i="20" s="1"/>
  <c r="I957" i="20"/>
  <c r="I958" i="20" s="1"/>
  <c r="I959" i="20" s="1"/>
  <c r="I960" i="20" s="1"/>
  <c r="I961" i="20" s="1"/>
  <c r="J957" i="20"/>
  <c r="J958" i="20" s="1"/>
  <c r="J959" i="20" s="1"/>
  <c r="J960" i="20" s="1"/>
  <c r="J961" i="20" s="1"/>
  <c r="H957" i="20"/>
  <c r="H958" i="20" s="1"/>
  <c r="H959" i="20" s="1"/>
  <c r="H960" i="20" s="1"/>
  <c r="H961" i="20" s="1"/>
  <c r="N794" i="20"/>
  <c r="N795" i="20" s="1"/>
  <c r="N790" i="20"/>
  <c r="N791" i="20" s="1"/>
  <c r="N792" i="20" s="1"/>
  <c r="N793" i="20" s="1"/>
  <c r="AJ46" i="4"/>
  <c r="AK57" i="4"/>
  <c r="AL57" i="4" s="1"/>
  <c r="AK69" i="4"/>
  <c r="AL69" i="4" s="1"/>
  <c r="AK73" i="4"/>
  <c r="AL73" i="4" s="1"/>
  <c r="M45" i="4"/>
  <c r="AJ53" i="4"/>
  <c r="U45" i="4"/>
  <c r="AC45" i="4"/>
  <c r="S46" i="4"/>
  <c r="AE46" i="4" s="1"/>
  <c r="AA45" i="4"/>
  <c r="AI61" i="4"/>
  <c r="AI53" i="4"/>
  <c r="K45" i="4"/>
  <c r="AI65" i="4"/>
  <c r="AC6" i="4"/>
  <c r="AJ6" i="4" s="1"/>
  <c r="AI60" i="4"/>
  <c r="AJ60" i="4"/>
  <c r="AI62" i="4"/>
  <c r="AJ62" i="4"/>
  <c r="AI47" i="4"/>
  <c r="AJ47" i="4"/>
  <c r="AI49" i="4"/>
  <c r="AJ49" i="4"/>
  <c r="AI54" i="4"/>
  <c r="AJ54" i="4"/>
  <c r="AI68" i="4"/>
  <c r="AJ68" i="4"/>
  <c r="AI72" i="4"/>
  <c r="AJ72" i="4"/>
  <c r="AI51" i="4"/>
  <c r="AJ51" i="4"/>
  <c r="AI50" i="4"/>
  <c r="AJ50" i="4"/>
  <c r="AI59" i="4"/>
  <c r="AJ59" i="4"/>
  <c r="AJ73" i="4"/>
  <c r="AJ57" i="4"/>
  <c r="AJ69" i="4"/>
  <c r="AJ61" i="4"/>
  <c r="AI48" i="4"/>
  <c r="AJ48" i="4"/>
  <c r="AI52" i="4"/>
  <c r="AJ52" i="4"/>
  <c r="AI66" i="4"/>
  <c r="AJ66" i="4"/>
  <c r="AI46" i="4"/>
  <c r="AI56" i="4"/>
  <c r="AJ56" i="4"/>
  <c r="AI58" i="4"/>
  <c r="AJ58" i="4"/>
  <c r="AI74" i="4"/>
  <c r="AJ74" i="4"/>
  <c r="AI67" i="4"/>
  <c r="AJ67" i="4"/>
  <c r="AI71" i="4"/>
  <c r="AJ71" i="4"/>
  <c r="AI63" i="4"/>
  <c r="AJ63" i="4"/>
  <c r="AI64" i="4"/>
  <c r="AJ64" i="4"/>
  <c r="AI70" i="4"/>
  <c r="AJ70" i="4"/>
  <c r="AI55" i="4"/>
  <c r="AJ55" i="4"/>
  <c r="M5" i="4"/>
  <c r="K5" i="4"/>
  <c r="AF5" i="4" s="1"/>
  <c r="U16" i="11"/>
  <c r="U15" i="11"/>
  <c r="U14" i="11"/>
  <c r="U13" i="11"/>
  <c r="U6" i="11"/>
  <c r="U5" i="11"/>
  <c r="U4" i="11"/>
  <c r="U3" i="11"/>
  <c r="U23" i="11"/>
  <c r="U21" i="11"/>
  <c r="U19" i="11"/>
  <c r="U17" i="11"/>
  <c r="U22" i="11"/>
  <c r="U20" i="11"/>
  <c r="U18" i="11"/>
  <c r="U2" i="11"/>
  <c r="AE21" i="22"/>
  <c r="N65" i="12"/>
  <c r="AO65" i="12" s="1"/>
  <c r="N67" i="12"/>
  <c r="AO67" i="12" s="1"/>
  <c r="F65" i="12"/>
  <c r="F67" i="12"/>
  <c r="V65" i="12"/>
  <c r="AP65" i="12" s="1"/>
  <c r="V67" i="12"/>
  <c r="AP67" i="12" s="1"/>
  <c r="AY5" i="22"/>
  <c r="C133" i="17" s="1"/>
  <c r="AZ5" i="22"/>
  <c r="D133" i="17" s="1"/>
  <c r="AI9" i="22"/>
  <c r="AD66" i="22"/>
  <c r="AF66" i="22" s="1"/>
  <c r="AG66" i="22" s="1"/>
  <c r="AH33" i="22"/>
  <c r="AJ33" i="22" s="1"/>
  <c r="AK33" i="22" s="1"/>
  <c r="AH21" i="22"/>
  <c r="AJ21" i="22" s="1"/>
  <c r="AK21" i="22" s="1"/>
  <c r="AE14" i="22"/>
  <c r="AE33" i="12"/>
  <c r="AG33" i="12" s="1"/>
  <c r="AH33" i="12" s="1"/>
  <c r="M106" i="10"/>
  <c r="L164" i="11"/>
  <c r="M164" i="11"/>
  <c r="M86" i="11"/>
  <c r="L86" i="11"/>
  <c r="O86" i="11" s="1"/>
  <c r="P86" i="11" s="1"/>
  <c r="S9" i="10"/>
  <c r="L327" i="11"/>
  <c r="O327" i="11" s="1"/>
  <c r="P327" i="11" s="1"/>
  <c r="S17" i="10"/>
  <c r="L335" i="11"/>
  <c r="O335" i="11" s="1"/>
  <c r="P335" i="11" s="1"/>
  <c r="S25" i="10"/>
  <c r="L343" i="11"/>
  <c r="O343" i="11" s="1"/>
  <c r="P343" i="11" s="1"/>
  <c r="S10" i="10"/>
  <c r="L328" i="11"/>
  <c r="O328" i="11" s="1"/>
  <c r="P328" i="11" s="1"/>
  <c r="S18" i="10"/>
  <c r="L336" i="11"/>
  <c r="O336" i="11" s="1"/>
  <c r="P336" i="11" s="1"/>
  <c r="S26" i="10"/>
  <c r="L344" i="11"/>
  <c r="O344" i="11" s="1"/>
  <c r="P344" i="11" s="1"/>
  <c r="S3" i="10"/>
  <c r="L321" i="11"/>
  <c r="O321" i="11" s="1"/>
  <c r="P321" i="11" s="1"/>
  <c r="S11" i="10"/>
  <c r="L329" i="11"/>
  <c r="O329" i="11" s="1"/>
  <c r="P329" i="11" s="1"/>
  <c r="S19" i="10"/>
  <c r="L337" i="11"/>
  <c r="O337" i="11" s="1"/>
  <c r="P337" i="11" s="1"/>
  <c r="S27" i="10"/>
  <c r="L345" i="11"/>
  <c r="O345" i="11" s="1"/>
  <c r="P345" i="11" s="1"/>
  <c r="S4" i="10"/>
  <c r="L322" i="11"/>
  <c r="O322" i="11" s="1"/>
  <c r="P322" i="11" s="1"/>
  <c r="S12" i="10"/>
  <c r="L330" i="11"/>
  <c r="O330" i="11" s="1"/>
  <c r="P330" i="11" s="1"/>
  <c r="S20" i="10"/>
  <c r="L338" i="11"/>
  <c r="O338" i="11" s="1"/>
  <c r="P338" i="11" s="1"/>
  <c r="S28" i="10"/>
  <c r="L346" i="11"/>
  <c r="O346" i="11" s="1"/>
  <c r="P346" i="11" s="1"/>
  <c r="S5" i="10"/>
  <c r="L323" i="11"/>
  <c r="O323" i="11" s="1"/>
  <c r="P323" i="11" s="1"/>
  <c r="S13" i="10"/>
  <c r="L331" i="11"/>
  <c r="O331" i="11" s="1"/>
  <c r="P331" i="11" s="1"/>
  <c r="S21" i="10"/>
  <c r="L339" i="11"/>
  <c r="O339" i="11" s="1"/>
  <c r="P339" i="11" s="1"/>
  <c r="S29" i="10"/>
  <c r="L347" i="11"/>
  <c r="O347" i="11" s="1"/>
  <c r="P347" i="11" s="1"/>
  <c r="S6" i="10"/>
  <c r="L324" i="11"/>
  <c r="O324" i="11" s="1"/>
  <c r="P324" i="11" s="1"/>
  <c r="S14" i="10"/>
  <c r="L332" i="11"/>
  <c r="O332" i="11" s="1"/>
  <c r="P332" i="11" s="1"/>
  <c r="S22" i="10"/>
  <c r="L340" i="11"/>
  <c r="O340" i="11" s="1"/>
  <c r="P340" i="11" s="1"/>
  <c r="S30" i="10"/>
  <c r="L348" i="11"/>
  <c r="O348" i="11" s="1"/>
  <c r="P348" i="11" s="1"/>
  <c r="S7" i="10"/>
  <c r="L325" i="11"/>
  <c r="O325" i="11" s="1"/>
  <c r="P325" i="11" s="1"/>
  <c r="S15" i="10"/>
  <c r="L333" i="11"/>
  <c r="O333" i="11" s="1"/>
  <c r="P333" i="11" s="1"/>
  <c r="S23" i="10"/>
  <c r="L341" i="11"/>
  <c r="O341" i="11" s="1"/>
  <c r="P341" i="11" s="1"/>
  <c r="S31" i="10"/>
  <c r="L349" i="11"/>
  <c r="O349" i="11" s="1"/>
  <c r="P349" i="11" s="1"/>
  <c r="S8" i="10"/>
  <c r="L326" i="11"/>
  <c r="O326" i="11" s="1"/>
  <c r="P326" i="11" s="1"/>
  <c r="S16" i="10"/>
  <c r="L334" i="11"/>
  <c r="O334" i="11" s="1"/>
  <c r="P334" i="11" s="1"/>
  <c r="S24" i="10"/>
  <c r="L342" i="11"/>
  <c r="O342" i="11" s="1"/>
  <c r="P342" i="11" s="1"/>
  <c r="AI111" i="12"/>
  <c r="AK111" i="12" s="1"/>
  <c r="AL111" i="12" s="1"/>
  <c r="AD12" i="22"/>
  <c r="AF12" i="22" s="1"/>
  <c r="AG12" i="22" s="1"/>
  <c r="AD14" i="22"/>
  <c r="AF14" i="22" s="1"/>
  <c r="AG14" i="22" s="1"/>
  <c r="AD26" i="22"/>
  <c r="AF26" i="22" s="1"/>
  <c r="AG26" i="22" s="1"/>
  <c r="AH9" i="22"/>
  <c r="AJ9" i="22" s="1"/>
  <c r="AK9" i="22" s="1"/>
  <c r="AI7" i="22"/>
  <c r="AD19" i="22"/>
  <c r="AF19" i="22" s="1"/>
  <c r="AG19" i="22" s="1"/>
  <c r="AD33" i="22"/>
  <c r="AF33" i="22" s="1"/>
  <c r="AG33" i="22" s="1"/>
  <c r="N320" i="11"/>
  <c r="AH29" i="22"/>
  <c r="AJ29" i="22" s="1"/>
  <c r="AK29" i="22" s="1"/>
  <c r="S35" i="10"/>
  <c r="L353" i="11"/>
  <c r="O353" i="11" s="1"/>
  <c r="P353" i="11" s="1"/>
  <c r="S43" i="10"/>
  <c r="L361" i="11"/>
  <c r="O361" i="11" s="1"/>
  <c r="P361" i="11" s="1"/>
  <c r="S51" i="10"/>
  <c r="L369" i="11"/>
  <c r="O369" i="11" s="1"/>
  <c r="P369" i="11" s="1"/>
  <c r="S59" i="10"/>
  <c r="L377" i="11"/>
  <c r="O377" i="11" s="1"/>
  <c r="P377" i="11" s="1"/>
  <c r="S38" i="10"/>
  <c r="L356" i="11"/>
  <c r="O356" i="11" s="1"/>
  <c r="P356" i="11" s="1"/>
  <c r="S46" i="10"/>
  <c r="L364" i="11"/>
  <c r="O364" i="11" s="1"/>
  <c r="P364" i="11" s="1"/>
  <c r="S54" i="10"/>
  <c r="L372" i="11"/>
  <c r="O372" i="11" s="1"/>
  <c r="P372" i="11" s="1"/>
  <c r="S32" i="10"/>
  <c r="L350" i="11"/>
  <c r="O350" i="11" s="1"/>
  <c r="P350" i="11" s="1"/>
  <c r="S37" i="10"/>
  <c r="L355" i="11"/>
  <c r="O355" i="11" s="1"/>
  <c r="P355" i="11" s="1"/>
  <c r="S45" i="10"/>
  <c r="L363" i="11"/>
  <c r="O363" i="11" s="1"/>
  <c r="P363" i="11" s="1"/>
  <c r="S53" i="10"/>
  <c r="L371" i="11"/>
  <c r="O371" i="11" s="1"/>
  <c r="P371" i="11" s="1"/>
  <c r="S40" i="10"/>
  <c r="L358" i="11"/>
  <c r="O358" i="11" s="1"/>
  <c r="P358" i="11" s="1"/>
  <c r="S48" i="10"/>
  <c r="L366" i="11"/>
  <c r="O366" i="11" s="1"/>
  <c r="P366" i="11" s="1"/>
  <c r="S56" i="10"/>
  <c r="L374" i="11"/>
  <c r="O374" i="11" s="1"/>
  <c r="P374" i="11" s="1"/>
  <c r="S33" i="10"/>
  <c r="L351" i="11"/>
  <c r="O351" i="11" s="1"/>
  <c r="P351" i="11" s="1"/>
  <c r="S39" i="10"/>
  <c r="L357" i="11"/>
  <c r="O357" i="11" s="1"/>
  <c r="P357" i="11" s="1"/>
  <c r="S47" i="10"/>
  <c r="L365" i="11"/>
  <c r="O365" i="11" s="1"/>
  <c r="P365" i="11" s="1"/>
  <c r="S55" i="10"/>
  <c r="L373" i="11"/>
  <c r="O373" i="11" s="1"/>
  <c r="P373" i="11" s="1"/>
  <c r="S42" i="10"/>
  <c r="L360" i="11"/>
  <c r="O360" i="11" s="1"/>
  <c r="P360" i="11" s="1"/>
  <c r="S50" i="10"/>
  <c r="L368" i="11"/>
  <c r="O368" i="11" s="1"/>
  <c r="P368" i="11" s="1"/>
  <c r="S58" i="10"/>
  <c r="L376" i="11"/>
  <c r="O376" i="11" s="1"/>
  <c r="P376" i="11" s="1"/>
  <c r="S34" i="10"/>
  <c r="L352" i="11"/>
  <c r="O352" i="11" s="1"/>
  <c r="P352" i="11" s="1"/>
  <c r="S41" i="10"/>
  <c r="L359" i="11"/>
  <c r="O359" i="11" s="1"/>
  <c r="P359" i="11" s="1"/>
  <c r="S49" i="10"/>
  <c r="L367" i="11"/>
  <c r="O367" i="11" s="1"/>
  <c r="P367" i="11" s="1"/>
  <c r="S57" i="10"/>
  <c r="L375" i="11"/>
  <c r="O375" i="11" s="1"/>
  <c r="P375" i="11" s="1"/>
  <c r="S36" i="10"/>
  <c r="L354" i="11"/>
  <c r="O354" i="11" s="1"/>
  <c r="P354" i="11" s="1"/>
  <c r="S44" i="10"/>
  <c r="L362" i="11"/>
  <c r="O362" i="11" s="1"/>
  <c r="P362" i="11" s="1"/>
  <c r="S52" i="10"/>
  <c r="L370" i="11"/>
  <c r="O370" i="11" s="1"/>
  <c r="P370" i="11" s="1"/>
  <c r="S60" i="10"/>
  <c r="L378" i="11"/>
  <c r="O378" i="11" s="1"/>
  <c r="P378" i="11" s="1"/>
  <c r="S2" i="10"/>
  <c r="L320" i="11"/>
  <c r="D326" i="17"/>
  <c r="N379" i="11"/>
  <c r="S61" i="10"/>
  <c r="L379" i="11"/>
  <c r="O379" i="11" s="1"/>
  <c r="P379" i="11" s="1"/>
  <c r="AD72" i="22"/>
  <c r="AF72" i="22" s="1"/>
  <c r="AG72" i="22" s="1"/>
  <c r="AH54" i="22"/>
  <c r="AJ54" i="22" s="1"/>
  <c r="AK54" i="22" s="1"/>
  <c r="AI62" i="22"/>
  <c r="AD64" i="22"/>
  <c r="AF64" i="22" s="1"/>
  <c r="AG64" i="22" s="1"/>
  <c r="AD69" i="22"/>
  <c r="AF69" i="22" s="1"/>
  <c r="AG69" i="22" s="1"/>
  <c r="AI63" i="22"/>
  <c r="AE46" i="22"/>
  <c r="AI58" i="22"/>
  <c r="AE66" i="22"/>
  <c r="AI66" i="22"/>
  <c r="AE19" i="22"/>
  <c r="AH8" i="22"/>
  <c r="AJ8" i="22" s="1"/>
  <c r="AK8" i="22" s="1"/>
  <c r="AD18" i="22"/>
  <c r="AF18" i="22" s="1"/>
  <c r="AG18" i="22" s="1"/>
  <c r="AH28" i="22"/>
  <c r="AJ28" i="22" s="1"/>
  <c r="AK28" i="22" s="1"/>
  <c r="AH32" i="22"/>
  <c r="AJ32" i="22" s="1"/>
  <c r="AK32" i="22" s="1"/>
  <c r="AH16" i="22"/>
  <c r="AJ16" i="22" s="1"/>
  <c r="AK16" i="22" s="1"/>
  <c r="AI17" i="22"/>
  <c r="AI31" i="22"/>
  <c r="AE5" i="22"/>
  <c r="AJ97" i="14"/>
  <c r="L20" i="11"/>
  <c r="G167" i="19"/>
  <c r="H167" i="19"/>
  <c r="G58" i="19"/>
  <c r="H58" i="19"/>
  <c r="AE5" i="12"/>
  <c r="AG5" i="12" s="1"/>
  <c r="AH5" i="12" s="1"/>
  <c r="AE32" i="12"/>
  <c r="AG32" i="12" s="1"/>
  <c r="AH32" i="12" s="1"/>
  <c r="AE47" i="12"/>
  <c r="AG47" i="12" s="1"/>
  <c r="AH47" i="12" s="1"/>
  <c r="AE31" i="12"/>
  <c r="AG31" i="12" s="1"/>
  <c r="AH31" i="12" s="1"/>
  <c r="AF108" i="14"/>
  <c r="AF95" i="14"/>
  <c r="AI105" i="14"/>
  <c r="AK105" i="14" s="1"/>
  <c r="AL105" i="14" s="1"/>
  <c r="F246" i="19"/>
  <c r="G246" i="19" s="1"/>
  <c r="AF41" i="14"/>
  <c r="F523" i="19"/>
  <c r="AD49" i="12"/>
  <c r="AE93" i="14"/>
  <c r="AG93" i="14" s="1"/>
  <c r="AH93" i="14" s="1"/>
  <c r="F134" i="19"/>
  <c r="G134" i="19" s="1"/>
  <c r="G138" i="19"/>
  <c r="F414" i="19"/>
  <c r="G414" i="19" s="1"/>
  <c r="F248" i="19"/>
  <c r="G248" i="19" s="1"/>
  <c r="AO47" i="4"/>
  <c r="AI114" i="14"/>
  <c r="AK114" i="14" s="1"/>
  <c r="AL114" i="14" s="1"/>
  <c r="F136" i="19"/>
  <c r="G136" i="19" s="1"/>
  <c r="F250" i="19"/>
  <c r="G250" i="19" s="1"/>
  <c r="L48" i="23"/>
  <c r="Q48" i="23" s="1"/>
  <c r="S48" i="23" s="1"/>
  <c r="B48" i="23"/>
  <c r="I48" i="23" s="1"/>
  <c r="B14" i="23"/>
  <c r="I14" i="23" s="1"/>
  <c r="AI51" i="12"/>
  <c r="AK51" i="12" s="1"/>
  <c r="AL51" i="12" s="1"/>
  <c r="AD25" i="22"/>
  <c r="AF25" i="22" s="1"/>
  <c r="AG25" i="22" s="1"/>
  <c r="AI33" i="22"/>
  <c r="C139" i="17"/>
  <c r="E139" i="17" s="1"/>
  <c r="F139" i="17" s="1"/>
  <c r="D139" i="17"/>
  <c r="F244" i="19"/>
  <c r="G244" i="19" s="1"/>
  <c r="AJ105" i="14"/>
  <c r="AE27" i="12"/>
  <c r="AG27" i="12" s="1"/>
  <c r="AH27" i="12" s="1"/>
  <c r="AP47" i="4"/>
  <c r="AH27" i="22"/>
  <c r="AJ27" i="22" s="1"/>
  <c r="AK27" i="22" s="1"/>
  <c r="AE56" i="22"/>
  <c r="AD70" i="22"/>
  <c r="AF70" i="22" s="1"/>
  <c r="AG70" i="22" s="1"/>
  <c r="AI18" i="22"/>
  <c r="AH17" i="22"/>
  <c r="AJ17" i="22" s="1"/>
  <c r="AK17" i="22" s="1"/>
  <c r="D149" i="17"/>
  <c r="AE104" i="14"/>
  <c r="AG104" i="14" s="1"/>
  <c r="AH104" i="14" s="1"/>
  <c r="AF109" i="12"/>
  <c r="AI32" i="4"/>
  <c r="AK32" i="4" s="1"/>
  <c r="AL32" i="4" s="1"/>
  <c r="AE35" i="12"/>
  <c r="AG35" i="12" s="1"/>
  <c r="AH35" i="12" s="1"/>
  <c r="AD21" i="22"/>
  <c r="AF21" i="22" s="1"/>
  <c r="AG21" i="22" s="1"/>
  <c r="AD11" i="22"/>
  <c r="AF11" i="22" s="1"/>
  <c r="AG11" i="22" s="1"/>
  <c r="AI25" i="22"/>
  <c r="AE17" i="4"/>
  <c r="AG17" i="4" s="1"/>
  <c r="AH17" i="4" s="1"/>
  <c r="C320" i="17"/>
  <c r="E320" i="17" s="1"/>
  <c r="F320" i="17" s="1"/>
  <c r="D148" i="17"/>
  <c r="AE44" i="14"/>
  <c r="AG44" i="14" s="1"/>
  <c r="AH44" i="14" s="1"/>
  <c r="L14" i="23"/>
  <c r="A16" i="22"/>
  <c r="B15" i="23" s="1"/>
  <c r="I15" i="23" s="1"/>
  <c r="M14" i="23"/>
  <c r="D318" i="17"/>
  <c r="D143" i="17"/>
  <c r="AI50" i="22"/>
  <c r="C324" i="17"/>
  <c r="E324" i="17" s="1"/>
  <c r="F324" i="17" s="1"/>
  <c r="AD68" i="22"/>
  <c r="AF68" i="22" s="1"/>
  <c r="AG68" i="22" s="1"/>
  <c r="C147" i="17"/>
  <c r="E147" i="17" s="1"/>
  <c r="F147" i="17" s="1"/>
  <c r="D147" i="17"/>
  <c r="AE40" i="12"/>
  <c r="AG40" i="12" s="1"/>
  <c r="AH40" i="12" s="1"/>
  <c r="AE38" i="12"/>
  <c r="AG38" i="12" s="1"/>
  <c r="AH38" i="12" s="1"/>
  <c r="AI107" i="12"/>
  <c r="AK107" i="12" s="1"/>
  <c r="AL107" i="12" s="1"/>
  <c r="H13" i="18"/>
  <c r="F13" i="18"/>
  <c r="G13" i="18"/>
  <c r="C13" i="18"/>
  <c r="AO65" i="14"/>
  <c r="AO88" i="14"/>
  <c r="K5" i="14"/>
  <c r="AF5" i="14" s="1"/>
  <c r="AP65" i="14"/>
  <c r="AO87" i="14"/>
  <c r="AP87" i="14"/>
  <c r="D20" i="11"/>
  <c r="AE26" i="12"/>
  <c r="AG26" i="12" s="1"/>
  <c r="AH26" i="12" s="1"/>
  <c r="AE46" i="12"/>
  <c r="AG46" i="12" s="1"/>
  <c r="AH46" i="12" s="1"/>
  <c r="AE43" i="12"/>
  <c r="AG43" i="12" s="1"/>
  <c r="AH43" i="12" s="1"/>
  <c r="AE49" i="12"/>
  <c r="AG49" i="12" s="1"/>
  <c r="AH49" i="12" s="1"/>
  <c r="AE53" i="12"/>
  <c r="AG53" i="12" s="1"/>
  <c r="AH53" i="12" s="1"/>
  <c r="AE39" i="12"/>
  <c r="AG39" i="12" s="1"/>
  <c r="AH39" i="12" s="1"/>
  <c r="AE34" i="12"/>
  <c r="AG34" i="12" s="1"/>
  <c r="AH34" i="12" s="1"/>
  <c r="AE36" i="12"/>
  <c r="AG36" i="12" s="1"/>
  <c r="AH36" i="12" s="1"/>
  <c r="AE41" i="12"/>
  <c r="AG41" i="12" s="1"/>
  <c r="AH41" i="12" s="1"/>
  <c r="AE45" i="12"/>
  <c r="AG45" i="12" s="1"/>
  <c r="AH45" i="12" s="1"/>
  <c r="AE51" i="12"/>
  <c r="AG51" i="12" s="1"/>
  <c r="AH51" i="12" s="1"/>
  <c r="AE42" i="12"/>
  <c r="AG42" i="12" s="1"/>
  <c r="AH42" i="12" s="1"/>
  <c r="AE52" i="12"/>
  <c r="AG52" i="12" s="1"/>
  <c r="AH52" i="12" s="1"/>
  <c r="AE48" i="12"/>
  <c r="AG48" i="12" s="1"/>
  <c r="AH48" i="12" s="1"/>
  <c r="AE54" i="12"/>
  <c r="AG54" i="12" s="1"/>
  <c r="AH54" i="12" s="1"/>
  <c r="AE50" i="12"/>
  <c r="AG50" i="12" s="1"/>
  <c r="AH50" i="12" s="1"/>
  <c r="AE30" i="12"/>
  <c r="AG30" i="12" s="1"/>
  <c r="AH30" i="12" s="1"/>
  <c r="AN47" i="4"/>
  <c r="V48" i="4"/>
  <c r="AP48" i="4" s="1"/>
  <c r="F48" i="4"/>
  <c r="AN48" i="4" s="1"/>
  <c r="N48" i="4"/>
  <c r="AO48" i="4" s="1"/>
  <c r="AN45" i="4"/>
  <c r="F46" i="4"/>
  <c r="AP45" i="4"/>
  <c r="V46" i="4"/>
  <c r="AP46" i="4" s="1"/>
  <c r="AO45" i="4"/>
  <c r="N46" i="4"/>
  <c r="AO46" i="4" s="1"/>
  <c r="AF53" i="4"/>
  <c r="L19" i="11"/>
  <c r="AJ107" i="12"/>
  <c r="AF99" i="14"/>
  <c r="AF111" i="14"/>
  <c r="H8" i="11"/>
  <c r="H19" i="11"/>
  <c r="D19" i="11"/>
  <c r="AJ113" i="12"/>
  <c r="AJ104" i="12"/>
  <c r="M13" i="12"/>
  <c r="M10" i="12"/>
  <c r="M11" i="12"/>
  <c r="M9" i="12"/>
  <c r="M8" i="12"/>
  <c r="M15" i="12"/>
  <c r="M14" i="12"/>
  <c r="M12" i="12"/>
  <c r="M7" i="12"/>
  <c r="M6" i="12"/>
  <c r="C77" i="17"/>
  <c r="E77" i="17" s="1"/>
  <c r="F77" i="17" s="1"/>
  <c r="AE111" i="14"/>
  <c r="AG111" i="14" s="1"/>
  <c r="AH111" i="14" s="1"/>
  <c r="AH60" i="22"/>
  <c r="AJ60" i="22" s="1"/>
  <c r="AK60" i="22" s="1"/>
  <c r="AH23" i="22"/>
  <c r="AJ23" i="22" s="1"/>
  <c r="AK23" i="22" s="1"/>
  <c r="AE99" i="14"/>
  <c r="AG99" i="14" s="1"/>
  <c r="AH99" i="14" s="1"/>
  <c r="AE71" i="22"/>
  <c r="AQ52" i="12"/>
  <c r="AF113" i="12"/>
  <c r="AF104" i="12"/>
  <c r="AJ52" i="12"/>
  <c r="AF102" i="12"/>
  <c r="AI104" i="12"/>
  <c r="AK104" i="12" s="1"/>
  <c r="AL104" i="12" s="1"/>
  <c r="G166" i="18"/>
  <c r="H166" i="18"/>
  <c r="G86" i="18"/>
  <c r="G83" i="18"/>
  <c r="AO86" i="12"/>
  <c r="AO90" i="12"/>
  <c r="AO87" i="12"/>
  <c r="AO89" i="12"/>
  <c r="AC26" i="12"/>
  <c r="AP89" i="12"/>
  <c r="AQ53" i="12"/>
  <c r="AP86" i="12"/>
  <c r="AN89" i="12"/>
  <c r="AP90" i="12"/>
  <c r="AE107" i="12"/>
  <c r="AG107" i="12" s="1"/>
  <c r="AH107" i="12" s="1"/>
  <c r="AQ45" i="12"/>
  <c r="AQ50" i="12"/>
  <c r="AJ91" i="12"/>
  <c r="AD13" i="22"/>
  <c r="AF13" i="22" s="1"/>
  <c r="AG13" i="22" s="1"/>
  <c r="C149" i="15"/>
  <c r="D140" i="17"/>
  <c r="AF100" i="14"/>
  <c r="G183" i="15"/>
  <c r="AD54" i="22"/>
  <c r="AF54" i="22" s="1"/>
  <c r="AG54" i="22" s="1"/>
  <c r="AD63" i="22"/>
  <c r="AF63" i="22" s="1"/>
  <c r="AG63" i="22" s="1"/>
  <c r="AI74" i="22"/>
  <c r="AI68" i="22"/>
  <c r="AI71" i="22"/>
  <c r="AC47" i="12"/>
  <c r="H115" i="15"/>
  <c r="AQ51" i="12"/>
  <c r="AQ47" i="12"/>
  <c r="AQ46" i="12"/>
  <c r="Q149" i="15"/>
  <c r="R149" i="15" s="1"/>
  <c r="AH26" i="22"/>
  <c r="AJ26" i="22" s="1"/>
  <c r="AK26" i="22" s="1"/>
  <c r="AE29" i="22"/>
  <c r="AE68" i="22"/>
  <c r="AF86" i="12"/>
  <c r="AQ43" i="12"/>
  <c r="AQ38" i="14"/>
  <c r="Q13" i="15"/>
  <c r="S13" i="15" s="1"/>
  <c r="AQ54" i="12"/>
  <c r="AQ48" i="12"/>
  <c r="Q47" i="23"/>
  <c r="S47" i="23" s="1"/>
  <c r="M16" i="15"/>
  <c r="M14" i="15"/>
  <c r="B16" i="15"/>
  <c r="I16" i="15" s="1"/>
  <c r="L14" i="15"/>
  <c r="B184" i="15"/>
  <c r="I184" i="15" s="1"/>
  <c r="L49" i="15"/>
  <c r="L48" i="15"/>
  <c r="B83" i="15"/>
  <c r="I83" i="15" s="1"/>
  <c r="L116" i="15"/>
  <c r="B84" i="15"/>
  <c r="I84" i="15" s="1"/>
  <c r="B82" i="15"/>
  <c r="I82" i="15" s="1"/>
  <c r="M48" i="15"/>
  <c r="C157" i="17"/>
  <c r="E157" i="17" s="1"/>
  <c r="F157" i="17" s="1"/>
  <c r="D157" i="17"/>
  <c r="B49" i="15"/>
  <c r="C49" i="15" s="1"/>
  <c r="B48" i="15"/>
  <c r="B50" i="15"/>
  <c r="L15" i="15"/>
  <c r="B116" i="15"/>
  <c r="I116" i="15" s="1"/>
  <c r="M150" i="15"/>
  <c r="L16" i="15"/>
  <c r="B15" i="15"/>
  <c r="I15" i="15" s="1"/>
  <c r="L150" i="15"/>
  <c r="B14" i="15"/>
  <c r="I14" i="15" s="1"/>
  <c r="M15" i="15"/>
  <c r="M49" i="15"/>
  <c r="B150" i="15"/>
  <c r="I150" i="15" s="1"/>
  <c r="M116" i="15"/>
  <c r="M50" i="15"/>
  <c r="L50" i="15"/>
  <c r="AJ92" i="14"/>
  <c r="AI108" i="14"/>
  <c r="AK108" i="14" s="1"/>
  <c r="AL108" i="14" s="1"/>
  <c r="AQ43" i="14"/>
  <c r="Q149" i="23"/>
  <c r="S149" i="23" s="1"/>
  <c r="AQ26" i="12"/>
  <c r="R145" i="15"/>
  <c r="S145" i="15"/>
  <c r="R108" i="15"/>
  <c r="S108" i="15"/>
  <c r="R112" i="15"/>
  <c r="S112" i="15"/>
  <c r="R147" i="15"/>
  <c r="S147" i="15"/>
  <c r="R143" i="15"/>
  <c r="S143" i="15"/>
  <c r="R107" i="15"/>
  <c r="S107" i="15"/>
  <c r="R111" i="15"/>
  <c r="S111" i="15"/>
  <c r="R141" i="15"/>
  <c r="S141" i="15"/>
  <c r="R110" i="15"/>
  <c r="S110" i="15"/>
  <c r="R142" i="15"/>
  <c r="S142" i="15"/>
  <c r="R148" i="15"/>
  <c r="S148" i="15"/>
  <c r="R109" i="15"/>
  <c r="S109" i="15"/>
  <c r="R113" i="15"/>
  <c r="S113" i="15"/>
  <c r="R10" i="15"/>
  <c r="S10" i="15"/>
  <c r="R12" i="15"/>
  <c r="S12" i="15"/>
  <c r="R9" i="15"/>
  <c r="S9" i="15"/>
  <c r="R5" i="15"/>
  <c r="S5" i="15"/>
  <c r="AI46" i="14"/>
  <c r="AK46" i="14" s="1"/>
  <c r="AL46" i="14" s="1"/>
  <c r="AF54" i="14"/>
  <c r="AI95" i="12"/>
  <c r="AK95" i="12" s="1"/>
  <c r="AL95" i="12" s="1"/>
  <c r="AJ98" i="12"/>
  <c r="AQ33" i="12"/>
  <c r="Q115" i="15"/>
  <c r="AE113" i="12"/>
  <c r="AG113" i="12" s="1"/>
  <c r="AH113" i="12" s="1"/>
  <c r="AF97" i="12"/>
  <c r="AF99" i="12"/>
  <c r="AI106" i="12"/>
  <c r="AK106" i="12" s="1"/>
  <c r="AL106" i="12" s="1"/>
  <c r="AF88" i="12"/>
  <c r="AF98" i="12"/>
  <c r="AE97" i="12"/>
  <c r="AG97" i="12" s="1"/>
  <c r="AH97" i="12" s="1"/>
  <c r="AF100" i="12"/>
  <c r="AF5" i="12"/>
  <c r="AJ54" i="12"/>
  <c r="AJ51" i="12"/>
  <c r="AJ40" i="12"/>
  <c r="AQ30" i="12"/>
  <c r="AI37" i="12"/>
  <c r="AK37" i="12" s="1"/>
  <c r="AL37" i="12" s="1"/>
  <c r="AJ48" i="12"/>
  <c r="AJ37" i="12"/>
  <c r="AI43" i="12"/>
  <c r="AK43" i="12" s="1"/>
  <c r="AL43" i="12" s="1"/>
  <c r="AQ8" i="4"/>
  <c r="AE54" i="14"/>
  <c r="AG54" i="14" s="1"/>
  <c r="AH54" i="14" s="1"/>
  <c r="Q47" i="15"/>
  <c r="S47" i="15" s="1"/>
  <c r="AI45" i="22"/>
  <c r="AJ29" i="12"/>
  <c r="AI48" i="12"/>
  <c r="AK48" i="12" s="1"/>
  <c r="AL48" i="12" s="1"/>
  <c r="AH52" i="22"/>
  <c r="AI49" i="12"/>
  <c r="AK49" i="12" s="1"/>
  <c r="AL49" i="12" s="1"/>
  <c r="AE101" i="12"/>
  <c r="AG101" i="12" s="1"/>
  <c r="AH101" i="12" s="1"/>
  <c r="AE95" i="12"/>
  <c r="AG95" i="12" s="1"/>
  <c r="AH95" i="12" s="1"/>
  <c r="AJ99" i="12"/>
  <c r="AI100" i="12"/>
  <c r="AK100" i="12" s="1"/>
  <c r="AL100" i="12" s="1"/>
  <c r="C58" i="9"/>
  <c r="C59" i="9" s="1"/>
  <c r="J17" i="9"/>
  <c r="AI99" i="12"/>
  <c r="AK99" i="12" s="1"/>
  <c r="AL99" i="12" s="1"/>
  <c r="AE102" i="12"/>
  <c r="AG102" i="12" s="1"/>
  <c r="AH102" i="12" s="1"/>
  <c r="AJ90" i="12"/>
  <c r="AE105" i="12"/>
  <c r="AG105" i="12" s="1"/>
  <c r="AH105" i="12" s="1"/>
  <c r="AF44" i="14"/>
  <c r="AE100" i="14"/>
  <c r="AG100" i="14" s="1"/>
  <c r="AH100" i="14" s="1"/>
  <c r="AF106" i="12"/>
  <c r="AH14" i="22"/>
  <c r="AJ14" i="22" s="1"/>
  <c r="AK14" i="22" s="1"/>
  <c r="C82" i="23"/>
  <c r="AQ29" i="14"/>
  <c r="AJ102" i="12"/>
  <c r="AI101" i="12"/>
  <c r="AK101" i="12" s="1"/>
  <c r="AL101" i="12" s="1"/>
  <c r="AQ30" i="14"/>
  <c r="AQ11" i="4"/>
  <c r="AQ31" i="12"/>
  <c r="AQ26" i="4"/>
  <c r="AI13" i="22"/>
  <c r="AE48" i="22"/>
  <c r="AH13" i="22"/>
  <c r="AJ13" i="22" s="1"/>
  <c r="AK13" i="22" s="1"/>
  <c r="J28" i="10"/>
  <c r="AQ46" i="14"/>
  <c r="AQ27" i="14"/>
  <c r="AJ105" i="12"/>
  <c r="AF96" i="12"/>
  <c r="AQ35" i="14"/>
  <c r="A56" i="4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E104" i="12"/>
  <c r="AG104" i="12" s="1"/>
  <c r="AH104" i="12" s="1"/>
  <c r="AE99" i="12"/>
  <c r="AG99" i="12" s="1"/>
  <c r="AH99" i="12" s="1"/>
  <c r="AJ95" i="12"/>
  <c r="AQ37" i="12"/>
  <c r="AQ54" i="14"/>
  <c r="AQ105" i="14"/>
  <c r="AQ111" i="14"/>
  <c r="AI5" i="22"/>
  <c r="AE50" i="22"/>
  <c r="AQ42" i="14"/>
  <c r="AQ53" i="14"/>
  <c r="AQ40" i="12"/>
  <c r="AQ36" i="14"/>
  <c r="AQ34" i="14"/>
  <c r="AQ108" i="14"/>
  <c r="AQ112" i="14"/>
  <c r="AQ31" i="14"/>
  <c r="AQ32" i="14"/>
  <c r="AQ33" i="14"/>
  <c r="AQ51" i="14"/>
  <c r="AQ45" i="14"/>
  <c r="AQ19" i="4"/>
  <c r="AQ26" i="14"/>
  <c r="AQ28" i="14"/>
  <c r="AQ5" i="14"/>
  <c r="AQ20" i="4"/>
  <c r="AQ91" i="14"/>
  <c r="AQ95" i="14"/>
  <c r="AQ107" i="14"/>
  <c r="AQ109" i="14"/>
  <c r="AQ113" i="14"/>
  <c r="AQ94" i="14"/>
  <c r="AQ98" i="14"/>
  <c r="AQ106" i="14"/>
  <c r="AQ110" i="14"/>
  <c r="AQ114" i="14"/>
  <c r="AQ39" i="14"/>
  <c r="AQ47" i="14"/>
  <c r="AQ40" i="14"/>
  <c r="AQ44" i="14"/>
  <c r="AQ48" i="14"/>
  <c r="AQ52" i="14"/>
  <c r="AQ41" i="14"/>
  <c r="AQ49" i="14"/>
  <c r="AQ50" i="14"/>
  <c r="AQ37" i="14"/>
  <c r="AD50" i="22"/>
  <c r="AF50" i="22" s="1"/>
  <c r="AG50" i="22" s="1"/>
  <c r="AH53" i="22"/>
  <c r="AJ53" i="22" s="1"/>
  <c r="AK53" i="22" s="1"/>
  <c r="D300" i="17"/>
  <c r="D306" i="17"/>
  <c r="AE49" i="22"/>
  <c r="AE52" i="22"/>
  <c r="AI52" i="22"/>
  <c r="AD49" i="22"/>
  <c r="AF49" i="22" s="1"/>
  <c r="AG49" i="22" s="1"/>
  <c r="AD52" i="22"/>
  <c r="AF52" i="22" s="1"/>
  <c r="AG52" i="22" s="1"/>
  <c r="AD48" i="22"/>
  <c r="AF48" i="22" s="1"/>
  <c r="AG48" i="22" s="1"/>
  <c r="AI54" i="22"/>
  <c r="AH50" i="22"/>
  <c r="AJ50" i="22" s="1"/>
  <c r="AK50" i="22" s="1"/>
  <c r="G82" i="23"/>
  <c r="H82" i="23"/>
  <c r="AQ99" i="14"/>
  <c r="AI112" i="14"/>
  <c r="AK112" i="14" s="1"/>
  <c r="AL112" i="14" s="1"/>
  <c r="AQ97" i="14"/>
  <c r="AQ102" i="14"/>
  <c r="AQ92" i="14"/>
  <c r="AQ96" i="14"/>
  <c r="AQ100" i="14"/>
  <c r="AQ104" i="14"/>
  <c r="AI110" i="14"/>
  <c r="AK110" i="14" s="1"/>
  <c r="AL110" i="14" s="1"/>
  <c r="AJ112" i="14"/>
  <c r="AQ93" i="14"/>
  <c r="AQ101" i="14"/>
  <c r="AQ103" i="14"/>
  <c r="AF103" i="14"/>
  <c r="AQ98" i="12"/>
  <c r="AQ101" i="12"/>
  <c r="AQ94" i="12"/>
  <c r="AQ28" i="12"/>
  <c r="AQ36" i="12"/>
  <c r="AQ38" i="12"/>
  <c r="AQ42" i="12"/>
  <c r="AQ44" i="12"/>
  <c r="AQ41" i="12"/>
  <c r="AQ27" i="12"/>
  <c r="AQ114" i="12"/>
  <c r="AQ39" i="12"/>
  <c r="AQ106" i="12"/>
  <c r="AQ93" i="12"/>
  <c r="AQ97" i="12"/>
  <c r="AQ107" i="12"/>
  <c r="AQ32" i="12"/>
  <c r="AM86" i="12"/>
  <c r="AQ34" i="12"/>
  <c r="AQ91" i="12"/>
  <c r="AQ95" i="12"/>
  <c r="AQ99" i="12"/>
  <c r="AQ105" i="12"/>
  <c r="AQ109" i="12"/>
  <c r="AQ113" i="12"/>
  <c r="AQ92" i="12"/>
  <c r="AQ100" i="12"/>
  <c r="AQ102" i="12"/>
  <c r="AQ104" i="12"/>
  <c r="AQ108" i="12"/>
  <c r="AQ110" i="12"/>
  <c r="AQ112" i="12"/>
  <c r="AQ29" i="12"/>
  <c r="AQ5" i="12"/>
  <c r="AQ88" i="12"/>
  <c r="AQ35" i="12"/>
  <c r="AQ103" i="12"/>
  <c r="AQ111" i="12"/>
  <c r="AQ96" i="12"/>
  <c r="AE30" i="4"/>
  <c r="AG30" i="4" s="1"/>
  <c r="AH30" i="4" s="1"/>
  <c r="K19" i="4"/>
  <c r="U97" i="12"/>
  <c r="AJ97" i="12" s="1"/>
  <c r="AC89" i="12"/>
  <c r="AC94" i="12"/>
  <c r="U94" i="12"/>
  <c r="U92" i="12"/>
  <c r="K65" i="12"/>
  <c r="U93" i="12"/>
  <c r="AJ93" i="12" s="1"/>
  <c r="S91" i="12"/>
  <c r="AC92" i="12"/>
  <c r="AI91" i="12"/>
  <c r="AK91" i="12" s="1"/>
  <c r="AL91" i="12" s="1"/>
  <c r="AJ114" i="12"/>
  <c r="AA90" i="12"/>
  <c r="K91" i="12"/>
  <c r="AA91" i="12"/>
  <c r="S65" i="12"/>
  <c r="AJ108" i="12"/>
  <c r="AJ103" i="12"/>
  <c r="M87" i="12"/>
  <c r="U87" i="12"/>
  <c r="AJ96" i="12"/>
  <c r="AI108" i="12"/>
  <c r="AK108" i="12" s="1"/>
  <c r="AL108" i="12" s="1"/>
  <c r="M88" i="12"/>
  <c r="AI88" i="12" s="1"/>
  <c r="AK88" i="12" s="1"/>
  <c r="AL88" i="12" s="1"/>
  <c r="AA65" i="12"/>
  <c r="U86" i="12"/>
  <c r="M86" i="12"/>
  <c r="AI102" i="12"/>
  <c r="AK102" i="12" s="1"/>
  <c r="AL102" i="12" s="1"/>
  <c r="AF108" i="12"/>
  <c r="AI112" i="12"/>
  <c r="AK112" i="12" s="1"/>
  <c r="AL112" i="12" s="1"/>
  <c r="AI96" i="12"/>
  <c r="AK96" i="12" s="1"/>
  <c r="AL96" i="12" s="1"/>
  <c r="AF94" i="12"/>
  <c r="AE100" i="12"/>
  <c r="AG100" i="12" s="1"/>
  <c r="AH100" i="12" s="1"/>
  <c r="AI103" i="12"/>
  <c r="AK103" i="12" s="1"/>
  <c r="AL103" i="12" s="1"/>
  <c r="AJ110" i="12"/>
  <c r="AE94" i="12"/>
  <c r="AG94" i="12" s="1"/>
  <c r="AH94" i="12" s="1"/>
  <c r="AF107" i="12"/>
  <c r="AF111" i="12"/>
  <c r="AJ111" i="12"/>
  <c r="AF105" i="12"/>
  <c r="AE86" i="12"/>
  <c r="AG86" i="12" s="1"/>
  <c r="AH86" i="12" s="1"/>
  <c r="AE96" i="12"/>
  <c r="AG96" i="12" s="1"/>
  <c r="AH96" i="12" s="1"/>
  <c r="AE108" i="12"/>
  <c r="AG108" i="12" s="1"/>
  <c r="AH108" i="12" s="1"/>
  <c r="AE106" i="12"/>
  <c r="AG106" i="12" s="1"/>
  <c r="AH106" i="12" s="1"/>
  <c r="AI98" i="12"/>
  <c r="AK98" i="12" s="1"/>
  <c r="AL98" i="12" s="1"/>
  <c r="AE112" i="12"/>
  <c r="AG112" i="12" s="1"/>
  <c r="AH112" i="12" s="1"/>
  <c r="AI114" i="12"/>
  <c r="AK114" i="12" s="1"/>
  <c r="AL114" i="12" s="1"/>
  <c r="AI110" i="12"/>
  <c r="AK110" i="12" s="1"/>
  <c r="AL110" i="12" s="1"/>
  <c r="AE89" i="12"/>
  <c r="AG89" i="12" s="1"/>
  <c r="AH89" i="12" s="1"/>
  <c r="AJ101" i="12"/>
  <c r="AF112" i="12"/>
  <c r="AE103" i="12"/>
  <c r="AG103" i="12" s="1"/>
  <c r="AH103" i="12" s="1"/>
  <c r="AC104" i="14"/>
  <c r="AJ104" i="14" s="1"/>
  <c r="AA102" i="14"/>
  <c r="AF102" i="14" s="1"/>
  <c r="AF96" i="14"/>
  <c r="AA97" i="14"/>
  <c r="AC96" i="14"/>
  <c r="AC100" i="14"/>
  <c r="AC95" i="14"/>
  <c r="AC93" i="14"/>
  <c r="AJ111" i="14"/>
  <c r="U101" i="14"/>
  <c r="AI101" i="14" s="1"/>
  <c r="AK101" i="14" s="1"/>
  <c r="AL101" i="14" s="1"/>
  <c r="M98" i="14"/>
  <c r="AI98" i="14" s="1"/>
  <c r="AK98" i="14" s="1"/>
  <c r="AL98" i="14" s="1"/>
  <c r="U99" i="14"/>
  <c r="S97" i="14"/>
  <c r="U96" i="14"/>
  <c r="S92" i="14"/>
  <c r="AF93" i="14"/>
  <c r="U95" i="14"/>
  <c r="AI107" i="14"/>
  <c r="AK107" i="14" s="1"/>
  <c r="AL107" i="14" s="1"/>
  <c r="AF101" i="14"/>
  <c r="AJ102" i="14"/>
  <c r="AE101" i="14"/>
  <c r="AG101" i="14" s="1"/>
  <c r="AH101" i="14" s="1"/>
  <c r="U93" i="14"/>
  <c r="U91" i="14"/>
  <c r="AJ91" i="14" s="1"/>
  <c r="S88" i="14"/>
  <c r="AF88" i="14" s="1"/>
  <c r="U87" i="14"/>
  <c r="U65" i="14"/>
  <c r="AF106" i="14"/>
  <c r="AJ106" i="14"/>
  <c r="AJ107" i="14"/>
  <c r="AF105" i="14"/>
  <c r="AJ103" i="14"/>
  <c r="H21" i="11"/>
  <c r="M87" i="14"/>
  <c r="M90" i="14"/>
  <c r="AI90" i="14" s="1"/>
  <c r="AK90" i="14" s="1"/>
  <c r="AL90" i="14" s="1"/>
  <c r="M96" i="14"/>
  <c r="M100" i="14"/>
  <c r="M99" i="14"/>
  <c r="K94" i="14"/>
  <c r="AF94" i="14" s="1"/>
  <c r="M95" i="14"/>
  <c r="K98" i="14"/>
  <c r="AF98" i="14" s="1"/>
  <c r="K92" i="14"/>
  <c r="K97" i="14"/>
  <c r="AI103" i="14"/>
  <c r="AK103" i="14" s="1"/>
  <c r="AL103" i="14" s="1"/>
  <c r="AE109" i="14"/>
  <c r="AG109" i="14" s="1"/>
  <c r="AH109" i="14" s="1"/>
  <c r="E304" i="17"/>
  <c r="L22" i="11"/>
  <c r="F307" i="19"/>
  <c r="G307" i="19" s="1"/>
  <c r="K38" i="14"/>
  <c r="AE38" i="14" s="1"/>
  <c r="AG38" i="14" s="1"/>
  <c r="AH38" i="14" s="1"/>
  <c r="M35" i="14"/>
  <c r="AI35" i="14" s="1"/>
  <c r="AK35" i="14" s="1"/>
  <c r="AL35" i="14" s="1"/>
  <c r="K37" i="14"/>
  <c r="AF37" i="14" s="1"/>
  <c r="M31" i="14"/>
  <c r="AJ31" i="14" s="1"/>
  <c r="K34" i="14"/>
  <c r="AF34" i="14" s="1"/>
  <c r="K32" i="14"/>
  <c r="AE32" i="14" s="1"/>
  <c r="AG32" i="14" s="1"/>
  <c r="AH32" i="14" s="1"/>
  <c r="M30" i="14"/>
  <c r="AI30" i="14" s="1"/>
  <c r="AK30" i="14" s="1"/>
  <c r="AL30" i="14" s="1"/>
  <c r="M27" i="14"/>
  <c r="M5" i="14"/>
  <c r="AI41" i="14"/>
  <c r="AK41" i="14" s="1"/>
  <c r="AL41" i="14" s="1"/>
  <c r="AE28" i="14"/>
  <c r="AG28" i="14" s="1"/>
  <c r="AH28" i="14" s="1"/>
  <c r="G142" i="19"/>
  <c r="F524" i="19"/>
  <c r="AE41" i="14"/>
  <c r="AG41" i="14" s="1"/>
  <c r="AH41" i="14" s="1"/>
  <c r="AI51" i="14"/>
  <c r="AK51" i="14" s="1"/>
  <c r="AL51" i="14" s="1"/>
  <c r="AE42" i="14"/>
  <c r="AG42" i="14" s="1"/>
  <c r="AH42" i="14" s="1"/>
  <c r="AI45" i="14"/>
  <c r="AK45" i="14" s="1"/>
  <c r="AL45" i="14" s="1"/>
  <c r="AF39" i="14"/>
  <c r="AI49" i="14"/>
  <c r="AK49" i="14" s="1"/>
  <c r="AL49" i="14" s="1"/>
  <c r="AE43" i="14"/>
  <c r="AG43" i="14" s="1"/>
  <c r="AH43" i="14" s="1"/>
  <c r="G306" i="19"/>
  <c r="H22" i="11"/>
  <c r="D302" i="17"/>
  <c r="L51" i="22"/>
  <c r="L47" i="22"/>
  <c r="D22" i="11"/>
  <c r="L49" i="22"/>
  <c r="L46" i="22"/>
  <c r="D141" i="17"/>
  <c r="AE7" i="22"/>
  <c r="AH7" i="22"/>
  <c r="AJ7" i="22" s="1"/>
  <c r="AK7" i="22" s="1"/>
  <c r="AD5" i="22"/>
  <c r="AF5" i="22" s="1"/>
  <c r="AG5" i="22" s="1"/>
  <c r="L10" i="22"/>
  <c r="AD10" i="22"/>
  <c r="AF10" i="22" s="1"/>
  <c r="AG10" i="22" s="1"/>
  <c r="L11" i="22"/>
  <c r="L12" i="22"/>
  <c r="G81" i="23"/>
  <c r="Q13" i="23"/>
  <c r="R13" i="23" s="1"/>
  <c r="L6" i="22"/>
  <c r="G47" i="23"/>
  <c r="I47" i="23"/>
  <c r="C47" i="23"/>
  <c r="H81" i="23"/>
  <c r="C81" i="23"/>
  <c r="AC38" i="12"/>
  <c r="AC42" i="12"/>
  <c r="AC45" i="12"/>
  <c r="AC46" i="12"/>
  <c r="AJ46" i="12" s="1"/>
  <c r="U44" i="12"/>
  <c r="U47" i="12"/>
  <c r="AA28" i="12"/>
  <c r="AF28" i="12" s="1"/>
  <c r="S44" i="12"/>
  <c r="AE44" i="12" s="1"/>
  <c r="U38" i="12"/>
  <c r="U45" i="12"/>
  <c r="U39" i="12"/>
  <c r="U41" i="12"/>
  <c r="U42" i="12"/>
  <c r="AC39" i="12"/>
  <c r="AC41" i="12"/>
  <c r="AA37" i="12"/>
  <c r="AC34" i="12"/>
  <c r="AI34" i="12" s="1"/>
  <c r="AK34" i="12" s="1"/>
  <c r="AL34" i="12" s="1"/>
  <c r="S37" i="12"/>
  <c r="U36" i="12"/>
  <c r="U35" i="12"/>
  <c r="AC36" i="12"/>
  <c r="U33" i="12"/>
  <c r="S29" i="12"/>
  <c r="U30" i="12"/>
  <c r="AC30" i="12"/>
  <c r="U5" i="12"/>
  <c r="AF41" i="12"/>
  <c r="M5" i="12"/>
  <c r="AJ50" i="12"/>
  <c r="AJ53" i="12"/>
  <c r="AI29" i="12"/>
  <c r="AK29" i="12" s="1"/>
  <c r="AL29" i="12" s="1"/>
  <c r="AF49" i="12"/>
  <c r="K18" i="4"/>
  <c r="K16" i="4"/>
  <c r="AI29" i="4"/>
  <c r="AK29" i="4" s="1"/>
  <c r="AL29" i="4" s="1"/>
  <c r="AA19" i="4"/>
  <c r="AA11" i="4"/>
  <c r="AA16" i="4"/>
  <c r="AA18" i="4"/>
  <c r="AQ18" i="4"/>
  <c r="AC17" i="4"/>
  <c r="AC15" i="4"/>
  <c r="AA12" i="4"/>
  <c r="AC13" i="4"/>
  <c r="AJ13" i="4" s="1"/>
  <c r="AC9" i="4"/>
  <c r="AJ9" i="4" s="1"/>
  <c r="AA6" i="4"/>
  <c r="U17" i="4"/>
  <c r="M17" i="4"/>
  <c r="U15" i="4"/>
  <c r="M15" i="4"/>
  <c r="K12" i="4"/>
  <c r="U5" i="4"/>
  <c r="AJ5" i="4" s="1"/>
  <c r="AF8" i="4"/>
  <c r="AI30" i="4"/>
  <c r="AK30" i="4" s="1"/>
  <c r="AL30" i="4" s="1"/>
  <c r="AI21" i="4"/>
  <c r="AK21" i="4" s="1"/>
  <c r="AL21" i="4" s="1"/>
  <c r="AI33" i="4"/>
  <c r="AK33" i="4" s="1"/>
  <c r="AL33" i="4" s="1"/>
  <c r="AF39" i="12"/>
  <c r="AF50" i="12"/>
  <c r="AF53" i="12"/>
  <c r="K6" i="4"/>
  <c r="AF14" i="4"/>
  <c r="H6" i="11"/>
  <c r="AJ14" i="4"/>
  <c r="AF17" i="4"/>
  <c r="AQ15" i="4"/>
  <c r="AE103" i="14"/>
  <c r="AG103" i="14" s="1"/>
  <c r="AH103" i="14" s="1"/>
  <c r="AE32" i="4"/>
  <c r="AG32" i="4" s="1"/>
  <c r="AH32" i="4" s="1"/>
  <c r="AE114" i="12"/>
  <c r="AG114" i="12" s="1"/>
  <c r="AH114" i="12" s="1"/>
  <c r="AQ51" i="4"/>
  <c r="AQ21" i="4"/>
  <c r="AQ23" i="4"/>
  <c r="AF114" i="12"/>
  <c r="AJ100" i="12"/>
  <c r="AF36" i="12"/>
  <c r="AE51" i="4"/>
  <c r="AG51" i="4" s="1"/>
  <c r="AH51" i="4" s="1"/>
  <c r="AF95" i="12"/>
  <c r="H149" i="15"/>
  <c r="AE98" i="12"/>
  <c r="AG98" i="12" s="1"/>
  <c r="AH98" i="12" s="1"/>
  <c r="AF22" i="4"/>
  <c r="AF101" i="12"/>
  <c r="AI90" i="12"/>
  <c r="AK90" i="12" s="1"/>
  <c r="AL90" i="12" s="1"/>
  <c r="AF24" i="4"/>
  <c r="AI11" i="4"/>
  <c r="AK11" i="4" s="1"/>
  <c r="AL11" i="4" s="1"/>
  <c r="B83" i="23"/>
  <c r="I83" i="23" s="1"/>
  <c r="AI106" i="14"/>
  <c r="AK106" i="14" s="1"/>
  <c r="AL106" i="14" s="1"/>
  <c r="AF113" i="14"/>
  <c r="AF31" i="4"/>
  <c r="AF32" i="4"/>
  <c r="AJ110" i="14"/>
  <c r="G149" i="15"/>
  <c r="A17" i="22"/>
  <c r="B50" i="23" s="1"/>
  <c r="AJ18" i="4"/>
  <c r="A18" i="4"/>
  <c r="A19" i="4" s="1"/>
  <c r="AI97" i="14"/>
  <c r="AK97" i="14" s="1"/>
  <c r="AL97" i="14" s="1"/>
  <c r="AE92" i="12"/>
  <c r="AG92" i="12" s="1"/>
  <c r="AH92" i="12" s="1"/>
  <c r="AF103" i="12"/>
  <c r="AF109" i="14"/>
  <c r="F415" i="19"/>
  <c r="G415" i="19"/>
  <c r="AI105" i="12"/>
  <c r="AK105" i="12" s="1"/>
  <c r="AL105" i="12" s="1"/>
  <c r="AJ114" i="14"/>
  <c r="AE14" i="4"/>
  <c r="AG14" i="4" s="1"/>
  <c r="AH14" i="4" s="1"/>
  <c r="AF27" i="4"/>
  <c r="AF107" i="14"/>
  <c r="AQ12" i="4"/>
  <c r="AF53" i="14"/>
  <c r="AE27" i="4"/>
  <c r="AG27" i="4" s="1"/>
  <c r="AH27" i="4" s="1"/>
  <c r="AF15" i="4"/>
  <c r="AF23" i="4"/>
  <c r="AF29" i="4"/>
  <c r="AJ31" i="4"/>
  <c r="AF33" i="4"/>
  <c r="C13" i="15"/>
  <c r="AE53" i="4"/>
  <c r="AG53" i="4" s="1"/>
  <c r="AH53" i="4" s="1"/>
  <c r="H81" i="15"/>
  <c r="AI109" i="14"/>
  <c r="AK109" i="14" s="1"/>
  <c r="AL109" i="14" s="1"/>
  <c r="AF40" i="14"/>
  <c r="AE21" i="4"/>
  <c r="AG21" i="4" s="1"/>
  <c r="AH21" i="4" s="1"/>
  <c r="AE28" i="4"/>
  <c r="AG28" i="4" s="1"/>
  <c r="AH28" i="4" s="1"/>
  <c r="AE20" i="4"/>
  <c r="AG20" i="4" s="1"/>
  <c r="AH20" i="4" s="1"/>
  <c r="AF50" i="4"/>
  <c r="AE31" i="4"/>
  <c r="AG31" i="4" s="1"/>
  <c r="AH31" i="4" s="1"/>
  <c r="AE50" i="4"/>
  <c r="AG50" i="4" s="1"/>
  <c r="AH50" i="4" s="1"/>
  <c r="AF69" i="4"/>
  <c r="AF62" i="4"/>
  <c r="AE64" i="4"/>
  <c r="AG64" i="4" s="1"/>
  <c r="AH64" i="4" s="1"/>
  <c r="AJ109" i="12"/>
  <c r="AF71" i="4"/>
  <c r="AF73" i="4"/>
  <c r="AF70" i="4"/>
  <c r="AJ27" i="4"/>
  <c r="AQ29" i="4"/>
  <c r="AQ22" i="4"/>
  <c r="AQ32" i="4"/>
  <c r="AQ16" i="4"/>
  <c r="AJ41" i="14"/>
  <c r="AF48" i="14"/>
  <c r="AQ14" i="4"/>
  <c r="AQ30" i="4"/>
  <c r="AQ25" i="4"/>
  <c r="G524" i="19"/>
  <c r="AQ28" i="4"/>
  <c r="AE72" i="4"/>
  <c r="AG72" i="4" s="1"/>
  <c r="AH72" i="4" s="1"/>
  <c r="AE66" i="4"/>
  <c r="AG66" i="4" s="1"/>
  <c r="AH66" i="4" s="1"/>
  <c r="AF61" i="4"/>
  <c r="AF91" i="14"/>
  <c r="AI113" i="14"/>
  <c r="AK113" i="14" s="1"/>
  <c r="AL113" i="14" s="1"/>
  <c r="AE110" i="14"/>
  <c r="AG110" i="14" s="1"/>
  <c r="AH110" i="14" s="1"/>
  <c r="AJ40" i="14"/>
  <c r="AJ12" i="4"/>
  <c r="AE52" i="4"/>
  <c r="AG52" i="4" s="1"/>
  <c r="AH52" i="4" s="1"/>
  <c r="AE112" i="14"/>
  <c r="AG112" i="14" s="1"/>
  <c r="AH112" i="14" s="1"/>
  <c r="AE93" i="12"/>
  <c r="AG93" i="12" s="1"/>
  <c r="AH93" i="12" s="1"/>
  <c r="AH5" i="22"/>
  <c r="B32" i="11"/>
  <c r="AQ27" i="4"/>
  <c r="H9" i="11"/>
  <c r="G143" i="19"/>
  <c r="G81" i="15"/>
  <c r="C47" i="15"/>
  <c r="C81" i="15"/>
  <c r="AQ34" i="4"/>
  <c r="AJ24" i="4"/>
  <c r="G13" i="15"/>
  <c r="H13" i="15" s="1"/>
  <c r="AQ13" i="4"/>
  <c r="A56" i="22"/>
  <c r="M117" i="23" s="1"/>
  <c r="M116" i="23"/>
  <c r="B150" i="23"/>
  <c r="L150" i="23"/>
  <c r="B116" i="23"/>
  <c r="L116" i="23"/>
  <c r="B184" i="23"/>
  <c r="M150" i="23"/>
  <c r="G47" i="15"/>
  <c r="H47" i="15"/>
  <c r="AE47" i="4"/>
  <c r="AG47" i="4" s="1"/>
  <c r="AH47" i="4" s="1"/>
  <c r="AE13" i="4"/>
  <c r="AG13" i="4" s="1"/>
  <c r="AH13" i="4" s="1"/>
  <c r="AF49" i="4"/>
  <c r="AQ52" i="4"/>
  <c r="AE7" i="4"/>
  <c r="AG7" i="4" s="1"/>
  <c r="AH7" i="4" s="1"/>
  <c r="AJ50" i="14"/>
  <c r="AQ7" i="4"/>
  <c r="AQ6" i="4"/>
  <c r="AF43" i="12"/>
  <c r="AJ113" i="14"/>
  <c r="AJ49" i="14"/>
  <c r="AE46" i="14"/>
  <c r="AG46" i="14" s="1"/>
  <c r="AH46" i="14" s="1"/>
  <c r="AE74" i="4"/>
  <c r="AG74" i="4" s="1"/>
  <c r="AH74" i="4" s="1"/>
  <c r="AF64" i="4"/>
  <c r="AF30" i="12"/>
  <c r="AI92" i="14"/>
  <c r="AK92" i="14" s="1"/>
  <c r="AL92" i="14" s="1"/>
  <c r="AF66" i="4"/>
  <c r="AI54" i="14"/>
  <c r="AK54" i="14" s="1"/>
  <c r="AL54" i="14" s="1"/>
  <c r="C183" i="23"/>
  <c r="AF43" i="14"/>
  <c r="AE86" i="14"/>
  <c r="AG86" i="14" s="1"/>
  <c r="AH86" i="14" s="1"/>
  <c r="AF42" i="12"/>
  <c r="AF72" i="4"/>
  <c r="AF47" i="12"/>
  <c r="G183" i="23"/>
  <c r="AE69" i="4"/>
  <c r="AG69" i="4" s="1"/>
  <c r="AH69" i="4" s="1"/>
  <c r="AI113" i="12"/>
  <c r="AK113" i="12" s="1"/>
  <c r="AL113" i="12" s="1"/>
  <c r="AE33" i="4"/>
  <c r="AG33" i="4" s="1"/>
  <c r="AH33" i="4" s="1"/>
  <c r="AF42" i="14"/>
  <c r="AJ47" i="14"/>
  <c r="H149" i="23"/>
  <c r="AF51" i="4"/>
  <c r="AJ30" i="4"/>
  <c r="AF112" i="14"/>
  <c r="AF104" i="14"/>
  <c r="AF110" i="14"/>
  <c r="AE27" i="14"/>
  <c r="AG27" i="14" s="1"/>
  <c r="AH27" i="14" s="1"/>
  <c r="AI14" i="4"/>
  <c r="AK14" i="4" s="1"/>
  <c r="AL14" i="4" s="1"/>
  <c r="AJ29" i="4"/>
  <c r="AE59" i="4"/>
  <c r="AG59" i="4" s="1"/>
  <c r="AH59" i="4" s="1"/>
  <c r="AE49" i="4"/>
  <c r="AG49" i="4" s="1"/>
  <c r="AH49" i="4" s="1"/>
  <c r="AE70" i="4"/>
  <c r="AG70" i="4" s="1"/>
  <c r="AH70" i="4" s="1"/>
  <c r="AE29" i="4"/>
  <c r="AG29" i="4" s="1"/>
  <c r="AH29" i="4" s="1"/>
  <c r="AE53" i="14"/>
  <c r="AG53" i="14" s="1"/>
  <c r="AH53" i="14" s="1"/>
  <c r="AF52" i="12"/>
  <c r="AJ94" i="14"/>
  <c r="AE45" i="14"/>
  <c r="AG45" i="14" s="1"/>
  <c r="AH45" i="14" s="1"/>
  <c r="AI53" i="14"/>
  <c r="AK53" i="14" s="1"/>
  <c r="AL53" i="14" s="1"/>
  <c r="AI39" i="14"/>
  <c r="AK39" i="14" s="1"/>
  <c r="AL39" i="14" s="1"/>
  <c r="AJ22" i="4"/>
  <c r="AF35" i="12"/>
  <c r="AF40" i="12"/>
  <c r="AJ109" i="14"/>
  <c r="AF47" i="14"/>
  <c r="AF51" i="14"/>
  <c r="AI37" i="14"/>
  <c r="AK37" i="14" s="1"/>
  <c r="AL37" i="14" s="1"/>
  <c r="AI44" i="14"/>
  <c r="AK44" i="14" s="1"/>
  <c r="AL44" i="14" s="1"/>
  <c r="G149" i="23"/>
  <c r="AE15" i="4"/>
  <c r="AG15" i="4" s="1"/>
  <c r="AH15" i="4" s="1"/>
  <c r="AJ53" i="14"/>
  <c r="AE109" i="12"/>
  <c r="AG109" i="12" s="1"/>
  <c r="AH109" i="12" s="1"/>
  <c r="AE95" i="14"/>
  <c r="AG95" i="14" s="1"/>
  <c r="AH95" i="14" s="1"/>
  <c r="AF89" i="12"/>
  <c r="AF20" i="4"/>
  <c r="AF46" i="14"/>
  <c r="AI19" i="4"/>
  <c r="AK19" i="4" s="1"/>
  <c r="AL19" i="4" s="1"/>
  <c r="C149" i="23"/>
  <c r="AI111" i="14"/>
  <c r="AK111" i="14" s="1"/>
  <c r="AL111" i="14" s="1"/>
  <c r="AE108" i="14"/>
  <c r="AG108" i="14" s="1"/>
  <c r="AH108" i="14" s="1"/>
  <c r="AE73" i="4"/>
  <c r="AG73" i="4" s="1"/>
  <c r="AH73" i="4" s="1"/>
  <c r="AJ112" i="12"/>
  <c r="AF54" i="12"/>
  <c r="AF92" i="12"/>
  <c r="AE40" i="14"/>
  <c r="AG40" i="14" s="1"/>
  <c r="AH40" i="14" s="1"/>
  <c r="AF45" i="12"/>
  <c r="AI22" i="4"/>
  <c r="AK22" i="4" s="1"/>
  <c r="AL22" i="4" s="1"/>
  <c r="AI31" i="4"/>
  <c r="AK31" i="4" s="1"/>
  <c r="AL31" i="4" s="1"/>
  <c r="AE61" i="4"/>
  <c r="AG61" i="4" s="1"/>
  <c r="AH61" i="4" s="1"/>
  <c r="AE68" i="4"/>
  <c r="AG68" i="4" s="1"/>
  <c r="AH68" i="4" s="1"/>
  <c r="AE55" i="4"/>
  <c r="AG55" i="4" s="1"/>
  <c r="AH55" i="4" s="1"/>
  <c r="AF59" i="4"/>
  <c r="AF63" i="4"/>
  <c r="AI52" i="14"/>
  <c r="AK52" i="14" s="1"/>
  <c r="AL52" i="14" s="1"/>
  <c r="AE52" i="14"/>
  <c r="AG52" i="14" s="1"/>
  <c r="AH52" i="14" s="1"/>
  <c r="AI38" i="14"/>
  <c r="AK38" i="14" s="1"/>
  <c r="AL38" i="14" s="1"/>
  <c r="AI16" i="4"/>
  <c r="AK16" i="4" s="1"/>
  <c r="AL16" i="4" s="1"/>
  <c r="AF25" i="4"/>
  <c r="AF54" i="4"/>
  <c r="AF45" i="14"/>
  <c r="AE49" i="14"/>
  <c r="AG49" i="14" s="1"/>
  <c r="AH49" i="14" s="1"/>
  <c r="AI102" i="14"/>
  <c r="AK102" i="14" s="1"/>
  <c r="AL102" i="14" s="1"/>
  <c r="AJ45" i="14"/>
  <c r="AI109" i="12"/>
  <c r="AK109" i="12" s="1"/>
  <c r="AL109" i="12" s="1"/>
  <c r="AE48" i="14"/>
  <c r="AG48" i="14" s="1"/>
  <c r="AH48" i="14" s="1"/>
  <c r="AE105" i="14"/>
  <c r="AG105" i="14" s="1"/>
  <c r="AH105" i="14" s="1"/>
  <c r="AJ46" i="14"/>
  <c r="AF51" i="12"/>
  <c r="AE111" i="12"/>
  <c r="AG111" i="12" s="1"/>
  <c r="AH111" i="12" s="1"/>
  <c r="AI40" i="14"/>
  <c r="AK40" i="14" s="1"/>
  <c r="AL40" i="14" s="1"/>
  <c r="AE113" i="14"/>
  <c r="AG113" i="14" s="1"/>
  <c r="AH113" i="14" s="1"/>
  <c r="AE96" i="14"/>
  <c r="AG96" i="14" s="1"/>
  <c r="AH96" i="14" s="1"/>
  <c r="AF47" i="4"/>
  <c r="AF67" i="4"/>
  <c r="AI94" i="14"/>
  <c r="AK94" i="14" s="1"/>
  <c r="AL94" i="14" s="1"/>
  <c r="AI42" i="14"/>
  <c r="AK42" i="14" s="1"/>
  <c r="AL42" i="14" s="1"/>
  <c r="AI47" i="14"/>
  <c r="AK47" i="14" s="1"/>
  <c r="AL47" i="14" s="1"/>
  <c r="AJ43" i="14"/>
  <c r="AF65" i="4"/>
  <c r="AF57" i="4"/>
  <c r="AF114" i="14"/>
  <c r="AF110" i="12"/>
  <c r="AE47" i="14"/>
  <c r="AG47" i="14" s="1"/>
  <c r="AH47" i="14" s="1"/>
  <c r="AE50" i="14"/>
  <c r="AG50" i="14" s="1"/>
  <c r="AH50" i="14" s="1"/>
  <c r="AJ23" i="4"/>
  <c r="AJ51" i="14"/>
  <c r="AF52" i="4"/>
  <c r="AF38" i="12"/>
  <c r="AE23" i="4"/>
  <c r="AG23" i="4" s="1"/>
  <c r="AH23" i="4" s="1"/>
  <c r="AF93" i="12"/>
  <c r="C141" i="18"/>
  <c r="AE114" i="14"/>
  <c r="AG114" i="14" s="1"/>
  <c r="AH114" i="14" s="1"/>
  <c r="G115" i="15"/>
  <c r="AE51" i="14"/>
  <c r="AG51" i="14" s="1"/>
  <c r="AH51" i="14" s="1"/>
  <c r="F87" i="18"/>
  <c r="H87" i="18" s="1"/>
  <c r="AE58" i="4"/>
  <c r="AG58" i="4" s="1"/>
  <c r="AH58" i="4" s="1"/>
  <c r="AI48" i="14"/>
  <c r="AK48" i="14" s="1"/>
  <c r="AL48" i="14" s="1"/>
  <c r="AE106" i="14"/>
  <c r="AG106" i="14" s="1"/>
  <c r="AH106" i="14" s="1"/>
  <c r="AJ108" i="14"/>
  <c r="AE88" i="12"/>
  <c r="AG88" i="12" s="1"/>
  <c r="AH88" i="12" s="1"/>
  <c r="AJ38" i="14"/>
  <c r="AF65" i="14"/>
  <c r="AI18" i="4"/>
  <c r="AK18" i="4" s="1"/>
  <c r="AL18" i="4" s="1"/>
  <c r="AF89" i="14"/>
  <c r="AE35" i="14"/>
  <c r="AG35" i="14" s="1"/>
  <c r="AH35" i="14" s="1"/>
  <c r="AE107" i="14"/>
  <c r="AG107" i="14" s="1"/>
  <c r="AH107" i="14" s="1"/>
  <c r="G34" i="18"/>
  <c r="F141" i="18"/>
  <c r="G141" i="18" s="1"/>
  <c r="AF52" i="14"/>
  <c r="AJ52" i="14"/>
  <c r="AJ48" i="14"/>
  <c r="AJ28" i="14"/>
  <c r="AI27" i="4"/>
  <c r="AK27" i="4" s="1"/>
  <c r="AL27" i="4" s="1"/>
  <c r="AE22" i="4"/>
  <c r="AG22" i="4" s="1"/>
  <c r="AH22" i="4" s="1"/>
  <c r="C115" i="15"/>
  <c r="AF68" i="4"/>
  <c r="AE63" i="4"/>
  <c r="AG63" i="4" s="1"/>
  <c r="AH63" i="4" s="1"/>
  <c r="AE57" i="4"/>
  <c r="AG57" i="4" s="1"/>
  <c r="AH57" i="4" s="1"/>
  <c r="AE65" i="4"/>
  <c r="AG65" i="4" s="1"/>
  <c r="AH65" i="4" s="1"/>
  <c r="AF50" i="14"/>
  <c r="AJ54" i="14"/>
  <c r="AJ42" i="14"/>
  <c r="AJ20" i="4"/>
  <c r="AF34" i="4"/>
  <c r="AF46" i="12"/>
  <c r="AF74" i="4"/>
  <c r="AF56" i="4"/>
  <c r="AI50" i="14"/>
  <c r="AK50" i="14" s="1"/>
  <c r="AL50" i="14" s="1"/>
  <c r="AE110" i="12"/>
  <c r="AG110" i="12" s="1"/>
  <c r="AH110" i="12" s="1"/>
  <c r="AJ37" i="14"/>
  <c r="AJ44" i="14"/>
  <c r="AI23" i="4"/>
  <c r="AK23" i="4" s="1"/>
  <c r="AL23" i="4" s="1"/>
  <c r="AJ26" i="4"/>
  <c r="AE71" i="4"/>
  <c r="AG71" i="4" s="1"/>
  <c r="AH71" i="4" s="1"/>
  <c r="AI26" i="4"/>
  <c r="AK26" i="4" s="1"/>
  <c r="AL26" i="4" s="1"/>
  <c r="G33" i="18"/>
  <c r="AF49" i="14"/>
  <c r="AE39" i="14"/>
  <c r="AG39" i="14" s="1"/>
  <c r="AH39" i="14" s="1"/>
  <c r="AE91" i="14"/>
  <c r="AG91" i="14" s="1"/>
  <c r="AH91" i="14" s="1"/>
  <c r="AF27" i="12"/>
  <c r="AJ19" i="4"/>
  <c r="AE24" i="4"/>
  <c r="AG24" i="4" s="1"/>
  <c r="AH24" i="4" s="1"/>
  <c r="AF55" i="4"/>
  <c r="AF30" i="14"/>
  <c r="AE56" i="4"/>
  <c r="AG56" i="4" s="1"/>
  <c r="AH56" i="4" s="1"/>
  <c r="AF60" i="4"/>
  <c r="I183" i="23"/>
  <c r="C33" i="18"/>
  <c r="AE67" i="4"/>
  <c r="AG67" i="4" s="1"/>
  <c r="AH67" i="4" s="1"/>
  <c r="AE54" i="4"/>
  <c r="AG54" i="4" s="1"/>
  <c r="AH54" i="4" s="1"/>
  <c r="AF58" i="4"/>
  <c r="AI32" i="12"/>
  <c r="AK32" i="12" s="1"/>
  <c r="AL32" i="12" s="1"/>
  <c r="AJ34" i="4"/>
  <c r="AI25" i="4"/>
  <c r="AK25" i="4" s="1"/>
  <c r="AL25" i="4" s="1"/>
  <c r="AF30" i="4"/>
  <c r="AJ28" i="4"/>
  <c r="AQ33" i="4"/>
  <c r="C34" i="18"/>
  <c r="AJ25" i="4"/>
  <c r="AQ24" i="4"/>
  <c r="AI24" i="4"/>
  <c r="AK24" i="4" s="1"/>
  <c r="AL24" i="4" s="1"/>
  <c r="AF28" i="4"/>
  <c r="AJ11" i="4"/>
  <c r="AJ16" i="4"/>
  <c r="AE34" i="4"/>
  <c r="AG34" i="4" s="1"/>
  <c r="AH34" i="4" s="1"/>
  <c r="AI12" i="4"/>
  <c r="AK12" i="4" s="1"/>
  <c r="AL12" i="4" s="1"/>
  <c r="H183" i="15"/>
  <c r="AF13" i="4"/>
  <c r="AQ72" i="4"/>
  <c r="AJ32" i="4"/>
  <c r="AI34" i="4"/>
  <c r="AK34" i="4" s="1"/>
  <c r="AL34" i="4" s="1"/>
  <c r="AF21" i="4"/>
  <c r="AI20" i="4"/>
  <c r="AK20" i="4" s="1"/>
  <c r="AL20" i="4" s="1"/>
  <c r="AP75" i="22"/>
  <c r="N22" i="11" s="1"/>
  <c r="AP35" i="22"/>
  <c r="N9" i="11" s="1"/>
  <c r="AQ17" i="4"/>
  <c r="AE62" i="4"/>
  <c r="AG62" i="4" s="1"/>
  <c r="AH62" i="4" s="1"/>
  <c r="AE87" i="14"/>
  <c r="AG87" i="14" s="1"/>
  <c r="AH87" i="14" s="1"/>
  <c r="AJ39" i="14"/>
  <c r="AI43" i="14"/>
  <c r="AK43" i="14" s="1"/>
  <c r="AL43" i="14" s="1"/>
  <c r="AF36" i="14"/>
  <c r="AE87" i="12"/>
  <c r="AG87" i="12" s="1"/>
  <c r="AH87" i="12" s="1"/>
  <c r="AE60" i="4"/>
  <c r="AG60" i="4" s="1"/>
  <c r="AH60" i="4" s="1"/>
  <c r="AI28" i="4"/>
  <c r="AK28" i="4" s="1"/>
  <c r="AL28" i="4" s="1"/>
  <c r="AE25" i="4"/>
  <c r="AG25" i="4" s="1"/>
  <c r="AH25" i="4" s="1"/>
  <c r="AQ63" i="4"/>
  <c r="AQ9" i="4"/>
  <c r="AJ8" i="4"/>
  <c r="AQ54" i="4"/>
  <c r="AQ62" i="4"/>
  <c r="AQ67" i="4"/>
  <c r="AQ73" i="4"/>
  <c r="AQ49" i="4"/>
  <c r="AQ59" i="4"/>
  <c r="AF26" i="4"/>
  <c r="AE26" i="4"/>
  <c r="AG26" i="4" s="1"/>
  <c r="AH26" i="4" s="1"/>
  <c r="AJ21" i="4"/>
  <c r="AJ33" i="4"/>
  <c r="AQ69" i="4"/>
  <c r="AQ57" i="4"/>
  <c r="AM45" i="4"/>
  <c r="AQ55" i="4"/>
  <c r="AQ56" i="4"/>
  <c r="AQ65" i="4"/>
  <c r="AQ70" i="4"/>
  <c r="AQ71" i="4"/>
  <c r="AQ74" i="4"/>
  <c r="AQ50" i="4"/>
  <c r="AQ58" i="4"/>
  <c r="AQ60" i="4"/>
  <c r="AQ64" i="4"/>
  <c r="AQ66" i="4"/>
  <c r="AQ68" i="4"/>
  <c r="AQ61" i="4"/>
  <c r="AQ53" i="4"/>
  <c r="C183" i="15"/>
  <c r="H7" i="11"/>
  <c r="AM89" i="12"/>
  <c r="AC87" i="14"/>
  <c r="M36" i="14"/>
  <c r="AI36" i="14" s="1"/>
  <c r="AK36" i="14" s="1"/>
  <c r="AL36" i="14" s="1"/>
  <c r="AC7" i="4"/>
  <c r="AI7" i="4" s="1"/>
  <c r="AK7" i="4" s="1"/>
  <c r="AL7" i="4" s="1"/>
  <c r="AC31" i="12"/>
  <c r="AA9" i="4"/>
  <c r="AE9" i="4" s="1"/>
  <c r="AG9" i="4" s="1"/>
  <c r="AH9" i="4" s="1"/>
  <c r="AI10" i="4"/>
  <c r="AK10" i="4" s="1"/>
  <c r="AL10" i="4" s="1"/>
  <c r="AE90" i="14"/>
  <c r="AG90" i="14" s="1"/>
  <c r="AH90" i="14" s="1"/>
  <c r="M89" i="12"/>
  <c r="K10" i="4"/>
  <c r="L16" i="23"/>
  <c r="AC34" i="14"/>
  <c r="AC65" i="12"/>
  <c r="AJ65" i="12" s="1"/>
  <c r="AF87" i="12"/>
  <c r="AC65" i="14"/>
  <c r="D21" i="11"/>
  <c r="M65" i="14"/>
  <c r="AF90" i="14"/>
  <c r="AI89" i="14"/>
  <c r="AK89" i="14" s="1"/>
  <c r="AL89" i="14" s="1"/>
  <c r="AA31" i="14"/>
  <c r="AF31" i="14" s="1"/>
  <c r="AC27" i="14"/>
  <c r="AC32" i="14"/>
  <c r="AJ32" i="14" s="1"/>
  <c r="K29" i="14"/>
  <c r="AF29" i="14" s="1"/>
  <c r="K26" i="14"/>
  <c r="AF35" i="14"/>
  <c r="M34" i="14"/>
  <c r="D8" i="11"/>
  <c r="M33" i="14"/>
  <c r="AI33" i="14" s="1"/>
  <c r="AK33" i="14" s="1"/>
  <c r="AL33" i="14" s="1"/>
  <c r="AE36" i="14"/>
  <c r="AG36" i="14" s="1"/>
  <c r="AH36" i="14" s="1"/>
  <c r="AI86" i="14"/>
  <c r="AK86" i="14" s="1"/>
  <c r="AL86" i="14" s="1"/>
  <c r="D7" i="11"/>
  <c r="AC28" i="12"/>
  <c r="AF34" i="12"/>
  <c r="AC5" i="12"/>
  <c r="AC27" i="12"/>
  <c r="L7" i="11"/>
  <c r="AC5" i="14"/>
  <c r="L8" i="11"/>
  <c r="AA10" i="4"/>
  <c r="AF7" i="4"/>
  <c r="L6" i="11"/>
  <c r="AQ10" i="4"/>
  <c r="D6" i="11"/>
  <c r="AJ10" i="4"/>
  <c r="AF87" i="14"/>
  <c r="AJ89" i="14"/>
  <c r="AJ88" i="14"/>
  <c r="AE33" i="14"/>
  <c r="AG33" i="14" s="1"/>
  <c r="AH33" i="14" s="1"/>
  <c r="AF33" i="14"/>
  <c r="AF33" i="12"/>
  <c r="AJ32" i="12"/>
  <c r="AF32" i="12"/>
  <c r="AJ86" i="14"/>
  <c r="AE89" i="14"/>
  <c r="AG89" i="14" s="1"/>
  <c r="AH89" i="14" s="1"/>
  <c r="AE48" i="4"/>
  <c r="AG48" i="4" s="1"/>
  <c r="AH48" i="4" s="1"/>
  <c r="AF48" i="4"/>
  <c r="AI8" i="4"/>
  <c r="AK8" i="4" s="1"/>
  <c r="AL8" i="4" s="1"/>
  <c r="AM47" i="4"/>
  <c r="L21" i="11"/>
  <c r="AI88" i="14"/>
  <c r="AK88" i="14" s="1"/>
  <c r="AL88" i="14" s="1"/>
  <c r="AI28" i="14"/>
  <c r="AK28" i="14" s="1"/>
  <c r="AL28" i="14" s="1"/>
  <c r="AE30" i="14"/>
  <c r="AG30" i="14" s="1"/>
  <c r="AH30" i="14" s="1"/>
  <c r="AI26" i="14"/>
  <c r="AK26" i="14" s="1"/>
  <c r="AL26" i="14" s="1"/>
  <c r="AF31" i="12"/>
  <c r="AQ5" i="4"/>
  <c r="C10" i="11"/>
  <c r="D10" i="11" s="1"/>
  <c r="E58" i="9"/>
  <c r="K23" i="11"/>
  <c r="L23" i="11" s="1"/>
  <c r="B59" i="9"/>
  <c r="AI6" i="4"/>
  <c r="D59" i="9"/>
  <c r="R7" i="15"/>
  <c r="R144" i="15"/>
  <c r="G10" i="11"/>
  <c r="H10" i="11" s="1"/>
  <c r="R106" i="15"/>
  <c r="R4" i="15"/>
  <c r="R140" i="15"/>
  <c r="S44" i="15"/>
  <c r="AE5" i="4"/>
  <c r="R11" i="15"/>
  <c r="R46" i="15"/>
  <c r="R38" i="15"/>
  <c r="S41" i="15"/>
  <c r="S42" i="15"/>
  <c r="R146" i="15"/>
  <c r="R40" i="15"/>
  <c r="AF28" i="14"/>
  <c r="R8" i="15"/>
  <c r="S39" i="15"/>
  <c r="R6" i="15"/>
  <c r="S45" i="15"/>
  <c r="R114" i="15"/>
  <c r="S43" i="15"/>
  <c r="AF27" i="14"/>
  <c r="AJ29" i="14"/>
  <c r="E41" i="9"/>
  <c r="AI29" i="14"/>
  <c r="AK29" i="14" s="1"/>
  <c r="AL29" i="14" s="1"/>
  <c r="AJ26" i="14"/>
  <c r="G80" i="18"/>
  <c r="C23" i="11"/>
  <c r="D23" i="11" s="1"/>
  <c r="AF86" i="14"/>
  <c r="K10" i="11"/>
  <c r="L10" i="11" s="1"/>
  <c r="AF26" i="12"/>
  <c r="G85" i="18"/>
  <c r="G82" i="18"/>
  <c r="AE65" i="14"/>
  <c r="AG65" i="14" s="1"/>
  <c r="AH65" i="14" s="1"/>
  <c r="F252" i="19"/>
  <c r="G252" i="19"/>
  <c r="G58" i="18"/>
  <c r="I20" i="11"/>
  <c r="G23" i="11"/>
  <c r="H23" i="11" s="1"/>
  <c r="G81" i="18"/>
  <c r="G84" i="18"/>
  <c r="G79" i="18"/>
  <c r="R42" i="23"/>
  <c r="R12" i="23"/>
  <c r="S38" i="23"/>
  <c r="R113" i="23"/>
  <c r="S147" i="23"/>
  <c r="S140" i="23"/>
  <c r="R148" i="23"/>
  <c r="R111" i="23"/>
  <c r="R6" i="23"/>
  <c r="R9" i="23"/>
  <c r="R43" i="23"/>
  <c r="S11" i="23"/>
  <c r="S40" i="23"/>
  <c r="S145" i="23"/>
  <c r="R143" i="23"/>
  <c r="S8" i="23"/>
  <c r="S110" i="23"/>
  <c r="R46" i="23"/>
  <c r="R141" i="23"/>
  <c r="S44" i="23"/>
  <c r="R146" i="23"/>
  <c r="S114" i="23"/>
  <c r="R10" i="23"/>
  <c r="S112" i="23"/>
  <c r="S106" i="23"/>
  <c r="R108" i="23"/>
  <c r="R109" i="23"/>
  <c r="S142" i="23"/>
  <c r="R45" i="23"/>
  <c r="S5" i="23"/>
  <c r="R7" i="23"/>
  <c r="R4" i="23"/>
  <c r="S4" i="23"/>
  <c r="R39" i="23"/>
  <c r="R115" i="23"/>
  <c r="S144" i="23"/>
  <c r="S107" i="23"/>
  <c r="R107" i="23"/>
  <c r="S41" i="23"/>
  <c r="R41" i="23"/>
  <c r="N1760" i="20" l="1"/>
  <c r="N1761" i="20" s="1"/>
  <c r="N1756" i="20"/>
  <c r="N1757" i="20" s="1"/>
  <c r="N1758" i="20" s="1"/>
  <c r="N1759" i="20" s="1"/>
  <c r="N800" i="20"/>
  <c r="N801" i="20" s="1"/>
  <c r="N796" i="20"/>
  <c r="N797" i="20" s="1"/>
  <c r="N798" i="20" s="1"/>
  <c r="N799" i="20" s="1"/>
  <c r="AI45" i="4"/>
  <c r="AK66" i="4"/>
  <c r="AL66" i="4" s="1"/>
  <c r="AK52" i="4"/>
  <c r="AL52" i="4" s="1"/>
  <c r="AK48" i="4"/>
  <c r="AL48" i="4" s="1"/>
  <c r="AK59" i="4"/>
  <c r="AL59" i="4" s="1"/>
  <c r="AK50" i="4"/>
  <c r="AL50" i="4" s="1"/>
  <c r="AK51" i="4"/>
  <c r="AL51" i="4" s="1"/>
  <c r="AK72" i="4"/>
  <c r="AL72" i="4" s="1"/>
  <c r="AK68" i="4"/>
  <c r="AL68" i="4" s="1"/>
  <c r="AK54" i="4"/>
  <c r="AL54" i="4" s="1"/>
  <c r="AK49" i="4"/>
  <c r="AL49" i="4" s="1"/>
  <c r="AK47" i="4"/>
  <c r="AL47" i="4" s="1"/>
  <c r="AK62" i="4"/>
  <c r="AL62" i="4" s="1"/>
  <c r="AK60" i="4"/>
  <c r="AL60" i="4" s="1"/>
  <c r="AK65" i="4"/>
  <c r="AL65" i="4" s="1"/>
  <c r="AK53" i="4"/>
  <c r="AL53" i="4" s="1"/>
  <c r="AK55" i="4"/>
  <c r="AL55" i="4" s="1"/>
  <c r="AK70" i="4"/>
  <c r="AL70" i="4" s="1"/>
  <c r="AK64" i="4"/>
  <c r="AL64" i="4" s="1"/>
  <c r="AK63" i="4"/>
  <c r="AL63" i="4" s="1"/>
  <c r="AK71" i="4"/>
  <c r="AL71" i="4" s="1"/>
  <c r="AK67" i="4"/>
  <c r="AL67" i="4" s="1"/>
  <c r="AK74" i="4"/>
  <c r="AL74" i="4" s="1"/>
  <c r="AK58" i="4"/>
  <c r="AL58" i="4" s="1"/>
  <c r="AK56" i="4"/>
  <c r="AL56" i="4" s="1"/>
  <c r="AK61" i="4"/>
  <c r="AL61" i="4" s="1"/>
  <c r="AF46" i="4"/>
  <c r="AJ45" i="4"/>
  <c r="AK46" i="4" s="1"/>
  <c r="AF45" i="4"/>
  <c r="AE45" i="4"/>
  <c r="AG46" i="4" s="1"/>
  <c r="AI5" i="4"/>
  <c r="O320" i="11"/>
  <c r="P320" i="11" s="1"/>
  <c r="E133" i="17"/>
  <c r="AM67" i="12"/>
  <c r="AN67" i="12"/>
  <c r="AQ67" i="12" s="1"/>
  <c r="J24" i="10"/>
  <c r="M82" i="11"/>
  <c r="L82" i="11"/>
  <c r="J29" i="10"/>
  <c r="L87" i="11"/>
  <c r="M87" i="11"/>
  <c r="J18" i="10"/>
  <c r="L76" i="11"/>
  <c r="M76" i="11"/>
  <c r="AD19" i="4"/>
  <c r="N74" i="11" s="1"/>
  <c r="M74" i="11"/>
  <c r="L74" i="11"/>
  <c r="AD9" i="4"/>
  <c r="N64" i="11" s="1"/>
  <c r="L64" i="11"/>
  <c r="M64" i="11"/>
  <c r="J30" i="10"/>
  <c r="L88" i="11"/>
  <c r="M88" i="11"/>
  <c r="J31" i="10"/>
  <c r="L89" i="11"/>
  <c r="M89" i="11"/>
  <c r="J22" i="10"/>
  <c r="L80" i="11"/>
  <c r="M80" i="11"/>
  <c r="J26" i="10"/>
  <c r="L84" i="11"/>
  <c r="M84" i="11"/>
  <c r="M84" i="10"/>
  <c r="L142" i="11"/>
  <c r="M142" i="11"/>
  <c r="P106" i="10"/>
  <c r="L264" i="11"/>
  <c r="M264" i="11"/>
  <c r="AD51" i="14"/>
  <c r="N266" i="11" s="1"/>
  <c r="L266" i="11"/>
  <c r="M266" i="11"/>
  <c r="M97" i="10"/>
  <c r="L155" i="11"/>
  <c r="M155" i="11"/>
  <c r="M94" i="10"/>
  <c r="L152" i="11"/>
  <c r="M152" i="11"/>
  <c r="M88" i="10"/>
  <c r="L146" i="11"/>
  <c r="M146" i="11"/>
  <c r="M108" i="10"/>
  <c r="L166" i="11"/>
  <c r="M166" i="11"/>
  <c r="J27" i="10"/>
  <c r="L85" i="11"/>
  <c r="M85" i="11"/>
  <c r="M86" i="10"/>
  <c r="L144" i="11"/>
  <c r="M144" i="11"/>
  <c r="AD32" i="12"/>
  <c r="N147" i="11" s="1"/>
  <c r="L147" i="11"/>
  <c r="M147" i="11"/>
  <c r="M98" i="10"/>
  <c r="L156" i="11"/>
  <c r="M156" i="11"/>
  <c r="AD41" i="14"/>
  <c r="N256" i="11" s="1"/>
  <c r="L256" i="11"/>
  <c r="M256" i="11"/>
  <c r="AD33" i="14"/>
  <c r="N248" i="11" s="1"/>
  <c r="L248" i="11"/>
  <c r="M248" i="11"/>
  <c r="P110" i="10"/>
  <c r="L268" i="11"/>
  <c r="M268" i="11"/>
  <c r="P84" i="10"/>
  <c r="L242" i="11"/>
  <c r="M242" i="11"/>
  <c r="J8" i="10"/>
  <c r="M66" i="11"/>
  <c r="L66" i="11"/>
  <c r="P100" i="10"/>
  <c r="L258" i="11"/>
  <c r="M258" i="11"/>
  <c r="J11" i="10"/>
  <c r="L69" i="11"/>
  <c r="M69" i="11"/>
  <c r="J15" i="10"/>
  <c r="L73" i="11"/>
  <c r="M73" i="11"/>
  <c r="M101" i="10"/>
  <c r="L159" i="11"/>
  <c r="M159" i="11"/>
  <c r="P109" i="10"/>
  <c r="L267" i="11"/>
  <c r="M267" i="11"/>
  <c r="J17" i="10"/>
  <c r="L75" i="11"/>
  <c r="M75" i="11"/>
  <c r="AD32" i="14"/>
  <c r="N247" i="11" s="1"/>
  <c r="M247" i="11"/>
  <c r="L247" i="11"/>
  <c r="P99" i="10"/>
  <c r="L257" i="11"/>
  <c r="M257" i="11"/>
  <c r="P103" i="10"/>
  <c r="L261" i="11"/>
  <c r="M261" i="11"/>
  <c r="P87" i="10"/>
  <c r="L245" i="11"/>
  <c r="M245" i="11"/>
  <c r="AD10" i="4"/>
  <c r="N65" i="11" s="1"/>
  <c r="L65" i="11"/>
  <c r="M65" i="11"/>
  <c r="M99" i="10"/>
  <c r="L157" i="11"/>
  <c r="M157" i="11"/>
  <c r="P105" i="10"/>
  <c r="M263" i="11"/>
  <c r="L263" i="11"/>
  <c r="P88" i="10"/>
  <c r="L246" i="11"/>
  <c r="M246" i="11"/>
  <c r="M105" i="10"/>
  <c r="L163" i="11"/>
  <c r="M163" i="11"/>
  <c r="L72" i="11"/>
  <c r="M72" i="11"/>
  <c r="J21" i="10"/>
  <c r="L79" i="11"/>
  <c r="M79" i="11"/>
  <c r="J12" i="10"/>
  <c r="M70" i="11"/>
  <c r="L70" i="11"/>
  <c r="M95" i="10"/>
  <c r="L153" i="11"/>
  <c r="M153" i="11"/>
  <c r="P101" i="10"/>
  <c r="L259" i="11"/>
  <c r="M259" i="11"/>
  <c r="P85" i="10"/>
  <c r="L243" i="11"/>
  <c r="M243" i="11"/>
  <c r="AD54" i="12"/>
  <c r="N169" i="11" s="1"/>
  <c r="L169" i="11"/>
  <c r="M169" i="11"/>
  <c r="M110" i="10"/>
  <c r="L168" i="11"/>
  <c r="M168" i="11"/>
  <c r="J10" i="10"/>
  <c r="L68" i="11"/>
  <c r="M68" i="11"/>
  <c r="J13" i="10"/>
  <c r="L71" i="11"/>
  <c r="M71" i="11"/>
  <c r="J20" i="10"/>
  <c r="M78" i="11"/>
  <c r="L78" i="11"/>
  <c r="M93" i="10"/>
  <c r="L151" i="11"/>
  <c r="M151" i="11"/>
  <c r="P97" i="10"/>
  <c r="M255" i="11"/>
  <c r="L255" i="11"/>
  <c r="P83" i="10"/>
  <c r="L241" i="11"/>
  <c r="M241" i="11"/>
  <c r="P86" i="10"/>
  <c r="L244" i="11"/>
  <c r="M244" i="11"/>
  <c r="AD33" i="12"/>
  <c r="N148" i="11" s="1"/>
  <c r="L148" i="11"/>
  <c r="M148" i="11"/>
  <c r="M92" i="10"/>
  <c r="L150" i="11"/>
  <c r="M150" i="11"/>
  <c r="M96" i="10"/>
  <c r="L154" i="11"/>
  <c r="M154" i="11"/>
  <c r="AD28" i="12"/>
  <c r="N143" i="11" s="1"/>
  <c r="L143" i="11"/>
  <c r="M143" i="11"/>
  <c r="P94" i="10"/>
  <c r="L252" i="11"/>
  <c r="M252" i="11"/>
  <c r="P91" i="10"/>
  <c r="L249" i="11"/>
  <c r="M249" i="11"/>
  <c r="P92" i="10"/>
  <c r="L250" i="11"/>
  <c r="M250" i="11"/>
  <c r="M87" i="10"/>
  <c r="L145" i="11"/>
  <c r="M145" i="11"/>
  <c r="P95" i="10"/>
  <c r="L253" i="11"/>
  <c r="M253" i="11"/>
  <c r="M103" i="10"/>
  <c r="L161" i="11"/>
  <c r="M161" i="11"/>
  <c r="M107" i="10"/>
  <c r="L165" i="11"/>
  <c r="M165" i="11"/>
  <c r="M109" i="10"/>
  <c r="L167" i="11"/>
  <c r="M167" i="11"/>
  <c r="J25" i="10"/>
  <c r="L83" i="11"/>
  <c r="M83" i="11"/>
  <c r="J9" i="10"/>
  <c r="L67" i="11"/>
  <c r="M67" i="11"/>
  <c r="P104" i="10"/>
  <c r="L262" i="11"/>
  <c r="M262" i="11"/>
  <c r="J19" i="10"/>
  <c r="L77" i="11"/>
  <c r="M77" i="11"/>
  <c r="AD34" i="12"/>
  <c r="N149" i="11" s="1"/>
  <c r="L149" i="11"/>
  <c r="M149" i="11"/>
  <c r="P107" i="10"/>
  <c r="L265" i="11"/>
  <c r="M265" i="11"/>
  <c r="P96" i="10"/>
  <c r="L254" i="11"/>
  <c r="M254" i="11"/>
  <c r="P102" i="10"/>
  <c r="L260" i="11"/>
  <c r="M260" i="11"/>
  <c r="P93" i="10"/>
  <c r="L251" i="11"/>
  <c r="M251" i="11"/>
  <c r="AD54" i="14"/>
  <c r="N269" i="11" s="1"/>
  <c r="L269" i="11"/>
  <c r="M269" i="11"/>
  <c r="J23" i="10"/>
  <c r="L81" i="11"/>
  <c r="M81" i="11"/>
  <c r="M83" i="10"/>
  <c r="L141" i="11"/>
  <c r="M141" i="11"/>
  <c r="AD43" i="12"/>
  <c r="N158" i="11" s="1"/>
  <c r="L158" i="11"/>
  <c r="M158" i="11"/>
  <c r="M104" i="10"/>
  <c r="L162" i="11"/>
  <c r="M162" i="11"/>
  <c r="M102" i="10"/>
  <c r="L160" i="11"/>
  <c r="M160" i="11"/>
  <c r="D77" i="17"/>
  <c r="N164" i="11"/>
  <c r="O164" i="11" s="1"/>
  <c r="P164" i="11" s="1"/>
  <c r="C14" i="23"/>
  <c r="C15" i="23"/>
  <c r="C48" i="23"/>
  <c r="L201" i="11"/>
  <c r="M201" i="11"/>
  <c r="L193" i="11"/>
  <c r="M193" i="11"/>
  <c r="L215" i="11"/>
  <c r="M215" i="11"/>
  <c r="L205" i="11"/>
  <c r="M205" i="11"/>
  <c r="L210" i="11"/>
  <c r="M210" i="11"/>
  <c r="L202" i="11"/>
  <c r="M202" i="11"/>
  <c r="L199" i="11"/>
  <c r="M199" i="11"/>
  <c r="M216" i="11"/>
  <c r="L216" i="11"/>
  <c r="M120" i="11"/>
  <c r="L120" i="11"/>
  <c r="L213" i="11"/>
  <c r="M213" i="11"/>
  <c r="L197" i="11"/>
  <c r="M197" i="11"/>
  <c r="M204" i="11"/>
  <c r="L204" i="11"/>
  <c r="L198" i="11"/>
  <c r="M198" i="11"/>
  <c r="L206" i="11"/>
  <c r="M206" i="11"/>
  <c r="M208" i="11"/>
  <c r="L208" i="11"/>
  <c r="L209" i="11"/>
  <c r="M209" i="11"/>
  <c r="L218" i="11"/>
  <c r="M218" i="11"/>
  <c r="M200" i="11"/>
  <c r="L200" i="11"/>
  <c r="L211" i="11"/>
  <c r="M211" i="11"/>
  <c r="L203" i="11"/>
  <c r="M203" i="11"/>
  <c r="L217" i="11"/>
  <c r="M217" i="11"/>
  <c r="L207" i="11"/>
  <c r="M207" i="11"/>
  <c r="L214" i="11"/>
  <c r="M214" i="11"/>
  <c r="M196" i="11"/>
  <c r="L196" i="11"/>
  <c r="M212" i="11"/>
  <c r="L212" i="11"/>
  <c r="AD8" i="4"/>
  <c r="N63" i="11" s="1"/>
  <c r="L63" i="11"/>
  <c r="M63" i="11"/>
  <c r="M60" i="11"/>
  <c r="L60" i="11"/>
  <c r="L98" i="11"/>
  <c r="M98" i="11"/>
  <c r="M109" i="11"/>
  <c r="L109" i="11"/>
  <c r="L119" i="11"/>
  <c r="M119" i="11"/>
  <c r="M101" i="11"/>
  <c r="L101" i="11"/>
  <c r="L114" i="11"/>
  <c r="M114" i="11"/>
  <c r="M112" i="11"/>
  <c r="L112" i="11"/>
  <c r="M62" i="11"/>
  <c r="L62" i="11"/>
  <c r="M113" i="11"/>
  <c r="L113" i="11"/>
  <c r="L103" i="11"/>
  <c r="M103" i="11"/>
  <c r="L115" i="11"/>
  <c r="M115" i="11"/>
  <c r="L94" i="11"/>
  <c r="M94" i="11"/>
  <c r="L99" i="11"/>
  <c r="M99" i="11"/>
  <c r="L111" i="11"/>
  <c r="M111" i="11"/>
  <c r="L95" i="11"/>
  <c r="M95" i="11"/>
  <c r="L110" i="11"/>
  <c r="M110" i="11"/>
  <c r="L102" i="11"/>
  <c r="M102" i="11"/>
  <c r="L118" i="11"/>
  <c r="M118" i="11"/>
  <c r="M117" i="11"/>
  <c r="L117" i="11"/>
  <c r="M97" i="11"/>
  <c r="L97" i="11"/>
  <c r="M96" i="11"/>
  <c r="L96" i="11"/>
  <c r="L106" i="11"/>
  <c r="M106" i="11"/>
  <c r="M105" i="11"/>
  <c r="L105" i="11"/>
  <c r="M116" i="11"/>
  <c r="L116" i="11"/>
  <c r="M100" i="11"/>
  <c r="L100" i="11"/>
  <c r="L104" i="11"/>
  <c r="M104" i="11"/>
  <c r="L107" i="11"/>
  <c r="M107" i="11"/>
  <c r="M108" i="11"/>
  <c r="L108" i="11"/>
  <c r="G14" i="23"/>
  <c r="H14" i="23"/>
  <c r="G15" i="23"/>
  <c r="G48" i="23"/>
  <c r="H48" i="23"/>
  <c r="P144" i="10"/>
  <c r="L302" i="11"/>
  <c r="M302" i="11"/>
  <c r="P156" i="10"/>
  <c r="M314" i="11"/>
  <c r="L314" i="11"/>
  <c r="P143" i="10"/>
  <c r="L301" i="11"/>
  <c r="M301" i="11"/>
  <c r="P145" i="10"/>
  <c r="M303" i="11"/>
  <c r="L303" i="11"/>
  <c r="P154" i="10"/>
  <c r="L312" i="11"/>
  <c r="M312" i="11"/>
  <c r="AD5" i="14"/>
  <c r="L220" i="11"/>
  <c r="M220" i="11"/>
  <c r="P147" i="10"/>
  <c r="L305" i="11"/>
  <c r="M305" i="11"/>
  <c r="P152" i="10"/>
  <c r="L310" i="11"/>
  <c r="M310" i="11"/>
  <c r="P150" i="10"/>
  <c r="L308" i="11"/>
  <c r="M308" i="11"/>
  <c r="P139" i="10"/>
  <c r="L297" i="11"/>
  <c r="M297" i="11"/>
  <c r="P146" i="10"/>
  <c r="M304" i="11"/>
  <c r="L304" i="11"/>
  <c r="L319" i="11"/>
  <c r="M319" i="11"/>
  <c r="P141" i="10"/>
  <c r="L299" i="11"/>
  <c r="M299" i="11"/>
  <c r="P142" i="10"/>
  <c r="M300" i="11"/>
  <c r="L300" i="11"/>
  <c r="P159" i="10"/>
  <c r="M317" i="11"/>
  <c r="L317" i="11"/>
  <c r="P140" i="10"/>
  <c r="L298" i="11"/>
  <c r="M298" i="11"/>
  <c r="P153" i="10"/>
  <c r="M311" i="11"/>
  <c r="L311" i="11"/>
  <c r="P148" i="10"/>
  <c r="L306" i="11"/>
  <c r="M306" i="11"/>
  <c r="P151" i="10"/>
  <c r="L309" i="11"/>
  <c r="M309" i="11"/>
  <c r="P149" i="10"/>
  <c r="M307" i="11"/>
  <c r="L307" i="11"/>
  <c r="P157" i="10"/>
  <c r="M315" i="11"/>
  <c r="L315" i="11"/>
  <c r="P160" i="10"/>
  <c r="L318" i="11"/>
  <c r="M318" i="11"/>
  <c r="P138" i="10"/>
  <c r="M296" i="11"/>
  <c r="L296" i="11"/>
  <c r="P155" i="10"/>
  <c r="L313" i="11"/>
  <c r="M313" i="11"/>
  <c r="P158" i="10"/>
  <c r="L316" i="11"/>
  <c r="M316" i="11"/>
  <c r="M219" i="11"/>
  <c r="L219" i="11"/>
  <c r="M158" i="10"/>
  <c r="AD5" i="12"/>
  <c r="M155" i="10"/>
  <c r="M139" i="10"/>
  <c r="M146" i="10"/>
  <c r="M140" i="10"/>
  <c r="M148" i="10"/>
  <c r="M150" i="10"/>
  <c r="M151" i="10"/>
  <c r="M160" i="10"/>
  <c r="M142" i="10"/>
  <c r="M153" i="10"/>
  <c r="M145" i="10"/>
  <c r="M159" i="10"/>
  <c r="M149" i="10"/>
  <c r="M156" i="10"/>
  <c r="M138" i="10"/>
  <c r="M154" i="10"/>
  <c r="M143" i="10"/>
  <c r="M135" i="10"/>
  <c r="M157" i="10"/>
  <c r="M147" i="10"/>
  <c r="M152" i="10"/>
  <c r="M144" i="10"/>
  <c r="M141" i="10"/>
  <c r="J61" i="10"/>
  <c r="AD6" i="4"/>
  <c r="N61" i="11" s="1"/>
  <c r="L61" i="11"/>
  <c r="M61" i="11"/>
  <c r="J54" i="10"/>
  <c r="J38" i="10"/>
  <c r="AD5" i="4"/>
  <c r="N60" i="11" s="1"/>
  <c r="J43" i="10"/>
  <c r="J47" i="10"/>
  <c r="J42" i="10"/>
  <c r="J49" i="10"/>
  <c r="J55" i="10"/>
  <c r="J45" i="10"/>
  <c r="J57" i="10"/>
  <c r="AD49" i="4"/>
  <c r="N94" i="11" s="1"/>
  <c r="J41" i="10"/>
  <c r="J40" i="10"/>
  <c r="J51" i="10"/>
  <c r="J56" i="10"/>
  <c r="J48" i="10"/>
  <c r="J58" i="10"/>
  <c r="J46" i="10"/>
  <c r="J50" i="10"/>
  <c r="J53" i="10"/>
  <c r="J37" i="10"/>
  <c r="J52" i="10"/>
  <c r="J44" i="10"/>
  <c r="J60" i="10"/>
  <c r="J59" i="10"/>
  <c r="J39" i="10"/>
  <c r="AE37" i="12"/>
  <c r="AE5" i="14"/>
  <c r="AG5" i="14" s="1"/>
  <c r="AH5" i="14" s="1"/>
  <c r="AQ47" i="4"/>
  <c r="AD42" i="14"/>
  <c r="N257" i="11" s="1"/>
  <c r="AD47" i="14"/>
  <c r="N262" i="11" s="1"/>
  <c r="O262" i="11" s="1"/>
  <c r="P262" i="11" s="1"/>
  <c r="AD53" i="12"/>
  <c r="N168" i="11" s="1"/>
  <c r="AD48" i="12"/>
  <c r="N163" i="11" s="1"/>
  <c r="AD49" i="14"/>
  <c r="N264" i="11" s="1"/>
  <c r="AD35" i="12"/>
  <c r="N150" i="11" s="1"/>
  <c r="AD40" i="12"/>
  <c r="N155" i="11" s="1"/>
  <c r="AD12" i="4"/>
  <c r="N67" i="11" s="1"/>
  <c r="AD25" i="4"/>
  <c r="N80" i="11" s="1"/>
  <c r="O80" i="11" s="1"/>
  <c r="P80" i="11" s="1"/>
  <c r="AD29" i="4"/>
  <c r="N84" i="11" s="1"/>
  <c r="O84" i="11" s="1"/>
  <c r="P84" i="11" s="1"/>
  <c r="AD18" i="4"/>
  <c r="N73" i="11" s="1"/>
  <c r="O73" i="11" s="1"/>
  <c r="P73" i="11" s="1"/>
  <c r="AD36" i="14"/>
  <c r="N251" i="11" s="1"/>
  <c r="O251" i="11" s="1"/>
  <c r="P251" i="11" s="1"/>
  <c r="AD39" i="12"/>
  <c r="N154" i="11" s="1"/>
  <c r="AD30" i="12"/>
  <c r="N145" i="11" s="1"/>
  <c r="AD45" i="14"/>
  <c r="N260" i="11" s="1"/>
  <c r="O260" i="11" s="1"/>
  <c r="P260" i="11" s="1"/>
  <c r="AD50" i="14"/>
  <c r="N265" i="11" s="1"/>
  <c r="AD39" i="14"/>
  <c r="N254" i="11" s="1"/>
  <c r="AD31" i="12"/>
  <c r="N146" i="11" s="1"/>
  <c r="O146" i="11" s="1"/>
  <c r="P146" i="11" s="1"/>
  <c r="AD26" i="14"/>
  <c r="N241" i="11" s="1"/>
  <c r="AD44" i="12"/>
  <c r="N159" i="11" s="1"/>
  <c r="O159" i="11" s="1"/>
  <c r="P159" i="11" s="1"/>
  <c r="AD38" i="14"/>
  <c r="N253" i="11" s="1"/>
  <c r="AD47" i="12"/>
  <c r="N162" i="11" s="1"/>
  <c r="AD28" i="4"/>
  <c r="N83" i="11" s="1"/>
  <c r="AD11" i="4"/>
  <c r="N66" i="11" s="1"/>
  <c r="AD15" i="4"/>
  <c r="N70" i="11" s="1"/>
  <c r="AD23" i="4"/>
  <c r="N78" i="11" s="1"/>
  <c r="O78" i="11" s="1"/>
  <c r="P78" i="11" s="1"/>
  <c r="AD27" i="12"/>
  <c r="N142" i="11" s="1"/>
  <c r="O142" i="11" s="1"/>
  <c r="P142" i="11" s="1"/>
  <c r="AD35" i="14"/>
  <c r="N250" i="11" s="1"/>
  <c r="O250" i="11" s="1"/>
  <c r="P250" i="11" s="1"/>
  <c r="AD13" i="4"/>
  <c r="N68" i="11" s="1"/>
  <c r="O68" i="11" s="1"/>
  <c r="P68" i="11" s="1"/>
  <c r="AD26" i="12"/>
  <c r="N141" i="11" s="1"/>
  <c r="AD44" i="14"/>
  <c r="N259" i="11" s="1"/>
  <c r="O259" i="11" s="1"/>
  <c r="P259" i="11" s="1"/>
  <c r="AD14" i="4"/>
  <c r="N69" i="11" s="1"/>
  <c r="O69" i="11" s="1"/>
  <c r="P69" i="11" s="1"/>
  <c r="AD30" i="14"/>
  <c r="N245" i="11" s="1"/>
  <c r="AD48" i="14"/>
  <c r="N263" i="11" s="1"/>
  <c r="O263" i="11" s="1"/>
  <c r="P263" i="11" s="1"/>
  <c r="AD53" i="14"/>
  <c r="N268" i="11" s="1"/>
  <c r="AD43" i="14"/>
  <c r="N258" i="11" s="1"/>
  <c r="AD50" i="12"/>
  <c r="N165" i="11" s="1"/>
  <c r="AD37" i="12"/>
  <c r="N152" i="11" s="1"/>
  <c r="AD40" i="14"/>
  <c r="N255" i="11" s="1"/>
  <c r="AD46" i="12"/>
  <c r="N161" i="11" s="1"/>
  <c r="AD33" i="4"/>
  <c r="N88" i="11" s="1"/>
  <c r="O88" i="11" s="1"/>
  <c r="P88" i="11" s="1"/>
  <c r="AD7" i="4"/>
  <c r="AD21" i="4"/>
  <c r="N76" i="11" s="1"/>
  <c r="AD32" i="4"/>
  <c r="N87" i="11" s="1"/>
  <c r="AD17" i="4"/>
  <c r="AD52" i="14"/>
  <c r="N267" i="11" s="1"/>
  <c r="AD22" i="4"/>
  <c r="N77" i="11" s="1"/>
  <c r="O77" i="11" s="1"/>
  <c r="P77" i="11" s="1"/>
  <c r="AD29" i="12"/>
  <c r="N144" i="11" s="1"/>
  <c r="AD42" i="12"/>
  <c r="N157" i="11" s="1"/>
  <c r="AD46" i="14"/>
  <c r="N261" i="11" s="1"/>
  <c r="AD51" i="12"/>
  <c r="N166" i="11" s="1"/>
  <c r="O166" i="11" s="1"/>
  <c r="P166" i="11" s="1"/>
  <c r="AD36" i="12"/>
  <c r="N151" i="11" s="1"/>
  <c r="O151" i="11" s="1"/>
  <c r="P151" i="11" s="1"/>
  <c r="AD38" i="12"/>
  <c r="N153" i="11" s="1"/>
  <c r="AD37" i="14"/>
  <c r="N252" i="11" s="1"/>
  <c r="O252" i="11" s="1"/>
  <c r="P252" i="11" s="1"/>
  <c r="AD41" i="12"/>
  <c r="N156" i="11" s="1"/>
  <c r="O156" i="11" s="1"/>
  <c r="P156" i="11" s="1"/>
  <c r="AD27" i="14"/>
  <c r="N242" i="11" s="1"/>
  <c r="AD20" i="4"/>
  <c r="N75" i="11" s="1"/>
  <c r="AD27" i="4"/>
  <c r="N82" i="11" s="1"/>
  <c r="AD26" i="4"/>
  <c r="N81" i="11" s="1"/>
  <c r="AD16" i="4"/>
  <c r="N71" i="11" s="1"/>
  <c r="O71" i="11" s="1"/>
  <c r="P71" i="11" s="1"/>
  <c r="AD52" i="12"/>
  <c r="N167" i="11" s="1"/>
  <c r="O167" i="11" s="1"/>
  <c r="P167" i="11" s="1"/>
  <c r="AD34" i="14"/>
  <c r="N249" i="11" s="1"/>
  <c r="AD30" i="4"/>
  <c r="N85" i="11" s="1"/>
  <c r="AD24" i="4"/>
  <c r="N79" i="11" s="1"/>
  <c r="O79" i="11" s="1"/>
  <c r="P79" i="11" s="1"/>
  <c r="AD34" i="4"/>
  <c r="N89" i="11" s="1"/>
  <c r="AD29" i="14"/>
  <c r="N244" i="11" s="1"/>
  <c r="AD45" i="12"/>
  <c r="N160" i="11" s="1"/>
  <c r="AD31" i="14"/>
  <c r="N246" i="11" s="1"/>
  <c r="O246" i="11" s="1"/>
  <c r="P246" i="11" s="1"/>
  <c r="AD28" i="14"/>
  <c r="N243" i="11" s="1"/>
  <c r="AD58" i="4"/>
  <c r="N103" i="11" s="1"/>
  <c r="AD70" i="4"/>
  <c r="N115" i="11" s="1"/>
  <c r="AD57" i="4"/>
  <c r="N102" i="11" s="1"/>
  <c r="AD56" i="4"/>
  <c r="N101" i="11" s="1"/>
  <c r="AD71" i="4"/>
  <c r="N116" i="11" s="1"/>
  <c r="AD60" i="4"/>
  <c r="N105" i="11" s="1"/>
  <c r="AD114" i="14"/>
  <c r="AD92" i="14"/>
  <c r="N297" i="11" s="1"/>
  <c r="AD91" i="14"/>
  <c r="N296" i="11" s="1"/>
  <c r="AD103" i="14"/>
  <c r="N308" i="11" s="1"/>
  <c r="AD106" i="14"/>
  <c r="N311" i="11" s="1"/>
  <c r="AD102" i="14"/>
  <c r="N307" i="11" s="1"/>
  <c r="AD110" i="14"/>
  <c r="N315" i="11" s="1"/>
  <c r="AD113" i="12"/>
  <c r="N218" i="11" s="1"/>
  <c r="AD109" i="12"/>
  <c r="N214" i="11" s="1"/>
  <c r="AD114" i="12"/>
  <c r="AD108" i="12"/>
  <c r="N213" i="11" s="1"/>
  <c r="AD100" i="12"/>
  <c r="N205" i="11" s="1"/>
  <c r="AD92" i="12"/>
  <c r="N197" i="11" s="1"/>
  <c r="AD88" i="12"/>
  <c r="N193" i="11" s="1"/>
  <c r="AD59" i="4"/>
  <c r="N104" i="11" s="1"/>
  <c r="AD96" i="14"/>
  <c r="N301" i="11" s="1"/>
  <c r="AD97" i="14"/>
  <c r="N302" i="11" s="1"/>
  <c r="AD93" i="12"/>
  <c r="N198" i="11" s="1"/>
  <c r="AD106" i="12"/>
  <c r="N211" i="11" s="1"/>
  <c r="AD96" i="12"/>
  <c r="N201" i="11" s="1"/>
  <c r="AD66" i="4"/>
  <c r="N111" i="11" s="1"/>
  <c r="AD61" i="4"/>
  <c r="N106" i="11" s="1"/>
  <c r="AD67" i="4"/>
  <c r="N112" i="11" s="1"/>
  <c r="AD55" i="4"/>
  <c r="N100" i="11" s="1"/>
  <c r="AD50" i="4"/>
  <c r="N95" i="11" s="1"/>
  <c r="AD95" i="14"/>
  <c r="N300" i="11" s="1"/>
  <c r="AD98" i="14"/>
  <c r="N303" i="11" s="1"/>
  <c r="AD94" i="14"/>
  <c r="N299" i="11" s="1"/>
  <c r="AD105" i="12"/>
  <c r="N210" i="11" s="1"/>
  <c r="AD112" i="12"/>
  <c r="N217" i="11" s="1"/>
  <c r="AD98" i="12"/>
  <c r="N203" i="11" s="1"/>
  <c r="AD63" i="4"/>
  <c r="N108" i="11" s="1"/>
  <c r="AD74" i="4"/>
  <c r="N119" i="11" s="1"/>
  <c r="AD62" i="4"/>
  <c r="N107" i="11" s="1"/>
  <c r="AD53" i="4"/>
  <c r="N98" i="11" s="1"/>
  <c r="AD65" i="4"/>
  <c r="N110" i="11" s="1"/>
  <c r="AD64" i="4"/>
  <c r="N109" i="11" s="1"/>
  <c r="AD101" i="12"/>
  <c r="N206" i="11" s="1"/>
  <c r="AD104" i="14"/>
  <c r="N309" i="11" s="1"/>
  <c r="AD105" i="14"/>
  <c r="N310" i="11" s="1"/>
  <c r="AD111" i="14"/>
  <c r="N316" i="11" s="1"/>
  <c r="AD109" i="14"/>
  <c r="N314" i="11" s="1"/>
  <c r="AD107" i="14"/>
  <c r="N312" i="11" s="1"/>
  <c r="AD99" i="14"/>
  <c r="N304" i="11" s="1"/>
  <c r="AD100" i="14"/>
  <c r="N305" i="11" s="1"/>
  <c r="AD97" i="12"/>
  <c r="N202" i="11" s="1"/>
  <c r="AD107" i="12"/>
  <c r="N212" i="11" s="1"/>
  <c r="AD111" i="12"/>
  <c r="N216" i="11" s="1"/>
  <c r="AD103" i="12"/>
  <c r="N208" i="11" s="1"/>
  <c r="AD95" i="12"/>
  <c r="N200" i="11" s="1"/>
  <c r="AD91" i="12"/>
  <c r="N196" i="11" s="1"/>
  <c r="AD51" i="4"/>
  <c r="N96" i="11" s="1"/>
  <c r="AD68" i="4"/>
  <c r="N113" i="11" s="1"/>
  <c r="AD93" i="14"/>
  <c r="N298" i="11" s="1"/>
  <c r="AD94" i="12"/>
  <c r="N199" i="11" s="1"/>
  <c r="AD110" i="12"/>
  <c r="N215" i="11" s="1"/>
  <c r="AD99" i="12"/>
  <c r="N204" i="11" s="1"/>
  <c r="AD69" i="4"/>
  <c r="AD54" i="4"/>
  <c r="N99" i="11" s="1"/>
  <c r="AD72" i="4"/>
  <c r="N117" i="11" s="1"/>
  <c r="AD73" i="4"/>
  <c r="N118" i="11" s="1"/>
  <c r="AD108" i="14"/>
  <c r="N313" i="11" s="1"/>
  <c r="AD101" i="14"/>
  <c r="N306" i="11" s="1"/>
  <c r="AD113" i="14"/>
  <c r="N318" i="11" s="1"/>
  <c r="AD112" i="14"/>
  <c r="N317" i="11" s="1"/>
  <c r="AD102" i="12"/>
  <c r="N207" i="11" s="1"/>
  <c r="AD104" i="12"/>
  <c r="N209" i="11" s="1"/>
  <c r="AD52" i="4"/>
  <c r="N97" i="11" s="1"/>
  <c r="AE26" i="14"/>
  <c r="AG26" i="14" s="1"/>
  <c r="AH26" i="14" s="1"/>
  <c r="AF26" i="14"/>
  <c r="P89" i="10"/>
  <c r="A18" i="22"/>
  <c r="L17" i="23" s="1"/>
  <c r="AQ45" i="4"/>
  <c r="M50" i="23"/>
  <c r="M49" i="23"/>
  <c r="B49" i="23"/>
  <c r="G49" i="23" s="1"/>
  <c r="L49" i="23"/>
  <c r="M15" i="23"/>
  <c r="H15" i="23"/>
  <c r="Q14" i="23"/>
  <c r="S14" i="23" s="1"/>
  <c r="L15" i="23"/>
  <c r="C15" i="18"/>
  <c r="F15" i="18"/>
  <c r="G15" i="18" s="1"/>
  <c r="H15" i="18"/>
  <c r="C14" i="18"/>
  <c r="H14" i="18"/>
  <c r="F14" i="18"/>
  <c r="G14" i="18" s="1"/>
  <c r="C16" i="18"/>
  <c r="H16" i="18"/>
  <c r="F16" i="18"/>
  <c r="G16" i="18" s="1"/>
  <c r="D110" i="17"/>
  <c r="C110" i="17"/>
  <c r="E110" i="17" s="1"/>
  <c r="F110" i="17" s="1"/>
  <c r="P108" i="10"/>
  <c r="P98" i="10"/>
  <c r="P111" i="10"/>
  <c r="F408" i="19"/>
  <c r="G408" i="19"/>
  <c r="AP86" i="14"/>
  <c r="AP90" i="14"/>
  <c r="AN65" i="14"/>
  <c r="AQ65" i="14" s="1"/>
  <c r="F439" i="19"/>
  <c r="H439" i="19" s="1"/>
  <c r="F330" i="19"/>
  <c r="H330" i="19" s="1"/>
  <c r="AN90" i="14"/>
  <c r="AN86" i="14"/>
  <c r="F407" i="19"/>
  <c r="G407" i="19"/>
  <c r="AO86" i="14"/>
  <c r="AP89" i="14"/>
  <c r="F417" i="19"/>
  <c r="F308" i="19"/>
  <c r="AN89" i="14"/>
  <c r="AN88" i="14"/>
  <c r="AN87" i="14"/>
  <c r="AQ87" i="14" s="1"/>
  <c r="F516" i="19"/>
  <c r="G516" i="19" s="1"/>
  <c r="F494" i="19"/>
  <c r="G494" i="19" s="1"/>
  <c r="F385" i="19"/>
  <c r="G385" i="19"/>
  <c r="C56" i="17"/>
  <c r="E56" i="17" s="1"/>
  <c r="F56" i="17" s="1"/>
  <c r="D56" i="17"/>
  <c r="D61" i="17"/>
  <c r="C61" i="17"/>
  <c r="E61" i="17" s="1"/>
  <c r="F61" i="17" s="1"/>
  <c r="D62" i="17"/>
  <c r="C62" i="17"/>
  <c r="E62" i="17" s="1"/>
  <c r="F62" i="17" s="1"/>
  <c r="M111" i="10"/>
  <c r="M100" i="10"/>
  <c r="AE28" i="12"/>
  <c r="AG28" i="12" s="1"/>
  <c r="AH28" i="12" s="1"/>
  <c r="AE29" i="12"/>
  <c r="AG29" i="12" s="1"/>
  <c r="AH29" i="12" s="1"/>
  <c r="AM48" i="4"/>
  <c r="AQ48" i="4"/>
  <c r="AM46" i="4"/>
  <c r="AN46" i="4"/>
  <c r="AQ46" i="4" s="1"/>
  <c r="D29" i="17"/>
  <c r="C8" i="17"/>
  <c r="E8" i="17" s="1"/>
  <c r="F8" i="17" s="1"/>
  <c r="D8" i="17"/>
  <c r="J16" i="10"/>
  <c r="C16" i="17"/>
  <c r="E16" i="17" s="1"/>
  <c r="C29" i="17"/>
  <c r="E29" i="17" s="1"/>
  <c r="F29" i="17" s="1"/>
  <c r="J36" i="10"/>
  <c r="J6" i="10"/>
  <c r="J5" i="10"/>
  <c r="J3" i="10"/>
  <c r="AE102" i="14"/>
  <c r="AG102" i="14" s="1"/>
  <c r="AH102" i="14" s="1"/>
  <c r="AJ101" i="14"/>
  <c r="AI6" i="12"/>
  <c r="AK6" i="12" s="1"/>
  <c r="AL6" i="12" s="1"/>
  <c r="AJ6" i="12"/>
  <c r="AJ12" i="12"/>
  <c r="AI12" i="12"/>
  <c r="AK12" i="12" s="1"/>
  <c r="AL12" i="12" s="1"/>
  <c r="AI15" i="12"/>
  <c r="AK15" i="12" s="1"/>
  <c r="AL15" i="12" s="1"/>
  <c r="AJ15" i="12"/>
  <c r="AJ9" i="12"/>
  <c r="AI9" i="12"/>
  <c r="AK9" i="12" s="1"/>
  <c r="AL9" i="12" s="1"/>
  <c r="AI10" i="12"/>
  <c r="AK10" i="12" s="1"/>
  <c r="AL10" i="12" s="1"/>
  <c r="AJ10" i="12"/>
  <c r="AI7" i="12"/>
  <c r="AK7" i="12" s="1"/>
  <c r="AL7" i="12" s="1"/>
  <c r="AJ7" i="12"/>
  <c r="AI14" i="12"/>
  <c r="AK14" i="12" s="1"/>
  <c r="AL14" i="12" s="1"/>
  <c r="AJ14" i="12"/>
  <c r="AJ8" i="12"/>
  <c r="AI8" i="12"/>
  <c r="AK8" i="12" s="1"/>
  <c r="AL8" i="12" s="1"/>
  <c r="AI11" i="12"/>
  <c r="AK11" i="12" s="1"/>
  <c r="AL11" i="12" s="1"/>
  <c r="AJ11" i="12"/>
  <c r="AJ13" i="12"/>
  <c r="AI13" i="12"/>
  <c r="AK13" i="12" s="1"/>
  <c r="AL13" i="12" s="1"/>
  <c r="AQ89" i="12"/>
  <c r="G87" i="18"/>
  <c r="AN90" i="12"/>
  <c r="AQ90" i="12" s="1"/>
  <c r="AN65" i="12"/>
  <c r="AQ65" i="12" s="1"/>
  <c r="F437" i="18"/>
  <c r="H437" i="18" s="1"/>
  <c r="F328" i="18"/>
  <c r="H328" i="18" s="1"/>
  <c r="AN86" i="12"/>
  <c r="AQ86" i="12" s="1"/>
  <c r="AN87" i="12"/>
  <c r="AQ87" i="12" s="1"/>
  <c r="F383" i="18"/>
  <c r="C383" i="18"/>
  <c r="G383" i="18"/>
  <c r="C492" i="18"/>
  <c r="F492" i="18"/>
  <c r="G492" i="18" s="1"/>
  <c r="AJ90" i="14"/>
  <c r="H84" i="15"/>
  <c r="AE37" i="14"/>
  <c r="AG37" i="14" s="1"/>
  <c r="AH37" i="14" s="1"/>
  <c r="R47" i="23"/>
  <c r="S149" i="15"/>
  <c r="AI100" i="14"/>
  <c r="AK100" i="14" s="1"/>
  <c r="AL100" i="14" s="1"/>
  <c r="R13" i="15"/>
  <c r="Q116" i="15"/>
  <c r="R116" i="15" s="1"/>
  <c r="G83" i="15"/>
  <c r="C82" i="15"/>
  <c r="C116" i="15"/>
  <c r="Q150" i="15"/>
  <c r="R150" i="15" s="1"/>
  <c r="H150" i="15"/>
  <c r="G184" i="15"/>
  <c r="B125" i="15"/>
  <c r="G125" i="15" s="1"/>
  <c r="B133" i="15"/>
  <c r="C133" i="15" s="1"/>
  <c r="B126" i="15"/>
  <c r="G126" i="15" s="1"/>
  <c r="B130" i="15"/>
  <c r="H130" i="15" s="1"/>
  <c r="B155" i="15"/>
  <c r="I155" i="15" s="1"/>
  <c r="B185" i="15"/>
  <c r="I185" i="15" s="1"/>
  <c r="B169" i="15"/>
  <c r="I169" i="15" s="1"/>
  <c r="M168" i="15"/>
  <c r="L157" i="15"/>
  <c r="L126" i="15"/>
  <c r="L133" i="15"/>
  <c r="B117" i="15"/>
  <c r="C117" i="15" s="1"/>
  <c r="L151" i="15"/>
  <c r="L152" i="15"/>
  <c r="L156" i="15"/>
  <c r="L159" i="15"/>
  <c r="B164" i="15"/>
  <c r="C164" i="15" s="1"/>
  <c r="B167" i="15"/>
  <c r="C167" i="15" s="1"/>
  <c r="L155" i="15"/>
  <c r="M164" i="15"/>
  <c r="M152" i="15"/>
  <c r="M163" i="15"/>
  <c r="L135" i="15"/>
  <c r="M131" i="15"/>
  <c r="L52" i="15"/>
  <c r="L118" i="15"/>
  <c r="L121" i="15"/>
  <c r="B201" i="15"/>
  <c r="G201" i="15" s="1"/>
  <c r="B152" i="15"/>
  <c r="H152" i="15" s="1"/>
  <c r="M166" i="15"/>
  <c r="M162" i="15"/>
  <c r="L124" i="15"/>
  <c r="L120" i="15"/>
  <c r="L123" i="15"/>
  <c r="M17" i="15"/>
  <c r="B128" i="15"/>
  <c r="H128" i="15" s="1"/>
  <c r="B131" i="15"/>
  <c r="C131" i="15" s="1"/>
  <c r="B18" i="15"/>
  <c r="I18" i="15" s="1"/>
  <c r="L119" i="15"/>
  <c r="M128" i="15"/>
  <c r="M124" i="15"/>
  <c r="M127" i="15"/>
  <c r="B194" i="15"/>
  <c r="I194" i="15" s="1"/>
  <c r="B193" i="15"/>
  <c r="H193" i="15" s="1"/>
  <c r="M123" i="15"/>
  <c r="B165" i="15"/>
  <c r="C165" i="15" s="1"/>
  <c r="B124" i="15"/>
  <c r="C124" i="15" s="1"/>
  <c r="M134" i="15"/>
  <c r="B195" i="15"/>
  <c r="H195" i="15" s="1"/>
  <c r="M169" i="15"/>
  <c r="M156" i="15"/>
  <c r="B127" i="15"/>
  <c r="C127" i="15" s="1"/>
  <c r="B189" i="15"/>
  <c r="C189" i="15" s="1"/>
  <c r="M159" i="15"/>
  <c r="M151" i="15"/>
  <c r="B198" i="15"/>
  <c r="C198" i="15" s="1"/>
  <c r="B166" i="15"/>
  <c r="H166" i="15" s="1"/>
  <c r="B86" i="15"/>
  <c r="I86" i="15" s="1"/>
  <c r="B157" i="15"/>
  <c r="I157" i="15" s="1"/>
  <c r="L166" i="15"/>
  <c r="L17" i="15"/>
  <c r="M18" i="15"/>
  <c r="B129" i="15"/>
  <c r="H129" i="15" s="1"/>
  <c r="M165" i="15"/>
  <c r="B135" i="15"/>
  <c r="H135" i="15" s="1"/>
  <c r="B187" i="15"/>
  <c r="H187" i="15" s="1"/>
  <c r="B156" i="15"/>
  <c r="H156" i="15" s="1"/>
  <c r="B159" i="15"/>
  <c r="H159" i="15" s="1"/>
  <c r="M133" i="15"/>
  <c r="M120" i="15"/>
  <c r="B153" i="15"/>
  <c r="G153" i="15" s="1"/>
  <c r="B51" i="15"/>
  <c r="C51" i="15" s="1"/>
  <c r="L163" i="15"/>
  <c r="B162" i="15"/>
  <c r="G162" i="15" s="1"/>
  <c r="M135" i="15"/>
  <c r="B52" i="15"/>
  <c r="C52" i="15" s="1"/>
  <c r="B121" i="15"/>
  <c r="H121" i="15" s="1"/>
  <c r="L51" i="15"/>
  <c r="M158" i="15"/>
  <c r="M154" i="15"/>
  <c r="M129" i="15"/>
  <c r="L162" i="15"/>
  <c r="B151" i="15"/>
  <c r="I151" i="15" s="1"/>
  <c r="B120" i="15"/>
  <c r="I120" i="15" s="1"/>
  <c r="B123" i="15"/>
  <c r="I123" i="15" s="1"/>
  <c r="L125" i="15"/>
  <c r="L153" i="15"/>
  <c r="B118" i="15"/>
  <c r="H118" i="15" s="1"/>
  <c r="B122" i="15"/>
  <c r="C122" i="15" s="1"/>
  <c r="M167" i="15"/>
  <c r="M51" i="15"/>
  <c r="L127" i="15"/>
  <c r="L122" i="15"/>
  <c r="L18" i="15"/>
  <c r="Q18" i="15" s="1"/>
  <c r="B134" i="15"/>
  <c r="G134" i="15" s="1"/>
  <c r="L169" i="15"/>
  <c r="B202" i="15"/>
  <c r="C202" i="15" s="1"/>
  <c r="M157" i="15"/>
  <c r="M130" i="15"/>
  <c r="M126" i="15"/>
  <c r="L134" i="15"/>
  <c r="B188" i="15"/>
  <c r="G188" i="15" s="1"/>
  <c r="M161" i="15"/>
  <c r="B196" i="15"/>
  <c r="C196" i="15" s="1"/>
  <c r="L160" i="15"/>
  <c r="L164" i="15"/>
  <c r="L167" i="15"/>
  <c r="M52" i="15"/>
  <c r="B200" i="15"/>
  <c r="G200" i="15" s="1"/>
  <c r="M155" i="15"/>
  <c r="B190" i="15"/>
  <c r="H190" i="15" s="1"/>
  <c r="B186" i="15"/>
  <c r="I186" i="15" s="1"/>
  <c r="B197" i="15"/>
  <c r="H197" i="15" s="1"/>
  <c r="M160" i="15"/>
  <c r="L158" i="15"/>
  <c r="M122" i="15"/>
  <c r="M118" i="15"/>
  <c r="M121" i="15"/>
  <c r="B85" i="15"/>
  <c r="I85" i="15" s="1"/>
  <c r="L117" i="15"/>
  <c r="L165" i="15"/>
  <c r="B17" i="15"/>
  <c r="I17" i="15" s="1"/>
  <c r="M153" i="15"/>
  <c r="B160" i="15"/>
  <c r="G160" i="15" s="1"/>
  <c r="M125" i="15"/>
  <c r="B168" i="15"/>
  <c r="C168" i="15" s="1"/>
  <c r="L132" i="15"/>
  <c r="L128" i="15"/>
  <c r="Q128" i="15" s="1"/>
  <c r="S128" i="15" s="1"/>
  <c r="L131" i="15"/>
  <c r="M119" i="15"/>
  <c r="B154" i="15"/>
  <c r="I154" i="15" s="1"/>
  <c r="B158" i="15"/>
  <c r="G158" i="15" s="1"/>
  <c r="B161" i="15"/>
  <c r="C161" i="15" s="1"/>
  <c r="M132" i="15"/>
  <c r="L130" i="15"/>
  <c r="B191" i="15"/>
  <c r="C191" i="15" s="1"/>
  <c r="L161" i="15"/>
  <c r="B119" i="15"/>
  <c r="G119" i="15" s="1"/>
  <c r="L154" i="15"/>
  <c r="L129" i="15"/>
  <c r="M117" i="15"/>
  <c r="B132" i="15"/>
  <c r="H132" i="15" s="1"/>
  <c r="B163" i="15"/>
  <c r="C163" i="15" s="1"/>
  <c r="B199" i="15"/>
  <c r="C199" i="15" s="1"/>
  <c r="B192" i="15"/>
  <c r="H192" i="15" s="1"/>
  <c r="B203" i="15"/>
  <c r="C203" i="15" s="1"/>
  <c r="L168" i="15"/>
  <c r="AE97" i="14"/>
  <c r="R149" i="23"/>
  <c r="R48" i="23"/>
  <c r="B84" i="23"/>
  <c r="I84" i="23" s="1"/>
  <c r="M16" i="23"/>
  <c r="Q16" i="23" s="1"/>
  <c r="L50" i="23"/>
  <c r="B16" i="23"/>
  <c r="G16" i="23" s="1"/>
  <c r="R115" i="15"/>
  <c r="S115" i="15"/>
  <c r="H184" i="15"/>
  <c r="C184" i="15"/>
  <c r="G150" i="15"/>
  <c r="R47" i="15"/>
  <c r="AM65" i="14"/>
  <c r="AJ35" i="14"/>
  <c r="AF32" i="14"/>
  <c r="AI35" i="12"/>
  <c r="AK35" i="12" s="1"/>
  <c r="AL35" i="12" s="1"/>
  <c r="F525" i="19"/>
  <c r="AJ30" i="14"/>
  <c r="F142" i="18"/>
  <c r="G142" i="18" s="1"/>
  <c r="AJ33" i="12"/>
  <c r="Q49" i="15"/>
  <c r="R49" i="15" s="1"/>
  <c r="AJ89" i="12"/>
  <c r="AI9" i="4"/>
  <c r="AK9" i="4" s="1"/>
  <c r="AL9" i="4" s="1"/>
  <c r="AF19" i="4"/>
  <c r="AI97" i="12"/>
  <c r="AK97" i="12" s="1"/>
  <c r="AL97" i="12" s="1"/>
  <c r="G424" i="19"/>
  <c r="AM87" i="14"/>
  <c r="H116" i="15"/>
  <c r="G116" i="15"/>
  <c r="C150" i="15"/>
  <c r="F88" i="18"/>
  <c r="H88" i="18" s="1"/>
  <c r="C142" i="18"/>
  <c r="AM87" i="12"/>
  <c r="J9" i="9"/>
  <c r="G525" i="19"/>
  <c r="AJ27" i="14"/>
  <c r="AF38" i="14"/>
  <c r="AI104" i="14"/>
  <c r="AK104" i="14" s="1"/>
  <c r="AL104" i="14" s="1"/>
  <c r="AE98" i="14"/>
  <c r="AG98" i="14" s="1"/>
  <c r="AH98" i="14" s="1"/>
  <c r="AJ44" i="12"/>
  <c r="G416" i="19"/>
  <c r="F416" i="19"/>
  <c r="AF97" i="14"/>
  <c r="AJ100" i="14"/>
  <c r="AI94" i="12"/>
  <c r="AK94" i="12" s="1"/>
  <c r="AL94" i="12" s="1"/>
  <c r="AJ94" i="12"/>
  <c r="AE65" i="12"/>
  <c r="AF48" i="12"/>
  <c r="AM65" i="12"/>
  <c r="AM90" i="12"/>
  <c r="AI46" i="12"/>
  <c r="AK46" i="12" s="1"/>
  <c r="AL46" i="12" s="1"/>
  <c r="AE11" i="4"/>
  <c r="AG11" i="4" s="1"/>
  <c r="AH11" i="4" s="1"/>
  <c r="AF18" i="4"/>
  <c r="AE19" i="4"/>
  <c r="AG19" i="4" s="1"/>
  <c r="AH19" i="4" s="1"/>
  <c r="AE18" i="4"/>
  <c r="AG18" i="4" s="1"/>
  <c r="AH18" i="4" s="1"/>
  <c r="AI92" i="12"/>
  <c r="AF91" i="12"/>
  <c r="AE91" i="12"/>
  <c r="AI93" i="12"/>
  <c r="AK93" i="12" s="1"/>
  <c r="AL93" i="12" s="1"/>
  <c r="AJ87" i="12"/>
  <c r="AJ92" i="12"/>
  <c r="AI87" i="12"/>
  <c r="AF65" i="12"/>
  <c r="AF90" i="12"/>
  <c r="AE90" i="12"/>
  <c r="AG90" i="12" s="1"/>
  <c r="AH90" i="12" s="1"/>
  <c r="AJ88" i="12"/>
  <c r="AI86" i="12"/>
  <c r="AK86" i="12" s="1"/>
  <c r="AL86" i="12" s="1"/>
  <c r="AJ86" i="12"/>
  <c r="AJ98" i="14"/>
  <c r="AI96" i="14"/>
  <c r="AJ93" i="14"/>
  <c r="AE92" i="14"/>
  <c r="AG92" i="14" s="1"/>
  <c r="AH92" i="14" s="1"/>
  <c r="AE94" i="14"/>
  <c r="AG94" i="14" s="1"/>
  <c r="AH94" i="14" s="1"/>
  <c r="AJ96" i="14"/>
  <c r="AF92" i="14"/>
  <c r="AI87" i="14"/>
  <c r="AK87" i="14" s="1"/>
  <c r="AL87" i="14" s="1"/>
  <c r="AJ95" i="14"/>
  <c r="AI93" i="14"/>
  <c r="AK93" i="14" s="1"/>
  <c r="AL93" i="14" s="1"/>
  <c r="AI91" i="14"/>
  <c r="AK91" i="14" s="1"/>
  <c r="AL91" i="14" s="1"/>
  <c r="AI95" i="14"/>
  <c r="AE88" i="14"/>
  <c r="AG88" i="14" s="1"/>
  <c r="AH88" i="14" s="1"/>
  <c r="AJ99" i="14"/>
  <c r="AI99" i="14"/>
  <c r="AK99" i="14" s="1"/>
  <c r="AL99" i="14" s="1"/>
  <c r="AI5" i="14"/>
  <c r="AK5" i="14" s="1"/>
  <c r="AL5" i="14" s="1"/>
  <c r="AE34" i="14"/>
  <c r="AG34" i="14" s="1"/>
  <c r="AH34" i="14" s="1"/>
  <c r="AI31" i="14"/>
  <c r="AK31" i="14" s="1"/>
  <c r="AL31" i="14" s="1"/>
  <c r="AJ36" i="14"/>
  <c r="AH51" i="22"/>
  <c r="AJ51" i="22" s="1"/>
  <c r="AK51" i="22" s="1"/>
  <c r="AI51" i="22"/>
  <c r="AH46" i="22"/>
  <c r="AI46" i="22"/>
  <c r="AH49" i="22"/>
  <c r="AJ49" i="22" s="1"/>
  <c r="AK49" i="22" s="1"/>
  <c r="AI49" i="22"/>
  <c r="AH47" i="22"/>
  <c r="AJ47" i="22" s="1"/>
  <c r="AK47" i="22" s="1"/>
  <c r="AI47" i="22"/>
  <c r="S13" i="23"/>
  <c r="AI10" i="22"/>
  <c r="AH10" i="22"/>
  <c r="AJ10" i="22" s="1"/>
  <c r="AK10" i="22" s="1"/>
  <c r="AI12" i="22"/>
  <c r="AH12" i="22"/>
  <c r="AJ12" i="22" s="1"/>
  <c r="AK12" i="22" s="1"/>
  <c r="AH11" i="22"/>
  <c r="AJ11" i="22" s="1"/>
  <c r="AK11" i="22" s="1"/>
  <c r="AI11" i="22"/>
  <c r="AH6" i="22"/>
  <c r="AJ6" i="22" s="1"/>
  <c r="AK6" i="22" s="1"/>
  <c r="AI6" i="22"/>
  <c r="AG44" i="12"/>
  <c r="AH44" i="12" s="1"/>
  <c r="AF44" i="12"/>
  <c r="AJ47" i="12"/>
  <c r="AI47" i="12"/>
  <c r="AJ38" i="12"/>
  <c r="AJ42" i="12"/>
  <c r="AI44" i="12"/>
  <c r="AK44" i="12" s="1"/>
  <c r="AL44" i="12" s="1"/>
  <c r="AI38" i="12"/>
  <c r="AJ34" i="12"/>
  <c r="AJ45" i="12"/>
  <c r="AI45" i="12"/>
  <c r="AI42" i="12"/>
  <c r="AJ35" i="12"/>
  <c r="AF29" i="12"/>
  <c r="AI41" i="12"/>
  <c r="AJ41" i="12"/>
  <c r="AF37" i="12"/>
  <c r="AI39" i="12"/>
  <c r="AJ39" i="12"/>
  <c r="AJ36" i="12"/>
  <c r="AI36" i="12"/>
  <c r="AK36" i="12" s="1"/>
  <c r="AL36" i="12" s="1"/>
  <c r="AJ26" i="12"/>
  <c r="AI26" i="12"/>
  <c r="AJ5" i="12"/>
  <c r="AE16" i="4"/>
  <c r="AG16" i="4" s="1"/>
  <c r="AH16" i="4" s="1"/>
  <c r="AF11" i="4"/>
  <c r="AI17" i="4"/>
  <c r="AK17" i="4" s="1"/>
  <c r="AL17" i="4" s="1"/>
  <c r="AJ15" i="4"/>
  <c r="AF16" i="4"/>
  <c r="AJ17" i="4"/>
  <c r="AI13" i="4"/>
  <c r="AK13" i="4" s="1"/>
  <c r="AL13" i="4" s="1"/>
  <c r="AE12" i="4"/>
  <c r="AG12" i="4" s="1"/>
  <c r="AH12" i="4" s="1"/>
  <c r="AI15" i="4"/>
  <c r="AK15" i="4" s="1"/>
  <c r="AL15" i="4" s="1"/>
  <c r="AE8" i="4"/>
  <c r="AG8" i="4" s="1"/>
  <c r="AH8" i="4" s="1"/>
  <c r="AF12" i="4"/>
  <c r="AE6" i="4"/>
  <c r="AF6" i="4"/>
  <c r="Q48" i="15"/>
  <c r="S48" i="15" s="1"/>
  <c r="H83" i="23"/>
  <c r="AI34" i="14"/>
  <c r="AK34" i="14" s="1"/>
  <c r="AL34" i="14" s="1"/>
  <c r="G83" i="23"/>
  <c r="C83" i="23"/>
  <c r="F429" i="19"/>
  <c r="F534" i="19"/>
  <c r="Q15" i="15"/>
  <c r="S15" i="15" s="1"/>
  <c r="Q14" i="15"/>
  <c r="B151" i="23"/>
  <c r="H151" i="23" s="1"/>
  <c r="B185" i="23"/>
  <c r="G185" i="23" s="1"/>
  <c r="M17" i="23"/>
  <c r="Q50" i="15"/>
  <c r="S50" i="15" s="1"/>
  <c r="AI33" i="12"/>
  <c r="AK33" i="12" s="1"/>
  <c r="AL33" i="12" s="1"/>
  <c r="AJ31" i="12"/>
  <c r="F527" i="19"/>
  <c r="M151" i="23"/>
  <c r="B117" i="23"/>
  <c r="H117" i="23" s="1"/>
  <c r="F540" i="19"/>
  <c r="F311" i="19"/>
  <c r="F316" i="19"/>
  <c r="F528" i="19"/>
  <c r="F318" i="19"/>
  <c r="G321" i="19"/>
  <c r="F428" i="19"/>
  <c r="A20" i="4"/>
  <c r="H15" i="15"/>
  <c r="C15" i="15"/>
  <c r="C83" i="15"/>
  <c r="H14" i="15"/>
  <c r="G14" i="15"/>
  <c r="C14" i="15"/>
  <c r="H49" i="15"/>
  <c r="Q116" i="23"/>
  <c r="S116" i="23" s="1"/>
  <c r="AQ35" i="4"/>
  <c r="N6" i="11" s="1"/>
  <c r="I49" i="15"/>
  <c r="G49" i="15"/>
  <c r="G82" i="15"/>
  <c r="Q150" i="23"/>
  <c r="B17" i="23"/>
  <c r="C17" i="23" s="1"/>
  <c r="F542" i="19"/>
  <c r="F433" i="19"/>
  <c r="F420" i="19"/>
  <c r="H82" i="15"/>
  <c r="H184" i="23"/>
  <c r="C184" i="23"/>
  <c r="G184" i="23"/>
  <c r="I184" i="23"/>
  <c r="G536" i="19"/>
  <c r="M51" i="23"/>
  <c r="G315" i="19"/>
  <c r="F532" i="19"/>
  <c r="G531" i="19"/>
  <c r="G15" i="15"/>
  <c r="H116" i="23"/>
  <c r="G116" i="23"/>
  <c r="I116" i="23"/>
  <c r="C116" i="23"/>
  <c r="I150" i="23"/>
  <c r="C150" i="23"/>
  <c r="H150" i="23"/>
  <c r="G150" i="23"/>
  <c r="A57" i="22"/>
  <c r="B118" i="23" s="1"/>
  <c r="L117" i="23"/>
  <c r="Q117" i="23" s="1"/>
  <c r="L151" i="23"/>
  <c r="H83" i="15"/>
  <c r="C84" i="15"/>
  <c r="G84" i="15"/>
  <c r="C48" i="15"/>
  <c r="G48" i="15"/>
  <c r="I48" i="15"/>
  <c r="H48" i="15"/>
  <c r="AJ7" i="4"/>
  <c r="AI65" i="12"/>
  <c r="AK65" i="12" s="1"/>
  <c r="AL65" i="12" s="1"/>
  <c r="AJ65" i="14"/>
  <c r="AI27" i="14"/>
  <c r="AK27" i="14" s="1"/>
  <c r="AL27" i="14" s="1"/>
  <c r="AE29" i="14"/>
  <c r="AG29" i="14" s="1"/>
  <c r="AH29" i="14" s="1"/>
  <c r="AJ87" i="14"/>
  <c r="AF9" i="4"/>
  <c r="J14" i="10"/>
  <c r="Q16" i="15"/>
  <c r="AI89" i="12"/>
  <c r="AJ28" i="12"/>
  <c r="AQ55" i="12"/>
  <c r="N7" i="11" s="1"/>
  <c r="C16" i="15"/>
  <c r="H16" i="15"/>
  <c r="G16" i="15"/>
  <c r="A19" i="22"/>
  <c r="L18" i="23" s="1"/>
  <c r="AO89" i="14"/>
  <c r="AM89" i="14"/>
  <c r="AP88" i="14"/>
  <c r="AM88" i="14"/>
  <c r="C50" i="15"/>
  <c r="G50" i="15"/>
  <c r="I50" i="15"/>
  <c r="H50" i="15"/>
  <c r="L51" i="23"/>
  <c r="I50" i="23"/>
  <c r="H50" i="23"/>
  <c r="G50" i="23"/>
  <c r="C50" i="23"/>
  <c r="F526" i="19"/>
  <c r="G526" i="19" s="1"/>
  <c r="AO90" i="14"/>
  <c r="AM90" i="14"/>
  <c r="AI65" i="14"/>
  <c r="AK65" i="14" s="1"/>
  <c r="AL65" i="14" s="1"/>
  <c r="B85" i="23"/>
  <c r="B51" i="23"/>
  <c r="AE31" i="14"/>
  <c r="AG31" i="14" s="1"/>
  <c r="AH31" i="14" s="1"/>
  <c r="AI32" i="14"/>
  <c r="AK32" i="14" s="1"/>
  <c r="AL32" i="14" s="1"/>
  <c r="AJ34" i="14"/>
  <c r="AJ33" i="14"/>
  <c r="AI31" i="12"/>
  <c r="AI28" i="12"/>
  <c r="AK28" i="12" s="1"/>
  <c r="AL28" i="12" s="1"/>
  <c r="AI30" i="12"/>
  <c r="AJ30" i="12"/>
  <c r="AJ27" i="12"/>
  <c r="AI27" i="12"/>
  <c r="AI5" i="12"/>
  <c r="AJ5" i="14"/>
  <c r="M89" i="10"/>
  <c r="AE10" i="4"/>
  <c r="AG10" i="4" s="1"/>
  <c r="AH10" i="4" s="1"/>
  <c r="AF10" i="4"/>
  <c r="J7" i="10"/>
  <c r="M91" i="10"/>
  <c r="P90" i="10"/>
  <c r="M90" i="10"/>
  <c r="AM86" i="14"/>
  <c r="E59" i="9"/>
  <c r="M85" i="10"/>
  <c r="F144" i="19"/>
  <c r="G144" i="19"/>
  <c r="F253" i="19"/>
  <c r="G253" i="19" s="1"/>
  <c r="F36" i="18"/>
  <c r="F144" i="18"/>
  <c r="F89" i="18"/>
  <c r="H89" i="18" s="1"/>
  <c r="C35" i="18"/>
  <c r="F35" i="18"/>
  <c r="G35" i="18" s="1"/>
  <c r="C143" i="18"/>
  <c r="F143" i="18"/>
  <c r="G143" i="18" s="1"/>
  <c r="N1766" i="20" l="1"/>
  <c r="N1767" i="20" s="1"/>
  <c r="N1762" i="20"/>
  <c r="N1763" i="20" s="1"/>
  <c r="N1764" i="20" s="1"/>
  <c r="N1765" i="20" s="1"/>
  <c r="N806" i="20"/>
  <c r="N807" i="20" s="1"/>
  <c r="N802" i="20"/>
  <c r="N803" i="20" s="1"/>
  <c r="N804" i="20" s="1"/>
  <c r="N805" i="20" s="1"/>
  <c r="AK45" i="4"/>
  <c r="AL46" i="4"/>
  <c r="AK5" i="4"/>
  <c r="AG45" i="4"/>
  <c r="AH45" i="4" s="1"/>
  <c r="AK6" i="4"/>
  <c r="AL6" i="4" s="1"/>
  <c r="AG6" i="4"/>
  <c r="AH6" i="4" s="1"/>
  <c r="AG5" i="4"/>
  <c r="AH5" i="4" s="1"/>
  <c r="O243" i="11"/>
  <c r="P243" i="11" s="1"/>
  <c r="O160" i="11"/>
  <c r="P160" i="11" s="1"/>
  <c r="O89" i="11"/>
  <c r="P89" i="11" s="1"/>
  <c r="O85" i="11"/>
  <c r="P85" i="11" s="1"/>
  <c r="O81" i="11"/>
  <c r="P81" i="11" s="1"/>
  <c r="O75" i="11"/>
  <c r="P75" i="11" s="1"/>
  <c r="O153" i="11"/>
  <c r="P153" i="11" s="1"/>
  <c r="O157" i="11"/>
  <c r="P157" i="11" s="1"/>
  <c r="O76" i="11"/>
  <c r="P76" i="11" s="1"/>
  <c r="O255" i="11"/>
  <c r="P255" i="11" s="1"/>
  <c r="O165" i="11"/>
  <c r="P165" i="11" s="1"/>
  <c r="O268" i="11"/>
  <c r="P268" i="11" s="1"/>
  <c r="O245" i="11"/>
  <c r="P245" i="11" s="1"/>
  <c r="O70" i="11"/>
  <c r="P70" i="11" s="1"/>
  <c r="O83" i="11"/>
  <c r="P83" i="11" s="1"/>
  <c r="O253" i="11"/>
  <c r="P253" i="11" s="1"/>
  <c r="O241" i="11"/>
  <c r="P241" i="11" s="1"/>
  <c r="O254" i="11"/>
  <c r="P254" i="11" s="1"/>
  <c r="O154" i="11"/>
  <c r="P154" i="11" s="1"/>
  <c r="O155" i="11"/>
  <c r="P155" i="11" s="1"/>
  <c r="O264" i="11"/>
  <c r="P264" i="11" s="1"/>
  <c r="O168" i="11"/>
  <c r="P168" i="11" s="1"/>
  <c r="O257" i="11"/>
  <c r="P257" i="11" s="1"/>
  <c r="O244" i="11"/>
  <c r="P244" i="11" s="1"/>
  <c r="O249" i="11"/>
  <c r="P249" i="11" s="1"/>
  <c r="O82" i="11"/>
  <c r="P82" i="11" s="1"/>
  <c r="O242" i="11"/>
  <c r="P242" i="11" s="1"/>
  <c r="O261" i="11"/>
  <c r="P261" i="11" s="1"/>
  <c r="O144" i="11"/>
  <c r="P144" i="11" s="1"/>
  <c r="O267" i="11"/>
  <c r="P267" i="11" s="1"/>
  <c r="O87" i="11"/>
  <c r="P87" i="11" s="1"/>
  <c r="O161" i="11"/>
  <c r="P161" i="11" s="1"/>
  <c r="O152" i="11"/>
  <c r="P152" i="11" s="1"/>
  <c r="O258" i="11"/>
  <c r="P258" i="11" s="1"/>
  <c r="O141" i="11"/>
  <c r="P141" i="11" s="1"/>
  <c r="O162" i="11"/>
  <c r="P162" i="11" s="1"/>
  <c r="O265" i="11"/>
  <c r="P265" i="11" s="1"/>
  <c r="O145" i="11"/>
  <c r="P145" i="11" s="1"/>
  <c r="O150" i="11"/>
  <c r="P150" i="11" s="1"/>
  <c r="O163" i="11"/>
  <c r="P163" i="11" s="1"/>
  <c r="O143" i="11"/>
  <c r="P143" i="11" s="1"/>
  <c r="O169" i="11"/>
  <c r="P169" i="11" s="1"/>
  <c r="O248" i="11"/>
  <c r="P248" i="11" s="1"/>
  <c r="O266" i="11"/>
  <c r="P266" i="11" s="1"/>
  <c r="O66" i="11"/>
  <c r="P66" i="11" s="1"/>
  <c r="O67" i="11"/>
  <c r="P67" i="11" s="1"/>
  <c r="O65" i="11"/>
  <c r="P65" i="11" s="1"/>
  <c r="L172" i="11"/>
  <c r="M172" i="11"/>
  <c r="M114" i="10"/>
  <c r="AD67" i="12"/>
  <c r="N172" i="11" s="1"/>
  <c r="O63" i="11"/>
  <c r="P63" i="11" s="1"/>
  <c r="O256" i="11"/>
  <c r="P256" i="11" s="1"/>
  <c r="O64" i="11"/>
  <c r="P64" i="11" s="1"/>
  <c r="O61" i="11"/>
  <c r="P61" i="11" s="1"/>
  <c r="O147" i="11"/>
  <c r="P147" i="11" s="1"/>
  <c r="O247" i="11"/>
  <c r="P247" i="11" s="1"/>
  <c r="O158" i="11"/>
  <c r="P158" i="11" s="1"/>
  <c r="O149" i="11"/>
  <c r="P149" i="11" s="1"/>
  <c r="O148" i="11"/>
  <c r="P148" i="11" s="1"/>
  <c r="O269" i="11"/>
  <c r="P269" i="11" s="1"/>
  <c r="O74" i="11"/>
  <c r="P74" i="11" s="1"/>
  <c r="O316" i="11"/>
  <c r="P316" i="11" s="1"/>
  <c r="O309" i="11"/>
  <c r="P309" i="11" s="1"/>
  <c r="O307" i="11"/>
  <c r="P307" i="11" s="1"/>
  <c r="O300" i="11"/>
  <c r="P300" i="11" s="1"/>
  <c r="O299" i="11"/>
  <c r="P299" i="11" s="1"/>
  <c r="O304" i="11"/>
  <c r="P304" i="11" s="1"/>
  <c r="O297" i="11"/>
  <c r="P297" i="11" s="1"/>
  <c r="O310" i="11"/>
  <c r="P310" i="11" s="1"/>
  <c r="O313" i="11"/>
  <c r="P313" i="11" s="1"/>
  <c r="O296" i="11"/>
  <c r="P296" i="11" s="1"/>
  <c r="O318" i="11"/>
  <c r="P318" i="11" s="1"/>
  <c r="O315" i="11"/>
  <c r="P315" i="11" s="1"/>
  <c r="O306" i="11"/>
  <c r="P306" i="11" s="1"/>
  <c r="O311" i="11"/>
  <c r="P311" i="11" s="1"/>
  <c r="O298" i="11"/>
  <c r="P298" i="11" s="1"/>
  <c r="O317" i="11"/>
  <c r="P317" i="11" s="1"/>
  <c r="O308" i="11"/>
  <c r="P308" i="11" s="1"/>
  <c r="O305" i="11"/>
  <c r="P305" i="11" s="1"/>
  <c r="O312" i="11"/>
  <c r="P312" i="11" s="1"/>
  <c r="O303" i="11"/>
  <c r="P303" i="11" s="1"/>
  <c r="O301" i="11"/>
  <c r="P301" i="11" s="1"/>
  <c r="O314" i="11"/>
  <c r="P314" i="11" s="1"/>
  <c r="O302" i="11"/>
  <c r="P302" i="11" s="1"/>
  <c r="O212" i="11"/>
  <c r="P212" i="11" s="1"/>
  <c r="O196" i="11"/>
  <c r="P196" i="11" s="1"/>
  <c r="O200" i="11"/>
  <c r="P200" i="11" s="1"/>
  <c r="O208" i="11"/>
  <c r="P208" i="11" s="1"/>
  <c r="O204" i="11"/>
  <c r="P204" i="11" s="1"/>
  <c r="O216" i="11"/>
  <c r="P216" i="11" s="1"/>
  <c r="O214" i="11"/>
  <c r="P214" i="11" s="1"/>
  <c r="O207" i="11"/>
  <c r="P207" i="11" s="1"/>
  <c r="O217" i="11"/>
  <c r="P217" i="11" s="1"/>
  <c r="O203" i="11"/>
  <c r="P203" i="11" s="1"/>
  <c r="O211" i="11"/>
  <c r="P211" i="11" s="1"/>
  <c r="O218" i="11"/>
  <c r="P218" i="11" s="1"/>
  <c r="O209" i="11"/>
  <c r="P209" i="11" s="1"/>
  <c r="O206" i="11"/>
  <c r="P206" i="11" s="1"/>
  <c r="O198" i="11"/>
  <c r="P198" i="11" s="1"/>
  <c r="O197" i="11"/>
  <c r="P197" i="11" s="1"/>
  <c r="O213" i="11"/>
  <c r="P213" i="11" s="1"/>
  <c r="O199" i="11"/>
  <c r="P199" i="11" s="1"/>
  <c r="O202" i="11"/>
  <c r="P202" i="11" s="1"/>
  <c r="O210" i="11"/>
  <c r="P210" i="11" s="1"/>
  <c r="O205" i="11"/>
  <c r="P205" i="11" s="1"/>
  <c r="O215" i="11"/>
  <c r="P215" i="11" s="1"/>
  <c r="O193" i="11"/>
  <c r="P193" i="11" s="1"/>
  <c r="O201" i="11"/>
  <c r="P201" i="11" s="1"/>
  <c r="O116" i="11"/>
  <c r="P116" i="11" s="1"/>
  <c r="O113" i="11"/>
  <c r="P113" i="11" s="1"/>
  <c r="O112" i="11"/>
  <c r="P112" i="11" s="1"/>
  <c r="O109" i="11"/>
  <c r="P109" i="11" s="1"/>
  <c r="O60" i="11"/>
  <c r="P60" i="11" s="1"/>
  <c r="O107" i="11"/>
  <c r="P107" i="11" s="1"/>
  <c r="O104" i="11"/>
  <c r="P104" i="11" s="1"/>
  <c r="O106" i="11"/>
  <c r="P106" i="11" s="1"/>
  <c r="O118" i="11"/>
  <c r="P118" i="11" s="1"/>
  <c r="O102" i="11"/>
  <c r="P102" i="11" s="1"/>
  <c r="O110" i="11"/>
  <c r="P110" i="11" s="1"/>
  <c r="O95" i="11"/>
  <c r="P95" i="11" s="1"/>
  <c r="O111" i="11"/>
  <c r="P111" i="11" s="1"/>
  <c r="O99" i="11"/>
  <c r="P99" i="11" s="1"/>
  <c r="O94" i="11"/>
  <c r="P94" i="11" s="1"/>
  <c r="O115" i="11"/>
  <c r="P115" i="11" s="1"/>
  <c r="O103" i="11"/>
  <c r="P103" i="11" s="1"/>
  <c r="O119" i="11"/>
  <c r="P119" i="11" s="1"/>
  <c r="O98" i="11"/>
  <c r="P98" i="11" s="1"/>
  <c r="O108" i="11"/>
  <c r="P108" i="11" s="1"/>
  <c r="O100" i="11"/>
  <c r="P100" i="11" s="1"/>
  <c r="O105" i="11"/>
  <c r="P105" i="11" s="1"/>
  <c r="O96" i="11"/>
  <c r="P96" i="11" s="1"/>
  <c r="O97" i="11"/>
  <c r="P97" i="11" s="1"/>
  <c r="O117" i="11"/>
  <c r="P117" i="11" s="1"/>
  <c r="O101" i="11"/>
  <c r="P101" i="11" s="1"/>
  <c r="J2" i="10"/>
  <c r="H49" i="23"/>
  <c r="AJ5" i="22"/>
  <c r="AK5" i="22" s="1"/>
  <c r="AD65" i="14"/>
  <c r="N270" i="11" s="1"/>
  <c r="C60" i="17"/>
  <c r="E60" i="17" s="1"/>
  <c r="F60" i="17" s="1"/>
  <c r="D60" i="17"/>
  <c r="D111" i="17"/>
  <c r="C111" i="17"/>
  <c r="E111" i="17" s="1"/>
  <c r="F111" i="17" s="1"/>
  <c r="D192" i="17"/>
  <c r="D20" i="17"/>
  <c r="D22" i="17"/>
  <c r="C22" i="17"/>
  <c r="E22" i="17" s="1"/>
  <c r="F22" i="17" s="1"/>
  <c r="D15" i="17"/>
  <c r="N72" i="11"/>
  <c r="O72" i="11" s="1"/>
  <c r="P72" i="11" s="1"/>
  <c r="P62" i="10"/>
  <c r="N220" i="11"/>
  <c r="O220" i="11" s="1"/>
  <c r="P220" i="11" s="1"/>
  <c r="P161" i="10"/>
  <c r="N319" i="11"/>
  <c r="O319" i="11" s="1"/>
  <c r="P319" i="11" s="1"/>
  <c r="L191" i="11"/>
  <c r="M191" i="11"/>
  <c r="L195" i="11"/>
  <c r="M195" i="11"/>
  <c r="C33" i="17"/>
  <c r="N120" i="11"/>
  <c r="O120" i="11" s="1"/>
  <c r="P120" i="11" s="1"/>
  <c r="L194" i="11"/>
  <c r="M194" i="11"/>
  <c r="M161" i="10"/>
  <c r="N219" i="11"/>
  <c r="O219" i="11" s="1"/>
  <c r="P219" i="11" s="1"/>
  <c r="M192" i="11"/>
  <c r="L192" i="11"/>
  <c r="M170" i="11"/>
  <c r="L170" i="11"/>
  <c r="D3" i="17"/>
  <c r="J4" i="10"/>
  <c r="N62" i="11"/>
  <c r="O62" i="11" s="1"/>
  <c r="P62" i="11" s="1"/>
  <c r="N114" i="11"/>
  <c r="O114" i="11" s="1"/>
  <c r="P114" i="11" s="1"/>
  <c r="M93" i="11"/>
  <c r="L93" i="11"/>
  <c r="L92" i="11"/>
  <c r="M92" i="11"/>
  <c r="L91" i="11"/>
  <c r="M91" i="11"/>
  <c r="Q49" i="23"/>
  <c r="S49" i="23" s="1"/>
  <c r="C49" i="23"/>
  <c r="Q17" i="23"/>
  <c r="R17" i="23" s="1"/>
  <c r="I49" i="23"/>
  <c r="R14" i="23"/>
  <c r="M292" i="11"/>
  <c r="L292" i="11"/>
  <c r="M270" i="11"/>
  <c r="L270" i="11"/>
  <c r="M62" i="10"/>
  <c r="D33" i="17"/>
  <c r="AD86" i="12"/>
  <c r="N191" i="11" s="1"/>
  <c r="M136" i="10"/>
  <c r="L90" i="11"/>
  <c r="M90" i="11"/>
  <c r="AD45" i="4"/>
  <c r="AD47" i="4"/>
  <c r="C15" i="17"/>
  <c r="E15" i="17" s="1"/>
  <c r="F15" i="17" s="1"/>
  <c r="Q50" i="23"/>
  <c r="R50" i="23" s="1"/>
  <c r="Q15" i="23"/>
  <c r="S15" i="23" s="1"/>
  <c r="AD90" i="12"/>
  <c r="AD65" i="12"/>
  <c r="AD87" i="12"/>
  <c r="AQ86" i="14"/>
  <c r="AD87" i="14"/>
  <c r="N292" i="11" s="1"/>
  <c r="AD46" i="4"/>
  <c r="N91" i="11" s="1"/>
  <c r="AD48" i="4"/>
  <c r="AD89" i="12"/>
  <c r="N194" i="11" s="1"/>
  <c r="C20" i="17"/>
  <c r="E20" i="17" s="1"/>
  <c r="F20" i="17" s="1"/>
  <c r="G308" i="19"/>
  <c r="G417" i="19"/>
  <c r="C18" i="18"/>
  <c r="H18" i="18"/>
  <c r="G18" i="18"/>
  <c r="F18" i="18"/>
  <c r="H17" i="18"/>
  <c r="F17" i="18"/>
  <c r="G17" i="18"/>
  <c r="C17" i="18"/>
  <c r="D109" i="17"/>
  <c r="C109" i="17"/>
  <c r="E109" i="17" s="1"/>
  <c r="F109" i="17" s="1"/>
  <c r="D118" i="17"/>
  <c r="C118" i="17"/>
  <c r="E118" i="17" s="1"/>
  <c r="F118" i="17" s="1"/>
  <c r="D120" i="17"/>
  <c r="C120" i="17"/>
  <c r="E120" i="17" s="1"/>
  <c r="F120" i="17" s="1"/>
  <c r="D114" i="17"/>
  <c r="C114" i="17"/>
  <c r="E114" i="17" s="1"/>
  <c r="F114" i="17" s="1"/>
  <c r="D105" i="17"/>
  <c r="C105" i="17"/>
  <c r="E105" i="17" s="1"/>
  <c r="F105" i="17" s="1"/>
  <c r="D104" i="17"/>
  <c r="C104" i="17"/>
  <c r="E104" i="17" s="1"/>
  <c r="F104" i="17" s="1"/>
  <c r="D123" i="17"/>
  <c r="C123" i="17"/>
  <c r="E123" i="17" s="1"/>
  <c r="F123" i="17" s="1"/>
  <c r="D107" i="17"/>
  <c r="C107" i="17"/>
  <c r="E107" i="17" s="1"/>
  <c r="F107" i="17" s="1"/>
  <c r="D131" i="17"/>
  <c r="C131" i="17"/>
  <c r="E131" i="17" s="1"/>
  <c r="F131" i="17" s="1"/>
  <c r="C130" i="17"/>
  <c r="E130" i="17" s="1"/>
  <c r="F130" i="17" s="1"/>
  <c r="D130" i="17"/>
  <c r="D116" i="17"/>
  <c r="C116" i="17"/>
  <c r="E116" i="17" s="1"/>
  <c r="F116" i="17" s="1"/>
  <c r="D117" i="17"/>
  <c r="C117" i="17"/>
  <c r="E117" i="17" s="1"/>
  <c r="F117" i="17" s="1"/>
  <c r="D129" i="17"/>
  <c r="C129" i="17"/>
  <c r="E129" i="17" s="1"/>
  <c r="F129" i="17" s="1"/>
  <c r="D106" i="17"/>
  <c r="C106" i="17"/>
  <c r="E106" i="17" s="1"/>
  <c r="F106" i="17" s="1"/>
  <c r="C122" i="17"/>
  <c r="E122" i="17" s="1"/>
  <c r="F122" i="17" s="1"/>
  <c r="D122" i="17"/>
  <c r="C125" i="17"/>
  <c r="E125" i="17" s="1"/>
  <c r="F125" i="17" s="1"/>
  <c r="D125" i="17"/>
  <c r="D83" i="17"/>
  <c r="C83" i="17"/>
  <c r="C112" i="17"/>
  <c r="E112" i="17" s="1"/>
  <c r="F112" i="17" s="1"/>
  <c r="D112" i="17"/>
  <c r="C115" i="17"/>
  <c r="E115" i="17" s="1"/>
  <c r="F115" i="17" s="1"/>
  <c r="D115" i="17"/>
  <c r="D124" i="17"/>
  <c r="C124" i="17"/>
  <c r="E124" i="17" s="1"/>
  <c r="F124" i="17" s="1"/>
  <c r="D132" i="17"/>
  <c r="C132" i="17"/>
  <c r="E132" i="17" s="1"/>
  <c r="F132" i="17" s="1"/>
  <c r="D119" i="17"/>
  <c r="C119" i="17"/>
  <c r="E119" i="17" s="1"/>
  <c r="F119" i="17" s="1"/>
  <c r="D108" i="17"/>
  <c r="C108" i="17"/>
  <c r="E108" i="17" s="1"/>
  <c r="F108" i="17" s="1"/>
  <c r="C121" i="17"/>
  <c r="E121" i="17" s="1"/>
  <c r="F121" i="17" s="1"/>
  <c r="D121" i="17"/>
  <c r="D126" i="17"/>
  <c r="C126" i="17"/>
  <c r="E126" i="17" s="1"/>
  <c r="F126" i="17" s="1"/>
  <c r="D113" i="17"/>
  <c r="C113" i="17"/>
  <c r="E113" i="17" s="1"/>
  <c r="F113" i="17" s="1"/>
  <c r="D127" i="17"/>
  <c r="C127" i="17"/>
  <c r="E127" i="17" s="1"/>
  <c r="F127" i="17" s="1"/>
  <c r="D128" i="17"/>
  <c r="C128" i="17"/>
  <c r="E128" i="17" s="1"/>
  <c r="F128" i="17" s="1"/>
  <c r="P134" i="10"/>
  <c r="P112" i="10"/>
  <c r="D294" i="17"/>
  <c r="C294" i="17"/>
  <c r="E294" i="17" s="1"/>
  <c r="F294" i="17" s="1"/>
  <c r="C285" i="17"/>
  <c r="E285" i="17" s="1"/>
  <c r="F285" i="17" s="1"/>
  <c r="D285" i="17"/>
  <c r="C290" i="17"/>
  <c r="E290" i="17" s="1"/>
  <c r="F290" i="17" s="1"/>
  <c r="D290" i="17"/>
  <c r="C281" i="17"/>
  <c r="E281" i="17" s="1"/>
  <c r="F281" i="17" s="1"/>
  <c r="D281" i="17"/>
  <c r="D291" i="17"/>
  <c r="C291" i="17"/>
  <c r="E291" i="17" s="1"/>
  <c r="F291" i="17" s="1"/>
  <c r="C287" i="17"/>
  <c r="E287" i="17" s="1"/>
  <c r="F287" i="17" s="1"/>
  <c r="D287" i="17"/>
  <c r="D279" i="17"/>
  <c r="C279" i="17"/>
  <c r="E279" i="17" s="1"/>
  <c r="F279" i="17" s="1"/>
  <c r="D293" i="17"/>
  <c r="C293" i="17"/>
  <c r="E293" i="17" s="1"/>
  <c r="F293" i="17" s="1"/>
  <c r="C278" i="17"/>
  <c r="E278" i="17" s="1"/>
  <c r="F278" i="17" s="1"/>
  <c r="D278" i="17"/>
  <c r="D284" i="17"/>
  <c r="C284" i="17"/>
  <c r="E284" i="17" s="1"/>
  <c r="F284" i="17" s="1"/>
  <c r="C280" i="17"/>
  <c r="E280" i="17" s="1"/>
  <c r="F280" i="17" s="1"/>
  <c r="D280" i="17"/>
  <c r="D274" i="17"/>
  <c r="C274" i="17"/>
  <c r="E274" i="17" s="1"/>
  <c r="F274" i="17" s="1"/>
  <c r="D276" i="17"/>
  <c r="C276" i="17"/>
  <c r="E276" i="17" s="1"/>
  <c r="F276" i="17" s="1"/>
  <c r="D273" i="17"/>
  <c r="C273" i="17"/>
  <c r="E273" i="17" s="1"/>
  <c r="F273" i="17" s="1"/>
  <c r="D282" i="17"/>
  <c r="C282" i="17"/>
  <c r="E282" i="17" s="1"/>
  <c r="F282" i="17" s="1"/>
  <c r="D289" i="17"/>
  <c r="C289" i="17"/>
  <c r="E289" i="17" s="1"/>
  <c r="F289" i="17" s="1"/>
  <c r="D275" i="17"/>
  <c r="C275" i="17"/>
  <c r="E275" i="17" s="1"/>
  <c r="F275" i="17" s="1"/>
  <c r="D286" i="17"/>
  <c r="C286" i="17"/>
  <c r="E286" i="17" s="1"/>
  <c r="F286" i="17" s="1"/>
  <c r="D295" i="17"/>
  <c r="C295" i="17"/>
  <c r="E295" i="17" s="1"/>
  <c r="F295" i="17" s="1"/>
  <c r="C277" i="17"/>
  <c r="E277" i="17" s="1"/>
  <c r="F277" i="17" s="1"/>
  <c r="D277" i="17"/>
  <c r="C292" i="17"/>
  <c r="E292" i="17" s="1"/>
  <c r="F292" i="17" s="1"/>
  <c r="D292" i="17"/>
  <c r="D288" i="17"/>
  <c r="C288" i="17"/>
  <c r="E288" i="17" s="1"/>
  <c r="F288" i="17" s="1"/>
  <c r="C283" i="17"/>
  <c r="E283" i="17" s="1"/>
  <c r="F283" i="17" s="1"/>
  <c r="D283" i="17"/>
  <c r="C296" i="17"/>
  <c r="D296" i="17"/>
  <c r="AQ90" i="14"/>
  <c r="AQ88" i="14"/>
  <c r="AQ89" i="14"/>
  <c r="F518" i="19"/>
  <c r="G518" i="19" s="1"/>
  <c r="F297" i="19"/>
  <c r="G297" i="19" s="1"/>
  <c r="F301" i="19"/>
  <c r="G301" i="19" s="1"/>
  <c r="G330" i="19"/>
  <c r="F276" i="19"/>
  <c r="G276" i="19"/>
  <c r="F519" i="19"/>
  <c r="G519" i="19" s="1"/>
  <c r="F298" i="19"/>
  <c r="G298" i="19" s="1"/>
  <c r="F299" i="19"/>
  <c r="G299" i="19" s="1"/>
  <c r="F300" i="19"/>
  <c r="G300" i="19" s="1"/>
  <c r="F410" i="19"/>
  <c r="G410" i="19" s="1"/>
  <c r="F406" i="19"/>
  <c r="G406" i="19" s="1"/>
  <c r="G439" i="19"/>
  <c r="F517" i="19"/>
  <c r="G517" i="19" s="1"/>
  <c r="F409" i="19"/>
  <c r="G409" i="19" s="1"/>
  <c r="F515" i="19"/>
  <c r="G515" i="19" s="1"/>
  <c r="C57" i="17"/>
  <c r="E57" i="17" s="1"/>
  <c r="F57" i="17" s="1"/>
  <c r="D57" i="17"/>
  <c r="C55" i="17"/>
  <c r="D55" i="17"/>
  <c r="C64" i="17"/>
  <c r="E64" i="17" s="1"/>
  <c r="F64" i="17" s="1"/>
  <c r="D64" i="17"/>
  <c r="D58" i="17"/>
  <c r="C58" i="17"/>
  <c r="E58" i="17" s="1"/>
  <c r="F58" i="17" s="1"/>
  <c r="C75" i="17"/>
  <c r="E75" i="17" s="1"/>
  <c r="F75" i="17" s="1"/>
  <c r="D75" i="17"/>
  <c r="C65" i="17"/>
  <c r="D65" i="17"/>
  <c r="C71" i="17"/>
  <c r="E71" i="17" s="1"/>
  <c r="F71" i="17" s="1"/>
  <c r="D71" i="17"/>
  <c r="C80" i="17"/>
  <c r="E80" i="17" s="1"/>
  <c r="F80" i="17" s="1"/>
  <c r="D80" i="17"/>
  <c r="D66" i="17"/>
  <c r="C66" i="17"/>
  <c r="E66" i="17" s="1"/>
  <c r="F66" i="17" s="1"/>
  <c r="D70" i="17"/>
  <c r="C70" i="17"/>
  <c r="E70" i="17" s="1"/>
  <c r="F70" i="17" s="1"/>
  <c r="D69" i="17"/>
  <c r="C69" i="17"/>
  <c r="E69" i="17" s="1"/>
  <c r="F69" i="17" s="1"/>
  <c r="C76" i="17"/>
  <c r="E76" i="17" s="1"/>
  <c r="F76" i="17" s="1"/>
  <c r="D76" i="17"/>
  <c r="C82" i="17"/>
  <c r="E82" i="17" s="1"/>
  <c r="F82" i="17" s="1"/>
  <c r="D82" i="17"/>
  <c r="D73" i="17"/>
  <c r="C73" i="17"/>
  <c r="E73" i="17" s="1"/>
  <c r="F73" i="17" s="1"/>
  <c r="C68" i="17"/>
  <c r="E68" i="17" s="1"/>
  <c r="F68" i="17" s="1"/>
  <c r="D68" i="17"/>
  <c r="C79" i="17"/>
  <c r="E79" i="17" s="1"/>
  <c r="F79" i="17" s="1"/>
  <c r="D79" i="17"/>
  <c r="D54" i="17"/>
  <c r="C54" i="17"/>
  <c r="E54" i="17" s="1"/>
  <c r="F54" i="17" s="1"/>
  <c r="D63" i="17"/>
  <c r="C63" i="17"/>
  <c r="E63" i="17" s="1"/>
  <c r="F63" i="17" s="1"/>
  <c r="C78" i="17"/>
  <c r="E78" i="17" s="1"/>
  <c r="F78" i="17" s="1"/>
  <c r="D78" i="17"/>
  <c r="C74" i="17"/>
  <c r="E74" i="17" s="1"/>
  <c r="F74" i="17" s="1"/>
  <c r="D74" i="17"/>
  <c r="C59" i="17"/>
  <c r="E59" i="17" s="1"/>
  <c r="F59" i="17" s="1"/>
  <c r="D59" i="17"/>
  <c r="D67" i="17"/>
  <c r="C67" i="17"/>
  <c r="C72" i="17"/>
  <c r="E72" i="17" s="1"/>
  <c r="F72" i="17" s="1"/>
  <c r="D72" i="17"/>
  <c r="C81" i="17"/>
  <c r="E81" i="17" s="1"/>
  <c r="F81" i="17" s="1"/>
  <c r="D81" i="17"/>
  <c r="C224" i="17"/>
  <c r="E224" i="17" s="1"/>
  <c r="F224" i="17" s="1"/>
  <c r="D224" i="17"/>
  <c r="C240" i="17"/>
  <c r="E240" i="17" s="1"/>
  <c r="F240" i="17" s="1"/>
  <c r="D240" i="17"/>
  <c r="D242" i="17"/>
  <c r="C242" i="17"/>
  <c r="E242" i="17" s="1"/>
  <c r="F242" i="17" s="1"/>
  <c r="C233" i="17"/>
  <c r="E233" i="17" s="1"/>
  <c r="F233" i="17" s="1"/>
  <c r="D233" i="17"/>
  <c r="D236" i="17"/>
  <c r="C236" i="17"/>
  <c r="E236" i="17" s="1"/>
  <c r="F236" i="17" s="1"/>
  <c r="C241" i="17"/>
  <c r="E241" i="17" s="1"/>
  <c r="F241" i="17" s="1"/>
  <c r="D241" i="17"/>
  <c r="D227" i="17"/>
  <c r="C227" i="17"/>
  <c r="E227" i="17" s="1"/>
  <c r="F227" i="17" s="1"/>
  <c r="D243" i="17"/>
  <c r="C243" i="17"/>
  <c r="E243" i="17" s="1"/>
  <c r="F243" i="17" s="1"/>
  <c r="D237" i="17"/>
  <c r="C237" i="17"/>
  <c r="E237" i="17" s="1"/>
  <c r="F237" i="17" s="1"/>
  <c r="D228" i="17"/>
  <c r="C228" i="17"/>
  <c r="E228" i="17" s="1"/>
  <c r="F228" i="17" s="1"/>
  <c r="C238" i="17"/>
  <c r="E238" i="17" s="1"/>
  <c r="F238" i="17" s="1"/>
  <c r="D238" i="17"/>
  <c r="C229" i="17"/>
  <c r="E229" i="17" s="1"/>
  <c r="F229" i="17" s="1"/>
  <c r="D229" i="17"/>
  <c r="C222" i="17"/>
  <c r="E222" i="17" s="1"/>
  <c r="F222" i="17" s="1"/>
  <c r="D220" i="17"/>
  <c r="C220" i="17"/>
  <c r="E220" i="17" s="1"/>
  <c r="F220" i="17" s="1"/>
  <c r="D232" i="17"/>
  <c r="C232" i="17"/>
  <c r="E232" i="17" s="1"/>
  <c r="F232" i="17" s="1"/>
  <c r="D246" i="17"/>
  <c r="C246" i="17"/>
  <c r="C225" i="17"/>
  <c r="E225" i="17" s="1"/>
  <c r="F225" i="17" s="1"/>
  <c r="D225" i="17"/>
  <c r="D230" i="17"/>
  <c r="C230" i="17"/>
  <c r="E230" i="17" s="1"/>
  <c r="F230" i="17" s="1"/>
  <c r="D244" i="17"/>
  <c r="C244" i="17"/>
  <c r="E244" i="17" s="1"/>
  <c r="F244" i="17" s="1"/>
  <c r="C245" i="17"/>
  <c r="E245" i="17" s="1"/>
  <c r="F245" i="17" s="1"/>
  <c r="D245" i="17"/>
  <c r="C223" i="17"/>
  <c r="E223" i="17" s="1"/>
  <c r="F223" i="17" s="1"/>
  <c r="D223" i="17"/>
  <c r="C235" i="17"/>
  <c r="E235" i="17" s="1"/>
  <c r="F235" i="17" s="1"/>
  <c r="D235" i="17"/>
  <c r="C239" i="17"/>
  <c r="E239" i="17" s="1"/>
  <c r="F239" i="17" s="1"/>
  <c r="D239" i="17"/>
  <c r="C226" i="17"/>
  <c r="E226" i="17" s="1"/>
  <c r="F226" i="17" s="1"/>
  <c r="D226" i="17"/>
  <c r="C231" i="17"/>
  <c r="E231" i="17" s="1"/>
  <c r="F231" i="17" s="1"/>
  <c r="D231" i="17"/>
  <c r="C234" i="17"/>
  <c r="E234" i="17" s="1"/>
  <c r="F234" i="17" s="1"/>
  <c r="D234" i="17"/>
  <c r="J33" i="10"/>
  <c r="AQ75" i="4"/>
  <c r="N19" i="11" s="1"/>
  <c r="J34" i="10"/>
  <c r="J35" i="10"/>
  <c r="J32" i="10"/>
  <c r="C192" i="17"/>
  <c r="E192" i="17" s="1"/>
  <c r="F192" i="17" s="1"/>
  <c r="D176" i="17"/>
  <c r="C191" i="17"/>
  <c r="E191" i="17" s="1"/>
  <c r="F191" i="17" s="1"/>
  <c r="C188" i="17"/>
  <c r="E188" i="17" s="1"/>
  <c r="F188" i="17" s="1"/>
  <c r="D188" i="17"/>
  <c r="H169" i="15"/>
  <c r="H134" i="15"/>
  <c r="C176" i="17"/>
  <c r="E176" i="17" s="1"/>
  <c r="F176" i="17" s="1"/>
  <c r="D175" i="17"/>
  <c r="D191" i="17"/>
  <c r="C175" i="17"/>
  <c r="E175" i="17" s="1"/>
  <c r="F175" i="17" s="1"/>
  <c r="D16" i="17"/>
  <c r="C180" i="17"/>
  <c r="E180" i="17" s="1"/>
  <c r="F180" i="17" s="1"/>
  <c r="D180" i="17"/>
  <c r="D179" i="17"/>
  <c r="C179" i="17"/>
  <c r="E179" i="17" s="1"/>
  <c r="F179" i="17" s="1"/>
  <c r="C26" i="17"/>
  <c r="E26" i="17" s="1"/>
  <c r="F26" i="17" s="1"/>
  <c r="D26" i="17"/>
  <c r="C24" i="17"/>
  <c r="E24" i="17" s="1"/>
  <c r="F24" i="17" s="1"/>
  <c r="D24" i="17"/>
  <c r="D25" i="17"/>
  <c r="C25" i="17"/>
  <c r="E25" i="17" s="1"/>
  <c r="F25" i="17" s="1"/>
  <c r="D10" i="17"/>
  <c r="C10" i="17"/>
  <c r="E10" i="17" s="1"/>
  <c r="F10" i="17" s="1"/>
  <c r="C21" i="17"/>
  <c r="E21" i="17" s="1"/>
  <c r="F21" i="17" s="1"/>
  <c r="D21" i="17"/>
  <c r="C23" i="17"/>
  <c r="E23" i="17" s="1"/>
  <c r="F23" i="17" s="1"/>
  <c r="D23" i="17"/>
  <c r="D18" i="17"/>
  <c r="C18" i="17"/>
  <c r="E18" i="17" s="1"/>
  <c r="F18" i="17" s="1"/>
  <c r="D189" i="17"/>
  <c r="C189" i="17"/>
  <c r="E189" i="17" s="1"/>
  <c r="F189" i="17" s="1"/>
  <c r="D9" i="17"/>
  <c r="C9" i="17"/>
  <c r="E9" i="17" s="1"/>
  <c r="F9" i="17" s="1"/>
  <c r="D31" i="17"/>
  <c r="C31" i="17"/>
  <c r="E31" i="17" s="1"/>
  <c r="F31" i="17" s="1"/>
  <c r="C27" i="17"/>
  <c r="E27" i="17" s="1"/>
  <c r="F27" i="17" s="1"/>
  <c r="D27" i="17"/>
  <c r="C171" i="17"/>
  <c r="D171" i="17"/>
  <c r="D32" i="17"/>
  <c r="C32" i="17"/>
  <c r="E32" i="17" s="1"/>
  <c r="F32" i="17" s="1"/>
  <c r="C187" i="17"/>
  <c r="E187" i="17" s="1"/>
  <c r="F187" i="17" s="1"/>
  <c r="D187" i="17"/>
  <c r="C183" i="17"/>
  <c r="E183" i="17" s="1"/>
  <c r="F183" i="17" s="1"/>
  <c r="D183" i="17"/>
  <c r="C181" i="17"/>
  <c r="E181" i="17" s="1"/>
  <c r="F181" i="17" s="1"/>
  <c r="D181" i="17"/>
  <c r="C14" i="17"/>
  <c r="E14" i="17" s="1"/>
  <c r="F14" i="17" s="1"/>
  <c r="D14" i="17"/>
  <c r="C19" i="17"/>
  <c r="E19" i="17" s="1"/>
  <c r="F19" i="17" s="1"/>
  <c r="D19" i="17"/>
  <c r="C173" i="17"/>
  <c r="E173" i="17" s="1"/>
  <c r="F173" i="17" s="1"/>
  <c r="D173" i="17"/>
  <c r="D194" i="17"/>
  <c r="C194" i="17"/>
  <c r="E194" i="17" s="1"/>
  <c r="F194" i="17" s="1"/>
  <c r="C184" i="17"/>
  <c r="E184" i="17" s="1"/>
  <c r="F184" i="17" s="1"/>
  <c r="D184" i="17"/>
  <c r="D12" i="17"/>
  <c r="C12" i="17"/>
  <c r="E12" i="17" s="1"/>
  <c r="F12" i="17" s="1"/>
  <c r="D17" i="17"/>
  <c r="C17" i="17"/>
  <c r="E17" i="17" s="1"/>
  <c r="F17" i="17" s="1"/>
  <c r="C30" i="17"/>
  <c r="E30" i="17" s="1"/>
  <c r="F30" i="17" s="1"/>
  <c r="D30" i="17"/>
  <c r="C190" i="17"/>
  <c r="E190" i="17" s="1"/>
  <c r="F190" i="17" s="1"/>
  <c r="D190" i="17"/>
  <c r="C195" i="17"/>
  <c r="E195" i="17" s="1"/>
  <c r="F195" i="17" s="1"/>
  <c r="D195" i="17"/>
  <c r="D193" i="17"/>
  <c r="C193" i="17"/>
  <c r="E193" i="17" s="1"/>
  <c r="F193" i="17" s="1"/>
  <c r="C185" i="17"/>
  <c r="E185" i="17" s="1"/>
  <c r="F185" i="17" s="1"/>
  <c r="D185" i="17"/>
  <c r="C11" i="17"/>
  <c r="E11" i="17" s="1"/>
  <c r="F11" i="17" s="1"/>
  <c r="D11" i="17"/>
  <c r="C182" i="17"/>
  <c r="E182" i="17" s="1"/>
  <c r="F182" i="17" s="1"/>
  <c r="D182" i="17"/>
  <c r="C186" i="17"/>
  <c r="E186" i="17" s="1"/>
  <c r="F186" i="17" s="1"/>
  <c r="D186" i="17"/>
  <c r="C177" i="17"/>
  <c r="E177" i="17" s="1"/>
  <c r="F177" i="17" s="1"/>
  <c r="D177" i="17"/>
  <c r="D196" i="17"/>
  <c r="C196" i="17"/>
  <c r="E196" i="17" s="1"/>
  <c r="F196" i="17" s="1"/>
  <c r="D174" i="17"/>
  <c r="C174" i="17"/>
  <c r="E174" i="17" s="1"/>
  <c r="F174" i="17" s="1"/>
  <c r="C172" i="17"/>
  <c r="E172" i="17" s="1"/>
  <c r="F172" i="17" s="1"/>
  <c r="D172" i="17"/>
  <c r="C28" i="17"/>
  <c r="E28" i="17" s="1"/>
  <c r="F28" i="17" s="1"/>
  <c r="D28" i="17"/>
  <c r="D13" i="17"/>
  <c r="C13" i="17"/>
  <c r="E13" i="17" s="1"/>
  <c r="F13" i="17" s="1"/>
  <c r="C178" i="17"/>
  <c r="E178" i="17" s="1"/>
  <c r="F178" i="17" s="1"/>
  <c r="D178" i="17"/>
  <c r="D7" i="17"/>
  <c r="C7" i="17"/>
  <c r="D6" i="17"/>
  <c r="C6" i="17"/>
  <c r="G169" i="15"/>
  <c r="D5" i="17"/>
  <c r="C5" i="17"/>
  <c r="E5" i="17" s="1"/>
  <c r="C169" i="15"/>
  <c r="C153" i="15"/>
  <c r="H185" i="15"/>
  <c r="S150" i="15"/>
  <c r="H165" i="15"/>
  <c r="G185" i="15"/>
  <c r="C185" i="15"/>
  <c r="C4" i="17"/>
  <c r="D4" i="17"/>
  <c r="C3" i="17"/>
  <c r="H168" i="15"/>
  <c r="C188" i="15"/>
  <c r="M134" i="10"/>
  <c r="M137" i="10"/>
  <c r="M133" i="10"/>
  <c r="F274" i="18"/>
  <c r="G274" i="18" s="1"/>
  <c r="C274" i="18"/>
  <c r="G437" i="18"/>
  <c r="G328" i="18"/>
  <c r="Q159" i="15"/>
  <c r="S159" i="15" s="1"/>
  <c r="H191" i="15"/>
  <c r="G118" i="15"/>
  <c r="G196" i="15"/>
  <c r="Q168" i="15"/>
  <c r="S168" i="15" s="1"/>
  <c r="Q125" i="15"/>
  <c r="S125" i="15" s="1"/>
  <c r="Q153" i="15"/>
  <c r="S153" i="15" s="1"/>
  <c r="Q157" i="15"/>
  <c r="S157" i="15" s="1"/>
  <c r="H17" i="15"/>
  <c r="S116" i="15"/>
  <c r="Q117" i="15"/>
  <c r="S117" i="15" s="1"/>
  <c r="Q134" i="15"/>
  <c r="S134" i="15" s="1"/>
  <c r="H158" i="15"/>
  <c r="C128" i="15"/>
  <c r="G117" i="15"/>
  <c r="Q166" i="15"/>
  <c r="S166" i="15" s="1"/>
  <c r="Q163" i="15"/>
  <c r="R163" i="15" s="1"/>
  <c r="G161" i="15"/>
  <c r="G131" i="15"/>
  <c r="G189" i="15"/>
  <c r="G186" i="15"/>
  <c r="Q132" i="15"/>
  <c r="S132" i="15" s="1"/>
  <c r="G199" i="15"/>
  <c r="C186" i="15"/>
  <c r="Q154" i="15"/>
  <c r="S154" i="15" s="1"/>
  <c r="Q51" i="15"/>
  <c r="S51" i="15" s="1"/>
  <c r="H186" i="15"/>
  <c r="Q131" i="15"/>
  <c r="R131" i="15" s="1"/>
  <c r="Q165" i="15"/>
  <c r="S165" i="15" s="1"/>
  <c r="Q124" i="15"/>
  <c r="S124" i="15" s="1"/>
  <c r="G129" i="15"/>
  <c r="C190" i="15"/>
  <c r="H124" i="15"/>
  <c r="Q119" i="15"/>
  <c r="R119" i="15" s="1"/>
  <c r="Q162" i="15"/>
  <c r="S162" i="15" s="1"/>
  <c r="Q161" i="15"/>
  <c r="S161" i="15" s="1"/>
  <c r="Q120" i="15"/>
  <c r="S120" i="15" s="1"/>
  <c r="G135" i="15"/>
  <c r="H122" i="15"/>
  <c r="Q160" i="15"/>
  <c r="S160" i="15" s="1"/>
  <c r="Q169" i="15"/>
  <c r="S169" i="15" s="1"/>
  <c r="G202" i="15"/>
  <c r="H164" i="15"/>
  <c r="G192" i="15"/>
  <c r="C195" i="15"/>
  <c r="H125" i="15"/>
  <c r="G197" i="15"/>
  <c r="Q129" i="15"/>
  <c r="S129" i="15" s="1"/>
  <c r="Q52" i="15"/>
  <c r="R52" i="15" s="1"/>
  <c r="G17" i="15"/>
  <c r="H133" i="15"/>
  <c r="G86" i="15"/>
  <c r="C17" i="15"/>
  <c r="G187" i="15"/>
  <c r="H203" i="15"/>
  <c r="C119" i="15"/>
  <c r="H162" i="15"/>
  <c r="H163" i="15"/>
  <c r="H167" i="15"/>
  <c r="Q118" i="15"/>
  <c r="S118" i="15" s="1"/>
  <c r="Q126" i="15"/>
  <c r="S126" i="15" s="1"/>
  <c r="Q127" i="15"/>
  <c r="R127" i="15" s="1"/>
  <c r="Q158" i="15"/>
  <c r="S158" i="15" s="1"/>
  <c r="Q167" i="15"/>
  <c r="S167" i="15" s="1"/>
  <c r="Q130" i="15"/>
  <c r="S130" i="15" s="1"/>
  <c r="Q135" i="15"/>
  <c r="S135" i="15" s="1"/>
  <c r="Q156" i="15"/>
  <c r="S156" i="15" s="1"/>
  <c r="Q121" i="15"/>
  <c r="S121" i="15" s="1"/>
  <c r="Q155" i="15"/>
  <c r="S155" i="15" s="1"/>
  <c r="H16" i="23"/>
  <c r="C154" i="15"/>
  <c r="H194" i="15"/>
  <c r="C126" i="15"/>
  <c r="H157" i="15"/>
  <c r="C157" i="15"/>
  <c r="H151" i="15"/>
  <c r="C151" i="15"/>
  <c r="H154" i="15"/>
  <c r="C156" i="15"/>
  <c r="C194" i="15"/>
  <c r="G194" i="15"/>
  <c r="G151" i="15"/>
  <c r="G157" i="15"/>
  <c r="Q133" i="15"/>
  <c r="S133" i="15" s="1"/>
  <c r="Q17" i="15"/>
  <c r="S17" i="15" s="1"/>
  <c r="Q123" i="15"/>
  <c r="S123" i="15" s="1"/>
  <c r="Q152" i="15"/>
  <c r="S152" i="15" s="1"/>
  <c r="Q151" i="15"/>
  <c r="S151" i="15" s="1"/>
  <c r="G154" i="15"/>
  <c r="Q164" i="15"/>
  <c r="S164" i="15" s="1"/>
  <c r="H160" i="15"/>
  <c r="H127" i="15"/>
  <c r="C159" i="15"/>
  <c r="G193" i="15"/>
  <c r="G130" i="15"/>
  <c r="H201" i="15"/>
  <c r="G120" i="15"/>
  <c r="H120" i="15"/>
  <c r="C120" i="15"/>
  <c r="Q122" i="15"/>
  <c r="S122" i="15" s="1"/>
  <c r="H155" i="15"/>
  <c r="C121" i="15"/>
  <c r="C155" i="15"/>
  <c r="G155" i="15"/>
  <c r="G123" i="15"/>
  <c r="C152" i="15"/>
  <c r="C200" i="15"/>
  <c r="C123" i="15"/>
  <c r="H123" i="15"/>
  <c r="C84" i="23"/>
  <c r="I163" i="15"/>
  <c r="G163" i="15"/>
  <c r="L19" i="15"/>
  <c r="I198" i="15"/>
  <c r="G198" i="15"/>
  <c r="H198" i="15"/>
  <c r="I127" i="15"/>
  <c r="G127" i="15"/>
  <c r="L53" i="15"/>
  <c r="B19" i="15"/>
  <c r="I19" i="15" s="1"/>
  <c r="I119" i="15"/>
  <c r="H119" i="15"/>
  <c r="I161" i="15"/>
  <c r="H161" i="15"/>
  <c r="I160" i="15"/>
  <c r="C160" i="15"/>
  <c r="I121" i="15"/>
  <c r="G121" i="15"/>
  <c r="I187" i="15"/>
  <c r="C187" i="15"/>
  <c r="I131" i="15"/>
  <c r="H131" i="15"/>
  <c r="I167" i="15"/>
  <c r="G167" i="15"/>
  <c r="I117" i="15"/>
  <c r="H117" i="15"/>
  <c r="I132" i="15"/>
  <c r="G132" i="15"/>
  <c r="I158" i="15"/>
  <c r="C158" i="15"/>
  <c r="I197" i="15"/>
  <c r="C197" i="15"/>
  <c r="I202" i="15"/>
  <c r="H202" i="15"/>
  <c r="I135" i="15"/>
  <c r="C135" i="15"/>
  <c r="I128" i="15"/>
  <c r="G128" i="15"/>
  <c r="I164" i="15"/>
  <c r="G164" i="15"/>
  <c r="I130" i="15"/>
  <c r="C130" i="15"/>
  <c r="I191" i="15"/>
  <c r="G191" i="15"/>
  <c r="I188" i="15"/>
  <c r="H188" i="15"/>
  <c r="I193" i="15"/>
  <c r="C193" i="15"/>
  <c r="M53" i="15"/>
  <c r="I126" i="15"/>
  <c r="H126" i="15"/>
  <c r="C132" i="15"/>
  <c r="I190" i="15"/>
  <c r="G190" i="15"/>
  <c r="I153" i="15"/>
  <c r="H153" i="15"/>
  <c r="I152" i="15"/>
  <c r="G152" i="15"/>
  <c r="I203" i="15"/>
  <c r="G203" i="15"/>
  <c r="B53" i="15"/>
  <c r="I122" i="15"/>
  <c r="G122" i="15"/>
  <c r="I159" i="15"/>
  <c r="G159" i="15"/>
  <c r="B87" i="15"/>
  <c r="I87" i="15" s="1"/>
  <c r="I124" i="15"/>
  <c r="G124" i="15"/>
  <c r="I201" i="15"/>
  <c r="C201" i="15"/>
  <c r="I133" i="15"/>
  <c r="G133" i="15"/>
  <c r="I192" i="15"/>
  <c r="C192" i="15"/>
  <c r="I168" i="15"/>
  <c r="G168" i="15"/>
  <c r="I134" i="15"/>
  <c r="C134" i="15"/>
  <c r="I118" i="15"/>
  <c r="C118" i="15"/>
  <c r="I162" i="15"/>
  <c r="C162" i="15"/>
  <c r="I156" i="15"/>
  <c r="G156" i="15"/>
  <c r="I129" i="15"/>
  <c r="C129" i="15"/>
  <c r="I165" i="15"/>
  <c r="G165" i="15"/>
  <c r="I125" i="15"/>
  <c r="C125" i="15"/>
  <c r="I199" i="15"/>
  <c r="H199" i="15"/>
  <c r="I200" i="15"/>
  <c r="H200" i="15"/>
  <c r="I196" i="15"/>
  <c r="H196" i="15"/>
  <c r="I166" i="15"/>
  <c r="G166" i="15"/>
  <c r="C166" i="15"/>
  <c r="I189" i="15"/>
  <c r="H189" i="15"/>
  <c r="I195" i="15"/>
  <c r="G195" i="15"/>
  <c r="M19" i="15"/>
  <c r="H84" i="23"/>
  <c r="G84" i="23"/>
  <c r="C16" i="23"/>
  <c r="I16" i="23"/>
  <c r="R16" i="15"/>
  <c r="S16" i="15"/>
  <c r="R14" i="15"/>
  <c r="S14" i="15"/>
  <c r="R18" i="15"/>
  <c r="S18" i="15"/>
  <c r="F543" i="19"/>
  <c r="G543" i="19" s="1"/>
  <c r="H85" i="15"/>
  <c r="F424" i="19"/>
  <c r="S49" i="15"/>
  <c r="C85" i="15"/>
  <c r="G85" i="15"/>
  <c r="F530" i="19"/>
  <c r="G530" i="19" s="1"/>
  <c r="G88" i="18"/>
  <c r="B52" i="23"/>
  <c r="I52" i="23" s="1"/>
  <c r="C86" i="15"/>
  <c r="H86" i="15"/>
  <c r="G429" i="19"/>
  <c r="I51" i="15"/>
  <c r="H51" i="15"/>
  <c r="G51" i="15"/>
  <c r="F304" i="17"/>
  <c r="AG65" i="12"/>
  <c r="AK89" i="12"/>
  <c r="AK92" i="12"/>
  <c r="AG91" i="12"/>
  <c r="AK87" i="12"/>
  <c r="AL87" i="12" s="1"/>
  <c r="AG97" i="14"/>
  <c r="AH97" i="14" s="1"/>
  <c r="AK96" i="14"/>
  <c r="AK95" i="14"/>
  <c r="AL95" i="14" s="1"/>
  <c r="F418" i="19"/>
  <c r="G540" i="19"/>
  <c r="G418" i="19"/>
  <c r="AJ46" i="22"/>
  <c r="AK46" i="22" s="1"/>
  <c r="AJ52" i="22"/>
  <c r="AK52" i="22" s="1"/>
  <c r="F431" i="19"/>
  <c r="G431" i="19"/>
  <c r="G318" i="19"/>
  <c r="F313" i="19"/>
  <c r="F430" i="19"/>
  <c r="G430" i="19" s="1"/>
  <c r="G527" i="19"/>
  <c r="F537" i="19"/>
  <c r="G537" i="19" s="1"/>
  <c r="G311" i="19"/>
  <c r="G316" i="19"/>
  <c r="F529" i="19"/>
  <c r="G529" i="19" s="1"/>
  <c r="G528" i="19"/>
  <c r="G428" i="19"/>
  <c r="F320" i="19"/>
  <c r="G320" i="19" s="1"/>
  <c r="C151" i="23"/>
  <c r="G151" i="23"/>
  <c r="I151" i="23"/>
  <c r="C185" i="23"/>
  <c r="AK31" i="12"/>
  <c r="AK47" i="12"/>
  <c r="AG37" i="12"/>
  <c r="AH37" i="12" s="1"/>
  <c r="AK45" i="12"/>
  <c r="AK42" i="12"/>
  <c r="AK41" i="12"/>
  <c r="AK38" i="12"/>
  <c r="AK39" i="12"/>
  <c r="AK30" i="12"/>
  <c r="AK27" i="12"/>
  <c r="AK26" i="12"/>
  <c r="F16" i="17"/>
  <c r="R15" i="15"/>
  <c r="R48" i="15"/>
  <c r="I52" i="15"/>
  <c r="H52" i="15"/>
  <c r="G52" i="15"/>
  <c r="G534" i="19"/>
  <c r="I185" i="23"/>
  <c r="F535" i="19"/>
  <c r="G535" i="19" s="1"/>
  <c r="F538" i="19"/>
  <c r="G538" i="19" s="1"/>
  <c r="F319" i="19"/>
  <c r="G319" i="19" s="1"/>
  <c r="F309" i="19"/>
  <c r="G309" i="19" s="1"/>
  <c r="H185" i="23"/>
  <c r="C117" i="23"/>
  <c r="F427" i="19"/>
  <c r="F323" i="19"/>
  <c r="G323" i="19" s="1"/>
  <c r="G427" i="19"/>
  <c r="G325" i="19"/>
  <c r="F325" i="19"/>
  <c r="R50" i="15"/>
  <c r="F541" i="19"/>
  <c r="G541" i="19" s="1"/>
  <c r="F432" i="19"/>
  <c r="G432" i="19" s="1"/>
  <c r="G117" i="23"/>
  <c r="Q151" i="23"/>
  <c r="S151" i="23" s="1"/>
  <c r="I117" i="23"/>
  <c r="F321" i="19"/>
  <c r="F324" i="19"/>
  <c r="B152" i="23"/>
  <c r="G152" i="23" s="1"/>
  <c r="G324" i="19"/>
  <c r="F317" i="19"/>
  <c r="B186" i="23"/>
  <c r="H186" i="23" s="1"/>
  <c r="R116" i="23"/>
  <c r="A21" i="4"/>
  <c r="C18" i="15"/>
  <c r="G18" i="15"/>
  <c r="H18" i="15"/>
  <c r="M152" i="23"/>
  <c r="M118" i="23"/>
  <c r="L152" i="23"/>
  <c r="F315" i="19"/>
  <c r="H17" i="23"/>
  <c r="F419" i="19"/>
  <c r="G419" i="19" s="1"/>
  <c r="F531" i="19"/>
  <c r="F422" i="19"/>
  <c r="G310" i="19"/>
  <c r="F426" i="19"/>
  <c r="G426" i="19" s="1"/>
  <c r="G532" i="19"/>
  <c r="F314" i="19"/>
  <c r="G314" i="19" s="1"/>
  <c r="F533" i="19"/>
  <c r="G533" i="19" s="1"/>
  <c r="F425" i="19"/>
  <c r="G425" i="19" s="1"/>
  <c r="G539" i="19"/>
  <c r="F536" i="19"/>
  <c r="G420" i="19"/>
  <c r="G422" i="19"/>
  <c r="G433" i="19"/>
  <c r="G542" i="19"/>
  <c r="F310" i="19"/>
  <c r="G17" i="23"/>
  <c r="I17" i="23"/>
  <c r="F312" i="19"/>
  <c r="G312" i="19" s="1"/>
  <c r="F423" i="19"/>
  <c r="G423" i="19" s="1"/>
  <c r="Q51" i="23"/>
  <c r="S51" i="23" s="1"/>
  <c r="G317" i="19"/>
  <c r="C118" i="23"/>
  <c r="I118" i="23"/>
  <c r="G118" i="23"/>
  <c r="H118" i="23"/>
  <c r="F434" i="19"/>
  <c r="G434" i="19" s="1"/>
  <c r="F539" i="19"/>
  <c r="G313" i="19"/>
  <c r="G322" i="19"/>
  <c r="R117" i="23"/>
  <c r="S117" i="23"/>
  <c r="F421" i="19"/>
  <c r="G421" i="19" s="1"/>
  <c r="F322" i="19"/>
  <c r="S150" i="23"/>
  <c r="R150" i="23"/>
  <c r="A58" i="22"/>
  <c r="M119" i="23" s="1"/>
  <c r="L118" i="23"/>
  <c r="R128" i="15"/>
  <c r="AQ55" i="14"/>
  <c r="N8" i="11" s="1"/>
  <c r="AQ115" i="12"/>
  <c r="R16" i="23"/>
  <c r="S16" i="23"/>
  <c r="A20" i="22"/>
  <c r="B53" i="23" s="1"/>
  <c r="B86" i="23"/>
  <c r="L52" i="23"/>
  <c r="B18" i="23"/>
  <c r="M52" i="23"/>
  <c r="M18" i="23"/>
  <c r="Q18" i="23" s="1"/>
  <c r="G51" i="23"/>
  <c r="I51" i="23"/>
  <c r="H51" i="23"/>
  <c r="C51" i="23"/>
  <c r="I85" i="23"/>
  <c r="H85" i="23"/>
  <c r="C85" i="23"/>
  <c r="G85" i="23"/>
  <c r="C36" i="18"/>
  <c r="F254" i="19"/>
  <c r="G254" i="19" s="1"/>
  <c r="C144" i="18"/>
  <c r="F145" i="19"/>
  <c r="G145" i="19" s="1"/>
  <c r="G36" i="18"/>
  <c r="G144" i="18"/>
  <c r="F90" i="18"/>
  <c r="H90" i="18" s="1"/>
  <c r="G89" i="18"/>
  <c r="C145" i="18"/>
  <c r="F145" i="18"/>
  <c r="G145" i="18" s="1"/>
  <c r="N1772" i="20" l="1"/>
  <c r="N1773" i="20" s="1"/>
  <c r="N1768" i="20"/>
  <c r="N1769" i="20" s="1"/>
  <c r="N1770" i="20" s="1"/>
  <c r="N1771" i="20" s="1"/>
  <c r="N812" i="20"/>
  <c r="N813" i="20" s="1"/>
  <c r="N808" i="20"/>
  <c r="N809" i="20" s="1"/>
  <c r="N810" i="20" s="1"/>
  <c r="N811" i="20" s="1"/>
  <c r="AL45" i="4"/>
  <c r="AH46" i="4"/>
  <c r="AL5" i="4"/>
  <c r="E3" i="17"/>
  <c r="S17" i="23"/>
  <c r="O172" i="11"/>
  <c r="P172" i="11" s="1"/>
  <c r="O270" i="11"/>
  <c r="P270" i="11" s="1"/>
  <c r="O292" i="11"/>
  <c r="P292" i="11" s="1"/>
  <c r="O194" i="11"/>
  <c r="P194" i="11" s="1"/>
  <c r="O191" i="11"/>
  <c r="P191" i="11" s="1"/>
  <c r="O91" i="11"/>
  <c r="P91" i="11" s="1"/>
  <c r="E33" i="17"/>
  <c r="C218" i="17"/>
  <c r="E218" i="17" s="1"/>
  <c r="F218" i="17" s="1"/>
  <c r="D218" i="17"/>
  <c r="R49" i="23"/>
  <c r="E246" i="17"/>
  <c r="C219" i="17"/>
  <c r="E219" i="17" s="1"/>
  <c r="F219" i="17" s="1"/>
  <c r="N192" i="11"/>
  <c r="O192" i="11" s="1"/>
  <c r="P192" i="11" s="1"/>
  <c r="C197" i="17"/>
  <c r="E197" i="17" s="1"/>
  <c r="N170" i="11"/>
  <c r="O170" i="11" s="1"/>
  <c r="P170" i="11" s="1"/>
  <c r="D222" i="17"/>
  <c r="N195" i="11"/>
  <c r="O195" i="11" s="1"/>
  <c r="P195" i="11" s="1"/>
  <c r="C167" i="17"/>
  <c r="E167" i="17" s="1"/>
  <c r="D170" i="17"/>
  <c r="N93" i="11"/>
  <c r="O93" i="11" s="1"/>
  <c r="P93" i="11" s="1"/>
  <c r="D167" i="17"/>
  <c r="N90" i="11"/>
  <c r="O90" i="11" s="1"/>
  <c r="P90" i="11" s="1"/>
  <c r="N92" i="11"/>
  <c r="O92" i="11" s="1"/>
  <c r="P92" i="11" s="1"/>
  <c r="F5" i="17"/>
  <c r="S50" i="23"/>
  <c r="R15" i="23"/>
  <c r="E296" i="17"/>
  <c r="AD90" i="14"/>
  <c r="N295" i="11" s="1"/>
  <c r="M295" i="11"/>
  <c r="L295" i="11"/>
  <c r="AD89" i="14"/>
  <c r="D271" i="17" s="1"/>
  <c r="L294" i="11"/>
  <c r="M294" i="11"/>
  <c r="P135" i="10"/>
  <c r="L293" i="11"/>
  <c r="M293" i="11"/>
  <c r="AD86" i="14"/>
  <c r="C268" i="17" s="1"/>
  <c r="E268" i="17" s="1"/>
  <c r="M291" i="11"/>
  <c r="L291" i="11"/>
  <c r="D197" i="17"/>
  <c r="N20" i="11"/>
  <c r="E4" i="17"/>
  <c r="F4" i="17" s="1"/>
  <c r="C169" i="17"/>
  <c r="D169" i="17"/>
  <c r="C170" i="17"/>
  <c r="E170" i="17" s="1"/>
  <c r="D219" i="17"/>
  <c r="P133" i="10"/>
  <c r="AD88" i="14"/>
  <c r="N293" i="11" s="1"/>
  <c r="E83" i="17"/>
  <c r="D168" i="17"/>
  <c r="P137" i="10"/>
  <c r="C168" i="17"/>
  <c r="P136" i="10"/>
  <c r="M112" i="10"/>
  <c r="E67" i="17"/>
  <c r="F67" i="17" s="1"/>
  <c r="AQ115" i="14"/>
  <c r="N21" i="11" s="1"/>
  <c r="C19" i="18"/>
  <c r="F19" i="18"/>
  <c r="G19" i="18" s="1"/>
  <c r="H19" i="18"/>
  <c r="D247" i="17"/>
  <c r="C247" i="17"/>
  <c r="D269" i="17"/>
  <c r="C269" i="17"/>
  <c r="E269" i="17" s="1"/>
  <c r="F269" i="17" s="1"/>
  <c r="E65" i="17"/>
  <c r="F65" i="17" s="1"/>
  <c r="E55" i="17"/>
  <c r="F55" i="17" s="1"/>
  <c r="D221" i="17"/>
  <c r="C221" i="17"/>
  <c r="E221" i="17" s="1"/>
  <c r="F221" i="17" s="1"/>
  <c r="E171" i="17"/>
  <c r="E7" i="17"/>
  <c r="E6" i="17"/>
  <c r="F6" i="17" s="1"/>
  <c r="R117" i="15"/>
  <c r="R153" i="15"/>
  <c r="R159" i="15"/>
  <c r="R162" i="15"/>
  <c r="R168" i="15"/>
  <c r="R156" i="15"/>
  <c r="R125" i="15"/>
  <c r="R157" i="15"/>
  <c r="S131" i="15"/>
  <c r="R133" i="15"/>
  <c r="R134" i="15"/>
  <c r="R161" i="15"/>
  <c r="R132" i="15"/>
  <c r="R124" i="15"/>
  <c r="R160" i="15"/>
  <c r="R166" i="15"/>
  <c r="R151" i="15"/>
  <c r="R51" i="15"/>
  <c r="R164" i="15"/>
  <c r="R152" i="15"/>
  <c r="R135" i="15"/>
  <c r="R154" i="15"/>
  <c r="S52" i="15"/>
  <c r="R169" i="15"/>
  <c r="S163" i="15"/>
  <c r="R129" i="15"/>
  <c r="S119" i="15"/>
  <c r="R165" i="15"/>
  <c r="R158" i="15"/>
  <c r="R126" i="15"/>
  <c r="R17" i="15"/>
  <c r="R155" i="15"/>
  <c r="R120" i="15"/>
  <c r="R122" i="15"/>
  <c r="R121" i="15"/>
  <c r="R118" i="15"/>
  <c r="S127" i="15"/>
  <c r="H52" i="23"/>
  <c r="R167" i="15"/>
  <c r="R130" i="15"/>
  <c r="R123" i="15"/>
  <c r="L54" i="15"/>
  <c r="L20" i="15"/>
  <c r="B88" i="15"/>
  <c r="I88" i="15" s="1"/>
  <c r="M54" i="15"/>
  <c r="B20" i="15"/>
  <c r="I20" i="15" s="1"/>
  <c r="B54" i="15"/>
  <c r="M20" i="15"/>
  <c r="G52" i="23"/>
  <c r="C52" i="23"/>
  <c r="AH65" i="12"/>
  <c r="L53" i="23"/>
  <c r="AL92" i="12"/>
  <c r="AH91" i="12"/>
  <c r="AL89" i="12"/>
  <c r="AL96" i="14"/>
  <c r="AL31" i="12"/>
  <c r="AL47" i="12"/>
  <c r="AL45" i="12"/>
  <c r="AL38" i="12"/>
  <c r="AL42" i="12"/>
  <c r="AL41" i="12"/>
  <c r="AL39" i="12"/>
  <c r="AL5" i="12"/>
  <c r="AL30" i="12"/>
  <c r="AL26" i="12"/>
  <c r="AL27" i="12"/>
  <c r="B187" i="23"/>
  <c r="G187" i="23" s="1"/>
  <c r="L119" i="23"/>
  <c r="Q119" i="23" s="1"/>
  <c r="S119" i="23" s="1"/>
  <c r="G186" i="23"/>
  <c r="I186" i="23"/>
  <c r="L19" i="23"/>
  <c r="Q53" i="15"/>
  <c r="R151" i="23"/>
  <c r="C186" i="23"/>
  <c r="I152" i="23"/>
  <c r="Q152" i="23"/>
  <c r="R152" i="23" s="1"/>
  <c r="C152" i="23"/>
  <c r="H152" i="23"/>
  <c r="C19" i="15"/>
  <c r="H19" i="15"/>
  <c r="G19" i="15"/>
  <c r="A22" i="4"/>
  <c r="B21" i="15" s="1"/>
  <c r="I21" i="15" s="1"/>
  <c r="B119" i="23"/>
  <c r="I119" i="23" s="1"/>
  <c r="C87" i="15"/>
  <c r="G87" i="15"/>
  <c r="H87" i="15"/>
  <c r="Q19" i="15"/>
  <c r="S19" i="15" s="1"/>
  <c r="B153" i="23"/>
  <c r="G153" i="23" s="1"/>
  <c r="H53" i="15"/>
  <c r="I53" i="15"/>
  <c r="C53" i="15"/>
  <c r="G53" i="15"/>
  <c r="Q118" i="23"/>
  <c r="R118" i="23" s="1"/>
  <c r="B19" i="23"/>
  <c r="C19" i="23" s="1"/>
  <c r="M53" i="23"/>
  <c r="R51" i="23"/>
  <c r="A59" i="22"/>
  <c r="B120" i="23" s="1"/>
  <c r="M153" i="23"/>
  <c r="L153" i="23"/>
  <c r="H18" i="23"/>
  <c r="C18" i="23"/>
  <c r="I18" i="23"/>
  <c r="G18" i="23"/>
  <c r="C86" i="23"/>
  <c r="H86" i="23"/>
  <c r="I86" i="23"/>
  <c r="G86" i="23"/>
  <c r="R18" i="23"/>
  <c r="S18" i="23"/>
  <c r="Q52" i="23"/>
  <c r="I53" i="23"/>
  <c r="H53" i="23"/>
  <c r="C53" i="23"/>
  <c r="G53" i="23"/>
  <c r="A21" i="22"/>
  <c r="L20" i="23" s="1"/>
  <c r="B87" i="23"/>
  <c r="M19" i="23"/>
  <c r="F255" i="19"/>
  <c r="G255" i="19" s="1"/>
  <c r="F146" i="19"/>
  <c r="G146" i="19" s="1"/>
  <c r="G90" i="18"/>
  <c r="F91" i="18"/>
  <c r="H91" i="18" s="1"/>
  <c r="F146" i="18"/>
  <c r="C38" i="18"/>
  <c r="F38" i="18"/>
  <c r="G38" i="18" s="1"/>
  <c r="C37" i="18"/>
  <c r="F37" i="18"/>
  <c r="G37" i="18" s="1"/>
  <c r="H38" i="9" l="1" a="1"/>
  <c r="H38" i="9" s="1"/>
  <c r="N1778" i="20"/>
  <c r="N1779" i="20" s="1"/>
  <c r="N1774" i="20"/>
  <c r="N1775" i="20" s="1"/>
  <c r="N1776" i="20" s="1"/>
  <c r="N1777" i="20" s="1"/>
  <c r="N818" i="20"/>
  <c r="N819" i="20" s="1"/>
  <c r="N814" i="20"/>
  <c r="N815" i="20" s="1"/>
  <c r="N816" i="20" s="1"/>
  <c r="N817" i="20" s="1"/>
  <c r="E168" i="17"/>
  <c r="O295" i="11"/>
  <c r="P295" i="11" s="1"/>
  <c r="O293" i="11"/>
  <c r="P293" i="11" s="1"/>
  <c r="C272" i="17"/>
  <c r="E272" i="17" s="1"/>
  <c r="F272" i="17" s="1"/>
  <c r="D272" i="17"/>
  <c r="C271" i="17"/>
  <c r="E271" i="17" s="1"/>
  <c r="F271" i="17" s="1"/>
  <c r="N294" i="11"/>
  <c r="O294" i="11" s="1"/>
  <c r="P294" i="11" s="1"/>
  <c r="D268" i="17"/>
  <c r="N291" i="11"/>
  <c r="O291" i="11" s="1"/>
  <c r="P291" i="11" s="1"/>
  <c r="F133" i="17"/>
  <c r="F33" i="17"/>
  <c r="F83" i="17"/>
  <c r="E169" i="17"/>
  <c r="C20" i="18"/>
  <c r="H20" i="18"/>
  <c r="F20" i="18"/>
  <c r="G20" i="18" s="1"/>
  <c r="E247" i="17"/>
  <c r="C270" i="17"/>
  <c r="E270" i="17" s="1"/>
  <c r="F270" i="17" s="1"/>
  <c r="D270" i="17"/>
  <c r="F197" i="17"/>
  <c r="F3" i="17"/>
  <c r="F7" i="17"/>
  <c r="G91" i="18"/>
  <c r="Q53" i="23"/>
  <c r="R53" i="23" s="1"/>
  <c r="H187" i="23"/>
  <c r="C187" i="23"/>
  <c r="I187" i="23"/>
  <c r="Q19" i="23"/>
  <c r="R19" i="23" s="1"/>
  <c r="S152" i="23"/>
  <c r="B54" i="23"/>
  <c r="G54" i="23" s="1"/>
  <c r="B154" i="23"/>
  <c r="H154" i="23" s="1"/>
  <c r="L120" i="23"/>
  <c r="Q20" i="15"/>
  <c r="S20" i="15" s="1"/>
  <c r="S53" i="15"/>
  <c r="R53" i="15"/>
  <c r="C153" i="23"/>
  <c r="I153" i="23"/>
  <c r="C119" i="23"/>
  <c r="H153" i="23"/>
  <c r="A23" i="4"/>
  <c r="C20" i="15"/>
  <c r="H20" i="15"/>
  <c r="G20" i="15"/>
  <c r="G88" i="15"/>
  <c r="C88" i="15"/>
  <c r="H88" i="15"/>
  <c r="G119" i="23"/>
  <c r="Q54" i="15"/>
  <c r="H119" i="23"/>
  <c r="R19" i="15"/>
  <c r="C54" i="15"/>
  <c r="I54" i="15"/>
  <c r="G54" i="15"/>
  <c r="H54" i="15"/>
  <c r="I19" i="23"/>
  <c r="G19" i="23"/>
  <c r="R119" i="23"/>
  <c r="S118" i="23"/>
  <c r="H19" i="23"/>
  <c r="I120" i="23"/>
  <c r="H120" i="23"/>
  <c r="G120" i="23"/>
  <c r="C120" i="23"/>
  <c r="Q153" i="23"/>
  <c r="A60" i="22"/>
  <c r="L155" i="23" s="1"/>
  <c r="M154" i="23"/>
  <c r="M120" i="23"/>
  <c r="B188" i="23"/>
  <c r="L154" i="23"/>
  <c r="H87" i="23"/>
  <c r="G87" i="23"/>
  <c r="I87" i="23"/>
  <c r="C87" i="23"/>
  <c r="S52" i="23"/>
  <c r="R52" i="23"/>
  <c r="A22" i="22"/>
  <c r="L21" i="23" s="1"/>
  <c r="B20" i="23"/>
  <c r="L54" i="23"/>
  <c r="M54" i="23"/>
  <c r="B88" i="23"/>
  <c r="M20" i="23"/>
  <c r="Q20" i="23" s="1"/>
  <c r="F257" i="19"/>
  <c r="F147" i="19"/>
  <c r="G147" i="19" s="1"/>
  <c r="G256" i="19"/>
  <c r="F256" i="19"/>
  <c r="F92" i="18"/>
  <c r="H92" i="18" s="1"/>
  <c r="G146" i="18"/>
  <c r="C146" i="18"/>
  <c r="C147" i="18"/>
  <c r="F147" i="18"/>
  <c r="G147" i="18" s="1"/>
  <c r="N1784" i="20" l="1"/>
  <c r="N1785" i="20" s="1"/>
  <c r="N1780" i="20"/>
  <c r="N1781" i="20" s="1"/>
  <c r="N1782" i="20" s="1"/>
  <c r="N1783" i="20" s="1"/>
  <c r="N824" i="20"/>
  <c r="N825" i="20" s="1"/>
  <c r="N820" i="20"/>
  <c r="N821" i="20" s="1"/>
  <c r="N822" i="20" s="1"/>
  <c r="N823" i="20" s="1"/>
  <c r="F326" i="17"/>
  <c r="F246" i="17"/>
  <c r="F296" i="17"/>
  <c r="F268" i="17"/>
  <c r="F171" i="17"/>
  <c r="F167" i="17"/>
  <c r="F169" i="17"/>
  <c r="F170" i="17"/>
  <c r="F247" i="17"/>
  <c r="F168" i="17"/>
  <c r="G92" i="18"/>
  <c r="S53" i="23"/>
  <c r="H54" i="23"/>
  <c r="C154" i="23"/>
  <c r="M121" i="23"/>
  <c r="S19" i="23"/>
  <c r="R20" i="15"/>
  <c r="G154" i="23"/>
  <c r="Q120" i="23"/>
  <c r="S120" i="23" s="1"/>
  <c r="I154" i="23"/>
  <c r="C54" i="23"/>
  <c r="B121" i="23"/>
  <c r="H121" i="23" s="1"/>
  <c r="I54" i="23"/>
  <c r="B89" i="23"/>
  <c r="G89" i="23" s="1"/>
  <c r="Q154" i="23"/>
  <c r="R154" i="23" s="1"/>
  <c r="A24" i="4"/>
  <c r="R54" i="15"/>
  <c r="S54" i="15"/>
  <c r="L121" i="23"/>
  <c r="G21" i="15"/>
  <c r="C21" i="15"/>
  <c r="H21" i="15"/>
  <c r="B55" i="23"/>
  <c r="H55" i="23" s="1"/>
  <c r="B189" i="23"/>
  <c r="I189" i="23" s="1"/>
  <c r="M21" i="23"/>
  <c r="Q21" i="23" s="1"/>
  <c r="B21" i="23"/>
  <c r="I21" i="23" s="1"/>
  <c r="L55" i="23"/>
  <c r="A61" i="22"/>
  <c r="M122" i="23" s="1"/>
  <c r="B155" i="23"/>
  <c r="M155" i="23"/>
  <c r="Q155" i="23" s="1"/>
  <c r="S153" i="23"/>
  <c r="R153" i="23"/>
  <c r="H188" i="23"/>
  <c r="G188" i="23"/>
  <c r="I188" i="23"/>
  <c r="C188" i="23"/>
  <c r="R20" i="23"/>
  <c r="S20" i="23"/>
  <c r="G88" i="23"/>
  <c r="C88" i="23"/>
  <c r="I88" i="23"/>
  <c r="H88" i="23"/>
  <c r="Q54" i="23"/>
  <c r="H20" i="23"/>
  <c r="C20" i="23"/>
  <c r="G20" i="23"/>
  <c r="I20" i="23"/>
  <c r="A23" i="22"/>
  <c r="M56" i="23" s="1"/>
  <c r="M55" i="23"/>
  <c r="G257" i="19"/>
  <c r="F148" i="19"/>
  <c r="G148" i="19" s="1"/>
  <c r="F94" i="18"/>
  <c r="H94" i="18" s="1"/>
  <c r="F93" i="18"/>
  <c r="H93" i="18" s="1"/>
  <c r="C39" i="18"/>
  <c r="F39" i="18"/>
  <c r="G39" i="18" s="1"/>
  <c r="N1790" i="20" l="1"/>
  <c r="N1791" i="20" s="1"/>
  <c r="N1786" i="20"/>
  <c r="N1787" i="20" s="1"/>
  <c r="N1788" i="20" s="1"/>
  <c r="N1789" i="20" s="1"/>
  <c r="N830" i="20"/>
  <c r="N831" i="20" s="1"/>
  <c r="N826" i="20"/>
  <c r="N827" i="20" s="1"/>
  <c r="N828" i="20" s="1"/>
  <c r="N829" i="20" s="1"/>
  <c r="G94" i="18"/>
  <c r="Q121" i="23"/>
  <c r="S121" i="23" s="1"/>
  <c r="I89" i="23"/>
  <c r="C89" i="23"/>
  <c r="R120" i="23"/>
  <c r="L122" i="23"/>
  <c r="Q122" i="23" s="1"/>
  <c r="S122" i="23" s="1"/>
  <c r="F40" i="18"/>
  <c r="G40" i="18" s="1"/>
  <c r="C40" i="18"/>
  <c r="H89" i="23"/>
  <c r="C121" i="23"/>
  <c r="I121" i="23"/>
  <c r="G121" i="23"/>
  <c r="G55" i="23"/>
  <c r="G189" i="23"/>
  <c r="I55" i="23"/>
  <c r="S154" i="23"/>
  <c r="C55" i="23"/>
  <c r="C189" i="23"/>
  <c r="H189" i="23"/>
  <c r="Q55" i="23"/>
  <c r="R55" i="23" s="1"/>
  <c r="A25" i="4"/>
  <c r="H21" i="23"/>
  <c r="G21" i="23"/>
  <c r="C21" i="23"/>
  <c r="B56" i="23"/>
  <c r="G56" i="23" s="1"/>
  <c r="R155" i="23"/>
  <c r="S155" i="23"/>
  <c r="H155" i="23"/>
  <c r="C155" i="23"/>
  <c r="I155" i="23"/>
  <c r="G155" i="23"/>
  <c r="A62" i="22"/>
  <c r="L123" i="23" s="1"/>
  <c r="B156" i="23"/>
  <c r="M156" i="23"/>
  <c r="L156" i="23"/>
  <c r="B122" i="23"/>
  <c r="B190" i="23"/>
  <c r="A24" i="22"/>
  <c r="L57" i="23" s="1"/>
  <c r="M22" i="23"/>
  <c r="B22" i="23"/>
  <c r="B90" i="23"/>
  <c r="L56" i="23"/>
  <c r="Q56" i="23" s="1"/>
  <c r="L22" i="23"/>
  <c r="R21" i="23"/>
  <c r="S21" i="23"/>
  <c r="S54" i="23"/>
  <c r="R54" i="23"/>
  <c r="F259" i="19"/>
  <c r="F258" i="19"/>
  <c r="G258" i="19" s="1"/>
  <c r="F149" i="19"/>
  <c r="G149" i="19" s="1"/>
  <c r="G93" i="18"/>
  <c r="C148" i="18"/>
  <c r="F148" i="18"/>
  <c r="G148" i="18" s="1"/>
  <c r="N1796" i="20" l="1"/>
  <c r="N1797" i="20" s="1"/>
  <c r="N1792" i="20"/>
  <c r="N1793" i="20" s="1"/>
  <c r="N1794" i="20" s="1"/>
  <c r="N1795" i="20" s="1"/>
  <c r="N836" i="20"/>
  <c r="N837" i="20" s="1"/>
  <c r="N832" i="20"/>
  <c r="N833" i="20" s="1"/>
  <c r="N834" i="20" s="1"/>
  <c r="N835" i="20" s="1"/>
  <c r="B191" i="23"/>
  <c r="I191" i="23" s="1"/>
  <c r="B57" i="23"/>
  <c r="I57" i="23" s="1"/>
  <c r="L23" i="23"/>
  <c r="R121" i="23"/>
  <c r="B123" i="23"/>
  <c r="H123" i="23" s="1"/>
  <c r="M157" i="23"/>
  <c r="S55" i="23"/>
  <c r="H56" i="23"/>
  <c r="B157" i="23"/>
  <c r="I157" i="23" s="1"/>
  <c r="A26" i="4"/>
  <c r="M57" i="23"/>
  <c r="Q57" i="23" s="1"/>
  <c r="M123" i="23"/>
  <c r="Q123" i="23" s="1"/>
  <c r="R122" i="23"/>
  <c r="I56" i="23"/>
  <c r="C56" i="23"/>
  <c r="Q156" i="23"/>
  <c r="S156" i="23" s="1"/>
  <c r="M23" i="23"/>
  <c r="G190" i="23"/>
  <c r="H190" i="23"/>
  <c r="C190" i="23"/>
  <c r="I190" i="23"/>
  <c r="C122" i="23"/>
  <c r="I122" i="23"/>
  <c r="H122" i="23"/>
  <c r="G122" i="23"/>
  <c r="B91" i="23"/>
  <c r="H91" i="23" s="1"/>
  <c r="B23" i="23"/>
  <c r="H23" i="23" s="1"/>
  <c r="C156" i="23"/>
  <c r="I156" i="23"/>
  <c r="G156" i="23"/>
  <c r="H156" i="23"/>
  <c r="A63" i="22"/>
  <c r="L124" i="23" s="1"/>
  <c r="L157" i="23"/>
  <c r="Q22" i="23"/>
  <c r="S22" i="23" s="1"/>
  <c r="I90" i="23"/>
  <c r="H90" i="23"/>
  <c r="G90" i="23"/>
  <c r="C90" i="23"/>
  <c r="C22" i="23"/>
  <c r="G22" i="23"/>
  <c r="H22" i="23"/>
  <c r="I22" i="23"/>
  <c r="S56" i="23"/>
  <c r="R56" i="23"/>
  <c r="A25" i="22"/>
  <c r="L24" i="23" s="1"/>
  <c r="G259" i="19"/>
  <c r="F150" i="19"/>
  <c r="G150" i="19"/>
  <c r="F95" i="18"/>
  <c r="H95" i="18" s="1"/>
  <c r="F150" i="18"/>
  <c r="C42" i="18"/>
  <c r="C149" i="18"/>
  <c r="F149" i="18"/>
  <c r="G149" i="18" s="1"/>
  <c r="C41" i="18"/>
  <c r="F41" i="18"/>
  <c r="G41" i="18" s="1"/>
  <c r="N1802" i="20" l="1"/>
  <c r="N1803" i="20" s="1"/>
  <c r="N1798" i="20"/>
  <c r="N1799" i="20" s="1"/>
  <c r="N1800" i="20" s="1"/>
  <c r="N1801" i="20" s="1"/>
  <c r="N842" i="20"/>
  <c r="N843" i="20" s="1"/>
  <c r="N838" i="20"/>
  <c r="N839" i="20" s="1"/>
  <c r="N840" i="20" s="1"/>
  <c r="N841" i="20" s="1"/>
  <c r="C57" i="23"/>
  <c r="H57" i="23"/>
  <c r="G57" i="23"/>
  <c r="C191" i="23"/>
  <c r="H191" i="23"/>
  <c r="G191" i="23"/>
  <c r="Q23" i="23"/>
  <c r="S23" i="23" s="1"/>
  <c r="C123" i="23"/>
  <c r="H157" i="23"/>
  <c r="Q157" i="23"/>
  <c r="S157" i="23" s="1"/>
  <c r="I123" i="23"/>
  <c r="G123" i="23"/>
  <c r="G157" i="23"/>
  <c r="C157" i="23"/>
  <c r="B58" i="23"/>
  <c r="C58" i="23" s="1"/>
  <c r="B192" i="23"/>
  <c r="I192" i="23" s="1"/>
  <c r="A27" i="4"/>
  <c r="L58" i="23"/>
  <c r="M58" i="23"/>
  <c r="C91" i="23"/>
  <c r="G91" i="23"/>
  <c r="I91" i="23"/>
  <c r="R156" i="23"/>
  <c r="G23" i="23"/>
  <c r="C23" i="23"/>
  <c r="I23" i="23"/>
  <c r="M24" i="23"/>
  <c r="Q24" i="23" s="1"/>
  <c r="R24" i="23" s="1"/>
  <c r="M124" i="23"/>
  <c r="Q124" i="23" s="1"/>
  <c r="A64" i="22"/>
  <c r="B159" i="23" s="1"/>
  <c r="B124" i="23"/>
  <c r="M158" i="23"/>
  <c r="B158" i="23"/>
  <c r="L158" i="23"/>
  <c r="S123" i="23"/>
  <c r="R123" i="23"/>
  <c r="R22" i="23"/>
  <c r="R57" i="23"/>
  <c r="S57" i="23"/>
  <c r="A26" i="22"/>
  <c r="L59" i="23" s="1"/>
  <c r="B92" i="23"/>
  <c r="F260" i="19"/>
  <c r="G260" i="19" s="1"/>
  <c r="F151" i="19"/>
  <c r="G151" i="19" s="1"/>
  <c r="F96" i="18"/>
  <c r="H96" i="18" s="1"/>
  <c r="C150" i="18"/>
  <c r="G95" i="18"/>
  <c r="G150" i="18"/>
  <c r="F42" i="18"/>
  <c r="G42" i="18" s="1"/>
  <c r="F97" i="18"/>
  <c r="H97" i="18" s="1"/>
  <c r="N1808" i="20" l="1"/>
  <c r="N1809" i="20" s="1"/>
  <c r="N1804" i="20"/>
  <c r="N1805" i="20" s="1"/>
  <c r="N1806" i="20" s="1"/>
  <c r="N1807" i="20" s="1"/>
  <c r="N848" i="20"/>
  <c r="N849" i="20" s="1"/>
  <c r="N844" i="20"/>
  <c r="N845" i="20" s="1"/>
  <c r="N846" i="20" s="1"/>
  <c r="N847" i="20" s="1"/>
  <c r="G96" i="18"/>
  <c r="R23" i="23"/>
  <c r="R157" i="23"/>
  <c r="H58" i="23"/>
  <c r="G58" i="23"/>
  <c r="Q158" i="23"/>
  <c r="S158" i="23" s="1"/>
  <c r="H192" i="23"/>
  <c r="C192" i="23"/>
  <c r="G192" i="23"/>
  <c r="I58" i="23"/>
  <c r="B125" i="23"/>
  <c r="H125" i="23" s="1"/>
  <c r="A28" i="4"/>
  <c r="L125" i="23"/>
  <c r="Q58" i="23"/>
  <c r="S58" i="23" s="1"/>
  <c r="B25" i="23"/>
  <c r="I25" i="23" s="1"/>
  <c r="M125" i="23"/>
  <c r="B193" i="23"/>
  <c r="C193" i="23" s="1"/>
  <c r="R124" i="23"/>
  <c r="S124" i="23"/>
  <c r="G159" i="23"/>
  <c r="H159" i="23"/>
  <c r="C159" i="23"/>
  <c r="I159" i="23"/>
  <c r="A65" i="22"/>
  <c r="A66" i="22" s="1"/>
  <c r="A67" i="22" s="1"/>
  <c r="A68" i="22" s="1"/>
  <c r="A69" i="22" s="1"/>
  <c r="A70" i="22" s="1"/>
  <c r="A71" i="22" s="1"/>
  <c r="A72" i="22" s="1"/>
  <c r="A73" i="22" s="1"/>
  <c r="A74" i="22" s="1"/>
  <c r="M159" i="23"/>
  <c r="L159" i="23"/>
  <c r="G158" i="23"/>
  <c r="I158" i="23"/>
  <c r="H158" i="23"/>
  <c r="C158" i="23"/>
  <c r="G124" i="23"/>
  <c r="H124" i="23"/>
  <c r="I124" i="23"/>
  <c r="C124" i="23"/>
  <c r="S24" i="23"/>
  <c r="C92" i="23"/>
  <c r="G92" i="23"/>
  <c r="H92" i="23"/>
  <c r="I92" i="23"/>
  <c r="A27" i="22"/>
  <c r="M25" i="23"/>
  <c r="L25" i="23"/>
  <c r="B59" i="23"/>
  <c r="B93" i="23"/>
  <c r="F261" i="19"/>
  <c r="G261" i="19"/>
  <c r="G152" i="19"/>
  <c r="F152" i="19"/>
  <c r="C48" i="18"/>
  <c r="F155" i="18"/>
  <c r="F153" i="18"/>
  <c r="G97" i="18"/>
  <c r="C43" i="18"/>
  <c r="F43" i="18"/>
  <c r="G43" i="18" s="1"/>
  <c r="C151" i="18"/>
  <c r="F151" i="18"/>
  <c r="G151" i="18" s="1"/>
  <c r="N1814" i="20" l="1"/>
  <c r="N1815" i="20" s="1"/>
  <c r="N1810" i="20"/>
  <c r="N1811" i="20" s="1"/>
  <c r="N1812" i="20" s="1"/>
  <c r="N1813" i="20" s="1"/>
  <c r="N854" i="20"/>
  <c r="N855" i="20" s="1"/>
  <c r="N850" i="20"/>
  <c r="N851" i="20" s="1"/>
  <c r="N852" i="20" s="1"/>
  <c r="N853" i="20" s="1"/>
  <c r="M163" i="23"/>
  <c r="L132" i="23"/>
  <c r="B164" i="23"/>
  <c r="C164" i="23" s="1"/>
  <c r="L165" i="23"/>
  <c r="L169" i="23"/>
  <c r="B202" i="23"/>
  <c r="H202" i="23" s="1"/>
  <c r="F100" i="18"/>
  <c r="H100" i="18" s="1"/>
  <c r="L167" i="23"/>
  <c r="M134" i="23"/>
  <c r="B132" i="23"/>
  <c r="H132" i="23" s="1"/>
  <c r="B197" i="23"/>
  <c r="C197" i="23" s="1"/>
  <c r="B131" i="23"/>
  <c r="I131" i="23" s="1"/>
  <c r="B165" i="23"/>
  <c r="G165" i="23" s="1"/>
  <c r="M167" i="23"/>
  <c r="R158" i="23"/>
  <c r="I125" i="23"/>
  <c r="C125" i="23"/>
  <c r="Q125" i="23"/>
  <c r="S125" i="23" s="1"/>
  <c r="G125" i="23"/>
  <c r="I193" i="23"/>
  <c r="M169" i="23"/>
  <c r="M130" i="23"/>
  <c r="M126" i="23"/>
  <c r="B169" i="23"/>
  <c r="I169" i="23" s="1"/>
  <c r="B203" i="23"/>
  <c r="H203" i="23" s="1"/>
  <c r="L161" i="23"/>
  <c r="B130" i="23"/>
  <c r="H130" i="23" s="1"/>
  <c r="A29" i="4"/>
  <c r="L130" i="23"/>
  <c r="B201" i="23"/>
  <c r="H201" i="23" s="1"/>
  <c r="B167" i="23"/>
  <c r="C167" i="23" s="1"/>
  <c r="B195" i="23"/>
  <c r="G195" i="23" s="1"/>
  <c r="M161" i="23"/>
  <c r="L128" i="23"/>
  <c r="B198" i="23"/>
  <c r="G198" i="23" s="1"/>
  <c r="R58" i="23"/>
  <c r="G25" i="23"/>
  <c r="C25" i="23"/>
  <c r="G193" i="23"/>
  <c r="H25" i="23"/>
  <c r="H193" i="23"/>
  <c r="Q159" i="23"/>
  <c r="R159" i="23" s="1"/>
  <c r="M132" i="23"/>
  <c r="M162" i="23"/>
  <c r="L131" i="23"/>
  <c r="B129" i="23"/>
  <c r="L129" i="23"/>
  <c r="B127" i="23"/>
  <c r="M127" i="23"/>
  <c r="M165" i="23"/>
  <c r="M128" i="23"/>
  <c r="M129" i="23"/>
  <c r="B194" i="23"/>
  <c r="B161" i="23"/>
  <c r="B166" i="23"/>
  <c r="B126" i="23"/>
  <c r="B160" i="23"/>
  <c r="L135" i="23"/>
  <c r="L127" i="23"/>
  <c r="M168" i="23"/>
  <c r="B196" i="23"/>
  <c r="B168" i="23"/>
  <c r="B128" i="23"/>
  <c r="M135" i="23"/>
  <c r="B163" i="23"/>
  <c r="B162" i="23"/>
  <c r="L126" i="23"/>
  <c r="L160" i="23"/>
  <c r="B135" i="23"/>
  <c r="M164" i="23"/>
  <c r="L162" i="23"/>
  <c r="B133" i="23"/>
  <c r="M131" i="23"/>
  <c r="B200" i="23"/>
  <c r="M166" i="23"/>
  <c r="B199" i="23"/>
  <c r="L134" i="23"/>
  <c r="L166" i="23"/>
  <c r="L168" i="23"/>
  <c r="L133" i="23"/>
  <c r="M160" i="23"/>
  <c r="L164" i="23"/>
  <c r="M133" i="23"/>
  <c r="B134" i="23"/>
  <c r="L163" i="23"/>
  <c r="F105" i="18"/>
  <c r="H105" i="18" s="1"/>
  <c r="H59" i="23"/>
  <c r="C59" i="23"/>
  <c r="G59" i="23"/>
  <c r="I59" i="23"/>
  <c r="A28" i="22"/>
  <c r="A29" i="22" s="1"/>
  <c r="A30" i="22" s="1"/>
  <c r="A31" i="22" s="1"/>
  <c r="A32" i="22" s="1"/>
  <c r="A33" i="22" s="1"/>
  <c r="A34" i="22" s="1"/>
  <c r="B101" i="23" s="1"/>
  <c r="B60" i="23"/>
  <c r="L26" i="23"/>
  <c r="M26" i="23"/>
  <c r="B94" i="23"/>
  <c r="B26" i="23"/>
  <c r="M60" i="23"/>
  <c r="L60" i="23"/>
  <c r="C93" i="23"/>
  <c r="G93" i="23"/>
  <c r="H93" i="23"/>
  <c r="I93" i="23"/>
  <c r="Q25" i="23"/>
  <c r="F153" i="19"/>
  <c r="G153" i="19" s="1"/>
  <c r="G153" i="18"/>
  <c r="G262" i="19"/>
  <c r="F262" i="19"/>
  <c r="C153" i="18"/>
  <c r="G155" i="18"/>
  <c r="F103" i="18"/>
  <c r="H103" i="18" s="1"/>
  <c r="F99" i="18"/>
  <c r="H99" i="18" s="1"/>
  <c r="C155" i="18"/>
  <c r="C46" i="18"/>
  <c r="F46" i="18"/>
  <c r="G46" i="18" s="1"/>
  <c r="F98" i="18"/>
  <c r="H98" i="18" s="1"/>
  <c r="F48" i="18"/>
  <c r="G48" i="18" s="1"/>
  <c r="F101" i="18"/>
  <c r="H101" i="18" s="1"/>
  <c r="F106" i="18"/>
  <c r="H106" i="18" s="1"/>
  <c r="C44" i="18"/>
  <c r="F44" i="18"/>
  <c r="G44" i="18" s="1"/>
  <c r="C158" i="18"/>
  <c r="F158" i="18"/>
  <c r="G158" i="18" s="1"/>
  <c r="C50" i="18"/>
  <c r="F50" i="18"/>
  <c r="G50" i="18" s="1"/>
  <c r="C160" i="18"/>
  <c r="F160" i="18"/>
  <c r="G160" i="18" s="1"/>
  <c r="F157" i="18"/>
  <c r="G157" i="18" s="1"/>
  <c r="C157" i="18"/>
  <c r="F45" i="18"/>
  <c r="G45" i="18" s="1"/>
  <c r="C45" i="18"/>
  <c r="F52" i="18"/>
  <c r="G52" i="18" s="1"/>
  <c r="C52" i="18"/>
  <c r="C159" i="18"/>
  <c r="F159" i="18"/>
  <c r="G159" i="18" s="1"/>
  <c r="F102" i="18"/>
  <c r="H102" i="18" s="1"/>
  <c r="F107" i="18"/>
  <c r="H107" i="18" s="1"/>
  <c r="C161" i="18"/>
  <c r="F161" i="18"/>
  <c r="G161" i="18" s="1"/>
  <c r="F152" i="18"/>
  <c r="G152" i="18" s="1"/>
  <c r="C152" i="18"/>
  <c r="F49" i="18"/>
  <c r="G49" i="18" s="1"/>
  <c r="C49" i="18"/>
  <c r="C47" i="18"/>
  <c r="F47" i="18"/>
  <c r="G47" i="18" s="1"/>
  <c r="F51" i="18"/>
  <c r="G51" i="18" s="1"/>
  <c r="C51" i="18"/>
  <c r="F53" i="18"/>
  <c r="G53" i="18" s="1"/>
  <c r="C53" i="18"/>
  <c r="F154" i="18"/>
  <c r="G154" i="18" s="1"/>
  <c r="C154" i="18"/>
  <c r="C156" i="18"/>
  <c r="F156" i="18"/>
  <c r="G156" i="18" s="1"/>
  <c r="F104" i="18"/>
  <c r="H104" i="18" s="1"/>
  <c r="N1820" i="20" l="1"/>
  <c r="N1821" i="20" s="1"/>
  <c r="N1816" i="20"/>
  <c r="N1817" i="20" s="1"/>
  <c r="N1818" i="20" s="1"/>
  <c r="N1819" i="20" s="1"/>
  <c r="N860" i="20"/>
  <c r="N861" i="20" s="1"/>
  <c r="N856" i="20"/>
  <c r="N857" i="20" s="1"/>
  <c r="N858" i="20" s="1"/>
  <c r="N859" i="20" s="1"/>
  <c r="G101" i="18"/>
  <c r="G98" i="18"/>
  <c r="G105" i="18"/>
  <c r="Q163" i="23"/>
  <c r="R163" i="23" s="1"/>
  <c r="Q169" i="23"/>
  <c r="R169" i="23" s="1"/>
  <c r="H164" i="23"/>
  <c r="G202" i="23"/>
  <c r="Q132" i="23"/>
  <c r="S132" i="23" s="1"/>
  <c r="I202" i="23"/>
  <c r="I164" i="23"/>
  <c r="Q165" i="23"/>
  <c r="R165" i="23" s="1"/>
  <c r="C202" i="23"/>
  <c r="G164" i="23"/>
  <c r="G100" i="18"/>
  <c r="B27" i="23"/>
  <c r="I27" i="23" s="1"/>
  <c r="L29" i="23"/>
  <c r="L27" i="23"/>
  <c r="Q167" i="23"/>
  <c r="S167" i="23" s="1"/>
  <c r="L65" i="23"/>
  <c r="B98" i="23"/>
  <c r="H98" i="23" s="1"/>
  <c r="M62" i="23"/>
  <c r="I132" i="23"/>
  <c r="H197" i="23"/>
  <c r="Q134" i="23"/>
  <c r="R134" i="23" s="1"/>
  <c r="I197" i="23"/>
  <c r="C132" i="23"/>
  <c r="G132" i="23"/>
  <c r="G197" i="23"/>
  <c r="C131" i="23"/>
  <c r="H131" i="23"/>
  <c r="G131" i="23"/>
  <c r="H195" i="23"/>
  <c r="C195" i="23"/>
  <c r="C130" i="23"/>
  <c r="L67" i="23"/>
  <c r="M28" i="23"/>
  <c r="M63" i="23"/>
  <c r="L31" i="23"/>
  <c r="M33" i="23"/>
  <c r="L30" i="23"/>
  <c r="B97" i="23"/>
  <c r="I97" i="23" s="1"/>
  <c r="L28" i="23"/>
  <c r="M27" i="23"/>
  <c r="B28" i="23"/>
  <c r="C28" i="23" s="1"/>
  <c r="B30" i="23"/>
  <c r="I30" i="23" s="1"/>
  <c r="M61" i="23"/>
  <c r="B65" i="23"/>
  <c r="H65" i="23" s="1"/>
  <c r="B95" i="23"/>
  <c r="H95" i="23" s="1"/>
  <c r="L66" i="23"/>
  <c r="L63" i="23"/>
  <c r="Q130" i="23"/>
  <c r="R130" i="23" s="1"/>
  <c r="H165" i="23"/>
  <c r="I165" i="23"/>
  <c r="C165" i="23"/>
  <c r="B32" i="23"/>
  <c r="C32" i="23" s="1"/>
  <c r="M29" i="23"/>
  <c r="C203" i="23"/>
  <c r="I203" i="23"/>
  <c r="G203" i="23"/>
  <c r="Q161" i="23"/>
  <c r="R161" i="23" s="1"/>
  <c r="R125" i="23"/>
  <c r="G167" i="23"/>
  <c r="I130" i="23"/>
  <c r="G169" i="23"/>
  <c r="H169" i="23"/>
  <c r="H167" i="23"/>
  <c r="Q127" i="23"/>
  <c r="S127" i="23" s="1"/>
  <c r="Q128" i="23"/>
  <c r="S128" i="23" s="1"/>
  <c r="I167" i="23"/>
  <c r="G130" i="23"/>
  <c r="I201" i="23"/>
  <c r="I195" i="23"/>
  <c r="C201" i="23"/>
  <c r="G201" i="23"/>
  <c r="L62" i="23"/>
  <c r="B29" i="23"/>
  <c r="I29" i="23" s="1"/>
  <c r="B31" i="23"/>
  <c r="I31" i="23" s="1"/>
  <c r="B96" i="23"/>
  <c r="C96" i="23" s="1"/>
  <c r="L64" i="23"/>
  <c r="M31" i="23"/>
  <c r="M66" i="23"/>
  <c r="M30" i="23"/>
  <c r="B33" i="23"/>
  <c r="H33" i="23" s="1"/>
  <c r="B64" i="23"/>
  <c r="C64" i="23" s="1"/>
  <c r="M64" i="23"/>
  <c r="M65" i="23"/>
  <c r="S159" i="23"/>
  <c r="I198" i="23"/>
  <c r="Q126" i="23"/>
  <c r="S126" i="23" s="1"/>
  <c r="C169" i="23"/>
  <c r="H198" i="23"/>
  <c r="C198" i="23"/>
  <c r="L32" i="23"/>
  <c r="L61" i="23"/>
  <c r="L33" i="23"/>
  <c r="B66" i="23"/>
  <c r="C66" i="23" s="1"/>
  <c r="B99" i="23"/>
  <c r="G99" i="23" s="1"/>
  <c r="A30" i="4"/>
  <c r="B63" i="23"/>
  <c r="H63" i="23" s="1"/>
  <c r="M32" i="23"/>
  <c r="M67" i="23"/>
  <c r="B100" i="23"/>
  <c r="H100" i="23" s="1"/>
  <c r="B67" i="23"/>
  <c r="H67" i="23" s="1"/>
  <c r="B61" i="23"/>
  <c r="C61" i="23" s="1"/>
  <c r="Q164" i="23"/>
  <c r="R164" i="23" s="1"/>
  <c r="Q162" i="23"/>
  <c r="R162" i="23" s="1"/>
  <c r="Q168" i="23"/>
  <c r="S168" i="23" s="1"/>
  <c r="Q166" i="23"/>
  <c r="S166" i="23" s="1"/>
  <c r="H200" i="23"/>
  <c r="C200" i="23"/>
  <c r="I200" i="23"/>
  <c r="G200" i="23"/>
  <c r="C162" i="23"/>
  <c r="G162" i="23"/>
  <c r="I162" i="23"/>
  <c r="H162" i="23"/>
  <c r="G168" i="23"/>
  <c r="H168" i="23"/>
  <c r="C168" i="23"/>
  <c r="I168" i="23"/>
  <c r="Q135" i="23"/>
  <c r="I161" i="23"/>
  <c r="G161" i="23"/>
  <c r="C161" i="23"/>
  <c r="H161" i="23"/>
  <c r="I129" i="23"/>
  <c r="G129" i="23"/>
  <c r="C129" i="23"/>
  <c r="H129" i="23"/>
  <c r="H135" i="23"/>
  <c r="G135" i="23"/>
  <c r="I135" i="23"/>
  <c r="C135" i="23"/>
  <c r="C163" i="23"/>
  <c r="G163" i="23"/>
  <c r="H163" i="23"/>
  <c r="I163" i="23"/>
  <c r="I196" i="23"/>
  <c r="G196" i="23"/>
  <c r="C196" i="23"/>
  <c r="H196" i="23"/>
  <c r="H160" i="23"/>
  <c r="I160" i="23"/>
  <c r="G160" i="23"/>
  <c r="C160" i="23"/>
  <c r="C194" i="23"/>
  <c r="I194" i="23"/>
  <c r="H194" i="23"/>
  <c r="G194" i="23"/>
  <c r="Q131" i="23"/>
  <c r="C134" i="23"/>
  <c r="G134" i="23"/>
  <c r="H134" i="23"/>
  <c r="I134" i="23"/>
  <c r="Q133" i="23"/>
  <c r="C199" i="23"/>
  <c r="G199" i="23"/>
  <c r="H199" i="23"/>
  <c r="I199" i="23"/>
  <c r="H133" i="23"/>
  <c r="I133" i="23"/>
  <c r="C133" i="23"/>
  <c r="G133" i="23"/>
  <c r="Q160" i="23"/>
  <c r="C126" i="23"/>
  <c r="H126" i="23"/>
  <c r="I126" i="23"/>
  <c r="G126" i="23"/>
  <c r="C127" i="23"/>
  <c r="H127" i="23"/>
  <c r="G127" i="23"/>
  <c r="I127" i="23"/>
  <c r="I128" i="23"/>
  <c r="G128" i="23"/>
  <c r="C128" i="23"/>
  <c r="H128" i="23"/>
  <c r="I166" i="23"/>
  <c r="C166" i="23"/>
  <c r="G166" i="23"/>
  <c r="H166" i="23"/>
  <c r="Q129" i="23"/>
  <c r="Q60" i="23"/>
  <c r="R60" i="23" s="1"/>
  <c r="S25" i="23"/>
  <c r="R25" i="23"/>
  <c r="H101" i="23"/>
  <c r="C101" i="23"/>
  <c r="G101" i="23"/>
  <c r="I101" i="23"/>
  <c r="I26" i="23"/>
  <c r="H26" i="23"/>
  <c r="C26" i="23"/>
  <c r="G26" i="23"/>
  <c r="I94" i="23"/>
  <c r="C94" i="23"/>
  <c r="G94" i="23"/>
  <c r="H94" i="23"/>
  <c r="Q26" i="23"/>
  <c r="I60" i="23"/>
  <c r="C60" i="23"/>
  <c r="G60" i="23"/>
  <c r="H60" i="23"/>
  <c r="B24" i="23"/>
  <c r="M59" i="23"/>
  <c r="Q59" i="23" s="1"/>
  <c r="B62" i="23"/>
  <c r="F263" i="19"/>
  <c r="G263" i="19" s="1"/>
  <c r="F154" i="19"/>
  <c r="G154" i="19" s="1"/>
  <c r="G99" i="18"/>
  <c r="G106" i="18"/>
  <c r="G103" i="18"/>
  <c r="G107" i="18"/>
  <c r="G104" i="18"/>
  <c r="G102" i="18"/>
  <c r="N1826" i="20" l="1"/>
  <c r="N1827" i="20" s="1"/>
  <c r="N1822" i="20"/>
  <c r="N1823" i="20" s="1"/>
  <c r="N1824" i="20" s="1"/>
  <c r="N1825" i="20" s="1"/>
  <c r="N866" i="20"/>
  <c r="N867" i="20" s="1"/>
  <c r="N862" i="20"/>
  <c r="N863" i="20" s="1"/>
  <c r="N864" i="20" s="1"/>
  <c r="N865" i="20" s="1"/>
  <c r="S163" i="23"/>
  <c r="R132" i="23"/>
  <c r="H27" i="23"/>
  <c r="Q29" i="23"/>
  <c r="S29" i="23" s="1"/>
  <c r="S169" i="23"/>
  <c r="C27" i="23"/>
  <c r="S165" i="23"/>
  <c r="R167" i="23"/>
  <c r="G27" i="23"/>
  <c r="Q27" i="23"/>
  <c r="R27" i="23" s="1"/>
  <c r="S134" i="23"/>
  <c r="G98" i="23"/>
  <c r="Q31" i="23"/>
  <c r="R31" i="23" s="1"/>
  <c r="Q65" i="23"/>
  <c r="S65" i="23" s="1"/>
  <c r="C98" i="23"/>
  <c r="I98" i="23"/>
  <c r="Q62" i="23"/>
  <c r="S62" i="23" s="1"/>
  <c r="G95" i="23"/>
  <c r="C95" i="23"/>
  <c r="Q61" i="23"/>
  <c r="R61" i="23" s="1"/>
  <c r="G64" i="23"/>
  <c r="G65" i="23"/>
  <c r="H32" i="23"/>
  <c r="I65" i="23"/>
  <c r="G32" i="23"/>
  <c r="I32" i="23"/>
  <c r="C65" i="23"/>
  <c r="C31" i="23"/>
  <c r="I95" i="23"/>
  <c r="Q30" i="23"/>
  <c r="S30" i="23" s="1"/>
  <c r="G97" i="23"/>
  <c r="H97" i="23"/>
  <c r="C97" i="23"/>
  <c r="Q33" i="23"/>
  <c r="S33" i="23" s="1"/>
  <c r="I64" i="23"/>
  <c r="H64" i="23"/>
  <c r="Q66" i="23"/>
  <c r="R66" i="23" s="1"/>
  <c r="Q28" i="23"/>
  <c r="S28" i="23" s="1"/>
  <c r="R127" i="23"/>
  <c r="Q67" i="23"/>
  <c r="S67" i="23" s="1"/>
  <c r="S130" i="23"/>
  <c r="Q63" i="23"/>
  <c r="R63" i="23" s="1"/>
  <c r="I28" i="23"/>
  <c r="H28" i="23"/>
  <c r="G28" i="23"/>
  <c r="G67" i="23"/>
  <c r="R128" i="23"/>
  <c r="H30" i="23"/>
  <c r="G30" i="23"/>
  <c r="C30" i="23"/>
  <c r="H29" i="23"/>
  <c r="S161" i="23"/>
  <c r="G61" i="23"/>
  <c r="G66" i="23"/>
  <c r="I67" i="23"/>
  <c r="R126" i="23"/>
  <c r="C29" i="23"/>
  <c r="C67" i="23"/>
  <c r="C63" i="23"/>
  <c r="H66" i="23"/>
  <c r="I66" i="23"/>
  <c r="I96" i="23"/>
  <c r="Q64" i="23"/>
  <c r="S64" i="23" s="1"/>
  <c r="H96" i="23"/>
  <c r="G96" i="23"/>
  <c r="I33" i="23"/>
  <c r="G63" i="23"/>
  <c r="H31" i="23"/>
  <c r="G31" i="23"/>
  <c r="G29" i="23"/>
  <c r="G100" i="23"/>
  <c r="G33" i="23"/>
  <c r="C33" i="23"/>
  <c r="I99" i="23"/>
  <c r="H61" i="23"/>
  <c r="I63" i="23"/>
  <c r="I61" i="23"/>
  <c r="Q32" i="23"/>
  <c r="R32" i="23" s="1"/>
  <c r="S164" i="23"/>
  <c r="I100" i="23"/>
  <c r="H99" i="23"/>
  <c r="C99" i="23"/>
  <c r="C100" i="23"/>
  <c r="A31" i="4"/>
  <c r="S162" i="23"/>
  <c r="R168" i="23"/>
  <c r="R166" i="23"/>
  <c r="R131" i="23"/>
  <c r="S131" i="23"/>
  <c r="S160" i="23"/>
  <c r="R160" i="23"/>
  <c r="S129" i="23"/>
  <c r="R129" i="23"/>
  <c r="R133" i="23"/>
  <c r="S133" i="23"/>
  <c r="S135" i="23"/>
  <c r="R135" i="23"/>
  <c r="S60" i="23"/>
  <c r="C62" i="23"/>
  <c r="G62" i="23"/>
  <c r="H62" i="23"/>
  <c r="I62" i="23"/>
  <c r="I24" i="23"/>
  <c r="C24" i="23"/>
  <c r="H24" i="23"/>
  <c r="G24" i="23"/>
  <c r="S59" i="23"/>
  <c r="R59" i="23"/>
  <c r="S26" i="23"/>
  <c r="R26" i="23"/>
  <c r="G264" i="19"/>
  <c r="F264" i="19"/>
  <c r="F155" i="19"/>
  <c r="G155" i="19" s="1"/>
  <c r="N1832" i="20" l="1"/>
  <c r="N1833" i="20" s="1"/>
  <c r="N1828" i="20"/>
  <c r="N1829" i="20" s="1"/>
  <c r="N1830" i="20" s="1"/>
  <c r="N1831" i="20" s="1"/>
  <c r="N872" i="20"/>
  <c r="N873" i="20" s="1"/>
  <c r="N868" i="20"/>
  <c r="N869" i="20" s="1"/>
  <c r="N870" i="20" s="1"/>
  <c r="N871" i="20" s="1"/>
  <c r="R29" i="23"/>
  <c r="S27" i="23"/>
  <c r="S31" i="23"/>
  <c r="S66" i="23"/>
  <c r="R65" i="23"/>
  <c r="R62" i="23"/>
  <c r="S61" i="23"/>
  <c r="R30" i="23"/>
  <c r="R33" i="23"/>
  <c r="R28" i="23"/>
  <c r="R67" i="23"/>
  <c r="S63" i="23"/>
  <c r="R64" i="23"/>
  <c r="F156" i="19"/>
  <c r="G156" i="19" s="1"/>
  <c r="S32" i="23"/>
  <c r="A32" i="4"/>
  <c r="F265" i="19"/>
  <c r="G265" i="19"/>
  <c r="F157" i="19"/>
  <c r="F266" i="19"/>
  <c r="G266" i="19" s="1"/>
  <c r="N1838" i="20" l="1"/>
  <c r="N1839" i="20" s="1"/>
  <c r="N1834" i="20"/>
  <c r="N1835" i="20" s="1"/>
  <c r="N1836" i="20" s="1"/>
  <c r="N1837" i="20" s="1"/>
  <c r="N878" i="20"/>
  <c r="N879" i="20" s="1"/>
  <c r="N874" i="20"/>
  <c r="N875" i="20" s="1"/>
  <c r="N876" i="20" s="1"/>
  <c r="N877" i="20" s="1"/>
  <c r="A33" i="4"/>
  <c r="G157" i="19"/>
  <c r="N1844" i="20" l="1"/>
  <c r="N1845" i="20" s="1"/>
  <c r="N1840" i="20"/>
  <c r="N1841" i="20" s="1"/>
  <c r="N1842" i="20" s="1"/>
  <c r="N1843" i="20" s="1"/>
  <c r="N884" i="20"/>
  <c r="N885" i="20" s="1"/>
  <c r="N880" i="20"/>
  <c r="N881" i="20" s="1"/>
  <c r="N882" i="20" s="1"/>
  <c r="N883" i="20" s="1"/>
  <c r="A34" i="4"/>
  <c r="G159" i="19"/>
  <c r="G267" i="19"/>
  <c r="F267" i="19"/>
  <c r="F158" i="19"/>
  <c r="G158" i="19" s="1"/>
  <c r="N1850" i="20" l="1"/>
  <c r="N1851" i="20" s="1"/>
  <c r="N1846" i="20"/>
  <c r="N1847" i="20" s="1"/>
  <c r="N1848" i="20" s="1"/>
  <c r="N1849" i="20" s="1"/>
  <c r="N890" i="20"/>
  <c r="N891" i="20" s="1"/>
  <c r="N886" i="20"/>
  <c r="N887" i="20" s="1"/>
  <c r="N888" i="20" s="1"/>
  <c r="N889" i="20" s="1"/>
  <c r="M61" i="15"/>
  <c r="L55" i="15"/>
  <c r="B98" i="15"/>
  <c r="B101" i="15"/>
  <c r="I101" i="15" s="1"/>
  <c r="B60" i="15"/>
  <c r="L62" i="15"/>
  <c r="B27" i="15"/>
  <c r="B25" i="15"/>
  <c r="L27" i="15"/>
  <c r="B97" i="15"/>
  <c r="M57" i="15"/>
  <c r="B67" i="15"/>
  <c r="M25" i="15"/>
  <c r="L23" i="15"/>
  <c r="M30" i="15"/>
  <c r="M23" i="15"/>
  <c r="M32" i="15"/>
  <c r="M58" i="15"/>
  <c r="B92" i="15"/>
  <c r="B23" i="15"/>
  <c r="B95" i="15"/>
  <c r="B31" i="15"/>
  <c r="I31" i="15" s="1"/>
  <c r="M31" i="15"/>
  <c r="L29" i="15"/>
  <c r="B66" i="15"/>
  <c r="C66" i="15" s="1"/>
  <c r="L61" i="15"/>
  <c r="L67" i="15"/>
  <c r="B26" i="15"/>
  <c r="B55" i="15"/>
  <c r="L31" i="15"/>
  <c r="M33" i="15"/>
  <c r="B64" i="15"/>
  <c r="L32" i="15"/>
  <c r="Q32" i="15" s="1"/>
  <c r="S32" i="15" s="1"/>
  <c r="L28" i="15"/>
  <c r="M26" i="15"/>
  <c r="L59" i="15"/>
  <c r="M24" i="15"/>
  <c r="L26" i="15"/>
  <c r="L56" i="15"/>
  <c r="B24" i="15"/>
  <c r="M28" i="15"/>
  <c r="M27" i="15"/>
  <c r="L60" i="15"/>
  <c r="B57" i="15"/>
  <c r="M55" i="15"/>
  <c r="M22" i="15"/>
  <c r="L63" i="15"/>
  <c r="B63" i="15"/>
  <c r="B56" i="15"/>
  <c r="B91" i="15"/>
  <c r="L33" i="15"/>
  <c r="B65" i="15"/>
  <c r="M62" i="15"/>
  <c r="B22" i="15"/>
  <c r="B99" i="15"/>
  <c r="M65" i="15"/>
  <c r="L65" i="15"/>
  <c r="B89" i="15"/>
  <c r="L66" i="15"/>
  <c r="M63" i="15"/>
  <c r="B94" i="15"/>
  <c r="M21" i="15"/>
  <c r="M67" i="15"/>
  <c r="B59" i="15"/>
  <c r="B90" i="15"/>
  <c r="L64" i="15"/>
  <c r="L22" i="15"/>
  <c r="L30" i="15"/>
  <c r="B96" i="15"/>
  <c r="B30" i="15"/>
  <c r="B28" i="15"/>
  <c r="B58" i="15"/>
  <c r="B61" i="15"/>
  <c r="M60" i="15"/>
  <c r="M66" i="15"/>
  <c r="L21" i="15"/>
  <c r="L58" i="15"/>
  <c r="M56" i="15"/>
  <c r="L25" i="15"/>
  <c r="B29" i="15"/>
  <c r="B32" i="15"/>
  <c r="I32" i="15" s="1"/>
  <c r="L24" i="15"/>
  <c r="B62" i="15"/>
  <c r="B93" i="15"/>
  <c r="M64" i="15"/>
  <c r="L57" i="15"/>
  <c r="B33" i="15"/>
  <c r="I33" i="15" s="1"/>
  <c r="M29" i="15"/>
  <c r="B100" i="15"/>
  <c r="I100" i="15" s="1"/>
  <c r="M59" i="15"/>
  <c r="F268" i="19"/>
  <c r="F159" i="19"/>
  <c r="G268" i="19"/>
  <c r="F269" i="19"/>
  <c r="G269" i="19" s="1"/>
  <c r="N1856" i="20" l="1"/>
  <c r="N1857" i="20" s="1"/>
  <c r="N1852" i="20"/>
  <c r="N1853" i="20" s="1"/>
  <c r="N1854" i="20" s="1"/>
  <c r="N1855" i="20" s="1"/>
  <c r="N896" i="20"/>
  <c r="N897" i="20" s="1"/>
  <c r="N892" i="20"/>
  <c r="N893" i="20" s="1"/>
  <c r="N894" i="20" s="1"/>
  <c r="N895" i="20" s="1"/>
  <c r="C23" i="18"/>
  <c r="G23" i="18"/>
  <c r="F23" i="18"/>
  <c r="H23" i="18"/>
  <c r="H21" i="18"/>
  <c r="C21" i="18"/>
  <c r="G21" i="18"/>
  <c r="F21" i="18"/>
  <c r="C24" i="18"/>
  <c r="H24" i="18"/>
  <c r="G24" i="18"/>
  <c r="F24" i="18"/>
  <c r="C22" i="18"/>
  <c r="H22" i="18"/>
  <c r="F22" i="18"/>
  <c r="G22" i="18" s="1"/>
  <c r="Q57" i="15"/>
  <c r="R57" i="15" s="1"/>
  <c r="Q66" i="15"/>
  <c r="S66" i="15" s="1"/>
  <c r="C31" i="15"/>
  <c r="G66" i="15"/>
  <c r="H31" i="15"/>
  <c r="H66" i="15"/>
  <c r="G31" i="15"/>
  <c r="I66" i="15"/>
  <c r="Q25" i="15"/>
  <c r="R25" i="15" s="1"/>
  <c r="Q26" i="15"/>
  <c r="R26" i="15" s="1"/>
  <c r="Q24" i="15"/>
  <c r="R24" i="15" s="1"/>
  <c r="C32" i="15"/>
  <c r="Q22" i="15"/>
  <c r="R22" i="15" s="1"/>
  <c r="H32" i="15"/>
  <c r="Q63" i="15"/>
  <c r="S63" i="15" s="1"/>
  <c r="Q56" i="15"/>
  <c r="S56" i="15" s="1"/>
  <c r="G32" i="15"/>
  <c r="C100" i="15"/>
  <c r="H100" i="15"/>
  <c r="G100" i="15"/>
  <c r="Q61" i="15"/>
  <c r="S61" i="15" s="1"/>
  <c r="Q58" i="15"/>
  <c r="S58" i="15" s="1"/>
  <c r="I29" i="15"/>
  <c r="C29" i="15"/>
  <c r="G29" i="15"/>
  <c r="H29" i="15"/>
  <c r="G58" i="15"/>
  <c r="I58" i="15"/>
  <c r="C58" i="15"/>
  <c r="H58" i="15"/>
  <c r="C59" i="15"/>
  <c r="I59" i="15"/>
  <c r="G59" i="15"/>
  <c r="H59" i="15"/>
  <c r="H63" i="15"/>
  <c r="C63" i="15"/>
  <c r="G63" i="15"/>
  <c r="I63" i="15"/>
  <c r="I24" i="15"/>
  <c r="C24" i="15"/>
  <c r="H24" i="15"/>
  <c r="G24" i="15"/>
  <c r="I64" i="15"/>
  <c r="G64" i="15"/>
  <c r="H64" i="15"/>
  <c r="C64" i="15"/>
  <c r="Q29" i="15"/>
  <c r="I25" i="15"/>
  <c r="G25" i="15"/>
  <c r="H25" i="15"/>
  <c r="C25" i="15"/>
  <c r="I99" i="15"/>
  <c r="G99" i="15"/>
  <c r="H99" i="15"/>
  <c r="C99" i="15"/>
  <c r="I30" i="15"/>
  <c r="G30" i="15"/>
  <c r="C30" i="15"/>
  <c r="H30" i="15"/>
  <c r="I22" i="15"/>
  <c r="C22" i="15"/>
  <c r="H22" i="15"/>
  <c r="G22" i="15"/>
  <c r="Q31" i="15"/>
  <c r="Q23" i="15"/>
  <c r="Q62" i="15"/>
  <c r="I96" i="15"/>
  <c r="H96" i="15"/>
  <c r="G96" i="15"/>
  <c r="C96" i="15"/>
  <c r="I94" i="15"/>
  <c r="G94" i="15"/>
  <c r="C94" i="15"/>
  <c r="H94" i="15"/>
  <c r="C55" i="15"/>
  <c r="G55" i="15"/>
  <c r="I55" i="15"/>
  <c r="H55" i="15"/>
  <c r="I95" i="15"/>
  <c r="H95" i="15"/>
  <c r="C95" i="15"/>
  <c r="G95" i="15"/>
  <c r="C60" i="15"/>
  <c r="I60" i="15"/>
  <c r="H60" i="15"/>
  <c r="G60" i="15"/>
  <c r="I28" i="15"/>
  <c r="H28" i="15"/>
  <c r="G28" i="15"/>
  <c r="C28" i="15"/>
  <c r="I27" i="15"/>
  <c r="C27" i="15"/>
  <c r="G27" i="15"/>
  <c r="H27" i="15"/>
  <c r="I93" i="15"/>
  <c r="C93" i="15"/>
  <c r="G93" i="15"/>
  <c r="H93" i="15"/>
  <c r="Q21" i="15"/>
  <c r="Q30" i="15"/>
  <c r="H65" i="15"/>
  <c r="C65" i="15"/>
  <c r="I65" i="15"/>
  <c r="G65" i="15"/>
  <c r="C57" i="15"/>
  <c r="H57" i="15"/>
  <c r="G57" i="15"/>
  <c r="I57" i="15"/>
  <c r="Q59" i="15"/>
  <c r="I26" i="15"/>
  <c r="C26" i="15"/>
  <c r="G26" i="15"/>
  <c r="H26" i="15"/>
  <c r="I23" i="15"/>
  <c r="C23" i="15"/>
  <c r="G23" i="15"/>
  <c r="H23" i="15"/>
  <c r="G62" i="15"/>
  <c r="H62" i="15"/>
  <c r="C62" i="15"/>
  <c r="I62" i="15"/>
  <c r="Q60" i="15"/>
  <c r="I92" i="15"/>
  <c r="C92" i="15"/>
  <c r="H92" i="15"/>
  <c r="G92" i="15"/>
  <c r="I98" i="15"/>
  <c r="H98" i="15"/>
  <c r="C98" i="15"/>
  <c r="G98" i="15"/>
  <c r="Q64" i="15"/>
  <c r="I89" i="15"/>
  <c r="C89" i="15"/>
  <c r="H89" i="15"/>
  <c r="G89" i="15"/>
  <c r="I91" i="15"/>
  <c r="G91" i="15"/>
  <c r="C91" i="15"/>
  <c r="H91" i="15"/>
  <c r="Q28" i="15"/>
  <c r="I97" i="15"/>
  <c r="G97" i="15"/>
  <c r="C97" i="15"/>
  <c r="H97" i="15"/>
  <c r="Q55" i="15"/>
  <c r="G61" i="15"/>
  <c r="C61" i="15"/>
  <c r="H61" i="15"/>
  <c r="I61" i="15"/>
  <c r="I90" i="15"/>
  <c r="C90" i="15"/>
  <c r="H90" i="15"/>
  <c r="G90" i="15"/>
  <c r="Q65" i="15"/>
  <c r="G56" i="15"/>
  <c r="I56" i="15"/>
  <c r="H56" i="15"/>
  <c r="C56" i="15"/>
  <c r="Q27" i="15"/>
  <c r="C101" i="15"/>
  <c r="Q67" i="15"/>
  <c r="G101" i="15"/>
  <c r="H101" i="15"/>
  <c r="R32" i="15"/>
  <c r="Q33" i="15"/>
  <c r="S33" i="15" s="1"/>
  <c r="H67" i="15"/>
  <c r="C67" i="15"/>
  <c r="I67" i="15"/>
  <c r="G67" i="15"/>
  <c r="C33" i="15"/>
  <c r="G33" i="15"/>
  <c r="H33" i="15"/>
  <c r="F160" i="19"/>
  <c r="G160" i="19" s="1"/>
  <c r="N1862" i="20" l="1"/>
  <c r="N1863" i="20" s="1"/>
  <c r="N1858" i="20"/>
  <c r="N1859" i="20" s="1"/>
  <c r="N1860" i="20" s="1"/>
  <c r="N1861" i="20" s="1"/>
  <c r="N902" i="20"/>
  <c r="N903" i="20" s="1"/>
  <c r="N898" i="20"/>
  <c r="N899" i="20" s="1"/>
  <c r="N900" i="20" s="1"/>
  <c r="N901" i="20" s="1"/>
  <c r="R66" i="15"/>
  <c r="S57" i="15"/>
  <c r="S25" i="15"/>
  <c r="S26" i="15"/>
  <c r="S24" i="15"/>
  <c r="S22" i="15"/>
  <c r="R56" i="15"/>
  <c r="R63" i="15"/>
  <c r="R61" i="15"/>
  <c r="R58" i="15"/>
  <c r="S60" i="15"/>
  <c r="R60" i="15"/>
  <c r="S62" i="15"/>
  <c r="R62" i="15"/>
  <c r="R59" i="15"/>
  <c r="S59" i="15"/>
  <c r="S23" i="15"/>
  <c r="R23" i="15"/>
  <c r="R65" i="15"/>
  <c r="S65" i="15"/>
  <c r="S28" i="15"/>
  <c r="R28" i="15"/>
  <c r="R30" i="15"/>
  <c r="S30" i="15"/>
  <c r="R31" i="15"/>
  <c r="S31" i="15"/>
  <c r="S55" i="15"/>
  <c r="R55" i="15"/>
  <c r="R64" i="15"/>
  <c r="S64" i="15"/>
  <c r="S21" i="15"/>
  <c r="R21" i="15"/>
  <c r="S27" i="15"/>
  <c r="R27" i="15"/>
  <c r="S29" i="15"/>
  <c r="R29" i="15"/>
  <c r="S67" i="15"/>
  <c r="R67" i="15"/>
  <c r="R33" i="15"/>
  <c r="G161" i="19"/>
  <c r="F161" i="19"/>
  <c r="F270" i="19"/>
  <c r="G270" i="19" s="1"/>
  <c r="N1868" i="20" l="1"/>
  <c r="N1869" i="20" s="1"/>
  <c r="N1864" i="20"/>
  <c r="N1865" i="20" s="1"/>
  <c r="N1866" i="20" s="1"/>
  <c r="N1867" i="20" s="1"/>
  <c r="N908" i="20"/>
  <c r="N909" i="20" s="1"/>
  <c r="N904" i="20"/>
  <c r="N905" i="20" s="1"/>
  <c r="N906" i="20" s="1"/>
  <c r="N907" i="20" s="1"/>
  <c r="F271" i="19"/>
  <c r="G271" i="19" s="1"/>
  <c r="F162" i="19"/>
  <c r="G162" i="19" s="1"/>
  <c r="N1874" i="20" l="1"/>
  <c r="N1875" i="20" s="1"/>
  <c r="N1870" i="20"/>
  <c r="N1871" i="20" s="1"/>
  <c r="N1872" i="20" s="1"/>
  <c r="N1873" i="20" s="1"/>
  <c r="N914" i="20"/>
  <c r="N915" i="20" s="1"/>
  <c r="N910" i="20"/>
  <c r="N911" i="20" s="1"/>
  <c r="N912" i="20" s="1"/>
  <c r="N913" i="20" s="1"/>
  <c r="N2026" i="20"/>
  <c r="N1880" i="20" l="1"/>
  <c r="N1881" i="20" s="1"/>
  <c r="N1876" i="20"/>
  <c r="N1877" i="20" s="1"/>
  <c r="N1878" i="20" s="1"/>
  <c r="N1879" i="20" s="1"/>
  <c r="N920" i="20"/>
  <c r="N921" i="20" s="1"/>
  <c r="N916" i="20"/>
  <c r="N917" i="20" s="1"/>
  <c r="N918" i="20" s="1"/>
  <c r="N919" i="20" s="1"/>
  <c r="N2028" i="20"/>
  <c r="N1886" i="20" l="1"/>
  <c r="N1887" i="20" s="1"/>
  <c r="N1882" i="20"/>
  <c r="N1883" i="20" s="1"/>
  <c r="N1884" i="20" s="1"/>
  <c r="N1885" i="20" s="1"/>
  <c r="N926" i="20"/>
  <c r="N927" i="20" s="1"/>
  <c r="N922" i="20"/>
  <c r="N923" i="20" s="1"/>
  <c r="N924" i="20" s="1"/>
  <c r="N925" i="20" s="1"/>
  <c r="N2030" i="20"/>
  <c r="N2032" i="20" s="1"/>
  <c r="N2034" i="20" s="1"/>
  <c r="N2036" i="20" s="1"/>
  <c r="N2038" i="20" s="1"/>
  <c r="N2040" i="20" s="1"/>
  <c r="N2042" i="20" s="1"/>
  <c r="N2044" i="20" s="1"/>
  <c r="N2046" i="20" s="1"/>
  <c r="N2048" i="20" s="1"/>
  <c r="N2050" i="20" s="1"/>
  <c r="N2052" i="20" s="1"/>
  <c r="N2054" i="20" s="1"/>
  <c r="N2056" i="20" s="1"/>
  <c r="N2058" i="20" s="1"/>
  <c r="N2060" i="20" s="1"/>
  <c r="N2062" i="20" s="1"/>
  <c r="N2064" i="20" s="1"/>
  <c r="N2066" i="20" s="1"/>
  <c r="N2068" i="20" s="1"/>
  <c r="N2070" i="20" s="1"/>
  <c r="N2072" i="20" s="1"/>
  <c r="N2074" i="20" s="1"/>
  <c r="N2076" i="20" s="1"/>
  <c r="N2078" i="20" s="1"/>
  <c r="N2080" i="20" s="1"/>
  <c r="N2082" i="20" s="1"/>
  <c r="N2084" i="20" s="1"/>
  <c r="N2086" i="20" s="1"/>
  <c r="N2088" i="20" s="1"/>
  <c r="N2090" i="20" s="1"/>
  <c r="N2092" i="20" s="1"/>
  <c r="N2094" i="20" s="1"/>
  <c r="N2096" i="20" s="1"/>
  <c r="N2098" i="20" s="1"/>
  <c r="N2100" i="20" s="1"/>
  <c r="N2102" i="20" s="1"/>
  <c r="N2104" i="20" s="1"/>
  <c r="N2106" i="20" s="1"/>
  <c r="N2108" i="20" s="1"/>
  <c r="N2110" i="20" s="1"/>
  <c r="N2112" i="20" s="1"/>
  <c r="N2114" i="20" s="1"/>
  <c r="N2116" i="20" s="1"/>
  <c r="N2118" i="20" s="1"/>
  <c r="N2120" i="20" s="1"/>
  <c r="N2023" i="20" s="1"/>
  <c r="N2025" i="20" s="1"/>
  <c r="N2027" i="20" s="1"/>
  <c r="N2029" i="20" s="1"/>
  <c r="N2031" i="20" s="1"/>
  <c r="N2033" i="20" s="1"/>
  <c r="N2035" i="20" s="1"/>
  <c r="N2037" i="20" s="1"/>
  <c r="N2039" i="20" s="1"/>
  <c r="N2041" i="20" s="1"/>
  <c r="N2043" i="20" s="1"/>
  <c r="N2045" i="20" s="1"/>
  <c r="N2047" i="20" s="1"/>
  <c r="N2049" i="20" s="1"/>
  <c r="N2051" i="20" s="1"/>
  <c r="N2053" i="20" s="1"/>
  <c r="N2055" i="20" s="1"/>
  <c r="N2057" i="20" s="1"/>
  <c r="N2059" i="20" s="1"/>
  <c r="N2061" i="20" s="1"/>
  <c r="N2063" i="20" s="1"/>
  <c r="N2065" i="20" s="1"/>
  <c r="N2067" i="20" s="1"/>
  <c r="N2069" i="20" s="1"/>
  <c r="N2071" i="20" s="1"/>
  <c r="N2073" i="20" s="1"/>
  <c r="N2075" i="20" s="1"/>
  <c r="N2077" i="20" s="1"/>
  <c r="N2079" i="20" s="1"/>
  <c r="N2081" i="20" s="1"/>
  <c r="N2083" i="20" s="1"/>
  <c r="N2085" i="20" s="1"/>
  <c r="N2087" i="20" s="1"/>
  <c r="N2089" i="20" s="1"/>
  <c r="N2091" i="20" s="1"/>
  <c r="N2093" i="20" s="1"/>
  <c r="N2095" i="20" s="1"/>
  <c r="N2097" i="20" s="1"/>
  <c r="N2099" i="20" s="1"/>
  <c r="N2101" i="20" s="1"/>
  <c r="N2103" i="20" s="1"/>
  <c r="N2105" i="20" s="1"/>
  <c r="N2107" i="20" s="1"/>
  <c r="N2109" i="20" s="1"/>
  <c r="N2111" i="20" s="1"/>
  <c r="N2113" i="20" s="1"/>
  <c r="N2115" i="20" s="1"/>
  <c r="N2117" i="20" s="1"/>
  <c r="N2119" i="20" s="1"/>
  <c r="N2121" i="20" s="1"/>
  <c r="N2122" i="20" s="1"/>
  <c r="N2124" i="20" s="1"/>
  <c r="N2126" i="20" s="1"/>
  <c r="N2128" i="20" s="1"/>
  <c r="N2130" i="20" s="1"/>
  <c r="N2132" i="20" s="1"/>
  <c r="N2134" i="20" s="1"/>
  <c r="N2136" i="20" s="1"/>
  <c r="N2138" i="20" s="1"/>
  <c r="N2140" i="20" s="1"/>
  <c r="N2142" i="20" s="1"/>
  <c r="N2144" i="20" s="1"/>
  <c r="N2146" i="20" s="1"/>
  <c r="N2148" i="20" s="1"/>
  <c r="N2150" i="20" s="1"/>
  <c r="N2152" i="20" s="1"/>
  <c r="N2154" i="20" s="1"/>
  <c r="N2156" i="20" s="1"/>
  <c r="N2158" i="20" s="1"/>
  <c r="N2160" i="20" s="1"/>
  <c r="N2162" i="20" s="1"/>
  <c r="N2164" i="20" s="1"/>
  <c r="N2166" i="20" s="1"/>
  <c r="N2168" i="20" s="1"/>
  <c r="N2170" i="20" s="1"/>
  <c r="N2172" i="20" s="1"/>
  <c r="N2174" i="20" s="1"/>
  <c r="N2176" i="20" s="1"/>
  <c r="N2178" i="20" s="1"/>
  <c r="N2180" i="20" s="1"/>
  <c r="N2182" i="20" s="1"/>
  <c r="N2184" i="20" s="1"/>
  <c r="N2186" i="20" s="1"/>
  <c r="N2188" i="20" s="1"/>
  <c r="N2190" i="20" s="1"/>
  <c r="N2192" i="20" s="1"/>
  <c r="N2194" i="20" s="1"/>
  <c r="N2196" i="20" s="1"/>
  <c r="N2198" i="20" s="1"/>
  <c r="N2200" i="20" s="1"/>
  <c r="N2202" i="20" s="1"/>
  <c r="N2204" i="20" s="1"/>
  <c r="N2206" i="20" s="1"/>
  <c r="N2208" i="20" s="1"/>
  <c r="N2210" i="20" s="1"/>
  <c r="N2212" i="20" s="1"/>
  <c r="N2214" i="20" s="1"/>
  <c r="N2216" i="20" s="1"/>
  <c r="N2218" i="20" s="1"/>
  <c r="N2220" i="20" s="1"/>
  <c r="N2123" i="20" s="1"/>
  <c r="N2125" i="20" s="1"/>
  <c r="N2127" i="20" s="1"/>
  <c r="N2129" i="20" s="1"/>
  <c r="N2131" i="20" s="1"/>
  <c r="N2133" i="20" s="1"/>
  <c r="N2135" i="20" s="1"/>
  <c r="N2137" i="20" s="1"/>
  <c r="N2139" i="20" s="1"/>
  <c r="N2141" i="20" s="1"/>
  <c r="N2143" i="20" s="1"/>
  <c r="N2145" i="20" s="1"/>
  <c r="N2147" i="20" s="1"/>
  <c r="N2149" i="20" s="1"/>
  <c r="N2151" i="20" s="1"/>
  <c r="N2153" i="20" s="1"/>
  <c r="N2155" i="20" s="1"/>
  <c r="N2157" i="20" s="1"/>
  <c r="N2159" i="20" s="1"/>
  <c r="N2161" i="20" s="1"/>
  <c r="N2163" i="20" s="1"/>
  <c r="N2165" i="20" s="1"/>
  <c r="N2167" i="20" s="1"/>
  <c r="N2169" i="20" s="1"/>
  <c r="N2171" i="20" s="1"/>
  <c r="N2173" i="20" s="1"/>
  <c r="N2175" i="20" s="1"/>
  <c r="N2177" i="20" s="1"/>
  <c r="N2179" i="20" s="1"/>
  <c r="N2181" i="20" s="1"/>
  <c r="N2183" i="20" s="1"/>
  <c r="N2185" i="20" s="1"/>
  <c r="N2187" i="20" s="1"/>
  <c r="N2189" i="20" s="1"/>
  <c r="N2191" i="20" s="1"/>
  <c r="N2193" i="20" s="1"/>
  <c r="N2195" i="20" s="1"/>
  <c r="N2197" i="20" s="1"/>
  <c r="N2199" i="20" s="1"/>
  <c r="N2201" i="20" s="1"/>
  <c r="N2203" i="20" s="1"/>
  <c r="N2205" i="20" s="1"/>
  <c r="N2207" i="20" s="1"/>
  <c r="N2209" i="20" s="1"/>
  <c r="N2211" i="20" s="1"/>
  <c r="N2213" i="20" s="1"/>
  <c r="N2215" i="20" s="1"/>
  <c r="N2217" i="20" s="1"/>
  <c r="N2219" i="20" s="1"/>
  <c r="N2221" i="20" s="1"/>
  <c r="N2222" i="20" s="1"/>
  <c r="N2224" i="20" s="1"/>
  <c r="N2226" i="20" s="1"/>
  <c r="N2228" i="20" s="1"/>
  <c r="N2230" i="20" s="1"/>
  <c r="N2232" i="20" s="1"/>
  <c r="N2234" i="20" s="1"/>
  <c r="N2236" i="20" s="1"/>
  <c r="N2238" i="20" s="1"/>
  <c r="N2240" i="20" s="1"/>
  <c r="N2242" i="20" s="1"/>
  <c r="N2244" i="20" s="1"/>
  <c r="N2246" i="20" s="1"/>
  <c r="N2248" i="20" s="1"/>
  <c r="N2250" i="20" s="1"/>
  <c r="N2252" i="20" s="1"/>
  <c r="N2254" i="20" s="1"/>
  <c r="N2256" i="20" s="1"/>
  <c r="N2258" i="20" s="1"/>
  <c r="N2260" i="20" s="1"/>
  <c r="N2262" i="20" s="1"/>
  <c r="N2264" i="20" s="1"/>
  <c r="N2266" i="20" s="1"/>
  <c r="N2268" i="20" s="1"/>
  <c r="N2270" i="20" s="1"/>
  <c r="N2272" i="20" s="1"/>
  <c r="N2274" i="20" s="1"/>
  <c r="N2276" i="20" s="1"/>
  <c r="N2278" i="20" s="1"/>
  <c r="N2280" i="20" s="1"/>
  <c r="N2282" i="20" s="1"/>
  <c r="N2284" i="20" s="1"/>
  <c r="N2286" i="20" s="1"/>
  <c r="N2288" i="20" s="1"/>
  <c r="N2290" i="20" s="1"/>
  <c r="N2292" i="20" s="1"/>
  <c r="N2294" i="20" s="1"/>
  <c r="N2296" i="20" s="1"/>
  <c r="N2298" i="20" s="1"/>
  <c r="N2300" i="20" s="1"/>
  <c r="N2302" i="20" s="1"/>
  <c r="N2304" i="20" s="1"/>
  <c r="N2306" i="20" s="1"/>
  <c r="N2308" i="20" s="1"/>
  <c r="N2310" i="20" s="1"/>
  <c r="N2312" i="20" s="1"/>
  <c r="N2314" i="20" s="1"/>
  <c r="N2316" i="20" s="1"/>
  <c r="N2318" i="20" s="1"/>
  <c r="N2320" i="20" s="1"/>
  <c r="N2223" i="20" s="1"/>
  <c r="N2225" i="20" s="1"/>
  <c r="N2227" i="20" s="1"/>
  <c r="N2229" i="20" s="1"/>
  <c r="N2231" i="20" s="1"/>
  <c r="N2233" i="20" s="1"/>
  <c r="N2235" i="20" s="1"/>
  <c r="N2237" i="20" s="1"/>
  <c r="N2239" i="20" s="1"/>
  <c r="N2241" i="20" s="1"/>
  <c r="N2243" i="20" s="1"/>
  <c r="N2245" i="20" s="1"/>
  <c r="N2247" i="20" s="1"/>
  <c r="N2249" i="20" s="1"/>
  <c r="N2251" i="20" s="1"/>
  <c r="N2253" i="20" s="1"/>
  <c r="N2255" i="20" s="1"/>
  <c r="N2257" i="20" s="1"/>
  <c r="N2259" i="20" s="1"/>
  <c r="N2261" i="20" s="1"/>
  <c r="N2263" i="20" s="1"/>
  <c r="N2265" i="20" s="1"/>
  <c r="N2267" i="20" s="1"/>
  <c r="N2269" i="20" s="1"/>
  <c r="N2271" i="20" s="1"/>
  <c r="N2273" i="20" s="1"/>
  <c r="N2275" i="20" s="1"/>
  <c r="N2277" i="20" s="1"/>
  <c r="N2279" i="20" s="1"/>
  <c r="N2281" i="20" s="1"/>
  <c r="N2283" i="20" s="1"/>
  <c r="N2285" i="20" s="1"/>
  <c r="N2287" i="20" s="1"/>
  <c r="N2289" i="20" s="1"/>
  <c r="N2291" i="20" s="1"/>
  <c r="N2293" i="20" s="1"/>
  <c r="N2295" i="20" s="1"/>
  <c r="N2297" i="20" s="1"/>
  <c r="N2299" i="20" s="1"/>
  <c r="N2301" i="20" s="1"/>
  <c r="N2303" i="20" s="1"/>
  <c r="N2305" i="20" s="1"/>
  <c r="N2307" i="20" s="1"/>
  <c r="N2309" i="20" s="1"/>
  <c r="N2311" i="20" s="1"/>
  <c r="N2313" i="20" s="1"/>
  <c r="N2315" i="20" s="1"/>
  <c r="N2317" i="20" s="1"/>
  <c r="N2319" i="20" s="1"/>
  <c r="N2321" i="20" s="1"/>
  <c r="N1892" i="20" l="1"/>
  <c r="N1893" i="20" s="1"/>
  <c r="N1888" i="20"/>
  <c r="N1889" i="20" s="1"/>
  <c r="N1890" i="20" s="1"/>
  <c r="N1891" i="20" s="1"/>
  <c r="N932" i="20"/>
  <c r="N933" i="20" s="1"/>
  <c r="N928" i="20"/>
  <c r="N929" i="20" s="1"/>
  <c r="N930" i="20" s="1"/>
  <c r="N931" i="20" s="1"/>
  <c r="N1898" i="20" l="1"/>
  <c r="N1899" i="20" s="1"/>
  <c r="N1894" i="20"/>
  <c r="N1895" i="20" s="1"/>
  <c r="N1896" i="20" s="1"/>
  <c r="N1897" i="20" s="1"/>
  <c r="N938" i="20"/>
  <c r="N939" i="20" s="1"/>
  <c r="N934" i="20"/>
  <c r="N935" i="20" s="1"/>
  <c r="N936" i="20" s="1"/>
  <c r="N937" i="20" s="1"/>
  <c r="N1904" i="20" l="1"/>
  <c r="N1905" i="20" s="1"/>
  <c r="N1900" i="20"/>
  <c r="N1901" i="20" s="1"/>
  <c r="N1902" i="20" s="1"/>
  <c r="N1903" i="20" s="1"/>
  <c r="N944" i="20"/>
  <c r="N945" i="20" s="1"/>
  <c r="N940" i="20"/>
  <c r="N941" i="20" s="1"/>
  <c r="N942" i="20" s="1"/>
  <c r="N943" i="20" s="1"/>
  <c r="N1910" i="20" l="1"/>
  <c r="N1911" i="20" s="1"/>
  <c r="N1906" i="20"/>
  <c r="N1907" i="20" s="1"/>
  <c r="N1908" i="20" s="1"/>
  <c r="N1909" i="20" s="1"/>
  <c r="N950" i="20"/>
  <c r="N951" i="20" s="1"/>
  <c r="N946" i="20"/>
  <c r="N947" i="20" s="1"/>
  <c r="N948" i="20" s="1"/>
  <c r="N949" i="20" s="1"/>
  <c r="N1916" i="20" l="1"/>
  <c r="N1917" i="20" s="1"/>
  <c r="N1918" i="20" s="1"/>
  <c r="N1919" i="20" s="1"/>
  <c r="N1920" i="20" s="1"/>
  <c r="N1921" i="20" s="1"/>
  <c r="N1912" i="20"/>
  <c r="N1913" i="20" s="1"/>
  <c r="N1914" i="20" s="1"/>
  <c r="N1915" i="20" s="1"/>
  <c r="N956" i="20"/>
  <c r="N952" i="20"/>
  <c r="N953" i="20" s="1"/>
  <c r="N954" i="20" s="1"/>
  <c r="N955" i="20" s="1"/>
  <c r="N957" i="20" l="1"/>
  <c r="N958" i="20" s="1"/>
  <c r="N959" i="20" s="1"/>
  <c r="N960" i="20" s="1"/>
  <c r="N961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tc={4E3A34C8-3210-4067-AA30-774EF181FF9C}</author>
  </authors>
  <commentList>
    <comment ref="Z52" authorId="0" shapeId="0" xr:uid="{4E3A34C8-3210-4067-AA30-774EF181FF9C}">
      <text>
        <t>[Threaded comment]
Your version of Excel allows you to read this threaded comment; however, any edits to it will get removed if the file is opened in a newer version of Excel. Learn more: https://go.microsoft.com/fwlink/?linkid=870924
Comment:
    Day 2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57CFDB-F6D0-4F06-BEDE-222A8A080076}" keepAlive="1" name="Query - qselActiveJudges" description="Connection to the 'qselActiveJudges' query in the workbook." type="5" refreshedVersion="8" background="1" saveData="1">
    <dbPr connection="Provider=Microsoft.Mashup.OleDb.1;Data Source=$Workbook$;Location=qselActiveJudges;Extended Properties=&quot;&quot;" command="SELECT * FROM [qselActiveJudges]"/>
  </connection>
  <connection id="2" xr16:uid="{D8CB5CCD-8E55-4DDC-A8AB-AB88EE2C6E68}" keepAlive="1" name="Query - qselDogInfo" description="Connection to the 'qselDogInfo' query in the workbook." type="5" refreshedVersion="8" background="1" saveData="1">
    <dbPr connection="Provider=Microsoft.Mashup.OleDb.1;Data Source=$Workbook$;Location=qselDogInfo;Extended Properties=&quot;&quot;" command="SELECT * FROM [qselDogInfo]"/>
  </connection>
  <connection id="3" xr16:uid="{13BF1BD5-0430-4A74-9A66-EF2F8056EEE3}" keepAlive="1" name="Query - qselDogsForTrialSpreadsheet" description="Connection to the 'qselDogsForTrialSpreadsheet' query in the workbook." type="5" refreshedVersion="8" background="1" saveData="1">
    <dbPr connection="Provider=Microsoft.Mashup.OleDb.1;Data Source=$Workbook$;Location=qselDogsForTrialSpreadsheet;Extended Properties=&quot;&quot;" command="SELECT * FROM [qselDogsForTrialSpreadsheet]"/>
  </connection>
  <connection id="4" xr16:uid="{294F7497-B63C-4BF7-B83D-E14813FFEE98}" keepAlive="1" name="Query - qselFutureTrials" description="Connection to the 'qselFutureTrials' query in the workbook." type="5" refreshedVersion="8" background="1" saveData="1">
    <dbPr connection="Provider=Microsoft.Mashup.OleDb.1;Data Source=$Workbook$;Location=qselFutureTrials;Extended Properties=&quot;&quot;" command="SELECT * FROM [qselFutureTrials]"/>
  </connection>
  <connection id="5" xr16:uid="{46B10F0B-DB11-4E60-B16A-7DED97E41230}" keepAlive="1" name="Query - qselRecentlyProcessedTrials" description="Connection to the 'qselRecentlyProcessedTrials' query in the workbook." type="5" refreshedVersion="8" background="1" saveData="1">
    <dbPr connection="Provider=Microsoft.Mashup.OleDb.1;Data Source=$Workbook$;Location=qselRecentlyProcessedTrials;Extended Properties=&quot;&quot;" command="SELECT * FROM [qselRecentlyProcessedTrial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<sst xmlns="http://schemas.openxmlformats.org/spreadsheetml/2006/main" count="43778" uniqueCount="17598">
  <si>
    <t>Dog Name</t>
  </si>
  <si>
    <t>Breed</t>
  </si>
  <si>
    <t>Name</t>
  </si>
  <si>
    <t>Started</t>
  </si>
  <si>
    <t>Advanced</t>
  </si>
  <si>
    <t>Excellent</t>
  </si>
  <si>
    <t>Trial Number</t>
  </si>
  <si>
    <t>Trial Date</t>
  </si>
  <si>
    <t>Trial Venue</t>
  </si>
  <si>
    <t>Trial#</t>
  </si>
  <si>
    <t>Date:</t>
  </si>
  <si>
    <t>scrEvent</t>
  </si>
  <si>
    <t>scrRules</t>
  </si>
  <si>
    <t>scrDogId</t>
  </si>
  <si>
    <t>scrScore</t>
  </si>
  <si>
    <t>CSS</t>
  </si>
  <si>
    <t>ISS</t>
  </si>
  <si>
    <t>ESS</t>
  </si>
  <si>
    <t>CSA</t>
  </si>
  <si>
    <t>ISA</t>
  </si>
  <si>
    <t>ESA</t>
  </si>
  <si>
    <t>CSE</t>
  </si>
  <si>
    <t>ISE</t>
  </si>
  <si>
    <t>ESE</t>
  </si>
  <si>
    <t>scrStream</t>
  </si>
  <si>
    <t>Dogs Entered</t>
  </si>
  <si>
    <t>Dogs Passed</t>
  </si>
  <si>
    <t>Pass Rate</t>
  </si>
  <si>
    <t>Avg Score for Pass</t>
  </si>
  <si>
    <t>Total</t>
  </si>
  <si>
    <t>Container</t>
  </si>
  <si>
    <t>Interior</t>
  </si>
  <si>
    <t>Exterior</t>
  </si>
  <si>
    <t>Level</t>
  </si>
  <si>
    <t>Dali</t>
  </si>
  <si>
    <t>Quick</t>
  </si>
  <si>
    <t>Taz</t>
  </si>
  <si>
    <t>Gracie</t>
  </si>
  <si>
    <t>Annie</t>
  </si>
  <si>
    <t>Sally</t>
  </si>
  <si>
    <t>Brody</t>
  </si>
  <si>
    <t>Keesha</t>
  </si>
  <si>
    <t>Kyla</t>
  </si>
  <si>
    <t>Tango</t>
  </si>
  <si>
    <t>Heidi</t>
  </si>
  <si>
    <t>Loki</t>
  </si>
  <si>
    <t>Raven</t>
  </si>
  <si>
    <t>Kwick</t>
  </si>
  <si>
    <t>Lucy</t>
  </si>
  <si>
    <t>Smudge</t>
  </si>
  <si>
    <t>Rudy</t>
  </si>
  <si>
    <t>Five-O</t>
  </si>
  <si>
    <t>Kira</t>
  </si>
  <si>
    <t>Zoe</t>
  </si>
  <si>
    <t>Yukon</t>
  </si>
  <si>
    <t>Sammy</t>
  </si>
  <si>
    <t>Miss Magpie</t>
  </si>
  <si>
    <t>Indie</t>
  </si>
  <si>
    <t>Travis</t>
  </si>
  <si>
    <t>Ochi</t>
  </si>
  <si>
    <t>Sonic</t>
  </si>
  <si>
    <t>Takara</t>
  </si>
  <si>
    <t>Chablis</t>
  </si>
  <si>
    <t>Nalle</t>
  </si>
  <si>
    <t>Fierce</t>
  </si>
  <si>
    <t>Ruckus</t>
  </si>
  <si>
    <t>Spryte</t>
  </si>
  <si>
    <t>Strider</t>
  </si>
  <si>
    <t>True</t>
  </si>
  <si>
    <t>Kye</t>
  </si>
  <si>
    <t>Samson</t>
  </si>
  <si>
    <t>Daily</t>
  </si>
  <si>
    <t>Zindzi</t>
  </si>
  <si>
    <t>Morris</t>
  </si>
  <si>
    <t>Alegra</t>
  </si>
  <si>
    <t>Lacey</t>
  </si>
  <si>
    <t>Darragh</t>
  </si>
  <si>
    <t>Isis</t>
  </si>
  <si>
    <t>Sky</t>
  </si>
  <si>
    <t>Jack</t>
  </si>
  <si>
    <t>Ember</t>
  </si>
  <si>
    <t>Tank</t>
  </si>
  <si>
    <t>Hartley</t>
  </si>
  <si>
    <t>Chase</t>
  </si>
  <si>
    <t>Brandi</t>
  </si>
  <si>
    <t>Zuni</t>
  </si>
  <si>
    <t>Rayne</t>
  </si>
  <si>
    <t>Lance</t>
  </si>
  <si>
    <t>Caber</t>
  </si>
  <si>
    <t>Pupu</t>
  </si>
  <si>
    <t>Tenu</t>
  </si>
  <si>
    <t>Ziva</t>
  </si>
  <si>
    <t>Zipper</t>
  </si>
  <si>
    <t>Roxy</t>
  </si>
  <si>
    <t>Deacon</t>
  </si>
  <si>
    <t>Rawlee</t>
  </si>
  <si>
    <t>Libby</t>
  </si>
  <si>
    <t>Trixie</t>
  </si>
  <si>
    <t>Ben</t>
  </si>
  <si>
    <t>Axell</t>
  </si>
  <si>
    <t>Molson</t>
  </si>
  <si>
    <t>Juno</t>
  </si>
  <si>
    <t>Qrazy</t>
  </si>
  <si>
    <t>Qrash</t>
  </si>
  <si>
    <t>Hershey</t>
  </si>
  <si>
    <t>Galen</t>
  </si>
  <si>
    <t>Max</t>
  </si>
  <si>
    <t>Rylie</t>
  </si>
  <si>
    <t>Karma</t>
  </si>
  <si>
    <t>Koda</t>
  </si>
  <si>
    <t>Riley</t>
  </si>
  <si>
    <t>Sykora</t>
  </si>
  <si>
    <t>Daisy</t>
  </si>
  <si>
    <t>Sila</t>
  </si>
  <si>
    <t>Samantha</t>
  </si>
  <si>
    <t>Tikka</t>
  </si>
  <si>
    <t>Jersey</t>
  </si>
  <si>
    <t>Takoda Kasa</t>
  </si>
  <si>
    <t>Karma Shtiya</t>
  </si>
  <si>
    <t>Rosie</t>
  </si>
  <si>
    <t>J.D.</t>
  </si>
  <si>
    <t>Gimli</t>
  </si>
  <si>
    <t>Lexi</t>
  </si>
  <si>
    <t>Java</t>
  </si>
  <si>
    <t>Preston</t>
  </si>
  <si>
    <t>Ava</t>
  </si>
  <si>
    <t>Blitz</t>
  </si>
  <si>
    <t>Dodge</t>
  </si>
  <si>
    <t>Zen</t>
  </si>
  <si>
    <t>Josephine (Jo)</t>
  </si>
  <si>
    <t>Tusket</t>
  </si>
  <si>
    <t>Luna</t>
  </si>
  <si>
    <t>Rusty</t>
  </si>
  <si>
    <t>Bear</t>
  </si>
  <si>
    <t>Madi</t>
  </si>
  <si>
    <t>Reece</t>
  </si>
  <si>
    <t>Harta</t>
  </si>
  <si>
    <t>Dansa</t>
  </si>
  <si>
    <t>Briagha</t>
  </si>
  <si>
    <t>Wicca</t>
  </si>
  <si>
    <t>Keeper</t>
  </si>
  <si>
    <t>Spring</t>
  </si>
  <si>
    <t>Glory</t>
  </si>
  <si>
    <t>Spencer</t>
  </si>
  <si>
    <t>Madison</t>
  </si>
  <si>
    <t>Mi Mi</t>
  </si>
  <si>
    <t>Emmy</t>
  </si>
  <si>
    <t>Shiloe</t>
  </si>
  <si>
    <t>Jerry</t>
  </si>
  <si>
    <t>Caramel</t>
  </si>
  <si>
    <t>Okeana</t>
  </si>
  <si>
    <t>Saxon</t>
  </si>
  <si>
    <t>Thunder</t>
  </si>
  <si>
    <t>Lotus</t>
  </si>
  <si>
    <t>Haxlee</t>
  </si>
  <si>
    <t>Savvy</t>
  </si>
  <si>
    <t>Ambush</t>
  </si>
  <si>
    <t>Ping</t>
  </si>
  <si>
    <t>Salem</t>
  </si>
  <si>
    <t>Bella</t>
  </si>
  <si>
    <t>Magnum</t>
  </si>
  <si>
    <t>Marta</t>
  </si>
  <si>
    <t>Jerzee</t>
  </si>
  <si>
    <t>Eva</t>
  </si>
  <si>
    <t>Lucas</t>
  </si>
  <si>
    <t>Rein</t>
  </si>
  <si>
    <t>Roo</t>
  </si>
  <si>
    <t>Taighe</t>
  </si>
  <si>
    <t>Prowl</t>
  </si>
  <si>
    <t>Bluebell</t>
  </si>
  <si>
    <t>Star</t>
  </si>
  <si>
    <t>Hugo</t>
  </si>
  <si>
    <t>Lulu</t>
  </si>
  <si>
    <t>Django</t>
  </si>
  <si>
    <t>Bentley</t>
  </si>
  <si>
    <t>Tucker</t>
  </si>
  <si>
    <t>Rambo</t>
  </si>
  <si>
    <t>Riikka</t>
  </si>
  <si>
    <t>Brooke</t>
  </si>
  <si>
    <t>Berlin</t>
  </si>
  <si>
    <t>Kayser</t>
  </si>
  <si>
    <t>Brodie</t>
  </si>
  <si>
    <t>Marcus</t>
  </si>
  <si>
    <t>Tizzie</t>
  </si>
  <si>
    <t>Gordon</t>
  </si>
  <si>
    <t>Cali</t>
  </si>
  <si>
    <t>Charlie</t>
  </si>
  <si>
    <t>Smitty</t>
  </si>
  <si>
    <t>Frost</t>
  </si>
  <si>
    <t>Wilson</t>
  </si>
  <si>
    <t>Keeva</t>
  </si>
  <si>
    <t>Oban</t>
  </si>
  <si>
    <t>Bosco</t>
  </si>
  <si>
    <t>Maggie</t>
  </si>
  <si>
    <t>Shep</t>
  </si>
  <si>
    <t>Lucky</t>
  </si>
  <si>
    <t>Phyre</t>
  </si>
  <si>
    <t>Fiji</t>
  </si>
  <si>
    <t>Emmett</t>
  </si>
  <si>
    <t>Striker</t>
  </si>
  <si>
    <t>Tique</t>
  </si>
  <si>
    <t>Carly</t>
  </si>
  <si>
    <t>Draco</t>
  </si>
  <si>
    <t>Rapper</t>
  </si>
  <si>
    <t>Kruz</t>
  </si>
  <si>
    <t>Jenga</t>
  </si>
  <si>
    <t>Reese</t>
  </si>
  <si>
    <t>Ice</t>
  </si>
  <si>
    <t>Ripley</t>
  </si>
  <si>
    <t>Boomer</t>
  </si>
  <si>
    <t>Suki</t>
  </si>
  <si>
    <t>Quincy</t>
  </si>
  <si>
    <t>Herc</t>
  </si>
  <si>
    <t>Boo</t>
  </si>
  <si>
    <t>Sterling</t>
  </si>
  <si>
    <t>Hunter</t>
  </si>
  <si>
    <t>Rue</t>
  </si>
  <si>
    <t>Sinclair</t>
  </si>
  <si>
    <t>Rex</t>
  </si>
  <si>
    <t>Jett</t>
  </si>
  <si>
    <t>Tonka</t>
  </si>
  <si>
    <t>Diego</t>
  </si>
  <si>
    <t>Gisele</t>
  </si>
  <si>
    <t>Keira</t>
  </si>
  <si>
    <t>Rumor</t>
  </si>
  <si>
    <t>Becky</t>
  </si>
  <si>
    <t>Zazu</t>
  </si>
  <si>
    <t>Chianti</t>
  </si>
  <si>
    <t>Brawnson</t>
  </si>
  <si>
    <t>Gypsy</t>
  </si>
  <si>
    <t>Tigger</t>
  </si>
  <si>
    <t>Simon</t>
  </si>
  <si>
    <t>Guinness</t>
  </si>
  <si>
    <t>Kaze</t>
  </si>
  <si>
    <t>Flint</t>
  </si>
  <si>
    <t>Emma</t>
  </si>
  <si>
    <t>Nestle</t>
  </si>
  <si>
    <t>Sophie</t>
  </si>
  <si>
    <t>Rory</t>
  </si>
  <si>
    <t>Noah</t>
  </si>
  <si>
    <t>Cameron</t>
  </si>
  <si>
    <t>Zeke</t>
  </si>
  <si>
    <t>Hivernal</t>
  </si>
  <si>
    <t>Quippe</t>
  </si>
  <si>
    <t>Sonny</t>
  </si>
  <si>
    <t>Kelly</t>
  </si>
  <si>
    <t>Mira</t>
  </si>
  <si>
    <t>Melody</t>
  </si>
  <si>
    <t>CJ</t>
  </si>
  <si>
    <t>Bolt</t>
  </si>
  <si>
    <t>Tavish</t>
  </si>
  <si>
    <t>Jed</t>
  </si>
  <si>
    <t>Axel</t>
  </si>
  <si>
    <t>Rocky</t>
  </si>
  <si>
    <t>Catch</t>
  </si>
  <si>
    <t>Rem</t>
  </si>
  <si>
    <t>Noelle</t>
  </si>
  <si>
    <t>Molly</t>
  </si>
  <si>
    <t>Cayla</t>
  </si>
  <si>
    <t>Buck</t>
  </si>
  <si>
    <t>Panzer</t>
  </si>
  <si>
    <t>Easton</t>
  </si>
  <si>
    <t>Gemma</t>
  </si>
  <si>
    <t>Charm</t>
  </si>
  <si>
    <t>Kohlt</t>
  </si>
  <si>
    <t>Belle</t>
  </si>
  <si>
    <t>Willow</t>
  </si>
  <si>
    <t>Aila</t>
  </si>
  <si>
    <t>Onni</t>
  </si>
  <si>
    <t>Tas</t>
  </si>
  <si>
    <t>Grace</t>
  </si>
  <si>
    <t>Dash</t>
  </si>
  <si>
    <t>Winnifur "Winnie"</t>
  </si>
  <si>
    <t>Mags</t>
  </si>
  <si>
    <t>Dante</t>
  </si>
  <si>
    <t>Nika</t>
  </si>
  <si>
    <t>Alex</t>
  </si>
  <si>
    <t>Brynn</t>
  </si>
  <si>
    <t>Macush</t>
  </si>
  <si>
    <t>Beretta</t>
  </si>
  <si>
    <t>Poki</t>
  </si>
  <si>
    <t>Maya</t>
  </si>
  <si>
    <t>Joy</t>
  </si>
  <si>
    <t>Boczek</t>
  </si>
  <si>
    <t>Phoenix</t>
  </si>
  <si>
    <t>Meike</t>
  </si>
  <si>
    <t>Becca</t>
  </si>
  <si>
    <t>Shirri</t>
  </si>
  <si>
    <t>Fawkes</t>
  </si>
  <si>
    <t>Morgan</t>
  </si>
  <si>
    <t>Cricket</t>
  </si>
  <si>
    <t>Enzo</t>
  </si>
  <si>
    <t>Jazper</t>
  </si>
  <si>
    <t>Bode</t>
  </si>
  <si>
    <t>Tommy</t>
  </si>
  <si>
    <t>Angel</t>
  </si>
  <si>
    <t>Victor</t>
  </si>
  <si>
    <t>Mika</t>
  </si>
  <si>
    <t>Nimbus</t>
  </si>
  <si>
    <t>Hailey</t>
  </si>
  <si>
    <t>Zanna</t>
  </si>
  <si>
    <t>Leo</t>
  </si>
  <si>
    <t>Frank</t>
  </si>
  <si>
    <t>Halley</t>
  </si>
  <si>
    <t>Dobby</t>
  </si>
  <si>
    <t>Kinsey</t>
  </si>
  <si>
    <t>Peyton</t>
  </si>
  <si>
    <t>Cleo</t>
  </si>
  <si>
    <t>Tai</t>
  </si>
  <si>
    <t>Maverick</t>
  </si>
  <si>
    <t>Jessie</t>
  </si>
  <si>
    <t>Ajax</t>
  </si>
  <si>
    <t>Lilac</t>
  </si>
  <si>
    <t>Sage</t>
  </si>
  <si>
    <t>Alsa</t>
  </si>
  <si>
    <t>Nelson</t>
  </si>
  <si>
    <t>Wrangler</t>
  </si>
  <si>
    <t>Samsin</t>
  </si>
  <si>
    <t>Doyle</t>
  </si>
  <si>
    <t>Aoibheann</t>
  </si>
  <si>
    <t>Vader</t>
  </si>
  <si>
    <t>Bianca</t>
  </si>
  <si>
    <t>Murdock</t>
  </si>
  <si>
    <t>Fyfah</t>
  </si>
  <si>
    <t>Sirin</t>
  </si>
  <si>
    <t>Bonsai</t>
  </si>
  <si>
    <t>Jet</t>
  </si>
  <si>
    <t>Miss Unik</t>
  </si>
  <si>
    <t>Stark</t>
  </si>
  <si>
    <t>Paco</t>
  </si>
  <si>
    <t>Sydney</t>
  </si>
  <si>
    <t>Sula</t>
  </si>
  <si>
    <t>Cash</t>
  </si>
  <si>
    <t>Micka</t>
  </si>
  <si>
    <t>Chewy</t>
  </si>
  <si>
    <t>Rico</t>
  </si>
  <si>
    <t>Remington</t>
  </si>
  <si>
    <t>Red</t>
  </si>
  <si>
    <t>Rat Dog</t>
  </si>
  <si>
    <t>Rogue</t>
  </si>
  <si>
    <t>Angie</t>
  </si>
  <si>
    <t>Shadow</t>
  </si>
  <si>
    <t>Jenna</t>
  </si>
  <si>
    <t>Edel Weiss</t>
  </si>
  <si>
    <t>Bill</t>
  </si>
  <si>
    <t>Rupien</t>
  </si>
  <si>
    <t>Kylie</t>
  </si>
  <si>
    <t>Scarlett</t>
  </si>
  <si>
    <t>Maci</t>
  </si>
  <si>
    <t>Si</t>
  </si>
  <si>
    <t>Sprig</t>
  </si>
  <si>
    <t>Addytude</t>
  </si>
  <si>
    <t>Drummer</t>
  </si>
  <si>
    <t>Bailey</t>
  </si>
  <si>
    <t>Kaizer</t>
  </si>
  <si>
    <t>Quna</t>
  </si>
  <si>
    <t>Breeze</t>
  </si>
  <si>
    <t>Geo</t>
  </si>
  <si>
    <t>Romo</t>
  </si>
  <si>
    <t>Raleigh</t>
  </si>
  <si>
    <t>Screech</t>
  </si>
  <si>
    <t>Cay</t>
  </si>
  <si>
    <t>Callie</t>
  </si>
  <si>
    <t>Cozette</t>
  </si>
  <si>
    <t>Loca</t>
  </si>
  <si>
    <t>Duke</t>
  </si>
  <si>
    <t>Wolfy</t>
  </si>
  <si>
    <t>Scarlet</t>
  </si>
  <si>
    <t>Chloe</t>
  </si>
  <si>
    <t>Pix</t>
  </si>
  <si>
    <t>Giles</t>
  </si>
  <si>
    <t>Trbel</t>
  </si>
  <si>
    <t>Nasrin</t>
  </si>
  <si>
    <t>Zevah</t>
  </si>
  <si>
    <t>Ghimar</t>
  </si>
  <si>
    <t>Niles</t>
  </si>
  <si>
    <t>Ozzy</t>
  </si>
  <si>
    <t>Bert</t>
  </si>
  <si>
    <t>MySiks</t>
  </si>
  <si>
    <t>Frankie</t>
  </si>
  <si>
    <t>Jorja</t>
  </si>
  <si>
    <t>Ruby</t>
  </si>
  <si>
    <t>Lily</t>
  </si>
  <si>
    <t>Slade</t>
  </si>
  <si>
    <t>Uno</t>
  </si>
  <si>
    <t>Noodle</t>
  </si>
  <si>
    <t>Flame</t>
  </si>
  <si>
    <t>Autumn</t>
  </si>
  <si>
    <t>Kohl</t>
  </si>
  <si>
    <t>Pip Squeak</t>
  </si>
  <si>
    <t>Jasper</t>
  </si>
  <si>
    <t>Peek at Chu</t>
  </si>
  <si>
    <t>Joey</t>
  </si>
  <si>
    <t>Indigo</t>
  </si>
  <si>
    <t>Odessa</t>
  </si>
  <si>
    <t>Flirt</t>
  </si>
  <si>
    <t>Genne</t>
  </si>
  <si>
    <t>Mac</t>
  </si>
  <si>
    <t>Tarka</t>
  </si>
  <si>
    <t>Driver</t>
  </si>
  <si>
    <t>Kash</t>
  </si>
  <si>
    <t>Cinder</t>
  </si>
  <si>
    <t>Layla</t>
  </si>
  <si>
    <t>Barbie</t>
  </si>
  <si>
    <t>Mylie</t>
  </si>
  <si>
    <t>Rychly</t>
  </si>
  <si>
    <t>Huneby</t>
  </si>
  <si>
    <t>See-See</t>
  </si>
  <si>
    <t>Olive</t>
  </si>
  <si>
    <t>Dragon</t>
  </si>
  <si>
    <t>Finnley</t>
  </si>
  <si>
    <t>Achilles</t>
  </si>
  <si>
    <t>Donovan</t>
  </si>
  <si>
    <t>Mitchell</t>
  </si>
  <si>
    <t>Rango</t>
  </si>
  <si>
    <t>Zak</t>
  </si>
  <si>
    <t>Sadie</t>
  </si>
  <si>
    <t>Bayou</t>
  </si>
  <si>
    <t>Sushi</t>
  </si>
  <si>
    <t>Mocha</t>
  </si>
  <si>
    <t>Normyn</t>
  </si>
  <si>
    <t>Kaylah</t>
  </si>
  <si>
    <t>Alee</t>
  </si>
  <si>
    <t>Corrie</t>
  </si>
  <si>
    <t>Sagie</t>
  </si>
  <si>
    <t>Spruce</t>
  </si>
  <si>
    <t>Ptaary</t>
  </si>
  <si>
    <t>Kowboy</t>
  </si>
  <si>
    <t>Furley</t>
  </si>
  <si>
    <t>Atom</t>
  </si>
  <si>
    <t>Cooper</t>
  </si>
  <si>
    <t>Duncan</t>
  </si>
  <si>
    <t>Karmen</t>
  </si>
  <si>
    <t>Ike</t>
  </si>
  <si>
    <t>Dyce</t>
  </si>
  <si>
    <t>Tessa</t>
  </si>
  <si>
    <t>Kaiser</t>
  </si>
  <si>
    <t>Ella</t>
  </si>
  <si>
    <t>Seliya</t>
  </si>
  <si>
    <t>Tess</t>
  </si>
  <si>
    <t>Indy</t>
  </si>
  <si>
    <t>Aylin</t>
  </si>
  <si>
    <t>Teigan</t>
  </si>
  <si>
    <t>Skye</t>
  </si>
  <si>
    <t>Kia</t>
  </si>
  <si>
    <t>Tass</t>
  </si>
  <si>
    <t>Dillon</t>
  </si>
  <si>
    <t>Justice</t>
  </si>
  <si>
    <t>Ollie</t>
  </si>
  <si>
    <t>Teddy (T-Bear)</t>
  </si>
  <si>
    <t>Rainee</t>
  </si>
  <si>
    <t>Mysty May</t>
  </si>
  <si>
    <t>Spirit le fay</t>
  </si>
  <si>
    <t>Caeda</t>
  </si>
  <si>
    <t>Brazen Lady</t>
  </si>
  <si>
    <t>Penny</t>
  </si>
  <si>
    <t>Lyric</t>
  </si>
  <si>
    <t>Opal</t>
  </si>
  <si>
    <t>Q</t>
  </si>
  <si>
    <t>Apsel</t>
  </si>
  <si>
    <t>Trouble</t>
  </si>
  <si>
    <t>Lark</t>
  </si>
  <si>
    <t>Sassy</t>
  </si>
  <si>
    <t>Calypso</t>
  </si>
  <si>
    <t>Tallulah</t>
  </si>
  <si>
    <t>Zephyr</t>
  </si>
  <si>
    <t>Smoochie</t>
  </si>
  <si>
    <t>William</t>
  </si>
  <si>
    <t>Storm</t>
  </si>
  <si>
    <t>Miss Ellie</t>
  </si>
  <si>
    <t>Knight</t>
  </si>
  <si>
    <t>Barley</t>
  </si>
  <si>
    <t>George</t>
  </si>
  <si>
    <t>Baumann</t>
  </si>
  <si>
    <t>Dux</t>
  </si>
  <si>
    <t>Breya</t>
  </si>
  <si>
    <t>Edie</t>
  </si>
  <si>
    <t>Gunnar</t>
  </si>
  <si>
    <t>Briley</t>
  </si>
  <si>
    <t>Friezy</t>
  </si>
  <si>
    <t>Scaia</t>
  </si>
  <si>
    <t>Mabel</t>
  </si>
  <si>
    <t>Squirt</t>
  </si>
  <si>
    <t>Fien</t>
  </si>
  <si>
    <t>Chevy</t>
  </si>
  <si>
    <t>Buddy</t>
  </si>
  <si>
    <t>Chino</t>
  </si>
  <si>
    <t>Mystique</t>
  </si>
  <si>
    <t>Oscar</t>
  </si>
  <si>
    <t>Samba</t>
  </si>
  <si>
    <t>Charleston</t>
  </si>
  <si>
    <t>Trooper</t>
  </si>
  <si>
    <t>Winchester</t>
  </si>
  <si>
    <t>Hannah</t>
  </si>
  <si>
    <t>Beans</t>
  </si>
  <si>
    <t>Hanna</t>
  </si>
  <si>
    <t>Eleonore</t>
  </si>
  <si>
    <t>Target</t>
  </si>
  <si>
    <t>Gunny</t>
  </si>
  <si>
    <t>Braveheart</t>
  </si>
  <si>
    <t>Jaguar</t>
  </si>
  <si>
    <t>All-Canadian</t>
  </si>
  <si>
    <t>Belgian Shepherd Dog (Malinois)</t>
  </si>
  <si>
    <t>Retriever (Labrador)</t>
  </si>
  <si>
    <t>Jack Russell Terrier</t>
  </si>
  <si>
    <t>Setter (Gordon)</t>
  </si>
  <si>
    <t>German Shepherd Dog</t>
  </si>
  <si>
    <t>Boxer</t>
  </si>
  <si>
    <t>Dutch Sheepdog</t>
  </si>
  <si>
    <t>Poodle (Miniature)</t>
  </si>
  <si>
    <t>Retriever (Golden)</t>
  </si>
  <si>
    <t>Spaniel (Field)</t>
  </si>
  <si>
    <t>Spaniel (English Springer)</t>
  </si>
  <si>
    <t>Shetland Sheepdog</t>
  </si>
  <si>
    <t>Rottweiler</t>
  </si>
  <si>
    <t>Swedish Vallhund</t>
  </si>
  <si>
    <t>Australian Shepherd</t>
  </si>
  <si>
    <t>Welsh Corgi (Cardigan)</t>
  </si>
  <si>
    <t>Doberman Pinscher</t>
  </si>
  <si>
    <t>Spaniel (American Cocker)</t>
  </si>
  <si>
    <t>Dachshund (Miniature Long-Haired)</t>
  </si>
  <si>
    <t>Pointer (German Short-Haired)</t>
  </si>
  <si>
    <t>Belgian Shepherd Dog (Tervuren)</t>
  </si>
  <si>
    <t>Beagle</t>
  </si>
  <si>
    <t>Petit Basset Griffon Vendeen</t>
  </si>
  <si>
    <t>Cavalier King Charles Spaniel</t>
  </si>
  <si>
    <t>Siberian Husky</t>
  </si>
  <si>
    <t>Bulldog (English)</t>
  </si>
  <si>
    <t>Cairn Terrier</t>
  </si>
  <si>
    <t>Pug</t>
  </si>
  <si>
    <t>Retriever (Nova Scotia Duck Tolling)</t>
  </si>
  <si>
    <t>Catahoula Leopard Dog</t>
  </si>
  <si>
    <t>Portuguese Water Dog</t>
  </si>
  <si>
    <t>Australian Cattle Dog</t>
  </si>
  <si>
    <t>Border Terrier</t>
  </si>
  <si>
    <t>West Highland White Terrier</t>
  </si>
  <si>
    <t>Papillon</t>
  </si>
  <si>
    <t>Schnauzer (Miniature)</t>
  </si>
  <si>
    <t>Donovan Pinscher</t>
  </si>
  <si>
    <t>Entlebucher Mountain Dog</t>
  </si>
  <si>
    <t>Dutch Shepherd</t>
  </si>
  <si>
    <t>Polish Lowland Sheepdog</t>
  </si>
  <si>
    <t>Parson Russell Terrier</t>
  </si>
  <si>
    <t>Retriever (Chesapeake Bay)</t>
  </si>
  <si>
    <t>Bouvier des Flandres</t>
  </si>
  <si>
    <t>Bullmastiff</t>
  </si>
  <si>
    <t>Borzoi</t>
  </si>
  <si>
    <t>Retriever (Flat-Coated)</t>
  </si>
  <si>
    <t>Poodle (Toy)</t>
  </si>
  <si>
    <t>English Shepherd</t>
  </si>
  <si>
    <t>Spaniel (Brittany)</t>
  </si>
  <si>
    <t>Border Collie</t>
  </si>
  <si>
    <t>Pomeranian</t>
  </si>
  <si>
    <t>Dachshund (Standard Wire-Haired)</t>
  </si>
  <si>
    <t>Chinese Crested Dog</t>
  </si>
  <si>
    <t>American Staffordshire Terrier</t>
  </si>
  <si>
    <t>Bulldog (American)</t>
  </si>
  <si>
    <t>Rat Terrier</t>
  </si>
  <si>
    <t>Shiba Inu</t>
  </si>
  <si>
    <t>Dachshund (Miniature Smooth)</t>
  </si>
  <si>
    <t>Berger des Pyrenees</t>
  </si>
  <si>
    <t>Miniature Pinscher</t>
  </si>
  <si>
    <t>Chihuahua (Long Coat)</t>
  </si>
  <si>
    <t>Belgian Shepherd Dog (Groenendael)</t>
  </si>
  <si>
    <t>Kerry Blue Terrier</t>
  </si>
  <si>
    <t>German Pinscher</t>
  </si>
  <si>
    <t>Greyhound</t>
  </si>
  <si>
    <t>Weimaraner</t>
  </si>
  <si>
    <t>Bohemian Shepherd</t>
  </si>
  <si>
    <t>Great Dane</t>
  </si>
  <si>
    <t>Bernese Mountain Dog</t>
  </si>
  <si>
    <t>Bull Terrier (Miniature)</t>
  </si>
  <si>
    <t>Vizsla (Smooth)</t>
  </si>
  <si>
    <t>Australian Kelpie</t>
  </si>
  <si>
    <t>Spaniel (English Cocker)</t>
  </si>
  <si>
    <t>Leonberger</t>
  </si>
  <si>
    <t>Coton de Tulear</t>
  </si>
  <si>
    <t>Poodle (Standard)</t>
  </si>
  <si>
    <t>Chow Chow</t>
  </si>
  <si>
    <t>Coydog</t>
  </si>
  <si>
    <t>Staffordshire Bull Terrier</t>
  </si>
  <si>
    <t>Whippet</t>
  </si>
  <si>
    <t>Airedale Terrier</t>
  </si>
  <si>
    <t>Toy Fox Terrier</t>
  </si>
  <si>
    <t>Schapendoes</t>
  </si>
  <si>
    <t>Schipperke</t>
  </si>
  <si>
    <t>Rhodesian Ridgeback</t>
  </si>
  <si>
    <t>Soft-Coated Wheaten Terrier</t>
  </si>
  <si>
    <t>Setter (English)</t>
  </si>
  <si>
    <t>Manchester Terrier</t>
  </si>
  <si>
    <t>Greater Swiss Mountain Dog</t>
  </si>
  <si>
    <t>Chihuahua (Short Coat)</t>
  </si>
  <si>
    <t>Newfoundland</t>
  </si>
  <si>
    <t>Otterhound</t>
  </si>
  <si>
    <t>Hi-Fi</t>
  </si>
  <si>
    <t>Bequerel</t>
  </si>
  <si>
    <t>Barbet</t>
  </si>
  <si>
    <t>Blink</t>
  </si>
  <si>
    <t>Miller</t>
  </si>
  <si>
    <t>Quest</t>
  </si>
  <si>
    <t>Make sure to select "enable editing".  Otherwise entering data is impossible</t>
  </si>
  <si>
    <t>Helper Column Working Placement</t>
  </si>
  <si>
    <t>Cnt Time</t>
  </si>
  <si>
    <t>Cnt P/F</t>
  </si>
  <si>
    <t>Str A/W</t>
  </si>
  <si>
    <t>Ln#</t>
  </si>
  <si>
    <t>Int Time</t>
  </si>
  <si>
    <t>Helper Cnt Amateur Placement</t>
  </si>
  <si>
    <t>Helper Int Amateur Placement</t>
  </si>
  <si>
    <t>Helper Int Working Placement</t>
  </si>
  <si>
    <t>Int P/F</t>
  </si>
  <si>
    <t>Dog Info</t>
  </si>
  <si>
    <t>Nbr</t>
  </si>
  <si>
    <t>Helper Ext Amateur Placement</t>
  </si>
  <si>
    <t>Helper Ext Working Placement</t>
  </si>
  <si>
    <t>Ext Time</t>
  </si>
  <si>
    <t>(3Q's) Total Score</t>
  </si>
  <si>
    <t>Ext P/F</t>
  </si>
  <si>
    <t>Amtr Cnt Plcm</t>
  </si>
  <si>
    <t>Amtr Int Plcm</t>
  </si>
  <si>
    <t>Amtr Ext Plcm</t>
  </si>
  <si>
    <t>Wrkn Cnt Plcm</t>
  </si>
  <si>
    <t>Wrkn Int Plcm</t>
  </si>
  <si>
    <t>Wrkn Ext Plcm</t>
  </si>
  <si>
    <t>Trial Nbr:</t>
  </si>
  <si>
    <t/>
  </si>
  <si>
    <t>Monti</t>
  </si>
  <si>
    <t>Marty</t>
  </si>
  <si>
    <t>Welsh Corgi (Pembroke)</t>
  </si>
  <si>
    <t>Vita</t>
  </si>
  <si>
    <t>Grail</t>
  </si>
  <si>
    <t>Power</t>
  </si>
  <si>
    <t>Quinn</t>
  </si>
  <si>
    <t>Benelli</t>
  </si>
  <si>
    <t>Secret</t>
  </si>
  <si>
    <t>Mama Jack</t>
  </si>
  <si>
    <t>Aidan</t>
  </si>
  <si>
    <t>Ria</t>
  </si>
  <si>
    <t>Kallee</t>
  </si>
  <si>
    <t>Roxanne</t>
  </si>
  <si>
    <t>Apollo</t>
  </si>
  <si>
    <t>Brandy</t>
  </si>
  <si>
    <t>Katniss</t>
  </si>
  <si>
    <t>Kenzie</t>
  </si>
  <si>
    <t>Ali</t>
  </si>
  <si>
    <t>Gibson</t>
  </si>
  <si>
    <t>Fla$h</t>
  </si>
  <si>
    <t>Mack</t>
  </si>
  <si>
    <t>Gade</t>
  </si>
  <si>
    <t>Cher</t>
  </si>
  <si>
    <t>Helper Overall Amateur</t>
  </si>
  <si>
    <t>Overall</t>
  </si>
  <si>
    <t>Wrkn Plcm</t>
  </si>
  <si>
    <t>Amtr Plcm</t>
  </si>
  <si>
    <t>Overall Score Amtr</t>
  </si>
  <si>
    <t>Overall Time Amtr</t>
  </si>
  <si>
    <t>Overall Score Wrkn</t>
  </si>
  <si>
    <t>Overall Time Wrkn</t>
  </si>
  <si>
    <t>Helper Overall Wrkn</t>
  </si>
  <si>
    <t>SP</t>
  </si>
  <si>
    <t>Rg Cnt Q's</t>
  </si>
  <si>
    <t>Rg Int Q's</t>
  </si>
  <si>
    <t>Rg Ext Q's</t>
  </si>
  <si>
    <t>Female</t>
  </si>
  <si>
    <t>Wolfram, Marg</t>
  </si>
  <si>
    <t>Archibald, Val</t>
  </si>
  <si>
    <t>Male</t>
  </si>
  <si>
    <t>Chisholm, Dawn</t>
  </si>
  <si>
    <t>Harrison, Andrea</t>
  </si>
  <si>
    <t>Williams, Linda May</t>
  </si>
  <si>
    <t>Yung, Sonia</t>
  </si>
  <si>
    <t>Gerstmann, Erin</t>
  </si>
  <si>
    <t>Perrier, Stephanie</t>
  </si>
  <si>
    <t>Cripps, Jill</t>
  </si>
  <si>
    <t>Bickley, Catherine</t>
  </si>
  <si>
    <t>Blazak, Melissa</t>
  </si>
  <si>
    <t>Nadeau, Marie</t>
  </si>
  <si>
    <t>Lewin, Teresa</t>
  </si>
  <si>
    <t>Gavin, Connie</t>
  </si>
  <si>
    <t>Miller, Connie</t>
  </si>
  <si>
    <t>Charlebois, Chantelle</t>
  </si>
  <si>
    <t>Tsitanidis, Jim</t>
  </si>
  <si>
    <t>Browning, Debbie</t>
  </si>
  <si>
    <t>Sjoberg, Asa</t>
  </si>
  <si>
    <t>Kalanuk, Colleen</t>
  </si>
  <si>
    <t>Boyes, Kim</t>
  </si>
  <si>
    <t>Book, Jane</t>
  </si>
  <si>
    <t>Short, Julie</t>
  </si>
  <si>
    <t>Mairs, John</t>
  </si>
  <si>
    <t>Ferger, Katherine</t>
  </si>
  <si>
    <t>Geertsen, Susanne</t>
  </si>
  <si>
    <t>Stubbs, Vivienne</t>
  </si>
  <si>
    <t>McPherson, Debra</t>
  </si>
  <si>
    <t>Palmer, Sharon</t>
  </si>
  <si>
    <t>Ladouceur, Kelly</t>
  </si>
  <si>
    <t>Greenfield, Laura</t>
  </si>
  <si>
    <t>Barnett, Stella</t>
  </si>
  <si>
    <t>Denomme, Brenda</t>
  </si>
  <si>
    <t>Dudley, Wendy</t>
  </si>
  <si>
    <t>Docherty, Gail</t>
  </si>
  <si>
    <t>Williamson, Inge</t>
  </si>
  <si>
    <t>McPhee, Nancy</t>
  </si>
  <si>
    <t>Laurila, Riitta</t>
  </si>
  <si>
    <t>Dennis, Janice</t>
  </si>
  <si>
    <t>Yates, Martin</t>
  </si>
  <si>
    <t>Hoshel, Cathy</t>
  </si>
  <si>
    <t>Seguin, Donna</t>
  </si>
  <si>
    <t>Aulstead, Kathy</t>
  </si>
  <si>
    <t>Dressler, Norm</t>
  </si>
  <si>
    <t>Moore, Betty</t>
  </si>
  <si>
    <t>Anderson, Julie</t>
  </si>
  <si>
    <t>Hayden, Susan</t>
  </si>
  <si>
    <t>Hall, Sherri</t>
  </si>
  <si>
    <t>Whittle, Cheryl</t>
  </si>
  <si>
    <t>Sibley, Susan</t>
  </si>
  <si>
    <t>Dust, Debbie</t>
  </si>
  <si>
    <t>Farmer, Valerie</t>
  </si>
  <si>
    <t>Sherritt, Doug &amp; Cindy</t>
  </si>
  <si>
    <t>Gagnon, Samantha</t>
  </si>
  <si>
    <t>Hayhurst, Jacklyn</t>
  </si>
  <si>
    <t>Muirhead, Harriet</t>
  </si>
  <si>
    <t>Fielding, Barb &amp; Reid</t>
  </si>
  <si>
    <t>Nash, Cynthia &amp; David</t>
  </si>
  <si>
    <t>Westall, Paul S.</t>
  </si>
  <si>
    <t>Stilzebach, Sven</t>
  </si>
  <si>
    <t>Ptatschek, Sarah Catherine</t>
  </si>
  <si>
    <t>MacLeod, Heather</t>
  </si>
  <si>
    <t>Graham-May, Kirsten</t>
  </si>
  <si>
    <t>Little, Gwen</t>
  </si>
  <si>
    <t>Grant, Penny</t>
  </si>
  <si>
    <t>Woodworth, Sue</t>
  </si>
  <si>
    <t>Greenall, Richard</t>
  </si>
  <si>
    <t>Jansen, Ghitta</t>
  </si>
  <si>
    <t>Burns, Heather</t>
  </si>
  <si>
    <t>Nimigan, Joanne</t>
  </si>
  <si>
    <t>Axton, Blanche</t>
  </si>
  <si>
    <t>Saunders, Ann</t>
  </si>
  <si>
    <t>Caldwell, Jodie</t>
  </si>
  <si>
    <t>Borger, Linda</t>
  </si>
  <si>
    <t>Morley, Victoria</t>
  </si>
  <si>
    <t>Thompson, Janet</t>
  </si>
  <si>
    <t>Grzesina, Andrea</t>
  </si>
  <si>
    <t>Somers, Heather</t>
  </si>
  <si>
    <t>McLaughlin, Jane</t>
  </si>
  <si>
    <t>Gunderson, Ann</t>
  </si>
  <si>
    <t>Leight, Darlene</t>
  </si>
  <si>
    <t>O'Halloran, Rita</t>
  </si>
  <si>
    <t>Severn, Dorothy</t>
  </si>
  <si>
    <t>Wallace, Judith</t>
  </si>
  <si>
    <t>Peters, Pam</t>
  </si>
  <si>
    <t>Earl, Alice</t>
  </si>
  <si>
    <t>Polny, Leanne</t>
  </si>
  <si>
    <t>Fry, Lori</t>
  </si>
  <si>
    <t>Shepard, Bev</t>
  </si>
  <si>
    <t>Fehrenbach, Becky</t>
  </si>
  <si>
    <t>Meier, Nancy</t>
  </si>
  <si>
    <t>Luzzi, Sheri</t>
  </si>
  <si>
    <t>Phaneuf, Jonathan</t>
  </si>
  <si>
    <t>White, Tina</t>
  </si>
  <si>
    <t>Stairs, Jen</t>
  </si>
  <si>
    <t>Wilkins, Terry</t>
  </si>
  <si>
    <t>Lewis, Marie</t>
  </si>
  <si>
    <t>Kon, Wendy</t>
  </si>
  <si>
    <t>Boucher, Lisa M.</t>
  </si>
  <si>
    <t>Wishart, Sue</t>
  </si>
  <si>
    <t>Hutchins, Lesley</t>
  </si>
  <si>
    <t>Brown, Phyllis</t>
  </si>
  <si>
    <t>Adams, Diane</t>
  </si>
  <si>
    <t>Van Bregt, Pat</t>
  </si>
  <si>
    <t>Bona, George</t>
  </si>
  <si>
    <t>Weismann, Lise</t>
  </si>
  <si>
    <t>Donofrio, Lee-Ann</t>
  </si>
  <si>
    <t>Smith, Lori</t>
  </si>
  <si>
    <t>Heuvelman, Kim</t>
  </si>
  <si>
    <t>Boulet, Mary-Anne</t>
  </si>
  <si>
    <t>Hooper, June</t>
  </si>
  <si>
    <t>Shadforth, Laura</t>
  </si>
  <si>
    <t>Corbett, Scott</t>
  </si>
  <si>
    <t>Walker, Carole</t>
  </si>
  <si>
    <t>Dugas, Jean-Marc</t>
  </si>
  <si>
    <t>Gibbons, Sheila</t>
  </si>
  <si>
    <t>Smith, Kathryn &amp; Cameron</t>
  </si>
  <si>
    <t>Seguin, Meghan</t>
  </si>
  <si>
    <t>Tank, Jo-Ann</t>
  </si>
  <si>
    <t>Coughlan, shawna</t>
  </si>
  <si>
    <t>McInnes, Don</t>
  </si>
  <si>
    <t>Brown, Rose</t>
  </si>
  <si>
    <t>McHugh, Deanna</t>
  </si>
  <si>
    <t>Wallace, Ann</t>
  </si>
  <si>
    <t>Leong, Heather</t>
  </si>
  <si>
    <t>Patenaude, Dianne</t>
  </si>
  <si>
    <t>Camrass, Ruth</t>
  </si>
  <si>
    <t>DeVenne, Carol-Anne</t>
  </si>
  <si>
    <t>Hooper, Jim</t>
  </si>
  <si>
    <t>Johnson, Margaret A.</t>
  </si>
  <si>
    <t>Lawrence, Anne</t>
  </si>
  <si>
    <t>Banks, Margo</t>
  </si>
  <si>
    <t>Carroll, Carol</t>
  </si>
  <si>
    <t>Bishop, Arlene</t>
  </si>
  <si>
    <t>Carr, Andy</t>
  </si>
  <si>
    <t>Craig, Lorna</t>
  </si>
  <si>
    <t>Simon, Carla</t>
  </si>
  <si>
    <t>Arminio, Jeanette</t>
  </si>
  <si>
    <t>Innes, Deborah</t>
  </si>
  <si>
    <t>Taylor, Lesly</t>
  </si>
  <si>
    <t>Miller/Collins, Evan &amp; Amanda</t>
  </si>
  <si>
    <t>Petti, Sarah-Jane</t>
  </si>
  <si>
    <t>Johnson, Hope</t>
  </si>
  <si>
    <t>Wallace, Wendy</t>
  </si>
  <si>
    <t>Nicol, Martha</t>
  </si>
  <si>
    <t>Pitts, Terrie</t>
  </si>
  <si>
    <t>Gilbert, Angela</t>
  </si>
  <si>
    <t>Landry, Jeannette</t>
  </si>
  <si>
    <t>Jesse, Rachel</t>
  </si>
  <si>
    <t>Beattie, Susan</t>
  </si>
  <si>
    <t>Swatko, Leah</t>
  </si>
  <si>
    <t>Gerhardt, Diane</t>
  </si>
  <si>
    <t>Charman, Erin</t>
  </si>
  <si>
    <t>Franklin, Nancy</t>
  </si>
  <si>
    <t>McKenzie, Liz</t>
  </si>
  <si>
    <t>Lobo, Vanessa</t>
  </si>
  <si>
    <t>Armitage, Michelle</t>
  </si>
  <si>
    <t>Ball, Tracy</t>
  </si>
  <si>
    <t>Waples, Tricia</t>
  </si>
  <si>
    <t>Brown, Ferne</t>
  </si>
  <si>
    <t>Neumann, Erica</t>
  </si>
  <si>
    <t>Thomas, Cindy</t>
  </si>
  <si>
    <t>Sveinson, Kristina</t>
  </si>
  <si>
    <t>Leslie, Joanne</t>
  </si>
  <si>
    <t>Pearson, Glenda</t>
  </si>
  <si>
    <t>Rode/Thomas, D /C</t>
  </si>
  <si>
    <t>Ferby, Shauna</t>
  </si>
  <si>
    <t>Crawford, Wanda</t>
  </si>
  <si>
    <t>Melone, Sheena</t>
  </si>
  <si>
    <t>Brown, Jailene</t>
  </si>
  <si>
    <t>Sutton, Gabriele</t>
  </si>
  <si>
    <t>Sutton, Steve</t>
  </si>
  <si>
    <t>Farnel, Tabatha</t>
  </si>
  <si>
    <t>Lemieux, David and Robyn</t>
  </si>
  <si>
    <t>King, Ryan-Ann</t>
  </si>
  <si>
    <t>McIndoo, Crystal</t>
  </si>
  <si>
    <t>Hurtak, Susan</t>
  </si>
  <si>
    <t>Tuulos, Eileen</t>
  </si>
  <si>
    <t>Oliver, Catherine</t>
  </si>
  <si>
    <t>Toupin, Carole</t>
  </si>
  <si>
    <t>Fleming, Sharon</t>
  </si>
  <si>
    <t>Philipoff, Kim</t>
  </si>
  <si>
    <t>MacRae, Nadine</t>
  </si>
  <si>
    <t>Brunies, Sheila</t>
  </si>
  <si>
    <t>Adam, Francoise</t>
  </si>
  <si>
    <t>Hunter, Catherine</t>
  </si>
  <si>
    <t>Thatcher, Fatima</t>
  </si>
  <si>
    <t>McDade, Rosalind</t>
  </si>
  <si>
    <t>Deverell, Brian</t>
  </si>
  <si>
    <t>Ishiguro, Ann</t>
  </si>
  <si>
    <t>Litfin, Allison</t>
  </si>
  <si>
    <t>Sheldrick, Linda</t>
  </si>
  <si>
    <t>Fried, Nicole</t>
  </si>
  <si>
    <t>Tulk, Milena</t>
  </si>
  <si>
    <t>Soutar, Laurie</t>
  </si>
  <si>
    <t>Darling, Caryl</t>
  </si>
  <si>
    <t>Edgell, Ali</t>
  </si>
  <si>
    <t>Herringshaw, Barb</t>
  </si>
  <si>
    <t>Toms, Carol</t>
  </si>
  <si>
    <t>Weidner, Cheryl</t>
  </si>
  <si>
    <t>Weidner, Mary</t>
  </si>
  <si>
    <t>Atkinson, Janet</t>
  </si>
  <si>
    <t>Brassard, Julie</t>
  </si>
  <si>
    <t>Teasdall, Jason</t>
  </si>
  <si>
    <t>Yuen, Jennifer</t>
  </si>
  <si>
    <t>Galley, Marian</t>
  </si>
  <si>
    <t>Kantor, Shelagh</t>
  </si>
  <si>
    <t>Rokos, Susanne</t>
  </si>
  <si>
    <t>Verville, Sophie</t>
  </si>
  <si>
    <t>Hooper, Michelle</t>
  </si>
  <si>
    <t>Bijsterveld, Lia</t>
  </si>
  <si>
    <t>Lockett, Wendy</t>
  </si>
  <si>
    <t>Mitchell, Sandra</t>
  </si>
  <si>
    <t>Carroll, Danielle</t>
  </si>
  <si>
    <t>Tatham, Deanna</t>
  </si>
  <si>
    <t>Korevaar, Melinda</t>
  </si>
  <si>
    <t>Jansen, Eric</t>
  </si>
  <si>
    <t>Schubert, Barbara</t>
  </si>
  <si>
    <t>Yassine, Barbara</t>
  </si>
  <si>
    <t>Maxim, Adeline</t>
  </si>
  <si>
    <t>Roorda, Donia</t>
  </si>
  <si>
    <t>Resz, Ilona</t>
  </si>
  <si>
    <t>McClean, Karen</t>
  </si>
  <si>
    <t>Allaire, Lucie</t>
  </si>
  <si>
    <t>Seaborn, John</t>
  </si>
  <si>
    <t>Todd, Danielle</t>
  </si>
  <si>
    <t>Vincent, Shalometh</t>
  </si>
  <si>
    <t>Gullekson, Roseanna</t>
  </si>
  <si>
    <t>Gallagher, Dana</t>
  </si>
  <si>
    <t>Johnson, Paula</t>
  </si>
  <si>
    <t>Watkins, Jancy</t>
  </si>
  <si>
    <t>Roy, Marie-Helene</t>
  </si>
  <si>
    <t>Parent, Elizabeth</t>
  </si>
  <si>
    <t>Carpenter, Pat</t>
  </si>
  <si>
    <t>McIntyre, Tara</t>
  </si>
  <si>
    <t>Lynds, Amanda</t>
  </si>
  <si>
    <t>Murdock, June</t>
  </si>
  <si>
    <t>McLeod, JoAnne</t>
  </si>
  <si>
    <t>Delaporte, Elisabeth</t>
  </si>
  <si>
    <t>Johansson Milner, Kajsa</t>
  </si>
  <si>
    <t>Hauglum, Tamara</t>
  </si>
  <si>
    <t>Laird, Melissa</t>
  </si>
  <si>
    <t>Fink, Carlie</t>
  </si>
  <si>
    <t>Michalak, Chris</t>
  </si>
  <si>
    <t>Berlingeri, Jael</t>
  </si>
  <si>
    <t>Gamache, Eleanor</t>
  </si>
  <si>
    <t>Hrycko, Sandra-Marie</t>
  </si>
  <si>
    <t>Moyer, Betsy</t>
  </si>
  <si>
    <t>Farmer, Sylvie</t>
  </si>
  <si>
    <t>Miller, Susan</t>
  </si>
  <si>
    <t>Gareau, Nancy</t>
  </si>
  <si>
    <t>Tattersall, Joyce</t>
  </si>
  <si>
    <t>Richardson, Dave</t>
  </si>
  <si>
    <t>Renwick, Brian</t>
  </si>
  <si>
    <t>Presley, Laura</t>
  </si>
  <si>
    <t>Davidson, Pamela</t>
  </si>
  <si>
    <t>Green, Fay</t>
  </si>
  <si>
    <t>Labadie, Amanda</t>
  </si>
  <si>
    <t>Snowdon, Darryl</t>
  </si>
  <si>
    <t>Wiebe, Nicole</t>
  </si>
  <si>
    <t>Bird, Caroline</t>
  </si>
  <si>
    <t>Warren, Barbara</t>
  </si>
  <si>
    <t>Aichmayr, Karen</t>
  </si>
  <si>
    <t>Kullar, Leila</t>
  </si>
  <si>
    <t>Braid, Sandra</t>
  </si>
  <si>
    <t>Watteel, Kimberly</t>
  </si>
  <si>
    <t>Pierlot, Michelle</t>
  </si>
  <si>
    <t>Jantzen, Alice</t>
  </si>
  <si>
    <t>Maahs, Bev</t>
  </si>
  <si>
    <t>Dyck, Adolfo</t>
  </si>
  <si>
    <t>Sutherland, Sheila</t>
  </si>
  <si>
    <t>Morizawa, George</t>
  </si>
  <si>
    <t>Hatfield, Bette</t>
  </si>
  <si>
    <t>Klodt, Leslie</t>
  </si>
  <si>
    <t>Stayura, Lorrie</t>
  </si>
  <si>
    <t>Boyes, Crystal</t>
  </si>
  <si>
    <t>Merrithew, Cathy</t>
  </si>
  <si>
    <t>Chenier, Cindy</t>
  </si>
  <si>
    <t>MacEachern, Scott</t>
  </si>
  <si>
    <t>Duhamel, Ginette</t>
  </si>
  <si>
    <t>Unrau, Anita</t>
  </si>
  <si>
    <t>Babin, Marie P</t>
  </si>
  <si>
    <t>Copeland, Ann</t>
  </si>
  <si>
    <t>Jamieson, Julie</t>
  </si>
  <si>
    <t>Hartney, Bonnie</t>
  </si>
  <si>
    <t>Wilson, Heather</t>
  </si>
  <si>
    <t>Cullen, Kathleen</t>
  </si>
  <si>
    <t>Neufeld, Roxanne</t>
  </si>
  <si>
    <t>Share, Karen</t>
  </si>
  <si>
    <t>Cherkowski, Shelley</t>
  </si>
  <si>
    <t>Hall, Kandis</t>
  </si>
  <si>
    <t>Dixon, Leanne and Derek</t>
  </si>
  <si>
    <t>Tan, Sheila</t>
  </si>
  <si>
    <t>Byatt, Sarah</t>
  </si>
  <si>
    <t>MacMillan, Kim</t>
  </si>
  <si>
    <t>MacDonald, Natasha</t>
  </si>
  <si>
    <t>Stephenson, Makayla</t>
  </si>
  <si>
    <t>McComb, Fiona</t>
  </si>
  <si>
    <t>Steffensen, Ona</t>
  </si>
  <si>
    <t>Eby, Karyn M.</t>
  </si>
  <si>
    <t>Kirk, Vanessa</t>
  </si>
  <si>
    <t>Apfel, Karin</t>
  </si>
  <si>
    <t>Hancock, Melissa</t>
  </si>
  <si>
    <t>Morley, Sheila</t>
  </si>
  <si>
    <t>McIntyre, Maryrose</t>
  </si>
  <si>
    <t>Jorgensen, Margot</t>
  </si>
  <si>
    <t>Kean, Pat</t>
  </si>
  <si>
    <t>Geekie, Sara</t>
  </si>
  <si>
    <t>Rioux, Chantal</t>
  </si>
  <si>
    <t>Wilkinson, Sue</t>
  </si>
  <si>
    <t>Rolph, Terrie</t>
  </si>
  <si>
    <t>Moulden, Helen</t>
  </si>
  <si>
    <t>Miller, Judy</t>
  </si>
  <si>
    <t>Hansen, Chris</t>
  </si>
  <si>
    <t>Deters, Colette</t>
  </si>
  <si>
    <t>Weaver, Karen</t>
  </si>
  <si>
    <t>Forth, Adelle</t>
  </si>
  <si>
    <t>Greenwood, Amy</t>
  </si>
  <si>
    <t>Goldsack, Steve</t>
  </si>
  <si>
    <t>Robinson, Alyssa</t>
  </si>
  <si>
    <t>Swinden, Diana</t>
  </si>
  <si>
    <t>Langley, Janice</t>
  </si>
  <si>
    <t>Anderson, Amanda</t>
  </si>
  <si>
    <t>Burtt, Rochelle</t>
  </si>
  <si>
    <t>Douglas, Jane</t>
  </si>
  <si>
    <t>Sandbach, Katrina</t>
  </si>
  <si>
    <t>Trainor, Mary</t>
  </si>
  <si>
    <t>Kearns, Brenda</t>
  </si>
  <si>
    <t>Lane, Sarah</t>
  </si>
  <si>
    <t>McGinley, Betty</t>
  </si>
  <si>
    <t>Noble, Patricia</t>
  </si>
  <si>
    <t>Crouse, Richard</t>
  </si>
  <si>
    <t>Downs, Angel</t>
  </si>
  <si>
    <t>Ring, Marianna</t>
  </si>
  <si>
    <t>Smith, Krista</t>
  </si>
  <si>
    <t>Hughes, Krista</t>
  </si>
  <si>
    <t>Lucas, Susan</t>
  </si>
  <si>
    <t>Lalonde, Dominique</t>
  </si>
  <si>
    <t>Dryden, Jen</t>
  </si>
  <si>
    <t>Clarke, Michael</t>
  </si>
  <si>
    <t>Guindon, Marie-Claire</t>
  </si>
  <si>
    <t>Duplessis, Judy</t>
  </si>
  <si>
    <t>Macfarlane, Karen</t>
  </si>
  <si>
    <t>Barber, Cathy</t>
  </si>
  <si>
    <t>Clayton, Marilyn</t>
  </si>
  <si>
    <t>Mousseau, Helene</t>
  </si>
  <si>
    <t>Hagel, Shayla</t>
  </si>
  <si>
    <t>Mangan, Cheryl</t>
  </si>
  <si>
    <t>Norton, Kelli</t>
  </si>
  <si>
    <t>Desaulniers, Linda</t>
  </si>
  <si>
    <t>Hasselbach, Michelle</t>
  </si>
  <si>
    <t>Kivimaki/Morin, Janice/Henry</t>
  </si>
  <si>
    <t>Peraud, Shelly</t>
  </si>
  <si>
    <t>Janzen, Kier</t>
  </si>
  <si>
    <t>Wilson, Deborah</t>
  </si>
  <si>
    <t>Bennie, Patricia</t>
  </si>
  <si>
    <t>Mathey, Carole</t>
  </si>
  <si>
    <t>Erb, Jackie</t>
  </si>
  <si>
    <t>Moar, Cathy</t>
  </si>
  <si>
    <t>Kluck, Winnie</t>
  </si>
  <si>
    <t>Ezer, Nancy</t>
  </si>
  <si>
    <t>Parker, Janet</t>
  </si>
  <si>
    <t>Spence, Jane</t>
  </si>
  <si>
    <t>Vieira, Shelly</t>
  </si>
  <si>
    <t>Tinga, Eva</t>
  </si>
  <si>
    <t>Towers, Sonja and John</t>
  </si>
  <si>
    <t>Murray, Trina</t>
  </si>
  <si>
    <t>Boulden, Jane</t>
  </si>
  <si>
    <t>Bigger, Kate</t>
  </si>
  <si>
    <t>Herness, Heidi</t>
  </si>
  <si>
    <t>Shibata, Miki</t>
  </si>
  <si>
    <t>McMillan, Deb</t>
  </si>
  <si>
    <t>Hawkey, Colleen</t>
  </si>
  <si>
    <t>Vidal-Ribas, Victoria</t>
  </si>
  <si>
    <t>London, Tara</t>
  </si>
  <si>
    <t>LaPointe, Michele</t>
  </si>
  <si>
    <t>McCuaig, Darlene</t>
  </si>
  <si>
    <t>Young, Colleen</t>
  </si>
  <si>
    <t>Hoey, Judy</t>
  </si>
  <si>
    <t>Wheat, Darlene</t>
  </si>
  <si>
    <t>McNichol, Karen</t>
  </si>
  <si>
    <t>Sinclair, Audra</t>
  </si>
  <si>
    <t>Gratton, Judy</t>
  </si>
  <si>
    <t>De Jong, Mandy</t>
  </si>
  <si>
    <t>Finlay, Lisa</t>
  </si>
  <si>
    <t>Grahalic-See, Laura A.</t>
  </si>
  <si>
    <t>Delaney, Rachel</t>
  </si>
  <si>
    <t>Matilda</t>
  </si>
  <si>
    <t>Hall, Tracey</t>
  </si>
  <si>
    <t>olde Damink, Dan</t>
  </si>
  <si>
    <t>Haley</t>
  </si>
  <si>
    <t>Moehring, John</t>
  </si>
  <si>
    <t>Sherpa</t>
  </si>
  <si>
    <t>Keiko</t>
  </si>
  <si>
    <t>Mitchell-Lecerf, Stephanie</t>
  </si>
  <si>
    <t>Passafiume, Anne</t>
  </si>
  <si>
    <t>Brown, Brenda</t>
  </si>
  <si>
    <t>Matthews, Robert and Veronica</t>
  </si>
  <si>
    <t>Shaw, Stacey</t>
  </si>
  <si>
    <t>Shearman, Sally</t>
  </si>
  <si>
    <t>Maguire, Robert</t>
  </si>
  <si>
    <t>Silken Windhound</t>
  </si>
  <si>
    <t>Bryck, Donel</t>
  </si>
  <si>
    <t>Ditto</t>
  </si>
  <si>
    <t>Norem, Penny</t>
  </si>
  <si>
    <t>Blast</t>
  </si>
  <si>
    <t>Beerstra, Malinda</t>
  </si>
  <si>
    <t>Harper</t>
  </si>
  <si>
    <t>Chine</t>
  </si>
  <si>
    <t>Devlin</t>
  </si>
  <si>
    <t>Cnt Q's at end of Trial</t>
  </si>
  <si>
    <t>Int Q's at end of Trial</t>
  </si>
  <si>
    <t>Ext Q's at end of Trial</t>
  </si>
  <si>
    <t>Raincock, Donald</t>
  </si>
  <si>
    <t>Kiwi</t>
  </si>
  <si>
    <t>Gudmundson, Teri</t>
  </si>
  <si>
    <t>Ronin</t>
  </si>
  <si>
    <t>Morris, Renee</t>
  </si>
  <si>
    <t>Crossin</t>
  </si>
  <si>
    <t>Heming, Linda</t>
  </si>
  <si>
    <t>Tala</t>
  </si>
  <si>
    <t>Linder King, Straja</t>
  </si>
  <si>
    <t>Vixey</t>
  </si>
  <si>
    <t>Rebelle</t>
  </si>
  <si>
    <t>Parenteau, Diane</t>
  </si>
  <si>
    <t>Homer</t>
  </si>
  <si>
    <t>Sargent, Sheilagh</t>
  </si>
  <si>
    <t>Abby</t>
  </si>
  <si>
    <t>Leighton, Hillary</t>
  </si>
  <si>
    <t>Gylemuir</t>
  </si>
  <si>
    <t>Hovawart</t>
  </si>
  <si>
    <t>Trussler, Edith</t>
  </si>
  <si>
    <t>Desi</t>
  </si>
  <si>
    <t>Walters, Sarah</t>
  </si>
  <si>
    <t>Aiden</t>
  </si>
  <si>
    <t>Keegan</t>
  </si>
  <si>
    <t>Farrell, Jerrica</t>
  </si>
  <si>
    <t>Winkie</t>
  </si>
  <si>
    <t>Italian Greyhound</t>
  </si>
  <si>
    <t>Fitzhenry, Adrienne</t>
  </si>
  <si>
    <t>Geisha</t>
  </si>
  <si>
    <t>Ceilidh</t>
  </si>
  <si>
    <t>Gillan, Margaret</t>
  </si>
  <si>
    <t>Brown, Joanna</t>
  </si>
  <si>
    <t>Copper</t>
  </si>
  <si>
    <t>Humeniuk, Linda</t>
  </si>
  <si>
    <t>Tux</t>
  </si>
  <si>
    <t>French Bulldog</t>
  </si>
  <si>
    <t>Unrau, Kerry</t>
  </si>
  <si>
    <t>Zazi</t>
  </si>
  <si>
    <t>Boom</t>
  </si>
  <si>
    <t>Cote, Marie-Noelle</t>
  </si>
  <si>
    <t>Clic</t>
  </si>
  <si>
    <t>Johnston, Judy</t>
  </si>
  <si>
    <t>Dupuis, Marcia</t>
  </si>
  <si>
    <t>Gardner, Stephanie</t>
  </si>
  <si>
    <t>Bristol</t>
  </si>
  <si>
    <t>Gordon, Melissa</t>
  </si>
  <si>
    <t>Brix</t>
  </si>
  <si>
    <t>Patterdale Terrier</t>
  </si>
  <si>
    <t>Cocoa</t>
  </si>
  <si>
    <t>Hay-Busson, Lisa</t>
  </si>
  <si>
    <t>Rowan</t>
  </si>
  <si>
    <t>Halligan, Tara</t>
  </si>
  <si>
    <t>Marshall</t>
  </si>
  <si>
    <t>Hayward, Wendy</t>
  </si>
  <si>
    <t>Cnt Scr</t>
  </si>
  <si>
    <t>Helper Column Amateur Placement</t>
  </si>
  <si>
    <t>Ext Scr</t>
  </si>
  <si>
    <t>Int Scr</t>
  </si>
  <si>
    <t>Running Order</t>
  </si>
  <si>
    <t>Dog ID</t>
  </si>
  <si>
    <t>Owner/Handler</t>
  </si>
  <si>
    <t>Started Container Running Order</t>
  </si>
  <si>
    <t>Status</t>
  </si>
  <si>
    <t>Prop. RO</t>
  </si>
  <si>
    <t>Entered</t>
  </si>
  <si>
    <t>Present</t>
  </si>
  <si>
    <t>Not Printed</t>
  </si>
  <si>
    <t>SDDA Electronic Trial Scoresheet</t>
  </si>
  <si>
    <t>Number of Runs</t>
  </si>
  <si>
    <t>Number of Runs FEO</t>
  </si>
  <si>
    <t>Total Fees</t>
  </si>
  <si>
    <t>Number of Searches</t>
  </si>
  <si>
    <t>Number of FEO's</t>
  </si>
  <si>
    <t>Grand Total</t>
  </si>
  <si>
    <t>Trial Searches</t>
  </si>
  <si>
    <t>FEO Searches</t>
  </si>
  <si>
    <t>Fees</t>
  </si>
  <si>
    <t>Max Time CSS</t>
  </si>
  <si>
    <t>Max Time ISS</t>
  </si>
  <si>
    <t>Max Time ESS</t>
  </si>
  <si>
    <t>Max Time CSA</t>
  </si>
  <si>
    <t>Max Time ISA</t>
  </si>
  <si>
    <t>Max Time ESA</t>
  </si>
  <si>
    <t>Max Time CSE</t>
  </si>
  <si>
    <t>Max Time ISE</t>
  </si>
  <si>
    <t>Max Time ESE</t>
  </si>
  <si>
    <t>Min Score CSS</t>
  </si>
  <si>
    <t>Min Score ISS</t>
  </si>
  <si>
    <t>Min Score ESS</t>
  </si>
  <si>
    <t>Min Score CSA</t>
  </si>
  <si>
    <t>Min Score ISA</t>
  </si>
  <si>
    <t>Min Score ESA</t>
  </si>
  <si>
    <t>Min Score CSE</t>
  </si>
  <si>
    <t>Min Score ISE</t>
  </si>
  <si>
    <t>Min Score ESE</t>
  </si>
  <si>
    <t>Perc Score</t>
  </si>
  <si>
    <t>Perc Time Used</t>
  </si>
  <si>
    <t>Dog</t>
  </si>
  <si>
    <t>Rank</t>
  </si>
  <si>
    <t>% Score</t>
  </si>
  <si>
    <t>% Time Used</t>
  </si>
  <si>
    <t>Total To Use</t>
  </si>
  <si>
    <t>High in Trial</t>
  </si>
  <si>
    <t>Started Interior Running Order</t>
  </si>
  <si>
    <t>Started Exterior Running Order</t>
  </si>
  <si>
    <t>Advanced Container Running Order</t>
  </si>
  <si>
    <t>Advanced Interior Running Order</t>
  </si>
  <si>
    <t>Advanced Exterior Running Order</t>
  </si>
  <si>
    <t>Excellent Container Running Order</t>
  </si>
  <si>
    <t>Excellent Interior Running Order</t>
  </si>
  <si>
    <t>Excellent Exterior Running Order</t>
  </si>
  <si>
    <t>Session</t>
  </si>
  <si>
    <t>Carter</t>
  </si>
  <si>
    <t>Hills, Virginia</t>
  </si>
  <si>
    <t>Thomas, Sharon</t>
  </si>
  <si>
    <t>Page, Heather</t>
  </si>
  <si>
    <t>Teya</t>
  </si>
  <si>
    <t>Watts, Jaclyn</t>
  </si>
  <si>
    <t>Luka</t>
  </si>
  <si>
    <t>Georgia</t>
  </si>
  <si>
    <t>St. Bernard</t>
  </si>
  <si>
    <t>Bizi</t>
  </si>
  <si>
    <t>Stetsko, Gina</t>
  </si>
  <si>
    <t>Why</t>
  </si>
  <si>
    <t>Miniature American Shepherd</t>
  </si>
  <si>
    <t>Barnett, Stacy</t>
  </si>
  <si>
    <t>Judd</t>
  </si>
  <si>
    <t>Dixie</t>
  </si>
  <si>
    <t>Thomas, Lori</t>
  </si>
  <si>
    <t>Splash</t>
  </si>
  <si>
    <t>Dog Name/Breed</t>
  </si>
  <si>
    <t>Gamble</t>
  </si>
  <si>
    <t>Charette, Isabelle</t>
  </si>
  <si>
    <t>Shimmy</t>
  </si>
  <si>
    <t>Bearded Collie</t>
  </si>
  <si>
    <t>Jazmine</t>
  </si>
  <si>
    <t>Pattison, Karen</t>
  </si>
  <si>
    <t>Milo</t>
  </si>
  <si>
    <t>Lougheed-Smith, Judy</t>
  </si>
  <si>
    <t>Korness, Beverley</t>
  </si>
  <si>
    <t>Tailor</t>
  </si>
  <si>
    <t>Summer</t>
  </si>
  <si>
    <t>Rambaud, Ann</t>
  </si>
  <si>
    <t>Brady</t>
  </si>
  <si>
    <t>Watling, Shelley</t>
  </si>
  <si>
    <t>Addie</t>
  </si>
  <si>
    <t>Grainger, Diane</t>
  </si>
  <si>
    <t>Oliver</t>
  </si>
  <si>
    <t>Viaduct</t>
  </si>
  <si>
    <t>Redbone Coonhound</t>
  </si>
  <si>
    <t>McGrath, Heather</t>
  </si>
  <si>
    <t>Eddie</t>
  </si>
  <si>
    <t>Aksu, Lale</t>
  </si>
  <si>
    <t>Qiss</t>
  </si>
  <si>
    <t>Davos</t>
  </si>
  <si>
    <t>Lola</t>
  </si>
  <si>
    <t>Laplante, Marie-Lise</t>
  </si>
  <si>
    <t>Fira</t>
  </si>
  <si>
    <t>Lafond, Stephanie</t>
  </si>
  <si>
    <t>Cyrus</t>
  </si>
  <si>
    <t>Buck, Marianne</t>
  </si>
  <si>
    <t>Tiko</t>
  </si>
  <si>
    <t>Delorme, Carmen</t>
  </si>
  <si>
    <t>Scout</t>
  </si>
  <si>
    <t>McDowell, Kalita</t>
  </si>
  <si>
    <t>Thomas, Lesley</t>
  </si>
  <si>
    <t>Abbie</t>
  </si>
  <si>
    <t>Marshall, Mike</t>
  </si>
  <si>
    <t>Danny</t>
  </si>
  <si>
    <t>Hansen, Barbara</t>
  </si>
  <si>
    <t>Reign</t>
  </si>
  <si>
    <t>Hope</t>
  </si>
  <si>
    <t>Zillow</t>
  </si>
  <si>
    <t>Maddie</t>
  </si>
  <si>
    <t>Riley, Joanne</t>
  </si>
  <si>
    <t>Wi</t>
  </si>
  <si>
    <t>Walker, Carole J</t>
  </si>
  <si>
    <t>Stella</t>
  </si>
  <si>
    <t>Leelu</t>
  </si>
  <si>
    <t>Thielen, Joanne</t>
  </si>
  <si>
    <t>Rebel</t>
  </si>
  <si>
    <t>Mitzi</t>
  </si>
  <si>
    <t>Ramsey, Trishanna</t>
  </si>
  <si>
    <t>Asher</t>
  </si>
  <si>
    <t>Olson, Leah</t>
  </si>
  <si>
    <t>Amica</t>
  </si>
  <si>
    <t>Farrell, Gretchen</t>
  </si>
  <si>
    <t>Kowalewich, Sandra</t>
  </si>
  <si>
    <t>Bratach</t>
  </si>
  <si>
    <t>Koller, Diana</t>
  </si>
  <si>
    <t>Prada, Joanne</t>
  </si>
  <si>
    <t>Roxie</t>
  </si>
  <si>
    <t>Hoffman, Arlene</t>
  </si>
  <si>
    <t>Taylor, Kathy</t>
  </si>
  <si>
    <t>Jezebel</t>
  </si>
  <si>
    <t>Steurer, Maryanne</t>
  </si>
  <si>
    <t>Remi</t>
  </si>
  <si>
    <t>Nawrot, Jennifer</t>
  </si>
  <si>
    <t>Marston, Kim</t>
  </si>
  <si>
    <t>Milla</t>
  </si>
  <si>
    <t>Soldan, Audrey</t>
  </si>
  <si>
    <t>Gagnon, Sada</t>
  </si>
  <si>
    <t>Peabody, Bev</t>
  </si>
  <si>
    <t>Fire</t>
  </si>
  <si>
    <t>Kona</t>
  </si>
  <si>
    <t>Hart, Jackie</t>
  </si>
  <si>
    <t>Elvis</t>
  </si>
  <si>
    <t>All-American</t>
  </si>
  <si>
    <t>Hardy, Nicole</t>
  </si>
  <si>
    <t>Formal Alert 1</t>
  </si>
  <si>
    <t>Formal Alert 2</t>
  </si>
  <si>
    <t>Norwich Terrier</t>
  </si>
  <si>
    <t>Straus, Mary</t>
  </si>
  <si>
    <t>Brindi</t>
  </si>
  <si>
    <t>Nelson, Bonnie</t>
  </si>
  <si>
    <t>Shelby</t>
  </si>
  <si>
    <t>Garcia, Dianne</t>
  </si>
  <si>
    <t>Dutch</t>
  </si>
  <si>
    <t>Ramsey, Elizabeth (Betsy)</t>
  </si>
  <si>
    <t>Bonny</t>
  </si>
  <si>
    <t>Boyer, Kelly</t>
  </si>
  <si>
    <t>Glitch</t>
  </si>
  <si>
    <t>Doull, Kim</t>
  </si>
  <si>
    <t>Hexa</t>
  </si>
  <si>
    <t>Brice, Lorna</t>
  </si>
  <si>
    <t>Skylar</t>
  </si>
  <si>
    <t>Desi Dog</t>
  </si>
  <si>
    <t>Hastie, Lauren</t>
  </si>
  <si>
    <t>Sera Pat</t>
  </si>
  <si>
    <t>Waters, Janet</t>
  </si>
  <si>
    <t>Trace</t>
  </si>
  <si>
    <t>Kyrie</t>
  </si>
  <si>
    <t>Prevost, Kathy</t>
  </si>
  <si>
    <t>Jozzzzzy</t>
  </si>
  <si>
    <t>Manning, Elizabeth</t>
  </si>
  <si>
    <t>Sumi</t>
  </si>
  <si>
    <t>Kai Ken</t>
  </si>
  <si>
    <t>MacKnight, Kamrin</t>
  </si>
  <si>
    <t>Take</t>
  </si>
  <si>
    <t>Sawyer</t>
  </si>
  <si>
    <t>Vandborg, Lori</t>
  </si>
  <si>
    <t>Samoyed</t>
  </si>
  <si>
    <t>Schlobohm, Jan</t>
  </si>
  <si>
    <t>Jonah</t>
  </si>
  <si>
    <t>Nelson, Sue</t>
  </si>
  <si>
    <t>Levy, Marjorie</t>
  </si>
  <si>
    <t>Mojo</t>
  </si>
  <si>
    <t>Phillips-Lakusta, Jamie</t>
  </si>
  <si>
    <t>Amber</t>
  </si>
  <si>
    <t>Olson, Kristine</t>
  </si>
  <si>
    <t>Moose</t>
  </si>
  <si>
    <t>Hanson, Linda</t>
  </si>
  <si>
    <t>Taya</t>
  </si>
  <si>
    <t>Kittredge, Chris</t>
  </si>
  <si>
    <t>Neo</t>
  </si>
  <si>
    <t>Simpson, Barbara</t>
  </si>
  <si>
    <t>Zeus</t>
  </si>
  <si>
    <t>DeCoud, Connie</t>
  </si>
  <si>
    <t>Schneider, Sandy</t>
  </si>
  <si>
    <t>Keanu</t>
  </si>
  <si>
    <t>Daisy Mae</t>
  </si>
  <si>
    <t>Mocco, Sandra Sue</t>
  </si>
  <si>
    <t>Rand, Deirdre</t>
  </si>
  <si>
    <t>Jackson, Karen</t>
  </si>
  <si>
    <t>Matt</t>
  </si>
  <si>
    <t>MacLean, Lynn</t>
  </si>
  <si>
    <t>Mason</t>
  </si>
  <si>
    <t>Pullen, Creta</t>
  </si>
  <si>
    <t>Tyler</t>
  </si>
  <si>
    <t>Aerten</t>
  </si>
  <si>
    <t>James Crook, Erin</t>
  </si>
  <si>
    <t>Knox</t>
  </si>
  <si>
    <t>Poppy</t>
  </si>
  <si>
    <t>Leach, Laurie</t>
  </si>
  <si>
    <t>Cyder</t>
  </si>
  <si>
    <t>Dexter</t>
  </si>
  <si>
    <t>Trommel, Cecilia</t>
  </si>
  <si>
    <t>Sasha</t>
  </si>
  <si>
    <t>Posie</t>
  </si>
  <si>
    <t>Becker, Madeline</t>
  </si>
  <si>
    <t>Disco</t>
  </si>
  <si>
    <t>Chapelsky, Christina</t>
  </si>
  <si>
    <t>Ivy</t>
  </si>
  <si>
    <t>Harper, Sharon</t>
  </si>
  <si>
    <t>Tiger</t>
  </si>
  <si>
    <t>Ube</t>
  </si>
  <si>
    <t>Golemon, Donna</t>
  </si>
  <si>
    <t>Will</t>
  </si>
  <si>
    <t>Pederson, Leslie</t>
  </si>
  <si>
    <t>McKenzee</t>
  </si>
  <si>
    <t>Steele, Shiffra</t>
  </si>
  <si>
    <t>Wedel, Christine</t>
  </si>
  <si>
    <t>Lewis</t>
  </si>
  <si>
    <t>Castner, Francine</t>
  </si>
  <si>
    <t>Rookie</t>
  </si>
  <si>
    <t>Warnecke, Maura</t>
  </si>
  <si>
    <t>Brenna</t>
  </si>
  <si>
    <t>Davison, Michelle</t>
  </si>
  <si>
    <t>Scooter</t>
  </si>
  <si>
    <t>Stephens, Suzi</t>
  </si>
  <si>
    <t>Kai</t>
  </si>
  <si>
    <t>American Pit Bull Terrier</t>
  </si>
  <si>
    <t>Chohan, Yvonne</t>
  </si>
  <si>
    <t>Sugar</t>
  </si>
  <si>
    <t>McKenna, Roxane</t>
  </si>
  <si>
    <t>Spikie-Rose</t>
  </si>
  <si>
    <t>Bowman, Judy</t>
  </si>
  <si>
    <t>Grave, Tanya</t>
  </si>
  <si>
    <t>Stuber, Angela</t>
  </si>
  <si>
    <t>Deputy</t>
  </si>
  <si>
    <t>Griffin</t>
  </si>
  <si>
    <t>Tara</t>
  </si>
  <si>
    <t>Thomas, Cathy</t>
  </si>
  <si>
    <t>Tovah</t>
  </si>
  <si>
    <t>Batman</t>
  </si>
  <si>
    <t>McKinley, Sara</t>
  </si>
  <si>
    <t>Peanut</t>
  </si>
  <si>
    <t>Dahlin, Ann</t>
  </si>
  <si>
    <t>Mystic</t>
  </si>
  <si>
    <t>Larsen, Ferol</t>
  </si>
  <si>
    <t>Yauncey</t>
  </si>
  <si>
    <t>Turner, Sean</t>
  </si>
  <si>
    <t>Dancer</t>
  </si>
  <si>
    <t>Love, Mary</t>
  </si>
  <si>
    <t>Smith, Ron</t>
  </si>
  <si>
    <t>Selah</t>
  </si>
  <si>
    <t>Saulnier, April</t>
  </si>
  <si>
    <t>Weston, Whitney</t>
  </si>
  <si>
    <t>Fancy</t>
  </si>
  <si>
    <t>Zeppelin</t>
  </si>
  <si>
    <t>Jax</t>
  </si>
  <si>
    <t>Steeves, Annie</t>
  </si>
  <si>
    <t>Leif</t>
  </si>
  <si>
    <t>Hercules</t>
  </si>
  <si>
    <t>Conrick, Morgan</t>
  </si>
  <si>
    <t>Zack</t>
  </si>
  <si>
    <t>Bishop, Andrea</t>
  </si>
  <si>
    <t>Cozy</t>
  </si>
  <si>
    <t>Crosse, Frances</t>
  </si>
  <si>
    <t>Honey</t>
  </si>
  <si>
    <t>Parker, Karin</t>
  </si>
  <si>
    <t>Princess</t>
  </si>
  <si>
    <t>Chihuahua</t>
  </si>
  <si>
    <t>Pisciotto, Gary</t>
  </si>
  <si>
    <t>Maisie</t>
  </si>
  <si>
    <t>Sibley, Diane</t>
  </si>
  <si>
    <t>Nova</t>
  </si>
  <si>
    <t>Warren, Keri</t>
  </si>
  <si>
    <t>Calla</t>
  </si>
  <si>
    <t>Johnson, Julie</t>
  </si>
  <si>
    <t>Steadman, Cheryl</t>
  </si>
  <si>
    <t>Echo</t>
  </si>
  <si>
    <t>Mazey</t>
  </si>
  <si>
    <t>Hunt, Suzanne</t>
  </si>
  <si>
    <t>Izzie</t>
  </si>
  <si>
    <t>King, Nancy</t>
  </si>
  <si>
    <t>Callan, Kelly</t>
  </si>
  <si>
    <t>Angus</t>
  </si>
  <si>
    <t>V</t>
  </si>
  <si>
    <t>George, Sherry</t>
  </si>
  <si>
    <t>Sarty, Brittany</t>
  </si>
  <si>
    <t>Turple, Kimberley</t>
  </si>
  <si>
    <t>Bowie</t>
  </si>
  <si>
    <t>Davis, Sarah</t>
  </si>
  <si>
    <t>Braux</t>
  </si>
  <si>
    <t>Laurin, Jackie</t>
  </si>
  <si>
    <t>Kiyoshi</t>
  </si>
  <si>
    <t>Vinciguerra, Karen</t>
  </si>
  <si>
    <t>Shaw, Melissa</t>
  </si>
  <si>
    <t>Collie (Smooth)</t>
  </si>
  <si>
    <t>Collie (Rough)</t>
  </si>
  <si>
    <t>Thornton, Carole</t>
  </si>
  <si>
    <t>Cody</t>
  </si>
  <si>
    <t>Bichon Frise</t>
  </si>
  <si>
    <t>Dugan, Cynthia</t>
  </si>
  <si>
    <t>Bruce, Joyce</t>
  </si>
  <si>
    <t>Gromit</t>
  </si>
  <si>
    <t>Lefebvre, Vickie</t>
  </si>
  <si>
    <t>Bane</t>
  </si>
  <si>
    <t>Speer, Kymberly</t>
  </si>
  <si>
    <t>Kermit</t>
  </si>
  <si>
    <t>Opie</t>
  </si>
  <si>
    <t>Grant, Lauren</t>
  </si>
  <si>
    <t>Rhea</t>
  </si>
  <si>
    <t>Flood, David</t>
  </si>
  <si>
    <t>Dori</t>
  </si>
  <si>
    <t>Wendlandt, Christa</t>
  </si>
  <si>
    <t>Amsie</t>
  </si>
  <si>
    <t>Sukut, Jo Anne</t>
  </si>
  <si>
    <t>Burley, Vanessa</t>
  </si>
  <si>
    <t>Pirie, Susan</t>
  </si>
  <si>
    <t>Smith, Tanya</t>
  </si>
  <si>
    <t>Timber</t>
  </si>
  <si>
    <t>Arsenault, Anne</t>
  </si>
  <si>
    <t>Marzipan</t>
  </si>
  <si>
    <t>Cook, Amy</t>
  </si>
  <si>
    <t>Ladybug</t>
  </si>
  <si>
    <t>Raz-Astrakhan, Laurie</t>
  </si>
  <si>
    <t>Martin, Debbie</t>
  </si>
  <si>
    <t>ElsaEvans</t>
  </si>
  <si>
    <t>Harper, Mary</t>
  </si>
  <si>
    <t>Lefty</t>
  </si>
  <si>
    <t>Armstrong, Lynne</t>
  </si>
  <si>
    <t>Hank</t>
  </si>
  <si>
    <t>Edholm, Suzanne</t>
  </si>
  <si>
    <t>Thomas, Goodie</t>
  </si>
  <si>
    <t>Cliff</t>
  </si>
  <si>
    <t>Castle</t>
  </si>
  <si>
    <t>Snowdon, Judith</t>
  </si>
  <si>
    <t>Teja</t>
  </si>
  <si>
    <t>Presa Canario</t>
  </si>
  <si>
    <t>Lolly</t>
  </si>
  <si>
    <t>Frensley, Nancy</t>
  </si>
  <si>
    <t>Solo</t>
  </si>
  <si>
    <t>Nikki</t>
  </si>
  <si>
    <t>MacDonald, Patsy</t>
  </si>
  <si>
    <t>Babe</t>
  </si>
  <si>
    <t>Gennrich, John</t>
  </si>
  <si>
    <t>Swallow, Teri</t>
  </si>
  <si>
    <t>Frida</t>
  </si>
  <si>
    <t>Jeffrey, Barbara</t>
  </si>
  <si>
    <t>Asia</t>
  </si>
  <si>
    <t>Remix</t>
  </si>
  <si>
    <t>German Coolie</t>
  </si>
  <si>
    <t>Connor, Julie</t>
  </si>
  <si>
    <t>Helmes, Joan</t>
  </si>
  <si>
    <t>Garrioch, Leanne</t>
  </si>
  <si>
    <t>Snyders, Lisa</t>
  </si>
  <si>
    <t>Cordelia</t>
  </si>
  <si>
    <t>Phillips, Mary</t>
  </si>
  <si>
    <t>Bruin</t>
  </si>
  <si>
    <t>Clarey, Tracey</t>
  </si>
  <si>
    <t>Logan</t>
  </si>
  <si>
    <t>Lucifora, Daniel</t>
  </si>
  <si>
    <t>Mattie</t>
  </si>
  <si>
    <t>Machado, Susan</t>
  </si>
  <si>
    <t>Miley</t>
  </si>
  <si>
    <t>Macias, Robert</t>
  </si>
  <si>
    <t>Windy</t>
  </si>
  <si>
    <t>Macias, Judi</t>
  </si>
  <si>
    <t>Zhuby</t>
  </si>
  <si>
    <t>Koersen, Elizabeth</t>
  </si>
  <si>
    <t>Patrick</t>
  </si>
  <si>
    <t>Salo, Susan</t>
  </si>
  <si>
    <t>Story</t>
  </si>
  <si>
    <t>Soa</t>
  </si>
  <si>
    <t>Havanese</t>
  </si>
  <si>
    <t>Hand, Lynda</t>
  </si>
  <si>
    <t>Denham</t>
  </si>
  <si>
    <t>Holoboff, Bev</t>
  </si>
  <si>
    <t>Warhurst, Angela</t>
  </si>
  <si>
    <t>Pickles</t>
  </si>
  <si>
    <t>Corbett, Marilyn</t>
  </si>
  <si>
    <t>Chili</t>
  </si>
  <si>
    <t>Sterling, Shelley</t>
  </si>
  <si>
    <t>Baird, Sandy</t>
  </si>
  <si>
    <t>Score</t>
  </si>
  <si>
    <t>Whistle</t>
  </si>
  <si>
    <t>Negrin, Naomi</t>
  </si>
  <si>
    <t>Rider</t>
  </si>
  <si>
    <t>Knowlton, Pam</t>
  </si>
  <si>
    <t>Nala</t>
  </si>
  <si>
    <t>Dumont, Bella</t>
  </si>
  <si>
    <t>Brill</t>
  </si>
  <si>
    <t>Smith, Leigh</t>
  </si>
  <si>
    <t>Plishka, Wilma</t>
  </si>
  <si>
    <t>Piper</t>
  </si>
  <si>
    <t>Beach, Cassandra</t>
  </si>
  <si>
    <t>Day - 2</t>
  </si>
  <si>
    <t>Day-2</t>
  </si>
  <si>
    <t>General Trial Info</t>
  </si>
  <si>
    <t>Number of Searches, incl FEO:</t>
  </si>
  <si>
    <t>Total Searches</t>
  </si>
  <si>
    <t>Trial Summary Day 1</t>
  </si>
  <si>
    <t>Trial Summary Day 2</t>
  </si>
  <si>
    <t>Two Day Total</t>
  </si>
  <si>
    <t>Adv TS End</t>
  </si>
  <si>
    <t>Adv TS Begin</t>
  </si>
  <si>
    <t>Str TS Begin</t>
  </si>
  <si>
    <t>Str TS End</t>
  </si>
  <si>
    <t>Left blank intentionally</t>
  </si>
  <si>
    <t>Day -1</t>
  </si>
  <si>
    <t>Day -2</t>
  </si>
  <si>
    <t>Titling Scores</t>
  </si>
  <si>
    <t>Email Address</t>
  </si>
  <si>
    <t>Str TS Bgn</t>
  </si>
  <si>
    <t>Started Container Running Order - Day 2</t>
  </si>
  <si>
    <t>Started Interior Running Order - Day 2</t>
  </si>
  <si>
    <t>Started Exterior Running Order - Day 2</t>
  </si>
  <si>
    <t>Planned Number of Searches, incl FEO</t>
  </si>
  <si>
    <t>Exc TS End</t>
  </si>
  <si>
    <t>Exc TS Bgn</t>
  </si>
  <si>
    <t>Adv Cnt Q's at end of Trial</t>
  </si>
  <si>
    <t>Adv Int Q's at end of Trial</t>
  </si>
  <si>
    <t>Adv Ext Q's at end of Trial</t>
  </si>
  <si>
    <t>Vandenbergh, Sheena</t>
  </si>
  <si>
    <t>Latocha-Diedrich, Theresa</t>
  </si>
  <si>
    <t>Vincent, Norm and Karen</t>
  </si>
  <si>
    <t>Gon, Erin</t>
  </si>
  <si>
    <t>Moon, Lorna</t>
  </si>
  <si>
    <t>Starr</t>
  </si>
  <si>
    <t>Schneider, Heather</t>
  </si>
  <si>
    <t>Colby</t>
  </si>
  <si>
    <t>Panico, Emily</t>
  </si>
  <si>
    <t>Style</t>
  </si>
  <si>
    <t>Desjardins, Marilyn</t>
  </si>
  <si>
    <t>Spirit</t>
  </si>
  <si>
    <t>Csongradi, Deborah</t>
  </si>
  <si>
    <t>Ryder</t>
  </si>
  <si>
    <t>Rufus</t>
  </si>
  <si>
    <t>Thompson, Gail</t>
  </si>
  <si>
    <t>Hoffman, Katherine</t>
  </si>
  <si>
    <t>Tippet</t>
  </si>
  <si>
    <t>Gould, Sandra</t>
  </si>
  <si>
    <t>Kommnick, Carole</t>
  </si>
  <si>
    <t>Tilley</t>
  </si>
  <si>
    <t>Dunn, Cameron</t>
  </si>
  <si>
    <t>Charlot</t>
  </si>
  <si>
    <t>Dumont, Karine</t>
  </si>
  <si>
    <t>Gilbert, Dianne</t>
  </si>
  <si>
    <t>Sheila</t>
  </si>
  <si>
    <t>Pavlakovich, Virginia</t>
  </si>
  <si>
    <t>Pax</t>
  </si>
  <si>
    <t>Epic</t>
  </si>
  <si>
    <t>Butler, Jennifer</t>
  </si>
  <si>
    <t>Abbey</t>
  </si>
  <si>
    <t>Matthews, Karen</t>
  </si>
  <si>
    <t>Parker</t>
  </si>
  <si>
    <t>Weerts, Rebecca</t>
  </si>
  <si>
    <t>Ari</t>
  </si>
  <si>
    <t>male</t>
  </si>
  <si>
    <t>Hulan, Rhonda</t>
  </si>
  <si>
    <t>Siri</t>
  </si>
  <si>
    <t>Briggs</t>
  </si>
  <si>
    <t>Johaneson, Lynne</t>
  </si>
  <si>
    <t>Diesel</t>
  </si>
  <si>
    <t>Fera</t>
  </si>
  <si>
    <t>Mackenzie, Laura A.</t>
  </si>
  <si>
    <t>Akita</t>
  </si>
  <si>
    <t>McLaren, Jayda</t>
  </si>
  <si>
    <t>Ziggy</t>
  </si>
  <si>
    <t>Forte</t>
  </si>
  <si>
    <t>Innes, Megan</t>
  </si>
  <si>
    <t>Teagan</t>
  </si>
  <si>
    <t>Homonko, Carolyn</t>
  </si>
  <si>
    <t>Filou</t>
  </si>
  <si>
    <t>Mac Kay, Diane</t>
  </si>
  <si>
    <t>Pia</t>
  </si>
  <si>
    <t>Lagotto Romagnolo</t>
  </si>
  <si>
    <t>Olitch, Lorna</t>
  </si>
  <si>
    <t>Billie</t>
  </si>
  <si>
    <t>Harris</t>
  </si>
  <si>
    <t>MacIvor, Carol</t>
  </si>
  <si>
    <t>Zoey</t>
  </si>
  <si>
    <t>O'Connor, Lynda</t>
  </si>
  <si>
    <t>Sessi</t>
  </si>
  <si>
    <t>Loppa Amelia</t>
  </si>
  <si>
    <t>Special</t>
  </si>
  <si>
    <t>Slice</t>
  </si>
  <si>
    <t>Protulipac, Chelsey</t>
  </si>
  <si>
    <t>Wiley</t>
  </si>
  <si>
    <t>Suess</t>
  </si>
  <si>
    <t>Rowdy</t>
  </si>
  <si>
    <t>Hurst, Beverly</t>
  </si>
  <si>
    <t>Rodeo</t>
  </si>
  <si>
    <t>Brooklyn</t>
  </si>
  <si>
    <t>Shiraz</t>
  </si>
  <si>
    <t>Dachshund (Standard Smooth)</t>
  </si>
  <si>
    <t>Bryan, Cynthia</t>
  </si>
  <si>
    <t>Teena Rose</t>
  </si>
  <si>
    <t>Phury</t>
  </si>
  <si>
    <t>Justice, Jodie</t>
  </si>
  <si>
    <t>Dora</t>
  </si>
  <si>
    <t>Yen</t>
  </si>
  <si>
    <t>American Eskimo Dog (Toy)</t>
  </si>
  <si>
    <t>Chrome</t>
  </si>
  <si>
    <t>Nola</t>
  </si>
  <si>
    <t>Buchan, David</t>
  </si>
  <si>
    <t>Koach</t>
  </si>
  <si>
    <t>Vibert, Lynda</t>
  </si>
  <si>
    <t>Djinn</t>
  </si>
  <si>
    <t>Sowiak, Bonnie</t>
  </si>
  <si>
    <t>Tesh</t>
  </si>
  <si>
    <t>Pointer</t>
  </si>
  <si>
    <t>Welch, Sue</t>
  </si>
  <si>
    <t>Rupay, Lynda</t>
  </si>
  <si>
    <t>NV</t>
  </si>
  <si>
    <t>Matuszewski, Diane</t>
  </si>
  <si>
    <t>Breezy</t>
  </si>
  <si>
    <t>Rickards, Ken</t>
  </si>
  <si>
    <t>Reno</t>
  </si>
  <si>
    <t>Ashcroft, Michelle</t>
  </si>
  <si>
    <t>Birch, Marne</t>
  </si>
  <si>
    <t>Soter</t>
  </si>
  <si>
    <t>Ritson-Rogers, Sherri</t>
  </si>
  <si>
    <t>Russet</t>
  </si>
  <si>
    <t>Kovar, Ellen</t>
  </si>
  <si>
    <t>Finnish Lapphund</t>
  </si>
  <si>
    <t>Perras, Kerri</t>
  </si>
  <si>
    <t>Meeka</t>
  </si>
  <si>
    <t>Driscoll, Maria</t>
  </si>
  <si>
    <t>Toby</t>
  </si>
  <si>
    <t>Britz, Lorill</t>
  </si>
  <si>
    <t>Edge</t>
  </si>
  <si>
    <t>Force</t>
  </si>
  <si>
    <t>Ammo</t>
  </si>
  <si>
    <t>Loehde, Theresa</t>
  </si>
  <si>
    <t>Posh</t>
  </si>
  <si>
    <t>Skoreiko, Marina</t>
  </si>
  <si>
    <t>Jakie</t>
  </si>
  <si>
    <t>Yorkshire Terrier</t>
  </si>
  <si>
    <t>Gentleman, Glenda</t>
  </si>
  <si>
    <t>Dylan</t>
  </si>
  <si>
    <t>Buckle</t>
  </si>
  <si>
    <t>Sienna</t>
  </si>
  <si>
    <t>Lady</t>
  </si>
  <si>
    <t>Monkey</t>
  </si>
  <si>
    <t>Jazzy</t>
  </si>
  <si>
    <t>Glena, Pat</t>
  </si>
  <si>
    <t>Sheriff</t>
  </si>
  <si>
    <t>Brio</t>
  </si>
  <si>
    <t>Lashbrook, Toni</t>
  </si>
  <si>
    <t>Ina Cameron</t>
  </si>
  <si>
    <t>Cameron, Kristen</t>
  </si>
  <si>
    <t>Haze</t>
  </si>
  <si>
    <t>Card, Katrina</t>
  </si>
  <si>
    <t>Bayers, Cindy</t>
  </si>
  <si>
    <t>Clarke, Carla</t>
  </si>
  <si>
    <t>Mulder</t>
  </si>
  <si>
    <t>Dykes, Sarah</t>
  </si>
  <si>
    <t>Norfolk Terrier</t>
  </si>
  <si>
    <t>Male, Mary-Ann</t>
  </si>
  <si>
    <t>Momentum</t>
  </si>
  <si>
    <t>Garrett, Susan</t>
  </si>
  <si>
    <t>Ticket</t>
  </si>
  <si>
    <t>Lockhart, Heather</t>
  </si>
  <si>
    <t>Harper, Patricia</t>
  </si>
  <si>
    <t>Breyer</t>
  </si>
  <si>
    <t>McNeil, Megan</t>
  </si>
  <si>
    <t>Tatum</t>
  </si>
  <si>
    <t>Baker, Pam</t>
  </si>
  <si>
    <t>Buster</t>
  </si>
  <si>
    <t>Advanced Container Running Order - Day 2</t>
  </si>
  <si>
    <t>Advanced Interior Running Order - Day 2</t>
  </si>
  <si>
    <t>Advanced Exterior Running Order - Day 2</t>
  </si>
  <si>
    <t>Excellent Container Running Order - Day 2</t>
  </si>
  <si>
    <t>Excellent Interior Running Order - Day 2</t>
  </si>
  <si>
    <t>Excellent Exterior Running Order - Day 2</t>
  </si>
  <si>
    <t>High in Trial - Day 2</t>
  </si>
  <si>
    <t>Owner</t>
  </si>
  <si>
    <t>Alert 1</t>
  </si>
  <si>
    <t>Alert 2</t>
  </si>
  <si>
    <t>Component</t>
  </si>
  <si>
    <t>Interior Started</t>
  </si>
  <si>
    <t>Container Started</t>
  </si>
  <si>
    <t>Event Number</t>
  </si>
  <si>
    <t>Rules Code</t>
  </si>
  <si>
    <t>Stream</t>
  </si>
  <si>
    <t>Judge</t>
  </si>
  <si>
    <t>Exterior Started</t>
  </si>
  <si>
    <t>Container Advanced</t>
  </si>
  <si>
    <t>Interior Advanced</t>
  </si>
  <si>
    <t>Exterior Advanced</t>
  </si>
  <si>
    <t>Container Excellent</t>
  </si>
  <si>
    <t>Interior Excellent</t>
  </si>
  <si>
    <t>Exterior Excellent</t>
  </si>
  <si>
    <t>Trial Judge Started</t>
  </si>
  <si>
    <t>Trial Judge Advanced</t>
  </si>
  <si>
    <t>Trial Judge Excellent</t>
  </si>
  <si>
    <t>Coolie</t>
  </si>
  <si>
    <t>Galipeau, Dan</t>
  </si>
  <si>
    <t>Alaskan Malamute</t>
  </si>
  <si>
    <t>Andrews, Patricia</t>
  </si>
  <si>
    <t>Dueck, Susan</t>
  </si>
  <si>
    <t>Al</t>
  </si>
  <si>
    <t>Lomax, Kerri</t>
  </si>
  <si>
    <t>Kota</t>
  </si>
  <si>
    <t>Mawdsley, Catherine</t>
  </si>
  <si>
    <t>Loker, Marlene</t>
  </si>
  <si>
    <t>Woroschuk, Tracy</t>
  </si>
  <si>
    <t>Dega</t>
  </si>
  <si>
    <t>Pointer (English)</t>
  </si>
  <si>
    <t>Shiv</t>
  </si>
  <si>
    <t>Gardiner, Leslie</t>
  </si>
  <si>
    <t>Bauer</t>
  </si>
  <si>
    <t>Johnston, Carol</t>
  </si>
  <si>
    <t>CC</t>
  </si>
  <si>
    <t>LaBarge, Ruth</t>
  </si>
  <si>
    <t>Trutenko, Janet</t>
  </si>
  <si>
    <t>Darby</t>
  </si>
  <si>
    <t>Rizzo</t>
  </si>
  <si>
    <t>Wingate, Petra</t>
  </si>
  <si>
    <t>Ibizan Hound</t>
  </si>
  <si>
    <t>Douglass, Karen</t>
  </si>
  <si>
    <t>River</t>
  </si>
  <si>
    <t>Patterson, Shona</t>
  </si>
  <si>
    <t>Vinnie</t>
  </si>
  <si>
    <t>Baryluk, Marcia</t>
  </si>
  <si>
    <t>Cheerio</t>
  </si>
  <si>
    <t>olde Damink, Danielle</t>
  </si>
  <si>
    <t>Novak</t>
  </si>
  <si>
    <t>Lafontaine, Sandra</t>
  </si>
  <si>
    <t>Kintzel, Tracy</t>
  </si>
  <si>
    <t>Jenny</t>
  </si>
  <si>
    <t>Koole, Bev</t>
  </si>
  <si>
    <t>Holly</t>
  </si>
  <si>
    <t>Hjort, Faye</t>
  </si>
  <si>
    <t>Gallo, Juliana</t>
  </si>
  <si>
    <t>Marinho, Leonardo</t>
  </si>
  <si>
    <t>Feist</t>
  </si>
  <si>
    <t>Benson, Bev</t>
  </si>
  <si>
    <t>Axelle</t>
  </si>
  <si>
    <t>Necaille, Christophe</t>
  </si>
  <si>
    <t>Zarha</t>
  </si>
  <si>
    <t>Campbell, Shirley</t>
  </si>
  <si>
    <t>Preacher</t>
  </si>
  <si>
    <t>Dennis, Sara</t>
  </si>
  <si>
    <t>Porter, Lisa</t>
  </si>
  <si>
    <t>Fennec</t>
  </si>
  <si>
    <t>Gwen</t>
  </si>
  <si>
    <t>Dillman, Shannon</t>
  </si>
  <si>
    <t>Ryp</t>
  </si>
  <si>
    <t>Struchkov, Anton</t>
  </si>
  <si>
    <t>Shayde</t>
  </si>
  <si>
    <t>Gunn, Alison</t>
  </si>
  <si>
    <t>Genna</t>
  </si>
  <si>
    <t>Tyson, Ray</t>
  </si>
  <si>
    <t>Dare</t>
  </si>
  <si>
    <t>Woodward, Lesley</t>
  </si>
  <si>
    <t>Emiko</t>
  </si>
  <si>
    <t>Pouliot, Monique</t>
  </si>
  <si>
    <t>Brae</t>
  </si>
  <si>
    <t>Jamieson-Powell, Linsay</t>
  </si>
  <si>
    <t>Dougal</t>
  </si>
  <si>
    <t>Rustle</t>
  </si>
  <si>
    <t>Hanna, Shona</t>
  </si>
  <si>
    <t>Kat</t>
  </si>
  <si>
    <t>Jackie</t>
  </si>
  <si>
    <t>Ireland, Serena</t>
  </si>
  <si>
    <t>Crosby</t>
  </si>
  <si>
    <t>Boston Terrier</t>
  </si>
  <si>
    <t>Ovee</t>
  </si>
  <si>
    <t>Bond, Cheryl</t>
  </si>
  <si>
    <t>Grady</t>
  </si>
  <si>
    <t>Taylor, Adrianne</t>
  </si>
  <si>
    <t>Rowen</t>
  </si>
  <si>
    <t>Markus</t>
  </si>
  <si>
    <t>Jones, Rebecca</t>
  </si>
  <si>
    <t>Stirling</t>
  </si>
  <si>
    <t>Kleinendorst, Joan</t>
  </si>
  <si>
    <t>Shilo</t>
  </si>
  <si>
    <t>Levesque, Francis</t>
  </si>
  <si>
    <t>Reilly</t>
  </si>
  <si>
    <t>Skripka, Barbara</t>
  </si>
  <si>
    <t>Ty</t>
  </si>
  <si>
    <t>Arka</t>
  </si>
  <si>
    <t>Helo</t>
  </si>
  <si>
    <t>McAunaul, Carrie</t>
  </si>
  <si>
    <t>Jenni, Barbara</t>
  </si>
  <si>
    <t>Lacelle, Annick</t>
  </si>
  <si>
    <t>Aella</t>
  </si>
  <si>
    <t>Roe, Linda</t>
  </si>
  <si>
    <t>Anderson-Harris, Kirstin</t>
  </si>
  <si>
    <t>Keya</t>
  </si>
  <si>
    <t>Woods, Cheryl</t>
  </si>
  <si>
    <t>Wilson, Susi</t>
  </si>
  <si>
    <t>Grufus</t>
  </si>
  <si>
    <t>Varga, Amanda</t>
  </si>
  <si>
    <t>Radar</t>
  </si>
  <si>
    <t>Pudelpointer</t>
  </si>
  <si>
    <t>Banks, Karen</t>
  </si>
  <si>
    <t>Jarkko</t>
  </si>
  <si>
    <t>Belgian Shepherd Dog (Laekenois)</t>
  </si>
  <si>
    <t>Martin, Kimberley</t>
  </si>
  <si>
    <t>Bagnoie</t>
  </si>
  <si>
    <t>Lantagne, Marie-Claude</t>
  </si>
  <si>
    <t>Romeo</t>
  </si>
  <si>
    <t>Morin, Louise</t>
  </si>
  <si>
    <t>Dove</t>
  </si>
  <si>
    <t>Haas</t>
  </si>
  <si>
    <t>Young, Erin</t>
  </si>
  <si>
    <t>Ahi</t>
  </si>
  <si>
    <t>Pearl</t>
  </si>
  <si>
    <t>Lee, Lori</t>
  </si>
  <si>
    <t>Uma</t>
  </si>
  <si>
    <t>Deutscher Jagdterrier</t>
  </si>
  <si>
    <t>Reba</t>
  </si>
  <si>
    <t>Liam</t>
  </si>
  <si>
    <t>Jessop, Michelle</t>
  </si>
  <si>
    <t>Jaxson</t>
  </si>
  <si>
    <t>Hay, Elaine</t>
  </si>
  <si>
    <t>Atkinson, Kerry</t>
  </si>
  <si>
    <t>Bob</t>
  </si>
  <si>
    <t>Cane Corso</t>
  </si>
  <si>
    <t>T</t>
  </si>
  <si>
    <t>Palmerio, Kellie</t>
  </si>
  <si>
    <t>Jagger</t>
  </si>
  <si>
    <t>Moore, Jennifer</t>
  </si>
  <si>
    <t>Raine</t>
  </si>
  <si>
    <t>DelRizzo, Justine</t>
  </si>
  <si>
    <t>Snoopy</t>
  </si>
  <si>
    <t>Czyzkowski, Lukas</t>
  </si>
  <si>
    <t>Carr, Shannon</t>
  </si>
  <si>
    <t>Langley, Samantha</t>
  </si>
  <si>
    <t>Punkinbutt</t>
  </si>
  <si>
    <t>Holden, Kim</t>
  </si>
  <si>
    <t>Anderson, Wendy</t>
  </si>
  <si>
    <t>Peachy</t>
  </si>
  <si>
    <t>Brown, Kristine</t>
  </si>
  <si>
    <t>Kricket</t>
  </si>
  <si>
    <t>Trudell, Heather</t>
  </si>
  <si>
    <t>Magnan, Isabelle</t>
  </si>
  <si>
    <t>Salty</t>
  </si>
  <si>
    <t>Pichette, Daniele</t>
  </si>
  <si>
    <t>Squat</t>
  </si>
  <si>
    <t>Spade</t>
  </si>
  <si>
    <t>Smuggler</t>
  </si>
  <si>
    <t>Carswell, Michael</t>
  </si>
  <si>
    <t>Silver</t>
  </si>
  <si>
    <t>Jolly, Maria</t>
  </si>
  <si>
    <t>Carr, Pat</t>
  </si>
  <si>
    <t>Mastiff</t>
  </si>
  <si>
    <t>George, Carol</t>
  </si>
  <si>
    <t>Skeldon, Janice</t>
  </si>
  <si>
    <t>Kehleyr</t>
  </si>
  <si>
    <t>Rowe, Debbie</t>
  </si>
  <si>
    <t>Ellie</t>
  </si>
  <si>
    <t>Hall, Scot</t>
  </si>
  <si>
    <t>Gryffin</t>
  </si>
  <si>
    <t>Furlotte, Angela</t>
  </si>
  <si>
    <t>Sencha</t>
  </si>
  <si>
    <t>Dalmatian</t>
  </si>
  <si>
    <t>Bennett, Eliza</t>
  </si>
  <si>
    <t>Bogey</t>
  </si>
  <si>
    <t>Della</t>
  </si>
  <si>
    <t>Boudreau, Jennifer</t>
  </si>
  <si>
    <t>Odie</t>
  </si>
  <si>
    <t>Riva, Lisa</t>
  </si>
  <si>
    <t>Fox Terrier (Smooth)</t>
  </si>
  <si>
    <t>ni'Giollarua, Fiona</t>
  </si>
  <si>
    <t>Zeldee</t>
  </si>
  <si>
    <t>Legault, Marie-Jose</t>
  </si>
  <si>
    <t>Ranger</t>
  </si>
  <si>
    <t>Budo</t>
  </si>
  <si>
    <t>Hutchinson, Ian</t>
  </si>
  <si>
    <t>Zeste</t>
  </si>
  <si>
    <t>St-Martin, Isabelle</t>
  </si>
  <si>
    <t>Sera</t>
  </si>
  <si>
    <t>BB</t>
  </si>
  <si>
    <t>Wentzell, Anne</t>
  </si>
  <si>
    <t>Nadeau, Simon</t>
  </si>
  <si>
    <t>Tayles, Janice</t>
  </si>
  <si>
    <t>Reagan</t>
  </si>
  <si>
    <t>Ferguson, Lana</t>
  </si>
  <si>
    <t>Aspen</t>
  </si>
  <si>
    <t>Purkiss, Elizabeth</t>
  </si>
  <si>
    <t>Pepper</t>
  </si>
  <si>
    <t>Bloodhound</t>
  </si>
  <si>
    <t>Jacobson, Carl</t>
  </si>
  <si>
    <t>Shanks, Stephanie</t>
  </si>
  <si>
    <t>Levi</t>
  </si>
  <si>
    <t>Viva</t>
  </si>
  <si>
    <t>Hartfield, Lee</t>
  </si>
  <si>
    <t>Baron</t>
  </si>
  <si>
    <t>Freschette, Samantha</t>
  </si>
  <si>
    <t>Siren</t>
  </si>
  <si>
    <t>Burgess, Barb</t>
  </si>
  <si>
    <t>Allie</t>
  </si>
  <si>
    <t>Irwin, Marilee</t>
  </si>
  <si>
    <t>Celi</t>
  </si>
  <si>
    <t>Woody</t>
  </si>
  <si>
    <t>Tousignant, Marie-Josee</t>
  </si>
  <si>
    <t>Tempo</t>
  </si>
  <si>
    <t>Shippo</t>
  </si>
  <si>
    <t>Fairley, Shianna</t>
  </si>
  <si>
    <t>Rumple</t>
  </si>
  <si>
    <t>Allard, Lise</t>
  </si>
  <si>
    <t>Briar</t>
  </si>
  <si>
    <t>Fulcher, Sarrah</t>
  </si>
  <si>
    <t>Frost, Maureen</t>
  </si>
  <si>
    <t>Ginger</t>
  </si>
  <si>
    <t>St. Pierre, Rose</t>
  </si>
  <si>
    <t>Rafa</t>
  </si>
  <si>
    <t>Davis, Lucie</t>
  </si>
  <si>
    <t>Yogi</t>
  </si>
  <si>
    <t>Australian Terrier</t>
  </si>
  <si>
    <t>Dhillon, Rajbir</t>
  </si>
  <si>
    <t>Keely</t>
  </si>
  <si>
    <t>Warren, Christa</t>
  </si>
  <si>
    <t>Freddie</t>
  </si>
  <si>
    <t>Rodd, Tracey</t>
  </si>
  <si>
    <t>Sola</t>
  </si>
  <si>
    <t>Close, Shayna</t>
  </si>
  <si>
    <t>Crush</t>
  </si>
  <si>
    <t>Buckland, Shannon</t>
  </si>
  <si>
    <t>Caroe, Sharlet</t>
  </si>
  <si>
    <t>Dream</t>
  </si>
  <si>
    <t>Brushett, Lynne</t>
  </si>
  <si>
    <t>Cogut, Maureen</t>
  </si>
  <si>
    <t>Rogers, Lori</t>
  </si>
  <si>
    <t>Matisse</t>
  </si>
  <si>
    <t>Berger Polonais De Plaine</t>
  </si>
  <si>
    <t>Mayrand, Pauline</t>
  </si>
  <si>
    <t>Green, Reina</t>
  </si>
  <si>
    <t>Torque</t>
  </si>
  <si>
    <t>Duffy, Lisa</t>
  </si>
  <si>
    <t>Rea</t>
  </si>
  <si>
    <t>Mitchell, Kim</t>
  </si>
  <si>
    <t>Elizabeth Taylor</t>
  </si>
  <si>
    <t>Taylor, Chelsey</t>
  </si>
  <si>
    <t>Nemo</t>
  </si>
  <si>
    <t>Svoboda, Laurie</t>
  </si>
  <si>
    <t>Hummer</t>
  </si>
  <si>
    <t>Fritz, Darlene</t>
  </si>
  <si>
    <t>MacKenzie</t>
  </si>
  <si>
    <t>Cruikshank, Janice</t>
  </si>
  <si>
    <t>Finnigan</t>
  </si>
  <si>
    <t>Miniature Australian Shepherd</t>
  </si>
  <si>
    <t>Ryan, Michelle</t>
  </si>
  <si>
    <t>March, Karen</t>
  </si>
  <si>
    <t>Everest</t>
  </si>
  <si>
    <t>Bourassa, Emilie</t>
  </si>
  <si>
    <t>Miniature Teckel</t>
  </si>
  <si>
    <t>Moineau, Danielle</t>
  </si>
  <si>
    <t>Fia</t>
  </si>
  <si>
    <t>MacMillan, Dale</t>
  </si>
  <si>
    <t>Berger Allemand</t>
  </si>
  <si>
    <t>Guay, Christine</t>
  </si>
  <si>
    <t>Elsa</t>
  </si>
  <si>
    <t>Hera</t>
  </si>
  <si>
    <t>Thomas, Amanda</t>
  </si>
  <si>
    <t>Felix</t>
  </si>
  <si>
    <t>McKelvey, Lee</t>
  </si>
  <si>
    <t>Giroux, Anne-Marie</t>
  </si>
  <si>
    <t>Millow</t>
  </si>
  <si>
    <t>Hayloh</t>
  </si>
  <si>
    <t>Kilo</t>
  </si>
  <si>
    <t>Neufeld, Aaron</t>
  </si>
  <si>
    <t>Chasca</t>
  </si>
  <si>
    <t>Koehle, Tami</t>
  </si>
  <si>
    <t>Cala</t>
  </si>
  <si>
    <t>Jensen, Jennalee</t>
  </si>
  <si>
    <t>Keela</t>
  </si>
  <si>
    <t>Duck</t>
  </si>
  <si>
    <t>Sweetapple, Robin</t>
  </si>
  <si>
    <t>Meg</t>
  </si>
  <si>
    <t>Schock, Mark</t>
  </si>
  <si>
    <t>Peak</t>
  </si>
  <si>
    <t>Webb, Debbie</t>
  </si>
  <si>
    <t>Baymax</t>
  </si>
  <si>
    <t>Boerboel</t>
  </si>
  <si>
    <t>Hand, Kelsee</t>
  </si>
  <si>
    <t>Severn, Belle</t>
  </si>
  <si>
    <t>Jackson, Terry</t>
  </si>
  <si>
    <t>Future</t>
  </si>
  <si>
    <t>McTaggart, Dian</t>
  </si>
  <si>
    <t>Trial Judge Elite</t>
  </si>
  <si>
    <t>Elite</t>
  </si>
  <si>
    <t>Max Time CSL</t>
  </si>
  <si>
    <t>Min Score CSL</t>
  </si>
  <si>
    <t>Max Time ISL</t>
  </si>
  <si>
    <t>Max Time ESL</t>
  </si>
  <si>
    <t>Min Score ISL</t>
  </si>
  <si>
    <t>Min Score ESL</t>
  </si>
  <si>
    <t>Title</t>
  </si>
  <si>
    <t>Elite Container Running Order</t>
  </si>
  <si>
    <t>Elite Interior Running Order</t>
  </si>
  <si>
    <t>Elite Exterior Running Order</t>
  </si>
  <si>
    <t>Elite Container Running Order - Day 2</t>
  </si>
  <si>
    <t>Elite Interior Running Order - Day 2</t>
  </si>
  <si>
    <t>Elite Exterior Running Order - Day 2</t>
  </si>
  <si>
    <t>Elte TS Bgn</t>
  </si>
  <si>
    <t>Elte TS End</t>
  </si>
  <si>
    <t>Jensen, Dean</t>
  </si>
  <si>
    <t>Danika</t>
  </si>
  <si>
    <t>Delilah</t>
  </si>
  <si>
    <t>Cale, Margaret</t>
  </si>
  <si>
    <t>Fabien</t>
  </si>
  <si>
    <t>Dani</t>
  </si>
  <si>
    <t>Cassie</t>
  </si>
  <si>
    <t>Leavitt, Alannah</t>
  </si>
  <si>
    <t>Seeker</t>
  </si>
  <si>
    <t>Aro</t>
  </si>
  <si>
    <t>Beard, Paul</t>
  </si>
  <si>
    <t>Lila</t>
  </si>
  <si>
    <t>Fillmore, Katherine</t>
  </si>
  <si>
    <t>Barkley</t>
  </si>
  <si>
    <t>Lee, Patricia</t>
  </si>
  <si>
    <t>Yougi</t>
  </si>
  <si>
    <t>Auclair, Claudette</t>
  </si>
  <si>
    <t>Inca</t>
  </si>
  <si>
    <t>Waterhouse, Lee</t>
  </si>
  <si>
    <t>Kizhi</t>
  </si>
  <si>
    <t>Atkins, Peggy</t>
  </si>
  <si>
    <t>Maizie</t>
  </si>
  <si>
    <t>CSL</t>
  </si>
  <si>
    <t>ISL</t>
  </si>
  <si>
    <t>ESL</t>
  </si>
  <si>
    <r>
      <t xml:space="preserve">SDDA Fee Per </t>
    </r>
    <r>
      <rPr>
        <b/>
        <i/>
        <sz val="11"/>
        <color theme="1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- Elite</t>
    </r>
  </si>
  <si>
    <t>Stevens, Janet</t>
  </si>
  <si>
    <t>Rhody</t>
  </si>
  <si>
    <t>Phillips, Colleen</t>
  </si>
  <si>
    <t>Hunda</t>
  </si>
  <si>
    <t>Nicholas, Alicia</t>
  </si>
  <si>
    <t>Riot</t>
  </si>
  <si>
    <t>Bradford, Miqueilia</t>
  </si>
  <si>
    <t>Eli</t>
  </si>
  <si>
    <t>Louis</t>
  </si>
  <si>
    <t>Thomson, Tania</t>
  </si>
  <si>
    <t>Tetley</t>
  </si>
  <si>
    <t>Newark, Jenn</t>
  </si>
  <si>
    <t>Klaver, Kathy</t>
  </si>
  <si>
    <t>Teillet, Danielle</t>
  </si>
  <si>
    <t>Hamilton, Diane</t>
  </si>
  <si>
    <t>Kobe</t>
  </si>
  <si>
    <t>Lyra</t>
  </si>
  <si>
    <t>Mooz, Katrina</t>
  </si>
  <si>
    <t>Miah</t>
  </si>
  <si>
    <t>Wee, Kathleen</t>
  </si>
  <si>
    <t>Gunner</t>
  </si>
  <si>
    <t>Bereti, Karen</t>
  </si>
  <si>
    <t>Abbott, Deana</t>
  </si>
  <si>
    <t>Fortin, Annie</t>
  </si>
  <si>
    <t>Harlow</t>
  </si>
  <si>
    <t>Berni</t>
  </si>
  <si>
    <t>Oman, Linda</t>
  </si>
  <si>
    <t>Skyla</t>
  </si>
  <si>
    <t>Brown, Miyo</t>
  </si>
  <si>
    <t>Bhurji, Gurdev</t>
  </si>
  <si>
    <t>McLean, Billie</t>
  </si>
  <si>
    <t>Young, Ryan</t>
  </si>
  <si>
    <t>Aikens, Jodie</t>
  </si>
  <si>
    <t>Sparky</t>
  </si>
  <si>
    <t>Shih Tzu</t>
  </si>
  <si>
    <t>Miss B.B. Scampers</t>
  </si>
  <si>
    <t>Payten, Laurie</t>
  </si>
  <si>
    <t>Dexi</t>
  </si>
  <si>
    <t>Pumi</t>
  </si>
  <si>
    <t>Hanrahan, Lee</t>
  </si>
  <si>
    <t>Syrrah</t>
  </si>
  <si>
    <t>Sennyn</t>
  </si>
  <si>
    <t>Wyatt</t>
  </si>
  <si>
    <t>Anselmo, Shannon</t>
  </si>
  <si>
    <t>Kirsten</t>
  </si>
  <si>
    <t>Henigman, Margaret</t>
  </si>
  <si>
    <t>Chipper</t>
  </si>
  <si>
    <t>Mather, Katherine</t>
  </si>
  <si>
    <t>Yates, Deb</t>
  </si>
  <si>
    <t>Dirsus, Diane</t>
  </si>
  <si>
    <t>Powell, Cliff</t>
  </si>
  <si>
    <t>Sully</t>
  </si>
  <si>
    <t>Stolz, Lori</t>
  </si>
  <si>
    <t>Winter</t>
  </si>
  <si>
    <t>Vino</t>
  </si>
  <si>
    <t>Maes</t>
  </si>
  <si>
    <t>Egypt</t>
  </si>
  <si>
    <t>Merlin</t>
  </si>
  <si>
    <t>Maloney, Cindy</t>
  </si>
  <si>
    <t>Arlo</t>
  </si>
  <si>
    <t>Metcalf, Adam</t>
  </si>
  <si>
    <t>Beaman, Roslyn</t>
  </si>
  <si>
    <t>Magnus</t>
  </si>
  <si>
    <t>Osborne, John</t>
  </si>
  <si>
    <t>Chabluk, Arnie</t>
  </si>
  <si>
    <t>Bubblegum</t>
  </si>
  <si>
    <t>Caedus</t>
  </si>
  <si>
    <t>Plishka, Marcie</t>
  </si>
  <si>
    <t>Party</t>
  </si>
  <si>
    <t>Finnegan</t>
  </si>
  <si>
    <t>Spaniel (Irish Water)</t>
  </si>
  <si>
    <t>Ross, Paul</t>
  </si>
  <si>
    <t>Mesa</t>
  </si>
  <si>
    <t>Rogal, Alycia</t>
  </si>
  <si>
    <t>Coulee</t>
  </si>
  <si>
    <t>Wylie</t>
  </si>
  <si>
    <t>Duncan, Judy</t>
  </si>
  <si>
    <t>Remy</t>
  </si>
  <si>
    <t>Kooikerhondje</t>
  </si>
  <si>
    <t>Otis</t>
  </si>
  <si>
    <t>Nordman, Judy</t>
  </si>
  <si>
    <t>Roxi</t>
  </si>
  <si>
    <t>Campbell, Phylliss</t>
  </si>
  <si>
    <t>Nessa</t>
  </si>
  <si>
    <t>Rhona</t>
  </si>
  <si>
    <t>Coakley, Maureen</t>
  </si>
  <si>
    <t>Gotch-Mitchell, Michelle</t>
  </si>
  <si>
    <t>Furst, Ramona</t>
  </si>
  <si>
    <t>Issac</t>
  </si>
  <si>
    <t>Basset Hound</t>
  </si>
  <si>
    <t>Winter, Tom</t>
  </si>
  <si>
    <t>Arugula</t>
  </si>
  <si>
    <t>Tori</t>
  </si>
  <si>
    <t>Jenkins, Marylyn</t>
  </si>
  <si>
    <t>Arko</t>
  </si>
  <si>
    <t>Jokinen, Ulla</t>
  </si>
  <si>
    <t>Bennett, Wayne and Suzanne</t>
  </si>
  <si>
    <t>Blaze</t>
  </si>
  <si>
    <t>Crystal</t>
  </si>
  <si>
    <t>Nisbet, Dave</t>
  </si>
  <si>
    <t>Toblerone</t>
  </si>
  <si>
    <t>King, Barbara</t>
  </si>
  <si>
    <t>Cutter</t>
  </si>
  <si>
    <t>Collins</t>
  </si>
  <si>
    <t>Coombs, Kathleen</t>
  </si>
  <si>
    <t>Xytah</t>
  </si>
  <si>
    <t>White, Keturah</t>
  </si>
  <si>
    <t>Neuman</t>
  </si>
  <si>
    <t>Baloo</t>
  </si>
  <si>
    <t>Laflamme, Julie</t>
  </si>
  <si>
    <t>Tripp</t>
  </si>
  <si>
    <t>Pratt, Christina</t>
  </si>
  <si>
    <t>Xena</t>
  </si>
  <si>
    <t>Steward, Ross</t>
  </si>
  <si>
    <t>Vinta</t>
  </si>
  <si>
    <t>Schreiber, Stephanie</t>
  </si>
  <si>
    <t>Clugston, Deborah</t>
  </si>
  <si>
    <t>Zanker, Monika</t>
  </si>
  <si>
    <t>Deuce</t>
  </si>
  <si>
    <t>Nettelfield, Marta</t>
  </si>
  <si>
    <t>Dudley</t>
  </si>
  <si>
    <t>Suzy</t>
  </si>
  <si>
    <t>Blue</t>
  </si>
  <si>
    <t>Hofman, Maggie</t>
  </si>
  <si>
    <t>Kiss</t>
  </si>
  <si>
    <t>Rift</t>
  </si>
  <si>
    <t>Hazel</t>
  </si>
  <si>
    <t>Younie, Elizabeth</t>
  </si>
  <si>
    <t>Gus</t>
  </si>
  <si>
    <t>Kamitomo, Gail</t>
  </si>
  <si>
    <t>Isabelle</t>
  </si>
  <si>
    <t>Demeria, Linda</t>
  </si>
  <si>
    <t>Tegan</t>
  </si>
  <si>
    <t>Zumba</t>
  </si>
  <si>
    <t>Gierke, Tammy</t>
  </si>
  <si>
    <t>Kaeda</t>
  </si>
  <si>
    <t>Vicky</t>
  </si>
  <si>
    <t>Taylor</t>
  </si>
  <si>
    <t>Bulmer, Lori</t>
  </si>
  <si>
    <t>Promise</t>
  </si>
  <si>
    <t>Ted</t>
  </si>
  <si>
    <t>Nixdorf, Karen</t>
  </si>
  <si>
    <t>Jesse</t>
  </si>
  <si>
    <t>Dax</t>
  </si>
  <si>
    <t>Bishop, Samantha</t>
  </si>
  <si>
    <t>Mako</t>
  </si>
  <si>
    <t>Jag</t>
  </si>
  <si>
    <t>Khaleesi</t>
  </si>
  <si>
    <t>Collinson, Errol</t>
  </si>
  <si>
    <t>Briard</t>
  </si>
  <si>
    <t>Valiquette, Nancy</t>
  </si>
  <si>
    <t>Bergen, Tammy</t>
  </si>
  <si>
    <t>Yuen, Sharlene</t>
  </si>
  <si>
    <t>McLarty, Glenda</t>
  </si>
  <si>
    <t>Deja</t>
  </si>
  <si>
    <t>Basco</t>
  </si>
  <si>
    <t>Moody, Connie</t>
  </si>
  <si>
    <t>Korobanik, Shelly</t>
  </si>
  <si>
    <t>Tilly</t>
  </si>
  <si>
    <t>Holtz, Rosemary</t>
  </si>
  <si>
    <t>Vesper</t>
  </si>
  <si>
    <t>Bouchard, Sebastien</t>
  </si>
  <si>
    <t>Cookie</t>
  </si>
  <si>
    <t>Davis, Andrea</t>
  </si>
  <si>
    <t>Mayer, Brigette</t>
  </si>
  <si>
    <t>Joni</t>
  </si>
  <si>
    <t>Davison, Diana</t>
  </si>
  <si>
    <t>Camber</t>
  </si>
  <si>
    <t>Envy</t>
  </si>
  <si>
    <t>Crannis, Alyssa</t>
  </si>
  <si>
    <t>Moore, Shauna</t>
  </si>
  <si>
    <t>Pixel</t>
  </si>
  <si>
    <t>Morris, Leslie</t>
  </si>
  <si>
    <t>Summers, Mara</t>
  </si>
  <si>
    <t>Gazza</t>
  </si>
  <si>
    <t>Roach, Heather</t>
  </si>
  <si>
    <t>Kazza</t>
  </si>
  <si>
    <t>Coda</t>
  </si>
  <si>
    <t>Thurston, Sharon</t>
  </si>
  <si>
    <t>Mookie</t>
  </si>
  <si>
    <t>Netherwood, Jennifer</t>
  </si>
  <si>
    <t>Kodi</t>
  </si>
  <si>
    <t>Boese, Maureen</t>
  </si>
  <si>
    <t>Sugar Rae</t>
  </si>
  <si>
    <t>Sako</t>
  </si>
  <si>
    <t>Gee, Jacqueline</t>
  </si>
  <si>
    <t>Klassen, Kim</t>
  </si>
  <si>
    <t>Munro, Greg</t>
  </si>
  <si>
    <t>Mateo</t>
  </si>
  <si>
    <t>Gabriel, Lynn</t>
  </si>
  <si>
    <t>Jake</t>
  </si>
  <si>
    <t>Lamoureux, Fay</t>
  </si>
  <si>
    <t>Kaiserin</t>
  </si>
  <si>
    <t>Baguley-Ahmad, Natasha</t>
  </si>
  <si>
    <t>Spark</t>
  </si>
  <si>
    <t>Syrah</t>
  </si>
  <si>
    <t>Poodle (Moyen)</t>
  </si>
  <si>
    <t>Kohl, Suzanne</t>
  </si>
  <si>
    <t>Coonhound (Redbone)</t>
  </si>
  <si>
    <t>Pellatt, Emily</t>
  </si>
  <si>
    <t>Silo</t>
  </si>
  <si>
    <t>Shute, Candice</t>
  </si>
  <si>
    <t>Rica</t>
  </si>
  <si>
    <t>Bilous, Tracy</t>
  </si>
  <si>
    <t>Smidgin</t>
  </si>
  <si>
    <t>Morson, Romelda</t>
  </si>
  <si>
    <t>Mudd</t>
  </si>
  <si>
    <t>Barkley, Cindy</t>
  </si>
  <si>
    <t>Smith-Brown, Margaret</t>
  </si>
  <si>
    <t>Nash</t>
  </si>
  <si>
    <t>McNicol, Marlene</t>
  </si>
  <si>
    <t>KG</t>
  </si>
  <si>
    <t>Gheseger, Stacy</t>
  </si>
  <si>
    <t>Kio</t>
  </si>
  <si>
    <t>McConnery, Brenda</t>
  </si>
  <si>
    <t>Eleanor</t>
  </si>
  <si>
    <t>Stoddart, Peter</t>
  </si>
  <si>
    <t>Legien, Christina</t>
  </si>
  <si>
    <t>Strom, Tanya</t>
  </si>
  <si>
    <t>Sim</t>
  </si>
  <si>
    <t>Atnikov, Coral</t>
  </si>
  <si>
    <t>Ru</t>
  </si>
  <si>
    <t>Gryphon</t>
  </si>
  <si>
    <t>Huey</t>
  </si>
  <si>
    <t>Cazelais, Karyna</t>
  </si>
  <si>
    <t>Teyla</t>
  </si>
  <si>
    <t>Stemp, Julia</t>
  </si>
  <si>
    <t>Kooper</t>
  </si>
  <si>
    <t>Collier, Kendal</t>
  </si>
  <si>
    <t>Meme</t>
  </si>
  <si>
    <t>Vaughn, Nicole</t>
  </si>
  <si>
    <t>Uzza</t>
  </si>
  <si>
    <t>Therriault, Josee</t>
  </si>
  <si>
    <t>Felix, Darlene</t>
  </si>
  <si>
    <t>Pipes</t>
  </si>
  <si>
    <t>Prefontaine, Lousie</t>
  </si>
  <si>
    <t>Truitt, Pat</t>
  </si>
  <si>
    <t>Tye</t>
  </si>
  <si>
    <t>Learn, Sarah</t>
  </si>
  <si>
    <t>Emslie, Shirley</t>
  </si>
  <si>
    <t>Emmie</t>
  </si>
  <si>
    <t>Vikse, Janice</t>
  </si>
  <si>
    <t>Alaskan Husky</t>
  </si>
  <si>
    <t>Jenkins, Audrey</t>
  </si>
  <si>
    <t>Dunn, Katherine</t>
  </si>
  <si>
    <t>Lanteigne, Monica</t>
  </si>
  <si>
    <t>Suka</t>
  </si>
  <si>
    <t>Dessureault, Lucie</t>
  </si>
  <si>
    <t>Imagine</t>
  </si>
  <si>
    <t>B-Boy</t>
  </si>
  <si>
    <t>Akcie</t>
  </si>
  <si>
    <t>Kolman, Tracy</t>
  </si>
  <si>
    <t>Desjardins, Suzanne</t>
  </si>
  <si>
    <t>Greta</t>
  </si>
  <si>
    <t>Sarac, Shirley</t>
  </si>
  <si>
    <t>Saoirse</t>
  </si>
  <si>
    <t>Jacobsen, Lindsey</t>
  </si>
  <si>
    <t>Bru</t>
  </si>
  <si>
    <t>Huber, Leslie</t>
  </si>
  <si>
    <t>Berger Australien</t>
  </si>
  <si>
    <t>Dostie, Sylvie</t>
  </si>
  <si>
    <t>Paulin, Sylvain</t>
  </si>
  <si>
    <t>American Eskimo Dog (Standard)</t>
  </si>
  <si>
    <t>Grover, Sandra</t>
  </si>
  <si>
    <t>American Eskimo Dog (Miniature)</t>
  </si>
  <si>
    <t>Stolz, Wayne</t>
  </si>
  <si>
    <t>Remington (Remi)</t>
  </si>
  <si>
    <t>Snyder, Kelly</t>
  </si>
  <si>
    <t>Campbell, Sara</t>
  </si>
  <si>
    <t>Berube, Amelie</t>
  </si>
  <si>
    <t>Mini Fee</t>
  </si>
  <si>
    <t>Boucher, Lise</t>
  </si>
  <si>
    <t>Weeko</t>
  </si>
  <si>
    <t>Pivin, Isabelle</t>
  </si>
  <si>
    <t>Bouh</t>
  </si>
  <si>
    <t>Terrier Nu Americain</t>
  </si>
  <si>
    <t>Tremblay, Marilyn</t>
  </si>
  <si>
    <t>Thijssen, Harrie</t>
  </si>
  <si>
    <t>Jager</t>
  </si>
  <si>
    <t>Thijssen, Loretta</t>
  </si>
  <si>
    <t>Jill</t>
  </si>
  <si>
    <t>Spinone Italiano</t>
  </si>
  <si>
    <t>Mick</t>
  </si>
  <si>
    <t>Metcalfe, Karen</t>
  </si>
  <si>
    <t>Rigby</t>
  </si>
  <si>
    <t>Kipp</t>
  </si>
  <si>
    <t>Shiloh Shepherd</t>
  </si>
  <si>
    <t>Mariani, Taylor</t>
  </si>
  <si>
    <t>Arnold, Lisa</t>
  </si>
  <si>
    <t>V.I.P.</t>
  </si>
  <si>
    <t>Lachapelle, Jean-Pierre</t>
  </si>
  <si>
    <t>Hassall, Darlene</t>
  </si>
  <si>
    <t>TrialDate</t>
  </si>
  <si>
    <t>S_DogId</t>
  </si>
  <si>
    <t>S_Score</t>
  </si>
  <si>
    <t>S_Honour</t>
  </si>
  <si>
    <t>A_DogId</t>
  </si>
  <si>
    <t>A_Score</t>
  </si>
  <si>
    <t>A_Honour</t>
  </si>
  <si>
    <t>E_DogId</t>
  </si>
  <si>
    <t>E_Score</t>
  </si>
  <si>
    <t>E_Honour</t>
  </si>
  <si>
    <t>Scotch</t>
  </si>
  <si>
    <t>m</t>
  </si>
  <si>
    <t>Gasse, Philippe</t>
  </si>
  <si>
    <t>Koloc</t>
  </si>
  <si>
    <t>Poisson, Lynn</t>
  </si>
  <si>
    <t>Drue</t>
  </si>
  <si>
    <t>Lees, Christine</t>
  </si>
  <si>
    <t>Avalanche</t>
  </si>
  <si>
    <t>Larouche, Julie</t>
  </si>
  <si>
    <t>Arctique</t>
  </si>
  <si>
    <t>Boreal</t>
  </si>
  <si>
    <t>Buzz</t>
  </si>
  <si>
    <t>Desrosiers, Annie</t>
  </si>
  <si>
    <t>Kami</t>
  </si>
  <si>
    <t>Gosselin, Lise</t>
  </si>
  <si>
    <t>Gaya</t>
  </si>
  <si>
    <t>Berger Shetland</t>
  </si>
  <si>
    <t>Beaupre, Michel</t>
  </si>
  <si>
    <t>Winterbottom, Rona</t>
  </si>
  <si>
    <t>Mylo</t>
  </si>
  <si>
    <t>Garfield, Simon</t>
  </si>
  <si>
    <t>Hough, Candace</t>
  </si>
  <si>
    <t>Desbiens, Helene</t>
  </si>
  <si>
    <t>Penn</t>
  </si>
  <si>
    <t>Graham, Christine</t>
  </si>
  <si>
    <t>Sonja</t>
  </si>
  <si>
    <t>Nielsen, Bett</t>
  </si>
  <si>
    <t>Arran</t>
  </si>
  <si>
    <t>Reith, Val</t>
  </si>
  <si>
    <t>Robarts, Ellen</t>
  </si>
  <si>
    <t>Rush</t>
  </si>
  <si>
    <t>Sapphire</t>
  </si>
  <si>
    <t>Luciole</t>
  </si>
  <si>
    <t>Hoffmann, Martina</t>
  </si>
  <si>
    <t>Scottish Terrier</t>
  </si>
  <si>
    <t>Bertrand, Louise</t>
  </si>
  <si>
    <t>Pharoh</t>
  </si>
  <si>
    <t>Hearn, Jessica</t>
  </si>
  <si>
    <t>Jade</t>
  </si>
  <si>
    <t>Goudie, Dean</t>
  </si>
  <si>
    <t>Godley, Jane</t>
  </si>
  <si>
    <t>Bernard, Diane</t>
  </si>
  <si>
    <t>David</t>
  </si>
  <si>
    <t>Dawes, Robyn</t>
  </si>
  <si>
    <t>Gelinas, Carol-Ann</t>
  </si>
  <si>
    <t>Yahtzee</t>
  </si>
  <si>
    <t>Margaree</t>
  </si>
  <si>
    <t>Fisher, Joan M</t>
  </si>
  <si>
    <t>Cara</t>
  </si>
  <si>
    <t>Hopper</t>
  </si>
  <si>
    <t>Belyea, Leah</t>
  </si>
  <si>
    <t>Moro</t>
  </si>
  <si>
    <t>Levesque, Johanne</t>
  </si>
  <si>
    <t>Booker</t>
  </si>
  <si>
    <t>Watts, Donna</t>
  </si>
  <si>
    <t>Nyx</t>
  </si>
  <si>
    <t>Odyssey</t>
  </si>
  <si>
    <t>Culbert, Dierdre</t>
  </si>
  <si>
    <t>Kali</t>
  </si>
  <si>
    <t>Rhema</t>
  </si>
  <si>
    <t>Viper</t>
  </si>
  <si>
    <t>Burroughs, Pat</t>
  </si>
  <si>
    <t>Vex</t>
  </si>
  <si>
    <t>Johannessen, Julie</t>
  </si>
  <si>
    <t>Galenzoski, Bonnie</t>
  </si>
  <si>
    <t>Quin</t>
  </si>
  <si>
    <t>Leia</t>
  </si>
  <si>
    <t>Houle-Veinot, Jackie</t>
  </si>
  <si>
    <t>Keefer</t>
  </si>
  <si>
    <t>Leask, Alexandra</t>
  </si>
  <si>
    <t>Manzana</t>
  </si>
  <si>
    <t>Haydock, Elizabeth</t>
  </si>
  <si>
    <t>Elvish, Cassandra</t>
  </si>
  <si>
    <t>Ziba</t>
  </si>
  <si>
    <t>Smith, Rhonda</t>
  </si>
  <si>
    <t>Zant</t>
  </si>
  <si>
    <t>Robertson, Tyleena</t>
  </si>
  <si>
    <t>1st T</t>
  </si>
  <si>
    <t>Fred</t>
  </si>
  <si>
    <t>Needham, Sharon</t>
  </si>
  <si>
    <t>Clementine</t>
  </si>
  <si>
    <t>Sincennes, France</t>
  </si>
  <si>
    <t>Nours</t>
  </si>
  <si>
    <t>Sincennes, Luce</t>
  </si>
  <si>
    <t>Thalys</t>
  </si>
  <si>
    <t>Helly</t>
  </si>
  <si>
    <t>Roberge, Line</t>
  </si>
  <si>
    <t>Winston</t>
  </si>
  <si>
    <t>Springer Anglais</t>
  </si>
  <si>
    <t>Champagne, Sylvie</t>
  </si>
  <si>
    <t>Chance</t>
  </si>
  <si>
    <t>Number of FIRST Titles achieved</t>
  </si>
  <si>
    <t>Berger belge (Tervueren)</t>
  </si>
  <si>
    <t>Terrier blanc du West Highland</t>
  </si>
  <si>
    <t>Pennington, Jean</t>
  </si>
  <si>
    <t>Vinny</t>
  </si>
  <si>
    <t>Lunney, Maureen</t>
  </si>
  <si>
    <t>Statz, April</t>
  </si>
  <si>
    <t>Whiteley, Sharon</t>
  </si>
  <si>
    <t>Pollard, Jessica</t>
  </si>
  <si>
    <t>Turner</t>
  </si>
  <si>
    <t>Ruff, Tammy</t>
  </si>
  <si>
    <t>Tymber</t>
  </si>
  <si>
    <t>Kodey</t>
  </si>
  <si>
    <t>Anderson, Tracie</t>
  </si>
  <si>
    <t>Maltese</t>
  </si>
  <si>
    <t>Porsche</t>
  </si>
  <si>
    <t>Purnell, Lorraine</t>
  </si>
  <si>
    <t>Stoakley, Doug</t>
  </si>
  <si>
    <t>Elliot</t>
  </si>
  <si>
    <t>Pike, Sue</t>
  </si>
  <si>
    <t>Eve</t>
  </si>
  <si>
    <t>Rose, Barbara</t>
  </si>
  <si>
    <t>Pyper</t>
  </si>
  <si>
    <t>Started Container/Interior Back-to-Back Running Order</t>
  </si>
  <si>
    <t>Status Container</t>
  </si>
  <si>
    <t>Status Interior</t>
  </si>
  <si>
    <t>Started Container/Exterior Back-to-Back Running Order</t>
  </si>
  <si>
    <t>Status Exterior</t>
  </si>
  <si>
    <t>Started Container/Interior Back-to-Back Running Order - Day 2</t>
  </si>
  <si>
    <t>Started Container/Exterior Back-to-Back Running Order - Day 2</t>
  </si>
  <si>
    <t>Fi</t>
  </si>
  <si>
    <t>Grujot</t>
  </si>
  <si>
    <t>Dakota</t>
  </si>
  <si>
    <t>Coen, Kathy</t>
  </si>
  <si>
    <t>Everlee</t>
  </si>
  <si>
    <t>Roettger, Susan</t>
  </si>
  <si>
    <t>Tempest</t>
  </si>
  <si>
    <t>Jones, Margaret</t>
  </si>
  <si>
    <t>Penelope</t>
  </si>
  <si>
    <t>Gem</t>
  </si>
  <si>
    <t>Hargreaves, Jeannette</t>
  </si>
  <si>
    <t>Arkasha</t>
  </si>
  <si>
    <t>Koiner, Pam</t>
  </si>
  <si>
    <t>Clifford, Heather</t>
  </si>
  <si>
    <t>Noonan, Stephanie</t>
  </si>
  <si>
    <t>Rogers, Rose</t>
  </si>
  <si>
    <t>Smash</t>
  </si>
  <si>
    <t>Maichen, Sheila</t>
  </si>
  <si>
    <t>Paisley</t>
  </si>
  <si>
    <t>Barone, Claire</t>
  </si>
  <si>
    <t>Schoko</t>
  </si>
  <si>
    <t>von Engelhardt, Andrea</t>
  </si>
  <si>
    <t>Lapp, Shirley</t>
  </si>
  <si>
    <t>Askim</t>
  </si>
  <si>
    <t>Stewart, Marianne</t>
  </si>
  <si>
    <t>Cusson, Julie</t>
  </si>
  <si>
    <t>Mel</t>
  </si>
  <si>
    <t>Silas</t>
  </si>
  <si>
    <t>Greene, Rebecca</t>
  </si>
  <si>
    <t>Carlee</t>
  </si>
  <si>
    <t>Gina</t>
  </si>
  <si>
    <t>Bree</t>
  </si>
  <si>
    <t>Kolar, Jill</t>
  </si>
  <si>
    <t>Advanced Container/Interior Back-to-Back Running Order</t>
  </si>
  <si>
    <t>Advanced Container/Exterior Back-to-Back Running Order</t>
  </si>
  <si>
    <t>Advanced Container/Interior Back-to-Back Running Order - Day 2</t>
  </si>
  <si>
    <t>Advanced Container/Exterior Back-to-Back Running Order - Day 2</t>
  </si>
  <si>
    <t>Excellent Container/Interior Back-to-Back Running Order</t>
  </si>
  <si>
    <t>Excellent Container/Exterior Back-to-Back Running Order</t>
  </si>
  <si>
    <t>Excellent Container/Interior Back-to-Back Running Order - Day 2</t>
  </si>
  <si>
    <t>Excellent Container/Exterior Back-to-Back Running Order - Day 2</t>
  </si>
  <si>
    <t>Elite Container/Interior Back-to-Back Running Order</t>
  </si>
  <si>
    <t>Elite Container/Exterior Back-to-Back Running Order</t>
  </si>
  <si>
    <t>Elite Container/Interior Back-to-Back Running Order - Day 2</t>
  </si>
  <si>
    <t>Elite Container/Exterior Back-to-Back Running Order - Day 2</t>
  </si>
  <si>
    <t>Wambolt, Pamela</t>
  </si>
  <si>
    <t>Lexie</t>
  </si>
  <si>
    <t>Clarke, Nancy</t>
  </si>
  <si>
    <t>Gizmo</t>
  </si>
  <si>
    <t>Berger Picard</t>
  </si>
  <si>
    <t>Taylor, Sonja</t>
  </si>
  <si>
    <t>MacKillican, Katherine</t>
  </si>
  <si>
    <t>Number of Searches remaining to be entered</t>
  </si>
  <si>
    <t>Str Cnt</t>
  </si>
  <si>
    <t>Str Int</t>
  </si>
  <si>
    <t>Str Exc</t>
  </si>
  <si>
    <t>Adv Cnt</t>
  </si>
  <si>
    <t>Day 1</t>
  </si>
  <si>
    <t>Day 2</t>
  </si>
  <si>
    <t>Adv Int</t>
  </si>
  <si>
    <t>Adv Ext</t>
  </si>
  <si>
    <t>Exc Cnt</t>
  </si>
  <si>
    <t>Exc Int</t>
  </si>
  <si>
    <t>Exc Ext</t>
  </si>
  <si>
    <t>Elite Cnt</t>
  </si>
  <si>
    <t>Elite Int</t>
  </si>
  <si>
    <t>Elite Exc</t>
  </si>
  <si>
    <t>Evans, Gina</t>
  </si>
  <si>
    <t>Agent</t>
  </si>
  <si>
    <t>Lindquist, Fran</t>
  </si>
  <si>
    <t>Gauthier, Donald</t>
  </si>
  <si>
    <t>Becker, Ellen</t>
  </si>
  <si>
    <t>Clark</t>
  </si>
  <si>
    <t>Monteith, Mary</t>
  </si>
  <si>
    <t>Magic</t>
  </si>
  <si>
    <t>Lachance, Shirley</t>
  </si>
  <si>
    <t>Oakley</t>
  </si>
  <si>
    <t>Edh, Stephanie</t>
  </si>
  <si>
    <t>Eassun</t>
  </si>
  <si>
    <t>Stewart-Hay, Joan</t>
  </si>
  <si>
    <t>Tandy</t>
  </si>
  <si>
    <t>Troy</t>
  </si>
  <si>
    <t>Bull Terrier</t>
  </si>
  <si>
    <t>Buck, Sophie</t>
  </si>
  <si>
    <t>Eagan, Patricia</t>
  </si>
  <si>
    <t>Maruncic, Margo</t>
  </si>
  <si>
    <t>Moore, Nancy</t>
  </si>
  <si>
    <t>Sawicki, Tina</t>
  </si>
  <si>
    <t>Newman, Mary</t>
  </si>
  <si>
    <t>Wire Haired Hungarian Vizsla</t>
  </si>
  <si>
    <t>MacLeod, Jana</t>
  </si>
  <si>
    <t>Tristan</t>
  </si>
  <si>
    <t>Baratta, Laura</t>
  </si>
  <si>
    <t>Izzy</t>
  </si>
  <si>
    <t>Ender</t>
  </si>
  <si>
    <t>Rogers, Lee Anne</t>
  </si>
  <si>
    <t>Bugg</t>
  </si>
  <si>
    <t>Kirkwood, Crystal</t>
  </si>
  <si>
    <t>Cook, Shelley</t>
  </si>
  <si>
    <t>Pieper</t>
  </si>
  <si>
    <t>Beauceron</t>
  </si>
  <si>
    <t>Tukk</t>
  </si>
  <si>
    <t>Bird, Maggie</t>
  </si>
  <si>
    <t>Phillips-Smith, Catherine</t>
  </si>
  <si>
    <t>Mikey</t>
  </si>
  <si>
    <t>Mimmie</t>
  </si>
  <si>
    <t>Gardner Savoy, Ann</t>
  </si>
  <si>
    <t>Sig</t>
  </si>
  <si>
    <t>Campbell, Sandra</t>
  </si>
  <si>
    <t>Heckel, Ingrid</t>
  </si>
  <si>
    <t>Eumae</t>
  </si>
  <si>
    <t>Camelford, Lesley</t>
  </si>
  <si>
    <t>Civitarese, Carma</t>
  </si>
  <si>
    <t>Langan, Deanna</t>
  </si>
  <si>
    <t>Campbell, Candice</t>
  </si>
  <si>
    <t>Harley</t>
  </si>
  <si>
    <t>Woodwark, Penelope</t>
  </si>
  <si>
    <t>Kiya</t>
  </si>
  <si>
    <t>Sischa</t>
  </si>
  <si>
    <t>Basset Artesien Normand</t>
  </si>
  <si>
    <t>Verol, Arthur</t>
  </si>
  <si>
    <t>Lorax</t>
  </si>
  <si>
    <t>Klietsch, Jeane</t>
  </si>
  <si>
    <t>Asta</t>
  </si>
  <si>
    <t>Bisson, Suzanne</t>
  </si>
  <si>
    <t>Westcott</t>
  </si>
  <si>
    <t>Jean, Dominic</t>
  </si>
  <si>
    <t>Dellert, Krista</t>
  </si>
  <si>
    <t>Rowdie</t>
  </si>
  <si>
    <t>Piercy, Jeri</t>
  </si>
  <si>
    <t>Fury</t>
  </si>
  <si>
    <t>Garrett</t>
  </si>
  <si>
    <t>Coulter, Lesley</t>
  </si>
  <si>
    <t>Tyson</t>
  </si>
  <si>
    <t>Beattie, Melissa</t>
  </si>
  <si>
    <t>Beattie, Boby</t>
  </si>
  <si>
    <t>Swift</t>
  </si>
  <si>
    <t>Ferguson, Rebecca</t>
  </si>
  <si>
    <t>Brotherton, Llie</t>
  </si>
  <si>
    <t>Serendipity</t>
  </si>
  <si>
    <t>Hedman, Emma</t>
  </si>
  <si>
    <t>Gecko</t>
  </si>
  <si>
    <t>7</t>
  </si>
  <si>
    <t>Reckon</t>
  </si>
  <si>
    <t>Sandberg, Faren</t>
  </si>
  <si>
    <t>Tula</t>
  </si>
  <si>
    <t>Oswald, Kelly</t>
  </si>
  <si>
    <t>Genee</t>
  </si>
  <si>
    <t>Hoogwerf, Robin</t>
  </si>
  <si>
    <t>Lucas, Olivia</t>
  </si>
  <si>
    <t>Pharaoh Hound (Miniature)</t>
  </si>
  <si>
    <t>Kraushaar, Sandra</t>
  </si>
  <si>
    <t>Lingard, Christi</t>
  </si>
  <si>
    <t>Itsabella</t>
  </si>
  <si>
    <t>Willemsen, Selena</t>
  </si>
  <si>
    <t>Meena</t>
  </si>
  <si>
    <t>Henry, Josephine</t>
  </si>
  <si>
    <t>Pearl, Nanette</t>
  </si>
  <si>
    <t>Rain</t>
  </si>
  <si>
    <t>Dalton, Mikala</t>
  </si>
  <si>
    <t>Drift</t>
  </si>
  <si>
    <t>Duvell, Tamara</t>
  </si>
  <si>
    <t>Naya</t>
  </si>
  <si>
    <t>Somers, Helen</t>
  </si>
  <si>
    <t>Diva</t>
  </si>
  <si>
    <t>McInnis, Paula</t>
  </si>
  <si>
    <t>Jovi</t>
  </si>
  <si>
    <t>Brie</t>
  </si>
  <si>
    <t>Papierzanska, Kathy</t>
  </si>
  <si>
    <t>Lambert, Terry</t>
  </si>
  <si>
    <t>Loch</t>
  </si>
  <si>
    <t>Hunter, Brigitte</t>
  </si>
  <si>
    <t>Salsa</t>
  </si>
  <si>
    <t>Denbow, Debbie</t>
  </si>
  <si>
    <t>Laframboise, Joanne</t>
  </si>
  <si>
    <t>Mistelbacher, Theresa</t>
  </si>
  <si>
    <t>Meech</t>
  </si>
  <si>
    <t>Sekihara, Terumi</t>
  </si>
  <si>
    <t>Irving, Heather</t>
  </si>
  <si>
    <t>Darg, Jarrod</t>
  </si>
  <si>
    <t>Cruze</t>
  </si>
  <si>
    <t>Plunkett, Pamela</t>
  </si>
  <si>
    <t>M</t>
  </si>
  <si>
    <t>Shasta</t>
  </si>
  <si>
    <t>Gardner, James</t>
  </si>
  <si>
    <t>Rubix</t>
  </si>
  <si>
    <t>Finley</t>
  </si>
  <si>
    <t>Auld, Danica</t>
  </si>
  <si>
    <t>Bedlington Terrier</t>
  </si>
  <si>
    <t>Yee, Janet</t>
  </si>
  <si>
    <t>Suri</t>
  </si>
  <si>
    <t>Crombie, Tan</t>
  </si>
  <si>
    <t>Skittles</t>
  </si>
  <si>
    <t>Ewaskow, Charlotte</t>
  </si>
  <si>
    <t>Narley</t>
  </si>
  <si>
    <t>Matheson, Daliah</t>
  </si>
  <si>
    <t>Brigit</t>
  </si>
  <si>
    <t>Link</t>
  </si>
  <si>
    <t>Harding, Julia</t>
  </si>
  <si>
    <t>Mensa</t>
  </si>
  <si>
    <t>Boots, Christine</t>
  </si>
  <si>
    <t>Foxy</t>
  </si>
  <si>
    <t>Courbron, Martine</t>
  </si>
  <si>
    <t>Steeds, Sandra</t>
  </si>
  <si>
    <t>Soxx</t>
  </si>
  <si>
    <t>Yost, Sue</t>
  </si>
  <si>
    <t>Abs, Amanda</t>
  </si>
  <si>
    <t>Currie, Kim</t>
  </si>
  <si>
    <t>Wood, Karen</t>
  </si>
  <si>
    <t>Renly</t>
  </si>
  <si>
    <t>ROSCOE</t>
  </si>
  <si>
    <t>Muller, LeeAnne</t>
  </si>
  <si>
    <t>Zuri</t>
  </si>
  <si>
    <t>Clarkson, Karen</t>
  </si>
  <si>
    <t>Ernie</t>
  </si>
  <si>
    <t>Uloth, Jane</t>
  </si>
  <si>
    <t>Poco</t>
  </si>
  <si>
    <t>Richardson, Pat</t>
  </si>
  <si>
    <t>Potvin, Line</t>
  </si>
  <si>
    <t>Neko</t>
  </si>
  <si>
    <t>Cafarella, Karen</t>
  </si>
  <si>
    <t>Crunican, Christine</t>
  </si>
  <si>
    <t>GINGER</t>
  </si>
  <si>
    <t>Gladding, Patti</t>
  </si>
  <si>
    <t>Eska</t>
  </si>
  <si>
    <t>Cote-Simard, Marie-Eve</t>
  </si>
  <si>
    <t>England, Jocelyn</t>
  </si>
  <si>
    <t>Denninger, Kirsten</t>
  </si>
  <si>
    <t>zena</t>
  </si>
  <si>
    <t>Guest, Faye</t>
  </si>
  <si>
    <t>KAMO</t>
  </si>
  <si>
    <t>Winn</t>
  </si>
  <si>
    <t>Petromaniant - Dib, Biliana</t>
  </si>
  <si>
    <t>Hall, Mark</t>
  </si>
  <si>
    <t>Tavares, Nina</t>
  </si>
  <si>
    <t>Hyde</t>
  </si>
  <si>
    <t>Bobiak, Jade</t>
  </si>
  <si>
    <t>Moore, Liz</t>
  </si>
  <si>
    <t>Hufton, Amanda</t>
  </si>
  <si>
    <t>Raeah</t>
  </si>
  <si>
    <t>McIntosh, Kelly</t>
  </si>
  <si>
    <t>Hawk</t>
  </si>
  <si>
    <t>Zimmer, Beate</t>
  </si>
  <si>
    <t>Nahla</t>
  </si>
  <si>
    <t>Nemisz, Mary Ann</t>
  </si>
  <si>
    <t>Finlayson, Jillian</t>
  </si>
  <si>
    <t>Ripple</t>
  </si>
  <si>
    <t>Anderson, Shona</t>
  </si>
  <si>
    <t>Kane</t>
  </si>
  <si>
    <t>Turner, Annette</t>
  </si>
  <si>
    <t>Fraser, Carrie</t>
  </si>
  <si>
    <t>Turner, Cheryl</t>
  </si>
  <si>
    <t>Aurora</t>
  </si>
  <si>
    <t>Winter, Karen</t>
  </si>
  <si>
    <t>Irina</t>
  </si>
  <si>
    <t>Kojak</t>
  </si>
  <si>
    <t>Hill, Holly</t>
  </si>
  <si>
    <t>Minnie</t>
  </si>
  <si>
    <t>Le Houillier, Linda</t>
  </si>
  <si>
    <t>Jeen</t>
  </si>
  <si>
    <t>Sam</t>
  </si>
  <si>
    <t>Anderson, Kathleen</t>
  </si>
  <si>
    <t>Sascha</t>
  </si>
  <si>
    <t>Van Houten, Courtney</t>
  </si>
  <si>
    <t>Ian</t>
  </si>
  <si>
    <t>Zoutman, Heather</t>
  </si>
  <si>
    <t>Brava</t>
  </si>
  <si>
    <t>Thacker</t>
  </si>
  <si>
    <t>Goyette, Catherine</t>
  </si>
  <si>
    <t>Hilo</t>
  </si>
  <si>
    <t>Peyton, Lawrence</t>
  </si>
  <si>
    <t>Tazer</t>
  </si>
  <si>
    <t>Kalkhoven, Lisa</t>
  </si>
  <si>
    <t>Guilty</t>
  </si>
  <si>
    <t>Rori</t>
  </si>
  <si>
    <t>Pitcher, Finola</t>
  </si>
  <si>
    <t>Schultz</t>
  </si>
  <si>
    <t>Shane</t>
  </si>
  <si>
    <t>Garland, Emily</t>
  </si>
  <si>
    <t>BlackBerry</t>
  </si>
  <si>
    <t>Coe, Jesse</t>
  </si>
  <si>
    <t>Flynn</t>
  </si>
  <si>
    <t>Armstrong, Barbara</t>
  </si>
  <si>
    <t>Flickr</t>
  </si>
  <si>
    <t>Hyde, Ashley</t>
  </si>
  <si>
    <t>Noon, Caroline</t>
  </si>
  <si>
    <t>Jetta</t>
  </si>
  <si>
    <t>Montgomery, Darla</t>
  </si>
  <si>
    <t>Juicee</t>
  </si>
  <si>
    <t>Maxy</t>
  </si>
  <si>
    <t>Gyselinck, Barb</t>
  </si>
  <si>
    <t>Skipper</t>
  </si>
  <si>
    <t>Allum, Vicky</t>
  </si>
  <si>
    <t>Watson</t>
  </si>
  <si>
    <t>Meetoo</t>
  </si>
  <si>
    <t>Craigon, Claire</t>
  </si>
  <si>
    <t>Nim</t>
  </si>
  <si>
    <t>Hall, Catherine</t>
  </si>
  <si>
    <t>Richardson, Joe</t>
  </si>
  <si>
    <t>Tai, Nicole</t>
  </si>
  <si>
    <t>Letcher, Amanda</t>
  </si>
  <si>
    <t>Ramendra, Gobeiram</t>
  </si>
  <si>
    <t>Argo</t>
  </si>
  <si>
    <t>steele, val</t>
  </si>
  <si>
    <t>rogue</t>
  </si>
  <si>
    <t>Deptuch, James</t>
  </si>
  <si>
    <t>Debit</t>
  </si>
  <si>
    <t>Journey</t>
  </si>
  <si>
    <t>Mars</t>
  </si>
  <si>
    <t>Secker, Aaryn</t>
  </si>
  <si>
    <t>Ryker</t>
  </si>
  <si>
    <t>Fleur</t>
  </si>
  <si>
    <t>FIDGET</t>
  </si>
  <si>
    <t>Pronger, Lora</t>
  </si>
  <si>
    <t>Tanner</t>
  </si>
  <si>
    <t>Jackson, Trina</t>
  </si>
  <si>
    <t>Riske</t>
  </si>
  <si>
    <t>Gillis, Jan</t>
  </si>
  <si>
    <t>Draibye, Sandra</t>
  </si>
  <si>
    <t>Sir</t>
  </si>
  <si>
    <t>Wilson, Doug</t>
  </si>
  <si>
    <t>Niles, Jake</t>
  </si>
  <si>
    <t>Rune</t>
  </si>
  <si>
    <t>Onyx</t>
  </si>
  <si>
    <t>pelland, stephane</t>
  </si>
  <si>
    <t>Chamberland, Suzanne</t>
  </si>
  <si>
    <t>Juliette</t>
  </si>
  <si>
    <t>Ever</t>
  </si>
  <si>
    <t>Linkin</t>
  </si>
  <si>
    <t>Hogg, Don</t>
  </si>
  <si>
    <t>Quid</t>
  </si>
  <si>
    <t>Sundae</t>
  </si>
  <si>
    <t>Shug</t>
  </si>
  <si>
    <t>Reid, Janet</t>
  </si>
  <si>
    <t>morley, kerry</t>
  </si>
  <si>
    <t>Hames, April</t>
  </si>
  <si>
    <t>Good, Leanne</t>
  </si>
  <si>
    <t>Krug, Lori-Anne</t>
  </si>
  <si>
    <t>Logan, Ashley</t>
  </si>
  <si>
    <t>locke, bonnie</t>
  </si>
  <si>
    <t>schwartz Porter, Janet</t>
  </si>
  <si>
    <t>Furlotte, Heather</t>
  </si>
  <si>
    <t>Poppe, William</t>
  </si>
  <si>
    <t>Modi</t>
  </si>
  <si>
    <t>Tuuli</t>
  </si>
  <si>
    <t>MacFarlane, Heather</t>
  </si>
  <si>
    <t>Kaylee</t>
  </si>
  <si>
    <t>Tex</t>
  </si>
  <si>
    <t>Chazz</t>
  </si>
  <si>
    <t>Morgan, Jennifer</t>
  </si>
  <si>
    <t>Shaila</t>
  </si>
  <si>
    <t>Letarte-Tremblay, Johanne</t>
  </si>
  <si>
    <t>Sherlock</t>
  </si>
  <si>
    <t>Vachon, Melyssa</t>
  </si>
  <si>
    <t>Ramsay, Beth</t>
  </si>
  <si>
    <t>Eclipse</t>
  </si>
  <si>
    <t>Petit, Alain</t>
  </si>
  <si>
    <t>Drake</t>
  </si>
  <si>
    <t>Pellerin, Karine</t>
  </si>
  <si>
    <t>Yuca</t>
  </si>
  <si>
    <t>Missullis, Eva-Christine</t>
  </si>
  <si>
    <t>Donais, Joanne</t>
  </si>
  <si>
    <t>Kohle</t>
  </si>
  <si>
    <t>Gabler, Sandra</t>
  </si>
  <si>
    <t>Zing</t>
  </si>
  <si>
    <t>Kidd, Diane</t>
  </si>
  <si>
    <t>Buchner, Sylvia</t>
  </si>
  <si>
    <t>O'Rourke, Kelsi</t>
  </si>
  <si>
    <t>Weeks-Llera, Jennifer</t>
  </si>
  <si>
    <t>BO</t>
  </si>
  <si>
    <t>Bogart</t>
  </si>
  <si>
    <t>Brown, Diane</t>
  </si>
  <si>
    <t>Rawdny</t>
  </si>
  <si>
    <t>Keeshond</t>
  </si>
  <si>
    <t>Kelley, Karen</t>
  </si>
  <si>
    <t>Klein, Shelley</t>
  </si>
  <si>
    <t>Taelon</t>
  </si>
  <si>
    <t>Waldner, Katrina</t>
  </si>
  <si>
    <t>Barney</t>
  </si>
  <si>
    <t>Scofield, Joanne</t>
  </si>
  <si>
    <t>McKenzie, Kathy</t>
  </si>
  <si>
    <t>Tuca</t>
  </si>
  <si>
    <t>Micah</t>
  </si>
  <si>
    <t>Lembke, Marti</t>
  </si>
  <si>
    <t>Crash</t>
  </si>
  <si>
    <t>Fischer, Susan</t>
  </si>
  <si>
    <t>Ritchie, Carol</t>
  </si>
  <si>
    <t>Beerman, Gail</t>
  </si>
  <si>
    <t>Kalia</t>
  </si>
  <si>
    <t>Buffy</t>
  </si>
  <si>
    <t>Josselyn, Daniel</t>
  </si>
  <si>
    <t>Fidji</t>
  </si>
  <si>
    <t>Carignan, Julie</t>
  </si>
  <si>
    <t>Matthews, Becky</t>
  </si>
  <si>
    <t>Keysa</t>
  </si>
  <si>
    <t>Caddy</t>
  </si>
  <si>
    <t>Beaulieu, Anne-Marie</t>
  </si>
  <si>
    <t>Overholt, Shawn</t>
  </si>
  <si>
    <t>Vollick, Leslie</t>
  </si>
  <si>
    <t>Buczko, Cynthia</t>
  </si>
  <si>
    <t>Nicholas</t>
  </si>
  <si>
    <t>Harlo Jean</t>
  </si>
  <si>
    <t>Harris, Shelley</t>
  </si>
  <si>
    <t>Monte</t>
  </si>
  <si>
    <t>Owin</t>
  </si>
  <si>
    <t>LeCouillard, Sherry</t>
  </si>
  <si>
    <t>Rizzi</t>
  </si>
  <si>
    <t>Jipsy</t>
  </si>
  <si>
    <t>Bouchard, Isabelle</t>
  </si>
  <si>
    <t>de Champlain, Stephanie</t>
  </si>
  <si>
    <t>Chopin</t>
  </si>
  <si>
    <t>Joncas, Julie</t>
  </si>
  <si>
    <t>Pippa</t>
  </si>
  <si>
    <t>Howe, Joanne</t>
  </si>
  <si>
    <t>Pennie, Kimberly</t>
  </si>
  <si>
    <t>Mya</t>
  </si>
  <si>
    <t>MacFarlane, Aaron</t>
  </si>
  <si>
    <t>Murphy</t>
  </si>
  <si>
    <t>Gallein, Joanne</t>
  </si>
  <si>
    <t>ZEST</t>
  </si>
  <si>
    <t>Sloan, Philippa</t>
  </si>
  <si>
    <t>Rhythm</t>
  </si>
  <si>
    <t>Grant, Shirley</t>
  </si>
  <si>
    <t>Clayton, Jennifer</t>
  </si>
  <si>
    <t>Dufort, Bridgit</t>
  </si>
  <si>
    <t>Weston, Kathy</t>
  </si>
  <si>
    <t>Ally</t>
  </si>
  <si>
    <t>Sandison, Cynthia</t>
  </si>
  <si>
    <t>Winnie</t>
  </si>
  <si>
    <t>Bond, Shirley</t>
  </si>
  <si>
    <t>Blais, Susan</t>
  </si>
  <si>
    <t>Caper</t>
  </si>
  <si>
    <t>Aitken, Carol</t>
  </si>
  <si>
    <t>Setter (Irish)</t>
  </si>
  <si>
    <t>Deg, Barbara</t>
  </si>
  <si>
    <t>TaiChi</t>
  </si>
  <si>
    <t>Molgat, Lise</t>
  </si>
  <si>
    <t>Fiesta</t>
  </si>
  <si>
    <t>Rumour</t>
  </si>
  <si>
    <t>Hektor</t>
  </si>
  <si>
    <t>Webber, Paula</t>
  </si>
  <si>
    <t>Maddy</t>
  </si>
  <si>
    <t>McGowan St Croix, Jackie</t>
  </si>
  <si>
    <t>Mandy</t>
  </si>
  <si>
    <t>Wynne</t>
  </si>
  <si>
    <t>Smith, Julie</t>
  </si>
  <si>
    <t>Horan, Ashley</t>
  </si>
  <si>
    <t>Cooper-Sereda, Marlene</t>
  </si>
  <si>
    <t>Evans, Rebecca</t>
  </si>
  <si>
    <t>Zashi</t>
  </si>
  <si>
    <t>Mini</t>
  </si>
  <si>
    <t>Stahl, Alyssia</t>
  </si>
  <si>
    <t>Pichette, Amanda</t>
  </si>
  <si>
    <t>Sunday</t>
  </si>
  <si>
    <t>Juskiw, Patricia</t>
  </si>
  <si>
    <t>Lilith</t>
  </si>
  <si>
    <t>Traxx</t>
  </si>
  <si>
    <t>Adams, Rob</t>
  </si>
  <si>
    <t>Spiral</t>
  </si>
  <si>
    <t>Henry, Kayla</t>
  </si>
  <si>
    <t>McKague, Brenda</t>
  </si>
  <si>
    <t>Wilson, Madeleine</t>
  </si>
  <si>
    <t>Lincoln</t>
  </si>
  <si>
    <t>Highfield, Melissa</t>
  </si>
  <si>
    <t>Quiver</t>
  </si>
  <si>
    <t>Lobb, Lisa</t>
  </si>
  <si>
    <t>Swagger</t>
  </si>
  <si>
    <t>Lambert, Lou-Anne</t>
  </si>
  <si>
    <t>Kate</t>
  </si>
  <si>
    <t>Caspersen, Kathy</t>
  </si>
  <si>
    <t>Kifli</t>
  </si>
  <si>
    <t>Horvath, Mikolt</t>
  </si>
  <si>
    <t>Sei</t>
  </si>
  <si>
    <t>Quackenbush, Sara</t>
  </si>
  <si>
    <t>Aliss</t>
  </si>
  <si>
    <t>Panda</t>
  </si>
  <si>
    <t>Therrien, sherry</t>
  </si>
  <si>
    <t>Emily</t>
  </si>
  <si>
    <t>Keirstead, Robere</t>
  </si>
  <si>
    <t>Odette</t>
  </si>
  <si>
    <t>Nadeau, Symphonie</t>
  </si>
  <si>
    <t>Jimmy</t>
  </si>
  <si>
    <t>Cloutier, Marie-Johanne</t>
  </si>
  <si>
    <t>Billie Jean</t>
  </si>
  <si>
    <t>Savard, Lyse</t>
  </si>
  <si>
    <t>Faas</t>
  </si>
  <si>
    <t>Finochio, Erin</t>
  </si>
  <si>
    <t>Dillan</t>
  </si>
  <si>
    <t>Hughes, Sarah</t>
  </si>
  <si>
    <t>Ramsey</t>
  </si>
  <si>
    <t>Byers, Allan</t>
  </si>
  <si>
    <t>Lisa</t>
  </si>
  <si>
    <t>James, Wendy</t>
  </si>
  <si>
    <t>Lena</t>
  </si>
  <si>
    <t>Donais, Caroline</t>
  </si>
  <si>
    <t>Theo</t>
  </si>
  <si>
    <t>Geates, Stephanie</t>
  </si>
  <si>
    <t>Gabi</t>
  </si>
  <si>
    <t>van den Akker, Nick and Jamie</t>
  </si>
  <si>
    <t>Gucci</t>
  </si>
  <si>
    <t>Random</t>
  </si>
  <si>
    <t>Parsons, Heather</t>
  </si>
  <si>
    <t>Beaulieu, Jennifer</t>
  </si>
  <si>
    <t>Shaq</t>
  </si>
  <si>
    <t>McKenzie, Roberta</t>
  </si>
  <si>
    <t>Kingston</t>
  </si>
  <si>
    <t>Groulx, Alison</t>
  </si>
  <si>
    <t>Mowgli</t>
  </si>
  <si>
    <t>Johnson, Guy</t>
  </si>
  <si>
    <t>Kalla</t>
  </si>
  <si>
    <t>Laschowski, Cindy</t>
  </si>
  <si>
    <t>Brit</t>
  </si>
  <si>
    <t>Jaxon</t>
  </si>
  <si>
    <t>Psiurski, Sharlene</t>
  </si>
  <si>
    <t>Menard, Emilie</t>
  </si>
  <si>
    <t>Phoebe</t>
  </si>
  <si>
    <t>Young, Vivian</t>
  </si>
  <si>
    <t>KONA</t>
  </si>
  <si>
    <t>Hunt, Judy</t>
  </si>
  <si>
    <t>MAZIE</t>
  </si>
  <si>
    <t>Vibe</t>
  </si>
  <si>
    <t>Daeninck, Kim</t>
  </si>
  <si>
    <t>Asik</t>
  </si>
  <si>
    <t>Canadian Eskimo Dog</t>
  </si>
  <si>
    <t>Abofsky, Robert</t>
  </si>
  <si>
    <t>Bunniq</t>
  </si>
  <si>
    <t>DeClerck, Shandra</t>
  </si>
  <si>
    <t>Korppi, Judith</t>
  </si>
  <si>
    <t>Vigor</t>
  </si>
  <si>
    <t>Hart, Melanie</t>
  </si>
  <si>
    <t>Hicks, Nancy</t>
  </si>
  <si>
    <t>Taisce</t>
  </si>
  <si>
    <t>Weatherhead, Heather</t>
  </si>
  <si>
    <t>Nutella</t>
  </si>
  <si>
    <t>Puccini</t>
  </si>
  <si>
    <t>Gravelle, April</t>
  </si>
  <si>
    <t>Schubert</t>
  </si>
  <si>
    <t>Graphitie</t>
  </si>
  <si>
    <t>Nielsen, Alana</t>
  </si>
  <si>
    <t>Olie</t>
  </si>
  <si>
    <t>Dean, Christopher</t>
  </si>
  <si>
    <t>Saunderson, Camellia</t>
  </si>
  <si>
    <t>Manny</t>
  </si>
  <si>
    <t>Turner, Diane</t>
  </si>
  <si>
    <t>Pernitsky, Diane</t>
  </si>
  <si>
    <t>Clover</t>
  </si>
  <si>
    <t>Dubeau, Mya</t>
  </si>
  <si>
    <t>Vintage</t>
  </si>
  <si>
    <t>NOILES, ELIZABETH</t>
  </si>
  <si>
    <t>Spice</t>
  </si>
  <si>
    <t>Harri, Linda</t>
  </si>
  <si>
    <t>Gordon, Paige</t>
  </si>
  <si>
    <t>Revell, Julie</t>
  </si>
  <si>
    <t>Fox</t>
  </si>
  <si>
    <t>Lengyel, Samantha</t>
  </si>
  <si>
    <t>MacGyver</t>
  </si>
  <si>
    <t>Paris</t>
  </si>
  <si>
    <t>McDermott, Kate</t>
  </si>
  <si>
    <t>Rocchio, Jane</t>
  </si>
  <si>
    <t>Follie</t>
  </si>
  <si>
    <t>Chafe, Virginia</t>
  </si>
  <si>
    <t>Palasse, Sara</t>
  </si>
  <si>
    <t>Raffi</t>
  </si>
  <si>
    <t>Philips, Liz</t>
  </si>
  <si>
    <t>Olmstead, Kalie</t>
  </si>
  <si>
    <t>Quaghebeur, Roberta</t>
  </si>
  <si>
    <t>Martin, Amelie</t>
  </si>
  <si>
    <t>Senecal, Lucien</t>
  </si>
  <si>
    <t>Myth</t>
  </si>
  <si>
    <t>Casselman, Pam</t>
  </si>
  <si>
    <t>Schmidt</t>
  </si>
  <si>
    <t>Irish Wolfhound</t>
  </si>
  <si>
    <t>Bradley, Wenda</t>
  </si>
  <si>
    <t>Zinc</t>
  </si>
  <si>
    <t>Orr, Sandra</t>
  </si>
  <si>
    <t>Finlay</t>
  </si>
  <si>
    <t>McGowan, Isobel</t>
  </si>
  <si>
    <t>Rey</t>
  </si>
  <si>
    <t>Joncas, Johane</t>
  </si>
  <si>
    <t>Expo</t>
  </si>
  <si>
    <t>Fleming, Dawn</t>
  </si>
  <si>
    <t>Teva</t>
  </si>
  <si>
    <t>Hawkins</t>
  </si>
  <si>
    <t>Aetius</t>
  </si>
  <si>
    <t>Davis, Gilbert</t>
  </si>
  <si>
    <t>Bryn</t>
  </si>
  <si>
    <t>Long, Kim</t>
  </si>
  <si>
    <t>Nikki Rose</t>
  </si>
  <si>
    <t>Hodgson, Mary Louise</t>
  </si>
  <si>
    <t>Kizmet</t>
  </si>
  <si>
    <t>Gavin</t>
  </si>
  <si>
    <t>Barnett, Susan</t>
  </si>
  <si>
    <t>Jolie</t>
  </si>
  <si>
    <t>Hicks, Carolyn</t>
  </si>
  <si>
    <t>Pearson, Shelby</t>
  </si>
  <si>
    <t>Millar, Linda</t>
  </si>
  <si>
    <t>Red E. Jones</t>
  </si>
  <si>
    <t>Jefferis, Jane</t>
  </si>
  <si>
    <t>Eli Jones</t>
  </si>
  <si>
    <t>Munchie</t>
  </si>
  <si>
    <t>Sprenkels, Melissa</t>
  </si>
  <si>
    <t>Rage</t>
  </si>
  <si>
    <t>Prairie Rose</t>
  </si>
  <si>
    <t>Mitchell, Anita</t>
  </si>
  <si>
    <t>Sloan</t>
  </si>
  <si>
    <t>Kyra</t>
  </si>
  <si>
    <t>ROQUE</t>
  </si>
  <si>
    <t>Stewart, Tammy</t>
  </si>
  <si>
    <t>Budd, Thomas</t>
  </si>
  <si>
    <t>Zawada, Jan</t>
  </si>
  <si>
    <t>Zina</t>
  </si>
  <si>
    <t>Black Russian Terrier</t>
  </si>
  <si>
    <t>Garbes, Anna</t>
  </si>
  <si>
    <t>Tavin</t>
  </si>
  <si>
    <t>Brooker, Gabriela</t>
  </si>
  <si>
    <t>Pinot</t>
  </si>
  <si>
    <t>Tighe, Jessica</t>
  </si>
  <si>
    <t>McGee, Esther</t>
  </si>
  <si>
    <t>Dog Nbr</t>
  </si>
  <si>
    <t>Call Name</t>
  </si>
  <si>
    <t>Hebert, Sandra</t>
  </si>
  <si>
    <t>Vienneau, C</t>
  </si>
  <si>
    <t>Domi</t>
  </si>
  <si>
    <t>Laurin, Janis</t>
  </si>
  <si>
    <t>Stewart, Fiona</t>
  </si>
  <si>
    <t>Petty</t>
  </si>
  <si>
    <t>Haberl, Maxine</t>
  </si>
  <si>
    <t>Hennie</t>
  </si>
  <si>
    <t>Sellon, Ashley</t>
  </si>
  <si>
    <t>Spud</t>
  </si>
  <si>
    <t>McInnis, Julia</t>
  </si>
  <si>
    <t>Watts, Robynn</t>
  </si>
  <si>
    <t>Potter, Shirley</t>
  </si>
  <si>
    <t>Embers</t>
  </si>
  <si>
    <t>Olnick, Virginia</t>
  </si>
  <si>
    <t>Henry</t>
  </si>
  <si>
    <t>Mayeda, Carol</t>
  </si>
  <si>
    <t>Magick</t>
  </si>
  <si>
    <t>Baldur</t>
  </si>
  <si>
    <t>Workman, Rhonda</t>
  </si>
  <si>
    <t>Clark, Valorie</t>
  </si>
  <si>
    <t>Paxton</t>
  </si>
  <si>
    <t>Lhasa Apso</t>
  </si>
  <si>
    <t>Dase, Tracy</t>
  </si>
  <si>
    <t>Blanco, Audrey</t>
  </si>
  <si>
    <t>Twig</t>
  </si>
  <si>
    <t>Affi, Lisa</t>
  </si>
  <si>
    <t>Valle</t>
  </si>
  <si>
    <t>Bates, Kimberly A</t>
  </si>
  <si>
    <t>Syn</t>
  </si>
  <si>
    <t>Ailsby, Sue</t>
  </si>
  <si>
    <t>Serra</t>
  </si>
  <si>
    <t>Sieben, Donna</t>
  </si>
  <si>
    <t>Ruger</t>
  </si>
  <si>
    <t>Bennefield, Lacie</t>
  </si>
  <si>
    <t>Kindle</t>
  </si>
  <si>
    <t>Satori</t>
  </si>
  <si>
    <t>Cucinelli, Giuliana</t>
  </si>
  <si>
    <t>Joya</t>
  </si>
  <si>
    <t>Valor</t>
  </si>
  <si>
    <t>Champagne, Tamara</t>
  </si>
  <si>
    <t>Chip</t>
  </si>
  <si>
    <t>Keno</t>
  </si>
  <si>
    <t>Hartviksen, Millie</t>
  </si>
  <si>
    <t>Lancelot</t>
  </si>
  <si>
    <t>Gaboury, Julie</t>
  </si>
  <si>
    <t>Pixie</t>
  </si>
  <si>
    <t>Liloo</t>
  </si>
  <si>
    <t>Lapointe, Sylvie</t>
  </si>
  <si>
    <t>Hamilton, Cori</t>
  </si>
  <si>
    <t>Archer</t>
  </si>
  <si>
    <t>Finn</t>
  </si>
  <si>
    <t>Dunlop, Lesley</t>
  </si>
  <si>
    <t>Erhardt, Cliff</t>
  </si>
  <si>
    <t>Bayleigh</t>
  </si>
  <si>
    <t>Hubbard, Michelle</t>
  </si>
  <si>
    <t>Ashworth, Megan</t>
  </si>
  <si>
    <t>Cuff, Marilyn</t>
  </si>
  <si>
    <t>Furoy, Riley</t>
  </si>
  <si>
    <t>Rosborough, Sharon</t>
  </si>
  <si>
    <t>Missy Elliott</t>
  </si>
  <si>
    <t>Wright, Julie</t>
  </si>
  <si>
    <t>Portie</t>
  </si>
  <si>
    <t>Gustafson, Vicki</t>
  </si>
  <si>
    <t>Bishop-Smith, Jennifer</t>
  </si>
  <si>
    <t>Fowler, Colleen</t>
  </si>
  <si>
    <t>Kora</t>
  </si>
  <si>
    <t>Varty, Anna</t>
  </si>
  <si>
    <t>Whitehead, Michelle</t>
  </si>
  <si>
    <t>Krystal</t>
  </si>
  <si>
    <t>DaCosta, Debby</t>
  </si>
  <si>
    <t>Pynk</t>
  </si>
  <si>
    <t>P2</t>
  </si>
  <si>
    <t>Fleming, Lynn</t>
  </si>
  <si>
    <t>Kit Katt</t>
  </si>
  <si>
    <t>Coffen Rudolph, Wendy</t>
  </si>
  <si>
    <t>Reykur</t>
  </si>
  <si>
    <t>Iceland Sheepdog</t>
  </si>
  <si>
    <t>Voss, Linda</t>
  </si>
  <si>
    <t>Date</t>
  </si>
  <si>
    <t>(All)</t>
  </si>
  <si>
    <t>The tables on the left are pivot tables.  To update them select any cell in the table, right-click and hit "Refresh".  Use this option as frequently as you like.  To select a particular level only use the pull-down option in Row-2</t>
  </si>
  <si>
    <t>Moxxi</t>
  </si>
  <si>
    <t>Valdron, Jason</t>
  </si>
  <si>
    <t>Butler, Maureen</t>
  </si>
  <si>
    <t>Scottie</t>
  </si>
  <si>
    <t>Wilcox, Paul</t>
  </si>
  <si>
    <t>Derp!</t>
  </si>
  <si>
    <t>Farseer Sinister Style</t>
  </si>
  <si>
    <t>Zena</t>
  </si>
  <si>
    <t>MacDonald, Nancy</t>
  </si>
  <si>
    <t>Quattro</t>
  </si>
  <si>
    <t>Singh, Anitra</t>
  </si>
  <si>
    <t>Wilde, Magdalena</t>
  </si>
  <si>
    <t>Ash</t>
  </si>
  <si>
    <t>McCuaig, Jolene</t>
  </si>
  <si>
    <t>Kort</t>
  </si>
  <si>
    <t>Belfry, Susan</t>
  </si>
  <si>
    <t>Juskow, Brenda</t>
  </si>
  <si>
    <t>Snap</t>
  </si>
  <si>
    <t>Haven</t>
  </si>
  <si>
    <t>Rosco</t>
  </si>
  <si>
    <t>Ho, Trina</t>
  </si>
  <si>
    <t>Davies, Kim</t>
  </si>
  <si>
    <t>Adie</t>
  </si>
  <si>
    <t>Donovan, Andrea</t>
  </si>
  <si>
    <t>Zedd</t>
  </si>
  <si>
    <t>Bee</t>
  </si>
  <si>
    <t>Evans, Michelle</t>
  </si>
  <si>
    <t>Alpine</t>
  </si>
  <si>
    <t>Marcantonio, Jena</t>
  </si>
  <si>
    <t>Noble, Tania</t>
  </si>
  <si>
    <t>Mila</t>
  </si>
  <si>
    <t>Tait, Zach</t>
  </si>
  <si>
    <t>Porter</t>
  </si>
  <si>
    <t>Chalmers, Jill</t>
  </si>
  <si>
    <t>Millie</t>
  </si>
  <si>
    <t>Morgen, Jennifer</t>
  </si>
  <si>
    <t>Gibbs</t>
  </si>
  <si>
    <t>Neil, Nellie</t>
  </si>
  <si>
    <t>Flare</t>
  </si>
  <si>
    <t>Hamilton, Maureen</t>
  </si>
  <si>
    <t>Girouard, Carole-Anne</t>
  </si>
  <si>
    <t>Sprite</t>
  </si>
  <si>
    <t>Vellenoweth, Tera</t>
  </si>
  <si>
    <t>Stormy</t>
  </si>
  <si>
    <t>Beardmore, Tannis</t>
  </si>
  <si>
    <t>Haarlen</t>
  </si>
  <si>
    <t>Cook, Lilian</t>
  </si>
  <si>
    <t>Cloutier, Sylvie</t>
  </si>
  <si>
    <t>Woodrow, Bridget</t>
  </si>
  <si>
    <t>River Tam</t>
  </si>
  <si>
    <t>Jada</t>
  </si>
  <si>
    <t>Breton, Nathalie</t>
  </si>
  <si>
    <t>Nawa</t>
  </si>
  <si>
    <t>paterson, barbara</t>
  </si>
  <si>
    <t>W</t>
  </si>
  <si>
    <t>Chown, Kathy</t>
  </si>
  <si>
    <t>Kizr</t>
  </si>
  <si>
    <t>Albright, Heather</t>
  </si>
  <si>
    <t>Chester</t>
  </si>
  <si>
    <t>Bailey, Kelly</t>
  </si>
  <si>
    <t>Tana</t>
  </si>
  <si>
    <t>Cox, Myrna</t>
  </si>
  <si>
    <t>Tica</t>
  </si>
  <si>
    <t>Cooke, Ashael</t>
  </si>
  <si>
    <t>Kit Kat</t>
  </si>
  <si>
    <t>Switch</t>
  </si>
  <si>
    <t>Dunsdon, Kim</t>
  </si>
  <si>
    <t>Hubble</t>
  </si>
  <si>
    <t>ISAAC, LINDSAY</t>
  </si>
  <si>
    <t>Oracle</t>
  </si>
  <si>
    <t>Rilla</t>
  </si>
  <si>
    <t>Smethurst, Susan</t>
  </si>
  <si>
    <t>Graeme</t>
  </si>
  <si>
    <t>Swarbreck, Vivienne</t>
  </si>
  <si>
    <t>Chiasson, Denise</t>
  </si>
  <si>
    <t>Jazz</t>
  </si>
  <si>
    <t>SabineBaird, Elaine</t>
  </si>
  <si>
    <t>Sammi</t>
  </si>
  <si>
    <t>Williams, Marina</t>
  </si>
  <si>
    <t>Smith, Nancy</t>
  </si>
  <si>
    <t>Challenger</t>
  </si>
  <si>
    <t>Smith, Lynda</t>
  </si>
  <si>
    <t>Pass or Fail</t>
  </si>
  <si>
    <t>LblNo</t>
  </si>
  <si>
    <t>Zora</t>
  </si>
  <si>
    <t>Kelly, Kelly</t>
  </si>
  <si>
    <t>Baribault, Elizabeth</t>
  </si>
  <si>
    <t>Brock</t>
  </si>
  <si>
    <t>Korac, Mary</t>
  </si>
  <si>
    <t>Cherry</t>
  </si>
  <si>
    <t>Pettigrew, Brenda</t>
  </si>
  <si>
    <t>Lucie</t>
  </si>
  <si>
    <t>Williams, Allison</t>
  </si>
  <si>
    <t>Belka</t>
  </si>
  <si>
    <t>Van Bilsen, Yvette</t>
  </si>
  <si>
    <t>Sisal</t>
  </si>
  <si>
    <t>Kirvan, Sharon</t>
  </si>
  <si>
    <t>Dandie Dinmont Terrier</t>
  </si>
  <si>
    <t>Blary, Mayumi</t>
  </si>
  <si>
    <t>Weltz, Lori</t>
  </si>
  <si>
    <t>Baci</t>
  </si>
  <si>
    <t>Howie</t>
  </si>
  <si>
    <t>Anthony, Kelly</t>
  </si>
  <si>
    <t>Taboo</t>
  </si>
  <si>
    <t>Ryan, Kate</t>
  </si>
  <si>
    <t>Remme, Christine</t>
  </si>
  <si>
    <t>ObiWan</t>
  </si>
  <si>
    <t>Giroux, Isabelle</t>
  </si>
  <si>
    <t>Commander RIker</t>
  </si>
  <si>
    <t>Werre, Renee</t>
  </si>
  <si>
    <t>Lewis, Krista</t>
  </si>
  <si>
    <t>Dyna</t>
  </si>
  <si>
    <t>Lake, Mike</t>
  </si>
  <si>
    <t>McCallum, Peggy</t>
  </si>
  <si>
    <t>Lewis, Nicole</t>
  </si>
  <si>
    <t>Twist</t>
  </si>
  <si>
    <t>Patricia, Robertson</t>
  </si>
  <si>
    <t>Sparks, Amy</t>
  </si>
  <si>
    <t>Allan, Donna</t>
  </si>
  <si>
    <t>Crozier-McGeough, Kerri</t>
  </si>
  <si>
    <t>Zzzeplin</t>
  </si>
  <si>
    <t>Stryker</t>
  </si>
  <si>
    <t>Small Munsterlander</t>
  </si>
  <si>
    <t>Jorgensen, Linda</t>
  </si>
  <si>
    <t>Zeek</t>
  </si>
  <si>
    <t>Hatchman, Richard</t>
  </si>
  <si>
    <t>Teeft, Doug</t>
  </si>
  <si>
    <t>Dyer, Paul</t>
  </si>
  <si>
    <t>Stepanis, Pando</t>
  </si>
  <si>
    <t>Contact ID</t>
  </si>
  <si>
    <t>Katnick, Cheryl</t>
  </si>
  <si>
    <t>Faith</t>
  </si>
  <si>
    <t>Maltby, Catherine</t>
  </si>
  <si>
    <t>Johnston, Kathy</t>
  </si>
  <si>
    <t>Bart</t>
  </si>
  <si>
    <t>DTango</t>
  </si>
  <si>
    <t>O'Doherty, Kimberley</t>
  </si>
  <si>
    <t>Tor</t>
  </si>
  <si>
    <t>Lewis, Susan</t>
  </si>
  <si>
    <t>JayBird</t>
  </si>
  <si>
    <t>Power, Anne</t>
  </si>
  <si>
    <t>Fuller, Jane</t>
  </si>
  <si>
    <t>Raina</t>
  </si>
  <si>
    <t>Schofield, Krista</t>
  </si>
  <si>
    <t>Glencross, Laurie</t>
  </si>
  <si>
    <t>Chaz</t>
  </si>
  <si>
    <t>ROMY</t>
  </si>
  <si>
    <t>Dionne, Suzanne</t>
  </si>
  <si>
    <t>STELLA</t>
  </si>
  <si>
    <t>Bonzeye</t>
  </si>
  <si>
    <t>atkinson, chantelle</t>
  </si>
  <si>
    <t>Einstein</t>
  </si>
  <si>
    <t>Leote, Dennis</t>
  </si>
  <si>
    <t>Cassi</t>
  </si>
  <si>
    <t>Banks, Michelle</t>
  </si>
  <si>
    <t>Tabata</t>
  </si>
  <si>
    <t>Paradis, Louise</t>
  </si>
  <si>
    <t>Helgren, Jenny</t>
  </si>
  <si>
    <t>Demi</t>
  </si>
  <si>
    <t>Waines, Teressa (Terry)</t>
  </si>
  <si>
    <t>Gabby</t>
  </si>
  <si>
    <t>Boisvert, Diane</t>
  </si>
  <si>
    <t>Aïden</t>
  </si>
  <si>
    <t>Cari</t>
  </si>
  <si>
    <t>Valois, Teresa</t>
  </si>
  <si>
    <t>Liebli</t>
  </si>
  <si>
    <t>Brew</t>
  </si>
  <si>
    <t>Boyce, Kristine</t>
  </si>
  <si>
    <t>Olga</t>
  </si>
  <si>
    <t>Desrosiers, Noémie</t>
  </si>
  <si>
    <t>Dudi</t>
  </si>
  <si>
    <t>Pansy</t>
  </si>
  <si>
    <t>Neuer</t>
  </si>
  <si>
    <t>Karamishev, Daria</t>
  </si>
  <si>
    <t>ELLIOT</t>
  </si>
  <si>
    <t>Coconnier, Gaelle</t>
  </si>
  <si>
    <t>Derby</t>
  </si>
  <si>
    <t>Buxton, Lynne</t>
  </si>
  <si>
    <t>scrJudge</t>
  </si>
  <si>
    <t>Bugsy</t>
  </si>
  <si>
    <t>Gagné, Louise</t>
  </si>
  <si>
    <t>Wheeldon, Carmen</t>
  </si>
  <si>
    <t>Spanish Water Dog</t>
  </si>
  <si>
    <t>Welsh Terrier</t>
  </si>
  <si>
    <t>Spaniel (Clumber)</t>
  </si>
  <si>
    <t>Retriever (Curly-Coated)</t>
  </si>
  <si>
    <t>Spaniel (French)</t>
  </si>
  <si>
    <t>Devon</t>
  </si>
  <si>
    <t>Kyp</t>
  </si>
  <si>
    <t>Fisher, Helle</t>
  </si>
  <si>
    <t>Hotte, Melanie</t>
  </si>
  <si>
    <t>Meeko</t>
  </si>
  <si>
    <t>Sullivan, Christina</t>
  </si>
  <si>
    <t>McBride, Leah</t>
  </si>
  <si>
    <t>Eppa</t>
  </si>
  <si>
    <t>McNeil, Kenntin</t>
  </si>
  <si>
    <t>Luca</t>
  </si>
  <si>
    <t>Bridges, Ruth</t>
  </si>
  <si>
    <t>Bodhi</t>
  </si>
  <si>
    <t>Tibetan Spaniel</t>
  </si>
  <si>
    <t>Henn, Diane</t>
  </si>
  <si>
    <t>Rundle</t>
  </si>
  <si>
    <t>Tollefson, Kim</t>
  </si>
  <si>
    <t>Dorscheid, Shari</t>
  </si>
  <si>
    <t>Dimler, Julie</t>
  </si>
  <si>
    <t>Haida</t>
  </si>
  <si>
    <t>Redden, Janice</t>
  </si>
  <si>
    <t>Wynn</t>
  </si>
  <si>
    <t>April, Susan</t>
  </si>
  <si>
    <t>Hazelwood, Lisa</t>
  </si>
  <si>
    <t>Boyce, Dolores</t>
  </si>
  <si>
    <t>Moe</t>
  </si>
  <si>
    <t>Leclerc, Carole</t>
  </si>
  <si>
    <t>Chagnon, Marie-Shell</t>
  </si>
  <si>
    <t>Teaka</t>
  </si>
  <si>
    <t>Thai Ridgeback</t>
  </si>
  <si>
    <t>Spartan</t>
  </si>
  <si>
    <t>Miller, Dani</t>
  </si>
  <si>
    <t>Pike</t>
  </si>
  <si>
    <t>Segriff, Tina</t>
  </si>
  <si>
    <t>ARYA</t>
  </si>
  <si>
    <t>ESMÉ</t>
  </si>
  <si>
    <t>Chaput, Fran</t>
  </si>
  <si>
    <t>Jarvis</t>
  </si>
  <si>
    <t>Taylor, Lauren</t>
  </si>
  <si>
    <t>Freyja</t>
  </si>
  <si>
    <t>Fado</t>
  </si>
  <si>
    <t>Roy, Christiane</t>
  </si>
  <si>
    <t>Rudi</t>
  </si>
  <si>
    <t>Mullins, Susan</t>
  </si>
  <si>
    <t>Vucko</t>
  </si>
  <si>
    <t>Fazlic, Brandy-Lee</t>
  </si>
  <si>
    <t>MoMo</t>
  </si>
  <si>
    <t>Korkush, Terri</t>
  </si>
  <si>
    <t>Boychuk, Kylie</t>
  </si>
  <si>
    <t>McMichael, Meredith</t>
  </si>
  <si>
    <t>Schmidthiesler, Patti</t>
  </si>
  <si>
    <t>Lariat</t>
  </si>
  <si>
    <t>Farrell, Judy</t>
  </si>
  <si>
    <t>Givernee</t>
  </si>
  <si>
    <t>Teague</t>
  </si>
  <si>
    <t>Meggitt, Crystal</t>
  </si>
  <si>
    <t>Lowchen</t>
  </si>
  <si>
    <t>Ellie-Mae</t>
  </si>
  <si>
    <t>Purcell, Sue</t>
  </si>
  <si>
    <t>Galiwoda, Mark</t>
  </si>
  <si>
    <t>DEMON</t>
  </si>
  <si>
    <t>Hersey, Cecilia</t>
  </si>
  <si>
    <t>Azzaro</t>
  </si>
  <si>
    <t>Busse, Sandra</t>
  </si>
  <si>
    <t>Wixalbrown, Debbie</t>
  </si>
  <si>
    <t>Wilcox, Cheryl</t>
  </si>
  <si>
    <t>Cormier, Monique</t>
  </si>
  <si>
    <t>Riley, Dianne</t>
  </si>
  <si>
    <t>Transmantiner, Eva</t>
  </si>
  <si>
    <t>Wessel, Jamie</t>
  </si>
  <si>
    <t>SiFi</t>
  </si>
  <si>
    <t>Voll, Jess</t>
  </si>
  <si>
    <t>Circus</t>
  </si>
  <si>
    <t>Fischer, May</t>
  </si>
  <si>
    <t>Samwise</t>
  </si>
  <si>
    <t>Lloyd, Brenda</t>
  </si>
  <si>
    <t>Zakowski, Linda</t>
  </si>
  <si>
    <t>Cardinal, Kim</t>
  </si>
  <si>
    <t>Eiloart, Gillian</t>
  </si>
  <si>
    <t>Chimko, Darla</t>
  </si>
  <si>
    <t>Forest</t>
  </si>
  <si>
    <t>Devison, Cassia</t>
  </si>
  <si>
    <t>Whimsy</t>
  </si>
  <si>
    <t>Raymo, Christine</t>
  </si>
  <si>
    <t>Gwynnie</t>
  </si>
  <si>
    <t>Roy, Rebecca</t>
  </si>
  <si>
    <t>Rollheiser, Patty</t>
  </si>
  <si>
    <t>Hey Jude</t>
  </si>
  <si>
    <t>Chow, Sydney</t>
  </si>
  <si>
    <t>Nikkel, Joanne</t>
  </si>
  <si>
    <t>Zydeco</t>
  </si>
  <si>
    <t>Vickers, Michelle</t>
  </si>
  <si>
    <t>Chief</t>
  </si>
  <si>
    <t>Pozsgai, Raven</t>
  </si>
  <si>
    <t>dgSDDA_DogNumber</t>
  </si>
  <si>
    <t>Bebop</t>
  </si>
  <si>
    <t>Arwyn</t>
  </si>
  <si>
    <t>Vixen</t>
  </si>
  <si>
    <t>Mario</t>
  </si>
  <si>
    <t>Desjardins, Linda</t>
  </si>
  <si>
    <t>Webber, Gayle</t>
  </si>
  <si>
    <t>Rathje, Debbie</t>
  </si>
  <si>
    <t>Sunni</t>
  </si>
  <si>
    <t>CHEGUIS, JUDY</t>
  </si>
  <si>
    <t>Couperthwaite, Breanne</t>
  </si>
  <si>
    <t>Keva</t>
  </si>
  <si>
    <t>Burke, Sharon</t>
  </si>
  <si>
    <t>Jem</t>
  </si>
  <si>
    <t>Rusk, Krista</t>
  </si>
  <si>
    <t>Webber, Mayannda</t>
  </si>
  <si>
    <t>Guimond, Cicy</t>
  </si>
  <si>
    <t>Juby, Susan</t>
  </si>
  <si>
    <t>Snow, Shana</t>
  </si>
  <si>
    <t>Parent, Johanne</t>
  </si>
  <si>
    <t>Gitane</t>
  </si>
  <si>
    <t>Tardif, Roger</t>
  </si>
  <si>
    <t>Hero</t>
  </si>
  <si>
    <t>Van, Melissa</t>
  </si>
  <si>
    <t>Venue</t>
  </si>
  <si>
    <t>Venue:</t>
  </si>
  <si>
    <t>Ambeau- Clarkson, Danielle</t>
  </si>
  <si>
    <t>Daxx</t>
  </si>
  <si>
    <t>Vida</t>
  </si>
  <si>
    <t>Cutting, Rebecca</t>
  </si>
  <si>
    <t>L_DogId</t>
  </si>
  <si>
    <t>L_Score</t>
  </si>
  <si>
    <t>Bueller</t>
  </si>
  <si>
    <t>Vickers, Dawn</t>
  </si>
  <si>
    <t>Sheldon</t>
  </si>
  <si>
    <t>Leisz, Stefany</t>
  </si>
  <si>
    <t>Comet</t>
  </si>
  <si>
    <t>Hef</t>
  </si>
  <si>
    <t>Chisel</t>
  </si>
  <si>
    <t>Cairns, Sean</t>
  </si>
  <si>
    <t>Reuben</t>
  </si>
  <si>
    <t>Martorano, Ricky</t>
  </si>
  <si>
    <t>Jiffy</t>
  </si>
  <si>
    <t>Donohue, Jane</t>
  </si>
  <si>
    <t>Jive</t>
  </si>
  <si>
    <t>van Klaveren, Linda</t>
  </si>
  <si>
    <t>Richardson, Ron</t>
  </si>
  <si>
    <t>Clea</t>
  </si>
  <si>
    <t>holton, Leuther</t>
  </si>
  <si>
    <t>Kaya</t>
  </si>
  <si>
    <t>Vaincourt, Michael</t>
  </si>
  <si>
    <t>Pederson, Carla</t>
  </si>
  <si>
    <t>The summaries will be shaded when there are still scores to be entered.</t>
  </si>
  <si>
    <t>Ishiguro, Sonya</t>
  </si>
  <si>
    <t>Champions - please complete this section.  It helps your SDDA data and certificates teams.</t>
  </si>
  <si>
    <t>Veillette, Francis</t>
  </si>
  <si>
    <t>Tiearne</t>
  </si>
  <si>
    <t>Gough, Dinah</t>
  </si>
  <si>
    <t>Colburn, Mickey</t>
  </si>
  <si>
    <t>lyric</t>
  </si>
  <si>
    <t>Davies, Toni</t>
  </si>
  <si>
    <t>Bosso</t>
  </si>
  <si>
    <t>WICCA</t>
  </si>
  <si>
    <t>Moote, Kelly</t>
  </si>
  <si>
    <t>Benny Brooks</t>
  </si>
  <si>
    <t>Brooks, Adele</t>
  </si>
  <si>
    <t>Clever</t>
  </si>
  <si>
    <t>Grieveson, Laura</t>
  </si>
  <si>
    <t>Bond</t>
  </si>
  <si>
    <t>Towriss-Smith, Moira</t>
  </si>
  <si>
    <t>Zumi</t>
  </si>
  <si>
    <t>Barnes, Amie</t>
  </si>
  <si>
    <t>Thomas</t>
  </si>
  <si>
    <t>Ward, Barbara D</t>
  </si>
  <si>
    <t>Dachshund (Miniature Wire-Haired)</t>
  </si>
  <si>
    <t>Dressler, Jennifer</t>
  </si>
  <si>
    <t>poker</t>
  </si>
  <si>
    <t>messier, martine</t>
  </si>
  <si>
    <t>yogy</t>
  </si>
  <si>
    <t>deRonde, Patricia</t>
  </si>
  <si>
    <t>Pitre, Kaitlin</t>
  </si>
  <si>
    <t>Quincy Jones</t>
  </si>
  <si>
    <t>Sunny</t>
  </si>
  <si>
    <t>Kerr, Heather</t>
  </si>
  <si>
    <t>BOBBY</t>
  </si>
  <si>
    <t>LeBlanc-Scott, Renelle</t>
  </si>
  <si>
    <t>Elee Vom Foxfield</t>
  </si>
  <si>
    <t>Rossignol, Suzanne</t>
  </si>
  <si>
    <t>Cami</t>
  </si>
  <si>
    <t>Blackman, Jennifer</t>
  </si>
  <si>
    <t>Etoile</t>
  </si>
  <si>
    <t>Josie</t>
  </si>
  <si>
    <t>Blurr</t>
  </si>
  <si>
    <t>Laird</t>
  </si>
  <si>
    <t>Schulze, Maureen</t>
  </si>
  <si>
    <t>Smith, Sandra</t>
  </si>
  <si>
    <t>Denali</t>
  </si>
  <si>
    <t>Appenzeller Sennenhund</t>
  </si>
  <si>
    <t>STEVIE</t>
  </si>
  <si>
    <t>Dog#</t>
  </si>
  <si>
    <t>Speed</t>
  </si>
  <si>
    <t>Team</t>
  </si>
  <si>
    <t>Aerial</t>
  </si>
  <si>
    <t>Distance</t>
  </si>
  <si>
    <t>BRD</t>
  </si>
  <si>
    <t>OWN</t>
  </si>
  <si>
    <t>Data</t>
  </si>
  <si>
    <t>NME</t>
  </si>
  <si>
    <t>Games - Aerial</t>
  </si>
  <si>
    <t>Games - Distance</t>
  </si>
  <si>
    <t>Games - Speed</t>
  </si>
  <si>
    <t>Games - Team</t>
  </si>
  <si>
    <t>Champ</t>
  </si>
  <si>
    <t>SDDA Fee per Search - Str/Adv/Exc/Games</t>
  </si>
  <si>
    <t>Judges Fee per search - Str/Adv/Exc/Elite</t>
  </si>
  <si>
    <t>Judges Fee per search - FEO/Games</t>
  </si>
  <si>
    <t>Day</t>
  </si>
  <si>
    <t>Started Container</t>
  </si>
  <si>
    <t>Started Interior</t>
  </si>
  <si>
    <t>Started Exterior</t>
  </si>
  <si>
    <t>Advanced Container</t>
  </si>
  <si>
    <t>Advanced Interior</t>
  </si>
  <si>
    <t>Advanced Exterior</t>
  </si>
  <si>
    <t>Excellent Container</t>
  </si>
  <si>
    <t>Excellent Interior</t>
  </si>
  <si>
    <t>Excellent Exterior</t>
  </si>
  <si>
    <t>Elite Container</t>
  </si>
  <si>
    <t>Elite Interior</t>
  </si>
  <si>
    <t>Elite Exterior</t>
  </si>
  <si>
    <t>Judging Fee</t>
  </si>
  <si>
    <t>Sdda Fees</t>
  </si>
  <si>
    <t>Prev Qs Aerial D1</t>
  </si>
  <si>
    <t>Pass / Fail Aerial D1</t>
  </si>
  <si>
    <t>Total Qs Aerial D1</t>
  </si>
  <si>
    <t>Judge Aerial D1</t>
  </si>
  <si>
    <t>Prev Qs Distance D1</t>
  </si>
  <si>
    <t>Pass / Fail Distance D1</t>
  </si>
  <si>
    <t>Total Qs Distance D1</t>
  </si>
  <si>
    <t>Judge Speed D1</t>
  </si>
  <si>
    <t>Prev Qs Speed D1</t>
  </si>
  <si>
    <t>Pass / Fail Speed D1</t>
  </si>
  <si>
    <t>Total Qs Speed D1</t>
  </si>
  <si>
    <t>Judge Team D1</t>
  </si>
  <si>
    <t>Prev Qs Team D1</t>
  </si>
  <si>
    <t>Pass / Fail Team D1</t>
  </si>
  <si>
    <t>Total Qs Team D1</t>
  </si>
  <si>
    <t>Number of Games D1</t>
  </si>
  <si>
    <t>Number of FEOs D1</t>
  </si>
  <si>
    <t>Total Entry Fees D1</t>
  </si>
  <si>
    <t>Total SDDA Fees D1</t>
  </si>
  <si>
    <t>Total Judges Fees D1</t>
  </si>
  <si>
    <t>Aerial Run Ordr D1</t>
  </si>
  <si>
    <t>Distance Run Ordr D1</t>
  </si>
  <si>
    <t>Speed Run Ordr D1</t>
  </si>
  <si>
    <t>Team Run Ordr D1</t>
  </si>
  <si>
    <t>Judge Aerial D2</t>
  </si>
  <si>
    <t>Judge Distance D1</t>
  </si>
  <si>
    <t>Judge Distance D2</t>
  </si>
  <si>
    <t>Prev Qs Aerial D2</t>
  </si>
  <si>
    <t>Pass / Fail Aerial D2</t>
  </si>
  <si>
    <t>Aerial Run Ordr D2</t>
  </si>
  <si>
    <t>Total Qs Aerial D2</t>
  </si>
  <si>
    <t>Prev Qs Distance D2</t>
  </si>
  <si>
    <t>Pass / Fail Distance D2</t>
  </si>
  <si>
    <t>Distance Run Ordr D2</t>
  </si>
  <si>
    <t>Total Qs Distance D2</t>
  </si>
  <si>
    <t>Judge Speed D2</t>
  </si>
  <si>
    <t>Prev Qs Speed D2</t>
  </si>
  <si>
    <t>Pass / Fail Speed D2</t>
  </si>
  <si>
    <t>Speed Run Ordr D2</t>
  </si>
  <si>
    <t>Total Qs Speed D2</t>
  </si>
  <si>
    <t>Judge Team D2</t>
  </si>
  <si>
    <t>Prev Qs Team D2</t>
  </si>
  <si>
    <t>Pass / Fail Team D2</t>
  </si>
  <si>
    <t>Team Run Ordr D2</t>
  </si>
  <si>
    <t>Total Qs Team D2</t>
  </si>
  <si>
    <t>Number of Games D2</t>
  </si>
  <si>
    <t>Number of FEOs D2</t>
  </si>
  <si>
    <t>Total Entry Fees D2</t>
  </si>
  <si>
    <t>Total Judges Fees D2</t>
  </si>
  <si>
    <t xml:space="preserve">Judge Aerial </t>
  </si>
  <si>
    <t xml:space="preserve">Prev Qs Aerial </t>
  </si>
  <si>
    <t xml:space="preserve">Pass / Fail Aerial </t>
  </si>
  <si>
    <t xml:space="preserve">Aerial Run Ordr </t>
  </si>
  <si>
    <t xml:space="preserve">Total Qs Aerial </t>
  </si>
  <si>
    <t xml:space="preserve">Judge Distance </t>
  </si>
  <si>
    <t xml:space="preserve">Prev Qs Distance </t>
  </si>
  <si>
    <t xml:space="preserve">Pass / Fail Distance </t>
  </si>
  <si>
    <t xml:space="preserve">Distance Run Ordr </t>
  </si>
  <si>
    <t xml:space="preserve">Total Qs Distance </t>
  </si>
  <si>
    <t xml:space="preserve">Judge Speed </t>
  </si>
  <si>
    <t xml:space="preserve">Prev Qs Speed </t>
  </si>
  <si>
    <t xml:space="preserve">Pass / Fail Speed </t>
  </si>
  <si>
    <t xml:space="preserve">Speed Run Ordr </t>
  </si>
  <si>
    <t xml:space="preserve">Total Qs Speed </t>
  </si>
  <si>
    <t xml:space="preserve">Judge Team </t>
  </si>
  <si>
    <t xml:space="preserve">Prev Qs Team </t>
  </si>
  <si>
    <t xml:space="preserve">Pass / Fail Team </t>
  </si>
  <si>
    <t xml:space="preserve">Team Run Ordr </t>
  </si>
  <si>
    <t xml:space="preserve">Total Qs Team </t>
  </si>
  <si>
    <t xml:space="preserve">Number of Games </t>
  </si>
  <si>
    <t xml:space="preserve">Number of FEOs </t>
  </si>
  <si>
    <t xml:space="preserve">Total Entry Fees </t>
  </si>
  <si>
    <t xml:space="preserve">Total SDDA Fees </t>
  </si>
  <si>
    <t xml:space="preserve">Total Judges Fees </t>
  </si>
  <si>
    <t>SDDA Games Day 2</t>
  </si>
  <si>
    <t>SDDA Games Day 1</t>
  </si>
  <si>
    <t>Day1</t>
  </si>
  <si>
    <t>Day2</t>
  </si>
  <si>
    <t>Dog D2</t>
  </si>
  <si>
    <t>Dog D1</t>
  </si>
  <si>
    <t>Call Name D1</t>
  </si>
  <si>
    <t>Breed D1</t>
  </si>
  <si>
    <t>Owner/Handler D1</t>
  </si>
  <si>
    <t>Email Address D1</t>
  </si>
  <si>
    <t>Ln D1</t>
  </si>
  <si>
    <t>Ln D2</t>
  </si>
  <si>
    <t>Call Name D2</t>
  </si>
  <si>
    <t>Breed D2</t>
  </si>
  <si>
    <t>Owner/Handler D2</t>
  </si>
  <si>
    <t>Email Address D2</t>
  </si>
  <si>
    <t>RO#</t>
  </si>
  <si>
    <t>Select RO Type</t>
  </si>
  <si>
    <t>RO D1</t>
  </si>
  <si>
    <t>RO D2</t>
  </si>
  <si>
    <t>Entry Fee per Search - Games Aerial</t>
  </si>
  <si>
    <t>Entry Fee per Search - Games Distance</t>
  </si>
  <si>
    <t>Entry Fee per Search - Games Speed</t>
  </si>
  <si>
    <t>Entry Fee per Search - Started</t>
  </si>
  <si>
    <t>Entry Fee per Search - Advanced</t>
  </si>
  <si>
    <t>Entry Fee per Search - Excellent</t>
  </si>
  <si>
    <t>Entry Fee per Search - S/A/E (FEO)</t>
  </si>
  <si>
    <t>Entry Fee per Search - Games (FEO)</t>
  </si>
  <si>
    <t xml:space="preserve"> $-   </t>
  </si>
  <si>
    <r>
      <t xml:space="preserve">Entry Fee per </t>
    </r>
    <r>
      <rPr>
        <b/>
        <sz val="11"/>
        <color rgb="FFFF0000"/>
        <rFont val="Calibri"/>
        <family val="2"/>
        <scheme val="minor"/>
      </rPr>
      <t>Team</t>
    </r>
    <r>
      <rPr>
        <sz val="11"/>
        <color theme="1"/>
        <rFont val="Calibri"/>
        <family val="2"/>
        <scheme val="minor"/>
      </rPr>
      <t xml:space="preserve"> - Games Team</t>
    </r>
  </si>
  <si>
    <r>
      <t xml:space="preserve">Entry Fee per </t>
    </r>
    <r>
      <rPr>
        <b/>
        <i/>
        <sz val="11"/>
        <color rgb="FFFF0000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- Elite (FEO)</t>
    </r>
  </si>
  <si>
    <r>
      <t xml:space="preserve">Entry Fee per </t>
    </r>
    <r>
      <rPr>
        <b/>
        <i/>
        <sz val="11"/>
        <color rgb="FFFF0000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- Elite</t>
    </r>
  </si>
  <si>
    <t>ID</t>
  </si>
  <si>
    <t>Judges and Runs Summary for Games</t>
  </si>
  <si>
    <t>Games Aerial</t>
  </si>
  <si>
    <t>GA</t>
  </si>
  <si>
    <t>GD</t>
  </si>
  <si>
    <t>Games Distance</t>
  </si>
  <si>
    <t>GS</t>
  </si>
  <si>
    <t>Games Speed</t>
  </si>
  <si>
    <t>GT</t>
  </si>
  <si>
    <t>Games Team</t>
  </si>
  <si>
    <t>BELL, ARLEIGH</t>
  </si>
  <si>
    <t>Petryshyn, Cheryl</t>
  </si>
  <si>
    <t>Hawkeye</t>
  </si>
  <si>
    <t>Sharpe, Jane</t>
  </si>
  <si>
    <t>Nitro</t>
  </si>
  <si>
    <t>Michaud, Carrie</t>
  </si>
  <si>
    <t>Coristine, Susan</t>
  </si>
  <si>
    <t>McAllister, April</t>
  </si>
  <si>
    <t>Fritzel</t>
  </si>
  <si>
    <t>Aegon</t>
  </si>
  <si>
    <t>Seidlitz, Dane</t>
  </si>
  <si>
    <t>Tonic</t>
  </si>
  <si>
    <t>McEwen, Michelle</t>
  </si>
  <si>
    <t>Merlot</t>
  </si>
  <si>
    <t>Paulson, Marion</t>
  </si>
  <si>
    <t>Bremen</t>
  </si>
  <si>
    <t>White, Peggy</t>
  </si>
  <si>
    <t>Maggie Mae</t>
  </si>
  <si>
    <t>Johnston, Trudi</t>
  </si>
  <si>
    <t>Podkopaeva, Alla</t>
  </si>
  <si>
    <t>Maddigan, Debra</t>
  </si>
  <si>
    <t>Cashew</t>
  </si>
  <si>
    <t>Straw, Valerie</t>
  </si>
  <si>
    <t>Michell, Serena</t>
  </si>
  <si>
    <t>Porsha</t>
  </si>
  <si>
    <t>Freeman, Kate</t>
  </si>
  <si>
    <t>Games</t>
  </si>
  <si>
    <t>owen, fern</t>
  </si>
  <si>
    <t>Tremblay, Émie</t>
  </si>
  <si>
    <t>Alexander, Heather</t>
  </si>
  <si>
    <t>Ronan</t>
  </si>
  <si>
    <t>Dunlop, Shelley</t>
  </si>
  <si>
    <t>Capone</t>
  </si>
  <si>
    <t>Waters, Melissa</t>
  </si>
  <si>
    <t>Crunch</t>
  </si>
  <si>
    <t>Dawson</t>
  </si>
  <si>
    <t>Ellert, Kathy</t>
  </si>
  <si>
    <t>Simpson, Fiona</t>
  </si>
  <si>
    <t>Beckett</t>
  </si>
  <si>
    <t>Johnson, Deborah</t>
  </si>
  <si>
    <t>Hellyer Gibson, Shannon</t>
  </si>
  <si>
    <t>Brite</t>
  </si>
  <si>
    <t>Laing, Meghan</t>
  </si>
  <si>
    <t>Brave</t>
  </si>
  <si>
    <t>Kaine</t>
  </si>
  <si>
    <t>Locke, Danielle</t>
  </si>
  <si>
    <t>Widget</t>
  </si>
  <si>
    <t>Kinaï</t>
  </si>
  <si>
    <t>Ada</t>
  </si>
  <si>
    <t>ogden, glen</t>
  </si>
  <si>
    <t>Sandy</t>
  </si>
  <si>
    <t>golling, cindy</t>
  </si>
  <si>
    <t>Gambit</t>
  </si>
  <si>
    <t>Stalker, Leanne</t>
  </si>
  <si>
    <t>Cella</t>
  </si>
  <si>
    <t>Fleck</t>
  </si>
  <si>
    <t>Anya</t>
  </si>
  <si>
    <t>Blu</t>
  </si>
  <si>
    <t>Tali</t>
  </si>
  <si>
    <t>Dufour, Suzie</t>
  </si>
  <si>
    <t>Arwen</t>
  </si>
  <si>
    <t>Trudy</t>
  </si>
  <si>
    <t>Robbie</t>
  </si>
  <si>
    <t>Reef</t>
  </si>
  <si>
    <t>Wilson, Ann</t>
  </si>
  <si>
    <t>Naeda</t>
  </si>
  <si>
    <t>Fisher, Rhonda</t>
  </si>
  <si>
    <t>Prophet</t>
  </si>
  <si>
    <t>bennie</t>
  </si>
  <si>
    <t>Coonhound (Black &amp; Tan)</t>
  </si>
  <si>
    <t>Amy</t>
  </si>
  <si>
    <t>Speller, Doug</t>
  </si>
  <si>
    <t>Kos, Stephanie</t>
  </si>
  <si>
    <t>Mirra</t>
  </si>
  <si>
    <t>Ringo</t>
  </si>
  <si>
    <t>Ho, Nicole</t>
  </si>
  <si>
    <t>Janet</t>
  </si>
  <si>
    <t>1094-QGA</t>
  </si>
  <si>
    <t>1094-QGD</t>
  </si>
  <si>
    <t>1158-QGA</t>
  </si>
  <si>
    <t>1158-QGD</t>
  </si>
  <si>
    <t>1212-QGS</t>
  </si>
  <si>
    <t>1334-QGD</t>
  </si>
  <si>
    <t>1334-QGT</t>
  </si>
  <si>
    <t>1349-QGA</t>
  </si>
  <si>
    <t>1502-QGA</t>
  </si>
  <si>
    <t>1502-QGD</t>
  </si>
  <si>
    <t>1502-QGS</t>
  </si>
  <si>
    <t>1720-QGD</t>
  </si>
  <si>
    <t>1839-QGD</t>
  </si>
  <si>
    <t>1858-QGD</t>
  </si>
  <si>
    <t>246-QGD</t>
  </si>
  <si>
    <t>960-QGD</t>
  </si>
  <si>
    <t>960-QGS</t>
  </si>
  <si>
    <t>960-QGT</t>
  </si>
  <si>
    <t>Miller, Ruth</t>
  </si>
  <si>
    <t>Brock, Catherine</t>
  </si>
  <si>
    <t>Buchart, Jennifer</t>
  </si>
  <si>
    <t>Wolfie</t>
  </si>
  <si>
    <t>Clune, Owen</t>
  </si>
  <si>
    <t>Midna</t>
  </si>
  <si>
    <t>Atkinson, Amy</t>
  </si>
  <si>
    <t>Michka</t>
  </si>
  <si>
    <t>Lord, Mary</t>
  </si>
  <si>
    <t>Havoc</t>
  </si>
  <si>
    <t>Chapman, Erin</t>
  </si>
  <si>
    <t>Beere, Shirley</t>
  </si>
  <si>
    <t>Burns, Tracey</t>
  </si>
  <si>
    <t>Cowboy</t>
  </si>
  <si>
    <t>Mazikeen</t>
  </si>
  <si>
    <t>Tyrion</t>
  </si>
  <si>
    <t>Sia</t>
  </si>
  <si>
    <t>Moody, Josee</t>
  </si>
  <si>
    <t>Flash</t>
  </si>
  <si>
    <t>Kottelenberg, Natasha</t>
  </si>
  <si>
    <t>Forget, Carole</t>
  </si>
  <si>
    <t>Landovskis, Kerry</t>
  </si>
  <si>
    <t>Cairo</t>
  </si>
  <si>
    <t>Mackie</t>
  </si>
  <si>
    <t>Perk</t>
  </si>
  <si>
    <t>Brook</t>
  </si>
  <si>
    <t>helson, shauna</t>
  </si>
  <si>
    <t>Lloyd, Sharyn</t>
  </si>
  <si>
    <t>Frolic</t>
  </si>
  <si>
    <t>Milan</t>
  </si>
  <si>
    <t>Kheely</t>
  </si>
  <si>
    <t>Barrett, Catherine</t>
  </si>
  <si>
    <t>Spaniel (Welsh Springer)</t>
  </si>
  <si>
    <t>Huard, Katie</t>
  </si>
  <si>
    <t>Gilpin, Krista</t>
  </si>
  <si>
    <t>Cora</t>
  </si>
  <si>
    <t>Martin, Megan</t>
  </si>
  <si>
    <t>Nick</t>
  </si>
  <si>
    <t>Taylor, Anne</t>
  </si>
  <si>
    <t>Spree</t>
  </si>
  <si>
    <t>NYAH</t>
  </si>
  <si>
    <t>Clifford, Tina</t>
  </si>
  <si>
    <t>Langen, Lori</t>
  </si>
  <si>
    <t>Anika</t>
  </si>
  <si>
    <t>King, James</t>
  </si>
  <si>
    <t>Sprocket</t>
  </si>
  <si>
    <t>Heaven, Leanne</t>
  </si>
  <si>
    <t>Fiona</t>
  </si>
  <si>
    <t>BACH</t>
  </si>
  <si>
    <t>Sherman</t>
  </si>
  <si>
    <t>Puli</t>
  </si>
  <si>
    <t>Adamson, Holly</t>
  </si>
  <si>
    <t>millar, isabel</t>
  </si>
  <si>
    <t>Kimberley, Lynne</t>
  </si>
  <si>
    <t>Halbach, Kayley</t>
  </si>
  <si>
    <t>Brannagh</t>
  </si>
  <si>
    <t>Davidson, Joanne</t>
  </si>
  <si>
    <t>Hilsen, Rayanne</t>
  </si>
  <si>
    <t>Tatebe, Fran</t>
  </si>
  <si>
    <t>Crusade</t>
  </si>
  <si>
    <t>Vanderheiden, Lisa</t>
  </si>
  <si>
    <t>Spyder</t>
  </si>
  <si>
    <t>Johnson, Mona</t>
  </si>
  <si>
    <t>Fyre</t>
  </si>
  <si>
    <t>Aikenhead, Lynda</t>
  </si>
  <si>
    <t>Falk, Abigail</t>
  </si>
  <si>
    <t>Daigneault, Robin</t>
  </si>
  <si>
    <t>Thor</t>
  </si>
  <si>
    <t>Farley</t>
  </si>
  <si>
    <t>Decoy</t>
  </si>
  <si>
    <t>Berry Bond</t>
  </si>
  <si>
    <t>Marley</t>
  </si>
  <si>
    <t>chase, shelby</t>
  </si>
  <si>
    <t>Roberts, Karen</t>
  </si>
  <si>
    <t>Hunt, Sherene</t>
  </si>
  <si>
    <t>Lavoie, Catherine</t>
  </si>
  <si>
    <t>Vanslyke, caroline</t>
  </si>
  <si>
    <t>Mia</t>
  </si>
  <si>
    <t>Martel, Julie</t>
  </si>
  <si>
    <t>Faryn</t>
  </si>
  <si>
    <t>Walsh, Kerry</t>
  </si>
  <si>
    <t>Neufield, Katherine</t>
  </si>
  <si>
    <t>Truffle</t>
  </si>
  <si>
    <t>Kraminsky, Ellen</t>
  </si>
  <si>
    <t>Sparkle</t>
  </si>
  <si>
    <t>Valkyrie</t>
  </si>
  <si>
    <t>Atlas</t>
  </si>
  <si>
    <t>Shaw, Meghan</t>
  </si>
  <si>
    <t>Addy</t>
  </si>
  <si>
    <t>Armstrong, Denise</t>
  </si>
  <si>
    <t>Pye, Susan</t>
  </si>
  <si>
    <t>Stevens, Susan</t>
  </si>
  <si>
    <t>Aura</t>
  </si>
  <si>
    <t>Kipper, Patti</t>
  </si>
  <si>
    <t>Vogel, Marguerite</t>
  </si>
  <si>
    <t>Rockburn, Diane</t>
  </si>
  <si>
    <t>Goliath</t>
  </si>
  <si>
    <t>Desbiens, Sonia</t>
  </si>
  <si>
    <t>Shooter</t>
  </si>
  <si>
    <t>Gaudreault, Barbara</t>
  </si>
  <si>
    <t>Irwin</t>
  </si>
  <si>
    <t>Australian Stumpy Tail Cattle Dog</t>
  </si>
  <si>
    <t>Crouch, Lorie</t>
  </si>
  <si>
    <t>1099-QGA</t>
  </si>
  <si>
    <t>113-QGA</t>
  </si>
  <si>
    <t>117-QGA</t>
  </si>
  <si>
    <t>117-QGS</t>
  </si>
  <si>
    <t>1805-QGA</t>
  </si>
  <si>
    <t>316-QGA</t>
  </si>
  <si>
    <t>433-QGA</t>
  </si>
  <si>
    <t>52-QGA</t>
  </si>
  <si>
    <t>860-QGA</t>
  </si>
  <si>
    <t>881-QGA</t>
  </si>
  <si>
    <t>Ferguson, Yvonne</t>
  </si>
  <si>
    <t>Golembioski, Gary</t>
  </si>
  <si>
    <t>Scott, Cheryl</t>
  </si>
  <si>
    <t>Morty</t>
  </si>
  <si>
    <t>Raffan, James</t>
  </si>
  <si>
    <t>Nelson, Krista</t>
  </si>
  <si>
    <t>Morrow, Laura</t>
  </si>
  <si>
    <t>Vespa</t>
  </si>
  <si>
    <t>Simms, Kate</t>
  </si>
  <si>
    <t>Wes</t>
  </si>
  <si>
    <t>Gagné, Kéven</t>
  </si>
  <si>
    <t>Sheena</t>
  </si>
  <si>
    <t>Rhaps</t>
  </si>
  <si>
    <t>Bobowsky, Donna</t>
  </si>
  <si>
    <t>Elmo</t>
  </si>
  <si>
    <t>Godin, Kathy</t>
  </si>
  <si>
    <t>Laker</t>
  </si>
  <si>
    <t>Gibson, Shelly</t>
  </si>
  <si>
    <t>Tibi</t>
  </si>
  <si>
    <t>Keddie, Chris</t>
  </si>
  <si>
    <t>London</t>
  </si>
  <si>
    <t>Drake, Kelly</t>
  </si>
  <si>
    <t>Vegas</t>
  </si>
  <si>
    <t>Mayes, Krista</t>
  </si>
  <si>
    <t>Engerdahl, Jamie</t>
  </si>
  <si>
    <t>Rolly</t>
  </si>
  <si>
    <t>Murdock, Emily</t>
  </si>
  <si>
    <t>Crickett</t>
  </si>
  <si>
    <t>Murdock, Emma</t>
  </si>
  <si>
    <t>Pye, Brittany</t>
  </si>
  <si>
    <t>Blossom</t>
  </si>
  <si>
    <t>Walsh, Davine</t>
  </si>
  <si>
    <t>Kaycee</t>
  </si>
  <si>
    <t>Learmouth, James</t>
  </si>
  <si>
    <t>Klaus</t>
  </si>
  <si>
    <t>Riddick, Jason</t>
  </si>
  <si>
    <t>Dia</t>
  </si>
  <si>
    <t>Khaira</t>
  </si>
  <si>
    <t>Hua, Annie</t>
  </si>
  <si>
    <t>Hendrix</t>
  </si>
  <si>
    <t>Owocki, Beverley</t>
  </si>
  <si>
    <t>Paws</t>
  </si>
  <si>
    <t>Gamache, Cindy</t>
  </si>
  <si>
    <t>Aria</t>
  </si>
  <si>
    <t>Bryan, Felicia</t>
  </si>
  <si>
    <t>Sharpe, Samantha</t>
  </si>
  <si>
    <t>Dustyn</t>
  </si>
  <si>
    <t>Halback, Tina</t>
  </si>
  <si>
    <t>Mang, Jennifer</t>
  </si>
  <si>
    <t>Tally</t>
  </si>
  <si>
    <t>Elves, Shannon</t>
  </si>
  <si>
    <t>trudel, bev</t>
  </si>
  <si>
    <t>Schneider, Amy</t>
  </si>
  <si>
    <t>1099-QGD</t>
  </si>
  <si>
    <t>1162-QGA</t>
  </si>
  <si>
    <t>1162-QGS</t>
  </si>
  <si>
    <t>117-QGD</t>
  </si>
  <si>
    <t>117-QGT</t>
  </si>
  <si>
    <t>1227-QGD</t>
  </si>
  <si>
    <t>1241-QGA</t>
  </si>
  <si>
    <t>1241-QGS</t>
  </si>
  <si>
    <t>1500-QGA</t>
  </si>
  <si>
    <t>1503-QGA</t>
  </si>
  <si>
    <t>1503-QGD</t>
  </si>
  <si>
    <t>1541-QGT</t>
  </si>
  <si>
    <t>1721-QGD</t>
  </si>
  <si>
    <t>1749-QGS</t>
  </si>
  <si>
    <t>17-QGD</t>
  </si>
  <si>
    <t>17-QGT</t>
  </si>
  <si>
    <t>18-QGD</t>
  </si>
  <si>
    <t>18-QGT</t>
  </si>
  <si>
    <t>1942-QGA</t>
  </si>
  <si>
    <t>1942-QGS</t>
  </si>
  <si>
    <t>28-QGA</t>
  </si>
  <si>
    <t>323-QGA</t>
  </si>
  <si>
    <t>323-QGD</t>
  </si>
  <si>
    <t>323-QGS</t>
  </si>
  <si>
    <t>323-QGT</t>
  </si>
  <si>
    <t>559-QGA</t>
  </si>
  <si>
    <t>559-QGS</t>
  </si>
  <si>
    <t>616-QGD</t>
  </si>
  <si>
    <t>860-QGD</t>
  </si>
  <si>
    <t>860-QGT</t>
  </si>
  <si>
    <t>881-QGD</t>
  </si>
  <si>
    <t>881-QGS</t>
  </si>
  <si>
    <t>Dharma</t>
  </si>
  <si>
    <t>Charlton, Anne</t>
  </si>
  <si>
    <t>Freya</t>
  </si>
  <si>
    <t>Forsyth, Janet</t>
  </si>
  <si>
    <t>Daegan</t>
  </si>
  <si>
    <t>Howarth, Heather</t>
  </si>
  <si>
    <t>Trilly</t>
  </si>
  <si>
    <t>Maia</t>
  </si>
  <si>
    <t>Charlotte</t>
  </si>
  <si>
    <t>JT</t>
  </si>
  <si>
    <t>1112-QGA</t>
  </si>
  <si>
    <t>1112-QGD</t>
  </si>
  <si>
    <t>1112-QGS</t>
  </si>
  <si>
    <t>1254-QGA</t>
  </si>
  <si>
    <t>1254-QGD</t>
  </si>
  <si>
    <t>1255-QGA</t>
  </si>
  <si>
    <t>1255-QGD</t>
  </si>
  <si>
    <t>1255-QGS</t>
  </si>
  <si>
    <t>1291-QGA</t>
  </si>
  <si>
    <t>1291-QGD</t>
  </si>
  <si>
    <t>1291-QGS</t>
  </si>
  <si>
    <t>1347-QGA</t>
  </si>
  <si>
    <t>1347-QGD</t>
  </si>
  <si>
    <t>1347-QGS</t>
  </si>
  <si>
    <t>1348-QGA</t>
  </si>
  <si>
    <t>1348-QGD</t>
  </si>
  <si>
    <t>1354-QGA</t>
  </si>
  <si>
    <t>1354-QGD</t>
  </si>
  <si>
    <t>1502-QGT</t>
  </si>
  <si>
    <t>1619-QGA</t>
  </si>
  <si>
    <t>1690-QGA</t>
  </si>
  <si>
    <t>1690-QGD</t>
  </si>
  <si>
    <t>1690-QGS</t>
  </si>
  <si>
    <t>1690-QGT</t>
  </si>
  <si>
    <t>1779-QGD</t>
  </si>
  <si>
    <t>1807-QGA</t>
  </si>
  <si>
    <t>1807-QGD</t>
  </si>
  <si>
    <t>1813-QGA</t>
  </si>
  <si>
    <t>1813-QGD</t>
  </si>
  <si>
    <t>1824-QGA</t>
  </si>
  <si>
    <t>1824-QGD</t>
  </si>
  <si>
    <t>1827-QGA</t>
  </si>
  <si>
    <t>1827-QGD</t>
  </si>
  <si>
    <t>1828-QGA</t>
  </si>
  <si>
    <t>1828-QGD</t>
  </si>
  <si>
    <t>862-QGA</t>
  </si>
  <si>
    <t>862-QGD</t>
  </si>
  <si>
    <t>984-QGA</t>
  </si>
  <si>
    <t>984-QGD</t>
  </si>
  <si>
    <t>984-QGS</t>
  </si>
  <si>
    <t>Oatway, Kim</t>
  </si>
  <si>
    <t>1240-QGS</t>
  </si>
  <si>
    <t>1241-QGD</t>
  </si>
  <si>
    <t>1382-QGD</t>
  </si>
  <si>
    <t>1382-QGS</t>
  </si>
  <si>
    <t>1523-QGA</t>
  </si>
  <si>
    <t>1523-QGD</t>
  </si>
  <si>
    <t>1523-QGS</t>
  </si>
  <si>
    <t>1524-QGD</t>
  </si>
  <si>
    <t>1524-QGS</t>
  </si>
  <si>
    <t>1599-QGA</t>
  </si>
  <si>
    <t>1599-QGD</t>
  </si>
  <si>
    <t>1599-QGS</t>
  </si>
  <si>
    <t>1628-QGA</t>
  </si>
  <si>
    <t>1628-QGD</t>
  </si>
  <si>
    <t>1628-QGS</t>
  </si>
  <si>
    <t>1667-QGD</t>
  </si>
  <si>
    <t>1735-QGD</t>
  </si>
  <si>
    <t>1749-QGD</t>
  </si>
  <si>
    <t>17-QGA</t>
  </si>
  <si>
    <t>18-QGA</t>
  </si>
  <si>
    <t>2139-QGA</t>
  </si>
  <si>
    <t>2139-QGD</t>
  </si>
  <si>
    <t>2192-QGD</t>
  </si>
  <si>
    <t>2193-QGD</t>
  </si>
  <si>
    <t>997-QGA</t>
  </si>
  <si>
    <t>997-QGD</t>
  </si>
  <si>
    <t>997-QGS</t>
  </si>
  <si>
    <t>Tate</t>
  </si>
  <si>
    <t>Little Abby</t>
  </si>
  <si>
    <t>Shady</t>
  </si>
  <si>
    <t>Lina</t>
  </si>
  <si>
    <t>Pyroar</t>
  </si>
  <si>
    <t>Speck</t>
  </si>
  <si>
    <t>Maja</t>
  </si>
  <si>
    <t>John Wayne</t>
  </si>
  <si>
    <t>Malté</t>
  </si>
  <si>
    <t>Strut</t>
  </si>
  <si>
    <t>Rook</t>
  </si>
  <si>
    <t>Fate</t>
  </si>
  <si>
    <t>Goro</t>
  </si>
  <si>
    <t>Slater</t>
  </si>
  <si>
    <t>Ned Stark</t>
  </si>
  <si>
    <t>Tris</t>
  </si>
  <si>
    <t>Creidim</t>
  </si>
  <si>
    <t>Katie</t>
  </si>
  <si>
    <t>Jasmine</t>
  </si>
  <si>
    <t>Charli</t>
  </si>
  <si>
    <t>Rynn</t>
  </si>
  <si>
    <t>Colley, JoAnne</t>
  </si>
  <si>
    <t>Bien, Patti</t>
  </si>
  <si>
    <t>Armour, Kate</t>
  </si>
  <si>
    <t>Ackert, Billyjoe</t>
  </si>
  <si>
    <t>Boyes, Karen</t>
  </si>
  <si>
    <t>Boan, Susan</t>
  </si>
  <si>
    <t>DiZazzo, Melanie</t>
  </si>
  <si>
    <t>Cooper, Jaida</t>
  </si>
  <si>
    <t>Fischer, Nancy</t>
  </si>
  <si>
    <t>Gaviller, Cathy</t>
  </si>
  <si>
    <t>Gerzymisch, Sydney</t>
  </si>
  <si>
    <t>Gooderham, Emma</t>
  </si>
  <si>
    <t>Levangie, Andrea</t>
  </si>
  <si>
    <t>Masters, Matt</t>
  </si>
  <si>
    <t>McDonnell, Carrie</t>
  </si>
  <si>
    <t>Merrick, Alison</t>
  </si>
  <si>
    <t>Scott, Jane</t>
  </si>
  <si>
    <t>St-Amant, Janick</t>
  </si>
  <si>
    <t>Sylvester, Dawn</t>
  </si>
  <si>
    <t>Hoskins, Joanna</t>
  </si>
  <si>
    <t>Hoyer, Monika</t>
  </si>
  <si>
    <t>Alexandre, Matthew</t>
  </si>
  <si>
    <t>Asada, Yukiko</t>
  </si>
  <si>
    <t>Barker, Lendra</t>
  </si>
  <si>
    <t>Bennett, Karen</t>
  </si>
  <si>
    <t>Caughlin, Lynda</t>
  </si>
  <si>
    <t>Chipman, Veronica</t>
  </si>
  <si>
    <t>Dunfield, Stanley</t>
  </si>
  <si>
    <t>Jussero, Ann</t>
  </si>
  <si>
    <t>MacDonald, Deborah</t>
  </si>
  <si>
    <t>Mofford, C</t>
  </si>
  <si>
    <t>Murray, Tracy</t>
  </si>
  <si>
    <t>Oterholm, Eden</t>
  </si>
  <si>
    <t>Peters, Monica</t>
  </si>
  <si>
    <t>Schaefer, Allison</t>
  </si>
  <si>
    <t>Sommerfeld, Sandy</t>
  </si>
  <si>
    <t>Statz, Creig</t>
  </si>
  <si>
    <t>1605-QGA</t>
  </si>
  <si>
    <t>2156-QGD</t>
  </si>
  <si>
    <t>2167-QGA</t>
  </si>
  <si>
    <t>575-QGD</t>
  </si>
  <si>
    <t>585-QGD</t>
  </si>
  <si>
    <t>Schnauzer (Giant)</t>
  </si>
  <si>
    <t>1064-QGS</t>
  </si>
  <si>
    <t>1067-QGS</t>
  </si>
  <si>
    <t>1476-QGS</t>
  </si>
  <si>
    <t>1498-QGS</t>
  </si>
  <si>
    <t>1699-QGS</t>
  </si>
  <si>
    <t>282-QGS</t>
  </si>
  <si>
    <t>283-QGS</t>
  </si>
  <si>
    <t>416-QGS</t>
  </si>
  <si>
    <t>478-QGS</t>
  </si>
  <si>
    <t>Yoda</t>
  </si>
  <si>
    <t>Xoloitzcuintli (Toy)</t>
  </si>
  <si>
    <t>Langen, David</t>
  </si>
  <si>
    <t>goulet, Isabelle</t>
  </si>
  <si>
    <t>Erskine, Ali</t>
  </si>
  <si>
    <t>Fionn</t>
  </si>
  <si>
    <t>Bastet, Valerie</t>
  </si>
  <si>
    <t>Thumlert, Brent</t>
  </si>
  <si>
    <t>Sparrow</t>
  </si>
  <si>
    <t>Leman, Karen</t>
  </si>
  <si>
    <t>ZARIA</t>
  </si>
  <si>
    <t>Parsons, Lisa</t>
  </si>
  <si>
    <t>Condrey, Cherry</t>
  </si>
  <si>
    <t>Brown, Jeanine</t>
  </si>
  <si>
    <t>Corky</t>
  </si>
  <si>
    <t>Robinson, Janet</t>
  </si>
  <si>
    <t>Keltie</t>
  </si>
  <si>
    <t>Odin</t>
  </si>
  <si>
    <t>Stromvik, Mats</t>
  </si>
  <si>
    <t>Kit</t>
  </si>
  <si>
    <t>Oberg, Michelle</t>
  </si>
  <si>
    <t>Jackson, alison</t>
  </si>
  <si>
    <t>Bonnie</t>
  </si>
  <si>
    <t>Clair, Marie-Michelle</t>
  </si>
  <si>
    <t>Roy, June</t>
  </si>
  <si>
    <t>Stevens, Dave</t>
  </si>
  <si>
    <t>Quill</t>
  </si>
  <si>
    <t>Troeigh</t>
  </si>
  <si>
    <t>Tanaka, Jill</t>
  </si>
  <si>
    <t>Cohl</t>
  </si>
  <si>
    <t>Herle, Carolyn</t>
  </si>
  <si>
    <t>Van Meenen, Carolyn</t>
  </si>
  <si>
    <t>Dunn, Lauren</t>
  </si>
  <si>
    <t>Tia</t>
  </si>
  <si>
    <t>Stickle, Rhonda</t>
  </si>
  <si>
    <t>Jewel</t>
  </si>
  <si>
    <t>Station, Melanie</t>
  </si>
  <si>
    <t>Pride</t>
  </si>
  <si>
    <t>Meyers, Daryl</t>
  </si>
  <si>
    <t>Agnes</t>
  </si>
  <si>
    <t>Williams, Linda</t>
  </si>
  <si>
    <t>Hoffarth, Pat</t>
  </si>
  <si>
    <t>Daky</t>
  </si>
  <si>
    <t>Krumpochova, Pav</t>
  </si>
  <si>
    <t>Schuur, TracyAnn</t>
  </si>
  <si>
    <t>Goncalves, Melissa</t>
  </si>
  <si>
    <t>1064-QGA</t>
  </si>
  <si>
    <t>1064-QGD</t>
  </si>
  <si>
    <t>1064-QGT</t>
  </si>
  <si>
    <t>1067-QGA</t>
  </si>
  <si>
    <t>1067-QGD</t>
  </si>
  <si>
    <t>1067-QGT</t>
  </si>
  <si>
    <t>1118-QGA</t>
  </si>
  <si>
    <t>1118-QGD</t>
  </si>
  <si>
    <t>1185-QGA</t>
  </si>
  <si>
    <t>1185-QGD</t>
  </si>
  <si>
    <t>1228-QGD</t>
  </si>
  <si>
    <t>1423-QGA</t>
  </si>
  <si>
    <t>1423-QGD</t>
  </si>
  <si>
    <t>1454-QGD</t>
  </si>
  <si>
    <t>1474-QGA</t>
  </si>
  <si>
    <t>1474-QGD</t>
  </si>
  <si>
    <t>1499-QGA</t>
  </si>
  <si>
    <t>1499-QGD</t>
  </si>
  <si>
    <t>1499-QGS</t>
  </si>
  <si>
    <t>1499-QGT</t>
  </si>
  <si>
    <t>1542-QGA</t>
  </si>
  <si>
    <t>1542-QGD</t>
  </si>
  <si>
    <t>1542-QGT</t>
  </si>
  <si>
    <t>1620-QGA</t>
  </si>
  <si>
    <t>1620-QGD</t>
  </si>
  <si>
    <t>1699-QGA</t>
  </si>
  <si>
    <t>1699-QGD</t>
  </si>
  <si>
    <t>1699-QGT</t>
  </si>
  <si>
    <t>1722-QGA</t>
  </si>
  <si>
    <t>1722-QGT</t>
  </si>
  <si>
    <t>1933-QGA</t>
  </si>
  <si>
    <t>1933-QGD</t>
  </si>
  <si>
    <t>1933-QGS</t>
  </si>
  <si>
    <t>1955-QGA</t>
  </si>
  <si>
    <t>212-QGD</t>
  </si>
  <si>
    <t>2189-QGT</t>
  </si>
  <si>
    <t>221-QGA</t>
  </si>
  <si>
    <t>221-QGD</t>
  </si>
  <si>
    <t>221-QGT</t>
  </si>
  <si>
    <t>228-QGD</t>
  </si>
  <si>
    <t>2294-QGT</t>
  </si>
  <si>
    <t>2319-QGT</t>
  </si>
  <si>
    <t>2323-QGA</t>
  </si>
  <si>
    <t>2323-QGD</t>
  </si>
  <si>
    <t>2323-QGT</t>
  </si>
  <si>
    <t>304-QGA</t>
  </si>
  <si>
    <t>304-QGD</t>
  </si>
  <si>
    <t>304-QGS</t>
  </si>
  <si>
    <t>304-QGT</t>
  </si>
  <si>
    <t>316-QGD</t>
  </si>
  <si>
    <t>345-QGA</t>
  </si>
  <si>
    <t>345-QGD</t>
  </si>
  <si>
    <t>345-QGT</t>
  </si>
  <si>
    <t>416-QGA</t>
  </si>
  <si>
    <t>416-QGD</t>
  </si>
  <si>
    <t>416-QGT</t>
  </si>
  <si>
    <t>433-QGD</t>
  </si>
  <si>
    <t>433-QGT</t>
  </si>
  <si>
    <t>52-QGD</t>
  </si>
  <si>
    <t>547-QGD</t>
  </si>
  <si>
    <t>547-QGS</t>
  </si>
  <si>
    <t>742-QGA</t>
  </si>
  <si>
    <t>742-QGD</t>
  </si>
  <si>
    <t>742-QGT</t>
  </si>
  <si>
    <t>Powder</t>
  </si>
  <si>
    <t>Abygaelle</t>
  </si>
  <si>
    <t>Perreault, Maryse</t>
  </si>
  <si>
    <t>Pirie, Mike</t>
  </si>
  <si>
    <t>1132-QGD</t>
  </si>
  <si>
    <t>1132-QGT</t>
  </si>
  <si>
    <t>1626-QGT</t>
  </si>
  <si>
    <t>1783-QGD</t>
  </si>
  <si>
    <t>1911-QGA</t>
  </si>
  <si>
    <t>2002-QGD</t>
  </si>
  <si>
    <t>1135-QGD</t>
  </si>
  <si>
    <t>1135-QGS</t>
  </si>
  <si>
    <t>1135-QGT</t>
  </si>
  <si>
    <t>1225-QGD</t>
  </si>
  <si>
    <t>1225-QGS</t>
  </si>
  <si>
    <t>1225-QGT</t>
  </si>
  <si>
    <t>1262-QGA</t>
  </si>
  <si>
    <t>1262-QGD</t>
  </si>
  <si>
    <t>1262-QGS</t>
  </si>
  <si>
    <t>1498-QGA</t>
  </si>
  <si>
    <t>1498-QGD</t>
  </si>
  <si>
    <t>1498-QGT</t>
  </si>
  <si>
    <t>1566-QGD</t>
  </si>
  <si>
    <t>1566-QGS</t>
  </si>
  <si>
    <t>1566-QGT</t>
  </si>
  <si>
    <t>1710-QGA</t>
  </si>
  <si>
    <t>1710-QGD</t>
  </si>
  <si>
    <t>1710-QGS</t>
  </si>
  <si>
    <t>1754-QGA</t>
  </si>
  <si>
    <t>1754-QGD</t>
  </si>
  <si>
    <t>1754-QGS</t>
  </si>
  <si>
    <t>1754-QGT</t>
  </si>
  <si>
    <t>1936-QGA</t>
  </si>
  <si>
    <t>1936-QGS</t>
  </si>
  <si>
    <t>2382-QGA</t>
  </si>
  <si>
    <t>2382-QGD</t>
  </si>
  <si>
    <t>2400-QGS</t>
  </si>
  <si>
    <t>282-QGD</t>
  </si>
  <si>
    <t>282-QGT</t>
  </si>
  <si>
    <t>283-QGA</t>
  </si>
  <si>
    <t>283-QGD</t>
  </si>
  <si>
    <t>283-QGT</t>
  </si>
  <si>
    <t>450-QGD</t>
  </si>
  <si>
    <t>450-QGS</t>
  </si>
  <si>
    <t>Fees payable to SDDA</t>
  </si>
  <si>
    <t>Hansen, Kathryn</t>
  </si>
  <si>
    <t>Bennu</t>
  </si>
  <si>
    <t>Johnny</t>
  </si>
  <si>
    <t>Henker, Patti</t>
  </si>
  <si>
    <t>Lowe, Peggy</t>
  </si>
  <si>
    <t>Hahn, Tracy Y</t>
  </si>
  <si>
    <t>Blumberga, Una</t>
  </si>
  <si>
    <t>Kornelson, PRISCILLA</t>
  </si>
  <si>
    <t>Elias</t>
  </si>
  <si>
    <t>Emilie</t>
  </si>
  <si>
    <t>Mason, Fran</t>
  </si>
  <si>
    <t>Sophia</t>
  </si>
  <si>
    <t>Caldwell, Andrea</t>
  </si>
  <si>
    <t>Evie</t>
  </si>
  <si>
    <t>Aero</t>
  </si>
  <si>
    <t>1143-QGA</t>
  </si>
  <si>
    <t>1143-QGT</t>
  </si>
  <si>
    <t>1178-QGA</t>
  </si>
  <si>
    <t>1178-QGD</t>
  </si>
  <si>
    <t>1207-QGA</t>
  </si>
  <si>
    <t>1232-QGA</t>
  </si>
  <si>
    <t>1240-QGA</t>
  </si>
  <si>
    <t>1240-QGD</t>
  </si>
  <si>
    <t>1240-QGT</t>
  </si>
  <si>
    <t>1241-QGT</t>
  </si>
  <si>
    <t>1334-QGA</t>
  </si>
  <si>
    <t>1579-QGA</t>
  </si>
  <si>
    <t>1579-QGD</t>
  </si>
  <si>
    <t>1858-QGS</t>
  </si>
  <si>
    <t>18-QGS</t>
  </si>
  <si>
    <t>1978-QGA</t>
  </si>
  <si>
    <t>1978-QGD</t>
  </si>
  <si>
    <t>1978-QGS</t>
  </si>
  <si>
    <t>1978-QGT</t>
  </si>
  <si>
    <t>2192-QGA</t>
  </si>
  <si>
    <t>2340-QGD</t>
  </si>
  <si>
    <t>604-QGA</t>
  </si>
  <si>
    <t>604-QGD</t>
  </si>
  <si>
    <t>663-QGA</t>
  </si>
  <si>
    <t>964-QGA</t>
  </si>
  <si>
    <t>964-QGD</t>
  </si>
  <si>
    <t>964-QGS</t>
  </si>
  <si>
    <t>964-QGT</t>
  </si>
  <si>
    <t>Rennie, Tammy</t>
  </si>
  <si>
    <t>Van Meenen, Martin</t>
  </si>
  <si>
    <t>Bryden, Catherine</t>
  </si>
  <si>
    <t>Minnie Violet</t>
  </si>
  <si>
    <t>Chouchou</t>
  </si>
  <si>
    <t>Mclaughlin, Dorothy</t>
  </si>
  <si>
    <t>Groft, Jeniffer</t>
  </si>
  <si>
    <t>Ruel, Nicole</t>
  </si>
  <si>
    <t>Orton, Emily</t>
  </si>
  <si>
    <t>1291-QGT</t>
  </si>
  <si>
    <t>1348-QGT</t>
  </si>
  <si>
    <t>1354-QGS</t>
  </si>
  <si>
    <t>1354-QGT</t>
  </si>
  <si>
    <t>1779-QGA</t>
  </si>
  <si>
    <t>1779-QGS</t>
  </si>
  <si>
    <t>1779-QGT</t>
  </si>
  <si>
    <t>2238-QGA</t>
  </si>
  <si>
    <t>2238-QGD</t>
  </si>
  <si>
    <t>2238-QGS</t>
  </si>
  <si>
    <t>2340-QGA</t>
  </si>
  <si>
    <t>2484-QGS</t>
  </si>
  <si>
    <t>2536-QGA</t>
  </si>
  <si>
    <t>2606-QGD</t>
  </si>
  <si>
    <t>Nickel</t>
  </si>
  <si>
    <t>Spekat, Siobhain</t>
  </si>
  <si>
    <t>Béka</t>
  </si>
  <si>
    <t>Bélanger, Isabelle</t>
  </si>
  <si>
    <t>1207-QGD</t>
  </si>
  <si>
    <t>1208-QGD</t>
  </si>
  <si>
    <t>1243-QGD</t>
  </si>
  <si>
    <t>1243-QGS</t>
  </si>
  <si>
    <t>1244-QGD</t>
  </si>
  <si>
    <t>1254-QGT</t>
  </si>
  <si>
    <t>1260-QGD</t>
  </si>
  <si>
    <t>1288-QGD</t>
  </si>
  <si>
    <t>1374-QGD</t>
  </si>
  <si>
    <t>1451-QGA</t>
  </si>
  <si>
    <t>1451-QGD</t>
  </si>
  <si>
    <t>1477-QGA</t>
  </si>
  <si>
    <t>1477-QGD</t>
  </si>
  <si>
    <t>1478-QGA</t>
  </si>
  <si>
    <t>1478-QGD</t>
  </si>
  <si>
    <t>1478-QGS</t>
  </si>
  <si>
    <t>1586-QGD</t>
  </si>
  <si>
    <t>1605-QGD</t>
  </si>
  <si>
    <t>1605-QGS</t>
  </si>
  <si>
    <t>1619-QGS</t>
  </si>
  <si>
    <t>1777-QGD</t>
  </si>
  <si>
    <t>1875-QGA</t>
  </si>
  <si>
    <t>2185-QGA</t>
  </si>
  <si>
    <t>2185-QGD</t>
  </si>
  <si>
    <t>2187-QGD</t>
  </si>
  <si>
    <t>251-QGA</t>
  </si>
  <si>
    <t>251-QGD</t>
  </si>
  <si>
    <t>314-QGA</t>
  </si>
  <si>
    <t>314-QGD</t>
  </si>
  <si>
    <t>575-QGA</t>
  </si>
  <si>
    <t>585-QGS</t>
  </si>
  <si>
    <t>862-QGS</t>
  </si>
  <si>
    <t>960-QGA</t>
  </si>
  <si>
    <t>Poe</t>
  </si>
  <si>
    <t>Friesen, Stephanie</t>
  </si>
  <si>
    <t>Troy, Jo-Ann</t>
  </si>
  <si>
    <t>Ponder</t>
  </si>
  <si>
    <t>Beaulieu, Loretta</t>
  </si>
  <si>
    <t>Isla</t>
  </si>
  <si>
    <t>Reid, Lorna</t>
  </si>
  <si>
    <t>Jinks</t>
  </si>
  <si>
    <t>Muzzatti, Kelly</t>
  </si>
  <si>
    <t>Lucca</t>
  </si>
  <si>
    <t>Edna</t>
  </si>
  <si>
    <t>Desjardins, Shannon</t>
  </si>
  <si>
    <t>Kobi</t>
  </si>
  <si>
    <t>Dezi</t>
  </si>
  <si>
    <t>Regnier, Denice</t>
  </si>
  <si>
    <t>Patti</t>
  </si>
  <si>
    <t>Rogalla, Jackie</t>
  </si>
  <si>
    <t>Rohtt</t>
  </si>
  <si>
    <t>Kumor, Krzysztof</t>
  </si>
  <si>
    <t>Ring, Barb</t>
  </si>
  <si>
    <t>Neeka</t>
  </si>
  <si>
    <t>Walsh, Dan</t>
  </si>
  <si>
    <t>Konrad, Rosanne</t>
  </si>
  <si>
    <t>Pauls, Tansy</t>
  </si>
  <si>
    <t>Riddick</t>
  </si>
  <si>
    <t>Poluck, Amanda</t>
  </si>
  <si>
    <t>Iszie</t>
  </si>
  <si>
    <t>Miner, Kathy</t>
  </si>
  <si>
    <t>Kihei</t>
  </si>
  <si>
    <t>Brien-Racine, Maryse</t>
  </si>
  <si>
    <t>1055-QGA</t>
  </si>
  <si>
    <t>1055-QGD</t>
  </si>
  <si>
    <t>113-QGS</t>
  </si>
  <si>
    <t>1161-QGA</t>
  </si>
  <si>
    <t>1161-QGD</t>
  </si>
  <si>
    <t>1382-QGA</t>
  </si>
  <si>
    <t>1503-QGS</t>
  </si>
  <si>
    <t>1541-QGA</t>
  </si>
  <si>
    <t>1541-QGD</t>
  </si>
  <si>
    <t>1599-QGT</t>
  </si>
  <si>
    <t>1675-QGA</t>
  </si>
  <si>
    <t>1675-QGD</t>
  </si>
  <si>
    <t>1729-QGS</t>
  </si>
  <si>
    <t>1890-QGA</t>
  </si>
  <si>
    <t>1890-QGD</t>
  </si>
  <si>
    <t>1890-QGS</t>
  </si>
  <si>
    <t>1951-QGS</t>
  </si>
  <si>
    <t>1952-QGD</t>
  </si>
  <si>
    <t>1973-QGA</t>
  </si>
  <si>
    <t>2139-QGS</t>
  </si>
  <si>
    <t>2192-QGT</t>
  </si>
  <si>
    <t>2194-QGS</t>
  </si>
  <si>
    <t>2380-QGD</t>
  </si>
  <si>
    <t>340-QGA</t>
  </si>
  <si>
    <t>340-QGD</t>
  </si>
  <si>
    <t>340-QGS</t>
  </si>
  <si>
    <t>468-QGA</t>
  </si>
  <si>
    <t>547-QGA</t>
  </si>
  <si>
    <t>60-QGA</t>
  </si>
  <si>
    <t>60-QGD</t>
  </si>
  <si>
    <t>Sedgwick, Marlene</t>
  </si>
  <si>
    <t>D'Arty</t>
  </si>
  <si>
    <t>Jewels</t>
  </si>
  <si>
    <t>Page, Ashley</t>
  </si>
  <si>
    <t>Devlyn</t>
  </si>
  <si>
    <t>Blackburn, Carol</t>
  </si>
  <si>
    <t>Halle</t>
  </si>
  <si>
    <t>Cassidy</t>
  </si>
  <si>
    <t>Blackwood, Leah</t>
  </si>
  <si>
    <t>Loup</t>
  </si>
  <si>
    <t>Dombroski, Paige</t>
  </si>
  <si>
    <t>Cameron, Leslie</t>
  </si>
  <si>
    <t>Sherman, Kristie</t>
  </si>
  <si>
    <t>Fraser</t>
  </si>
  <si>
    <t>Dickson, Ellynne</t>
  </si>
  <si>
    <t>Jardine, Nicole</t>
  </si>
  <si>
    <t>Zoomer</t>
  </si>
  <si>
    <t>MARTIN, SHANNON</t>
  </si>
  <si>
    <t>Cyna</t>
  </si>
  <si>
    <t>Anguish, Lasha</t>
  </si>
  <si>
    <t>Onzo</t>
  </si>
  <si>
    <t>Rooster</t>
  </si>
  <si>
    <t>Knight, Kelly</t>
  </si>
  <si>
    <t>Rogina, Barbara</t>
  </si>
  <si>
    <t>Taco</t>
  </si>
  <si>
    <t>Sampson, Aaron</t>
  </si>
  <si>
    <t>Emmitt</t>
  </si>
  <si>
    <t>BERTRAND, Leah</t>
  </si>
  <si>
    <t>Bean</t>
  </si>
  <si>
    <t>forbes, Shellie</t>
  </si>
  <si>
    <t>Riessa</t>
  </si>
  <si>
    <t>Hamilton, Mavis</t>
  </si>
  <si>
    <t>1000-QGS</t>
  </si>
  <si>
    <t>1000-QGT</t>
  </si>
  <si>
    <t>1001-QGS</t>
  </si>
  <si>
    <t>1001-QGT</t>
  </si>
  <si>
    <t>1086-QGA</t>
  </si>
  <si>
    <t>1086-QGD</t>
  </si>
  <si>
    <t>1086-QGS</t>
  </si>
  <si>
    <t>1135-QGA</t>
  </si>
  <si>
    <t>1227-QGA</t>
  </si>
  <si>
    <t>1227-QGS</t>
  </si>
  <si>
    <t>1263-QGA</t>
  </si>
  <si>
    <t>1263-QGD</t>
  </si>
  <si>
    <t>1263-QGT</t>
  </si>
  <si>
    <t>1265-QGS</t>
  </si>
  <si>
    <t>1266-QGA</t>
  </si>
  <si>
    <t>1269-QGD</t>
  </si>
  <si>
    <t>1280-QGD</t>
  </si>
  <si>
    <t>1281-QGS</t>
  </si>
  <si>
    <t>1321-QGD</t>
  </si>
  <si>
    <t>1423-QGS</t>
  </si>
  <si>
    <t>1437-QGS</t>
  </si>
  <si>
    <t>1454-QGA</t>
  </si>
  <si>
    <t>1454-QGS</t>
  </si>
  <si>
    <t>147-QGA</t>
  </si>
  <si>
    <t>147-QGD</t>
  </si>
  <si>
    <t>147-QGS</t>
  </si>
  <si>
    <t>1542-QGS</t>
  </si>
  <si>
    <t>1619-QGD</t>
  </si>
  <si>
    <t>1702-QGS</t>
  </si>
  <si>
    <t>1715-QGA</t>
  </si>
  <si>
    <t>1715-QGS</t>
  </si>
  <si>
    <t>1722-QGS</t>
  </si>
  <si>
    <t>1730-QGA</t>
  </si>
  <si>
    <t>1730-QGD</t>
  </si>
  <si>
    <t>1730-QGS</t>
  </si>
  <si>
    <t>1828-QGS</t>
  </si>
  <si>
    <t>2196-QGD</t>
  </si>
  <si>
    <t>221-QGS</t>
  </si>
  <si>
    <t>2234-QGA</t>
  </si>
  <si>
    <t>2234-QGS</t>
  </si>
  <si>
    <t>2321-QGA</t>
  </si>
  <si>
    <t>2321-QGD</t>
  </si>
  <si>
    <t>2429-QGA</t>
  </si>
  <si>
    <t>2429-QGS</t>
  </si>
  <si>
    <t>2457-QGA</t>
  </si>
  <si>
    <t>2457-QGS</t>
  </si>
  <si>
    <t>2484-QGA</t>
  </si>
  <si>
    <t>2484-QGD</t>
  </si>
  <si>
    <t>2495-QGD</t>
  </si>
  <si>
    <t>2536-QGD</t>
  </si>
  <si>
    <t>2537-QGA</t>
  </si>
  <si>
    <t>2537-QGD</t>
  </si>
  <si>
    <t>2555-QGA</t>
  </si>
  <si>
    <t>2555-QGD</t>
  </si>
  <si>
    <t>2555-QGS</t>
  </si>
  <si>
    <t>2607-QGA</t>
  </si>
  <si>
    <t>2689-QGD</t>
  </si>
  <si>
    <t>282-QGA</t>
  </si>
  <si>
    <t>291-QGA</t>
  </si>
  <si>
    <t>291-QGT</t>
  </si>
  <si>
    <t>432-QGS</t>
  </si>
  <si>
    <t>478-QGA</t>
  </si>
  <si>
    <t>478-QGD</t>
  </si>
  <si>
    <t>478-QGT</t>
  </si>
  <si>
    <t>616-QGA</t>
  </si>
  <si>
    <t>926-QGD</t>
  </si>
  <si>
    <t>Casey</t>
  </si>
  <si>
    <t>Steele</t>
  </si>
  <si>
    <t>Brophy</t>
  </si>
  <si>
    <t>ELLIE</t>
  </si>
  <si>
    <t>Litchi</t>
  </si>
  <si>
    <t>Decker</t>
  </si>
  <si>
    <t>Gilit</t>
  </si>
  <si>
    <t>Soul</t>
  </si>
  <si>
    <t>Malbec</t>
  </si>
  <si>
    <t>Maizee</t>
  </si>
  <si>
    <t>FREYA</t>
  </si>
  <si>
    <t>Sherry</t>
  </si>
  <si>
    <t>Munich</t>
  </si>
  <si>
    <t>Grimm</t>
  </si>
  <si>
    <t>Sangria</t>
  </si>
  <si>
    <t>Sizzle</t>
  </si>
  <si>
    <t>Goldie</t>
  </si>
  <si>
    <t>Harvey</t>
  </si>
  <si>
    <t>Rauri</t>
  </si>
  <si>
    <t>Reed</t>
  </si>
  <si>
    <t>Trim</t>
  </si>
  <si>
    <t>Mr</t>
  </si>
  <si>
    <t>Fenne</t>
  </si>
  <si>
    <t>Newton</t>
  </si>
  <si>
    <t>Wick</t>
  </si>
  <si>
    <t>Via</t>
  </si>
  <si>
    <t>Ebony</t>
  </si>
  <si>
    <t>Emory</t>
  </si>
  <si>
    <t>Rose</t>
  </si>
  <si>
    <t>Shirley</t>
  </si>
  <si>
    <t>Pippi</t>
  </si>
  <si>
    <t>Prada</t>
  </si>
  <si>
    <t>Momo</t>
  </si>
  <si>
    <t>Shield</t>
  </si>
  <si>
    <t>Actaviy</t>
  </si>
  <si>
    <t>Fame</t>
  </si>
  <si>
    <t>Fay</t>
  </si>
  <si>
    <t>Dean</t>
  </si>
  <si>
    <t>Macauley</t>
  </si>
  <si>
    <t>Franklin</t>
  </si>
  <si>
    <t>Forrest</t>
  </si>
  <si>
    <t>Pearla</t>
  </si>
  <si>
    <t>Dottie</t>
  </si>
  <si>
    <t>Tundra</t>
  </si>
  <si>
    <t>Dyson</t>
  </si>
  <si>
    <t>Roomba</t>
  </si>
  <si>
    <t>Cedar</t>
  </si>
  <si>
    <t>Akiva</t>
  </si>
  <si>
    <t>Zinger</t>
  </si>
  <si>
    <t>Athena</t>
  </si>
  <si>
    <t>Grayson</t>
  </si>
  <si>
    <t>Duff</t>
  </si>
  <si>
    <t>Marlie</t>
  </si>
  <si>
    <t>Bruce</t>
  </si>
  <si>
    <t>Viking</t>
  </si>
  <si>
    <t>Peggy</t>
  </si>
  <si>
    <t>Toopee</t>
  </si>
  <si>
    <t>Lava</t>
  </si>
  <si>
    <t>Betty</t>
  </si>
  <si>
    <t>Nadya</t>
  </si>
  <si>
    <t>Blizzard</t>
  </si>
  <si>
    <t>GaЇa</t>
  </si>
  <si>
    <t>Rigger</t>
  </si>
  <si>
    <t>Marv</t>
  </si>
  <si>
    <t>Bela</t>
  </si>
  <si>
    <t>Macko</t>
  </si>
  <si>
    <t>Walker</t>
  </si>
  <si>
    <t>Fizz</t>
  </si>
  <si>
    <t>Mieszko</t>
  </si>
  <si>
    <t>Jango</t>
  </si>
  <si>
    <t>Potchki</t>
  </si>
  <si>
    <t>Binna</t>
  </si>
  <si>
    <t>Boone</t>
  </si>
  <si>
    <t>MAX</t>
  </si>
  <si>
    <t>Old English Sheepdog</t>
  </si>
  <si>
    <t>Spaniel (Blue Picardy)</t>
  </si>
  <si>
    <t>Pekingese</t>
  </si>
  <si>
    <t>Backer, Kathy</t>
  </si>
  <si>
    <t>Boulay, David</t>
  </si>
  <si>
    <t>Brooking, Megan</t>
  </si>
  <si>
    <t>Cherriman, Terry</t>
  </si>
  <si>
    <t>Cooper, Cheryl</t>
  </si>
  <si>
    <t>Crookshanks, Crystal</t>
  </si>
  <si>
    <t>Desjardins, Terri</t>
  </si>
  <si>
    <t>Dion, Isabelle</t>
  </si>
  <si>
    <t>Durno, Debbie</t>
  </si>
  <si>
    <t>Ehmann, Nicole</t>
  </si>
  <si>
    <t>Evens, Tara</t>
  </si>
  <si>
    <t>Fortier, Martha</t>
  </si>
  <si>
    <t>Gagnon, Madison</t>
  </si>
  <si>
    <t>Gordon, Gaelen</t>
  </si>
  <si>
    <t>Goure, Suzanne</t>
  </si>
  <si>
    <t>Greenall, Amanda</t>
  </si>
  <si>
    <t>Griffin, Zachary</t>
  </si>
  <si>
    <t>Guindon, MC</t>
  </si>
  <si>
    <t>Heah, Thomas</t>
  </si>
  <si>
    <t>Heinbockel, Stephanie</t>
  </si>
  <si>
    <t>Henry, Elizabeth</t>
  </si>
  <si>
    <t>Jaillet, Stephan</t>
  </si>
  <si>
    <t>Knoppert, Diane</t>
  </si>
  <si>
    <t>Koscielski, Yolanda</t>
  </si>
  <si>
    <t>Krayzel, Jan</t>
  </si>
  <si>
    <t>Kruse, Marsha</t>
  </si>
  <si>
    <t>Laberge-Richard, Laurie</t>
  </si>
  <si>
    <t>Lok, Yoshi</t>
  </si>
  <si>
    <t>Lord, Leslie</t>
  </si>
  <si>
    <t>Malcolm, Claire</t>
  </si>
  <si>
    <t>Arpin, Michelle</t>
  </si>
  <si>
    <t>Aitchison, Lee</t>
  </si>
  <si>
    <t>Back, Dominik</t>
  </si>
  <si>
    <t>Benishin, Christina</t>
  </si>
  <si>
    <t>Brooks, Patti</t>
  </si>
  <si>
    <t>Christens, Elaine</t>
  </si>
  <si>
    <t>Collins, Paula</t>
  </si>
  <si>
    <t>Crawford, Jana</t>
  </si>
  <si>
    <t>Crosina, Kathy</t>
  </si>
  <si>
    <t>McClelland, Colleen</t>
  </si>
  <si>
    <t>McIntyre, Coreen</t>
  </si>
  <si>
    <t>Metivier, Terri</t>
  </si>
  <si>
    <t>Nomura, Machiko</t>
  </si>
  <si>
    <t>O'Brien, David</t>
  </si>
  <si>
    <t>O'Connor, Vicky</t>
  </si>
  <si>
    <t>Oskarsson, Annalena</t>
  </si>
  <si>
    <t>Radford, Marni</t>
  </si>
  <si>
    <t>Ross, Andy</t>
  </si>
  <si>
    <t>Sarvas, Shirley</t>
  </si>
  <si>
    <t>Scrimshaw, Saskia</t>
  </si>
  <si>
    <t>Sparks, Joni</t>
  </si>
  <si>
    <t>St-Hilaire, Linda</t>
  </si>
  <si>
    <t>Stewart, Rose</t>
  </si>
  <si>
    <t>Stiles, Penny</t>
  </si>
  <si>
    <t>Von Grohs, Barbara</t>
  </si>
  <si>
    <t>Wagner, Lisa</t>
  </si>
  <si>
    <t>Warzoka, Wendy</t>
  </si>
  <si>
    <t>Waschinski, Doris</t>
  </si>
  <si>
    <t>Wilson, Wayne</t>
  </si>
  <si>
    <t>Wong, Hannah</t>
  </si>
  <si>
    <t>Worrall, Kaitlyn</t>
  </si>
  <si>
    <t>Deane, Debra</t>
  </si>
  <si>
    <t>Devins, Jaime</t>
  </si>
  <si>
    <t>Eadie, Michelle</t>
  </si>
  <si>
    <t>Findley, Rebeka</t>
  </si>
  <si>
    <t>Golby, Cynthia</t>
  </si>
  <si>
    <t>Hancock, Sandi</t>
  </si>
  <si>
    <t>Hayward, Bonnie</t>
  </si>
  <si>
    <t>Ito, Aya</t>
  </si>
  <si>
    <t>Jorgensen, Jeanine</t>
  </si>
  <si>
    <t>Kool, Linda</t>
  </si>
  <si>
    <t>Kormod, Suha</t>
  </si>
  <si>
    <t>Latter, Leanne</t>
  </si>
  <si>
    <t>Laurion, Patrick</t>
  </si>
  <si>
    <t>Lay, Larissa</t>
  </si>
  <si>
    <t>Lee, Sadie</t>
  </si>
  <si>
    <t>Long, Debbie</t>
  </si>
  <si>
    <t>Mccaig, Denise</t>
  </si>
  <si>
    <t>Muri, Megan</t>
  </si>
  <si>
    <t>NEVILLS, TAMARA</t>
  </si>
  <si>
    <t>Nichol, Bronwyn</t>
  </si>
  <si>
    <t>Reynolds, Beaujena</t>
  </si>
  <si>
    <t>ROMERIL, Beth</t>
  </si>
  <si>
    <t>Rose, Kim</t>
  </si>
  <si>
    <t>Schell, Katherine</t>
  </si>
  <si>
    <t>Seigel, Jacquelene</t>
  </si>
  <si>
    <t>Spooner, Susan</t>
  </si>
  <si>
    <t>Stannard, Jeanine</t>
  </si>
  <si>
    <t>Struik, Benita</t>
  </si>
  <si>
    <t>Teeft, Cathy</t>
  </si>
  <si>
    <t>Tomayer, Jackie</t>
  </si>
  <si>
    <t>Vanderleest, Sarah</t>
  </si>
  <si>
    <t>Warner, Ailene</t>
  </si>
  <si>
    <t>OLoughlin, Fay</t>
  </si>
  <si>
    <t>Archibald, Jamie</t>
  </si>
  <si>
    <t>Audette, Eryn</t>
  </si>
  <si>
    <t>Benko, Randi</t>
  </si>
  <si>
    <t>1153-QGS</t>
  </si>
  <si>
    <t>1162-QGD</t>
  </si>
  <si>
    <t>1232-QGT</t>
  </si>
  <si>
    <t>1278-QGA</t>
  </si>
  <si>
    <t>1278-QGD</t>
  </si>
  <si>
    <t>1278-QGS</t>
  </si>
  <si>
    <t>1413-QGA</t>
  </si>
  <si>
    <t>1462-QGA</t>
  </si>
  <si>
    <t>1462-QGD</t>
  </si>
  <si>
    <t>1579-QGS</t>
  </si>
  <si>
    <t>1579-QGT</t>
  </si>
  <si>
    <t>1681-QGA</t>
  </si>
  <si>
    <t>1800-QGA</t>
  </si>
  <si>
    <t>1800-QGD</t>
  </si>
  <si>
    <t>1858-QGA</t>
  </si>
  <si>
    <t>1858-QGT</t>
  </si>
  <si>
    <t>1898-QGD</t>
  </si>
  <si>
    <t>1909-QGA</t>
  </si>
  <si>
    <t>1909-QGD</t>
  </si>
  <si>
    <t>1947-QGA</t>
  </si>
  <si>
    <t>1947-QGD</t>
  </si>
  <si>
    <t>2107-QGD</t>
  </si>
  <si>
    <t>2107-QGT</t>
  </si>
  <si>
    <t>2118-QGA</t>
  </si>
  <si>
    <t>2135-QGD</t>
  </si>
  <si>
    <t>2192-QGS</t>
  </si>
  <si>
    <t>2196-QGA</t>
  </si>
  <si>
    <t>2204-QGA</t>
  </si>
  <si>
    <t>2204-QGD</t>
  </si>
  <si>
    <t>2233-QGA</t>
  </si>
  <si>
    <t>2233-QGD</t>
  </si>
  <si>
    <t>2335-QGA</t>
  </si>
  <si>
    <t>2372-QGA</t>
  </si>
  <si>
    <t>2372-QGD</t>
  </si>
  <si>
    <t>2372-QGT</t>
  </si>
  <si>
    <t>2373-QGA</t>
  </si>
  <si>
    <t>2400-QGA</t>
  </si>
  <si>
    <t>2480-QGA</t>
  </si>
  <si>
    <t>2594-QGA</t>
  </si>
  <si>
    <t>262-QGA</t>
  </si>
  <si>
    <t>262-QGD</t>
  </si>
  <si>
    <t>262-QGT</t>
  </si>
  <si>
    <t>2679-QGA</t>
  </si>
  <si>
    <t>2700-QGD</t>
  </si>
  <si>
    <t>2756-QGA</t>
  </si>
  <si>
    <t>2756-QGD</t>
  </si>
  <si>
    <t>2756-QGS</t>
  </si>
  <si>
    <t>2813-QGD</t>
  </si>
  <si>
    <t>373-QGA</t>
  </si>
  <si>
    <t>373-QGD</t>
  </si>
  <si>
    <t>450-QGA</t>
  </si>
  <si>
    <t>60-QGS</t>
  </si>
  <si>
    <t>Bell, Karalee</t>
  </si>
  <si>
    <t>2304-QGD</t>
  </si>
  <si>
    <t>2304-QGS</t>
  </si>
  <si>
    <t>373-QGS</t>
  </si>
  <si>
    <t>373-QGT</t>
  </si>
  <si>
    <t>934-QGD</t>
  </si>
  <si>
    <t>934-QGT</t>
  </si>
  <si>
    <t>Jenkinson, Lisa</t>
  </si>
  <si>
    <t>Wicket</t>
  </si>
  <si>
    <t>Cesky Terrier</t>
  </si>
  <si>
    <t>Monty</t>
  </si>
  <si>
    <t>Booth, Janice</t>
  </si>
  <si>
    <t>Anke</t>
  </si>
  <si>
    <t>Gagnon, Kim</t>
  </si>
  <si>
    <t>LaBerge, Janna</t>
  </si>
  <si>
    <t>Flynn, Barb</t>
  </si>
  <si>
    <t>Sikora, Stephanie</t>
  </si>
  <si>
    <t>Alder, Sandra</t>
  </si>
  <si>
    <t>Nobel, Linda</t>
  </si>
  <si>
    <t>Jinx</t>
  </si>
  <si>
    <t>Bertrand, Tara</t>
  </si>
  <si>
    <t>Rooney</t>
  </si>
  <si>
    <t>Aramis</t>
  </si>
  <si>
    <t>Belzile, Mélanie</t>
  </si>
  <si>
    <t>Cohen, Natalie</t>
  </si>
  <si>
    <t>Jenkins, Cathy</t>
  </si>
  <si>
    <t>Horan, Riannon</t>
  </si>
  <si>
    <t>Electric</t>
  </si>
  <si>
    <t>Bellingham, Kara</t>
  </si>
  <si>
    <t>Schlingmann, Tanja</t>
  </si>
  <si>
    <t>Ralph</t>
  </si>
  <si>
    <t>Teschner, Debbie</t>
  </si>
  <si>
    <t>Octavia</t>
  </si>
  <si>
    <t>fenner, david</t>
  </si>
  <si>
    <t>Nyméria</t>
  </si>
  <si>
    <t>D'Anjou, Jacynthe</t>
  </si>
  <si>
    <t>Unrau, Corinne</t>
  </si>
  <si>
    <t>1228-QGS</t>
  </si>
  <si>
    <t>124-QGD</t>
  </si>
  <si>
    <t>1317-QGA</t>
  </si>
  <si>
    <t>1317-QGD</t>
  </si>
  <si>
    <t>1518-QGA</t>
  </si>
  <si>
    <t>1686-QGA</t>
  </si>
  <si>
    <t>1686-QGD</t>
  </si>
  <si>
    <t>1706-QGD</t>
  </si>
  <si>
    <t>1707-QGD</t>
  </si>
  <si>
    <t>1912-QGD</t>
  </si>
  <si>
    <t>2234-QGD</t>
  </si>
  <si>
    <t>2234-QGT</t>
  </si>
  <si>
    <t>2294-QGA</t>
  </si>
  <si>
    <t>2435-QGA</t>
  </si>
  <si>
    <t>2607-QGD</t>
  </si>
  <si>
    <t>2687-QGA</t>
  </si>
  <si>
    <t>2699-QGD</t>
  </si>
  <si>
    <t>291-QGD</t>
  </si>
  <si>
    <t>417-QGA</t>
  </si>
  <si>
    <t>417-QGD</t>
  </si>
  <si>
    <t>417-QGS</t>
  </si>
  <si>
    <t>417-QGT</t>
  </si>
  <si>
    <t>926-QGT</t>
  </si>
  <si>
    <t>Special Titles</t>
  </si>
  <si>
    <t>Alula</t>
  </si>
  <si>
    <t>Wilson, Melanie</t>
  </si>
  <si>
    <t>Boris</t>
  </si>
  <si>
    <t>Kevin</t>
  </si>
  <si>
    <t>KADIE</t>
  </si>
  <si>
    <t>Berk</t>
  </si>
  <si>
    <t>Katil</t>
  </si>
  <si>
    <t>Pixelle</t>
  </si>
  <si>
    <t>Friday</t>
  </si>
  <si>
    <t>Winslow</t>
  </si>
  <si>
    <t>Igor</t>
  </si>
  <si>
    <t>Glaceon</t>
  </si>
  <si>
    <t>Dratini</t>
  </si>
  <si>
    <t>Delta</t>
  </si>
  <si>
    <t>Mimi</t>
  </si>
  <si>
    <t>Rhuairidh</t>
  </si>
  <si>
    <t>Kiah</t>
  </si>
  <si>
    <t>Reacher</t>
  </si>
  <si>
    <t>Nixon</t>
  </si>
  <si>
    <t>Niylah</t>
  </si>
  <si>
    <t>TRUE</t>
  </si>
  <si>
    <t>Trip</t>
  </si>
  <si>
    <t>Ryland</t>
  </si>
  <si>
    <t>Fluke</t>
  </si>
  <si>
    <t>Cardi</t>
  </si>
  <si>
    <t>Vizsla (Wired-Haired)</t>
  </si>
  <si>
    <t>Eggers, Joy</t>
  </si>
  <si>
    <t>Friedt, Alin</t>
  </si>
  <si>
    <t>Giberson, Cheryl</t>
  </si>
  <si>
    <t>Harper, Jenelle</t>
  </si>
  <si>
    <t>Levesque, Ron</t>
  </si>
  <si>
    <t>Limb, Sandy</t>
  </si>
  <si>
    <t>Louie, Kevin</t>
  </si>
  <si>
    <t>Poirier, Marjorie</t>
  </si>
  <si>
    <t>Shearstone, Sue</t>
  </si>
  <si>
    <t>Tansey, Robyn</t>
  </si>
  <si>
    <t>Topping, John</t>
  </si>
  <si>
    <t>Andreatos, Tina</t>
  </si>
  <si>
    <t>Crepin, Isabelle</t>
  </si>
  <si>
    <t>Skoglund, Erika</t>
  </si>
  <si>
    <t>Venter, Lindi</t>
  </si>
  <si>
    <t>Abernethy, Ngaire</t>
  </si>
  <si>
    <t>Alix, Ghislaine</t>
  </si>
  <si>
    <t>Barnard, Charmaine</t>
  </si>
  <si>
    <t>Beaulieu, Marc-Alexandre</t>
  </si>
  <si>
    <t>Boyd, Brenda</t>
  </si>
  <si>
    <t>Der, Jasmine</t>
  </si>
  <si>
    <t>Eskuri, Jane</t>
  </si>
  <si>
    <t>Ferraro, Deedra</t>
  </si>
  <si>
    <t>Koyama, Rie</t>
  </si>
  <si>
    <t>Magill, Catherine</t>
  </si>
  <si>
    <t>McLaughlin, Laurie</t>
  </si>
  <si>
    <t>Mitton, Katherine</t>
  </si>
  <si>
    <t>Okabe, Maree</t>
  </si>
  <si>
    <t>Pridie, Joy</t>
  </si>
  <si>
    <t>Rhymer, Andrea</t>
  </si>
  <si>
    <t>Tatterson, Avril</t>
  </si>
  <si>
    <t>Wright, Barbara</t>
  </si>
  <si>
    <t>QGA</t>
  </si>
  <si>
    <t>QGD</t>
  </si>
  <si>
    <t>QGS</t>
  </si>
  <si>
    <t>QGT</t>
  </si>
  <si>
    <t>1178-QGS</t>
  </si>
  <si>
    <t>1477-QGS</t>
  </si>
  <si>
    <t>1477-QGT</t>
  </si>
  <si>
    <t>1586-QGA</t>
  </si>
  <si>
    <t>1586-QGT</t>
  </si>
  <si>
    <t>1806-QGA</t>
  </si>
  <si>
    <t>1806-QGD</t>
  </si>
  <si>
    <t>1931-QGA</t>
  </si>
  <si>
    <t>1931-QGD</t>
  </si>
  <si>
    <t>1931-QGS</t>
  </si>
  <si>
    <t>1964-QGD</t>
  </si>
  <si>
    <t>1964-QGS</t>
  </si>
  <si>
    <t>1964-QGT</t>
  </si>
  <si>
    <t>1996-QGA</t>
  </si>
  <si>
    <t>1996-QGD</t>
  </si>
  <si>
    <t>1996-QGT</t>
  </si>
  <si>
    <t>251-QGS</t>
  </si>
  <si>
    <t>251-QGT</t>
  </si>
  <si>
    <t>2540-QGA</t>
  </si>
  <si>
    <t>2540-QGD</t>
  </si>
  <si>
    <t>2540-QGS</t>
  </si>
  <si>
    <t>2540-QGT</t>
  </si>
  <si>
    <t>2620-QGA</t>
  </si>
  <si>
    <t>2620-QGD</t>
  </si>
  <si>
    <t>2620-QGT</t>
  </si>
  <si>
    <t>2882-QGD</t>
  </si>
  <si>
    <t>2882-QGS</t>
  </si>
  <si>
    <t>2882-QGT</t>
  </si>
  <si>
    <t>2891-QGD</t>
  </si>
  <si>
    <t>663-QGD</t>
  </si>
  <si>
    <t>1524-QGA</t>
  </si>
  <si>
    <t>17-QGS</t>
  </si>
  <si>
    <t>2226-QGA</t>
  </si>
  <si>
    <t>2226-QGD</t>
  </si>
  <si>
    <t>2226-QGS</t>
  </si>
  <si>
    <t>2226-QGT</t>
  </si>
  <si>
    <t>2377-QGA</t>
  </si>
  <si>
    <t>2377-QGD</t>
  </si>
  <si>
    <t>2377-QGS</t>
  </si>
  <si>
    <t>2377-QGT</t>
  </si>
  <si>
    <t>2381-QGA</t>
  </si>
  <si>
    <t>2381-QGD</t>
  </si>
  <si>
    <t>2536-QGS</t>
  </si>
  <si>
    <t>2537-QGS</t>
  </si>
  <si>
    <t>2539-QGD</t>
  </si>
  <si>
    <t>2740-QGA</t>
  </si>
  <si>
    <t>2740-QGD</t>
  </si>
  <si>
    <t>2786-QGD</t>
  </si>
  <si>
    <t>Lucifer</t>
  </si>
  <si>
    <t>Amara</t>
  </si>
  <si>
    <t>Hauck, Gerald</t>
  </si>
  <si>
    <t>Meyer</t>
  </si>
  <si>
    <t>Floki</t>
  </si>
  <si>
    <t>Bowcott, Michelle</t>
  </si>
  <si>
    <t>Astrid</t>
  </si>
  <si>
    <t>Meron</t>
  </si>
  <si>
    <t>Wong, Loraine</t>
  </si>
  <si>
    <t>KamiKaze</t>
  </si>
  <si>
    <t>Fenriz</t>
  </si>
  <si>
    <t>Dalton, Sheri</t>
  </si>
  <si>
    <t>Yarrow, Lori</t>
  </si>
  <si>
    <t>Braunwarth, Sandy</t>
  </si>
  <si>
    <t>Laika</t>
  </si>
  <si>
    <t>Cheap</t>
  </si>
  <si>
    <t>Pruneau, Sophie</t>
  </si>
  <si>
    <t>N'asty</t>
  </si>
  <si>
    <t>Madgett, Cathleen</t>
  </si>
  <si>
    <t>Wilzewski, Reinhold</t>
  </si>
  <si>
    <t>Skoropet, Ashley</t>
  </si>
  <si>
    <t>Janssen</t>
  </si>
  <si>
    <t>Haufman, Marie-Emmanuelle</t>
  </si>
  <si>
    <t>Gage</t>
  </si>
  <si>
    <t>McGuiness, Ashley</t>
  </si>
  <si>
    <t>Bendigo</t>
  </si>
  <si>
    <t>Jäger</t>
  </si>
  <si>
    <t>Beckie</t>
  </si>
  <si>
    <t>Keanuuu</t>
  </si>
  <si>
    <t>Miki</t>
  </si>
  <si>
    <t>Kidd, Kelly</t>
  </si>
  <si>
    <t>CHICO</t>
  </si>
  <si>
    <t>Wilson, Paul</t>
  </si>
  <si>
    <t>Dallas</t>
  </si>
  <si>
    <t>Kati</t>
  </si>
  <si>
    <t>Neales, Marye Jo</t>
  </si>
  <si>
    <t>Icon</t>
  </si>
  <si>
    <t>Boyd, Kathy</t>
  </si>
  <si>
    <t>Dodger</t>
  </si>
  <si>
    <t>Gita</t>
  </si>
  <si>
    <t>Sweet, Kathryn</t>
  </si>
  <si>
    <t>1628-QGT</t>
  </si>
  <si>
    <t>1898-QGA</t>
  </si>
  <si>
    <t>1910-QGA</t>
  </si>
  <si>
    <t>2193-QGS</t>
  </si>
  <si>
    <t>2204-QGS</t>
  </si>
  <si>
    <t>2786-QGA</t>
  </si>
  <si>
    <t>2786-QGT</t>
  </si>
  <si>
    <t>WILBY</t>
  </si>
  <si>
    <t>McGovern, Shawna</t>
  </si>
  <si>
    <t>Takoda</t>
  </si>
  <si>
    <t>Thomson, Kari</t>
  </si>
  <si>
    <t>Arizona</t>
  </si>
  <si>
    <t>Kennie, Scott</t>
  </si>
  <si>
    <t>China</t>
  </si>
  <si>
    <t>Kitt</t>
  </si>
  <si>
    <t>Madeline</t>
  </si>
  <si>
    <t>Wheeler, Marika</t>
  </si>
  <si>
    <t>Hendrik</t>
  </si>
  <si>
    <t>Bate, Falen</t>
  </si>
  <si>
    <t>Wood, Laura</t>
  </si>
  <si>
    <t>Camilla</t>
  </si>
  <si>
    <t>Jackson, Karolyn</t>
  </si>
  <si>
    <t>Bell</t>
  </si>
  <si>
    <t>stulberg, shoshi</t>
  </si>
  <si>
    <t>Hatch, Angus</t>
  </si>
  <si>
    <t>Zana</t>
  </si>
  <si>
    <t>Bernard, Isabelle</t>
  </si>
  <si>
    <t>Genie</t>
  </si>
  <si>
    <t>Farrell, Sandy</t>
  </si>
  <si>
    <t>Roeder, Cynthia</t>
  </si>
  <si>
    <t>Winx</t>
  </si>
  <si>
    <t>Nyna</t>
  </si>
  <si>
    <t>Bumper</t>
  </si>
  <si>
    <t>Pointing, John</t>
  </si>
  <si>
    <t>Fergus</t>
  </si>
  <si>
    <t>Uhlmann, Kiana</t>
  </si>
  <si>
    <t>Luke</t>
  </si>
  <si>
    <t>McKee, Beverley</t>
  </si>
  <si>
    <t>Wynni</t>
  </si>
  <si>
    <t>chelsea</t>
  </si>
  <si>
    <t>lacasse, melany</t>
  </si>
  <si>
    <t>Ono</t>
  </si>
  <si>
    <t>Radford, Adrienne</t>
  </si>
  <si>
    <t>Messenger, Keri</t>
  </si>
  <si>
    <t>Tkachyk, Judy</t>
  </si>
  <si>
    <t>LaFleche, Irene</t>
  </si>
  <si>
    <t>Dusty</t>
  </si>
  <si>
    <t>Oldford-Down, Laurelle</t>
  </si>
  <si>
    <t>Stuart, Peter</t>
  </si>
  <si>
    <t>1239-QGA</t>
  </si>
  <si>
    <t>1239-QGD</t>
  </si>
  <si>
    <t>1239-QGT</t>
  </si>
  <si>
    <t>934-QGA</t>
  </si>
  <si>
    <t>Gélinas, Stéphane</t>
  </si>
  <si>
    <t>1129-QGD</t>
  </si>
  <si>
    <t>1129-QGS</t>
  </si>
  <si>
    <t>1199-QGA</t>
  </si>
  <si>
    <t>1212-QGA</t>
  </si>
  <si>
    <t>1228-QGA</t>
  </si>
  <si>
    <t>124-QGA</t>
  </si>
  <si>
    <t>1317-QGT</t>
  </si>
  <si>
    <t>1360-QGA</t>
  </si>
  <si>
    <t>1454-QGT</t>
  </si>
  <si>
    <t>1489-QGA</t>
  </si>
  <si>
    <t>1566-QGA</t>
  </si>
  <si>
    <t>1626-QGA</t>
  </si>
  <si>
    <t>1626-QGD</t>
  </si>
  <si>
    <t>1706-QGA</t>
  </si>
  <si>
    <t>1783-QGA</t>
  </si>
  <si>
    <t>1783-QGS</t>
  </si>
  <si>
    <t>1783-QGT</t>
  </si>
  <si>
    <t>2276-QGD</t>
  </si>
  <si>
    <t>2276-QGT</t>
  </si>
  <si>
    <t>2287-QGA</t>
  </si>
  <si>
    <t>2308-QGA</t>
  </si>
  <si>
    <t>2312-QGA</t>
  </si>
  <si>
    <t>2400-QGD</t>
  </si>
  <si>
    <t>2435-QGT</t>
  </si>
  <si>
    <t>2471-QGD</t>
  </si>
  <si>
    <t>2471-QGT</t>
  </si>
  <si>
    <t>2678-QGA</t>
  </si>
  <si>
    <t>2715-QGA</t>
  </si>
  <si>
    <t>2716-QGD</t>
  </si>
  <si>
    <t>2832-QGA</t>
  </si>
  <si>
    <t>2885-QGA</t>
  </si>
  <si>
    <t>2939-QGA</t>
  </si>
  <si>
    <t>Maynard</t>
  </si>
  <si>
    <t>O'Reilly, Josie</t>
  </si>
  <si>
    <t>Sikora, Vanessa</t>
  </si>
  <si>
    <t>Ida</t>
  </si>
  <si>
    <t>Gaudet, Lindsay</t>
  </si>
  <si>
    <t>Antonio, Jennifer</t>
  </si>
  <si>
    <t>CoCo</t>
  </si>
  <si>
    <t>Barrett, Therese</t>
  </si>
  <si>
    <t>Truman</t>
  </si>
  <si>
    <t>Steeple, Ashley</t>
  </si>
  <si>
    <t>Rasmus</t>
  </si>
  <si>
    <t>Libke, Joanne</t>
  </si>
  <si>
    <t>Ariel</t>
  </si>
  <si>
    <t>Kessler, Annette</t>
  </si>
  <si>
    <t>Karelian Bear Dog</t>
  </si>
  <si>
    <t>Haus, Susan</t>
  </si>
  <si>
    <t>LeLacheur, Lisa</t>
  </si>
  <si>
    <t>Gelok, Julie</t>
  </si>
  <si>
    <t>Meru</t>
  </si>
  <si>
    <t>LOLLIE</t>
  </si>
  <si>
    <t>McCorry, Christina</t>
  </si>
  <si>
    <t>Desjardins, Robert</t>
  </si>
  <si>
    <t>Bandy</t>
  </si>
  <si>
    <t>Heard, Kim</t>
  </si>
  <si>
    <t>Tomy</t>
  </si>
  <si>
    <t>Bindi</t>
  </si>
  <si>
    <t>Liesl</t>
  </si>
  <si>
    <t>Evenson, Lisa</t>
  </si>
  <si>
    <t>Vuk</t>
  </si>
  <si>
    <t>Mackenzie, Ally</t>
  </si>
  <si>
    <t>Gidget</t>
  </si>
  <si>
    <t>LOKI</t>
  </si>
  <si>
    <t>Ana</t>
  </si>
  <si>
    <t>VINCE, SAVANNAH</t>
  </si>
  <si>
    <t>Stella Bella</t>
  </si>
  <si>
    <t>Leblanc, Debbie</t>
  </si>
  <si>
    <t>Pan</t>
  </si>
  <si>
    <t>Phillips, Dawn</t>
  </si>
  <si>
    <t>Prime</t>
  </si>
  <si>
    <t>Commerford, Kat</t>
  </si>
  <si>
    <t>Divot</t>
  </si>
  <si>
    <t>KAYLIN</t>
  </si>
  <si>
    <t>Kilgour, Blair</t>
  </si>
  <si>
    <t>Spiro</t>
  </si>
  <si>
    <t>Khoury, Julia</t>
  </si>
  <si>
    <t>Mirkovic, Katy</t>
  </si>
  <si>
    <t>seven</t>
  </si>
  <si>
    <t>Davenport, Elaine Marie</t>
  </si>
  <si>
    <t>Cumming, Kimberley</t>
  </si>
  <si>
    <t>Salto</t>
  </si>
  <si>
    <t>Dulac, Mona-Lisa</t>
  </si>
  <si>
    <t>Mishka</t>
  </si>
  <si>
    <t>Segalovitch, Marina</t>
  </si>
  <si>
    <t>Bria</t>
  </si>
  <si>
    <t>Pretsell, Theda</t>
  </si>
  <si>
    <t>MINDY</t>
  </si>
  <si>
    <t>WATSON, EVELYN</t>
  </si>
  <si>
    <t>Vivian, Sheena</t>
  </si>
  <si>
    <t>killeez</t>
  </si>
  <si>
    <t>Touchet, Isabella</t>
  </si>
  <si>
    <t>Gauge</t>
  </si>
  <si>
    <t>Hunt, Patricia</t>
  </si>
  <si>
    <t>Melanson, Justine</t>
  </si>
  <si>
    <t>Ginny</t>
  </si>
  <si>
    <t>Katie, Liddiard</t>
  </si>
  <si>
    <t>Tanchak, Liz</t>
  </si>
  <si>
    <t>Mauthe, Cindy</t>
  </si>
  <si>
    <t>Princeton</t>
  </si>
  <si>
    <t>Lorrain, Julie</t>
  </si>
  <si>
    <t>Czyzewski, Tanya</t>
  </si>
  <si>
    <t>Perron, Chantal</t>
  </si>
  <si>
    <t>SHADOW</t>
  </si>
  <si>
    <t>Dorazahi, Moslem</t>
  </si>
  <si>
    <t>Sullivan, Laura</t>
  </si>
  <si>
    <t>Wendel</t>
  </si>
  <si>
    <t>Michie, Lane</t>
  </si>
  <si>
    <t>Portia</t>
  </si>
  <si>
    <t>Nikky</t>
  </si>
  <si>
    <t>Smith, Sonia</t>
  </si>
  <si>
    <t>Macho</t>
  </si>
  <si>
    <t>Edwards, Stacey</t>
  </si>
  <si>
    <t>James</t>
  </si>
  <si>
    <t>MURDOCK, JUNE</t>
  </si>
  <si>
    <t>Norwegian Buhund</t>
  </si>
  <si>
    <t>Klouman, Karin</t>
  </si>
  <si>
    <t>Aubrey</t>
  </si>
  <si>
    <t>Russell, Pat</t>
  </si>
  <si>
    <t>Linus</t>
  </si>
  <si>
    <t>Joyce, Chantal</t>
  </si>
  <si>
    <t>1433-QGA</t>
  </si>
  <si>
    <t>1433-QGD</t>
  </si>
  <si>
    <t>1433-QGS</t>
  </si>
  <si>
    <t>2046-QGA</t>
  </si>
  <si>
    <t>2047-QGA</t>
  </si>
  <si>
    <t>2131-QGA</t>
  </si>
  <si>
    <t>2131-QGD</t>
  </si>
  <si>
    <t>2301-QGA</t>
  </si>
  <si>
    <t>2595-QGA</t>
  </si>
  <si>
    <t>2595-QGD</t>
  </si>
  <si>
    <t>2595-QGS</t>
  </si>
  <si>
    <t>2784-QGA</t>
  </si>
  <si>
    <t>2784-QGD</t>
  </si>
  <si>
    <t>2784-QGS</t>
  </si>
  <si>
    <t>2982-QGD</t>
  </si>
  <si>
    <t>2995-QGA</t>
  </si>
  <si>
    <t>2995-QGD</t>
  </si>
  <si>
    <t>3049-QGD</t>
  </si>
  <si>
    <t>3049-QGS</t>
  </si>
  <si>
    <t>928-QGA</t>
  </si>
  <si>
    <t>Rabbit</t>
  </si>
  <si>
    <t>McKenzie, Nancy</t>
  </si>
  <si>
    <t>Riesling</t>
  </si>
  <si>
    <t>Baron, Anne</t>
  </si>
  <si>
    <t>Zyra</t>
  </si>
  <si>
    <t>Delesalle, Nathalie</t>
  </si>
  <si>
    <t>Lui, Andrea</t>
  </si>
  <si>
    <t>Cox, Brenda</t>
  </si>
  <si>
    <t>Marlow</t>
  </si>
  <si>
    <t>Sossa</t>
  </si>
  <si>
    <t>Critchley, Kelly</t>
  </si>
  <si>
    <t>Hailee</t>
  </si>
  <si>
    <t>Lyall, Lynne</t>
  </si>
  <si>
    <t>Bonhomme</t>
  </si>
  <si>
    <t>Skyler</t>
  </si>
  <si>
    <t>Leduc, Normand</t>
  </si>
  <si>
    <t>Bandit</t>
  </si>
  <si>
    <t>Scheepbouwer, Jackie</t>
  </si>
  <si>
    <t>Carr, Tracy</t>
  </si>
  <si>
    <t>Klarner, Janice</t>
  </si>
  <si>
    <t>Dig</t>
  </si>
  <si>
    <t>Killoran, Louann</t>
  </si>
  <si>
    <t>Jenkins, Ken</t>
  </si>
  <si>
    <t>Cameron Dubuque, Deanna</t>
  </si>
  <si>
    <t>Jody</t>
  </si>
  <si>
    <t>Oppermann, Sabrina</t>
  </si>
  <si>
    <t>1209-QGD</t>
  </si>
  <si>
    <t>1209-QGT</t>
  </si>
  <si>
    <t>1227-QGT</t>
  </si>
  <si>
    <t>1274-QGD</t>
  </si>
  <si>
    <t>1288-QGA</t>
  </si>
  <si>
    <t>1640-QGA</t>
  </si>
  <si>
    <t>1640-QGD</t>
  </si>
  <si>
    <t>1640-QGT</t>
  </si>
  <si>
    <t>1665-QGT</t>
  </si>
  <si>
    <t>1875-QGD</t>
  </si>
  <si>
    <t>1875-QGT</t>
  </si>
  <si>
    <t>1946-QGD</t>
  </si>
  <si>
    <t>1946-QGS</t>
  </si>
  <si>
    <t>1964-QGA</t>
  </si>
  <si>
    <t>2380-QGA</t>
  </si>
  <si>
    <t>2380-QGS</t>
  </si>
  <si>
    <t>2603-QGA</t>
  </si>
  <si>
    <t>2646-QGD</t>
  </si>
  <si>
    <t>2656-QGD</t>
  </si>
  <si>
    <t>2891-QGA</t>
  </si>
  <si>
    <t>2973-QGD</t>
  </si>
  <si>
    <t>616-QGT</t>
  </si>
  <si>
    <t>Young, Christina</t>
  </si>
  <si>
    <t>1153-QGA</t>
  </si>
  <si>
    <t>1153-QGD</t>
  </si>
  <si>
    <t>1361-QGA</t>
  </si>
  <si>
    <t>1361-QGD</t>
  </si>
  <si>
    <t>1462-QGS</t>
  </si>
  <si>
    <t>1503-QGT</t>
  </si>
  <si>
    <t>1630-QGA</t>
  </si>
  <si>
    <t>1630-QGD</t>
  </si>
  <si>
    <t>1909-QGT</t>
  </si>
  <si>
    <t>1927-QGA</t>
  </si>
  <si>
    <t>2059-QGT</t>
  </si>
  <si>
    <t>2107-QGA</t>
  </si>
  <si>
    <t>2193-QGA</t>
  </si>
  <si>
    <t>2194-QGA</t>
  </si>
  <si>
    <t>2336-QGA</t>
  </si>
  <si>
    <t>2444-QGA</t>
  </si>
  <si>
    <t>2719-QGA</t>
  </si>
  <si>
    <t>2856-QGA</t>
  </si>
  <si>
    <t>2870-QGT</t>
  </si>
  <si>
    <t>446-QGA</t>
  </si>
  <si>
    <t>446-QGD</t>
  </si>
  <si>
    <t>446-QGS</t>
  </si>
  <si>
    <t>604-QGT</t>
  </si>
  <si>
    <t>Mooch</t>
  </si>
  <si>
    <t>Stacey, Tish</t>
  </si>
  <si>
    <t>Millette, Katia</t>
  </si>
  <si>
    <t>Moody</t>
  </si>
  <si>
    <t>Howe, Janice</t>
  </si>
  <si>
    <t>Danzig</t>
  </si>
  <si>
    <t>Ristau, Izabella</t>
  </si>
  <si>
    <t>Samson, Annick</t>
  </si>
  <si>
    <t>Margot</t>
  </si>
  <si>
    <t>Garrah, John</t>
  </si>
  <si>
    <t>Des</t>
  </si>
  <si>
    <t>Hoffman, Robyn</t>
  </si>
  <si>
    <t>ZEEVA</t>
  </si>
  <si>
    <t>Arthur</t>
  </si>
  <si>
    <t>Lawton, Kaila</t>
  </si>
  <si>
    <t>McCaffrey, Margaret</t>
  </si>
  <si>
    <t>Harlow, Anne</t>
  </si>
  <si>
    <t>Coles, Darcie</t>
  </si>
  <si>
    <t>Coppertop</t>
  </si>
  <si>
    <t>Pointing, Patricia</t>
  </si>
  <si>
    <t>Stephenson, Olivia</t>
  </si>
  <si>
    <t>Mathias, Danielle</t>
  </si>
  <si>
    <t>Murphy, Dara</t>
  </si>
  <si>
    <t>Setter (Irish Red &amp; White)</t>
  </si>
  <si>
    <t>Kendall, Diane</t>
  </si>
  <si>
    <t>Yeller</t>
  </si>
  <si>
    <t>Mitchell, Barbara</t>
  </si>
  <si>
    <t>Kayden</t>
  </si>
  <si>
    <t>Phillips, Dorothy</t>
  </si>
  <si>
    <t>WELBOURN, ELAINE</t>
  </si>
  <si>
    <t>Zeva</t>
  </si>
  <si>
    <t>Shelton, Darla</t>
  </si>
  <si>
    <t>Tab</t>
  </si>
  <si>
    <t>Dazzle</t>
  </si>
  <si>
    <t>ALEXA</t>
  </si>
  <si>
    <t>Neave, Sue</t>
  </si>
  <si>
    <t>TIA</t>
  </si>
  <si>
    <t>Simpson, Anita</t>
  </si>
  <si>
    <t>Braund, Shannon</t>
  </si>
  <si>
    <t>Wren</t>
  </si>
  <si>
    <t>Fidel</t>
  </si>
  <si>
    <t>1321-QGS</t>
  </si>
  <si>
    <t>1437-QGA</t>
  </si>
  <si>
    <t>1437-QGD</t>
  </si>
  <si>
    <t>1790-QGA</t>
  </si>
  <si>
    <t>1790-QGD</t>
  </si>
  <si>
    <t>1790-QGS</t>
  </si>
  <si>
    <t>1800-QGT</t>
  </si>
  <si>
    <t>1980-QGA</t>
  </si>
  <si>
    <t>1980-QGD</t>
  </si>
  <si>
    <t>1980-QGS</t>
  </si>
  <si>
    <t>2118-QGD</t>
  </si>
  <si>
    <t>2118-QGS</t>
  </si>
  <si>
    <t>2196-QGS</t>
  </si>
  <si>
    <t>2287-QGT</t>
  </si>
  <si>
    <t>2335-QGD</t>
  </si>
  <si>
    <t>2335-QGS</t>
  </si>
  <si>
    <t>2335-QGT</t>
  </si>
  <si>
    <t>2813-QGA</t>
  </si>
  <si>
    <t>2835-QGA</t>
  </si>
  <si>
    <t>2835-QGD</t>
  </si>
  <si>
    <t>2835-QGS</t>
  </si>
  <si>
    <t>2943-QGA</t>
  </si>
  <si>
    <t>2944-QGA</t>
  </si>
  <si>
    <t>3083-QGD</t>
  </si>
  <si>
    <t>Cooper, Kim</t>
  </si>
  <si>
    <t>Greenhalgh, Jerica</t>
  </si>
  <si>
    <t>Joker</t>
  </si>
  <si>
    <t>Lelievre, Rachelle</t>
  </si>
  <si>
    <t>Teal</t>
  </si>
  <si>
    <t>Gillie</t>
  </si>
  <si>
    <t>Lynx</t>
  </si>
  <si>
    <t>Dotti</t>
  </si>
  <si>
    <t>Forfellow, Nanci</t>
  </si>
  <si>
    <t>Sonneveld, Daniel</t>
  </si>
  <si>
    <t>Svenja</t>
  </si>
  <si>
    <t>Indi</t>
  </si>
  <si>
    <t>Tibetan Terrier</t>
  </si>
  <si>
    <t>Neva</t>
  </si>
  <si>
    <t>Markey, Leslie</t>
  </si>
  <si>
    <t>Bob Barker</t>
  </si>
  <si>
    <t>Tinlin, Candice</t>
  </si>
  <si>
    <t>Perkins, Judy</t>
  </si>
  <si>
    <t>Wallace, Duane</t>
  </si>
  <si>
    <t>Lupin</t>
  </si>
  <si>
    <t>Hackwell, Jennifer</t>
  </si>
  <si>
    <t>Tokyo</t>
  </si>
  <si>
    <t>Trek</t>
  </si>
  <si>
    <t>Hayes, Liz</t>
  </si>
  <si>
    <t>Foxie</t>
  </si>
  <si>
    <t>Herring, Colleen</t>
  </si>
  <si>
    <t>Eliza</t>
  </si>
  <si>
    <t>Magel, Anita</t>
  </si>
  <si>
    <t>Ace</t>
  </si>
  <si>
    <t>Solman, Diane</t>
  </si>
  <si>
    <t>Moxy</t>
  </si>
  <si>
    <t>Tannin</t>
  </si>
  <si>
    <t>GOULD, MARILYN</t>
  </si>
  <si>
    <t>Helli</t>
  </si>
  <si>
    <t>beard, wendy</t>
  </si>
  <si>
    <t>Turrell, Romana</t>
  </si>
  <si>
    <t>Elan</t>
  </si>
  <si>
    <t>1412-QGD</t>
  </si>
  <si>
    <t>1412-QGS</t>
  </si>
  <si>
    <t>1721-QGA</t>
  </si>
  <si>
    <t>2700-QGA</t>
  </si>
  <si>
    <t>2725-QGA</t>
  </si>
  <si>
    <t>3135-QGA</t>
  </si>
  <si>
    <t>3135-QGD</t>
  </si>
  <si>
    <t>3195-QGA</t>
  </si>
  <si>
    <t>3195-QGD</t>
  </si>
  <si>
    <t>3198-QGA</t>
  </si>
  <si>
    <t>Oesch, Meghan</t>
  </si>
  <si>
    <t>Idgie</t>
  </si>
  <si>
    <t>Wrong, Jason</t>
  </si>
  <si>
    <t>Ryzer</t>
  </si>
  <si>
    <t>Jorgensen, Marianne</t>
  </si>
  <si>
    <t>Geode</t>
  </si>
  <si>
    <t>Beanz</t>
  </si>
  <si>
    <t>Arsyn</t>
  </si>
  <si>
    <t>Triad</t>
  </si>
  <si>
    <t>Wepruk, Jackie</t>
  </si>
  <si>
    <t>Guay, Jessica</t>
  </si>
  <si>
    <t>Cory</t>
  </si>
  <si>
    <t>Jazzie</t>
  </si>
  <si>
    <t>Hotchkiss, Terri</t>
  </si>
  <si>
    <t>Soley</t>
  </si>
  <si>
    <t>Mitchell, Darcy</t>
  </si>
  <si>
    <t>Evey</t>
  </si>
  <si>
    <t>Harlo</t>
  </si>
  <si>
    <t>Pearce, Terry</t>
  </si>
  <si>
    <t>Hiro</t>
  </si>
  <si>
    <t>Lily-Belle</t>
  </si>
  <si>
    <t>Sophie-Lulu</t>
  </si>
  <si>
    <t>Veda</t>
  </si>
  <si>
    <t>Smoak</t>
  </si>
  <si>
    <t>Keaton</t>
  </si>
  <si>
    <t>Esskay</t>
  </si>
  <si>
    <t>Carlson, Myrna</t>
  </si>
  <si>
    <t>Carson</t>
  </si>
  <si>
    <t>Fullarton, Jillian</t>
  </si>
  <si>
    <t>Wilson, Erin</t>
  </si>
  <si>
    <t>Harvie, Grace</t>
  </si>
  <si>
    <t>Isak</t>
  </si>
  <si>
    <t>Leadbeater, Ann Marie</t>
  </si>
  <si>
    <t>Paynter, Cheryl</t>
  </si>
  <si>
    <t>Rance, Laura</t>
  </si>
  <si>
    <t>Raiden</t>
  </si>
  <si>
    <t>Forgan, Megan</t>
  </si>
  <si>
    <t>Toren</t>
  </si>
  <si>
    <t>Chandler, Christina</t>
  </si>
  <si>
    <t>Rollings, Taarna</t>
  </si>
  <si>
    <t>Phineas</t>
  </si>
  <si>
    <t>Hayward, Stephanie</t>
  </si>
  <si>
    <t>Kivi</t>
  </si>
  <si>
    <t>Drax</t>
  </si>
  <si>
    <t>Kipling</t>
  </si>
  <si>
    <t>Spock</t>
  </si>
  <si>
    <t>Hoffman, Colleen</t>
  </si>
  <si>
    <t>Musette</t>
  </si>
  <si>
    <t>Noël, Stéphanie</t>
  </si>
  <si>
    <t>Bongo</t>
  </si>
  <si>
    <t>Zuma</t>
  </si>
  <si>
    <t>Boileau, Jennifer</t>
  </si>
  <si>
    <t>Coal</t>
  </si>
  <si>
    <t>Pady, Jane</t>
  </si>
  <si>
    <t>Lepine, Michael</t>
  </si>
  <si>
    <t>Bronson</t>
  </si>
  <si>
    <t>Kerunsky, Georgia</t>
  </si>
  <si>
    <t>Nearah</t>
  </si>
  <si>
    <t>Ezzedeen, Souha</t>
  </si>
  <si>
    <t>Kizzy</t>
  </si>
  <si>
    <t>Barge</t>
  </si>
  <si>
    <t>Burak, Mike</t>
  </si>
  <si>
    <t>BEAU</t>
  </si>
  <si>
    <t>Gadoury, Tanya</t>
  </si>
  <si>
    <t>Pocus, Poke</t>
  </si>
  <si>
    <t>Frostad, Patricia</t>
  </si>
  <si>
    <t>Hampton, Evelyn</t>
  </si>
  <si>
    <t>Rio</t>
  </si>
  <si>
    <t>Nero</t>
  </si>
  <si>
    <t>Wong, Health</t>
  </si>
  <si>
    <t>Malique</t>
  </si>
  <si>
    <t>Carter, Jane</t>
  </si>
  <si>
    <t>1115-QGA</t>
  </si>
  <si>
    <t>1115-QGD</t>
  </si>
  <si>
    <t>1999-QGD</t>
  </si>
  <si>
    <t>2620-QGS</t>
  </si>
  <si>
    <t>2882-QGA</t>
  </si>
  <si>
    <t>2961-QGD</t>
  </si>
  <si>
    <t>2969-QGA</t>
  </si>
  <si>
    <t>3021-QGA</t>
  </si>
  <si>
    <t>3040-QGA</t>
  </si>
  <si>
    <t>3122-QGD</t>
  </si>
  <si>
    <t>3135-QGS</t>
  </si>
  <si>
    <t>1629-QGD</t>
  </si>
  <si>
    <t>1630-QGS</t>
  </si>
  <si>
    <t>1807-QGS</t>
  </si>
  <si>
    <t>1807-QGT</t>
  </si>
  <si>
    <t>2336-QGD</t>
  </si>
  <si>
    <t>2336-QGT</t>
  </si>
  <si>
    <t>2444-QGD</t>
  </si>
  <si>
    <t>2860-QGA</t>
  </si>
  <si>
    <t>3029-QGD</t>
  </si>
  <si>
    <t>Australian Koolie</t>
  </si>
  <si>
    <t>Wharton, Emily</t>
  </si>
  <si>
    <t>Yuzik, Angela</t>
  </si>
  <si>
    <t>Melmoth, Emily</t>
  </si>
  <si>
    <t>Basil</t>
  </si>
  <si>
    <t>Moka</t>
  </si>
  <si>
    <t>Gariepy, Nicolas</t>
  </si>
  <si>
    <t>Ramsay, Theresa</t>
  </si>
  <si>
    <t>Nelly</t>
  </si>
  <si>
    <t>Pointer (German Wire-Haired)</t>
  </si>
  <si>
    <t>Dean, Jennifer</t>
  </si>
  <si>
    <t>Obi</t>
  </si>
  <si>
    <t>Basenji</t>
  </si>
  <si>
    <t>Koi</t>
  </si>
  <si>
    <t>Applebee, Kelly</t>
  </si>
  <si>
    <t>Rocket</t>
  </si>
  <si>
    <t>Treble</t>
  </si>
  <si>
    <t>Ryley</t>
  </si>
  <si>
    <t>Thompson, Shanae</t>
  </si>
  <si>
    <t>Dot</t>
  </si>
  <si>
    <t>Ariat</t>
  </si>
  <si>
    <t>Habing, Becky</t>
  </si>
  <si>
    <t>Loot</t>
  </si>
  <si>
    <t>Nugget</t>
  </si>
  <si>
    <t>Draven</t>
  </si>
  <si>
    <t>Lewis, Margaret</t>
  </si>
  <si>
    <t>Tiel</t>
  </si>
  <si>
    <t>King, Gloria</t>
  </si>
  <si>
    <t>Daiquiri</t>
  </si>
  <si>
    <t>Ganshorn, Judy</t>
  </si>
  <si>
    <t>Auger, Chris</t>
  </si>
  <si>
    <t>Marti</t>
  </si>
  <si>
    <t>Dahl, Matthias</t>
  </si>
  <si>
    <t>Flyte</t>
  </si>
  <si>
    <t>Hall, Marsha</t>
  </si>
  <si>
    <t>Noble</t>
  </si>
  <si>
    <t>White, Angela</t>
  </si>
  <si>
    <t>Hannon, Carol</t>
  </si>
  <si>
    <t>Daniel</t>
  </si>
  <si>
    <t>Kerr, Alexcia</t>
  </si>
  <si>
    <t>Louise</t>
  </si>
  <si>
    <t>Sparks</t>
  </si>
  <si>
    <t>Harder, Trish</t>
  </si>
  <si>
    <t>Hector</t>
  </si>
  <si>
    <t>Smereka, Alexandra</t>
  </si>
  <si>
    <t>Selkie</t>
  </si>
  <si>
    <t>Freed, Daryl</t>
  </si>
  <si>
    <t>Kitty Girl</t>
  </si>
  <si>
    <t>MacEachern, Sean</t>
  </si>
  <si>
    <t>Hogan</t>
  </si>
  <si>
    <t>Stuart, Michaela</t>
  </si>
  <si>
    <t>Vega</t>
  </si>
  <si>
    <t>Pope, Chelsea</t>
  </si>
  <si>
    <t>Gohan</t>
  </si>
  <si>
    <t>Daphne</t>
  </si>
  <si>
    <t>Bruno</t>
  </si>
  <si>
    <t>McCooeye, Shannon</t>
  </si>
  <si>
    <t>Finic</t>
  </si>
  <si>
    <t>Bako, Shannon</t>
  </si>
  <si>
    <t>Burr, Donna</t>
  </si>
  <si>
    <t>McLay, Margaret</t>
  </si>
  <si>
    <t>Slonowski, Donna</t>
  </si>
  <si>
    <t>Six</t>
  </si>
  <si>
    <t>Brad, Eric</t>
  </si>
  <si>
    <t>Morrison, Julia</t>
  </si>
  <si>
    <t>Ashe</t>
  </si>
  <si>
    <t>Mo</t>
  </si>
  <si>
    <t>Rendall, Sheena</t>
  </si>
  <si>
    <t>Rev</t>
  </si>
  <si>
    <t>Little, Lori</t>
  </si>
  <si>
    <t>Armstrong, Meegan</t>
  </si>
  <si>
    <t>spruce</t>
  </si>
  <si>
    <t>Swell</t>
  </si>
  <si>
    <t>Cousineau, Sarah</t>
  </si>
  <si>
    <t>Tina</t>
  </si>
  <si>
    <t>Henkels, Nicole</t>
  </si>
  <si>
    <t>Stewie</t>
  </si>
  <si>
    <t>Tipp</t>
  </si>
  <si>
    <t>Eberle, Colleen</t>
  </si>
  <si>
    <t>Sprigg, Karen</t>
  </si>
  <si>
    <t>Elsie</t>
  </si>
  <si>
    <t>Mazu</t>
  </si>
  <si>
    <t>Gavin, Deborah</t>
  </si>
  <si>
    <t>Patry-Lebeau, Cassandra</t>
  </si>
  <si>
    <t>de Jesse, Eugénie</t>
  </si>
  <si>
    <t>Wood, Deborah</t>
  </si>
  <si>
    <t>Akilo</t>
  </si>
  <si>
    <t>Chan, Karen</t>
  </si>
  <si>
    <t>Harmony</t>
  </si>
  <si>
    <t>Boudrias, Ginette</t>
  </si>
  <si>
    <t>Aisha</t>
  </si>
  <si>
    <t>Sian</t>
  </si>
  <si>
    <t>West</t>
  </si>
  <si>
    <t>HOMET, ASTRID Homet</t>
  </si>
  <si>
    <t>Kiff</t>
  </si>
  <si>
    <t>Priest, Terri</t>
  </si>
  <si>
    <t>Baker, Mike</t>
  </si>
  <si>
    <t>Sailor</t>
  </si>
  <si>
    <t>Scott, Melody</t>
  </si>
  <si>
    <t>Tilde~</t>
  </si>
  <si>
    <t>Gryn</t>
  </si>
  <si>
    <t>Gallacher, Tammy</t>
  </si>
  <si>
    <t>Soleil</t>
  </si>
  <si>
    <t>Kalnay, Alanna</t>
  </si>
  <si>
    <t>Salt, Donna</t>
  </si>
  <si>
    <t>Alyeska</t>
  </si>
  <si>
    <t>Hamade, Stacey</t>
  </si>
  <si>
    <t>Keir</t>
  </si>
  <si>
    <t>Ricochet</t>
  </si>
  <si>
    <t>Braque Français (Pyrenees)</t>
  </si>
  <si>
    <t>Urbanski, Adelina</t>
  </si>
  <si>
    <t>3308-QGD</t>
  </si>
  <si>
    <t>3309-QGA</t>
  </si>
  <si>
    <t>3310-QGD</t>
  </si>
  <si>
    <t>CHIARA</t>
  </si>
  <si>
    <t>Offer, Tara</t>
  </si>
  <si>
    <t>Loveseth, Vanessa</t>
  </si>
  <si>
    <t>Clouthier, Laurie</t>
  </si>
  <si>
    <t>Prudhomme, Jane</t>
  </si>
  <si>
    <t>Adams, Christine</t>
  </si>
  <si>
    <t>Sionnach</t>
  </si>
  <si>
    <t>Ni Chroinin, Niamh</t>
  </si>
  <si>
    <t>Kini</t>
  </si>
  <si>
    <t>Deni</t>
  </si>
  <si>
    <t>Jacob</t>
  </si>
  <si>
    <t>Sperling, Joan</t>
  </si>
  <si>
    <t>Wright, Lorna</t>
  </si>
  <si>
    <t>Dug</t>
  </si>
  <si>
    <t>Norris, Laura</t>
  </si>
  <si>
    <t>Brewster, Sandra</t>
  </si>
  <si>
    <t>DeCillia, Melanie</t>
  </si>
  <si>
    <t>FAst, NIcky</t>
  </si>
  <si>
    <t>Hobbes</t>
  </si>
  <si>
    <t>1413-QGD</t>
  </si>
  <si>
    <t>1413-QGS</t>
  </si>
  <si>
    <t>1473-QGA</t>
  </si>
  <si>
    <t>1473-QGD</t>
  </si>
  <si>
    <t>1640-QGS</t>
  </si>
  <si>
    <t>1665-QGA</t>
  </si>
  <si>
    <t>1665-QGD</t>
  </si>
  <si>
    <t>1665-QGS</t>
  </si>
  <si>
    <t>1875-QGS</t>
  </si>
  <si>
    <t>2194-QGD</t>
  </si>
  <si>
    <t>2603-QGD</t>
  </si>
  <si>
    <t>2626-QGD</t>
  </si>
  <si>
    <t>2626-QGS</t>
  </si>
  <si>
    <t>2656-QGA</t>
  </si>
  <si>
    <t>2700-QGS</t>
  </si>
  <si>
    <t>2740-QGS</t>
  </si>
  <si>
    <t>2759-QGD</t>
  </si>
  <si>
    <t>2760-QGD</t>
  </si>
  <si>
    <t>2908-QGA</t>
  </si>
  <si>
    <t>2908-QGD</t>
  </si>
  <si>
    <t>2908-QGS</t>
  </si>
  <si>
    <t>2973-QGA</t>
  </si>
  <si>
    <t>2973-QGT</t>
  </si>
  <si>
    <t>3021-QGS</t>
  </si>
  <si>
    <t>3119-QGD</t>
  </si>
  <si>
    <t>3162-QGD</t>
  </si>
  <si>
    <t>3217-QGD</t>
  </si>
  <si>
    <t>3237-QGD</t>
  </si>
  <si>
    <t>3270-QGA</t>
  </si>
  <si>
    <t>3270-QGD</t>
  </si>
  <si>
    <t>3290-QGD</t>
  </si>
  <si>
    <t>3303-QGD</t>
  </si>
  <si>
    <t>3406-QGD</t>
  </si>
  <si>
    <t>1545-QGA</t>
  </si>
  <si>
    <t>1545-QGD</t>
  </si>
  <si>
    <t>1616-QGA</t>
  </si>
  <si>
    <t>1666-QGA</t>
  </si>
  <si>
    <t>1666-QGD</t>
  </si>
  <si>
    <t>2237-QGA</t>
  </si>
  <si>
    <t>2250-QGA</t>
  </si>
  <si>
    <t>2250-QGD</t>
  </si>
  <si>
    <t>2651-QGA</t>
  </si>
  <si>
    <t>2651-QGD</t>
  </si>
  <si>
    <t>2669-QGA</t>
  </si>
  <si>
    <t>2669-QGD</t>
  </si>
  <si>
    <t>2677-QGD</t>
  </si>
  <si>
    <t>2864-QGA</t>
  </si>
  <si>
    <t>2956-QGD</t>
  </si>
  <si>
    <t>3116-QGA</t>
  </si>
  <si>
    <t>3116-QGD</t>
  </si>
  <si>
    <t>3215-QGA</t>
  </si>
  <si>
    <t>3340-QGA</t>
  </si>
  <si>
    <t>3347-QGA</t>
  </si>
  <si>
    <t>3351-QGA</t>
  </si>
  <si>
    <t>3351-QGD</t>
  </si>
  <si>
    <t>394-QGA</t>
  </si>
  <si>
    <t>394-QGD</t>
  </si>
  <si>
    <t>692-QGA</t>
  </si>
  <si>
    <t>Korben</t>
  </si>
  <si>
    <t>Bell, Kayla</t>
  </si>
  <si>
    <t>Segel-Brown, Ben</t>
  </si>
  <si>
    <t>Sami</t>
  </si>
  <si>
    <t>Parlow, Carol</t>
  </si>
  <si>
    <t>Bruna</t>
  </si>
  <si>
    <t>Nyrah</t>
  </si>
  <si>
    <t>Vieira, Courtney</t>
  </si>
  <si>
    <t>Wallace, Dawn</t>
  </si>
  <si>
    <t>Putman, Maddy</t>
  </si>
  <si>
    <t>Mango</t>
  </si>
  <si>
    <t>Geiger, Lori</t>
  </si>
  <si>
    <t>Calvin</t>
  </si>
  <si>
    <t>McIvor, Shelby</t>
  </si>
  <si>
    <t>Lecours, Margaret</t>
  </si>
  <si>
    <t>Hawkins Schulz, Kaleigh</t>
  </si>
  <si>
    <t>Groovy</t>
  </si>
  <si>
    <t>Harlee</t>
  </si>
  <si>
    <t>Youmans, Linda</t>
  </si>
  <si>
    <t>Parent, BettyAnn</t>
  </si>
  <si>
    <t>3PO</t>
  </si>
  <si>
    <t>Elllis, Melanie</t>
  </si>
  <si>
    <t>Wilson, Sarah</t>
  </si>
  <si>
    <t>Hunter, Heather</t>
  </si>
  <si>
    <t>Allen, Barbara</t>
  </si>
  <si>
    <t>Walter</t>
  </si>
  <si>
    <t>Mannella, Laura</t>
  </si>
  <si>
    <t>Rudder</t>
  </si>
  <si>
    <t>Young, Sarah</t>
  </si>
  <si>
    <t>Samara</t>
  </si>
  <si>
    <t>Bacon, Stephanie</t>
  </si>
  <si>
    <t>Jeter</t>
  </si>
  <si>
    <t>Henebury, Tracy</t>
  </si>
  <si>
    <t>Fuji</t>
  </si>
  <si>
    <t>Powell, Claire</t>
  </si>
  <si>
    <t>Chayer, Marie Ève</t>
  </si>
  <si>
    <t>Letcher, Lindsay</t>
  </si>
  <si>
    <t>Vachon, Gabrielle</t>
  </si>
  <si>
    <t>Maeve</t>
  </si>
  <si>
    <t>Schwartz Porter, Janet</t>
  </si>
  <si>
    <t>Todic, Tanja</t>
  </si>
  <si>
    <t>Parent, jannick</t>
  </si>
  <si>
    <t>Jackson</t>
  </si>
  <si>
    <t>Finnish Spitz</t>
  </si>
  <si>
    <t>Langlois, Sarah</t>
  </si>
  <si>
    <t>Anderson, Larry</t>
  </si>
  <si>
    <t>Britta</t>
  </si>
  <si>
    <t>Miller, Lucas</t>
  </si>
  <si>
    <t>Fae</t>
  </si>
  <si>
    <t>Abi</t>
  </si>
  <si>
    <t>Zero</t>
  </si>
  <si>
    <t>Clayson, Mary</t>
  </si>
  <si>
    <t>Rochefort, Marie-Pier</t>
  </si>
  <si>
    <t>Kwis</t>
  </si>
  <si>
    <t>Parkinson, Helen</t>
  </si>
  <si>
    <t>LeGuin</t>
  </si>
  <si>
    <t>Carmela</t>
  </si>
  <si>
    <t>Miller, Robin</t>
  </si>
  <si>
    <t>Flibotte, France</t>
  </si>
  <si>
    <t>Goose</t>
  </si>
  <si>
    <t>Green, Hayley</t>
  </si>
  <si>
    <t>Percy</t>
  </si>
  <si>
    <t>Engbretson, Meghan</t>
  </si>
  <si>
    <t>Starchuk, Kim</t>
  </si>
  <si>
    <t>Hudson</t>
  </si>
  <si>
    <t>1132-QGA</t>
  </si>
  <si>
    <t>1132-QGS</t>
  </si>
  <si>
    <t>1212-QGD</t>
  </si>
  <si>
    <t>1360-QGD</t>
  </si>
  <si>
    <t>1360-QGT</t>
  </si>
  <si>
    <t>1379-QGA</t>
  </si>
  <si>
    <t>1379-QGD</t>
  </si>
  <si>
    <t>1379-QGT</t>
  </si>
  <si>
    <t>1681-QGD</t>
  </si>
  <si>
    <t>1720-QGA</t>
  </si>
  <si>
    <t>1761-QGA</t>
  </si>
  <si>
    <t>1980-QGT</t>
  </si>
  <si>
    <t>2051-QGD</t>
  </si>
  <si>
    <t>2051-QGS</t>
  </si>
  <si>
    <t>2118-QGT</t>
  </si>
  <si>
    <t>2149-QGA</t>
  </si>
  <si>
    <t>2149-QGD</t>
  </si>
  <si>
    <t>2205-QGA</t>
  </si>
  <si>
    <t>2205-QGT</t>
  </si>
  <si>
    <t>2329-QGA</t>
  </si>
  <si>
    <t>2329-QGD</t>
  </si>
  <si>
    <t>2329-QGS</t>
  </si>
  <si>
    <t>2329-QGT</t>
  </si>
  <si>
    <t>2471-QGA</t>
  </si>
  <si>
    <t>2471-QGS</t>
  </si>
  <si>
    <t>2498-QGT</t>
  </si>
  <si>
    <t>2561-QGS</t>
  </si>
  <si>
    <t>2568-QGD</t>
  </si>
  <si>
    <t>2568-QGS</t>
  </si>
  <si>
    <t>2598-QGA</t>
  </si>
  <si>
    <t>2598-QGS</t>
  </si>
  <si>
    <t>2598-QGT</t>
  </si>
  <si>
    <t>2641-QGA</t>
  </si>
  <si>
    <t>2641-QGD</t>
  </si>
  <si>
    <t>2641-QGS</t>
  </si>
  <si>
    <t>2641-QGT</t>
  </si>
  <si>
    <t>2686-QGD</t>
  </si>
  <si>
    <t>2687-QGD</t>
  </si>
  <si>
    <t>2694-QGA</t>
  </si>
  <si>
    <t>2694-QGD</t>
  </si>
  <si>
    <t>2829-QGA</t>
  </si>
  <si>
    <t>2829-QGD</t>
  </si>
  <si>
    <t>2885-QGD</t>
  </si>
  <si>
    <t>2946-QGD</t>
  </si>
  <si>
    <t>3016-QGD</t>
  </si>
  <si>
    <t>3094-QGA</t>
  </si>
  <si>
    <t>3094-QGD</t>
  </si>
  <si>
    <t>3131-QGT</t>
  </si>
  <si>
    <t>3175-QGD</t>
  </si>
  <si>
    <t>3319-QGD</t>
  </si>
  <si>
    <t>3364-QGA</t>
  </si>
  <si>
    <t>3364-QGD</t>
  </si>
  <si>
    <t>3378-QGA</t>
  </si>
  <si>
    <t>449-QGD</t>
  </si>
  <si>
    <t>Hildi</t>
  </si>
  <si>
    <t>Benson</t>
  </si>
  <si>
    <t>McMillan, Ashley</t>
  </si>
  <si>
    <t>Kaia</t>
  </si>
  <si>
    <t>Lott, Kirstin</t>
  </si>
  <si>
    <t>Lambrechts, Iris</t>
  </si>
  <si>
    <t>Mapplebeck, Marc</t>
  </si>
  <si>
    <t>Koa</t>
  </si>
  <si>
    <t>Koschzek, Rai</t>
  </si>
  <si>
    <t>Caïd</t>
  </si>
  <si>
    <t>Jules</t>
  </si>
  <si>
    <t>Volk</t>
  </si>
  <si>
    <t>Woodsie</t>
  </si>
  <si>
    <t>Shotbolt, Anissa</t>
  </si>
  <si>
    <t>Mounce, Heather</t>
  </si>
  <si>
    <t>Hunter boy</t>
  </si>
  <si>
    <t>Foisy, Misty</t>
  </si>
  <si>
    <t>Sojonky, Pamela</t>
  </si>
  <si>
    <t>Griffon (Wire-Haired Pointing)</t>
  </si>
  <si>
    <t>McRae, MaryLynn</t>
  </si>
  <si>
    <t>Charaid</t>
  </si>
  <si>
    <t>Desrosiers, Johanne</t>
  </si>
  <si>
    <t>Calibre</t>
  </si>
  <si>
    <t>macdonald, kathryn</t>
  </si>
  <si>
    <t>Glen, Heather</t>
  </si>
  <si>
    <t>Foster, Carol</t>
  </si>
  <si>
    <t>Taïga</t>
  </si>
  <si>
    <t>Halpenny, Melissa</t>
  </si>
  <si>
    <t>Williams, Mary-Lou</t>
  </si>
  <si>
    <t>Waffles Whynot</t>
  </si>
  <si>
    <t>Whynot, Leanne</t>
  </si>
  <si>
    <t>Fritter Whynot</t>
  </si>
  <si>
    <t>Baumann, Brigitte</t>
  </si>
  <si>
    <t>Biscuit</t>
  </si>
  <si>
    <t>MacLeod Horvat, Erin</t>
  </si>
  <si>
    <t>Smuggle</t>
  </si>
  <si>
    <t>Lefebvre, Deanna</t>
  </si>
  <si>
    <t>Oreo</t>
  </si>
  <si>
    <t>1212-QGT</t>
  </si>
  <si>
    <t>1702-QGA</t>
  </si>
  <si>
    <t>1706-QGT</t>
  </si>
  <si>
    <t>2276-QGA</t>
  </si>
  <si>
    <t>2294-QGD</t>
  </si>
  <si>
    <t>2308-QGS</t>
  </si>
  <si>
    <t>2691-QGD</t>
  </si>
  <si>
    <t>2715-QGD</t>
  </si>
  <si>
    <t>2864-QGT</t>
  </si>
  <si>
    <t>2946-QGA</t>
  </si>
  <si>
    <t>2975-QGA</t>
  </si>
  <si>
    <t>3156-QGA</t>
  </si>
  <si>
    <t>3374-QGA</t>
  </si>
  <si>
    <t>345-QGS</t>
  </si>
  <si>
    <t>449-QGA</t>
  </si>
  <si>
    <t>926-QGA</t>
  </si>
  <si>
    <t>926-QGS</t>
  </si>
  <si>
    <t>967-QGA</t>
  </si>
  <si>
    <t>1265-QGA</t>
  </si>
  <si>
    <t>1265-QGD</t>
  </si>
  <si>
    <t>1265-QGT</t>
  </si>
  <si>
    <t>1266-QGD</t>
  </si>
  <si>
    <t>1266-QGS</t>
  </si>
  <si>
    <t>1266-QGT</t>
  </si>
  <si>
    <t>1629-QGA</t>
  </si>
  <si>
    <t>1823-QGA</t>
  </si>
  <si>
    <t>1823-QGD</t>
  </si>
  <si>
    <t>1823-QGS</t>
  </si>
  <si>
    <t>1823-QGT</t>
  </si>
  <si>
    <t>1831-QGD</t>
  </si>
  <si>
    <t>1831-QGT</t>
  </si>
  <si>
    <t>2336-QGS</t>
  </si>
  <si>
    <t>2853-QGD</t>
  </si>
  <si>
    <t>2860-QGD</t>
  </si>
  <si>
    <t>2860-QGS</t>
  </si>
  <si>
    <t>2877-QGA</t>
  </si>
  <si>
    <t>3029-QGT</t>
  </si>
  <si>
    <t>3284-QGA</t>
  </si>
  <si>
    <t>3308-QGA</t>
  </si>
  <si>
    <t>3308-QGS</t>
  </si>
  <si>
    <t>3311-QGA</t>
  </si>
  <si>
    <t>3311-QGT</t>
  </si>
  <si>
    <t>3312-QGA</t>
  </si>
  <si>
    <t>Lyla</t>
  </si>
  <si>
    <t>Cas</t>
  </si>
  <si>
    <t>Langpap, Allison</t>
  </si>
  <si>
    <t>Anderson, Stephanie</t>
  </si>
  <si>
    <t>magnan, nathalie</t>
  </si>
  <si>
    <t>Lux</t>
  </si>
  <si>
    <t>Lloy, Karen</t>
  </si>
  <si>
    <t>Nike</t>
  </si>
  <si>
    <t>Bell, Jennifer</t>
  </si>
  <si>
    <t>Kubica, Gregory</t>
  </si>
  <si>
    <t>Archie</t>
  </si>
  <si>
    <t>Kaldestad, Mackenzie</t>
  </si>
  <si>
    <t>Angle</t>
  </si>
  <si>
    <t>Fisher, Jean</t>
  </si>
  <si>
    <t>Corke, Sarah Jane</t>
  </si>
  <si>
    <t>Teejay</t>
  </si>
  <si>
    <t>Cavanaugh, Kim</t>
  </si>
  <si>
    <t>Gaudet, Kirsten</t>
  </si>
  <si>
    <t>Laser</t>
  </si>
  <si>
    <t>Condly, Lisa</t>
  </si>
  <si>
    <t>Thomson, Doug</t>
  </si>
  <si>
    <t>Creusot, Julia</t>
  </si>
  <si>
    <t>Georgie</t>
  </si>
  <si>
    <t>Berar, Lynda</t>
  </si>
  <si>
    <t>Bates, Helaina</t>
  </si>
  <si>
    <t>De Bruin, Shannon</t>
  </si>
  <si>
    <t>Champy</t>
  </si>
  <si>
    <t>Landry, Heike</t>
  </si>
  <si>
    <t>Gussie</t>
  </si>
  <si>
    <t>Atkinson, Heather</t>
  </si>
  <si>
    <t>Ketza</t>
  </si>
  <si>
    <t>Heal, Shari</t>
  </si>
  <si>
    <t>Tiree</t>
  </si>
  <si>
    <t>Campbell, Gwen</t>
  </si>
  <si>
    <t>Reecon</t>
  </si>
  <si>
    <t>Tarot</t>
  </si>
  <si>
    <t>Conway, Jennifer</t>
  </si>
  <si>
    <t>Proteau, Nita</t>
  </si>
  <si>
    <t>Pharaoh</t>
  </si>
  <si>
    <t>COLES, CATHERINE</t>
  </si>
  <si>
    <t>Hamm, Dana</t>
  </si>
  <si>
    <t>Groot</t>
  </si>
  <si>
    <t>Nijhar, Navhreet</t>
  </si>
  <si>
    <t>Willie</t>
  </si>
  <si>
    <t>Hoyles, Susan</t>
  </si>
  <si>
    <t>SPIRIT</t>
  </si>
  <si>
    <t>1145-QGD</t>
  </si>
  <si>
    <t>1412-QGA</t>
  </si>
  <si>
    <t>1833-QGT</t>
  </si>
  <si>
    <t>1889-QGD</t>
  </si>
  <si>
    <t>1910-QGD</t>
  </si>
  <si>
    <t>1947-QGT</t>
  </si>
  <si>
    <t>2175-QGA</t>
  </si>
  <si>
    <t>2175-QGD</t>
  </si>
  <si>
    <t>2175-QGS</t>
  </si>
  <si>
    <t>2205-QGD</t>
  </si>
  <si>
    <t>2320-QGA</t>
  </si>
  <si>
    <t>2529-QGS</t>
  </si>
  <si>
    <t>2554-QGD</t>
  </si>
  <si>
    <t>2579-QGA</t>
  </si>
  <si>
    <t>2579-QGD</t>
  </si>
  <si>
    <t>2598-QGD</t>
  </si>
  <si>
    <t>2603-QGT</t>
  </si>
  <si>
    <t>2720-QGA</t>
  </si>
  <si>
    <t>2720-QGD</t>
  </si>
  <si>
    <t>2720-QGT</t>
  </si>
  <si>
    <t>2760-QGA</t>
  </si>
  <si>
    <t>2891-QGS</t>
  </si>
  <si>
    <t>2891-QGT</t>
  </si>
  <si>
    <t>3009-QGS</t>
  </si>
  <si>
    <t>3127-QGA</t>
  </si>
  <si>
    <t>3127-QGS</t>
  </si>
  <si>
    <t>3132-QGD</t>
  </si>
  <si>
    <t>3133-QGA</t>
  </si>
  <si>
    <t>314-QGT</t>
  </si>
  <si>
    <t>3198-QGD</t>
  </si>
  <si>
    <t>3221-QGD</t>
  </si>
  <si>
    <t>3228-QGA</t>
  </si>
  <si>
    <t>3284-QGD</t>
  </si>
  <si>
    <t>3290-QGA</t>
  </si>
  <si>
    <t>3303-QGT</t>
  </si>
  <si>
    <t>3378-QGD</t>
  </si>
  <si>
    <t>3378-QGT</t>
  </si>
  <si>
    <t>3406-QGA</t>
  </si>
  <si>
    <t>3410-QGD</t>
  </si>
  <si>
    <t>3410-QGS</t>
  </si>
  <si>
    <t>3482-QGA</t>
  </si>
  <si>
    <t>3482-QGD</t>
  </si>
  <si>
    <t>542-QGD</t>
  </si>
  <si>
    <t>62-QGD</t>
  </si>
  <si>
    <t>1663-QGD</t>
  </si>
  <si>
    <t>1819-QGA</t>
  </si>
  <si>
    <t>1819-QGS</t>
  </si>
  <si>
    <t>1819-QGT</t>
  </si>
  <si>
    <t>1826-QGA</t>
  </si>
  <si>
    <t>1927-QGD</t>
  </si>
  <si>
    <t>1927-QGS</t>
  </si>
  <si>
    <t>2444-QGS</t>
  </si>
  <si>
    <t>2444-QGT</t>
  </si>
  <si>
    <t>2860-QGT</t>
  </si>
  <si>
    <t>3159-QGA</t>
  </si>
  <si>
    <t>3159-QGS</t>
  </si>
  <si>
    <t>3159-QGT</t>
  </si>
  <si>
    <t>3234-QGA</t>
  </si>
  <si>
    <t>3234-QGD</t>
  </si>
  <si>
    <t>3234-QGS</t>
  </si>
  <si>
    <t>3234-QGT</t>
  </si>
  <si>
    <t>3235-QGA</t>
  </si>
  <si>
    <t>3235-QGD</t>
  </si>
  <si>
    <t>3383-QGT</t>
  </si>
  <si>
    <t>1129-QGA</t>
  </si>
  <si>
    <t>1129-QGT</t>
  </si>
  <si>
    <t>1360-QGS</t>
  </si>
  <si>
    <t>2478-QGA</t>
  </si>
  <si>
    <t>2478-QGT</t>
  </si>
  <si>
    <t>2775-QGD</t>
  </si>
  <si>
    <t>3016-QGT</t>
  </si>
  <si>
    <t>3131-QGA</t>
  </si>
  <si>
    <t>3131-QGD</t>
  </si>
  <si>
    <t>Hodgins, juneh@bellaliant.net</t>
  </si>
  <si>
    <t>Wish</t>
  </si>
  <si>
    <t>Simard, Nathaly</t>
  </si>
  <si>
    <t>Schall, Vera</t>
  </si>
  <si>
    <t>juno</t>
  </si>
  <si>
    <t>Palidwor, Dave</t>
  </si>
  <si>
    <t>Robinson, Ian</t>
  </si>
  <si>
    <t>Philbrick, Caitlin</t>
  </si>
  <si>
    <t>Damude, Robyn</t>
  </si>
  <si>
    <t>Misty</t>
  </si>
  <si>
    <t>Kosteriva, Katey</t>
  </si>
  <si>
    <t>Lee, Angela</t>
  </si>
  <si>
    <t>Lumi</t>
  </si>
  <si>
    <t>Colitto, Britney</t>
  </si>
  <si>
    <t>Anderson, Kelli</t>
  </si>
  <si>
    <t>Hobbs</t>
  </si>
  <si>
    <t>Hatton, Hillary</t>
  </si>
  <si>
    <t>BRAHMABOY</t>
  </si>
  <si>
    <t>Caron, Carolle</t>
  </si>
  <si>
    <t>Tornado</t>
  </si>
  <si>
    <t>Midgley, Helen</t>
  </si>
  <si>
    <t>Karen</t>
  </si>
  <si>
    <t>Blake, Toyen</t>
  </si>
  <si>
    <t>Gustafsson, Marie</t>
  </si>
  <si>
    <t>Rostron, Lisa</t>
  </si>
  <si>
    <t>Deb</t>
  </si>
  <si>
    <t>Mooney, Susan</t>
  </si>
  <si>
    <t>Beau</t>
  </si>
  <si>
    <t>Fielding, Meaghan</t>
  </si>
  <si>
    <t>Boyer, Valérie</t>
  </si>
  <si>
    <t>Tierney</t>
  </si>
  <si>
    <t>Lentil</t>
  </si>
  <si>
    <t>Commons, Leona</t>
  </si>
  <si>
    <t>Yee, Anita</t>
  </si>
  <si>
    <t>Sidney, Jessie</t>
  </si>
  <si>
    <t>Stetson</t>
  </si>
  <si>
    <t>Gordie</t>
  </si>
  <si>
    <t>Duesie</t>
  </si>
  <si>
    <t>Hamade, Chizuko</t>
  </si>
  <si>
    <t>Mallie</t>
  </si>
  <si>
    <t>Robinson, Tanya</t>
  </si>
  <si>
    <t>Pfeifer, Katie</t>
  </si>
  <si>
    <t>Curi</t>
  </si>
  <si>
    <t>Organ, Joanne</t>
  </si>
  <si>
    <t>Willa</t>
  </si>
  <si>
    <t>Christie, Kevin</t>
  </si>
  <si>
    <t>Smith, Linda</t>
  </si>
  <si>
    <t>Kila</t>
  </si>
  <si>
    <t>Iskra-thibaudeau, Amanda</t>
  </si>
  <si>
    <t>Kenai</t>
  </si>
  <si>
    <t>Mather, Vesta</t>
  </si>
  <si>
    <t>Barry</t>
  </si>
  <si>
    <t>Archibald, Jenn</t>
  </si>
  <si>
    <t>Lewis, Amy</t>
  </si>
  <si>
    <t>Jon Snow</t>
  </si>
  <si>
    <t>Legner, Richard</t>
  </si>
  <si>
    <t>Eris</t>
  </si>
  <si>
    <t>Martucci, Amelia</t>
  </si>
  <si>
    <t>Pippin</t>
  </si>
  <si>
    <t>Lewis, Sarah</t>
  </si>
  <si>
    <t>Dimitrovski, Pat</t>
  </si>
  <si>
    <t>Clegg, Erica</t>
  </si>
  <si>
    <t>Kip</t>
  </si>
  <si>
    <t>Wong, Sally</t>
  </si>
  <si>
    <t>Rachel</t>
  </si>
  <si>
    <t>Stead, Katherine</t>
  </si>
  <si>
    <t>Maple Armitage</t>
  </si>
  <si>
    <t>Armitage, Joseph</t>
  </si>
  <si>
    <t>Titus</t>
  </si>
  <si>
    <t>Seyan, Ravi</t>
  </si>
  <si>
    <t>Keffie</t>
  </si>
  <si>
    <t>Mélissa, Ratté</t>
  </si>
  <si>
    <t>Keera</t>
  </si>
  <si>
    <t>Gould, Camelia</t>
  </si>
  <si>
    <t>Madore, John</t>
  </si>
  <si>
    <t>Alice</t>
  </si>
  <si>
    <t>Tremblay, Demi</t>
  </si>
  <si>
    <t>Schneider, Irene</t>
  </si>
  <si>
    <t>Lync</t>
  </si>
  <si>
    <t>Ulianets, Natalia</t>
  </si>
  <si>
    <t>Nikka</t>
  </si>
  <si>
    <t>Staysko, Mia</t>
  </si>
  <si>
    <t>Maui</t>
  </si>
  <si>
    <t>Ferguson, Kelly</t>
  </si>
  <si>
    <t>Smart</t>
  </si>
  <si>
    <t>Riker</t>
  </si>
  <si>
    <t>Van Wyk, Victoria</t>
  </si>
  <si>
    <t>Bond, Edna</t>
  </si>
  <si>
    <t>Dawson, Nicole</t>
  </si>
  <si>
    <t>1345-QGA</t>
  </si>
  <si>
    <t>1345-QGS</t>
  </si>
  <si>
    <t>1806-QGS</t>
  </si>
  <si>
    <t>1806-QGT</t>
  </si>
  <si>
    <t>1813-QGS</t>
  </si>
  <si>
    <t>2059-QGD</t>
  </si>
  <si>
    <t>2194-QGT</t>
  </si>
  <si>
    <t>2646-QGS</t>
  </si>
  <si>
    <t>2680-QGA</t>
  </si>
  <si>
    <t>2680-QGD</t>
  </si>
  <si>
    <t>2680-QGS</t>
  </si>
  <si>
    <t>2746-QGD</t>
  </si>
  <si>
    <t>2896-QGD</t>
  </si>
  <si>
    <t>2961-QGA</t>
  </si>
  <si>
    <t>3004-QGA</t>
  </si>
  <si>
    <t>3004-QGD</t>
  </si>
  <si>
    <t>3004-QGS</t>
  </si>
  <si>
    <t>3004-QGT</t>
  </si>
  <si>
    <t>3005-QGD</t>
  </si>
  <si>
    <t>3044-QGD</t>
  </si>
  <si>
    <t>3127-QGD</t>
  </si>
  <si>
    <t>3132-QGA</t>
  </si>
  <si>
    <t>3162-QGS</t>
  </si>
  <si>
    <t>3237-QGA</t>
  </si>
  <si>
    <t>3277-QGT</t>
  </si>
  <si>
    <t>3278-QGD</t>
  </si>
  <si>
    <t>3278-QGS</t>
  </si>
  <si>
    <t>3297-QGA</t>
  </si>
  <si>
    <t>3297-QGD</t>
  </si>
  <si>
    <t>3298-QGA</t>
  </si>
  <si>
    <t>3298-QGD</t>
  </si>
  <si>
    <t>3352-QGD</t>
  </si>
  <si>
    <t>3439-QGA</t>
  </si>
  <si>
    <t>3439-QGD</t>
  </si>
  <si>
    <t>3439-QGT</t>
  </si>
  <si>
    <t>3625-QGA</t>
  </si>
  <si>
    <t>1909-QGS</t>
  </si>
  <si>
    <t>2059-QGA</t>
  </si>
  <si>
    <t>2725-QGD</t>
  </si>
  <si>
    <t>3221-QGA</t>
  </si>
  <si>
    <t>3277-QGD</t>
  </si>
  <si>
    <t>3356-QGD</t>
  </si>
  <si>
    <t>3439-QGS</t>
  </si>
  <si>
    <t>3521-QGA</t>
  </si>
  <si>
    <t>446-QGT</t>
  </si>
  <si>
    <t>Xeena</t>
  </si>
  <si>
    <t>Baker, Jen</t>
  </si>
  <si>
    <t>Rip</t>
  </si>
  <si>
    <t>Cardinell, Beverley</t>
  </si>
  <si>
    <t>Wood, Alexandra</t>
  </si>
  <si>
    <t>Lani</t>
  </si>
  <si>
    <t>Krill, Tracey</t>
  </si>
  <si>
    <t>Fauvelle, Cat</t>
  </si>
  <si>
    <t>Tyllan</t>
  </si>
  <si>
    <t>Parks, Janet</t>
  </si>
  <si>
    <t>Narcisi, Nadia</t>
  </si>
  <si>
    <t>Potter, Michele</t>
  </si>
  <si>
    <t>Forbes, Sheila</t>
  </si>
  <si>
    <t>Leggo</t>
  </si>
  <si>
    <t>Groulx, Sharon</t>
  </si>
  <si>
    <t>Torvi</t>
  </si>
  <si>
    <t>Fargo</t>
  </si>
  <si>
    <t>Kovalevsky, Maria</t>
  </si>
  <si>
    <t>Vici</t>
  </si>
  <si>
    <t>Bradley, Tracey</t>
  </si>
  <si>
    <t>Murtagh</t>
  </si>
  <si>
    <t>Lovell, Michael</t>
  </si>
  <si>
    <t>Meier, Adrienne</t>
  </si>
  <si>
    <t>Averill, Vicki</t>
  </si>
  <si>
    <t>SHINE</t>
  </si>
  <si>
    <t>Bater, Sandra</t>
  </si>
  <si>
    <t>Sym</t>
  </si>
  <si>
    <t>Anderson, Jean</t>
  </si>
  <si>
    <t>CHET</t>
  </si>
  <si>
    <t>Missy</t>
  </si>
  <si>
    <t>Stacionis, Heidi</t>
  </si>
  <si>
    <t>1615-QGA</t>
  </si>
  <si>
    <t>1615-QGD</t>
  </si>
  <si>
    <t>1616-QGD</t>
  </si>
  <si>
    <t>1616-QGS</t>
  </si>
  <si>
    <t>1666-QGS</t>
  </si>
  <si>
    <t>2086-QGA</t>
  </si>
  <si>
    <t>2086-QGD</t>
  </si>
  <si>
    <t>2086-QGS</t>
  </si>
  <si>
    <t>2237-QGS</t>
  </si>
  <si>
    <t>2250-QGS</t>
  </si>
  <si>
    <t>232-QGA</t>
  </si>
  <si>
    <t>232-QGD</t>
  </si>
  <si>
    <t>2753-QGA</t>
  </si>
  <si>
    <t>2753-QGD</t>
  </si>
  <si>
    <t>2797-QGD</t>
  </si>
  <si>
    <t>2953-QGD</t>
  </si>
  <si>
    <t>2957-QGA</t>
  </si>
  <si>
    <t>2957-QGD</t>
  </si>
  <si>
    <t>3047-QGA</t>
  </si>
  <si>
    <t>3047-QGD</t>
  </si>
  <si>
    <t>3047-QGS</t>
  </si>
  <si>
    <t>3094-QGS</t>
  </si>
  <si>
    <t>3116-QGS</t>
  </si>
  <si>
    <t>3174-QGA</t>
  </si>
  <si>
    <t>3174-QGD</t>
  </si>
  <si>
    <t>3341-QGA</t>
  </si>
  <si>
    <t>3341-QGD</t>
  </si>
  <si>
    <t>3341-QGS</t>
  </si>
  <si>
    <t>3347-QGD</t>
  </si>
  <si>
    <t>394-QGS</t>
  </si>
  <si>
    <t>965-QGA</t>
  </si>
  <si>
    <t>965-QGD</t>
  </si>
  <si>
    <t>965-QGS</t>
  </si>
  <si>
    <t>Cote, Nicole</t>
  </si>
  <si>
    <t>KALYPSO</t>
  </si>
  <si>
    <t>Arcand, Renee</t>
  </si>
  <si>
    <t>Risa</t>
  </si>
  <si>
    <t>Fryia, Joanne</t>
  </si>
  <si>
    <t>Squidgy</t>
  </si>
  <si>
    <t>Gibson, Erin</t>
  </si>
  <si>
    <t>Filly</t>
  </si>
  <si>
    <t>Harding, Laurie</t>
  </si>
  <si>
    <t>Porteous, Jackie</t>
  </si>
  <si>
    <t>Sarge</t>
  </si>
  <si>
    <t>Carpio, Shara</t>
  </si>
  <si>
    <t>Vachon, Margo</t>
  </si>
  <si>
    <t>Calon, Katie</t>
  </si>
  <si>
    <t>Millward, Paige</t>
  </si>
  <si>
    <t>Teak</t>
  </si>
  <si>
    <t>Tuula</t>
  </si>
  <si>
    <t>Kayda</t>
  </si>
  <si>
    <t>JACOB, MICHELLE</t>
  </si>
  <si>
    <t>Creole</t>
  </si>
  <si>
    <t>Dick, Marlene</t>
  </si>
  <si>
    <t>Raffy</t>
  </si>
  <si>
    <t>Whisky</t>
  </si>
  <si>
    <t>Mingo, Jenny</t>
  </si>
  <si>
    <t>Chai</t>
  </si>
  <si>
    <t>Starlet</t>
  </si>
  <si>
    <t>Weber, Victoria</t>
  </si>
  <si>
    <t>Share</t>
  </si>
  <si>
    <t>Puzzle</t>
  </si>
  <si>
    <t>Oster, Katie</t>
  </si>
  <si>
    <t>Lasalle, Sylvie</t>
  </si>
  <si>
    <t>Blake</t>
  </si>
  <si>
    <t>Hammerschmidt, Cathy</t>
  </si>
  <si>
    <t>Jaxx</t>
  </si>
  <si>
    <t>Jon jon</t>
  </si>
  <si>
    <t>Tocol, Mo</t>
  </si>
  <si>
    <t>Burke, Elizabeth</t>
  </si>
  <si>
    <t>Vivid</t>
  </si>
  <si>
    <t>Fenway</t>
  </si>
  <si>
    <t>Boulet, Vania</t>
  </si>
  <si>
    <t>Hui, Christine</t>
  </si>
  <si>
    <t>Phil</t>
  </si>
  <si>
    <t>LaVallee, Lisa</t>
  </si>
  <si>
    <t>Kinky</t>
  </si>
  <si>
    <t>Noodles</t>
  </si>
  <si>
    <t>Recker</t>
  </si>
  <si>
    <t>Turuk, Sherry</t>
  </si>
  <si>
    <t>Dauber</t>
  </si>
  <si>
    <t>Davidson, Madelyn</t>
  </si>
  <si>
    <t>Jaydn</t>
  </si>
  <si>
    <t>White, Nina</t>
  </si>
  <si>
    <t>Liv</t>
  </si>
  <si>
    <t>Cosette</t>
  </si>
  <si>
    <t>Turbo</t>
  </si>
  <si>
    <t>Vulpes, Danielle</t>
  </si>
  <si>
    <t>Maze</t>
  </si>
  <si>
    <t>Bossé, Andréa</t>
  </si>
  <si>
    <t>Mok, Ingrid</t>
  </si>
  <si>
    <t>Mulan</t>
  </si>
  <si>
    <t>Dussureault, Jade</t>
  </si>
  <si>
    <t>Zénith</t>
  </si>
  <si>
    <t>Daiga</t>
  </si>
  <si>
    <t>Francis, Betty</t>
  </si>
  <si>
    <t>Hazelnut</t>
  </si>
  <si>
    <t>Brooks, Leanne</t>
  </si>
  <si>
    <t>1720-QGS</t>
  </si>
  <si>
    <t>1743-QGA</t>
  </si>
  <si>
    <t>1743-QGD</t>
  </si>
  <si>
    <t>1743-QGS</t>
  </si>
  <si>
    <t>2051-QGA</t>
  </si>
  <si>
    <t>2135-QGA</t>
  </si>
  <si>
    <t>2480-QGS</t>
  </si>
  <si>
    <t>2813-QGS</t>
  </si>
  <si>
    <t>2828-QGD</t>
  </si>
  <si>
    <t>2828-QGS</t>
  </si>
  <si>
    <t>3142-QGA</t>
  </si>
  <si>
    <t>3142-QGD</t>
  </si>
  <si>
    <t>3142-QGS</t>
  </si>
  <si>
    <t>3319-QGA</t>
  </si>
  <si>
    <t>3676-QGA</t>
  </si>
  <si>
    <t>3676-QGD</t>
  </si>
  <si>
    <t>449-QGS</t>
  </si>
  <si>
    <t>McNab</t>
  </si>
  <si>
    <t>Hurley</t>
  </si>
  <si>
    <t>Forton, Barb</t>
  </si>
  <si>
    <t>Vélane</t>
  </si>
  <si>
    <t>Coulombe, Myriam</t>
  </si>
  <si>
    <t>Sabra</t>
  </si>
  <si>
    <t>Fisher, Linda</t>
  </si>
  <si>
    <t>Baily, Jessie</t>
  </si>
  <si>
    <t>Castle, Tamara</t>
  </si>
  <si>
    <t>MilliGram</t>
  </si>
  <si>
    <t>RORKE</t>
  </si>
  <si>
    <t>Henderson, Meghan</t>
  </si>
  <si>
    <t>Whatley, Laurel</t>
  </si>
  <si>
    <t>Vana</t>
  </si>
  <si>
    <t>Johnson, Karin</t>
  </si>
  <si>
    <t>duffy</t>
  </si>
  <si>
    <t>roe, cathryn</t>
  </si>
  <si>
    <t>Tyler, Nancy</t>
  </si>
  <si>
    <t>Paulson, Kalen</t>
  </si>
  <si>
    <t>Lux, Alison</t>
  </si>
  <si>
    <t>styx</t>
  </si>
  <si>
    <t>Ross, Penny</t>
  </si>
  <si>
    <t>Seth</t>
  </si>
  <si>
    <t>Lemieux, Stéphanie</t>
  </si>
  <si>
    <t>Deane, Judy</t>
  </si>
  <si>
    <t>Hemp</t>
  </si>
  <si>
    <t>Storms, Niki</t>
  </si>
  <si>
    <t>Teka</t>
  </si>
  <si>
    <t>Vatcher, Tracey</t>
  </si>
  <si>
    <t>Stanley</t>
  </si>
  <si>
    <t>Richard-Collin, Judith</t>
  </si>
  <si>
    <t>Tehya</t>
  </si>
  <si>
    <t>Ritchie, Alisha</t>
  </si>
  <si>
    <t>Martin, Michele C</t>
  </si>
  <si>
    <t>Aloy</t>
  </si>
  <si>
    <t>Carter, Darcia</t>
  </si>
  <si>
    <t>Westendorp, Alex</t>
  </si>
  <si>
    <t>Mercer, Janet</t>
  </si>
  <si>
    <t>Euro</t>
  </si>
  <si>
    <t>Pare, Karlee</t>
  </si>
  <si>
    <t>Robson</t>
  </si>
  <si>
    <t>Kujo</t>
  </si>
  <si>
    <t>Genseberger, Lauren Zoe</t>
  </si>
  <si>
    <t>Logan, Kathy</t>
  </si>
  <si>
    <t>1228-QGT</t>
  </si>
  <si>
    <t>1702-QGD</t>
  </si>
  <si>
    <t>1715-QGD</t>
  </si>
  <si>
    <t>2149-QGS</t>
  </si>
  <si>
    <t>2308-QGD</t>
  </si>
  <si>
    <t>2312-QGD</t>
  </si>
  <si>
    <t>2435-QGD</t>
  </si>
  <si>
    <t>2678-QGD</t>
  </si>
  <si>
    <t>2678-QGS</t>
  </si>
  <si>
    <t>2716-QGA</t>
  </si>
  <si>
    <t>2983-QGA</t>
  </si>
  <si>
    <t>2983-QGD</t>
  </si>
  <si>
    <t>2983-QGS</t>
  </si>
  <si>
    <t>3161-QGA</t>
  </si>
  <si>
    <t>3161-QGS</t>
  </si>
  <si>
    <t>3418-QGA</t>
  </si>
  <si>
    <t>3487-QGA</t>
  </si>
  <si>
    <t>3631-QGA</t>
  </si>
  <si>
    <t>3654-QGA</t>
  </si>
  <si>
    <t>3750-QGD</t>
  </si>
  <si>
    <t>Letty</t>
  </si>
  <si>
    <t>Ballou</t>
  </si>
  <si>
    <t>Nessie</t>
  </si>
  <si>
    <t>NEWTON</t>
  </si>
  <si>
    <t>Gala</t>
  </si>
  <si>
    <t>Win</t>
  </si>
  <si>
    <t>Francisco</t>
  </si>
  <si>
    <t>Enjoy</t>
  </si>
  <si>
    <t>Finny</t>
  </si>
  <si>
    <t>Bonzaï</t>
  </si>
  <si>
    <t>Korsi</t>
  </si>
  <si>
    <t>Rodryck</t>
  </si>
  <si>
    <t>Bub</t>
  </si>
  <si>
    <t>Gilbert</t>
  </si>
  <si>
    <t>Elliott</t>
  </si>
  <si>
    <t>Théo</t>
  </si>
  <si>
    <t>Venture</t>
  </si>
  <si>
    <t>Atwell, Amanda</t>
  </si>
  <si>
    <t>Charbonneau, Carolyne</t>
  </si>
  <si>
    <t>Christen, Cailey</t>
  </si>
  <si>
    <t>Clarke-Davies, Marie</t>
  </si>
  <si>
    <t>Bédard, Marie-Claude</t>
  </si>
  <si>
    <t>Berlin, Tanja</t>
  </si>
  <si>
    <t>Boucher, Sarah</t>
  </si>
  <si>
    <t>Boutilier, Beckie</t>
  </si>
  <si>
    <t>Braun, Janelle</t>
  </si>
  <si>
    <t>Bussière, Emmanuelle</t>
  </si>
  <si>
    <t>Curry, Nancy</t>
  </si>
  <si>
    <t>d'Anjou, Claude</t>
  </si>
  <si>
    <t>Godin, Eldrew</t>
  </si>
  <si>
    <t>Hemsley, Andy</t>
  </si>
  <si>
    <t>Hodgson, Alyssa</t>
  </si>
  <si>
    <t>Lacroix, Julie</t>
  </si>
  <si>
    <t>Mann, Leann</t>
  </si>
  <si>
    <t>McGarr, Margaret</t>
  </si>
  <si>
    <t>McHutchion, Corin</t>
  </si>
  <si>
    <t>Newton, Melissa</t>
  </si>
  <si>
    <t>paul, sage</t>
  </si>
  <si>
    <t>Puddell, Tanya</t>
  </si>
  <si>
    <t>Reynolds, Lisa</t>
  </si>
  <si>
    <t>Skelding, Amanda</t>
  </si>
  <si>
    <t>St-Cyr, Chantal</t>
  </si>
  <si>
    <t>Starfield, Susan</t>
  </si>
  <si>
    <t>Sue, Vivian</t>
  </si>
  <si>
    <t>Turner, Claire</t>
  </si>
  <si>
    <t>1167-QGA</t>
  </si>
  <si>
    <t>2000-QGA</t>
  </si>
  <si>
    <t>2000-QGS</t>
  </si>
  <si>
    <t>2266-QGA</t>
  </si>
  <si>
    <t>2266-QGD</t>
  </si>
  <si>
    <t>2320-QGD</t>
  </si>
  <si>
    <t>2320-QGT</t>
  </si>
  <si>
    <t>2603-QGS</t>
  </si>
  <si>
    <t>2766-QGD</t>
  </si>
  <si>
    <t>2766-QGS</t>
  </si>
  <si>
    <t>2766-QGT</t>
  </si>
  <si>
    <t>2767-QGT</t>
  </si>
  <si>
    <t>3122-QGS</t>
  </si>
  <si>
    <t>3127-QGT</t>
  </si>
  <si>
    <t>3159-QGD</t>
  </si>
  <si>
    <t>3162-QGA</t>
  </si>
  <si>
    <t>3250-QGA</t>
  </si>
  <si>
    <t>3402-QGA</t>
  </si>
  <si>
    <t>3402-QGD</t>
  </si>
  <si>
    <t>3443-QGA</t>
  </si>
  <si>
    <t>3443-QGD</t>
  </si>
  <si>
    <t>883-QGA</t>
  </si>
  <si>
    <t>Lapenna, Beverly</t>
  </si>
  <si>
    <t>Linteau, Marie</t>
  </si>
  <si>
    <t>Handstede, Michele</t>
  </si>
  <si>
    <t>Hammond</t>
  </si>
  <si>
    <t>Morris, Julia</t>
  </si>
  <si>
    <t>Galan, Margaret</t>
  </si>
  <si>
    <t>Avery</t>
  </si>
  <si>
    <t>Smith, Connie</t>
  </si>
  <si>
    <t>2338-QGA</t>
  </si>
  <si>
    <t>2338-QGD</t>
  </si>
  <si>
    <t>2363-QGA</t>
  </si>
  <si>
    <t>2363-QGD</t>
  </si>
  <si>
    <t>2398-QGA</t>
  </si>
  <si>
    <t>2398-QGD</t>
  </si>
  <si>
    <t>2525-QGD</t>
  </si>
  <si>
    <t>2806-QGA</t>
  </si>
  <si>
    <t>2953-QGA</t>
  </si>
  <si>
    <t>2953-QGS</t>
  </si>
  <si>
    <t>2956-QGA</t>
  </si>
  <si>
    <t>3338-QGA</t>
  </si>
  <si>
    <t>3338-QGD</t>
  </si>
  <si>
    <t>3346-QGA</t>
  </si>
  <si>
    <t>3346-QGD</t>
  </si>
  <si>
    <t>3567-QGA</t>
  </si>
  <si>
    <t>3567-QGD</t>
  </si>
  <si>
    <t>3663-QGA</t>
  </si>
  <si>
    <t>3663-QGD</t>
  </si>
  <si>
    <t>3680-QGD</t>
  </si>
  <si>
    <t>638-QGA</t>
  </si>
  <si>
    <t>638-QGD</t>
  </si>
  <si>
    <t>1358-QGD</t>
  </si>
  <si>
    <t>2135-QGT</t>
  </si>
  <si>
    <t>2871-QGD</t>
  </si>
  <si>
    <t>2885-QGS</t>
  </si>
  <si>
    <t>3307-QGA</t>
  </si>
  <si>
    <t>3307-QGD</t>
  </si>
  <si>
    <t>3319-QGT</t>
  </si>
  <si>
    <t>3383-QGA</t>
  </si>
  <si>
    <t>3390-QGA</t>
  </si>
  <si>
    <t>3437-QGA</t>
  </si>
  <si>
    <t>Enroh</t>
  </si>
  <si>
    <t>Camira</t>
  </si>
  <si>
    <t>Ernest</t>
  </si>
  <si>
    <t>Fable</t>
  </si>
  <si>
    <t>Ferdinand</t>
  </si>
  <si>
    <t>Goji</t>
  </si>
  <si>
    <t>Scotty</t>
  </si>
  <si>
    <t>Eos</t>
  </si>
  <si>
    <t>Smile</t>
  </si>
  <si>
    <t>Aïka</t>
  </si>
  <si>
    <t>Chilli</t>
  </si>
  <si>
    <t>Boston</t>
  </si>
  <si>
    <t>Spicy Chai</t>
  </si>
  <si>
    <t>Vandal</t>
  </si>
  <si>
    <t>Leroy</t>
  </si>
  <si>
    <t>Myles</t>
  </si>
  <si>
    <t>Ozz</t>
  </si>
  <si>
    <t>Mellow</t>
  </si>
  <si>
    <t>Banner</t>
  </si>
  <si>
    <t>Crispin</t>
  </si>
  <si>
    <t>Fisher</t>
  </si>
  <si>
    <t>Pies</t>
  </si>
  <si>
    <t>Covi</t>
  </si>
  <si>
    <t>Mosaic</t>
  </si>
  <si>
    <t>Featherstone, Lynda</t>
  </si>
  <si>
    <t>Langkopf, Calsey</t>
  </si>
  <si>
    <t>Brisebois, Camille</t>
  </si>
  <si>
    <t>Cole, Susan</t>
  </si>
  <si>
    <t>Dale, Kelsea</t>
  </si>
  <si>
    <t>DeJong, Maryl</t>
  </si>
  <si>
    <t>Devison, Dianne</t>
  </si>
  <si>
    <t>Doell, Jessica</t>
  </si>
  <si>
    <t>Eng, Kristi</t>
  </si>
  <si>
    <t>Fraser, Marilyn</t>
  </si>
  <si>
    <t>Godin, Léa-Mathilde</t>
  </si>
  <si>
    <t>Gordon, Nikki</t>
  </si>
  <si>
    <t>Graveline, Lynda</t>
  </si>
  <si>
    <t>Grushenko, Olga</t>
  </si>
  <si>
    <t>Hamhuis, Tiffany</t>
  </si>
  <si>
    <t>Heaps, MJ</t>
  </si>
  <si>
    <t>Hersey, Emily</t>
  </si>
  <si>
    <t>Isfeld, Deanna</t>
  </si>
  <si>
    <t>Keith, Laurie</t>
  </si>
  <si>
    <t>Kobold, Kristal</t>
  </si>
  <si>
    <t>Korrensuo, Taru</t>
  </si>
  <si>
    <t>Kowalchuk, Michelle</t>
  </si>
  <si>
    <t>KWONG, LUVENA</t>
  </si>
  <si>
    <t>LaFrance, Donna</t>
  </si>
  <si>
    <t>Massicotte, Kathleen</t>
  </si>
  <si>
    <t>McNichol, Jen</t>
  </si>
  <si>
    <t>Paquette, Cynthia</t>
  </si>
  <si>
    <t>Paveley, Jessi</t>
  </si>
  <si>
    <t>Peill, Addie</t>
  </si>
  <si>
    <t>Peters, Michael</t>
  </si>
  <si>
    <t>Pierce, Ruth</t>
  </si>
  <si>
    <t>Pierre, Kathy</t>
  </si>
  <si>
    <t>Pritchard, Sharon</t>
  </si>
  <si>
    <t>Shapiro, Romy</t>
  </si>
  <si>
    <t>Smith, Korina</t>
  </si>
  <si>
    <t>Stople, Tracy</t>
  </si>
  <si>
    <t>Thordarson, Signy</t>
  </si>
  <si>
    <t>Vaincourt, Ann</t>
  </si>
  <si>
    <t>White, Nancy</t>
  </si>
  <si>
    <t>Wood, Abby</t>
  </si>
  <si>
    <t>Wright, Arlene</t>
  </si>
  <si>
    <t>Zeeman, Sherry</t>
  </si>
  <si>
    <t>MacKay, Caroline</t>
  </si>
  <si>
    <t>198-QGS</t>
  </si>
  <si>
    <t>1379-QGS</t>
  </si>
  <si>
    <t>1797-QGD</t>
  </si>
  <si>
    <t>2775-QGS</t>
  </si>
  <si>
    <t>2977-QGD</t>
  </si>
  <si>
    <t>3130-QGD</t>
  </si>
  <si>
    <t>3175-QGA</t>
  </si>
  <si>
    <t>3207-QGA</t>
  </si>
  <si>
    <t>3236-QGD</t>
  </si>
  <si>
    <t>658-QGA</t>
  </si>
  <si>
    <t>Elka</t>
  </si>
  <si>
    <t>Mersey</t>
  </si>
  <si>
    <t>Blueberry</t>
  </si>
  <si>
    <t>Rhubarb</t>
  </si>
  <si>
    <t>Pumpkin</t>
  </si>
  <si>
    <t>Dalton</t>
  </si>
  <si>
    <t>Ulysse</t>
  </si>
  <si>
    <t>Teo</t>
  </si>
  <si>
    <t>Kreiger</t>
  </si>
  <si>
    <t>Praline</t>
  </si>
  <si>
    <t>Tully</t>
  </si>
  <si>
    <t>Mate</t>
  </si>
  <si>
    <t>Andy</t>
  </si>
  <si>
    <t>Mercy</t>
  </si>
  <si>
    <t>Damon</t>
  </si>
  <si>
    <t>Zipporwhill</t>
  </si>
  <si>
    <t>Brea</t>
  </si>
  <si>
    <t>Pudge</t>
  </si>
  <si>
    <t>Birdy</t>
  </si>
  <si>
    <t>Jolene</t>
  </si>
  <si>
    <t>Jessy</t>
  </si>
  <si>
    <t>Thatch</t>
  </si>
  <si>
    <t>Aksel</t>
  </si>
  <si>
    <t>Urban</t>
  </si>
  <si>
    <t>Vanish</t>
  </si>
  <si>
    <t>Celka</t>
  </si>
  <si>
    <t>Mudi</t>
  </si>
  <si>
    <t>Blake, Kim</t>
  </si>
  <si>
    <t>Bloodworth, Badi</t>
  </si>
  <si>
    <t>Casey, Sheila</t>
  </si>
  <si>
    <t>Lawrence, Lauren</t>
  </si>
  <si>
    <t>Lee, Heather</t>
  </si>
  <si>
    <t>Leonard, Stephanie</t>
  </si>
  <si>
    <t>Lizotte, Julie</t>
  </si>
  <si>
    <t>Auger, Mylene</t>
  </si>
  <si>
    <t>Beaudet, Lucille</t>
  </si>
  <si>
    <t>Berard, Josianne</t>
  </si>
  <si>
    <t>Brower, Rachel</t>
  </si>
  <si>
    <t>Donnelly, Therese</t>
  </si>
  <si>
    <t>Doucette, Brittany</t>
  </si>
  <si>
    <t>Jankovic, Donna</t>
  </si>
  <si>
    <t>Johnson, Jessica</t>
  </si>
  <si>
    <t>Kardash, Blair</t>
  </si>
  <si>
    <t>Klaudia, Noémi</t>
  </si>
  <si>
    <t>MacKenzie, Monique</t>
  </si>
  <si>
    <t>MacKinnon, Melissa</t>
  </si>
  <si>
    <t>Melville, Lois</t>
  </si>
  <si>
    <t>Mirsky, Catherine</t>
  </si>
  <si>
    <t>Mordaunt, Kim</t>
  </si>
  <si>
    <t>Nykiel, Toni</t>
  </si>
  <si>
    <t>Rodrigue-Charbonneau, Lyane</t>
  </si>
  <si>
    <t>Rogala, James</t>
  </si>
  <si>
    <t>Rowe, Ella</t>
  </si>
  <si>
    <t>Ryan, Wendi</t>
  </si>
  <si>
    <t>Sand, Cina</t>
  </si>
  <si>
    <t>Sandbach, Connie</t>
  </si>
  <si>
    <t>Smith, Shona</t>
  </si>
  <si>
    <t>Tremblay, Maryse</t>
  </si>
  <si>
    <t>Walchuk, Sara</t>
  </si>
  <si>
    <t>Bozek, Katie</t>
  </si>
  <si>
    <t>Gagnon, Michele</t>
  </si>
  <si>
    <t>Kuich, Georgia</t>
  </si>
  <si>
    <t>MacLeod, Carol</t>
  </si>
  <si>
    <t>O'Hearn, Kathy</t>
  </si>
  <si>
    <t>Reed, Tiffany</t>
  </si>
  <si>
    <t>Solomes, Abby</t>
  </si>
  <si>
    <t>Whitehead, Jason</t>
  </si>
  <si>
    <t>Forsyth, Bruce</t>
  </si>
  <si>
    <t>1167-QGD</t>
  </si>
  <si>
    <t>1167-QGS</t>
  </si>
  <si>
    <t>1616-QGT</t>
  </si>
  <si>
    <t>1824-QGS</t>
  </si>
  <si>
    <t>1826-QGD</t>
  </si>
  <si>
    <t>1826-QGT</t>
  </si>
  <si>
    <t>1927-QGT</t>
  </si>
  <si>
    <t>198-QGT</t>
  </si>
  <si>
    <t>2086-QGT</t>
  </si>
  <si>
    <t>2179-QGD</t>
  </si>
  <si>
    <t>2224-QGA</t>
  </si>
  <si>
    <t>2224-QGD</t>
  </si>
  <si>
    <t>2224-QGS</t>
  </si>
  <si>
    <t>2237-QGT</t>
  </si>
  <si>
    <t>2250-QGT</t>
  </si>
  <si>
    <t>2254-QGD</t>
  </si>
  <si>
    <t>2255-QGT</t>
  </si>
  <si>
    <t>2457-QGT</t>
  </si>
  <si>
    <t>2621-QGD</t>
  </si>
  <si>
    <t>2621-QGS</t>
  </si>
  <si>
    <t>2651-QGT</t>
  </si>
  <si>
    <t>2685-QGA</t>
  </si>
  <si>
    <t>2685-QGD</t>
  </si>
  <si>
    <t>2685-QGS</t>
  </si>
  <si>
    <t>2743-QGA</t>
  </si>
  <si>
    <t>2743-QGD</t>
  </si>
  <si>
    <t>2743-QGS</t>
  </si>
  <si>
    <t>2762-QGA</t>
  </si>
  <si>
    <t>3005-QGA</t>
  </si>
  <si>
    <t>3005-QGS</t>
  </si>
  <si>
    <t>3023-QGA</t>
  </si>
  <si>
    <t>3023-QGD</t>
  </si>
  <si>
    <t>3068-QGT</t>
  </si>
  <si>
    <t>3235-QGT</t>
  </si>
  <si>
    <t>3307-QGS</t>
  </si>
  <si>
    <t>3390-QGT</t>
  </si>
  <si>
    <t>3766-QGD</t>
  </si>
  <si>
    <t>3766-QGS</t>
  </si>
  <si>
    <t>616-QGS</t>
  </si>
  <si>
    <t>dgDogCallName</t>
  </si>
  <si>
    <t>brdName</t>
  </si>
  <si>
    <t>dgSex</t>
  </si>
  <si>
    <t>FullName</t>
  </si>
  <si>
    <t>Jupiter</t>
  </si>
  <si>
    <t>Grigg, Carly</t>
  </si>
  <si>
    <t>1433-QGT</t>
  </si>
  <si>
    <t>1897-QGA</t>
  </si>
  <si>
    <t>1897-QGD</t>
  </si>
  <si>
    <t>2047-QGS</t>
  </si>
  <si>
    <t>2074-QGA</t>
  </si>
  <si>
    <t>2074-QGS</t>
  </si>
  <si>
    <t>2091-QGA</t>
  </si>
  <si>
    <t>2477-QGD</t>
  </si>
  <si>
    <t>2477-QGT</t>
  </si>
  <si>
    <t>2989-QGD</t>
  </si>
  <si>
    <t>2995-QGT</t>
  </si>
  <si>
    <t>3068-QGA</t>
  </si>
  <si>
    <t>3204-QGD</t>
  </si>
  <si>
    <t>3267-QGA</t>
  </si>
  <si>
    <t>3418-QGD</t>
  </si>
  <si>
    <t>3756-QGA</t>
  </si>
  <si>
    <t>3756-QGD</t>
  </si>
  <si>
    <t>3971-QGA</t>
  </si>
  <si>
    <t>3971-QGD</t>
  </si>
  <si>
    <t>Fix</t>
  </si>
  <si>
    <t>Peaches</t>
  </si>
  <si>
    <t>Stevie</t>
  </si>
  <si>
    <t>Kara</t>
  </si>
  <si>
    <t>Mavis</t>
  </si>
  <si>
    <t>Camelia</t>
  </si>
  <si>
    <t>Akira</t>
  </si>
  <si>
    <t>Cye</t>
  </si>
  <si>
    <t>Aanya</t>
  </si>
  <si>
    <t>Tenzing</t>
  </si>
  <si>
    <t>Chidi</t>
  </si>
  <si>
    <t>Peikko</t>
  </si>
  <si>
    <t>Zsyx</t>
  </si>
  <si>
    <t>Louie</t>
  </si>
  <si>
    <t>Mazie</t>
  </si>
  <si>
    <t>Sligo</t>
  </si>
  <si>
    <t>Noce</t>
  </si>
  <si>
    <t>Jim</t>
  </si>
  <si>
    <t>Flea</t>
  </si>
  <si>
    <t>Miach</t>
  </si>
  <si>
    <t>Dachshund (Standard Long-Haired)</t>
  </si>
  <si>
    <t>Bolton, Raida</t>
  </si>
  <si>
    <t>Cross, Catrynaa</t>
  </si>
  <si>
    <t>Cuba, Melissa</t>
  </si>
  <si>
    <t>Dafoe, Christine</t>
  </si>
  <si>
    <t>Edwards, Valerie</t>
  </si>
  <si>
    <t>Figol, Jezebel</t>
  </si>
  <si>
    <t>Gill, Catherine</t>
  </si>
  <si>
    <t>Hoeller, Katherine</t>
  </si>
  <si>
    <t>kavanaugh, Lindsey</t>
  </si>
  <si>
    <t>Lin, Alice</t>
  </si>
  <si>
    <t>McConnell, Barb</t>
  </si>
  <si>
    <t>Mocella, Angela</t>
  </si>
  <si>
    <t>Pirie, Faith</t>
  </si>
  <si>
    <t>Reyes, Mary</t>
  </si>
  <si>
    <t>Shandley, Norah</t>
  </si>
  <si>
    <t>Skelcher, Tania</t>
  </si>
  <si>
    <t>SMITH, MICHELLE</t>
  </si>
  <si>
    <t>Stenman, Kiia</t>
  </si>
  <si>
    <t>Stevenson, Kristel</t>
  </si>
  <si>
    <t>Thackeray, Rachielle</t>
  </si>
  <si>
    <t>Therens, Kathy</t>
  </si>
  <si>
    <t>Travieso, Anita</t>
  </si>
  <si>
    <t>Williams, Brittni</t>
  </si>
  <si>
    <t>Yurach, Mollie</t>
  </si>
  <si>
    <t>Maki, Lisa</t>
  </si>
  <si>
    <t>1173-QGA</t>
  </si>
  <si>
    <t>1173-QGD</t>
  </si>
  <si>
    <t>1175-QGA</t>
  </si>
  <si>
    <t>1175-QGD</t>
  </si>
  <si>
    <t>1257-QGA</t>
  </si>
  <si>
    <t>1257-QGS</t>
  </si>
  <si>
    <t>1257-QGT</t>
  </si>
  <si>
    <t>1380-QGD</t>
  </si>
  <si>
    <t>1489-QGD</t>
  </si>
  <si>
    <t>1591-QGD</t>
  </si>
  <si>
    <t>2268-QGA</t>
  </si>
  <si>
    <t>2268-QGD</t>
  </si>
  <si>
    <t>2268-QGS</t>
  </si>
  <si>
    <t>2456-QGA</t>
  </si>
  <si>
    <t>2456-QGD</t>
  </si>
  <si>
    <t>2561-QGA</t>
  </si>
  <si>
    <t>2561-QGD</t>
  </si>
  <si>
    <t>2563-QGA</t>
  </si>
  <si>
    <t>2563-QGD</t>
  </si>
  <si>
    <t>2621-QGA</t>
  </si>
  <si>
    <t>2759-QGA</t>
  </si>
  <si>
    <t>2766-QGA</t>
  </si>
  <si>
    <t>2767-QGD</t>
  </si>
  <si>
    <t>2814-QGA</t>
  </si>
  <si>
    <t>2814-QGD</t>
  </si>
  <si>
    <t>2814-QGS</t>
  </si>
  <si>
    <t>2879-QGA</t>
  </si>
  <si>
    <t>2879-QGD</t>
  </si>
  <si>
    <t>2908-QGT</t>
  </si>
  <si>
    <t>3016-QGA</t>
  </si>
  <si>
    <t>3043-QGA</t>
  </si>
  <si>
    <t>3043-QGD</t>
  </si>
  <si>
    <t>3050-QGA</t>
  </si>
  <si>
    <t>3050-QGD</t>
  </si>
  <si>
    <t>3130-QGT</t>
  </si>
  <si>
    <t>3259-QGA</t>
  </si>
  <si>
    <t>3259-QGD</t>
  </si>
  <si>
    <t>3278-QGA</t>
  </si>
  <si>
    <t>3410-QGA</t>
  </si>
  <si>
    <t>3420-QGD</t>
  </si>
  <si>
    <t>3423-QGA</t>
  </si>
  <si>
    <t>3423-QGD</t>
  </si>
  <si>
    <t>3430-QGA</t>
  </si>
  <si>
    <t>3497-QGA</t>
  </si>
  <si>
    <t>3497-QGD</t>
  </si>
  <si>
    <t>3637-QGA</t>
  </si>
  <si>
    <t>3646-QGA</t>
  </si>
  <si>
    <t>3646-QGD</t>
  </si>
  <si>
    <t>3675-QGA</t>
  </si>
  <si>
    <t>3675-QGD</t>
  </si>
  <si>
    <t>3731-QGA</t>
  </si>
  <si>
    <t>3736-QGD</t>
  </si>
  <si>
    <t>3747-QGA</t>
  </si>
  <si>
    <t>3747-QGD</t>
  </si>
  <si>
    <t>3791-QGA</t>
  </si>
  <si>
    <t>3814-QGA</t>
  </si>
  <si>
    <t>3814-QGD</t>
  </si>
  <si>
    <t>3913-QGA</t>
  </si>
  <si>
    <t>3913-QGD</t>
  </si>
  <si>
    <t>3919-QGA</t>
  </si>
  <si>
    <t>658-QGD</t>
  </si>
  <si>
    <t>658-QGT</t>
  </si>
  <si>
    <t>833-QGA</t>
  </si>
  <si>
    <t>833-QGD</t>
  </si>
  <si>
    <t>Mickey</t>
  </si>
  <si>
    <t>Brandee</t>
  </si>
  <si>
    <t>Kirsher</t>
  </si>
  <si>
    <t>Keji</t>
  </si>
  <si>
    <t>Reggie</t>
  </si>
  <si>
    <t>Azeban</t>
  </si>
  <si>
    <t>Myah</t>
  </si>
  <si>
    <t>Kizo</t>
  </si>
  <si>
    <t>Stitch</t>
  </si>
  <si>
    <t>Iona</t>
  </si>
  <si>
    <t>java</t>
  </si>
  <si>
    <t>BEN</t>
  </si>
  <si>
    <t>Jiggy</t>
  </si>
  <si>
    <t>Myshkin</t>
  </si>
  <si>
    <t>Hagrid</t>
  </si>
  <si>
    <t>Ludo</t>
  </si>
  <si>
    <t>Mr Winston</t>
  </si>
  <si>
    <t>AURA</t>
  </si>
  <si>
    <t>Bounty</t>
  </si>
  <si>
    <t>Kennah</t>
  </si>
  <si>
    <t>Zurie</t>
  </si>
  <si>
    <t>Gabbie</t>
  </si>
  <si>
    <t>Luv</t>
  </si>
  <si>
    <t>Bri</t>
  </si>
  <si>
    <t>Devers</t>
  </si>
  <si>
    <t>Great Pyrenees</t>
  </si>
  <si>
    <t>Meseman, Jeff</t>
  </si>
  <si>
    <t>Enslow, Lindsay</t>
  </si>
  <si>
    <t>Forgues, Manon</t>
  </si>
  <si>
    <t>Bartholow, Carla</t>
  </si>
  <si>
    <t>Bartlett, Destiny</t>
  </si>
  <si>
    <t>Lawson, Jane</t>
  </si>
  <si>
    <t>Belyk, Riscann</t>
  </si>
  <si>
    <t>Bennett, Vicky</t>
  </si>
  <si>
    <t>Logan, Lindsey</t>
  </si>
  <si>
    <t>Boudreau, Anick</t>
  </si>
  <si>
    <t>Brooks, Nicole</t>
  </si>
  <si>
    <t>Burton, Pamela</t>
  </si>
  <si>
    <t>Clement, Cherish</t>
  </si>
  <si>
    <t>Courtemanche, Micheline</t>
  </si>
  <si>
    <t>Croezen, Jessica</t>
  </si>
  <si>
    <t>Gore, Amber</t>
  </si>
  <si>
    <t>Gouchie, Ronda</t>
  </si>
  <si>
    <t>Gravel, Michel-André</t>
  </si>
  <si>
    <t>Groulx, Adrianne</t>
  </si>
  <si>
    <t>Hargrove, Ramona</t>
  </si>
  <si>
    <t>Hayduk, Tracy</t>
  </si>
  <si>
    <t>Hutt, Stephanie</t>
  </si>
  <si>
    <t>Melbourne, Ina</t>
  </si>
  <si>
    <t>Mou, Yanran</t>
  </si>
  <si>
    <t>Nunes, Stacey</t>
  </si>
  <si>
    <t>Pahl, Monica</t>
  </si>
  <si>
    <t>Pegg, Diane</t>
  </si>
  <si>
    <t>perreault, nancy</t>
  </si>
  <si>
    <t>Phillips, Alexandra</t>
  </si>
  <si>
    <t>Roche, Leah</t>
  </si>
  <si>
    <t>Sine, Sarah</t>
  </si>
  <si>
    <t>Skews, Chris</t>
  </si>
  <si>
    <t>Sparkes, Melanie</t>
  </si>
  <si>
    <t>Szewerda, Karl</t>
  </si>
  <si>
    <t>Taylor, Mary</t>
  </si>
  <si>
    <t>Therrien, Bonnie</t>
  </si>
  <si>
    <t>Winder, Jennifer</t>
  </si>
  <si>
    <t>Woods, Andrea</t>
  </si>
  <si>
    <t>Woolham, Catherine</t>
  </si>
  <si>
    <t>1831-QGA</t>
  </si>
  <si>
    <t>1925-QGD</t>
  </si>
  <si>
    <t>2151-QGD</t>
  </si>
  <si>
    <t>2668-QGA</t>
  </si>
  <si>
    <t>2762-QGD</t>
  </si>
  <si>
    <t>2984-QGA</t>
  </si>
  <si>
    <t>3450-QGD</t>
  </si>
  <si>
    <t>3932-QGS</t>
  </si>
  <si>
    <t>Oslo</t>
  </si>
  <si>
    <t>Billie Goat</t>
  </si>
  <si>
    <t>Mazi or Maze</t>
  </si>
  <si>
    <t>Astra</t>
  </si>
  <si>
    <t>Reyna</t>
  </si>
  <si>
    <t>Charlize</t>
  </si>
  <si>
    <t>Oshry</t>
  </si>
  <si>
    <t>Potcake</t>
  </si>
  <si>
    <t>Lakeland Terrier</t>
  </si>
  <si>
    <t>BOURBONNAIS, DEBBIE</t>
  </si>
  <si>
    <t>Cox, Rachel</t>
  </si>
  <si>
    <t>Dockrill, Shannah</t>
  </si>
  <si>
    <t>Mesaros, Dora</t>
  </si>
  <si>
    <t>Skimming, Robynne</t>
  </si>
  <si>
    <t>1317-QGS</t>
  </si>
  <si>
    <t>147-QGT</t>
  </si>
  <si>
    <t>1706-QGS</t>
  </si>
  <si>
    <t>2276-QGS</t>
  </si>
  <si>
    <t>2398-QGT</t>
  </si>
  <si>
    <t>2435-QGS</t>
  </si>
  <si>
    <t>2671-QGT</t>
  </si>
  <si>
    <t>2691-QGA</t>
  </si>
  <si>
    <t>2975-QGD</t>
  </si>
  <si>
    <t>2975-QGS</t>
  </si>
  <si>
    <t>3161-QGD</t>
  </si>
  <si>
    <t>3167-QGA</t>
  </si>
  <si>
    <t>3347-QGT</t>
  </si>
  <si>
    <t>3351-QGT</t>
  </si>
  <si>
    <t>3654-QGD</t>
  </si>
  <si>
    <t>3654-QGS</t>
  </si>
  <si>
    <t>3968-QGA</t>
  </si>
  <si>
    <t>4045-QGA</t>
  </si>
  <si>
    <t>4045-QGD</t>
  </si>
  <si>
    <t>4049-QGA</t>
  </si>
  <si>
    <t>4065-QGD</t>
  </si>
  <si>
    <t>1102-QGD</t>
  </si>
  <si>
    <t>1145-QGA</t>
  </si>
  <si>
    <t>1358-QGA</t>
  </si>
  <si>
    <t>1358-QGT</t>
  </si>
  <si>
    <t>1380-QGA</t>
  </si>
  <si>
    <t>1801-QGD</t>
  </si>
  <si>
    <t>1801-QGS</t>
  </si>
  <si>
    <t>2195-QGD</t>
  </si>
  <si>
    <t>2232-QGT</t>
  </si>
  <si>
    <t>2303-QGT</t>
  </si>
  <si>
    <t>2364-QGA</t>
  </si>
  <si>
    <t>2422-QGA</t>
  </si>
  <si>
    <t>2549-QGA</t>
  </si>
  <si>
    <t>2549-QGD</t>
  </si>
  <si>
    <t>2554-QGA</t>
  </si>
  <si>
    <t>2568-QGA</t>
  </si>
  <si>
    <t>2626-QGT</t>
  </si>
  <si>
    <t>2748-QGA</t>
  </si>
  <si>
    <t>2748-QGD</t>
  </si>
  <si>
    <t>2748-QGS</t>
  </si>
  <si>
    <t>2764-QGD</t>
  </si>
  <si>
    <t>2764-QGS</t>
  </si>
  <si>
    <t>2808-QGA</t>
  </si>
  <si>
    <t>2871-QGT</t>
  </si>
  <si>
    <t>2977-QGS</t>
  </si>
  <si>
    <t>3199-QGA</t>
  </si>
  <si>
    <t>3207-QGD</t>
  </si>
  <si>
    <t>3236-QGA</t>
  </si>
  <si>
    <t>3308-QGT</t>
  </si>
  <si>
    <t>3362-QGA</t>
  </si>
  <si>
    <t>3397-QGD</t>
  </si>
  <si>
    <t>3443-QGT</t>
  </si>
  <si>
    <t>3458-QGA</t>
  </si>
  <si>
    <t>3458-QGD</t>
  </si>
  <si>
    <t>3458-QGS</t>
  </si>
  <si>
    <t>3475-QGA</t>
  </si>
  <si>
    <t>3475-QGD</t>
  </si>
  <si>
    <t>3507-QGD</t>
  </si>
  <si>
    <t>3536-QGA</t>
  </si>
  <si>
    <t>3536-QGD</t>
  </si>
  <si>
    <t>3572-QGA</t>
  </si>
  <si>
    <t>3572-QGD</t>
  </si>
  <si>
    <t>3647-QGD</t>
  </si>
  <si>
    <t>3731-QGD</t>
  </si>
  <si>
    <t>3892-QGA</t>
  </si>
  <si>
    <t>883-QGD</t>
  </si>
  <si>
    <t>1472-QGA</t>
  </si>
  <si>
    <t>1472-QGS</t>
  </si>
  <si>
    <t>1889-QGA</t>
  </si>
  <si>
    <t>1897-QGS</t>
  </si>
  <si>
    <t>1999-QGA</t>
  </si>
  <si>
    <t>2082-QGA</t>
  </si>
  <si>
    <t>2082-QGD</t>
  </si>
  <si>
    <t>2553-QGS</t>
  </si>
  <si>
    <t>2586-QGD</t>
  </si>
  <si>
    <t>2605-QGA</t>
  </si>
  <si>
    <t>2605-QGD</t>
  </si>
  <si>
    <t>2760-QGS</t>
  </si>
  <si>
    <t>2854-QGA</t>
  </si>
  <si>
    <t>2854-QGD</t>
  </si>
  <si>
    <t>2959-QGA</t>
  </si>
  <si>
    <t>2959-QGD</t>
  </si>
  <si>
    <t>2961-QGS</t>
  </si>
  <si>
    <t>3056-QGA</t>
  </si>
  <si>
    <t>3056-QGD</t>
  </si>
  <si>
    <t>3064-QGD</t>
  </si>
  <si>
    <t>3068-QGD</t>
  </si>
  <si>
    <t>3097-QGA</t>
  </si>
  <si>
    <t>3097-QGD</t>
  </si>
  <si>
    <t>3122-QGA</t>
  </si>
  <si>
    <t>3133-QGD</t>
  </si>
  <si>
    <t>3192-QGA</t>
  </si>
  <si>
    <t>3192-QGD</t>
  </si>
  <si>
    <t>3216-QGA</t>
  </si>
  <si>
    <t>3216-QGD</t>
  </si>
  <si>
    <t>3258-QGA</t>
  </si>
  <si>
    <t>3390-QGD</t>
  </si>
  <si>
    <t>3444-QGA</t>
  </si>
  <si>
    <t>3756-QGS</t>
  </si>
  <si>
    <t>3790-QGD</t>
  </si>
  <si>
    <t>3853-QGA</t>
  </si>
  <si>
    <t>3853-QGS</t>
  </si>
  <si>
    <t>3900-QGA</t>
  </si>
  <si>
    <t>3900-QGS</t>
  </si>
  <si>
    <t>3902-QGD</t>
  </si>
  <si>
    <t>4020-QGA</t>
  </si>
  <si>
    <t>4020-QGD</t>
  </si>
  <si>
    <t>853-QGD</t>
  </si>
  <si>
    <t>853-QGS</t>
  </si>
  <si>
    <t>928-QGD</t>
  </si>
  <si>
    <t>Sir Aldo</t>
  </si>
  <si>
    <t>Mlle LyLy</t>
  </si>
  <si>
    <t>June</t>
  </si>
  <si>
    <t>Scandal</t>
  </si>
  <si>
    <t>Raya</t>
  </si>
  <si>
    <t>Mikito</t>
  </si>
  <si>
    <t>Jiggs</t>
  </si>
  <si>
    <t>Reverie</t>
  </si>
  <si>
    <t>Ray</t>
  </si>
  <si>
    <t>Rylee</t>
  </si>
  <si>
    <t>Flurry</t>
  </si>
  <si>
    <t>Wylder</t>
  </si>
  <si>
    <t>Junior</t>
  </si>
  <si>
    <t>Lennie</t>
  </si>
  <si>
    <t>Azog</t>
  </si>
  <si>
    <t>Kylo</t>
  </si>
  <si>
    <t>Polo</t>
  </si>
  <si>
    <t>Aidy</t>
  </si>
  <si>
    <t>McGuire</t>
  </si>
  <si>
    <t>Fun</t>
  </si>
  <si>
    <t>Krios</t>
  </si>
  <si>
    <t>Eurasier</t>
  </si>
  <si>
    <t>Abrahamsz, Sherrie</t>
  </si>
  <si>
    <t>Desfossés, Sophie</t>
  </si>
  <si>
    <t>Edwards, Bonnie</t>
  </si>
  <si>
    <t>Matieshin, Lianne</t>
  </si>
  <si>
    <t>BELANGER, JODI</t>
  </si>
  <si>
    <t>Bisgrove, Tara</t>
  </si>
  <si>
    <t>Boisvert, Christine</t>
  </si>
  <si>
    <t>Graziano, Jenny</t>
  </si>
  <si>
    <t>Brown, Heather</t>
  </si>
  <si>
    <t>Collins, Samantha</t>
  </si>
  <si>
    <t>Crouse, Tammy</t>
  </si>
  <si>
    <t>Evans, Sarah</t>
  </si>
  <si>
    <t>Garrett, Denise</t>
  </si>
  <si>
    <t>Gauthier, Allyssa</t>
  </si>
  <si>
    <t>Gervais, Andree-Anne</t>
  </si>
  <si>
    <t>Guenter, Jessica</t>
  </si>
  <si>
    <t>Gulbronson, Caroline</t>
  </si>
  <si>
    <t>Hamilton, Heather A</t>
  </si>
  <si>
    <t>Harvey, Emily</t>
  </si>
  <si>
    <t>Hope, Sandy</t>
  </si>
  <si>
    <t>Johnson, Sandra</t>
  </si>
  <si>
    <t>Kellington, Sienna</t>
  </si>
  <si>
    <t>Lau, Aaron</t>
  </si>
  <si>
    <t>Murray, Mandi</t>
  </si>
  <si>
    <t>Pahlke, Sarah</t>
  </si>
  <si>
    <t>Pelletier, Gabrielle</t>
  </si>
  <si>
    <t>Phannenhour, Sherri</t>
  </si>
  <si>
    <t>Poulin Collins, Cloe</t>
  </si>
  <si>
    <t>Prystay, Ihor</t>
  </si>
  <si>
    <t>Reid, Deb</t>
  </si>
  <si>
    <t>Rudd, Erin</t>
  </si>
  <si>
    <t>Smadja, Marc</t>
  </si>
  <si>
    <t>St-Germain, Lory-Pier</t>
  </si>
  <si>
    <t>Thorsen, Brielle</t>
  </si>
  <si>
    <t>toronitz, shannon</t>
  </si>
  <si>
    <t>Trail-Haines, Katherine</t>
  </si>
  <si>
    <t>White, Tony</t>
  </si>
  <si>
    <t>Woodroffe, Aleks</t>
  </si>
  <si>
    <t>1161-QGS</t>
  </si>
  <si>
    <t>1361-QGS</t>
  </si>
  <si>
    <t>1681-QGS</t>
  </si>
  <si>
    <t>1910-QGS</t>
  </si>
  <si>
    <t>2195-QGA</t>
  </si>
  <si>
    <t>2195-QGS</t>
  </si>
  <si>
    <t>2232-QGD</t>
  </si>
  <si>
    <t>2626-QGA</t>
  </si>
  <si>
    <t>2746-QGA</t>
  </si>
  <si>
    <t>2977-QGA</t>
  </si>
  <si>
    <t>2986-QGD</t>
  </si>
  <si>
    <t>3277-QGA</t>
  </si>
  <si>
    <t>3356-QGA</t>
  </si>
  <si>
    <t>3402-QGS</t>
  </si>
  <si>
    <t>3647-QGA</t>
  </si>
  <si>
    <t>3863-QGA</t>
  </si>
  <si>
    <t>3863-QGD</t>
  </si>
  <si>
    <t>4039-QGA</t>
  </si>
  <si>
    <t>4041-QGA</t>
  </si>
  <si>
    <t>4041-QGD</t>
  </si>
  <si>
    <t>464-QGA</t>
  </si>
  <si>
    <t>559-QGD</t>
  </si>
  <si>
    <t>Patterson, Brenda</t>
  </si>
  <si>
    <t>Getzie, Danielle</t>
  </si>
  <si>
    <t>Leven</t>
  </si>
  <si>
    <t>Lyri</t>
  </si>
  <si>
    <t>Jimi</t>
  </si>
  <si>
    <t>Prism</t>
  </si>
  <si>
    <t>Femiko</t>
  </si>
  <si>
    <t>Adrian, Janna</t>
  </si>
  <si>
    <t>Stone, Rhoda</t>
  </si>
  <si>
    <t>Toews, Jennifer</t>
  </si>
  <si>
    <t>2195-QGT</t>
  </si>
  <si>
    <t>2205-QGS</t>
  </si>
  <si>
    <t>2232-QGA</t>
  </si>
  <si>
    <t>2286-QGA</t>
  </si>
  <si>
    <t>2286-QGD</t>
  </si>
  <si>
    <t>2286-QGS</t>
  </si>
  <si>
    <t>2561-QGT</t>
  </si>
  <si>
    <t>2606-QGA</t>
  </si>
  <si>
    <t>2606-QGS</t>
  </si>
  <si>
    <t>2621-QGT</t>
  </si>
  <si>
    <t>2653-QGA</t>
  </si>
  <si>
    <t>2779-QGA</t>
  </si>
  <si>
    <t>2779-QGD</t>
  </si>
  <si>
    <t>3105-QGD</t>
  </si>
  <si>
    <t>3363-QGA</t>
  </si>
  <si>
    <t>3363-QGS</t>
  </si>
  <si>
    <t>3426-QGA</t>
  </si>
  <si>
    <t>3430-QGD</t>
  </si>
  <si>
    <t>3440-QGA</t>
  </si>
  <si>
    <t>3462-QGA</t>
  </si>
  <si>
    <t>3492-QGA</t>
  </si>
  <si>
    <t>3646-QGS</t>
  </si>
  <si>
    <t>3892-QGD</t>
  </si>
  <si>
    <t>3896-QGD</t>
  </si>
  <si>
    <t>4080-QGA</t>
  </si>
  <si>
    <t>4080-QGD</t>
  </si>
  <si>
    <t>4122-QGA</t>
  </si>
  <si>
    <t>464-QGT</t>
  </si>
  <si>
    <t>Liberty</t>
  </si>
  <si>
    <t>1781-QGD</t>
  </si>
  <si>
    <t>1999-QGS</t>
  </si>
  <si>
    <t>1999-QGT</t>
  </si>
  <si>
    <t>2360-QGD</t>
  </si>
  <si>
    <t>2541-QGD</t>
  </si>
  <si>
    <t>2541-QGT</t>
  </si>
  <si>
    <t>2725-QGS</t>
  </si>
  <si>
    <t>2775-QGT</t>
  </si>
  <si>
    <t>2879-QGT</t>
  </si>
  <si>
    <t>2917-QGD</t>
  </si>
  <si>
    <t>2994-QGA</t>
  </si>
  <si>
    <t>2994-QGD</t>
  </si>
  <si>
    <t>3064-QGA</t>
  </si>
  <si>
    <t>3064-QGT</t>
  </si>
  <si>
    <t>3132-QGS</t>
  </si>
  <si>
    <t>3132-QGT</t>
  </si>
  <si>
    <t>3192-QGT</t>
  </si>
  <si>
    <t>3198-QGS</t>
  </si>
  <si>
    <t>3217-QGA</t>
  </si>
  <si>
    <t>3217-QGS</t>
  </si>
  <si>
    <t>3270-QGS</t>
  </si>
  <si>
    <t>3277-QGS</t>
  </si>
  <si>
    <t>3685-QGA</t>
  </si>
  <si>
    <t>3685-QGD</t>
  </si>
  <si>
    <t>3712-QGS</t>
  </si>
  <si>
    <t>3791-QGD</t>
  </si>
  <si>
    <t>3841-QGD</t>
  </si>
  <si>
    <t>3878-QGD</t>
  </si>
  <si>
    <t>3878-QGS</t>
  </si>
  <si>
    <t>4020-QGT</t>
  </si>
  <si>
    <t>4080-QGT</t>
  </si>
  <si>
    <t>4144-QGA</t>
  </si>
  <si>
    <t>4144-QGD</t>
  </si>
  <si>
    <t>4144-QGT</t>
  </si>
  <si>
    <t>658-QGS</t>
  </si>
  <si>
    <t>Blööm</t>
  </si>
  <si>
    <t>Toscane</t>
  </si>
  <si>
    <t>Edward</t>
  </si>
  <si>
    <t>Tziloco</t>
  </si>
  <si>
    <t>Melvin</t>
  </si>
  <si>
    <t>Bug</t>
  </si>
  <si>
    <t>Lottie</t>
  </si>
  <si>
    <t>Abba</t>
  </si>
  <si>
    <t>Jean Grey</t>
  </si>
  <si>
    <t>Djin</t>
  </si>
  <si>
    <t>Peterbilt</t>
  </si>
  <si>
    <t>Remo</t>
  </si>
  <si>
    <t>Nikitta</t>
  </si>
  <si>
    <t>Lambeau</t>
  </si>
  <si>
    <t>Halo</t>
  </si>
  <si>
    <t>Artemis</t>
  </si>
  <si>
    <t>Jay</t>
  </si>
  <si>
    <t>Riplee</t>
  </si>
  <si>
    <t>Alvin</t>
  </si>
  <si>
    <t>Bravo</t>
  </si>
  <si>
    <t>Roya</t>
  </si>
  <si>
    <t>Larry</t>
  </si>
  <si>
    <t>Rum</t>
  </si>
  <si>
    <t>Cubby</t>
  </si>
  <si>
    <t>Lapointe, Pascale</t>
  </si>
  <si>
    <t>Weeks, Kysha</t>
  </si>
  <si>
    <t>Desnoyers, Carole</t>
  </si>
  <si>
    <t>Donhou, Susan</t>
  </si>
  <si>
    <t>Bakusko, Rhonda</t>
  </si>
  <si>
    <t>Breen, Cindy</t>
  </si>
  <si>
    <t>Brooks, Tammy</t>
  </si>
  <si>
    <t>Carrier, Tiffany</t>
  </si>
  <si>
    <t>Coburn, Winona</t>
  </si>
  <si>
    <t>dash, cheryl</t>
  </si>
  <si>
    <t>Davidson, Cathy</t>
  </si>
  <si>
    <t>Foster, Karen</t>
  </si>
  <si>
    <t>Glaspie, Stephanie</t>
  </si>
  <si>
    <t>Grant, Michelle</t>
  </si>
  <si>
    <t>Griesser, Gisela</t>
  </si>
  <si>
    <t>Harris, Danielle</t>
  </si>
  <si>
    <t>Hickey, Sandy</t>
  </si>
  <si>
    <t>Ironmonger, Meaghan</t>
  </si>
  <si>
    <t>Lawson, Beverley</t>
  </si>
  <si>
    <t>LeBlanc, Gabrielle</t>
  </si>
  <si>
    <t>Marr, Ann</t>
  </si>
  <si>
    <t>Mathew, Libby</t>
  </si>
  <si>
    <t>Nixon, Karen</t>
  </si>
  <si>
    <t>Pettit, Erin</t>
  </si>
  <si>
    <t>Pietraroia, Joey</t>
  </si>
  <si>
    <t>Ranger, Matthieu</t>
  </si>
  <si>
    <t>Sandvar, Lorri</t>
  </si>
  <si>
    <t>Sperlem, Glenna</t>
  </si>
  <si>
    <t>Stirling, Kara</t>
  </si>
  <si>
    <t>Takhar, Amrita</t>
  </si>
  <si>
    <t>Thompson, Megan</t>
  </si>
  <si>
    <t>Thurston, Asta</t>
  </si>
  <si>
    <t>Upper, Danna</t>
  </si>
  <si>
    <t>Wegner, Leanna</t>
  </si>
  <si>
    <t>Westelaken, Sara</t>
  </si>
  <si>
    <t>3022-QGA</t>
  </si>
  <si>
    <t>3022-QGS</t>
  </si>
  <si>
    <t>3029-QGS</t>
  </si>
  <si>
    <t>3309-QGT</t>
  </si>
  <si>
    <t>3507-QGT</t>
  </si>
  <si>
    <t>2215-QGA</t>
  </si>
  <si>
    <t>2237-QGD</t>
  </si>
  <si>
    <t>2386-QGD</t>
  </si>
  <si>
    <t>2892-QGD</t>
  </si>
  <si>
    <t>2892-QGS</t>
  </si>
  <si>
    <t>3597-QGA</t>
  </si>
  <si>
    <t>3597-QGD</t>
  </si>
  <si>
    <t>3680-QGA</t>
  </si>
  <si>
    <t>3867-QGA</t>
  </si>
  <si>
    <t>3867-QGD</t>
  </si>
  <si>
    <t>4107-QGA</t>
  </si>
  <si>
    <t>4107-QGD</t>
  </si>
  <si>
    <t>912-QGA</t>
  </si>
  <si>
    <t>912-QGD</t>
  </si>
  <si>
    <t>Bling</t>
  </si>
  <si>
    <t>Wally</t>
  </si>
  <si>
    <t>Soldier</t>
  </si>
  <si>
    <t>Kailo</t>
  </si>
  <si>
    <t>Nina</t>
  </si>
  <si>
    <t>Seri</t>
  </si>
  <si>
    <t>Revan</t>
  </si>
  <si>
    <t>Keg</t>
  </si>
  <si>
    <t>Chaos</t>
  </si>
  <si>
    <t>Phyliss</t>
  </si>
  <si>
    <t>Marvin</t>
  </si>
  <si>
    <t>Avro</t>
  </si>
  <si>
    <t>Brynna</t>
  </si>
  <si>
    <t>Abner</t>
  </si>
  <si>
    <t>Cedes</t>
  </si>
  <si>
    <t>Rua</t>
  </si>
  <si>
    <t>Beckytt</t>
  </si>
  <si>
    <t>Ayling, Cheralea</t>
  </si>
  <si>
    <t>Bailey, Stephanie</t>
  </si>
  <si>
    <t>Boyes, Kristy</t>
  </si>
  <si>
    <t>Duguay-Ladouceur, Taylor</t>
  </si>
  <si>
    <t>Harris, Joanna</t>
  </si>
  <si>
    <t>Howlett, Wendy</t>
  </si>
  <si>
    <t>Lamb, Kristi</t>
  </si>
  <si>
    <t>Langlois, Valérie</t>
  </si>
  <si>
    <t>Morrison, Stacey</t>
  </si>
  <si>
    <t>Propp, Linda</t>
  </si>
  <si>
    <t>Ranta, Tammy</t>
  </si>
  <si>
    <t>Robertson, Kirsten</t>
  </si>
  <si>
    <t>Rozee, Deborah</t>
  </si>
  <si>
    <t>Stickel, Laura</t>
  </si>
  <si>
    <t>van Weesenbeek, Taria</t>
  </si>
  <si>
    <t>Williams, Les</t>
  </si>
  <si>
    <t>1358-QGS</t>
  </si>
  <si>
    <t>1359-QGD</t>
  </si>
  <si>
    <t>1743-QGT</t>
  </si>
  <si>
    <t>1790-QGT</t>
  </si>
  <si>
    <t>2196-QGT</t>
  </si>
  <si>
    <t>2368-QGD</t>
  </si>
  <si>
    <t>2374-QGA</t>
  </si>
  <si>
    <t>2943-QGD</t>
  </si>
  <si>
    <t>3142-QGT</t>
  </si>
  <si>
    <t>3204-QGA</t>
  </si>
  <si>
    <t>3318-QGA</t>
  </si>
  <si>
    <t>3318-QGD</t>
  </si>
  <si>
    <t>3318-QGT</t>
  </si>
  <si>
    <t>3350-QGA</t>
  </si>
  <si>
    <t>3350-QGD</t>
  </si>
  <si>
    <t>3350-QGT</t>
  </si>
  <si>
    <t>3704-QGA</t>
  </si>
  <si>
    <t>3704-QGD</t>
  </si>
  <si>
    <t>3715-QGA</t>
  </si>
  <si>
    <t>3971-QGT</t>
  </si>
  <si>
    <t>MaMoizi</t>
  </si>
  <si>
    <t>Coulombe, Francine</t>
  </si>
  <si>
    <t>Phiasko</t>
  </si>
  <si>
    <t>JonJon</t>
  </si>
  <si>
    <t>Olson, Vicky</t>
  </si>
  <si>
    <t>Hemsworth, Rea</t>
  </si>
  <si>
    <t>Cavilla, Janine</t>
  </si>
  <si>
    <t>Besermenji, Darja</t>
  </si>
  <si>
    <t>Weeks, Emily</t>
  </si>
  <si>
    <t>Bianchi, Lisa-Marie</t>
  </si>
  <si>
    <t>Maple</t>
  </si>
  <si>
    <t>Seguin, Kimberly</t>
  </si>
  <si>
    <t>O'Connor, Beth</t>
  </si>
  <si>
    <t>Cola</t>
  </si>
  <si>
    <t>Zara</t>
  </si>
  <si>
    <t>Litwack, Brenna</t>
  </si>
  <si>
    <t>CANDIDE</t>
  </si>
  <si>
    <t>Savanna</t>
  </si>
  <si>
    <t>Haimes, Jennifer</t>
  </si>
  <si>
    <t>1478-QGT</t>
  </si>
  <si>
    <t>1490-QGD</t>
  </si>
  <si>
    <t>1490-QGS</t>
  </si>
  <si>
    <t>1597-QGD</t>
  </si>
  <si>
    <t>1925-QGA</t>
  </si>
  <si>
    <t>1925-QGT</t>
  </si>
  <si>
    <t>1942-QGD</t>
  </si>
  <si>
    <t>2099-QGD</t>
  </si>
  <si>
    <t>2151-QGA</t>
  </si>
  <si>
    <t>2215-QGD</t>
  </si>
  <si>
    <t>2256-QGA</t>
  </si>
  <si>
    <t>2256-QGD</t>
  </si>
  <si>
    <t>2384-QGA</t>
  </si>
  <si>
    <t>2671-QGA</t>
  </si>
  <si>
    <t>2671-QGD</t>
  </si>
  <si>
    <t>2742-QGD</t>
  </si>
  <si>
    <t>2745-QGA</t>
  </si>
  <si>
    <t>2792-QGA</t>
  </si>
  <si>
    <t>2864-QGD</t>
  </si>
  <si>
    <t>2888-QGD</t>
  </si>
  <si>
    <t>2888-QGS</t>
  </si>
  <si>
    <t>3084-QGA</t>
  </si>
  <si>
    <t>3084-QGS</t>
  </si>
  <si>
    <t>3597-QGS</t>
  </si>
  <si>
    <t>3655-QGA</t>
  </si>
  <si>
    <t>3932-QGA</t>
  </si>
  <si>
    <t>3991-QGD</t>
  </si>
  <si>
    <t>4035-QGA</t>
  </si>
  <si>
    <t>4035-QGD</t>
  </si>
  <si>
    <t>4095-QGS</t>
  </si>
  <si>
    <t>4107-QGS</t>
  </si>
  <si>
    <t>4187-QGA</t>
  </si>
  <si>
    <t>638-QGS</t>
  </si>
  <si>
    <t>Killah</t>
  </si>
  <si>
    <t>Decker (use 3945)</t>
  </si>
  <si>
    <t>Kabatoff, Kimberly</t>
  </si>
  <si>
    <t>1361-QGT</t>
  </si>
  <si>
    <t>1722-QGD</t>
  </si>
  <si>
    <t>1813-QGT</t>
  </si>
  <si>
    <t>1826-QGS</t>
  </si>
  <si>
    <t>1984-QGD</t>
  </si>
  <si>
    <t>2179-QGS</t>
  </si>
  <si>
    <t>2297-QGA</t>
  </si>
  <si>
    <t>2549-QGT</t>
  </si>
  <si>
    <t>2554-QGT</t>
  </si>
  <si>
    <t>2808-QGD</t>
  </si>
  <si>
    <t>2875-QGA</t>
  </si>
  <si>
    <t>3199-QGD</t>
  </si>
  <si>
    <t>3207-QGS</t>
  </si>
  <si>
    <t>3337-QGA</t>
  </si>
  <si>
    <t>3337-QGD</t>
  </si>
  <si>
    <t>3356-QGT</t>
  </si>
  <si>
    <t>3402-QGT</t>
  </si>
  <si>
    <t>3440-QGD</t>
  </si>
  <si>
    <t>3440-QGS</t>
  </si>
  <si>
    <t>3572-QGS</t>
  </si>
  <si>
    <t>3572-QGT</t>
  </si>
  <si>
    <t>3712-QGA</t>
  </si>
  <si>
    <t>3720-QGT</t>
  </si>
  <si>
    <t>3991-QGA</t>
  </si>
  <si>
    <t>3991-QGT</t>
  </si>
  <si>
    <t>4107-QGT</t>
  </si>
  <si>
    <t>464-QGD</t>
  </si>
  <si>
    <t>997-QGT</t>
  </si>
  <si>
    <t>Coll</t>
  </si>
  <si>
    <t>Loukas</t>
  </si>
  <si>
    <t>Presley</t>
  </si>
  <si>
    <t>Maisel</t>
  </si>
  <si>
    <t>Kallik</t>
  </si>
  <si>
    <t>Focus</t>
  </si>
  <si>
    <t>Geezer</t>
  </si>
  <si>
    <t>TARN</t>
  </si>
  <si>
    <t>Azrya</t>
  </si>
  <si>
    <t>Zulu</t>
  </si>
  <si>
    <t>Angelevska, Gabriela</t>
  </si>
  <si>
    <t>Dion, Heather</t>
  </si>
  <si>
    <t>Benson, Bonnie</t>
  </si>
  <si>
    <t>Black, Kate</t>
  </si>
  <si>
    <t>Karas, Ellie</t>
  </si>
  <si>
    <t>Fontaine, Debbie</t>
  </si>
  <si>
    <t>Langill, Cathy</t>
  </si>
  <si>
    <t>light, buffy</t>
  </si>
  <si>
    <t>Loranger, Isabelle</t>
  </si>
  <si>
    <t>LYTWINUK, SERENA</t>
  </si>
  <si>
    <t>Milette, Cedricka</t>
  </si>
  <si>
    <t>Ragsdale, Lynne</t>
  </si>
  <si>
    <t>Ross, Norah</t>
  </si>
  <si>
    <t>Scott, Crystal</t>
  </si>
  <si>
    <t>Tyrrell, Audrey</t>
  </si>
  <si>
    <t>Worley, Karyn</t>
  </si>
  <si>
    <t>2468-QGA</t>
  </si>
  <si>
    <t>2994-QGS</t>
  </si>
  <si>
    <t>3712-QGD</t>
  </si>
  <si>
    <t>4122-QGD</t>
  </si>
  <si>
    <t>883-QGS</t>
  </si>
  <si>
    <t>2082-QGS</t>
  </si>
  <si>
    <t>2605-QGS</t>
  </si>
  <si>
    <t>3354-QGA</t>
  </si>
  <si>
    <t>3354-QGD</t>
  </si>
  <si>
    <t>3948-QGD</t>
  </si>
  <si>
    <t>Aaliyah</t>
  </si>
  <si>
    <t>Earl</t>
  </si>
  <si>
    <t>Styx</t>
  </si>
  <si>
    <t>Bonita</t>
  </si>
  <si>
    <t>Oates</t>
  </si>
  <si>
    <t>Kreature</t>
  </si>
  <si>
    <t>Crackers</t>
  </si>
  <si>
    <t>Prill</t>
  </si>
  <si>
    <t>Tennant</t>
  </si>
  <si>
    <t>Tinder</t>
  </si>
  <si>
    <t>Seven</t>
  </si>
  <si>
    <t>KoKo</t>
  </si>
  <si>
    <t>Bumble</t>
  </si>
  <si>
    <t>Nice'nEasy</t>
  </si>
  <si>
    <t>Eden</t>
  </si>
  <si>
    <t>ESJA</t>
  </si>
  <si>
    <t>Norman</t>
  </si>
  <si>
    <t>Axl</t>
  </si>
  <si>
    <t>Zzzulu</t>
  </si>
  <si>
    <t>Thanos</t>
  </si>
  <si>
    <t>Willis</t>
  </si>
  <si>
    <t>Beaker</t>
  </si>
  <si>
    <t>Drastic</t>
  </si>
  <si>
    <t>Bondi</t>
  </si>
  <si>
    <t>American Bully</t>
  </si>
  <si>
    <t>Vanderkuip, Avery</t>
  </si>
  <si>
    <t>Archambault, Océanne</t>
  </si>
  <si>
    <t>Kalbfleisch, Kristen</t>
  </si>
  <si>
    <t>Barlaug, Amanda</t>
  </si>
  <si>
    <t>Bull, Laurie</t>
  </si>
  <si>
    <t>Case-Skubleny, Tori</t>
  </si>
  <si>
    <t>Daniels, Terry</t>
  </si>
  <si>
    <t>Guy, Christina</t>
  </si>
  <si>
    <t>Hua, Patricia</t>
  </si>
  <si>
    <t>Leong, Madeleine</t>
  </si>
  <si>
    <t>Mathison, Christine</t>
  </si>
  <si>
    <t>Oliver, Shelley</t>
  </si>
  <si>
    <t>Patel, Kamala</t>
  </si>
  <si>
    <t>Paton, Marla</t>
  </si>
  <si>
    <t>Pearson, Kim</t>
  </si>
  <si>
    <t>Robazza, Marisa</t>
  </si>
  <si>
    <t>Seney, Emilie</t>
  </si>
  <si>
    <t>Smith, Roy</t>
  </si>
  <si>
    <t>Teal, Nathalie</t>
  </si>
  <si>
    <t>Ungureanu, Razvan</t>
  </si>
  <si>
    <t>Goncharova, Tatiana</t>
  </si>
  <si>
    <t>Newman McCann, Anne</t>
  </si>
  <si>
    <t>Daniels, Amy</t>
  </si>
  <si>
    <t>Duder, Claire</t>
  </si>
  <si>
    <t>Grant, Charlotte</t>
  </si>
  <si>
    <t>Helbling, Stephanie</t>
  </si>
  <si>
    <t>Jones, Dale</t>
  </si>
  <si>
    <t>Lachance, Nancy</t>
  </si>
  <si>
    <t>Osborne, Amy</t>
  </si>
  <si>
    <t>Rogers, Bonni</t>
  </si>
  <si>
    <t>Saul, Susan</t>
  </si>
  <si>
    <t>Wabiszczewicz, Karen</t>
  </si>
  <si>
    <t>Woods, Kate</t>
  </si>
  <si>
    <t>1633-QGD</t>
  </si>
  <si>
    <t>1780-QGA</t>
  </si>
  <si>
    <t>1780-QGD</t>
  </si>
  <si>
    <t>1780-QGS</t>
  </si>
  <si>
    <t>1825-QGA</t>
  </si>
  <si>
    <t>1825-QGD</t>
  </si>
  <si>
    <t>1825-QGS</t>
  </si>
  <si>
    <t>1898-QGS</t>
  </si>
  <si>
    <t>2242-QGA</t>
  </si>
  <si>
    <t>2242-QGD</t>
  </si>
  <si>
    <t>2242-QGS</t>
  </si>
  <si>
    <t>2468-QGD</t>
  </si>
  <si>
    <t>2551-QGS</t>
  </si>
  <si>
    <t>2596-QGA</t>
  </si>
  <si>
    <t>2643-QGA</t>
  </si>
  <si>
    <t>2643-QGD</t>
  </si>
  <si>
    <t>2680-QGT</t>
  </si>
  <si>
    <t>2764-QGA</t>
  </si>
  <si>
    <t>2871-QGA</t>
  </si>
  <si>
    <t>2871-QGS</t>
  </si>
  <si>
    <t>2892-QGA</t>
  </si>
  <si>
    <t>2959-QGT</t>
  </si>
  <si>
    <t>3040-QGT</t>
  </si>
  <si>
    <t>3056-QGT</t>
  </si>
  <si>
    <t>3057-QGA</t>
  </si>
  <si>
    <t>3057-QGD</t>
  </si>
  <si>
    <t>3122-QGT</t>
  </si>
  <si>
    <t>3133-QGT</t>
  </si>
  <si>
    <t>3192-QGS</t>
  </si>
  <si>
    <t>3257-QGD</t>
  </si>
  <si>
    <t>3288-QGA</t>
  </si>
  <si>
    <t>3288-QGD</t>
  </si>
  <si>
    <t>3381-QGA</t>
  </si>
  <si>
    <t>3381-QGD</t>
  </si>
  <si>
    <t>3397-QGA</t>
  </si>
  <si>
    <t>3397-QGS</t>
  </si>
  <si>
    <t>3511-QGA</t>
  </si>
  <si>
    <t>3511-QGD</t>
  </si>
  <si>
    <t>3629-QGA</t>
  </si>
  <si>
    <t>3629-QGD</t>
  </si>
  <si>
    <t>3629-QGS</t>
  </si>
  <si>
    <t>3629-QGT</t>
  </si>
  <si>
    <t>3715-QGD</t>
  </si>
  <si>
    <t>3755-QGA</t>
  </si>
  <si>
    <t>3774-QGD</t>
  </si>
  <si>
    <t>3790-QGA</t>
  </si>
  <si>
    <t>3806-QGA</t>
  </si>
  <si>
    <t>3806-QGD</t>
  </si>
  <si>
    <t>3896-QGA</t>
  </si>
  <si>
    <t>3947-QGA</t>
  </si>
  <si>
    <t>3947-QGD</t>
  </si>
  <si>
    <t>3991-QGS</t>
  </si>
  <si>
    <t>4016-QGD</t>
  </si>
  <si>
    <t>4016-QGT</t>
  </si>
  <si>
    <t>4021-QGA</t>
  </si>
  <si>
    <t>4021-QGD</t>
  </si>
  <si>
    <t>4036-QGS</t>
  </si>
  <si>
    <t>4059-QGA</t>
  </si>
  <si>
    <t>4059-QGD</t>
  </si>
  <si>
    <t>4059-QGT</t>
  </si>
  <si>
    <t>4084-QGA</t>
  </si>
  <si>
    <t>4084-QGD</t>
  </si>
  <si>
    <t>4084-QGS</t>
  </si>
  <si>
    <t>4105-QGS</t>
  </si>
  <si>
    <t>4130-QGD</t>
  </si>
  <si>
    <t>4225-QGD</t>
  </si>
  <si>
    <t>4249-QGD</t>
  </si>
  <si>
    <t>4249-QGT</t>
  </si>
  <si>
    <t>4250-QGD</t>
  </si>
  <si>
    <t>4252-QGA</t>
  </si>
  <si>
    <t>4253-QGD</t>
  </si>
  <si>
    <t>4253-QGT</t>
  </si>
  <si>
    <t>4254-QGA</t>
  </si>
  <si>
    <t>4254-QGD</t>
  </si>
  <si>
    <t>4256-QGA</t>
  </si>
  <si>
    <t>4258-QGA</t>
  </si>
  <si>
    <t>4258-QGD</t>
  </si>
  <si>
    <t>4262-QGA</t>
  </si>
  <si>
    <t>4262-QGD</t>
  </si>
  <si>
    <t>4263-QGA</t>
  </si>
  <si>
    <t>4263-QGD</t>
  </si>
  <si>
    <t>4263-QGT</t>
  </si>
  <si>
    <t>4269-QGA</t>
  </si>
  <si>
    <t>4270-QGA</t>
  </si>
  <si>
    <t>4270-QGS</t>
  </si>
  <si>
    <t>853-QGT</t>
  </si>
  <si>
    <t>BLADE</t>
  </si>
  <si>
    <t>Kouki</t>
  </si>
  <si>
    <t>Nora</t>
  </si>
  <si>
    <t>Debbie</t>
  </si>
  <si>
    <t>GeriBear</t>
  </si>
  <si>
    <t>Vimy</t>
  </si>
  <si>
    <t>Jameson</t>
  </si>
  <si>
    <t>Wheeler</t>
  </si>
  <si>
    <t>Ellie Mae</t>
  </si>
  <si>
    <t>Andie</t>
  </si>
  <si>
    <t>LouSea</t>
  </si>
  <si>
    <t>Gunther</t>
  </si>
  <si>
    <t>Felipe</t>
  </si>
  <si>
    <t>Vladimir</t>
  </si>
  <si>
    <t>TyLee</t>
  </si>
  <si>
    <t>Sarcelle</t>
  </si>
  <si>
    <t>Ed</t>
  </si>
  <si>
    <t>Waylon</t>
  </si>
  <si>
    <t>Alexia</t>
  </si>
  <si>
    <t>Jyn</t>
  </si>
  <si>
    <t>Bloom</t>
  </si>
  <si>
    <t>Slick</t>
  </si>
  <si>
    <t>Litha</t>
  </si>
  <si>
    <t>Tovie</t>
  </si>
  <si>
    <t>Satan</t>
  </si>
  <si>
    <t>JONNY</t>
  </si>
  <si>
    <t>Griffon (Brussels)</t>
  </si>
  <si>
    <t>Wootton, Kelli</t>
  </si>
  <si>
    <t>Ip, Salina</t>
  </si>
  <si>
    <t>Tapley, Samantha</t>
  </si>
  <si>
    <t>Tkatch, Jodi</t>
  </si>
  <si>
    <t>Gallagher-Chamois, Devyn</t>
  </si>
  <si>
    <t>McCarthy, Kelly</t>
  </si>
  <si>
    <t>Walker, Elizabeth</t>
  </si>
  <si>
    <t>Benedetto, Brenda</t>
  </si>
  <si>
    <t>Arts, Maria</t>
  </si>
  <si>
    <t>Borenstein, Jaime</t>
  </si>
  <si>
    <t>Copithorne, Kate</t>
  </si>
  <si>
    <t>Dionne, Cassie</t>
  </si>
  <si>
    <t>Edwards, Megan</t>
  </si>
  <si>
    <t>fisher, krista lee</t>
  </si>
  <si>
    <t>Kao, Joyce</t>
  </si>
  <si>
    <t>Jerrett, Glenda</t>
  </si>
  <si>
    <t>Lachapelle, Caroline</t>
  </si>
  <si>
    <t>Maley, Tania</t>
  </si>
  <si>
    <t>Martel, Audrey</t>
  </si>
  <si>
    <t>Leach, Alannah</t>
  </si>
  <si>
    <t>Lukac, Ana</t>
  </si>
  <si>
    <t>Lukashal, Joanne</t>
  </si>
  <si>
    <t>Lynds, Michaela</t>
  </si>
  <si>
    <t>McCaw, Cody</t>
  </si>
  <si>
    <t>Menzies, Lesley</t>
  </si>
  <si>
    <t>Mikl, Leah</t>
  </si>
  <si>
    <t>Morton, Alexandra</t>
  </si>
  <si>
    <t>Newton, Michelle</t>
  </si>
  <si>
    <t>Richmond, Brenda</t>
  </si>
  <si>
    <t>St. Louis, Monet</t>
  </si>
  <si>
    <t>Stiles, Melanie</t>
  </si>
  <si>
    <t>Van Iperen, Janine</t>
  </si>
  <si>
    <t>Vanier, Myriam</t>
  </si>
  <si>
    <t>Cawthorn, Mylène</t>
  </si>
  <si>
    <t>1268-QGA</t>
  </si>
  <si>
    <t>1268-QGD</t>
  </si>
  <si>
    <t>1270-QGA</t>
  </si>
  <si>
    <t>1270-QGD</t>
  </si>
  <si>
    <t>1270-QGS</t>
  </si>
  <si>
    <t>1270-QGT</t>
  </si>
  <si>
    <t>1819-QGD</t>
  </si>
  <si>
    <t>1896-QGA</t>
  </si>
  <si>
    <t>1896-QGD</t>
  </si>
  <si>
    <t>1984-QGA</t>
  </si>
  <si>
    <t>2179-QGA</t>
  </si>
  <si>
    <t>2203-QGA</t>
  </si>
  <si>
    <t>2203-QGD</t>
  </si>
  <si>
    <t>2254-QGA</t>
  </si>
  <si>
    <t>2255-QGA</t>
  </si>
  <si>
    <t>2255-QGD</t>
  </si>
  <si>
    <t>2354-QGA</t>
  </si>
  <si>
    <t>2354-QGD</t>
  </si>
  <si>
    <t>2354-QGS</t>
  </si>
  <si>
    <t>2441-QGD</t>
  </si>
  <si>
    <t>2575-QGD</t>
  </si>
  <si>
    <t>262-QGS</t>
  </si>
  <si>
    <t>2652-QGA</t>
  </si>
  <si>
    <t>2652-QGD</t>
  </si>
  <si>
    <t>2745-QGD</t>
  </si>
  <si>
    <t>2870-QGA</t>
  </si>
  <si>
    <t>3041-QGA</t>
  </si>
  <si>
    <t>3044-QGA</t>
  </si>
  <si>
    <t>3044-QGS</t>
  </si>
  <si>
    <t>3212-QGD</t>
  </si>
  <si>
    <t>3249-QGD</t>
  </si>
  <si>
    <t>3249-QGT</t>
  </si>
  <si>
    <t>3344-QGA</t>
  </si>
  <si>
    <t>3344-QGD</t>
  </si>
  <si>
    <t>3376-QGA</t>
  </si>
  <si>
    <t>3376-QGD</t>
  </si>
  <si>
    <t>3382-QGD</t>
  </si>
  <si>
    <t>3419-QGA</t>
  </si>
  <si>
    <t>3419-QGD</t>
  </si>
  <si>
    <t>3443-QGS</t>
  </si>
  <si>
    <t>3706-QGA</t>
  </si>
  <si>
    <t>3706-QGD</t>
  </si>
  <si>
    <t>3720-QGA</t>
  </si>
  <si>
    <t>3732-QGD</t>
  </si>
  <si>
    <t>3766-QGA</t>
  </si>
  <si>
    <t>3776-QGA</t>
  </si>
  <si>
    <t>3776-QGD</t>
  </si>
  <si>
    <t>3776-QGS</t>
  </si>
  <si>
    <t>3867-QGS</t>
  </si>
  <si>
    <t>3905-QGD</t>
  </si>
  <si>
    <t>3925-QGA</t>
  </si>
  <si>
    <t>3945-QGA</t>
  </si>
  <si>
    <t>3945-QGD</t>
  </si>
  <si>
    <t>3998-QGD</t>
  </si>
  <si>
    <t>4129-QGD</t>
  </si>
  <si>
    <t>4131-QGA</t>
  </si>
  <si>
    <t>4131-QGD</t>
  </si>
  <si>
    <t>4131-QGT</t>
  </si>
  <si>
    <t>4147-QGD</t>
  </si>
  <si>
    <t>4161-QGA</t>
  </si>
  <si>
    <t>4161-QGD</t>
  </si>
  <si>
    <t>4177-QGA</t>
  </si>
  <si>
    <t>4183-QGD</t>
  </si>
  <si>
    <t>4203-QGA</t>
  </si>
  <si>
    <t>4203-QGD</t>
  </si>
  <si>
    <t>4204-QGD</t>
  </si>
  <si>
    <t>Sukre</t>
  </si>
  <si>
    <t>Leaf</t>
  </si>
  <si>
    <t>Sir Humphrey</t>
  </si>
  <si>
    <t>Bali</t>
  </si>
  <si>
    <t>Skye La Vysta</t>
  </si>
  <si>
    <t>Alto</t>
  </si>
  <si>
    <t>Sprint</t>
  </si>
  <si>
    <t>Frannie</t>
  </si>
  <si>
    <t>Roisin</t>
  </si>
  <si>
    <t>Barrel</t>
  </si>
  <si>
    <t>Robin</t>
  </si>
  <si>
    <t>Nalu</t>
  </si>
  <si>
    <t>Korpi</t>
  </si>
  <si>
    <t>Wendy</t>
  </si>
  <si>
    <t>Peter</t>
  </si>
  <si>
    <t>Goofy</t>
  </si>
  <si>
    <t>Boomerang</t>
  </si>
  <si>
    <t>Clyde</t>
  </si>
  <si>
    <t>Sway</t>
  </si>
  <si>
    <t>Jayde</t>
  </si>
  <si>
    <t>Kyen</t>
  </si>
  <si>
    <t>Chinook</t>
  </si>
  <si>
    <t>Hutch</t>
  </si>
  <si>
    <t>Kanga</t>
  </si>
  <si>
    <t>Gia</t>
  </si>
  <si>
    <t>abby</t>
  </si>
  <si>
    <t>Rafiki</t>
  </si>
  <si>
    <t>Mab</t>
  </si>
  <si>
    <t>Lil' Red</t>
  </si>
  <si>
    <t>WILLOW</t>
  </si>
  <si>
    <t>Veet</t>
  </si>
  <si>
    <t>Tansy</t>
  </si>
  <si>
    <t>FINNLEY</t>
  </si>
  <si>
    <t>FRICO</t>
  </si>
  <si>
    <t>Royce</t>
  </si>
  <si>
    <t>Skeeter</t>
  </si>
  <si>
    <t>Flavie</t>
  </si>
  <si>
    <t>Fullie</t>
  </si>
  <si>
    <t>Kula</t>
  </si>
  <si>
    <t>Patch</t>
  </si>
  <si>
    <t>Esben</t>
  </si>
  <si>
    <t>Jester</t>
  </si>
  <si>
    <t>Fizzgig</t>
  </si>
  <si>
    <t>Stabyhoun</t>
  </si>
  <si>
    <t>Berger Blanc Suisse</t>
  </si>
  <si>
    <t>Irish Terrier</t>
  </si>
  <si>
    <t>Xoloitzcuintli (Miniature &amp; Standard)</t>
  </si>
  <si>
    <t>Albanese, Chloe</t>
  </si>
  <si>
    <t>Ariola, Jaysen</t>
  </si>
  <si>
    <t>Bzdel, Marlene</t>
  </si>
  <si>
    <t>Benabou, Nelly</t>
  </si>
  <si>
    <t>Chodyniecki, Debbi</t>
  </si>
  <si>
    <t>Contin, Dianna</t>
  </si>
  <si>
    <t>Corwin, Nancy</t>
  </si>
  <si>
    <t>Doucette, Ryan</t>
  </si>
  <si>
    <t>Dubois, Karol-Ann</t>
  </si>
  <si>
    <t>Fergusson, Victoria</t>
  </si>
  <si>
    <t>Ferrel, Dakota</t>
  </si>
  <si>
    <t>Gagnon, Mireille</t>
  </si>
  <si>
    <t>Green, Laura</t>
  </si>
  <si>
    <t>Hamaluk, Leah</t>
  </si>
  <si>
    <t>Hawkins, Janet</t>
  </si>
  <si>
    <t>Henderson, Mary Ellen</t>
  </si>
  <si>
    <t>Keyworth, Sharon L</t>
  </si>
  <si>
    <t>Kristjansson, Diane</t>
  </si>
  <si>
    <t>Lauzon, Kathryn</t>
  </si>
  <si>
    <t>Law, Christopher</t>
  </si>
  <si>
    <t>Laxdal, Arlie</t>
  </si>
  <si>
    <t>Lemay, Véronique</t>
  </si>
  <si>
    <t>Lemieux, Anne</t>
  </si>
  <si>
    <t>LeRue, Erin</t>
  </si>
  <si>
    <t>Levesque, Trish</t>
  </si>
  <si>
    <t>Lombardo, Gwen</t>
  </si>
  <si>
    <t>MacKeigan, Aimee</t>
  </si>
  <si>
    <t>MacLean, Ann</t>
  </si>
  <si>
    <t>Malo, Eric</t>
  </si>
  <si>
    <t>Marsh, Christine</t>
  </si>
  <si>
    <t>Massner, Karen</t>
  </si>
  <si>
    <t>McCart Thifault, Mary</t>
  </si>
  <si>
    <t>McCaughey, Deirdre</t>
  </si>
  <si>
    <t>McIninch, Merryn</t>
  </si>
  <si>
    <t>McIntyre, Susan</t>
  </si>
  <si>
    <t>mohammed, laura</t>
  </si>
  <si>
    <t>Morris, Kelly</t>
  </si>
  <si>
    <t>Paquet Lajoie, Andrée-anne</t>
  </si>
  <si>
    <t>Peckford, Gina</t>
  </si>
  <si>
    <t>Prieur, Chantal</t>
  </si>
  <si>
    <t>Quinn, Amanda</t>
  </si>
  <si>
    <t>Rees, Amanda</t>
  </si>
  <si>
    <t>Reusch, Kristina</t>
  </si>
  <si>
    <t>Richard, Louise</t>
  </si>
  <si>
    <t>Rivard, Francine</t>
  </si>
  <si>
    <t>Rolfe, Paula</t>
  </si>
  <si>
    <t>Rossmann, Jennifer</t>
  </si>
  <si>
    <t>Stevens, Carolyn</t>
  </si>
  <si>
    <t>Stickle, Terry</t>
  </si>
  <si>
    <t>Stuart, Laura</t>
  </si>
  <si>
    <t>Tait, Arlene</t>
  </si>
  <si>
    <t>Thibault, Isabelle</t>
  </si>
  <si>
    <t>Villemure, Dany</t>
  </si>
  <si>
    <t>Wallberg, Mats</t>
  </si>
  <si>
    <t>Walmer, Barbara</t>
  </si>
  <si>
    <t>Whittleton, Lisa</t>
  </si>
  <si>
    <t>Williamson, Marla</t>
  </si>
  <si>
    <t>Larson, Erinn</t>
  </si>
  <si>
    <t>2232-QGS</t>
  </si>
  <si>
    <t>3804-QGA</t>
  </si>
  <si>
    <t>3804-QGD</t>
  </si>
  <si>
    <t>1096-QGA</t>
  </si>
  <si>
    <t>1096-QGD</t>
  </si>
  <si>
    <t>1439-QGA</t>
  </si>
  <si>
    <t>1439-QGD</t>
  </si>
  <si>
    <t>1945-QGA</t>
  </si>
  <si>
    <t>1945-QGD</t>
  </si>
  <si>
    <t>2213-QGD</t>
  </si>
  <si>
    <t>2977-QGT</t>
  </si>
  <si>
    <t>3207-QGT</t>
  </si>
  <si>
    <t>3363-QGD</t>
  </si>
  <si>
    <t>3364-QGT</t>
  </si>
  <si>
    <t>3462-QGD</t>
  </si>
  <si>
    <t>3462-QGS</t>
  </si>
  <si>
    <t>3475-QGS</t>
  </si>
  <si>
    <t>3586-QGA</t>
  </si>
  <si>
    <t>3586-QGD</t>
  </si>
  <si>
    <t>3731-QGT</t>
  </si>
  <si>
    <t>3746-QGA</t>
  </si>
  <si>
    <t>3746-QGD</t>
  </si>
  <si>
    <t>3842-QGA</t>
  </si>
  <si>
    <t>3892-QGS</t>
  </si>
  <si>
    <t>3898-QGA</t>
  </si>
  <si>
    <t>3898-QGS</t>
  </si>
  <si>
    <t>4058-QGA</t>
  </si>
  <si>
    <t>4067-QGA</t>
  </si>
  <si>
    <t>4067-QGD</t>
  </si>
  <si>
    <t>4310-QGD</t>
  </si>
  <si>
    <t>Flower</t>
  </si>
  <si>
    <t>Hamish</t>
  </si>
  <si>
    <t>Dory</t>
  </si>
  <si>
    <t>Jude</t>
  </si>
  <si>
    <t>Maximus</t>
  </si>
  <si>
    <t>Dio</t>
  </si>
  <si>
    <t>Timon</t>
  </si>
  <si>
    <t>Gigi</t>
  </si>
  <si>
    <t>Colt</t>
  </si>
  <si>
    <t>Shawney</t>
  </si>
  <si>
    <t>Digger</t>
  </si>
  <si>
    <t>Cynic</t>
  </si>
  <si>
    <t>Oola</t>
  </si>
  <si>
    <t>Orion</t>
  </si>
  <si>
    <t>Ezra</t>
  </si>
  <si>
    <t>Riddle</t>
  </si>
  <si>
    <t>Finch</t>
  </si>
  <si>
    <t>Lennyx</t>
  </si>
  <si>
    <t>Mayhem</t>
  </si>
  <si>
    <t>Feral</t>
  </si>
  <si>
    <t>Ivar</t>
  </si>
  <si>
    <t>Rhylie</t>
  </si>
  <si>
    <t>Nikko</t>
  </si>
  <si>
    <t>Laëlla</t>
  </si>
  <si>
    <t>Hewston, Chantal F</t>
  </si>
  <si>
    <t>Case, Natalie</t>
  </si>
  <si>
    <t>Chaloner, Mary</t>
  </si>
  <si>
    <t>Chilton, Anaelle</t>
  </si>
  <si>
    <t>Chow, Natalie</t>
  </si>
  <si>
    <t>Clark, Jenn</t>
  </si>
  <si>
    <t>Clarke, Jennifer</t>
  </si>
  <si>
    <t>Crewe, Kelesha</t>
  </si>
  <si>
    <t>Croutch, Susan</t>
  </si>
  <si>
    <t>Dalgleish, Donna</t>
  </si>
  <si>
    <t>Dupuis, Sarrah</t>
  </si>
  <si>
    <t>Dyke, Shawn</t>
  </si>
  <si>
    <t>Elliott, Kendra</t>
  </si>
  <si>
    <t>Kasper, Amber</t>
  </si>
  <si>
    <t>Ford, Dianne</t>
  </si>
  <si>
    <t>Gagnon, Marie-Claude</t>
  </si>
  <si>
    <t>Gaudry, Shelley</t>
  </si>
  <si>
    <t>Gerarts, Elodie</t>
  </si>
  <si>
    <t>Graham, Susan</t>
  </si>
  <si>
    <t>Hillyard, Katie</t>
  </si>
  <si>
    <t>Houde, Jean-Claude</t>
  </si>
  <si>
    <t>Laberge, Roseline</t>
  </si>
  <si>
    <t>Ivory, Janet</t>
  </si>
  <si>
    <t>Kelly, Melanie</t>
  </si>
  <si>
    <t>Kerekes, Betty</t>
  </si>
  <si>
    <t>Laton, Edward</t>
  </si>
  <si>
    <t>Levean, Jason</t>
  </si>
  <si>
    <t>Levesque, Chantal</t>
  </si>
  <si>
    <t>Madsen, Janet</t>
  </si>
  <si>
    <t>Major, Melissa</t>
  </si>
  <si>
    <t>McArthur, Heather</t>
  </si>
  <si>
    <t>Mcdonald, Sara</t>
  </si>
  <si>
    <t>McGrath, Carla</t>
  </si>
  <si>
    <t>Neil, Sarah</t>
  </si>
  <si>
    <t>Parisien, Berkley</t>
  </si>
  <si>
    <t>Plante-De foy, Sebastien</t>
  </si>
  <si>
    <t>Richards, Jennifer</t>
  </si>
  <si>
    <t>Rudolph, Catharine</t>
  </si>
  <si>
    <t>Solkshinitz, Patricia</t>
  </si>
  <si>
    <t>Sparks, Olivia</t>
  </si>
  <si>
    <t>Specht, Sarah</t>
  </si>
  <si>
    <t>Spurrell, Mary</t>
  </si>
  <si>
    <t>Vooys, Katherine</t>
  </si>
  <si>
    <t>Atkinson, Nicole</t>
  </si>
  <si>
    <t>Bayens, Sarah</t>
  </si>
  <si>
    <t>Boily, Natacha</t>
  </si>
  <si>
    <t>Boulay, Pat</t>
  </si>
  <si>
    <t>1268-QGS</t>
  </si>
  <si>
    <t>1537-QGA</t>
  </si>
  <si>
    <t>Wynn Dixie</t>
  </si>
  <si>
    <t>Pablo</t>
  </si>
  <si>
    <t>Sprout</t>
  </si>
  <si>
    <t>Campbell</t>
  </si>
  <si>
    <t>Tasi</t>
  </si>
  <si>
    <t>Finnick</t>
  </si>
  <si>
    <t>Katara</t>
  </si>
  <si>
    <t>Paladin</t>
  </si>
  <si>
    <t>Thea</t>
  </si>
  <si>
    <t>Stealer</t>
  </si>
  <si>
    <t>Gio</t>
  </si>
  <si>
    <t>Maybelle</t>
  </si>
  <si>
    <t>Felony</t>
  </si>
  <si>
    <t>Stig</t>
  </si>
  <si>
    <t>Zorro</t>
  </si>
  <si>
    <t>Waffle</t>
  </si>
  <si>
    <t>Cleffy</t>
  </si>
  <si>
    <t>Soho</t>
  </si>
  <si>
    <t>Agie</t>
  </si>
  <si>
    <t>Ghost</t>
  </si>
  <si>
    <t>Montana</t>
  </si>
  <si>
    <t>Clew</t>
  </si>
  <si>
    <t>PIPPA</t>
  </si>
  <si>
    <t>Orbit</t>
  </si>
  <si>
    <t>Whiskey</t>
  </si>
  <si>
    <t>Andi</t>
  </si>
  <si>
    <t>Laci Rose</t>
  </si>
  <si>
    <t>Maya Rose</t>
  </si>
  <si>
    <t>Declan</t>
  </si>
  <si>
    <t>Fly</t>
  </si>
  <si>
    <t>Kygo</t>
  </si>
  <si>
    <t>Ares</t>
  </si>
  <si>
    <t>Tillie</t>
  </si>
  <si>
    <t>Tony</t>
  </si>
  <si>
    <t>MILO</t>
  </si>
  <si>
    <t>Grover</t>
  </si>
  <si>
    <t>VASCO</t>
  </si>
  <si>
    <t>Vincent</t>
  </si>
  <si>
    <t>Susie Q</t>
  </si>
  <si>
    <t>Wilkinson, Amy</t>
  </si>
  <si>
    <t>Beland, Anne-Catherine</t>
  </si>
  <si>
    <t>Bigelow, Monika</t>
  </si>
  <si>
    <t>Arseneault, Nadia</t>
  </si>
  <si>
    <t>Audy, Natasha</t>
  </si>
  <si>
    <t>Deady, Chloe</t>
  </si>
  <si>
    <t>Langman, (Susan) Angela</t>
  </si>
  <si>
    <t>Walsh, Michelle</t>
  </si>
  <si>
    <t>Beale, Corey</t>
  </si>
  <si>
    <t>Cannatella, Kirsten</t>
  </si>
  <si>
    <t>Case, Susan</t>
  </si>
  <si>
    <t>Caslick, Katie</t>
  </si>
  <si>
    <t>Cassista, Nathalie</t>
  </si>
  <si>
    <t>Cayouette, Angela</t>
  </si>
  <si>
    <t>Chmilar, Tanya</t>
  </si>
  <si>
    <t>Clifford, Sarah</t>
  </si>
  <si>
    <t>Combdon, Joanne</t>
  </si>
  <si>
    <t>Cornish, Tracey</t>
  </si>
  <si>
    <t>Cramer, Rob</t>
  </si>
  <si>
    <t>Dales, Barb</t>
  </si>
  <si>
    <t>Debor, Sharon</t>
  </si>
  <si>
    <t>Diamond Fontaine, Charlene</t>
  </si>
  <si>
    <t>Drummond, Anne</t>
  </si>
  <si>
    <t>Dunlop, Rob</t>
  </si>
  <si>
    <t>Evans, Shelley</t>
  </si>
  <si>
    <t>Favreau-Lavallée, Dominique</t>
  </si>
  <si>
    <t>Fiske, Sydney</t>
  </si>
  <si>
    <t>Francisty, Lorraine</t>
  </si>
  <si>
    <t>Garland, Helen</t>
  </si>
  <si>
    <t>Gibbons, Ashley</t>
  </si>
  <si>
    <t>Grew, Jody</t>
  </si>
  <si>
    <t>Guillemette, Linda</t>
  </si>
  <si>
    <t>Hampson, Beccie</t>
  </si>
  <si>
    <t>Hayes, Carla</t>
  </si>
  <si>
    <t>Henderson, Chloe</t>
  </si>
  <si>
    <t>Hrycyk, Victoria</t>
  </si>
  <si>
    <t>Hurley, Paige</t>
  </si>
  <si>
    <t>Juskow, Helen</t>
  </si>
  <si>
    <t>Kennedy, Candace</t>
  </si>
  <si>
    <t>Kirstiuk, Avery</t>
  </si>
  <si>
    <t>Knapman, Gary</t>
  </si>
  <si>
    <t>Knechtel, Sherry</t>
  </si>
  <si>
    <t>Labelle, Nathalie</t>
  </si>
  <si>
    <t>MacKay, Marjorie</t>
  </si>
  <si>
    <t>McLeod, Tanya</t>
  </si>
  <si>
    <t>McNab, Erin</t>
  </si>
  <si>
    <t>MERCER, CHRIS</t>
  </si>
  <si>
    <t>Milani, Sara</t>
  </si>
  <si>
    <t>Niemi, Ayri</t>
  </si>
  <si>
    <t>O’Keefe, Pamela</t>
  </si>
  <si>
    <t>Paul, Robyn</t>
  </si>
  <si>
    <t>Puddington, Andrew</t>
  </si>
  <si>
    <t>Richmond, Cheree</t>
  </si>
  <si>
    <t>Ridder, Tex</t>
  </si>
  <si>
    <t>Rodriguez, Melissa</t>
  </si>
  <si>
    <t>Rose, Marlo</t>
  </si>
  <si>
    <t>Shaw, Alexandra</t>
  </si>
  <si>
    <t>Sparrow, Leah</t>
  </si>
  <si>
    <t>Spelt, Zuri</t>
  </si>
  <si>
    <t>Spicer, Pat</t>
  </si>
  <si>
    <t>Steary, Kristen</t>
  </si>
  <si>
    <t>Stolz, Jennifer</t>
  </si>
  <si>
    <t>Stratton, Deidre</t>
  </si>
  <si>
    <t>Sweeney Janes, Sue</t>
  </si>
  <si>
    <t>Tello, Josemarie</t>
  </si>
  <si>
    <t>Vaughan, Mary</t>
  </si>
  <si>
    <t>Vogel, Dayna</t>
  </si>
  <si>
    <t>Whitehurst, Kristy</t>
  </si>
  <si>
    <t>Wong, Denise</t>
  </si>
  <si>
    <t>Woodham, Nancy</t>
  </si>
  <si>
    <t>Wrathall, Carly</t>
  </si>
  <si>
    <t>Wyatt, Victoria</t>
  </si>
  <si>
    <t>Young, Kayla</t>
  </si>
  <si>
    <t>Beauchamp, Marie Eve</t>
  </si>
  <si>
    <t>2000-QGD</t>
  </si>
  <si>
    <t>2034-QGA</t>
  </si>
  <si>
    <t>2732-QGA</t>
  </si>
  <si>
    <t>2732-QGD</t>
  </si>
  <si>
    <t>2747-QGD</t>
  </si>
  <si>
    <t>2767-QGA</t>
  </si>
  <si>
    <t>2794-QGA</t>
  </si>
  <si>
    <t>2794-QGD</t>
  </si>
  <si>
    <t>2870-QGD</t>
  </si>
  <si>
    <t>2938-QGD</t>
  </si>
  <si>
    <t>3216-QGT</t>
  </si>
  <si>
    <t>3250-QGD</t>
  </si>
  <si>
    <t>3250-QGT</t>
  </si>
  <si>
    <t>3413-QGA</t>
  </si>
  <si>
    <t>3462-QGT</t>
  </si>
  <si>
    <t>3475-QGT</t>
  </si>
  <si>
    <t>3804-QGS</t>
  </si>
  <si>
    <t>3812-QGD</t>
  </si>
  <si>
    <t>3819-QGD</t>
  </si>
  <si>
    <t>3824-QGA</t>
  </si>
  <si>
    <t>3824-QGD</t>
  </si>
  <si>
    <t>3905-QGA</t>
  </si>
  <si>
    <t>3905-QGT</t>
  </si>
  <si>
    <t>4059-QGS</t>
  </si>
  <si>
    <t>4154-QGA</t>
  </si>
  <si>
    <t>4154-QGD</t>
  </si>
  <si>
    <t>4177-QGD</t>
  </si>
  <si>
    <t>4180-QGA</t>
  </si>
  <si>
    <t>4322-QGA</t>
  </si>
  <si>
    <t>4322-QGD</t>
  </si>
  <si>
    <t>4322-QGT</t>
  </si>
  <si>
    <t>4358-QGA</t>
  </si>
  <si>
    <t>4358-QGD</t>
  </si>
  <si>
    <t>4369-QGD</t>
  </si>
  <si>
    <t>4539-QGD</t>
  </si>
  <si>
    <t>B</t>
  </si>
  <si>
    <t>Whitney</t>
  </si>
  <si>
    <t>Thatcher</t>
  </si>
  <si>
    <t>Teddy</t>
  </si>
  <si>
    <t>Vesta</t>
  </si>
  <si>
    <t>Poptart</t>
  </si>
  <si>
    <t>Seeya</t>
  </si>
  <si>
    <t>Lauchie</t>
  </si>
  <si>
    <t>Adora</t>
  </si>
  <si>
    <t>Kenna</t>
  </si>
  <si>
    <t>Ronja</t>
  </si>
  <si>
    <t>Nellie</t>
  </si>
  <si>
    <t>Eros</t>
  </si>
  <si>
    <t>Kaela</t>
  </si>
  <si>
    <t>sonja</t>
  </si>
  <si>
    <t>Breezie</t>
  </si>
  <si>
    <t>Pip</t>
  </si>
  <si>
    <t>Titan</t>
  </si>
  <si>
    <t>DeGelder, Cathy</t>
  </si>
  <si>
    <t>Denny, Lara</t>
  </si>
  <si>
    <t>Downey-Naud, Lana</t>
  </si>
  <si>
    <t>Doyle, Melissa</t>
  </si>
  <si>
    <t>Duckmanton, Sarah</t>
  </si>
  <si>
    <t>Hughes, Renee</t>
  </si>
  <si>
    <t>Champaigne, Maggie</t>
  </si>
  <si>
    <t>Clara, Cathy</t>
  </si>
  <si>
    <t>Corry, Deborah</t>
  </si>
  <si>
    <t>Cummings, Linda</t>
  </si>
  <si>
    <t>Emard, Jackie</t>
  </si>
  <si>
    <t>Farag, Mamdouh</t>
  </si>
  <si>
    <t>Heck, Jennifer</t>
  </si>
  <si>
    <t>Hefford, Heather</t>
  </si>
  <si>
    <t>Knight, Sarah</t>
  </si>
  <si>
    <t>Lorrain, Louise</t>
  </si>
  <si>
    <t>M, Andres</t>
  </si>
  <si>
    <t>Marshall, K Lois</t>
  </si>
  <si>
    <t>McCarron, Jennifer</t>
  </si>
  <si>
    <t>Montagne, Brianna</t>
  </si>
  <si>
    <t>Perron, Frederick</t>
  </si>
  <si>
    <t>Perron, Lorraine</t>
  </si>
  <si>
    <t>Peterson Koch, Kate</t>
  </si>
  <si>
    <t>Reiling, Megan</t>
  </si>
  <si>
    <t>sandbu, anne</t>
  </si>
  <si>
    <t>Short, Valerie</t>
  </si>
  <si>
    <t>Stone, Laura</t>
  </si>
  <si>
    <t>Terris, Bruce</t>
  </si>
  <si>
    <t>Wilson, Brenda</t>
  </si>
  <si>
    <t>Wiser, Merissa</t>
  </si>
  <si>
    <t>Yuen, Karen</t>
  </si>
  <si>
    <t>1192-QGD</t>
  </si>
  <si>
    <t>1359-QGA</t>
  </si>
  <si>
    <t>1611-QGD</t>
  </si>
  <si>
    <t>1611-QGS</t>
  </si>
  <si>
    <t>2099-QGS</t>
  </si>
  <si>
    <t>2215-QGS</t>
  </si>
  <si>
    <t>2215-QGT</t>
  </si>
  <si>
    <t>2671-QGS</t>
  </si>
  <si>
    <t>2704-QGS</t>
  </si>
  <si>
    <t>2864-QGS</t>
  </si>
  <si>
    <t>3094-QGT</t>
  </si>
  <si>
    <t>3115-QGD</t>
  </si>
  <si>
    <t>3115-QGS</t>
  </si>
  <si>
    <t>3115-QGT</t>
  </si>
  <si>
    <t>3194-QGS</t>
  </si>
  <si>
    <t>3202-QGD</t>
  </si>
  <si>
    <t>3437-QGT</t>
  </si>
  <si>
    <t>3450-QGA</t>
  </si>
  <si>
    <t>3450-QGT</t>
  </si>
  <si>
    <t>3507-QGA</t>
  </si>
  <si>
    <t>3635-QGD</t>
  </si>
  <si>
    <t>3635-QGT</t>
  </si>
  <si>
    <t>3696-QGD</t>
  </si>
  <si>
    <t>3741-QGA</t>
  </si>
  <si>
    <t>3856-QGT</t>
  </si>
  <si>
    <t>3865-QGS</t>
  </si>
  <si>
    <t>3884-QGT</t>
  </si>
  <si>
    <t>3945-QGS</t>
  </si>
  <si>
    <t>4000-QGD</t>
  </si>
  <si>
    <t>4175-QGD</t>
  </si>
  <si>
    <t>4175-QGT</t>
  </si>
  <si>
    <t>4204-QGS</t>
  </si>
  <si>
    <t>4494-QGT</t>
  </si>
  <si>
    <t>4523-QGD</t>
  </si>
  <si>
    <t>879-QGD</t>
  </si>
  <si>
    <t>879-QGS</t>
  </si>
  <si>
    <t>879-QGT</t>
  </si>
  <si>
    <t>912-QGT</t>
  </si>
  <si>
    <t>965-QGT</t>
  </si>
  <si>
    <t>2117-QGA</t>
  </si>
  <si>
    <t>2590-QGA</t>
  </si>
  <si>
    <t>2963-QGA</t>
  </si>
  <si>
    <t>2982-QGA</t>
  </si>
  <si>
    <t>2988-QGD</t>
  </si>
  <si>
    <t>3251-QGA</t>
  </si>
  <si>
    <t>4123-QGA</t>
  </si>
  <si>
    <t>4371-QGA</t>
  </si>
  <si>
    <t>4371-QGD</t>
  </si>
  <si>
    <t>Fern</t>
  </si>
  <si>
    <t>Mello</t>
  </si>
  <si>
    <t>Mimikyu</t>
  </si>
  <si>
    <t>DOLCE</t>
  </si>
  <si>
    <t>Fannie</t>
  </si>
  <si>
    <t>Kita</t>
  </si>
  <si>
    <t>Davidson, Breanna</t>
  </si>
  <si>
    <t>thompson, jeff</t>
  </si>
  <si>
    <t>Jones, Karolyn</t>
  </si>
  <si>
    <t>Walker, Tee</t>
  </si>
  <si>
    <t>Wilkins, Arlene</t>
  </si>
  <si>
    <t>Waddington, Bonnie</t>
  </si>
  <si>
    <t>Corey, Laura</t>
  </si>
  <si>
    <t>Boucher, Sara</t>
  </si>
  <si>
    <t>Boudreault, Jodie</t>
  </si>
  <si>
    <t>Duckmanton, Kaylee</t>
  </si>
  <si>
    <t>Hampsey, Lisa</t>
  </si>
  <si>
    <t>HINCH, STERLING</t>
  </si>
  <si>
    <t>Lapalme, Lyne</t>
  </si>
  <si>
    <t>Pigeau, Emily</t>
  </si>
  <si>
    <t>Takahashi, Susan</t>
  </si>
  <si>
    <t>1279-QGD</t>
  </si>
  <si>
    <t>1800-QGS</t>
  </si>
  <si>
    <t>2051-QGT</t>
  </si>
  <si>
    <t>2082-QGT</t>
  </si>
  <si>
    <t>2135-QGS</t>
  </si>
  <si>
    <t>2374-QGD</t>
  </si>
  <si>
    <t>2374-QGS</t>
  </si>
  <si>
    <t>2605-QGT</t>
  </si>
  <si>
    <t>2745-QGS</t>
  </si>
  <si>
    <t>3319-QGS</t>
  </si>
  <si>
    <t>3332-QGD</t>
  </si>
  <si>
    <t>3332-QGS</t>
  </si>
  <si>
    <t>3332-QGT</t>
  </si>
  <si>
    <t>3341-QGT</t>
  </si>
  <si>
    <t>3344-QGT</t>
  </si>
  <si>
    <t>3354-QGS</t>
  </si>
  <si>
    <t>3354-QGT</t>
  </si>
  <si>
    <t>3418-QGS</t>
  </si>
  <si>
    <t>3663-QGS</t>
  </si>
  <si>
    <t>3690-QGD</t>
  </si>
  <si>
    <t>3727-QGD</t>
  </si>
  <si>
    <t>3786-QGD</t>
  </si>
  <si>
    <t>3786-QGS</t>
  </si>
  <si>
    <t>4145-QGD</t>
  </si>
  <si>
    <t>4145-QGS</t>
  </si>
  <si>
    <t>4145-QGT</t>
  </si>
  <si>
    <t>4205-QGS</t>
  </si>
  <si>
    <t>4471-QGS</t>
  </si>
  <si>
    <t>665-QGS</t>
  </si>
  <si>
    <t>3567-QGS</t>
  </si>
  <si>
    <t>3688-QGA</t>
  </si>
  <si>
    <t>3692-QGA</t>
  </si>
  <si>
    <t>3706-QGS</t>
  </si>
  <si>
    <t>4112-QGA</t>
  </si>
  <si>
    <t>4176-QGA</t>
  </si>
  <si>
    <t>4551-QGA</t>
  </si>
  <si>
    <t>Wise</t>
  </si>
  <si>
    <t>Selene</t>
  </si>
  <si>
    <t>Pakora</t>
  </si>
  <si>
    <t>Hadlee</t>
  </si>
  <si>
    <t>Sigourney</t>
  </si>
  <si>
    <t>Kimi</t>
  </si>
  <si>
    <t>Detweiler, Nancy</t>
  </si>
  <si>
    <t>Cooke, Leslie</t>
  </si>
  <si>
    <t>Lajeunesse, Gabrielle</t>
  </si>
  <si>
    <t>Lalonde, Pam</t>
  </si>
  <si>
    <t>Peever, Cori</t>
  </si>
  <si>
    <t>Power, Louise</t>
  </si>
  <si>
    <t>Sha, Saphina</t>
  </si>
  <si>
    <t>Vincent, Barbara</t>
  </si>
  <si>
    <t>1925-QGS</t>
  </si>
  <si>
    <t>2510-QGA</t>
  </si>
  <si>
    <t>2692-QGS</t>
  </si>
  <si>
    <t>2984-QGD</t>
  </si>
  <si>
    <t>2984-QGS</t>
  </si>
  <si>
    <t>3830-QGA</t>
  </si>
  <si>
    <t>3830-QGD</t>
  </si>
  <si>
    <t>3830-QGS</t>
  </si>
  <si>
    <t>3838-QGA</t>
  </si>
  <si>
    <t>3932-QGD</t>
  </si>
  <si>
    <t>4080-QGS</t>
  </si>
  <si>
    <t>4569-QGA</t>
  </si>
  <si>
    <t>Bond... James Bond</t>
  </si>
  <si>
    <t>Xylee</t>
  </si>
  <si>
    <t>Hugo boss</t>
  </si>
  <si>
    <t>Spider</t>
  </si>
  <si>
    <t>Rally</t>
  </si>
  <si>
    <t>Scrabble</t>
  </si>
  <si>
    <t>Bijoou</t>
  </si>
  <si>
    <t>Treun</t>
  </si>
  <si>
    <t>Cummings-Martell, Kelly</t>
  </si>
  <si>
    <t>Fehr, Marla</t>
  </si>
  <si>
    <t>Fraser, Kaitlin</t>
  </si>
  <si>
    <t>Hart, Alexa</t>
  </si>
  <si>
    <t>Higgins, Shaleena</t>
  </si>
  <si>
    <t>Keddy, Kaelee</t>
  </si>
  <si>
    <t>Martel, Marilyn Samantha</t>
  </si>
  <si>
    <t>Mokrzynski, Zoey</t>
  </si>
  <si>
    <t>RICHARDS, Lisa</t>
  </si>
  <si>
    <t>1173-QGS</t>
  </si>
  <si>
    <t>2539-QGA</t>
  </si>
  <si>
    <t>2653-QGD</t>
  </si>
  <si>
    <t>3043-QGT</t>
  </si>
  <si>
    <t>3381-QGS</t>
  </si>
  <si>
    <t>3395-QGA</t>
  </si>
  <si>
    <t>3420-QGA</t>
  </si>
  <si>
    <t>3420-QGS</t>
  </si>
  <si>
    <t>3420-QGT</t>
  </si>
  <si>
    <t>3502-QGA</t>
  </si>
  <si>
    <t>3503-QGS</t>
  </si>
  <si>
    <t>3787-QGA</t>
  </si>
  <si>
    <t>3787-QGS</t>
  </si>
  <si>
    <t>Nevada</t>
  </si>
  <si>
    <t>Tika</t>
  </si>
  <si>
    <t>Digaspari, Chris</t>
  </si>
  <si>
    <t>Garland, Krysta</t>
  </si>
  <si>
    <t>Greenwood, Janis</t>
  </si>
  <si>
    <t>Lagrandeur, Tammy</t>
  </si>
  <si>
    <t>Lang, Renata</t>
  </si>
  <si>
    <t>Morse, Sarah</t>
  </si>
  <si>
    <t>Thiessen, Holly</t>
  </si>
  <si>
    <t>Moryski, Jolayne</t>
  </si>
  <si>
    <t>Vanderstap, Rose</t>
  </si>
  <si>
    <t>Williams, Susan</t>
  </si>
  <si>
    <t>1161-QGT</t>
  </si>
  <si>
    <t>1257-QGD</t>
  </si>
  <si>
    <t>1359-QGS</t>
  </si>
  <si>
    <t>1611-QGA</t>
  </si>
  <si>
    <t>2059-QGS</t>
  </si>
  <si>
    <t>2071-QGA</t>
  </si>
  <si>
    <t>2071-QGD</t>
  </si>
  <si>
    <t>2091-QGT</t>
  </si>
  <si>
    <t>2099-QGA</t>
  </si>
  <si>
    <t>2584-QGT</t>
  </si>
  <si>
    <t>2625-QGT</t>
  </si>
  <si>
    <t>2698-QGA</t>
  </si>
  <si>
    <t>2698-QGD</t>
  </si>
  <si>
    <t>2698-QGS</t>
  </si>
  <si>
    <t>2721-QGA</t>
  </si>
  <si>
    <t>2721-QGD</t>
  </si>
  <si>
    <t>2877-QGS</t>
  </si>
  <si>
    <t>2963-QGD</t>
  </si>
  <si>
    <t>2986-QGA</t>
  </si>
  <si>
    <t>2986-QGT</t>
  </si>
  <si>
    <t>2988-QGA</t>
  </si>
  <si>
    <t>2988-QGS</t>
  </si>
  <si>
    <t>3022-QGT</t>
  </si>
  <si>
    <t>3052-QGD</t>
  </si>
  <si>
    <t>3052-QGS</t>
  </si>
  <si>
    <t>3119-QGS</t>
  </si>
  <si>
    <t>3198-QGT</t>
  </si>
  <si>
    <t>3199-QGT</t>
  </si>
  <si>
    <t>3236-QGS</t>
  </si>
  <si>
    <t>3236-QGT</t>
  </si>
  <si>
    <t>3237-QGS</t>
  </si>
  <si>
    <t>3251-QGT</t>
  </si>
  <si>
    <t>3267-QGS</t>
  </si>
  <si>
    <t>3267-QGT</t>
  </si>
  <si>
    <t>3279-QGA</t>
  </si>
  <si>
    <t>3323-QGA</t>
  </si>
  <si>
    <t>3337-QGS</t>
  </si>
  <si>
    <t>3337-QGT</t>
  </si>
  <si>
    <t>3356-QGS</t>
  </si>
  <si>
    <t>3365-QGA</t>
  </si>
  <si>
    <t>3404-QGD</t>
  </si>
  <si>
    <t>3410-QGT</t>
  </si>
  <si>
    <t>3507-QGS</t>
  </si>
  <si>
    <t>3577-QGA</t>
  </si>
  <si>
    <t>3577-QGD</t>
  </si>
  <si>
    <t>3637-QGD</t>
  </si>
  <si>
    <t>3655-QGD</t>
  </si>
  <si>
    <t>3688-QGD</t>
  </si>
  <si>
    <t>3703-QGA</t>
  </si>
  <si>
    <t>3703-QGD</t>
  </si>
  <si>
    <t>3762-QGD</t>
  </si>
  <si>
    <t>3850-QGA</t>
  </si>
  <si>
    <t>3851-QGD</t>
  </si>
  <si>
    <t>3853-QGD</t>
  </si>
  <si>
    <t>3853-QGT</t>
  </si>
  <si>
    <t>3854-QGA</t>
  </si>
  <si>
    <t>3878-QGA</t>
  </si>
  <si>
    <t>3954-QGA</t>
  </si>
  <si>
    <t>3954-QGD</t>
  </si>
  <si>
    <t>3960-QGA</t>
  </si>
  <si>
    <t>3960-QGD</t>
  </si>
  <si>
    <t>3960-QGS</t>
  </si>
  <si>
    <t>4000-QGA</t>
  </si>
  <si>
    <t>4000-QGS</t>
  </si>
  <si>
    <t>4048-QGA</t>
  </si>
  <si>
    <t>4048-QGD</t>
  </si>
  <si>
    <t>4057-QGA</t>
  </si>
  <si>
    <t>4057-QGD</t>
  </si>
  <si>
    <t>4063-QGA</t>
  </si>
  <si>
    <t>4094-QGA</t>
  </si>
  <si>
    <t>4094-QGD</t>
  </si>
  <si>
    <t>4147-QGA</t>
  </si>
  <si>
    <t>4148-QGA</t>
  </si>
  <si>
    <t>4166-QGA</t>
  </si>
  <si>
    <t>4166-QGD</t>
  </si>
  <si>
    <t>4171-QGA</t>
  </si>
  <si>
    <t>4171-QGS</t>
  </si>
  <si>
    <t>4175-QGA</t>
  </si>
  <si>
    <t>4201-QGA</t>
  </si>
  <si>
    <t>4256-QGD</t>
  </si>
  <si>
    <t>4317-QGA</t>
  </si>
  <si>
    <t>4359-QGA</t>
  </si>
  <si>
    <t>4431-QGA</t>
  </si>
  <si>
    <t>4433-QGA</t>
  </si>
  <si>
    <t>4433-QGD</t>
  </si>
  <si>
    <t>4454-QGA</t>
  </si>
  <si>
    <t>4455-QGA</t>
  </si>
  <si>
    <t>4455-QGD</t>
  </si>
  <si>
    <t>4616-QGA</t>
  </si>
  <si>
    <t>4616-QGD</t>
  </si>
  <si>
    <t>4660-QGA</t>
  </si>
  <si>
    <t>4679-QGD</t>
  </si>
  <si>
    <t>559-QGT</t>
  </si>
  <si>
    <t>PATCH</t>
  </si>
  <si>
    <t>FINN</t>
  </si>
  <si>
    <t>Riggs</t>
  </si>
  <si>
    <t>Bea</t>
  </si>
  <si>
    <t>Shimmer</t>
  </si>
  <si>
    <t>Vex'ahlia</t>
  </si>
  <si>
    <t>Eevee</t>
  </si>
  <si>
    <t>Primrose</t>
  </si>
  <si>
    <t>RILEY</t>
  </si>
  <si>
    <t>Silva</t>
  </si>
  <si>
    <t>Curran-Cooper, Shauna</t>
  </si>
  <si>
    <t>Duffy, Tracy</t>
  </si>
  <si>
    <t>Griffin, Carol</t>
  </si>
  <si>
    <t>Marinacci, Sarah</t>
  </si>
  <si>
    <t>Visser, Paige</t>
  </si>
  <si>
    <t>Zook, Shanna</t>
  </si>
  <si>
    <t>Donoghue-Silva, Samantha</t>
  </si>
  <si>
    <t>Forrest, Ashley</t>
  </si>
  <si>
    <t>Gaulton, Joanne</t>
  </si>
  <si>
    <t>Heucher, Debbie</t>
  </si>
  <si>
    <t>Matchett, Emma</t>
  </si>
  <si>
    <t>Musial, Wendy</t>
  </si>
  <si>
    <t>Pepers, Kathy</t>
  </si>
  <si>
    <t>Weerdenburg, Nicole</t>
  </si>
  <si>
    <t>1200-QGA</t>
  </si>
  <si>
    <t>1200-QGD</t>
  </si>
  <si>
    <t>3729-QGA</t>
  </si>
  <si>
    <t>3729-QGD</t>
  </si>
  <si>
    <t>3729-QGS</t>
  </si>
  <si>
    <t>4632-QGA</t>
  </si>
  <si>
    <t>4632-QGD</t>
  </si>
  <si>
    <t>4644-QGD</t>
  </si>
  <si>
    <t>4676-QGA</t>
  </si>
  <si>
    <t>1472-QGD</t>
  </si>
  <si>
    <t>2074-QGD</t>
  </si>
  <si>
    <t>2986-QGS</t>
  </si>
  <si>
    <t>2987-QGD</t>
  </si>
  <si>
    <t>3131-QGS</t>
  </si>
  <si>
    <t>3175-QGS</t>
  </si>
  <si>
    <t>3244-QGA</t>
  </si>
  <si>
    <t>3244-QGD</t>
  </si>
  <si>
    <t>3364-QGS</t>
  </si>
  <si>
    <t>3497-QGT</t>
  </si>
  <si>
    <t>3598-QGA</t>
  </si>
  <si>
    <t>3598-QGD</t>
  </si>
  <si>
    <t>3755-QGT</t>
  </si>
  <si>
    <t>3819-QGA</t>
  </si>
  <si>
    <t>3819-QGS</t>
  </si>
  <si>
    <t>4033-QGD</t>
  </si>
  <si>
    <t>4331-QGA</t>
  </si>
  <si>
    <t>4356-QGD</t>
  </si>
  <si>
    <t>4441-QGA</t>
  </si>
  <si>
    <t>4629-QGD</t>
  </si>
  <si>
    <t>Seal</t>
  </si>
  <si>
    <t>Sofie</t>
  </si>
  <si>
    <t>Arya</t>
  </si>
  <si>
    <t>Eider</t>
  </si>
  <si>
    <t>Meeba</t>
  </si>
  <si>
    <t>McBain</t>
  </si>
  <si>
    <t>Peigi</t>
  </si>
  <si>
    <t>Feebee</t>
  </si>
  <si>
    <t>Harrison</t>
  </si>
  <si>
    <t>Blanca</t>
  </si>
  <si>
    <t>Bérubé, Vanessa</t>
  </si>
  <si>
    <t>crete, mathieu</t>
  </si>
  <si>
    <t>Croteau, Annie</t>
  </si>
  <si>
    <t>Gilbert, Marie-Chantal</t>
  </si>
  <si>
    <t>Hopf, Melissa</t>
  </si>
  <si>
    <t>Lauzon, Zena</t>
  </si>
  <si>
    <t>Mckinney, Lynn</t>
  </si>
  <si>
    <t>Mumford, Jennifer</t>
  </si>
  <si>
    <t>Porter, Penny</t>
  </si>
  <si>
    <t>DuFour, Amy</t>
  </si>
  <si>
    <t>LOVE, Maureen Kerry</t>
  </si>
  <si>
    <t>Ricketts, Velma</t>
  </si>
  <si>
    <t>Rittenhouse, Denise</t>
  </si>
  <si>
    <t>Sansregret, Julie</t>
  </si>
  <si>
    <t>Shepherd, Heather</t>
  </si>
  <si>
    <t>Switzer, Jill</t>
  </si>
  <si>
    <t>Taylor, Carolyn</t>
  </si>
  <si>
    <t>Yanke, Chelsea</t>
  </si>
  <si>
    <t>1168-QGD</t>
  </si>
  <si>
    <t>2563-QGS</t>
  </si>
  <si>
    <t>2653-QGS</t>
  </si>
  <si>
    <t>3259-QGS</t>
  </si>
  <si>
    <t>3259-QGT</t>
  </si>
  <si>
    <t>3426-QGD</t>
  </si>
  <si>
    <t>4303-QGA</t>
  </si>
  <si>
    <t>4328-QGA</t>
  </si>
  <si>
    <t>4328-QGS</t>
  </si>
  <si>
    <t>4560-QGD</t>
  </si>
  <si>
    <t>4573-QGA</t>
  </si>
  <si>
    <t>4573-QGD</t>
  </si>
  <si>
    <t>4788-QGA</t>
  </si>
  <si>
    <t>1781-QGA</t>
  </si>
  <si>
    <t>2457-QGD</t>
  </si>
  <si>
    <t>2551-QGD</t>
  </si>
  <si>
    <t>3213-QGA</t>
  </si>
  <si>
    <t>3258-QGD</t>
  </si>
  <si>
    <t>3812-QGA</t>
  </si>
  <si>
    <t>3820-QGA</t>
  </si>
  <si>
    <t>3992-QGD</t>
  </si>
  <si>
    <t>3992-QGT</t>
  </si>
  <si>
    <t>4004-QGA</t>
  </si>
  <si>
    <t>4004-QGD</t>
  </si>
  <si>
    <t>4030-QGA</t>
  </si>
  <si>
    <t>4156-QGA</t>
  </si>
  <si>
    <t>4156-QGD</t>
  </si>
  <si>
    <t>4312-QGA</t>
  </si>
  <si>
    <t>4392-QGA</t>
  </si>
  <si>
    <t>4393-QGA</t>
  </si>
  <si>
    <t>4740-QGA</t>
  </si>
  <si>
    <t>Fishy</t>
  </si>
  <si>
    <t>Darlene</t>
  </si>
  <si>
    <t>Utah</t>
  </si>
  <si>
    <t>Whistler</t>
  </si>
  <si>
    <t>Brom Bones</t>
  </si>
  <si>
    <t>Yuki</t>
  </si>
  <si>
    <t>BZ</t>
  </si>
  <si>
    <t>Brighton</t>
  </si>
  <si>
    <t>Fig Newton</t>
  </si>
  <si>
    <t>Rocco</t>
  </si>
  <si>
    <t>Jula</t>
  </si>
  <si>
    <t>Brown, Debi</t>
  </si>
  <si>
    <t>Cuhaci, Marianne</t>
  </si>
  <si>
    <t>French, Shirlee</t>
  </si>
  <si>
    <t>Kim, Sonia SH</t>
  </si>
  <si>
    <t>Larochelle, Maddie</t>
  </si>
  <si>
    <t>Larson, Michelle</t>
  </si>
  <si>
    <t>Lecuyer, Francine</t>
  </si>
  <si>
    <t>Baker, Drae</t>
  </si>
  <si>
    <t>Baryshnikova, Nadya</t>
  </si>
  <si>
    <t>Basham, Leslie</t>
  </si>
  <si>
    <t>Lindsay, Patricia</t>
  </si>
  <si>
    <t>Marcantonio, Laura</t>
  </si>
  <si>
    <t>Selby, Julie</t>
  </si>
  <si>
    <t>1063-QGA</t>
  </si>
  <si>
    <t>1264-QGS</t>
  </si>
  <si>
    <t>2124-QGA</t>
  </si>
  <si>
    <t>2124-QGD</t>
  </si>
  <si>
    <t>2287-QGD</t>
  </si>
  <si>
    <t>2287-QGS</t>
  </si>
  <si>
    <t>2360-QGA</t>
  </si>
  <si>
    <t>2468-QGS</t>
  </si>
  <si>
    <t>2551-QGA</t>
  </si>
  <si>
    <t>2692-QGD</t>
  </si>
  <si>
    <t>3460-QGA</t>
  </si>
  <si>
    <t>3460-QGS</t>
  </si>
  <si>
    <t>3680-QGS</t>
  </si>
  <si>
    <t>3907-QGD</t>
  </si>
  <si>
    <t>4029-QGA</t>
  </si>
  <si>
    <t>4029-QGS</t>
  </si>
  <si>
    <t>4160-QGA</t>
  </si>
  <si>
    <t>4160-QGD</t>
  </si>
  <si>
    <t>4194-QGD</t>
  </si>
  <si>
    <t>4258-QGS</t>
  </si>
  <si>
    <t>4262-QGS</t>
  </si>
  <si>
    <t>4385-QGA</t>
  </si>
  <si>
    <t>4458-QGS</t>
  </si>
  <si>
    <t>4495-QGD</t>
  </si>
  <si>
    <t>4495-QGS</t>
  </si>
  <si>
    <t>4521-QGD</t>
  </si>
  <si>
    <t>4652-QGS</t>
  </si>
  <si>
    <t>4781-QGA</t>
  </si>
  <si>
    <t>879-QGA</t>
  </si>
  <si>
    <t>Ready to validate</t>
  </si>
  <si>
    <t>Trial Email Address</t>
  </si>
  <si>
    <t>Trial Town or City</t>
  </si>
  <si>
    <t>Solstice</t>
  </si>
  <si>
    <t>Auri</t>
  </si>
  <si>
    <t>Austin</t>
  </si>
  <si>
    <t>Floyd</t>
  </si>
  <si>
    <t>Tsang-ma</t>
  </si>
  <si>
    <t>Madou</t>
  </si>
  <si>
    <t>Jacqueline</t>
  </si>
  <si>
    <t>Cochise</t>
  </si>
  <si>
    <t>Cardhu</t>
  </si>
  <si>
    <t>Paulina</t>
  </si>
  <si>
    <t>Huxley</t>
  </si>
  <si>
    <t>Canyon</t>
  </si>
  <si>
    <t>JB</t>
  </si>
  <si>
    <t>Snitch</t>
  </si>
  <si>
    <t>Psych</t>
  </si>
  <si>
    <t>Ekko</t>
  </si>
  <si>
    <t>Sullivan</t>
  </si>
  <si>
    <t>Spooky</t>
  </si>
  <si>
    <t>Ruka</t>
  </si>
  <si>
    <t>BIASOTTO, DARIA</t>
  </si>
  <si>
    <t>Elves, Roberta</t>
  </si>
  <si>
    <t>Farah, Tanya</t>
  </si>
  <si>
    <t>Gadoury, Zoé</t>
  </si>
  <si>
    <t>Gueck, Terri</t>
  </si>
  <si>
    <t>Hayden, Carolyn</t>
  </si>
  <si>
    <t>Huyskens, Sylvie</t>
  </si>
  <si>
    <t>Krochak, Linda</t>
  </si>
  <si>
    <t>Lenhardt, Mavis</t>
  </si>
  <si>
    <t>Malvern, Kathy</t>
  </si>
  <si>
    <t>McCreadie, Moira</t>
  </si>
  <si>
    <t>Mihan, Sandra</t>
  </si>
  <si>
    <t>Olson, Natashia</t>
  </si>
  <si>
    <t>Phipps, Shannon</t>
  </si>
  <si>
    <t>Poole, Margot</t>
  </si>
  <si>
    <t>Richards, Shannon</t>
  </si>
  <si>
    <t>Sue, Benjamin</t>
  </si>
  <si>
    <t>Vaagen, Sarah</t>
  </si>
  <si>
    <t>vance, laura</t>
  </si>
  <si>
    <t>Yiu, Beatrice</t>
  </si>
  <si>
    <t>2854-QGS</t>
  </si>
  <si>
    <t>3068-QGS</t>
  </si>
  <si>
    <t>3116-QGT</t>
  </si>
  <si>
    <t>3190-QGA</t>
  </si>
  <si>
    <t>3190-QGD</t>
  </si>
  <si>
    <t>3339-QGA</t>
  </si>
  <si>
    <t>3339-QGD</t>
  </si>
  <si>
    <t>3339-QGS</t>
  </si>
  <si>
    <t>3731-QGS</t>
  </si>
  <si>
    <t>3746-QGS</t>
  </si>
  <si>
    <t>3756-QGT</t>
  </si>
  <si>
    <t>3786-QGT</t>
  </si>
  <si>
    <t>3948-QGS</t>
  </si>
  <si>
    <t>4137-QGD</t>
  </si>
  <si>
    <t>4145-QGA</t>
  </si>
  <si>
    <t>4152-QGA</t>
  </si>
  <si>
    <t>4152-QGD</t>
  </si>
  <si>
    <t>4152-QGS</t>
  </si>
  <si>
    <t>4218-QGA</t>
  </si>
  <si>
    <t>4218-QGD</t>
  </si>
  <si>
    <t>4218-QGS</t>
  </si>
  <si>
    <t>4238-QGA</t>
  </si>
  <si>
    <t>4238-QGD</t>
  </si>
  <si>
    <t>4369-QGA</t>
  </si>
  <si>
    <t>4562-QGA</t>
  </si>
  <si>
    <t>4617-QGA</t>
  </si>
  <si>
    <t>4617-QGD</t>
  </si>
  <si>
    <t>4617-QGS</t>
  </si>
  <si>
    <t>1200-QGS</t>
  </si>
  <si>
    <t>1931-QGT</t>
  </si>
  <si>
    <t>2649-QGD</t>
  </si>
  <si>
    <t>2652-QGS</t>
  </si>
  <si>
    <t>3052-QGA</t>
  </si>
  <si>
    <t>3056-QGS</t>
  </si>
  <si>
    <t>3347-QGS</t>
  </si>
  <si>
    <t>3385-QGA</t>
  </si>
  <si>
    <t>3385-QGD</t>
  </si>
  <si>
    <t>3776-QGT</t>
  </si>
  <si>
    <t>3831-QGA</t>
  </si>
  <si>
    <t>3998-QGA</t>
  </si>
  <si>
    <t>4004-QGS</t>
  </si>
  <si>
    <t>4043-QGD</t>
  </si>
  <si>
    <t>4148-QGD</t>
  </si>
  <si>
    <t>4161-QGS</t>
  </si>
  <si>
    <t>4161-QGT</t>
  </si>
  <si>
    <t>4171-QGD</t>
  </si>
  <si>
    <t>4183-QGA</t>
  </si>
  <si>
    <t>4183-QGT</t>
  </si>
  <si>
    <t>4187-QGD</t>
  </si>
  <si>
    <t>4258-QGT</t>
  </si>
  <si>
    <t>4262-QGT</t>
  </si>
  <si>
    <t>4293-QGA</t>
  </si>
  <si>
    <t>4293-QGD</t>
  </si>
  <si>
    <t>4293-QGS</t>
  </si>
  <si>
    <t>4312-QGD</t>
  </si>
  <si>
    <t>4365-QGA</t>
  </si>
  <si>
    <t>4471-QGA</t>
  </si>
  <si>
    <t>4705-QGA</t>
  </si>
  <si>
    <t>4814-QGD</t>
  </si>
  <si>
    <t>4829-QGD</t>
  </si>
  <si>
    <t>665-QGD</t>
  </si>
  <si>
    <t>Tennessee</t>
  </si>
  <si>
    <t>Archi</t>
  </si>
  <si>
    <t>Kato</t>
  </si>
  <si>
    <t>CONANN</t>
  </si>
  <si>
    <t>Xander</t>
  </si>
  <si>
    <t>Raia</t>
  </si>
  <si>
    <t>Capri</t>
  </si>
  <si>
    <t>Rupert</t>
  </si>
  <si>
    <t>Gretyl</t>
  </si>
  <si>
    <t>Chanel</t>
  </si>
  <si>
    <t>Zippy</t>
  </si>
  <si>
    <t>Alfie</t>
  </si>
  <si>
    <t>Dashi</t>
  </si>
  <si>
    <t>Apex</t>
  </si>
  <si>
    <t>Hades</t>
  </si>
  <si>
    <t>Brassard-Méthot, Justine</t>
  </si>
  <si>
    <t>Cybulskie, Kathie</t>
  </si>
  <si>
    <t>Daechsel, Wendi</t>
  </si>
  <si>
    <t>Swarbreck, Beth</t>
  </si>
  <si>
    <t>Bailward, Alan</t>
  </si>
  <si>
    <t>Bailward, Andrea</t>
  </si>
  <si>
    <t>Duquette, Jessica</t>
  </si>
  <si>
    <t>Foster, Kathleen</t>
  </si>
  <si>
    <t>Gilpin, Christine</t>
  </si>
  <si>
    <t>Hallam, Sisi</t>
  </si>
  <si>
    <t>Hawthorne, Audrey</t>
  </si>
  <si>
    <t>Kyllonen, Norma</t>
  </si>
  <si>
    <t>marcotte, lucille</t>
  </si>
  <si>
    <t>Niebuhr, Lilly</t>
  </si>
  <si>
    <t>Phung, Flora</t>
  </si>
  <si>
    <t>Bracken-Piper, Corae</t>
  </si>
  <si>
    <t>Power, Holly</t>
  </si>
  <si>
    <t>Roberts, Alex</t>
  </si>
  <si>
    <t>St-Martin, Genevieve</t>
  </si>
  <si>
    <t>Towells, Miranda</t>
  </si>
  <si>
    <t>Urquhart, Cathy</t>
  </si>
  <si>
    <t>Nykiel, Bill</t>
  </si>
  <si>
    <t>3639-QGT</t>
  </si>
  <si>
    <t>4012-QGA</t>
  </si>
  <si>
    <t>4012-QGD</t>
  </si>
  <si>
    <t>4168-QGA</t>
  </si>
  <si>
    <t>4168-QGD</t>
  </si>
  <si>
    <t>4494-QGA</t>
  </si>
  <si>
    <t>4494-QGD</t>
  </si>
  <si>
    <t>4679-QGA</t>
  </si>
  <si>
    <t>4859-QGA</t>
  </si>
  <si>
    <t>4859-QGD</t>
  </si>
  <si>
    <t>Iroh</t>
  </si>
  <si>
    <t>Oya</t>
  </si>
  <si>
    <t>archibald</t>
  </si>
  <si>
    <t>ASLAN</t>
  </si>
  <si>
    <t>Caspian</t>
  </si>
  <si>
    <t>Owl</t>
  </si>
  <si>
    <t>ARCHIE</t>
  </si>
  <si>
    <t>Ayda</t>
  </si>
  <si>
    <t>Vaeda</t>
  </si>
  <si>
    <t>Herriot, Jennifer</t>
  </si>
  <si>
    <t>Borgfjord, Sarianna</t>
  </si>
  <si>
    <t>Boutet, Lily</t>
  </si>
  <si>
    <t>Catherine Larivière-Roux, Catherine</t>
  </si>
  <si>
    <t>Jacques, Mélanie</t>
  </si>
  <si>
    <t>Tapper, Gayle</t>
  </si>
  <si>
    <t>Dryburgh, Farah-Jade</t>
  </si>
  <si>
    <t>Farrell, Erica</t>
  </si>
  <si>
    <t>Fegan, Hillary</t>
  </si>
  <si>
    <t>Givens, Dianne</t>
  </si>
  <si>
    <t>Gould, Adrienne</t>
  </si>
  <si>
    <t>Hope, Michelle</t>
  </si>
  <si>
    <t>Houle, Linda</t>
  </si>
  <si>
    <t>MCMILLAN, ELAINE</t>
  </si>
  <si>
    <t>Middleton, Sandy</t>
  </si>
  <si>
    <t>Miller, Shari</t>
  </si>
  <si>
    <t>Mugford, Andrea</t>
  </si>
  <si>
    <t>Roussel, Julie</t>
  </si>
  <si>
    <t>Russell, Justin</t>
  </si>
  <si>
    <t>Russell, Kayla</t>
  </si>
  <si>
    <t>Staehling, Lori</t>
  </si>
  <si>
    <t>Tree, Elizabeth</t>
  </si>
  <si>
    <t>Ward, Olivia</t>
  </si>
  <si>
    <t>Worthington, Tonya</t>
  </si>
  <si>
    <t>1168-QGA</t>
  </si>
  <si>
    <t>1465-QGS</t>
  </si>
  <si>
    <t>2286-QGT</t>
  </si>
  <si>
    <t>2297-QGD</t>
  </si>
  <si>
    <t>2468-QGT</t>
  </si>
  <si>
    <t>2649-QGA</t>
  </si>
  <si>
    <t>2649-QGS</t>
  </si>
  <si>
    <t>3043-QGS</t>
  </si>
  <si>
    <t>3873-QGA</t>
  </si>
  <si>
    <t>3907-QGA</t>
  </si>
  <si>
    <t>3954-QGT</t>
  </si>
  <si>
    <t>3960-QGT</t>
  </si>
  <si>
    <t>4705-QGD</t>
  </si>
  <si>
    <t>4841-QGA</t>
  </si>
  <si>
    <t>4841-QGD</t>
  </si>
  <si>
    <t>87-QGA</t>
  </si>
  <si>
    <t>87-QGD</t>
  </si>
  <si>
    <t>87-QGS</t>
  </si>
  <si>
    <t>2469-QGA</t>
  </si>
  <si>
    <t>2469-QGS</t>
  </si>
  <si>
    <t>2996-QGA</t>
  </si>
  <si>
    <t>2996-QGD</t>
  </si>
  <si>
    <t>4454-QGD</t>
  </si>
  <si>
    <t>4629-QGA</t>
  </si>
  <si>
    <t>2073-QGA</t>
  </si>
  <si>
    <t>3554-QGA</t>
  </si>
  <si>
    <t>3554-QGD</t>
  </si>
  <si>
    <t>3598-QGS</t>
  </si>
  <si>
    <t>4033-QGA</t>
  </si>
  <si>
    <t>Aerial Qs</t>
  </si>
  <si>
    <t>Dist. Qs</t>
  </si>
  <si>
    <t>Speed Qs</t>
  </si>
  <si>
    <t>Team Qs</t>
  </si>
  <si>
    <t>Known dog</t>
  </si>
  <si>
    <t>Havok</t>
  </si>
  <si>
    <t>Dandy</t>
  </si>
  <si>
    <t>Shepie</t>
  </si>
  <si>
    <t>Athéna</t>
  </si>
  <si>
    <t>Balto</t>
  </si>
  <si>
    <t>Myco</t>
  </si>
  <si>
    <t>Trevi</t>
  </si>
  <si>
    <t>Kitana</t>
  </si>
  <si>
    <t>Nico</t>
  </si>
  <si>
    <t>Fozzy</t>
  </si>
  <si>
    <t>Neeva</t>
  </si>
  <si>
    <t>Rocko</t>
  </si>
  <si>
    <t>Korra</t>
  </si>
  <si>
    <t>Relic</t>
  </si>
  <si>
    <t>Lily Jolene</t>
  </si>
  <si>
    <t>Breckon, Nadia</t>
  </si>
  <si>
    <t>Henebury, Kara</t>
  </si>
  <si>
    <t>Howard, Carol</t>
  </si>
  <si>
    <t>Hunter, Zoë</t>
  </si>
  <si>
    <t>Thériault, Béatrice</t>
  </si>
  <si>
    <t>Cimon, Audrey</t>
  </si>
  <si>
    <t>Ens, Tracey</t>
  </si>
  <si>
    <t>Gallant, Caroline</t>
  </si>
  <si>
    <t>Goodey, Mahalia</t>
  </si>
  <si>
    <t>Guillette, Danika</t>
  </si>
  <si>
    <t>Guo, Jennifer</t>
  </si>
  <si>
    <t>Hartle, Jill</t>
  </si>
  <si>
    <t>Kennedy, Kelly</t>
  </si>
  <si>
    <t>Loder, Melissa</t>
  </si>
  <si>
    <t>Lumb, Tara</t>
  </si>
  <si>
    <t>Lush, Jodie</t>
  </si>
  <si>
    <t>McEvoy, Claire</t>
  </si>
  <si>
    <t>Phung, Luan</t>
  </si>
  <si>
    <t>Piotrkowski, Natalie</t>
  </si>
  <si>
    <t>Schofield, Lisa</t>
  </si>
  <si>
    <t>Shaw, Jessica</t>
  </si>
  <si>
    <t>Spooner, Leigh</t>
  </si>
  <si>
    <t>Werle, Jill</t>
  </si>
  <si>
    <t>Wilcox, Harmony</t>
  </si>
  <si>
    <t>Zenuik, Martin</t>
  </si>
  <si>
    <t>Schneider, Kathy</t>
  </si>
  <si>
    <t>2539-QGS</t>
  </si>
  <si>
    <t>3027-QGD</t>
  </si>
  <si>
    <t>3168-QGA</t>
  </si>
  <si>
    <t>3168-QGD</t>
  </si>
  <si>
    <t>4228-QGA</t>
  </si>
  <si>
    <t>4289-QGA</t>
  </si>
  <si>
    <t>4365-QGD</t>
  </si>
  <si>
    <t>4843-QGA</t>
  </si>
  <si>
    <t>1055-QGT</t>
  </si>
  <si>
    <t>1612-QGA</t>
  </si>
  <si>
    <t>1612-QGD</t>
  </si>
  <si>
    <t>1825-QGT</t>
  </si>
  <si>
    <t>2775-QGA</t>
  </si>
  <si>
    <t>3106-QGD</t>
  </si>
  <si>
    <t>3167-QGD</t>
  </si>
  <si>
    <t>3167-QGS</t>
  </si>
  <si>
    <t>3263-QGD</t>
  </si>
  <si>
    <t>3487-QGD</t>
  </si>
  <si>
    <t>3630-QGA</t>
  </si>
  <si>
    <t>3630-QGD</t>
  </si>
  <si>
    <t>3736-QGA</t>
  </si>
  <si>
    <t>3736-QGS</t>
  </si>
  <si>
    <t>3791-QGT</t>
  </si>
  <si>
    <t>3839-QGS</t>
  </si>
  <si>
    <t>3841-QGA</t>
  </si>
  <si>
    <t>3841-QGS</t>
  </si>
  <si>
    <t>3841-QGT</t>
  </si>
  <si>
    <t>3968-QGD</t>
  </si>
  <si>
    <t>3968-QGS</t>
  </si>
  <si>
    <t>4046-QGA</t>
  </si>
  <si>
    <t>4046-QGD</t>
  </si>
  <si>
    <t>4242-QGA</t>
  </si>
  <si>
    <t>4242-QGD</t>
  </si>
  <si>
    <t>4346-QGA</t>
  </si>
  <si>
    <t>4346-QGS</t>
  </si>
  <si>
    <t>4598-QGA</t>
  </si>
  <si>
    <t>4598-QGT</t>
  </si>
  <si>
    <t>4874-QGA</t>
  </si>
  <si>
    <t>4877-QGA</t>
  </si>
  <si>
    <t>4877-QGD</t>
  </si>
  <si>
    <t>2684-QGD</t>
  </si>
  <si>
    <t>3720-QGD</t>
  </si>
  <si>
    <t>4113-QGD</t>
  </si>
  <si>
    <t>4272-QGA</t>
  </si>
  <si>
    <t>4272-QGD</t>
  </si>
  <si>
    <t>4536-QGD</t>
  </si>
  <si>
    <t>4763-QGA</t>
  </si>
  <si>
    <t>4872-QGA</t>
  </si>
  <si>
    <t>1209-QGA</t>
  </si>
  <si>
    <t>1209-QGS</t>
  </si>
  <si>
    <t>3279-QGD</t>
  </si>
  <si>
    <t>3279-QGS</t>
  </si>
  <si>
    <t>3444-QGD</t>
  </si>
  <si>
    <t>3577-QGS</t>
  </si>
  <si>
    <t>3653-QGA</t>
  </si>
  <si>
    <t>3653-QGD</t>
  </si>
  <si>
    <t>3653-QGS</t>
  </si>
  <si>
    <t>3703-QGT</t>
  </si>
  <si>
    <t>3790-QGS</t>
  </si>
  <si>
    <t>4016-QGA</t>
  </si>
  <si>
    <t>4016-QGS</t>
  </si>
  <si>
    <t>4063-QGD</t>
  </si>
  <si>
    <t>4094-QGS</t>
  </si>
  <si>
    <t>4094-QGT</t>
  </si>
  <si>
    <t>4252-QGD</t>
  </si>
  <si>
    <t>4312-QGS</t>
  </si>
  <si>
    <t>4390-QGA</t>
  </si>
  <si>
    <t>4390-QGD</t>
  </si>
  <si>
    <t>4393-QGD</t>
  </si>
  <si>
    <t>4539-QGA</t>
  </si>
  <si>
    <t>4775-QGA</t>
  </si>
  <si>
    <t>4775-QGD</t>
  </si>
  <si>
    <t>Violet</t>
  </si>
  <si>
    <t>Uli</t>
  </si>
  <si>
    <t>TJ</t>
  </si>
  <si>
    <t>Giro</t>
  </si>
  <si>
    <t>PELE</t>
  </si>
  <si>
    <t>Almond</t>
  </si>
  <si>
    <t>Venn</t>
  </si>
  <si>
    <t>Miso</t>
  </si>
  <si>
    <t>Frieden</t>
  </si>
  <si>
    <t>Bronwyn</t>
  </si>
  <si>
    <t>Quinan</t>
  </si>
  <si>
    <t>Doody, Jane</t>
  </si>
  <si>
    <t>Fanning, Laura</t>
  </si>
  <si>
    <t>Yeager, Sherryl</t>
  </si>
  <si>
    <t>sutanto, christina</t>
  </si>
  <si>
    <t>Kilburn, Claire</t>
  </si>
  <si>
    <t>Jacksteit, Anya</t>
  </si>
  <si>
    <t>Morneau, Jessica</t>
  </si>
  <si>
    <t>Buhrs, Michael</t>
  </si>
  <si>
    <t>Latreille, Maureen</t>
  </si>
  <si>
    <t>1279-QGA</t>
  </si>
  <si>
    <t>1440-QGA</t>
  </si>
  <si>
    <t>1440-QGD</t>
  </si>
  <si>
    <t>1440-QGS</t>
  </si>
  <si>
    <t>2000-QGT</t>
  </si>
  <si>
    <t>2047-QGD</t>
  </si>
  <si>
    <t>2048-QGA</t>
  </si>
  <si>
    <t>2136-QGA</t>
  </si>
  <si>
    <t>2136-QGD</t>
  </si>
  <si>
    <t>2136-QGS</t>
  </si>
  <si>
    <t>2136-QGT</t>
  </si>
  <si>
    <t>2368-QGA</t>
  </si>
  <si>
    <t>2368-QGS</t>
  </si>
  <si>
    <t>2466-QGA</t>
  </si>
  <si>
    <t>2466-QGD</t>
  </si>
  <si>
    <t>2469-QGD</t>
  </si>
  <si>
    <t>2477-QGA</t>
  </si>
  <si>
    <t>2477-QGS</t>
  </si>
  <si>
    <t>2590-QGD</t>
  </si>
  <si>
    <t>2762-QGS</t>
  </si>
  <si>
    <t>2794-QGS</t>
  </si>
  <si>
    <t>2835-QGT</t>
  </si>
  <si>
    <t>3190-QGS</t>
  </si>
  <si>
    <t>3204-QGS</t>
  </si>
  <si>
    <t>3251-QGD</t>
  </si>
  <si>
    <t>3332-QGA</t>
  </si>
  <si>
    <t>3344-QGS</t>
  </si>
  <si>
    <t>3505-QGA</t>
  </si>
  <si>
    <t>3505-QGD</t>
  </si>
  <si>
    <t>3505-QGS</t>
  </si>
  <si>
    <t>3788-QGD</t>
  </si>
  <si>
    <t>3854-QGS</t>
  </si>
  <si>
    <t>3948-QGA</t>
  </si>
  <si>
    <t>4050-QGD</t>
  </si>
  <si>
    <t>4079-QGA</t>
  </si>
  <si>
    <t>4079-QGS</t>
  </si>
  <si>
    <t>4111-QGA</t>
  </si>
  <si>
    <t>4280-QGA</t>
  </si>
  <si>
    <t>4280-QGD</t>
  </si>
  <si>
    <t>4280-QGT</t>
  </si>
  <si>
    <t>4346-QGD</t>
  </si>
  <si>
    <t>4524-QGS</t>
  </si>
  <si>
    <t>4740-QGD</t>
  </si>
  <si>
    <t>4740-QGS</t>
  </si>
  <si>
    <t>4822-QGD</t>
  </si>
  <si>
    <t>4822-QGT</t>
  </si>
  <si>
    <t>4863-QGA</t>
  </si>
  <si>
    <t>4872-QGD</t>
  </si>
  <si>
    <t>4889-QGA</t>
  </si>
  <si>
    <t>4889-QGD</t>
  </si>
  <si>
    <t>893-QGT</t>
  </si>
  <si>
    <t>Started Container Judge</t>
  </si>
  <si>
    <t>Started Interior Judge</t>
  </si>
  <si>
    <t>Started Exterior Judge</t>
  </si>
  <si>
    <t>Started Dogs Unrecognized</t>
  </si>
  <si>
    <t>Advanced Container Judge</t>
  </si>
  <si>
    <t>Advanced Interior Judge</t>
  </si>
  <si>
    <t>Advanced Exterior Judge</t>
  </si>
  <si>
    <t>Excellent Container Judge</t>
  </si>
  <si>
    <t>Excellent Interior Judge</t>
  </si>
  <si>
    <t>Excellent Exterior Judge</t>
  </si>
  <si>
    <t>Elite Container Judge</t>
  </si>
  <si>
    <t>Elite Interior Judge</t>
  </si>
  <si>
    <t>Elite Exterior Judge</t>
  </si>
  <si>
    <t>Games Aerial Judge</t>
  </si>
  <si>
    <t>Games Distance Judge</t>
  </si>
  <si>
    <t>Games Speed Judge</t>
  </si>
  <si>
    <t>Games Teams Judge</t>
  </si>
  <si>
    <t>All scored entered</t>
  </si>
  <si>
    <t>General</t>
  </si>
  <si>
    <t>Championships Summary Page</t>
  </si>
  <si>
    <t>Started Dogs Duplicated</t>
  </si>
  <si>
    <t>Advanced Dogs Duplicated</t>
  </si>
  <si>
    <t>Excellent Dogs Duplicated</t>
  </si>
  <si>
    <t>Elite Dogs Duplicated</t>
  </si>
  <si>
    <t>Games Dogs Duplicated</t>
  </si>
  <si>
    <t>Captain</t>
  </si>
  <si>
    <t>Roodie</t>
  </si>
  <si>
    <t>Kailani (Kai)</t>
  </si>
  <si>
    <t>Snow</t>
  </si>
  <si>
    <t>Zoya</t>
  </si>
  <si>
    <t>Coach</t>
  </si>
  <si>
    <t>Loulou</t>
  </si>
  <si>
    <t>Happy</t>
  </si>
  <si>
    <t>Lego</t>
  </si>
  <si>
    <t>Chiki</t>
  </si>
  <si>
    <t>Brinley</t>
  </si>
  <si>
    <t>Kunai</t>
  </si>
  <si>
    <t>Hermes</t>
  </si>
  <si>
    <t>Siena</t>
  </si>
  <si>
    <t>Cisco</t>
  </si>
  <si>
    <t>Nairobi</t>
  </si>
  <si>
    <t>Lucille</t>
  </si>
  <si>
    <t>Zut</t>
  </si>
  <si>
    <t>Pretzel</t>
  </si>
  <si>
    <t>Azura Major</t>
  </si>
  <si>
    <t>Maly</t>
  </si>
  <si>
    <t>Miss Sophie</t>
  </si>
  <si>
    <t>Alphy</t>
  </si>
  <si>
    <t>Schatzi</t>
  </si>
  <si>
    <t>Cheddy</t>
  </si>
  <si>
    <t>Kingsley</t>
  </si>
  <si>
    <t>Falko</t>
  </si>
  <si>
    <t>Saluki</t>
  </si>
  <si>
    <t>Slater, Gail</t>
  </si>
  <si>
    <t>Brodeur, Melodie</t>
  </si>
  <si>
    <t>Beausejour, Megan</t>
  </si>
  <si>
    <t>Caswell, Brenda</t>
  </si>
  <si>
    <t>Daniels-Hecktor, Taya</t>
  </si>
  <si>
    <t>Denissova, Olga</t>
  </si>
  <si>
    <t>Dupuis, Nathalie</t>
  </si>
  <si>
    <t>GADOURY, GUYLAINE</t>
  </si>
  <si>
    <t>Gagnon, Alysha</t>
  </si>
  <si>
    <t>Ireland, Scott</t>
  </si>
  <si>
    <t>Keren, Julia</t>
  </si>
  <si>
    <t>Levreault, Eleni</t>
  </si>
  <si>
    <t>Lizotte, Karianne</t>
  </si>
  <si>
    <t>Loiselle, Anne</t>
  </si>
  <si>
    <t>Major, Elisabeth</t>
  </si>
  <si>
    <t>Neher, Iris</t>
  </si>
  <si>
    <t>Niemi, Wayne</t>
  </si>
  <si>
    <t>Poulin, Mimi</t>
  </si>
  <si>
    <t>Roy, Ranjan</t>
  </si>
  <si>
    <t>Spence, Louise</t>
  </si>
  <si>
    <t>Stojc, Aimee</t>
  </si>
  <si>
    <t>Tzouvelakos, Angie</t>
  </si>
  <si>
    <t>Very, Chelsea</t>
  </si>
  <si>
    <t>Weicker, Evamarie</t>
  </si>
  <si>
    <t>Paradis-Bergeron, Kathy</t>
  </si>
  <si>
    <t>2991-QGA</t>
  </si>
  <si>
    <t>2991-QGD</t>
  </si>
  <si>
    <t>4053-QGA</t>
  </si>
  <si>
    <t>4105-QGA</t>
  </si>
  <si>
    <t>4105-QGD</t>
  </si>
  <si>
    <t>4225-QGA</t>
  </si>
  <si>
    <t>4780-QGA</t>
  </si>
  <si>
    <t>4918-QGA</t>
  </si>
  <si>
    <t>1295-QGD</t>
  </si>
  <si>
    <t>1490-QGA</t>
  </si>
  <si>
    <t>2422-QGD</t>
  </si>
  <si>
    <t>3612-QGD</t>
  </si>
  <si>
    <t>3657-QGA</t>
  </si>
  <si>
    <t>3657-QGD</t>
  </si>
  <si>
    <t>4290-QGA</t>
  </si>
  <si>
    <t>4290-QGD</t>
  </si>
  <si>
    <t>4479-QGA</t>
  </si>
  <si>
    <t>4759-QGA</t>
  </si>
  <si>
    <t>Kenobi</t>
  </si>
  <si>
    <t>Layka</t>
  </si>
  <si>
    <t>SMUDGE</t>
  </si>
  <si>
    <t>Wolf</t>
  </si>
  <si>
    <t>Pebbles</t>
  </si>
  <si>
    <t>Meiko</t>
  </si>
  <si>
    <t>Brown, Wanda</t>
  </si>
  <si>
    <t>Cormier, Elizabeth</t>
  </si>
  <si>
    <t>Gallop, Nancy</t>
  </si>
  <si>
    <t>Hatton, Courtney</t>
  </si>
  <si>
    <t>Mewhiney, Sue</t>
  </si>
  <si>
    <t>Shen Huxley, Jessie</t>
  </si>
  <si>
    <t>1145-QGT</t>
  </si>
  <si>
    <t>2071-QGS</t>
  </si>
  <si>
    <t>2073-QGS</t>
  </si>
  <si>
    <t>319-QGA</t>
  </si>
  <si>
    <t>3244-QGS</t>
  </si>
  <si>
    <t>3612-QGS</t>
  </si>
  <si>
    <t>3612-QGT</t>
  </si>
  <si>
    <t>3750-QGA</t>
  </si>
  <si>
    <t>3750-QGS</t>
  </si>
  <si>
    <t>3854-QGD</t>
  </si>
  <si>
    <t>4222-QGA</t>
  </si>
  <si>
    <t>4222-QGD</t>
  </si>
  <si>
    <t>4222-QGS</t>
  </si>
  <si>
    <t>4289-QGS</t>
  </si>
  <si>
    <t>4290-QGT</t>
  </si>
  <si>
    <t>4359-QGS</t>
  </si>
  <si>
    <t>4431-QGT</t>
  </si>
  <si>
    <t>4434-QGS</t>
  </si>
  <si>
    <t>4434-QGT</t>
  </si>
  <si>
    <t>4533-QGA</t>
  </si>
  <si>
    <t>4533-QGD</t>
  </si>
  <si>
    <t>4533-QGS</t>
  </si>
  <si>
    <t>4564-QGD</t>
  </si>
  <si>
    <t>4661-QGA</t>
  </si>
  <si>
    <t>4661-QGD</t>
  </si>
  <si>
    <t>4692-QGA</t>
  </si>
  <si>
    <t>Bluez</t>
  </si>
  <si>
    <t>Shogun</t>
  </si>
  <si>
    <t>Elfi</t>
  </si>
  <si>
    <t>Dolly</t>
  </si>
  <si>
    <t>Lee</t>
  </si>
  <si>
    <t>Nele</t>
  </si>
  <si>
    <t>Nielsen, Ann</t>
  </si>
  <si>
    <t>Berlin, Kristi</t>
  </si>
  <si>
    <t>Cadieux, Josiane</t>
  </si>
  <si>
    <t>Carrier, Brigitte</t>
  </si>
  <si>
    <t>Doyon, Sarah-Maude</t>
  </si>
  <si>
    <t>Gatti, Gayle</t>
  </si>
  <si>
    <t>Gunderson, Chrisanta</t>
  </si>
  <si>
    <t>Joncas, Catherine</t>
  </si>
  <si>
    <t>Langille, Ellen</t>
  </si>
  <si>
    <t>Stevenson, Taylor</t>
  </si>
  <si>
    <t>Vanier, Magali</t>
  </si>
  <si>
    <t>Zerbe, Ingrid</t>
  </si>
  <si>
    <t>1096-QGS</t>
  </si>
  <si>
    <t>2067-QGD</t>
  </si>
  <si>
    <t>2478-QGD</t>
  </si>
  <si>
    <t>2478-QGS</t>
  </si>
  <si>
    <t>3421-QGD</t>
  </si>
  <si>
    <t>3665-QGA</t>
  </si>
  <si>
    <t>3665-QGS</t>
  </si>
  <si>
    <t>3818-QGA</t>
  </si>
  <si>
    <t>3819-QGT</t>
  </si>
  <si>
    <t>3842-QGD</t>
  </si>
  <si>
    <t>3882-QGA</t>
  </si>
  <si>
    <t>3882-QGD</t>
  </si>
  <si>
    <t>3882-QGT</t>
  </si>
  <si>
    <t>3992-QGA</t>
  </si>
  <si>
    <t>4020-QGS</t>
  </si>
  <si>
    <t>4154-QGS</t>
  </si>
  <si>
    <t>4249-QGS</t>
  </si>
  <si>
    <t>4256-QGT</t>
  </si>
  <si>
    <t>4284-QGA</t>
  </si>
  <si>
    <t>4284-QGD</t>
  </si>
  <si>
    <t>4284-QGS</t>
  </si>
  <si>
    <t>4331-QGD</t>
  </si>
  <si>
    <t>4344-QGA</t>
  </si>
  <si>
    <t>4344-QGD</t>
  </si>
  <si>
    <t>4344-QGS</t>
  </si>
  <si>
    <t>4356-QGA</t>
  </si>
  <si>
    <t>4415-QGD</t>
  </si>
  <si>
    <t>4420-QGA</t>
  </si>
  <si>
    <t>4420-QGD</t>
  </si>
  <si>
    <t>4435-QGA</t>
  </si>
  <si>
    <t>4435-QGD</t>
  </si>
  <si>
    <t>4438-QGA</t>
  </si>
  <si>
    <t>4438-QGD</t>
  </si>
  <si>
    <t>4438-QGS</t>
  </si>
  <si>
    <t>4439-QGA</t>
  </si>
  <si>
    <t>4441-QGD</t>
  </si>
  <si>
    <t>4441-QGS</t>
  </si>
  <si>
    <t>4441-QGT</t>
  </si>
  <si>
    <t>4457-QGA</t>
  </si>
  <si>
    <t>4457-QGD</t>
  </si>
  <si>
    <t>4457-QGS</t>
  </si>
  <si>
    <t>4516-QGA</t>
  </si>
  <si>
    <t>4524-QGA</t>
  </si>
  <si>
    <t>4539-QGT</t>
  </si>
  <si>
    <t>4562-QGD</t>
  </si>
  <si>
    <t>4579-QGA</t>
  </si>
  <si>
    <t>4579-QGD</t>
  </si>
  <si>
    <t>4672-QGA</t>
  </si>
  <si>
    <t>4672-QGD</t>
  </si>
  <si>
    <t>4672-QGS</t>
  </si>
  <si>
    <t>4699-QGA</t>
  </si>
  <si>
    <t>4699-QGD</t>
  </si>
  <si>
    <t>4704-QGA</t>
  </si>
  <si>
    <t>4704-QGD</t>
  </si>
  <si>
    <t>4704-QGS</t>
  </si>
  <si>
    <t>4745-QGS</t>
  </si>
  <si>
    <t>4778-QGA</t>
  </si>
  <si>
    <t>4876-QGA</t>
  </si>
  <si>
    <t>4876-QGD</t>
  </si>
  <si>
    <t>4934-QGA</t>
  </si>
  <si>
    <t>4963-QGA</t>
  </si>
  <si>
    <t>4963-QGD</t>
  </si>
  <si>
    <t>4994-QGA</t>
  </si>
  <si>
    <t>4994-QGT</t>
  </si>
  <si>
    <t>4998-QGA</t>
  </si>
  <si>
    <t>4998-QGD</t>
  </si>
  <si>
    <t>5010-QGD</t>
  </si>
  <si>
    <t>5019-QGD</t>
  </si>
  <si>
    <t>5031-QGA</t>
  </si>
  <si>
    <t>5031-QGD</t>
  </si>
  <si>
    <t>5056-QGA</t>
  </si>
  <si>
    <t>543-QGT</t>
  </si>
  <si>
    <t>597-QGT</t>
  </si>
  <si>
    <t>Halina, Jackie</t>
  </si>
  <si>
    <t>Choco</t>
  </si>
  <si>
    <t>Picard, Madeleine</t>
  </si>
  <si>
    <t>Milton</t>
  </si>
  <si>
    <t>Milkowski, Alicia</t>
  </si>
  <si>
    <t>North</t>
  </si>
  <si>
    <t>Parent, Sarah</t>
  </si>
  <si>
    <t>Parent, Nancy</t>
  </si>
  <si>
    <t>Dango</t>
  </si>
  <si>
    <t>Lu</t>
  </si>
  <si>
    <t>Mochi</t>
  </si>
  <si>
    <t>Weekes, Jennifer</t>
  </si>
  <si>
    <t>Mongeau, Nadine</t>
  </si>
  <si>
    <t>Pippin Took</t>
  </si>
  <si>
    <t>Sommersby, Yaunna</t>
  </si>
  <si>
    <t>Dover</t>
  </si>
  <si>
    <t>Elly</t>
  </si>
  <si>
    <t>Bulpitt, Cheryl</t>
  </si>
  <si>
    <t>Berkeley</t>
  </si>
  <si>
    <t>Meneley, Hannah</t>
  </si>
  <si>
    <t>Noseworthy, Shana</t>
  </si>
  <si>
    <t>Trinity</t>
  </si>
  <si>
    <t>Wesley</t>
  </si>
  <si>
    <t>Veilleux, Michelle</t>
  </si>
  <si>
    <t>Marschaĺl, Mary</t>
  </si>
  <si>
    <t>Heyne, Belinda</t>
  </si>
  <si>
    <t>FINLEY</t>
  </si>
  <si>
    <t>Anderson, Cathy</t>
  </si>
  <si>
    <t>Tremblay, Wendy</t>
  </si>
  <si>
    <t>Wells, Edward</t>
  </si>
  <si>
    <t>Joan</t>
  </si>
  <si>
    <t>Bizjak, Patricia</t>
  </si>
  <si>
    <t>Miles</t>
  </si>
  <si>
    <t>Iris</t>
  </si>
  <si>
    <t>Wallace</t>
  </si>
  <si>
    <t>Boulanger, Jacynthe</t>
  </si>
  <si>
    <t>Myley</t>
  </si>
  <si>
    <t>Vilya</t>
  </si>
  <si>
    <t>Lucier, Erin</t>
  </si>
  <si>
    <t>Schreiber, Steph</t>
  </si>
  <si>
    <t>Dakin, Val</t>
  </si>
  <si>
    <t>Toilichte</t>
  </si>
  <si>
    <t>UNI</t>
  </si>
  <si>
    <t>Nikita</t>
  </si>
  <si>
    <t>Stevens, Tonya</t>
  </si>
  <si>
    <t>Bennett, Tammy</t>
  </si>
  <si>
    <t>SEMECHKO, VLADIMIR</t>
  </si>
  <si>
    <t>Aya</t>
  </si>
  <si>
    <t>Puch, Kate</t>
  </si>
  <si>
    <t>Kahlo</t>
  </si>
  <si>
    <t>Abel, Robert</t>
  </si>
  <si>
    <t>Harri</t>
  </si>
  <si>
    <t>Legge-Owen, Michelle</t>
  </si>
  <si>
    <t>Ken Adams</t>
  </si>
  <si>
    <t>Fortin, Kim</t>
  </si>
  <si>
    <t>Drabyk, Holly</t>
  </si>
  <si>
    <t>Naache</t>
  </si>
  <si>
    <t>Panagapka, Taylor</t>
  </si>
  <si>
    <t>JayJay</t>
  </si>
  <si>
    <t>Fuchs, Tracy</t>
  </si>
  <si>
    <t>Skyy</t>
  </si>
  <si>
    <t>Guay, Michel</t>
  </si>
  <si>
    <t>Patrick, Sandy</t>
  </si>
  <si>
    <t>2438-QGS</t>
  </si>
  <si>
    <t>2684-QGA</t>
  </si>
  <si>
    <t>2783-QGA</t>
  </si>
  <si>
    <t>2853-QGA</t>
  </si>
  <si>
    <t>2853-QGS</t>
  </si>
  <si>
    <t>3202-QGA</t>
  </si>
  <si>
    <t>3741-QGD</t>
  </si>
  <si>
    <t>4289-QGD</t>
  </si>
  <si>
    <t>4547-QGD</t>
  </si>
  <si>
    <t>4824-QGA</t>
  </si>
  <si>
    <t>4824-QGS</t>
  </si>
  <si>
    <t>2498-QGA</t>
  </si>
  <si>
    <t>2498-QGD</t>
  </si>
  <si>
    <t>3496-QGA</t>
  </si>
  <si>
    <t>3496-QGD</t>
  </si>
  <si>
    <t>3755-QGD</t>
  </si>
  <si>
    <t>3839-QGA</t>
  </si>
  <si>
    <t>3839-QGD</t>
  </si>
  <si>
    <t>3840-QGA</t>
  </si>
  <si>
    <t>4130-QGA</t>
  </si>
  <si>
    <t>4352-QGA</t>
  </si>
  <si>
    <t>4352-QGS</t>
  </si>
  <si>
    <t>4411-QGA</t>
  </si>
  <si>
    <t>4411-QGD</t>
  </si>
  <si>
    <t>4684-QGD</t>
  </si>
  <si>
    <t>4684-QGS</t>
  </si>
  <si>
    <t>4887-QGA</t>
  </si>
  <si>
    <t>4887-QGD</t>
  </si>
  <si>
    <t>4901-QGA</t>
  </si>
  <si>
    <t>4904-QGA</t>
  </si>
  <si>
    <t>4904-QGD</t>
  </si>
  <si>
    <t>4904-QGS</t>
  </si>
  <si>
    <t>5049-QGA</t>
  </si>
  <si>
    <t>5049-QGD</t>
  </si>
  <si>
    <t>5059-QGA</t>
  </si>
  <si>
    <t>5059-QGD</t>
  </si>
  <si>
    <t>Roxxy</t>
  </si>
  <si>
    <t>Marvel</t>
  </si>
  <si>
    <t>Dania</t>
  </si>
  <si>
    <t>Kiki</t>
  </si>
  <si>
    <t>Bobby</t>
  </si>
  <si>
    <t>Cwtch</t>
  </si>
  <si>
    <t>Griffyn</t>
  </si>
  <si>
    <t>Cloud</t>
  </si>
  <si>
    <t>Guillet, Colleen</t>
  </si>
  <si>
    <t>Birch, Sonya</t>
  </si>
  <si>
    <t>Brown, Sandy</t>
  </si>
  <si>
    <t>Chung, Stephanie</t>
  </si>
  <si>
    <t>Hampson, Sara</t>
  </si>
  <si>
    <t>Kinch, Alicia</t>
  </si>
  <si>
    <t>Kirkham, Morgan</t>
  </si>
  <si>
    <t>Klos, Taja</t>
  </si>
  <si>
    <t>Leblanc, Gabrielle</t>
  </si>
  <si>
    <t>Mackie, Rachael</t>
  </si>
  <si>
    <t>Olsen, Chasity</t>
  </si>
  <si>
    <t>Schofield, Tysha</t>
  </si>
  <si>
    <t>Steele, Alan</t>
  </si>
  <si>
    <t>Vaughan, Lorie</t>
  </si>
  <si>
    <t>Vizcaino, Melanie</t>
  </si>
  <si>
    <t>Stephenson, Sandy</t>
  </si>
  <si>
    <t>2469-QGT</t>
  </si>
  <si>
    <t>2875-QGD</t>
  </si>
  <si>
    <t>2987-QGA</t>
  </si>
  <si>
    <t>2987-QGS</t>
  </si>
  <si>
    <t>3212-QGA</t>
  </si>
  <si>
    <t>3407-QGA</t>
  </si>
  <si>
    <t>3407-QGT</t>
  </si>
  <si>
    <t>3945-QGT</t>
  </si>
  <si>
    <t>4050-QGA</t>
  </si>
  <si>
    <t>4050-QGS</t>
  </si>
  <si>
    <t>4079-QGD</t>
  </si>
  <si>
    <t>4359-QGD</t>
  </si>
  <si>
    <t>4449-QGA</t>
  </si>
  <si>
    <t>4848-QGA</t>
  </si>
  <si>
    <t>4848-QGD</t>
  </si>
  <si>
    <t>4889-QGS</t>
  </si>
  <si>
    <t>4889-QGT</t>
  </si>
  <si>
    <t>4911-QGA</t>
  </si>
  <si>
    <t>4931-QGA</t>
  </si>
  <si>
    <t>4955-QGD</t>
  </si>
  <si>
    <t>5137-QGA</t>
  </si>
  <si>
    <t>2203-QGS</t>
  </si>
  <si>
    <t>3104-QGA</t>
  </si>
  <si>
    <t>3104-QGD</t>
  </si>
  <si>
    <t>3104-QGS</t>
  </si>
  <si>
    <t>3353-QGA</t>
  </si>
  <si>
    <t>3413-QGD</t>
  </si>
  <si>
    <t>3413-QGT</t>
  </si>
  <si>
    <t>3808-QGD</t>
  </si>
  <si>
    <t>3905-QGS</t>
  </si>
  <si>
    <t>4129-QGA</t>
  </si>
  <si>
    <t>4210-QGA</t>
  </si>
  <si>
    <t>4210-QGD</t>
  </si>
  <si>
    <t>4210-QGS</t>
  </si>
  <si>
    <t>4281-QGA</t>
  </si>
  <si>
    <t>4281-QGD</t>
  </si>
  <si>
    <t>4282-QGA</t>
  </si>
  <si>
    <t>4743-QGA</t>
  </si>
  <si>
    <t>Rykker</t>
  </si>
  <si>
    <t>Risk</t>
  </si>
  <si>
    <t>Kyrane</t>
  </si>
  <si>
    <t>Horton</t>
  </si>
  <si>
    <t>Timmie</t>
  </si>
  <si>
    <t>Ruaírí</t>
  </si>
  <si>
    <t>JOURNEY</t>
  </si>
  <si>
    <t>Ruadhan</t>
  </si>
  <si>
    <t>Velma</t>
  </si>
  <si>
    <t>Bodie</t>
  </si>
  <si>
    <t>Katana</t>
  </si>
  <si>
    <t>Chaak</t>
  </si>
  <si>
    <t>Hina</t>
  </si>
  <si>
    <t>Ukee</t>
  </si>
  <si>
    <t>Corby</t>
  </si>
  <si>
    <t>Marge</t>
  </si>
  <si>
    <t>Bulle</t>
  </si>
  <si>
    <t>RUCKUS</t>
  </si>
  <si>
    <t>Squid</t>
  </si>
  <si>
    <t>Sunkist</t>
  </si>
  <si>
    <t>Dietrich</t>
  </si>
  <si>
    <t>Dundee</t>
  </si>
  <si>
    <t>Bogan</t>
  </si>
  <si>
    <t>Aquila</t>
  </si>
  <si>
    <t>Helsie</t>
  </si>
  <si>
    <t>ONYX</t>
  </si>
  <si>
    <t>spot</t>
  </si>
  <si>
    <t>Kasha</t>
  </si>
  <si>
    <t>Aiko</t>
  </si>
  <si>
    <t>Cinna</t>
  </si>
  <si>
    <t>Caleb</t>
  </si>
  <si>
    <t>BRIANNA</t>
  </si>
  <si>
    <t>Chrissy</t>
  </si>
  <si>
    <t>Romi</t>
  </si>
  <si>
    <t>Maëlie</t>
  </si>
  <si>
    <t>Moana</t>
  </si>
  <si>
    <t>Clara</t>
  </si>
  <si>
    <t>Hachi</t>
  </si>
  <si>
    <t>Calli</t>
  </si>
  <si>
    <t>Belle Starr</t>
  </si>
  <si>
    <t>KODA</t>
  </si>
  <si>
    <t>Xeni</t>
  </si>
  <si>
    <t>Laloudakis, Stavroula</t>
  </si>
  <si>
    <t>Armstrong, Gail</t>
  </si>
  <si>
    <t>Betts, Sue</t>
  </si>
  <si>
    <t>Broadbear, Norma</t>
  </si>
  <si>
    <t>Brunke, Laurel</t>
  </si>
  <si>
    <t>Bugden, Stephanie</t>
  </si>
  <si>
    <t>Charlesworth, Ellen</t>
  </si>
  <si>
    <t>Clavet, Janine</t>
  </si>
  <si>
    <t>Cooper, Shawna</t>
  </si>
  <si>
    <t>Crothers, Stacie</t>
  </si>
  <si>
    <t>Danko, Barbara</t>
  </si>
  <si>
    <t>Davidson, Janice</t>
  </si>
  <si>
    <t>De Curtis, Lisa</t>
  </si>
  <si>
    <t>Desrochers roy, Chaniece</t>
  </si>
  <si>
    <t>Donker, Wendy</t>
  </si>
  <si>
    <t>Duguay, Aleka</t>
  </si>
  <si>
    <t>Flokstra, Valeria</t>
  </si>
  <si>
    <t>Gaull, Margaret</t>
  </si>
  <si>
    <t>Goodfellow, Lyndsay</t>
  </si>
  <si>
    <t>Guay, Marie-Catherine</t>
  </si>
  <si>
    <t>Halliwell, Andrew</t>
  </si>
  <si>
    <t>Harris, Caery</t>
  </si>
  <si>
    <t>Harris, Lee</t>
  </si>
  <si>
    <t>Hill, Danielle</t>
  </si>
  <si>
    <t>Hunter, Taylor</t>
  </si>
  <si>
    <t>Kenney, Martha</t>
  </si>
  <si>
    <t>Korta, Dominika</t>
  </si>
  <si>
    <t>Kukucha, Karen</t>
  </si>
  <si>
    <t>Kurbis, Ted</t>
  </si>
  <si>
    <t>Lafleur, Kim</t>
  </si>
  <si>
    <t>Langdon, Ryan</t>
  </si>
  <si>
    <t>Malouin, Lise</t>
  </si>
  <si>
    <t>McCoubrey, Chantal</t>
  </si>
  <si>
    <t>Mercanti, Amanda</t>
  </si>
  <si>
    <t>Nahorny, Anne</t>
  </si>
  <si>
    <t>Ng, Kelly</t>
  </si>
  <si>
    <t>Palardy, Patrick</t>
  </si>
  <si>
    <t>Paquin, Nicole</t>
  </si>
  <si>
    <t>Pelletier, Ethan</t>
  </si>
  <si>
    <t>Pépin-Côté, Laurie-Anne</t>
  </si>
  <si>
    <t>Pye, Tammy</t>
  </si>
  <si>
    <t>Pyett, Tegan</t>
  </si>
  <si>
    <t>Reid, Joan</t>
  </si>
  <si>
    <t>Rose, Beth</t>
  </si>
  <si>
    <t>Roy, Isabelle</t>
  </si>
  <si>
    <t>Selby, Mindy</t>
  </si>
  <si>
    <t>Sharpe, Jessica</t>
  </si>
  <si>
    <t>Slater, Cindy</t>
  </si>
  <si>
    <t>Steers, Molly</t>
  </si>
  <si>
    <t>Summers, Paige</t>
  </si>
  <si>
    <t>Szott, Lyndon</t>
  </si>
  <si>
    <t>Tétrault, Karine</t>
  </si>
  <si>
    <t>Villani, Natalie</t>
  </si>
  <si>
    <t>Ward, Greg</t>
  </si>
  <si>
    <t>Williams, Melanie</t>
  </si>
  <si>
    <t>Woestenburg, Petrus</t>
  </si>
  <si>
    <t>Wood, Maryann</t>
  </si>
  <si>
    <t>Yaremchuk, Teagan</t>
  </si>
  <si>
    <t>Yuskowski, Steven</t>
  </si>
  <si>
    <t>Lillie</t>
  </si>
  <si>
    <t>Porto</t>
  </si>
  <si>
    <t>Callan</t>
  </si>
  <si>
    <t>Ricki</t>
  </si>
  <si>
    <t>Esker</t>
  </si>
  <si>
    <t>Kasper</t>
  </si>
  <si>
    <t>Leeloo</t>
  </si>
  <si>
    <t>Lupa</t>
  </si>
  <si>
    <t>Serge</t>
  </si>
  <si>
    <t>May</t>
  </si>
  <si>
    <t>TRACKER</t>
  </si>
  <si>
    <t>SASHA</t>
  </si>
  <si>
    <t>Rusalka</t>
  </si>
  <si>
    <t>Houston</t>
  </si>
  <si>
    <t>Dawson, Candice</t>
  </si>
  <si>
    <t>De Longue Épée, Tanaly</t>
  </si>
  <si>
    <t>Dion, Brooke</t>
  </si>
  <si>
    <t>Hansen, Erica</t>
  </si>
  <si>
    <t>Kerr, Hayley</t>
  </si>
  <si>
    <t>MacGregor, Tara</t>
  </si>
  <si>
    <t>May, Nicole</t>
  </si>
  <si>
    <t>Morin, Laurianne</t>
  </si>
  <si>
    <t>Pellowe, Sarita</t>
  </si>
  <si>
    <t>Rideout, Jessica</t>
  </si>
  <si>
    <t>Savard, Gisele</t>
  </si>
  <si>
    <t>Skanes, Heather</t>
  </si>
  <si>
    <t>Sullivan, Shauna</t>
  </si>
  <si>
    <t>Thiessen, Elisabeth</t>
  </si>
  <si>
    <t>Wood, Amanda</t>
  </si>
  <si>
    <t>Alway, Harley</t>
  </si>
  <si>
    <t>Belcourt, Sabrina</t>
  </si>
  <si>
    <t>Billings, Tess</t>
  </si>
  <si>
    <t>Boileau, Amélie</t>
  </si>
  <si>
    <t>Bruce, Shelby</t>
  </si>
  <si>
    <t>Budd, Olivia</t>
  </si>
  <si>
    <t>1942-QGT</t>
  </si>
  <si>
    <t>2802-QGA</t>
  </si>
  <si>
    <t>2802-QGD</t>
  </si>
  <si>
    <t>2879-QGS</t>
  </si>
  <si>
    <t>3027-QGA</t>
  </si>
  <si>
    <t>3115-QGA</t>
  </si>
  <si>
    <t>3130-QGA</t>
  </si>
  <si>
    <t>3405-QGA</t>
  </si>
  <si>
    <t>3405-QGD</t>
  </si>
  <si>
    <t>3405-QGS</t>
  </si>
  <si>
    <t>3497-QGS</t>
  </si>
  <si>
    <t>3612-QGA</t>
  </si>
  <si>
    <t>3884-QGD</t>
  </si>
  <si>
    <t>4082-QGA</t>
  </si>
  <si>
    <t>4082-QGD</t>
  </si>
  <si>
    <t>4095-QGA</t>
  </si>
  <si>
    <t>4095-QGD</t>
  </si>
  <si>
    <t>4175-QGS</t>
  </si>
  <si>
    <t>4858-QGD</t>
  </si>
  <si>
    <t>4884-QGA</t>
  </si>
  <si>
    <t>4893-QGA</t>
  </si>
  <si>
    <t>4974-QGA</t>
  </si>
  <si>
    <t>4974-QGD</t>
  </si>
  <si>
    <t>4974-QGS</t>
  </si>
  <si>
    <t>5026-QGA</t>
  </si>
  <si>
    <t>5026-QGD</t>
  </si>
  <si>
    <t>5083-QGD</t>
  </si>
  <si>
    <t>Unrecog. Dogs</t>
  </si>
  <si>
    <t>Advanced Dogs Unrecognized</t>
  </si>
  <si>
    <t>2702-QGA</t>
  </si>
  <si>
    <t>2702-QGD</t>
  </si>
  <si>
    <t>2702-QGT</t>
  </si>
  <si>
    <t>4144-QGS</t>
  </si>
  <si>
    <t>4448-QGA</t>
  </si>
  <si>
    <t>4448-QGD</t>
  </si>
  <si>
    <t>4669-QGA</t>
  </si>
  <si>
    <t>4669-QGD</t>
  </si>
  <si>
    <t>4669-QGT</t>
  </si>
  <si>
    <t>4738-QGA</t>
  </si>
  <si>
    <t>4760-QGA</t>
  </si>
  <si>
    <t>4801-QGD</t>
  </si>
  <si>
    <t>4810-QGD</t>
  </si>
  <si>
    <t>4814-QGA</t>
  </si>
  <si>
    <t>5072-QGA</t>
  </si>
  <si>
    <t>5089-QGD</t>
  </si>
  <si>
    <t>5132-QGA</t>
  </si>
  <si>
    <t>5132-QGD</t>
  </si>
  <si>
    <t>5141-QGA</t>
  </si>
  <si>
    <t>5163-QGA</t>
  </si>
  <si>
    <t>5175-QGA</t>
  </si>
  <si>
    <t>5175-QGT</t>
  </si>
  <si>
    <t>5182-QGA</t>
  </si>
  <si>
    <t>5182-QGD</t>
  </si>
  <si>
    <t>5217-QGA</t>
  </si>
  <si>
    <t>5217-QGD</t>
  </si>
  <si>
    <t>5217-QGT</t>
  </si>
  <si>
    <t>5231-QGA</t>
  </si>
  <si>
    <t>5231-QGD</t>
  </si>
  <si>
    <t>88-QGA</t>
  </si>
  <si>
    <t>Elita</t>
  </si>
  <si>
    <t>Rede</t>
  </si>
  <si>
    <t>Glinda</t>
  </si>
  <si>
    <t>Bourbon</t>
  </si>
  <si>
    <t>Neska</t>
  </si>
  <si>
    <t>Tomas</t>
  </si>
  <si>
    <t>Josey</t>
  </si>
  <si>
    <t>Gord</t>
  </si>
  <si>
    <t>Tinka</t>
  </si>
  <si>
    <t>Calliope</t>
  </si>
  <si>
    <t>King</t>
  </si>
  <si>
    <t>O'Hara</t>
  </si>
  <si>
    <t>Tofu</t>
  </si>
  <si>
    <t>Ushuai</t>
  </si>
  <si>
    <t>Oli</t>
  </si>
  <si>
    <t>Dochas</t>
  </si>
  <si>
    <t>Amey, Shilo</t>
  </si>
  <si>
    <t>Benzie, Laurie</t>
  </si>
  <si>
    <t>Campbell, Catherine</t>
  </si>
  <si>
    <t>Chiaromonte, Cris</t>
  </si>
  <si>
    <t>Duke, Hillary</t>
  </si>
  <si>
    <t>Finlay, Karen</t>
  </si>
  <si>
    <t>Folk, Michael</t>
  </si>
  <si>
    <t>Glowacki, Linda</t>
  </si>
  <si>
    <t>Greenwood, Melissa</t>
  </si>
  <si>
    <t>Hoogland, Emmeline</t>
  </si>
  <si>
    <t>Jardie, Jill</t>
  </si>
  <si>
    <t>Jones, Karen</t>
  </si>
  <si>
    <t>Lambert, Linda</t>
  </si>
  <si>
    <t>Levy, Cassie</t>
  </si>
  <si>
    <t>Lloyd, Nancy</t>
  </si>
  <si>
    <t>Lunio, Monika</t>
  </si>
  <si>
    <t>Mairs, Cynthia</t>
  </si>
  <si>
    <t>Moran, Vanessa</t>
  </si>
  <si>
    <t>Parkinson, Samantha</t>
  </si>
  <si>
    <t>Rettger, Makayla</t>
  </si>
  <si>
    <t>Ryall, Andrew</t>
  </si>
  <si>
    <t>Savard-Tremblay, Julie</t>
  </si>
  <si>
    <t>Su, Bi Han</t>
  </si>
  <si>
    <t>Switzer, Meghan</t>
  </si>
  <si>
    <t>Thuot, Marie-Josee</t>
  </si>
  <si>
    <t>Wallin, Bella</t>
  </si>
  <si>
    <t>Watson, Courtney</t>
  </si>
  <si>
    <t>Williams, Joanne</t>
  </si>
  <si>
    <t>Wilson, Liam</t>
  </si>
  <si>
    <t>Wedhorn, Ronda</t>
  </si>
  <si>
    <t>1863-QGA</t>
  </si>
  <si>
    <t>2073-QGD</t>
  </si>
  <si>
    <t>2074-QGT</t>
  </si>
  <si>
    <t>2675-QGA</t>
  </si>
  <si>
    <t>2675-QGD</t>
  </si>
  <si>
    <t>2748-QGT</t>
  </si>
  <si>
    <t>2808-QGT</t>
  </si>
  <si>
    <t>2893-QGA</t>
  </si>
  <si>
    <t>2893-QGD</t>
  </si>
  <si>
    <t>2967-QGA</t>
  </si>
  <si>
    <t>2967-QGD</t>
  </si>
  <si>
    <t>2967-QGS</t>
  </si>
  <si>
    <t>2967-QGT</t>
  </si>
  <si>
    <t>2996-QGS</t>
  </si>
  <si>
    <t>2996-QGT</t>
  </si>
  <si>
    <t>3023-QGS</t>
  </si>
  <si>
    <t>3147-QGA</t>
  </si>
  <si>
    <t>3345-QGD</t>
  </si>
  <si>
    <t>3412-QGA</t>
  </si>
  <si>
    <t>3412-QGD</t>
  </si>
  <si>
    <t>3484-QGD</t>
  </si>
  <si>
    <t>3485-QGA</t>
  </si>
  <si>
    <t>3485-QGD</t>
  </si>
  <si>
    <t>3561-QGD</t>
  </si>
  <si>
    <t>3788-QGT</t>
  </si>
  <si>
    <t>3827-QGD</t>
  </si>
  <si>
    <t>3909-QGA</t>
  </si>
  <si>
    <t>4177-QGS</t>
  </si>
  <si>
    <t>4177-QGT</t>
  </si>
  <si>
    <t>4280-QGS</t>
  </si>
  <si>
    <t>4329-QGA</t>
  </si>
  <si>
    <t>4329-QGD</t>
  </si>
  <si>
    <t>4344-QGT</t>
  </si>
  <si>
    <t>4358-QGT</t>
  </si>
  <si>
    <t>4371-QGS</t>
  </si>
  <si>
    <t>4398-QGD</t>
  </si>
  <si>
    <t>4419-QGA</t>
  </si>
  <si>
    <t>4419-QGD</t>
  </si>
  <si>
    <t>4419-QGS</t>
  </si>
  <si>
    <t>4432-QGT</t>
  </si>
  <si>
    <t>4438-QGT</t>
  </si>
  <si>
    <t>4516-QGT</t>
  </si>
  <si>
    <t>4524-QGD</t>
  </si>
  <si>
    <t>4541-QGA</t>
  </si>
  <si>
    <t>4541-QGD</t>
  </si>
  <si>
    <t>4589-QGA</t>
  </si>
  <si>
    <t>4589-QGD</t>
  </si>
  <si>
    <t>4597-QGA</t>
  </si>
  <si>
    <t>4629-QGS</t>
  </si>
  <si>
    <t>4629-QGT</t>
  </si>
  <si>
    <t>4713-QGA</t>
  </si>
  <si>
    <t>4713-QGD</t>
  </si>
  <si>
    <t>4759-QGD</t>
  </si>
  <si>
    <t>4822-QGA</t>
  </si>
  <si>
    <t>4822-QGS</t>
  </si>
  <si>
    <t>4832-QGA</t>
  </si>
  <si>
    <t>4832-QGD</t>
  </si>
  <si>
    <t>4923-QGA</t>
  </si>
  <si>
    <t>5000-QGD</t>
  </si>
  <si>
    <t>5011-QGT</t>
  </si>
  <si>
    <t>5033-QGA</t>
  </si>
  <si>
    <t>5076-QGD</t>
  </si>
  <si>
    <t>5080-QGD</t>
  </si>
  <si>
    <t>893-QGA</t>
  </si>
  <si>
    <t>2071-QGT</t>
  </si>
  <si>
    <t>2590-QGS</t>
  </si>
  <si>
    <t>2656-QGS</t>
  </si>
  <si>
    <t>2656-QGT</t>
  </si>
  <si>
    <t>2759-QGT</t>
  </si>
  <si>
    <t>2760-QGT</t>
  </si>
  <si>
    <t>2963-QGT</t>
  </si>
  <si>
    <t>3119-QGA</t>
  </si>
  <si>
    <t>3119-QGT</t>
  </si>
  <si>
    <t>3167-QGT</t>
  </si>
  <si>
    <t>3251-QGS</t>
  </si>
  <si>
    <t>3400-QGA</t>
  </si>
  <si>
    <t>3400-QGD</t>
  </si>
  <si>
    <t>3598-QGT</t>
  </si>
  <si>
    <t>3637-QGT</t>
  </si>
  <si>
    <t>3762-QGA</t>
  </si>
  <si>
    <t>3762-QGS</t>
  </si>
  <si>
    <t>3762-QGT</t>
  </si>
  <si>
    <t>3763-QGA</t>
  </si>
  <si>
    <t>3763-QGS</t>
  </si>
  <si>
    <t>3764-QGD</t>
  </si>
  <si>
    <t>3850-QGD</t>
  </si>
  <si>
    <t>3850-QGS</t>
  </si>
  <si>
    <t>3850-QGT</t>
  </si>
  <si>
    <t>3851-QGA</t>
  </si>
  <si>
    <t>3913-QGS</t>
  </si>
  <si>
    <t>4055-QGA</t>
  </si>
  <si>
    <t>4055-QGD</t>
  </si>
  <si>
    <t>4123-QGT</t>
  </si>
  <si>
    <t>4138-QGA</t>
  </si>
  <si>
    <t>4167-QGA</t>
  </si>
  <si>
    <t>4167-QGD</t>
  </si>
  <si>
    <t>4213-QGA</t>
  </si>
  <si>
    <t>4213-QGD</t>
  </si>
  <si>
    <t>4213-QGS</t>
  </si>
  <si>
    <t>4656-QGA</t>
  </si>
  <si>
    <t>4692-QGT</t>
  </si>
  <si>
    <t>4724-QGA</t>
  </si>
  <si>
    <t>4724-QGT</t>
  </si>
  <si>
    <t>4725-QGA</t>
  </si>
  <si>
    <t>4725-QGD</t>
  </si>
  <si>
    <t>4725-QGS</t>
  </si>
  <si>
    <t>4725-QGT</t>
  </si>
  <si>
    <t>4748-QGA</t>
  </si>
  <si>
    <t>4748-QGD</t>
  </si>
  <si>
    <t>4877-QGS</t>
  </si>
  <si>
    <t>4900-QGA</t>
  </si>
  <si>
    <t>4900-QGD</t>
  </si>
  <si>
    <t>4900-QGS</t>
  </si>
  <si>
    <t>4905-QGA</t>
  </si>
  <si>
    <t>4905-QGD</t>
  </si>
  <si>
    <t>4910-QGA</t>
  </si>
  <si>
    <t>4910-QGD</t>
  </si>
  <si>
    <t>4992-QGA</t>
  </si>
  <si>
    <t>4992-QGD</t>
  </si>
  <si>
    <t>5004-QGA</t>
  </si>
  <si>
    <t>Noxx</t>
  </si>
  <si>
    <t>Walker, Sharon</t>
  </si>
  <si>
    <t>Dart, margaret</t>
  </si>
  <si>
    <t>Acre</t>
  </si>
  <si>
    <t>Yeti</t>
  </si>
  <si>
    <t>Blagdon, Jenna</t>
  </si>
  <si>
    <t>Hush</t>
  </si>
  <si>
    <t>Hunter, Amy</t>
  </si>
  <si>
    <t>Helen</t>
  </si>
  <si>
    <t>Rancourt, Nancy</t>
  </si>
  <si>
    <t>Chechulina, Daria</t>
  </si>
  <si>
    <t>Smokie</t>
  </si>
  <si>
    <t>LaRocque, Emma</t>
  </si>
  <si>
    <t>Woods, Paytonn</t>
  </si>
  <si>
    <t>Jilly</t>
  </si>
  <si>
    <t>Ward, Jackie</t>
  </si>
  <si>
    <t>Juneau</t>
  </si>
  <si>
    <t>Witch</t>
  </si>
  <si>
    <t>Miku</t>
  </si>
  <si>
    <t>Diehl, Amy</t>
  </si>
  <si>
    <t>Hodge, Shannon</t>
  </si>
  <si>
    <t>Reisle, Caralyn</t>
  </si>
  <si>
    <t>Menchenton, Denise</t>
  </si>
  <si>
    <t>CHUCHLA, STEPHANIE</t>
  </si>
  <si>
    <t>Abercrombie, Nora</t>
  </si>
  <si>
    <t>Sonsie</t>
  </si>
  <si>
    <t>Zaretski, Aiden</t>
  </si>
  <si>
    <t>Geldreich, Brittany</t>
  </si>
  <si>
    <t>Scotti</t>
  </si>
  <si>
    <t>Parkin, Lindsey</t>
  </si>
  <si>
    <t>Hansen, Meredith</t>
  </si>
  <si>
    <t>Chomps</t>
  </si>
  <si>
    <t>Gillick, Janna</t>
  </si>
  <si>
    <t>Vin</t>
  </si>
  <si>
    <t>Bird, Hannah</t>
  </si>
  <si>
    <t>Axil</t>
  </si>
  <si>
    <t>Paravalos, Katerina</t>
  </si>
  <si>
    <t>Dom</t>
  </si>
  <si>
    <t>Leger, Madeleine</t>
  </si>
  <si>
    <t>Hatherell, Jan</t>
  </si>
  <si>
    <t>Hewgill, Colleen</t>
  </si>
  <si>
    <t>O’Reilly, Mikayla</t>
  </si>
  <si>
    <t>Rock It</t>
  </si>
  <si>
    <t>Widdup, Ellen</t>
  </si>
  <si>
    <t>Jelly Bean</t>
  </si>
  <si>
    <t>Friz</t>
  </si>
  <si>
    <t>Edison</t>
  </si>
  <si>
    <t>Jones, Rachel</t>
  </si>
  <si>
    <t>Kennedy, Joellyn</t>
  </si>
  <si>
    <t>Weinmann, Jennifer</t>
  </si>
  <si>
    <t>Lindsay, Teana</t>
  </si>
  <si>
    <t>Kin</t>
  </si>
  <si>
    <t>MacInnes, Heather</t>
  </si>
  <si>
    <t>Lucia</t>
  </si>
  <si>
    <t>Brennan, Catherine</t>
  </si>
  <si>
    <t>Tree, Breanna</t>
  </si>
  <si>
    <t>Margeaux</t>
  </si>
  <si>
    <t>Gadd, Catherine</t>
  </si>
  <si>
    <t>Bradley</t>
  </si>
  <si>
    <t>Hamelin, Annick</t>
  </si>
  <si>
    <t>Tyr</t>
  </si>
  <si>
    <t>Rowe, Angel</t>
  </si>
  <si>
    <t>Carbon</t>
  </si>
  <si>
    <t>Hunt, Chantel</t>
  </si>
  <si>
    <t>Albie</t>
  </si>
  <si>
    <t>Mak, Nanette</t>
  </si>
  <si>
    <t>Anderson, Gisele</t>
  </si>
  <si>
    <t>Trial #'s may not be equal</t>
  </si>
  <si>
    <t>4214-QGD</t>
  </si>
  <si>
    <t>4214-QGS</t>
  </si>
  <si>
    <t>4580-QGD</t>
  </si>
  <si>
    <t>4829-QGA</t>
  </si>
  <si>
    <t>5139-QGA</t>
  </si>
  <si>
    <t>5302-QGA</t>
  </si>
  <si>
    <t>2653-QGT</t>
  </si>
  <si>
    <t>3005-QGT</t>
  </si>
  <si>
    <t>3407-QGD</t>
  </si>
  <si>
    <t>3715-QGS</t>
  </si>
  <si>
    <t>3845-QGA</t>
  </si>
  <si>
    <t>3845-QGD</t>
  </si>
  <si>
    <t>3845-QGT</t>
  </si>
  <si>
    <t>4072-QGA</t>
  </si>
  <si>
    <t>4072-QGD</t>
  </si>
  <si>
    <t>4072-QGS</t>
  </si>
  <si>
    <t>4711-QGA</t>
  </si>
  <si>
    <t>4711-QGD</t>
  </si>
  <si>
    <t>4884-QGD</t>
  </si>
  <si>
    <t>4884-QGT</t>
  </si>
  <si>
    <t>4893-QGT</t>
  </si>
  <si>
    <t>4950-QGA</t>
  </si>
  <si>
    <t>4950-QGD</t>
  </si>
  <si>
    <t>Tove</t>
  </si>
  <si>
    <t>TWig</t>
  </si>
  <si>
    <t>Fallon</t>
  </si>
  <si>
    <t>Tisza</t>
  </si>
  <si>
    <t>Mme Smith</t>
  </si>
  <si>
    <t>bonnie</t>
  </si>
  <si>
    <t>Kahu</t>
  </si>
  <si>
    <t>Skor</t>
  </si>
  <si>
    <t>LINE</t>
  </si>
  <si>
    <t>Navy</t>
  </si>
  <si>
    <t>Henley</t>
  </si>
  <si>
    <t>Candela</t>
  </si>
  <si>
    <t>Freja</t>
  </si>
  <si>
    <t>ENZO</t>
  </si>
  <si>
    <t>Hiccup</t>
  </si>
  <si>
    <t>Marlon</t>
  </si>
  <si>
    <t>Copper Lily</t>
  </si>
  <si>
    <t>Kramer</t>
  </si>
  <si>
    <t>Anna</t>
  </si>
  <si>
    <t>Coolio</t>
  </si>
  <si>
    <t>Crowley</t>
  </si>
  <si>
    <t>Blitzø</t>
  </si>
  <si>
    <t>Snoop</t>
  </si>
  <si>
    <t>Kaala</t>
  </si>
  <si>
    <t>Bezanson, Birdie</t>
  </si>
  <si>
    <t>Blackmore, Laura</t>
  </si>
  <si>
    <t>Bordieri, Bella</t>
  </si>
  <si>
    <t>Boucher, Teresa</t>
  </si>
  <si>
    <t>BROWN, LOIS</t>
  </si>
  <si>
    <t>Chao, Angela</t>
  </si>
  <si>
    <t>Comeau, Madeline</t>
  </si>
  <si>
    <t>Flinn, Shirley</t>
  </si>
  <si>
    <t>Fournier, Marie-France</t>
  </si>
  <si>
    <t>friesen, kimberly</t>
  </si>
  <si>
    <t>Gamache, Chantal</t>
  </si>
  <si>
    <t>Halliday, Mary-Lou</t>
  </si>
  <si>
    <t>Hlousek, Lori</t>
  </si>
  <si>
    <t>Howat, Holly</t>
  </si>
  <si>
    <t>Johnston, Shelly</t>
  </si>
  <si>
    <t>Jonasson, Jean</t>
  </si>
  <si>
    <t>Kouris, Angela</t>
  </si>
  <si>
    <t>Larsen, Adrianne</t>
  </si>
  <si>
    <t>LeBleu, Denise</t>
  </si>
  <si>
    <t>Lecours, Sandrine</t>
  </si>
  <si>
    <t>Lee, Donna</t>
  </si>
  <si>
    <t>Lombardo, Laura</t>
  </si>
  <si>
    <t>M.Wilson, Heather</t>
  </si>
  <si>
    <t>Mckay, Rachel</t>
  </si>
  <si>
    <t>Messier, Ariane</t>
  </si>
  <si>
    <t>Mountain, Jessica</t>
  </si>
  <si>
    <t>Perreault, Isabelle</t>
  </si>
  <si>
    <t>Pouliot, Sabrina</t>
  </si>
  <si>
    <t>Schachtel, Marilyn</t>
  </si>
  <si>
    <t>Seys, Christen</t>
  </si>
  <si>
    <t>Standing, Tina</t>
  </si>
  <si>
    <t>Vaughan, Natasha</t>
  </si>
  <si>
    <t>Vézina, Diane</t>
  </si>
  <si>
    <t>Whincup, Victoria</t>
  </si>
  <si>
    <t>Woodworth, Janet</t>
  </si>
  <si>
    <t>Hogan, Andrea</t>
  </si>
  <si>
    <t>1472-QGT</t>
  </si>
  <si>
    <t>2079-QGA</t>
  </si>
  <si>
    <t>3541-QGD</t>
  </si>
  <si>
    <t>3541-QGT</t>
  </si>
  <si>
    <t>3561-QGT</t>
  </si>
  <si>
    <t>4958-QGA</t>
  </si>
  <si>
    <t>4958-QGD</t>
  </si>
  <si>
    <t>4958-QGS</t>
  </si>
  <si>
    <t>5076-QGT</t>
  </si>
  <si>
    <t>5080-QGT</t>
  </si>
  <si>
    <t>5259-QGA</t>
  </si>
  <si>
    <t>5259-QGD</t>
  </si>
  <si>
    <t>5259-QGS</t>
  </si>
  <si>
    <t>5308-QGA</t>
  </si>
  <si>
    <t>1861-QGA</t>
  </si>
  <si>
    <t>1861-QGD</t>
  </si>
  <si>
    <t>1861-QGS</t>
  </si>
  <si>
    <t>1861-QGT</t>
  </si>
  <si>
    <t>2762-QGT</t>
  </si>
  <si>
    <t>2794-QGT</t>
  </si>
  <si>
    <t>4398-QGS</t>
  </si>
  <si>
    <t>4398-QGT</t>
  </si>
  <si>
    <t>4422-QGD</t>
  </si>
  <si>
    <t>4571-QGA</t>
  </si>
  <si>
    <t>4571-QGD</t>
  </si>
  <si>
    <t>4599-QGT</t>
  </si>
  <si>
    <t>4607-QGD</t>
  </si>
  <si>
    <t>4607-QGT</t>
  </si>
  <si>
    <t>4636-QGD</t>
  </si>
  <si>
    <t>4737-QGA</t>
  </si>
  <si>
    <t>4968-QGA</t>
  </si>
  <si>
    <t>5106-QGD</t>
  </si>
  <si>
    <t>5346-QGD</t>
  </si>
  <si>
    <t>Twix</t>
  </si>
  <si>
    <t>Moulet, Florence</t>
  </si>
  <si>
    <t>Delphine</t>
  </si>
  <si>
    <t>Palardy, Linda</t>
  </si>
  <si>
    <t>Beaubier, Amanda</t>
  </si>
  <si>
    <t>JuneBug</t>
  </si>
  <si>
    <t>Williams, Carrie</t>
  </si>
  <si>
    <t>Bennie</t>
  </si>
  <si>
    <t>Allan, Janney</t>
  </si>
  <si>
    <t>Gertie</t>
  </si>
  <si>
    <t>Buyting, Sarah</t>
  </si>
  <si>
    <t>Poohachoff, Kylie</t>
  </si>
  <si>
    <t>Aquilla</t>
  </si>
  <si>
    <t>Pardy, Chris</t>
  </si>
  <si>
    <t>Hutka, Julie</t>
  </si>
  <si>
    <t>Schurr, Stephanie</t>
  </si>
  <si>
    <t>Helios</t>
  </si>
  <si>
    <t>2048-QGS</t>
  </si>
  <si>
    <t>2079-QGD</t>
  </si>
  <si>
    <t>2079-QGS</t>
  </si>
  <si>
    <t>2988-QGT</t>
  </si>
  <si>
    <t>2989-QGS</t>
  </si>
  <si>
    <t>3834-QGS</t>
  </si>
  <si>
    <t>3872-QGA</t>
  </si>
  <si>
    <t>3872-QGD</t>
  </si>
  <si>
    <t>4201-QGD</t>
  </si>
  <si>
    <t>4455-QGS</t>
  </si>
  <si>
    <t>4630-QGA</t>
  </si>
  <si>
    <t>4733-QGA</t>
  </si>
  <si>
    <t>5205-QGA</t>
  </si>
  <si>
    <t>5324-QGA</t>
  </si>
  <si>
    <t>5324-QGS</t>
  </si>
  <si>
    <t>2918-QGA</t>
  </si>
  <si>
    <t>3757-QGA</t>
  </si>
  <si>
    <t>3757-QGS</t>
  </si>
  <si>
    <t>3837-QGA</t>
  </si>
  <si>
    <t>3837-QGS</t>
  </si>
  <si>
    <t>3880-QGA</t>
  </si>
  <si>
    <t>3880-QGS</t>
  </si>
  <si>
    <t>4072-QGT</t>
  </si>
  <si>
    <t>4389-QGA</t>
  </si>
  <si>
    <t>4395-QGA</t>
  </si>
  <si>
    <t>4395-QGS</t>
  </si>
  <si>
    <t>4556-QGA</t>
  </si>
  <si>
    <t>4569-QGS</t>
  </si>
  <si>
    <t>5301-QGA</t>
  </si>
  <si>
    <t>5301-QGD</t>
  </si>
  <si>
    <t>1629-QGS</t>
  </si>
  <si>
    <t>1629-QGT</t>
  </si>
  <si>
    <t>2684-QGS</t>
  </si>
  <si>
    <t>4536-QGA</t>
  </si>
  <si>
    <t>4652-QGA</t>
  </si>
  <si>
    <t>4652-QGD</t>
  </si>
  <si>
    <t>5451-QGA</t>
  </si>
  <si>
    <t>Time Aerial D1</t>
  </si>
  <si>
    <t>Time Aerial D2</t>
  </si>
  <si>
    <t>Plcmt Aerial D2</t>
  </si>
  <si>
    <t>Plcmt Aerial D1</t>
  </si>
  <si>
    <t>Time Aerial</t>
  </si>
  <si>
    <t>Plcmt Aerial</t>
  </si>
  <si>
    <t>A</t>
  </si>
  <si>
    <t>Time Distance D1</t>
  </si>
  <si>
    <t>Plcmt Distance D1</t>
  </si>
  <si>
    <t>Time Distance</t>
  </si>
  <si>
    <t>Plcmt Distance</t>
  </si>
  <si>
    <t>Time Distance D2</t>
  </si>
  <si>
    <t>Plcmt Distance D2</t>
  </si>
  <si>
    <t>Time Speed D1</t>
  </si>
  <si>
    <t>Plcmt Speed D1</t>
  </si>
  <si>
    <t>Time Speed</t>
  </si>
  <si>
    <t>Plcmt Speed</t>
  </si>
  <si>
    <t>Time Speed D2</t>
  </si>
  <si>
    <t>Plcmt Speed D2</t>
  </si>
  <si>
    <t>Time Team</t>
  </si>
  <si>
    <t>Plcmt Team</t>
  </si>
  <si>
    <t>Time Team D1</t>
  </si>
  <si>
    <t>Plcmt Team D1</t>
  </si>
  <si>
    <t>Time Team D2</t>
  </si>
  <si>
    <t>Plcmt Team D2</t>
  </si>
  <si>
    <t>Times may be entered in mm:ss.0 format.  Do not enter times for "Fail".</t>
  </si>
  <si>
    <t>If you don't use times for placements, don't bother putting them into the workbook.  We don't use them to print certificates.
To use times, follow this format: mm:ss.0
minutes - colon - seconds - period - tens of a second
If you're not interested in tens of a second, still finish the entry with ".0"</t>
  </si>
  <si>
    <t>1720-QGT</t>
  </si>
  <si>
    <t>1897-QGT</t>
  </si>
  <si>
    <t>2494-QGA</t>
  </si>
  <si>
    <t>2494-QGS</t>
  </si>
  <si>
    <t>2682-QGA</t>
  </si>
  <si>
    <t>2694-QGT</t>
  </si>
  <si>
    <t>2946-QGT</t>
  </si>
  <si>
    <t>3047-QGT</t>
  </si>
  <si>
    <t>3244-QGT</t>
  </si>
  <si>
    <t>3491-QGS</t>
  </si>
  <si>
    <t>3593-QGD</t>
  </si>
  <si>
    <t>3723-QGA</t>
  </si>
  <si>
    <t>3727-QGA</t>
  </si>
  <si>
    <t>3778-QGA</t>
  </si>
  <si>
    <t>4033-QGS</t>
  </si>
  <si>
    <t>4050-QGT</t>
  </si>
  <si>
    <t>4218-QGT</t>
  </si>
  <si>
    <t>4232-QGA</t>
  </si>
  <si>
    <t>4232-QGD</t>
  </si>
  <si>
    <t>4267-QGA</t>
  </si>
  <si>
    <t>4267-QGD</t>
  </si>
  <si>
    <t>4267-QGS</t>
  </si>
  <si>
    <t>4421-QGD</t>
  </si>
  <si>
    <t>4421-QGS</t>
  </si>
  <si>
    <t>4482-QGA</t>
  </si>
  <si>
    <t>4630-QGD</t>
  </si>
  <si>
    <t>4647-QGA</t>
  </si>
  <si>
    <t>4694-QGA</t>
  </si>
  <si>
    <t>4706-QGD</t>
  </si>
  <si>
    <t>4726-QGA</t>
  </si>
  <si>
    <t>4726-QGS</t>
  </si>
  <si>
    <t>4749-QGA</t>
  </si>
  <si>
    <t>4763-QGD</t>
  </si>
  <si>
    <t>4794-QGA</t>
  </si>
  <si>
    <t>4839-QGD</t>
  </si>
  <si>
    <t>4882-QGA</t>
  </si>
  <si>
    <t>4882-QGD</t>
  </si>
  <si>
    <t>4965-QGD</t>
  </si>
  <si>
    <t>4981-QGD</t>
  </si>
  <si>
    <t>5073-QGD</t>
  </si>
  <si>
    <t>5080-QGA</t>
  </si>
  <si>
    <t>5080-QGS</t>
  </si>
  <si>
    <t>5113-QGD</t>
  </si>
  <si>
    <t>5136-QGA</t>
  </si>
  <si>
    <t>5211-QGD</t>
  </si>
  <si>
    <t>5334-QGA</t>
  </si>
  <si>
    <t>5334-QGD</t>
  </si>
  <si>
    <t>5354-QGA</t>
  </si>
  <si>
    <t>5354-QGS</t>
  </si>
  <si>
    <t>5429-QGA</t>
  </si>
  <si>
    <t>5446-QGA</t>
  </si>
  <si>
    <t>912-QGS</t>
  </si>
  <si>
    <t>987-QGA</t>
  </si>
  <si>
    <t>Helwer, Sherry</t>
  </si>
  <si>
    <t>Imeson, Kristina</t>
  </si>
  <si>
    <t>Dupuis, Donna</t>
  </si>
  <si>
    <t>Topaz</t>
  </si>
  <si>
    <t>Toffee</t>
  </si>
  <si>
    <t>McKnight, Carly</t>
  </si>
  <si>
    <t>Bekarek, Petra</t>
  </si>
  <si>
    <t>Budden, Rachel</t>
  </si>
  <si>
    <t>Bourassa, Lise</t>
  </si>
  <si>
    <t>Zoë</t>
  </si>
  <si>
    <t>Pedro</t>
  </si>
  <si>
    <t>Ross, Roxanne</t>
  </si>
  <si>
    <t>Dorjee</t>
  </si>
  <si>
    <t>Hughes, Sheila</t>
  </si>
  <si>
    <t>Bush, Becky</t>
  </si>
  <si>
    <t>Falconer, Caroline</t>
  </si>
  <si>
    <t>Boulstridge, Marion</t>
  </si>
  <si>
    <t>LePoidevin, Kimberley</t>
  </si>
  <si>
    <t>Holland, Carolyn</t>
  </si>
  <si>
    <t>Martin, Ashley</t>
  </si>
  <si>
    <t>Richer, Camay</t>
  </si>
  <si>
    <t>Taffy</t>
  </si>
  <si>
    <t>Martel, Jessica</t>
  </si>
  <si>
    <t>Sharpe, Lauralee</t>
  </si>
  <si>
    <t>Mitchell, Wendy</t>
  </si>
  <si>
    <t>honey</t>
  </si>
  <si>
    <t>MCcuaig, Sandra</t>
  </si>
  <si>
    <t>Fiadh</t>
  </si>
  <si>
    <t>Dommer, Sonja</t>
  </si>
  <si>
    <t>Baxter</t>
  </si>
  <si>
    <t>Brant, K</t>
  </si>
  <si>
    <t>Unrecognized dogs are caused by manual entry of the dog's name or by removal of the formula that retrieves the dog's name ( = deleting the cell contents).  Try to avoid both!</t>
  </si>
  <si>
    <t>2268-QGT</t>
  </si>
  <si>
    <t>2779-QGS</t>
  </si>
  <si>
    <t>2991-QGT</t>
  </si>
  <si>
    <t>3016-QGS</t>
  </si>
  <si>
    <t>3130-QGS</t>
  </si>
  <si>
    <t>3908-QGA</t>
  </si>
  <si>
    <t>4328-QGD</t>
  </si>
  <si>
    <t>4367-QGA</t>
  </si>
  <si>
    <t>4411-QGS</t>
  </si>
  <si>
    <t>4443-QGA</t>
  </si>
  <si>
    <t>4443-QGD</t>
  </si>
  <si>
    <t>4509-QGA</t>
  </si>
  <si>
    <t>4509-QGD</t>
  </si>
  <si>
    <t>4560-QGA</t>
  </si>
  <si>
    <t>4923-QGD</t>
  </si>
  <si>
    <t>5166-QGA</t>
  </si>
  <si>
    <t>5166-QGD</t>
  </si>
  <si>
    <t>5188-QGA</t>
  </si>
  <si>
    <t>5301-QGT</t>
  </si>
  <si>
    <t>5410-QGA</t>
  </si>
  <si>
    <t>5416-QGA</t>
  </si>
  <si>
    <t>5460-QGA</t>
  </si>
  <si>
    <t>5492-QGA</t>
  </si>
  <si>
    <t>4356-QGT</t>
  </si>
  <si>
    <t>4420-QGT</t>
  </si>
  <si>
    <t>4432-QGA</t>
  </si>
  <si>
    <t>4432-QGD</t>
  </si>
  <si>
    <t>4435-QGT</t>
  </si>
  <si>
    <t>4519-QGA</t>
  </si>
  <si>
    <t>4778-QGT</t>
  </si>
  <si>
    <t>5033-QGD</t>
  </si>
  <si>
    <t>5095-QGA</t>
  </si>
  <si>
    <t>5095-QGD</t>
  </si>
  <si>
    <t>5260-QGA</t>
  </si>
  <si>
    <t>5260-QGD</t>
  </si>
  <si>
    <t>5517-QGA</t>
  </si>
  <si>
    <t>5517-QGD</t>
  </si>
  <si>
    <t>Jamie</t>
  </si>
  <si>
    <t>BRODIE, SANDRA</t>
  </si>
  <si>
    <t>Galera Camacho, Juniella Joy</t>
  </si>
  <si>
    <t>Burke, Andy</t>
  </si>
  <si>
    <t>Kajin</t>
  </si>
  <si>
    <t>Courage, Donna</t>
  </si>
  <si>
    <t>Ehle, Mary</t>
  </si>
  <si>
    <t>Dougie</t>
  </si>
  <si>
    <t>Lutz, Kendra</t>
  </si>
  <si>
    <t>Gerry</t>
  </si>
  <si>
    <t>Wallaby</t>
  </si>
  <si>
    <t>Reid, Amy</t>
  </si>
  <si>
    <t>Jeb</t>
  </si>
  <si>
    <t>Stoddart, Patricia</t>
  </si>
  <si>
    <t>Gold</t>
  </si>
  <si>
    <t>Hariton, Claude</t>
  </si>
  <si>
    <t>DUPON, KATHLEEN</t>
  </si>
  <si>
    <t>Dunic, Irene</t>
  </si>
  <si>
    <t>Paddington Bear</t>
  </si>
  <si>
    <t>Brown, Joel</t>
  </si>
  <si>
    <t>Asa</t>
  </si>
  <si>
    <t>Scanlon, Taylor</t>
  </si>
  <si>
    <t>Euler, Kayla</t>
  </si>
  <si>
    <t>Comtois, Remi</t>
  </si>
  <si>
    <t>Miro</t>
  </si>
  <si>
    <t>Curry</t>
  </si>
  <si>
    <t>Vie-Va</t>
  </si>
  <si>
    <t>Eily</t>
  </si>
  <si>
    <t>Freel, Ashley</t>
  </si>
  <si>
    <t>Mara</t>
  </si>
  <si>
    <t>Dillon, Ariel</t>
  </si>
  <si>
    <t>PUZZLE</t>
  </si>
  <si>
    <t>Ouellet, Christine</t>
  </si>
  <si>
    <t>Barry, Madison</t>
  </si>
  <si>
    <t>Bevan, Hannah</t>
  </si>
  <si>
    <t>Roma</t>
  </si>
  <si>
    <t>Korva, Natasha</t>
  </si>
  <si>
    <t>Jaxen</t>
  </si>
  <si>
    <t>Veldman, Amanda</t>
  </si>
  <si>
    <t>Higo, Amanda</t>
  </si>
  <si>
    <t>Christensen, Amanda</t>
  </si>
  <si>
    <t>MATIC, JELENA</t>
  </si>
  <si>
    <t>Trueman, Jennifer</t>
  </si>
  <si>
    <t>Phelan, Maddisen</t>
  </si>
  <si>
    <t>Josephine</t>
  </si>
  <si>
    <t>Allain, Wendy</t>
  </si>
  <si>
    <t>Steers, Crystal</t>
  </si>
  <si>
    <t>Palmer, Stefanie</t>
  </si>
  <si>
    <t>Middleton, Linda</t>
  </si>
  <si>
    <t>Boisvert, Tamara</t>
  </si>
  <si>
    <t>Cameron-Day, Sue</t>
  </si>
  <si>
    <t>Drama</t>
  </si>
  <si>
    <t>Goulet, Eve-Lyne</t>
  </si>
  <si>
    <t>Brett</t>
  </si>
  <si>
    <t>Nya</t>
  </si>
  <si>
    <t>Vallée, Sandra</t>
  </si>
  <si>
    <t>Morkem, Rachael</t>
  </si>
  <si>
    <t>McCullough, Jeff</t>
  </si>
  <si>
    <t>Dowker, Marg</t>
  </si>
  <si>
    <t>Velocity</t>
  </si>
  <si>
    <t>Brooks Earley, Karen</t>
  </si>
  <si>
    <t>Brooks</t>
  </si>
  <si>
    <t>Ross, Stephanie</t>
  </si>
  <si>
    <t>Perfect, Jan</t>
  </si>
  <si>
    <t>Zoë Jane</t>
  </si>
  <si>
    <t>MacKenzie, Jennifer</t>
  </si>
  <si>
    <t>Timmy</t>
  </si>
  <si>
    <t>Suen, Wilma</t>
  </si>
  <si>
    <t>mcclelland, sharon</t>
  </si>
  <si>
    <t>Otto</t>
  </si>
  <si>
    <t>Carrière, Audrey</t>
  </si>
  <si>
    <t>Vivian, Tanya</t>
  </si>
  <si>
    <t>Merrick, Bev</t>
  </si>
  <si>
    <t>Clio</t>
  </si>
  <si>
    <t>Mosher, Melanie</t>
  </si>
  <si>
    <t>Hannigan, Bianca</t>
  </si>
  <si>
    <t>Watson, Louise</t>
  </si>
  <si>
    <t>Oulton, Amy</t>
  </si>
  <si>
    <t>Pelc, Karolina</t>
  </si>
  <si>
    <t>Sherwood-Janetka, Michaela</t>
  </si>
  <si>
    <t>Matcha</t>
  </si>
  <si>
    <t>Sirett, Sylvia</t>
  </si>
  <si>
    <t>Bauman, Linda</t>
  </si>
  <si>
    <t>Yoshi</t>
  </si>
  <si>
    <t>Jackson, Tianna</t>
  </si>
  <si>
    <t>Tavi</t>
  </si>
  <si>
    <t>Pandora</t>
  </si>
  <si>
    <t>Redford, Maralyn</t>
  </si>
  <si>
    <t>Cheng, Audrey</t>
  </si>
  <si>
    <t>Powell, Jill</t>
  </si>
  <si>
    <t>Sohal, Raman</t>
  </si>
  <si>
    <t>Fey</t>
  </si>
  <si>
    <t>Gamble, Ryan</t>
  </si>
  <si>
    <t>Beetlejuice</t>
  </si>
  <si>
    <t>Dan Flashes</t>
  </si>
  <si>
    <t>ERIN, Kate</t>
  </si>
  <si>
    <t>Jesús</t>
  </si>
  <si>
    <t>Leman, Christine</t>
  </si>
  <si>
    <t>Kiara</t>
  </si>
  <si>
    <t>1187-QGA</t>
  </si>
  <si>
    <t>1187-QGD</t>
  </si>
  <si>
    <t>1187-QGS</t>
  </si>
  <si>
    <t>1187-QGT</t>
  </si>
  <si>
    <t>1465-QGA</t>
  </si>
  <si>
    <t>1465-QGD</t>
  </si>
  <si>
    <t>1465-QGT</t>
  </si>
  <si>
    <t>2702-QGS</t>
  </si>
  <si>
    <t>3409-QGA</t>
  </si>
  <si>
    <t>3409-QGD</t>
  </si>
  <si>
    <t>3409-QGT</t>
  </si>
  <si>
    <t>4669-QGS</t>
  </si>
  <si>
    <t>4801-QGA</t>
  </si>
  <si>
    <t>5132-QGS</t>
  </si>
  <si>
    <t>5141-QGD</t>
  </si>
  <si>
    <t>5163-QGD</t>
  </si>
  <si>
    <t>5449-QGA</t>
  </si>
  <si>
    <t>5449-QGD</t>
  </si>
  <si>
    <t>5449-QGT</t>
  </si>
  <si>
    <t>5575-QGD</t>
  </si>
  <si>
    <t>Last Dog ID</t>
  </si>
  <si>
    <t>VanRennes, Michaela</t>
  </si>
  <si>
    <t>Da Silva, Katie</t>
  </si>
  <si>
    <t>Douglas Charanduk, Jane</t>
  </si>
  <si>
    <t>Campbell, Stacey</t>
  </si>
  <si>
    <t>Lizzy</t>
  </si>
  <si>
    <t>Brooks, Maxine</t>
  </si>
  <si>
    <t>Kiera</t>
  </si>
  <si>
    <t>Roberge, France</t>
  </si>
  <si>
    <t>Cooper, Sheri</t>
  </si>
  <si>
    <t>Padme</t>
  </si>
  <si>
    <t>Gronberg, Marita</t>
  </si>
  <si>
    <t>Gagnon, Sophie</t>
  </si>
  <si>
    <t>Peters, Michelle</t>
  </si>
  <si>
    <t>koen</t>
  </si>
  <si>
    <t>hunter, betty</t>
  </si>
  <si>
    <t>Harvard</t>
  </si>
  <si>
    <t>Darling, Kathryn</t>
  </si>
  <si>
    <t>Chung, Christine</t>
  </si>
  <si>
    <t>Cohen, Jessica</t>
  </si>
  <si>
    <t>Kelby</t>
  </si>
  <si>
    <t>Twamley, Kathy</t>
  </si>
  <si>
    <t>Orich, Sherry</t>
  </si>
  <si>
    <t>loki</t>
  </si>
  <si>
    <t>Strong, Justin</t>
  </si>
  <si>
    <t>Sabi</t>
  </si>
  <si>
    <t>Faymiss</t>
  </si>
  <si>
    <t>Nori</t>
  </si>
  <si>
    <t>Milly</t>
  </si>
  <si>
    <t>Desroches, Dianne</t>
  </si>
  <si>
    <t>Foster, Cheryl</t>
  </si>
  <si>
    <t>Bondre, Monica</t>
  </si>
  <si>
    <t>Hart, Amanda</t>
  </si>
  <si>
    <t>Lawson, Jessica</t>
  </si>
  <si>
    <t>Reeves, Nancy</t>
  </si>
  <si>
    <t>Caia</t>
  </si>
  <si>
    <t>PKC</t>
  </si>
  <si>
    <t>Weisenberg, Kim</t>
  </si>
  <si>
    <t>Hollohan, Debbie</t>
  </si>
  <si>
    <t>Kelly, Katherine</t>
  </si>
  <si>
    <t>VEEHNA</t>
  </si>
  <si>
    <t>Moore, joan</t>
  </si>
  <si>
    <t>Dezzy</t>
  </si>
  <si>
    <t>Bailey, Alexander</t>
  </si>
  <si>
    <t>Hotshot Hamish</t>
  </si>
  <si>
    <t>Flight, Alissa</t>
  </si>
  <si>
    <t>Atkins, Wendy</t>
  </si>
  <si>
    <t>1055-QGS</t>
  </si>
  <si>
    <t>3541-QGS</t>
  </si>
  <si>
    <t>3666-QGA</t>
  </si>
  <si>
    <t>3666-QGD</t>
  </si>
  <si>
    <t>3666-QGS</t>
  </si>
  <si>
    <t>4641-QGA</t>
  </si>
  <si>
    <t>4641-QGD</t>
  </si>
  <si>
    <t>4839-QGS</t>
  </si>
  <si>
    <t>4874-QGD</t>
  </si>
  <si>
    <t>American Hairless Terrier</t>
  </si>
  <si>
    <t>Cera, Maureen</t>
  </si>
  <si>
    <t>Blanche neige</t>
  </si>
  <si>
    <t>Lamarre, Murielle</t>
  </si>
  <si>
    <t>Jeanne</t>
  </si>
  <si>
    <t>4007-QGD</t>
  </si>
  <si>
    <t>4290-QGS</t>
  </si>
  <si>
    <t>5247-QGA</t>
  </si>
  <si>
    <t>5247-QGD</t>
  </si>
  <si>
    <t>5347-QGA</t>
  </si>
  <si>
    <t>5517-QGS</t>
  </si>
  <si>
    <t>5582-QGA</t>
  </si>
  <si>
    <t>Berty</t>
  </si>
  <si>
    <t>Hotson, Rachel</t>
  </si>
  <si>
    <t>Orvis, Karlee</t>
  </si>
  <si>
    <t>Bellmore, Sherri</t>
  </si>
  <si>
    <t>Ryka</t>
  </si>
  <si>
    <t>Rathwell, Megan</t>
  </si>
  <si>
    <t>Kahlua</t>
  </si>
  <si>
    <t>Mancini, Danielle</t>
  </si>
  <si>
    <t>Alizée</t>
  </si>
  <si>
    <t>macDonald, Lori</t>
  </si>
  <si>
    <t>Gatsby</t>
  </si>
  <si>
    <t>McKillop, Emily</t>
  </si>
  <si>
    <t>Ronnie</t>
  </si>
  <si>
    <t>Fergie</t>
  </si>
  <si>
    <t>Bodnarchuk, Stephanie</t>
  </si>
  <si>
    <t>Jackson, Lily</t>
  </si>
  <si>
    <t>Barrett, Rita</t>
  </si>
  <si>
    <t>Amirault, Bonita</t>
  </si>
  <si>
    <t>Lochlainn</t>
  </si>
  <si>
    <t>Sparrow, Sandie</t>
  </si>
  <si>
    <t>MacAulay, Hilary</t>
  </si>
  <si>
    <t>Waldal, Amy</t>
  </si>
  <si>
    <t>Zimmer, Michelle</t>
  </si>
  <si>
    <t>Stevens, Cathy</t>
  </si>
  <si>
    <t>Kirby</t>
  </si>
  <si>
    <t>Germon, Petra</t>
  </si>
  <si>
    <t>Smokey</t>
  </si>
  <si>
    <t>1612-QGS</t>
  </si>
  <si>
    <t>2494-QGD</t>
  </si>
  <si>
    <t>3202-QGS</t>
  </si>
  <si>
    <t>3304-QGA</t>
  </si>
  <si>
    <t>3719-QGD</t>
  </si>
  <si>
    <t>3719-QGS</t>
  </si>
  <si>
    <t>3755-QGS</t>
  </si>
  <si>
    <t>3837-QGD</t>
  </si>
  <si>
    <t>3840-QGS</t>
  </si>
  <si>
    <t>4113-QGS</t>
  </si>
  <si>
    <t>4377-QGD</t>
  </si>
  <si>
    <t>4652-QGT</t>
  </si>
  <si>
    <t>4853-QGA</t>
  </si>
  <si>
    <t>4853-QGT</t>
  </si>
  <si>
    <t>4882-QGS</t>
  </si>
  <si>
    <t>5319-QGA</t>
  </si>
  <si>
    <t>5319-QGD</t>
  </si>
  <si>
    <t>5409-QGD</t>
  </si>
  <si>
    <t>Chalifoux, Rosalie</t>
  </si>
  <si>
    <t>Heuchan, Evan</t>
  </si>
  <si>
    <t>Leighra</t>
  </si>
  <si>
    <t>Neily, Lori</t>
  </si>
  <si>
    <t>Browne, Terri</t>
  </si>
  <si>
    <t>Ulmer, Jessica</t>
  </si>
  <si>
    <t>Gritzby</t>
  </si>
  <si>
    <t>MacKenzie, Marilyn</t>
  </si>
  <si>
    <t>MICHIELS, PATSY</t>
  </si>
  <si>
    <t>Mossman, Andrea</t>
  </si>
  <si>
    <t>Finette</t>
  </si>
  <si>
    <t>Rioux</t>
  </si>
  <si>
    <t>Wardlaw, Tina</t>
  </si>
  <si>
    <t>Dixon, Sandi</t>
  </si>
  <si>
    <t>Dionne, Samuel</t>
  </si>
  <si>
    <t>Chossy</t>
  </si>
  <si>
    <t>Brummelhuis, Lacey</t>
  </si>
  <si>
    <t>Toffoli, Stephanie</t>
  </si>
  <si>
    <t>Fancy Pants</t>
  </si>
  <si>
    <t>Bjorn</t>
  </si>
  <si>
    <t>Taylor, Amy</t>
  </si>
  <si>
    <t>Lilly</t>
  </si>
  <si>
    <t>Perry, Brittany</t>
  </si>
  <si>
    <t>Jodi</t>
  </si>
  <si>
    <t>Morris, Rosalie</t>
  </si>
  <si>
    <t>3871-QGT</t>
  </si>
  <si>
    <t>4272-QGS</t>
  </si>
  <si>
    <t>5638-QGA</t>
  </si>
  <si>
    <t>1200-QGT</t>
  </si>
  <si>
    <t>2303-QGD</t>
  </si>
  <si>
    <t>2303-QGS</t>
  </si>
  <si>
    <t>2525-QGA</t>
  </si>
  <si>
    <t>2918-QGD</t>
  </si>
  <si>
    <t>3304-QGD</t>
  </si>
  <si>
    <t>3383-QGD</t>
  </si>
  <si>
    <t>3383-QGS</t>
  </si>
  <si>
    <t>3437-QGD</t>
  </si>
  <si>
    <t>3467-QGA</t>
  </si>
  <si>
    <t>3467-QGD</t>
  </si>
  <si>
    <t>3639-QGA</t>
  </si>
  <si>
    <t>3639-QGD</t>
  </si>
  <si>
    <t>3663-QGT</t>
  </si>
  <si>
    <t>3830-QGT</t>
  </si>
  <si>
    <t>3831-QGD</t>
  </si>
  <si>
    <t>3831-QGT</t>
  </si>
  <si>
    <t>3833-QGD</t>
  </si>
  <si>
    <t>3998-QGT</t>
  </si>
  <si>
    <t>4133-QGA</t>
  </si>
  <si>
    <t>4133-QGD</t>
  </si>
  <si>
    <t>4133-QGT</t>
  </si>
  <si>
    <t>4148-QGT</t>
  </si>
  <si>
    <t>4174-QGA</t>
  </si>
  <si>
    <t>4186-QGD</t>
  </si>
  <si>
    <t>4389-QGD</t>
  </si>
  <si>
    <t>4389-QGS</t>
  </si>
  <si>
    <t>4395-QGD</t>
  </si>
  <si>
    <t>4569-QGD</t>
  </si>
  <si>
    <t>4580-QGA</t>
  </si>
  <si>
    <t>4679-QGT</t>
  </si>
  <si>
    <t>4824-QGD</t>
  </si>
  <si>
    <t>5409-QGA</t>
  </si>
  <si>
    <t>5447-QGD</t>
  </si>
  <si>
    <t>5570-QGA</t>
  </si>
  <si>
    <t>5583-QGD</t>
  </si>
  <si>
    <t>665-QGA</t>
  </si>
  <si>
    <t>665-QGT</t>
  </si>
  <si>
    <t>Kozyra, Anna</t>
  </si>
  <si>
    <t>Labrecque, Guylaine</t>
  </si>
  <si>
    <t>Grant, Jessica</t>
  </si>
  <si>
    <t>McCoy, Anisa</t>
  </si>
  <si>
    <t>O'Callaghan, Tanya</t>
  </si>
  <si>
    <t>Viggo</t>
  </si>
  <si>
    <t>Estabrooks, Karri Lea</t>
  </si>
  <si>
    <t>Huot, Christine</t>
  </si>
  <si>
    <t>Fair, Stefanie</t>
  </si>
  <si>
    <t>Uhana</t>
  </si>
  <si>
    <t>Monchaux, Jérémy</t>
  </si>
  <si>
    <t>HARPER</t>
  </si>
  <si>
    <t>Greey, Jan</t>
  </si>
  <si>
    <t>Longpre, Catherine</t>
  </si>
  <si>
    <t>Ulla</t>
  </si>
  <si>
    <t>Styler, Sarah</t>
  </si>
  <si>
    <t>Tars</t>
  </si>
  <si>
    <t>Henry, Emily</t>
  </si>
  <si>
    <t>Liu, Xiaoyun</t>
  </si>
  <si>
    <t>Ailyn</t>
  </si>
  <si>
    <t>Ottewell, Kelsey</t>
  </si>
  <si>
    <t>Lake, Dwaine</t>
  </si>
  <si>
    <t>Campbell, Leigh</t>
  </si>
  <si>
    <t>Marlo</t>
  </si>
  <si>
    <t>Bannerman, Lana</t>
  </si>
  <si>
    <t>Caumartin, Cris</t>
  </si>
  <si>
    <t>Milne, Renee</t>
  </si>
  <si>
    <t>Niko</t>
  </si>
  <si>
    <t>Mackenzie, Sarah</t>
  </si>
  <si>
    <t>Cruz Virgilio, Carolina</t>
  </si>
  <si>
    <t>Holenchuk, Shanon</t>
  </si>
  <si>
    <t>Osbourne, Jessica</t>
  </si>
  <si>
    <t>Nana</t>
  </si>
  <si>
    <t>Suga, Sean</t>
  </si>
  <si>
    <t>RIELY</t>
  </si>
  <si>
    <t>Hunwicks, Susan</t>
  </si>
  <si>
    <t>Fox Terrier (Wire)</t>
  </si>
  <si>
    <t>Durocher, Marie-Christine</t>
  </si>
  <si>
    <t>Froggy</t>
  </si>
  <si>
    <t>Heuman, Barbara</t>
  </si>
  <si>
    <t>Tetra</t>
  </si>
  <si>
    <t>Kelly, Kaelan</t>
  </si>
  <si>
    <t>Tui</t>
  </si>
  <si>
    <t>Baker, Nicole</t>
  </si>
  <si>
    <t>Harvey, Lindsay</t>
  </si>
  <si>
    <t>O’Neill, Alyssa</t>
  </si>
  <si>
    <t>4352-QGD</t>
  </si>
  <si>
    <t>4378-QGA</t>
  </si>
  <si>
    <t>4378-QGD</t>
  </si>
  <si>
    <t>4378-QGS</t>
  </si>
  <si>
    <t>4435-QGS</t>
  </si>
  <si>
    <t>4872-QGT</t>
  </si>
  <si>
    <t>4874-QGS</t>
  </si>
  <si>
    <t>4887-QGS</t>
  </si>
  <si>
    <t>5059-QGS</t>
  </si>
  <si>
    <t>5187-QGA</t>
  </si>
  <si>
    <t>5187-QGD</t>
  </si>
  <si>
    <t>5404-QGA</t>
  </si>
  <si>
    <t>886-QGA</t>
  </si>
  <si>
    <t>886-QGD</t>
  </si>
  <si>
    <t>886-QGS</t>
  </si>
  <si>
    <t>Road Runner</t>
  </si>
  <si>
    <t>Monette, Annie</t>
  </si>
  <si>
    <t>Shaw, Sarah</t>
  </si>
  <si>
    <t>MAY</t>
  </si>
  <si>
    <t>Tremblay, Vanessa</t>
  </si>
  <si>
    <t>Bisl</t>
  </si>
  <si>
    <t>Skolnick, Susan</t>
  </si>
  <si>
    <t>Zazou</t>
  </si>
  <si>
    <t>Choquette, Lyne</t>
  </si>
  <si>
    <t>Victorino, Brittany</t>
  </si>
  <si>
    <t>Vena, Charmaine</t>
  </si>
  <si>
    <t>Eddy</t>
  </si>
  <si>
    <t>MacPherson, Kendra</t>
  </si>
  <si>
    <t>Citrouille</t>
  </si>
  <si>
    <t>Godin, Angelique</t>
  </si>
  <si>
    <t>Silgalyte, Sigita</t>
  </si>
  <si>
    <t>Luther</t>
  </si>
  <si>
    <t>Fauna</t>
  </si>
  <si>
    <t>Pittana, Denise</t>
  </si>
  <si>
    <t>Ross, Uli</t>
  </si>
  <si>
    <t>Lam, Tiffany</t>
  </si>
  <si>
    <t>Sulo</t>
  </si>
  <si>
    <t>Ovaska, Kristiina</t>
  </si>
  <si>
    <t>Aili</t>
  </si>
  <si>
    <t>Rome</t>
  </si>
  <si>
    <t>Cook, Carolyne</t>
  </si>
  <si>
    <t>Desmond</t>
  </si>
  <si>
    <t>Saber</t>
  </si>
  <si>
    <t>Jones, Crystle</t>
  </si>
  <si>
    <t>1537-QGT</t>
  </si>
  <si>
    <t>2921-QGA</t>
  </si>
  <si>
    <t>2921-QGD</t>
  </si>
  <si>
    <t>3027-QGS</t>
  </si>
  <si>
    <t>3657-QGS</t>
  </si>
  <si>
    <t>4007-QGA</t>
  </si>
  <si>
    <t>4007-QGT</t>
  </si>
  <si>
    <t>4272-QGT</t>
  </si>
  <si>
    <t>4291-QGA</t>
  </si>
  <si>
    <t>4303-QGS</t>
  </si>
  <si>
    <t>4303-QGT</t>
  </si>
  <si>
    <t>5347-QGD</t>
  </si>
  <si>
    <t>Bexie</t>
  </si>
  <si>
    <t>Ashmore, Tosha</t>
  </si>
  <si>
    <t>Malcolm, Jessica</t>
  </si>
  <si>
    <t>bubbaloo</t>
  </si>
  <si>
    <t>Guild, Tracy</t>
  </si>
  <si>
    <t>Collin, Laura</t>
  </si>
  <si>
    <t>Tessie</t>
  </si>
  <si>
    <t>Medforth, Sharon</t>
  </si>
  <si>
    <t>Calahoo, Céline</t>
  </si>
  <si>
    <t>Rowan, Gail</t>
  </si>
  <si>
    <t>Kaiya</t>
  </si>
  <si>
    <t>Lenngren, Malin</t>
  </si>
  <si>
    <t>McNulty, Maureen</t>
  </si>
  <si>
    <t>Brackley</t>
  </si>
  <si>
    <t>Porter, Sandra</t>
  </si>
  <si>
    <t>IRIS</t>
  </si>
  <si>
    <t>DYNAMITE!</t>
  </si>
  <si>
    <t>Ruko</t>
  </si>
  <si>
    <t>Biggs</t>
  </si>
  <si>
    <t>1063-QGD</t>
  </si>
  <si>
    <t>1063-QGT</t>
  </si>
  <si>
    <t>1947-QGS</t>
  </si>
  <si>
    <t>2575-QGA</t>
  </si>
  <si>
    <t>2596-QGD</t>
  </si>
  <si>
    <t>2938-QGA</t>
  </si>
  <si>
    <t>3104-QGT</t>
  </si>
  <si>
    <t>3213-QGD</t>
  </si>
  <si>
    <t>3732-QGS</t>
  </si>
  <si>
    <t>3738-QGA</t>
  </si>
  <si>
    <t>3760-QGS</t>
  </si>
  <si>
    <t>3779-QGA</t>
  </si>
  <si>
    <t>3779-QGD</t>
  </si>
  <si>
    <t>3779-QGT</t>
  </si>
  <si>
    <t>3896-QGS</t>
  </si>
  <si>
    <t>3990-QGA</t>
  </si>
  <si>
    <t>4240-QGA</t>
  </si>
  <si>
    <t>4240-QGS</t>
  </si>
  <si>
    <t>4296-QGA</t>
  </si>
  <si>
    <t>4296-QGD</t>
  </si>
  <si>
    <t>4310-QGA</t>
  </si>
  <si>
    <t>4459-QGA</t>
  </si>
  <si>
    <t>4562-QGS</t>
  </si>
  <si>
    <t>4582-QGT</t>
  </si>
  <si>
    <t>4738-QGD</t>
  </si>
  <si>
    <t>4761-QGA</t>
  </si>
  <si>
    <t>4761-QGD</t>
  </si>
  <si>
    <t>4870-QGT</t>
  </si>
  <si>
    <t>4918-QGD</t>
  </si>
  <si>
    <t>4944-QGA</t>
  </si>
  <si>
    <t>5396-QGA</t>
  </si>
  <si>
    <t>5468-QGA</t>
  </si>
  <si>
    <t>5526-QGA</t>
  </si>
  <si>
    <t>5526-QGD</t>
  </si>
  <si>
    <t>853-QGA</t>
  </si>
  <si>
    <t>LaHaye, Guy</t>
  </si>
  <si>
    <t>LaHaye, Guy and Carol</t>
  </si>
  <si>
    <t>1280-QGS</t>
  </si>
  <si>
    <t>1281-QGD</t>
  </si>
  <si>
    <t>2551-QGT</t>
  </si>
  <si>
    <t>2643-QGS</t>
  </si>
  <si>
    <t>2946-QGS</t>
  </si>
  <si>
    <t>2992-QGD</t>
  </si>
  <si>
    <t>3320-QGA</t>
  </si>
  <si>
    <t>3320-QGD</t>
  </si>
  <si>
    <t>3320-QGS</t>
  </si>
  <si>
    <t>3321-QGA</t>
  </si>
  <si>
    <t>3321-QGS</t>
  </si>
  <si>
    <t>3496-QGT</t>
  </si>
  <si>
    <t>3680-QGT</t>
  </si>
  <si>
    <t>3710-QGA</t>
  </si>
  <si>
    <t>3710-QGD</t>
  </si>
  <si>
    <t>3710-QGS</t>
  </si>
  <si>
    <t>3727-QGS</t>
  </si>
  <si>
    <t>3727-QGT</t>
  </si>
  <si>
    <t>3728-QGD</t>
  </si>
  <si>
    <t>3810-QGA</t>
  </si>
  <si>
    <t>3810-QGD</t>
  </si>
  <si>
    <t>4048-QGT</t>
  </si>
  <si>
    <t>4213-QGT</t>
  </si>
  <si>
    <t>4238-QGS</t>
  </si>
  <si>
    <t>4249-QGA</t>
  </si>
  <si>
    <t>4277-QGA</t>
  </si>
  <si>
    <t>4277-QGD</t>
  </si>
  <si>
    <t>4312-QGT</t>
  </si>
  <si>
    <t>4317-QGD</t>
  </si>
  <si>
    <t>4317-QGT</t>
  </si>
  <si>
    <t>4323-QGA</t>
  </si>
  <si>
    <t>4323-QGD</t>
  </si>
  <si>
    <t>4392-QGD</t>
  </si>
  <si>
    <t>4392-QGS</t>
  </si>
  <si>
    <t>4392-QGT</t>
  </si>
  <si>
    <t>4505-QGA</t>
  </si>
  <si>
    <t>4505-QGD</t>
  </si>
  <si>
    <t>4541-QGT</t>
  </si>
  <si>
    <t>4600-QGA</t>
  </si>
  <si>
    <t>4600-QGD</t>
  </si>
  <si>
    <t>4600-QGS</t>
  </si>
  <si>
    <t>4605-QGA</t>
  </si>
  <si>
    <t>4656-QGD</t>
  </si>
  <si>
    <t>4839-QGA</t>
  </si>
  <si>
    <t>4839-QGT</t>
  </si>
  <si>
    <t>4901-QGD</t>
  </si>
  <si>
    <t>5199-QGA</t>
  </si>
  <si>
    <t>5199-QGD</t>
  </si>
  <si>
    <t>5379-QGA</t>
  </si>
  <si>
    <t>5379-QGD</t>
  </si>
  <si>
    <t>5396-QGD</t>
  </si>
  <si>
    <t>5413-QGA</t>
  </si>
  <si>
    <t>5413-QGD</t>
  </si>
  <si>
    <t>5414-QGD</t>
  </si>
  <si>
    <t>5502-QGA</t>
  </si>
  <si>
    <t>5502-QGD</t>
  </si>
  <si>
    <t>5516-QGD</t>
  </si>
  <si>
    <t>5718-QGA</t>
  </si>
  <si>
    <t>5718-QGD</t>
  </si>
  <si>
    <t>886-QGT</t>
  </si>
  <si>
    <t>Kerr, Sam</t>
  </si>
  <si>
    <t>Couture Saveloy MS</t>
  </si>
  <si>
    <t>Mellanby, Rachelle</t>
  </si>
  <si>
    <t>Revy</t>
  </si>
  <si>
    <t>Penney, Crystal</t>
  </si>
  <si>
    <t>Luci</t>
  </si>
  <si>
    <t>Butt, Dana</t>
  </si>
  <si>
    <t>Ellis, Sheryl</t>
  </si>
  <si>
    <t>Rae, K. Alyssa</t>
  </si>
  <si>
    <t>Shy</t>
  </si>
  <si>
    <t>Gagne, Hailey</t>
  </si>
  <si>
    <t>Leclerc, Melanie</t>
  </si>
  <si>
    <t>Claire</t>
  </si>
  <si>
    <t>Toki</t>
  </si>
  <si>
    <t>Hunter, Jesse</t>
  </si>
  <si>
    <t>Simants, Lee</t>
  </si>
  <si>
    <t>Tazanna</t>
  </si>
  <si>
    <t>Daoust, Jeannine</t>
  </si>
  <si>
    <t>Duchesne, Judith</t>
  </si>
  <si>
    <t>Chaeli</t>
  </si>
  <si>
    <t>Vera</t>
  </si>
  <si>
    <t>Revvy</t>
  </si>
  <si>
    <t>Maciborsky, Mya</t>
  </si>
  <si>
    <t>2393-QGD</t>
  </si>
  <si>
    <t>2553-QGA</t>
  </si>
  <si>
    <t>2553-QGD</t>
  </si>
  <si>
    <t>2553-QGT</t>
  </si>
  <si>
    <t>2586-QGA</t>
  </si>
  <si>
    <t>2586-QGS</t>
  </si>
  <si>
    <t>2586-QGT</t>
  </si>
  <si>
    <t>2989-QGA</t>
  </si>
  <si>
    <t>3561-QGA</t>
  </si>
  <si>
    <t>3561-QGS</t>
  </si>
  <si>
    <t>4043-QGA</t>
  </si>
  <si>
    <t>4043-QGT</t>
  </si>
  <si>
    <t>4358-QGS</t>
  </si>
  <si>
    <t>4365-QGT</t>
  </si>
  <si>
    <t>4419-QGT</t>
  </si>
  <si>
    <t>4662-QGA</t>
  </si>
  <si>
    <t>4662-QGD</t>
  </si>
  <si>
    <t>4662-QGT</t>
  </si>
  <si>
    <t>4709-QGD</t>
  </si>
  <si>
    <t>4710-QGA</t>
  </si>
  <si>
    <t>4710-QGS</t>
  </si>
  <si>
    <t>4751-QGD</t>
  </si>
  <si>
    <t>4766-QGA</t>
  </si>
  <si>
    <t>4766-QGD</t>
  </si>
  <si>
    <t>4856-QGA</t>
  </si>
  <si>
    <t>4856-QGD</t>
  </si>
  <si>
    <t>4856-QGS</t>
  </si>
  <si>
    <t>4883-QGA</t>
  </si>
  <si>
    <t>4908-QGS</t>
  </si>
  <si>
    <t>4958-QGT</t>
  </si>
  <si>
    <t>4978-QGD</t>
  </si>
  <si>
    <t>4996-QGA</t>
  </si>
  <si>
    <t>4996-QGD</t>
  </si>
  <si>
    <t>4996-QGS</t>
  </si>
  <si>
    <t>4996-QGT</t>
  </si>
  <si>
    <t>5076-QGA</t>
  </si>
  <si>
    <t>5089-QGA</t>
  </si>
  <si>
    <t>5101-QGD</t>
  </si>
  <si>
    <t>5136-QGS</t>
  </si>
  <si>
    <t>5204-QGA</t>
  </si>
  <si>
    <t>5204-QGD</t>
  </si>
  <si>
    <t>5211-QGA</t>
  </si>
  <si>
    <t>5259-QGT</t>
  </si>
  <si>
    <t>5324-QGD</t>
  </si>
  <si>
    <t>5324-QGT</t>
  </si>
  <si>
    <t>5350-QGA</t>
  </si>
  <si>
    <t>5350-QGD</t>
  </si>
  <si>
    <t>5529-QGD</t>
  </si>
  <si>
    <t>5585-QGD</t>
  </si>
  <si>
    <t>5618-QGA</t>
  </si>
  <si>
    <t>5618-QGD</t>
  </si>
  <si>
    <t>5695-QGD</t>
  </si>
  <si>
    <t>5788-QGA</t>
  </si>
  <si>
    <t>Dobson, Georgianna</t>
  </si>
  <si>
    <t>Bobby Fischer</t>
  </si>
  <si>
    <t>Rampage</t>
  </si>
  <si>
    <t>Bauer, Jennifer</t>
  </si>
  <si>
    <t>Perle</t>
  </si>
  <si>
    <t>Tu</t>
  </si>
  <si>
    <t>Genest, Joanie</t>
  </si>
  <si>
    <t>Grotto</t>
  </si>
  <si>
    <t>Toole, Ocean</t>
  </si>
  <si>
    <t>Prairie</t>
  </si>
  <si>
    <t>Lilou</t>
  </si>
  <si>
    <t>Bergeron, Lauriane</t>
  </si>
  <si>
    <t>Byron</t>
  </si>
  <si>
    <t>Hope, Katrina</t>
  </si>
  <si>
    <t>Storey, Diana</t>
  </si>
  <si>
    <t>Simone</t>
  </si>
  <si>
    <t>Bonneville, Sandra</t>
  </si>
  <si>
    <t>Lamarre, Sophie</t>
  </si>
  <si>
    <t>Taiga</t>
  </si>
  <si>
    <t>Baudelot, Karine</t>
  </si>
  <si>
    <t>Hurd, Maja</t>
  </si>
  <si>
    <t>Trix</t>
  </si>
  <si>
    <t>Lacoursiere, Julie</t>
  </si>
  <si>
    <t>2034-QGS</t>
  </si>
  <si>
    <t>2301-QGD</t>
  </si>
  <si>
    <t>2301-QGT</t>
  </si>
  <si>
    <t>2422-QGT</t>
  </si>
  <si>
    <t>2595-QGT</t>
  </si>
  <si>
    <t>2687-QGS</t>
  </si>
  <si>
    <t>2716-QGS</t>
  </si>
  <si>
    <t>3323-QGS</t>
  </si>
  <si>
    <t>3355-QGA</t>
  </si>
  <si>
    <t>3355-QGD</t>
  </si>
  <si>
    <t>3355-QGS</t>
  </si>
  <si>
    <t>3355-QGT</t>
  </si>
  <si>
    <t>3465-QGA</t>
  </si>
  <si>
    <t>3487-QGS</t>
  </si>
  <si>
    <t>3487-QGT</t>
  </si>
  <si>
    <t>3522-QGA</t>
  </si>
  <si>
    <t>3522-QGD</t>
  </si>
  <si>
    <t>3560-QGD</t>
  </si>
  <si>
    <t>3738-QGD</t>
  </si>
  <si>
    <t>3909-QGD</t>
  </si>
  <si>
    <t>3909-QGS</t>
  </si>
  <si>
    <t>3951-QGA</t>
  </si>
  <si>
    <t>4007-QGS</t>
  </si>
  <si>
    <t>4029-QGD</t>
  </si>
  <si>
    <t>4036-QGA</t>
  </si>
  <si>
    <t>4084-QGT</t>
  </si>
  <si>
    <t>4129-QGS</t>
  </si>
  <si>
    <t>4138-QGS</t>
  </si>
  <si>
    <t>4232-QGT</t>
  </si>
  <si>
    <t>4255-QGA</t>
  </si>
  <si>
    <t>4255-QGD</t>
  </si>
  <si>
    <t>4255-QGS</t>
  </si>
  <si>
    <t>4255-QGT</t>
  </si>
  <si>
    <t>4261-QGD</t>
  </si>
  <si>
    <t>4367-QGT</t>
  </si>
  <si>
    <t>4398-QGA</t>
  </si>
  <si>
    <t>4431-QGD</t>
  </si>
  <si>
    <t>4431-QGS</t>
  </si>
  <si>
    <t>4434-QGD</t>
  </si>
  <si>
    <t>4463-QGA</t>
  </si>
  <si>
    <t>4463-QGD</t>
  </si>
  <si>
    <t>4571-QGT</t>
  </si>
  <si>
    <t>4576-QGA</t>
  </si>
  <si>
    <t>4576-QGD</t>
  </si>
  <si>
    <t>4576-QGS</t>
  </si>
  <si>
    <t>4607-QGA</t>
  </si>
  <si>
    <t>4612-QGA</t>
  </si>
  <si>
    <t>4612-QGD</t>
  </si>
  <si>
    <t>4636-QGA</t>
  </si>
  <si>
    <t>4636-QGT</t>
  </si>
  <si>
    <t>4672-QGT</t>
  </si>
  <si>
    <t>4680-QGD</t>
  </si>
  <si>
    <t>4692-QGD</t>
  </si>
  <si>
    <t>4692-QGS</t>
  </si>
  <si>
    <t>4698-QGA</t>
  </si>
  <si>
    <t>4698-QGD</t>
  </si>
  <si>
    <t>4704-QGT</t>
  </si>
  <si>
    <t>4743-QGD</t>
  </si>
  <si>
    <t>4877-QGT</t>
  </si>
  <si>
    <t>4895-QGA</t>
  </si>
  <si>
    <t>4895-QGD</t>
  </si>
  <si>
    <t>4895-QGS</t>
  </si>
  <si>
    <t>4896-QGA</t>
  </si>
  <si>
    <t>4896-QGD</t>
  </si>
  <si>
    <t>4906-QGA</t>
  </si>
  <si>
    <t>4906-QGS</t>
  </si>
  <si>
    <t>4968-QGD</t>
  </si>
  <si>
    <t>4968-QGT</t>
  </si>
  <si>
    <t>5004-QGD</t>
  </si>
  <si>
    <t>5004-QGS</t>
  </si>
  <si>
    <t>5029-QGA</t>
  </si>
  <si>
    <t>5029-QGD</t>
  </si>
  <si>
    <t>5029-QGS</t>
  </si>
  <si>
    <t>5042-QGA</t>
  </si>
  <si>
    <t>5073-QGT</t>
  </si>
  <si>
    <t>5095-QGS</t>
  </si>
  <si>
    <t>5095-QGT</t>
  </si>
  <si>
    <t>5111-QGT</t>
  </si>
  <si>
    <t>5115-QGA</t>
  </si>
  <si>
    <t>5181-QGA</t>
  </si>
  <si>
    <t>5181-QGD</t>
  </si>
  <si>
    <t>5185-QGA</t>
  </si>
  <si>
    <t>5202-QGD</t>
  </si>
  <si>
    <t>5209-QGA</t>
  </si>
  <si>
    <t>5223-QGA</t>
  </si>
  <si>
    <t>5223-QGS</t>
  </si>
  <si>
    <t>5223-QGT</t>
  </si>
  <si>
    <t>5265-QGA</t>
  </si>
  <si>
    <t>5273-QGA</t>
  </si>
  <si>
    <t>5296-QGA</t>
  </si>
  <si>
    <t>5300-QGA</t>
  </si>
  <si>
    <t>5300-QGD</t>
  </si>
  <si>
    <t>5300-QGS</t>
  </si>
  <si>
    <t>5333-QGA</t>
  </si>
  <si>
    <t>5333-QGD</t>
  </si>
  <si>
    <t>5346-QGA</t>
  </si>
  <si>
    <t>5354-QGD</t>
  </si>
  <si>
    <t>5354-QGT</t>
  </si>
  <si>
    <t>5464-QGA</t>
  </si>
  <si>
    <t>5464-QGD</t>
  </si>
  <si>
    <t>5464-QGS</t>
  </si>
  <si>
    <t>5509-QGA</t>
  </si>
  <si>
    <t>5509-QGS</t>
  </si>
  <si>
    <t>5618-QGS</t>
  </si>
  <si>
    <t>5704-QGA</t>
  </si>
  <si>
    <t>5748-QGA</t>
  </si>
  <si>
    <t>5748-QGT</t>
  </si>
  <si>
    <t>5770-QGD</t>
  </si>
  <si>
    <t>5786-QGA</t>
  </si>
  <si>
    <t>5794-QGS</t>
  </si>
  <si>
    <t>5813-QGS</t>
  </si>
  <si>
    <t>Takka</t>
  </si>
  <si>
    <t>Dutton</t>
  </si>
  <si>
    <t>Plume</t>
  </si>
  <si>
    <t>Myra</t>
  </si>
  <si>
    <t>Pumba</t>
  </si>
  <si>
    <t>Archambault, Emilie</t>
  </si>
  <si>
    <t>Jazmyne</t>
  </si>
  <si>
    <t>Gallant, Michelle</t>
  </si>
  <si>
    <t>Baloney</t>
  </si>
  <si>
    <t>Roberts, Jordan</t>
  </si>
  <si>
    <t>Inkster, Stephanie</t>
  </si>
  <si>
    <t>Gaea</t>
  </si>
  <si>
    <t>Landry, Karine</t>
  </si>
  <si>
    <t>Sissi</t>
  </si>
  <si>
    <t>Skinner, Kate</t>
  </si>
  <si>
    <t>TRYP</t>
  </si>
  <si>
    <t>Weynerowski, Alexandra</t>
  </si>
  <si>
    <t>Ripp</t>
  </si>
  <si>
    <t>Mavrick</t>
  </si>
  <si>
    <t>Harry</t>
  </si>
  <si>
    <t>MacGillivray, Alison</t>
  </si>
  <si>
    <t>Tremblay, Camille</t>
  </si>
  <si>
    <t>Romy</t>
  </si>
  <si>
    <t>Wells, Olivia</t>
  </si>
  <si>
    <t>Stuart</t>
  </si>
  <si>
    <t>Zinogre</t>
  </si>
  <si>
    <t>Hanzō</t>
  </si>
  <si>
    <t>Heenan, Coleen</t>
  </si>
  <si>
    <t>Rolfe, Valerie</t>
  </si>
  <si>
    <t>Manzke, Danika</t>
  </si>
  <si>
    <t>Coast</t>
  </si>
  <si>
    <t>Diana</t>
  </si>
  <si>
    <t>Frost, Anne</t>
  </si>
  <si>
    <t>Javelin</t>
  </si>
  <si>
    <t>Burke, Avery</t>
  </si>
  <si>
    <t>Yin, Sandra</t>
  </si>
  <si>
    <t>Dreamy</t>
  </si>
  <si>
    <t>Willms, Melissa</t>
  </si>
  <si>
    <t>Luffy</t>
  </si>
  <si>
    <t>Radyk, Rachel</t>
  </si>
  <si>
    <t>sabo</t>
  </si>
  <si>
    <t>Sierra</t>
  </si>
  <si>
    <t>Gendron, Fidji</t>
  </si>
  <si>
    <t>Sweet</t>
  </si>
  <si>
    <t>Sephira</t>
  </si>
  <si>
    <t>Zenda</t>
  </si>
  <si>
    <t>Nando</t>
  </si>
  <si>
    <t>Wright, Mel</t>
  </si>
  <si>
    <t>More, Kelly</t>
  </si>
  <si>
    <t>Hodges, Nicole</t>
  </si>
  <si>
    <t>Dobby Pelletier Bégin</t>
  </si>
  <si>
    <t>Pelletier, Véronique</t>
  </si>
  <si>
    <t>GRANDY, Pamela</t>
  </si>
  <si>
    <t>Nooks</t>
  </si>
  <si>
    <t>Richard, Alyssa</t>
  </si>
  <si>
    <t>Heaney</t>
  </si>
  <si>
    <t>Henderson, Karen</t>
  </si>
  <si>
    <t>3407-QGS</t>
  </si>
  <si>
    <t>5222-QGA</t>
  </si>
  <si>
    <t>5222-QGD</t>
  </si>
  <si>
    <t>5227-QGD</t>
  </si>
  <si>
    <t>1776-QGA</t>
  </si>
  <si>
    <t>1776-QGD</t>
  </si>
  <si>
    <t>1776-QGS</t>
  </si>
  <si>
    <t>1776-QGT</t>
  </si>
  <si>
    <t>2303-QGA</t>
  </si>
  <si>
    <t>3172-QGA</t>
  </si>
  <si>
    <t>3172-QGD</t>
  </si>
  <si>
    <t>3577-QGT</t>
  </si>
  <si>
    <t>3810-QGS</t>
  </si>
  <si>
    <t>3810-QGT</t>
  </si>
  <si>
    <t>4004-QGT</t>
  </si>
  <si>
    <t>4275-QGA</t>
  </si>
  <si>
    <t>4275-QGD</t>
  </si>
  <si>
    <t>4275-QGS</t>
  </si>
  <si>
    <t>4340-QGA</t>
  </si>
  <si>
    <t>4340-QGD</t>
  </si>
  <si>
    <t>4340-QGT</t>
  </si>
  <si>
    <t>4370-QGD</t>
  </si>
  <si>
    <t>4499-QGA</t>
  </si>
  <si>
    <t>4499-QGD</t>
  </si>
  <si>
    <t>4671-QGT</t>
  </si>
  <si>
    <t>4809-QGA</t>
  </si>
  <si>
    <t>4809-QGD</t>
  </si>
  <si>
    <t>4816-QGA</t>
  </si>
  <si>
    <t>4816-QGD</t>
  </si>
  <si>
    <t>4816-QGS</t>
  </si>
  <si>
    <t>4817-QGS</t>
  </si>
  <si>
    <t>4875-QGA</t>
  </si>
  <si>
    <t>4875-QGD</t>
  </si>
  <si>
    <t>4875-QGT</t>
  </si>
  <si>
    <t>4881-QGA</t>
  </si>
  <si>
    <t>4881-QGD</t>
  </si>
  <si>
    <t>5130-QGA</t>
  </si>
  <si>
    <t>5130-QGD</t>
  </si>
  <si>
    <t>5199-QGS</t>
  </si>
  <si>
    <t>5379-QGS</t>
  </si>
  <si>
    <t>5439-QGA</t>
  </si>
  <si>
    <t>5440-QGA</t>
  </si>
  <si>
    <t>5440-QGD</t>
  </si>
  <si>
    <t>5828-QGA</t>
  </si>
  <si>
    <t>5858-QGA</t>
  </si>
  <si>
    <t>5861-QGD</t>
  </si>
  <si>
    <t>Spaniel (Russian)</t>
  </si>
  <si>
    <t>Tulku</t>
  </si>
  <si>
    <t>Timone</t>
  </si>
  <si>
    <t>Desloges, Isabelle</t>
  </si>
  <si>
    <t>Peetie</t>
  </si>
  <si>
    <t>Jack-Jack</t>
  </si>
  <si>
    <t>Smith, Darrell</t>
  </si>
  <si>
    <t>Douglas, Lynda</t>
  </si>
  <si>
    <t>Norah</t>
  </si>
  <si>
    <t>Jolly</t>
  </si>
  <si>
    <t>FRANKEN, JESSICA</t>
  </si>
  <si>
    <t>Alastair</t>
  </si>
  <si>
    <t>Prius</t>
  </si>
  <si>
    <t>Vale, Heather</t>
  </si>
  <si>
    <t>KELLAR, DONNA</t>
  </si>
  <si>
    <t>Harding, Jessika</t>
  </si>
  <si>
    <t>Lennon</t>
  </si>
  <si>
    <t>Harrison, Michelle</t>
  </si>
  <si>
    <t>Marsea</t>
  </si>
  <si>
    <t>Winter, Victoria</t>
  </si>
  <si>
    <t>Sadie Jackson</t>
  </si>
  <si>
    <t>Jackson, Grace</t>
  </si>
  <si>
    <t>Quinn-LaFleche, Dayna</t>
  </si>
  <si>
    <t>Chandler, Sherree</t>
  </si>
  <si>
    <t>Tory</t>
  </si>
  <si>
    <t>Davis, Margaret</t>
  </si>
  <si>
    <t>Chandler, Thomas</t>
  </si>
  <si>
    <t>Skeena</t>
  </si>
  <si>
    <t>Gray, Melody</t>
  </si>
  <si>
    <t>Myla</t>
  </si>
  <si>
    <t>Jayna</t>
  </si>
  <si>
    <t>Beaudry, Sylvie</t>
  </si>
  <si>
    <t>Boyce, Tiffani</t>
  </si>
  <si>
    <t>Parsons, Jane</t>
  </si>
  <si>
    <t>Justin</t>
  </si>
  <si>
    <t>Doll, Nancy</t>
  </si>
  <si>
    <t>Lavender</t>
  </si>
  <si>
    <t>Russell, Candi</t>
  </si>
  <si>
    <t>Wirsz, Cheryl</t>
  </si>
  <si>
    <t>Olesia</t>
  </si>
  <si>
    <t>Ve, Deb</t>
  </si>
  <si>
    <t>Wautier, Lynn</t>
  </si>
  <si>
    <t>Tschanen, Patricia</t>
  </si>
  <si>
    <t>Nimue</t>
  </si>
  <si>
    <t>Hynes, Nita</t>
  </si>
  <si>
    <t>Sundell, Beth</t>
  </si>
  <si>
    <t>Tempe</t>
  </si>
  <si>
    <t>Crago, Diana</t>
  </si>
  <si>
    <t>Delta Dawn</t>
  </si>
  <si>
    <t>Spurgeon, Jessica</t>
  </si>
  <si>
    <t>Derksen, Lu</t>
  </si>
  <si>
    <t>Gully</t>
  </si>
  <si>
    <t>Totem</t>
  </si>
  <si>
    <t>Slaby, Lynn</t>
  </si>
  <si>
    <t>Riptide</t>
  </si>
  <si>
    <t>Lukas</t>
  </si>
  <si>
    <t>Félix</t>
  </si>
  <si>
    <t>Blais, Megan</t>
  </si>
  <si>
    <t>Blahey, Kristen</t>
  </si>
  <si>
    <t>Gravelle, Kristin</t>
  </si>
  <si>
    <t>Melanson, Shanna</t>
  </si>
  <si>
    <t>Anderson, Kathy</t>
  </si>
  <si>
    <t>Trust</t>
  </si>
  <si>
    <t>Darcy</t>
  </si>
  <si>
    <t>Steward, Carling</t>
  </si>
  <si>
    <t>Lam, Christina</t>
  </si>
  <si>
    <t>Bexley</t>
  </si>
  <si>
    <t>Brousseau, Kris</t>
  </si>
  <si>
    <t>Zander</t>
  </si>
  <si>
    <t>Crawford, Meara</t>
  </si>
  <si>
    <t>Fawcett, Diane</t>
  </si>
  <si>
    <t>Stockus, Lisa</t>
  </si>
  <si>
    <t>Demers, Michel</t>
  </si>
  <si>
    <t>Chauvin, Prudence</t>
  </si>
  <si>
    <t>Bibi</t>
  </si>
  <si>
    <t>Cartilier, Ksenia</t>
  </si>
  <si>
    <t>Mia Blue</t>
  </si>
  <si>
    <t>Lalonde, Suzanne</t>
  </si>
  <si>
    <t>Le Scouarnec, Natalie</t>
  </si>
  <si>
    <t>Vector</t>
  </si>
  <si>
    <t>Smith, Carly</t>
  </si>
  <si>
    <t>Flux</t>
  </si>
  <si>
    <t>Trayce</t>
  </si>
  <si>
    <t>Sauro, Martyne</t>
  </si>
  <si>
    <t>Chuckster</t>
  </si>
  <si>
    <t>caldwell, jeannette</t>
  </si>
  <si>
    <t>Coors</t>
  </si>
  <si>
    <t>NoBu</t>
  </si>
  <si>
    <t>Bellemare, Michel</t>
  </si>
  <si>
    <t>Briscoe, Leanne</t>
  </si>
  <si>
    <t>Rose, Mark</t>
  </si>
  <si>
    <t>blais, trinity</t>
  </si>
  <si>
    <t>Tiessen, Daniella</t>
  </si>
  <si>
    <t>FARRAH</t>
  </si>
  <si>
    <t>Dorken, Deborah</t>
  </si>
  <si>
    <t>Belliveau, Nicole</t>
  </si>
  <si>
    <t>Gilchrist, Amy</t>
  </si>
  <si>
    <t>OSLO</t>
  </si>
  <si>
    <t>Norris</t>
  </si>
  <si>
    <t>Moutarde</t>
  </si>
  <si>
    <t>St-Denis, Clémence</t>
  </si>
  <si>
    <t>Cascade</t>
  </si>
  <si>
    <t>Louna</t>
  </si>
  <si>
    <t>Gamache, Sabrina</t>
  </si>
  <si>
    <t>Beyla</t>
  </si>
  <si>
    <t>Plante, Amanda</t>
  </si>
  <si>
    <t>Barron</t>
  </si>
  <si>
    <t>Glover, Jennifer</t>
  </si>
  <si>
    <t>Mirage</t>
  </si>
  <si>
    <t>Else, Arlene</t>
  </si>
  <si>
    <t>Casper</t>
  </si>
  <si>
    <t>Tyler, Angie</t>
  </si>
  <si>
    <t>Beacon</t>
  </si>
  <si>
    <t>Farrell, Joey</t>
  </si>
  <si>
    <t>Pele</t>
  </si>
  <si>
    <t>Coco</t>
  </si>
  <si>
    <t>Johannesen, Kristine</t>
  </si>
  <si>
    <t>Piky</t>
  </si>
  <si>
    <t>Tolea, Nicole</t>
  </si>
  <si>
    <t>Fraser, Carly</t>
  </si>
  <si>
    <t>Brunet, Catherine</t>
  </si>
  <si>
    <t>Fritz</t>
  </si>
  <si>
    <t>Nouky</t>
  </si>
  <si>
    <t>Turcotte, Léanne</t>
  </si>
  <si>
    <t>Nerino, Gino</t>
  </si>
  <si>
    <t>Kevin Bacon</t>
  </si>
  <si>
    <t>Presto</t>
  </si>
  <si>
    <t>Herbie</t>
  </si>
  <si>
    <t>Higginbotham, Janice</t>
  </si>
  <si>
    <t>Ouellette, Benoit</t>
  </si>
  <si>
    <t>Reaser, Diane</t>
  </si>
  <si>
    <t>Bright</t>
  </si>
  <si>
    <t>Lahaise, Johanne</t>
  </si>
  <si>
    <t>2320-QGS</t>
  </si>
  <si>
    <t>2682-QGD</t>
  </si>
  <si>
    <t>3040-QGD</t>
  </si>
  <si>
    <t>3333-QGD</t>
  </si>
  <si>
    <t>3969-QGA</t>
  </si>
  <si>
    <t>4048-QGS</t>
  </si>
  <si>
    <t>4336-QGA</t>
  </si>
  <si>
    <t>4336-QGD</t>
  </si>
  <si>
    <t>4440-QGD</t>
  </si>
  <si>
    <t>4482-QGD</t>
  </si>
  <si>
    <t>4628-QGA</t>
  </si>
  <si>
    <t>4628-QGD</t>
  </si>
  <si>
    <t>4653-QGD</t>
  </si>
  <si>
    <t>4694-QGD</t>
  </si>
  <si>
    <t>4706-QGA</t>
  </si>
  <si>
    <t>4726-QGD</t>
  </si>
  <si>
    <t>4749-QGD</t>
  </si>
  <si>
    <t>5750-QGA</t>
  </si>
  <si>
    <t>5755-QGA</t>
  </si>
  <si>
    <t>5755-QGD</t>
  </si>
  <si>
    <t>5775-QGA</t>
  </si>
  <si>
    <t>5775-QGD</t>
  </si>
  <si>
    <t>5789-QGA</t>
  </si>
  <si>
    <t>5789-QGD</t>
  </si>
  <si>
    <t>5791-QGA</t>
  </si>
  <si>
    <t>5800-QGA</t>
  </si>
  <si>
    <t>5903-QGA</t>
  </si>
  <si>
    <t>914-QGD</t>
  </si>
  <si>
    <t>987-QGD</t>
  </si>
  <si>
    <t>Siczkar, Linda</t>
  </si>
  <si>
    <t>Elksnitis, Gail</t>
  </si>
  <si>
    <t>Seger</t>
  </si>
  <si>
    <t>Jardine, Heather</t>
  </si>
  <si>
    <t>Tanq</t>
  </si>
  <si>
    <t>CRACKERS</t>
  </si>
  <si>
    <t>Heke, Caroline</t>
  </si>
  <si>
    <t>Birch</t>
  </si>
  <si>
    <t>Sokal, Paige</t>
  </si>
  <si>
    <t>Greencorn, Jayme</t>
  </si>
  <si>
    <t>Lonny</t>
  </si>
  <si>
    <t>Boyle, Susan</t>
  </si>
  <si>
    <t>Malokai</t>
  </si>
  <si>
    <t>Black, Heather</t>
  </si>
  <si>
    <t>Dipper</t>
  </si>
  <si>
    <t>Nootka</t>
  </si>
  <si>
    <t>Stewart, Karen</t>
  </si>
  <si>
    <t>Elias, Savannah</t>
  </si>
  <si>
    <t>Digit</t>
  </si>
  <si>
    <t>Wingerak, Dallas</t>
  </si>
  <si>
    <t>Harbour</t>
  </si>
  <si>
    <t>McGeary, Lori</t>
  </si>
  <si>
    <t>Muffinz</t>
  </si>
  <si>
    <t>Mar, Sammy</t>
  </si>
  <si>
    <t>Irving</t>
  </si>
  <si>
    <t>Perrier, Vanessa</t>
  </si>
  <si>
    <t>Koral</t>
  </si>
  <si>
    <t>Peccie, Carmen</t>
  </si>
  <si>
    <t>Lopes, Catherine</t>
  </si>
  <si>
    <t>2494-QGT</t>
  </si>
  <si>
    <t>2562-QGA</t>
  </si>
  <si>
    <t>2562-QGS</t>
  </si>
  <si>
    <t>2596-QGT</t>
  </si>
  <si>
    <t>2682-QGT</t>
  </si>
  <si>
    <t>2687-QGT</t>
  </si>
  <si>
    <t>2716-QGT</t>
  </si>
  <si>
    <t>3204-QGT</t>
  </si>
  <si>
    <t>3405-QGT</t>
  </si>
  <si>
    <t>3690-QGA</t>
  </si>
  <si>
    <t>3704-QGT</t>
  </si>
  <si>
    <t>4238-QGT</t>
  </si>
  <si>
    <t>4323-QGS</t>
  </si>
  <si>
    <t>4348-QGS</t>
  </si>
  <si>
    <t>4356-QGS</t>
  </si>
  <si>
    <t>4463-QGS</t>
  </si>
  <si>
    <t>4463-QGT</t>
  </si>
  <si>
    <t>4482-QGS</t>
  </si>
  <si>
    <t>4637-QGD</t>
  </si>
  <si>
    <t>4709-QGT</t>
  </si>
  <si>
    <t>4710-QGT</t>
  </si>
  <si>
    <t>4742-QGD</t>
  </si>
  <si>
    <t>4793-QGA</t>
  </si>
  <si>
    <t>4793-QGD</t>
  </si>
  <si>
    <t>4794-QGD</t>
  </si>
  <si>
    <t>4998-QGT</t>
  </si>
  <si>
    <t>5000-QGA</t>
  </si>
  <si>
    <t>5033-QGS</t>
  </si>
  <si>
    <t>5042-QGD</t>
  </si>
  <si>
    <t>5068-QGD</t>
  </si>
  <si>
    <t>5069-QGD</t>
  </si>
  <si>
    <t>5070-QGD</t>
  </si>
  <si>
    <t>5234-QGA</t>
  </si>
  <si>
    <t>5234-QGD</t>
  </si>
  <si>
    <t>5258-QGA</t>
  </si>
  <si>
    <t>5499-QGA</t>
  </si>
  <si>
    <t>5499-QGD</t>
  </si>
  <si>
    <t>5518-QGD</t>
  </si>
  <si>
    <t>5520-QGA</t>
  </si>
  <si>
    <t>5527-QGA</t>
  </si>
  <si>
    <t>5530-QGA</t>
  </si>
  <si>
    <t>5530-QGD</t>
  </si>
  <si>
    <t>5530-QGT</t>
  </si>
  <si>
    <t>5576-QGA</t>
  </si>
  <si>
    <t>5576-QGD</t>
  </si>
  <si>
    <t>5577-QGS</t>
  </si>
  <si>
    <t>5688-QGA</t>
  </si>
  <si>
    <t>5730-QGA</t>
  </si>
  <si>
    <t>5730-QGD</t>
  </si>
  <si>
    <t>5752-QGA</t>
  </si>
  <si>
    <t>5752-QGD</t>
  </si>
  <si>
    <t>1991-QGA</t>
  </si>
  <si>
    <t>1991-QGS</t>
  </si>
  <si>
    <t>2596-QGS</t>
  </si>
  <si>
    <t>3001-QGD</t>
  </si>
  <si>
    <t>3001-QGT</t>
  </si>
  <si>
    <t>3365-QGD</t>
  </si>
  <si>
    <t>3427-QGD</t>
  </si>
  <si>
    <t>3678-QGA</t>
  </si>
  <si>
    <t>3678-QGD</t>
  </si>
  <si>
    <t>3775-QGA</t>
  </si>
  <si>
    <t>3775-QGD</t>
  </si>
  <si>
    <t>3842-QGS</t>
  </si>
  <si>
    <t>4306-QGA</t>
  </si>
  <si>
    <t>4306-QGD</t>
  </si>
  <si>
    <t>4457-QGT</t>
  </si>
  <si>
    <t>4579-QGT</t>
  </si>
  <si>
    <t>4819-QGD</t>
  </si>
  <si>
    <t>5146-QGD</t>
  </si>
  <si>
    <t>5181-QGS</t>
  </si>
  <si>
    <t>5209-QGD</t>
  </si>
  <si>
    <t>5209-QGS</t>
  </si>
  <si>
    <t>5307-QGA</t>
  </si>
  <si>
    <t>5307-QGD</t>
  </si>
  <si>
    <t>5307-QGS</t>
  </si>
  <si>
    <t>5333-QGT</t>
  </si>
  <si>
    <t>5482-QGA</t>
  </si>
  <si>
    <t>5482-QGD</t>
  </si>
  <si>
    <t>5841-QGT</t>
  </si>
  <si>
    <t>5852-QGA</t>
  </si>
  <si>
    <t>5862-QGA</t>
  </si>
  <si>
    <t>5862-QGD</t>
  </si>
  <si>
    <t>Flora</t>
  </si>
  <si>
    <t>Grimlock</t>
  </si>
  <si>
    <t>Culbert, Samantha</t>
  </si>
  <si>
    <t>Maerm</t>
  </si>
  <si>
    <t>Kjerulf, Tami</t>
  </si>
  <si>
    <t>Bitinsky, Liane</t>
  </si>
  <si>
    <t>Gideon</t>
  </si>
  <si>
    <t>Keswick</t>
  </si>
  <si>
    <t>Mckean, Jodi</t>
  </si>
  <si>
    <t>Raylan</t>
  </si>
  <si>
    <t>Lenny</t>
  </si>
  <si>
    <t>Wehrwein, Lindsay</t>
  </si>
  <si>
    <t>Connor</t>
  </si>
  <si>
    <t>Aurla</t>
  </si>
  <si>
    <t>Nassau</t>
  </si>
  <si>
    <t>Froese, Angela</t>
  </si>
  <si>
    <t>Ohana</t>
  </si>
  <si>
    <t>Carter, Maria</t>
  </si>
  <si>
    <t>Suuki</t>
  </si>
  <si>
    <t>May, Erin</t>
  </si>
  <si>
    <t>Thibault, Melisa</t>
  </si>
  <si>
    <t>Cabot</t>
  </si>
  <si>
    <t>MacKenzie, Claire</t>
  </si>
  <si>
    <t>Findlater, Allison</t>
  </si>
  <si>
    <t>Aries</t>
  </si>
  <si>
    <t>Ste. Croix, Michelle</t>
  </si>
  <si>
    <t>Caissie, Nicole</t>
  </si>
  <si>
    <t>Manzac, Marie</t>
  </si>
  <si>
    <t>Lychee</t>
  </si>
  <si>
    <t>Alexson, Tania</t>
  </si>
  <si>
    <t>Young, Courtney</t>
  </si>
  <si>
    <t>Steve</t>
  </si>
  <si>
    <t>Benjamin</t>
  </si>
  <si>
    <t>Connellan, Melanie</t>
  </si>
  <si>
    <t>Filiatrault, Lisa</t>
  </si>
  <si>
    <t>Brooks, Jackie</t>
  </si>
  <si>
    <t>McPhee, Jerri</t>
  </si>
  <si>
    <t>BILLY</t>
  </si>
  <si>
    <t>Rivet</t>
  </si>
  <si>
    <t>Matechuk, Amanda</t>
  </si>
  <si>
    <t>Sail</t>
  </si>
  <si>
    <t>Leon</t>
  </si>
  <si>
    <t>Audet, Marie-Claude</t>
  </si>
  <si>
    <t>Boomi</t>
  </si>
  <si>
    <t>Yip, Alissa</t>
  </si>
  <si>
    <t>Piggins, Susan</t>
  </si>
  <si>
    <t>Ryan, Nikki</t>
  </si>
  <si>
    <t>Oran</t>
  </si>
  <si>
    <t>Hex</t>
  </si>
  <si>
    <t>Smart, Rhiannon</t>
  </si>
  <si>
    <t>Paquin, Mariève</t>
  </si>
  <si>
    <t>Zacharias, Deb</t>
  </si>
  <si>
    <t>Vanna</t>
  </si>
  <si>
    <t>Kirkland</t>
  </si>
  <si>
    <t>Wang, Yovela</t>
  </si>
  <si>
    <t>Zaya</t>
  </si>
  <si>
    <t>Larocque, Marilène</t>
  </si>
  <si>
    <t>Werner, Cheryl</t>
  </si>
  <si>
    <t>Chochol, Caroline</t>
  </si>
  <si>
    <t>Busse, Susan</t>
  </si>
  <si>
    <t>Frey</t>
  </si>
  <si>
    <t>Moshynska, Oksana</t>
  </si>
  <si>
    <t>Tobi</t>
  </si>
  <si>
    <t>Wilde, Elijah</t>
  </si>
  <si>
    <t>Odis</t>
  </si>
  <si>
    <t>muir, Tracey</t>
  </si>
  <si>
    <t>Bernhardt, Bob</t>
  </si>
  <si>
    <t>Shaman</t>
  </si>
  <si>
    <t>Caseault, Johanne</t>
  </si>
  <si>
    <t>Bohm, Clara</t>
  </si>
  <si>
    <t>Lorenz, Zoe</t>
  </si>
  <si>
    <t>Ong-Gross, Lena</t>
  </si>
  <si>
    <t>Feeley, Isabelle</t>
  </si>
  <si>
    <t>Léger, Angela</t>
  </si>
  <si>
    <t>Atari</t>
  </si>
  <si>
    <t>pauls, marg</t>
  </si>
  <si>
    <t>Tippy</t>
  </si>
  <si>
    <t>3395-QGD</t>
  </si>
  <si>
    <t>3395-QGT</t>
  </si>
  <si>
    <t>4146-QGD</t>
  </si>
  <si>
    <t>4303-QGD</t>
  </si>
  <si>
    <t>4443-QGS</t>
  </si>
  <si>
    <t>4797-QGA</t>
  </si>
  <si>
    <t>4797-QGD</t>
  </si>
  <si>
    <t>4893-QGD</t>
  </si>
  <si>
    <t>5517-QGT</t>
  </si>
  <si>
    <t>5891-QGD</t>
  </si>
  <si>
    <t>5891-QGT</t>
  </si>
  <si>
    <t>5907-QGD</t>
  </si>
  <si>
    <t>5959-QGA</t>
  </si>
  <si>
    <t>6015-QGD</t>
  </si>
  <si>
    <t>6023-QGD</t>
  </si>
  <si>
    <t>Felske, Alexandra</t>
  </si>
  <si>
    <t>Zenya</t>
  </si>
  <si>
    <t>Midnight</t>
  </si>
  <si>
    <t>Gingras, Ghislaine</t>
  </si>
  <si>
    <t>Rolo</t>
  </si>
  <si>
    <t>O'Halloran, Maureen</t>
  </si>
  <si>
    <t>Yerichuk, Maya</t>
  </si>
  <si>
    <t>Ruth</t>
  </si>
  <si>
    <t>Stewart, Shannon</t>
  </si>
  <si>
    <t>Theroux, Sylvain</t>
  </si>
  <si>
    <t>Dorie</t>
  </si>
  <si>
    <t>Rougeau, Nathalie</t>
  </si>
  <si>
    <t>McAuley, Cheri Lynn</t>
  </si>
  <si>
    <t>Minnow</t>
  </si>
  <si>
    <t>fred</t>
  </si>
  <si>
    <t>ted</t>
  </si>
  <si>
    <t>george</t>
  </si>
  <si>
    <t>Sorren</t>
  </si>
  <si>
    <t>Selle, Clara</t>
  </si>
  <si>
    <t>Dufour Bergeron, Dominique</t>
  </si>
  <si>
    <t>Nye</t>
  </si>
  <si>
    <t>McGrann, Fiona</t>
  </si>
  <si>
    <t>Luger</t>
  </si>
  <si>
    <t>Dunbrack, Patty</t>
  </si>
  <si>
    <t>2917-QGA</t>
  </si>
  <si>
    <t>2992-QGA</t>
  </si>
  <si>
    <t>3692-QGD</t>
  </si>
  <si>
    <t>3738-QGS</t>
  </si>
  <si>
    <t>3738-QGT</t>
  </si>
  <si>
    <t>3753-QGA</t>
  </si>
  <si>
    <t>3840-QGD</t>
  </si>
  <si>
    <t>3895-QGA</t>
  </si>
  <si>
    <t>4130-QGS</t>
  </si>
  <si>
    <t>4288-QGA</t>
  </si>
  <si>
    <t>4288-QGD</t>
  </si>
  <si>
    <t>4288-QGT</t>
  </si>
  <si>
    <t>4307-QGA</t>
  </si>
  <si>
    <t>4397-QGA</t>
  </si>
  <si>
    <t>4397-QGD</t>
  </si>
  <si>
    <t>4509-QGS</t>
  </si>
  <si>
    <t>4706-QGS</t>
  </si>
  <si>
    <t>4901-QGS</t>
  </si>
  <si>
    <t>4922-QGA</t>
  </si>
  <si>
    <t>4922-QGD</t>
  </si>
  <si>
    <t>4922-QGT</t>
  </si>
  <si>
    <t>4972-QGT</t>
  </si>
  <si>
    <t>5049-QGS</t>
  </si>
  <si>
    <t>5181-QGT</t>
  </si>
  <si>
    <t>5396-QGT</t>
  </si>
  <si>
    <t>5404-QGD</t>
  </si>
  <si>
    <t>5404-QGS</t>
  </si>
  <si>
    <t>5414-QGT</t>
  </si>
  <si>
    <t>5516-QGS</t>
  </si>
  <si>
    <t>6104-QGD</t>
  </si>
  <si>
    <t>Echevarri, Jaselle</t>
  </si>
  <si>
    <t>Yuzik, Kent</t>
  </si>
  <si>
    <t>Wild, Marissa</t>
  </si>
  <si>
    <t>Rai, Manmeet</t>
  </si>
  <si>
    <t>Misho</t>
  </si>
  <si>
    <t>Todorova, Julia</t>
  </si>
  <si>
    <t>Assisi</t>
  </si>
  <si>
    <t>Jewell, Sophia</t>
  </si>
  <si>
    <t>Sherbet Lemon</t>
  </si>
  <si>
    <t>Powell-Palmer, Kirsty</t>
  </si>
  <si>
    <t>Hann, Jennifer</t>
  </si>
  <si>
    <t>Clarice</t>
  </si>
  <si>
    <t>Mortensen, Carla</t>
  </si>
  <si>
    <t>Bowyn</t>
  </si>
  <si>
    <t>Lana</t>
  </si>
  <si>
    <t>Wrigley</t>
  </si>
  <si>
    <t>Sheppard, Zoey</t>
  </si>
  <si>
    <t>Ronald, Vedis</t>
  </si>
  <si>
    <t>Polka</t>
  </si>
  <si>
    <t>Arseneault, Arianne</t>
  </si>
  <si>
    <t>Vello</t>
  </si>
  <si>
    <t>slonowski, charlene</t>
  </si>
  <si>
    <t>Endo</t>
  </si>
  <si>
    <t>Cubellis, Deanna</t>
  </si>
  <si>
    <t>Grismer, Shae</t>
  </si>
  <si>
    <t>Antic</t>
  </si>
  <si>
    <t>King, Stephanie</t>
  </si>
  <si>
    <t>Ives, Nancy</t>
  </si>
  <si>
    <t>Dozer</t>
  </si>
  <si>
    <t>Humphreys, Suzanne</t>
  </si>
  <si>
    <t>Campbell, Deborah</t>
  </si>
  <si>
    <t>Murray, Kelsey</t>
  </si>
  <si>
    <t>Audrey</t>
  </si>
  <si>
    <t>Krusch-Valeriote, Ashlin</t>
  </si>
  <si>
    <t>3666-QGT</t>
  </si>
  <si>
    <t>4709-QGA</t>
  </si>
  <si>
    <t>4710-QGD</t>
  </si>
  <si>
    <t>4848-QGT</t>
  </si>
  <si>
    <t>4850-QGD</t>
  </si>
  <si>
    <t>4850-QGS</t>
  </si>
  <si>
    <t>5308-QGD</t>
  </si>
  <si>
    <t>5577-QGA</t>
  </si>
  <si>
    <t>Izy</t>
  </si>
  <si>
    <t>Seismic</t>
  </si>
  <si>
    <t>Kornder, Nola</t>
  </si>
  <si>
    <t>Galbraith, Brianna</t>
  </si>
  <si>
    <t>Gillespie, Lynn</t>
  </si>
  <si>
    <t>Huxter, Pamela</t>
  </si>
  <si>
    <t>Luigi</t>
  </si>
  <si>
    <t>Lee, Alanna</t>
  </si>
  <si>
    <t>4908-QGD</t>
  </si>
  <si>
    <t>4954-QGA</t>
  </si>
  <si>
    <t>4954-QGD</t>
  </si>
  <si>
    <t>5211-QGS</t>
  </si>
  <si>
    <t>5211-QGT</t>
  </si>
  <si>
    <t>5650-QGA</t>
  </si>
  <si>
    <t>5650-QGD</t>
  </si>
  <si>
    <t>5960-QGA</t>
  </si>
  <si>
    <t>5960-QGD</t>
  </si>
  <si>
    <t>5960-QGS</t>
  </si>
  <si>
    <t>5960-QGT</t>
  </si>
  <si>
    <t>6002-QGD</t>
  </si>
  <si>
    <t>1725-QGA</t>
  </si>
  <si>
    <t>1725-QGD</t>
  </si>
  <si>
    <t>2393-QGA</t>
  </si>
  <si>
    <t>3843-QGA</t>
  </si>
  <si>
    <t>3843-QGD</t>
  </si>
  <si>
    <t>4111-QGT</t>
  </si>
  <si>
    <t>4329-QGT</t>
  </si>
  <si>
    <t>4330-QGA</t>
  </si>
  <si>
    <t>4524-QGT</t>
  </si>
  <si>
    <t>4747-QGA</t>
  </si>
  <si>
    <t>4747-QGD</t>
  </si>
  <si>
    <t>4747-QGT</t>
  </si>
  <si>
    <t>5711-QGA</t>
  </si>
  <si>
    <t>5711-QGD</t>
  </si>
  <si>
    <t>5781-QGA</t>
  </si>
  <si>
    <t>5781-QGD</t>
  </si>
  <si>
    <t>2456-QGS</t>
  </si>
  <si>
    <t>2456-QGT</t>
  </si>
  <si>
    <t>3400-QGT</t>
  </si>
  <si>
    <t>3764-QGA</t>
  </si>
  <si>
    <t>3851-QGT</t>
  </si>
  <si>
    <t>3967-QGD</t>
  </si>
  <si>
    <t>4055-QGS</t>
  </si>
  <si>
    <t>4085-QGA</t>
  </si>
  <si>
    <t>4085-QGD</t>
  </si>
  <si>
    <t>4586-QGD</t>
  </si>
  <si>
    <t>4748-QGT</t>
  </si>
  <si>
    <t>4778-QGS</t>
  </si>
  <si>
    <t>4944-QGS</t>
  </si>
  <si>
    <t>4998-QGS</t>
  </si>
  <si>
    <t>5042-QGS</t>
  </si>
  <si>
    <t>5254-QGD</t>
  </si>
  <si>
    <t>5288-QGA</t>
  </si>
  <si>
    <t>5309-QGD</t>
  </si>
  <si>
    <t>5379-QGT</t>
  </si>
  <si>
    <t>5432-QGA</t>
  </si>
  <si>
    <t>5432-QGD</t>
  </si>
  <si>
    <t>5872-QGA</t>
  </si>
  <si>
    <t>5872-QGD</t>
  </si>
  <si>
    <t>5998-QGD</t>
  </si>
  <si>
    <t>6070-QGD</t>
  </si>
  <si>
    <t>6075-QGD</t>
  </si>
  <si>
    <t>6075-QGT</t>
  </si>
  <si>
    <t>Sugar Bear</t>
  </si>
  <si>
    <t>Friesen, Harry</t>
  </si>
  <si>
    <t>MacKay, Emily</t>
  </si>
  <si>
    <t>Bellman</t>
  </si>
  <si>
    <t>Forster, Madison</t>
  </si>
  <si>
    <t>Ahsoka</t>
  </si>
  <si>
    <t>Derry</t>
  </si>
  <si>
    <t>OBrien, Sharon</t>
  </si>
  <si>
    <t>Espresso</t>
  </si>
  <si>
    <t>Forsyth, Alice</t>
  </si>
  <si>
    <t>Valley</t>
  </si>
  <si>
    <t>Podrick</t>
  </si>
  <si>
    <t>Murphy, Tiffany</t>
  </si>
  <si>
    <t>Rose, Patricia</t>
  </si>
  <si>
    <t>Desroches, Anne-Marie</t>
  </si>
  <si>
    <t>Miami</t>
  </si>
  <si>
    <t>Fisher, Emily</t>
  </si>
  <si>
    <t>Perreault, Veronique</t>
  </si>
  <si>
    <t>Pekoe</t>
  </si>
  <si>
    <t>Johnstone, Heather</t>
  </si>
  <si>
    <t>Lennox</t>
  </si>
  <si>
    <t>Vorobiova, Anastasiia</t>
  </si>
  <si>
    <t>Wilson, Kristen</t>
  </si>
  <si>
    <t>Junior Mint</t>
  </si>
  <si>
    <t>Winni</t>
  </si>
  <si>
    <t>McDonald, Brooke</t>
  </si>
  <si>
    <t>3775-QGS</t>
  </si>
  <si>
    <t>3884-QGS</t>
  </si>
  <si>
    <t>4012-QGS</t>
  </si>
  <si>
    <t>4012-QGT</t>
  </si>
  <si>
    <t>4148-QGS</t>
  </si>
  <si>
    <t>4706-QGT</t>
  </si>
  <si>
    <t>4866-QGA</t>
  </si>
  <si>
    <t>4866-QGD</t>
  </si>
  <si>
    <t>4866-QGT</t>
  </si>
  <si>
    <t>5026-QGT</t>
  </si>
  <si>
    <t>5764-QGA</t>
  </si>
  <si>
    <t>5764-QGD</t>
  </si>
  <si>
    <t>5764-QGS</t>
  </si>
  <si>
    <t>5914-QGD</t>
  </si>
  <si>
    <t>5914-QGT</t>
  </si>
  <si>
    <t>3241-QGD</t>
  </si>
  <si>
    <t>3732-QGT</t>
  </si>
  <si>
    <t>3760-QGA</t>
  </si>
  <si>
    <t>3857-QGD</t>
  </si>
  <si>
    <t>3857-QGS</t>
  </si>
  <si>
    <t>3925-QGD</t>
  </si>
  <si>
    <t>4299-QGD</t>
  </si>
  <si>
    <t>4330-QGD</t>
  </si>
  <si>
    <t>4624-QGA</t>
  </si>
  <si>
    <t>4756-QGA</t>
  </si>
  <si>
    <t>4756-QGD</t>
  </si>
  <si>
    <t>4756-QGS</t>
  </si>
  <si>
    <t>4931-QGD</t>
  </si>
  <si>
    <t>5082-QGA</t>
  </si>
  <si>
    <t>5082-QGD</t>
  </si>
  <si>
    <t>5082-QGS</t>
  </si>
  <si>
    <t>5216-QGA</t>
  </si>
  <si>
    <t>5216-QGD</t>
  </si>
  <si>
    <t>5226-QGD</t>
  </si>
  <si>
    <t>5293-QGA</t>
  </si>
  <si>
    <t>5293-QGD</t>
  </si>
  <si>
    <t>5423-QGD</t>
  </si>
  <si>
    <t>5492-QGD</t>
  </si>
  <si>
    <t>5529-QGA</t>
  </si>
  <si>
    <t>5529-QGS</t>
  </si>
  <si>
    <t>5585-QGA</t>
  </si>
  <si>
    <t>5636-QGA</t>
  </si>
  <si>
    <t>5636-QGD</t>
  </si>
  <si>
    <t>5636-QGS</t>
  </si>
  <si>
    <t>6053-QGD</t>
  </si>
  <si>
    <t>6054-QGA</t>
  </si>
  <si>
    <t>6054-QGD</t>
  </si>
  <si>
    <t>6079-QGA</t>
  </si>
  <si>
    <t>6095-QGD</t>
  </si>
  <si>
    <t>6095-QGS</t>
  </si>
  <si>
    <t>Vodon, Mikayla</t>
  </si>
  <si>
    <t>Eyana</t>
  </si>
  <si>
    <t>Proton</t>
  </si>
  <si>
    <t>Lau, Laura</t>
  </si>
  <si>
    <t>Maclean, Aeden</t>
  </si>
  <si>
    <t>Piper, Roy</t>
  </si>
  <si>
    <t>Stryd</t>
  </si>
  <si>
    <t>Kenney, Brenda</t>
  </si>
  <si>
    <t>Oggy, Danielle</t>
  </si>
  <si>
    <t>Gene</t>
  </si>
  <si>
    <t>Feisty</t>
  </si>
  <si>
    <t>Lidbury, Teri</t>
  </si>
  <si>
    <t>Michalsky, Barb</t>
  </si>
  <si>
    <t>Torgerson, Shayna</t>
  </si>
  <si>
    <t>Masha</t>
  </si>
  <si>
    <t>Vezina, Francois</t>
  </si>
  <si>
    <t>Marteniuk, Wendy</t>
  </si>
  <si>
    <t>Dubois, Marie</t>
  </si>
  <si>
    <t>4481-QGA</t>
  </si>
  <si>
    <t>4484-QGA</t>
  </si>
  <si>
    <t>4484-QGD</t>
  </si>
  <si>
    <t>4484-QGS</t>
  </si>
  <si>
    <t>5111-QGA</t>
  </si>
  <si>
    <t>5265-QGD</t>
  </si>
  <si>
    <t>5265-QGS</t>
  </si>
  <si>
    <t>5265-QGT</t>
  </si>
  <si>
    <t>Yerxa, Alli</t>
  </si>
  <si>
    <t>2302-QGD</t>
  </si>
  <si>
    <t>2648-QGA</t>
  </si>
  <si>
    <t>2866-QGD</t>
  </si>
  <si>
    <t>3022-QGD</t>
  </si>
  <si>
    <t>3433-QGA</t>
  </si>
  <si>
    <t>3433-QGD</t>
  </si>
  <si>
    <t>3433-QGS</t>
  </si>
  <si>
    <t>3715-QGT</t>
  </si>
  <si>
    <t>3719-QGA</t>
  </si>
  <si>
    <t>3757-QGT</t>
  </si>
  <si>
    <t>3837-QGT</t>
  </si>
  <si>
    <t>3880-QGD</t>
  </si>
  <si>
    <t>3895-QGD</t>
  </si>
  <si>
    <t>4013-QGD</t>
  </si>
  <si>
    <t>4013-QGS</t>
  </si>
  <si>
    <t>4113-QGA</t>
  </si>
  <si>
    <t>4275-QGT</t>
  </si>
  <si>
    <t>4355-QGD</t>
  </si>
  <si>
    <t>4388-QGA</t>
  </si>
  <si>
    <t>4388-QGD</t>
  </si>
  <si>
    <t>4449-QGD</t>
  </si>
  <si>
    <t>4709-QGS</t>
  </si>
  <si>
    <t>4819-QGA</t>
  </si>
  <si>
    <t>5054-QGA</t>
  </si>
  <si>
    <t>5054-QGD</t>
  </si>
  <si>
    <t>5054-QGS</t>
  </si>
  <si>
    <t>5085-QGA</t>
  </si>
  <si>
    <t>5198-QGS</t>
  </si>
  <si>
    <t>5281-QGA</t>
  </si>
  <si>
    <t>5281-QGD</t>
  </si>
  <si>
    <t>5605-QGD</t>
  </si>
  <si>
    <t>5828-QGD</t>
  </si>
  <si>
    <t>5858-QGD</t>
  </si>
  <si>
    <t>5982-QGD</t>
  </si>
  <si>
    <t>6053-QGA</t>
  </si>
  <si>
    <t>6104-QGA</t>
  </si>
  <si>
    <t>6238-QGA</t>
  </si>
  <si>
    <t>6238-QGD</t>
  </si>
  <si>
    <t>Micky</t>
  </si>
  <si>
    <t>Henwood, Peggy</t>
  </si>
  <si>
    <t>Mundy, Jan</t>
  </si>
  <si>
    <t>Savard, Kloé</t>
  </si>
  <si>
    <t>Mosh-pit</t>
  </si>
  <si>
    <t>Dibbin, Erin</t>
  </si>
  <si>
    <t>Doomsday</t>
  </si>
  <si>
    <t>Aitchison, Sandra</t>
  </si>
  <si>
    <t>Iggy</t>
  </si>
  <si>
    <t>Jones</t>
  </si>
  <si>
    <t>Bassi, Erika</t>
  </si>
  <si>
    <t>1736-QGA</t>
  </si>
  <si>
    <t>1991-QGD</t>
  </si>
  <si>
    <t>3806-QGS</t>
  </si>
  <si>
    <t>4348-QGA</t>
  </si>
  <si>
    <t>4348-QGD</t>
  </si>
  <si>
    <t>4439-QGD</t>
  </si>
  <si>
    <t>4516-QGD</t>
  </si>
  <si>
    <t>4795-QGA</t>
  </si>
  <si>
    <t>5006-QGA</t>
  </si>
  <si>
    <t>5006-QGD</t>
  </si>
  <si>
    <t>5072-QGD</t>
  </si>
  <si>
    <t>5072-QGS</t>
  </si>
  <si>
    <t>5074-QGA</t>
  </si>
  <si>
    <t>5255-QGA</t>
  </si>
  <si>
    <t>5256-QGD</t>
  </si>
  <si>
    <t>5315-QGA</t>
  </si>
  <si>
    <t>5315-QGD</t>
  </si>
  <si>
    <t>5572-QGA</t>
  </si>
  <si>
    <t>5657-QGA</t>
  </si>
  <si>
    <t>5657-QGD</t>
  </si>
  <si>
    <t>5751-QGA</t>
  </si>
  <si>
    <t>5873-QGD</t>
  </si>
  <si>
    <t>5940-QGD</t>
  </si>
  <si>
    <t>6070-QGA</t>
  </si>
  <si>
    <t>6086-QGA</t>
  </si>
  <si>
    <t>6086-QGD</t>
  </si>
  <si>
    <t>6086-QGS</t>
  </si>
  <si>
    <t>6124-QGA</t>
  </si>
  <si>
    <t>6262-QGA</t>
  </si>
  <si>
    <t>649-QGA</t>
  </si>
  <si>
    <t>Rye</t>
  </si>
  <si>
    <t>Wager, Kristy</t>
  </si>
  <si>
    <t>Tremblay, Jacinthe</t>
  </si>
  <si>
    <t>Elska</t>
  </si>
  <si>
    <t>Fleury, Gabrielle</t>
  </si>
  <si>
    <t>Nera</t>
  </si>
  <si>
    <t>Cancuck</t>
  </si>
  <si>
    <t>Barbado da Terceira</t>
  </si>
  <si>
    <t>Fitzpatrick, Jessica</t>
  </si>
  <si>
    <t>Lil</t>
  </si>
  <si>
    <t>Nevin</t>
  </si>
  <si>
    <t>Watts, Kimberly</t>
  </si>
  <si>
    <t>Saint-Pierre, Elise</t>
  </si>
  <si>
    <t>Powell, Melissa</t>
  </si>
  <si>
    <t>Bernier, Charles</t>
  </si>
  <si>
    <t>Myers</t>
  </si>
  <si>
    <t>wall-e</t>
  </si>
  <si>
    <t>Creed</t>
  </si>
  <si>
    <t>Cheddar</t>
  </si>
  <si>
    <t>Williams, Joy</t>
  </si>
  <si>
    <t>Turner, Tammy</t>
  </si>
  <si>
    <t>Lord, Kelly</t>
  </si>
  <si>
    <t>Scud</t>
  </si>
  <si>
    <t>Walker, Mackenzie</t>
  </si>
  <si>
    <t>Kaytor, Shannon</t>
  </si>
  <si>
    <t>Tequila</t>
  </si>
  <si>
    <t>Chow, Alyssa</t>
  </si>
  <si>
    <t>Harkness, Mary</t>
  </si>
  <si>
    <t>Indye</t>
  </si>
  <si>
    <t>Richer, Daniele</t>
  </si>
  <si>
    <t>Massey</t>
  </si>
  <si>
    <t>Brown, Nick</t>
  </si>
  <si>
    <t>Soya</t>
  </si>
  <si>
    <t>4377-QGA</t>
  </si>
  <si>
    <t>4377-QGS</t>
  </si>
  <si>
    <t>4377-QGT</t>
  </si>
  <si>
    <t>4897-QGD</t>
  </si>
  <si>
    <t>5252-QGA</t>
  </si>
  <si>
    <t>5252-QGD</t>
  </si>
  <si>
    <t>5898-QGA</t>
  </si>
  <si>
    <t>5922-QGA</t>
  </si>
  <si>
    <t>6028-QGA</t>
  </si>
  <si>
    <t>6028-QGD</t>
  </si>
  <si>
    <t>6051-QGD</t>
  </si>
  <si>
    <t>6062-QGA</t>
  </si>
  <si>
    <t>6062-QGD</t>
  </si>
  <si>
    <t>Moss</t>
  </si>
  <si>
    <t>Kadar, Alysha</t>
  </si>
  <si>
    <t>Gerty</t>
  </si>
  <si>
    <t>Albus</t>
  </si>
  <si>
    <t>De Laboursodiere, Emilie</t>
  </si>
  <si>
    <t>Stavely, Toni</t>
  </si>
  <si>
    <t>Thomas, Annik</t>
  </si>
  <si>
    <t>Crema</t>
  </si>
  <si>
    <t>Maize</t>
  </si>
  <si>
    <t>Miller, Ashley</t>
  </si>
  <si>
    <t>Klug, Birte</t>
  </si>
  <si>
    <t>Ori</t>
  </si>
  <si>
    <t>hill-lavoie, audrey</t>
  </si>
  <si>
    <t>Radford, Bobbie</t>
  </si>
  <si>
    <t>Hoby</t>
  </si>
  <si>
    <t>Smith, Jane</t>
  </si>
  <si>
    <t>Wood, Barbara</t>
  </si>
  <si>
    <t>2995-QGS</t>
  </si>
  <si>
    <t>3834-QGD</t>
  </si>
  <si>
    <t>3984-QGS</t>
  </si>
  <si>
    <t>5350-QGS</t>
  </si>
  <si>
    <t>Mysti</t>
  </si>
  <si>
    <t>Russkiy Toy</t>
  </si>
  <si>
    <t>Yoko</t>
  </si>
  <si>
    <t>Lavoie, Céline</t>
  </si>
  <si>
    <t>Whiteman, Jennifer</t>
  </si>
  <si>
    <t>Gordy</t>
  </si>
  <si>
    <t>Hathorn, Barbara</t>
  </si>
  <si>
    <t>Jason</t>
  </si>
  <si>
    <t>Friesen, Crystal</t>
  </si>
  <si>
    <t>Essie</t>
  </si>
  <si>
    <t>Graham, Sandra</t>
  </si>
  <si>
    <t>Quinn, Mandy</t>
  </si>
  <si>
    <t>Malkoske, Leona</t>
  </si>
  <si>
    <t>Thompson, Amanda</t>
  </si>
  <si>
    <t>Gaïa</t>
  </si>
  <si>
    <t>IV</t>
  </si>
  <si>
    <t>Lanthier, Val</t>
  </si>
  <si>
    <t>Keda</t>
  </si>
  <si>
    <t>Fernandes, Amanda</t>
  </si>
  <si>
    <t>Gallifrey</t>
  </si>
  <si>
    <t>Patterson, Sandra</t>
  </si>
  <si>
    <t>Armstrong, Karen</t>
  </si>
  <si>
    <t>Bomber</t>
  </si>
  <si>
    <t>3237-QGT</t>
  </si>
  <si>
    <t>3760-QGD</t>
  </si>
  <si>
    <t>4242-QGS</t>
  </si>
  <si>
    <t>5326-QGD</t>
  </si>
  <si>
    <t>5825-QGA</t>
  </si>
  <si>
    <t>5939-QGD</t>
  </si>
  <si>
    <t>5998-QGA</t>
  </si>
  <si>
    <t>6264-QGA</t>
  </si>
  <si>
    <t>Fiddle</t>
  </si>
  <si>
    <t>Caron, Angela</t>
  </si>
  <si>
    <t>Nadja</t>
  </si>
  <si>
    <t>Cesari, Catherine</t>
  </si>
  <si>
    <t>Payne, Nicole</t>
  </si>
  <si>
    <t>Aer</t>
  </si>
  <si>
    <t>Kindratiuk, Susan</t>
  </si>
  <si>
    <t>mason, sean</t>
  </si>
  <si>
    <t>Mistral</t>
  </si>
  <si>
    <t>Bonneau, Audrey</t>
  </si>
  <si>
    <t>McLennan, Murray</t>
  </si>
  <si>
    <t>Tash</t>
  </si>
  <si>
    <t>Styxx</t>
  </si>
  <si>
    <t>Nash, Catherine</t>
  </si>
  <si>
    <t>Toope, Karen</t>
  </si>
  <si>
    <t>Dugal-Tessier, Delphie</t>
  </si>
  <si>
    <t>Sutherland, Lise</t>
  </si>
  <si>
    <t>Asha</t>
  </si>
  <si>
    <t>LAQUERRE, Melanie</t>
  </si>
  <si>
    <t>Shiva</t>
  </si>
  <si>
    <t>Ford, Amy</t>
  </si>
  <si>
    <t>Pfeiffer</t>
  </si>
  <si>
    <t>Therrien, Kyana</t>
  </si>
  <si>
    <t>4250-QGA</t>
  </si>
  <si>
    <t>4730-QGA</t>
  </si>
  <si>
    <t>5575-QGA</t>
  </si>
  <si>
    <t>5695-QGA</t>
  </si>
  <si>
    <t>6219-QGA</t>
  </si>
  <si>
    <t>6224-QGA</t>
  </si>
  <si>
    <t>6224-QGD</t>
  </si>
  <si>
    <t>1725-QGT</t>
  </si>
  <si>
    <t>2520-QGT</t>
  </si>
  <si>
    <t>2727-QGA</t>
  </si>
  <si>
    <t>2727-QGD</t>
  </si>
  <si>
    <t>2888-QGA</t>
  </si>
  <si>
    <t>2888-QGT</t>
  </si>
  <si>
    <t>3168-QGS</t>
  </si>
  <si>
    <t>3168-QGT</t>
  </si>
  <si>
    <t>3272-QGA</t>
  </si>
  <si>
    <t>3272-QGD</t>
  </si>
  <si>
    <t>4420-QGS</t>
  </si>
  <si>
    <t>4421-QGA</t>
  </si>
  <si>
    <t>4421-QGT</t>
  </si>
  <si>
    <t>4884-QGS</t>
  </si>
  <si>
    <t>4981-QGA</t>
  </si>
  <si>
    <t>4981-QGS</t>
  </si>
  <si>
    <t>5077-QGA</t>
  </si>
  <si>
    <t>5077-QGD</t>
  </si>
  <si>
    <t>5077-QGT</t>
  </si>
  <si>
    <t>5347-QGT</t>
  </si>
  <si>
    <t>547-QGT</t>
  </si>
  <si>
    <t>5563-QGA</t>
  </si>
  <si>
    <t>5638-QGS</t>
  </si>
  <si>
    <t>5679-QGA</t>
  </si>
  <si>
    <t>5679-QGD</t>
  </si>
  <si>
    <t>5679-QGS</t>
  </si>
  <si>
    <t>5714-QGA</t>
  </si>
  <si>
    <t>5714-QGD</t>
  </si>
  <si>
    <t>5767-QGA</t>
  </si>
  <si>
    <t>5767-QGD</t>
  </si>
  <si>
    <t>5814-QGD</t>
  </si>
  <si>
    <t>5959-QGD</t>
  </si>
  <si>
    <t>6112-QGA</t>
  </si>
  <si>
    <t>6112-QGT</t>
  </si>
  <si>
    <t>6207-QGD</t>
  </si>
  <si>
    <t>6207-QGT</t>
  </si>
  <si>
    <t>6258-QGA</t>
  </si>
  <si>
    <t>6258-QGD</t>
  </si>
  <si>
    <t>Kamek</t>
  </si>
  <si>
    <t>Fitzpatrick, Emily</t>
  </si>
  <si>
    <t>Koopa</t>
  </si>
  <si>
    <t>Kiss, John</t>
  </si>
  <si>
    <t>Currie, Eric</t>
  </si>
  <si>
    <t>Watts, Mary Ann</t>
  </si>
  <si>
    <t>Roman, Danielle</t>
  </si>
  <si>
    <t>Braeburn</t>
  </si>
  <si>
    <t>Evans, Dawn</t>
  </si>
  <si>
    <t>Taillon, Nathalie</t>
  </si>
  <si>
    <t>Venus</t>
  </si>
  <si>
    <t>Venier Snape, Diana</t>
  </si>
  <si>
    <t>Winer, Andrea</t>
  </si>
  <si>
    <t>Rach-Sharpe, Myah</t>
  </si>
  <si>
    <t>Eades, Ashley</t>
  </si>
  <si>
    <t>Dunfee, Kelly</t>
  </si>
  <si>
    <t>Lou</t>
  </si>
  <si>
    <t>Mombourquette, Rachael</t>
  </si>
  <si>
    <t>3199-QGS</t>
  </si>
  <si>
    <t>3521-QGS</t>
  </si>
  <si>
    <t>4250-QGS</t>
  </si>
  <si>
    <t>439-QGA</t>
  </si>
  <si>
    <t>439-QGS</t>
  </si>
  <si>
    <t>4801-QGS</t>
  </si>
  <si>
    <t>5089-QGS</t>
  </si>
  <si>
    <t>5175-QGD</t>
  </si>
  <si>
    <t>5194-QGD</t>
  </si>
  <si>
    <t>6182-QGA</t>
  </si>
  <si>
    <t>6182-QGD</t>
  </si>
  <si>
    <t>6182-QGS</t>
  </si>
  <si>
    <t>Marble</t>
  </si>
  <si>
    <t>Berenik, Tammy</t>
  </si>
  <si>
    <t>Scott, Kathy</t>
  </si>
  <si>
    <t>Burkimsher, Robin</t>
  </si>
  <si>
    <t>Lindy</t>
  </si>
  <si>
    <t>Lehmann, Arlene</t>
  </si>
  <si>
    <t>Zelda</t>
  </si>
  <si>
    <t>Summit</t>
  </si>
  <si>
    <t>Greig, Lynn</t>
  </si>
  <si>
    <t>Wright, Laura</t>
  </si>
  <si>
    <t>Draper, Kelly</t>
  </si>
  <si>
    <t>Jones, Glenda</t>
  </si>
  <si>
    <t>Tizer</t>
  </si>
  <si>
    <t>Turtle, Alanna</t>
  </si>
  <si>
    <t>Simser, Maureen</t>
  </si>
  <si>
    <t>Schmitt, Rebekka</t>
  </si>
  <si>
    <t>Couture Grondin, Myriam</t>
  </si>
  <si>
    <t>Schlybeurt, Kim</t>
  </si>
  <si>
    <t>Vortex</t>
  </si>
  <si>
    <t>Charly Rioux</t>
  </si>
  <si>
    <t>Rioux, Johanne</t>
  </si>
  <si>
    <t>Paré, Alexanne</t>
  </si>
  <si>
    <t>Synderella</t>
  </si>
  <si>
    <t>Pichurski, Lori</t>
  </si>
  <si>
    <t>Sedenkova, Asia</t>
  </si>
  <si>
    <t>MacArthur, Jenna</t>
  </si>
  <si>
    <t>Cider</t>
  </si>
  <si>
    <t>Menard, Rebecca</t>
  </si>
  <si>
    <t>Meri</t>
  </si>
  <si>
    <t>Roy, Evan</t>
  </si>
  <si>
    <t>Kismet</t>
  </si>
  <si>
    <t>LEE</t>
  </si>
  <si>
    <t>Dawes, Amber</t>
  </si>
  <si>
    <t>4875-QGS</t>
  </si>
  <si>
    <t>5084-QGA</t>
  </si>
  <si>
    <t>5141-QGS</t>
  </si>
  <si>
    <t>5258-QGS</t>
  </si>
  <si>
    <t>5502-QGS</t>
  </si>
  <si>
    <t>5502-QGT</t>
  </si>
  <si>
    <t>5527-QGD</t>
  </si>
  <si>
    <t>6025-QGA</t>
  </si>
  <si>
    <t>6034-QGD</t>
  </si>
  <si>
    <t>2779-QGT</t>
  </si>
  <si>
    <t>2814-QGT</t>
  </si>
  <si>
    <t>2938-QGS</t>
  </si>
  <si>
    <t>3025-QGT</t>
  </si>
  <si>
    <t>3105-QGA</t>
  </si>
  <si>
    <t>3105-QGT</t>
  </si>
  <si>
    <t>4162-QGD</t>
  </si>
  <si>
    <t>4162-QGS</t>
  </si>
  <si>
    <t>4488-QGA</t>
  </si>
  <si>
    <t>4488-QGD</t>
  </si>
  <si>
    <t>4488-QGS</t>
  </si>
  <si>
    <t>4488-QGT</t>
  </si>
  <si>
    <t>4561-QGD</t>
  </si>
  <si>
    <t>4797-QGS</t>
  </si>
  <si>
    <t>4797-QGT</t>
  </si>
  <si>
    <t>4950-QGT</t>
  </si>
  <si>
    <t>5141-QGT</t>
  </si>
  <si>
    <t>5166-QGT</t>
  </si>
  <si>
    <t>5228-QGA</t>
  </si>
  <si>
    <t>5333-QGS</t>
  </si>
  <si>
    <t>5461-QGA</t>
  </si>
  <si>
    <t>5493-QGA</t>
  </si>
  <si>
    <t>5493-QGD</t>
  </si>
  <si>
    <t>5819-QGD</t>
  </si>
  <si>
    <t>5823-QGA</t>
  </si>
  <si>
    <t>5823-QGD</t>
  </si>
  <si>
    <t>5933-QGA</t>
  </si>
  <si>
    <t>5933-QGD</t>
  </si>
  <si>
    <t>5959-QGS</t>
  </si>
  <si>
    <t>6228-QGA</t>
  </si>
  <si>
    <t>6228-QGD</t>
  </si>
  <si>
    <t>6228-QGT</t>
  </si>
  <si>
    <t>6247-QGA</t>
  </si>
  <si>
    <t>6247-QGD</t>
  </si>
  <si>
    <t>6247-QGS</t>
  </si>
  <si>
    <t>6264-QGD</t>
  </si>
  <si>
    <t>Croquette</t>
  </si>
  <si>
    <t>Decibelle</t>
  </si>
  <si>
    <t>Perreault, Christine</t>
  </si>
  <si>
    <t>2048-QGD</t>
  </si>
  <si>
    <t>2079-QGT</t>
  </si>
  <si>
    <t>2698-QGT</t>
  </si>
  <si>
    <t>2815-QGA</t>
  </si>
  <si>
    <t>3049-QGA</t>
  </si>
  <si>
    <t>3105-QGS</t>
  </si>
  <si>
    <t>3257-QGA</t>
  </si>
  <si>
    <t>3409-QGS</t>
  </si>
  <si>
    <t>3872-QGT</t>
  </si>
  <si>
    <t>3951-QGD</t>
  </si>
  <si>
    <t>3984-QGD</t>
  </si>
  <si>
    <t>4024-QGD</t>
  </si>
  <si>
    <t>4162-QGA</t>
  </si>
  <si>
    <t>4388-QGS</t>
  </si>
  <si>
    <t>439-QGD</t>
  </si>
  <si>
    <t>4434-QGA</t>
  </si>
  <si>
    <t>4560-QGS</t>
  </si>
  <si>
    <t>4733-QGD</t>
  </si>
  <si>
    <t>5089-QGT</t>
  </si>
  <si>
    <t>5097-QGS</t>
  </si>
  <si>
    <t>5152-QGS</t>
  </si>
  <si>
    <t>5163-QGT</t>
  </si>
  <si>
    <t>5194-QGA</t>
  </si>
  <si>
    <t>5194-QGS</t>
  </si>
  <si>
    <t>5203-QGD</t>
  </si>
  <si>
    <t>5203-QGS</t>
  </si>
  <si>
    <t>5301-QGS</t>
  </si>
  <si>
    <t>5355-QGA</t>
  </si>
  <si>
    <t>5355-QGD</t>
  </si>
  <si>
    <t>5355-QGS</t>
  </si>
  <si>
    <t>5433-QGA</t>
  </si>
  <si>
    <t>5433-QGD</t>
  </si>
  <si>
    <t>5433-QGS</t>
  </si>
  <si>
    <t>5509-QGD</t>
  </si>
  <si>
    <t>5529-QGT</t>
  </si>
  <si>
    <t>5607-QGD</t>
  </si>
  <si>
    <t>5650-QGS</t>
  </si>
  <si>
    <t>5650-QGT</t>
  </si>
  <si>
    <t>5655-QGA</t>
  </si>
  <si>
    <t>5655-QGD</t>
  </si>
  <si>
    <t>5655-QGS</t>
  </si>
  <si>
    <t>5655-QGT</t>
  </si>
  <si>
    <t>5657-QGT</t>
  </si>
  <si>
    <t>5808-QGD</t>
  </si>
  <si>
    <t>5872-QGT</t>
  </si>
  <si>
    <t>5911-QGA</t>
  </si>
  <si>
    <t>5911-QGD</t>
  </si>
  <si>
    <t>5981-QGD</t>
  </si>
  <si>
    <t>5992-QGA</t>
  </si>
  <si>
    <t>6026-QGD</t>
  </si>
  <si>
    <t>6138-QGA</t>
  </si>
  <si>
    <t>6138-QGD</t>
  </si>
  <si>
    <t>6138-QGS</t>
  </si>
  <si>
    <t>6214-QGA</t>
  </si>
  <si>
    <t>6214-QGD</t>
  </si>
  <si>
    <t>6219-QGD</t>
  </si>
  <si>
    <t>6377-QGA</t>
  </si>
  <si>
    <t>Vanderkuip, Ariana</t>
  </si>
  <si>
    <t>Godfrey, Lexa</t>
  </si>
  <si>
    <t>Steuart, Hildi</t>
  </si>
  <si>
    <t>Cybulski, Beth</t>
  </si>
  <si>
    <t>Emme</t>
  </si>
  <si>
    <t>Levii</t>
  </si>
  <si>
    <t>Murphy, Makenna</t>
  </si>
  <si>
    <t>Herbert, Dave</t>
  </si>
  <si>
    <t>Taylor, Julie</t>
  </si>
  <si>
    <t>Theia</t>
  </si>
  <si>
    <t>Smith Aadoson, Shelley</t>
  </si>
  <si>
    <t>White, Danielle</t>
  </si>
  <si>
    <t>Poirier, Eric</t>
  </si>
  <si>
    <t>Tennyson</t>
  </si>
  <si>
    <t>Braithwaite, Debra</t>
  </si>
  <si>
    <t>St-Louis, Sonia</t>
  </si>
  <si>
    <t>Jackson, Linda</t>
  </si>
  <si>
    <t>Williams, Stefani</t>
  </si>
  <si>
    <t>Kinga</t>
  </si>
  <si>
    <t>Rayna</t>
  </si>
  <si>
    <t>Culberson, Abby</t>
  </si>
  <si>
    <t>Pelham, Madison</t>
  </si>
  <si>
    <t>Logan, MacKenzie</t>
  </si>
  <si>
    <t>Marosevich, Kim</t>
  </si>
  <si>
    <t>Squeeze</t>
  </si>
  <si>
    <t>Vutomi</t>
  </si>
  <si>
    <t>Twohig, Chantalle</t>
  </si>
  <si>
    <t>Impa</t>
  </si>
  <si>
    <t>Jansen, Angie</t>
  </si>
  <si>
    <t>Per, Katrina</t>
  </si>
  <si>
    <t>McNichol, Robert</t>
  </si>
  <si>
    <t>Token</t>
  </si>
  <si>
    <t>Flores, Teresa</t>
  </si>
  <si>
    <t>Frigon, Aarin</t>
  </si>
  <si>
    <t>Kenya</t>
  </si>
  <si>
    <t>Fielding, Maureen</t>
  </si>
  <si>
    <t>Thompson, Tara</t>
  </si>
  <si>
    <t>Meadow</t>
  </si>
  <si>
    <t>Primmer, Mary</t>
  </si>
  <si>
    <t>Franks, Sandra</t>
  </si>
  <si>
    <t>Morissette, Michele</t>
  </si>
  <si>
    <t>Jackson, Carol</t>
  </si>
  <si>
    <t>Waite, Kiefer</t>
  </si>
  <si>
    <t>Arsenault, Lorna</t>
  </si>
  <si>
    <t>Yammy</t>
  </si>
  <si>
    <t>Kani, Kelly</t>
  </si>
  <si>
    <t>Abbott, Julie</t>
  </si>
  <si>
    <t>Richard</t>
  </si>
  <si>
    <t>Spinelli, Jessica</t>
  </si>
  <si>
    <t>Rogers, Corinne</t>
  </si>
  <si>
    <t>Adi</t>
  </si>
  <si>
    <t>Becher, Monica</t>
  </si>
  <si>
    <t>Spears, Lori-Ann</t>
  </si>
  <si>
    <t>Deacon, Lois</t>
  </si>
  <si>
    <t>Ottenbrite, Lexi</t>
  </si>
  <si>
    <t>Shewchuk, Dania</t>
  </si>
  <si>
    <t>Hatch, Tamsin</t>
  </si>
  <si>
    <t>INOX</t>
  </si>
  <si>
    <t>Bessette, Lynne</t>
  </si>
  <si>
    <t>Ellefson, Candy</t>
  </si>
  <si>
    <t>Keough, Cierra</t>
  </si>
  <si>
    <t>Leach, Bobbi</t>
  </si>
  <si>
    <t>Tsuki</t>
  </si>
  <si>
    <t>Rochon, Diane</t>
  </si>
  <si>
    <t>Hollahan, Jamie</t>
  </si>
  <si>
    <t>Shine</t>
  </si>
  <si>
    <t>Pancake</t>
  </si>
  <si>
    <t>Robinson, Susan</t>
  </si>
  <si>
    <t>Dunic, Jillian</t>
  </si>
  <si>
    <t>Wade, Melanie</t>
  </si>
  <si>
    <t>Roy, Elie</t>
  </si>
  <si>
    <t>Dally</t>
  </si>
  <si>
    <t>Turner, Donna</t>
  </si>
  <si>
    <t>3736-QGT</t>
  </si>
  <si>
    <t>4671-QGD</t>
  </si>
  <si>
    <t>4901-QGT</t>
  </si>
  <si>
    <t>4995-QGA</t>
  </si>
  <si>
    <t>4995-QGD</t>
  </si>
  <si>
    <t>5480-QGD</t>
  </si>
  <si>
    <t>5613-QGA</t>
  </si>
  <si>
    <t>5613-QGD</t>
  </si>
  <si>
    <t>5750-QGD</t>
  </si>
  <si>
    <t>5761-QGD</t>
  </si>
  <si>
    <t>6107-QGA</t>
  </si>
  <si>
    <t>6107-QGD</t>
  </si>
  <si>
    <t>6153-QGT</t>
  </si>
  <si>
    <t>6186-QGA</t>
  </si>
  <si>
    <t>Jameson, Emma</t>
  </si>
  <si>
    <t>McFadzen, Kae</t>
  </si>
  <si>
    <t>Nash, Stephanie</t>
  </si>
  <si>
    <t>Dick, Anne</t>
  </si>
  <si>
    <t>Rogan</t>
  </si>
  <si>
    <t>Lynch, Alyson</t>
  </si>
  <si>
    <t>Ukie</t>
  </si>
  <si>
    <t>Citerne, Anne-Claire</t>
  </si>
  <si>
    <t>Gordon, Melodie</t>
  </si>
  <si>
    <t>Gallant, Clarence</t>
  </si>
  <si>
    <t>Stockwell</t>
  </si>
  <si>
    <t>Verge, Alex</t>
  </si>
  <si>
    <t>Lee, Harriet</t>
  </si>
  <si>
    <t>Lovallo, Chris and Maria</t>
  </si>
  <si>
    <t>Uhlman, Joelle</t>
  </si>
  <si>
    <t>Rogers, Kim</t>
  </si>
  <si>
    <t>Lugh</t>
  </si>
  <si>
    <t>2736-QGD</t>
  </si>
  <si>
    <t>2959-QGS</t>
  </si>
  <si>
    <t>3312-QGD</t>
  </si>
  <si>
    <t>3474-QGA</t>
  </si>
  <si>
    <t>3688-QGS</t>
  </si>
  <si>
    <t>3775-QGT</t>
  </si>
  <si>
    <t>3969-QGD</t>
  </si>
  <si>
    <t>3969-QGS</t>
  </si>
  <si>
    <t>4133-QGS</t>
  </si>
  <si>
    <t>4289-QGT</t>
  </si>
  <si>
    <t>4336-QGT</t>
  </si>
  <si>
    <t>4440-QGA</t>
  </si>
  <si>
    <t>4440-QGS</t>
  </si>
  <si>
    <t>4440-QGT</t>
  </si>
  <si>
    <t>4450-QGD</t>
  </si>
  <si>
    <t>4479-QGD</t>
  </si>
  <si>
    <t>4691-QGD</t>
  </si>
  <si>
    <t>4713-QGS</t>
  </si>
  <si>
    <t>4831-QGD</t>
  </si>
  <si>
    <t>4850-QGA</t>
  </si>
  <si>
    <t>4873-QGA</t>
  </si>
  <si>
    <t>5311-QGA</t>
  </si>
  <si>
    <t>5311-QGS</t>
  </si>
  <si>
    <t>5343-QGA</t>
  </si>
  <si>
    <t>5345-QGA</t>
  </si>
  <si>
    <t>5429-QGD</t>
  </si>
  <si>
    <t>5429-QGS</t>
  </si>
  <si>
    <t>5569-QGA</t>
  </si>
  <si>
    <t>5569-QGD</t>
  </si>
  <si>
    <t>5569-QGS</t>
  </si>
  <si>
    <t>5570-QGD</t>
  </si>
  <si>
    <t>5581-QGA</t>
  </si>
  <si>
    <t>5588-QGA</t>
  </si>
  <si>
    <t>5642-QGA</t>
  </si>
  <si>
    <t>5651-QGA</t>
  </si>
  <si>
    <t>5674-QGA</t>
  </si>
  <si>
    <t>5674-QGD</t>
  </si>
  <si>
    <t>5674-QGS</t>
  </si>
  <si>
    <t>5682-QGA</t>
  </si>
  <si>
    <t>5682-QGD</t>
  </si>
  <si>
    <t>5697-QGS</t>
  </si>
  <si>
    <t>5727-QGA</t>
  </si>
  <si>
    <t>5727-QGD</t>
  </si>
  <si>
    <t>5727-QGS</t>
  </si>
  <si>
    <t>5816-QGD</t>
  </si>
  <si>
    <t>5816-QGT</t>
  </si>
  <si>
    <t>5852-QGD</t>
  </si>
  <si>
    <t>5860-QGA</t>
  </si>
  <si>
    <t>5878-QGA</t>
  </si>
  <si>
    <t>5880-QGA</t>
  </si>
  <si>
    <t>5883-QGD</t>
  </si>
  <si>
    <t>5913-QGA</t>
  </si>
  <si>
    <t>5913-QGD</t>
  </si>
  <si>
    <t>5914-QGA</t>
  </si>
  <si>
    <t>5982-QGA</t>
  </si>
  <si>
    <t>6007-QGA</t>
  </si>
  <si>
    <t>6007-QGD</t>
  </si>
  <si>
    <t>6025-QGD</t>
  </si>
  <si>
    <t>6148-QGD</t>
  </si>
  <si>
    <t>6152-QGA</t>
  </si>
  <si>
    <t>6152-QGS</t>
  </si>
  <si>
    <t>6166-QGA</t>
  </si>
  <si>
    <t>6166-QGD</t>
  </si>
  <si>
    <t>6176-QGA</t>
  </si>
  <si>
    <t>6176-QGS</t>
  </si>
  <si>
    <t>6319-QGD</t>
  </si>
  <si>
    <t>6355-QGD</t>
  </si>
  <si>
    <t>6357-QGA</t>
  </si>
  <si>
    <t>6357-QGD</t>
  </si>
  <si>
    <t>6370-QGD</t>
  </si>
  <si>
    <t>6407-QGA</t>
  </si>
  <si>
    <t>6431-QGA</t>
  </si>
  <si>
    <t>6431-QGD</t>
  </si>
  <si>
    <t>6433-QGA</t>
  </si>
  <si>
    <t>6437-QGA</t>
  </si>
  <si>
    <t>6442-QGA</t>
  </si>
  <si>
    <t>6445-QGA</t>
  </si>
  <si>
    <t>6458-QGA</t>
  </si>
  <si>
    <t>6458-QGD</t>
  </si>
  <si>
    <t>6461-QGA</t>
  </si>
  <si>
    <t>6462-QGA</t>
  </si>
  <si>
    <t>Birdie</t>
  </si>
  <si>
    <t>Nessy</t>
  </si>
  <si>
    <t>Marchand, Fred</t>
  </si>
  <si>
    <t>Gurchin, Tawnya</t>
  </si>
  <si>
    <t>Trimm, Stephanie</t>
  </si>
  <si>
    <t>Mica</t>
  </si>
  <si>
    <t>Larocque, Nicole</t>
  </si>
  <si>
    <t>Sköll</t>
  </si>
  <si>
    <t>Corbin, Sabrina</t>
  </si>
  <si>
    <t>Sunshine Rise</t>
  </si>
  <si>
    <t>Jesso, Beulah</t>
  </si>
  <si>
    <t>Sunshine Rose</t>
  </si>
  <si>
    <t>Weir, Joan</t>
  </si>
  <si>
    <t>Knauft, Robyn</t>
  </si>
  <si>
    <t>2384-QGD</t>
  </si>
  <si>
    <t>3312-QGS</t>
  </si>
  <si>
    <t>3639-QGS</t>
  </si>
  <si>
    <t>3741-QGT</t>
  </si>
  <si>
    <t>4499-QGS</t>
  </si>
  <si>
    <t>4536-QGS</t>
  </si>
  <si>
    <t>4863-QGD</t>
  </si>
  <si>
    <t>4908-QGA</t>
  </si>
  <si>
    <t>5153-QGA</t>
  </si>
  <si>
    <t>5153-QGD</t>
  </si>
  <si>
    <t>5411-QGD</t>
  </si>
  <si>
    <t>5605-QGA</t>
  </si>
  <si>
    <t>5605-QGT</t>
  </si>
  <si>
    <t>5629-QGA</t>
  </si>
  <si>
    <t>5630-QGA</t>
  </si>
  <si>
    <t>5640-QGA</t>
  </si>
  <si>
    <t>5872-QGS</t>
  </si>
  <si>
    <t>5922-QGD</t>
  </si>
  <si>
    <t>6050-QGD</t>
  </si>
  <si>
    <t>6051-QGA</t>
  </si>
  <si>
    <t>6053-QGS</t>
  </si>
  <si>
    <t>6087-QGA</t>
  </si>
  <si>
    <t>6087-QGD</t>
  </si>
  <si>
    <t>6139-QGA</t>
  </si>
  <si>
    <t>6139-QGD</t>
  </si>
  <si>
    <t>6158-QGA</t>
  </si>
  <si>
    <t>6158-QGS</t>
  </si>
  <si>
    <t>6465-QGT</t>
  </si>
  <si>
    <t>4013-QGT</t>
  </si>
  <si>
    <t>4971-QGA</t>
  </si>
  <si>
    <t>4971-QGD</t>
  </si>
  <si>
    <t>5154-QGA</t>
  </si>
  <si>
    <t>5154-QGD</t>
  </si>
  <si>
    <t>5154-QGS</t>
  </si>
  <si>
    <t>5241-QGA</t>
  </si>
  <si>
    <t>5241-QGD</t>
  </si>
  <si>
    <t>6054-QGT</t>
  </si>
  <si>
    <t>6158-QGD</t>
  </si>
  <si>
    <t>Dogo Argentino</t>
  </si>
  <si>
    <t>Benny</t>
  </si>
  <si>
    <t>2679-QGD</t>
  </si>
  <si>
    <t>3203-QGD</t>
  </si>
  <si>
    <t>3511-QGS</t>
  </si>
  <si>
    <t>4054-QGA</t>
  </si>
  <si>
    <t>4730-QGD</t>
  </si>
  <si>
    <t>4730-QGS</t>
  </si>
  <si>
    <t>4738-QGS</t>
  </si>
  <si>
    <t>5134-QGA</t>
  </si>
  <si>
    <t>5134-QGD</t>
  </si>
  <si>
    <t>5134-QGS</t>
  </si>
  <si>
    <t>5163-QGS</t>
  </si>
  <si>
    <t>5382-QGA</t>
  </si>
  <si>
    <t>5449-QGS</t>
  </si>
  <si>
    <t>5465-QGA</t>
  </si>
  <si>
    <t>5465-QGS</t>
  </si>
  <si>
    <t>5695-QGS</t>
  </si>
  <si>
    <t>5750-QGS</t>
  </si>
  <si>
    <t>5940-QGA</t>
  </si>
  <si>
    <t>5940-QGT</t>
  </si>
  <si>
    <t>6002-QGA</t>
  </si>
  <si>
    <t>6163-QGA</t>
  </si>
  <si>
    <t>6163-QGD</t>
  </si>
  <si>
    <t>6163-QGS</t>
  </si>
  <si>
    <t>6203-QGD</t>
  </si>
  <si>
    <t>6310-QGD</t>
  </si>
  <si>
    <t>6310-QGS</t>
  </si>
  <si>
    <t>6391-QGA</t>
  </si>
  <si>
    <t>6391-QGD</t>
  </si>
  <si>
    <t>Martin, John</t>
  </si>
  <si>
    <t>Jam</t>
  </si>
  <si>
    <t>Nyima</t>
  </si>
  <si>
    <t>Amra</t>
  </si>
  <si>
    <t>Aqua</t>
  </si>
  <si>
    <t>Frezza, Jennifer</t>
  </si>
  <si>
    <t>Kenji</t>
  </si>
  <si>
    <t>Wilkinson, Laurie</t>
  </si>
  <si>
    <t>Gendron, Isabelle</t>
  </si>
  <si>
    <t>Aster</t>
  </si>
  <si>
    <t>Murray, Roann</t>
  </si>
  <si>
    <t>MacDonald, Kirsten</t>
  </si>
  <si>
    <t>Gaudet, Ann</t>
  </si>
  <si>
    <t>Princess Leia</t>
  </si>
  <si>
    <t>Diaz, Aneesa</t>
  </si>
  <si>
    <t>Osha</t>
  </si>
  <si>
    <t>BRUSHETT, Susan</t>
  </si>
  <si>
    <t>Leica</t>
  </si>
  <si>
    <t>Jiang, Linyan</t>
  </si>
  <si>
    <t>Crumpet</t>
  </si>
  <si>
    <t>Aston, Marilyn</t>
  </si>
  <si>
    <t>Smith, Karen</t>
  </si>
  <si>
    <t>Zoé</t>
  </si>
  <si>
    <t>Racicot, Sylviane</t>
  </si>
  <si>
    <t>Ambrose, Teresa</t>
  </si>
  <si>
    <t>Gaebel, Cathy</t>
  </si>
  <si>
    <t>Foy, Catherine</t>
  </si>
  <si>
    <t>Dim</t>
  </si>
  <si>
    <t>Sada</t>
  </si>
  <si>
    <t>Jorritsma, Michelle</t>
  </si>
  <si>
    <t>Hall, Tarrah</t>
  </si>
  <si>
    <t>Juni-B</t>
  </si>
  <si>
    <t>Parsons, Carolyn</t>
  </si>
  <si>
    <t>Spence, Duncan</t>
  </si>
  <si>
    <t>El Amin, Layla</t>
  </si>
  <si>
    <t>Wright, Ashley</t>
  </si>
  <si>
    <t>Rose, Holly</t>
  </si>
  <si>
    <t>Costello, Kaitlin</t>
  </si>
  <si>
    <t>Bernie</t>
  </si>
  <si>
    <t>Parsons, Lorie</t>
  </si>
  <si>
    <t>corkum, joanne</t>
  </si>
  <si>
    <t>Earnest</t>
  </si>
  <si>
    <t>Trotter, Nikki</t>
  </si>
  <si>
    <t>Martin, Tanya</t>
  </si>
  <si>
    <t>Spaniel (Boykin)</t>
  </si>
  <si>
    <t>Maurice, Joanne</t>
  </si>
  <si>
    <t>KELSEY</t>
  </si>
  <si>
    <t>ROBB, LYNN</t>
  </si>
  <si>
    <t>Zola</t>
  </si>
  <si>
    <t>Pye, Amber</t>
  </si>
  <si>
    <t>Hagan, Ryan</t>
  </si>
  <si>
    <t>Maki</t>
  </si>
  <si>
    <t>Herrington, Sydney</t>
  </si>
  <si>
    <t>Beni</t>
  </si>
  <si>
    <t>LEE, CATHERINE</t>
  </si>
  <si>
    <t>arsenault, catherin</t>
  </si>
  <si>
    <t>Fee</t>
  </si>
  <si>
    <t>Morkem, Abby</t>
  </si>
  <si>
    <t>Fig</t>
  </si>
  <si>
    <t>Stavale, Cassie</t>
  </si>
  <si>
    <t>Demo</t>
  </si>
  <si>
    <t>DRAX</t>
  </si>
  <si>
    <t>Tsuga</t>
  </si>
  <si>
    <t>Saulnier, Erin</t>
  </si>
  <si>
    <t>Vincent, Katie</t>
  </si>
  <si>
    <t>Jordyn</t>
  </si>
  <si>
    <t>Burns, Leslie</t>
  </si>
  <si>
    <t>Latreille, Claudia</t>
  </si>
  <si>
    <t>Vivian</t>
  </si>
  <si>
    <t>Fuller, Jennika</t>
  </si>
  <si>
    <t>Andrews, Elizabeth</t>
  </si>
  <si>
    <t>Dave</t>
  </si>
  <si>
    <t>Kavanagh, Jillian</t>
  </si>
  <si>
    <t>Coleman, Rachele</t>
  </si>
  <si>
    <t>Arbour, Jade</t>
  </si>
  <si>
    <t>Longtin, Kelly</t>
  </si>
  <si>
    <t>1280-QGA</t>
  </si>
  <si>
    <t>1281-QGA</t>
  </si>
  <si>
    <t>2611-QGA</t>
  </si>
  <si>
    <t>2611-QGD</t>
  </si>
  <si>
    <t>3156-QGD</t>
  </si>
  <si>
    <t>3428-QGA</t>
  </si>
  <si>
    <t>3428-QGD</t>
  </si>
  <si>
    <t>3704-QGS</t>
  </si>
  <si>
    <t>3745-QGA</t>
  </si>
  <si>
    <t>3745-QGD</t>
  </si>
  <si>
    <t>4600-QGT</t>
  </si>
  <si>
    <t>4794-QGT</t>
  </si>
  <si>
    <t>4955-QGA</t>
  </si>
  <si>
    <t>5194-QGT</t>
  </si>
  <si>
    <t>5326-QGS</t>
  </si>
  <si>
    <t>5401-QGA</t>
  </si>
  <si>
    <t>5401-QGD</t>
  </si>
  <si>
    <t>5575-QGS</t>
  </si>
  <si>
    <t>5585-QGS</t>
  </si>
  <si>
    <t>5688-QGD</t>
  </si>
  <si>
    <t>5889-QGD</t>
  </si>
  <si>
    <t>5904-QGA</t>
  </si>
  <si>
    <t>5904-QGD</t>
  </si>
  <si>
    <t>6006-QGA</t>
  </si>
  <si>
    <t>6031-QGA</t>
  </si>
  <si>
    <t>6031-QGD</t>
  </si>
  <si>
    <t>6043-QGD</t>
  </si>
  <si>
    <t>6079-QGD</t>
  </si>
  <si>
    <t>6187-QGA</t>
  </si>
  <si>
    <t>6252-QGA</t>
  </si>
  <si>
    <t>6252-QGD</t>
  </si>
  <si>
    <t>6291-QGA</t>
  </si>
  <si>
    <t>6291-QGD</t>
  </si>
  <si>
    <t>6291-QGT</t>
  </si>
  <si>
    <t>Leszczynski, Emma</t>
  </si>
  <si>
    <t>Berkshire, Janice</t>
  </si>
  <si>
    <t>Ricky</t>
  </si>
  <si>
    <t>Tabitha</t>
  </si>
  <si>
    <t>Simmons, Terri</t>
  </si>
  <si>
    <t>Ervin, Adrienne</t>
  </si>
  <si>
    <t>Cillian</t>
  </si>
  <si>
    <t>Lajoie, Christine</t>
  </si>
  <si>
    <t>4156-QGS</t>
  </si>
  <si>
    <t>4156-QGT</t>
  </si>
  <si>
    <t>4246-QGT</t>
  </si>
  <si>
    <t>4751-QGA</t>
  </si>
  <si>
    <t>4751-QGT</t>
  </si>
  <si>
    <t>4832-QGS</t>
  </si>
  <si>
    <t>4872-QGS</t>
  </si>
  <si>
    <t>4893-QGS</t>
  </si>
  <si>
    <t>4950-QGS</t>
  </si>
  <si>
    <t>5174-QGA</t>
  </si>
  <si>
    <t>5174-QGD</t>
  </si>
  <si>
    <t>5311-QGD</t>
  </si>
  <si>
    <t>5345-QGD</t>
  </si>
  <si>
    <t>5592-QGA</t>
  </si>
  <si>
    <t>5592-QGS</t>
  </si>
  <si>
    <t>5626-QGD</t>
  </si>
  <si>
    <t>5869-QGD</t>
  </si>
  <si>
    <t>5953-QGA</t>
  </si>
  <si>
    <t>5953-QGD</t>
  </si>
  <si>
    <t>5973-QGD</t>
  </si>
  <si>
    <t>6018-QGA</t>
  </si>
  <si>
    <t>6035-QGA</t>
  </si>
  <si>
    <t>6063-QGD</t>
  </si>
  <si>
    <t>6063-QGS</t>
  </si>
  <si>
    <t>6271-QGD</t>
  </si>
  <si>
    <t>6360-QGA</t>
  </si>
  <si>
    <t>6360-QGD</t>
  </si>
  <si>
    <t>Masson, Thomas</t>
  </si>
  <si>
    <t>SEABEE</t>
  </si>
  <si>
    <t>Juniper</t>
  </si>
  <si>
    <t>Jensen, Kiersten</t>
  </si>
  <si>
    <t>Torben</t>
  </si>
  <si>
    <t>Sharp, Darcie</t>
  </si>
  <si>
    <t>Salt, Deanna</t>
  </si>
  <si>
    <t>Howlett, Magda</t>
  </si>
  <si>
    <t>Honor</t>
  </si>
  <si>
    <t>1725-QGS</t>
  </si>
  <si>
    <t>2866-QGA</t>
  </si>
  <si>
    <t>2938-QGT</t>
  </si>
  <si>
    <t>3203-QGA</t>
  </si>
  <si>
    <t>3829-QGT</t>
  </si>
  <si>
    <t>3892-QGT</t>
  </si>
  <si>
    <t>4111-QGS</t>
  </si>
  <si>
    <t>4329-QGS</t>
  </si>
  <si>
    <t>4355-QGA</t>
  </si>
  <si>
    <t>4432-QGS</t>
  </si>
  <si>
    <t>4449-QGS</t>
  </si>
  <si>
    <t>4562-QGT</t>
  </si>
  <si>
    <t>4656-QGT</t>
  </si>
  <si>
    <t>4766-QGS</t>
  </si>
  <si>
    <t>4776-QGD</t>
  </si>
  <si>
    <t>4776-QGS</t>
  </si>
  <si>
    <t>4841-QGS</t>
  </si>
  <si>
    <t>5136-QGD</t>
  </si>
  <si>
    <t>5199-QGT</t>
  </si>
  <si>
    <t>5234-QGS</t>
  </si>
  <si>
    <t>5258-QGT</t>
  </si>
  <si>
    <t>5281-QGT</t>
  </si>
  <si>
    <t>5347-QGS</t>
  </si>
  <si>
    <t>5469-QGA</t>
  </si>
  <si>
    <t>5469-QGD</t>
  </si>
  <si>
    <t>5527-QGT</t>
  </si>
  <si>
    <t>5542-QGA</t>
  </si>
  <si>
    <t>5718-QGT</t>
  </si>
  <si>
    <t>5737-QGA</t>
  </si>
  <si>
    <t>5808-QGA</t>
  </si>
  <si>
    <t>5826-QGA</t>
  </si>
  <si>
    <t>5826-QGD</t>
  </si>
  <si>
    <t>5826-QGS</t>
  </si>
  <si>
    <t>6034-QGA</t>
  </si>
  <si>
    <t>6144-QGA</t>
  </si>
  <si>
    <t>6144-QGD</t>
  </si>
  <si>
    <t>6319-QGA</t>
  </si>
  <si>
    <t>6561-QGA</t>
  </si>
  <si>
    <t>6561-QGD</t>
  </si>
  <si>
    <t>6602-QGD</t>
  </si>
  <si>
    <t>Caldwell, Breeanna</t>
  </si>
  <si>
    <t>Ocean</t>
  </si>
  <si>
    <t>Brown, Amber</t>
  </si>
  <si>
    <t>Sutherland, Samantha</t>
  </si>
  <si>
    <t>1168-QGS</t>
  </si>
  <si>
    <t>1168-QGT</t>
  </si>
  <si>
    <t>4801-QGT</t>
  </si>
  <si>
    <t>5072-QGT</t>
  </si>
  <si>
    <t>5266-QGA</t>
  </si>
  <si>
    <t>5266-QGD</t>
  </si>
  <si>
    <t>5266-QGS</t>
  </si>
  <si>
    <t>5266-QGT</t>
  </si>
  <si>
    <t>5555-QGA</t>
  </si>
  <si>
    <t>5555-QGD</t>
  </si>
  <si>
    <t>5555-QGT</t>
  </si>
  <si>
    <t>5639-QGD</t>
  </si>
  <si>
    <t>5639-QGS</t>
  </si>
  <si>
    <t>6072-QGT</t>
  </si>
  <si>
    <t>6101-QGA</t>
  </si>
  <si>
    <t>6101-QGD</t>
  </si>
  <si>
    <t>6163-QGT</t>
  </si>
  <si>
    <t>6170-QGA</t>
  </si>
  <si>
    <t>6170-QGD</t>
  </si>
  <si>
    <t>6447-QGA</t>
  </si>
  <si>
    <t>6447-QGS</t>
  </si>
  <si>
    <t>6455-QGA</t>
  </si>
  <si>
    <t>6455-QGD</t>
  </si>
  <si>
    <t>6519-QGA</t>
  </si>
  <si>
    <t>6519-QGD</t>
  </si>
  <si>
    <t>6562-QGA</t>
  </si>
  <si>
    <t>6562-QGD</t>
  </si>
  <si>
    <t>6592-QGA</t>
  </si>
  <si>
    <t>6592-QGD</t>
  </si>
  <si>
    <t>6592-QGT</t>
  </si>
  <si>
    <t>6599-QGA</t>
  </si>
  <si>
    <t>Pelland, Stephane</t>
  </si>
  <si>
    <t>Knight, Leslie</t>
  </si>
  <si>
    <t>Fitz</t>
  </si>
  <si>
    <t>Poffenroth, Annika</t>
  </si>
  <si>
    <t>Lacroix, Hélène</t>
  </si>
  <si>
    <t>GOLD</t>
  </si>
  <si>
    <t>Masie</t>
  </si>
  <si>
    <t>Stone, Bonnie</t>
  </si>
  <si>
    <t>Blouin, Marie-Josée</t>
  </si>
  <si>
    <t>Smith, Meridel</t>
  </si>
  <si>
    <t>Johnson, Rebecca</t>
  </si>
  <si>
    <t>Helix</t>
  </si>
  <si>
    <t>Ruel, Stephanie</t>
  </si>
  <si>
    <t>Rinfret St-Yves, Rosalie</t>
  </si>
  <si>
    <t>Shiro</t>
  </si>
  <si>
    <t>Lapierre, Lionie</t>
  </si>
  <si>
    <t>Vanderzwan, Kelly</t>
  </si>
  <si>
    <t>Mercier, Lisa</t>
  </si>
  <si>
    <t>Unrecog. Dog</t>
  </si>
  <si>
    <t>Empty</t>
  </si>
  <si>
    <t>4189-QGA</t>
  </si>
  <si>
    <t>4189-QGD</t>
  </si>
  <si>
    <t>4721-QGD</t>
  </si>
  <si>
    <t>5497-QGD</t>
  </si>
  <si>
    <t>5638-QGD</t>
  </si>
  <si>
    <t>5933-QGS</t>
  </si>
  <si>
    <t>6023-QGA</t>
  </si>
  <si>
    <t>6251-QGD</t>
  </si>
  <si>
    <t>6315-QGA</t>
  </si>
  <si>
    <t>6315-QGD</t>
  </si>
  <si>
    <t>Coonhound (Treeing Walker)</t>
  </si>
  <si>
    <t>Championship</t>
  </si>
  <si>
    <t>Dates</t>
  </si>
  <si>
    <t>2993-QGA</t>
  </si>
  <si>
    <t>2993-QGD</t>
  </si>
  <si>
    <t>3433-QGT</t>
  </si>
  <si>
    <t>3464-QGA</t>
  </si>
  <si>
    <t>3464-QGD</t>
  </si>
  <si>
    <t>3464-QGT</t>
  </si>
  <si>
    <t>4063-QGS</t>
  </si>
  <si>
    <t>4169-QGD</t>
  </si>
  <si>
    <t>4232-QGS</t>
  </si>
  <si>
    <t>4267-QGT</t>
  </si>
  <si>
    <t>4282-QGD</t>
  </si>
  <si>
    <t>4282-QGS</t>
  </si>
  <si>
    <t>4299-QGA</t>
  </si>
  <si>
    <t>4691-QGA</t>
  </si>
  <si>
    <t>4714-QGA</t>
  </si>
  <si>
    <t>4743-QGS</t>
  </si>
  <si>
    <t>4743-QGT</t>
  </si>
  <si>
    <t>4920-QGA</t>
  </si>
  <si>
    <t>4920-QGD</t>
  </si>
  <si>
    <t>4954-QGS</t>
  </si>
  <si>
    <t>4954-QGT</t>
  </si>
  <si>
    <t>4967-QGA</t>
  </si>
  <si>
    <t>4967-QGD</t>
  </si>
  <si>
    <t>4967-QGS</t>
  </si>
  <si>
    <t>4967-QGT</t>
  </si>
  <si>
    <t>4983-QGA</t>
  </si>
  <si>
    <t>4983-QGS</t>
  </si>
  <si>
    <t>5096-QGT</t>
  </si>
  <si>
    <t>5097-QGT</t>
  </si>
  <si>
    <t>5273-QGD</t>
  </si>
  <si>
    <t>5334-QGS</t>
  </si>
  <si>
    <t>5355-QGT</t>
  </si>
  <si>
    <t>5396-QGS</t>
  </si>
  <si>
    <t>5682-QGT</t>
  </si>
  <si>
    <t>5697-QGA</t>
  </si>
  <si>
    <t>5697-QGT</t>
  </si>
  <si>
    <t>5733-QGA</t>
  </si>
  <si>
    <t>5733-QGD</t>
  </si>
  <si>
    <t>5816-QGA</t>
  </si>
  <si>
    <t>6026-QGA</t>
  </si>
  <si>
    <t>6026-QGS</t>
  </si>
  <si>
    <t>6026-QGT</t>
  </si>
  <si>
    <t>6215-QGA</t>
  </si>
  <si>
    <t>6215-QGD</t>
  </si>
  <si>
    <t>6330-QGD</t>
  </si>
  <si>
    <t>6417-QGA</t>
  </si>
  <si>
    <t>6580-QGA</t>
  </si>
  <si>
    <t>6580-QGD</t>
  </si>
  <si>
    <t>58-MaxScoreCSS</t>
  </si>
  <si>
    <t>78-MaxScoreCSS</t>
  </si>
  <si>
    <t>85-MaxScoreCSS</t>
  </si>
  <si>
    <t>103-MaxScoreCSS</t>
  </si>
  <si>
    <t>116-MaxScoreCSS</t>
  </si>
  <si>
    <t>186-MaxScoreCSS</t>
  </si>
  <si>
    <t>192-MaxScoreCSS</t>
  </si>
  <si>
    <t>193-MaxScoreCSS</t>
  </si>
  <si>
    <t>195-MaxScoreCSS</t>
  </si>
  <si>
    <t>196-MaxScoreCSS</t>
  </si>
  <si>
    <t>204-MaxScoreCSS</t>
  </si>
  <si>
    <t>215-MaxScoreCSS</t>
  </si>
  <si>
    <t>220-MaxScoreCSS</t>
  </si>
  <si>
    <t>224-MaxScoreCSS</t>
  </si>
  <si>
    <t>239-MaxScoreCSS</t>
  </si>
  <si>
    <t>259-MaxScoreCSS</t>
  </si>
  <si>
    <t>279-MaxScoreCSS</t>
  </si>
  <si>
    <t>289-MaxScoreCSS</t>
  </si>
  <si>
    <t>297-MaxScoreCSS</t>
  </si>
  <si>
    <t>300-MaxScoreCSS</t>
  </si>
  <si>
    <t>301-MaxScoreCSS</t>
  </si>
  <si>
    <t>307-MaxScoreCSS</t>
  </si>
  <si>
    <t>312-MaxScoreCSS</t>
  </si>
  <si>
    <t>327-MaxScoreCSS</t>
  </si>
  <si>
    <t>338-MaxScoreCSS</t>
  </si>
  <si>
    <t>349-MaxScoreCSS</t>
  </si>
  <si>
    <t>350-MaxScoreCSS</t>
  </si>
  <si>
    <t>355-MaxScoreCSS</t>
  </si>
  <si>
    <t>365-MaxScoreCSS</t>
  </si>
  <si>
    <t>376-MaxScoreCSS</t>
  </si>
  <si>
    <t>380-MaxScoreCSS</t>
  </si>
  <si>
    <t>397-MaxScoreCSS</t>
  </si>
  <si>
    <t>403-MaxScoreCSS</t>
  </si>
  <si>
    <t>413-MaxScoreCSS</t>
  </si>
  <si>
    <t>414-MaxScoreCSS</t>
  </si>
  <si>
    <t>435-MaxScoreCSS</t>
  </si>
  <si>
    <t>442-MaxScoreCSS</t>
  </si>
  <si>
    <t>461-MaxScoreCSS</t>
  </si>
  <si>
    <t>497-MaxScoreCSS</t>
  </si>
  <si>
    <t>500-MaxScoreCSS</t>
  </si>
  <si>
    <t>502-MaxScoreCSS</t>
  </si>
  <si>
    <t>504-MaxScoreCSS</t>
  </si>
  <si>
    <t>506-MaxScoreCSS</t>
  </si>
  <si>
    <t>519-MaxScoreCSS</t>
  </si>
  <si>
    <t>520-MaxScoreCSS</t>
  </si>
  <si>
    <t>521-MaxScoreCSS</t>
  </si>
  <si>
    <t>522-MaxScoreCSS</t>
  </si>
  <si>
    <t>539-MaxScoreCSS</t>
  </si>
  <si>
    <t>541-MaxScoreCSS</t>
  </si>
  <si>
    <t>586-MaxScoreCSS</t>
  </si>
  <si>
    <t>598-MaxScoreCSS</t>
  </si>
  <si>
    <t>617-MaxScoreCSS</t>
  </si>
  <si>
    <t>621-MaxScoreCSS</t>
  </si>
  <si>
    <t>623-MaxScoreCSS</t>
  </si>
  <si>
    <t>624-MaxScoreCSS</t>
  </si>
  <si>
    <t>628-MaxScoreCSS</t>
  </si>
  <si>
    <t>639-MaxScoreCSS</t>
  </si>
  <si>
    <t>640-MaxScoreCSS</t>
  </si>
  <si>
    <t>655-MaxScoreCSS</t>
  </si>
  <si>
    <t>680-MaxScoreCSS</t>
  </si>
  <si>
    <t>713-MaxScoreCSS</t>
  </si>
  <si>
    <t>714-MaxScoreCSS</t>
  </si>
  <si>
    <t>735-MaxScoreCSS</t>
  </si>
  <si>
    <t>746-MaxScoreCSS</t>
  </si>
  <si>
    <t>757-MaxScoreCSS</t>
  </si>
  <si>
    <t>758-MaxScoreCSS</t>
  </si>
  <si>
    <t>764-MaxScoreCSS</t>
  </si>
  <si>
    <t>776-MaxScoreCSS</t>
  </si>
  <si>
    <t>777-MaxScoreCSS</t>
  </si>
  <si>
    <t>786-MaxScoreCSS</t>
  </si>
  <si>
    <t>798-MaxScoreCSS</t>
  </si>
  <si>
    <t>820-MaxScoreCSS</t>
  </si>
  <si>
    <t>835-MaxScoreCSS</t>
  </si>
  <si>
    <t>841-MaxScoreCSS</t>
  </si>
  <si>
    <t>882-MaxScoreCSS</t>
  </si>
  <si>
    <t>908-MaxScoreCSS</t>
  </si>
  <si>
    <t>920-MaxScoreCSS</t>
  </si>
  <si>
    <t>922-MaxScoreCSS</t>
  </si>
  <si>
    <t>927-MaxScoreCSS</t>
  </si>
  <si>
    <t>940-MaxScoreCSS</t>
  </si>
  <si>
    <t>970-MaxScoreCSS</t>
  </si>
  <si>
    <t>1002-MaxScoreCSS</t>
  </si>
  <si>
    <t>1020-MaxScoreCSS</t>
  </si>
  <si>
    <t>1027-MaxScoreCSS</t>
  </si>
  <si>
    <t>1031-MaxScoreCSS</t>
  </si>
  <si>
    <t>1047-MaxScoreCSS</t>
  </si>
  <si>
    <t>1054-MaxScoreCSS</t>
  </si>
  <si>
    <t>1057-MaxScoreCSS</t>
  </si>
  <si>
    <t>1059-MaxScoreCSS</t>
  </si>
  <si>
    <t>1065-MaxScoreCSS</t>
  </si>
  <si>
    <t>1070-MaxScoreCSS</t>
  </si>
  <si>
    <t>1071-MaxScoreCSS</t>
  </si>
  <si>
    <t>1080-MaxScoreCSS</t>
  </si>
  <si>
    <t>1082-MaxScoreCSS</t>
  </si>
  <si>
    <t>1087-MaxScoreCSS</t>
  </si>
  <si>
    <t>1109-MaxScoreCSS</t>
  </si>
  <si>
    <t>1110-MaxScoreCSS</t>
  </si>
  <si>
    <t>1116-MaxScoreCSS</t>
  </si>
  <si>
    <t>1127-MaxScoreCSS</t>
  </si>
  <si>
    <t>1131-MaxScoreCSS</t>
  </si>
  <si>
    <t>1136-MaxScoreCSS</t>
  </si>
  <si>
    <t>1149-MaxScoreCSS</t>
  </si>
  <si>
    <t>1157-MaxScoreCSS</t>
  </si>
  <si>
    <t>1169-MaxScoreCSS</t>
  </si>
  <si>
    <t>1171-MaxScoreCSS</t>
  </si>
  <si>
    <t>1172-MaxScoreCSS</t>
  </si>
  <si>
    <t>1182-MaxScoreCSS</t>
  </si>
  <si>
    <t>1195-MaxScoreCSS</t>
  </si>
  <si>
    <t>1215-MaxScoreCSS</t>
  </si>
  <si>
    <t>1218-MaxScoreCSS</t>
  </si>
  <si>
    <t>1231-MaxScoreCSS</t>
  </si>
  <si>
    <t>1236-MaxScoreCSS</t>
  </si>
  <si>
    <t>1252-MaxScoreCSS</t>
  </si>
  <si>
    <t>1273-MaxScoreCSS</t>
  </si>
  <si>
    <t>1296-MaxScoreCSS</t>
  </si>
  <si>
    <t>1298-MaxScoreCSS</t>
  </si>
  <si>
    <t>1313-MaxScoreCSS</t>
  </si>
  <si>
    <t>1343-MaxScoreCSS</t>
  </si>
  <si>
    <t>1344-MaxScoreCSS</t>
  </si>
  <si>
    <t>1349-MaxScoreCSS</t>
  </si>
  <si>
    <t>1352-MaxScoreCSS</t>
  </si>
  <si>
    <t>1369-MaxScoreCSS</t>
  </si>
  <si>
    <t>1385-MaxScoreCSS</t>
  </si>
  <si>
    <t>1387-MaxScoreCSS</t>
  </si>
  <si>
    <t>1388-MaxScoreCSS</t>
  </si>
  <si>
    <t>1392-MaxScoreCSS</t>
  </si>
  <si>
    <t>1402-MaxScoreCSS</t>
  </si>
  <si>
    <t>1405-MaxScoreCSS</t>
  </si>
  <si>
    <t>1416-MaxScoreCSS</t>
  </si>
  <si>
    <t>1419-MaxScoreCSS</t>
  </si>
  <si>
    <t>1434-MaxScoreCSS</t>
  </si>
  <si>
    <t>1449-MaxScoreCSS</t>
  </si>
  <si>
    <t>1452-MaxScoreCSS</t>
  </si>
  <si>
    <t>1509-MaxScoreCSS</t>
  </si>
  <si>
    <t>1529-MaxScoreCSS</t>
  </si>
  <si>
    <t>1556-MaxScoreCSS</t>
  </si>
  <si>
    <t>1560-MaxScoreCSS</t>
  </si>
  <si>
    <t>1562-MaxScoreCSS</t>
  </si>
  <si>
    <t>1563-MaxScoreCSS</t>
  </si>
  <si>
    <t>1570-MaxScoreCSS</t>
  </si>
  <si>
    <t>1580-MaxScoreCSS</t>
  </si>
  <si>
    <t>1589-MaxScoreCSS</t>
  </si>
  <si>
    <t>1592-MaxScoreCSS</t>
  </si>
  <si>
    <t>1594-MaxScoreCSS</t>
  </si>
  <si>
    <t>1622-MaxScoreCSS</t>
  </si>
  <si>
    <t>1634-MaxScoreCSS</t>
  </si>
  <si>
    <t>1642-MaxScoreCSS</t>
  </si>
  <si>
    <t>1668-MaxScoreCSS</t>
  </si>
  <si>
    <t>1670-MaxScoreCSS</t>
  </si>
  <si>
    <t>1673-MaxScoreCSS</t>
  </si>
  <si>
    <t>1682-MaxScoreCSS</t>
  </si>
  <si>
    <t>1689-MaxScoreCSS</t>
  </si>
  <si>
    <t>1692-MaxScoreCSS</t>
  </si>
  <si>
    <t>1694-MaxScoreCSS</t>
  </si>
  <si>
    <t>1695-MaxScoreCSS</t>
  </si>
  <si>
    <t>1703-MaxScoreCSS</t>
  </si>
  <si>
    <t>1712-MaxScoreCSS</t>
  </si>
  <si>
    <t>1737-MaxScoreCSS</t>
  </si>
  <si>
    <t>1738-MaxScoreCSS</t>
  </si>
  <si>
    <t>1747-MaxScoreCSS</t>
  </si>
  <si>
    <t>1756-MaxScoreCSS</t>
  </si>
  <si>
    <t>1759-MaxScoreCSS</t>
  </si>
  <si>
    <t>1789-MaxScoreCSS</t>
  </si>
  <si>
    <t>1809-MaxScoreCSS</t>
  </si>
  <si>
    <t>1814-MaxScoreCSS</t>
  </si>
  <si>
    <t>1815-MaxScoreCSS</t>
  </si>
  <si>
    <t>1850-MaxScoreCSS</t>
  </si>
  <si>
    <t>1859-MaxScoreCSS</t>
  </si>
  <si>
    <t>1863-MaxScoreCSS</t>
  </si>
  <si>
    <t>1865-MaxScoreCSS</t>
  </si>
  <si>
    <t>1878-MaxScoreCSS</t>
  </si>
  <si>
    <t>1880-MaxScoreCSS</t>
  </si>
  <si>
    <t>1885-MaxScoreCSS</t>
  </si>
  <si>
    <t>1913-MaxScoreCSS</t>
  </si>
  <si>
    <t>1914-MaxScoreCSS</t>
  </si>
  <si>
    <t>1919-MaxScoreCSS</t>
  </si>
  <si>
    <t>1961-MaxScoreCSS</t>
  </si>
  <si>
    <t>1971-MaxScoreCSS</t>
  </si>
  <si>
    <t>1995-MaxScoreCSS</t>
  </si>
  <si>
    <t>2004-MaxScoreCSS</t>
  </si>
  <si>
    <t>2005-MaxScoreCSS</t>
  </si>
  <si>
    <t>2012-MaxScoreCSS</t>
  </si>
  <si>
    <t>2023-MaxScoreCSS</t>
  </si>
  <si>
    <t>2030-MaxScoreCSS</t>
  </si>
  <si>
    <t>2045-MaxScoreCSS</t>
  </si>
  <si>
    <t>2053-MaxScoreCSS</t>
  </si>
  <si>
    <t>2058-MaxScoreCSS</t>
  </si>
  <si>
    <t>2066-MaxScoreCSS</t>
  </si>
  <si>
    <t>2067-MaxScoreCSS</t>
  </si>
  <si>
    <t>2083-MaxScoreCSS</t>
  </si>
  <si>
    <t>2109-MaxScoreCSS</t>
  </si>
  <si>
    <t>2138-MaxScoreCSS</t>
  </si>
  <si>
    <t>2154-MaxScoreCSS</t>
  </si>
  <si>
    <t>2178-MaxScoreCSS</t>
  </si>
  <si>
    <t>2206-MaxScoreCSS</t>
  </si>
  <si>
    <t>2216-MaxScoreCSS</t>
  </si>
  <si>
    <t>2219-MaxScoreCSS</t>
  </si>
  <si>
    <t>2221-MaxScoreCSS</t>
  </si>
  <si>
    <t>2228-MaxScoreCSS</t>
  </si>
  <si>
    <t>2245-MaxScoreCSS</t>
  </si>
  <si>
    <t>2258-MaxScoreCSS</t>
  </si>
  <si>
    <t>2267-MaxScoreCSS</t>
  </si>
  <si>
    <t>2279-MaxScoreCSS</t>
  </si>
  <si>
    <t>2317-MaxScoreCSS</t>
  </si>
  <si>
    <t>2318-MaxScoreCSS</t>
  </si>
  <si>
    <t>2337-MaxScoreCSS</t>
  </si>
  <si>
    <t>2396-MaxScoreCSS</t>
  </si>
  <si>
    <t>2397-MaxScoreCSS</t>
  </si>
  <si>
    <t>2414-MaxScoreCSS</t>
  </si>
  <si>
    <t>2418-MaxScoreCSS</t>
  </si>
  <si>
    <t>2420-MaxScoreCSS</t>
  </si>
  <si>
    <t>2425-MaxScoreCSS</t>
  </si>
  <si>
    <t>2426-MaxScoreCSS</t>
  </si>
  <si>
    <t>2447-MaxScoreCSS</t>
  </si>
  <si>
    <t>2460-MaxScoreCSS</t>
  </si>
  <si>
    <t>2485-MaxScoreCSS</t>
  </si>
  <si>
    <t>2502-MaxScoreCSS</t>
  </si>
  <si>
    <t>2507-MaxScoreCSS</t>
  </si>
  <si>
    <t>2516-MaxScoreCSS</t>
  </si>
  <si>
    <t>2531-MaxScoreCSS</t>
  </si>
  <si>
    <t>2550-MaxScoreCSS</t>
  </si>
  <si>
    <t>2571-MaxScoreCSS</t>
  </si>
  <si>
    <t>2572-MaxScoreCSS</t>
  </si>
  <si>
    <t>2582-MaxScoreCSS</t>
  </si>
  <si>
    <t>2593-MaxScoreCSS</t>
  </si>
  <si>
    <t>2633-MaxScoreCSS</t>
  </si>
  <si>
    <t>2637-MaxScoreCSS</t>
  </si>
  <si>
    <t>2645-MaxScoreCSS</t>
  </si>
  <si>
    <t>2664-MaxScoreCSS</t>
  </si>
  <si>
    <t>2688-MaxScoreCSS</t>
  </si>
  <si>
    <t>2689-MaxScoreCSS</t>
  </si>
  <si>
    <t>2699-MaxScoreCSS</t>
  </si>
  <si>
    <t>2701-MaxScoreCSS</t>
  </si>
  <si>
    <t>2708-MaxScoreCSS</t>
  </si>
  <si>
    <t>2719-MaxScoreCSS</t>
  </si>
  <si>
    <t>2788-MaxScoreCSS</t>
  </si>
  <si>
    <t>2801-MaxScoreCSS</t>
  </si>
  <si>
    <t>2803-MaxScoreCSS</t>
  </si>
  <si>
    <t>2805-MaxScoreCSS</t>
  </si>
  <si>
    <t>2806-MaxScoreCSS</t>
  </si>
  <si>
    <t>2807-MaxScoreCSS</t>
  </si>
  <si>
    <t>2810-MaxScoreCSS</t>
  </si>
  <si>
    <t>2824-MaxScoreCSS</t>
  </si>
  <si>
    <t>2833-MaxScoreCSS</t>
  </si>
  <si>
    <t>2858-MaxScoreCSS</t>
  </si>
  <si>
    <t>2862-MaxScoreCSS</t>
  </si>
  <si>
    <t>2869-MaxScoreCSS</t>
  </si>
  <si>
    <t>2895-MaxScoreCSS</t>
  </si>
  <si>
    <t>2902-MaxScoreCSS</t>
  </si>
  <si>
    <t>2910-MaxScoreCSS</t>
  </si>
  <si>
    <t>2911-MaxScoreCSS</t>
  </si>
  <si>
    <t>2940-MaxScoreCSS</t>
  </si>
  <si>
    <t>2954-MaxScoreCSS</t>
  </si>
  <si>
    <t>2960-MaxScoreCSS</t>
  </si>
  <si>
    <t>2962-MaxScoreCSS</t>
  </si>
  <si>
    <t>2968-MaxScoreCSS</t>
  </si>
  <si>
    <t>3003-MaxScoreCSS</t>
  </si>
  <si>
    <t>3011-MaxScoreCSS</t>
  </si>
  <si>
    <t>3013-MaxScoreCSS</t>
  </si>
  <si>
    <t>3024-MaxScoreCSS</t>
  </si>
  <si>
    <t>3080-MaxScoreCSS</t>
  </si>
  <si>
    <t>3128-MaxScoreCSS</t>
  </si>
  <si>
    <t>3139-MaxScoreCSS</t>
  </si>
  <si>
    <t>3185-MaxScoreCSS</t>
  </si>
  <si>
    <t>3224-MaxScoreCSS</t>
  </si>
  <si>
    <t>3255-MaxScoreCSS</t>
  </si>
  <si>
    <t>3285-MaxScoreCSS</t>
  </si>
  <si>
    <t>3292-MaxScoreCSS</t>
  </si>
  <si>
    <t>3316-MaxScoreCSS</t>
  </si>
  <si>
    <t>3392-MaxScoreCSS</t>
  </si>
  <si>
    <t>3399-MaxScoreCSS</t>
  </si>
  <si>
    <t>3421-MaxScoreCSS</t>
  </si>
  <si>
    <t>3426-MaxScoreCSS</t>
  </si>
  <si>
    <t>3438-MaxScoreCSS</t>
  </si>
  <si>
    <t>3451-MaxScoreCSS</t>
  </si>
  <si>
    <t>3457-MaxScoreCSS</t>
  </si>
  <si>
    <t>3465-MaxScoreCSS</t>
  </si>
  <si>
    <t>3504-MaxScoreCSS</t>
  </si>
  <si>
    <t>3536-MaxScoreCSS</t>
  </si>
  <si>
    <t>3544-MaxScoreCSS</t>
  </si>
  <si>
    <t>3545-MaxScoreCSS</t>
  </si>
  <si>
    <t>3546-MaxScoreCSS</t>
  </si>
  <si>
    <t>3570-MaxScoreCSS</t>
  </si>
  <si>
    <t>3584-MaxScoreCSS</t>
  </si>
  <si>
    <t>3592-MaxScoreCSS</t>
  </si>
  <si>
    <t>3620-MaxScoreCSS</t>
  </si>
  <si>
    <t>3634-MaxScoreCSS</t>
  </si>
  <si>
    <t>3638-MaxScoreCSS</t>
  </si>
  <si>
    <t>3647-MaxScoreCSS</t>
  </si>
  <si>
    <t>3651-MaxScoreCSS</t>
  </si>
  <si>
    <t>3662-MaxScoreCSS</t>
  </si>
  <si>
    <t>3675-MaxScoreCSS</t>
  </si>
  <si>
    <t>3677-MaxScoreCSS</t>
  </si>
  <si>
    <t>3698-MaxScoreCSS</t>
  </si>
  <si>
    <t>3701-MaxScoreCSS</t>
  </si>
  <si>
    <t>3702-MaxScoreCSS</t>
  </si>
  <si>
    <t>3709-MaxScoreCSS</t>
  </si>
  <si>
    <t>3716-MaxScoreCSS</t>
  </si>
  <si>
    <t>3717-MaxScoreCSS</t>
  </si>
  <si>
    <t>3721-MaxScoreCSS</t>
  </si>
  <si>
    <t>3737-MaxScoreCSS</t>
  </si>
  <si>
    <t>3773-MaxScoreCSS</t>
  </si>
  <si>
    <t>3796-MaxScoreCSS</t>
  </si>
  <si>
    <t>3807-MaxScoreCSS</t>
  </si>
  <si>
    <t>3815-MaxScoreCSS</t>
  </si>
  <si>
    <t>3821-MaxScoreCSS</t>
  </si>
  <si>
    <t>3828-MaxScoreCSS</t>
  </si>
  <si>
    <t>3833-MaxScoreCSS</t>
  </si>
  <si>
    <t>3848-MaxScoreCSS</t>
  </si>
  <si>
    <t>3858-MaxScoreCSS</t>
  </si>
  <si>
    <t>3879-MaxScoreCSS</t>
  </si>
  <si>
    <t>3885-MaxScoreCSS</t>
  </si>
  <si>
    <t>3886-MaxScoreCSS</t>
  </si>
  <si>
    <t>3891-MaxScoreCSS</t>
  </si>
  <si>
    <t>3901-MaxScoreCSS</t>
  </si>
  <si>
    <t>3906-MaxScoreCSS</t>
  </si>
  <si>
    <t>3911-MaxScoreCSS</t>
  </si>
  <si>
    <t>3912-MaxScoreCSS</t>
  </si>
  <si>
    <t>3915-MaxScoreCSS</t>
  </si>
  <si>
    <t>3923-MaxScoreCSS</t>
  </si>
  <si>
    <t>3943-MaxScoreCSS</t>
  </si>
  <si>
    <t>3946-MaxScoreCSS</t>
  </si>
  <si>
    <t>3956-MaxScoreCSS</t>
  </si>
  <si>
    <t>3957-MaxScoreCSS</t>
  </si>
  <si>
    <t>3962-MaxScoreCSS</t>
  </si>
  <si>
    <t>3972-MaxScoreCSS</t>
  </si>
  <si>
    <t>3975-MaxScoreCSS</t>
  </si>
  <si>
    <t>3993-MaxScoreCSS</t>
  </si>
  <si>
    <t>3995-MaxScoreCSS</t>
  </si>
  <si>
    <t>4014-MaxScoreCSS</t>
  </si>
  <si>
    <t>4015-MaxScoreCSS</t>
  </si>
  <si>
    <t>4041-MaxScoreCSS</t>
  </si>
  <si>
    <t>4061-MaxScoreCSS</t>
  </si>
  <si>
    <t>4070-MaxScoreCSS</t>
  </si>
  <si>
    <t>4115-MaxScoreCSS</t>
  </si>
  <si>
    <t>4179-MaxScoreCSS</t>
  </si>
  <si>
    <t>4196-MaxScoreCSS</t>
  </si>
  <si>
    <t>4197-MaxScoreCSS</t>
  </si>
  <si>
    <t>4212-MaxScoreCSS</t>
  </si>
  <si>
    <t>4219-MaxScoreCSS</t>
  </si>
  <si>
    <t>4259-MaxScoreCSS</t>
  </si>
  <si>
    <t>4263-MaxScoreCSS</t>
  </si>
  <si>
    <t>4271-MaxScoreCSS</t>
  </si>
  <si>
    <t>4279-MaxScoreCSS</t>
  </si>
  <si>
    <t>4288-MaxScoreCSS</t>
  </si>
  <si>
    <t>4316-MaxScoreCSS</t>
  </si>
  <si>
    <t>4332-MaxScoreCSS</t>
  </si>
  <si>
    <t>4368-MaxScoreCSS</t>
  </si>
  <si>
    <t>4396-MaxScoreCSS</t>
  </si>
  <si>
    <t>4414-MaxScoreCSS</t>
  </si>
  <si>
    <t>4451-MaxScoreCSS</t>
  </si>
  <si>
    <t>4452-MaxScoreCSS</t>
  </si>
  <si>
    <t>4466-MaxScoreCSS</t>
  </si>
  <si>
    <t>4467-MaxScoreCSS</t>
  </si>
  <si>
    <t>4475-MaxScoreCSS</t>
  </si>
  <si>
    <t>4491-MaxScoreCSS</t>
  </si>
  <si>
    <t>4503-MaxScoreCSS</t>
  </si>
  <si>
    <t>4510-MaxScoreCSS</t>
  </si>
  <si>
    <t>4517-MaxScoreCSS</t>
  </si>
  <si>
    <t>4522-MaxScoreCSS</t>
  </si>
  <si>
    <t>4532-MaxScoreCSS</t>
  </si>
  <si>
    <t>4542-MaxScoreCSS</t>
  </si>
  <si>
    <t>4544-MaxScoreCSS</t>
  </si>
  <si>
    <t>4552-MaxScoreCSS</t>
  </si>
  <si>
    <t>4599-MaxScoreCSS</t>
  </si>
  <si>
    <t>4611-MaxScoreCSS</t>
  </si>
  <si>
    <t>4618-MaxScoreCSS</t>
  </si>
  <si>
    <t>4627-MaxScoreCSS</t>
  </si>
  <si>
    <t>4651-MaxScoreCSS</t>
  </si>
  <si>
    <t>4658-MaxScoreCSS</t>
  </si>
  <si>
    <t>4677-MaxScoreCSS</t>
  </si>
  <si>
    <t>4678-MaxScoreCSS</t>
  </si>
  <si>
    <t>4688-MaxScoreCSS</t>
  </si>
  <si>
    <t>4693-MaxScoreCSS</t>
  </si>
  <si>
    <t>4731-MaxScoreCSS</t>
  </si>
  <si>
    <t>4744-MaxScoreCSS</t>
  </si>
  <si>
    <t>4770-MaxScoreCSS</t>
  </si>
  <si>
    <t>4773-MaxScoreCSS</t>
  </si>
  <si>
    <t>4792-MaxScoreCSS</t>
  </si>
  <si>
    <t>4818-MaxScoreCSS</t>
  </si>
  <si>
    <t>4869-MaxScoreCSS</t>
  </si>
  <si>
    <t>4871-MaxScoreCSS</t>
  </si>
  <si>
    <t>4883-MaxScoreCSS</t>
  </si>
  <si>
    <t>4888-MaxScoreCSS</t>
  </si>
  <si>
    <t>4930-MaxScoreCSS</t>
  </si>
  <si>
    <t>4932-MaxScoreCSS</t>
  </si>
  <si>
    <t>4938-MaxScoreCSS</t>
  </si>
  <si>
    <t>4951-MaxScoreCSS</t>
  </si>
  <si>
    <t>5002-MaxScoreCSS</t>
  </si>
  <si>
    <t>5010-MaxScoreCSS</t>
  </si>
  <si>
    <t>5012-MaxScoreCSS</t>
  </si>
  <si>
    <t>5020-MaxScoreCSS</t>
  </si>
  <si>
    <t>5044-MaxScoreCSS</t>
  </si>
  <si>
    <t>5045-MaxScoreCSS</t>
  </si>
  <si>
    <t>5065-MaxScoreCSS</t>
  </si>
  <si>
    <t>5127-MaxScoreCSS</t>
  </si>
  <si>
    <t>5145-MaxScoreCSS</t>
  </si>
  <si>
    <t>5151-MaxScoreCSS</t>
  </si>
  <si>
    <t>5162-MaxScoreCSS</t>
  </si>
  <si>
    <t>5178-MaxScoreCSS</t>
  </si>
  <si>
    <t>5192-MaxScoreCSS</t>
  </si>
  <si>
    <t>5196-MaxScoreCSS</t>
  </si>
  <si>
    <t>5206-MaxScoreCSS</t>
  </si>
  <si>
    <t>5239-MaxScoreCSS</t>
  </si>
  <si>
    <t>5263-MaxScoreCSS</t>
  </si>
  <si>
    <t>5298-MaxScoreCSS</t>
  </si>
  <si>
    <t>5299-MaxScoreCSS</t>
  </si>
  <si>
    <t>5310-MaxScoreCSS</t>
  </si>
  <si>
    <t>5312-MaxScoreCSS</t>
  </si>
  <si>
    <t>5325-MaxScoreCSS</t>
  </si>
  <si>
    <t>5336-MaxScoreCSS</t>
  </si>
  <si>
    <t>5359-MaxScoreCSS</t>
  </si>
  <si>
    <t>5362-MaxScoreCSS</t>
  </si>
  <si>
    <t>5386-MaxScoreCSS</t>
  </si>
  <si>
    <t>5408-MaxScoreCSS</t>
  </si>
  <si>
    <t>5418-MaxScoreCSS</t>
  </si>
  <si>
    <t>5420-MaxScoreCSS</t>
  </si>
  <si>
    <t>5471-MaxScoreCSS</t>
  </si>
  <si>
    <t>5489-MaxScoreCSS</t>
  </si>
  <si>
    <t>5490-MaxScoreCSS</t>
  </si>
  <si>
    <t>5500-MaxScoreCSS</t>
  </si>
  <si>
    <t>5515-MaxScoreCSS</t>
  </si>
  <si>
    <t>5557-MaxScoreCSS</t>
  </si>
  <si>
    <t>5574-MaxScoreCSS</t>
  </si>
  <si>
    <t>5594-MaxScoreCSS</t>
  </si>
  <si>
    <t>5617-MaxScoreCSS</t>
  </si>
  <si>
    <t>5643-MaxScoreCSS</t>
  </si>
  <si>
    <t>5667-MaxScoreCSS</t>
  </si>
  <si>
    <t>5705-MaxScoreCSS</t>
  </si>
  <si>
    <t>5753-MaxScoreCSS</t>
  </si>
  <si>
    <t>5765-MaxScoreCSS</t>
  </si>
  <si>
    <t>5799-MaxScoreCSS</t>
  </si>
  <si>
    <t>5814-MaxScoreCSS</t>
  </si>
  <si>
    <t>5822-MaxScoreCSS</t>
  </si>
  <si>
    <t>5881-MaxScoreCSS</t>
  </si>
  <si>
    <t>5884-MaxScoreCSS</t>
  </si>
  <si>
    <t>5899-MaxScoreCSS</t>
  </si>
  <si>
    <t>5906-MaxScoreCSS</t>
  </si>
  <si>
    <t>5921-MaxScoreCSS</t>
  </si>
  <si>
    <t>5939-MaxScoreCSS</t>
  </si>
  <si>
    <t>5992-MaxScoreCSS</t>
  </si>
  <si>
    <t>5999-MaxScoreCSS</t>
  </si>
  <si>
    <t>6056-MaxScoreCSS</t>
  </si>
  <si>
    <t>6064-MaxScoreCSS</t>
  </si>
  <si>
    <t>6078-MaxScoreCSS</t>
  </si>
  <si>
    <t>6084-MaxScoreCSS</t>
  </si>
  <si>
    <t>6086-MaxScoreCSS</t>
  </si>
  <si>
    <t>6092-MaxScoreCSS</t>
  </si>
  <si>
    <t>6094-MaxScoreCSS</t>
  </si>
  <si>
    <t>6096-MaxScoreCSS</t>
  </si>
  <si>
    <t>6104-MaxScoreCSS</t>
  </si>
  <si>
    <t>6116-MaxScoreCSS</t>
  </si>
  <si>
    <t>6117-MaxScoreCSS</t>
  </si>
  <si>
    <t>6124-MaxScoreCSS</t>
  </si>
  <si>
    <t>6146-MaxScoreCSS</t>
  </si>
  <si>
    <t>6147-MaxScoreCSS</t>
  </si>
  <si>
    <t>6160-MaxScoreCSS</t>
  </si>
  <si>
    <t>6171-MaxScoreCSS</t>
  </si>
  <si>
    <t>6174-MaxScoreCSS</t>
  </si>
  <si>
    <t>6179-MaxScoreCSS</t>
  </si>
  <si>
    <t>6197-MaxScoreCSS</t>
  </si>
  <si>
    <t>6212-MaxScoreCSS</t>
  </si>
  <si>
    <t>6223-MaxScoreCSS</t>
  </si>
  <si>
    <t>6236-MaxScoreCSS</t>
  </si>
  <si>
    <t>6255-MaxScoreCSS</t>
  </si>
  <si>
    <t>6257-MaxScoreCSS</t>
  </si>
  <si>
    <t>6263-MaxScoreCSS</t>
  </si>
  <si>
    <t>6272-MaxScoreCSS</t>
  </si>
  <si>
    <t>6287-MaxScoreCSS</t>
  </si>
  <si>
    <t>6313-MaxScoreCSS</t>
  </si>
  <si>
    <t>6318-MaxScoreCSS</t>
  </si>
  <si>
    <t>6322-MaxScoreCSS</t>
  </si>
  <si>
    <t>6328-MaxScoreCSS</t>
  </si>
  <si>
    <t>6368-MaxScoreCSS</t>
  </si>
  <si>
    <t>6372-MaxScoreCSS</t>
  </si>
  <si>
    <t>6429-MaxScoreCSS</t>
  </si>
  <si>
    <t>6439-MaxScoreCSS</t>
  </si>
  <si>
    <t>6441-MaxScoreCSS</t>
  </si>
  <si>
    <t>6450-MaxScoreCSS</t>
  </si>
  <si>
    <t>6471-MaxScoreCSS</t>
  </si>
  <si>
    <t>6500-MaxScoreCSS</t>
  </si>
  <si>
    <t>6509-MaxScoreCSS</t>
  </si>
  <si>
    <t>6513-MaxScoreCSS</t>
  </si>
  <si>
    <t>6551-MaxScoreCSS</t>
  </si>
  <si>
    <t>6577-MaxScoreCSS</t>
  </si>
  <si>
    <t>6579-MaxScoreCSS</t>
  </si>
  <si>
    <t>6585-MaxScoreCSS</t>
  </si>
  <si>
    <t>6603-MaxScoreCSS</t>
  </si>
  <si>
    <t>6618-MaxScoreCSS</t>
  </si>
  <si>
    <t>58-MaxScoreISS</t>
  </si>
  <si>
    <t>78-MaxScoreISS</t>
  </si>
  <si>
    <t>170-MaxScoreISS</t>
  </si>
  <si>
    <t>176-MaxScoreISS</t>
  </si>
  <si>
    <t>192-MaxScoreISS</t>
  </si>
  <si>
    <t>193-MaxScoreISS</t>
  </si>
  <si>
    <t>215-MaxScoreISS</t>
  </si>
  <si>
    <t>222-MaxScoreISS</t>
  </si>
  <si>
    <t>224-MaxScoreISS</t>
  </si>
  <si>
    <t>233-MaxScoreISS</t>
  </si>
  <si>
    <t>236-MaxScoreISS</t>
  </si>
  <si>
    <t>239-MaxScoreISS</t>
  </si>
  <si>
    <t>259-MaxScoreISS</t>
  </si>
  <si>
    <t>279-MaxScoreISS</t>
  </si>
  <si>
    <t>288-MaxScoreISS</t>
  </si>
  <si>
    <t>327-MaxScoreISS</t>
  </si>
  <si>
    <t>355-MaxScoreISS</t>
  </si>
  <si>
    <t>376-MaxScoreISS</t>
  </si>
  <si>
    <t>391-MaxScoreISS</t>
  </si>
  <si>
    <t>397-MaxScoreISS</t>
  </si>
  <si>
    <t>403-MaxScoreISS</t>
  </si>
  <si>
    <t>442-MaxScoreISS</t>
  </si>
  <si>
    <t>497-MaxScoreISS</t>
  </si>
  <si>
    <t>506-MaxScoreISS</t>
  </si>
  <si>
    <t>570-MaxScoreISS</t>
  </si>
  <si>
    <t>578-MaxScoreISS</t>
  </si>
  <si>
    <t>586-MaxScoreISS</t>
  </si>
  <si>
    <t>609-MaxScoreISS</t>
  </si>
  <si>
    <t>624-MaxScoreISS</t>
  </si>
  <si>
    <t>626-MaxScoreISS</t>
  </si>
  <si>
    <t>645-MaxScoreISS</t>
  </si>
  <si>
    <t>655-MaxScoreISS</t>
  </si>
  <si>
    <t>680-MaxScoreISS</t>
  </si>
  <si>
    <t>684-MaxScoreISS</t>
  </si>
  <si>
    <t>713-MaxScoreISS</t>
  </si>
  <si>
    <t>757-MaxScoreISS</t>
  </si>
  <si>
    <t>768-MaxScoreISS</t>
  </si>
  <si>
    <t>798-MaxScoreISS</t>
  </si>
  <si>
    <t>820-MaxScoreISS</t>
  </si>
  <si>
    <t>835-MaxScoreISS</t>
  </si>
  <si>
    <t>841-MaxScoreISS</t>
  </si>
  <si>
    <t>908-MaxScoreISS</t>
  </si>
  <si>
    <t>920-MaxScoreISS</t>
  </si>
  <si>
    <t>927-MaxScoreISS</t>
  </si>
  <si>
    <t>985-MaxScoreISS</t>
  </si>
  <si>
    <t>1021-MaxScoreISS</t>
  </si>
  <si>
    <t>1027-MaxScoreISS</t>
  </si>
  <si>
    <t>1041-MaxScoreISS</t>
  </si>
  <si>
    <t>1047-MaxScoreISS</t>
  </si>
  <si>
    <t>1059-MaxScoreISS</t>
  </si>
  <si>
    <t>1087-MaxScoreISS</t>
  </si>
  <si>
    <t>1171-MaxScoreISS</t>
  </si>
  <si>
    <t>1195-MaxScoreISS</t>
  </si>
  <si>
    <t>1216-MaxScoreISS</t>
  </si>
  <si>
    <t>1218-MaxScoreISS</t>
  </si>
  <si>
    <t>1221-MaxScoreISS</t>
  </si>
  <si>
    <t>1222-MaxScoreISS</t>
  </si>
  <si>
    <t>1236-MaxScoreISS</t>
  </si>
  <si>
    <t>1252-MaxScoreISS</t>
  </si>
  <si>
    <t>1297-MaxScoreISS</t>
  </si>
  <si>
    <t>1324-MaxScoreISS</t>
  </si>
  <si>
    <t>1392-MaxScoreISS</t>
  </si>
  <si>
    <t>1408-MaxScoreISS</t>
  </si>
  <si>
    <t>1466-MaxScoreISS</t>
  </si>
  <si>
    <t>1482-MaxScoreISS</t>
  </si>
  <si>
    <t>1509-MaxScoreISS</t>
  </si>
  <si>
    <t>1548-MaxScoreISS</t>
  </si>
  <si>
    <t>1554-MaxScoreISS</t>
  </si>
  <si>
    <t>1560-MaxScoreISS</t>
  </si>
  <si>
    <t>1567-MaxScoreISS</t>
  </si>
  <si>
    <t>1570-MaxScoreISS</t>
  </si>
  <si>
    <t>1580-MaxScoreISS</t>
  </si>
  <si>
    <t>1589-MaxScoreISS</t>
  </si>
  <si>
    <t>1594-MaxScoreISS</t>
  </si>
  <si>
    <t>1634-MaxScoreISS</t>
  </si>
  <si>
    <t>1642-MaxScoreISS</t>
  </si>
  <si>
    <t>1658-MaxScoreISS</t>
  </si>
  <si>
    <t>1662-MaxScoreISS</t>
  </si>
  <si>
    <t>1673-MaxScoreISS</t>
  </si>
  <si>
    <t>1680-MaxScoreISS</t>
  </si>
  <si>
    <t>1682-MaxScoreISS</t>
  </si>
  <si>
    <t>1689-MaxScoreISS</t>
  </si>
  <si>
    <t>1723-MaxScoreISS</t>
  </si>
  <si>
    <t>1737-MaxScoreISS</t>
  </si>
  <si>
    <t>1739-MaxScoreISS</t>
  </si>
  <si>
    <t>1747-MaxScoreISS</t>
  </si>
  <si>
    <t>1753-MaxScoreISS</t>
  </si>
  <si>
    <t>1756-MaxScoreISS</t>
  </si>
  <si>
    <t>1757-MaxScoreISS</t>
  </si>
  <si>
    <t>1759-MaxScoreISS</t>
  </si>
  <si>
    <t>1789-MaxScoreISS</t>
  </si>
  <si>
    <t>1808-MaxScoreISS</t>
  </si>
  <si>
    <t>1818-MaxScoreISS</t>
  </si>
  <si>
    <t>1850-MaxScoreISS</t>
  </si>
  <si>
    <t>1865-MaxScoreISS</t>
  </si>
  <si>
    <t>1878-MaxScoreISS</t>
  </si>
  <si>
    <t>1880-MaxScoreISS</t>
  </si>
  <si>
    <t>1891-MaxScoreISS</t>
  </si>
  <si>
    <t>1913-MaxScoreISS</t>
  </si>
  <si>
    <t>1914-MaxScoreISS</t>
  </si>
  <si>
    <t>1919-MaxScoreISS</t>
  </si>
  <si>
    <t>1957-MaxScoreISS</t>
  </si>
  <si>
    <t>1969-MaxScoreISS</t>
  </si>
  <si>
    <t>1971-MaxScoreISS</t>
  </si>
  <si>
    <t>1974-MaxScoreISS</t>
  </si>
  <si>
    <t>1981-MaxScoreISS</t>
  </si>
  <si>
    <t>2030-MaxScoreISS</t>
  </si>
  <si>
    <t>2058-MaxScoreISS</t>
  </si>
  <si>
    <t>2066-MaxScoreISS</t>
  </si>
  <si>
    <t>2070-MaxScoreISS</t>
  </si>
  <si>
    <t>2111-MaxScoreISS</t>
  </si>
  <si>
    <t>2113-MaxScoreISS</t>
  </si>
  <si>
    <t>2132-MaxScoreISS</t>
  </si>
  <si>
    <t>2138-MaxScoreISS</t>
  </si>
  <si>
    <t>2172-MaxScoreISS</t>
  </si>
  <si>
    <t>2178-MaxScoreISS</t>
  </si>
  <si>
    <t>2206-MaxScoreISS</t>
  </si>
  <si>
    <t>2258-MaxScoreISS</t>
  </si>
  <si>
    <t>2264-MaxScoreISS</t>
  </si>
  <si>
    <t>2317-MaxScoreISS</t>
  </si>
  <si>
    <t>2318-MaxScoreISS</t>
  </si>
  <si>
    <t>2337-MaxScoreISS</t>
  </si>
  <si>
    <t>2355-MaxScoreISS</t>
  </si>
  <si>
    <t>2402-MaxScoreISS</t>
  </si>
  <si>
    <t>2418-MaxScoreISS</t>
  </si>
  <si>
    <t>2425-MaxScoreISS</t>
  </si>
  <si>
    <t>2485-MaxScoreISS</t>
  </si>
  <si>
    <t>2502-MaxScoreISS</t>
  </si>
  <si>
    <t>2507-MaxScoreISS</t>
  </si>
  <si>
    <t>2513-MaxScoreISS</t>
  </si>
  <si>
    <t>2516-MaxScoreISS</t>
  </si>
  <si>
    <t>2531-MaxScoreISS</t>
  </si>
  <si>
    <t>2550-MaxScoreISS</t>
  </si>
  <si>
    <t>2560-MaxScoreISS</t>
  </si>
  <si>
    <t>2571-MaxScoreISS</t>
  </si>
  <si>
    <t>2572-MaxScoreISS</t>
  </si>
  <si>
    <t>2573-MaxScoreISS</t>
  </si>
  <si>
    <t>2574-MaxScoreISS</t>
  </si>
  <si>
    <t>2582-MaxScoreISS</t>
  </si>
  <si>
    <t>2593-MaxScoreISS</t>
  </si>
  <si>
    <t>2631-MaxScoreISS</t>
  </si>
  <si>
    <t>2637-MaxScoreISS</t>
  </si>
  <si>
    <t>2645-MaxScoreISS</t>
  </si>
  <si>
    <t>2664-MaxScoreISS</t>
  </si>
  <si>
    <t>2699-MaxScoreISS</t>
  </si>
  <si>
    <t>2701-MaxScoreISS</t>
  </si>
  <si>
    <t>2708-MaxScoreISS</t>
  </si>
  <si>
    <t>2719-MaxScoreISS</t>
  </si>
  <si>
    <t>2805-MaxScoreISS</t>
  </si>
  <si>
    <t>2806-MaxScoreISS</t>
  </si>
  <si>
    <t>2810-MaxScoreISS</t>
  </si>
  <si>
    <t>2811-MaxScoreISS</t>
  </si>
  <si>
    <t>2824-MaxScoreISS</t>
  </si>
  <si>
    <t>2833-MaxScoreISS</t>
  </si>
  <si>
    <t>2842-MaxScoreISS</t>
  </si>
  <si>
    <t>2858-MaxScoreISS</t>
  </si>
  <si>
    <t>2859-MaxScoreISS</t>
  </si>
  <si>
    <t>2862-MaxScoreISS</t>
  </si>
  <si>
    <t>2923-MaxScoreISS</t>
  </si>
  <si>
    <t>2931-MaxScoreISS</t>
  </si>
  <si>
    <t>2939-MaxScoreISS</t>
  </si>
  <si>
    <t>2954-MaxScoreISS</t>
  </si>
  <si>
    <t>2960-MaxScoreISS</t>
  </si>
  <si>
    <t>2968-MaxScoreISS</t>
  </si>
  <si>
    <t>3006-MaxScoreISS</t>
  </si>
  <si>
    <t>3010-MaxScoreISS</t>
  </si>
  <si>
    <t>3026-MaxScoreISS</t>
  </si>
  <si>
    <t>3080-MaxScoreISS</t>
  </si>
  <si>
    <t>3092-MaxScoreISS</t>
  </si>
  <si>
    <t>3215-MaxScoreISS</t>
  </si>
  <si>
    <t>3224-MaxScoreISS</t>
  </si>
  <si>
    <t>3255-MaxScoreISS</t>
  </si>
  <si>
    <t>3259-MaxScoreISS</t>
  </si>
  <si>
    <t>3368-MaxScoreISS</t>
  </si>
  <si>
    <t>3372-MaxScoreISS</t>
  </si>
  <si>
    <t>3392-MaxScoreISS</t>
  </si>
  <si>
    <t>3411-MaxScoreISS</t>
  </si>
  <si>
    <t>3438-MaxScoreISS</t>
  </si>
  <si>
    <t>3452-MaxScoreISS</t>
  </si>
  <si>
    <t>3455-MaxScoreISS</t>
  </si>
  <si>
    <t>3457-MaxScoreISS</t>
  </si>
  <si>
    <t>3465-MaxScoreISS</t>
  </si>
  <si>
    <t>3536-MaxScoreISS</t>
  </si>
  <si>
    <t>3539-MaxScoreISS</t>
  </si>
  <si>
    <t>3546-MaxScoreISS</t>
  </si>
  <si>
    <t>3556-MaxScoreISS</t>
  </si>
  <si>
    <t>3558-MaxScoreISS</t>
  </si>
  <si>
    <t>3585-MaxScoreISS</t>
  </si>
  <si>
    <t>3610-MaxScoreISS</t>
  </si>
  <si>
    <t>3620-MaxScoreISS</t>
  </si>
  <si>
    <t>3621-MaxScoreISS</t>
  </si>
  <si>
    <t>3656-MaxScoreISS</t>
  </si>
  <si>
    <t>3662-MaxScoreISS</t>
  </si>
  <si>
    <t>3670-MaxScoreISS</t>
  </si>
  <si>
    <t>3677-MaxScoreISS</t>
  </si>
  <si>
    <t>3702-MaxScoreISS</t>
  </si>
  <si>
    <t>3709-MaxScoreISS</t>
  </si>
  <si>
    <t>3716-MaxScoreISS</t>
  </si>
  <si>
    <t>3752-MaxScoreISS</t>
  </si>
  <si>
    <t>3781-MaxScoreISS</t>
  </si>
  <si>
    <t>3797-MaxScoreISS</t>
  </si>
  <si>
    <t>3807-MaxScoreISS</t>
  </si>
  <si>
    <t>3817-MaxScoreISS</t>
  </si>
  <si>
    <t>3821-MaxScoreISS</t>
  </si>
  <si>
    <t>3823-MaxScoreISS</t>
  </si>
  <si>
    <t>3832-MaxScoreISS</t>
  </si>
  <si>
    <t>3844-MaxScoreISS</t>
  </si>
  <si>
    <t>3848-MaxScoreISS</t>
  </si>
  <si>
    <t>3858-MaxScoreISS</t>
  </si>
  <si>
    <t>3879-MaxScoreISS</t>
  </si>
  <si>
    <t>3886-MaxScoreISS</t>
  </si>
  <si>
    <t>3901-MaxScoreISS</t>
  </si>
  <si>
    <t>3906-MaxScoreISS</t>
  </si>
  <si>
    <t>3911-MaxScoreISS</t>
  </si>
  <si>
    <t>3923-MaxScoreISS</t>
  </si>
  <si>
    <t>3941-MaxScoreISS</t>
  </si>
  <si>
    <t>3943-MaxScoreISS</t>
  </si>
  <si>
    <t>3956-MaxScoreISS</t>
  </si>
  <si>
    <t>3957-MaxScoreISS</t>
  </si>
  <si>
    <t>3958-MaxScoreISS</t>
  </si>
  <si>
    <t>3972-MaxScoreISS</t>
  </si>
  <si>
    <t>3995-MaxScoreISS</t>
  </si>
  <si>
    <t>4014-MaxScoreISS</t>
  </si>
  <si>
    <t>4061-MaxScoreISS</t>
  </si>
  <si>
    <t>4070-MaxScoreISS</t>
  </si>
  <si>
    <t>4077-MaxScoreISS</t>
  </si>
  <si>
    <t>4179-MaxScoreISS</t>
  </si>
  <si>
    <t>4196-MaxScoreISS</t>
  </si>
  <si>
    <t>4212-MaxScoreISS</t>
  </si>
  <si>
    <t>4259-MaxScoreISS</t>
  </si>
  <si>
    <t>4263-MaxScoreISS</t>
  </si>
  <si>
    <t>4288-MaxScoreISS</t>
  </si>
  <si>
    <t>4316-MaxScoreISS</t>
  </si>
  <si>
    <t>4332-MaxScoreISS</t>
  </si>
  <si>
    <t>4368-MaxScoreISS</t>
  </si>
  <si>
    <t>4437-MaxScoreISS</t>
  </si>
  <si>
    <t>4451-MaxScoreISS</t>
  </si>
  <si>
    <t>4466-MaxScoreISS</t>
  </si>
  <si>
    <t>4489-MaxScoreISS</t>
  </si>
  <si>
    <t>4532-MaxScoreISS</t>
  </si>
  <si>
    <t>4557-MaxScoreISS</t>
  </si>
  <si>
    <t>4559-MaxScoreISS</t>
  </si>
  <si>
    <t>4574-MaxScoreISS</t>
  </si>
  <si>
    <t>4595-MaxScoreISS</t>
  </si>
  <si>
    <t>4599-MaxScoreISS</t>
  </si>
  <si>
    <t>4613-MaxScoreISS</t>
  </si>
  <si>
    <t>4618-MaxScoreISS</t>
  </si>
  <si>
    <t>4627-MaxScoreISS</t>
  </si>
  <si>
    <t>4632-MaxScoreISS</t>
  </si>
  <si>
    <t>4640-MaxScoreISS</t>
  </si>
  <si>
    <t>4658-MaxScoreISS</t>
  </si>
  <si>
    <t>4678-MaxScoreISS</t>
  </si>
  <si>
    <t>4731-MaxScoreISS</t>
  </si>
  <si>
    <t>4744-MaxScoreISS</t>
  </si>
  <si>
    <t>4770-MaxScoreISS</t>
  </si>
  <si>
    <t>4792-MaxScoreISS</t>
  </si>
  <si>
    <t>4818-MaxScoreISS</t>
  </si>
  <si>
    <t>4878-MaxScoreISS</t>
  </si>
  <si>
    <t>4880-MaxScoreISS</t>
  </si>
  <si>
    <t>4924-MaxScoreISS</t>
  </si>
  <si>
    <t>4930-MaxScoreISS</t>
  </si>
  <si>
    <t>4932-MaxScoreISS</t>
  </si>
  <si>
    <t>4938-MaxScoreISS</t>
  </si>
  <si>
    <t>5002-MaxScoreISS</t>
  </si>
  <si>
    <t>5010-MaxScoreISS</t>
  </si>
  <si>
    <t>5020-MaxScoreISS</t>
  </si>
  <si>
    <t>5045-MaxScoreISS</t>
  </si>
  <si>
    <t>5053-MaxScoreISS</t>
  </si>
  <si>
    <t>5065-MaxScoreISS</t>
  </si>
  <si>
    <t>5108-MaxScoreISS</t>
  </si>
  <si>
    <t>5127-MaxScoreISS</t>
  </si>
  <si>
    <t>5145-MaxScoreISS</t>
  </si>
  <si>
    <t>5151-MaxScoreISS</t>
  </si>
  <si>
    <t>5162-MaxScoreISS</t>
  </si>
  <si>
    <t>5192-MaxScoreISS</t>
  </si>
  <si>
    <t>5196-MaxScoreISS</t>
  </si>
  <si>
    <t>5197-MaxScoreISS</t>
  </si>
  <si>
    <t>5207-MaxScoreISS</t>
  </si>
  <si>
    <t>5215-MaxScoreISS</t>
  </si>
  <si>
    <t>5239-MaxScoreISS</t>
  </si>
  <si>
    <t>5263-MaxScoreISS</t>
  </si>
  <si>
    <t>5268-MaxScoreISS</t>
  </si>
  <si>
    <t>5290-MaxScoreISS</t>
  </si>
  <si>
    <t>5310-MaxScoreISS</t>
  </si>
  <si>
    <t>5325-MaxScoreISS</t>
  </si>
  <si>
    <t>5359-MaxScoreISS</t>
  </si>
  <si>
    <t>5362-MaxScoreISS</t>
  </si>
  <si>
    <t>5406-MaxScoreISS</t>
  </si>
  <si>
    <t>5420-MaxScoreISS</t>
  </si>
  <si>
    <t>5428-MaxScoreISS</t>
  </si>
  <si>
    <t>5438-MaxScoreISS</t>
  </si>
  <si>
    <t>5464-MaxScoreISS</t>
  </si>
  <si>
    <t>5489-MaxScoreISS</t>
  </si>
  <si>
    <t>5490-MaxScoreISS</t>
  </si>
  <si>
    <t>5500-MaxScoreISS</t>
  </si>
  <si>
    <t>5551-MaxScoreISS</t>
  </si>
  <si>
    <t>5553-MaxScoreISS</t>
  </si>
  <si>
    <t>5587-MaxScoreISS</t>
  </si>
  <si>
    <t>5594-MaxScoreISS</t>
  </si>
  <si>
    <t>5643-MaxScoreISS</t>
  </si>
  <si>
    <t>5666-MaxScoreISS</t>
  </si>
  <si>
    <t>5667-MaxScoreISS</t>
  </si>
  <si>
    <t>5705-MaxScoreISS</t>
  </si>
  <si>
    <t>5707-MaxScoreISS</t>
  </si>
  <si>
    <t>5713-MaxScoreISS</t>
  </si>
  <si>
    <t>5728-MaxScoreISS</t>
  </si>
  <si>
    <t>5753-MaxScoreISS</t>
  </si>
  <si>
    <t>5766-MaxScoreISS</t>
  </si>
  <si>
    <t>5799-MaxScoreISS</t>
  </si>
  <si>
    <t>5814-MaxScoreISS</t>
  </si>
  <si>
    <t>5821-MaxScoreISS</t>
  </si>
  <si>
    <t>5851-MaxScoreISS</t>
  </si>
  <si>
    <t>5884-MaxScoreISS</t>
  </si>
  <si>
    <t>5918-MaxScoreISS</t>
  </si>
  <si>
    <t>5921-MaxScoreISS</t>
  </si>
  <si>
    <t>5939-MaxScoreISS</t>
  </si>
  <si>
    <t>5950-MaxScoreISS</t>
  </si>
  <si>
    <t>5983-MaxScoreISS</t>
  </si>
  <si>
    <t>5985-MaxScoreISS</t>
  </si>
  <si>
    <t>5986-MaxScoreISS</t>
  </si>
  <si>
    <t>6056-MaxScoreISS</t>
  </si>
  <si>
    <t>6061-MaxScoreISS</t>
  </si>
  <si>
    <t>6067-MaxScoreISS</t>
  </si>
  <si>
    <t>6091-MaxScoreISS</t>
  </si>
  <si>
    <t>6096-MaxScoreISS</t>
  </si>
  <si>
    <t>6097-MaxScoreISS</t>
  </si>
  <si>
    <t>6116-MaxScoreISS</t>
  </si>
  <si>
    <t>6117-MaxScoreISS</t>
  </si>
  <si>
    <t>6138-MaxScoreISS</t>
  </si>
  <si>
    <t>6146-MaxScoreISS</t>
  </si>
  <si>
    <t>6160-MaxScoreISS</t>
  </si>
  <si>
    <t>6168-MaxScoreISS</t>
  </si>
  <si>
    <t>6174-MaxScoreISS</t>
  </si>
  <si>
    <t>6175-MaxScoreISS</t>
  </si>
  <si>
    <t>6196-MaxScoreISS</t>
  </si>
  <si>
    <t>6212-MaxScoreISS</t>
  </si>
  <si>
    <t>6223-MaxScoreISS</t>
  </si>
  <si>
    <t>6236-MaxScoreISS</t>
  </si>
  <si>
    <t>6250-MaxScoreISS</t>
  </si>
  <si>
    <t>6263-MaxScoreISS</t>
  </si>
  <si>
    <t>6272-MaxScoreISS</t>
  </si>
  <si>
    <t>6279-MaxScoreISS</t>
  </si>
  <si>
    <t>6286-MaxScoreISS</t>
  </si>
  <si>
    <t>6287-MaxScoreISS</t>
  </si>
  <si>
    <t>6313-MaxScoreISS</t>
  </si>
  <si>
    <t>6328-MaxScoreISS</t>
  </si>
  <si>
    <t>6368-MaxScoreISS</t>
  </si>
  <si>
    <t>6384-MaxScoreISS</t>
  </si>
  <si>
    <t>6432-MaxScoreISS</t>
  </si>
  <si>
    <t>6433-MaxScoreISS</t>
  </si>
  <si>
    <t>6437-MaxScoreISS</t>
  </si>
  <si>
    <t>6441-MaxScoreISS</t>
  </si>
  <si>
    <t>6477-MaxScoreISS</t>
  </si>
  <si>
    <t>6500-MaxScoreISS</t>
  </si>
  <si>
    <t>6570-MaxScoreISS</t>
  </si>
  <si>
    <t>6577-MaxScoreISS</t>
  </si>
  <si>
    <t>6585-MaxScoreISS</t>
  </si>
  <si>
    <t>6618-MaxScoreISS</t>
  </si>
  <si>
    <t>6637-MaxScoreISS</t>
  </si>
  <si>
    <t>85-MaxScoreESS</t>
  </si>
  <si>
    <t>103-MaxScoreESS</t>
  </si>
  <si>
    <t>170-MaxScoreESS</t>
  </si>
  <si>
    <t>176-MaxScoreESS</t>
  </si>
  <si>
    <t>186-MaxScoreESS</t>
  </si>
  <si>
    <t>195-MaxScoreESS</t>
  </si>
  <si>
    <t>196-MaxScoreESS</t>
  </si>
  <si>
    <t>222-MaxScoreESS</t>
  </si>
  <si>
    <t>236-MaxScoreESS</t>
  </si>
  <si>
    <t>267-MaxScoreESS</t>
  </si>
  <si>
    <t>288-MaxScoreESS</t>
  </si>
  <si>
    <t>311-MaxScoreESS</t>
  </si>
  <si>
    <t>312-MaxScoreESS</t>
  </si>
  <si>
    <t>349-MaxScoreESS</t>
  </si>
  <si>
    <t>391-MaxScoreESS</t>
  </si>
  <si>
    <t>413-MaxScoreESS</t>
  </si>
  <si>
    <t>414-MaxScoreESS</t>
  </si>
  <si>
    <t>504-MaxScoreESS</t>
  </si>
  <si>
    <t>539-MaxScoreESS</t>
  </si>
  <si>
    <t>570-MaxScoreESS</t>
  </si>
  <si>
    <t>578-MaxScoreESS</t>
  </si>
  <si>
    <t>621-MaxScoreESS</t>
  </si>
  <si>
    <t>623-MaxScoreESS</t>
  </si>
  <si>
    <t>628-MaxScoreESS</t>
  </si>
  <si>
    <t>640-MaxScoreESS</t>
  </si>
  <si>
    <t>684-MaxScoreESS</t>
  </si>
  <si>
    <t>714-MaxScoreESS</t>
  </si>
  <si>
    <t>746-MaxScoreESS</t>
  </si>
  <si>
    <t>758-MaxScoreESS</t>
  </si>
  <si>
    <t>762-MaxScoreESS</t>
  </si>
  <si>
    <t>764-MaxScoreESS</t>
  </si>
  <si>
    <t>768-MaxScoreESS</t>
  </si>
  <si>
    <t>776-MaxScoreESS</t>
  </si>
  <si>
    <t>786-MaxScoreESS</t>
  </si>
  <si>
    <t>922-MaxScoreESS</t>
  </si>
  <si>
    <t>940-MaxScoreESS</t>
  </si>
  <si>
    <t>972-MaxScoreESS</t>
  </si>
  <si>
    <t>1080-MaxScoreESS</t>
  </si>
  <si>
    <t>1082-MaxScoreESS</t>
  </si>
  <si>
    <t>1110-MaxScoreESS</t>
  </si>
  <si>
    <t>1149-MaxScoreESS</t>
  </si>
  <si>
    <t>1157-MaxScoreESS</t>
  </si>
  <si>
    <t>1169-MaxScoreESS</t>
  </si>
  <si>
    <t>1182-MaxScoreESS</t>
  </si>
  <si>
    <t>1222-MaxScoreESS</t>
  </si>
  <si>
    <t>1272-MaxScoreESS</t>
  </si>
  <si>
    <t>1273-MaxScoreESS</t>
  </si>
  <si>
    <t>1297-MaxScoreESS</t>
  </si>
  <si>
    <t>1298-MaxScoreESS</t>
  </si>
  <si>
    <t>1313-MaxScoreESS</t>
  </si>
  <si>
    <t>1343-MaxScoreESS</t>
  </si>
  <si>
    <t>1344-MaxScoreESS</t>
  </si>
  <si>
    <t>1369-MaxScoreESS</t>
  </si>
  <si>
    <t>1385-MaxScoreESS</t>
  </si>
  <si>
    <t>1387-MaxScoreESS</t>
  </si>
  <si>
    <t>1391-MaxScoreESS</t>
  </si>
  <si>
    <t>1402-MaxScoreESS</t>
  </si>
  <si>
    <t>1405-MaxScoreESS</t>
  </si>
  <si>
    <t>1408-MaxScoreESS</t>
  </si>
  <si>
    <t>1416-MaxScoreESS</t>
  </si>
  <si>
    <t>1432-MaxScoreESS</t>
  </si>
  <si>
    <t>1434-MaxScoreESS</t>
  </si>
  <si>
    <t>1466-MaxScoreESS</t>
  </si>
  <si>
    <t>1482-MaxScoreESS</t>
  </si>
  <si>
    <t>1548-MaxScoreESS</t>
  </si>
  <si>
    <t>1556-MaxScoreESS</t>
  </si>
  <si>
    <t>1567-MaxScoreESS</t>
  </si>
  <si>
    <t>1592-MaxScoreESS</t>
  </si>
  <si>
    <t>1622-MaxScoreESS</t>
  </si>
  <si>
    <t>1650-MaxScoreESS</t>
  </si>
  <si>
    <t>1658-MaxScoreESS</t>
  </si>
  <si>
    <t>1668-MaxScoreESS</t>
  </si>
  <si>
    <t>1694-MaxScoreESS</t>
  </si>
  <si>
    <t>1695-MaxScoreESS</t>
  </si>
  <si>
    <t>1723-MaxScoreESS</t>
  </si>
  <si>
    <t>1738-MaxScoreESS</t>
  </si>
  <si>
    <t>1739-MaxScoreESS</t>
  </si>
  <si>
    <t>1757-MaxScoreESS</t>
  </si>
  <si>
    <t>1788-MaxScoreESS</t>
  </si>
  <si>
    <t>1808-MaxScoreESS</t>
  </si>
  <si>
    <t>1809-MaxScoreESS</t>
  </si>
  <si>
    <t>1830-MaxScoreESS</t>
  </si>
  <si>
    <t>1859-MaxScoreESS</t>
  </si>
  <si>
    <t>1885-MaxScoreESS</t>
  </si>
  <si>
    <t>1969-MaxScoreESS</t>
  </si>
  <si>
    <t>2004-MaxScoreESS</t>
  </si>
  <si>
    <t>2005-MaxScoreESS</t>
  </si>
  <si>
    <t>2012-MaxScoreESS</t>
  </si>
  <si>
    <t>2053-MaxScoreESS</t>
  </si>
  <si>
    <t>2067-MaxScoreESS</t>
  </si>
  <si>
    <t>2084-MaxScoreESS</t>
  </si>
  <si>
    <t>2088-MaxScoreESS</t>
  </si>
  <si>
    <t>2113-MaxScoreESS</t>
  </si>
  <si>
    <t>2132-MaxScoreESS</t>
  </si>
  <si>
    <t>2228-MaxScoreESS</t>
  </si>
  <si>
    <t>2245-MaxScoreESS</t>
  </si>
  <si>
    <t>2267-MaxScoreESS</t>
  </si>
  <si>
    <t>2279-MaxScoreESS</t>
  </si>
  <si>
    <t>2298-MaxScoreESS</t>
  </si>
  <si>
    <t>2396-MaxScoreESS</t>
  </si>
  <si>
    <t>2397-MaxScoreESS</t>
  </si>
  <si>
    <t>2420-MaxScoreESS</t>
  </si>
  <si>
    <t>2433-MaxScoreESS</t>
  </si>
  <si>
    <t>2460-MaxScoreESS</t>
  </si>
  <si>
    <t>2506-MaxScoreESS</t>
  </si>
  <si>
    <t>2612-MaxScoreESS</t>
  </si>
  <si>
    <t>2631-MaxScoreESS</t>
  </si>
  <si>
    <t>2633-MaxScoreESS</t>
  </si>
  <si>
    <t>2788-MaxScoreESS</t>
  </si>
  <si>
    <t>2803-MaxScoreESS</t>
  </si>
  <si>
    <t>2811-MaxScoreESS</t>
  </si>
  <si>
    <t>2842-MaxScoreESS</t>
  </si>
  <si>
    <t>2859-MaxScoreESS</t>
  </si>
  <si>
    <t>2884-MaxScoreESS</t>
  </si>
  <si>
    <t>2929-MaxScoreESS</t>
  </si>
  <si>
    <t>2931-MaxScoreESS</t>
  </si>
  <si>
    <t>2939-MaxScoreESS</t>
  </si>
  <si>
    <t>3013-MaxScoreESS</t>
  </si>
  <si>
    <t>3024-MaxScoreESS</t>
  </si>
  <si>
    <t>3026-MaxScoreESS</t>
  </si>
  <si>
    <t>3036-MaxScoreESS</t>
  </si>
  <si>
    <t>3079-MaxScoreESS</t>
  </si>
  <si>
    <t>3092-MaxScoreESS</t>
  </si>
  <si>
    <t>3185-MaxScoreESS</t>
  </si>
  <si>
    <t>3285-MaxScoreESS</t>
  </si>
  <si>
    <t>3292-MaxScoreESS</t>
  </si>
  <si>
    <t>3316-MaxScoreESS</t>
  </si>
  <si>
    <t>3327-MaxScoreESS</t>
  </si>
  <si>
    <t>3368-MaxScoreESS</t>
  </si>
  <si>
    <t>3399-MaxScoreESS</t>
  </si>
  <si>
    <t>3411-MaxScoreESS</t>
  </si>
  <si>
    <t>3415-MaxScoreESS</t>
  </si>
  <si>
    <t>3421-MaxScoreESS</t>
  </si>
  <si>
    <t>3426-MaxScoreESS</t>
  </si>
  <si>
    <t>3451-MaxScoreESS</t>
  </si>
  <si>
    <t>3452-MaxScoreESS</t>
  </si>
  <si>
    <t>3466-MaxScoreESS</t>
  </si>
  <si>
    <t>3539-MaxScoreESS</t>
  </si>
  <si>
    <t>3545-MaxScoreESS</t>
  </si>
  <si>
    <t>3570-MaxScoreESS</t>
  </si>
  <si>
    <t>3584-MaxScoreESS</t>
  </si>
  <si>
    <t>3585-MaxScoreESS</t>
  </si>
  <si>
    <t>3634-MaxScoreESS</t>
  </si>
  <si>
    <t>3647-MaxScoreESS</t>
  </si>
  <si>
    <t>3675-MaxScoreESS</t>
  </si>
  <si>
    <t>3698-MaxScoreESS</t>
  </si>
  <si>
    <t>3717-MaxScoreESS</t>
  </si>
  <si>
    <t>3721-MaxScoreESS</t>
  </si>
  <si>
    <t>3797-MaxScoreESS</t>
  </si>
  <si>
    <t>3817-MaxScoreESS</t>
  </si>
  <si>
    <t>3828-MaxScoreESS</t>
  </si>
  <si>
    <t>3833-MaxScoreESS</t>
  </si>
  <si>
    <t>3891-MaxScoreESS</t>
  </si>
  <si>
    <t>3915-MaxScoreESS</t>
  </si>
  <si>
    <t>3979-MaxScoreESS</t>
  </si>
  <si>
    <t>4018-MaxScoreESS</t>
  </si>
  <si>
    <t>4038-MaxScoreESS</t>
  </si>
  <si>
    <t>4041-MaxScoreESS</t>
  </si>
  <si>
    <t>4197-MaxScoreESS</t>
  </si>
  <si>
    <t>4271-MaxScoreESS</t>
  </si>
  <si>
    <t>4408-MaxScoreESS</t>
  </si>
  <si>
    <t>4414-MaxScoreESS</t>
  </si>
  <si>
    <t>4467-MaxScoreESS</t>
  </si>
  <si>
    <t>4489-MaxScoreESS</t>
  </si>
  <si>
    <t>4491-MaxScoreESS</t>
  </si>
  <si>
    <t>4503-MaxScoreESS</t>
  </si>
  <si>
    <t>4514-MaxScoreESS</t>
  </si>
  <si>
    <t>4517-MaxScoreESS</t>
  </si>
  <si>
    <t>4544-MaxScoreESS</t>
  </si>
  <si>
    <t>4552-MaxScoreESS</t>
  </si>
  <si>
    <t>4570-MaxScoreESS</t>
  </si>
  <si>
    <t>4574-MaxScoreESS</t>
  </si>
  <si>
    <t>4594-MaxScoreESS</t>
  </si>
  <si>
    <t>4640-MaxScoreESS</t>
  </si>
  <si>
    <t>4651-MaxScoreESS</t>
  </si>
  <si>
    <t>4655-MaxScoreESS</t>
  </si>
  <si>
    <t>4665-MaxScoreESS</t>
  </si>
  <si>
    <t>4677-MaxScoreESS</t>
  </si>
  <si>
    <t>4688-MaxScoreESS</t>
  </si>
  <si>
    <t>4693-MaxScoreESS</t>
  </si>
  <si>
    <t>4753-MaxScoreESS</t>
  </si>
  <si>
    <t>4773-MaxScoreESS</t>
  </si>
  <si>
    <t>4878-MaxScoreESS</t>
  </si>
  <si>
    <t>4880-MaxScoreESS</t>
  </si>
  <si>
    <t>4883-MaxScoreESS</t>
  </si>
  <si>
    <t>4924-MaxScoreESS</t>
  </si>
  <si>
    <t>4964-MaxScoreESS</t>
  </si>
  <si>
    <t>5044-MaxScoreESS</t>
  </si>
  <si>
    <t>5108-MaxScoreESS</t>
  </si>
  <si>
    <t>5215-MaxScoreESS</t>
  </si>
  <si>
    <t>5290-MaxScoreESS</t>
  </si>
  <si>
    <t>5298-MaxScoreESS</t>
  </si>
  <si>
    <t>5299-MaxScoreESS</t>
  </si>
  <si>
    <t>5318-MaxScoreESS</t>
  </si>
  <si>
    <t>5386-MaxScoreESS</t>
  </si>
  <si>
    <t>5406-MaxScoreESS</t>
  </si>
  <si>
    <t>5418-MaxScoreESS</t>
  </si>
  <si>
    <t>5428-MaxScoreESS</t>
  </si>
  <si>
    <t>5438-MaxScoreESS</t>
  </si>
  <si>
    <t>5587-MaxScoreESS</t>
  </si>
  <si>
    <t>5608-MaxScoreESS</t>
  </si>
  <si>
    <t>5617-MaxScoreESS</t>
  </si>
  <si>
    <t>5666-MaxScoreESS</t>
  </si>
  <si>
    <t>5728-MaxScoreESS</t>
  </si>
  <si>
    <t>5731-MaxScoreESS</t>
  </si>
  <si>
    <t>5821-MaxScoreESS</t>
  </si>
  <si>
    <t>5851-MaxScoreESS</t>
  </si>
  <si>
    <t>5881-MaxScoreESS</t>
  </si>
  <si>
    <t>5899-MaxScoreESS</t>
  </si>
  <si>
    <t>5906-MaxScoreESS</t>
  </si>
  <si>
    <t>5918-MaxScoreESS</t>
  </si>
  <si>
    <t>5920-MaxScoreESS</t>
  </si>
  <si>
    <t>5983-MaxScoreESS</t>
  </si>
  <si>
    <t>5985-MaxScoreESS</t>
  </si>
  <si>
    <t>5986-MaxScoreESS</t>
  </si>
  <si>
    <t>5999-MaxScoreESS</t>
  </si>
  <si>
    <t>6061-MaxScoreESS</t>
  </si>
  <si>
    <t>6097-MaxScoreESS</t>
  </si>
  <si>
    <t>6122-MaxScoreESS</t>
  </si>
  <si>
    <t>6138-MaxScoreESS</t>
  </si>
  <si>
    <t>6147-MaxScoreESS</t>
  </si>
  <si>
    <t>6167-MaxScoreESS</t>
  </si>
  <si>
    <t>6168-MaxScoreESS</t>
  </si>
  <si>
    <t>6171-MaxScoreESS</t>
  </si>
  <si>
    <t>6197-MaxScoreESS</t>
  </si>
  <si>
    <t>6250-MaxScoreESS</t>
  </si>
  <si>
    <t>6279-MaxScoreESS</t>
  </si>
  <si>
    <t>6286-MaxScoreESS</t>
  </si>
  <si>
    <t>6318-MaxScoreESS</t>
  </si>
  <si>
    <t>6358-MaxScoreESS</t>
  </si>
  <si>
    <t>6372-MaxScoreESS</t>
  </si>
  <si>
    <t>6384-MaxScoreESS</t>
  </si>
  <si>
    <t>6429-MaxScoreESS</t>
  </si>
  <si>
    <t>6433-MaxScoreESS</t>
  </si>
  <si>
    <t>6436-MaxScoreESS</t>
  </si>
  <si>
    <t>6437-MaxScoreESS</t>
  </si>
  <si>
    <t>6439-MaxScoreESS</t>
  </si>
  <si>
    <t>6477-MaxScoreESS</t>
  </si>
  <si>
    <t>6485-MaxScoreESS</t>
  </si>
  <si>
    <t>6534-MaxScoreESS</t>
  </si>
  <si>
    <t>6570-MaxScoreESS</t>
  </si>
  <si>
    <t>6637-MaxScoreESS</t>
  </si>
  <si>
    <t>31-MaxScoreCSA</t>
  </si>
  <si>
    <t>59-MaxScoreCSA</t>
  </si>
  <si>
    <t>104-MaxScoreCSA</t>
  </si>
  <si>
    <t>106-MaxScoreCSA</t>
  </si>
  <si>
    <t>121-MaxScoreCSA</t>
  </si>
  <si>
    <t>126-MaxScoreCSA</t>
  </si>
  <si>
    <t>165-MaxScoreCSA</t>
  </si>
  <si>
    <t>177-MaxScoreCSA</t>
  </si>
  <si>
    <t>186-MaxScoreCSA</t>
  </si>
  <si>
    <t>191-MaxScoreCSA</t>
  </si>
  <si>
    <t>199-MaxScoreCSA</t>
  </si>
  <si>
    <t>231-MaxScoreCSA</t>
  </si>
  <si>
    <t>239-MaxScoreCSA</t>
  </si>
  <si>
    <t>240-MaxScoreCSA</t>
  </si>
  <si>
    <t>259-MaxScoreCSA</t>
  </si>
  <si>
    <t>270-MaxScoreCSA</t>
  </si>
  <si>
    <t>276-MaxScoreCSA</t>
  </si>
  <si>
    <t>327-MaxScoreCSA</t>
  </si>
  <si>
    <t>346-MaxScoreCSA</t>
  </si>
  <si>
    <t>358-MaxScoreCSA</t>
  </si>
  <si>
    <t>377-MaxScoreCSA</t>
  </si>
  <si>
    <t>388-MaxScoreCSA</t>
  </si>
  <si>
    <t>400-MaxScoreCSA</t>
  </si>
  <si>
    <t>408-MaxScoreCSA</t>
  </si>
  <si>
    <t>454-MaxScoreCSA</t>
  </si>
  <si>
    <t>481-MaxScoreCSA</t>
  </si>
  <si>
    <t>496-MaxScoreCSA</t>
  </si>
  <si>
    <t>499-MaxScoreCSA</t>
  </si>
  <si>
    <t>514-MaxScoreCSA</t>
  </si>
  <si>
    <t>524-MaxScoreCSA</t>
  </si>
  <si>
    <t>527-MaxScoreCSA</t>
  </si>
  <si>
    <t>539-MaxScoreCSA</t>
  </si>
  <si>
    <t>557-MaxScoreCSA</t>
  </si>
  <si>
    <t>599-MaxScoreCSA</t>
  </si>
  <si>
    <t>620-MaxScoreCSA</t>
  </si>
  <si>
    <t>649-MaxScoreCSA</t>
  </si>
  <si>
    <t>672-MaxScoreCSA</t>
  </si>
  <si>
    <t>746-MaxScoreCSA</t>
  </si>
  <si>
    <t>749-MaxScoreCSA</t>
  </si>
  <si>
    <t>755-MaxScoreCSA</t>
  </si>
  <si>
    <t>756-MaxScoreCSA</t>
  </si>
  <si>
    <t>827-MaxScoreCSA</t>
  </si>
  <si>
    <t>842-MaxScoreCSA</t>
  </si>
  <si>
    <t>874-MaxScoreCSA</t>
  </si>
  <si>
    <t>875-MaxScoreCSA</t>
  </si>
  <si>
    <t>895-MaxScoreCSA</t>
  </si>
  <si>
    <t>904-MaxScoreCSA</t>
  </si>
  <si>
    <t>935-MaxScoreCSA</t>
  </si>
  <si>
    <t>939-MaxScoreCSA</t>
  </si>
  <si>
    <t>966-MaxScoreCSA</t>
  </si>
  <si>
    <t>968-MaxScoreCSA</t>
  </si>
  <si>
    <t>977-MaxScoreCSA</t>
  </si>
  <si>
    <t>979-MaxScoreCSA</t>
  </si>
  <si>
    <t>980-MaxScoreCSA</t>
  </si>
  <si>
    <t>996-MaxScoreCSA</t>
  </si>
  <si>
    <t>1005-MaxScoreCSA</t>
  </si>
  <si>
    <t>1006-MaxScoreCSA</t>
  </si>
  <si>
    <t>1015-MaxScoreCSA</t>
  </si>
  <si>
    <t>1037-MaxScoreCSA</t>
  </si>
  <si>
    <t>1042-MaxScoreCSA</t>
  </si>
  <si>
    <t>1052-MaxScoreCSA</t>
  </si>
  <si>
    <t>1070-MaxScoreCSA</t>
  </si>
  <si>
    <t>1071-MaxScoreCSA</t>
  </si>
  <si>
    <t>1098-MaxScoreCSA</t>
  </si>
  <si>
    <t>1119-MaxScoreCSA</t>
  </si>
  <si>
    <t>1148-MaxScoreCSA</t>
  </si>
  <si>
    <t>1163-MaxScoreCSA</t>
  </si>
  <si>
    <t>1165-MaxScoreCSA</t>
  </si>
  <si>
    <t>1171-MaxScoreCSA</t>
  </si>
  <si>
    <t>1177-MaxScoreCSA</t>
  </si>
  <si>
    <t>1183-MaxScoreCSA</t>
  </si>
  <si>
    <t>1204-MaxScoreCSA</t>
  </si>
  <si>
    <t>1210-MaxScoreCSA</t>
  </si>
  <si>
    <t>1214-MaxScoreCSA</t>
  </si>
  <si>
    <t>1229-MaxScoreCSA</t>
  </si>
  <si>
    <t>1236-MaxScoreCSA</t>
  </si>
  <si>
    <t>1238-MaxScoreCSA</t>
  </si>
  <si>
    <t>1247-MaxScoreCSA</t>
  </si>
  <si>
    <t>1249-MaxScoreCSA</t>
  </si>
  <si>
    <t>1284-MaxScoreCSA</t>
  </si>
  <si>
    <t>1307-MaxScoreCSA</t>
  </si>
  <si>
    <t>1326-MaxScoreCSA</t>
  </si>
  <si>
    <t>1327-MaxScoreCSA</t>
  </si>
  <si>
    <t>1337-MaxScoreCSA</t>
  </si>
  <si>
    <t>1342-MaxScoreCSA</t>
  </si>
  <si>
    <t>1344-MaxScoreCSA</t>
  </si>
  <si>
    <t>1392-MaxScoreCSA</t>
  </si>
  <si>
    <t>1400-MaxScoreCSA</t>
  </si>
  <si>
    <t>1407-MaxScoreCSA</t>
  </si>
  <si>
    <t>1409-MaxScoreCSA</t>
  </si>
  <si>
    <t>1418-MaxScoreCSA</t>
  </si>
  <si>
    <t>1441-MaxScoreCSA</t>
  </si>
  <si>
    <t>1450-MaxScoreCSA</t>
  </si>
  <si>
    <t>1460-MaxScoreCSA</t>
  </si>
  <si>
    <t>1461-MaxScoreCSA</t>
  </si>
  <si>
    <t>1463-MaxScoreCSA</t>
  </si>
  <si>
    <t>1468-MaxScoreCSA</t>
  </si>
  <si>
    <t>1510-MaxScoreCSA</t>
  </si>
  <si>
    <t>1514-MaxScoreCSA</t>
  </si>
  <si>
    <t>1521-MaxScoreCSA</t>
  </si>
  <si>
    <t>1525-MaxScoreCSA</t>
  </si>
  <si>
    <t>1534-MaxScoreCSA</t>
  </si>
  <si>
    <t>1536-MaxScoreCSA</t>
  </si>
  <si>
    <t>1537-MaxScoreCSA</t>
  </si>
  <si>
    <t>1600-MaxScoreCSA</t>
  </si>
  <si>
    <t>1604-MaxScoreCSA</t>
  </si>
  <si>
    <t>1607-MaxScoreCSA</t>
  </si>
  <si>
    <t>1608-MaxScoreCSA</t>
  </si>
  <si>
    <t>1635-MaxScoreCSA</t>
  </si>
  <si>
    <t>1645-MaxScoreCSA</t>
  </si>
  <si>
    <t>1649-MaxScoreCSA</t>
  </si>
  <si>
    <t>1659-MaxScoreCSA</t>
  </si>
  <si>
    <t>1661-MaxScoreCSA</t>
  </si>
  <si>
    <t>1670-MaxScoreCSA</t>
  </si>
  <si>
    <t>1672-MaxScoreCSA</t>
  </si>
  <si>
    <t>1674-MaxScoreCSA</t>
  </si>
  <si>
    <t>1678-MaxScoreCSA</t>
  </si>
  <si>
    <t>1679-MaxScoreCSA</t>
  </si>
  <si>
    <t>1694-MaxScoreCSA</t>
  </si>
  <si>
    <t>1695-MaxScoreCSA</t>
  </si>
  <si>
    <t>1707-MaxScoreCSA</t>
  </si>
  <si>
    <t>1712-MaxScoreCSA</t>
  </si>
  <si>
    <t>1728-MaxScoreCSA</t>
  </si>
  <si>
    <t>1731-MaxScoreCSA</t>
  </si>
  <si>
    <t>1737-MaxScoreCSA</t>
  </si>
  <si>
    <t>1747-MaxScoreCSA</t>
  </si>
  <si>
    <t>1759-MaxScoreCSA</t>
  </si>
  <si>
    <t>1773-MaxScoreCSA</t>
  </si>
  <si>
    <t>1797-MaxScoreCSA</t>
  </si>
  <si>
    <t>1834-MaxScoreCSA</t>
  </si>
  <si>
    <t>1851-MaxScoreCSA</t>
  </si>
  <si>
    <t>1857-MaxScoreCSA</t>
  </si>
  <si>
    <t>1877-MaxScoreCSA</t>
  </si>
  <si>
    <t>1888-MaxScoreCSA</t>
  </si>
  <si>
    <t>1912-MaxScoreCSA</t>
  </si>
  <si>
    <t>1915-MaxScoreCSA</t>
  </si>
  <si>
    <t>1917-MaxScoreCSA</t>
  </si>
  <si>
    <t>1952-MaxScoreCSA</t>
  </si>
  <si>
    <t>1958-MaxScoreCSA</t>
  </si>
  <si>
    <t>1963-MaxScoreCSA</t>
  </si>
  <si>
    <t>1965-MaxScoreCSA</t>
  </si>
  <si>
    <t>1987-MaxScoreCSA</t>
  </si>
  <si>
    <t>1991-MaxScoreCSA</t>
  </si>
  <si>
    <t>2003-MaxScoreCSA</t>
  </si>
  <si>
    <t>2017-MaxScoreCSA</t>
  </si>
  <si>
    <t>2024-MaxScoreCSA</t>
  </si>
  <si>
    <t>2056-MaxScoreCSA</t>
  </si>
  <si>
    <t>2066-MaxScoreCSA</t>
  </si>
  <si>
    <t>2067-MaxScoreCSA</t>
  </si>
  <si>
    <t>2076-MaxScoreCSA</t>
  </si>
  <si>
    <t>2078-MaxScoreCSA</t>
  </si>
  <si>
    <t>2085-MaxScoreCSA</t>
  </si>
  <si>
    <t>2088-MaxScoreCSA</t>
  </si>
  <si>
    <t>2096-MaxScoreCSA</t>
  </si>
  <si>
    <t>2115-MaxScoreCSA</t>
  </si>
  <si>
    <t>2117-MaxScoreCSA</t>
  </si>
  <si>
    <t>2146-MaxScoreCSA</t>
  </si>
  <si>
    <t>2150-MaxScoreCSA</t>
  </si>
  <si>
    <t>2156-MaxScoreCSA</t>
  </si>
  <si>
    <t>2177-MaxScoreCSA</t>
  </si>
  <si>
    <t>2180-MaxScoreCSA</t>
  </si>
  <si>
    <t>2185-MaxScoreCSA</t>
  </si>
  <si>
    <t>2187-MaxScoreCSA</t>
  </si>
  <si>
    <t>2200-MaxScoreCSA</t>
  </si>
  <si>
    <t>2245-MaxScoreCSA</t>
  </si>
  <si>
    <t>2247-MaxScoreCSA</t>
  </si>
  <si>
    <t>2271-MaxScoreCSA</t>
  </si>
  <si>
    <t>2273-MaxScoreCSA</t>
  </si>
  <si>
    <t>2274-MaxScoreCSA</t>
  </si>
  <si>
    <t>2312-MaxScoreCSA</t>
  </si>
  <si>
    <t>2317-MaxScoreCSA</t>
  </si>
  <si>
    <t>2319-MaxScoreCSA</t>
  </si>
  <si>
    <t>2321-MaxScoreCSA</t>
  </si>
  <si>
    <t>2325-MaxScoreCSA</t>
  </si>
  <si>
    <t>2333-MaxScoreCSA</t>
  </si>
  <si>
    <t>2350-MaxScoreCSA</t>
  </si>
  <si>
    <t>2358-MaxScoreCSA</t>
  </si>
  <si>
    <t>2367-MaxScoreCSA</t>
  </si>
  <si>
    <t>2409-MaxScoreCSA</t>
  </si>
  <si>
    <t>2416-MaxScoreCSA</t>
  </si>
  <si>
    <t>2417-MaxScoreCSA</t>
  </si>
  <si>
    <t>2423-MaxScoreCSA</t>
  </si>
  <si>
    <t>2432-MaxScoreCSA</t>
  </si>
  <si>
    <t>2439-MaxScoreCSA</t>
  </si>
  <si>
    <t>2451-MaxScoreCSA</t>
  </si>
  <si>
    <t>2480-MaxScoreCSA</t>
  </si>
  <si>
    <t>2490-MaxScoreCSA</t>
  </si>
  <si>
    <t>2495-MaxScoreCSA</t>
  </si>
  <si>
    <t>2500-MaxScoreCSA</t>
  </si>
  <si>
    <t>2512-MaxScoreCSA</t>
  </si>
  <si>
    <t>2529-MaxScoreCSA</t>
  </si>
  <si>
    <t>2544-MaxScoreCSA</t>
  </si>
  <si>
    <t>2545-MaxScoreCSA</t>
  </si>
  <si>
    <t>2570-MaxScoreCSA</t>
  </si>
  <si>
    <t>2580-MaxScoreCSA</t>
  </si>
  <si>
    <t>2588-MaxScoreCSA</t>
  </si>
  <si>
    <t>2589-MaxScoreCSA</t>
  </si>
  <si>
    <t>2607-MaxScoreCSA</t>
  </si>
  <si>
    <t>2623-MaxScoreCSA</t>
  </si>
  <si>
    <t>2624-MaxScoreCSA</t>
  </si>
  <si>
    <t>2679-MaxScoreCSA</t>
  </si>
  <si>
    <t>2691-MaxScoreCSA</t>
  </si>
  <si>
    <t>2704-MaxScoreCSA</t>
  </si>
  <si>
    <t>2714-MaxScoreCSA</t>
  </si>
  <si>
    <t>2728-MaxScoreCSA</t>
  </si>
  <si>
    <t>2733-MaxScoreCSA</t>
  </si>
  <si>
    <t>2750-MaxScoreCSA</t>
  </si>
  <si>
    <t>2761-MaxScoreCSA</t>
  </si>
  <si>
    <t>2793-MaxScoreCSA</t>
  </si>
  <si>
    <t>2806-MaxScoreCSA</t>
  </si>
  <si>
    <t>2818-MaxScoreCSA</t>
  </si>
  <si>
    <t>2834-MaxScoreCSA</t>
  </si>
  <si>
    <t>2845-MaxScoreCSA</t>
  </si>
  <si>
    <t>2862-MaxScoreCSA</t>
  </si>
  <si>
    <t>2867-MaxScoreCSA</t>
  </si>
  <si>
    <t>2932-MaxScoreCSA</t>
  </si>
  <si>
    <t>2960-MaxScoreCSA</t>
  </si>
  <si>
    <t>2970-MaxScoreCSA</t>
  </si>
  <si>
    <t>2972-MaxScoreCSA</t>
  </si>
  <si>
    <t>2982-MaxScoreCSA</t>
  </si>
  <si>
    <t>2998-MaxScoreCSA</t>
  </si>
  <si>
    <t>3002-MaxScoreCSA</t>
  </si>
  <si>
    <t>3039-MaxScoreCSA</t>
  </si>
  <si>
    <t>3064-MaxScoreCSA</t>
  </si>
  <si>
    <t>3067-MaxScoreCSA</t>
  </si>
  <si>
    <t>3083-MaxScoreCSA</t>
  </si>
  <si>
    <t>3085-MaxScoreCSA</t>
  </si>
  <si>
    <t>3133-MaxScoreCSA</t>
  </si>
  <si>
    <t>3137-MaxScoreCSA</t>
  </si>
  <si>
    <t>3146-MaxScoreCSA</t>
  </si>
  <si>
    <t>3203-MaxScoreCSA</t>
  </si>
  <si>
    <t>3222-MaxScoreCSA</t>
  </si>
  <si>
    <t>3243-MaxScoreCSA</t>
  </si>
  <si>
    <t>3269-MaxScoreCSA</t>
  </si>
  <si>
    <t>3271-MaxScoreCSA</t>
  </si>
  <si>
    <t>3293-MaxScoreCSA</t>
  </si>
  <si>
    <t>3329-MaxScoreCSA</t>
  </si>
  <si>
    <t>3330-MaxScoreCSA</t>
  </si>
  <si>
    <t>3335-MaxScoreCSA</t>
  </si>
  <si>
    <t>3342-MaxScoreCSA</t>
  </si>
  <si>
    <t>3352-MaxScoreCSA</t>
  </si>
  <si>
    <t>3359-MaxScoreCSA</t>
  </si>
  <si>
    <t>3398-MaxScoreCSA</t>
  </si>
  <si>
    <t>3414-MaxScoreCSA</t>
  </si>
  <si>
    <t>3436-MaxScoreCSA</t>
  </si>
  <si>
    <t>3441-MaxScoreCSA</t>
  </si>
  <si>
    <t>3496-MaxScoreCSA</t>
  </si>
  <si>
    <t>3503-MaxScoreCSA</t>
  </si>
  <si>
    <t>3529-MaxScoreCSA</t>
  </si>
  <si>
    <t>3530-MaxScoreCSA</t>
  </si>
  <si>
    <t>3536-MaxScoreCSA</t>
  </si>
  <si>
    <t>3552-MaxScoreCSA</t>
  </si>
  <si>
    <t>3573-MaxScoreCSA</t>
  </si>
  <si>
    <t>3575-MaxScoreCSA</t>
  </si>
  <si>
    <t>3584-MaxScoreCSA</t>
  </si>
  <si>
    <t>3586-MaxScoreCSA</t>
  </si>
  <si>
    <t>3638-MaxScoreCSA</t>
  </si>
  <si>
    <t>3647-MaxScoreCSA</t>
  </si>
  <si>
    <t>3650-MaxScoreCSA</t>
  </si>
  <si>
    <t>3660-MaxScoreCSA</t>
  </si>
  <si>
    <t>3664-MaxScoreCSA</t>
  </si>
  <si>
    <t>3667-MaxScoreCSA</t>
  </si>
  <si>
    <t>3674-MaxScoreCSA</t>
  </si>
  <si>
    <t>3676-MaxScoreCSA</t>
  </si>
  <si>
    <t>3722-MaxScoreCSA</t>
  </si>
  <si>
    <t>3723-MaxScoreCSA</t>
  </si>
  <si>
    <t>3739-MaxScoreCSA</t>
  </si>
  <si>
    <t>3742-MaxScoreCSA</t>
  </si>
  <si>
    <t>3744-MaxScoreCSA</t>
  </si>
  <si>
    <t>3821-MaxScoreCSA</t>
  </si>
  <si>
    <t>3822-MaxScoreCSA</t>
  </si>
  <si>
    <t>3829-MaxScoreCSA</t>
  </si>
  <si>
    <t>3855-MaxScoreCSA</t>
  </si>
  <si>
    <t>3868-MaxScoreCSA</t>
  </si>
  <si>
    <t>3907-MaxScoreCSA</t>
  </si>
  <si>
    <t>3914-MaxScoreCSA</t>
  </si>
  <si>
    <t>3921-MaxScoreCSA</t>
  </si>
  <si>
    <t>3926-MaxScoreCSA</t>
  </si>
  <si>
    <t>3938-MaxScoreCSA</t>
  </si>
  <si>
    <t>3995-MaxScoreCSA</t>
  </si>
  <si>
    <t>4010-MaxScoreCSA</t>
  </si>
  <si>
    <t>4021-MaxScoreCSA</t>
  </si>
  <si>
    <t>4030-MaxScoreCSA</t>
  </si>
  <si>
    <t>4031-MaxScoreCSA</t>
  </si>
  <si>
    <t>4036-MaxScoreCSA</t>
  </si>
  <si>
    <t>4046-MaxScoreCSA</t>
  </si>
  <si>
    <t>4047-MaxScoreCSA</t>
  </si>
  <si>
    <t>4052-MaxScoreCSA</t>
  </si>
  <si>
    <t>4089-MaxScoreCSA</t>
  </si>
  <si>
    <t>4090-MaxScoreCSA</t>
  </si>
  <si>
    <t>4104-MaxScoreCSA</t>
  </si>
  <si>
    <t>4114-MaxScoreCSA</t>
  </si>
  <si>
    <t>4115-MaxScoreCSA</t>
  </si>
  <si>
    <t>4117-MaxScoreCSA</t>
  </si>
  <si>
    <t>4122-MaxScoreCSA</t>
  </si>
  <si>
    <t>4137-MaxScoreCSA</t>
  </si>
  <si>
    <t>4174-MaxScoreCSA</t>
  </si>
  <si>
    <t>4186-MaxScoreCSA</t>
  </si>
  <si>
    <t>4188-MaxScoreCSA</t>
  </si>
  <si>
    <t>4206-MaxScoreCSA</t>
  </si>
  <si>
    <t>4225-MaxScoreCSA</t>
  </si>
  <si>
    <t>4251-MaxScoreCSA</t>
  </si>
  <si>
    <t>4266-MaxScoreCSA</t>
  </si>
  <si>
    <t>4276-MaxScoreCSA</t>
  </si>
  <si>
    <t>4291-MaxScoreCSA</t>
  </si>
  <si>
    <t>4295-MaxScoreCSA</t>
  </si>
  <si>
    <t>4299-MaxScoreCSA</t>
  </si>
  <si>
    <t>4327-MaxScoreCSA</t>
  </si>
  <si>
    <t>4354-MaxScoreCSA</t>
  </si>
  <si>
    <t>4369-MaxScoreCSA</t>
  </si>
  <si>
    <t>4400-MaxScoreCSA</t>
  </si>
  <si>
    <t>4413-MaxScoreCSA</t>
  </si>
  <si>
    <t>4445-MaxScoreCSA</t>
  </si>
  <si>
    <t>4465-MaxScoreCSA</t>
  </si>
  <si>
    <t>4481-MaxScoreCSA</t>
  </si>
  <si>
    <t>4495-MaxScoreCSA</t>
  </si>
  <si>
    <t>4513-MaxScoreCSA</t>
  </si>
  <si>
    <t>4556-MaxScoreCSA</t>
  </si>
  <si>
    <t>4625-MaxScoreCSA</t>
  </si>
  <si>
    <t>4644-MaxScoreCSA</t>
  </si>
  <si>
    <t>4653-MaxScoreCSA</t>
  </si>
  <si>
    <t>4681-MaxScoreCSA</t>
  </si>
  <si>
    <t>4696-MaxScoreCSA</t>
  </si>
  <si>
    <t>4718-MaxScoreCSA</t>
  </si>
  <si>
    <t>4724-MaxScoreCSA</t>
  </si>
  <si>
    <t>4732-MaxScoreCSA</t>
  </si>
  <si>
    <t>4775-MaxScoreCSA</t>
  </si>
  <si>
    <t>4780-MaxScoreCSA</t>
  </si>
  <si>
    <t>4790-MaxScoreCSA</t>
  </si>
  <si>
    <t>4803-MaxScoreCSA</t>
  </si>
  <si>
    <t>4830-MaxScoreCSA</t>
  </si>
  <si>
    <t>4860-MaxScoreCSA</t>
  </si>
  <si>
    <t>4895-MaxScoreCSA</t>
  </si>
  <si>
    <t>4900-MaxScoreCSA</t>
  </si>
  <si>
    <t>4960-MaxScoreCSA</t>
  </si>
  <si>
    <t>4982-MaxScoreCSA</t>
  </si>
  <si>
    <t>5003-MaxScoreCSA</t>
  </si>
  <si>
    <t>5019-MaxScoreCSA</t>
  </si>
  <si>
    <t>5044-MaxScoreCSA</t>
  </si>
  <si>
    <t>5137-MaxScoreCSA</t>
  </si>
  <si>
    <t>5139-MaxScoreCSA</t>
  </si>
  <si>
    <t>5160-MaxScoreCSA</t>
  </si>
  <si>
    <t>5170-MaxScoreCSA</t>
  </si>
  <si>
    <t>5195-MaxScoreCSA</t>
  </si>
  <si>
    <t>5196-MaxScoreCSA</t>
  </si>
  <si>
    <t>5198-MaxScoreCSA</t>
  </si>
  <si>
    <t>5232-MaxScoreCSA</t>
  </si>
  <si>
    <t>5245-MaxScoreCSA</t>
  </si>
  <si>
    <t>5254-MaxScoreCSA</t>
  </si>
  <si>
    <t>5295-MaxScoreCSA</t>
  </si>
  <si>
    <t>5315-MaxScoreCSA</t>
  </si>
  <si>
    <t>5330-MaxScoreCSA</t>
  </si>
  <si>
    <t>5356-MaxScoreCSA</t>
  </si>
  <si>
    <t>5361-MaxScoreCSA</t>
  </si>
  <si>
    <t>5362-MaxScoreCSA</t>
  </si>
  <si>
    <t>5363-MaxScoreCSA</t>
  </si>
  <si>
    <t>5368-MaxScoreCSA</t>
  </si>
  <si>
    <t>5405-MaxScoreCSA</t>
  </si>
  <si>
    <t>5439-MaxScoreCSA</t>
  </si>
  <si>
    <t>5510-MaxScoreCSA</t>
  </si>
  <si>
    <t>5550-MaxScoreCSA</t>
  </si>
  <si>
    <t>5564-MaxScoreCSA</t>
  </si>
  <si>
    <t>5599-MaxScoreCSA</t>
  </si>
  <si>
    <t>5606-MaxScoreCSA</t>
  </si>
  <si>
    <t>5622-MaxScoreCSA</t>
  </si>
  <si>
    <t>5646-MaxScoreCSA</t>
  </si>
  <si>
    <t>5652-MaxScoreCSA</t>
  </si>
  <si>
    <t>5668-MaxScoreCSA</t>
  </si>
  <si>
    <t>5701-MaxScoreCSA</t>
  </si>
  <si>
    <t>5709-MaxScoreCSA</t>
  </si>
  <si>
    <t>5711-MaxScoreCSA</t>
  </si>
  <si>
    <t>5730-MaxScoreCSA</t>
  </si>
  <si>
    <t>5772-MaxScoreCSA</t>
  </si>
  <si>
    <t>5805-MaxScoreCSA</t>
  </si>
  <si>
    <t>5815-MaxScoreCSA</t>
  </si>
  <si>
    <t>5819-MaxScoreCSA</t>
  </si>
  <si>
    <t>5828-MaxScoreCSA</t>
  </si>
  <si>
    <t>5887-MaxScoreCSA</t>
  </si>
  <si>
    <t>5897-MaxScoreCSA</t>
  </si>
  <si>
    <t>5915-MaxScoreCSA</t>
  </si>
  <si>
    <t>5936-MaxScoreCSA</t>
  </si>
  <si>
    <t>5942-MaxScoreCSA</t>
  </si>
  <si>
    <t>5943-MaxScoreCSA</t>
  </si>
  <si>
    <t>5944-MaxScoreCSA</t>
  </si>
  <si>
    <t>5998-MaxScoreCSA</t>
  </si>
  <si>
    <t>6022-MaxScoreCSA</t>
  </si>
  <si>
    <t>6065-MaxScoreCSA</t>
  </si>
  <si>
    <t>6084-MaxScoreCSA</t>
  </si>
  <si>
    <t>6086-MaxScoreCSA</t>
  </si>
  <si>
    <t>6094-MaxScoreCSA</t>
  </si>
  <si>
    <t>6109-MaxScoreCSA</t>
  </si>
  <si>
    <t>6124-MaxScoreCSA</t>
  </si>
  <si>
    <t>6145-MaxScoreCSA</t>
  </si>
  <si>
    <t>6151-MaxScoreCSA</t>
  </si>
  <si>
    <t>6154-MaxScoreCSA</t>
  </si>
  <si>
    <t>6183-MaxScoreCSA</t>
  </si>
  <si>
    <t>6225-MaxScoreCSA</t>
  </si>
  <si>
    <t>6274-MaxScoreCSA</t>
  </si>
  <si>
    <t>6357-MaxScoreCSA</t>
  </si>
  <si>
    <t>6365-MaxScoreCSA</t>
  </si>
  <si>
    <t>6393-MaxScoreCSA</t>
  </si>
  <si>
    <t>6394-MaxScoreCSA</t>
  </si>
  <si>
    <t>6407-MaxScoreCSA</t>
  </si>
  <si>
    <t>6591-MaxScoreCSA</t>
  </si>
  <si>
    <t>36-MaxScoreISA</t>
  </si>
  <si>
    <t>104-MaxScoreISA</t>
  </si>
  <si>
    <t>121-MaxScoreISA</t>
  </si>
  <si>
    <t>177-MaxScoreISA</t>
  </si>
  <si>
    <t>199-MaxScoreISA</t>
  </si>
  <si>
    <t>217-MaxScoreISA</t>
  </si>
  <si>
    <t>231-MaxScoreISA</t>
  </si>
  <si>
    <t>270-MaxScoreISA</t>
  </si>
  <si>
    <t>303-MaxScoreISA</t>
  </si>
  <si>
    <t>327-MaxScoreISA</t>
  </si>
  <si>
    <t>331-MaxScoreISA</t>
  </si>
  <si>
    <t>337-MaxScoreISA</t>
  </si>
  <si>
    <t>358-MaxScoreISA</t>
  </si>
  <si>
    <t>377-MaxScoreISA</t>
  </si>
  <si>
    <t>406-MaxScoreISA</t>
  </si>
  <si>
    <t>454-MaxScoreISA</t>
  </si>
  <si>
    <t>506-MaxScoreISA</t>
  </si>
  <si>
    <t>514-MaxScoreISA</t>
  </si>
  <si>
    <t>524-MaxScoreISA</t>
  </si>
  <si>
    <t>536-MaxScoreISA</t>
  </si>
  <si>
    <t>555-MaxScoreISA</t>
  </si>
  <si>
    <t>562-MaxScoreISA</t>
  </si>
  <si>
    <t>574-MaxScoreISA</t>
  </si>
  <si>
    <t>595-MaxScoreISA</t>
  </si>
  <si>
    <t>655-MaxScoreISA</t>
  </si>
  <si>
    <t>670-MaxScoreISA</t>
  </si>
  <si>
    <t>673-MaxScoreISA</t>
  </si>
  <si>
    <t>675-MaxScoreISA</t>
  </si>
  <si>
    <t>700-MaxScoreISA</t>
  </si>
  <si>
    <t>702-MaxScoreISA</t>
  </si>
  <si>
    <t>706-MaxScoreISA</t>
  </si>
  <si>
    <t>711-MaxScoreISA</t>
  </si>
  <si>
    <t>724-MaxScoreISA</t>
  </si>
  <si>
    <t>756-MaxScoreISA</t>
  </si>
  <si>
    <t>768-MaxScoreISA</t>
  </si>
  <si>
    <t>772-MaxScoreISA</t>
  </si>
  <si>
    <t>790-MaxScoreISA</t>
  </si>
  <si>
    <t>835-MaxScoreISA</t>
  </si>
  <si>
    <t>874-MaxScoreISA</t>
  </si>
  <si>
    <t>887-MaxScoreISA</t>
  </si>
  <si>
    <t>888-MaxScoreISA</t>
  </si>
  <si>
    <t>979-MaxScoreISA</t>
  </si>
  <si>
    <t>1119-MaxScoreISA</t>
  </si>
  <si>
    <t>1147-MaxScoreISA</t>
  </si>
  <si>
    <t>1148-MaxScoreISA</t>
  </si>
  <si>
    <t>1163-MaxScoreISA</t>
  </si>
  <si>
    <t>1171-MaxScoreISA</t>
  </si>
  <si>
    <t>1177-MaxScoreISA</t>
  </si>
  <si>
    <t>1181-MaxScoreISA</t>
  </si>
  <si>
    <t>1183-MaxScoreISA</t>
  </si>
  <si>
    <t>1196-MaxScoreISA</t>
  </si>
  <si>
    <t>1198-MaxScoreISA</t>
  </si>
  <si>
    <t>1204-MaxScoreISA</t>
  </si>
  <si>
    <t>1222-MaxScoreISA</t>
  </si>
  <si>
    <t>1223-MaxScoreISA</t>
  </si>
  <si>
    <t>1238-MaxScoreISA</t>
  </si>
  <si>
    <t>1247-MaxScoreISA</t>
  </si>
  <si>
    <t>1259-MaxScoreISA</t>
  </si>
  <si>
    <t>1284-MaxScoreISA</t>
  </si>
  <si>
    <t>1292-MaxScoreISA</t>
  </si>
  <si>
    <t>1293-MaxScoreISA</t>
  </si>
  <si>
    <t>1294-MaxScoreISA</t>
  </si>
  <si>
    <t>1319-MaxScoreISA</t>
  </si>
  <si>
    <t>1337-MaxScoreISA</t>
  </si>
  <si>
    <t>1353-MaxScoreISA</t>
  </si>
  <si>
    <t>1356-MaxScoreISA</t>
  </si>
  <si>
    <t>1395-MaxScoreISA</t>
  </si>
  <si>
    <t>1400-MaxScoreISA</t>
  </si>
  <si>
    <t>1407-MaxScoreISA</t>
  </si>
  <si>
    <t>1441-MaxScoreISA</t>
  </si>
  <si>
    <t>1460-MaxScoreISA</t>
  </si>
  <si>
    <t>1487-MaxScoreISA</t>
  </si>
  <si>
    <t>1548-MaxScoreISA</t>
  </si>
  <si>
    <t>1594-MaxScoreISA</t>
  </si>
  <si>
    <t>1604-MaxScoreISA</t>
  </si>
  <si>
    <t>1607-MaxScoreISA</t>
  </si>
  <si>
    <t>1614-MaxScoreISA</t>
  </si>
  <si>
    <t>1631-MaxScoreISA</t>
  </si>
  <si>
    <t>1649-MaxScoreISA</t>
  </si>
  <si>
    <t>1655-MaxScoreISA</t>
  </si>
  <si>
    <t>1661-MaxScoreISA</t>
  </si>
  <si>
    <t>1672-MaxScoreISA</t>
  </si>
  <si>
    <t>1728-MaxScoreISA</t>
  </si>
  <si>
    <t>1731-MaxScoreISA</t>
  </si>
  <si>
    <t>1733-MaxScoreISA</t>
  </si>
  <si>
    <t>1737-MaxScoreISA</t>
  </si>
  <si>
    <t>1811-MaxScoreISA</t>
  </si>
  <si>
    <t>1873-MaxScoreISA</t>
  </si>
  <si>
    <t>1882-MaxScoreISA</t>
  </si>
  <si>
    <t>1908-MaxScoreISA</t>
  </si>
  <si>
    <t>1912-MaxScoreISA</t>
  </si>
  <si>
    <t>1915-MaxScoreISA</t>
  </si>
  <si>
    <t>1917-MaxScoreISA</t>
  </si>
  <si>
    <t>1952-MaxScoreISA</t>
  </si>
  <si>
    <t>1983-MaxScoreISA</t>
  </si>
  <si>
    <t>1984-MaxScoreISA</t>
  </si>
  <si>
    <t>1987-MaxScoreISA</t>
  </si>
  <si>
    <t>1991-MaxScoreISA</t>
  </si>
  <si>
    <t>2019-MaxScoreISA</t>
  </si>
  <si>
    <t>2035-MaxScoreISA</t>
  </si>
  <si>
    <t>2039-MaxScoreISA</t>
  </si>
  <si>
    <t>2050-MaxScoreISA</t>
  </si>
  <si>
    <t>2100-MaxScoreISA</t>
  </si>
  <si>
    <t>2117-MaxScoreISA</t>
  </si>
  <si>
    <t>2129-MaxScoreISA</t>
  </si>
  <si>
    <t>2132-MaxScoreISA</t>
  </si>
  <si>
    <t>2157-MaxScoreISA</t>
  </si>
  <si>
    <t>2180-MaxScoreISA</t>
  </si>
  <si>
    <t>2185-MaxScoreISA</t>
  </si>
  <si>
    <t>2197-MaxScoreISA</t>
  </si>
  <si>
    <t>2247-MaxScoreISA</t>
  </si>
  <si>
    <t>2321-MaxScoreISA</t>
  </si>
  <si>
    <t>2358-MaxScoreISA</t>
  </si>
  <si>
    <t>2416-MaxScoreISA</t>
  </si>
  <si>
    <t>2423-MaxScoreISA</t>
  </si>
  <si>
    <t>2497-MaxScoreISA</t>
  </si>
  <si>
    <t>2512-MaxScoreISA</t>
  </si>
  <si>
    <t>2527-MaxScoreISA</t>
  </si>
  <si>
    <t>2528-MaxScoreISA</t>
  </si>
  <si>
    <t>2544-MaxScoreISA</t>
  </si>
  <si>
    <t>2555-MaxScoreISA</t>
  </si>
  <si>
    <t>2556-MaxScoreISA</t>
  </si>
  <si>
    <t>2565-MaxScoreISA</t>
  </si>
  <si>
    <t>2607-MaxScoreISA</t>
  </si>
  <si>
    <t>2623-MaxScoreISA</t>
  </si>
  <si>
    <t>2714-MaxScoreISA</t>
  </si>
  <si>
    <t>2730-MaxScoreISA</t>
  </si>
  <si>
    <t>2761-MaxScoreISA</t>
  </si>
  <si>
    <t>2793-MaxScoreISA</t>
  </si>
  <si>
    <t>2834-MaxScoreISA</t>
  </si>
  <si>
    <t>2845-MaxScoreISA</t>
  </si>
  <si>
    <t>2930-MaxScoreISA</t>
  </si>
  <si>
    <t>2932-MaxScoreISA</t>
  </si>
  <si>
    <t>2966-MaxScoreISA</t>
  </si>
  <si>
    <t>2972-MaxScoreISA</t>
  </si>
  <si>
    <t>2978-MaxScoreISA</t>
  </si>
  <si>
    <t>2979-MaxScoreISA</t>
  </si>
  <si>
    <t>2982-MaxScoreISA</t>
  </si>
  <si>
    <t>2998-MaxScoreISA</t>
  </si>
  <si>
    <t>3002-MaxScoreISA</t>
  </si>
  <si>
    <t>3038-MaxScoreISA</t>
  </si>
  <si>
    <t>3039-MaxScoreISA</t>
  </si>
  <si>
    <t>3066-MaxScoreISA</t>
  </si>
  <si>
    <t>3083-MaxScoreISA</t>
  </si>
  <si>
    <t>3085-MaxScoreISA</t>
  </si>
  <si>
    <t>3132-MaxScoreISA</t>
  </si>
  <si>
    <t>3137-MaxScoreISA</t>
  </si>
  <si>
    <t>3147-MaxScoreISA</t>
  </si>
  <si>
    <t>3195-MaxScoreISA</t>
  </si>
  <si>
    <t>3203-MaxScoreISA</t>
  </si>
  <si>
    <t>3217-MaxScoreISA</t>
  </si>
  <si>
    <t>3222-MaxScoreISA</t>
  </si>
  <si>
    <t>3234-MaxScoreISA</t>
  </si>
  <si>
    <t>3263-MaxScoreISA</t>
  </si>
  <si>
    <t>3306-MaxScoreISA</t>
  </si>
  <si>
    <t>3329-MaxScoreISA</t>
  </si>
  <si>
    <t>3335-MaxScoreISA</t>
  </si>
  <si>
    <t>3398-MaxScoreISA</t>
  </si>
  <si>
    <t>3404-MaxScoreISA</t>
  </si>
  <si>
    <t>3406-MaxScoreISA</t>
  </si>
  <si>
    <t>3445-MaxScoreISA</t>
  </si>
  <si>
    <t>3530-MaxScoreISA</t>
  </si>
  <si>
    <t>3536-MaxScoreISA</t>
  </si>
  <si>
    <t>3552-MaxScoreISA</t>
  </si>
  <si>
    <t>3586-MaxScoreISA</t>
  </si>
  <si>
    <t>3614-MaxScoreISA</t>
  </si>
  <si>
    <t>3641-MaxScoreISA</t>
  </si>
  <si>
    <t>3660-MaxScoreISA</t>
  </si>
  <si>
    <t>3674-MaxScoreISA</t>
  </si>
  <si>
    <t>3676-MaxScoreISA</t>
  </si>
  <si>
    <t>3726-MaxScoreISA</t>
  </si>
  <si>
    <t>3744-MaxScoreISA</t>
  </si>
  <si>
    <t>3818-MaxScoreISA</t>
  </si>
  <si>
    <t>3829-MaxScoreISA</t>
  </si>
  <si>
    <t>3835-MaxScoreISA</t>
  </si>
  <si>
    <t>3855-MaxScoreISA</t>
  </si>
  <si>
    <t>3995-MaxScoreISA</t>
  </si>
  <si>
    <t>4010-MaxScoreISA</t>
  </si>
  <si>
    <t>4025-MaxScoreISA</t>
  </si>
  <si>
    <t>4030-MaxScoreISA</t>
  </si>
  <si>
    <t>4046-MaxScoreISA</t>
  </si>
  <si>
    <t>4082-MaxScoreISA</t>
  </si>
  <si>
    <t>4117-MaxScoreISA</t>
  </si>
  <si>
    <t>4181-MaxScoreISA</t>
  </si>
  <si>
    <t>4186-MaxScoreISA</t>
  </si>
  <si>
    <t>4206-MaxScoreISA</t>
  </si>
  <si>
    <t>4225-MaxScoreISA</t>
  </si>
  <si>
    <t>4245-MaxScoreISA</t>
  </si>
  <si>
    <t>4261-MaxScoreISA</t>
  </si>
  <si>
    <t>4291-MaxScoreISA</t>
  </si>
  <si>
    <t>4299-MaxScoreISA</t>
  </si>
  <si>
    <t>4301-MaxScoreISA</t>
  </si>
  <si>
    <t>4400-MaxScoreISA</t>
  </si>
  <si>
    <t>4413-MaxScoreISA</t>
  </si>
  <si>
    <t>4433-MaxScoreISA</t>
  </si>
  <si>
    <t>4465-MaxScoreISA</t>
  </si>
  <si>
    <t>4476-MaxScoreISA</t>
  </si>
  <si>
    <t>4481-MaxScoreISA</t>
  </si>
  <si>
    <t>4495-MaxScoreISA</t>
  </si>
  <si>
    <t>4501-MaxScoreISA</t>
  </si>
  <si>
    <t>4521-MaxScoreISA</t>
  </si>
  <si>
    <t>4596-MaxScoreISA</t>
  </si>
  <si>
    <t>4627-MaxScoreISA</t>
  </si>
  <si>
    <t>4653-MaxScoreISA</t>
  </si>
  <si>
    <t>4696-MaxScoreISA</t>
  </si>
  <si>
    <t>4724-MaxScoreISA</t>
  </si>
  <si>
    <t>4735-MaxScoreISA</t>
  </si>
  <si>
    <t>4775-MaxScoreISA</t>
  </si>
  <si>
    <t>4815-MaxScoreISA</t>
  </si>
  <si>
    <t>4833-MaxScoreISA</t>
  </si>
  <si>
    <t>4835-MaxScoreISA</t>
  </si>
  <si>
    <t>4861-MaxScoreISA</t>
  </si>
  <si>
    <t>4912-MaxScoreISA</t>
  </si>
  <si>
    <t>4917-MaxScoreISA</t>
  </si>
  <si>
    <t>4952-MaxScoreISA</t>
  </si>
  <si>
    <t>4953-MaxScoreISA</t>
  </si>
  <si>
    <t>5002-MaxScoreISA</t>
  </si>
  <si>
    <t>5019-MaxScoreISA</t>
  </si>
  <si>
    <t>5056-MaxScoreISA</t>
  </si>
  <si>
    <t>5058-MaxScoreISA</t>
  </si>
  <si>
    <t>5128-MaxScoreISA</t>
  </si>
  <si>
    <t>5170-MaxScoreISA</t>
  </si>
  <si>
    <t>5195-MaxScoreISA</t>
  </si>
  <si>
    <t>5227-MaxScoreISA</t>
  </si>
  <si>
    <t>5229-MaxScoreISA</t>
  </si>
  <si>
    <t>5245-MaxScoreISA</t>
  </si>
  <si>
    <t>5249-MaxScoreISA</t>
  </si>
  <si>
    <t>5254-MaxScoreISA</t>
  </si>
  <si>
    <t>5285-MaxScoreISA</t>
  </si>
  <si>
    <t>5291-MaxScoreISA</t>
  </si>
  <si>
    <t>5295-MaxScoreISA</t>
  </si>
  <si>
    <t>5315-MaxScoreISA</t>
  </si>
  <si>
    <t>5320-MaxScoreISA</t>
  </si>
  <si>
    <t>5346-MaxScoreISA</t>
  </si>
  <si>
    <t>5356-MaxScoreISA</t>
  </si>
  <si>
    <t>5362-MaxScoreISA</t>
  </si>
  <si>
    <t>5364-MaxScoreISA</t>
  </si>
  <si>
    <t>5368-MaxScoreISA</t>
  </si>
  <si>
    <t>5378-MaxScoreISA</t>
  </si>
  <si>
    <t>5381-MaxScoreISA</t>
  </si>
  <si>
    <t>5383-MaxScoreISA</t>
  </si>
  <si>
    <t>5384-MaxScoreISA</t>
  </si>
  <si>
    <t>5426-MaxScoreISA</t>
  </si>
  <si>
    <t>5481-MaxScoreISA</t>
  </si>
  <si>
    <t>5488-MaxScoreISA</t>
  </si>
  <si>
    <t>5516-MaxScoreISA</t>
  </si>
  <si>
    <t>5522-MaxScoreISA</t>
  </si>
  <si>
    <t>5535-MaxScoreISA</t>
  </si>
  <si>
    <t>5573-MaxScoreISA</t>
  </si>
  <si>
    <t>5583-MaxScoreISA</t>
  </si>
  <si>
    <t>5588-MaxScoreISA</t>
  </si>
  <si>
    <t>5591-MaxScoreISA</t>
  </si>
  <si>
    <t>5606-MaxScoreISA</t>
  </si>
  <si>
    <t>5622-MaxScoreISA</t>
  </si>
  <si>
    <t>5640-MaxScoreISA</t>
  </si>
  <si>
    <t>5642-MaxScoreISA</t>
  </si>
  <si>
    <t>5645-MaxScoreISA</t>
  </si>
  <si>
    <t>5646-MaxScoreISA</t>
  </si>
  <si>
    <t>5656-MaxScoreISA</t>
  </si>
  <si>
    <t>5668-MaxScoreISA</t>
  </si>
  <si>
    <t>5677-MaxScoreISA</t>
  </si>
  <si>
    <t>5694-MaxScoreISA</t>
  </si>
  <si>
    <t>5709-MaxScoreISA</t>
  </si>
  <si>
    <t>5715-MaxScoreISA</t>
  </si>
  <si>
    <t>5772-MaxScoreISA</t>
  </si>
  <si>
    <t>5805-MaxScoreISA</t>
  </si>
  <si>
    <t>5818-MaxScoreISA</t>
  </si>
  <si>
    <t>5819-MaxScoreISA</t>
  </si>
  <si>
    <t>5832-MaxScoreISA</t>
  </si>
  <si>
    <t>5858-MaxScoreISA</t>
  </si>
  <si>
    <t>5897-MaxScoreISA</t>
  </si>
  <si>
    <t>5943-MaxScoreISA</t>
  </si>
  <si>
    <t>5944-MaxScoreISA</t>
  </si>
  <si>
    <t>5998-MaxScoreISA</t>
  </si>
  <si>
    <t>6003-MaxScoreISA</t>
  </si>
  <si>
    <t>6007-MaxScoreISA</t>
  </si>
  <si>
    <t>6022-MaxScoreISA</t>
  </si>
  <si>
    <t>6023-MaxScoreISA</t>
  </si>
  <si>
    <t>6025-MaxScoreISA</t>
  </si>
  <si>
    <t>6090-MaxScoreISA</t>
  </si>
  <si>
    <t>6100-MaxScoreISA</t>
  </si>
  <si>
    <t>6138-MaxScoreISA</t>
  </si>
  <si>
    <t>6145-MaxScoreISA</t>
  </si>
  <si>
    <t>6156-MaxScoreISA</t>
  </si>
  <si>
    <t>6195-MaxScoreISA</t>
  </si>
  <si>
    <t>6247-MaxScoreISA</t>
  </si>
  <si>
    <t>6249-MaxScoreISA</t>
  </si>
  <si>
    <t>6274-MaxScoreISA</t>
  </si>
  <si>
    <t>6275-MaxScoreISA</t>
  </si>
  <si>
    <t>6301-MaxScoreISA</t>
  </si>
  <si>
    <t>6365-MaxScoreISA</t>
  </si>
  <si>
    <t>6382-MaxScoreISA</t>
  </si>
  <si>
    <t>6407-MaxScoreISA</t>
  </si>
  <si>
    <t>6443-MaxScoreISA</t>
  </si>
  <si>
    <t>6487-MaxScoreISA</t>
  </si>
  <si>
    <t>6499-MaxScoreISA</t>
  </si>
  <si>
    <t>6515-MaxScoreISA</t>
  </si>
  <si>
    <t>6591-MaxScoreISA</t>
  </si>
  <si>
    <t>31-MaxScoreESA</t>
  </si>
  <si>
    <t>59-MaxScoreESA</t>
  </si>
  <si>
    <t>149-MaxScoreESA</t>
  </si>
  <si>
    <t>155-MaxScoreESA</t>
  </si>
  <si>
    <t>165-MaxScoreESA</t>
  </si>
  <si>
    <t>191-MaxScoreESA</t>
  </si>
  <si>
    <t>240-MaxScoreESA</t>
  </si>
  <si>
    <t>276-MaxScoreESA</t>
  </si>
  <si>
    <t>337-MaxScoreESA</t>
  </si>
  <si>
    <t>346-MaxScoreESA</t>
  </si>
  <si>
    <t>362-MaxScoreESA</t>
  </si>
  <si>
    <t>368-MaxScoreESA</t>
  </si>
  <si>
    <t>390-MaxScoreESA</t>
  </si>
  <si>
    <t>411-MaxScoreESA</t>
  </si>
  <si>
    <t>440-MaxScoreESA</t>
  </si>
  <si>
    <t>480-MaxScoreESA</t>
  </si>
  <si>
    <t>495-MaxScoreESA</t>
  </si>
  <si>
    <t>499-MaxScoreESA</t>
  </si>
  <si>
    <t>539-MaxScoreESA</t>
  </si>
  <si>
    <t>555-MaxScoreESA</t>
  </si>
  <si>
    <t>574-MaxScoreESA</t>
  </si>
  <si>
    <t>583-MaxScoreESA</t>
  </si>
  <si>
    <t>595-MaxScoreESA</t>
  </si>
  <si>
    <t>620-MaxScoreESA</t>
  </si>
  <si>
    <t>652-MaxScoreESA</t>
  </si>
  <si>
    <t>659-MaxScoreESA</t>
  </si>
  <si>
    <t>670-MaxScoreESA</t>
  </si>
  <si>
    <t>672-MaxScoreESA</t>
  </si>
  <si>
    <t>673-MaxScoreESA</t>
  </si>
  <si>
    <t>675-MaxScoreESA</t>
  </si>
  <si>
    <t>694-MaxScoreESA</t>
  </si>
  <si>
    <t>700-MaxScoreESA</t>
  </si>
  <si>
    <t>702-MaxScoreESA</t>
  </si>
  <si>
    <t>704-MaxScoreESA</t>
  </si>
  <si>
    <t>706-MaxScoreESA</t>
  </si>
  <si>
    <t>724-MaxScoreESA</t>
  </si>
  <si>
    <t>746-MaxScoreESA</t>
  </si>
  <si>
    <t>749-MaxScoreESA</t>
  </si>
  <si>
    <t>755-MaxScoreESA</t>
  </si>
  <si>
    <t>768-MaxScoreESA</t>
  </si>
  <si>
    <t>772-MaxScoreESA</t>
  </si>
  <si>
    <t>790-MaxScoreESA</t>
  </si>
  <si>
    <t>842-MaxScoreESA</t>
  </si>
  <si>
    <t>875-MaxScoreESA</t>
  </si>
  <si>
    <t>905-MaxScoreESA</t>
  </si>
  <si>
    <t>932-MaxScoreESA</t>
  </si>
  <si>
    <t>948-MaxScoreESA</t>
  </si>
  <si>
    <t>966-MaxScoreESA</t>
  </si>
  <si>
    <t>977-MaxScoreESA</t>
  </si>
  <si>
    <t>996-MaxScoreESA</t>
  </si>
  <si>
    <t>1015-MaxScoreESA</t>
  </si>
  <si>
    <t>1037-MaxScoreESA</t>
  </si>
  <si>
    <t>1091-MaxScoreESA</t>
  </si>
  <si>
    <t>1122-MaxScoreESA</t>
  </si>
  <si>
    <t>1147-MaxScoreESA</t>
  </si>
  <si>
    <t>1165-MaxScoreESA</t>
  </si>
  <si>
    <t>1196-MaxScoreESA</t>
  </si>
  <si>
    <t>1210-MaxScoreESA</t>
  </si>
  <si>
    <t>1214-MaxScoreESA</t>
  </si>
  <si>
    <t>1222-MaxScoreESA</t>
  </si>
  <si>
    <t>1223-MaxScoreESA</t>
  </si>
  <si>
    <t>1229-MaxScoreESA</t>
  </si>
  <si>
    <t>1259-MaxScoreESA</t>
  </si>
  <si>
    <t>1293-MaxScoreESA</t>
  </si>
  <si>
    <t>1307-MaxScoreESA</t>
  </si>
  <si>
    <t>1314-MaxScoreESA</t>
  </si>
  <si>
    <t>1340-MaxScoreESA</t>
  </si>
  <si>
    <t>1395-MaxScoreESA</t>
  </si>
  <si>
    <t>1409-MaxScoreESA</t>
  </si>
  <si>
    <t>1418-MaxScoreESA</t>
  </si>
  <si>
    <t>1450-MaxScoreESA</t>
  </si>
  <si>
    <t>1463-MaxScoreESA</t>
  </si>
  <si>
    <t>1468-MaxScoreESA</t>
  </si>
  <si>
    <t>1510-MaxScoreESA</t>
  </si>
  <si>
    <t>1525-MaxScoreESA</t>
  </si>
  <si>
    <t>1536-MaxScoreESA</t>
  </si>
  <si>
    <t>1547-MaxScoreESA</t>
  </si>
  <si>
    <t>1556-MaxScoreESA</t>
  </si>
  <si>
    <t>1600-MaxScoreESA</t>
  </si>
  <si>
    <t>1614-MaxScoreESA</t>
  </si>
  <si>
    <t>1645-MaxScoreESA</t>
  </si>
  <si>
    <t>1659-MaxScoreESA</t>
  </si>
  <si>
    <t>1685-MaxScoreESA</t>
  </si>
  <si>
    <t>1752-MaxScoreESA</t>
  </si>
  <si>
    <t>1808-MaxScoreESA</t>
  </si>
  <si>
    <t>1811-MaxScoreESA</t>
  </si>
  <si>
    <t>1834-MaxScoreESA</t>
  </si>
  <si>
    <t>1851-MaxScoreESA</t>
  </si>
  <si>
    <t>1857-MaxScoreESA</t>
  </si>
  <si>
    <t>1876-MaxScoreESA</t>
  </si>
  <si>
    <t>1983-MaxScoreESA</t>
  </si>
  <si>
    <t>1984-MaxScoreESA</t>
  </si>
  <si>
    <t>2017-MaxScoreESA</t>
  </si>
  <si>
    <t>2019-MaxScoreESA</t>
  </si>
  <si>
    <t>2050-MaxScoreESA</t>
  </si>
  <si>
    <t>2076-MaxScoreESA</t>
  </si>
  <si>
    <t>2085-MaxScoreESA</t>
  </si>
  <si>
    <t>2100-MaxScoreESA</t>
  </si>
  <si>
    <t>2115-MaxScoreESA</t>
  </si>
  <si>
    <t>2132-MaxScoreESA</t>
  </si>
  <si>
    <t>2146-MaxScoreESA</t>
  </si>
  <si>
    <t>2197-MaxScoreESA</t>
  </si>
  <si>
    <t>2245-MaxScoreESA</t>
  </si>
  <si>
    <t>2283-MaxScoreESA</t>
  </si>
  <si>
    <t>2312-MaxScoreESA</t>
  </si>
  <si>
    <t>2319-MaxScoreESA</t>
  </si>
  <si>
    <t>2325-MaxScoreESA</t>
  </si>
  <si>
    <t>2350-MaxScoreESA</t>
  </si>
  <si>
    <t>2369-MaxScoreESA</t>
  </si>
  <si>
    <t>2439-MaxScoreESA</t>
  </si>
  <si>
    <t>2451-MaxScoreESA</t>
  </si>
  <si>
    <t>2500-MaxScoreESA</t>
  </si>
  <si>
    <t>2504-MaxScoreESA</t>
  </si>
  <si>
    <t>2528-MaxScoreESA</t>
  </si>
  <si>
    <t>2529-MaxScoreESA</t>
  </si>
  <si>
    <t>2555-MaxScoreESA</t>
  </si>
  <si>
    <t>2570-MaxScoreESA</t>
  </si>
  <si>
    <t>2594-MaxScoreESA</t>
  </si>
  <si>
    <t>2613-MaxScoreESA</t>
  </si>
  <si>
    <t>2679-MaxScoreESA</t>
  </si>
  <si>
    <t>2704-MaxScoreESA</t>
  </si>
  <si>
    <t>2730-MaxScoreESA</t>
  </si>
  <si>
    <t>2733-MaxScoreESA</t>
  </si>
  <si>
    <t>2786-MaxScoreESA</t>
  </si>
  <si>
    <t>2818-MaxScoreESA</t>
  </si>
  <si>
    <t>2925-MaxScoreESA</t>
  </si>
  <si>
    <t>2930-MaxScoreESA</t>
  </si>
  <si>
    <t>2933-MaxScoreESA</t>
  </si>
  <si>
    <t>2966-MaxScoreESA</t>
  </si>
  <si>
    <t>2978-MaxScoreESA</t>
  </si>
  <si>
    <t>2979-MaxScoreESA</t>
  </si>
  <si>
    <t>3133-MaxScoreESA</t>
  </si>
  <si>
    <t>3147-MaxScoreESA</t>
  </si>
  <si>
    <t>3234-MaxScoreESA</t>
  </si>
  <si>
    <t>3263-MaxScoreESA</t>
  </si>
  <si>
    <t>3271-MaxScoreESA</t>
  </si>
  <si>
    <t>3293-MaxScoreESA</t>
  </si>
  <si>
    <t>3330-MaxScoreESA</t>
  </si>
  <si>
    <t>3404-MaxScoreESA</t>
  </si>
  <si>
    <t>3406-MaxScoreESA</t>
  </si>
  <si>
    <t>3429-MaxScoreESA</t>
  </si>
  <si>
    <t>3445-MaxScoreESA</t>
  </si>
  <si>
    <t>3449-MaxScoreESA</t>
  </si>
  <si>
    <t>3493-MaxScoreESA</t>
  </si>
  <si>
    <t>3496-MaxScoreESA</t>
  </si>
  <si>
    <t>3503-MaxScoreESA</t>
  </si>
  <si>
    <t>3529-MaxScoreESA</t>
  </si>
  <si>
    <t>3539-MaxScoreESA</t>
  </si>
  <si>
    <t>3584-MaxScoreESA</t>
  </si>
  <si>
    <t>3614-MaxScoreESA</t>
  </si>
  <si>
    <t>3615-MaxScoreESA</t>
  </si>
  <si>
    <t>3627-MaxScoreESA</t>
  </si>
  <si>
    <t>3641-MaxScoreESA</t>
  </si>
  <si>
    <t>3647-MaxScoreESA</t>
  </si>
  <si>
    <t>3726-MaxScoreESA</t>
  </si>
  <si>
    <t>3737-MaxScoreESA</t>
  </si>
  <si>
    <t>3835-MaxScoreESA</t>
  </si>
  <si>
    <t>3914-MaxScoreESA</t>
  </si>
  <si>
    <t>4021-MaxScoreESA</t>
  </si>
  <si>
    <t>4028-MaxScoreESA</t>
  </si>
  <si>
    <t>4047-MaxScoreESA</t>
  </si>
  <si>
    <t>4123-MaxScoreESA</t>
  </si>
  <si>
    <t>4137-MaxScoreESA</t>
  </si>
  <si>
    <t>4174-MaxScoreESA</t>
  </si>
  <si>
    <t>4188-MaxScoreESA</t>
  </si>
  <si>
    <t>4245-MaxScoreESA</t>
  </si>
  <si>
    <t>4251-MaxScoreESA</t>
  </si>
  <si>
    <t>4295-MaxScoreESA</t>
  </si>
  <si>
    <t>4301-MaxScoreESA</t>
  </si>
  <si>
    <t>4327-MaxScoreESA</t>
  </si>
  <si>
    <t>4354-MaxScoreESA</t>
  </si>
  <si>
    <t>4417-MaxScoreESA</t>
  </si>
  <si>
    <t>4422-MaxScoreESA</t>
  </si>
  <si>
    <t>4433-MaxScoreESA</t>
  </si>
  <si>
    <t>4476-MaxScoreESA</t>
  </si>
  <si>
    <t>4521-MaxScoreESA</t>
  </si>
  <si>
    <t>4596-MaxScoreESA</t>
  </si>
  <si>
    <t>4625-MaxScoreESA</t>
  </si>
  <si>
    <t>4676-MaxScoreESA</t>
  </si>
  <si>
    <t>4815-MaxScoreESA</t>
  </si>
  <si>
    <t>4825-MaxScoreESA</t>
  </si>
  <si>
    <t>4861-MaxScoreESA</t>
  </si>
  <si>
    <t>4895-MaxScoreESA</t>
  </si>
  <si>
    <t>4900-MaxScoreESA</t>
  </si>
  <si>
    <t>4912-MaxScoreESA</t>
  </si>
  <si>
    <t>4917-MaxScoreESA</t>
  </si>
  <si>
    <t>4940-MaxScoreESA</t>
  </si>
  <si>
    <t>4952-MaxScoreESA</t>
  </si>
  <si>
    <t>5058-MaxScoreESA</t>
  </si>
  <si>
    <t>5102-MaxScoreESA</t>
  </si>
  <si>
    <t>5128-MaxScoreESA</t>
  </si>
  <si>
    <t>5139-MaxScoreESA</t>
  </si>
  <si>
    <t>5150-MaxScoreESA</t>
  </si>
  <si>
    <t>5223-MaxScoreESA</t>
  </si>
  <si>
    <t>5298-MaxScoreESA</t>
  </si>
  <si>
    <t>5346-MaxScoreESA</t>
  </si>
  <si>
    <t>5378-MaxScoreESA</t>
  </si>
  <si>
    <t>5383-MaxScoreESA</t>
  </si>
  <si>
    <t>5426-MaxScoreESA</t>
  </si>
  <si>
    <t>5439-MaxScoreESA</t>
  </si>
  <si>
    <t>5462-MaxScoreESA</t>
  </si>
  <si>
    <t>5481-MaxScoreESA</t>
  </si>
  <si>
    <t>5510-MaxScoreESA</t>
  </si>
  <si>
    <t>5516-MaxScoreESA</t>
  </si>
  <si>
    <t>5522-MaxScoreESA</t>
  </si>
  <si>
    <t>5564-MaxScoreESA</t>
  </si>
  <si>
    <t>5571-MaxScoreESA</t>
  </si>
  <si>
    <t>5588-MaxScoreESA</t>
  </si>
  <si>
    <t>5632-MaxScoreESA</t>
  </si>
  <si>
    <t>5640-MaxScoreESA</t>
  </si>
  <si>
    <t>5645-MaxScoreESA</t>
  </si>
  <si>
    <t>5652-MaxScoreESA</t>
  </si>
  <si>
    <t>5656-MaxScoreESA</t>
  </si>
  <si>
    <t>5659-MaxScoreESA</t>
  </si>
  <si>
    <t>5715-MaxScoreESA</t>
  </si>
  <si>
    <t>5725-MaxScoreESA</t>
  </si>
  <si>
    <t>5730-MaxScoreESA</t>
  </si>
  <si>
    <t>5781-MaxScoreESA</t>
  </si>
  <si>
    <t>5817-MaxScoreESA</t>
  </si>
  <si>
    <t>5828-MaxScoreESA</t>
  </si>
  <si>
    <t>5832-MaxScoreESA</t>
  </si>
  <si>
    <t>5887-MaxScoreESA</t>
  </si>
  <si>
    <t>5936-MaxScoreESA</t>
  </si>
  <si>
    <t>5977-MaxScoreESA</t>
  </si>
  <si>
    <t>6007-MaxScoreESA</t>
  </si>
  <si>
    <t>6023-MaxScoreESA</t>
  </si>
  <si>
    <t>6080-MaxScoreESA</t>
  </si>
  <si>
    <t>6090-MaxScoreESA</t>
  </si>
  <si>
    <t>6100-MaxScoreESA</t>
  </si>
  <si>
    <t>6151-MaxScoreESA</t>
  </si>
  <si>
    <t>6154-MaxScoreESA</t>
  </si>
  <si>
    <t>6156-MaxScoreESA</t>
  </si>
  <si>
    <t>6195-MaxScoreESA</t>
  </si>
  <si>
    <t>6247-MaxScoreESA</t>
  </si>
  <si>
    <t>6260-MaxScoreESA</t>
  </si>
  <si>
    <t>6301-MaxScoreESA</t>
  </si>
  <si>
    <t>6433-MaxScoreESA</t>
  </si>
  <si>
    <t>6443-MaxScoreESA</t>
  </si>
  <si>
    <t>6569-MaxScoreESA</t>
  </si>
  <si>
    <t>6570-MaxScoreESA</t>
  </si>
  <si>
    <t>57-MaxScoreCSE</t>
  </si>
  <si>
    <t>61-MaxScoreCSE</t>
  </si>
  <si>
    <t>96-MaxScoreCSE</t>
  </si>
  <si>
    <t>102-MaxScoreCSE</t>
  </si>
  <si>
    <t>159-MaxScoreCSE</t>
  </si>
  <si>
    <t>175-MaxScoreCSE</t>
  </si>
  <si>
    <t>202-MaxScoreCSE</t>
  </si>
  <si>
    <t>203-MaxScoreCSE</t>
  </si>
  <si>
    <t>219-MaxScoreCSE</t>
  </si>
  <si>
    <t>228-MaxScoreCSE</t>
  </si>
  <si>
    <t>235-MaxScoreCSE</t>
  </si>
  <si>
    <t>291-MaxScoreCSE</t>
  </si>
  <si>
    <t>292-MaxScoreCSE</t>
  </si>
  <si>
    <t>314-MaxScoreCSE</t>
  </si>
  <si>
    <t>317-MaxScoreCSE</t>
  </si>
  <si>
    <t>341-MaxScoreCSE</t>
  </si>
  <si>
    <t>359-MaxScoreCSE</t>
  </si>
  <si>
    <t>393-MaxScoreCSE</t>
  </si>
  <si>
    <t>438-MaxScoreCSE</t>
  </si>
  <si>
    <t>448-MaxScoreCSE</t>
  </si>
  <si>
    <t>458-MaxScoreCSE</t>
  </si>
  <si>
    <t>459-MaxScoreCSE</t>
  </si>
  <si>
    <t>465-MaxScoreCSE</t>
  </si>
  <si>
    <t>489-MaxScoreCSE</t>
  </si>
  <si>
    <t>526-MaxScoreCSE</t>
  </si>
  <si>
    <t>531-MaxScoreCSE</t>
  </si>
  <si>
    <t>532-MaxScoreCSE</t>
  </si>
  <si>
    <t>533-MaxScoreCSE</t>
  </si>
  <si>
    <t>565-MaxScoreCSE</t>
  </si>
  <si>
    <t>567-MaxScoreCSE</t>
  </si>
  <si>
    <t>572-MaxScoreCSE</t>
  </si>
  <si>
    <t>587-MaxScoreCSE</t>
  </si>
  <si>
    <t>601-MaxScoreCSE</t>
  </si>
  <si>
    <t>606-MaxScoreCSE</t>
  </si>
  <si>
    <t>668-MaxScoreCSE</t>
  </si>
  <si>
    <t>669-MaxScoreCSE</t>
  </si>
  <si>
    <t>723-MaxScoreCSE</t>
  </si>
  <si>
    <t>763-MaxScoreCSE</t>
  </si>
  <si>
    <t>766-MaxScoreCSE</t>
  </si>
  <si>
    <t>770-MaxScoreCSE</t>
  </si>
  <si>
    <t>801-MaxScoreCSE</t>
  </si>
  <si>
    <t>861-MaxScoreCSE</t>
  </si>
  <si>
    <t>875-MaxScoreCSE</t>
  </si>
  <si>
    <t>883-MaxScoreCSE</t>
  </si>
  <si>
    <t>885-MaxScoreCSE</t>
  </si>
  <si>
    <t>889-MaxScoreCSE</t>
  </si>
  <si>
    <t>897-MaxScoreCSE</t>
  </si>
  <si>
    <t>904-MaxScoreCSE</t>
  </si>
  <si>
    <t>914-MaxScoreCSE</t>
  </si>
  <si>
    <t>929-MaxScoreCSE</t>
  </si>
  <si>
    <t>938-MaxScoreCSE</t>
  </si>
  <si>
    <t>978-MaxScoreCSE</t>
  </si>
  <si>
    <t>1016-MaxScoreCSE</t>
  </si>
  <si>
    <t>1046-MaxScoreCSE</t>
  </si>
  <si>
    <t>1084-MaxScoreCSE</t>
  </si>
  <si>
    <t>1092-MaxScoreCSE</t>
  </si>
  <si>
    <t>1096-MaxScoreCSE</t>
  </si>
  <si>
    <t>1099-MaxScoreCSE</t>
  </si>
  <si>
    <t>1102-MaxScoreCSE</t>
  </si>
  <si>
    <t>1118-MaxScoreCSE</t>
  </si>
  <si>
    <t>1123-MaxScoreCSE</t>
  </si>
  <si>
    <t>1126-MaxScoreCSE</t>
  </si>
  <si>
    <t>1137-MaxScoreCSE</t>
  </si>
  <si>
    <t>1155-MaxScoreCSE</t>
  </si>
  <si>
    <t>1166-MaxScoreCSE</t>
  </si>
  <si>
    <t>1168-MaxScoreCSE</t>
  </si>
  <si>
    <t>1170-MaxScoreCSE</t>
  </si>
  <si>
    <t>1219-MaxScoreCSE</t>
  </si>
  <si>
    <t>1242-MaxScoreCSE</t>
  </si>
  <si>
    <t>1244-MaxScoreCSE</t>
  </si>
  <si>
    <t>1254-MaxScoreCSE</t>
  </si>
  <si>
    <t>1268-MaxScoreCSE</t>
  </si>
  <si>
    <t>1276-MaxScoreCSE</t>
  </si>
  <si>
    <t>1285-MaxScoreCSE</t>
  </si>
  <si>
    <t>1290-MaxScoreCSE</t>
  </si>
  <si>
    <t>1305-MaxScoreCSE</t>
  </si>
  <si>
    <t>1315-MaxScoreCSE</t>
  </si>
  <si>
    <t>1323-MaxScoreCSE</t>
  </si>
  <si>
    <t>1367-MaxScoreCSE</t>
  </si>
  <si>
    <t>1372-MaxScoreCSE</t>
  </si>
  <si>
    <t>1374-MaxScoreCSE</t>
  </si>
  <si>
    <t>1380-MaxScoreCSE</t>
  </si>
  <si>
    <t>1383-MaxScoreCSE</t>
  </si>
  <si>
    <t>1397-MaxScoreCSE</t>
  </si>
  <si>
    <t>1400-MaxScoreCSE</t>
  </si>
  <si>
    <t>1410-MaxScoreCSE</t>
  </si>
  <si>
    <t>1428-MaxScoreCSE</t>
  </si>
  <si>
    <t>1450-MaxScoreCSE</t>
  </si>
  <si>
    <t>1459-MaxScoreCSE</t>
  </si>
  <si>
    <t>1475-MaxScoreCSE</t>
  </si>
  <si>
    <t>1492-MaxScoreCSE</t>
  </si>
  <si>
    <t>1493-MaxScoreCSE</t>
  </si>
  <si>
    <t>1495-MaxScoreCSE</t>
  </si>
  <si>
    <t>1500-MaxScoreCSE</t>
  </si>
  <si>
    <t>1518-MaxScoreCSE</t>
  </si>
  <si>
    <t>1523-MaxScoreCSE</t>
  </si>
  <si>
    <t>1587-MaxScoreCSE</t>
  </si>
  <si>
    <t>1590-MaxScoreCSE</t>
  </si>
  <si>
    <t>1599-MaxScoreCSE</t>
  </si>
  <si>
    <t>1606-MaxScoreCSE</t>
  </si>
  <si>
    <t>1610-MaxScoreCSE</t>
  </si>
  <si>
    <t>1620-MaxScoreCSE</t>
  </si>
  <si>
    <t>1633-MaxScoreCSE</t>
  </si>
  <si>
    <t>1663-MaxScoreCSE</t>
  </si>
  <si>
    <t>1676-MaxScoreCSE</t>
  </si>
  <si>
    <t>1686-MaxScoreCSE</t>
  </si>
  <si>
    <t>1696-MaxScoreCSE</t>
  </si>
  <si>
    <t>1729-MaxScoreCSE</t>
  </si>
  <si>
    <t>1736-MaxScoreCSE</t>
  </si>
  <si>
    <t>1740-MaxScoreCSE</t>
  </si>
  <si>
    <t>1745-MaxScoreCSE</t>
  </si>
  <si>
    <t>1749-MaxScoreCSE</t>
  </si>
  <si>
    <t>1750-MaxScoreCSE</t>
  </si>
  <si>
    <t>1764-MaxScoreCSE</t>
  </si>
  <si>
    <t>1801-MaxScoreCSE</t>
  </si>
  <si>
    <t>1828-MaxScoreCSE</t>
  </si>
  <si>
    <t>1858-MaxScoreCSE</t>
  </si>
  <si>
    <t>1863-MaxScoreCSE</t>
  </si>
  <si>
    <t>1907-MaxScoreCSE</t>
  </si>
  <si>
    <t>1910-MaxScoreCSE</t>
  </si>
  <si>
    <t>1930-MaxScoreCSE</t>
  </si>
  <si>
    <t>1936-MaxScoreCSE</t>
  </si>
  <si>
    <t>1991-MaxScoreCSE</t>
  </si>
  <si>
    <t>2002-MaxScoreCSE</t>
  </si>
  <si>
    <t>2052-MaxScoreCSE</t>
  </si>
  <si>
    <t>2091-MaxScoreCSE</t>
  </si>
  <si>
    <t>2095-MaxScoreCSE</t>
  </si>
  <si>
    <t>2101-MaxScoreCSE</t>
  </si>
  <si>
    <t>2105-MaxScoreCSE</t>
  </si>
  <si>
    <t>2121-MaxScoreCSE</t>
  </si>
  <si>
    <t>2123-MaxScoreCSE</t>
  </si>
  <si>
    <t>2125-MaxScoreCSE</t>
  </si>
  <si>
    <t>2140-MaxScoreCSE</t>
  </si>
  <si>
    <t>2173-MaxScoreCSE</t>
  </si>
  <si>
    <t>2189-MaxScoreCSE</t>
  </si>
  <si>
    <t>2203-MaxScoreCSE</t>
  </si>
  <si>
    <t>2204-MaxScoreCSE</t>
  </si>
  <si>
    <t>2207-MaxScoreCSE</t>
  </si>
  <si>
    <t>2241-MaxScoreCSE</t>
  </si>
  <si>
    <t>2256-MaxScoreCSE</t>
  </si>
  <si>
    <t>2266-MaxScoreCSE</t>
  </si>
  <si>
    <t>2294-MaxScoreCSE</t>
  </si>
  <si>
    <t>2302-MaxScoreCSE</t>
  </si>
  <si>
    <t>2308-MaxScoreCSE</t>
  </si>
  <si>
    <t>2339-MaxScoreCSE</t>
  </si>
  <si>
    <t>2360-MaxScoreCSE</t>
  </si>
  <si>
    <t>2380-MaxScoreCSE</t>
  </si>
  <si>
    <t>2406-MaxScoreCSE</t>
  </si>
  <si>
    <t>2422-MaxScoreCSE</t>
  </si>
  <si>
    <t>2429-MaxScoreCSE</t>
  </si>
  <si>
    <t>2435-MaxScoreCSE</t>
  </si>
  <si>
    <t>2438-MaxScoreCSE</t>
  </si>
  <si>
    <t>2442-MaxScoreCSE</t>
  </si>
  <si>
    <t>2444-MaxScoreCSE</t>
  </si>
  <si>
    <t>2488-MaxScoreCSE</t>
  </si>
  <si>
    <t>2518-MaxScoreCSE</t>
  </si>
  <si>
    <t>2523-MaxScoreCSE</t>
  </si>
  <si>
    <t>2592-MaxScoreCSE</t>
  </si>
  <si>
    <t>2609-MaxScoreCSE</t>
  </si>
  <si>
    <t>2618-MaxScoreCSE</t>
  </si>
  <si>
    <t>2646-MaxScoreCSE</t>
  </si>
  <si>
    <t>2659-MaxScoreCSE</t>
  </si>
  <si>
    <t>2676-MaxScoreCSE</t>
  </si>
  <si>
    <t>2678-MaxScoreCSE</t>
  </si>
  <si>
    <t>2686-MaxScoreCSE</t>
  </si>
  <si>
    <t>2712-MaxScoreCSE</t>
  </si>
  <si>
    <t>2715-MaxScoreCSE</t>
  </si>
  <si>
    <t>2724-MaxScoreCSE</t>
  </si>
  <si>
    <t>2725-MaxScoreCSE</t>
  </si>
  <si>
    <t>2740-MaxScoreCSE</t>
  </si>
  <si>
    <t>2767-MaxScoreCSE</t>
  </si>
  <si>
    <t>2783-MaxScoreCSE</t>
  </si>
  <si>
    <t>2784-MaxScoreCSE</t>
  </si>
  <si>
    <t>2839-MaxScoreCSE</t>
  </si>
  <si>
    <t>2847-MaxScoreCSE</t>
  </si>
  <si>
    <t>2877-MaxScoreCSE</t>
  </si>
  <si>
    <t>2907-MaxScoreCSE</t>
  </si>
  <si>
    <t>2943-MaxScoreCSE</t>
  </si>
  <si>
    <t>2959-MaxScoreCSE</t>
  </si>
  <si>
    <t>3007-MaxScoreCSE</t>
  </si>
  <si>
    <t>3009-MaxScoreCSE</t>
  </si>
  <si>
    <t>3029-MaxScoreCSE</t>
  </si>
  <si>
    <t>3053-MaxScoreCSE</t>
  </si>
  <si>
    <t>3069-MaxScoreCSE</t>
  </si>
  <si>
    <t>3082-MaxScoreCSE</t>
  </si>
  <si>
    <t>3101-MaxScoreCSE</t>
  </si>
  <si>
    <t>3135-MaxScoreCSE</t>
  </si>
  <si>
    <t>3166-MaxScoreCSE</t>
  </si>
  <si>
    <t>3170-MaxScoreCSE</t>
  </si>
  <si>
    <t>3171-MaxScoreCSE</t>
  </si>
  <si>
    <t>3172-MaxScoreCSE</t>
  </si>
  <si>
    <t>3191-MaxScoreCSE</t>
  </si>
  <si>
    <t>3193-MaxScoreCSE</t>
  </si>
  <si>
    <t>3198-MaxScoreCSE</t>
  </si>
  <si>
    <t>3203-MaxScoreCSE</t>
  </si>
  <si>
    <t>3208-MaxScoreCSE</t>
  </si>
  <si>
    <t>3221-MaxScoreCSE</t>
  </si>
  <si>
    <t>3246-MaxScoreCSE</t>
  </si>
  <si>
    <t>3257-MaxScoreCSE</t>
  </si>
  <si>
    <t>3276-MaxScoreCSE</t>
  </si>
  <si>
    <t>3296-MaxScoreCSE</t>
  </si>
  <si>
    <t>3297-MaxScoreCSE</t>
  </si>
  <si>
    <t>3300-MaxScoreCSE</t>
  </si>
  <si>
    <t>3309-MaxScoreCSE</t>
  </si>
  <si>
    <t>3321-MaxScoreCSE</t>
  </si>
  <si>
    <t>3356-MaxScoreCSE</t>
  </si>
  <si>
    <t>3365-MaxScoreCSE</t>
  </si>
  <si>
    <t>3390-MaxScoreCSE</t>
  </si>
  <si>
    <t>3397-MaxScoreCSE</t>
  </si>
  <si>
    <t>3423-MaxScoreCSE</t>
  </si>
  <si>
    <t>3433-MaxScoreCSE</t>
  </si>
  <si>
    <t>3444-MaxScoreCSE</t>
  </si>
  <si>
    <t>3459-MaxScoreCSE</t>
  </si>
  <si>
    <t>3463-MaxScoreCSE</t>
  </si>
  <si>
    <t>3464-MaxScoreCSE</t>
  </si>
  <si>
    <t>3492-MaxScoreCSE</t>
  </si>
  <si>
    <t>3550-MaxScoreCSE</t>
  </si>
  <si>
    <t>3560-MaxScoreCSE</t>
  </si>
  <si>
    <t>3567-MaxScoreCSE</t>
  </si>
  <si>
    <t>3609-MaxScoreCSE</t>
  </si>
  <si>
    <t>3659-MaxScoreCSE</t>
  </si>
  <si>
    <t>3711-MaxScoreCSE</t>
  </si>
  <si>
    <t>3727-MaxScoreCSE</t>
  </si>
  <si>
    <t>3738-MaxScoreCSE</t>
  </si>
  <si>
    <t>3753-MaxScoreCSE</t>
  </si>
  <si>
    <t>3757-MaxScoreCSE</t>
  </si>
  <si>
    <t>3761-MaxScoreCSE</t>
  </si>
  <si>
    <t>3774-MaxScoreCSE</t>
  </si>
  <si>
    <t>3841-MaxScoreCSE</t>
  </si>
  <si>
    <t>3856-MaxScoreCSE</t>
  </si>
  <si>
    <t>3866-MaxScoreCSE</t>
  </si>
  <si>
    <t>3872-MaxScoreCSE</t>
  </si>
  <si>
    <t>3900-MaxScoreCSE</t>
  </si>
  <si>
    <t>3925-MaxScoreCSE</t>
  </si>
  <si>
    <t>3939-MaxScoreCSE</t>
  </si>
  <si>
    <t>3991-MaxScoreCSE</t>
  </si>
  <si>
    <t>4029-MaxScoreCSE</t>
  </si>
  <si>
    <t>4034-MaxScoreCSE</t>
  </si>
  <si>
    <t>4044-MaxScoreCSE</t>
  </si>
  <si>
    <t>4084-MaxScoreCSE</t>
  </si>
  <si>
    <t>4102-MaxScoreCSE</t>
  </si>
  <si>
    <t>4105-MaxScoreCSE</t>
  </si>
  <si>
    <t>4136-MaxScoreCSE</t>
  </si>
  <si>
    <t>4138-MaxScoreCSE</t>
  </si>
  <si>
    <t>4166-MaxScoreCSE</t>
  </si>
  <si>
    <t>4180-MaxScoreCSE</t>
  </si>
  <si>
    <t>4187-MaxScoreCSE</t>
  </si>
  <si>
    <t>4193-MaxScoreCSE</t>
  </si>
  <si>
    <t>4195-MaxScoreCSE</t>
  </si>
  <si>
    <t>4224-MaxScoreCSE</t>
  </si>
  <si>
    <t>4240-MaxScoreCSE</t>
  </si>
  <si>
    <t>4250-MaxScoreCSE</t>
  </si>
  <si>
    <t>4281-MaxScoreCSE</t>
  </si>
  <si>
    <t>4299-MaxScoreCSE</t>
  </si>
  <si>
    <t>4303-MaxScoreCSE</t>
  </si>
  <si>
    <t>4307-MaxScoreCSE</t>
  </si>
  <si>
    <t>4308-MaxScoreCSE</t>
  </si>
  <si>
    <t>4327-MaxScoreCSE</t>
  </si>
  <si>
    <t>4365-MaxScoreCSE</t>
  </si>
  <si>
    <t>4370-MaxScoreCSE</t>
  </si>
  <si>
    <t>4371-MaxScoreCSE</t>
  </si>
  <si>
    <t>4380-MaxScoreCSE</t>
  </si>
  <si>
    <t>4397-MaxScoreCSE</t>
  </si>
  <si>
    <t>4398-MaxScoreCSE</t>
  </si>
  <si>
    <t>4410-MaxScoreCSE</t>
  </si>
  <si>
    <t>4432-MaxScoreCSE</t>
  </si>
  <si>
    <t>4435-MaxScoreCSE</t>
  </si>
  <si>
    <t>4439-MaxScoreCSE</t>
  </si>
  <si>
    <t>4441-MaxScoreCSE</t>
  </si>
  <si>
    <t>4448-MaxScoreCSE</t>
  </si>
  <si>
    <t>4453-MaxScoreCSE</t>
  </si>
  <si>
    <t>4461-MaxScoreCSE</t>
  </si>
  <si>
    <t>4465-MaxScoreCSE</t>
  </si>
  <si>
    <t>4479-MaxScoreCSE</t>
  </si>
  <si>
    <t>4482-MaxScoreCSE</t>
  </si>
  <si>
    <t>4499-MaxScoreCSE</t>
  </si>
  <si>
    <t>4571-MaxScoreCSE</t>
  </si>
  <si>
    <t>4597-MaxScoreCSE</t>
  </si>
  <si>
    <t>4637-MaxScoreCSE</t>
  </si>
  <si>
    <t>4711-MaxScoreCSE</t>
  </si>
  <si>
    <t>4721-MaxScoreCSE</t>
  </si>
  <si>
    <t>4723-MaxScoreCSE</t>
  </si>
  <si>
    <t>4725-MaxScoreCSE</t>
  </si>
  <si>
    <t>4737-MaxScoreCSE</t>
  </si>
  <si>
    <t>4738-MaxScoreCSE</t>
  </si>
  <si>
    <t>4749-MaxScoreCSE</t>
  </si>
  <si>
    <t>4755-MaxScoreCSE</t>
  </si>
  <si>
    <t>4764-MaxScoreCSE</t>
  </si>
  <si>
    <t>4771-MaxScoreCSE</t>
  </si>
  <si>
    <t>4875-MaxScoreCSE</t>
  </si>
  <si>
    <t>4886-MaxScoreCSE</t>
  </si>
  <si>
    <t>4887-MaxScoreCSE</t>
  </si>
  <si>
    <t>4893-MaxScoreCSE</t>
  </si>
  <si>
    <t>4918-MaxScoreCSE</t>
  </si>
  <si>
    <t>4937-MaxScoreCSE</t>
  </si>
  <si>
    <t>4967-MaxScoreCSE</t>
  </si>
  <si>
    <t>4972-MaxScoreCSE</t>
  </si>
  <si>
    <t>4992-MaxScoreCSE</t>
  </si>
  <si>
    <t>5023-MaxScoreCSE</t>
  </si>
  <si>
    <t>5029-MaxScoreCSE</t>
  </si>
  <si>
    <t>5038-MaxScoreCSE</t>
  </si>
  <si>
    <t>5054-MaxScoreCSE</t>
  </si>
  <si>
    <t>5115-MaxScoreCSE</t>
  </si>
  <si>
    <t>5181-MaxScoreCSE</t>
  </si>
  <si>
    <t>5222-MaxScoreCSE</t>
  </si>
  <si>
    <t>5247-MaxScoreCSE</t>
  </si>
  <si>
    <t>5255-MaxScoreCSE</t>
  </si>
  <si>
    <t>5256-MaxScoreCSE</t>
  </si>
  <si>
    <t>5302-MaxScoreCSE</t>
  </si>
  <si>
    <t>5308-MaxScoreCSE</t>
  </si>
  <si>
    <t>5315-MaxScoreCSE</t>
  </si>
  <si>
    <t>5341-MaxScoreCSE</t>
  </si>
  <si>
    <t>5375-MaxScoreCSE</t>
  </si>
  <si>
    <t>5411-MaxScoreCSE</t>
  </si>
  <si>
    <t>5431-MaxScoreCSE</t>
  </si>
  <si>
    <t>5434-MaxScoreCSE</t>
  </si>
  <si>
    <t>5449-MaxScoreCSE</t>
  </si>
  <si>
    <t>5483-MaxScoreCSE</t>
  </si>
  <si>
    <t>5507-MaxScoreCSE</t>
  </si>
  <si>
    <t>5516-MaxScoreCSE</t>
  </si>
  <si>
    <t>5577-MaxScoreCSE</t>
  </si>
  <si>
    <t>5582-MaxScoreCSE</t>
  </si>
  <si>
    <t>5592-MaxScoreCSE</t>
  </si>
  <si>
    <t>5737-MaxScoreCSE</t>
  </si>
  <si>
    <t>5872-MaxScoreCSE</t>
  </si>
  <si>
    <t>5914-MaxScoreCSE</t>
  </si>
  <si>
    <t>5973-MaxScoreCSE</t>
  </si>
  <si>
    <t>6059-MaxScoreCSE</t>
  </si>
  <si>
    <t>6081-MaxScoreCSE</t>
  </si>
  <si>
    <t>6148-MaxScoreCSE</t>
  </si>
  <si>
    <t>6207-MaxScoreCSE</t>
  </si>
  <si>
    <t>38-MaxScoreISE</t>
  </si>
  <si>
    <t>45-MaxScoreISE</t>
  </si>
  <si>
    <t>50-MaxScoreISE</t>
  </si>
  <si>
    <t>114-MaxScoreISE</t>
  </si>
  <si>
    <t>159-MaxScoreISE</t>
  </si>
  <si>
    <t>278-MaxScoreISE</t>
  </si>
  <si>
    <t>430-MaxScoreISE</t>
  </si>
  <si>
    <t>432-MaxScoreISE</t>
  </si>
  <si>
    <t>448-MaxScoreISE</t>
  </si>
  <si>
    <t>458-MaxScoreISE</t>
  </si>
  <si>
    <t>459-MaxScoreISE</t>
  </si>
  <si>
    <t>466-MaxScoreISE</t>
  </si>
  <si>
    <t>567-MaxScoreISE</t>
  </si>
  <si>
    <t>601-MaxScoreISE</t>
  </si>
  <si>
    <t>648-MaxScoreISE</t>
  </si>
  <si>
    <t>664-MaxScoreISE</t>
  </si>
  <si>
    <t>801-MaxScoreISE</t>
  </si>
  <si>
    <t>880-MaxScoreISE</t>
  </si>
  <si>
    <t>883-MaxScoreISE</t>
  </si>
  <si>
    <t>900-MaxScoreISE</t>
  </si>
  <si>
    <t>931-MaxScoreISE</t>
  </si>
  <si>
    <t>978-MaxScoreISE</t>
  </si>
  <si>
    <t>990-MaxScoreISE</t>
  </si>
  <si>
    <t>1092-MaxScoreISE</t>
  </si>
  <si>
    <t>1096-MaxScoreISE</t>
  </si>
  <si>
    <t>1123-MaxScoreISE</t>
  </si>
  <si>
    <t>1126-MaxScoreISE</t>
  </si>
  <si>
    <t>1164-MaxScoreISE</t>
  </si>
  <si>
    <t>1170-MaxScoreISE</t>
  </si>
  <si>
    <t>1243-MaxScoreISE</t>
  </si>
  <si>
    <t>1244-MaxScoreISE</t>
  </si>
  <si>
    <t>1305-MaxScoreISE</t>
  </si>
  <si>
    <t>1315-MaxScoreISE</t>
  </si>
  <si>
    <t>1368-MaxScoreISE</t>
  </si>
  <si>
    <t>1374-MaxScoreISE</t>
  </si>
  <si>
    <t>1495-MaxScoreISE</t>
  </si>
  <si>
    <t>1572-MaxScoreISE</t>
  </si>
  <si>
    <t>1605-MaxScoreISE</t>
  </si>
  <si>
    <t>1606-MaxScoreISE</t>
  </si>
  <si>
    <t>1676-MaxScoreISE</t>
  </si>
  <si>
    <t>1749-MaxScoreISE</t>
  </si>
  <si>
    <t>1750-MaxScoreISE</t>
  </si>
  <si>
    <t>1764-MaxScoreISE</t>
  </si>
  <si>
    <t>1896-MaxScoreISE</t>
  </si>
  <si>
    <t>1972-MaxScoreISE</t>
  </si>
  <si>
    <t>2002-MaxScoreISE</t>
  </si>
  <si>
    <t>2091-MaxScoreISE</t>
  </si>
  <si>
    <t>2105-MaxScoreISE</t>
  </si>
  <si>
    <t>2121-MaxScoreISE</t>
  </si>
  <si>
    <t>2189-MaxScoreISE</t>
  </si>
  <si>
    <t>2203-MaxScoreISE</t>
  </si>
  <si>
    <t>2294-MaxScoreISE</t>
  </si>
  <si>
    <t>2339-MaxScoreISE</t>
  </si>
  <si>
    <t>2382-MaxScoreISE</t>
  </si>
  <si>
    <t>2422-MaxScoreISE</t>
  </si>
  <si>
    <t>2438-MaxScoreISE</t>
  </si>
  <si>
    <t>2442-MaxScoreISE</t>
  </si>
  <si>
    <t>2444-MaxScoreISE</t>
  </si>
  <si>
    <t>2488-MaxScoreISE</t>
  </si>
  <si>
    <t>2609-MaxScoreISE</t>
  </si>
  <si>
    <t>2646-MaxScoreISE</t>
  </si>
  <si>
    <t>2676-MaxScoreISE</t>
  </si>
  <si>
    <t>2686-MaxScoreISE</t>
  </si>
  <si>
    <t>2692-MaxScoreISE</t>
  </si>
  <si>
    <t>2695-MaxScoreISE</t>
  </si>
  <si>
    <t>2725-MaxScoreISE</t>
  </si>
  <si>
    <t>2740-MaxScoreISE</t>
  </si>
  <si>
    <t>2792-MaxScoreISE</t>
  </si>
  <si>
    <t>2839-MaxScoreISE</t>
  </si>
  <si>
    <t>2959-MaxScoreISE</t>
  </si>
  <si>
    <t>3009-MaxScoreISE</t>
  </si>
  <si>
    <t>3101-MaxScoreISE</t>
  </si>
  <si>
    <t>3172-MaxScoreISE</t>
  </si>
  <si>
    <t>3198-MaxScoreISE</t>
  </si>
  <si>
    <t>3321-MaxScoreISE</t>
  </si>
  <si>
    <t>3434-MaxScoreISE</t>
  </si>
  <si>
    <t>3446-MaxScoreISE</t>
  </si>
  <si>
    <t>3459-MaxScoreISE</t>
  </si>
  <si>
    <t>3567-MaxScoreISE</t>
  </si>
  <si>
    <t>3757-MaxScoreISE</t>
  </si>
  <si>
    <t>3774-MaxScoreISE</t>
  </si>
  <si>
    <t>3840-MaxScoreISE</t>
  </si>
  <si>
    <t>3841-MaxScoreISE</t>
  </si>
  <si>
    <t>4082-MaxScoreISE</t>
  </si>
  <si>
    <t>4097-MaxScoreISE</t>
  </si>
  <si>
    <t>4102-MaxScoreISE</t>
  </si>
  <si>
    <t>4120-MaxScoreISE</t>
  </si>
  <si>
    <t>4133-MaxScoreISE</t>
  </si>
  <si>
    <t>4136-MaxScoreISE</t>
  </si>
  <si>
    <t>4138-MaxScoreISE</t>
  </si>
  <si>
    <t>4303-MaxScoreISE</t>
  </si>
  <si>
    <t>4307-MaxScoreISE</t>
  </si>
  <si>
    <t>4365-MaxScoreISE</t>
  </si>
  <si>
    <t>4371-MaxScoreISE</t>
  </si>
  <si>
    <t>4398-MaxScoreISE</t>
  </si>
  <si>
    <t>4448-MaxScoreISE</t>
  </si>
  <si>
    <t>4547-MaxScoreISE</t>
  </si>
  <si>
    <t>4571-MaxScoreISE</t>
  </si>
  <si>
    <t>4671-MaxScoreISE</t>
  </si>
  <si>
    <t>4711-MaxScoreISE</t>
  </si>
  <si>
    <t>4723-MaxScoreISE</t>
  </si>
  <si>
    <t>4725-MaxScoreISE</t>
  </si>
  <si>
    <t>4737-MaxScoreISE</t>
  </si>
  <si>
    <t>4764-MaxScoreISE</t>
  </si>
  <si>
    <t>4766-MaxScoreISE</t>
  </si>
  <si>
    <t>4886-MaxScoreISE</t>
  </si>
  <si>
    <t>4967-MaxScoreISE</t>
  </si>
  <si>
    <t>4972-MaxScoreISE</t>
  </si>
  <si>
    <t>5088-MaxScoreISE</t>
  </si>
  <si>
    <t>5222-MaxScoreISE</t>
  </si>
  <si>
    <t>5270-MaxScoreISE</t>
  </si>
  <si>
    <t>5343-MaxScoreISE</t>
  </si>
  <si>
    <t>5483-MaxScoreISE</t>
  </si>
  <si>
    <t>5492-MaxScoreISE</t>
  </si>
  <si>
    <t>5516-MaxScoreISE</t>
  </si>
  <si>
    <t>5914-MaxScoreISE</t>
  </si>
  <si>
    <t>6059-MaxScoreISE</t>
  </si>
  <si>
    <t>6072-MaxScoreISE</t>
  </si>
  <si>
    <t>6454-MaxScoreISE</t>
  </si>
  <si>
    <t>50-MaxScoreESE</t>
  </si>
  <si>
    <t>102-MaxScoreESE</t>
  </si>
  <si>
    <t>114-MaxScoreESE</t>
  </si>
  <si>
    <t>175-MaxScoreESE</t>
  </si>
  <si>
    <t>202-MaxScoreESE</t>
  </si>
  <si>
    <t>203-MaxScoreESE</t>
  </si>
  <si>
    <t>219-MaxScoreESE</t>
  </si>
  <si>
    <t>223-MaxScoreESE</t>
  </si>
  <si>
    <t>235-MaxScoreESE</t>
  </si>
  <si>
    <t>277-MaxScoreESE</t>
  </si>
  <si>
    <t>278-MaxScoreESE</t>
  </si>
  <si>
    <t>314-MaxScoreESE</t>
  </si>
  <si>
    <t>341-MaxScoreESE</t>
  </si>
  <si>
    <t>359-MaxScoreESE</t>
  </si>
  <si>
    <t>393-MaxScoreESE</t>
  </si>
  <si>
    <t>432-MaxScoreESE</t>
  </si>
  <si>
    <t>465-MaxScoreESE</t>
  </si>
  <si>
    <t>526-MaxScoreESE</t>
  </si>
  <si>
    <t>529-MaxScoreESE</t>
  </si>
  <si>
    <t>531-MaxScoreESE</t>
  </si>
  <si>
    <t>532-MaxScoreESE</t>
  </si>
  <si>
    <t>533-MaxScoreESE</t>
  </si>
  <si>
    <t>549-MaxScoreESE</t>
  </si>
  <si>
    <t>550-MaxScoreESE</t>
  </si>
  <si>
    <t>565-MaxScoreESE</t>
  </si>
  <si>
    <t>587-MaxScoreESE</t>
  </si>
  <si>
    <t>664-MaxScoreESE</t>
  </si>
  <si>
    <t>725-MaxScoreESE</t>
  </si>
  <si>
    <t>763-MaxScoreESE</t>
  </si>
  <si>
    <t>766-MaxScoreESE</t>
  </si>
  <si>
    <t>770-MaxScoreESE</t>
  </si>
  <si>
    <t>865-MaxScoreESE</t>
  </si>
  <si>
    <t>880-MaxScoreESE</t>
  </si>
  <si>
    <t>900-MaxScoreESE</t>
  </si>
  <si>
    <t>914-MaxScoreESE</t>
  </si>
  <si>
    <t>929-MaxScoreESE</t>
  </si>
  <si>
    <t>931-MaxScoreESE</t>
  </si>
  <si>
    <t>945-MaxScoreESE</t>
  </si>
  <si>
    <t>949-MaxScoreESE</t>
  </si>
  <si>
    <t>954-MaxScoreESE</t>
  </si>
  <si>
    <t>1016-MaxScoreESE</t>
  </si>
  <si>
    <t>1046-MaxScoreESE</t>
  </si>
  <si>
    <t>1084-MaxScoreESE</t>
  </si>
  <si>
    <t>1099-MaxScoreESE</t>
  </si>
  <si>
    <t>1102-MaxScoreESE</t>
  </si>
  <si>
    <t>1118-MaxScoreESE</t>
  </si>
  <si>
    <t>1137-MaxScoreESE</t>
  </si>
  <si>
    <t>1155-MaxScoreESE</t>
  </si>
  <si>
    <t>1164-MaxScoreESE</t>
  </si>
  <si>
    <t>1166-MaxScoreESE</t>
  </si>
  <si>
    <t>1168-MaxScoreESE</t>
  </si>
  <si>
    <t>1184-MaxScoreESE</t>
  </si>
  <si>
    <t>1242-MaxScoreESE</t>
  </si>
  <si>
    <t>1243-MaxScoreESE</t>
  </si>
  <si>
    <t>1254-MaxScoreESE</t>
  </si>
  <si>
    <t>1279-MaxScoreESE</t>
  </si>
  <si>
    <t>1323-MaxScoreESE</t>
  </si>
  <si>
    <t>1372-MaxScoreESE</t>
  </si>
  <si>
    <t>1380-MaxScoreESE</t>
  </si>
  <si>
    <t>1397-MaxScoreESE</t>
  </si>
  <si>
    <t>1428-MaxScoreESE</t>
  </si>
  <si>
    <t>1435-MaxScoreESE</t>
  </si>
  <si>
    <t>1450-MaxScoreESE</t>
  </si>
  <si>
    <t>1459-MaxScoreESE</t>
  </si>
  <si>
    <t>1507-MaxScoreESE</t>
  </si>
  <si>
    <t>1523-MaxScoreESE</t>
  </si>
  <si>
    <t>1572-MaxScoreESE</t>
  </si>
  <si>
    <t>1587-MaxScoreESE</t>
  </si>
  <si>
    <t>1610-MaxScoreESE</t>
  </si>
  <si>
    <t>1625-MaxScoreESE</t>
  </si>
  <si>
    <t>1663-MaxScoreESE</t>
  </si>
  <si>
    <t>1729-MaxScoreESE</t>
  </si>
  <si>
    <t>1745-MaxScoreESE</t>
  </si>
  <si>
    <t>1801-MaxScoreESE</t>
  </si>
  <si>
    <t>1827-MaxScoreESE</t>
  </si>
  <si>
    <t>1828-MaxScoreESE</t>
  </si>
  <si>
    <t>1858-MaxScoreESE</t>
  </si>
  <si>
    <t>1863-MaxScoreESE</t>
  </si>
  <si>
    <t>1930-MaxScoreESE</t>
  </si>
  <si>
    <t>1972-MaxScoreESE</t>
  </si>
  <si>
    <t>2031-MaxScoreESE</t>
  </si>
  <si>
    <t>2052-MaxScoreESE</t>
  </si>
  <si>
    <t>2125-MaxScoreESE</t>
  </si>
  <si>
    <t>2204-MaxScoreESE</t>
  </si>
  <si>
    <t>2207-MaxScoreESE</t>
  </si>
  <si>
    <t>2240-MaxScoreESE</t>
  </si>
  <si>
    <t>2266-MaxScoreESE</t>
  </si>
  <si>
    <t>2380-MaxScoreESE</t>
  </si>
  <si>
    <t>2406-MaxScoreESE</t>
  </si>
  <si>
    <t>2435-MaxScoreESE</t>
  </si>
  <si>
    <t>2678-MaxScoreESE</t>
  </si>
  <si>
    <t>2682-MaxScoreESE</t>
  </si>
  <si>
    <t>2692-MaxScoreESE</t>
  </si>
  <si>
    <t>2783-MaxScoreESE</t>
  </si>
  <si>
    <t>2784-MaxScoreESE</t>
  </si>
  <si>
    <t>2792-MaxScoreESE</t>
  </si>
  <si>
    <t>2828-MaxScoreESE</t>
  </si>
  <si>
    <t>2877-MaxScoreESE</t>
  </si>
  <si>
    <t>3082-MaxScoreESE</t>
  </si>
  <si>
    <t>3170-MaxScoreESE</t>
  </si>
  <si>
    <t>3191-MaxScoreESE</t>
  </si>
  <si>
    <t>3193-MaxScoreESE</t>
  </si>
  <si>
    <t>3208-MaxScoreESE</t>
  </si>
  <si>
    <t>3288-MaxScoreESE</t>
  </si>
  <si>
    <t>3297-MaxScoreESE</t>
  </si>
  <si>
    <t>3309-MaxScoreESE</t>
  </si>
  <si>
    <t>3356-MaxScoreESE</t>
  </si>
  <si>
    <t>3365-MaxScoreESE</t>
  </si>
  <si>
    <t>3397-MaxScoreESE</t>
  </si>
  <si>
    <t>3423-MaxScoreESE</t>
  </si>
  <si>
    <t>3433-MaxScoreESE</t>
  </si>
  <si>
    <t>3446-MaxScoreESE</t>
  </si>
  <si>
    <t>3463-MaxScoreESE</t>
  </si>
  <si>
    <t>3647-MaxScoreESE</t>
  </si>
  <si>
    <t>3659-MaxScoreESE</t>
  </si>
  <si>
    <t>3686-MaxScoreESE</t>
  </si>
  <si>
    <t>3692-MaxScoreESE</t>
  </si>
  <si>
    <t>3727-MaxScoreESE</t>
  </si>
  <si>
    <t>3856-MaxScoreESE</t>
  </si>
  <si>
    <t>3900-MaxScoreESE</t>
  </si>
  <si>
    <t>4084-MaxScoreESE</t>
  </si>
  <si>
    <t>4133-MaxScoreESE</t>
  </si>
  <si>
    <t>4187-MaxScoreESE</t>
  </si>
  <si>
    <t>4195-MaxScoreESE</t>
  </si>
  <si>
    <t>4240-MaxScoreESE</t>
  </si>
  <si>
    <t>4331-MaxScoreESE</t>
  </si>
  <si>
    <t>4338-MaxScoreESE</t>
  </si>
  <si>
    <t>4380-MaxScoreESE</t>
  </si>
  <si>
    <t>4411-MaxScoreESE</t>
  </si>
  <si>
    <t>4425-MaxScoreESE</t>
  </si>
  <si>
    <t>4435-MaxScoreESE</t>
  </si>
  <si>
    <t>4439-MaxScoreESE</t>
  </si>
  <si>
    <t>4453-MaxScoreESE</t>
  </si>
  <si>
    <t>4461-MaxScoreESE</t>
  </si>
  <si>
    <t>4479-MaxScoreESE</t>
  </si>
  <si>
    <t>4483-MaxScoreESE</t>
  </si>
  <si>
    <t>4499-MaxScoreESE</t>
  </si>
  <si>
    <t>4547-MaxScoreESE</t>
  </si>
  <si>
    <t>4580-MaxScoreESE</t>
  </si>
  <si>
    <t>4597-MaxScoreESE</t>
  </si>
  <si>
    <t>4637-MaxScoreESE</t>
  </si>
  <si>
    <t>4717-MaxScoreESE</t>
  </si>
  <si>
    <t>4721-MaxScoreESE</t>
  </si>
  <si>
    <t>4749-MaxScoreESE</t>
  </si>
  <si>
    <t>4771-MaxScoreESE</t>
  </si>
  <si>
    <t>4875-MaxScoreESE</t>
  </si>
  <si>
    <t>4992-MaxScoreESE</t>
  </si>
  <si>
    <t>5029-MaxScoreESE</t>
  </si>
  <si>
    <t>5054-MaxScoreESE</t>
  </si>
  <si>
    <t>5086-MaxScoreESE</t>
  </si>
  <si>
    <t>5088-MaxScoreESE</t>
  </si>
  <si>
    <t>5115-MaxScoreESE</t>
  </si>
  <si>
    <t>5247-MaxScoreESE</t>
  </si>
  <si>
    <t>5255-MaxScoreESE</t>
  </si>
  <si>
    <t>5256-MaxScoreESE</t>
  </si>
  <si>
    <t>5308-MaxScoreESE</t>
  </si>
  <si>
    <t>5341-MaxScoreESE</t>
  </si>
  <si>
    <t>5343-MaxScoreESE</t>
  </si>
  <si>
    <t>5345-MaxScoreESE</t>
  </si>
  <si>
    <t>5404-MaxScoreESE</t>
  </si>
  <si>
    <t>5446-MaxScoreESE</t>
  </si>
  <si>
    <t>5449-MaxScoreESE</t>
  </si>
  <si>
    <t>5577-MaxScoreESE</t>
  </si>
  <si>
    <t>5690-MaxScoreESE</t>
  </si>
  <si>
    <t>5737-MaxScoreESE</t>
  </si>
  <si>
    <t>5833-MaxScoreESE</t>
  </si>
  <si>
    <t>5852-MaxScoreESE</t>
  </si>
  <si>
    <t>5872-MaxScoreESE</t>
  </si>
  <si>
    <t>5930-MaxScoreESE</t>
  </si>
  <si>
    <t>6079-MaxScoreESE</t>
  </si>
  <si>
    <t>6099-MaxScoreESE</t>
  </si>
  <si>
    <t>Quizz</t>
  </si>
  <si>
    <t>Katz, Marsha</t>
  </si>
  <si>
    <t>Kazee</t>
  </si>
  <si>
    <t>Routhier, Myriam</t>
  </si>
  <si>
    <t>Mister Jones</t>
  </si>
  <si>
    <t>Santerre, Kim</t>
  </si>
  <si>
    <t>Baker, Sandee</t>
  </si>
  <si>
    <t>Kinn</t>
  </si>
  <si>
    <t>Sutherland, Victoria</t>
  </si>
  <si>
    <t>Lake</t>
  </si>
  <si>
    <t>Kronlov, Caroline</t>
  </si>
  <si>
    <t>Balloune</t>
  </si>
  <si>
    <t>Samantha Labrecque, Samantha</t>
  </si>
  <si>
    <t>Mishtamek</t>
  </si>
  <si>
    <t>Kubica, Zuzanna</t>
  </si>
  <si>
    <t>Nezuko</t>
  </si>
  <si>
    <t>LALIBERTÉ, Annie</t>
  </si>
  <si>
    <t>Pitoune</t>
  </si>
  <si>
    <t>TAGE</t>
  </si>
  <si>
    <t>Côté, Eliane</t>
  </si>
  <si>
    <t>Lalo</t>
  </si>
  <si>
    <t>Fonzi</t>
  </si>
  <si>
    <t>Fraser, Myles</t>
  </si>
  <si>
    <t>Bocking, Claudia</t>
  </si>
  <si>
    <t>Deschamps, Maria</t>
  </si>
  <si>
    <t>Sabo</t>
  </si>
  <si>
    <t>Brazeau, Veronique</t>
  </si>
  <si>
    <t>KyAnne</t>
  </si>
  <si>
    <t>Leeah</t>
  </si>
  <si>
    <t>Thomas, Dawn</t>
  </si>
  <si>
    <t>-MaxScoreCSS</t>
  </si>
  <si>
    <t>First Title Score</t>
  </si>
  <si>
    <t>-MaxScoreISS</t>
  </si>
  <si>
    <t>-MaxScoreESS</t>
  </si>
  <si>
    <t>Mikulova, Lenka</t>
  </si>
  <si>
    <t>Lowla</t>
  </si>
  <si>
    <t>Celeste</t>
  </si>
  <si>
    <t>Marsh, Rebecca</t>
  </si>
  <si>
    <t>Cane</t>
  </si>
  <si>
    <t>Ternan, Shirle</t>
  </si>
  <si>
    <t>Gale-Rowe, Margaret</t>
  </si>
  <si>
    <t>2723-QGA</t>
  </si>
  <si>
    <t>3779-QGS</t>
  </si>
  <si>
    <t>4776-QGA</t>
  </si>
  <si>
    <t>4795-QGD</t>
  </si>
  <si>
    <t>4995-QGS</t>
  </si>
  <si>
    <t>5124-QGA</t>
  </si>
  <si>
    <t>5124-QGD</t>
  </si>
  <si>
    <t>5258-QGD</t>
  </si>
  <si>
    <t>5478-QGD</t>
  </si>
  <si>
    <t>6070-QGS</t>
  </si>
  <si>
    <t>6189-QGD</t>
  </si>
  <si>
    <t>6329-QGA</t>
  </si>
  <si>
    <t>6329-QGD</t>
  </si>
  <si>
    <t>6329-QGS</t>
  </si>
  <si>
    <t>6453-QGA</t>
  </si>
  <si>
    <t>6473-QGD</t>
  </si>
  <si>
    <t>6666-QGA</t>
  </si>
  <si>
    <t>6666-QGD</t>
  </si>
  <si>
    <t>6530-MaxScoreCSS</t>
  </si>
  <si>
    <t>6668-MaxScoreCSS</t>
  </si>
  <si>
    <t>6709-MaxScoreCSS</t>
  </si>
  <si>
    <t>6530-MaxScoreISS</t>
  </si>
  <si>
    <t>6668-MaxScoreISS</t>
  </si>
  <si>
    <t>6709-MaxScoreISS</t>
  </si>
  <si>
    <t>4103-MaxScoreISA</t>
  </si>
  <si>
    <t>5842-MaxScoreISA</t>
  </si>
  <si>
    <t>5526-MaxScoreCSE</t>
  </si>
  <si>
    <t>4441-MaxScoreISE</t>
  </si>
  <si>
    <t>-MaxScoreCSA</t>
  </si>
  <si>
    <t>-MaxScoreISA</t>
  </si>
  <si>
    <t>-MaxScoreESA</t>
  </si>
  <si>
    <t>-MaxScoreCSE</t>
  </si>
  <si>
    <t>-MaxScoreISE</t>
  </si>
  <si>
    <t>-MaxScoreESE</t>
  </si>
  <si>
    <t>Known Dog</t>
  </si>
  <si>
    <t>AlertDate</t>
  </si>
  <si>
    <t>GamesDogID</t>
  </si>
  <si>
    <t>DistanceDate</t>
  </si>
  <si>
    <t>SpeedDate</t>
  </si>
  <si>
    <t>TeamDate</t>
  </si>
  <si>
    <t>3471-MaxScoreCSE</t>
  </si>
  <si>
    <t>Kolby</t>
  </si>
  <si>
    <t>2723-QGD</t>
  </si>
  <si>
    <t>4944-QGD</t>
  </si>
  <si>
    <t>4988-QGA</t>
  </si>
  <si>
    <t>4988-QGD</t>
  </si>
  <si>
    <t>5228-QGD</t>
  </si>
  <si>
    <t>5454-QGD</t>
  </si>
  <si>
    <t>5825-QGD</t>
  </si>
  <si>
    <t>5841-QGD</t>
  </si>
  <si>
    <t>5842-QGA</t>
  </si>
  <si>
    <t>5842-QGD</t>
  </si>
  <si>
    <t>5873-QGA</t>
  </si>
  <si>
    <t>5941-QGD</t>
  </si>
  <si>
    <t>5944-QGA</t>
  </si>
  <si>
    <t>5967-QGD</t>
  </si>
  <si>
    <t>6310-QGA</t>
  </si>
  <si>
    <t>6497-QGD</t>
  </si>
  <si>
    <t>6497-QGS</t>
  </si>
  <si>
    <t>6596-QGA</t>
  </si>
  <si>
    <t>6602-QGA</t>
  </si>
  <si>
    <t>5842-MaxScoreCSA</t>
  </si>
  <si>
    <t>6602-MaxScoreCSA</t>
  </si>
  <si>
    <t>5842-MaxScoreISE</t>
  </si>
  <si>
    <t>Ledger, Ashley</t>
  </si>
  <si>
    <t>3001-QGA</t>
  </si>
  <si>
    <t>3961-QGA</t>
  </si>
  <si>
    <t>3961-QGD</t>
  </si>
  <si>
    <t>4995-QGT</t>
  </si>
  <si>
    <t>5051-QGA</t>
  </si>
  <si>
    <t>5051-QGD</t>
  </si>
  <si>
    <t>5051-QGT</t>
  </si>
  <si>
    <t>5509-QGT</t>
  </si>
  <si>
    <t>5750-QGT</t>
  </si>
  <si>
    <t>6243-QGA</t>
  </si>
  <si>
    <t>6243-QGD</t>
  </si>
  <si>
    <t>6243-QGT</t>
  </si>
  <si>
    <t>6624-MaxScoreCSS</t>
  </si>
  <si>
    <t>6650-MaxScoreCSS</t>
  </si>
  <si>
    <t>6624-MaxScoreISS</t>
  </si>
  <si>
    <t>6645-MaxScoreISS</t>
  </si>
  <si>
    <t>6708-MaxScoreISS</t>
  </si>
  <si>
    <t>George E</t>
  </si>
  <si>
    <t>Keyes, Izzie</t>
  </si>
  <si>
    <t>Truly</t>
  </si>
  <si>
    <t>Penner, Lee</t>
  </si>
  <si>
    <t>Penner, Corinne</t>
  </si>
  <si>
    <t>Newman, Gail</t>
  </si>
  <si>
    <t>Husmann</t>
  </si>
  <si>
    <t>Bennett-McPhail, Orrin</t>
  </si>
  <si>
    <t>Haku</t>
  </si>
  <si>
    <t>Gazda, Megan</t>
  </si>
  <si>
    <t>Jerrett, Shereen</t>
  </si>
  <si>
    <t>Garvey, Laura</t>
  </si>
  <si>
    <t>Mage</t>
  </si>
  <si>
    <t>DELEY, JONNA</t>
  </si>
  <si>
    <t>Rosteick, Bailey</t>
  </si>
  <si>
    <t>McLeod, Janice</t>
  </si>
  <si>
    <t>Elowyn</t>
  </si>
  <si>
    <t>Blagden, Jennifer</t>
  </si>
  <si>
    <t>Shayer, Joyce</t>
  </si>
  <si>
    <t>Poulin, Charlie</t>
  </si>
  <si>
    <t>Graham, Mary Ellen</t>
  </si>
  <si>
    <t>Crux</t>
  </si>
  <si>
    <t>Gaetz, Michelle</t>
  </si>
  <si>
    <t>Coppola, Jennilea</t>
  </si>
  <si>
    <t>Manning, Katie</t>
  </si>
  <si>
    <t>Lee, Russell</t>
  </si>
  <si>
    <t>Browne, Jessica</t>
  </si>
  <si>
    <t>Spaniel (Sussex)</t>
  </si>
  <si>
    <t>Frecker, Yvonne</t>
  </si>
  <si>
    <t>Mexi</t>
  </si>
  <si>
    <t>Pinsent, Natasha</t>
  </si>
  <si>
    <t>Beebe, Melanie</t>
  </si>
  <si>
    <t>Hudson, Samantha</t>
  </si>
  <si>
    <t>Moore, Deborah Anne</t>
  </si>
  <si>
    <t>Douglas</t>
  </si>
  <si>
    <t>Howlett, Kristen</t>
  </si>
  <si>
    <t>Fracas</t>
  </si>
  <si>
    <t>Moira</t>
  </si>
  <si>
    <t>Stephens, Courtney</t>
  </si>
  <si>
    <t>Jorgensen, Kylie</t>
  </si>
  <si>
    <t>Justice-Dupuis, Louise</t>
  </si>
  <si>
    <t>ROMI</t>
  </si>
  <si>
    <t>Schonewille, Janet</t>
  </si>
  <si>
    <t>Clark, Gary</t>
  </si>
  <si>
    <t>Howard, Dee</t>
  </si>
  <si>
    <t>Denis</t>
  </si>
  <si>
    <t>Thériault, Maude</t>
  </si>
  <si>
    <t>Breagha</t>
  </si>
  <si>
    <t>Kite</t>
  </si>
  <si>
    <t>Gore, Lynn</t>
  </si>
  <si>
    <t>Mista</t>
  </si>
  <si>
    <t>Apps, Melanie</t>
  </si>
  <si>
    <t>Baqué, Floriane</t>
  </si>
  <si>
    <t>Beauchamp, Jane</t>
  </si>
  <si>
    <t>DALLAS</t>
  </si>
  <si>
    <t>Fewer, Jessie</t>
  </si>
  <si>
    <t>Razz</t>
  </si>
  <si>
    <t>Barnes, Jacki</t>
  </si>
  <si>
    <t>Anderson, Emmy</t>
  </si>
  <si>
    <t>Henny</t>
  </si>
  <si>
    <t>LaFrance, Candace</t>
  </si>
  <si>
    <t>Robinson, Connie</t>
  </si>
  <si>
    <t>Therrien, Anne-Sophie</t>
  </si>
  <si>
    <t>Kenzy</t>
  </si>
  <si>
    <t>Marceau, Melanie</t>
  </si>
  <si>
    <t>Bolton, Lizzie</t>
  </si>
  <si>
    <t>Owen, Pamela</t>
  </si>
  <si>
    <t>Palmer, Sapana</t>
  </si>
  <si>
    <t>JuJuBee</t>
  </si>
  <si>
    <t>Whitesell, Debbie</t>
  </si>
  <si>
    <t>Collby</t>
  </si>
  <si>
    <t>Perron, Annick</t>
  </si>
  <si>
    <t>First Titles</t>
  </si>
  <si>
    <t>First Title</t>
  </si>
  <si>
    <t>2488-QGA</t>
  </si>
  <si>
    <t>2488-QGD</t>
  </si>
  <si>
    <t>4824-QGT</t>
  </si>
  <si>
    <t>5521-QGA</t>
  </si>
  <si>
    <t>5521-QGD</t>
  </si>
  <si>
    <t>5521-QGT</t>
  </si>
  <si>
    <t>5865-QGA</t>
  </si>
  <si>
    <t>6054-QGS</t>
  </si>
  <si>
    <t>6081-QGD</t>
  </si>
  <si>
    <t>6132-QGD</t>
  </si>
  <si>
    <t>6150-QGD</t>
  </si>
  <si>
    <t>6625-QGA</t>
  </si>
  <si>
    <t>6625-QGD</t>
  </si>
  <si>
    <t>6723-QGA</t>
  </si>
  <si>
    <t>6737-QGA</t>
  </si>
  <si>
    <t>6737-QGD</t>
  </si>
  <si>
    <t>6752-QGA</t>
  </si>
  <si>
    <t>6752-QGD</t>
  </si>
  <si>
    <t>4656-MaxScoreCSE</t>
  </si>
  <si>
    <t>5531-MaxScoreCSE</t>
  </si>
  <si>
    <t>5616-MaxScoreCSE</t>
  </si>
  <si>
    <t>4355-MaxScoreESE</t>
  </si>
  <si>
    <t>5616-MaxScoreESE</t>
  </si>
  <si>
    <t>Carter, Val</t>
  </si>
  <si>
    <t>Basset de Fauve Bretagne</t>
  </si>
  <si>
    <t>Toro</t>
  </si>
  <si>
    <t>Brando</t>
  </si>
  <si>
    <t>Bishop, Kim</t>
  </si>
  <si>
    <t>Nicolette</t>
  </si>
  <si>
    <t>Lichtenberger, Jonathan</t>
  </si>
  <si>
    <t>Pellerin, Veronique</t>
  </si>
  <si>
    <t>Vaux, Susanne</t>
  </si>
  <si>
    <t>Sandberg, Judith</t>
  </si>
  <si>
    <t>Babs</t>
  </si>
  <si>
    <t>Bix</t>
  </si>
  <si>
    <t>Fefer, Sylvie</t>
  </si>
  <si>
    <t>Gizzy</t>
  </si>
  <si>
    <t>deGoesbriand, Sue</t>
  </si>
  <si>
    <t>Livi</t>
  </si>
  <si>
    <t>Djin-Djin</t>
  </si>
  <si>
    <t>Roulette</t>
  </si>
  <si>
    <t>Ally Mae</t>
  </si>
  <si>
    <t>Balog, Elaine</t>
  </si>
  <si>
    <t>Sulta</t>
  </si>
  <si>
    <t>McLean, Krista</t>
  </si>
  <si>
    <t>Munden, Emily</t>
  </si>
  <si>
    <t>Zenitsu</t>
  </si>
  <si>
    <t>Cache</t>
  </si>
  <si>
    <t>Danial, Amelia</t>
  </si>
  <si>
    <t>Denzel</t>
  </si>
  <si>
    <t>Toast</t>
  </si>
  <si>
    <t>Heizler, Jenn</t>
  </si>
  <si>
    <t>Waffles</t>
  </si>
  <si>
    <t>Ferg</t>
  </si>
  <si>
    <t>Lex</t>
  </si>
  <si>
    <t>Peters, Julene</t>
  </si>
  <si>
    <t>Levi Hoyle</t>
  </si>
  <si>
    <t>Hoyle, Andrea</t>
  </si>
  <si>
    <t>Persaud, Danielle</t>
  </si>
  <si>
    <t>Brindille</t>
  </si>
  <si>
    <t>Raymond, Céline</t>
  </si>
  <si>
    <t>Ledwell, Colleen</t>
  </si>
  <si>
    <t>Chica</t>
  </si>
  <si>
    <t>Blanchette, Guylaine</t>
  </si>
  <si>
    <t>Argiro Sirois, Stephanie</t>
  </si>
  <si>
    <t>Bijou</t>
  </si>
  <si>
    <t>Bannister, Laura</t>
  </si>
  <si>
    <t>MacDonald, Katya</t>
  </si>
  <si>
    <t>Luhmann, Kristina</t>
  </si>
  <si>
    <t>Spaull, Mary Lou</t>
  </si>
  <si>
    <t>Geddes, Tracey</t>
  </si>
  <si>
    <t>Mcleay, Jolene</t>
  </si>
  <si>
    <t>Ciszek, Della</t>
  </si>
  <si>
    <t>ILY</t>
  </si>
  <si>
    <t>Eross, Lynne</t>
  </si>
  <si>
    <t>Everly</t>
  </si>
  <si>
    <t>Scharfe, Kim</t>
  </si>
  <si>
    <t>Dobie, Elise</t>
  </si>
  <si>
    <t>Hanzo</t>
  </si>
  <si>
    <t>Redmile, Meghan</t>
  </si>
  <si>
    <t>Tahz</t>
  </si>
  <si>
    <t>Burrows, Diane</t>
  </si>
  <si>
    <t>Russell, Jennifer</t>
  </si>
  <si>
    <t>Mercedes</t>
  </si>
  <si>
    <t>Fenrich, Karen</t>
  </si>
  <si>
    <t>Benz</t>
  </si>
  <si>
    <t>Seabrook, Lesley</t>
  </si>
  <si>
    <t>Coach Beard</t>
  </si>
  <si>
    <t>Clarke, Susan</t>
  </si>
  <si>
    <t>Bosko</t>
  </si>
  <si>
    <t>Neily, Shanna-Lynn</t>
  </si>
  <si>
    <t>Guirguis, Hannah</t>
  </si>
  <si>
    <t>Bishop, Anne</t>
  </si>
  <si>
    <t>Kobo</t>
  </si>
  <si>
    <t>Lewis, Alyssa</t>
  </si>
  <si>
    <t>de Gruyl, Rick</t>
  </si>
  <si>
    <t>Sunnie</t>
  </si>
  <si>
    <t>Perry, Kamarie</t>
  </si>
  <si>
    <t>Spray, Jacqueline</t>
  </si>
  <si>
    <t>Miller Schira, Michelle</t>
  </si>
  <si>
    <t>Anderson, Samantha</t>
  </si>
  <si>
    <t>3266-QGA</t>
  </si>
  <si>
    <t>3266-QGD</t>
  </si>
  <si>
    <t>3642-QGA</t>
  </si>
  <si>
    <t>3642-QGD</t>
  </si>
  <si>
    <t>4637-QGA</t>
  </si>
  <si>
    <t>5735-QGA</t>
  </si>
  <si>
    <t>5735-QGD</t>
  </si>
  <si>
    <t>5871-QGA</t>
  </si>
  <si>
    <t>5871-QGD</t>
  </si>
  <si>
    <t>6352-QGA</t>
  </si>
  <si>
    <t>6352-QGD</t>
  </si>
  <si>
    <t>5871-MaxScoreCSS</t>
  </si>
  <si>
    <t>6224-MaxScoreCSS</t>
  </si>
  <si>
    <t>6697-MaxScoreCSS</t>
  </si>
  <si>
    <t>6822-MaxScoreCSS</t>
  </si>
  <si>
    <t>5871-MaxScoreISS</t>
  </si>
  <si>
    <t>6224-MaxScoreISS</t>
  </si>
  <si>
    <t>6697-MaxScoreISS</t>
  </si>
  <si>
    <t>6116-MaxScoreCSA</t>
  </si>
  <si>
    <t>6368-MaxScoreCSA</t>
  </si>
  <si>
    <t>6608-MaxScoreCSA</t>
  </si>
  <si>
    <t>6608-MaxScoreISA</t>
  </si>
  <si>
    <t>Saint-Lazare, Quebec</t>
  </si>
  <si>
    <t>Victoria, British Columbia</t>
  </si>
  <si>
    <t>Calgary, Alberta</t>
  </si>
  <si>
    <t>Kemptville, Ontario</t>
  </si>
  <si>
    <t>Saanichton, British Columbia</t>
  </si>
  <si>
    <t>Stewart, Charmaine</t>
  </si>
  <si>
    <t>Fevens, Danya</t>
  </si>
  <si>
    <t>Cotton</t>
  </si>
  <si>
    <t>Caja, Sandy</t>
  </si>
  <si>
    <t>Jackson, Rhonda</t>
  </si>
  <si>
    <t>Bajzert, Jordan</t>
  </si>
  <si>
    <t>Skout</t>
  </si>
  <si>
    <t>Tazzy</t>
  </si>
  <si>
    <t>Chang, Sue-Ling</t>
  </si>
  <si>
    <t>Young, Amanda</t>
  </si>
  <si>
    <t>McPherson, Kim</t>
  </si>
  <si>
    <t>Tim</t>
  </si>
  <si>
    <t>Wiltshire, Stacey</t>
  </si>
  <si>
    <t>Sortwell, Simone</t>
  </si>
  <si>
    <t>Vixy</t>
  </si>
  <si>
    <t>Paul, Jocelyne</t>
  </si>
  <si>
    <t>Brecken</t>
  </si>
  <si>
    <t>Roy</t>
  </si>
  <si>
    <t>Chiyo</t>
  </si>
  <si>
    <t>Pelletier, Mélissa</t>
  </si>
  <si>
    <t>Sora</t>
  </si>
  <si>
    <t>Cooper, Taylor</t>
  </si>
  <si>
    <t>Maxwell, Teri</t>
  </si>
  <si>
    <t>Linda</t>
  </si>
  <si>
    <t>Wainman, Stacy</t>
  </si>
  <si>
    <t>Gibson, Kirra</t>
  </si>
  <si>
    <t>Vendette, Gabryelle</t>
  </si>
  <si>
    <t>Tito</t>
  </si>
  <si>
    <t>Montgomery, Shannon</t>
  </si>
  <si>
    <t>Maude</t>
  </si>
  <si>
    <t>Mina</t>
  </si>
  <si>
    <t>Cruise-Alkenbrack, Laurel</t>
  </si>
  <si>
    <t>Eustace, Jennifer</t>
  </si>
  <si>
    <t>Hébert, Audrey</t>
  </si>
  <si>
    <t>Stevenson, Angela</t>
  </si>
  <si>
    <t>BAKER, Judy</t>
  </si>
  <si>
    <t>Pie</t>
  </si>
  <si>
    <t>Koktan, Krystal</t>
  </si>
  <si>
    <t>Kuiper</t>
  </si>
  <si>
    <t>WEST, AMANDA</t>
  </si>
  <si>
    <t>Nicol, Kelly</t>
  </si>
  <si>
    <t>Vice</t>
  </si>
  <si>
    <t>Greene, Carrie</t>
  </si>
  <si>
    <t>2917-QGT</t>
  </si>
  <si>
    <t>2992-QGT</t>
  </si>
  <si>
    <t>3189-QGA</t>
  </si>
  <si>
    <t>3189-QGD</t>
  </si>
  <si>
    <t>3189-QGS</t>
  </si>
  <si>
    <t>3363-QGT</t>
  </si>
  <si>
    <t>3428-QGS</t>
  </si>
  <si>
    <t>3480-QGA</t>
  </si>
  <si>
    <t>3746-QGT</t>
  </si>
  <si>
    <t>3967-QGA</t>
  </si>
  <si>
    <t>4240-QGD</t>
  </si>
  <si>
    <t>4310-QGT</t>
  </si>
  <si>
    <t>4397-QGS</t>
  </si>
  <si>
    <t>4403-QGA</t>
  </si>
  <si>
    <t>4439-QGS</t>
  </si>
  <si>
    <t>4535-QGA</t>
  </si>
  <si>
    <t>4535-QGD</t>
  </si>
  <si>
    <t>4615-QGA</t>
  </si>
  <si>
    <t>4615-QGD</t>
  </si>
  <si>
    <t>4742-QGA</t>
  </si>
  <si>
    <t>4776-QGT</t>
  </si>
  <si>
    <t>4778-QGD</t>
  </si>
  <si>
    <t>5000-QGS</t>
  </si>
  <si>
    <t>5023-QGD</t>
  </si>
  <si>
    <t>5023-QGS</t>
  </si>
  <si>
    <t>5031-QGS</t>
  </si>
  <si>
    <t>5031-QGT</t>
  </si>
  <si>
    <t>5068-QGT</t>
  </si>
  <si>
    <t>5113-QGA</t>
  </si>
  <si>
    <t>5113-QGS</t>
  </si>
  <si>
    <t>5226-QGA</t>
  </si>
  <si>
    <t>5257-QGA</t>
  </si>
  <si>
    <t>5401-QGS</t>
  </si>
  <si>
    <t>5413-QGS</t>
  </si>
  <si>
    <t>5413-QGT</t>
  </si>
  <si>
    <t>5414-QGA</t>
  </si>
  <si>
    <t>5498-QGA</t>
  </si>
  <si>
    <t>5518-QGA</t>
  </si>
  <si>
    <t>5520-QGT</t>
  </si>
  <si>
    <t>5527-QGS</t>
  </si>
  <si>
    <t>5657-QGS</t>
  </si>
  <si>
    <t>5690-QGA</t>
  </si>
  <si>
    <t>5690-QGD</t>
  </si>
  <si>
    <t>5721-QGA</t>
  </si>
  <si>
    <t>5721-QGT</t>
  </si>
  <si>
    <t>5737-QGD</t>
  </si>
  <si>
    <t>5737-QGS</t>
  </si>
  <si>
    <t>5889-QGA</t>
  </si>
  <si>
    <t>5912-QGA</t>
  </si>
  <si>
    <t>5912-QGD</t>
  </si>
  <si>
    <t>5952-QGA</t>
  </si>
  <si>
    <t>5952-QGD</t>
  </si>
  <si>
    <t>5952-QGT</t>
  </si>
  <si>
    <t>5975-QGD</t>
  </si>
  <si>
    <t>5987-QGA</t>
  </si>
  <si>
    <t>5995-QGD</t>
  </si>
  <si>
    <t>6099-QGA</t>
  </si>
  <si>
    <t>6099-QGD</t>
  </si>
  <si>
    <t>6099-QGT</t>
  </si>
  <si>
    <t>6152-QGT</t>
  </si>
  <si>
    <t>6295-QGA</t>
  </si>
  <si>
    <t>6295-QGD</t>
  </si>
  <si>
    <t>6484-QGD</t>
  </si>
  <si>
    <t>6591-QGA</t>
  </si>
  <si>
    <t>6591-QGD</t>
  </si>
  <si>
    <t>6591-QGT</t>
  </si>
  <si>
    <t>6607-QGA</t>
  </si>
  <si>
    <t>6667-QGD</t>
  </si>
  <si>
    <t>6748-QGA</t>
  </si>
  <si>
    <t>6748-QGD</t>
  </si>
  <si>
    <t>6761-QGA</t>
  </si>
  <si>
    <t>6782-QGA</t>
  </si>
  <si>
    <t>6782-QGD</t>
  </si>
  <si>
    <t>6884-QGD</t>
  </si>
  <si>
    <t>6898-QGD</t>
  </si>
  <si>
    <t>6899-QGA</t>
  </si>
  <si>
    <t>6295-MaxScoreCSS</t>
  </si>
  <si>
    <t>6659-MaxScoreCSS</t>
  </si>
  <si>
    <t>6726-MaxScoreCSS</t>
  </si>
  <si>
    <t>6743-MaxScoreCSS</t>
  </si>
  <si>
    <t>6776-MaxScoreCSS</t>
  </si>
  <si>
    <t>6797-MaxScoreCSS</t>
  </si>
  <si>
    <t>6829-MaxScoreCSS</t>
  </si>
  <si>
    <t>6659-MaxScoreISS</t>
  </si>
  <si>
    <t>6743-MaxScoreISS</t>
  </si>
  <si>
    <t>6761-MaxScoreISS</t>
  </si>
  <si>
    <t>6797-MaxScoreISS</t>
  </si>
  <si>
    <t>6829-MaxScoreISS</t>
  </si>
  <si>
    <t>6761-MaxScoreESS</t>
  </si>
  <si>
    <t>6776-MaxScoreESS</t>
  </si>
  <si>
    <t>6777-MaxScoreESS</t>
  </si>
  <si>
    <t>6814-MaxScoreCSA</t>
  </si>
  <si>
    <t>4532-MaxScoreISA</t>
  </si>
  <si>
    <t>5987-MaxScoreISA</t>
  </si>
  <si>
    <t>5988-MaxScoreISA</t>
  </si>
  <si>
    <t>6477-MaxScoreISA</t>
  </si>
  <si>
    <t>6749-MaxScoreISA</t>
  </si>
  <si>
    <t>6770-MaxScoreISA</t>
  </si>
  <si>
    <t>6797-MaxScoreISA</t>
  </si>
  <si>
    <t>5573-MaxScoreESA</t>
  </si>
  <si>
    <t>5988-MaxScoreESA</t>
  </si>
  <si>
    <t>6761-MaxScoreESA</t>
  </si>
  <si>
    <t>6770-MaxScoreESA</t>
  </si>
  <si>
    <t>6814-MaxScoreESA</t>
  </si>
  <si>
    <t>4726-MaxScoreCSE</t>
  </si>
  <si>
    <t>4793-MaxScoreCSE</t>
  </si>
  <si>
    <t>5446-MaxScoreCSE</t>
  </si>
  <si>
    <t>5890-MaxScoreCSE</t>
  </si>
  <si>
    <t>6151-MaxScoreCSE</t>
  </si>
  <si>
    <t>4482-MaxScoreESE</t>
  </si>
  <si>
    <t>5890-MaxScoreESE</t>
  </si>
  <si>
    <t>6033-MaxScoreESE</t>
  </si>
  <si>
    <t>Helper</t>
  </si>
  <si>
    <t>Type</t>
  </si>
  <si>
    <t>Abbotsford, British Columbia</t>
  </si>
  <si>
    <t>5209-QGT</t>
  </si>
  <si>
    <t>5944-QGD</t>
  </si>
  <si>
    <t>5951-QGA</t>
  </si>
  <si>
    <t>5951-QGD</t>
  </si>
  <si>
    <t>5951-QGS</t>
  </si>
  <si>
    <t>6378-QGA</t>
  </si>
  <si>
    <t>6473-QGA</t>
  </si>
  <si>
    <t>6648-QGT</t>
  </si>
  <si>
    <t>6649-QGD</t>
  </si>
  <si>
    <t>6649-QGT</t>
  </si>
  <si>
    <t>6671-QGA</t>
  </si>
  <si>
    <t>6939-QGA</t>
  </si>
  <si>
    <t>6939-QGD</t>
  </si>
  <si>
    <t>6709-MaxScoreCSA</t>
  </si>
  <si>
    <t>4866-MaxScoreCSE</t>
  </si>
  <si>
    <t>5878-MaxScoreCSE</t>
  </si>
  <si>
    <t>5447-MaxScoreISE</t>
  </si>
  <si>
    <t>4310-MaxScoreESE</t>
  </si>
  <si>
    <t>5447-MaxScoreESE</t>
  </si>
  <si>
    <t>Kaci</t>
  </si>
  <si>
    <t>Storie, JoAnn</t>
  </si>
  <si>
    <t>Revel</t>
  </si>
  <si>
    <t>Jaecques, Cassidy</t>
  </si>
  <si>
    <t>mcgrath, Vicky</t>
  </si>
  <si>
    <t>Beardall, Alyssa</t>
  </si>
  <si>
    <t>Beriault, Laura-Li</t>
  </si>
  <si>
    <t>Maren</t>
  </si>
  <si>
    <t>Davey Jones</t>
  </si>
  <si>
    <t>Kyte, Troye</t>
  </si>
  <si>
    <t>Lamarche, Jacqueline</t>
  </si>
  <si>
    <t>Derasp, Catherine</t>
  </si>
  <si>
    <t>Schenk, Amanda</t>
  </si>
  <si>
    <t>Mehmel, Bev</t>
  </si>
  <si>
    <t>Züma</t>
  </si>
  <si>
    <t>Haslett, Rachel</t>
  </si>
  <si>
    <t>Waugh, Rachel</t>
  </si>
  <si>
    <t>Bergeron de Gomez, Suzanne</t>
  </si>
  <si>
    <t>CupCakez</t>
  </si>
  <si>
    <t>Brewer</t>
  </si>
  <si>
    <t>Marshall, Baylee</t>
  </si>
  <si>
    <t>Arley</t>
  </si>
  <si>
    <t>Mercier, McKenna</t>
  </si>
  <si>
    <t>Soda</t>
  </si>
  <si>
    <t>Racicot, Kelsey</t>
  </si>
  <si>
    <t>Arnie</t>
  </si>
  <si>
    <t>Drake, Chehalis</t>
  </si>
  <si>
    <t>Frankel, Grace</t>
  </si>
  <si>
    <t>Zeira</t>
  </si>
  <si>
    <t>Malone</t>
  </si>
  <si>
    <t>Willow Twig</t>
  </si>
  <si>
    <t>Reykdal, Jeanne</t>
  </si>
  <si>
    <t>Syren</t>
  </si>
  <si>
    <t>Tolya</t>
  </si>
  <si>
    <t>Lemyre, Charlaine</t>
  </si>
  <si>
    <t>Telly</t>
  </si>
  <si>
    <t>DesBarres, Kimberley</t>
  </si>
  <si>
    <t>Gross, Lauren</t>
  </si>
  <si>
    <t>Van Cuylenborg, Hilary</t>
  </si>
  <si>
    <t>Brinkley</t>
  </si>
  <si>
    <t>Sali, Krista</t>
  </si>
  <si>
    <t>Thon, Chanda</t>
  </si>
  <si>
    <t>Wave</t>
  </si>
  <si>
    <t>Laramée, Catherine</t>
  </si>
  <si>
    <t>Freddy</t>
  </si>
  <si>
    <t>Hamill, Madeline</t>
  </si>
  <si>
    <t>Chénier, Julie</t>
  </si>
  <si>
    <t>Ursa</t>
  </si>
  <si>
    <t>Red Deer, Alberta</t>
  </si>
  <si>
    <t>2736-QGA</t>
  </si>
  <si>
    <t>2736-QGT</t>
  </si>
  <si>
    <t>3001-QGS</t>
  </si>
  <si>
    <t>4603-QGD</t>
  </si>
  <si>
    <t>5138-QGT</t>
  </si>
  <si>
    <t>5856-QGD</t>
  </si>
  <si>
    <t>5856-QGT</t>
  </si>
  <si>
    <t>6076-QGD</t>
  </si>
  <si>
    <t>6113-QGA</t>
  </si>
  <si>
    <t>6817-QGD</t>
  </si>
  <si>
    <t>6650-MaxScoreESS</t>
  </si>
  <si>
    <t>6113-MaxScoreCSA</t>
  </si>
  <si>
    <t>6403-MaxScoreCSA</t>
  </si>
  <si>
    <t>6113-MaxScoreESA</t>
  </si>
  <si>
    <t>6403-MaxScoreESA</t>
  </si>
  <si>
    <t>6329-MaxScoreCSE</t>
  </si>
  <si>
    <t>Duplicated dog ID's will be highlighted.  Please fix the data before submitting your workbook.</t>
  </si>
  <si>
    <t>Trial City/Town</t>
  </si>
  <si>
    <t>Processed Date</t>
  </si>
  <si>
    <t>Mission, British Columbia</t>
  </si>
  <si>
    <t>6354-MaxScoreCSA</t>
  </si>
  <si>
    <t>6828-MaxScoreCSA</t>
  </si>
  <si>
    <t>5736-MaxScoreCSE</t>
  </si>
  <si>
    <t>5411-MaxScoreISE</t>
  </si>
  <si>
    <t>5736-MaxScoreESE</t>
  </si>
  <si>
    <t>1064-Elite</t>
  </si>
  <si>
    <t>1067-Elite</t>
  </si>
  <si>
    <t>1129-Elite</t>
  </si>
  <si>
    <t>1132-Elite</t>
  </si>
  <si>
    <t>1135-Elite</t>
  </si>
  <si>
    <t>117-Elite</t>
  </si>
  <si>
    <t>1187-Elite</t>
  </si>
  <si>
    <t>1190-Elite</t>
  </si>
  <si>
    <t>1192-Elite</t>
  </si>
  <si>
    <t>1212-Elite</t>
  </si>
  <si>
    <t>1227-Elite</t>
  </si>
  <si>
    <t>1228-Elite</t>
  </si>
  <si>
    <t>1240-Elite</t>
  </si>
  <si>
    <t>1262-Elite</t>
  </si>
  <si>
    <t>1264-Elite</t>
  </si>
  <si>
    <t>1265-Elite</t>
  </si>
  <si>
    <t>1270-Elite</t>
  </si>
  <si>
    <t>1278-Elite</t>
  </si>
  <si>
    <t>1334-Elite</t>
  </si>
  <si>
    <t>1354-Elite</t>
  </si>
  <si>
    <t>1358-Elite</t>
  </si>
  <si>
    <t>1360-Elite</t>
  </si>
  <si>
    <t>1361-Elite</t>
  </si>
  <si>
    <t>1382-Elite</t>
  </si>
  <si>
    <t>1433-Elite</t>
  </si>
  <si>
    <t>1440-Elite</t>
  </si>
  <si>
    <t>1472-Elite</t>
  </si>
  <si>
    <t>1473-Elite</t>
  </si>
  <si>
    <t>147-Elite</t>
  </si>
  <si>
    <t>1490-Elite</t>
  </si>
  <si>
    <t>1499-Elite</t>
  </si>
  <si>
    <t>1502-Elite</t>
  </si>
  <si>
    <t>1503-Elite</t>
  </si>
  <si>
    <t>1542-Elite</t>
  </si>
  <si>
    <t>1579-Elite</t>
  </si>
  <si>
    <t>1597-Elite</t>
  </si>
  <si>
    <t>1611-Elite</t>
  </si>
  <si>
    <t>1612-Elite</t>
  </si>
  <si>
    <t>1628-Elite</t>
  </si>
  <si>
    <t>1629-Elite</t>
  </si>
  <si>
    <t>162-Elite</t>
  </si>
  <si>
    <t>1666-Elite</t>
  </si>
  <si>
    <t>1690-Elite</t>
  </si>
  <si>
    <t>1715-Elite</t>
  </si>
  <si>
    <t>1720-Elite</t>
  </si>
  <si>
    <t>1730-Elite</t>
  </si>
  <si>
    <t>1776-Elite</t>
  </si>
  <si>
    <t>1780-Elite</t>
  </si>
  <si>
    <t>1781-Elite</t>
  </si>
  <si>
    <t>1783-Elite</t>
  </si>
  <si>
    <t>17-Elite</t>
  </si>
  <si>
    <t>1800-Elite</t>
  </si>
  <si>
    <t>1807-Elite</t>
  </si>
  <si>
    <t>1813-Elite</t>
  </si>
  <si>
    <t>1826-Elite</t>
  </si>
  <si>
    <t>1833-Elite</t>
  </si>
  <si>
    <t>1856-Elite</t>
  </si>
  <si>
    <t>1875-Elite</t>
  </si>
  <si>
    <t>18-Elite</t>
  </si>
  <si>
    <t>1921-Elite</t>
  </si>
  <si>
    <t>1925-Elite</t>
  </si>
  <si>
    <t>1942-Elite</t>
  </si>
  <si>
    <t>1964-Elite</t>
  </si>
  <si>
    <t>1980-Elite</t>
  </si>
  <si>
    <t>198-Elite</t>
  </si>
  <si>
    <t>1996-Elite</t>
  </si>
  <si>
    <t>2000-Elite</t>
  </si>
  <si>
    <t>2059-Elite</t>
  </si>
  <si>
    <t>206-Elite</t>
  </si>
  <si>
    <t>2074-Elite</t>
  </si>
  <si>
    <t>2086-Elite</t>
  </si>
  <si>
    <t>2118-Elite</t>
  </si>
  <si>
    <t>2149-Elite</t>
  </si>
  <si>
    <t>2194-Elite</t>
  </si>
  <si>
    <t>2195-Elite</t>
  </si>
  <si>
    <t>2205-Elite</t>
  </si>
  <si>
    <t>2215-Elite</t>
  </si>
  <si>
    <t>2232-Elite</t>
  </si>
  <si>
    <t>2234-Elite</t>
  </si>
  <si>
    <t>2237-Elite</t>
  </si>
  <si>
    <t>2242-Elite</t>
  </si>
  <si>
    <t>2250-Elite</t>
  </si>
  <si>
    <t>2320-Elite</t>
  </si>
  <si>
    <t>2323-Elite</t>
  </si>
  <si>
    <t>2336-Elite</t>
  </si>
  <si>
    <t>2340-Elite</t>
  </si>
  <si>
    <t>2377-Elite</t>
  </si>
  <si>
    <t>2453-Elite</t>
  </si>
  <si>
    <t>2456-Elite</t>
  </si>
  <si>
    <t>2469-Elite</t>
  </si>
  <si>
    <t>2471-Elite</t>
  </si>
  <si>
    <t>2477-Elite</t>
  </si>
  <si>
    <t>2540-Elite</t>
  </si>
  <si>
    <t>2551-Elite</t>
  </si>
  <si>
    <t>2553-Elite</t>
  </si>
  <si>
    <t>2561-Elite</t>
  </si>
  <si>
    <t>2568-Elite</t>
  </si>
  <si>
    <t>2603-Elite</t>
  </si>
  <si>
    <t>2620-Elite</t>
  </si>
  <si>
    <t>2628-Elite</t>
  </si>
  <si>
    <t>262-Elite</t>
  </si>
  <si>
    <t>2641-Elite</t>
  </si>
  <si>
    <t>2651-Elite</t>
  </si>
  <si>
    <t>2671-Elite</t>
  </si>
  <si>
    <t>2680-Elite</t>
  </si>
  <si>
    <t>2736-Elite</t>
  </si>
  <si>
    <t>2742-Elite</t>
  </si>
  <si>
    <t>2746-Elite</t>
  </si>
  <si>
    <t>2747-Elite</t>
  </si>
  <si>
    <t>2766-Elite</t>
  </si>
  <si>
    <t>2775-Elite</t>
  </si>
  <si>
    <t>2814-Elite</t>
  </si>
  <si>
    <t>2829-Elite</t>
  </si>
  <si>
    <t>282-Elite</t>
  </si>
  <si>
    <t>2835-Elite</t>
  </si>
  <si>
    <t>283-Elite</t>
  </si>
  <si>
    <t>2870-Elite</t>
  </si>
  <si>
    <t>2879-Elite</t>
  </si>
  <si>
    <t>2908-Elite</t>
  </si>
  <si>
    <t>2909-Elite</t>
  </si>
  <si>
    <t>2953-Elite</t>
  </si>
  <si>
    <t>2956-Elite</t>
  </si>
  <si>
    <t>2967-Elite</t>
  </si>
  <si>
    <t>3004-Elite</t>
  </si>
  <si>
    <t>3005-Elite</t>
  </si>
  <si>
    <t>3016-Elite</t>
  </si>
  <si>
    <t>3044-Elite</t>
  </si>
  <si>
    <t>3068-Elite</t>
  </si>
  <si>
    <t>3094-Elite</t>
  </si>
  <si>
    <t>3115-Elite</t>
  </si>
  <si>
    <t>3116-Elite</t>
  </si>
  <si>
    <t>3131-Elite</t>
  </si>
  <si>
    <t>3159-Elite</t>
  </si>
  <si>
    <t>3175-Elite</t>
  </si>
  <si>
    <t>3192-Elite</t>
  </si>
  <si>
    <t>3207-Elite</t>
  </si>
  <si>
    <t>3213-Elite</t>
  </si>
  <si>
    <t>3216-Elite</t>
  </si>
  <si>
    <t>3304-Elite</t>
  </si>
  <si>
    <t>332-Elite</t>
  </si>
  <si>
    <t>3341-Elite</t>
  </si>
  <si>
    <t>3344-Elite</t>
  </si>
  <si>
    <t>3363-Elite</t>
  </si>
  <si>
    <t>3440-Elite</t>
  </si>
  <si>
    <t>3443-Elite</t>
  </si>
  <si>
    <t>3450-Elite</t>
  </si>
  <si>
    <t>3541-Elite</t>
  </si>
  <si>
    <t>3554-Elite</t>
  </si>
  <si>
    <t>3577-Elite</t>
  </si>
  <si>
    <t>3597-Elite</t>
  </si>
  <si>
    <t>3598-Elite</t>
  </si>
  <si>
    <t>3629-Elite</t>
  </si>
  <si>
    <t>3654-Elite</t>
  </si>
  <si>
    <t>3666-Elite</t>
  </si>
  <si>
    <t>367-Elite</t>
  </si>
  <si>
    <t>3703-Elite</t>
  </si>
  <si>
    <t>3706-Elite</t>
  </si>
  <si>
    <t>3725-Elite</t>
  </si>
  <si>
    <t>3731-Elite</t>
  </si>
  <si>
    <t>3736-Elite</t>
  </si>
  <si>
    <t>373-Elite</t>
  </si>
  <si>
    <t>3746-Elite</t>
  </si>
  <si>
    <t>3756-Elite</t>
  </si>
  <si>
    <t>3790-Elite</t>
  </si>
  <si>
    <t>3830-Elite</t>
  </si>
  <si>
    <t>3851-Elite</t>
  </si>
  <si>
    <t>3865-Elite</t>
  </si>
  <si>
    <t>3867-Elite</t>
  </si>
  <si>
    <t>386-Elite</t>
  </si>
  <si>
    <t>3878-Elite</t>
  </si>
  <si>
    <t>3932-Elite</t>
  </si>
  <si>
    <t>394-Elite</t>
  </si>
  <si>
    <t>3960-Elite</t>
  </si>
  <si>
    <t>4059-Elite</t>
  </si>
  <si>
    <t>4067-Elite</t>
  </si>
  <si>
    <t>4072-Elite</t>
  </si>
  <si>
    <t>4107-Elite</t>
  </si>
  <si>
    <t>4112-Elite</t>
  </si>
  <si>
    <t>4130-Elite</t>
  </si>
  <si>
    <t>4143-Elite</t>
  </si>
  <si>
    <t>4160-Elite</t>
  </si>
  <si>
    <t>4161-Elite</t>
  </si>
  <si>
    <t>416-Elite</t>
  </si>
  <si>
    <t>4175-Elite</t>
  </si>
  <si>
    <t>4176-Elite</t>
  </si>
  <si>
    <t>4177-Elite</t>
  </si>
  <si>
    <t>417-Elite</t>
  </si>
  <si>
    <t>4232-Elite</t>
  </si>
  <si>
    <t>4255-Elite</t>
  </si>
  <si>
    <t>4272-Elite</t>
  </si>
  <si>
    <t>4280-Elite</t>
  </si>
  <si>
    <t>4356-Elite</t>
  </si>
  <si>
    <t>4358-Elite</t>
  </si>
  <si>
    <t>4392-Elite</t>
  </si>
  <si>
    <t>4434-Elite</t>
  </si>
  <si>
    <t>4641-Elite</t>
  </si>
  <si>
    <t>4662-Elite</t>
  </si>
  <si>
    <t>478-Elite</t>
  </si>
  <si>
    <t>4822-Elite</t>
  </si>
  <si>
    <t>4828-Elite</t>
  </si>
  <si>
    <t>4840-Elite</t>
  </si>
  <si>
    <t>4872-Elite</t>
  </si>
  <si>
    <t>4882-Elite</t>
  </si>
  <si>
    <t>493-Elite</t>
  </si>
  <si>
    <t>5080-Elite</t>
  </si>
  <si>
    <t>5095-Elite</t>
  </si>
  <si>
    <t>5259-Elite</t>
  </si>
  <si>
    <t>5265-Elite</t>
  </si>
  <si>
    <t>5273-Elite</t>
  </si>
  <si>
    <t>543-Elite</t>
  </si>
  <si>
    <t>559-Elite</t>
  </si>
  <si>
    <t>575-Elite</t>
  </si>
  <si>
    <t>60-Elite</t>
  </si>
  <si>
    <t>616-Elite</t>
  </si>
  <si>
    <t>663-Elite</t>
  </si>
  <si>
    <t>674-Elite</t>
  </si>
  <si>
    <t>773-Elite</t>
  </si>
  <si>
    <t>799-Elite</t>
  </si>
  <si>
    <t>860-Elite</t>
  </si>
  <si>
    <t>879-Elite</t>
  </si>
  <si>
    <t>886-Elite</t>
  </si>
  <si>
    <t>88-Elite</t>
  </si>
  <si>
    <t>903-Elite</t>
  </si>
  <si>
    <t>912-Elite</t>
  </si>
  <si>
    <t>926-Elite</t>
  </si>
  <si>
    <t>928-Elite</t>
  </si>
  <si>
    <t>934-Elite</t>
  </si>
  <si>
    <t>943-Elite</t>
  </si>
  <si>
    <t>947-Elite</t>
  </si>
  <si>
    <t>960-Elite</t>
  </si>
  <si>
    <t>964-Elite</t>
  </si>
  <si>
    <t>984-Elite</t>
  </si>
  <si>
    <t>998-Elite</t>
  </si>
  <si>
    <t>You will find a list with recently processed trials on its own sheet:</t>
  </si>
  <si>
    <t>File Path</t>
  </si>
  <si>
    <t>cntSDDA_Id</t>
  </si>
  <si>
    <t>1- Container Search (S)</t>
  </si>
  <si>
    <t>1- Interior Search (S)</t>
  </si>
  <si>
    <t>1- Exterior Search (S)</t>
  </si>
  <si>
    <t>2- Container Search (A)</t>
  </si>
  <si>
    <t>2- Interior Search (A)</t>
  </si>
  <si>
    <t>2- Exterior Search (A)</t>
  </si>
  <si>
    <t>3- Container Search (E)</t>
  </si>
  <si>
    <t>3- Interior Search (E)</t>
  </si>
  <si>
    <t>3- Exterior Search (E)</t>
  </si>
  <si>
    <t>5271-MaxScoreISA</t>
  </si>
  <si>
    <t>6208-MaxScoreISA</t>
  </si>
  <si>
    <t>5271-MaxScoreESA</t>
  </si>
  <si>
    <t>5973-MaxScoreESE</t>
  </si>
  <si>
    <t>Updated By (SDDA use only):</t>
  </si>
  <si>
    <t>Fox, Russell</t>
  </si>
  <si>
    <t>Barrie, Ontario</t>
  </si>
  <si>
    <t>Repentigny, Quebec</t>
  </si>
  <si>
    <t>3102-QGA</t>
  </si>
  <si>
    <t>3102-QGD</t>
  </si>
  <si>
    <t>4317-QGS</t>
  </si>
  <si>
    <t>5296-QGD</t>
  </si>
  <si>
    <t>5785-QGD</t>
  </si>
  <si>
    <t>5911-QGS</t>
  </si>
  <si>
    <t>6243-QGS</t>
  </si>
  <si>
    <t>6324-QGD</t>
  </si>
  <si>
    <t>6324-QGS</t>
  </si>
  <si>
    <t>6391-QGS</t>
  </si>
  <si>
    <t>6391-QGT</t>
  </si>
  <si>
    <t>4964-MaxScoreCSS</t>
  </si>
  <si>
    <t>6891-MaxScoreCSS</t>
  </si>
  <si>
    <t>6208-MaxScoreCSA</t>
  </si>
  <si>
    <t>3951-MaxScoreCSE</t>
  </si>
  <si>
    <t>4983-MaxScoreCSE</t>
  </si>
  <si>
    <t>5870-MaxScoreCSE</t>
  </si>
  <si>
    <t>5101-MaxScoreESE</t>
  </si>
  <si>
    <t>5507-MaxScoreESE</t>
  </si>
  <si>
    <t>5674-Elite</t>
  </si>
  <si>
    <t>Thompson, Julia</t>
  </si>
  <si>
    <t>Reni</t>
  </si>
  <si>
    <t>Hittel, Debbie</t>
  </si>
  <si>
    <t>Scott, Julie-Ann</t>
  </si>
  <si>
    <t>Indiana</t>
  </si>
  <si>
    <t>Karl</t>
  </si>
  <si>
    <t>Wattie, Laura</t>
  </si>
  <si>
    <t>DEROME, SUZANNE</t>
  </si>
  <si>
    <t>Kassie</t>
  </si>
  <si>
    <t>Abbott, Kote</t>
  </si>
  <si>
    <t>Talasi</t>
  </si>
  <si>
    <t>Stolarski, Leah</t>
  </si>
  <si>
    <t>Riggins</t>
  </si>
  <si>
    <t>Jethro</t>
  </si>
  <si>
    <t>Earle, Michelle</t>
  </si>
  <si>
    <t>Galarneau, Julie</t>
  </si>
  <si>
    <t>Delisle, Isabelle</t>
  </si>
  <si>
    <t>Sylvestre, Isabelle</t>
  </si>
  <si>
    <t>Bruguier, Marie-Eve</t>
  </si>
  <si>
    <t>Bureau, Marie-Josée</t>
  </si>
  <si>
    <t>Chandrakumar, Amratha</t>
  </si>
  <si>
    <t>Burger, Diane</t>
  </si>
  <si>
    <t>McLean, Jennifer</t>
  </si>
  <si>
    <t>Thomson, Anne Marie</t>
  </si>
  <si>
    <t>Parris, Toni</t>
  </si>
  <si>
    <t>Squires, Susan</t>
  </si>
  <si>
    <t>Pilgrim</t>
  </si>
  <si>
    <t>Turner, Megg</t>
  </si>
  <si>
    <t>Sulley</t>
  </si>
  <si>
    <t>Hoffman, Brittany</t>
  </si>
  <si>
    <t>Pratte, Lucie</t>
  </si>
  <si>
    <t>Gru</t>
  </si>
  <si>
    <t>Druskin, Karen</t>
  </si>
  <si>
    <t>Fennell, Lynne</t>
  </si>
  <si>
    <t>Ferrier, Aileen</t>
  </si>
  <si>
    <t>Paquin, Marie-Noël</t>
  </si>
  <si>
    <t>Coles, Maria</t>
  </si>
  <si>
    <t>Yufen</t>
  </si>
  <si>
    <t>Azawakh</t>
  </si>
  <si>
    <t>Wetmore, Krista</t>
  </si>
  <si>
    <t>van Eden, Carey</t>
  </si>
  <si>
    <t>Shade</t>
  </si>
  <si>
    <t>Loupret, Bonnie</t>
  </si>
  <si>
    <t>Wini</t>
  </si>
  <si>
    <t>Jesse, G. Ray</t>
  </si>
  <si>
    <t>3871-QGA</t>
  </si>
  <si>
    <t>3871-QGD</t>
  </si>
  <si>
    <t>4162-QGT</t>
  </si>
  <si>
    <t>4662-QGS</t>
  </si>
  <si>
    <t>4759-QGS</t>
  </si>
  <si>
    <t>5077-QGS</t>
  </si>
  <si>
    <t>5078-QGD</t>
  </si>
  <si>
    <t>5078-QGS</t>
  </si>
  <si>
    <t>5592-QGD</t>
  </si>
  <si>
    <t>5891-QGA</t>
  </si>
  <si>
    <t>5891-QGS</t>
  </si>
  <si>
    <t>5913-QGS</t>
  </si>
  <si>
    <t>5959-QGT</t>
  </si>
  <si>
    <t>6246-QGA</t>
  </si>
  <si>
    <t>6246-QGD</t>
  </si>
  <si>
    <t>6343-QGA</t>
  </si>
  <si>
    <t>6791-MaxScoreESS</t>
  </si>
  <si>
    <t>5401-MaxScoreCSE</t>
  </si>
  <si>
    <t>4085-MaxScoreISE</t>
  </si>
  <si>
    <t>3866-MaxScoreESE</t>
  </si>
  <si>
    <t>Last refresh:</t>
  </si>
  <si>
    <t>Exc TS at trial start</t>
  </si>
  <si>
    <t>Adv TS at trial start</t>
  </si>
  <si>
    <t>Recently Processed Trials</t>
  </si>
  <si>
    <t>Future Trials</t>
  </si>
  <si>
    <t>Email</t>
  </si>
  <si>
    <t>mtlmaid561@gmail.com</t>
  </si>
  <si>
    <t>Alma, New Brunswick</t>
  </si>
  <si>
    <t>teamflyingtails@gmail.com</t>
  </si>
  <si>
    <t>Tottenham, Ontario</t>
  </si>
  <si>
    <t>kimberlyaoatway@gmail.com</t>
  </si>
  <si>
    <t>Belleville, Ontario</t>
  </si>
  <si>
    <t>quintecanine@hotmail.com</t>
  </si>
  <si>
    <t>Trenton, Ontario</t>
  </si>
  <si>
    <t>chelsea@guidescanins.com</t>
  </si>
  <si>
    <t>susansibley33@gmail.com</t>
  </si>
  <si>
    <t>StephanieRMT@mail.com</t>
  </si>
  <si>
    <t>Kinburn, Ontario</t>
  </si>
  <si>
    <t>dogsalldaykinburn@gmail.com</t>
  </si>
  <si>
    <t>Greenhill, New Brunswick</t>
  </si>
  <si>
    <t>natalie@nataliehartford.com</t>
  </si>
  <si>
    <t>hdscentdetection@gmail.com</t>
  </si>
  <si>
    <t>Pembroke, Ontario</t>
  </si>
  <si>
    <t>tailwaggers.k9sport@yahoo.com</t>
  </si>
  <si>
    <t>Borden (Barrie), Ontario</t>
  </si>
  <si>
    <t>kwee1986@gmail.com</t>
  </si>
  <si>
    <t>Dégelis, Quebec</t>
  </si>
  <si>
    <t>Winnipeg, Manitoba</t>
  </si>
  <si>
    <t>quarryk9@gmail.com</t>
  </si>
  <si>
    <t>fastewart1@gmail.com</t>
  </si>
  <si>
    <t>trouble9@hotmail.com</t>
  </si>
  <si>
    <t>Irricana, Alberta</t>
  </si>
  <si>
    <t>badger25@live.ca</t>
  </si>
  <si>
    <t>Newmarket, Ontario</t>
  </si>
  <si>
    <t>shaunaferby@hotmail.com</t>
  </si>
  <si>
    <t>Saskatoon, Saskatchewan</t>
  </si>
  <si>
    <t>rallynerd@gmail.com</t>
  </si>
  <si>
    <t>Gander, Newfoundland and Labrador</t>
  </si>
  <si>
    <t>yqxdogsports@gmail.com</t>
  </si>
  <si>
    <t>Courtenay, British Columbia</t>
  </si>
  <si>
    <t>Pontypool, Ontario</t>
  </si>
  <si>
    <t>Sainte-Anne-de-Bellevue, Quebec</t>
  </si>
  <si>
    <t>Regina, Saskatchewan</t>
  </si>
  <si>
    <t>melanie@centrecaninlegardeur.com</t>
  </si>
  <si>
    <t>joy@sithappens.org</t>
  </si>
  <si>
    <t>heather.a.albright@gmail.com</t>
  </si>
  <si>
    <t>Fredericton Junction, New Brunswick</t>
  </si>
  <si>
    <t>meriadoc@shaw.ca</t>
  </si>
  <si>
    <t>Summerside, Prince Edward Island</t>
  </si>
  <si>
    <t>parakim37@hotmail.com</t>
  </si>
  <si>
    <t>Saint Lazare, Quebec</t>
  </si>
  <si>
    <t>Sainte Anne de Bellevue , Quebec</t>
  </si>
  <si>
    <t>jphilipo@shaw.ca</t>
  </si>
  <si>
    <t>Kingston, Ontario</t>
  </si>
  <si>
    <t>Ste-Geneviève de Batiscan, Quebec</t>
  </si>
  <si>
    <t>emilieseney@gmail.com</t>
  </si>
  <si>
    <t>Town/City</t>
  </si>
  <si>
    <t>4111-QGD</t>
  </si>
  <si>
    <t>4194-QGA</t>
  </si>
  <si>
    <t>4330-QGS</t>
  </si>
  <si>
    <t>4450-QGA</t>
  </si>
  <si>
    <t>4608-QGA</t>
  </si>
  <si>
    <t>4608-QGD</t>
  </si>
  <si>
    <t>4608-QGS</t>
  </si>
  <si>
    <t>4608-QGT</t>
  </si>
  <si>
    <t>4609-QGA</t>
  </si>
  <si>
    <t>4609-QGD</t>
  </si>
  <si>
    <t>4609-QGT</t>
  </si>
  <si>
    <t>4610-QGA</t>
  </si>
  <si>
    <t>4610-QGD</t>
  </si>
  <si>
    <t>4610-QGS</t>
  </si>
  <si>
    <t>4610-QGT</t>
  </si>
  <si>
    <t>4747-QGS</t>
  </si>
  <si>
    <t>5264-QGT</t>
  </si>
  <si>
    <t>5530-QGS</t>
  </si>
  <si>
    <t>5531-QGA</t>
  </si>
  <si>
    <t>5531-QGD</t>
  </si>
  <si>
    <t>5569-QGT</t>
  </si>
  <si>
    <t>5636-QGT</t>
  </si>
  <si>
    <t>5661-QGD</t>
  </si>
  <si>
    <t>5727-QGT</t>
  </si>
  <si>
    <t>5729-QGA</t>
  </si>
  <si>
    <t>5729-QGD</t>
  </si>
  <si>
    <t>5729-QGS</t>
  </si>
  <si>
    <t>5729-QGT</t>
  </si>
  <si>
    <t>5738-QGA</t>
  </si>
  <si>
    <t>5738-QGD</t>
  </si>
  <si>
    <t>5738-QGS</t>
  </si>
  <si>
    <t>5738-QGT</t>
  </si>
  <si>
    <t>5870-QGA</t>
  </si>
  <si>
    <t>5870-QGD</t>
  </si>
  <si>
    <t>6068-QGA</t>
  </si>
  <si>
    <t>6068-QGD</t>
  </si>
  <si>
    <t>6068-QGS</t>
  </si>
  <si>
    <t>6161-QGA</t>
  </si>
  <si>
    <t>6161-QGS</t>
  </si>
  <si>
    <t>6298-QGA</t>
  </si>
  <si>
    <t>6299-QGA</t>
  </si>
  <si>
    <t>6299-QGD</t>
  </si>
  <si>
    <t>6379-QGD</t>
  </si>
  <si>
    <t>6382-QGA</t>
  </si>
  <si>
    <t>6417-QGD</t>
  </si>
  <si>
    <t>6495-QGA</t>
  </si>
  <si>
    <t>6521-QGD</t>
  </si>
  <si>
    <t>6552-QGA</t>
  </si>
  <si>
    <t>6552-QGD</t>
  </si>
  <si>
    <t>6564-QGA</t>
  </si>
  <si>
    <t>6564-QGD</t>
  </si>
  <si>
    <t>6684-QGA</t>
  </si>
  <si>
    <t>6684-QGD</t>
  </si>
  <si>
    <t>6684-QGS</t>
  </si>
  <si>
    <t>6753-QGA</t>
  </si>
  <si>
    <t>6753-QGD</t>
  </si>
  <si>
    <t>6753-QGS</t>
  </si>
  <si>
    <t>6753-QGT</t>
  </si>
  <si>
    <t>6766-QGA</t>
  </si>
  <si>
    <t>6766-QGD</t>
  </si>
  <si>
    <t>6766-QGS</t>
  </si>
  <si>
    <t>6767-QGD</t>
  </si>
  <si>
    <t>6767-QGT</t>
  </si>
  <si>
    <t>6882-QGD</t>
  </si>
  <si>
    <t>6882-QGS</t>
  </si>
  <si>
    <t>6725-MaxScoreCSS</t>
  </si>
  <si>
    <t>6914-MaxScoreCSS</t>
  </si>
  <si>
    <t>6725-MaxScoreISS</t>
  </si>
  <si>
    <t>5237-MaxScoreCSA</t>
  </si>
  <si>
    <t>5264-MaxScoreCSA</t>
  </si>
  <si>
    <t>5729-MaxScoreCSA</t>
  </si>
  <si>
    <t>6278-MaxScoreCSA</t>
  </si>
  <si>
    <t>6531-MaxScoreCSA</t>
  </si>
  <si>
    <t>6613-MaxScoreCSA</t>
  </si>
  <si>
    <t>6753-MaxScoreCSA</t>
  </si>
  <si>
    <t>6764-MaxScoreCSA</t>
  </si>
  <si>
    <t>6766-MaxScoreCSA</t>
  </si>
  <si>
    <t>5729-MaxScoreISA</t>
  </si>
  <si>
    <t>6048-MaxScoreISA</t>
  </si>
  <si>
    <t>6381-MaxScoreISA</t>
  </si>
  <si>
    <t>6766-MaxScoreISA</t>
  </si>
  <si>
    <t>5237-MaxScoreESA</t>
  </si>
  <si>
    <t>6531-MaxScoreESA</t>
  </si>
  <si>
    <t>6613-MaxScoreESA</t>
  </si>
  <si>
    <t>3884-MaxScoreCSE</t>
  </si>
  <si>
    <t>4736-MaxScoreCSE</t>
  </si>
  <si>
    <t>4931-MaxScoreCSE</t>
  </si>
  <si>
    <t>4978-MaxScoreCSE</t>
  </si>
  <si>
    <t>6202-MaxScoreCSE</t>
  </si>
  <si>
    <t>6531-MaxScoreCSE</t>
  </si>
  <si>
    <t>4610-MaxScoreISE</t>
  </si>
  <si>
    <t>6099-MaxScoreISE</t>
  </si>
  <si>
    <t>4610-MaxScoreESE</t>
  </si>
  <si>
    <t>4736-MaxScoreESE</t>
  </si>
  <si>
    <t>4766-MaxScoreESE</t>
  </si>
  <si>
    <t>4978-MaxScoreESE</t>
  </si>
  <si>
    <t>5278-MaxScoreESE</t>
  </si>
  <si>
    <t>3405-Elite</t>
  </si>
  <si>
    <t>3776-Elite</t>
  </si>
  <si>
    <t>3905-Elite</t>
  </si>
  <si>
    <t>4063-Elite</t>
  </si>
  <si>
    <t>Trial Number Day 1</t>
  </si>
  <si>
    <t>Trial Number Day 2</t>
  </si>
  <si>
    <t>No</t>
  </si>
  <si>
    <t>Dujardin, Chelsea</t>
  </si>
  <si>
    <t>1833-QGA</t>
  </si>
  <si>
    <t>1833-QGD</t>
  </si>
  <si>
    <t>1833-QGS</t>
  </si>
  <si>
    <t>3121-QGA</t>
  </si>
  <si>
    <t>3121-QGD</t>
  </si>
  <si>
    <t>3637-QGS</t>
  </si>
  <si>
    <t>3763-QGT</t>
  </si>
  <si>
    <t>3764-QGS</t>
  </si>
  <si>
    <t>3913-QGT</t>
  </si>
  <si>
    <t>4055-QGT</t>
  </si>
  <si>
    <t>4505-QGS</t>
  </si>
  <si>
    <t>4505-QGT</t>
  </si>
  <si>
    <t>4748-QGS</t>
  </si>
  <si>
    <t>5623-QGD</t>
  </si>
  <si>
    <t>5623-QGT</t>
  </si>
  <si>
    <t>5661-QGA</t>
  </si>
  <si>
    <t>5661-QGT</t>
  </si>
  <si>
    <t>6075-QGA</t>
  </si>
  <si>
    <t>6075-QGS</t>
  </si>
  <si>
    <t>6304-QGA</t>
  </si>
  <si>
    <t>6304-QGD</t>
  </si>
  <si>
    <t>2326-MaxScoreCSS</t>
  </si>
  <si>
    <t>6930-MaxScoreCSS</t>
  </si>
  <si>
    <t>2326-MaxScoreISS</t>
  </si>
  <si>
    <t>6877-MaxScoreISS</t>
  </si>
  <si>
    <t>6877-MaxScoreESS</t>
  </si>
  <si>
    <t>6483-MaxScoreCSA</t>
  </si>
  <si>
    <t>7069-MaxScoreISA</t>
  </si>
  <si>
    <t>6483-MaxScoreESA</t>
  </si>
  <si>
    <t>4450-MaxScoreCSE</t>
  </si>
  <si>
    <t>4450-MaxScoreESE</t>
  </si>
  <si>
    <t>Galisky, Twyla</t>
  </si>
  <si>
    <t>Patsy</t>
  </si>
  <si>
    <t>O'Sullivan, Stacey</t>
  </si>
  <si>
    <t>Vayda</t>
  </si>
  <si>
    <t>Kilpatrick, Ellen</t>
  </si>
  <si>
    <t>Caydie</t>
  </si>
  <si>
    <t>Clarke, Lorna</t>
  </si>
  <si>
    <t>Reya</t>
  </si>
  <si>
    <t>Symonds, Joanne</t>
  </si>
  <si>
    <t>Bennis, Monica</t>
  </si>
  <si>
    <t>Weston, Koran</t>
  </si>
  <si>
    <t>Enamorado, Melissa</t>
  </si>
  <si>
    <t>Mazerolle, Jeannette</t>
  </si>
  <si>
    <t>Havik</t>
  </si>
  <si>
    <t>Talbot, Tara</t>
  </si>
  <si>
    <t>Headrick, Sandra</t>
  </si>
  <si>
    <t>Tunks, Peggy</t>
  </si>
  <si>
    <t>Prentice, Carolyn</t>
  </si>
  <si>
    <t>Gee, Michael</t>
  </si>
  <si>
    <t>Platt, Amanda</t>
  </si>
  <si>
    <t>Whim</t>
  </si>
  <si>
    <t>Taillefer, Stephanie</t>
  </si>
  <si>
    <t>Westley</t>
  </si>
  <si>
    <t>Wagenaar, Jennifer</t>
  </si>
  <si>
    <t>martel, sabrina</t>
  </si>
  <si>
    <t>Juliet</t>
  </si>
  <si>
    <t>Coleman, Jane</t>
  </si>
  <si>
    <t>Charley</t>
  </si>
  <si>
    <t>Rosser, Dawn</t>
  </si>
  <si>
    <t>Zinnia</t>
  </si>
  <si>
    <t>Nault, Alison</t>
  </si>
  <si>
    <t>Effie</t>
  </si>
  <si>
    <t>Bourgault, Camille</t>
  </si>
  <si>
    <t>Vo, Katia</t>
  </si>
  <si>
    <t>Susie</t>
  </si>
  <si>
    <t>Dixon, Kylie</t>
  </si>
  <si>
    <t>Murtaugh</t>
  </si>
  <si>
    <t>Spaniel (American Water)</t>
  </si>
  <si>
    <t>Creusot, Christina</t>
  </si>
  <si>
    <t>Messie Bessie</t>
  </si>
  <si>
    <t>Pearce, Nancy</t>
  </si>
  <si>
    <t>Ki</t>
  </si>
  <si>
    <t>Daniel, Farren</t>
  </si>
  <si>
    <t>Frica</t>
  </si>
  <si>
    <t>Coady, Rhonda</t>
  </si>
  <si>
    <t>Landry, Nathalie</t>
  </si>
  <si>
    <t>Graham</t>
  </si>
  <si>
    <t>Prusila, Julie</t>
  </si>
  <si>
    <t>Hiltz, Annette</t>
  </si>
  <si>
    <t>Newell, Ramey</t>
  </si>
  <si>
    <t>Greg</t>
  </si>
  <si>
    <t>Yarde, Jennifer</t>
  </si>
  <si>
    <t>Mokey</t>
  </si>
  <si>
    <t>Doucette, Kelsey</t>
  </si>
  <si>
    <t>Sheba</t>
  </si>
  <si>
    <t>Hewitt, Leah</t>
  </si>
  <si>
    <t>Lilo</t>
  </si>
  <si>
    <t>Moon, Margaret</t>
  </si>
  <si>
    <t>Pardy, Cara</t>
  </si>
  <si>
    <t>LeBlanc, Julie</t>
  </si>
  <si>
    <t>Racz, Sue</t>
  </si>
  <si>
    <t>Gillis, Cecilia</t>
  </si>
  <si>
    <t>Carley</t>
  </si>
  <si>
    <t>Pearson, Kimberly</t>
  </si>
  <si>
    <t>Holubowich, Trisha</t>
  </si>
  <si>
    <t>Mimic</t>
  </si>
  <si>
    <t>Corbin, Jennifer</t>
  </si>
  <si>
    <t>Guerette, Martine</t>
  </si>
  <si>
    <t>Sylvie</t>
  </si>
  <si>
    <t>Rock, Jessica</t>
  </si>
  <si>
    <t>Déry, Joanne</t>
  </si>
  <si>
    <t>4207-QGS</t>
  </si>
  <si>
    <t>6497-QGA</t>
  </si>
  <si>
    <t>6666-QGS</t>
  </si>
  <si>
    <t>6985-MaxScoreCSS</t>
  </si>
  <si>
    <t>4988-MaxScoreISA</t>
  </si>
  <si>
    <t>6602-MaxScoreISA</t>
  </si>
  <si>
    <t>4207-MaxScoreCSE</t>
  </si>
  <si>
    <t>4331-MaxScoreCSE</t>
  </si>
  <si>
    <t>6098-MaxScoreCSE</t>
  </si>
  <si>
    <t>4432-MaxScoreISE</t>
  </si>
  <si>
    <t>4420-Elite</t>
  </si>
  <si>
    <t>4998-Elite</t>
  </si>
  <si>
    <t>Fanny</t>
  </si>
  <si>
    <t>kdsveinson@gmail.com</t>
  </si>
  <si>
    <t>Delacour, Alberta</t>
  </si>
  <si>
    <t>albertadogsportsupplies@gmail.com</t>
  </si>
  <si>
    <t>2217-QGS</t>
  </si>
  <si>
    <t>2442-QGD</t>
  </si>
  <si>
    <t>3166-QGA</t>
  </si>
  <si>
    <t>3827-QGA</t>
  </si>
  <si>
    <t>4359-QGT</t>
  </si>
  <si>
    <t>4506-QGA</t>
  </si>
  <si>
    <t>4506-QGD</t>
  </si>
  <si>
    <t>4687-QGD</t>
  </si>
  <si>
    <t>4831-QGA</t>
  </si>
  <si>
    <t>5664-QGA</t>
  </si>
  <si>
    <t>5664-QGD</t>
  </si>
  <si>
    <t>5883-QGA</t>
  </si>
  <si>
    <t>6465-QGA</t>
  </si>
  <si>
    <t>6844-QGA</t>
  </si>
  <si>
    <t>5928-MaxScoreCSS</t>
  </si>
  <si>
    <t>6765-MaxScoreCSS</t>
  </si>
  <si>
    <t>6794-MaxScoreCSS</t>
  </si>
  <si>
    <t>6825-MaxScoreCSS</t>
  </si>
  <si>
    <t>6858-MaxScoreCSS</t>
  </si>
  <si>
    <t>6862-MaxScoreCSS</t>
  </si>
  <si>
    <t>6921-MaxScoreCSS</t>
  </si>
  <si>
    <t>6929-MaxScoreCSS</t>
  </si>
  <si>
    <t>7012-MaxScoreCSS</t>
  </si>
  <si>
    <t>5928-MaxScoreISS</t>
  </si>
  <si>
    <t>6464-MaxScoreISS</t>
  </si>
  <si>
    <t>6765-MaxScoreISS</t>
  </si>
  <si>
    <t>6858-MaxScoreISS</t>
  </si>
  <si>
    <t>6862-MaxScoreISS</t>
  </si>
  <si>
    <t>6921-MaxScoreISS</t>
  </si>
  <si>
    <t>6980-MaxScoreISS</t>
  </si>
  <si>
    <t>7011-MaxScoreISS</t>
  </si>
  <si>
    <t>6464-MaxScoreESS</t>
  </si>
  <si>
    <t>6794-MaxScoreESS</t>
  </si>
  <si>
    <t>6825-MaxScoreESS</t>
  </si>
  <si>
    <t>6980-MaxScoreESS</t>
  </si>
  <si>
    <t>7012-MaxScoreESS</t>
  </si>
  <si>
    <t>4051-MaxScoreCSA</t>
  </si>
  <si>
    <t>6336-MaxScoreCSA</t>
  </si>
  <si>
    <t>5725-MaxScoreISA</t>
  </si>
  <si>
    <t>6336-MaxScoreISA</t>
  </si>
  <si>
    <t>6392-MaxScoreISA</t>
  </si>
  <si>
    <t>6392-MaxScoreESA</t>
  </si>
  <si>
    <t>6421-MaxScoreESA</t>
  </si>
  <si>
    <t>6587-MaxScoreESA</t>
  </si>
  <si>
    <t>2193-MaxScoreCSE</t>
  </si>
  <si>
    <t>4746-MaxScoreCSE</t>
  </si>
  <si>
    <t>5071-MaxScoreCSE</t>
  </si>
  <si>
    <t>5904-MaxScoreCSE</t>
  </si>
  <si>
    <t>5952-MaxScoreCSE</t>
  </si>
  <si>
    <t>6107-MaxScoreCSE</t>
  </si>
  <si>
    <t>6252-MaxScoreCSE</t>
  </si>
  <si>
    <t>6352-MaxScoreCSE</t>
  </si>
  <si>
    <t>6597-MaxScoreCSE</t>
  </si>
  <si>
    <t>5046-MaxScoreESE</t>
  </si>
  <si>
    <t>5952-MaxScoreESE</t>
  </si>
  <si>
    <t>6252-MaxScoreESE</t>
  </si>
  <si>
    <t>6597-MaxScoreESE</t>
  </si>
  <si>
    <r>
      <t xml:space="preserve">The summary now shows a list of "First Titles" just below Championship Titles.  Use the "First Title" column filter and unselect blanks.
</t>
    </r>
    <r>
      <rPr>
        <b/>
        <sz val="16"/>
        <color theme="0"/>
        <rFont val="Calibri"/>
        <family val="2"/>
        <scheme val="minor"/>
      </rPr>
      <t>Do not forget to validate the workbook.  EMAIL workbook to eric@sdda.ca</t>
    </r>
  </si>
  <si>
    <t>Edmonton , Alberta</t>
  </si>
  <si>
    <t>mojavedobermans@gmail.com</t>
  </si>
  <si>
    <t>Devon , Alberta</t>
  </si>
  <si>
    <t>mia.staysko@gmail.com</t>
  </si>
  <si>
    <t>Bradshaw, Sarah</t>
  </si>
  <si>
    <t>McCracken, Ann</t>
  </si>
  <si>
    <t>Chalker, Andrea</t>
  </si>
  <si>
    <t>Bereziak-Richard, Connie</t>
  </si>
  <si>
    <t>Sajtos, Cathy</t>
  </si>
  <si>
    <t>Pilot</t>
  </si>
  <si>
    <t>Stratton-O'Neill, Marta</t>
  </si>
  <si>
    <t>ERICKSON, KATHLEEN</t>
  </si>
  <si>
    <t>Elroy</t>
  </si>
  <si>
    <t>Noonan, Shannon</t>
  </si>
  <si>
    <t>Nox</t>
  </si>
  <si>
    <t>Girard, Alexia</t>
  </si>
  <si>
    <t>Petra</t>
  </si>
  <si>
    <t>Boudreau, Carrie</t>
  </si>
  <si>
    <t>O'Connor, Abigail</t>
  </si>
  <si>
    <t>Snickers</t>
  </si>
  <si>
    <t>Lowden, Barbara</t>
  </si>
  <si>
    <t>evnReceivedFromHostDate</t>
  </si>
  <si>
    <t>calgary, Alberta</t>
  </si>
  <si>
    <t>Peachland, British Columbia</t>
  </si>
  <si>
    <t>Isis_dea@yahoo.com</t>
  </si>
  <si>
    <t>Lumsden Beach, Saskatchewan</t>
  </si>
  <si>
    <t>Coaldale, Alberta</t>
  </si>
  <si>
    <t>Picture Butte, Alberta</t>
  </si>
  <si>
    <t>St-Sophie , Quebec</t>
  </si>
  <si>
    <t>SDDA Nationals Event - Mulmur, Ontario</t>
  </si>
  <si>
    <t>karin@sdda.ca</t>
  </si>
  <si>
    <t>1736-QGS</t>
  </si>
  <si>
    <t>2207-QGD</t>
  </si>
  <si>
    <t>2217-QGA</t>
  </si>
  <si>
    <t>2217-QGD</t>
  </si>
  <si>
    <t>2442-QGA</t>
  </si>
  <si>
    <t>2742-QGS</t>
  </si>
  <si>
    <t>2742-QGT</t>
  </si>
  <si>
    <t>3174-QGS</t>
  </si>
  <si>
    <t>3323-QGD</t>
  </si>
  <si>
    <t>3351-QGS</t>
  </si>
  <si>
    <t>3655-QGT</t>
  </si>
  <si>
    <t>3834-QGA</t>
  </si>
  <si>
    <t>3880-QGT</t>
  </si>
  <si>
    <t>3996-QGA</t>
  </si>
  <si>
    <t>3996-QGD</t>
  </si>
  <si>
    <t>3996-QGS</t>
  </si>
  <si>
    <t>3996-QGT</t>
  </si>
  <si>
    <t>4147-QGS</t>
  </si>
  <si>
    <t>4147-QGT</t>
  </si>
  <si>
    <t>4205-QGA</t>
  </si>
  <si>
    <t>4205-QGD</t>
  </si>
  <si>
    <t>4568-QGD</t>
  </si>
  <si>
    <t>4568-QGT</t>
  </si>
  <si>
    <t>4578-QGA</t>
  </si>
  <si>
    <t>4578-QGD</t>
  </si>
  <si>
    <t>4636-QGS</t>
  </si>
  <si>
    <t>4685-QGA</t>
  </si>
  <si>
    <t>4685-QGD</t>
  </si>
  <si>
    <t>4687-QGA</t>
  </si>
  <si>
    <t>4733-QGS</t>
  </si>
  <si>
    <t>4733-QGT</t>
  </si>
  <si>
    <t>4757-QGA</t>
  </si>
  <si>
    <t>4757-QGD</t>
  </si>
  <si>
    <t>4795-QGS</t>
  </si>
  <si>
    <t>4845-QGD</t>
  </si>
  <si>
    <t>4855-QGD</t>
  </si>
  <si>
    <t>4873-QGD</t>
  </si>
  <si>
    <t>4908-QGT</t>
  </si>
  <si>
    <t>4971-QGS</t>
  </si>
  <si>
    <t>5074-QGD</t>
  </si>
  <si>
    <t>5074-QGS</t>
  </si>
  <si>
    <t>5097-QGD</t>
  </si>
  <si>
    <t>5111-QGD</t>
  </si>
  <si>
    <t>5165-QGA</t>
  </si>
  <si>
    <t>5165-QGT</t>
  </si>
  <si>
    <t>5204-QGS</t>
  </si>
  <si>
    <t>5245-QGA</t>
  </si>
  <si>
    <t>5248-QGA</t>
  </si>
  <si>
    <t>5248-QGD</t>
  </si>
  <si>
    <t>5248-QGS</t>
  </si>
  <si>
    <t>5273-QGS</t>
  </si>
  <si>
    <t>5278-QGA</t>
  </si>
  <si>
    <t>5278-QGD</t>
  </si>
  <si>
    <t>5278-QGS</t>
  </si>
  <si>
    <t>5369-QGD</t>
  </si>
  <si>
    <t>5376-QGT</t>
  </si>
  <si>
    <t>5415-QGA</t>
  </si>
  <si>
    <t>5434-QGA</t>
  </si>
  <si>
    <t>5542-QGD</t>
  </si>
  <si>
    <t>5542-QGS</t>
  </si>
  <si>
    <t>5542-QGT</t>
  </si>
  <si>
    <t>5629-QGD</t>
  </si>
  <si>
    <t>5639-QGA</t>
  </si>
  <si>
    <t>5674-QGT</t>
  </si>
  <si>
    <t>5694-QGD</t>
  </si>
  <si>
    <t>5704-QGD</t>
  </si>
  <si>
    <t>5716-QGA</t>
  </si>
  <si>
    <t>5716-QGD</t>
  </si>
  <si>
    <t>5777-QGA</t>
  </si>
  <si>
    <t>5777-QGD</t>
  </si>
  <si>
    <t>5826-QGT</t>
  </si>
  <si>
    <t>5840-QGT</t>
  </si>
  <si>
    <t>5862-QGS</t>
  </si>
  <si>
    <t>5865-QGD</t>
  </si>
  <si>
    <t>5883-QGT</t>
  </si>
  <si>
    <t>5897-QGA</t>
  </si>
  <si>
    <t>5897-QGT</t>
  </si>
  <si>
    <t>5899-QGA</t>
  </si>
  <si>
    <t>5899-QGD</t>
  </si>
  <si>
    <t>5922-QGT</t>
  </si>
  <si>
    <t>5990-QGA</t>
  </si>
  <si>
    <t>5990-QGD</t>
  </si>
  <si>
    <t>5995-QGA</t>
  </si>
  <si>
    <t>6020-QGA</t>
  </si>
  <si>
    <t>6050-QGA</t>
  </si>
  <si>
    <t>6052-QGA</t>
  </si>
  <si>
    <t>6052-QGD</t>
  </si>
  <si>
    <t>6053-QGT</t>
  </si>
  <si>
    <t>6069-QGA</t>
  </si>
  <si>
    <t>6069-QGD</t>
  </si>
  <si>
    <t>6072-QGD</t>
  </si>
  <si>
    <t>6087-QGS</t>
  </si>
  <si>
    <t>6105-QGA</t>
  </si>
  <si>
    <t>6105-QGD</t>
  </si>
  <si>
    <t>6112-QGD</t>
  </si>
  <si>
    <t>6117-QGA</t>
  </si>
  <si>
    <t>6133-QGD</t>
  </si>
  <si>
    <t>6133-QGS</t>
  </si>
  <si>
    <t>6133-QGT</t>
  </si>
  <si>
    <t>6203-QGS</t>
  </si>
  <si>
    <t>6239-QGA</t>
  </si>
  <si>
    <t>6260-QGA</t>
  </si>
  <si>
    <t>6260-QGD</t>
  </si>
  <si>
    <t>6283-QGA</t>
  </si>
  <si>
    <t>6283-QGD</t>
  </si>
  <si>
    <t>6302-QGA</t>
  </si>
  <si>
    <t>6333-QGA</t>
  </si>
  <si>
    <t>6333-QGD</t>
  </si>
  <si>
    <t>6397-QGA</t>
  </si>
  <si>
    <t>6397-QGD</t>
  </si>
  <si>
    <t>6397-QGT</t>
  </si>
  <si>
    <t>6402-QGA</t>
  </si>
  <si>
    <t>6402-QGD</t>
  </si>
  <si>
    <t>6405-QGA</t>
  </si>
  <si>
    <t>6405-QGD</t>
  </si>
  <si>
    <t>6423-QGD</t>
  </si>
  <si>
    <t>6447-QGD</t>
  </si>
  <si>
    <t>6452-QGA</t>
  </si>
  <si>
    <t>6465-QGD</t>
  </si>
  <si>
    <t>6465-QGS</t>
  </si>
  <si>
    <t>6472-QGA</t>
  </si>
  <si>
    <t>6472-QGD</t>
  </si>
  <si>
    <t>6474-QGA</t>
  </si>
  <si>
    <t>6474-QGD</t>
  </si>
  <si>
    <t>6548-QGA</t>
  </si>
  <si>
    <t>6562-QGS</t>
  </si>
  <si>
    <t>6580-QGS</t>
  </si>
  <si>
    <t>6599-QGS</t>
  </si>
  <si>
    <t>6607-QGS</t>
  </si>
  <si>
    <t>6620-QGA</t>
  </si>
  <si>
    <t>6625-QGT</t>
  </si>
  <si>
    <t>6640-QGA</t>
  </si>
  <si>
    <t>6654-QGA</t>
  </si>
  <si>
    <t>6723-QGD</t>
  </si>
  <si>
    <t>6723-QGT</t>
  </si>
  <si>
    <t>6729-QGA</t>
  </si>
  <si>
    <t>6734-QGA</t>
  </si>
  <si>
    <t>6736-QGA</t>
  </si>
  <si>
    <t>6736-QGD</t>
  </si>
  <si>
    <t>6736-QGS</t>
  </si>
  <si>
    <t>6737-QGT</t>
  </si>
  <si>
    <t>6750-QGA</t>
  </si>
  <si>
    <t>6750-QGD</t>
  </si>
  <si>
    <t>6762-QGA</t>
  </si>
  <si>
    <t>6762-QGD</t>
  </si>
  <si>
    <t>6813-QGA</t>
  </si>
  <si>
    <t>6844-QGD</t>
  </si>
  <si>
    <t>6846-QGA</t>
  </si>
  <si>
    <t>6846-QGD</t>
  </si>
  <si>
    <t>6923-QGA</t>
  </si>
  <si>
    <t>6958-QGA</t>
  </si>
  <si>
    <t>6962-QGA</t>
  </si>
  <si>
    <t>6962-QGD</t>
  </si>
  <si>
    <t>6964-QGA</t>
  </si>
  <si>
    <t>6964-QGD</t>
  </si>
  <si>
    <t>6965-QGA</t>
  </si>
  <si>
    <t>6965-QGD</t>
  </si>
  <si>
    <t>6965-QGS</t>
  </si>
  <si>
    <t>6981-QGA</t>
  </si>
  <si>
    <t>6988-QGA</t>
  </si>
  <si>
    <t>6993-QGD</t>
  </si>
  <si>
    <t>7104-QGA</t>
  </si>
  <si>
    <t>7104-QGD</t>
  </si>
  <si>
    <t>5028-MaxScoreCSS</t>
  </si>
  <si>
    <t>5135-MaxScoreCSS</t>
  </si>
  <si>
    <t>5221-MaxScoreCSS</t>
  </si>
  <si>
    <t>5971-MaxScoreCSS</t>
  </si>
  <si>
    <t>6423-MaxScoreCSS</t>
  </si>
  <si>
    <t>6481-MaxScoreCSS</t>
  </si>
  <si>
    <t>6572-MaxScoreCSS</t>
  </si>
  <si>
    <t>6699-MaxScoreCSS</t>
  </si>
  <si>
    <t>6876-MaxScoreCSS</t>
  </si>
  <si>
    <t>6900-MaxScoreCSS</t>
  </si>
  <si>
    <t>6905-MaxScoreCSS</t>
  </si>
  <si>
    <t>6925-MaxScoreCSS</t>
  </si>
  <si>
    <t>6935-MaxScoreCSS</t>
  </si>
  <si>
    <t>6947-MaxScoreCSS</t>
  </si>
  <si>
    <t>6971-MaxScoreCSS</t>
  </si>
  <si>
    <t>6972-MaxScoreCSS</t>
  </si>
  <si>
    <t>6988-MaxScoreCSS</t>
  </si>
  <si>
    <t>7021-MaxScoreCSS</t>
  </si>
  <si>
    <t>7023-MaxScoreCSS</t>
  </si>
  <si>
    <t>7032-MaxScoreCSS</t>
  </si>
  <si>
    <t>7033-MaxScoreCSS</t>
  </si>
  <si>
    <t>7034-MaxScoreCSS</t>
  </si>
  <si>
    <t>7067-MaxScoreCSS</t>
  </si>
  <si>
    <t>7116-MaxScoreCSS</t>
  </si>
  <si>
    <t>7127-MaxScoreCSS</t>
  </si>
  <si>
    <t>7141-MaxScoreCSS</t>
  </si>
  <si>
    <t>5221-MaxScoreISS</t>
  </si>
  <si>
    <t>6481-MaxScoreISS</t>
  </si>
  <si>
    <t>6572-MaxScoreISS</t>
  </si>
  <si>
    <t>6699-MaxScoreISS</t>
  </si>
  <si>
    <t>6778-MaxScoreISS</t>
  </si>
  <si>
    <t>6804-MaxScoreISS</t>
  </si>
  <si>
    <t>6861-MaxScoreISS</t>
  </si>
  <si>
    <t>6900-MaxScoreISS</t>
  </si>
  <si>
    <t>6988-MaxScoreISS</t>
  </si>
  <si>
    <t>7002-MaxScoreISS</t>
  </si>
  <si>
    <t>7021-MaxScoreISS</t>
  </si>
  <si>
    <t>7032-MaxScoreISS</t>
  </si>
  <si>
    <t>7067-MaxScoreISS</t>
  </si>
  <si>
    <t>7071-MaxScoreISS</t>
  </si>
  <si>
    <t>7086-MaxScoreISS</t>
  </si>
  <si>
    <t>7095-MaxScoreISS</t>
  </si>
  <si>
    <t>7122-MaxScoreISS</t>
  </si>
  <si>
    <t>7141-MaxScoreISS</t>
  </si>
  <si>
    <t>5971-MaxScoreESS</t>
  </si>
  <si>
    <t>6504-MaxScoreESS</t>
  </si>
  <si>
    <t>6804-MaxScoreESS</t>
  </si>
  <si>
    <t>6876-MaxScoreESS</t>
  </si>
  <si>
    <t>6925-MaxScoreESS</t>
  </si>
  <si>
    <t>6935-MaxScoreESS</t>
  </si>
  <si>
    <t>6952-MaxScoreESS</t>
  </si>
  <si>
    <t>7002-MaxScoreESS</t>
  </si>
  <si>
    <t>7008-MaxScoreESS</t>
  </si>
  <si>
    <t>7031-MaxScoreESS</t>
  </si>
  <si>
    <t>7034-MaxScoreESS</t>
  </si>
  <si>
    <t>7071-MaxScoreESS</t>
  </si>
  <si>
    <t>7078-MaxScoreESS</t>
  </si>
  <si>
    <t>7086-MaxScoreESS</t>
  </si>
  <si>
    <t>7095-MaxScoreESS</t>
  </si>
  <si>
    <t>7122-MaxScoreESS</t>
  </si>
  <si>
    <t>7127-MaxScoreESS</t>
  </si>
  <si>
    <t>2872-MaxScoreCSA</t>
  </si>
  <si>
    <t>4845-MaxScoreCSA</t>
  </si>
  <si>
    <t>4855-MaxScoreCSA</t>
  </si>
  <si>
    <t>4898-MaxScoreCSA</t>
  </si>
  <si>
    <t>4988-MaxScoreCSA</t>
  </si>
  <si>
    <t>5185-MaxScoreCSA</t>
  </si>
  <si>
    <t>5190-MaxScoreCSA</t>
  </si>
  <si>
    <t>5366-MaxScoreCSA</t>
  </si>
  <si>
    <t>5376-MaxScoreCSA</t>
  </si>
  <si>
    <t>5556-MaxScoreCSA</t>
  </si>
  <si>
    <t>5631-MaxScoreCSA</t>
  </si>
  <si>
    <t>5858-MaxScoreCSA</t>
  </si>
  <si>
    <t>5899-MaxScoreCSA</t>
  </si>
  <si>
    <t>5968-MaxScoreCSA</t>
  </si>
  <si>
    <t>6117-MaxScoreCSA</t>
  </si>
  <si>
    <t>6239-MaxScoreCSA</t>
  </si>
  <si>
    <t>6260-MaxScoreCSA</t>
  </si>
  <si>
    <t>6303-MaxScoreCSA</t>
  </si>
  <si>
    <t>6367-MaxScoreCSA</t>
  </si>
  <si>
    <t>6699-MaxScoreCSA</t>
  </si>
  <si>
    <t>6775-MaxScoreCSA</t>
  </si>
  <si>
    <t>6849-MaxScoreCSA</t>
  </si>
  <si>
    <t>6923-MaxScoreCSA</t>
  </si>
  <si>
    <t>6943-MaxScoreCSA</t>
  </si>
  <si>
    <t>6975-MaxScoreCSA</t>
  </si>
  <si>
    <t>7021-MaxScoreCSA</t>
  </si>
  <si>
    <t>7079-MaxScoreCSA</t>
  </si>
  <si>
    <t>2872-MaxScoreISA</t>
  </si>
  <si>
    <t>2976-MaxScoreISA</t>
  </si>
  <si>
    <t>4685-MaxScoreISA</t>
  </si>
  <si>
    <t>4758-MaxScoreISA</t>
  </si>
  <si>
    <t>4855-MaxScoreISA</t>
  </si>
  <si>
    <t>5366-MaxScoreISA</t>
  </si>
  <si>
    <t>5556-MaxScoreISA</t>
  </si>
  <si>
    <t>5631-MaxScoreISA</t>
  </si>
  <si>
    <t>5767-MaxScoreISA</t>
  </si>
  <si>
    <t>5804-MaxScoreISA</t>
  </si>
  <si>
    <t>5898-MaxScoreISA</t>
  </si>
  <si>
    <t>5915-MaxScoreISA</t>
  </si>
  <si>
    <t>5968-MaxScoreISA</t>
  </si>
  <si>
    <t>6021-MaxScoreISA</t>
  </si>
  <si>
    <t>6105-MaxScoreISA</t>
  </si>
  <si>
    <t>6278-MaxScoreISA</t>
  </si>
  <si>
    <t>6303-MaxScoreISA</t>
  </si>
  <si>
    <t>6390-MaxScoreISA</t>
  </si>
  <si>
    <t>6405-MaxScoreISA</t>
  </si>
  <si>
    <t>6472-MaxScoreISA</t>
  </si>
  <si>
    <t>6474-MaxScoreISA</t>
  </si>
  <si>
    <t>6610-MaxScoreISA</t>
  </si>
  <si>
    <t>6624-MaxScoreISA</t>
  </si>
  <si>
    <t>6699-MaxScoreISA</t>
  </si>
  <si>
    <t>6747-MaxScoreISA</t>
  </si>
  <si>
    <t>6769-MaxScoreISA</t>
  </si>
  <si>
    <t>6816-MaxScoreISA</t>
  </si>
  <si>
    <t>6846-MaxScoreISA</t>
  </si>
  <si>
    <t>6848-MaxScoreISA</t>
  </si>
  <si>
    <t>6923-MaxScoreISA</t>
  </si>
  <si>
    <t>6924-MaxScoreISA</t>
  </si>
  <si>
    <t>6993-MaxScoreISA</t>
  </si>
  <si>
    <t>7057-MaxScoreISA</t>
  </si>
  <si>
    <t>2976-MaxScoreESA</t>
  </si>
  <si>
    <t>4501-MaxScoreESA</t>
  </si>
  <si>
    <t>4758-MaxScoreESA</t>
  </si>
  <si>
    <t>4845-MaxScoreESA</t>
  </si>
  <si>
    <t>4898-MaxScoreESA</t>
  </si>
  <si>
    <t>5285-MaxScoreESA</t>
  </si>
  <si>
    <t>5677-MaxScoreESA</t>
  </si>
  <si>
    <t>5767-MaxScoreESA</t>
  </si>
  <si>
    <t>6048-MaxScoreESA</t>
  </si>
  <si>
    <t>6105-MaxScoreESA</t>
  </si>
  <si>
    <t>6222-MaxScoreESA</t>
  </si>
  <si>
    <t>6367-MaxScoreESA</t>
  </si>
  <si>
    <t>6405-MaxScoreESA</t>
  </si>
  <si>
    <t>6424-MaxScoreESA</t>
  </si>
  <si>
    <t>6472-MaxScoreESA</t>
  </si>
  <si>
    <t>6474-MaxScoreESA</t>
  </si>
  <si>
    <t>6624-MaxScoreESA</t>
  </si>
  <si>
    <t>6747-MaxScoreESA</t>
  </si>
  <si>
    <t>6775-MaxScoreESA</t>
  </si>
  <si>
    <t>6846-MaxScoreESA</t>
  </si>
  <si>
    <t>6915-MaxScoreESA</t>
  </si>
  <si>
    <t>6993-MaxScoreESA</t>
  </si>
  <si>
    <t>207-MaxScoreCSE</t>
  </si>
  <si>
    <t>2384-MaxScoreCSE</t>
  </si>
  <si>
    <t>3121-MaxScoreCSE</t>
  </si>
  <si>
    <t>3984-MaxScoreCSE</t>
  </si>
  <si>
    <t>4141-MaxScoreCSE</t>
  </si>
  <si>
    <t>4483-MaxScoreCSE</t>
  </si>
  <si>
    <t>4497-MaxScoreCSE</t>
  </si>
  <si>
    <t>4509-MaxScoreCSE</t>
  </si>
  <si>
    <t>4568-MaxScoreCSE</t>
  </si>
  <si>
    <t>4612-MaxScoreCSE</t>
  </si>
  <si>
    <t>4797-MaxScoreCSE</t>
  </si>
  <si>
    <t>4971-MaxScoreCSE</t>
  </si>
  <si>
    <t>5096-MaxScoreCSE</t>
  </si>
  <si>
    <t>5101-MaxScoreCSE</t>
  </si>
  <si>
    <t>5278-MaxScoreCSE</t>
  </si>
  <si>
    <t>5317-MaxScoreCSE</t>
  </si>
  <si>
    <t>5369-MaxScoreCSE</t>
  </si>
  <si>
    <t>5393-MaxScoreCSE</t>
  </si>
  <si>
    <t>5575-MaxScoreCSE</t>
  </si>
  <si>
    <t>5598-MaxScoreCSE</t>
  </si>
  <si>
    <t>5655-MaxScoreCSE</t>
  </si>
  <si>
    <t>5709-MaxScoreCSE</t>
  </si>
  <si>
    <t>5840-MaxScoreCSE</t>
  </si>
  <si>
    <t>5848-MaxScoreCSE</t>
  </si>
  <si>
    <t>5912-MaxScoreCSE</t>
  </si>
  <si>
    <t>5919-MaxScoreCSE</t>
  </si>
  <si>
    <t>6020-MaxScoreCSE</t>
  </si>
  <si>
    <t>6052-MaxScoreCSE</t>
  </si>
  <si>
    <t>6055-MaxScoreCSE</t>
  </si>
  <si>
    <t>6068-MaxScoreCSE</t>
  </si>
  <si>
    <t>6072-MaxScoreCSE</t>
  </si>
  <si>
    <t>6132-MaxScoreCSE</t>
  </si>
  <si>
    <t>6256-MaxScoreCSE</t>
  </si>
  <si>
    <t>6340-MaxScoreCSE</t>
  </si>
  <si>
    <t>6402-MaxScoreCSE</t>
  </si>
  <si>
    <t>6607-MaxScoreCSE</t>
  </si>
  <si>
    <t>4029-MaxScoreISE</t>
  </si>
  <si>
    <t>4141-MaxScoreISE</t>
  </si>
  <si>
    <t>4397-MaxScoreISE</t>
  </si>
  <si>
    <t>4509-MaxScoreISE</t>
  </si>
  <si>
    <t>4760-MaxScoreISE</t>
  </si>
  <si>
    <t>5655-MaxScoreISE</t>
  </si>
  <si>
    <t>5840-MaxScoreISE</t>
  </si>
  <si>
    <t>6256-MaxScoreISE</t>
  </si>
  <si>
    <t>207-MaxScoreESE</t>
  </si>
  <si>
    <t>3964-MaxScoreESE</t>
  </si>
  <si>
    <t>4568-MaxScoreESE</t>
  </si>
  <si>
    <t>4687-MaxScoreESE</t>
  </si>
  <si>
    <t>4760-MaxScoreESE</t>
  </si>
  <si>
    <t>4797-MaxScoreESE</t>
  </si>
  <si>
    <t>4971-MaxScoreESE</t>
  </si>
  <si>
    <t>5181-MaxScoreESE</t>
  </si>
  <si>
    <t>5610-MaxScoreESE</t>
  </si>
  <si>
    <t>5760-MaxScoreESE</t>
  </si>
  <si>
    <t>5919-MaxScoreESE</t>
  </si>
  <si>
    <t>6028-MaxScoreESE</t>
  </si>
  <si>
    <t>6052-MaxScoreESE</t>
  </si>
  <si>
    <t>6161-MaxScoreESE</t>
  </si>
  <si>
    <t>6401-MaxScoreESE</t>
  </si>
  <si>
    <t>6454-MaxScoreESE</t>
  </si>
  <si>
    <t>6599-MaxScoreESE</t>
  </si>
  <si>
    <t>3480-Elite</t>
  </si>
  <si>
    <t>3633-Elite</t>
  </si>
  <si>
    <t>3871-Elite</t>
  </si>
  <si>
    <t>3947-Elite</t>
  </si>
  <si>
    <t>4162-Elite</t>
  </si>
  <si>
    <t>4669-Elite</t>
  </si>
  <si>
    <t>5913-Elite</t>
  </si>
  <si>
    <t>Wallace, Nicola</t>
  </si>
  <si>
    <t>Beast</t>
  </si>
  <si>
    <t>Busy</t>
  </si>
  <si>
    <t>Apolda</t>
  </si>
  <si>
    <t>Taylor, Jennifer</t>
  </si>
  <si>
    <t>Melly</t>
  </si>
  <si>
    <t>Cook, Laurel</t>
  </si>
  <si>
    <t>Eilidh</t>
  </si>
  <si>
    <t>Chamandy, Marlene</t>
  </si>
  <si>
    <t>Pagan</t>
  </si>
  <si>
    <t>Roessner, Joyce</t>
  </si>
  <si>
    <t>Kaüna</t>
  </si>
  <si>
    <t>Tipsy</t>
  </si>
  <si>
    <t>Konkin, Sylvie</t>
  </si>
  <si>
    <t>Pria</t>
  </si>
  <si>
    <t>Bruton, Krystina</t>
  </si>
  <si>
    <t>Chomyn, Amy</t>
  </si>
  <si>
    <t>Bennett</t>
  </si>
  <si>
    <t>Davies, Kathy</t>
  </si>
  <si>
    <t>Boulianne, Louisette</t>
  </si>
  <si>
    <t>Boulding, Andrea</t>
  </si>
  <si>
    <t>Zac</t>
  </si>
  <si>
    <t>Dung, Elizabeth</t>
  </si>
  <si>
    <t>Mokoko</t>
  </si>
  <si>
    <t>Fu, Annie</t>
  </si>
  <si>
    <t>Baygal</t>
  </si>
  <si>
    <t>Albensi.m@gmail.com, Massimo</t>
  </si>
  <si>
    <t>Hamilton, Jaimie</t>
  </si>
  <si>
    <t>Polar</t>
  </si>
  <si>
    <t>Downing, Vanessa</t>
  </si>
  <si>
    <t>Tan</t>
  </si>
  <si>
    <t>Desjardins, Audrey</t>
  </si>
  <si>
    <t>Schell, Sandra</t>
  </si>
  <si>
    <t>Meira</t>
  </si>
  <si>
    <t>Quesnel, Linda</t>
  </si>
  <si>
    <t>Laska</t>
  </si>
  <si>
    <t>Goerner, Patricia</t>
  </si>
  <si>
    <t>Murray</t>
  </si>
  <si>
    <t>Sinnott, Cheryl</t>
  </si>
  <si>
    <t>Madhok, Kaysha</t>
  </si>
  <si>
    <t>Tremblay, Rebecca</t>
  </si>
  <si>
    <t>Couture, Véronique</t>
  </si>
  <si>
    <t>Beatrice</t>
  </si>
  <si>
    <t>Swarbreck, Mia</t>
  </si>
  <si>
    <t>Moline</t>
  </si>
  <si>
    <t>Yates, Valerie</t>
  </si>
  <si>
    <t>Kirby, Mary</t>
  </si>
  <si>
    <t>BETHANY</t>
  </si>
  <si>
    <t>Duke, Denise</t>
  </si>
  <si>
    <t>Pyro</t>
  </si>
  <si>
    <t>Baycroft, Sunny</t>
  </si>
  <si>
    <t>Saul</t>
  </si>
  <si>
    <t>Errors in data to be imported</t>
  </si>
  <si>
    <t>P</t>
  </si>
  <si>
    <t>E</t>
  </si>
  <si>
    <t>NE</t>
  </si>
  <si>
    <t>FEO</t>
  </si>
  <si>
    <t>F</t>
  </si>
  <si>
    <t>Games Entry Values</t>
  </si>
  <si>
    <t>Games Dogs Unrecognized</t>
  </si>
  <si>
    <t>3300-QGA</t>
  </si>
  <si>
    <t>4169-QGA</t>
  </si>
  <si>
    <t>4623-QGD</t>
  </si>
  <si>
    <t>4746-QGA</t>
  </si>
  <si>
    <t>4746-QGD</t>
  </si>
  <si>
    <t>4746-QGS</t>
  </si>
  <si>
    <t>5021-QGA</t>
  </si>
  <si>
    <t>5026-QGS</t>
  </si>
  <si>
    <t>5048-QGA</t>
  </si>
  <si>
    <t>5071-QGA</t>
  </si>
  <si>
    <t>5071-QGS</t>
  </si>
  <si>
    <t>5078-QGA</t>
  </si>
  <si>
    <t>5082-QGT</t>
  </si>
  <si>
    <t>5188-QGT</t>
  </si>
  <si>
    <t>5497-QGA</t>
  </si>
  <si>
    <t>5497-QGT</t>
  </si>
  <si>
    <t>5556-QGA</t>
  </si>
  <si>
    <t>5785-QGA</t>
  </si>
  <si>
    <t>5848-QGA</t>
  </si>
  <si>
    <t>5848-QGD</t>
  </si>
  <si>
    <t>5940-QGS</t>
  </si>
  <si>
    <t>6031-QGS</t>
  </si>
  <si>
    <t>6225-QGA</t>
  </si>
  <si>
    <t>6225-QGD</t>
  </si>
  <si>
    <t>6225-QGS</t>
  </si>
  <si>
    <t>6256-QGS</t>
  </si>
  <si>
    <t>6332-QGA</t>
  </si>
  <si>
    <t>6332-QGT</t>
  </si>
  <si>
    <t>6341-QGA</t>
  </si>
  <si>
    <t>6341-QGS</t>
  </si>
  <si>
    <t>6343-QGT</t>
  </si>
  <si>
    <t>6370-QGS</t>
  </si>
  <si>
    <t>6374-QGA</t>
  </si>
  <si>
    <t>6636-QGA</t>
  </si>
  <si>
    <t>6658-QGD</t>
  </si>
  <si>
    <t>6658-QGT</t>
  </si>
  <si>
    <t>6688-QGS</t>
  </si>
  <si>
    <t>6688-QGT</t>
  </si>
  <si>
    <t>6723-QGS</t>
  </si>
  <si>
    <t>6746-QGD</t>
  </si>
  <si>
    <t>6746-QGT</t>
  </si>
  <si>
    <t>6752-QGS</t>
  </si>
  <si>
    <t>6760-QGD</t>
  </si>
  <si>
    <t>6813-QGD</t>
  </si>
  <si>
    <t>6906-QGA</t>
  </si>
  <si>
    <t>6908-QGA</t>
  </si>
  <si>
    <t>6931-QGA</t>
  </si>
  <si>
    <t>6964-QGS</t>
  </si>
  <si>
    <t>6968-QGA</t>
  </si>
  <si>
    <t>6968-QGS</t>
  </si>
  <si>
    <t>6990-QGD</t>
  </si>
  <si>
    <t>7042-QGA</t>
  </si>
  <si>
    <t>7042-QGD</t>
  </si>
  <si>
    <t>7042-QGS</t>
  </si>
  <si>
    <t>7151-QGD</t>
  </si>
  <si>
    <t>3618-MaxScoreCSS</t>
  </si>
  <si>
    <t>6898-MaxScoreCSS</t>
  </si>
  <si>
    <t>6916-MaxScoreCSS</t>
  </si>
  <si>
    <t>6949-MaxScoreCSS</t>
  </si>
  <si>
    <t>7080-MaxScoreCSS</t>
  </si>
  <si>
    <t>7083-MaxScoreCSS</t>
  </si>
  <si>
    <t>7137-MaxScoreCSS</t>
  </si>
  <si>
    <t>7153-MaxScoreCSS</t>
  </si>
  <si>
    <t>3618-MaxScoreISS</t>
  </si>
  <si>
    <t>6726-MaxScoreISS</t>
  </si>
  <si>
    <t>6898-MaxScoreISS</t>
  </si>
  <si>
    <t>6916-MaxScoreISS</t>
  </si>
  <si>
    <t>6917-MaxScoreISS</t>
  </si>
  <si>
    <t>6947-MaxScoreISS</t>
  </si>
  <si>
    <t>7055-MaxScoreISS</t>
  </si>
  <si>
    <t>7080-MaxScoreISS</t>
  </si>
  <si>
    <t>7083-MaxScoreISS</t>
  </si>
  <si>
    <t>7107-MaxScoreISS</t>
  </si>
  <si>
    <t>7111-MaxScoreISS</t>
  </si>
  <si>
    <t>7121-MaxScoreISS</t>
  </si>
  <si>
    <t>7137-MaxScoreISS</t>
  </si>
  <si>
    <t>6917-MaxScoreESS</t>
  </si>
  <si>
    <t>7055-MaxScoreESS</t>
  </si>
  <si>
    <t>7107-MaxScoreESS</t>
  </si>
  <si>
    <t>7111-MaxScoreESS</t>
  </si>
  <si>
    <t>7121-MaxScoreESS</t>
  </si>
  <si>
    <t>7153-MaxScoreESS</t>
  </si>
  <si>
    <t>4362-MaxScoreCSA</t>
  </si>
  <si>
    <t>6455-MaxScoreCSA</t>
  </si>
  <si>
    <t>6515-MaxScoreCSA</t>
  </si>
  <si>
    <t>6516-MaxScoreCSA</t>
  </si>
  <si>
    <t>6568-MaxScoreCSA</t>
  </si>
  <si>
    <t>6816-MaxScoreCSA</t>
  </si>
  <si>
    <t>6924-MaxScoreCSA</t>
  </si>
  <si>
    <t>4123-MaxScoreISA</t>
  </si>
  <si>
    <t>5221-MaxScoreISA</t>
  </si>
  <si>
    <t>5422-MaxScoreISA</t>
  </si>
  <si>
    <t>5779-MaxScoreISA</t>
  </si>
  <si>
    <t>6037-MaxScoreISA</t>
  </si>
  <si>
    <t>6144-MaxScoreISA</t>
  </si>
  <si>
    <t>6283-MaxScoreISA</t>
  </si>
  <si>
    <t>6388-MaxScoreISA</t>
  </si>
  <si>
    <t>6524-MaxScoreISA</t>
  </si>
  <si>
    <t>6620-MaxScoreISA</t>
  </si>
  <si>
    <t>6723-MaxScoreISA</t>
  </si>
  <si>
    <t>6737-MaxScoreISA</t>
  </si>
  <si>
    <t>6740-MaxScoreISA</t>
  </si>
  <si>
    <t>6908-MaxScoreISA</t>
  </si>
  <si>
    <t>6948-MaxScoreISA</t>
  </si>
  <si>
    <t>6968-MaxScoreISA</t>
  </si>
  <si>
    <t>6975-MaxScoreISA</t>
  </si>
  <si>
    <t>7118-MaxScoreISA</t>
  </si>
  <si>
    <t>5422-MaxScoreESA</t>
  </si>
  <si>
    <t>5779-MaxScoreESA</t>
  </si>
  <si>
    <t>5804-MaxScoreESA</t>
  </si>
  <si>
    <t>6037-MaxScoreESA</t>
  </si>
  <si>
    <t>6283-MaxScoreESA</t>
  </si>
  <si>
    <t>6394-MaxScoreESA</t>
  </si>
  <si>
    <t>6455-MaxScoreESA</t>
  </si>
  <si>
    <t>6568-MaxScoreESA</t>
  </si>
  <si>
    <t>6683-MaxScoreESA</t>
  </si>
  <si>
    <t>6737-MaxScoreESA</t>
  </si>
  <si>
    <t>6908-MaxScoreESA</t>
  </si>
  <si>
    <t>6948-MaxScoreESA</t>
  </si>
  <si>
    <t>6968-MaxScoreESA</t>
  </si>
  <si>
    <t>7059-MaxScoreESA</t>
  </si>
  <si>
    <t>3496-MaxScoreCSE</t>
  </si>
  <si>
    <t>3940-MaxScoreCSE</t>
  </si>
  <si>
    <t>4850-MaxScoreCSE</t>
  </si>
  <si>
    <t>5046-MaxScoreCSE</t>
  </si>
  <si>
    <t>5427-MaxScoreCSE</t>
  </si>
  <si>
    <t>5712-MaxScoreCSE</t>
  </si>
  <si>
    <t>5757-MaxScoreCSE</t>
  </si>
  <si>
    <t>5789-MaxScoreCSE</t>
  </si>
  <si>
    <t>6229-MaxScoreCSE</t>
  </si>
  <si>
    <t>6298-MaxScoreCSE</t>
  </si>
  <si>
    <t>6324-MaxScoreCSE</t>
  </si>
  <si>
    <t>6428-MaxScoreCSE</t>
  </si>
  <si>
    <t>6564-MaxScoreCSE</t>
  </si>
  <si>
    <t>6580-MaxScoreCSE</t>
  </si>
  <si>
    <t>6736-MaxScoreCSE</t>
  </si>
  <si>
    <t>4310-MaxScoreISE</t>
  </si>
  <si>
    <t>6090-MaxScoreISE</t>
  </si>
  <si>
    <t>6139-MaxScoreISE</t>
  </si>
  <si>
    <t>6229-MaxScoreISE</t>
  </si>
  <si>
    <t>6296-MaxScoreISE</t>
  </si>
  <si>
    <t>3840-MaxScoreESE</t>
  </si>
  <si>
    <t>4207-MaxScoreESE</t>
  </si>
  <si>
    <t>4850-MaxScoreESE</t>
  </si>
  <si>
    <t>5770-MaxScoreESE</t>
  </si>
  <si>
    <t>6026-MaxScoreESE</t>
  </si>
  <si>
    <t>6090-MaxScoreESE</t>
  </si>
  <si>
    <t>6139-MaxScoreESE</t>
  </si>
  <si>
    <t>6296-MaxScoreESE</t>
  </si>
  <si>
    <t>6564-MaxScoreESE</t>
  </si>
  <si>
    <t>6736-MaxScoreESE</t>
  </si>
  <si>
    <t>3505-Elite</t>
  </si>
  <si>
    <t>4955-Elite</t>
  </si>
  <si>
    <t>5000-Elite</t>
  </si>
  <si>
    <t>Mulmur, Ontario</t>
  </si>
  <si>
    <t>sportdetection@gmail.com</t>
  </si>
  <si>
    <t>Rivière Qui Barre, Alberta</t>
  </si>
  <si>
    <t>Pincher Creek No. 9, Alberta</t>
  </si>
  <si>
    <t>adelynaussies1@gmail.com</t>
  </si>
  <si>
    <t>St John's, Newfoundland and Labrador</t>
  </si>
  <si>
    <t>Ashley.gibbons88@hotmail.com</t>
  </si>
  <si>
    <t>Burnside, Nova Scotia</t>
  </si>
  <si>
    <t>Edmonton, Alberta</t>
  </si>
  <si>
    <t>arianaj0220@gmail.com</t>
  </si>
  <si>
    <t>Beausoleil/Grande-Digue, New Brunswick</t>
  </si>
  <si>
    <t>Utopia, Ontario</t>
  </si>
  <si>
    <t>Ramsey, Nicole</t>
  </si>
  <si>
    <t>Lloyd</t>
  </si>
  <si>
    <t>Hutchens, Lauren</t>
  </si>
  <si>
    <t>Thorin</t>
  </si>
  <si>
    <t>Josh</t>
  </si>
  <si>
    <t>Anja</t>
  </si>
  <si>
    <t>De Oliveira, Jessica</t>
  </si>
  <si>
    <t>Kennedy, Beth</t>
  </si>
  <si>
    <t>Razor</t>
  </si>
  <si>
    <t>Ena</t>
  </si>
  <si>
    <t>Beer</t>
  </si>
  <si>
    <t>Douros, Denise</t>
  </si>
  <si>
    <t>Brunton, Joy</t>
  </si>
  <si>
    <t>Healy, Donna</t>
  </si>
  <si>
    <t>Barber, Gerri</t>
  </si>
  <si>
    <t>Quenouille</t>
  </si>
  <si>
    <t>Tremblay, Fred</t>
  </si>
  <si>
    <t>Azuki</t>
  </si>
  <si>
    <t>Ricq, Patricia</t>
  </si>
  <si>
    <t>Rapson, Kristina</t>
  </si>
  <si>
    <t>Rampon, Lori</t>
  </si>
  <si>
    <t>Muscade</t>
  </si>
  <si>
    <t>Webb, Kathy</t>
  </si>
  <si>
    <t>Simba</t>
  </si>
  <si>
    <t>Branchaud Rother, Lucie</t>
  </si>
  <si>
    <t>Kestrel</t>
  </si>
  <si>
    <t>Version: 2026-06-26</t>
  </si>
  <si>
    <t>teakodog@gmail.com</t>
  </si>
  <si>
    <t>North Saanich, British Columbia</t>
  </si>
  <si>
    <t>saishiguro@me.com</t>
  </si>
  <si>
    <t>Georgetown, Ontario</t>
  </si>
  <si>
    <t>Beamsville, Ontario</t>
  </si>
  <si>
    <t>janebookdogs@gmail.com</t>
  </si>
  <si>
    <t>Jordan Station, Ontario</t>
  </si>
  <si>
    <t>Kemptville,, Ontario</t>
  </si>
  <si>
    <t>Duncan, British Columbia</t>
  </si>
  <si>
    <t>cvk9nw@gmail.com</t>
  </si>
  <si>
    <t>Cobble Hill, British Columbia</t>
  </si>
  <si>
    <t>aitchisonlee@gmail.com</t>
  </si>
  <si>
    <t>Lakefield, Ontario</t>
  </si>
  <si>
    <t>jessikaharding5@gmail.com</t>
  </si>
  <si>
    <t>Township of Langley, British Columbia</t>
  </si>
  <si>
    <t>karstirling@gmail.com</t>
  </si>
  <si>
    <t>Swift Current, Saskatchewan</t>
  </si>
  <si>
    <t>pgemb@shaw.ca</t>
  </si>
  <si>
    <t>Abbotsford , British Columbia</t>
  </si>
  <si>
    <t>fabfay53@yahoo.ca</t>
  </si>
  <si>
    <t>Richmond , British Columbia</t>
  </si>
  <si>
    <t>Grande Prairie T8X 4G4, Alberta</t>
  </si>
  <si>
    <t>darfritz@gmail.com</t>
  </si>
  <si>
    <t>Black Creek, British Columbia</t>
  </si>
  <si>
    <t>Mineville, Nova Scotia</t>
  </si>
  <si>
    <t>aabs@sasktel.net</t>
  </si>
  <si>
    <t>Lacombe, Alberta</t>
  </si>
  <si>
    <t>srdoyle88@gmail.com</t>
  </si>
  <si>
    <t>St. John’s, Newfoundland and Labrador</t>
  </si>
  <si>
    <t>Ajax, Ontario</t>
  </si>
  <si>
    <t>janetparker@clevercanine.ca</t>
  </si>
  <si>
    <t>Thunder Bay, Ontario</t>
  </si>
  <si>
    <t>stryverch@gmail.com</t>
  </si>
  <si>
    <t>Dollard-Des-Ormeaux, Quebec</t>
  </si>
  <si>
    <t>Grande-Digue, New Brunswick</t>
  </si>
  <si>
    <t>kmteed03@hotmail.com</t>
  </si>
  <si>
    <t>Nisku, Alberta</t>
  </si>
  <si>
    <t>haclifford@hotmail.com</t>
  </si>
  <si>
    <t>Richmond, British Columbia</t>
  </si>
  <si>
    <t>Sherwood Park, Alberta</t>
  </si>
  <si>
    <t>1264-QGA</t>
  </si>
  <si>
    <t>1264-QGD</t>
  </si>
  <si>
    <t>1537-QGS</t>
  </si>
  <si>
    <t>1781-QGS</t>
  </si>
  <si>
    <t>1801-QGA</t>
  </si>
  <si>
    <t>2364-QGT</t>
  </si>
  <si>
    <t>2743-QGT</t>
  </si>
  <si>
    <t>2921-QGT</t>
  </si>
  <si>
    <t>3025-QGA</t>
  </si>
  <si>
    <t>3025-QGD</t>
  </si>
  <si>
    <t>3025-QGS</t>
  </si>
  <si>
    <t>3053-QGA</t>
  </si>
  <si>
    <t>3053-QGD</t>
  </si>
  <si>
    <t>3053-QGS</t>
  </si>
  <si>
    <t>3279-QGT</t>
  </si>
  <si>
    <t>3300-QGD</t>
  </si>
  <si>
    <t>3323-QGT</t>
  </si>
  <si>
    <t>3447-QGA</t>
  </si>
  <si>
    <t>3447-QGD</t>
  </si>
  <si>
    <t>3447-QGS</t>
  </si>
  <si>
    <t>3474-QGD</t>
  </si>
  <si>
    <t>3474-QGS</t>
  </si>
  <si>
    <t>3522-QGS</t>
  </si>
  <si>
    <t>3685-QGS</t>
  </si>
  <si>
    <t>378-QGA</t>
  </si>
  <si>
    <t>378-QGD</t>
  </si>
  <si>
    <t>378-QGS</t>
  </si>
  <si>
    <t>3872-QGS</t>
  </si>
  <si>
    <t>3878-QGT</t>
  </si>
  <si>
    <t>4141-QGA</t>
  </si>
  <si>
    <t>4141-QGD</t>
  </si>
  <si>
    <t>4210-QGT</t>
  </si>
  <si>
    <t>439-QGT</t>
  </si>
  <si>
    <t>4403-QGD</t>
  </si>
  <si>
    <t>4403-QGT</t>
  </si>
  <si>
    <t>4409-QGA</t>
  </si>
  <si>
    <t>4409-QGD</t>
  </si>
  <si>
    <t>4561-QGA</t>
  </si>
  <si>
    <t>4656-QGS</t>
  </si>
  <si>
    <t>4722-QGA</t>
  </si>
  <si>
    <t>4722-QGD</t>
  </si>
  <si>
    <t>4722-QGS</t>
  </si>
  <si>
    <t>4755-QGA</t>
  </si>
  <si>
    <t>4755-QGD</t>
  </si>
  <si>
    <t>4876-QGT</t>
  </si>
  <si>
    <t>5096-QGA</t>
  </si>
  <si>
    <t>5096-QGD</t>
  </si>
  <si>
    <t>5096-QGS</t>
  </si>
  <si>
    <t>5097-QGA</t>
  </si>
  <si>
    <t>5135-QGA</t>
  </si>
  <si>
    <t>5166-QGS</t>
  </si>
  <si>
    <t>5204-QGT</t>
  </si>
  <si>
    <t>5217-QGS</t>
  </si>
  <si>
    <t>5218-QGA</t>
  </si>
  <si>
    <t>5218-QGD</t>
  </si>
  <si>
    <t>5228-QGS</t>
  </si>
  <si>
    <t>5228-QGT</t>
  </si>
  <si>
    <t>5281-QGS</t>
  </si>
  <si>
    <t>5311-QGT</t>
  </si>
  <si>
    <t>5422-QGA</t>
  </si>
  <si>
    <t>5422-QGD</t>
  </si>
  <si>
    <t>5422-QGT</t>
  </si>
  <si>
    <t>5434-QGD</t>
  </si>
  <si>
    <t>5497-QGS</t>
  </si>
  <si>
    <t>5531-QGS</t>
  </si>
  <si>
    <t>5555-QGS</t>
  </si>
  <si>
    <t>5570-QGS</t>
  </si>
  <si>
    <t>5590-QGA</t>
  </si>
  <si>
    <t>5590-QGD</t>
  </si>
  <si>
    <t>5616-QGA</t>
  </si>
  <si>
    <t>5616-QGD</t>
  </si>
  <si>
    <t>5616-QGS</t>
  </si>
  <si>
    <t>5682-QGS</t>
  </si>
  <si>
    <t>5687-QGA</t>
  </si>
  <si>
    <t>5716-QGS</t>
  </si>
  <si>
    <t>5736-QGA</t>
  </si>
  <si>
    <t>5736-QGD</t>
  </si>
  <si>
    <t>5751-QGS</t>
  </si>
  <si>
    <t>5785-QGS</t>
  </si>
  <si>
    <t>5785-QGT</t>
  </si>
  <si>
    <t>5816-QGS</t>
  </si>
  <si>
    <t>5818-QGD</t>
  </si>
  <si>
    <t>5873-QGS</t>
  </si>
  <si>
    <t>5882-QGD</t>
  </si>
  <si>
    <t>5911-QGT</t>
  </si>
  <si>
    <t>5913-QGT</t>
  </si>
  <si>
    <t>5968-QGA</t>
  </si>
  <si>
    <t>5973-QGA</t>
  </si>
  <si>
    <t>6027-QGA</t>
  </si>
  <si>
    <t>6027-QGD</t>
  </si>
  <si>
    <t>6108-QGD</t>
  </si>
  <si>
    <t>6112-QGS</t>
  </si>
  <si>
    <t>6143-QGA</t>
  </si>
  <si>
    <t>6143-QGD</t>
  </si>
  <si>
    <t>6143-QGS</t>
  </si>
  <si>
    <t>6143-QGT</t>
  </si>
  <si>
    <t>6166-QGS</t>
  </si>
  <si>
    <t>6203-QGA</t>
  </si>
  <si>
    <t>6203-QGT</t>
  </si>
  <si>
    <t>6215-QGS</t>
  </si>
  <si>
    <t>6229-QGA</t>
  </si>
  <si>
    <t>6229-QGD</t>
  </si>
  <si>
    <t>6240-QGA</t>
  </si>
  <si>
    <t>6240-QGD</t>
  </si>
  <si>
    <t>6240-QGS</t>
  </si>
  <si>
    <t>6240-QGT</t>
  </si>
  <si>
    <t>6256-QGD</t>
  </si>
  <si>
    <t>6264-QGS</t>
  </si>
  <si>
    <t>6314-QGD</t>
  </si>
  <si>
    <t>6331-QGS</t>
  </si>
  <si>
    <t>6332-QGS</t>
  </si>
  <si>
    <t>6341-QGT</t>
  </si>
  <si>
    <t>6343-QGD</t>
  </si>
  <si>
    <t>6352-QGS</t>
  </si>
  <si>
    <t>6352-QGT</t>
  </si>
  <si>
    <t>6354-QGA</t>
  </si>
  <si>
    <t>6355-QGA</t>
  </si>
  <si>
    <t>6370-QGA</t>
  </si>
  <si>
    <t>6370-QGT</t>
  </si>
  <si>
    <t>6378-QGD</t>
  </si>
  <si>
    <t>6379-QGS</t>
  </si>
  <si>
    <t>6422-QGD</t>
  </si>
  <si>
    <t>6453-QGD</t>
  </si>
  <si>
    <t>6459-QGD</t>
  </si>
  <si>
    <t>6459-QGS</t>
  </si>
  <si>
    <t>6487-QGD</t>
  </si>
  <si>
    <t>6510-QGA</t>
  </si>
  <si>
    <t>6542-QGD</t>
  </si>
  <si>
    <t>6581-QGA</t>
  </si>
  <si>
    <t>6581-QGD</t>
  </si>
  <si>
    <t>6604-QGD</t>
  </si>
  <si>
    <t>6651-QGA</t>
  </si>
  <si>
    <t>6651-QGD</t>
  </si>
  <si>
    <t>6658-QGA</t>
  </si>
  <si>
    <t>6746-QGA</t>
  </si>
  <si>
    <t>6805-QGA</t>
  </si>
  <si>
    <t>6813-QGT</t>
  </si>
  <si>
    <t>6913-QGA</t>
  </si>
  <si>
    <t>6918-QGA</t>
  </si>
  <si>
    <t>6939-QGS</t>
  </si>
  <si>
    <t>6940-QGD</t>
  </si>
  <si>
    <t>6954-QGA</t>
  </si>
  <si>
    <t>6954-QGD</t>
  </si>
  <si>
    <t>6955-QGA</t>
  </si>
  <si>
    <t>6955-QGD</t>
  </si>
  <si>
    <t>6990-QGA</t>
  </si>
  <si>
    <t>6990-QGS</t>
  </si>
  <si>
    <t>7054-QGA</t>
  </si>
  <si>
    <t>7054-QGD</t>
  </si>
  <si>
    <t>7054-QGS</t>
  </si>
  <si>
    <t>7066-QGS</t>
  </si>
  <si>
    <t>7074-QGD</t>
  </si>
  <si>
    <t>7074-QGS</t>
  </si>
  <si>
    <t>7089-QGD</t>
  </si>
  <si>
    <t>7101-QGD</t>
  </si>
  <si>
    <t>7112-QGA</t>
  </si>
  <si>
    <t>7112-QGD</t>
  </si>
  <si>
    <t>7131-QGA</t>
  </si>
  <si>
    <t>7131-QGD</t>
  </si>
  <si>
    <t>7139-QGA</t>
  </si>
  <si>
    <t>7151-QGA</t>
  </si>
  <si>
    <t>7157-QGA</t>
  </si>
  <si>
    <t>7157-QGD</t>
  </si>
  <si>
    <t>7198-QGA</t>
  </si>
  <si>
    <t>7198-QGD</t>
  </si>
  <si>
    <t>7216-QGA</t>
  </si>
  <si>
    <t>7216-QGD</t>
  </si>
  <si>
    <t>7263-QGD</t>
  </si>
  <si>
    <t>7282-QGA</t>
  </si>
  <si>
    <t>7282-QGT</t>
  </si>
  <si>
    <t>4339-MaxScoreCSS</t>
  </si>
  <si>
    <t>5461-MaxScoreCSS</t>
  </si>
  <si>
    <t>5794-MaxScoreCSS</t>
  </si>
  <si>
    <t>6800-MaxScoreCSS</t>
  </si>
  <si>
    <t>7074-MaxScoreCSS</t>
  </si>
  <si>
    <t>7109-MaxScoreCSS</t>
  </si>
  <si>
    <t>7144-MaxScoreCSS</t>
  </si>
  <si>
    <t>7150-MaxScoreCSS</t>
  </si>
  <si>
    <t>7151-MaxScoreCSS</t>
  </si>
  <si>
    <t>7166-MaxScoreCSS</t>
  </si>
  <si>
    <t>7171-MaxScoreCSS</t>
  </si>
  <si>
    <t>7176-MaxScoreCSS</t>
  </si>
  <si>
    <t>7177-MaxScoreCSS</t>
  </si>
  <si>
    <t>7190-MaxScoreCSS</t>
  </si>
  <si>
    <t>7222-MaxScoreCSS</t>
  </si>
  <si>
    <t>7225-MaxScoreCSS</t>
  </si>
  <si>
    <t>7256-MaxScoreCSS</t>
  </si>
  <si>
    <t>7280-MaxScoreCSS</t>
  </si>
  <si>
    <t>4339-MaxScoreISS</t>
  </si>
  <si>
    <t>4799-MaxScoreISS</t>
  </si>
  <si>
    <t>5793-MaxScoreISS</t>
  </si>
  <si>
    <t>6450-MaxScoreISS</t>
  </si>
  <si>
    <t>6633-MaxScoreISS</t>
  </si>
  <si>
    <t>6722-MaxScoreISS</t>
  </si>
  <si>
    <t>6800-MaxScoreISS</t>
  </si>
  <si>
    <t>7061-MaxScoreISS</t>
  </si>
  <si>
    <t>7074-MaxScoreISS</t>
  </si>
  <si>
    <t>7084-MaxScoreISS</t>
  </si>
  <si>
    <t>7109-MaxScoreISS</t>
  </si>
  <si>
    <t>7138-MaxScoreISS</t>
  </si>
  <si>
    <t>7150-MaxScoreISS</t>
  </si>
  <si>
    <t>7169-MaxScoreISS</t>
  </si>
  <si>
    <t>7176-MaxScoreISS</t>
  </si>
  <si>
    <t>7185-MaxScoreISS</t>
  </si>
  <si>
    <t>7228-MaxScoreISS</t>
  </si>
  <si>
    <t>7256-MaxScoreISS</t>
  </si>
  <si>
    <t>7259-MaxScoreISS</t>
  </si>
  <si>
    <t>5135-MaxScoreESS</t>
  </si>
  <si>
    <t>5461-MaxScoreESS</t>
  </si>
  <si>
    <t>5794-MaxScoreESS</t>
  </si>
  <si>
    <t>6414-MaxScoreESS</t>
  </si>
  <si>
    <t>6708-MaxScoreESS</t>
  </si>
  <si>
    <t>6722-MaxScoreESS</t>
  </si>
  <si>
    <t>7084-MaxScoreESS</t>
  </si>
  <si>
    <t>7138-MaxScoreESS</t>
  </si>
  <si>
    <t>7151-MaxScoreESS</t>
  </si>
  <si>
    <t>7166-MaxScoreESS</t>
  </si>
  <si>
    <t>7169-MaxScoreESS</t>
  </si>
  <si>
    <t>7171-MaxScoreESS</t>
  </si>
  <si>
    <t>7177-MaxScoreESS</t>
  </si>
  <si>
    <t>7185-MaxScoreESS</t>
  </si>
  <si>
    <t>7215-MaxScoreESS</t>
  </si>
  <si>
    <t>7222-MaxScoreESS</t>
  </si>
  <si>
    <t>7228-MaxScoreESS</t>
  </si>
  <si>
    <t>7259-MaxScoreESS</t>
  </si>
  <si>
    <t>7260-MaxScoreESS</t>
  </si>
  <si>
    <t>7280-MaxScoreESS</t>
  </si>
  <si>
    <t>3112-MaxScoreCSA</t>
  </si>
  <si>
    <t>3371-MaxScoreCSA</t>
  </si>
  <si>
    <t>3671-MaxScoreCSA</t>
  </si>
  <si>
    <t>4135-MaxScoreCSA</t>
  </si>
  <si>
    <t>4339-MaxScoreCSA</t>
  </si>
  <si>
    <t>4394-MaxScoreCSA</t>
  </si>
  <si>
    <t>5118-MaxScoreCSA</t>
  </si>
  <si>
    <t>5590-MaxScoreCSA</t>
  </si>
  <si>
    <t>6186-MaxScoreCSA</t>
  </si>
  <si>
    <t>6321-MaxScoreCSA</t>
  </si>
  <si>
    <t>6415-MaxScoreCSA</t>
  </si>
  <si>
    <t>6459-MaxScoreCSA</t>
  </si>
  <si>
    <t>6495-MaxScoreCSA</t>
  </si>
  <si>
    <t>6572-MaxScoreCSA</t>
  </si>
  <si>
    <t>6587-MaxScoreCSA</t>
  </si>
  <si>
    <t>6606-MaxScoreCSA</t>
  </si>
  <si>
    <t>6651-MaxScoreCSA</t>
  </si>
  <si>
    <t>6656-MaxScoreCSA</t>
  </si>
  <si>
    <t>6740-MaxScoreCSA</t>
  </si>
  <si>
    <t>6805-MaxScoreCSA</t>
  </si>
  <si>
    <t>6838-MaxScoreCSA</t>
  </si>
  <si>
    <t>6932-MaxScoreCSA</t>
  </si>
  <si>
    <t>6954-MaxScoreCSA</t>
  </si>
  <si>
    <t>6956-MaxScoreCSA</t>
  </si>
  <si>
    <t>6992-MaxScoreCSA</t>
  </si>
  <si>
    <t>6997-MaxScoreCSA</t>
  </si>
  <si>
    <t>7076-MaxScoreCSA</t>
  </si>
  <si>
    <t>7132-MaxScoreCSA</t>
  </si>
  <si>
    <t>7157-MaxScoreCSA</t>
  </si>
  <si>
    <t>3214-MaxScoreISA</t>
  </si>
  <si>
    <t>3422-MaxScoreISA</t>
  </si>
  <si>
    <t>4362-MaxScoreISA</t>
  </si>
  <si>
    <t>5376-MaxScoreISA</t>
  </si>
  <si>
    <t>5590-MaxScoreISA</t>
  </si>
  <si>
    <t>6186-MaxScoreISA</t>
  </si>
  <si>
    <t>6354-MaxScoreISA</t>
  </si>
  <si>
    <t>6495-MaxScoreISA</t>
  </si>
  <si>
    <t>6502-MaxScoreISA</t>
  </si>
  <si>
    <t>6555-MaxScoreISA</t>
  </si>
  <si>
    <t>6565-MaxScoreISA</t>
  </si>
  <si>
    <t>6651-MaxScoreISA</t>
  </si>
  <si>
    <t>6655-MaxScoreISA</t>
  </si>
  <si>
    <t>6772-MaxScoreISA</t>
  </si>
  <si>
    <t>6852-MaxScoreISA</t>
  </si>
  <si>
    <t>6932-MaxScoreISA</t>
  </si>
  <si>
    <t>6956-MaxScoreISA</t>
  </si>
  <si>
    <t>6965-MaxScoreISA</t>
  </si>
  <si>
    <t>6992-MaxScoreISA</t>
  </si>
  <si>
    <t>6997-MaxScoreISA</t>
  </si>
  <si>
    <t>7054-MaxScoreISA</t>
  </si>
  <si>
    <t>7076-MaxScoreISA</t>
  </si>
  <si>
    <t>7157-MaxScoreISA</t>
  </si>
  <si>
    <t>7220-MaxScoreISA</t>
  </si>
  <si>
    <t>3214-MaxScoreESA</t>
  </si>
  <si>
    <t>3371-MaxScoreESA</t>
  </si>
  <si>
    <t>3422-MaxScoreESA</t>
  </si>
  <si>
    <t>4135-MaxScoreESA</t>
  </si>
  <si>
    <t>5118-MaxScoreESA</t>
  </si>
  <si>
    <t>5599-MaxScoreESA</t>
  </si>
  <si>
    <t>6144-MaxScoreESA</t>
  </si>
  <si>
    <t>6382-MaxScoreESA</t>
  </si>
  <si>
    <t>6415-MaxScoreESA</t>
  </si>
  <si>
    <t>6477-MaxScoreESA</t>
  </si>
  <si>
    <t>6487-MaxScoreESA</t>
  </si>
  <si>
    <t>6502-MaxScoreESA</t>
  </si>
  <si>
    <t>6516-MaxScoreESA</t>
  </si>
  <si>
    <t>6838-MaxScoreESA</t>
  </si>
  <si>
    <t>6996-MaxScoreESA</t>
  </si>
  <si>
    <t>7085-MaxScoreESA</t>
  </si>
  <si>
    <t>7101-MaxScoreESA</t>
  </si>
  <si>
    <t>7132-MaxScoreESA</t>
  </si>
  <si>
    <t>7166-MaxScoreESA</t>
  </si>
  <si>
    <t>7220-MaxScoreESA</t>
  </si>
  <si>
    <t>3001-MaxScoreCSE</t>
  </si>
  <si>
    <t>3025-MaxScoreCSE</t>
  </si>
  <si>
    <t>3295-MaxScoreCSE</t>
  </si>
  <si>
    <t>3780-MaxScoreCSE</t>
  </si>
  <si>
    <t>3908-MaxScoreCSE</t>
  </si>
  <si>
    <t>4353-MaxScoreCSE</t>
  </si>
  <si>
    <t>4403-MaxScoreCSE</t>
  </si>
  <si>
    <t>4456-MaxScoreCSE</t>
  </si>
  <si>
    <t>4561-MaxScoreCSE</t>
  </si>
  <si>
    <t>4722-MaxScoreCSE</t>
  </si>
  <si>
    <t>5057-MaxScoreCSE</t>
  </si>
  <si>
    <t>5117-MaxScoreCSE</t>
  </si>
  <si>
    <t>5134-MaxScoreCSE</t>
  </si>
  <si>
    <t>5187-MaxScoreCSE</t>
  </si>
  <si>
    <t>5193-MaxScoreCSE</t>
  </si>
  <si>
    <t>5296-MaxScoreCSE</t>
  </si>
  <si>
    <t>5497-MaxScoreCSE</t>
  </si>
  <si>
    <t>5770-MaxScoreCSE</t>
  </si>
  <si>
    <t>5776-MaxScoreCSE</t>
  </si>
  <si>
    <t>5785-MaxScoreCSE</t>
  </si>
  <si>
    <t>5895-MaxScoreCSE</t>
  </si>
  <si>
    <t>5925-MaxScoreCSE</t>
  </si>
  <si>
    <t>5962-MaxScoreCSE</t>
  </si>
  <si>
    <t>6116-MaxScoreCSE</t>
  </si>
  <si>
    <t>6189-MaxScoreCSE</t>
  </si>
  <si>
    <t>6251-MaxScoreCSE</t>
  </si>
  <si>
    <t>6319-MaxScoreCSE</t>
  </si>
  <si>
    <t>6323-MaxScoreCSE</t>
  </si>
  <si>
    <t>6325-MaxScoreCSE</t>
  </si>
  <si>
    <t>6341-MaxScoreCSE</t>
  </si>
  <si>
    <t>6373-MaxScoreCSE</t>
  </si>
  <si>
    <t>6394-MaxScoreCSE</t>
  </si>
  <si>
    <t>6422-MaxScoreCSE</t>
  </si>
  <si>
    <t>6453-MaxScoreCSE</t>
  </si>
  <si>
    <t>6666-MaxScoreCSE</t>
  </si>
  <si>
    <t>6746-MaxScoreCSE</t>
  </si>
  <si>
    <t>6798-MaxScoreCSE</t>
  </si>
  <si>
    <t>3001-MaxScoreISE</t>
  </si>
  <si>
    <t>3300-MaxScoreISE</t>
  </si>
  <si>
    <t>4427-MaxScoreISE</t>
  </si>
  <si>
    <t>4561-MaxScoreISE</t>
  </si>
  <si>
    <t>4656-MaxScoreISE</t>
  </si>
  <si>
    <t>4733-MaxScoreISE</t>
  </si>
  <si>
    <t>4893-MaxScoreISE</t>
  </si>
  <si>
    <t>5187-MaxScoreISE</t>
  </si>
  <si>
    <t>5981-MaxScoreISE</t>
  </si>
  <si>
    <t>6329-MaxScoreISE</t>
  </si>
  <si>
    <t>6340-MaxScoreISE</t>
  </si>
  <si>
    <t>6640-MaxScoreISE</t>
  </si>
  <si>
    <t>3025-MaxScoreESE</t>
  </si>
  <si>
    <t>3105-MaxScoreESE</t>
  </si>
  <si>
    <t>3189-MaxScoreESE</t>
  </si>
  <si>
    <t>4281-MaxScoreESE</t>
  </si>
  <si>
    <t>4353-MaxScoreESE</t>
  </si>
  <si>
    <t>4733-MaxScoreESE</t>
  </si>
  <si>
    <t>5071-MaxScoreESE</t>
  </si>
  <si>
    <t>5124-MaxScoreESE</t>
  </si>
  <si>
    <t>5134-MaxScoreESE</t>
  </si>
  <si>
    <t>5166-MaxScoreESE</t>
  </si>
  <si>
    <t>5184-MaxScoreESE</t>
  </si>
  <si>
    <t>5193-MaxScoreESE</t>
  </si>
  <si>
    <t>5401-MaxScoreESE</t>
  </si>
  <si>
    <t>5687-MaxScoreESE</t>
  </si>
  <si>
    <t>5776-MaxScoreESE</t>
  </si>
  <si>
    <t>5785-MaxScoreESE</t>
  </si>
  <si>
    <t>5962-MaxScoreESE</t>
  </si>
  <si>
    <t>6202-MaxScoreESE</t>
  </si>
  <si>
    <t>6271-MaxScoreESE</t>
  </si>
  <si>
    <t>6325-MaxScoreESE</t>
  </si>
  <si>
    <t>6341-MaxScoreESE</t>
  </si>
  <si>
    <t>6352-MaxScoreESE</t>
  </si>
  <si>
    <t>6355-MaxScoreESE</t>
  </si>
  <si>
    <t>6373-MaxScoreESE</t>
  </si>
  <si>
    <t>6453-MaxScoreESE</t>
  </si>
  <si>
    <t>6580-MaxScoreESE</t>
  </si>
  <si>
    <t>6666-MaxScoreESE</t>
  </si>
  <si>
    <t>2364-Elite</t>
  </si>
  <si>
    <t>3236-Elite</t>
  </si>
  <si>
    <t>3497-Elite</t>
  </si>
  <si>
    <t>3685-Elite</t>
  </si>
  <si>
    <t>4488-Elite</t>
  </si>
  <si>
    <t>4562-Elite</t>
  </si>
  <si>
    <t>5527-Elite</t>
  </si>
  <si>
    <t>5536-Elite</t>
  </si>
  <si>
    <t>5586-Elite</t>
  </si>
  <si>
    <t>Sea Drift's All Jazzed Up</t>
  </si>
  <si>
    <t>Teddy Roosevelt Terrier</t>
  </si>
  <si>
    <t>Schnauzer(Standard)</t>
  </si>
  <si>
    <t>Andriashek, Caroline</t>
  </si>
  <si>
    <t>Fougere, Chantal</t>
  </si>
  <si>
    <t>Pratt, Mark and Megan</t>
  </si>
  <si>
    <t>Feltham, Leah</t>
  </si>
  <si>
    <t>Curley, Laura</t>
  </si>
  <si>
    <t>CH Clussexx Hot Summer Night At Dreamhaven</t>
  </si>
  <si>
    <t>Desormeaux, Brigitte</t>
  </si>
  <si>
    <t>Aysals, Amy</t>
  </si>
  <si>
    <t>Carlie</t>
  </si>
  <si>
    <t>Hillier, Eva</t>
  </si>
  <si>
    <t>Bélanger, Frédérike</t>
  </si>
  <si>
    <t>Bingley</t>
  </si>
  <si>
    <t>Tesar, Laura</t>
  </si>
  <si>
    <t>Whilly</t>
  </si>
  <si>
    <t>SeekR</t>
  </si>
  <si>
    <t>Enns, Bobbie</t>
  </si>
  <si>
    <t>Shea</t>
  </si>
  <si>
    <t>martineau, Laurie-ann</t>
  </si>
  <si>
    <t>Lavail, Géraldine</t>
  </si>
  <si>
    <t>Cally</t>
  </si>
  <si>
    <t>McCourt, Mallory</t>
  </si>
  <si>
    <t>SLICK</t>
  </si>
  <si>
    <t>Currie, Judy</t>
  </si>
  <si>
    <t>Hebb, Danielle</t>
  </si>
  <si>
    <t>Daigle, Nancy</t>
  </si>
  <si>
    <t>B.G.</t>
  </si>
  <si>
    <t>Brosseau, Lynn</t>
  </si>
  <si>
    <t>Brynne</t>
  </si>
  <si>
    <t>Dick, Catherine</t>
  </si>
  <si>
    <t>Felan</t>
  </si>
  <si>
    <t>Sivret, Julie</t>
  </si>
  <si>
    <t>Huckleberry</t>
  </si>
  <si>
    <t>Baldrey, Robyn</t>
  </si>
  <si>
    <t>Marseille, Marie-Hélène</t>
  </si>
  <si>
    <t>Bliss</t>
  </si>
  <si>
    <t>Denny</t>
  </si>
  <si>
    <t>Lee, Randy</t>
  </si>
  <si>
    <t>Bluethner, Joan</t>
  </si>
  <si>
    <t>Lyrik</t>
  </si>
  <si>
    <t>Domino</t>
  </si>
  <si>
    <t>Sauve, Sophie</t>
  </si>
  <si>
    <t>Hill, Justine</t>
  </si>
  <si>
    <t>Roy-Theriault, Genevieve</t>
  </si>
  <si>
    <t>MARVEL</t>
  </si>
  <si>
    <t>Kopitoski, Jocelyn</t>
  </si>
  <si>
    <t>Kissell</t>
  </si>
  <si>
    <t>Carmen</t>
  </si>
  <si>
    <t>Denver</t>
  </si>
  <si>
    <t>Lepage, Ima</t>
  </si>
  <si>
    <t>BeBe</t>
  </si>
  <si>
    <t>Glanfield, Laurel</t>
  </si>
  <si>
    <t>Palmerio, Isabela</t>
  </si>
  <si>
    <t>Sitter, Rhonda</t>
  </si>
  <si>
    <t>Murphy, Michelle</t>
  </si>
  <si>
    <t>Raine, Phoenix</t>
  </si>
  <si>
    <t>Fergusson, Brian</t>
  </si>
  <si>
    <t>Martin, Maddy</t>
  </si>
  <si>
    <t>Bastien</t>
  </si>
  <si>
    <t>St-Laurent, Sarah-Kim</t>
  </si>
  <si>
    <t>Bo</t>
  </si>
  <si>
    <t>Fraser, Gillian</t>
  </si>
  <si>
    <t>Karis</t>
  </si>
  <si>
    <t>Birdsell, Amanda</t>
  </si>
  <si>
    <t>Rech, Brenda</t>
  </si>
  <si>
    <t>Garrett, Madison</t>
  </si>
  <si>
    <t>Mitchell, Audrey</t>
  </si>
  <si>
    <t>David, Kimberly</t>
  </si>
  <si>
    <t>Ford, Sheryll</t>
  </si>
  <si>
    <t>Tosh</t>
  </si>
  <si>
    <t>Anderson, Dana</t>
  </si>
  <si>
    <t>Weisbrod, Linda</t>
  </si>
  <si>
    <t>Cato</t>
  </si>
  <si>
    <t>Reid, Pam</t>
  </si>
  <si>
    <t>Medland, Laura</t>
  </si>
  <si>
    <t>Sniper</t>
  </si>
  <si>
    <t>Cappuccino</t>
  </si>
  <si>
    <t>Stares, Leah</t>
  </si>
  <si>
    <t>Laramee, Adrienne</t>
  </si>
  <si>
    <t>Milne, Faith</t>
  </si>
  <si>
    <t>Goodban, Jacqueline</t>
  </si>
  <si>
    <t>Pep</t>
  </si>
  <si>
    <t>Kouvr</t>
  </si>
  <si>
    <t>Norris Pett, Petra</t>
  </si>
  <si>
    <t>Kimak, Kelly</t>
  </si>
  <si>
    <t>TINA</t>
  </si>
  <si>
    <t>VanderWeyde, Kris</t>
  </si>
  <si>
    <t>Val</t>
  </si>
  <si>
    <t>Tkach, Kendra</t>
  </si>
  <si>
    <t>Ruby Tuesday</t>
  </si>
  <si>
    <t>Male, John</t>
  </si>
  <si>
    <t>Macey</t>
  </si>
  <si>
    <t>Berkley</t>
  </si>
  <si>
    <t>Sim, Alex</t>
  </si>
  <si>
    <t>Infinity</t>
  </si>
  <si>
    <t>Moore, Robyn</t>
  </si>
  <si>
    <t>Shand, Shellie</t>
  </si>
  <si>
    <t>Hana</t>
  </si>
  <si>
    <t>Oath</t>
  </si>
  <si>
    <t>Broughton, Sydney</t>
  </si>
  <si>
    <t>weir, Debbie</t>
  </si>
  <si>
    <t>Winnow</t>
  </si>
  <si>
    <t>Sorensen, Pia</t>
  </si>
  <si>
    <t>Kinley</t>
  </si>
  <si>
    <t>Judi</t>
  </si>
  <si>
    <t>Clark, Nikki</t>
  </si>
  <si>
    <t>Cameron, Kendra</t>
  </si>
  <si>
    <t>Rumba</t>
  </si>
  <si>
    <t>Professor</t>
  </si>
  <si>
    <t>Hughes, Kelsey</t>
  </si>
  <si>
    <t>Zori</t>
  </si>
  <si>
    <t>Marshall, Leslie</t>
  </si>
  <si>
    <t>Pace</t>
  </si>
  <si>
    <t>Phelps, Louise</t>
  </si>
  <si>
    <t>Grayce</t>
  </si>
  <si>
    <t>Claringbull, Leslie</t>
  </si>
  <si>
    <t>Josi</t>
  </si>
  <si>
    <t>Nicholls, Della</t>
  </si>
  <si>
    <t>Russell, Margo</t>
  </si>
  <si>
    <t>Wicks, Kristie</t>
  </si>
  <si>
    <t>Bignell, Dawn</t>
  </si>
  <si>
    <t>Couture, Stéphanie</t>
  </si>
  <si>
    <t>Socks</t>
  </si>
  <si>
    <t>Johnson, Morgan</t>
  </si>
  <si>
    <t>Mingo-Loucks, Caitlin</t>
  </si>
  <si>
    <t>Tater Tot</t>
  </si>
  <si>
    <t>Stares, Jean</t>
  </si>
  <si>
    <t>Alli</t>
  </si>
  <si>
    <t>Brossard, Dominika</t>
  </si>
  <si>
    <t>Mikuni, Kenta</t>
  </si>
  <si>
    <t>Dallaire, Claudia</t>
  </si>
  <si>
    <t>Maher, Jessica</t>
  </si>
  <si>
    <t>Stain</t>
  </si>
  <si>
    <t>Deroode, Teairra</t>
  </si>
  <si>
    <t>Cross, Giselle</t>
  </si>
  <si>
    <t>Boley, Lindsay</t>
  </si>
  <si>
    <t>Munch</t>
  </si>
  <si>
    <t>MacKenzie, Alexa</t>
  </si>
  <si>
    <t>Belanger, 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</si>
</sst>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.0%"/>
    <numFmt numFmtId="167" formatCode="0.000"/>
    <numFmt numFmtId="168" formatCode="&quot;$&quot;#,##0.00"/>
    <numFmt numFmtId="169" formatCode="0.0000000"/>
    <numFmt numFmtId="170" formatCode="0.00000000"/>
  </numFmts>
  <fonts count="5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6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6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20"/>
      <color theme="0"/>
      <name val="Calibri"/>
      <family val="2"/>
      <scheme val="minor"/>
    </font>
    <font>
      <sz val="10"/>
      <color indexed="8"/>
      <name val="Calibri"/>
      <family val="2"/>
    </font>
    <font>
      <sz val="24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5" tint="-0.249977111117893"/>
        <bgColor theme="7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theme="7"/>
      </patternFill>
    </fill>
    <fill>
      <patternFill patternType="solid">
        <fgColor rgb="FFFFC000"/>
        <bgColor theme="7"/>
      </patternFill>
    </fill>
    <fill>
      <patternFill patternType="solid">
        <fgColor rgb="FFF5C3CE"/>
        <b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theme="0" tint="-0.14999847407452621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medium">
        <color indexed="64"/>
      </left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auto="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auto="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7" tint="0.39997558519241921"/>
      </bottom>
      <diagonal/>
    </border>
    <border>
      <left/>
      <right/>
      <top/>
      <bottom style="thin">
        <color theme="7" tint="0.3999755851924192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thick">
        <color theme="4" tint="0.499984740745262"/>
      </bottom>
      <diagonal/>
    </border>
    <border>
      <left/>
      <right style="medium">
        <color indexed="64"/>
      </right>
      <top style="medium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7" tint="0.39997558519241921"/>
      </top>
      <bottom/>
      <diagonal/>
    </border>
    <border>
      <left/>
      <right style="medium">
        <color indexed="64"/>
      </right>
      <top style="thin">
        <color theme="7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7">
    <xf numFmtId="0" fontId="0" fillId="0" borderId="0"/>
    <xf numFmtId="9" fontId="4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" fillId="5" borderId="0" applyNumberFormat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6" fillId="0" borderId="0" applyNumberFormat="0" applyFill="0" applyBorder="0" applyAlignment="0" applyProtection="0"/>
    <xf numFmtId="0" fontId="30" fillId="0" borderId="0"/>
    <xf numFmtId="0" fontId="41" fillId="0" borderId="0"/>
    <xf numFmtId="0" fontId="46" fillId="0" borderId="0"/>
    <xf numFmtId="0" fontId="46" fillId="0" borderId="0"/>
    <xf numFmtId="0" fontId="4" fillId="20" borderId="0" applyNumberFormat="0" applyBorder="0" applyAlignment="0" applyProtection="0"/>
  </cellStyleXfs>
  <cellXfs count="4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1" fillId="3" borderId="12" xfId="1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5" borderId="14" xfId="4" applyFont="1" applyBorder="1" applyAlignment="1">
      <alignment vertical="center" wrapText="1"/>
    </xf>
    <xf numFmtId="0" fontId="8" fillId="5" borderId="12" xfId="4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5" borderId="16" xfId="4" applyFont="1" applyBorder="1" applyAlignment="1">
      <alignment horizontal="center" vertical="center"/>
    </xf>
    <xf numFmtId="165" fontId="0" fillId="0" borderId="6" xfId="5" applyFont="1" applyBorder="1" applyAlignment="1">
      <alignment horizontal="center"/>
    </xf>
    <xf numFmtId="0" fontId="8" fillId="5" borderId="13" xfId="4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20" fontId="0" fillId="0" borderId="0" xfId="0" applyNumberForma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wrapText="1"/>
    </xf>
    <xf numFmtId="164" fontId="10" fillId="2" borderId="1" xfId="6" applyFont="1" applyFill="1" applyBorder="1" applyProtection="1">
      <protection locked="0"/>
    </xf>
    <xf numFmtId="164" fontId="10" fillId="2" borderId="1" xfId="6" applyFont="1" applyFill="1" applyBorder="1" applyProtection="1"/>
    <xf numFmtId="0" fontId="3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164" fontId="0" fillId="0" borderId="0" xfId="6" applyFont="1"/>
    <xf numFmtId="0" fontId="0" fillId="0" borderId="0" xfId="0" pivotButton="1"/>
    <xf numFmtId="0" fontId="0" fillId="0" borderId="0" xfId="0" applyAlignment="1">
      <alignment horizontal="left"/>
    </xf>
    <xf numFmtId="168" fontId="0" fillId="0" borderId="0" xfId="0" applyNumberFormat="1"/>
    <xf numFmtId="164" fontId="3" fillId="0" borderId="0" xfId="6" applyFont="1" applyProtection="1"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6" fontId="3" fillId="0" borderId="0" xfId="1" applyNumberFormat="1" applyFont="1"/>
    <xf numFmtId="166" fontId="2" fillId="0" borderId="0" xfId="1" applyNumberFormat="1" applyFont="1" applyAlignment="1">
      <alignment vertical="center"/>
    </xf>
    <xf numFmtId="166" fontId="0" fillId="0" borderId="0" xfId="1" applyNumberFormat="1" applyFont="1"/>
    <xf numFmtId="166" fontId="2" fillId="0" borderId="0" xfId="1" applyNumberFormat="1" applyFont="1" applyAlignment="1">
      <alignment horizontal="center" vertical="center" wrapText="1"/>
    </xf>
    <xf numFmtId="165" fontId="0" fillId="0" borderId="0" xfId="5" applyFont="1"/>
    <xf numFmtId="10" fontId="0" fillId="0" borderId="0" xfId="1" applyNumberFormat="1" applyFont="1"/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Alignment="1">
      <alignment wrapText="1"/>
    </xf>
    <xf numFmtId="0" fontId="13" fillId="0" borderId="0" xfId="0" applyFont="1"/>
    <xf numFmtId="0" fontId="10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Protection="1">
      <protection locked="0"/>
    </xf>
    <xf numFmtId="164" fontId="3" fillId="0" borderId="1" xfId="6" applyFont="1" applyBorder="1" applyProtection="1">
      <protection locked="0"/>
    </xf>
    <xf numFmtId="0" fontId="3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3" xfId="0" applyFont="1" applyBorder="1"/>
    <xf numFmtId="0" fontId="2" fillId="0" borderId="1" xfId="0" applyFont="1" applyBorder="1" applyAlignment="1">
      <alignment vertical="center"/>
    </xf>
    <xf numFmtId="0" fontId="15" fillId="6" borderId="0" xfId="7" applyFont="1" applyAlignment="1"/>
    <xf numFmtId="0" fontId="3" fillId="0" borderId="11" xfId="0" applyFont="1" applyBorder="1"/>
    <xf numFmtId="0" fontId="2" fillId="0" borderId="21" xfId="0" applyFont="1" applyBorder="1" applyAlignment="1">
      <alignment vertical="center"/>
    </xf>
    <xf numFmtId="14" fontId="3" fillId="3" borderId="20" xfId="0" applyNumberFormat="1" applyFont="1" applyFill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wrapText="1"/>
      <protection locked="0"/>
    </xf>
    <xf numFmtId="0" fontId="19" fillId="0" borderId="16" xfId="0" applyFont="1" applyBorder="1" applyAlignment="1">
      <alignment horizontal="center" wrapText="1"/>
    </xf>
    <xf numFmtId="20" fontId="3" fillId="0" borderId="1" xfId="0" applyNumberFormat="1" applyFont="1" applyBorder="1" applyAlignment="1" applyProtection="1">
      <alignment horizontal="center"/>
      <protection locked="0"/>
    </xf>
    <xf numFmtId="167" fontId="3" fillId="0" borderId="1" xfId="0" applyNumberFormat="1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8" fillId="0" borderId="5" xfId="0" applyFont="1" applyBorder="1"/>
    <xf numFmtId="164" fontId="18" fillId="0" borderId="0" xfId="6" applyFont="1"/>
    <xf numFmtId="0" fontId="2" fillId="0" borderId="0" xfId="0" applyFont="1" applyAlignment="1">
      <alignment horizontal="center"/>
    </xf>
    <xf numFmtId="0" fontId="2" fillId="0" borderId="0" xfId="0" applyFont="1"/>
    <xf numFmtId="14" fontId="0" fillId="0" borderId="0" xfId="0" applyNumberFormat="1"/>
    <xf numFmtId="0" fontId="0" fillId="0" borderId="0" xfId="0" applyProtection="1">
      <protection locked="0"/>
    </xf>
    <xf numFmtId="0" fontId="19" fillId="0" borderId="1" xfId="0" applyFont="1" applyBorder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>
      <alignment horizontal="center" vertical="center" wrapText="1"/>
    </xf>
    <xf numFmtId="2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166" fontId="3" fillId="0" borderId="0" xfId="1" applyNumberFormat="1" applyFont="1" applyAlignment="1">
      <alignment vertical="center"/>
    </xf>
    <xf numFmtId="0" fontId="20" fillId="0" borderId="1" xfId="8" applyBorder="1" applyAlignment="1" applyProtection="1">
      <alignment vertical="center"/>
      <protection locked="0"/>
    </xf>
    <xf numFmtId="10" fontId="23" fillId="0" borderId="0" xfId="1" applyNumberFormat="1" applyFont="1"/>
    <xf numFmtId="165" fontId="23" fillId="0" borderId="0" xfId="5" applyFont="1"/>
    <xf numFmtId="1" fontId="3" fillId="0" borderId="13" xfId="0" applyNumberFormat="1" applyFont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>
      <alignment wrapText="1"/>
    </xf>
    <xf numFmtId="10" fontId="0" fillId="0" borderId="0" xfId="1" applyNumberFormat="1" applyFont="1" applyFill="1"/>
    <xf numFmtId="165" fontId="0" fillId="0" borderId="0" xfId="5" applyFont="1" applyFill="1"/>
    <xf numFmtId="0" fontId="3" fillId="0" borderId="9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26" fillId="3" borderId="0" xfId="0" applyFont="1" applyFill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1" fontId="0" fillId="0" borderId="0" xfId="0" applyNumberFormat="1" applyAlignment="1">
      <alignment horizontal="center"/>
    </xf>
    <xf numFmtId="0" fontId="6" fillId="0" borderId="0" xfId="11"/>
    <xf numFmtId="0" fontId="0" fillId="9" borderId="0" xfId="0" applyFill="1"/>
    <xf numFmtId="0" fontId="17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35" fillId="0" borderId="0" xfId="0" applyNumberFormat="1" applyFont="1"/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3" fillId="0" borderId="6" xfId="0" applyFont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/>
    </xf>
    <xf numFmtId="164" fontId="33" fillId="0" borderId="0" xfId="6" applyFont="1" applyBorder="1" applyAlignment="1" applyProtection="1">
      <alignment vertical="center"/>
      <protection locked="0"/>
    </xf>
    <xf numFmtId="164" fontId="33" fillId="0" borderId="0" xfId="6" applyFont="1" applyBorder="1" applyAlignment="1" applyProtection="1">
      <alignment vertical="center"/>
    </xf>
    <xf numFmtId="0" fontId="20" fillId="0" borderId="0" xfId="8" applyBorder="1" applyAlignment="1" applyProtection="1">
      <alignment vertical="center"/>
      <protection locked="0"/>
    </xf>
    <xf numFmtId="0" fontId="37" fillId="10" borderId="32" xfId="0" applyFont="1" applyFill="1" applyBorder="1" applyAlignment="1">
      <alignment horizontal="center" vertical="center" wrapText="1"/>
    </xf>
    <xf numFmtId="0" fontId="37" fillId="10" borderId="31" xfId="0" applyFont="1" applyFill="1" applyBorder="1" applyAlignment="1">
      <alignment horizontal="center" vertical="center" wrapText="1"/>
    </xf>
    <xf numFmtId="0" fontId="37" fillId="10" borderId="31" xfId="0" applyFont="1" applyFill="1" applyBorder="1" applyAlignment="1">
      <alignment vertical="center" wrapText="1"/>
    </xf>
    <xf numFmtId="0" fontId="37" fillId="10" borderId="33" xfId="0" applyFont="1" applyFill="1" applyBorder="1" applyAlignment="1">
      <alignment horizontal="center" vertical="center" wrapText="1"/>
    </xf>
    <xf numFmtId="0" fontId="37" fillId="10" borderId="34" xfId="0" applyFont="1" applyFill="1" applyBorder="1" applyAlignment="1">
      <alignment horizontal="center" vertical="center" wrapText="1"/>
    </xf>
    <xf numFmtId="0" fontId="37" fillId="10" borderId="35" xfId="0" applyFont="1" applyFill="1" applyBorder="1" applyAlignment="1">
      <alignment horizontal="center" vertical="center" wrapText="1"/>
    </xf>
    <xf numFmtId="0" fontId="37" fillId="10" borderId="35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/>
    </xf>
    <xf numFmtId="164" fontId="10" fillId="2" borderId="30" xfId="6" applyFont="1" applyFill="1" applyBorder="1" applyProtection="1">
      <protection locked="0"/>
    </xf>
    <xf numFmtId="0" fontId="7" fillId="0" borderId="0" xfId="0" applyFont="1" applyAlignment="1">
      <alignment vertical="center" wrapText="1"/>
    </xf>
    <xf numFmtId="0" fontId="38" fillId="4" borderId="0" xfId="0" applyFont="1" applyFill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/>
    </xf>
    <xf numFmtId="0" fontId="0" fillId="0" borderId="26" xfId="0" applyBorder="1" applyAlignment="1">
      <alignment vertical="center" wrapText="1"/>
    </xf>
    <xf numFmtId="165" fontId="0" fillId="0" borderId="27" xfId="5" applyFont="1" applyBorder="1" applyAlignment="1">
      <alignment vertical="center"/>
    </xf>
    <xf numFmtId="0" fontId="0" fillId="0" borderId="28" xfId="0" applyBorder="1"/>
    <xf numFmtId="165" fontId="0" fillId="0" borderId="29" xfId="5" applyFont="1" applyBorder="1"/>
    <xf numFmtId="0" fontId="0" fillId="0" borderId="39" xfId="0" applyBorder="1" applyAlignment="1">
      <alignment vertical="center" wrapText="1"/>
    </xf>
    <xf numFmtId="165" fontId="0" fillId="0" borderId="40" xfId="5" applyFont="1" applyBorder="1" applyAlignment="1">
      <alignment vertical="center"/>
    </xf>
    <xf numFmtId="0" fontId="1" fillId="0" borderId="0" xfId="0" applyFont="1" applyAlignment="1">
      <alignment horizontal="center"/>
    </xf>
    <xf numFmtId="166" fontId="1" fillId="0" borderId="0" xfId="1" applyNumberFormat="1" applyFont="1" applyFill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166" fontId="0" fillId="0" borderId="6" xfId="1" applyNumberFormat="1" applyFont="1" applyBorder="1" applyAlignment="1">
      <alignment horizontal="center"/>
    </xf>
    <xf numFmtId="166" fontId="1" fillId="3" borderId="42" xfId="1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42" fillId="0" borderId="41" xfId="13" applyFont="1" applyBorder="1" applyAlignment="1">
      <alignment horizontal="left" wrapText="1"/>
    </xf>
    <xf numFmtId="14" fontId="42" fillId="0" borderId="41" xfId="13" applyNumberFormat="1" applyFont="1" applyBorder="1" applyAlignment="1">
      <alignment horizontal="left" wrapText="1"/>
    </xf>
    <xf numFmtId="0" fontId="42" fillId="0" borderId="44" xfId="13" applyFont="1" applyBorder="1" applyAlignment="1">
      <alignment horizontal="left" wrapText="1"/>
    </xf>
    <xf numFmtId="14" fontId="42" fillId="0" borderId="44" xfId="13" applyNumberFormat="1" applyFont="1" applyBorder="1" applyAlignment="1">
      <alignment horizontal="left" wrapText="1"/>
    </xf>
    <xf numFmtId="0" fontId="43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164" fontId="40" fillId="0" borderId="0" xfId="6" applyFont="1" applyAlignment="1">
      <alignment horizontal="center"/>
    </xf>
    <xf numFmtId="164" fontId="43" fillId="0" borderId="0" xfId="6" applyFont="1" applyAlignment="1">
      <alignment horizontal="center"/>
    </xf>
    <xf numFmtId="164" fontId="4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10" borderId="33" xfId="0" applyFont="1" applyFill="1" applyBorder="1" applyAlignment="1">
      <alignment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1" fontId="0" fillId="0" borderId="0" xfId="0" applyNumberFormat="1"/>
    <xf numFmtId="0" fontId="8" fillId="5" borderId="47" xfId="4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0" fontId="3" fillId="0" borderId="47" xfId="0" applyFont="1" applyBorder="1" applyAlignment="1" applyProtection="1">
      <alignment wrapText="1"/>
      <protection locked="0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 shrinkToFit="1"/>
    </xf>
    <xf numFmtId="0" fontId="44" fillId="0" borderId="0" xfId="0" applyFont="1" applyAlignment="1" applyProtection="1">
      <alignment horizontal="center"/>
      <protection locked="0"/>
    </xf>
    <xf numFmtId="0" fontId="44" fillId="0" borderId="0" xfId="0" applyFont="1" applyProtection="1">
      <protection locked="0"/>
    </xf>
    <xf numFmtId="47" fontId="3" fillId="0" borderId="1" xfId="0" applyNumberFormat="1" applyFont="1" applyBorder="1" applyAlignment="1" applyProtection="1">
      <alignment horizontal="center" vertical="center"/>
      <protection locked="0"/>
    </xf>
    <xf numFmtId="47" fontId="3" fillId="0" borderId="1" xfId="0" applyNumberFormat="1" applyFont="1" applyBorder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7" fontId="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3" fillId="0" borderId="6" xfId="0" applyFont="1" applyBorder="1" applyAlignment="1">
      <alignment horizontal="center" vertical="center"/>
    </xf>
    <xf numFmtId="0" fontId="37" fillId="10" borderId="48" xfId="0" applyFont="1" applyFill="1" applyBorder="1" applyAlignment="1">
      <alignment horizontal="center" vertical="center" wrapText="1"/>
    </xf>
    <xf numFmtId="0" fontId="37" fillId="10" borderId="6" xfId="0" applyFont="1" applyFill="1" applyBorder="1" applyAlignment="1">
      <alignment horizontal="center" vertical="center" wrapText="1"/>
    </xf>
    <xf numFmtId="0" fontId="37" fillId="10" borderId="49" xfId="0" applyFont="1" applyFill="1" applyBorder="1" applyAlignment="1">
      <alignment horizontal="center" vertical="center" wrapText="1"/>
    </xf>
    <xf numFmtId="0" fontId="28" fillId="0" borderId="23" xfId="10" applyAlignment="1" applyProtection="1">
      <alignment vertical="center"/>
      <protection locked="0"/>
    </xf>
    <xf numFmtId="0" fontId="28" fillId="0" borderId="23" xfId="10" applyAlignment="1" applyProtection="1">
      <alignment horizontal="center" vertical="center"/>
      <protection locked="0"/>
    </xf>
    <xf numFmtId="0" fontId="45" fillId="0" borderId="0" xfId="14" applyFont="1" applyAlignment="1">
      <alignment horizontal="right" wrapText="1"/>
    </xf>
    <xf numFmtId="14" fontId="45" fillId="0" borderId="0" xfId="14" applyNumberFormat="1" applyFont="1" applyAlignment="1">
      <alignment horizontal="right" wrapText="1"/>
    </xf>
    <xf numFmtId="0" fontId="45" fillId="0" borderId="0" xfId="14" applyFont="1" applyAlignment="1">
      <alignment wrapText="1"/>
    </xf>
    <xf numFmtId="0" fontId="45" fillId="0" borderId="53" xfId="14" applyFont="1" applyBorder="1" applyAlignment="1">
      <alignment horizontal="right" wrapText="1"/>
    </xf>
    <xf numFmtId="14" fontId="45" fillId="0" borderId="53" xfId="14" applyNumberFormat="1" applyFont="1" applyBorder="1" applyAlignment="1">
      <alignment horizontal="right" wrapText="1"/>
    </xf>
    <xf numFmtId="0" fontId="45" fillId="0" borderId="53" xfId="14" applyFont="1" applyBorder="1" applyAlignment="1">
      <alignment wrapText="1"/>
    </xf>
    <xf numFmtId="0" fontId="3" fillId="0" borderId="42" xfId="0" applyFont="1" applyBorder="1" applyAlignment="1" applyProtection="1">
      <alignment horizontal="center"/>
      <protection locked="0"/>
    </xf>
    <xf numFmtId="0" fontId="3" fillId="0" borderId="54" xfId="0" applyFont="1" applyBorder="1" applyAlignment="1" applyProtection="1">
      <alignment horizontal="center"/>
      <protection locked="0"/>
    </xf>
    <xf numFmtId="1" fontId="3" fillId="0" borderId="42" xfId="0" applyNumberFormat="1" applyFont="1" applyBorder="1" applyAlignment="1" applyProtection="1">
      <alignment horizontal="center"/>
      <protection locked="0"/>
    </xf>
    <xf numFmtId="47" fontId="3" fillId="0" borderId="54" xfId="0" applyNumberFormat="1" applyFont="1" applyBorder="1" applyAlignment="1" applyProtection="1">
      <alignment horizontal="center"/>
      <protection locked="0"/>
    </xf>
    <xf numFmtId="0" fontId="47" fillId="3" borderId="0" xfId="0" applyFont="1" applyFill="1" applyAlignment="1" applyProtection="1">
      <alignment horizontal="center"/>
      <protection locked="0"/>
    </xf>
    <xf numFmtId="0" fontId="48" fillId="3" borderId="0" xfId="0" applyFont="1" applyFill="1" applyAlignment="1" applyProtection="1">
      <alignment horizontal="center"/>
      <protection locked="0"/>
    </xf>
    <xf numFmtId="0" fontId="48" fillId="0" borderId="0" xfId="0" applyFont="1" applyAlignment="1" applyProtection="1">
      <alignment horizontal="center"/>
      <protection locked="0"/>
    </xf>
    <xf numFmtId="0" fontId="48" fillId="0" borderId="0" xfId="0" applyFont="1" applyAlignment="1" applyProtection="1">
      <alignment horizontal="left"/>
      <protection locked="0"/>
    </xf>
    <xf numFmtId="0" fontId="48" fillId="0" borderId="0" xfId="0" applyFont="1" applyProtection="1">
      <protection locked="0"/>
    </xf>
    <xf numFmtId="165" fontId="47" fillId="0" borderId="0" xfId="5" applyFont="1"/>
    <xf numFmtId="0" fontId="0" fillId="0" borderId="56" xfId="0" applyBorder="1" applyAlignment="1" applyProtection="1">
      <alignment horizontal="center"/>
      <protection locked="0"/>
    </xf>
    <xf numFmtId="0" fontId="21" fillId="0" borderId="55" xfId="0" applyFont="1" applyBorder="1" applyAlignment="1">
      <alignment horizontal="center" vertical="center"/>
    </xf>
    <xf numFmtId="0" fontId="21" fillId="0" borderId="47" xfId="0" applyFont="1" applyBorder="1" applyAlignment="1">
      <alignment vertical="center"/>
    </xf>
    <xf numFmtId="0" fontId="21" fillId="0" borderId="47" xfId="0" applyFont="1" applyBorder="1" applyAlignment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0" xfId="0" applyFill="1"/>
    <xf numFmtId="14" fontId="0" fillId="3" borderId="0" xfId="0" applyNumberFormat="1" applyFill="1" applyProtection="1"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0" fillId="3" borderId="58" xfId="0" applyFill="1" applyBorder="1"/>
    <xf numFmtId="14" fontId="0" fillId="3" borderId="58" xfId="0" applyNumberFormat="1" applyFill="1" applyBorder="1" applyProtection="1">
      <protection locked="0"/>
    </xf>
    <xf numFmtId="14" fontId="0" fillId="0" borderId="0" xfId="0" applyNumberFormat="1" applyProtection="1">
      <protection locked="0"/>
    </xf>
    <xf numFmtId="0" fontId="45" fillId="8" borderId="60" xfId="15" applyFont="1" applyFill="1" applyBorder="1" applyAlignment="1">
      <alignment horizontal="center"/>
    </xf>
    <xf numFmtId="0" fontId="2" fillId="0" borderId="62" xfId="0" quotePrefix="1" applyFont="1" applyBorder="1" applyAlignment="1">
      <alignment vertical="center" wrapText="1"/>
    </xf>
    <xf numFmtId="0" fontId="3" fillId="0" borderId="62" xfId="0" applyFont="1" applyBorder="1" applyAlignment="1">
      <alignment vertical="center"/>
    </xf>
    <xf numFmtId="0" fontId="2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2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2" fillId="0" borderId="62" xfId="0" applyFont="1" applyBorder="1" applyAlignment="1">
      <alignment vertical="center" wrapText="1"/>
    </xf>
    <xf numFmtId="166" fontId="2" fillId="0" borderId="62" xfId="1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/>
    </xf>
    <xf numFmtId="0" fontId="19" fillId="0" borderId="62" xfId="0" applyFont="1" applyBorder="1" applyAlignment="1">
      <alignment horizontal="center"/>
    </xf>
    <xf numFmtId="0" fontId="3" fillId="0" borderId="62" xfId="0" applyFont="1" applyBorder="1" applyProtection="1">
      <protection locked="0"/>
    </xf>
    <xf numFmtId="164" fontId="3" fillId="0" borderId="62" xfId="6" applyFont="1" applyBorder="1" applyProtection="1">
      <protection locked="0"/>
    </xf>
    <xf numFmtId="0" fontId="0" fillId="0" borderId="62" xfId="0" applyBorder="1"/>
    <xf numFmtId="166" fontId="3" fillId="0" borderId="62" xfId="1" applyNumberFormat="1" applyFont="1" applyBorder="1"/>
    <xf numFmtId="0" fontId="0" fillId="0" borderId="62" xfId="0" applyBorder="1" applyProtection="1">
      <protection locked="0"/>
    </xf>
    <xf numFmtId="166" fontId="2" fillId="0" borderId="6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56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62" xfId="0" applyFont="1" applyBorder="1" applyAlignment="1" applyProtection="1">
      <alignment horizontal="center"/>
      <protection locked="0"/>
    </xf>
    <xf numFmtId="47" fontId="3" fillId="0" borderId="62" xfId="0" applyNumberFormat="1" applyFont="1" applyBorder="1" applyAlignment="1" applyProtection="1">
      <alignment horizontal="center"/>
      <protection locked="0"/>
    </xf>
    <xf numFmtId="0" fontId="49" fillId="0" borderId="0" xfId="0" applyFont="1" applyAlignment="1">
      <alignment horizontal="center"/>
    </xf>
    <xf numFmtId="0" fontId="49" fillId="0" borderId="0" xfId="0" applyFont="1"/>
    <xf numFmtId="14" fontId="49" fillId="0" borderId="0" xfId="0" applyNumberFormat="1" applyFont="1"/>
    <xf numFmtId="0" fontId="50" fillId="0" borderId="59" xfId="0" applyFont="1" applyBorder="1" applyAlignment="1">
      <alignment horizontal="center" vertical="center"/>
    </xf>
    <xf numFmtId="0" fontId="50" fillId="0" borderId="64" xfId="0" applyFont="1" applyBorder="1" applyAlignment="1">
      <alignment vertical="center"/>
    </xf>
    <xf numFmtId="0" fontId="50" fillId="0" borderId="64" xfId="0" applyFont="1" applyBorder="1" applyAlignment="1">
      <alignment horizontal="center" vertical="center"/>
    </xf>
    <xf numFmtId="0" fontId="50" fillId="0" borderId="57" xfId="0" applyFont="1" applyBorder="1" applyAlignment="1">
      <alignment horizontal="center" vertical="center"/>
    </xf>
    <xf numFmtId="0" fontId="50" fillId="4" borderId="64" xfId="0" applyFont="1" applyFill="1" applyBorder="1" applyAlignment="1">
      <alignment horizontal="center" vertical="center"/>
    </xf>
    <xf numFmtId="0" fontId="53" fillId="16" borderId="33" xfId="0" applyFont="1" applyFill="1" applyBorder="1" applyAlignment="1">
      <alignment horizontal="center" vertical="center" wrapText="1"/>
    </xf>
    <xf numFmtId="0" fontId="53" fillId="16" borderId="31" xfId="0" applyFont="1" applyFill="1" applyBorder="1" applyAlignment="1">
      <alignment horizontal="center" vertical="center" wrapText="1"/>
    </xf>
    <xf numFmtId="2" fontId="53" fillId="16" borderId="31" xfId="0" applyNumberFormat="1" applyFont="1" applyFill="1" applyBorder="1" applyAlignment="1">
      <alignment horizontal="center" vertical="center" wrapText="1"/>
    </xf>
    <xf numFmtId="0" fontId="53" fillId="17" borderId="33" xfId="0" applyFont="1" applyFill="1" applyBorder="1" applyAlignment="1">
      <alignment horizontal="center" vertical="center" wrapText="1"/>
    </xf>
    <xf numFmtId="0" fontId="53" fillId="17" borderId="31" xfId="0" applyFont="1" applyFill="1" applyBorder="1" applyAlignment="1">
      <alignment horizontal="center" vertical="center" wrapText="1"/>
    </xf>
    <xf numFmtId="0" fontId="53" fillId="18" borderId="33" xfId="0" applyFont="1" applyFill="1" applyBorder="1" applyAlignment="1">
      <alignment horizontal="center" vertical="center" wrapText="1"/>
    </xf>
    <xf numFmtId="0" fontId="53" fillId="18" borderId="31" xfId="0" applyFont="1" applyFill="1" applyBorder="1" applyAlignment="1">
      <alignment horizontal="center" vertical="center" wrapText="1"/>
    </xf>
    <xf numFmtId="1" fontId="53" fillId="16" borderId="31" xfId="0" applyNumberFormat="1" applyFont="1" applyFill="1" applyBorder="1" applyAlignment="1">
      <alignment horizontal="center" vertical="center" wrapText="1"/>
    </xf>
    <xf numFmtId="0" fontId="53" fillId="16" borderId="31" xfId="0" applyFont="1" applyFill="1" applyBorder="1" applyAlignment="1" applyProtection="1">
      <alignment horizontal="center" vertical="center" wrapText="1"/>
      <protection locked="0"/>
    </xf>
    <xf numFmtId="47" fontId="53" fillId="16" borderId="31" xfId="0" applyNumberFormat="1" applyFont="1" applyFill="1" applyBorder="1" applyAlignment="1" applyProtection="1">
      <alignment horizontal="center" vertical="center" wrapText="1"/>
      <protection locked="0"/>
    </xf>
    <xf numFmtId="0" fontId="53" fillId="17" borderId="31" xfId="0" applyFont="1" applyFill="1" applyBorder="1" applyAlignment="1" applyProtection="1">
      <alignment horizontal="center" vertical="center" wrapText="1"/>
      <protection locked="0"/>
    </xf>
    <xf numFmtId="0" fontId="53" fillId="18" borderId="31" xfId="0" applyFont="1" applyFill="1" applyBorder="1" applyAlignment="1" applyProtection="1">
      <alignment horizontal="center" vertical="center" wrapText="1"/>
      <protection locked="0"/>
    </xf>
    <xf numFmtId="47" fontId="0" fillId="0" borderId="0" xfId="0" applyNumberFormat="1" applyAlignment="1">
      <alignment wrapText="1"/>
    </xf>
    <xf numFmtId="0" fontId="50" fillId="0" borderId="64" xfId="0" applyFont="1" applyBorder="1" applyAlignment="1" applyProtection="1">
      <alignment horizontal="center" vertical="center"/>
      <protection locked="0"/>
    </xf>
    <xf numFmtId="0" fontId="42" fillId="0" borderId="65" xfId="13" applyFont="1" applyBorder="1" applyAlignment="1">
      <alignment horizontal="left" wrapText="1"/>
    </xf>
    <xf numFmtId="14" fontId="42" fillId="0" borderId="68" xfId="13" applyNumberFormat="1" applyFont="1" applyBorder="1" applyAlignment="1">
      <alignment horizontal="left" wrapText="1"/>
    </xf>
    <xf numFmtId="0" fontId="45" fillId="0" borderId="61" xfId="15" applyFont="1" applyBorder="1" applyAlignment="1">
      <alignment wrapText="1"/>
    </xf>
    <xf numFmtId="0" fontId="45" fillId="0" borderId="61" xfId="15" applyFont="1" applyBorder="1" applyAlignment="1">
      <alignment horizontal="right" wrapText="1"/>
    </xf>
    <xf numFmtId="0" fontId="29" fillId="8" borderId="0" xfId="12" applyFont="1" applyFill="1" applyAlignment="1">
      <alignment horizontal="center"/>
    </xf>
    <xf numFmtId="0" fontId="2" fillId="3" borderId="0" xfId="0" applyFont="1" applyFill="1"/>
    <xf numFmtId="14" fontId="2" fillId="3" borderId="0" xfId="0" applyNumberFormat="1" applyFont="1" applyFill="1" applyProtection="1">
      <protection locked="0"/>
    </xf>
    <xf numFmtId="14" fontId="2" fillId="3" borderId="0" xfId="0" applyNumberFormat="1" applyFont="1" applyFill="1"/>
    <xf numFmtId="0" fontId="2" fillId="0" borderId="54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/>
    </xf>
    <xf numFmtId="0" fontId="0" fillId="0" borderId="64" xfId="0" applyBorder="1" applyAlignment="1">
      <alignment horizontal="center"/>
    </xf>
    <xf numFmtId="164" fontId="10" fillId="2" borderId="72" xfId="6" applyFont="1" applyFill="1" applyBorder="1" applyProtection="1"/>
    <xf numFmtId="0" fontId="0" fillId="0" borderId="0" xfId="0" applyAlignment="1">
      <alignment horizontal="right"/>
    </xf>
    <xf numFmtId="0" fontId="20" fillId="0" borderId="0" xfId="8" applyFill="1" applyBorder="1" applyProtection="1"/>
    <xf numFmtId="0" fontId="1" fillId="0" borderId="74" xfId="0" applyFont="1" applyBorder="1" applyAlignment="1">
      <alignment horizontal="center"/>
    </xf>
    <xf numFmtId="14" fontId="1" fillId="0" borderId="74" xfId="0" applyNumberFormat="1" applyFont="1" applyBorder="1" applyAlignment="1">
      <alignment horizontal="center"/>
    </xf>
    <xf numFmtId="0" fontId="0" fillId="9" borderId="74" xfId="0" applyFill="1" applyBorder="1" applyAlignment="1">
      <alignment horizontal="center"/>
    </xf>
    <xf numFmtId="14" fontId="0" fillId="9" borderId="74" xfId="0" applyNumberFormat="1" applyFill="1" applyBorder="1" applyAlignment="1">
      <alignment horizontal="center"/>
    </xf>
    <xf numFmtId="0" fontId="0" fillId="21" borderId="0" xfId="0" applyFill="1" applyAlignment="1">
      <alignment horizontal="center"/>
    </xf>
    <xf numFmtId="14" fontId="0" fillId="21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14" fontId="0" fillId="9" borderId="0" xfId="0" applyNumberFormat="1" applyFill="1" applyAlignment="1">
      <alignment horizontal="center"/>
    </xf>
    <xf numFmtId="0" fontId="0" fillId="14" borderId="0" xfId="0" applyFill="1" applyAlignment="1">
      <alignment horizontal="center"/>
    </xf>
    <xf numFmtId="14" fontId="0" fillId="14" borderId="0" xfId="0" applyNumberFormat="1" applyFill="1" applyAlignment="1">
      <alignment horizontal="center"/>
    </xf>
    <xf numFmtId="0" fontId="0" fillId="0" borderId="73" xfId="0" applyBorder="1" applyAlignment="1">
      <alignment horizontal="center"/>
    </xf>
    <xf numFmtId="14" fontId="0" fillId="0" borderId="73" xfId="0" applyNumberFormat="1" applyBorder="1" applyAlignment="1">
      <alignment horizontal="center"/>
    </xf>
    <xf numFmtId="0" fontId="0" fillId="14" borderId="73" xfId="0" applyFill="1" applyBorder="1" applyAlignment="1">
      <alignment horizontal="center"/>
    </xf>
    <xf numFmtId="169" fontId="3" fillId="0" borderId="1" xfId="0" applyNumberFormat="1" applyFont="1" applyBorder="1" applyAlignment="1" applyProtection="1">
      <alignment horizontal="center" vertical="center"/>
      <protection locked="0"/>
    </xf>
    <xf numFmtId="170" fontId="3" fillId="0" borderId="1" xfId="0" applyNumberFormat="1" applyFont="1" applyBorder="1" applyAlignment="1" applyProtection="1">
      <alignment horizontal="center" vertical="center"/>
      <protection locked="0"/>
    </xf>
    <xf numFmtId="0" fontId="56" fillId="20" borderId="0" xfId="16" applyFont="1" applyBorder="1" applyAlignment="1">
      <alignment horizontal="center"/>
    </xf>
    <xf numFmtId="22" fontId="0" fillId="0" borderId="0" xfId="0" applyNumberFormat="1"/>
    <xf numFmtId="0" fontId="43" fillId="0" borderId="0" xfId="0" quotePrefix="1" applyFont="1" applyAlignment="1">
      <alignment horizontal="center"/>
    </xf>
    <xf numFmtId="14" fontId="20" fillId="0" borderId="71" xfId="8" quotePrefix="1" applyNumberFormat="1" applyBorder="1" applyAlignment="1">
      <alignment horizontal="center" vertical="center" wrapText="1"/>
    </xf>
    <xf numFmtId="14" fontId="20" fillId="0" borderId="0" xfId="8" quotePrefix="1" applyNumberFormat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51" fillId="15" borderId="24" xfId="0" applyFont="1" applyFill="1" applyBorder="1" applyAlignment="1">
      <alignment horizontal="center" vertical="center" wrapText="1"/>
    </xf>
    <xf numFmtId="0" fontId="31" fillId="15" borderId="25" xfId="0" applyFont="1" applyFill="1" applyBorder="1" applyAlignment="1">
      <alignment horizontal="center" vertical="center" wrapText="1"/>
    </xf>
    <xf numFmtId="0" fontId="31" fillId="15" borderId="26" xfId="0" applyFont="1" applyFill="1" applyBorder="1" applyAlignment="1">
      <alignment horizontal="center" vertical="center" wrapText="1"/>
    </xf>
    <xf numFmtId="0" fontId="31" fillId="15" borderId="27" xfId="0" applyFont="1" applyFill="1" applyBorder="1" applyAlignment="1">
      <alignment horizontal="center" vertical="center" wrapText="1"/>
    </xf>
    <xf numFmtId="0" fontId="31" fillId="15" borderId="28" xfId="0" applyFont="1" applyFill="1" applyBorder="1" applyAlignment="1">
      <alignment horizontal="center" vertical="center" wrapText="1"/>
    </xf>
    <xf numFmtId="0" fontId="31" fillId="15" borderId="29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2" borderId="72" xfId="0" applyFill="1" applyBorder="1" applyProtection="1">
      <protection locked="0"/>
    </xf>
    <xf numFmtId="0" fontId="2" fillId="2" borderId="72" xfId="0" applyFont="1" applyFill="1" applyBorder="1" applyProtection="1">
      <protection locked="0"/>
    </xf>
    <xf numFmtId="0" fontId="13" fillId="4" borderId="4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54" fillId="7" borderId="4" xfId="0" applyFont="1" applyFill="1" applyBorder="1" applyAlignment="1" applyProtection="1">
      <alignment horizontal="center" vertical="center"/>
      <protection locked="0"/>
    </xf>
    <xf numFmtId="0" fontId="54" fillId="7" borderId="0" xfId="0" applyFont="1" applyFill="1" applyAlignment="1" applyProtection="1">
      <alignment horizontal="center" vertical="center"/>
      <protection locked="0"/>
    </xf>
    <xf numFmtId="0" fontId="42" fillId="12" borderId="50" xfId="13" applyFont="1" applyFill="1" applyBorder="1" applyAlignment="1">
      <alignment horizontal="center" vertical="center" wrapText="1"/>
    </xf>
    <xf numFmtId="0" fontId="42" fillId="12" borderId="5" xfId="13" applyFont="1" applyFill="1" applyBorder="1" applyAlignment="1">
      <alignment horizontal="center" vertical="center" wrapText="1"/>
    </xf>
    <xf numFmtId="0" fontId="42" fillId="12" borderId="21" xfId="13" applyFont="1" applyFill="1" applyBorder="1" applyAlignment="1">
      <alignment horizontal="center" vertical="center" wrapText="1"/>
    </xf>
    <xf numFmtId="0" fontId="55" fillId="13" borderId="51" xfId="13" applyFont="1" applyFill="1" applyBorder="1" applyAlignment="1">
      <alignment horizontal="center" vertical="center" wrapText="1"/>
    </xf>
    <xf numFmtId="0" fontId="55" fillId="13" borderId="52" xfId="13" applyFont="1" applyFill="1" applyBorder="1" applyAlignment="1">
      <alignment horizontal="center" vertical="center" wrapText="1"/>
    </xf>
    <xf numFmtId="0" fontId="55" fillId="13" borderId="66" xfId="13" applyFont="1" applyFill="1" applyBorder="1" applyAlignment="1">
      <alignment horizontal="center" vertical="center" wrapText="1"/>
    </xf>
    <xf numFmtId="0" fontId="55" fillId="13" borderId="67" xfId="13" applyFont="1" applyFill="1" applyBorder="1" applyAlignment="1">
      <alignment horizontal="center" vertical="center" wrapText="1"/>
    </xf>
    <xf numFmtId="0" fontId="15" fillId="6" borderId="0" xfId="7" applyFont="1" applyAlignment="1">
      <alignment horizontal="center"/>
    </xf>
    <xf numFmtId="0" fontId="57" fillId="7" borderId="4" xfId="0" applyFont="1" applyFill="1" applyBorder="1" applyAlignment="1">
      <alignment horizontal="center"/>
    </xf>
    <xf numFmtId="0" fontId="57" fillId="7" borderId="0" xfId="0" applyFont="1" applyFill="1" applyAlignment="1">
      <alignment horizontal="center"/>
    </xf>
    <xf numFmtId="0" fontId="0" fillId="19" borderId="69" xfId="0" applyFill="1" applyBorder="1" applyAlignment="1">
      <alignment horizontal="center" vertical="center" wrapText="1"/>
    </xf>
    <xf numFmtId="0" fontId="0" fillId="19" borderId="70" xfId="0" applyFill="1" applyBorder="1" applyAlignment="1">
      <alignment horizontal="center" vertical="center" wrapText="1"/>
    </xf>
    <xf numFmtId="0" fontId="0" fillId="19" borderId="64" xfId="0" applyFill="1" applyBorder="1" applyAlignment="1">
      <alignment horizontal="center" vertical="center" wrapText="1"/>
    </xf>
    <xf numFmtId="0" fontId="32" fillId="0" borderId="0" xfId="2" applyFont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28" fillId="0" borderId="23" xfId="10" applyAlignment="1">
      <alignment horizontal="center" wrapText="1"/>
    </xf>
    <xf numFmtId="14" fontId="3" fillId="0" borderId="0" xfId="0" applyNumberFormat="1" applyFont="1"/>
    <xf numFmtId="0" fontId="6" fillId="0" borderId="9" xfId="3" applyFill="1" applyBorder="1" applyAlignment="1">
      <alignment horizontal="center" vertical="center"/>
    </xf>
    <xf numFmtId="0" fontId="28" fillId="0" borderId="45" xfId="10" applyBorder="1" applyAlignment="1">
      <alignment horizontal="center" wrapText="1"/>
    </xf>
    <xf numFmtId="0" fontId="28" fillId="0" borderId="46" xfId="10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2" applyBorder="1" applyAlignment="1">
      <alignment horizontal="center"/>
    </xf>
    <xf numFmtId="0" fontId="3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3" borderId="58" xfId="0" applyFill="1" applyBorder="1" applyAlignment="1" applyProtection="1">
      <alignment horizontal="center"/>
      <protection locked="0"/>
    </xf>
    <xf numFmtId="0" fontId="0" fillId="3" borderId="59" xfId="0" applyFill="1" applyBorder="1" applyAlignment="1" applyProtection="1">
      <alignment horizontal="center"/>
      <protection locked="0"/>
    </xf>
    <xf numFmtId="0" fontId="21" fillId="0" borderId="4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43" xfId="0" applyFill="1" applyBorder="1" applyAlignment="1" applyProtection="1">
      <alignment horizontal="center"/>
      <protection locked="0"/>
    </xf>
    <xf numFmtId="0" fontId="8" fillId="5" borderId="17" xfId="4" applyFont="1" applyBorder="1" applyAlignment="1">
      <alignment horizontal="center" vertical="center"/>
    </xf>
    <xf numFmtId="0" fontId="8" fillId="5" borderId="12" xfId="4" applyFont="1" applyBorder="1" applyAlignment="1">
      <alignment horizontal="center" vertical="center"/>
    </xf>
    <xf numFmtId="0" fontId="8" fillId="5" borderId="19" xfId="4" applyFont="1" applyBorder="1" applyAlignment="1">
      <alignment horizontal="center" vertical="center"/>
    </xf>
    <xf numFmtId="0" fontId="15" fillId="6" borderId="0" xfId="7" applyFont="1" applyBorder="1" applyAlignment="1">
      <alignment horizontal="center"/>
    </xf>
    <xf numFmtId="0" fontId="8" fillId="5" borderId="13" xfId="4" applyFont="1" applyBorder="1" applyAlignment="1">
      <alignment horizontal="center" vertical="center"/>
    </xf>
    <xf numFmtId="0" fontId="8" fillId="5" borderId="1" xfId="4" applyFont="1" applyBorder="1" applyAlignment="1">
      <alignment horizontal="center" vertical="center"/>
    </xf>
    <xf numFmtId="0" fontId="8" fillId="5" borderId="14" xfId="4" applyFont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14" fontId="3" fillId="0" borderId="15" xfId="0" applyNumberFormat="1" applyFont="1" applyBorder="1" applyAlignment="1">
      <alignment horizontal="left"/>
    </xf>
    <xf numFmtId="14" fontId="3" fillId="3" borderId="15" xfId="0" applyNumberFormat="1" applyFont="1" applyFill="1" applyBorder="1" applyAlignment="1">
      <alignment horizontal="center"/>
    </xf>
    <xf numFmtId="14" fontId="3" fillId="3" borderId="18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2" applyFont="1" applyBorder="1" applyAlignment="1">
      <alignment horizontal="center"/>
    </xf>
    <xf numFmtId="0" fontId="3" fillId="0" borderId="0" xfId="0" applyFont="1" applyAlignment="1">
      <alignment horizontal="center"/>
    </xf>
    <xf numFmtId="0" fontId="36" fillId="11" borderId="37" xfId="0" applyFont="1" applyFill="1" applyBorder="1" applyAlignment="1" applyProtection="1">
      <alignment horizontal="left" vertical="center" wrapText="1"/>
      <protection locked="0"/>
    </xf>
    <xf numFmtId="0" fontId="36" fillId="11" borderId="38" xfId="0" applyFont="1" applyFill="1" applyBorder="1" applyAlignment="1" applyProtection="1">
      <alignment horizontal="left" vertical="center" wrapText="1"/>
      <protection locked="0"/>
    </xf>
    <xf numFmtId="0" fontId="34" fillId="10" borderId="0" xfId="0" applyFont="1" applyFill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/>
    </xf>
    <xf numFmtId="0" fontId="5" fillId="0" borderId="2" xfId="2" applyAlignment="1">
      <alignment horizontal="center"/>
    </xf>
    <xf numFmtId="0" fontId="0" fillId="4" borderId="24" xfId="0" applyFill="1" applyBorder="1" applyAlignment="1">
      <alignment horizontal="left" wrapText="1"/>
    </xf>
    <xf numFmtId="0" fontId="0" fillId="4" borderId="25" xfId="0" applyFill="1" applyBorder="1" applyAlignment="1">
      <alignment horizontal="left" wrapText="1"/>
    </xf>
    <xf numFmtId="0" fontId="0" fillId="4" borderId="26" xfId="0" applyFill="1" applyBorder="1" applyAlignment="1">
      <alignment horizontal="left" wrapText="1"/>
    </xf>
    <xf numFmtId="0" fontId="0" fillId="4" borderId="27" xfId="0" applyFill="1" applyBorder="1" applyAlignment="1">
      <alignment horizontal="left" wrapText="1"/>
    </xf>
    <xf numFmtId="0" fontId="0" fillId="4" borderId="28" xfId="0" applyFill="1" applyBorder="1" applyAlignment="1">
      <alignment horizontal="left" wrapText="1"/>
    </xf>
    <xf numFmtId="0" fontId="0" fillId="4" borderId="29" xfId="0" applyFill="1" applyBorder="1" applyAlignment="1">
      <alignment horizontal="left" wrapText="1"/>
    </xf>
    <xf numFmtId="0" fontId="56" fillId="5" borderId="2" xfId="4" applyFont="1" applyBorder="1" applyAlignment="1">
      <alignment horizontal="center"/>
    </xf>
    <xf numFmtId="0" fontId="56" fillId="20" borderId="2" xfId="16" applyFont="1" applyBorder="1" applyAlignment="1">
      <alignment horizontal="center"/>
    </xf>
    <xf numFmtId="0" fontId="0" fillId="0" borderId="0" xfId="0" applyNumberFormat="1"/>
    <xf numFmtId="0" fontId="29" fillId="0" borderId="0" xfId="12" applyNumberFormat="1" applyFont="1" applyFill="1" applyAlignment="1">
      <alignment horizontal="left" wrapText="1"/>
    </xf>
    <xf numFmtId="0" fontId="29" fillId="0" borderId="0" xfId="12" applyFont="1" applyFill="1" applyAlignment="1">
      <alignment horizontal="left" wrapText="1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</cellXfs>
  <cellStyles count="17">
    <cellStyle name="20% - Accent4" xfId="4" builtinId="42"/>
    <cellStyle name="20% - Accent6" xfId="16" builtinId="50"/>
    <cellStyle name="Accent4" xfId="7" builtinId="41"/>
    <cellStyle name="Comma" xfId="5" builtinId="3"/>
    <cellStyle name="Currency" xfId="6" builtinId="4"/>
    <cellStyle name="Followed Hyperlink" xfId="9" builtinId="9" hidden="1"/>
    <cellStyle name="Heading 1" xfId="2" builtinId="16"/>
    <cellStyle name="Heading 2" xfId="10" builtinId="17"/>
    <cellStyle name="Heading 3" xfId="3" builtinId="18"/>
    <cellStyle name="Heading 4" xfId="11" builtinId="19"/>
    <cellStyle name="Hyperlink" xfId="8" builtinId="8"/>
    <cellStyle name="Normal" xfId="0" builtinId="0"/>
    <cellStyle name="Normal_DogInfo_1" xfId="15" xr:uid="{5E3FD5F8-74D9-402C-AE32-7CEDA3E56658}"/>
    <cellStyle name="Normal_Trial Info" xfId="12" xr:uid="{00000000-0005-0000-0000-00000F000000}"/>
    <cellStyle name="Normal_Trial Info_1" xfId="13" xr:uid="{00000000-0005-0000-0000-000010000000}"/>
    <cellStyle name="Normal_Trial Info_2" xfId="14" xr:uid="{07388872-2A5F-403D-A9B0-3731C60CD5A9}"/>
    <cellStyle name="Percent" xfId="1" builtinId="5"/>
  </cellStyles>
  <dxfs count="12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numFmt numFmtId="0" formatCode="General"/>
    </dxf>
    <dxf>
      <numFmt numFmtId="19" formatCode="m/d/yyyy"/>
    </dxf>
    <dxf>
      <numFmt numFmtId="19" formatCode="m/d/yyyy"/>
    </dxf>
    <dxf>
      <numFmt numFmtId="27" formatCode="m/d/yyyy\ h:mm"/>
    </dxf>
    <dxf>
      <numFmt numFmtId="0" formatCode="General"/>
    </dxf>
    <dxf>
      <numFmt numFmtId="0" formatCode="General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protection locked="0" hidden="0"/>
    </dxf>
    <dxf>
      <numFmt numFmtId="0" formatCode="General"/>
      <alignment horizontal="center" textRotation="0" wrapText="0" indent="0" justifyLastLine="0" shrinkToFit="0" readingOrder="0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numFmt numFmtId="19" formatCode="m/d/yyyy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.00_-;\-&quot;$&quot;* #,##0.00_-;_-&quot;$&quot;* &quot;-&quot;??_-;_-@_-"/>
    </dxf>
    <dxf>
      <numFmt numFmtId="0" formatCode="General"/>
    </dxf>
  </dxfs>
  <tableStyles count="0" defaultTableStyle="TableStyleMedium9" defaultPivotStyle="PivotStyleLight16"/>
  <colors>
    <mruColors>
      <color rgb="FFF5C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190500</xdr:colOff>
      <xdr:row>1</xdr:row>
      <xdr:rowOff>0</xdr:rowOff>
    </xdr:from>
    <xdr:to>
      <xdr:col>18</xdr:col>
      <xdr:colOff>1737882</xdr:colOff>
      <xdr:row>7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1650" y="0"/>
          <a:ext cx="1547382" cy="1714500"/>
        </a:xfrm>
        <a:prstGeom prst="rect">
          <a:avLst/>
        </a:prstGeom>
      </xdr:spPr>
    </xdr:pic>
    <xdr:clientData/>
  </xdr:twoCellAnchor>
  <xdr:twoCellAnchor editAs="oneCell">
    <xdr:from>
      <xdr:col>19</xdr:col>
      <xdr:colOff>90488</xdr:colOff>
      <xdr:row>2</xdr:row>
      <xdr:rowOff>331637</xdr:rowOff>
    </xdr:from>
    <xdr:to>
      <xdr:col>19</xdr:col>
      <xdr:colOff>1563672</xdr:colOff>
      <xdr:row>6</xdr:row>
      <xdr:rowOff>154781</xdr:rowOff>
    </xdr:to>
    <xdr:pic>
      <xdr:nvPicPr>
        <xdr:cNvPr id="6" name="Picture 5" descr="Keeping Time - Soren Larson | General Fitness &amp; Training Articles | The  Performance Menu Journa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6582" y="688825"/>
          <a:ext cx="1473184" cy="989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35718</xdr:colOff>
      <xdr:row>23</xdr:row>
      <xdr:rowOff>11905</xdr:rowOff>
    </xdr:from>
    <xdr:to>
      <xdr:col>19</xdr:col>
      <xdr:colOff>47624</xdr:colOff>
      <xdr:row>35</xdr:row>
      <xdr:rowOff>36060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CB7B4-779A-E3C2-564E-A5153A226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82624" y="4964905"/>
          <a:ext cx="1845469" cy="2310155"/>
        </a:xfrm>
        <a:prstGeom prst="rect">
          <a:avLst/>
        </a:prstGeom>
      </xdr:spPr>
    </xdr:pic>
    <xdr:clientData/>
  </xdr:twoCellAnchor>
  <xdr:twoCellAnchor editAs="oneCell">
    <xdr:from>
      <xdr:col>1</xdr:col>
      <xdr:colOff>547687</xdr:colOff>
      <xdr:row>100</xdr:row>
      <xdr:rowOff>47625</xdr:rowOff>
    </xdr:from>
    <xdr:to>
      <xdr:col>2</xdr:col>
      <xdr:colOff>1305180</xdr:colOff>
      <xdr:row>101</xdr:row>
      <xdr:rowOff>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0CFF76-B1FF-A2B8-E9E8-665F3FBDD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50" y="15263813"/>
          <a:ext cx="1829055" cy="333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750094</xdr:colOff>
      <xdr:row>44</xdr:row>
      <xdr:rowOff>35719</xdr:rowOff>
    </xdr:from>
    <xdr:to>
      <xdr:col>18</xdr:col>
      <xdr:colOff>309562</xdr:colOff>
      <xdr:row>56</xdr:row>
      <xdr:rowOff>95250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27A95360-A224-6163-7C5F-A0BEE94293B6}"/>
            </a:ext>
          </a:extLst>
        </xdr:cNvPr>
        <xdr:cNvSpPr/>
      </xdr:nvSpPr>
      <xdr:spPr>
        <a:xfrm>
          <a:off x="11858625" y="9477375"/>
          <a:ext cx="3369468" cy="2345531"/>
        </a:xfrm>
        <a:prstGeom prst="wedgeEllipseCallout">
          <a:avLst>
            <a:gd name="adj1" fmla="val -101398"/>
            <a:gd name="adj2" fmla="val 60470"/>
          </a:avLst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/>
            <a:t>Unselect</a:t>
          </a:r>
          <a:r>
            <a:rPr lang="en-US" sz="2800" baseline="0"/>
            <a:t> the blanks to see all First Titles.</a:t>
          </a:r>
          <a:endParaRPr lang="en-US" sz="28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ric Jansen" id="{0CBE9F8F-4E11-4421-AF46-D4F9D1445890}" userId="S::EricJansen@MegaSoftwareCanada.onmicrosoft.com::b6fbb919-0095-4fee-bc8d-a5e93c8498fe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" refreshedDate="46266.891751736111" createdVersion="5" refreshedVersion="8" minRefreshableVersion="3" recordCount="170" xr:uid="{00000000-000A-0000-FFFF-FFFF03000000}">
  <cacheSource type="worksheet">
    <worksheetSource ref="A1:E171" sheet="Entry Fees"/>
  </cacheSource>
  <cacheFields count="5">
    <cacheField name="Level" numFmtId="0">
      <sharedItems count="5">
        <s v="Started"/>
        <s v="Advanced"/>
        <s v="Excellent"/>
        <s v="Elite"/>
        <s v="Games"/>
      </sharedItems>
    </cacheField>
    <cacheField name="Name" numFmtId="0">
      <sharedItems containsBlank="1" count="5">
        <s v=""/>
        <s v="Jansen, Eric" u="1"/>
        <s v="Archibald, Val" u="1"/>
        <s v="Jansen, Ghitta" u="1"/>
        <m u="1"/>
      </sharedItems>
    </cacheField>
    <cacheField name="Number of Searches" numFmtId="0">
      <sharedItems containsSemiMixedTypes="0" containsString="0" containsNumber="1" containsInteger="1" minValue="0" maxValue="0"/>
    </cacheField>
    <cacheField name="Number of FEO's" numFmtId="0">
      <sharedItems containsSemiMixedTypes="0" containsString="0" containsNumber="1" containsInteger="1" minValue="0" maxValue="0"/>
    </cacheField>
    <cacheField name="Total Fees" numFmtId="16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" refreshedDate="46266.891752430558" createdVersion="5" refreshedVersion="8" minRefreshableVersion="3" recordCount="170" xr:uid="{00000000-000A-0000-FFFF-FFFF02000000}">
  <cacheSource type="worksheet">
    <worksheetSource ref="L1:P171" sheet="Entry Fees"/>
  </cacheSource>
  <cacheFields count="5">
    <cacheField name="Level" numFmtId="0">
      <sharedItems count="5">
        <s v="Started"/>
        <s v="Advanced"/>
        <s v="Excellent"/>
        <s v="Elite"/>
        <s v="Games"/>
      </sharedItems>
    </cacheField>
    <cacheField name="Name" numFmtId="0">
      <sharedItems count="4">
        <s v=""/>
        <s v="Jansen, Eric" u="1"/>
        <s v="Jansen, Ghitta" u="1"/>
        <s v="Saunders, Ann" u="1"/>
      </sharedItems>
    </cacheField>
    <cacheField name="Number of Searches" numFmtId="0">
      <sharedItems containsSemiMixedTypes="0" containsString="0" containsNumber="1" containsInteger="1" minValue="0" maxValue="0"/>
    </cacheField>
    <cacheField name="Number of FEO's" numFmtId="0">
      <sharedItems containsSemiMixedTypes="0" containsString="0" containsNumber="1" containsInteger="1" minValue="0" maxValue="0"/>
    </cacheField>
    <cacheField name="Total Fees" numFmtId="16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"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"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 rowHeaderCaption="Owner/Handler">
  <location ref="G4:J6" firstHeaderRow="0" firstDataRow="1" firstDataCol="1" rowPageCount="1" colPageCount="1"/>
  <pivotFields count="5">
    <pivotField axis="axisPage" multipleItemSelectionAllowed="1" showAll="0">
      <items count="6">
        <item x="1"/>
        <item x="2"/>
        <item x="0"/>
        <item x="3"/>
        <item x="4"/>
        <item t="default"/>
      </items>
    </pivotField>
    <pivotField axis="axisRow" showAll="0" sortType="ascending">
      <items count="6">
        <item x="0"/>
        <item m="1" x="2"/>
        <item m="1" x="1"/>
        <item m="1" x="3"/>
        <item m="1" x="4"/>
        <item t="default"/>
      </items>
    </pivotField>
    <pivotField dataField="1" showAll="0"/>
    <pivotField dataField="1" showAll="0"/>
    <pivotField dataField="1" numFmtId="164" showAll="0"/>
  </pivotFields>
  <rowFields count="1">
    <field x="1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Trial Searches" fld="2" baseField="0" baseItem="0"/>
    <dataField name="FEO Searches" fld="3" baseField="0" baseItem="0"/>
    <dataField name="Fees" fld="4" baseField="1" baseItem="1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1000000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 rowHeaderCaption="Owner/Handler">
  <location ref="R4:U6" firstHeaderRow="0" firstDataRow="1" firstDataCol="1" rowPageCount="1" colPageCount="1"/>
  <pivotFields count="5">
    <pivotField axis="axisPage" multipleItemSelectionAllowed="1" showAll="0">
      <items count="6">
        <item x="1"/>
        <item x="2"/>
        <item x="0"/>
        <item x="3"/>
        <item x="4"/>
        <item t="default"/>
      </items>
    </pivotField>
    <pivotField axis="axisRow" showAll="0" sortType="ascending">
      <items count="5">
        <item x="0"/>
        <item m="1" x="1"/>
        <item m="1" x="2"/>
        <item m="1" x="3"/>
        <item t="default"/>
      </items>
    </pivotField>
    <pivotField dataField="1" showAll="0"/>
    <pivotField dataField="1" showAll="0"/>
    <pivotField dataField="1" numFmtId="164" showAll="0"/>
  </pivotFields>
  <rowFields count="1">
    <field x="1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Trial Searches" fld="2" baseField="0" baseItem="0"/>
    <dataField name="FEO Searches" fld="3" baseField="0" baseItem="0"/>
    <dataField name="Fees" fld="4" baseField="1" baseItem="1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EFED364-5939-493C-A10F-7CB23EDFD28C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Data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0FE2B9F-A4F2-4AC0-A3E7-6380157D2B56}" autoFormatId="16" applyNumberFormats="0" applyBorderFormats="0" applyFontFormats="0" applyPatternFormats="0" applyAlignmentFormats="0" applyWidthHeightFormats="0">
  <queryTableRefresh nextId="16">
    <queryTableFields count="15">
      <queryTableField id="1" name="dgSDDA_DogNumber" tableColumnId="1"/>
      <queryTableField id="2" name="dgDogCallName" tableColumnId="2"/>
      <queryTableField id="3" name="brdName" tableColumnId="3"/>
      <queryTableField id="4" name="dgSex" tableColumnId="4"/>
      <queryTableField id="5" name="cntSDDA_Id" tableColumnId="5"/>
      <queryTableField id="6" name="FullName" tableColumnId="6"/>
      <queryTableField id="7" name="1- Container Search (S)" tableColumnId="7"/>
      <queryTableField id="8" name="1- Interior Search (S)" tableColumnId="8"/>
      <queryTableField id="9" name="1- Exterior Search (S)" tableColumnId="9"/>
      <queryTableField id="10" name="2- Container Search (A)" tableColumnId="10"/>
      <queryTableField id="11" name="2- Interior Search (A)" tableColumnId="11"/>
      <queryTableField id="12" name="2- Exterior Search (A)" tableColumnId="12"/>
      <queryTableField id="13" name="3- Container Search (E)" tableColumnId="13"/>
      <queryTableField id="14" name="3- Interior Search (E)" tableColumnId="14"/>
      <queryTableField id="15" name="3- Exterior Search (E)" tableColumnId="1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4B7DD1D5-1E06-46C9-AD7B-F78423DD9EBF}" autoFormatId="16" applyNumberFormats="0" applyBorderFormats="0" applyFontFormats="0" applyPatternFormats="0" applyAlignmentFormats="0" applyWidthHeightFormats="0">
  <queryTableRefresh nextId="5">
    <queryTableFields count="4">
      <queryTableField id="1" name="Trial Number" tableColumnId="1"/>
      <queryTableField id="2" name="Trial Date" tableColumnId="2"/>
      <queryTableField id="3" name="Trial City/Town" tableColumnId="3"/>
      <queryTableField id="4" name="Processed Date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3528B088-293C-488F-8837-838A0ECF32BB}" autoFormatId="16" applyNumberFormats="0" applyBorderFormats="0" applyFontFormats="0" applyPatternFormats="0" applyAlignmentFormats="0" applyWidthHeightFormats="0">
  <queryTableRefresh nextId="6">
    <queryTableFields count="5">
      <queryTableField id="1" name="Trial Number" tableColumnId="1"/>
      <queryTableField id="2" name="Trial Date" tableColumnId="2"/>
      <queryTableField id="3" name="Trial City/Town" tableColumnId="3"/>
      <queryTableField id="4" name="Email" tableColumnId="4"/>
      <queryTableField id="5" name="evnReceivedFromHostDate" tableColumnId="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43D7421-9A6C-4B68-964B-8EF17EA8325C}" autoFormatId="16" applyNumberFormats="0" applyBorderFormats="0" applyFontFormats="0" applyPatternFormats="0" applyAlignmentFormats="0" applyWidthHeightFormats="0">
  <queryTableRefresh nextId="3">
    <queryTableFields count="2">
      <queryTableField id="1" name="Judge" tableColumnId="1"/>
      <queryTableField id="2" name="Contact ID" tableColumnId="2"/>
    </queryTableFields>
  </queryTableRefresh>
</queryTable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00000000}" name="Table47" displayName="Table47" ref="A62:G95" totalsRowCount="1">
  <autoFilter ref="A62:G94" xr:uid="{00000000-0009-0000-0100-00002F000000}">
    <filterColumn colId="3">
      <customFilters>
        <customFilter operator="notEqual" val=" "/>
      </customFilters>
    </filterColumn>
  </autoFilter>
  <sortState xmlns:xlrd2="http://schemas.microsoft.com/office/spreadsheetml/2017/richdata2" ref="A75:G94">
    <sortCondition ref="A62:A94"/>
  </sortState>
  <tableColumns count="7">
    <tableColumn id="1" xr3:uid="{00000000-0010-0000-0000-000001000000}" name="Day"/>
    <tableColumn id="2" xr3:uid="{00000000-0010-0000-0000-000002000000}" name="Judge"/>
    <tableColumn id="3" xr3:uid="{00000000-0010-0000-0000-000003000000}" name="Component"/>
    <tableColumn id="4" xr3:uid="{00000000-0010-0000-0000-000004000000}" name="Number of Runs" totalsRowFunction="sum"/>
    <tableColumn id="5" xr3:uid="{00000000-0010-0000-0000-000005000000}" name="Number of FEO's" totalsRowFunction="sum" dataDxfId="1225">
      <calculatedColumnFormula>COUNTIF(GamesDay1[Pass / Fail Aerial D1],"FEO")</calculatedColumnFormula>
    </tableColumn>
    <tableColumn id="6" xr3:uid="{00000000-0010-0000-0000-000006000000}" name="Judging Fee" totalsRowFunction="sum" dataDxfId="1224" totalsRowDxfId="1223">
      <calculatedColumnFormula>(D63+E63)*JudgesFeeFEOGames</calculatedColumnFormula>
    </tableColumn>
    <tableColumn id="7" xr3:uid="{00000000-0010-0000-0000-000007000000}" name="Sdda Fees" totalsRowFunction="sum" totalsRowDxfId="1222">
      <calculatedColumnFormula>D63*SddaFee</calculatedColumnFormula>
    </tableColumn>
  </tableColumns>
  <tableStyleInfo name="TableStyleLight1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8000000}" name="Table131" displayName="Table131" ref="K3:S34" totalsRowCount="1" headerRowDxfId="1083" dataDxfId="1082" totalsRowDxfId="1081">
  <autoFilter ref="K3:S33" xr:uid="{00000000-0009-0000-0100-00001E000000}">
    <filterColumn colId="4">
      <filters blank="1"/>
    </filterColumn>
  </autoFilter>
  <sortState xmlns:xlrd2="http://schemas.microsoft.com/office/spreadsheetml/2017/richdata2" ref="K4:S6">
    <sortCondition ref="O3:O33"/>
  </sortState>
  <tableColumns count="9">
    <tableColumn id="1" xr3:uid="{00000000-0010-0000-0800-000001000000}" name="Ln#" dataDxfId="1080" totalsRowDxfId="1079"/>
    <tableColumn id="2" xr3:uid="{00000000-0010-0000-0800-000002000000}" name="Status Container" dataDxfId="1078" totalsRowDxfId="1077">
      <calculatedColumnFormula>IF(OR(VLOOKUP(Table131[[#This Row],[Ln'#]],Started!A$5:AU$34,7,FALSE)="E",VLOOKUP(Table131[[#This Row],[Ln'#]],Started!A$5:AU$34,7,FALSE)="FEO"),"x","")</calculatedColumnFormula>
    </tableColumn>
    <tableColumn id="3" xr3:uid="{00000000-0010-0000-0800-000003000000}" name="Status Interior" dataDxfId="1076" totalsRowDxfId="1075">
      <calculatedColumnFormula>IF(OR(VLOOKUP(Table131[[#This Row],[Ln'#]],Started!A$5:AU$34,15,FALSE)="E",VLOOKUP(Table131[[#This Row],[Ln'#]],Started!A$5:AU$34,15,FALSE)="FEO"),"x","")</calculatedColumnFormula>
    </tableColumn>
    <tableColumn id="10" xr3:uid="{00000000-0010-0000-0800-00000A000000}" name="Present" totalsRowLabel="Entered" dataDxfId="1074" totalsRowDxfId="1073"/>
    <tableColumn id="5" xr3:uid="{00000000-0010-0000-0800-000005000000}" name="Running Order" totalsRowFunction="countNums" dataDxfId="1072" totalsRowDxfId="1071"/>
    <tableColumn id="4" xr3:uid="{00000000-0010-0000-0800-000004000000}" name="Session" dataDxfId="1070" totalsRowDxfId="1069"/>
    <tableColumn id="6" xr3:uid="{00000000-0010-0000-0800-000006000000}" name="Dog ID" dataDxfId="1068" totalsRowDxfId="1067">
      <calculatedColumnFormula>IF(AND(Table131[[#This Row],[Status Container]]="",Table131[[#This Row],[Status Interior]]=""),"",VLOOKUP(Table131[[#This Row],[Ln'#]],Started!$A$5:$AU$34,3,FALSE))</calculatedColumnFormula>
    </tableColumn>
    <tableColumn id="7" xr3:uid="{00000000-0010-0000-0800-000007000000}" name="Dog Name/Breed" dataDxfId="1066" totalsRowDxfId="1065">
      <calculatedColumnFormula>IF(Table131[[#This Row],[Dog ID]]="","",(VLOOKUP(Table131[[#This Row],[Dog ID]],Started!C$5:$D$34,2,FALSE)&amp;" - " &amp;VLOOKUP(Table131[[#This Row],[Dog ID]],'SDDA Dogs'!A:C,3,FALSE)))</calculatedColumnFormula>
    </tableColumn>
    <tableColumn id="8" xr3:uid="{00000000-0010-0000-0800-000008000000}" name="Owner/Handler" dataDxfId="1064" totalsRowDxfId="1063">
      <calculatedColumnFormula>IF(Table131[[#This Row],[Dog ID]]="","",(VLOOKUP(Table131[[#This Row],[Dog ID]],Started!C$5:$AU35,45,FALSE)))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9000000}" name="Table13130" displayName="Table13130" ref="K37:S68" totalsRowCount="1" headerRowDxfId="1062" dataDxfId="1061" totalsRowDxfId="1060">
  <autoFilter ref="K37:S67" xr:uid="{00000000-0009-0000-0100-00001D000000}"/>
  <sortState xmlns:xlrd2="http://schemas.microsoft.com/office/spreadsheetml/2017/richdata2" ref="K38:S67">
    <sortCondition ref="K3:K33"/>
  </sortState>
  <tableColumns count="9">
    <tableColumn id="1" xr3:uid="{00000000-0010-0000-0900-000001000000}" name="Ln#" dataDxfId="1059" totalsRowDxfId="1058"/>
    <tableColumn id="2" xr3:uid="{00000000-0010-0000-0900-000002000000}" name="Status Container" dataDxfId="1057" totalsRowDxfId="1056">
      <calculatedColumnFormula>IF(OR(VLOOKUP(Table13130[[#This Row],[Ln'#]],Started!A$5:AU$34,7,FALSE)="E",VLOOKUP(Table13130[[#This Row],[Ln'#]],Started!A$5:AU$34,7,FALSE)="FEO"),"x","")</calculatedColumnFormula>
    </tableColumn>
    <tableColumn id="3" xr3:uid="{00000000-0010-0000-0900-000003000000}" name="Status Exterior" dataDxfId="1055" totalsRowDxfId="1054">
      <calculatedColumnFormula>IF(OR(VLOOKUP(Table13130[[#This Row],[Ln'#]],Started!A$5:AU$34,23,FALSE)="E",VLOOKUP(Table13130[[#This Row],[Ln'#]],Started!A$5:AU$34,23,FALSE)="FEO"),"x","")</calculatedColumnFormula>
    </tableColumn>
    <tableColumn id="10" xr3:uid="{00000000-0010-0000-0900-00000A000000}" name="Present" totalsRowLabel="Entered" dataDxfId="1053" totalsRowDxfId="1052"/>
    <tableColumn id="5" xr3:uid="{00000000-0010-0000-0900-000005000000}" name="Running Order" totalsRowFunction="countNums" dataDxfId="1051" totalsRowDxfId="1050"/>
    <tableColumn id="4" xr3:uid="{00000000-0010-0000-0900-000004000000}" name="Session" dataDxfId="1049" totalsRowDxfId="1048"/>
    <tableColumn id="6" xr3:uid="{00000000-0010-0000-0900-000006000000}" name="Dog ID" dataDxfId="1047" totalsRowDxfId="1046">
      <calculatedColumnFormula>IF(AND(Table13130[[#This Row],[Status Container]]="",Table13130[[#This Row],[Status Exterior]]=""),"",VLOOKUP(Table13130[[#This Row],[Ln'#]],Started!$A$5:$AU$34,3,FALSE))</calculatedColumnFormula>
    </tableColumn>
    <tableColumn id="7" xr3:uid="{00000000-0010-0000-0900-000007000000}" name="Dog Name/Breed" dataDxfId="1045" totalsRowDxfId="1044">
      <calculatedColumnFormula>IF(Table13130[[#This Row],[Dog ID]]="","",(VLOOKUP(Table13130[[#This Row],[Dog ID]],Started!C$5:$D$34,2,FALSE)&amp;" - " &amp;VLOOKUP(Table13130[[#This Row],[Dog ID]],'SDDA Dogs'!A:C,3,FALSE)))</calculatedColumnFormula>
    </tableColumn>
    <tableColumn id="8" xr3:uid="{00000000-0010-0000-0900-000008000000}" name="Owner/Handler" dataDxfId="1043" totalsRowDxfId="1042">
      <calculatedColumnFormula>IF(Table13130[[#This Row],[Dog ID]]="","",(VLOOKUP(Table13130[[#This Row],[Dog ID]],Started!C$5:$AU34,44,FALSE)))</calculatedColumnFormula>
    </tableColumn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A000000}" name="Table13132" displayName="Table13132" ref="K105:S136" totalsRowCount="1" headerRowDxfId="1041" dataDxfId="1040" totalsRowDxfId="1039">
  <autoFilter ref="K105:S135" xr:uid="{00000000-0009-0000-0100-00001F000000}"/>
  <sortState xmlns:xlrd2="http://schemas.microsoft.com/office/spreadsheetml/2017/richdata2" ref="K106:S135">
    <sortCondition ref="K3:K33"/>
  </sortState>
  <tableColumns count="9">
    <tableColumn id="1" xr3:uid="{00000000-0010-0000-0A00-000001000000}" name="Ln#" dataDxfId="1038" totalsRowDxfId="1037"/>
    <tableColumn id="2" xr3:uid="{00000000-0010-0000-0A00-000002000000}" name="Status Container" dataDxfId="1036" totalsRowDxfId="1035">
      <calculatedColumnFormula>IF(OR(VLOOKUP(Table13132[[#This Row],[Ln'#]],Started!A$45:AU$74,7,FALSE)="E",VLOOKUP(Table13132[[#This Row],[Ln'#]],Started!A$45:AU$74,7,FALSE)="FEO"),"x","")</calculatedColumnFormula>
    </tableColumn>
    <tableColumn id="3" xr3:uid="{00000000-0010-0000-0A00-000003000000}" name="Status Interior" dataDxfId="1034" totalsRowDxfId="1033">
      <calculatedColumnFormula>IF(OR(VLOOKUP(Table13132[[#This Row],[Ln'#]],Started!A$45:AU$74,15,FALSE)="E",VLOOKUP(Table13132[[#This Row],[Ln'#]],Started!A$45:AU$74,15,FALSE)="FEO"),"x","")</calculatedColumnFormula>
    </tableColumn>
    <tableColumn id="10" xr3:uid="{00000000-0010-0000-0A00-00000A000000}" name="Present" totalsRowLabel="Entered" dataDxfId="1032" totalsRowDxfId="1031"/>
    <tableColumn id="5" xr3:uid="{00000000-0010-0000-0A00-000005000000}" name="Running Order" totalsRowFunction="countNums" dataDxfId="1030" totalsRowDxfId="1029"/>
    <tableColumn id="4" xr3:uid="{00000000-0010-0000-0A00-000004000000}" name="Session" dataDxfId="1028" totalsRowDxfId="1027"/>
    <tableColumn id="6" xr3:uid="{00000000-0010-0000-0A00-000006000000}" name="Dog ID" dataDxfId="1026" totalsRowDxfId="1025">
      <calculatedColumnFormula>IF(AND(Table13132[[#This Row],[Status Container]]="",Table13132[[#This Row],[Status Interior]]=""),"",VLOOKUP(Table13132[[#This Row],[Ln'#]],Started!$A$45:$AU$74,3,FALSE))</calculatedColumnFormula>
    </tableColumn>
    <tableColumn id="7" xr3:uid="{00000000-0010-0000-0A00-000007000000}" name="Dog Name/Breed" dataDxfId="1024" totalsRowDxfId="1023">
      <calculatedColumnFormula>IF(Table13132[[#This Row],[Dog ID]]="","",(VLOOKUP(Table13132[[#This Row],[Dog ID]],Started!C$45:$D$74,2,FALSE)&amp;" - " &amp;VLOOKUP(Table13132[[#This Row],[Dog ID]],'SDDA Dogs'!A:C,3,FALSE)))</calculatedColumnFormula>
    </tableColumn>
    <tableColumn id="8" xr3:uid="{00000000-0010-0000-0A00-000008000000}" name="Owner/Handler" dataDxfId="1022" totalsRowDxfId="1021">
      <calculatedColumnFormula>IF(Table13132[[#This Row],[Dog ID]]="","",(VLOOKUP(Table13132[[#This Row],[Dog ID]],Started!C$45:$AU74,45,FALSE)))</calculatedColumnFormula>
    </tableColumn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B000000}" name="Table1313033" displayName="Table1313033" ref="K139:S170" totalsRowCount="1" headerRowDxfId="1020" dataDxfId="1019" totalsRowDxfId="1018">
  <autoFilter ref="K139:S169" xr:uid="{00000000-0009-0000-0100-000020000000}"/>
  <sortState xmlns:xlrd2="http://schemas.microsoft.com/office/spreadsheetml/2017/richdata2" ref="K140:S169">
    <sortCondition ref="K3:K33"/>
  </sortState>
  <tableColumns count="9">
    <tableColumn id="1" xr3:uid="{00000000-0010-0000-0B00-000001000000}" name="Ln#" dataDxfId="1017" totalsRowDxfId="1016"/>
    <tableColumn id="2" xr3:uid="{00000000-0010-0000-0B00-000002000000}" name="Status Container" dataDxfId="1015" totalsRowDxfId="1014">
      <calculatedColumnFormula>IF(OR(VLOOKUP(Table1313033[[#This Row],[Ln'#]],Started!A$45:AU$74,7,FALSE)="E",VLOOKUP(Table1313033[[#This Row],[Ln'#]],Started!A$45:AU$74,7,FALSE)="FEO"),"x","")</calculatedColumnFormula>
    </tableColumn>
    <tableColumn id="3" xr3:uid="{00000000-0010-0000-0B00-000003000000}" name="Status Exterior" dataDxfId="1013" totalsRowDxfId="1012">
      <calculatedColumnFormula>IF(OR(VLOOKUP(Table1313033[[#This Row],[Ln'#]],Started!A$45:AU$74,23,FALSE)="E",VLOOKUP(Table1313033[[#This Row],[Ln'#]],Started!A$45:AU$74,23,FALSE)="FEO"),"x","")</calculatedColumnFormula>
    </tableColumn>
    <tableColumn id="10" xr3:uid="{00000000-0010-0000-0B00-00000A000000}" name="Present" totalsRowLabel="Entered" dataDxfId="1011" totalsRowDxfId="1010"/>
    <tableColumn id="5" xr3:uid="{00000000-0010-0000-0B00-000005000000}" name="Running Order" totalsRowFunction="countNums" dataDxfId="1009" totalsRowDxfId="1008"/>
    <tableColumn id="4" xr3:uid="{00000000-0010-0000-0B00-000004000000}" name="Session" dataDxfId="1007" totalsRowDxfId="1006"/>
    <tableColumn id="6" xr3:uid="{00000000-0010-0000-0B00-000006000000}" name="Dog ID" dataDxfId="1005" totalsRowDxfId="1004">
      <calculatedColumnFormula>IF(AND(Table1313033[[#This Row],[Status Container]]="",Table1313033[[#This Row],[Status Exterior]]=""),"",VLOOKUP(Table1313033[[#This Row],[Ln'#]],Started!$A$45:$AU$74,3,FALSE))</calculatedColumnFormula>
    </tableColumn>
    <tableColumn id="7" xr3:uid="{00000000-0010-0000-0B00-000007000000}" name="Dog Name/Breed" dataDxfId="1003" totalsRowDxfId="1002">
      <calculatedColumnFormula>IF(Table1313033[[#This Row],[Dog ID]]="","",(VLOOKUP(Table1313033[[#This Row],[Dog ID]],Started!C$45:$D$74,2,FALSE)&amp;" - " &amp;VLOOKUP(Table1313033[[#This Row],[Dog ID]],'SDDA Dogs'!A:C,3,FALSE)))</calculatedColumnFormula>
    </tableColumn>
    <tableColumn id="8" xr3:uid="{00000000-0010-0000-0B00-000008000000}" name="Owner/Handler" dataDxfId="1001" totalsRowDxfId="1000">
      <calculatedColumnFormula>IF(Table1313033[[#This Row],[Dog ID]]="","",(VLOOKUP(Table1313033[[#This Row],[Dog ID]],Started!C$45:$AU74,45,FALSE)))</calculatedColumnFormula>
    </tableColumn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le19" displayName="Table19" ref="A3:H54" totalsRowCount="1" headerRowDxfId="999" dataDxfId="998" totalsRowDxfId="997">
  <autoFilter ref="A3:H53" xr:uid="{00000000-0009-0000-0100-000008000000}"/>
  <sortState xmlns:xlrd2="http://schemas.microsoft.com/office/spreadsheetml/2017/richdata2" ref="A4:H53">
    <sortCondition ref="A3:A53"/>
  </sortState>
  <tableColumns count="8">
    <tableColumn id="1" xr3:uid="{00000000-0010-0000-0C00-000001000000}" name="Ln#" dataDxfId="996" totalsRowDxfId="995"/>
    <tableColumn id="2" xr3:uid="{00000000-0010-0000-0C00-000002000000}" name="Status" dataDxfId="994" totalsRowDxfId="993">
      <calculatedColumnFormula>IF(OR(VLOOKUP(Table19[[#This Row],[Ln'#]],Advanced!A$5:AU$54,7,FALSE)="E",VLOOKUP(Table19[[#This Row],[Ln'#]],Advanced!A$5:AU$54,7,FALSE)="FEO"),"Entered or FEO","Not Entered")</calculatedColumnFormula>
    </tableColumn>
    <tableColumn id="3" xr3:uid="{00000000-0010-0000-0C00-000003000000}" name="Empty" dataDxfId="992" totalsRowDxfId="991">
      <calculatedColumnFormula>IF(OR(B4="e",B4="FEO"),RAND(),"")</calculatedColumnFormula>
    </tableColumn>
    <tableColumn id="10" xr3:uid="{00000000-0010-0000-0C00-00000A000000}" name="Present" totalsRowLabel="Entered" dataDxfId="990" totalsRowDxfId="989"/>
    <tableColumn id="5" xr3:uid="{00000000-0010-0000-0C00-000005000000}" name="Running Order" totalsRowFunction="countNums" dataDxfId="988" totalsRowDxfId="987"/>
    <tableColumn id="6" xr3:uid="{00000000-0010-0000-0C00-000006000000}" name="Dog ID" dataDxfId="986" totalsRowDxfId="985">
      <calculatedColumnFormula>IF(Table19[[#This Row],[Status]]="Not Entered","",VLOOKUP(Table19[[#This Row],[Ln'#]],Advanced!$A$5:$AU$54,3,FALSE))</calculatedColumnFormula>
    </tableColumn>
    <tableColumn id="7" xr3:uid="{00000000-0010-0000-0C00-000007000000}" name="Dog Name/Breed" dataDxfId="984" totalsRowDxfId="983">
      <calculatedColumnFormula>IF(Table19[[#This Row],[Status]]="Not Entered","",VLOOKUP(Table19[[#This Row],[Ln'#]],Advanced!$A$5:$AU$54,4,FALSE) &amp; IF(ISERROR(VLOOKUP(Table19[[#This Row],[Dog ID]],'SDDA Dogs'!A:C,3,FALSE)),""," - " &amp; VLOOKUP(Table19[[#This Row],[Dog ID]],'SDDA Dogs'!A:C,3,FALSE)))</calculatedColumnFormula>
    </tableColumn>
    <tableColumn id="8" xr3:uid="{00000000-0010-0000-0C00-000008000000}" name="Owner/Handler" dataDxfId="982" totalsRowDxfId="981">
      <calculatedColumnFormula>IF(Table19[[#This Row],[Status]]="Not Entered","",VLOOKUP(Table19[[#This Row],[Ln'#]],Advanced!$A$5:$AU$54,47,FALSE))</calculatedColumnFormula>
    </tableColumn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le1710" displayName="Table1710" ref="A111:H162" totalsRowCount="1" headerRowDxfId="980" dataDxfId="979" totalsRowDxfId="978">
  <autoFilter ref="A111:H161" xr:uid="{00000000-0009-0000-0100-000009000000}"/>
  <sortState xmlns:xlrd2="http://schemas.microsoft.com/office/spreadsheetml/2017/richdata2" ref="A112:H161">
    <sortCondition ref="A111:A161"/>
  </sortState>
  <tableColumns count="8">
    <tableColumn id="1" xr3:uid="{00000000-0010-0000-0D00-000001000000}" name="Ln#" dataDxfId="977" totalsRowDxfId="976"/>
    <tableColumn id="2" xr3:uid="{00000000-0010-0000-0D00-000002000000}" name="Status" dataDxfId="975" totalsRowDxfId="974">
      <calculatedColumnFormula>IF(OR(VLOOKUP(Table1710[[#This Row],[Ln'#]],Advanced!A$5:AU$54,15,FALSE)="E",VLOOKUP(Table1710[[#This Row],[Ln'#]],Advanced!A$5:AU$54,15,FALSE)="FEO"),"Entered or FEO","Not Entered")</calculatedColumnFormula>
    </tableColumn>
    <tableColumn id="3" xr3:uid="{00000000-0010-0000-0D00-000003000000}" name="Empty" dataDxfId="973" totalsRowDxfId="972">
      <calculatedColumnFormula>IF(OR(B112="e",B112="FEO"),RAND(),"")</calculatedColumnFormula>
    </tableColumn>
    <tableColumn id="10" xr3:uid="{00000000-0010-0000-0D00-00000A000000}" name="Present" totalsRowLabel="Entered" dataDxfId="971" totalsRowDxfId="970"/>
    <tableColumn id="5" xr3:uid="{00000000-0010-0000-0D00-000005000000}" name="Running Order" totalsRowFunction="countNums" dataDxfId="969" totalsRowDxfId="968"/>
    <tableColumn id="6" xr3:uid="{00000000-0010-0000-0D00-000006000000}" name="Dog ID" dataDxfId="967" totalsRowDxfId="966">
      <calculatedColumnFormula>IF(Table1710[[#This Row],[Status]]="Not Entered","",VLOOKUP(Table1710[[#This Row],[Ln'#]],Advanced!$A$5:$AU$54,3,FALSE))</calculatedColumnFormula>
    </tableColumn>
    <tableColumn id="7" xr3:uid="{00000000-0010-0000-0D00-000007000000}" name="Dog Name/Breed" dataDxfId="965" totalsRowDxfId="964">
      <calculatedColumnFormula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calculatedColumnFormula>
    </tableColumn>
    <tableColumn id="8" xr3:uid="{00000000-0010-0000-0D00-000008000000}" name="Owner/Handler" dataDxfId="963" totalsRowDxfId="962">
      <calculatedColumnFormula>IF(Table1710[[#This Row],[Status]]="Not Entered","",VLOOKUP(Table1710[[#This Row],[Ln'#]],Advanced!$A$4:$AU$54,46,FALSE))</calculatedColumnFormula>
    </tableColumn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E000000}" name="Table171012" displayName="Table171012" ref="A219:H270" totalsRowCount="1" headerRowDxfId="961" dataDxfId="960" totalsRowDxfId="959">
  <autoFilter ref="A219:H269" xr:uid="{00000000-0009-0000-0100-00000B000000}"/>
  <sortState xmlns:xlrd2="http://schemas.microsoft.com/office/spreadsheetml/2017/richdata2" ref="A220:H269">
    <sortCondition ref="A219:A269"/>
  </sortState>
  <tableColumns count="8">
    <tableColumn id="1" xr3:uid="{00000000-0010-0000-0E00-000001000000}" name="Ln#" dataDxfId="958" totalsRowDxfId="957"/>
    <tableColumn id="2" xr3:uid="{00000000-0010-0000-0E00-000002000000}" name="Status" dataDxfId="956" totalsRowDxfId="955">
      <calculatedColumnFormula>IF(OR(VLOOKUP(Table171012[[#This Row],[Ln'#]],Advanced!A$5:AU$54,23,FALSE)="E",VLOOKUP(Table171012[[#This Row],[Ln'#]],Advanced!A$5:AU$54,23,FALSE)="FEO"),"Entered or FEO","Not Entered")</calculatedColumnFormula>
    </tableColumn>
    <tableColumn id="3" xr3:uid="{00000000-0010-0000-0E00-000003000000}" name="Empty" dataDxfId="954" totalsRowDxfId="953">
      <calculatedColumnFormula>IF(OR(B220="e",B220="FEO"),RAND(),"")</calculatedColumnFormula>
    </tableColumn>
    <tableColumn id="10" xr3:uid="{00000000-0010-0000-0E00-00000A000000}" name="Present" totalsRowLabel="Entered" dataDxfId="952" totalsRowDxfId="951"/>
    <tableColumn id="5" xr3:uid="{00000000-0010-0000-0E00-000005000000}" name="Running Order" totalsRowFunction="countNums" dataDxfId="950" totalsRowDxfId="949"/>
    <tableColumn id="6" xr3:uid="{00000000-0010-0000-0E00-000006000000}" name="Dog ID" dataDxfId="948" totalsRowDxfId="947">
      <calculatedColumnFormula>IF(Table171012[[#This Row],[Status]]="Not Entered","",VLOOKUP(Table171012[[#This Row],[Ln'#]],Advanced!$A$5:$AU$54,3,FALSE))</calculatedColumnFormula>
    </tableColumn>
    <tableColumn id="7" xr3:uid="{00000000-0010-0000-0E00-000007000000}" name="Dog Name/Breed" dataDxfId="946" totalsRowDxfId="945">
      <calculatedColumnFormula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calculatedColumnFormula>
    </tableColumn>
    <tableColumn id="8" xr3:uid="{00000000-0010-0000-0E00-000008000000}" name="Owner/Handler" dataDxfId="944" totalsRowDxfId="943">
      <calculatedColumnFormula>IF(Table171012[[#This Row],[Status]]="Not Entered","",VLOOKUP(Table171012[[#This Row],[Ln'#]],Advanced!$A$4:$AU$54,47,FALSE))</calculatedColumnFormula>
    </tableColumn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917" displayName="Table1917" ref="A273:H324" totalsRowCount="1" headerRowDxfId="942" dataDxfId="941" totalsRowDxfId="940">
  <autoFilter ref="A273:H323" xr:uid="{00000000-0009-0000-0100-000010000000}"/>
  <sortState xmlns:xlrd2="http://schemas.microsoft.com/office/spreadsheetml/2017/richdata2" ref="A274:H323">
    <sortCondition ref="A273:A323"/>
  </sortState>
  <tableColumns count="8">
    <tableColumn id="1" xr3:uid="{00000000-0010-0000-0F00-000001000000}" name="Ln#" dataDxfId="939" totalsRowDxfId="938"/>
    <tableColumn id="2" xr3:uid="{00000000-0010-0000-0F00-000002000000}" name="Status" dataDxfId="937" totalsRowDxfId="936">
      <calculatedColumnFormula>IF(OR(VLOOKUP(Table1917[[#This Row],[Ln'#]],Advanced!A$65:AU$114,7,FALSE)="E",VLOOKUP(Table1917[[#This Row],[Ln'#]],Advanced!A$65:AU$114,7,FALSE)="FEO"),"Entered or FEO","Not Entered")</calculatedColumnFormula>
    </tableColumn>
    <tableColumn id="3" xr3:uid="{00000000-0010-0000-0F00-000003000000}" name="Empty" dataDxfId="935" totalsRowDxfId="934">
      <calculatedColumnFormula>IF(OR(B274="e",B274="FEO"),RAND(),"")</calculatedColumnFormula>
    </tableColumn>
    <tableColumn id="10" xr3:uid="{00000000-0010-0000-0F00-00000A000000}" name="Present" totalsRowLabel="Entered" dataDxfId="933" totalsRowDxfId="932"/>
    <tableColumn id="5" xr3:uid="{00000000-0010-0000-0F00-000005000000}" name="Running Order" totalsRowFunction="countNums" dataDxfId="931" totalsRowDxfId="930"/>
    <tableColumn id="6" xr3:uid="{00000000-0010-0000-0F00-000006000000}" name="Dog ID" dataDxfId="929" totalsRowDxfId="928">
      <calculatedColumnFormula>IF(Table1917[[#This Row],[Status]]="Not Entered","",VLOOKUP(Table1917[[#This Row],[Ln'#]],Advanced!$A$65:$AU$114,3,FALSE))</calculatedColumnFormula>
    </tableColumn>
    <tableColumn id="7" xr3:uid="{00000000-0010-0000-0F00-000007000000}" name="Dog Name/Breed" dataDxfId="927" totalsRowDxfId="926">
      <calculatedColumnFormula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calculatedColumnFormula>
    </tableColumn>
    <tableColumn id="8" xr3:uid="{00000000-0010-0000-0F00-000008000000}" name="Owner/Handler" dataDxfId="925" totalsRowDxfId="924">
      <calculatedColumnFormula>IF(Table1917[[#This Row],[Status]]="Not Entered","",VLOOKUP(Table1917[[#This Row],[Ln'#]],Advanced!$A$65:$AU$114,47,FALSE))</calculatedColumnFormula>
    </tableColumn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le171019" displayName="Table171019" ref="A382:H433" totalsRowCount="1" headerRowDxfId="923" dataDxfId="922" totalsRowDxfId="921">
  <autoFilter ref="A382:H432" xr:uid="{00000000-0009-0000-0100-000012000000}"/>
  <sortState xmlns:xlrd2="http://schemas.microsoft.com/office/spreadsheetml/2017/richdata2" ref="A383:H432">
    <sortCondition ref="E382:E432"/>
  </sortState>
  <tableColumns count="8">
    <tableColumn id="1" xr3:uid="{00000000-0010-0000-1000-000001000000}" name="Ln#" dataDxfId="920" totalsRowDxfId="919"/>
    <tableColumn id="2" xr3:uid="{00000000-0010-0000-1000-000002000000}" name="Status" dataDxfId="918" totalsRowDxfId="917">
      <calculatedColumnFormula>IF(OR(VLOOKUP(Table171019[[#This Row],[Ln'#]],Advanced!A$65:AU$114,15,FALSE)="E",VLOOKUP(Table171019[[#This Row],[Ln'#]],Advanced!A$65:AU$114,15,FALSE)="FEO"),"Entered or FEO","Not Entered")</calculatedColumnFormula>
    </tableColumn>
    <tableColumn id="3" xr3:uid="{00000000-0010-0000-1000-000003000000}" name="Empty" dataDxfId="916" totalsRowDxfId="915">
      <calculatedColumnFormula>IF(OR(B383="e",B383="FEO"),RAND(),"")</calculatedColumnFormula>
    </tableColumn>
    <tableColumn id="10" xr3:uid="{00000000-0010-0000-1000-00000A000000}" name="Present" totalsRowLabel="Entered" dataDxfId="914" totalsRowDxfId="913"/>
    <tableColumn id="5" xr3:uid="{00000000-0010-0000-1000-000005000000}" name="Running Order" totalsRowFunction="countNums" dataDxfId="912" totalsRowDxfId="911"/>
    <tableColumn id="6" xr3:uid="{00000000-0010-0000-1000-000006000000}" name="Dog ID" dataDxfId="910" totalsRowDxfId="909">
      <calculatedColumnFormula>IF(Table171019[[#This Row],[Status]]="Not Entered","",VLOOKUP(Table171019[[#This Row],[Ln'#]],Advanced!$A$65:$AU$114,3,FALSE))</calculatedColumnFormula>
    </tableColumn>
    <tableColumn id="7" xr3:uid="{00000000-0010-0000-1000-000007000000}" name="Dog Name/Breed" dataDxfId="908" totalsRowDxfId="907">
      <calculatedColumnFormula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calculatedColumnFormula>
    </tableColumn>
    <tableColumn id="8" xr3:uid="{00000000-0010-0000-1000-000008000000}" name="Owner/Handler" dataDxfId="906" totalsRowDxfId="905">
      <calculatedColumnFormula>IF(Table171019[[#This Row],[Status]]="Not Entered","",VLOOKUP(Table171019[[#This Row],[Ln'#]],Advanced!$A$65:$AU$114,47,FALSE))</calculatedColumnFormula>
    </tableColumn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le17101220" displayName="Table17101220" ref="A491:H542" totalsRowCount="1" headerRowDxfId="904" dataDxfId="903" totalsRowDxfId="902">
  <autoFilter ref="A491:H541" xr:uid="{00000000-0009-0000-0100-000013000000}"/>
  <sortState xmlns:xlrd2="http://schemas.microsoft.com/office/spreadsheetml/2017/richdata2" ref="A492:H541">
    <sortCondition ref="E491:E541"/>
  </sortState>
  <tableColumns count="8">
    <tableColumn id="1" xr3:uid="{00000000-0010-0000-1100-000001000000}" name="Ln#" dataDxfId="901" totalsRowDxfId="900"/>
    <tableColumn id="2" xr3:uid="{00000000-0010-0000-1100-000002000000}" name="Status" dataDxfId="899" totalsRowDxfId="898">
      <calculatedColumnFormula>IF(OR(VLOOKUP(Table17101220[[#This Row],[Ln'#]],Advanced!A$65:AU$114,23,FALSE)="E",VLOOKUP(Table17101220[[#This Row],[Ln'#]],Advanced!A$65:AU$114,23,FALSE)="FEO"),"Entered or FEO","Not Entered")</calculatedColumnFormula>
    </tableColumn>
    <tableColumn id="3" xr3:uid="{00000000-0010-0000-1100-000003000000}" name="Empty" dataDxfId="897" totalsRowDxfId="896">
      <calculatedColumnFormula>IF(OR(B492="e",B492="FEO"),RAND(),"")</calculatedColumnFormula>
    </tableColumn>
    <tableColumn id="10" xr3:uid="{00000000-0010-0000-1100-00000A000000}" name="Present" totalsRowLabel="Entered" dataDxfId="895" totalsRowDxfId="894"/>
    <tableColumn id="5" xr3:uid="{00000000-0010-0000-1100-000005000000}" name="Running Order" totalsRowFunction="countNums" dataDxfId="893" totalsRowDxfId="892"/>
    <tableColumn id="6" xr3:uid="{00000000-0010-0000-1100-000006000000}" name="Dog ID" dataDxfId="891" totalsRowDxfId="890">
      <calculatedColumnFormula>IF(Table17101220[[#This Row],[Status]]="Not Entered","",VLOOKUP(Table17101220[[#This Row],[Ln'#]],Advanced!$A$65:$AU$114,3,FALSE))</calculatedColumnFormula>
    </tableColumn>
    <tableColumn id="7" xr3:uid="{00000000-0010-0000-1100-000007000000}" name="Dog Name/Breed" dataDxfId="889" totalsRowDxfId="888">
      <calculatedColumnFormula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calculatedColumnFormula>
    </tableColumn>
    <tableColumn id="8" xr3:uid="{00000000-0010-0000-1100-000008000000}" name="Owner/Handler" dataDxfId="887" totalsRowDxfId="886">
      <calculatedColumnFormula>IF(Table17101220[[#This Row],[Status]]="Not Entered","",VLOOKUP(Table17101220[[#This Row],[Ln'#]],Advanced!$A$65:$AU$114,47,FALSE))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1000000}" name="Table48" displayName="Table48" ref="U1:U23" totalsRowShown="0">
  <autoFilter ref="U1:U23" xr:uid="{00000000-0009-0000-0100-000030000000}"/>
  <sortState xmlns:xlrd2="http://schemas.microsoft.com/office/spreadsheetml/2017/richdata2" ref="U2:U23">
    <sortCondition ref="U1:U23"/>
  </sortState>
  <tableColumns count="1">
    <tableColumn id="1" xr3:uid="{00000000-0010-0000-0100-000001000000}" name="Special Titles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2000000}" name="Table13134" displayName="Table13134" ref="A57:H108" totalsRowCount="1" headerRowDxfId="885" dataDxfId="884" totalsRowDxfId="883">
  <autoFilter ref="A57:H107" xr:uid="{00000000-0009-0000-0100-000021000000}"/>
  <sortState xmlns:xlrd2="http://schemas.microsoft.com/office/spreadsheetml/2017/richdata2" ref="A58:H107">
    <sortCondition ref="A57:A107"/>
  </sortState>
  <tableColumns count="8">
    <tableColumn id="1" xr3:uid="{00000000-0010-0000-1200-000001000000}" name="Ln#" dataDxfId="882" totalsRowDxfId="881"/>
    <tableColumn id="2" xr3:uid="{00000000-0010-0000-1200-000002000000}" name="Status Container" dataDxfId="880" totalsRowDxfId="879">
      <calculatedColumnFormula>IF(OR(VLOOKUP(Table13134[[#This Row],[Ln'#]],Advanced!A$5:AU$54,7,FALSE)="E",VLOOKUP(Table13134[[#This Row],[Ln'#]],Advanced!A$5:AU$54,7,FALSE)="FEO"),"x","")</calculatedColumnFormula>
    </tableColumn>
    <tableColumn id="3" xr3:uid="{00000000-0010-0000-1200-000003000000}" name="Status Interior" dataDxfId="878" totalsRowDxfId="877">
      <calculatedColumnFormula>IF(OR(VLOOKUP(Table13134[[#This Row],[Ln'#]],Advanced!A$5:AU$54,15,FALSE)="E",VLOOKUP(Table13134[[#This Row],[Ln'#]],Advanced!A$5:AU$54,15,FALSE)="FEO"),"x","")</calculatedColumnFormula>
    </tableColumn>
    <tableColumn id="10" xr3:uid="{00000000-0010-0000-1200-00000A000000}" name="Present" totalsRowLabel="Entered" dataDxfId="876" totalsRowDxfId="875"/>
    <tableColumn id="5" xr3:uid="{00000000-0010-0000-1200-000005000000}" name="Running Order" totalsRowFunction="countNums" dataDxfId="874" totalsRowDxfId="873"/>
    <tableColumn id="6" xr3:uid="{00000000-0010-0000-1200-000006000000}" name="Dog ID" dataDxfId="872" totalsRowDxfId="871">
      <calculatedColumnFormula>IF(AND(Table13134[[#This Row],[Status Container]]="",Table13134[[#This Row],[Status Interior]]=""),"",VLOOKUP(Table13134[[#This Row],[Ln'#]],Advanced!$A$5:$AU$54,3,FALSE))</calculatedColumnFormula>
    </tableColumn>
    <tableColumn id="7" xr3:uid="{00000000-0010-0000-1200-000007000000}" name="Dog Name/Breed" dataDxfId="870" totalsRowDxfId="869">
      <calculatedColumnFormula>IF(Table13134[[#This Row],[Dog ID]]="","",(VLOOKUP(Table13134[[#This Row],[Dog ID]],Advanced!C$5:$D$54,2,FALSE)&amp;" - " &amp;VLOOKUP(Table13134[[#This Row],[Dog ID]],'SDDA Dogs'!A:C,3,FALSE)))</calculatedColumnFormula>
    </tableColumn>
    <tableColumn id="8" xr3:uid="{00000000-0010-0000-1200-000008000000}" name="Owner/Handler" dataDxfId="868" totalsRowDxfId="867">
      <calculatedColumnFormula>IF(Table13134[[#This Row],[Dog ID]]="","",(VLOOKUP(Table13134[[#This Row],[Dog ID]],Advanced!C$5:$AU54,45,FALSE)))</calculatedColumnFormula>
    </tableColumn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3000000}" name="Table1313035" displayName="Table1313035" ref="A165:H216" totalsRowCount="1" headerRowDxfId="866" dataDxfId="865" totalsRowDxfId="864">
  <autoFilter ref="A165:H215" xr:uid="{00000000-0009-0000-0100-000022000000}"/>
  <sortState xmlns:xlrd2="http://schemas.microsoft.com/office/spreadsheetml/2017/richdata2" ref="A166:H215">
    <sortCondition ref="A165:A215"/>
  </sortState>
  <tableColumns count="8">
    <tableColumn id="1" xr3:uid="{00000000-0010-0000-1300-000001000000}" name="Ln#" dataDxfId="863" totalsRowDxfId="862"/>
    <tableColumn id="2" xr3:uid="{00000000-0010-0000-1300-000002000000}" name="Status Container" dataDxfId="861" totalsRowDxfId="860">
      <calculatedColumnFormula>IF(OR(VLOOKUP(Table1313035[[#This Row],[Ln'#]],Advanced!A$5:AU$54,7,FALSE)="E",VLOOKUP(Table1313035[[#This Row],[Ln'#]],Advanced!A$5:AU$54,7,FALSE)="FEO"),"x","")</calculatedColumnFormula>
    </tableColumn>
    <tableColumn id="3" xr3:uid="{00000000-0010-0000-1300-000003000000}" name="Status Exterior" dataDxfId="859" totalsRowDxfId="858">
      <calculatedColumnFormula>IF(OR(VLOOKUP(Table1313035[[#This Row],[Ln'#]],Advanced!A$5:AU$54,23,FALSE)="E",VLOOKUP(Table1313035[[#This Row],[Ln'#]],Advanced!A$5:AU$54,23,FALSE)="FEO"),"x","")</calculatedColumnFormula>
    </tableColumn>
    <tableColumn id="10" xr3:uid="{00000000-0010-0000-1300-00000A000000}" name="Present" totalsRowLabel="Entered" dataDxfId="857" totalsRowDxfId="856"/>
    <tableColumn id="5" xr3:uid="{00000000-0010-0000-1300-000005000000}" name="Running Order" totalsRowFunction="countNums" dataDxfId="855" totalsRowDxfId="854"/>
    <tableColumn id="6" xr3:uid="{00000000-0010-0000-1300-000006000000}" name="Dog ID" dataDxfId="853" totalsRowDxfId="852">
      <calculatedColumnFormula>IF(AND(Table1313035[[#This Row],[Status Container]]="",Table1313035[[#This Row],[Status Exterior]]=""),"",VLOOKUP(Table1313035[[#This Row],[Ln'#]],Advanced!$A$5:$AU$54,3,FALSE))</calculatedColumnFormula>
    </tableColumn>
    <tableColumn id="7" xr3:uid="{00000000-0010-0000-1300-000007000000}" name="Dog Name/Breed" dataDxfId="851" totalsRowDxfId="850">
      <calculatedColumnFormula>IF(Table1313035[[#This Row],[Dog ID]]="","",(VLOOKUP(Table1313035[[#This Row],[Dog ID]],Advanced!C$5:$D$54,2,FALSE)&amp;" - " &amp;VLOOKUP(Table1313035[[#This Row],[Dog ID]],'SDDA Dogs'!A:C,3,FALSE)))</calculatedColumnFormula>
    </tableColumn>
    <tableColumn id="8" xr3:uid="{00000000-0010-0000-1300-000008000000}" name="Owner/Handler" dataDxfId="849" totalsRowDxfId="848">
      <calculatedColumnFormula>IF(Table1313035[[#This Row],[Dog ID]]="","",(VLOOKUP(Table1313035[[#This Row],[Dog ID]],Advanced!C$5:$AU54,45,FALSE)))</calculatedColumnFormula>
    </tableColumn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4000000}" name="Table1313236" displayName="Table1313236" ref="A327:H378" totalsRowCount="1" headerRowDxfId="847" dataDxfId="846" totalsRowDxfId="845">
  <autoFilter ref="A327:H377" xr:uid="{00000000-0009-0000-0100-000023000000}"/>
  <sortState xmlns:xlrd2="http://schemas.microsoft.com/office/spreadsheetml/2017/richdata2" ref="A328:H377">
    <sortCondition ref="A37:A87"/>
  </sortState>
  <tableColumns count="8">
    <tableColumn id="1" xr3:uid="{00000000-0010-0000-1400-000001000000}" name="Ln#" dataDxfId="844" totalsRowDxfId="843"/>
    <tableColumn id="2" xr3:uid="{00000000-0010-0000-1400-000002000000}" name="Status Container" dataDxfId="842" totalsRowDxfId="841">
      <calculatedColumnFormula>IF(OR(VLOOKUP(Table1313236[[#This Row],[Ln'#]],Advanced!A$65:AU$114,7,FALSE)="E",VLOOKUP(Table1313236[[#This Row],[Ln'#]],Advanced!A$65:AU$114,7,FALSE)="FEO"),"x","")</calculatedColumnFormula>
    </tableColumn>
    <tableColumn id="3" xr3:uid="{00000000-0010-0000-1400-000003000000}" name="Status Interior" dataDxfId="840" totalsRowDxfId="839">
      <calculatedColumnFormula>IF(OR(VLOOKUP(Table1313236[[#This Row],[Ln'#]],Advanced!A$65:AU$114,15,FALSE)="E",VLOOKUP(Table1313236[[#This Row],[Ln'#]],Advanced!A$65:AU$114,15,FALSE)="FEO"),"x","")</calculatedColumnFormula>
    </tableColumn>
    <tableColumn id="10" xr3:uid="{00000000-0010-0000-1400-00000A000000}" name="Present" totalsRowLabel="Entered" dataDxfId="838" totalsRowDxfId="837"/>
    <tableColumn id="5" xr3:uid="{00000000-0010-0000-1400-000005000000}" name="Running Order" totalsRowFunction="countNums" dataDxfId="836" totalsRowDxfId="835"/>
    <tableColumn id="6" xr3:uid="{00000000-0010-0000-1400-000006000000}" name="Dog ID" dataDxfId="834" totalsRowDxfId="833">
      <calculatedColumnFormula>IF(AND(Table1313236[[#This Row],[Status Container]]="",Table1313236[[#This Row],[Status Interior]]=""),"",VLOOKUP(Table1313236[[#This Row],[Ln'#]],Advanced!$A$65:$AU$114,3,FALSE))</calculatedColumnFormula>
    </tableColumn>
    <tableColumn id="7" xr3:uid="{00000000-0010-0000-1400-000007000000}" name="Dog Name/Breed" dataDxfId="832" totalsRowDxfId="831">
      <calculatedColumnFormula>IF(Table1313236[[#This Row],[Dog ID]]="","",(VLOOKUP(Table1313236[[#This Row],[Dog ID]],Advanced!C$65:$D$114,2,FALSE)&amp;" - " &amp;VLOOKUP(Table1313236[[#This Row],[Dog ID]],'SDDA Dogs'!A:C,3,FALSE)))</calculatedColumnFormula>
    </tableColumn>
    <tableColumn id="8" xr3:uid="{00000000-0010-0000-1400-000008000000}" name="Owner/Handler" dataDxfId="830" totalsRowDxfId="829">
      <calculatedColumnFormula>IF(Table1313236[[#This Row],[Dog ID]]="","",(VLOOKUP(Table1313236[[#This Row],[Dog ID]],Advanced!C$65:$AU114,45,FALSE)))</calculatedColumnFormula>
    </tableColumn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5000000}" name="Table131303337" displayName="Table131303337" ref="A436:H487" totalsRowCount="1" headerRowDxfId="828" dataDxfId="827" totalsRowDxfId="826">
  <autoFilter ref="A436:H486" xr:uid="{00000000-0009-0000-0100-000024000000}"/>
  <sortState xmlns:xlrd2="http://schemas.microsoft.com/office/spreadsheetml/2017/richdata2" ref="A437:H486">
    <sortCondition ref="A37:A87"/>
  </sortState>
  <tableColumns count="8">
    <tableColumn id="1" xr3:uid="{00000000-0010-0000-1500-000001000000}" name="Ln#" dataDxfId="825" totalsRowDxfId="824"/>
    <tableColumn id="2" xr3:uid="{00000000-0010-0000-1500-000002000000}" name="Status Container" dataDxfId="823" totalsRowDxfId="822">
      <calculatedColumnFormula>IF(OR(VLOOKUP(Table131303337[[#This Row],[Ln'#]],Advanced!A$65:AU$114,7,FALSE)="E",VLOOKUP(Table131303337[[#This Row],[Ln'#]],Advanced!A$65:AU$114,7,FALSE)="FEO"),"x","")</calculatedColumnFormula>
    </tableColumn>
    <tableColumn id="3" xr3:uid="{00000000-0010-0000-1500-000003000000}" name="Status Exterior" dataDxfId="821" totalsRowDxfId="820">
      <calculatedColumnFormula>IF(OR(VLOOKUP(Table131303337[[#This Row],[Ln'#]],Advanced!A$65:AU$114,23,FALSE)="E",VLOOKUP(Table131303337[[#This Row],[Ln'#]],Advanced!A$65:AU$114,23,FALSE)="FEO"),"x","")</calculatedColumnFormula>
    </tableColumn>
    <tableColumn id="10" xr3:uid="{00000000-0010-0000-1500-00000A000000}" name="Present" totalsRowLabel="Entered" dataDxfId="819" totalsRowDxfId="818"/>
    <tableColumn id="5" xr3:uid="{00000000-0010-0000-1500-000005000000}" name="Running Order" totalsRowFunction="countNums" dataDxfId="817" totalsRowDxfId="816"/>
    <tableColumn id="6" xr3:uid="{00000000-0010-0000-1500-000006000000}" name="Dog ID" dataDxfId="815" totalsRowDxfId="814">
      <calculatedColumnFormula>IF(AND(Table131303337[[#This Row],[Status Container]]="",Table131303337[[#This Row],[Status Exterior]]=""),"",VLOOKUP(Table131303337[[#This Row],[Ln'#]],Advanced!$A$65:$AU$114,3,FALSE))</calculatedColumnFormula>
    </tableColumn>
    <tableColumn id="7" xr3:uid="{00000000-0010-0000-1500-000007000000}" name="Dog Name/Breed" dataDxfId="813" totalsRowDxfId="812">
      <calculatedColumnFormula>IF(Table131303337[[#This Row],[Dog ID]]="","",(VLOOKUP(Table131303337[[#This Row],[Dog ID]],Advanced!C$65:$D$114,2,FALSE)&amp;" - " &amp;VLOOKUP(Table131303337[[#This Row],[Dog ID]],'SDDA Dogs'!A:C,3,FALSE)))</calculatedColumnFormula>
    </tableColumn>
    <tableColumn id="8" xr3:uid="{00000000-0010-0000-1500-000008000000}" name="Owner/Handler" dataDxfId="811" totalsRowDxfId="810">
      <calculatedColumnFormula>IF(Table131303337[[#This Row],[Dog ID]]="","",(VLOOKUP(Table131303337[[#This Row],[Dog ID]],Advanced!C$65:$AU114,45,FALSE)))</calculatedColumnFormula>
    </tableColumn>
  </tableColumns>
  <tableStyleInfo name="TableStyleLight8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6000000}" name="Table193" displayName="Table193" ref="A3:H54" totalsRowCount="1" headerRowDxfId="809" dataDxfId="808" totalsRowDxfId="807">
  <autoFilter ref="A3:H53" xr:uid="{00000000-0009-0000-0100-000002000000}">
    <filterColumn colId="1">
      <filters>
        <filter val="Entered or FEO"/>
      </filters>
    </filterColumn>
  </autoFilter>
  <sortState xmlns:xlrd2="http://schemas.microsoft.com/office/spreadsheetml/2017/richdata2" ref="A4:G53">
    <sortCondition ref="A3:A53"/>
  </sortState>
  <tableColumns count="8">
    <tableColumn id="1" xr3:uid="{00000000-0010-0000-1600-000001000000}" name="Ln#" dataDxfId="806" totalsRowDxfId="805"/>
    <tableColumn id="2" xr3:uid="{00000000-0010-0000-1600-000002000000}" name="Status" dataDxfId="804" totalsRowDxfId="803">
      <calculatedColumnFormula>IF(OR(VLOOKUP(Table193[[#This Row],[Ln'#]],Excellent!A$5:AW$54,7,FALSE)="E",VLOOKUP(Table193[[#This Row],[Ln'#]],Excellent!A$5:AW$54,7,FALSE)="FEO"),"Entered or FEO","Not Entered")</calculatedColumnFormula>
    </tableColumn>
    <tableColumn id="3" xr3:uid="{00000000-0010-0000-1600-000003000000}" name="Empty" dataDxfId="802" totalsRowDxfId="801"/>
    <tableColumn id="10" xr3:uid="{00000000-0010-0000-1600-00000A000000}" name="Present" totalsRowLabel="Entered" dataDxfId="800" totalsRowDxfId="799"/>
    <tableColumn id="5" xr3:uid="{00000000-0010-0000-1600-000005000000}" name="Running Order" totalsRowFunction="countNums" dataDxfId="798" totalsRowDxfId="797"/>
    <tableColumn id="6" xr3:uid="{00000000-0010-0000-1600-000006000000}" name="Dog ID" dataDxfId="796" totalsRowDxfId="795">
      <calculatedColumnFormula>IF(Table193[[#This Row],[Status]]="Not Entered","",VLOOKUP(Table193[[#This Row],[Ln'#]],Excellent!$A$5:$AU$54,3,FALSE))</calculatedColumnFormula>
    </tableColumn>
    <tableColumn id="7" xr3:uid="{00000000-0010-0000-1600-000007000000}" name="Dog Name/Breed" dataDxfId="794" totalsRowDxfId="793">
      <calculatedColumnFormula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calculatedColumnFormula>
    </tableColumn>
    <tableColumn id="8" xr3:uid="{00000000-0010-0000-1600-000008000000}" name="Owner/Handler" dataDxfId="792" totalsRowDxfId="791">
      <calculatedColumnFormula>IF(Table193[[#This Row],[Status]]="Not Entered","",VLOOKUP(Table193[[#This Row],[Ln'#]],Excellent!$A$5:$AU$54,47,FALSE))</calculatedColumnFormula>
    </tableColumn>
  </tableColumns>
  <tableStyleInfo name="TableStyleLight8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7000000}" name="Table17105" displayName="Table17105" ref="A112:H163" totalsRowCount="1" headerRowDxfId="790" dataDxfId="789" totalsRowDxfId="788">
  <autoFilter ref="A112:H162" xr:uid="{00000000-0009-0000-0100-000004000000}"/>
  <sortState xmlns:xlrd2="http://schemas.microsoft.com/office/spreadsheetml/2017/richdata2" ref="A113:G162">
    <sortCondition ref="A3:A53"/>
  </sortState>
  <tableColumns count="8">
    <tableColumn id="1" xr3:uid="{00000000-0010-0000-1700-000001000000}" name="Ln#" dataDxfId="787" totalsRowDxfId="786"/>
    <tableColumn id="2" xr3:uid="{00000000-0010-0000-1700-000002000000}" name="Status" dataDxfId="785" totalsRowDxfId="784">
      <calculatedColumnFormula>IF(OR(VLOOKUP(Table17105[[#This Row],[Ln'#]],Excellent!A$5:AW$54,15,FALSE)="E",VLOOKUP(Table17105[[#This Row],[Ln'#]],Excellent!A$5:AW$54,15,FALSE)="FEO"),"Entered or FEO","Not Entered")</calculatedColumnFormula>
    </tableColumn>
    <tableColumn id="3" xr3:uid="{00000000-0010-0000-1700-000003000000}" name="Empty" dataDxfId="783" totalsRowDxfId="782"/>
    <tableColumn id="10" xr3:uid="{00000000-0010-0000-1700-00000A000000}" name="Present" totalsRowLabel="Entered" dataDxfId="781" totalsRowDxfId="780"/>
    <tableColumn id="5" xr3:uid="{00000000-0010-0000-1700-000005000000}" name="Running Order" totalsRowFunction="countNums" dataDxfId="779" totalsRowDxfId="778"/>
    <tableColumn id="6" xr3:uid="{00000000-0010-0000-1700-000006000000}" name="Dog ID" dataDxfId="777" totalsRowDxfId="776">
      <calculatedColumnFormula>IF(Table17105[[#This Row],[Status]]="Not Entered","",VLOOKUP(Table17105[[#This Row],[Ln'#]],Excellent!$A$5:$AW$54,3,FALSE))</calculatedColumnFormula>
    </tableColumn>
    <tableColumn id="7" xr3:uid="{00000000-0010-0000-1700-000007000000}" name="Dog Name/Breed" dataDxfId="775" totalsRowDxfId="774">
      <calculatedColumnFormula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calculatedColumnFormula>
    </tableColumn>
    <tableColumn id="8" xr3:uid="{00000000-0010-0000-1700-000008000000}" name="Owner/Handler" dataDxfId="773" totalsRowDxfId="772">
      <calculatedColumnFormula>IF(Table17105[[#This Row],[Status]]="Not Entered","",VLOOKUP(Table17105[[#This Row],[Ln'#]],Excellent!$A$4:$AW$54,47,FALSE))</calculatedColumnFormula>
    </tableColumn>
  </tableColumns>
  <tableStyleInfo name="TableStyleLight8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le1710128" displayName="Table1710128" ref="A221:H272" totalsRowCount="1" headerRowDxfId="771" dataDxfId="770" totalsRowDxfId="769">
  <autoFilter ref="A221:H271" xr:uid="{00000000-0009-0000-0100-000007000000}"/>
  <sortState xmlns:xlrd2="http://schemas.microsoft.com/office/spreadsheetml/2017/richdata2" ref="A223:G272">
    <sortCondition ref="A3:A53"/>
  </sortState>
  <tableColumns count="8">
    <tableColumn id="1" xr3:uid="{00000000-0010-0000-1800-000001000000}" name="Ln#" dataDxfId="768" totalsRowDxfId="767"/>
    <tableColumn id="2" xr3:uid="{00000000-0010-0000-1800-000002000000}" name="Status" dataDxfId="766" totalsRowDxfId="765">
      <calculatedColumnFormula>IF(OR(VLOOKUP(Table1710128[[#This Row],[Ln'#]],Excellent!A$5:AW$54,23,FALSE)="E",VLOOKUP(Table1710128[[#This Row],[Ln'#]],Excellent!A$5:AU$54,23,FALSE)="FEO"),"Entered or FEO","Not Entered")</calculatedColumnFormula>
    </tableColumn>
    <tableColumn id="3" xr3:uid="{00000000-0010-0000-1800-000003000000}" name="Empty" dataDxfId="764" totalsRowDxfId="763"/>
    <tableColumn id="10" xr3:uid="{00000000-0010-0000-1800-00000A000000}" name="Present" totalsRowLabel="Entered" dataDxfId="762" totalsRowDxfId="761"/>
    <tableColumn id="5" xr3:uid="{00000000-0010-0000-1800-000005000000}" name="Running Order" totalsRowFunction="countNums" dataDxfId="760" totalsRowDxfId="759"/>
    <tableColumn id="6" xr3:uid="{00000000-0010-0000-1800-000006000000}" name="Dog ID" dataDxfId="758" totalsRowDxfId="757">
      <calculatedColumnFormula>IF(Table1710128[[#This Row],[Status]]="Not Entered","",VLOOKUP(Table1710128[[#This Row],[Ln'#]],Excellent!$A$5:$AW$54,3,FALSE))</calculatedColumnFormula>
    </tableColumn>
    <tableColumn id="7" xr3:uid="{00000000-0010-0000-1800-000007000000}" name="Dog Name/Breed" dataDxfId="756" totalsRowDxfId="755">
      <calculatedColumnFormula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calculatedColumnFormula>
    </tableColumn>
    <tableColumn id="8" xr3:uid="{00000000-0010-0000-1800-000008000000}" name="Owner/Handler" dataDxfId="754" totalsRowDxfId="753">
      <calculatedColumnFormula>IF(Table1710128[[#This Row],[Status]]="Not Entered","",VLOOKUP(Table1710128[[#This Row],[Ln'#]],Excellent!$A$5:$AW$54,47,FALSE))</calculatedColumnFormula>
    </tableColumn>
  </tableColumns>
  <tableStyleInfo name="TableStyleLight8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9000000}" name="Table19321" displayName="Table19321" ref="A275:H326" totalsRowCount="1" headerRowDxfId="752" dataDxfId="751" totalsRowDxfId="750">
  <autoFilter ref="A275:H325" xr:uid="{00000000-0009-0000-0100-000014000000}"/>
  <sortState xmlns:xlrd2="http://schemas.microsoft.com/office/spreadsheetml/2017/richdata2" ref="A276:G325">
    <sortCondition ref="A3:A53"/>
  </sortState>
  <tableColumns count="8">
    <tableColumn id="1" xr3:uid="{00000000-0010-0000-1900-000001000000}" name="Ln#" dataDxfId="749" totalsRowDxfId="748"/>
    <tableColumn id="2" xr3:uid="{00000000-0010-0000-1900-000002000000}" name="Status" dataDxfId="747" totalsRowDxfId="746">
      <calculatedColumnFormula>IF(OR(VLOOKUP(Table19321[[#This Row],[Ln'#]],Excellent!A$65:AW$114,7,FALSE)="E",VLOOKUP(Table19321[[#This Row],[Ln'#]],Excellent!A$65:AW$114,7,FALSE)="FEO"),"Entered or FEO","Not Entered")</calculatedColumnFormula>
    </tableColumn>
    <tableColumn id="3" xr3:uid="{00000000-0010-0000-1900-000003000000}" name="Empty" dataDxfId="745" totalsRowDxfId="744"/>
    <tableColumn id="10" xr3:uid="{00000000-0010-0000-1900-00000A000000}" name="Present" totalsRowLabel="Entered" dataDxfId="743" totalsRowDxfId="742"/>
    <tableColumn id="5" xr3:uid="{00000000-0010-0000-1900-000005000000}" name="Running Order" totalsRowFunction="countNums" dataDxfId="741" totalsRowDxfId="740"/>
    <tableColumn id="6" xr3:uid="{00000000-0010-0000-1900-000006000000}" name="Dog ID" dataDxfId="739" totalsRowDxfId="738">
      <calculatedColumnFormula>IF(Table19321[[#This Row],[Status]]="Not Entered","",VLOOKUP(Table19321[[#This Row],[Ln'#]],Excellent!$A$65:$AW$114,3,FALSE))</calculatedColumnFormula>
    </tableColumn>
    <tableColumn id="7" xr3:uid="{00000000-0010-0000-1900-000007000000}" name="Dog Name/Breed" dataDxfId="737" totalsRowDxfId="736">
      <calculatedColumnFormula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calculatedColumnFormula>
    </tableColumn>
    <tableColumn id="8" xr3:uid="{00000000-0010-0000-1900-000008000000}" name="Owner/Handler" dataDxfId="735" totalsRowDxfId="734">
      <calculatedColumnFormula>IF(Table19321[[#This Row],[Status]]="Not Entered","",VLOOKUP(Table19321[[#This Row],[Ln'#]],Excellent!$A$65:$AW$114,47,FALSE))</calculatedColumnFormula>
    </tableColumn>
  </tableColumns>
  <tableStyleInfo name="TableStyleLight8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A000000}" name="Table1710522" displayName="Table1710522" ref="A384:H435" totalsRowCount="1" headerRowDxfId="733" dataDxfId="732" totalsRowDxfId="731">
  <autoFilter ref="A384:H434" xr:uid="{00000000-0009-0000-0100-000015000000}"/>
  <sortState xmlns:xlrd2="http://schemas.microsoft.com/office/spreadsheetml/2017/richdata2" ref="A385:G434">
    <sortCondition ref="A3:A53"/>
  </sortState>
  <tableColumns count="8">
    <tableColumn id="1" xr3:uid="{00000000-0010-0000-1A00-000001000000}" name="Ln#" dataDxfId="730" totalsRowDxfId="729"/>
    <tableColumn id="2" xr3:uid="{00000000-0010-0000-1A00-000002000000}" name="Status" dataDxfId="728" totalsRowDxfId="727">
      <calculatedColumnFormula>IF(OR(VLOOKUP(Table1710522[[#This Row],[Ln'#]],Excellent!A$65:AW$114,15,FALSE)="E",VLOOKUP(Table1710522[[#This Row],[Ln'#]],Excellent!A$65:AW$114,15,FALSE)="FEO"),"Entered or FEO","Not Entered")</calculatedColumnFormula>
    </tableColumn>
    <tableColumn id="3" xr3:uid="{00000000-0010-0000-1A00-000003000000}" name="Empty" dataDxfId="726" totalsRowDxfId="725"/>
    <tableColumn id="10" xr3:uid="{00000000-0010-0000-1A00-00000A000000}" name="Present" totalsRowLabel="Entered" dataDxfId="724" totalsRowDxfId="723"/>
    <tableColumn id="5" xr3:uid="{00000000-0010-0000-1A00-000005000000}" name="Running Order" totalsRowFunction="countNums" dataDxfId="722" totalsRowDxfId="721"/>
    <tableColumn id="6" xr3:uid="{00000000-0010-0000-1A00-000006000000}" name="Dog ID" dataDxfId="720" totalsRowDxfId="719">
      <calculatedColumnFormula>IF(Table1710522[[#This Row],[Status]]="Not Entered","",VLOOKUP(Table1710522[[#This Row],[Ln'#]],Excellent!$A$65:$AW$114,3,FALSE))</calculatedColumnFormula>
    </tableColumn>
    <tableColumn id="7" xr3:uid="{00000000-0010-0000-1A00-000007000000}" name="Dog Name/Breed" dataDxfId="718" totalsRowDxfId="717">
      <calculatedColumnFormula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calculatedColumnFormula>
    </tableColumn>
    <tableColumn id="8" xr3:uid="{00000000-0010-0000-1A00-000008000000}" name="Owner/Handler" dataDxfId="716" totalsRowDxfId="715">
      <calculatedColumnFormula>IF(Table1710522[[#This Row],[Status]]="Not Entered","",VLOOKUP(Table1710522[[#This Row],[Ln'#]],Excellent!$A$65:$AW$114,47,FALSE))</calculatedColumnFormula>
    </tableColumn>
  </tableColumns>
  <tableStyleInfo name="TableStyleLight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B000000}" name="Table171012823" displayName="Table171012823" ref="A493:H544" totalsRowCount="1" headerRowDxfId="714" dataDxfId="713" totalsRowDxfId="712">
  <autoFilter ref="A493:H543" xr:uid="{00000000-0009-0000-0100-000016000000}"/>
  <sortState xmlns:xlrd2="http://schemas.microsoft.com/office/spreadsheetml/2017/richdata2" ref="A494:G543">
    <sortCondition ref="A3:A53"/>
  </sortState>
  <tableColumns count="8">
    <tableColumn id="1" xr3:uid="{00000000-0010-0000-1B00-000001000000}" name="Ln#" dataDxfId="711" totalsRowDxfId="710"/>
    <tableColumn id="2" xr3:uid="{00000000-0010-0000-1B00-000002000000}" name="Status" dataDxfId="709" totalsRowDxfId="708">
      <calculatedColumnFormula>IF(OR(VLOOKUP(Table171012823[[#This Row],[Ln'#]],Excellent!A$65:AW$114,23,FALSE)="E",VLOOKUP(Table171012823[[#This Row],[Ln'#]],Excellent!A$65:AU$114,23,FALSE)="FEO"),"Entered or FEO","Not Entered")</calculatedColumnFormula>
    </tableColumn>
    <tableColumn id="3" xr3:uid="{00000000-0010-0000-1B00-000003000000}" name="Empty" dataDxfId="707" totalsRowDxfId="706"/>
    <tableColumn id="10" xr3:uid="{00000000-0010-0000-1B00-00000A000000}" name="Present" totalsRowLabel="Entered" dataDxfId="705" totalsRowDxfId="704"/>
    <tableColumn id="5" xr3:uid="{00000000-0010-0000-1B00-000005000000}" name="Running Order" totalsRowFunction="countNums" dataDxfId="703" totalsRowDxfId="702"/>
    <tableColumn id="6" xr3:uid="{00000000-0010-0000-1B00-000006000000}" name="Dog ID" dataDxfId="701" totalsRowDxfId="700">
      <calculatedColumnFormula>IF(Table171012823[[#This Row],[Status]]="Not Entered","",VLOOKUP(Table171012823[[#This Row],[Ln'#]],Excellent!$A$65:$AW$114,3,FALSE))</calculatedColumnFormula>
    </tableColumn>
    <tableColumn id="7" xr3:uid="{00000000-0010-0000-1B00-000007000000}" name="Dog Name/Breed" dataDxfId="699" totalsRowDxfId="698">
      <calculatedColumnFormula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calculatedColumnFormula>
    </tableColumn>
    <tableColumn id="8" xr3:uid="{00000000-0010-0000-1B00-000008000000}" name="Owner/Handler" dataDxfId="697" totalsRowDxfId="696">
      <calculatedColumnFormula>IF(Table171012823[[#This Row],[Status]]="Not Entered","",VLOOKUP(Table171012823[[#This Row],[Ln'#]],Excellent!$A$65:$AW$114,47,FALSE))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3E1514-8556-4D2E-B92F-D8AB79C3F146}" name="Table3" displayName="Table3" ref="I59:P779" totalsRowShown="0" headerRowDxfId="1221" dataDxfId="1219" headerRowBorderDxfId="1220" tableBorderDxfId="1218">
  <autoFilter ref="I59:P779" xr:uid="{883E1514-8556-4D2E-B92F-D8AB79C3F146}"/>
  <tableColumns count="8">
    <tableColumn id="1" xr3:uid="{75240DBC-DFA4-4084-A5BA-C855913039FB}" name="Dog Nbr" dataDxfId="1217"/>
    <tableColumn id="2" xr3:uid="{B643A525-0658-45A6-BAC5-B198BA398A51}" name="Call Name" dataDxfId="1216"/>
    <tableColumn id="3" xr3:uid="{2BFDA173-A3C2-41D8-8560-C6CBBE1CC9D2}" name="Date" dataDxfId="1215">
      <calculatedColumnFormula>TrialDateDay2</calculatedColumnFormula>
    </tableColumn>
    <tableColumn id="4" xr3:uid="{32A04E69-9311-415A-8A03-2824D8E2EC32}" name="First Title" dataDxfId="1214"/>
    <tableColumn id="5" xr3:uid="{1EC72D57-C753-4118-8D0C-ED133DAC2787}" name="Special" dataDxfId="1213"/>
    <tableColumn id="6" xr3:uid="{7CD13A67-2FBC-46E0-9BB1-CD45A5EDA2DF}" name="Score" dataDxfId="1212">
      <calculatedColumnFormula>Started!AD5</calculatedColumnFormula>
    </tableColumn>
    <tableColumn id="7" xr3:uid="{86350224-028A-4390-BFA3-F1A8EEA8CF9B}" name="Helper" dataDxfId="1211">
      <calculatedColumnFormula>IF(Table3[[#This Row],[First Title]]="Started", (Table3[[#This Row],[Score]]+0)*2,Table3[[#This Row],[Score]]+0)</calculatedColumnFormula>
    </tableColumn>
    <tableColumn id="8" xr3:uid="{2D69B1F0-CFD8-450C-BEEF-E6E4267197F1}" name="Type" dataDxfId="1210">
      <calculatedColumnFormula>IF(Table3[[#This Row],[Helper]]&gt;191,"Gold",IF(Table3[[#This Row],[Helper]]&gt;171,"Silver",IF(Table3[[#This Row],[Helper]]&gt;141,"Bronze","")))</calculatedColumnFormula>
    </tableColumn>
  </tableColumns>
  <tableStyleInfo name="TableStyleLight1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C000000}" name="Table1313429" displayName="Table1313429" ref="A57:H108" totalsRowCount="1" headerRowDxfId="695" dataDxfId="694" totalsRowDxfId="693">
  <autoFilter ref="A57:H107" xr:uid="{00000000-0009-0000-0100-00001C000000}"/>
  <sortState xmlns:xlrd2="http://schemas.microsoft.com/office/spreadsheetml/2017/richdata2" ref="A58:H107">
    <sortCondition ref="A57:A107"/>
  </sortState>
  <tableColumns count="8">
    <tableColumn id="1" xr3:uid="{00000000-0010-0000-1C00-000001000000}" name="Ln#" dataDxfId="692" totalsRowDxfId="691"/>
    <tableColumn id="2" xr3:uid="{00000000-0010-0000-1C00-000002000000}" name="Status Container" dataDxfId="690" totalsRowDxfId="689">
      <calculatedColumnFormula>IF(OR(VLOOKUP(Table1313429[[#This Row],[Ln'#]],Excellent!A$5:AU$54,7,FALSE)="E",VLOOKUP(Table1313429[[#This Row],[Ln'#]],Excellent!A$5:AU$54,7,FALSE)="FEO"),"x","")</calculatedColumnFormula>
    </tableColumn>
    <tableColumn id="3" xr3:uid="{00000000-0010-0000-1C00-000003000000}" name="Status Interior" dataDxfId="688" totalsRowDxfId="687">
      <calculatedColumnFormula>IF(OR(VLOOKUP(Table1313429[[#This Row],[Ln'#]],Excellent!A$5:AU$54,15,FALSE)="E",VLOOKUP(Table1313429[[#This Row],[Ln'#]],Excellent!A$5:AU$54,15,FALSE)="FEO"),"x","")</calculatedColumnFormula>
    </tableColumn>
    <tableColumn id="10" xr3:uid="{00000000-0010-0000-1C00-00000A000000}" name="Present" totalsRowLabel="Entered" dataDxfId="686" totalsRowDxfId="685"/>
    <tableColumn id="5" xr3:uid="{00000000-0010-0000-1C00-000005000000}" name="Running Order" totalsRowFunction="countNums" dataDxfId="684" totalsRowDxfId="683"/>
    <tableColumn id="6" xr3:uid="{00000000-0010-0000-1C00-000006000000}" name="Dog ID" dataDxfId="682" totalsRowDxfId="681">
      <calculatedColumnFormula>IF(AND(Table1313429[[#This Row],[Status Container]]="",Table1313429[[#This Row],[Status Interior]]=""),"",VLOOKUP(Table1313429[[#This Row],[Ln'#]],Excellent!$A$5:$AU$54,3,FALSE))</calculatedColumnFormula>
    </tableColumn>
    <tableColumn id="7" xr3:uid="{00000000-0010-0000-1C00-000007000000}" name="Dog Name/Breed" dataDxfId="680" totalsRowDxfId="679">
      <calculatedColumnFormula>IF(Table1313429[[#This Row],[Dog ID]]="","",(VLOOKUP(Table1313429[[#This Row],[Dog ID]],Excellent!C$5:$D$54,2,FALSE)&amp;" - " &amp;VLOOKUP(Table1313429[[#This Row],[Dog ID]],'SDDA Dogs'!A:C,3,FALSE)))</calculatedColumnFormula>
    </tableColumn>
    <tableColumn id="8" xr3:uid="{00000000-0010-0000-1C00-000008000000}" name="Owner/Handler" dataDxfId="678" totalsRowDxfId="677">
      <calculatedColumnFormula>IF(Table1313429[[#This Row],[Dog ID]]="","",(VLOOKUP(Table1313429[[#This Row],[Dog ID]],Excellent!C$5:$AU54,45,FALSE)))</calculatedColumnFormula>
    </tableColumn>
  </tableColumns>
  <tableStyleInfo name="TableStyleLight8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D000000}" name="Table131303538" displayName="Table131303538" ref="A166:H217" totalsRowCount="1" headerRowDxfId="676" dataDxfId="675" totalsRowDxfId="674">
  <autoFilter ref="A166:H216" xr:uid="{00000000-0009-0000-0100-000025000000}"/>
  <sortState xmlns:xlrd2="http://schemas.microsoft.com/office/spreadsheetml/2017/richdata2" ref="A167:H216">
    <sortCondition ref="A57:A107"/>
  </sortState>
  <tableColumns count="8">
    <tableColumn id="1" xr3:uid="{00000000-0010-0000-1D00-000001000000}" name="Ln#" dataDxfId="673" totalsRowDxfId="672"/>
    <tableColumn id="2" xr3:uid="{00000000-0010-0000-1D00-000002000000}" name="Status Container" dataDxfId="671" totalsRowDxfId="670">
      <calculatedColumnFormula>IF(OR(VLOOKUP(Table131303538[[#This Row],[Ln'#]],Excellent!A$5:AU$54,7,FALSE)="E",VLOOKUP(Table131303538[[#This Row],[Ln'#]],Excellent!A$5:AU$54,7,FALSE)="FEO"),"x","")</calculatedColumnFormula>
    </tableColumn>
    <tableColumn id="3" xr3:uid="{00000000-0010-0000-1D00-000003000000}" name="Status Exterior" dataDxfId="669" totalsRowDxfId="668">
      <calculatedColumnFormula>IF(OR(VLOOKUP(Table131303538[[#This Row],[Ln'#]],Excellent!A$5:AU$54,23,FALSE)="E",VLOOKUP(Table131303538[[#This Row],[Ln'#]],Excellent!A$5:AU$54,23,FALSE)="FEO"),"x","")</calculatedColumnFormula>
    </tableColumn>
    <tableColumn id="10" xr3:uid="{00000000-0010-0000-1D00-00000A000000}" name="Present" totalsRowLabel="Entered" dataDxfId="667" totalsRowDxfId="666"/>
    <tableColumn id="5" xr3:uid="{00000000-0010-0000-1D00-000005000000}" name="Running Order" totalsRowFunction="countNums" dataDxfId="665" totalsRowDxfId="664"/>
    <tableColumn id="6" xr3:uid="{00000000-0010-0000-1D00-000006000000}" name="Dog ID" dataDxfId="663" totalsRowDxfId="662">
      <calculatedColumnFormula>IF(AND(Table131303538[[#This Row],[Status Container]]="",Table131303538[[#This Row],[Status Exterior]]=""),"",VLOOKUP(Table131303538[[#This Row],[Ln'#]],Excellent!$A$5:$AU$54,3,FALSE))</calculatedColumnFormula>
    </tableColumn>
    <tableColumn id="7" xr3:uid="{00000000-0010-0000-1D00-000007000000}" name="Dog Name/Breed" dataDxfId="661" totalsRowDxfId="660">
      <calculatedColumnFormula>IF(Table131303538[[#This Row],[Dog ID]]="","",(VLOOKUP(Table131303538[[#This Row],[Dog ID]],Excellent!C$5:$D$54,2,FALSE)&amp;" - " &amp;VLOOKUP(Table131303538[[#This Row],[Dog ID]],'SDDA Dogs'!A:C,3,FALSE)))</calculatedColumnFormula>
    </tableColumn>
    <tableColumn id="8" xr3:uid="{00000000-0010-0000-1D00-000008000000}" name="Owner/Handler" dataDxfId="659" totalsRowDxfId="658">
      <calculatedColumnFormula>IF(Table131303538[[#This Row],[Dog ID]]="","",(VLOOKUP(Table131303538[[#This Row],[Dog ID]],Excellent!C$5:$AU54,45,FALSE)))</calculatedColumnFormula>
    </tableColumn>
  </tableColumns>
  <tableStyleInfo name="TableStyleLight8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1E000000}" name="Table131323639" displayName="Table131323639" ref="A329:H380" totalsRowCount="1" headerRowDxfId="657" dataDxfId="656" totalsRowDxfId="655">
  <autoFilter ref="A329:H379" xr:uid="{00000000-0009-0000-0100-000026000000}"/>
  <sortState xmlns:xlrd2="http://schemas.microsoft.com/office/spreadsheetml/2017/richdata2" ref="A330:H379">
    <sortCondition ref="A57:A107"/>
  </sortState>
  <tableColumns count="8">
    <tableColumn id="1" xr3:uid="{00000000-0010-0000-1E00-000001000000}" name="Ln#" dataDxfId="654" totalsRowDxfId="653"/>
    <tableColumn id="2" xr3:uid="{00000000-0010-0000-1E00-000002000000}" name="Status Container" dataDxfId="652" totalsRowDxfId="651">
      <calculatedColumnFormula>IF(OR(VLOOKUP(Table131323639[[#This Row],[Ln'#]],Excellent!A$65:AU$114,7,FALSE)="E",VLOOKUP(Table131323639[[#This Row],[Ln'#]],Excellent!A$65:AU$114,7,FALSE)="FEO"),"x","")</calculatedColumnFormula>
    </tableColumn>
    <tableColumn id="3" xr3:uid="{00000000-0010-0000-1E00-000003000000}" name="Status Interior" dataDxfId="650" totalsRowDxfId="649">
      <calculatedColumnFormula>IF(OR(VLOOKUP(Table131323639[[#This Row],[Ln'#]],Excellent!A$65:AU$114,15,FALSE)="E",VLOOKUP(Table131323639[[#This Row],[Ln'#]],Excellent!A$65:AU$114,15,FALSE)="FEO"),"x","")</calculatedColumnFormula>
    </tableColumn>
    <tableColumn id="10" xr3:uid="{00000000-0010-0000-1E00-00000A000000}" name="Present" totalsRowLabel="Entered" dataDxfId="648" totalsRowDxfId="647"/>
    <tableColumn id="5" xr3:uid="{00000000-0010-0000-1E00-000005000000}" name="Running Order" totalsRowFunction="countNums" dataDxfId="646" totalsRowDxfId="645"/>
    <tableColumn id="6" xr3:uid="{00000000-0010-0000-1E00-000006000000}" name="Dog ID" dataDxfId="644" totalsRowDxfId="643">
      <calculatedColumnFormula>IF(AND(Table131323639[[#This Row],[Status Container]]="",Table131323639[[#This Row],[Status Interior]]=""),"",VLOOKUP(Table131323639[[#This Row],[Ln'#]],Excellent!$A$65:$AU$114,3,FALSE))</calculatedColumnFormula>
    </tableColumn>
    <tableColumn id="7" xr3:uid="{00000000-0010-0000-1E00-000007000000}" name="Dog Name/Breed" dataDxfId="642" totalsRowDxfId="641">
      <calculatedColumnFormula>IF(Table131323639[[#This Row],[Dog ID]]="","",(VLOOKUP(Table131323639[[#This Row],[Dog ID]],Excellent!C$65:$D$114,2,FALSE)&amp;" - " &amp;VLOOKUP(Table131323639[[#This Row],[Dog ID]],'SDDA Dogs'!A:C,3,FALSE)))</calculatedColumnFormula>
    </tableColumn>
    <tableColumn id="8" xr3:uid="{00000000-0010-0000-1E00-000008000000}" name="Owner/Handler" dataDxfId="640" totalsRowDxfId="639">
      <calculatedColumnFormula>IF(Table131323639[[#This Row],[Dog ID]]="","",(VLOOKUP(Table131323639[[#This Row],[Dog ID]],Excellent!C$65:$AU114,45,FALSE)))</calculatedColumnFormula>
    </tableColumn>
  </tableColumns>
  <tableStyleInfo name="TableStyleLight8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F000000}" name="Table13130333740" displayName="Table13130333740" ref="A438:H489" totalsRowCount="1" headerRowDxfId="638" dataDxfId="637" totalsRowDxfId="636">
  <autoFilter ref="A438:H488" xr:uid="{00000000-0009-0000-0100-000027000000}"/>
  <sortState xmlns:xlrd2="http://schemas.microsoft.com/office/spreadsheetml/2017/richdata2" ref="A439:H488">
    <sortCondition ref="A57:A107"/>
  </sortState>
  <tableColumns count="8">
    <tableColumn id="1" xr3:uid="{00000000-0010-0000-1F00-000001000000}" name="Ln#" dataDxfId="635" totalsRowDxfId="634"/>
    <tableColumn id="2" xr3:uid="{00000000-0010-0000-1F00-000002000000}" name="Status Container" dataDxfId="633" totalsRowDxfId="632">
      <calculatedColumnFormula>IF(OR(VLOOKUP(Table13130333740[[#This Row],[Ln'#]],Excellent!A$65:AU$114,7,FALSE)="E",VLOOKUP(Table13130333740[[#This Row],[Ln'#]],Excellent!A$65:AU$114,7,FALSE)="FEO"),"x","")</calculatedColumnFormula>
    </tableColumn>
    <tableColumn id="3" xr3:uid="{00000000-0010-0000-1F00-000003000000}" name="Status Exterior" dataDxfId="631" totalsRowDxfId="630">
      <calculatedColumnFormula>IF(OR(VLOOKUP(Table13130333740[[#This Row],[Ln'#]],Excellent!A$65:AU$114,23,FALSE)="E",VLOOKUP(Table13130333740[[#This Row],[Ln'#]],Excellent!A$65:AU$114,23,FALSE)="FEO"),"x","")</calculatedColumnFormula>
    </tableColumn>
    <tableColumn id="10" xr3:uid="{00000000-0010-0000-1F00-00000A000000}" name="Present" totalsRowLabel="Entered" dataDxfId="629" totalsRowDxfId="628"/>
    <tableColumn id="5" xr3:uid="{00000000-0010-0000-1F00-000005000000}" name="Running Order" totalsRowFunction="countNums" dataDxfId="627" totalsRowDxfId="626"/>
    <tableColumn id="6" xr3:uid="{00000000-0010-0000-1F00-000006000000}" name="Dog ID" dataDxfId="625" totalsRowDxfId="624">
      <calculatedColumnFormula>IF(AND(Table13130333740[[#This Row],[Status Container]]="",Table13130333740[[#This Row],[Status Exterior]]=""),"",VLOOKUP(Table13130333740[[#This Row],[Ln'#]],Excellent!$A$65:$AU$114,3,FALSE))</calculatedColumnFormula>
    </tableColumn>
    <tableColumn id="7" xr3:uid="{00000000-0010-0000-1F00-000007000000}" name="Dog Name/Breed" dataDxfId="623" totalsRowDxfId="622">
      <calculatedColumnFormula>IF(Table13130333740[[#This Row],[Dog ID]]="","",(VLOOKUP(Table13130333740[[#This Row],[Dog ID]],Excellent!C$65:$D$114,2,FALSE)&amp;" - " &amp;VLOOKUP(Table13130333740[[#This Row],[Dog ID]],'SDDA Dogs'!A:C,3,FALSE)))</calculatedColumnFormula>
    </tableColumn>
    <tableColumn id="8" xr3:uid="{00000000-0010-0000-1F00-000008000000}" name="Owner/Handler" dataDxfId="621" totalsRowDxfId="620">
      <calculatedColumnFormula>IF(Table13130333740[[#This Row],[Dog ID]]="","",(VLOOKUP(Table13130333740[[#This Row],[Dog ID]],Excellent!C$65:$AU114,45,FALSE)))</calculatedColumnFormula>
    </tableColumn>
  </tableColumns>
  <tableStyleInfo name="TableStyleLight8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20000000}" name="Table19315" displayName="Table19315" ref="A3:I34" totalsRowCount="1" headerRowDxfId="619" dataDxfId="618" totalsRowDxfId="617">
  <autoFilter ref="A3:I33" xr:uid="{00000000-0009-0000-0100-00000E000000}">
    <filterColumn colId="1">
      <filters>
        <filter val="Entered or FEO"/>
      </filters>
    </filterColumn>
  </autoFilter>
  <sortState xmlns:xlrd2="http://schemas.microsoft.com/office/spreadsheetml/2017/richdata2" ref="A4:H33">
    <sortCondition ref="A3:A33"/>
  </sortState>
  <tableColumns count="9">
    <tableColumn id="1" xr3:uid="{00000000-0010-0000-2000-000001000000}" name="Ln#" dataDxfId="616" totalsRowDxfId="615"/>
    <tableColumn id="2" xr3:uid="{00000000-0010-0000-2000-000002000000}" name="Status" dataDxfId="614" totalsRowDxfId="613">
      <calculatedColumnFormula>IF(OR(VLOOKUP(Table19315[[#This Row],[Ln'#]],Excellent!A$5:AW$54,6,FALSE)="E",VLOOKUP(Table19315[[#This Row],[Ln'#]],Excellent!A$5:AW$54,6,FALSE)="FEO"),"Entered or FEO","Not Entered")</calculatedColumnFormula>
    </tableColumn>
    <tableColumn id="3" xr3:uid="{00000000-0010-0000-2000-000003000000}" name="Prop. RO" dataDxfId="612" totalsRowDxfId="611">
      <calculatedColumnFormula>IF(OR(B4="e",B4="FEO"),RAND(),"")</calculatedColumnFormula>
    </tableColumn>
    <tableColumn id="10" xr3:uid="{00000000-0010-0000-2000-00000A000000}" name="Present" totalsRowLabel="Entered" dataDxfId="610" totalsRowDxfId="609"/>
    <tableColumn id="5" xr3:uid="{00000000-0010-0000-2000-000005000000}" name="Running Order" totalsRowFunction="countNums" dataDxfId="608" totalsRowDxfId="607"/>
    <tableColumn id="4" xr3:uid="{00000000-0010-0000-2000-000004000000}" name="Session" dataDxfId="606" totalsRowDxfId="605"/>
    <tableColumn id="6" xr3:uid="{00000000-0010-0000-2000-000006000000}" name="Dog ID" dataDxfId="604" totalsRowDxfId="603">
      <calculatedColumnFormula>IF(Table19315[[#This Row],[Status]]="Not Entered","",VLOOKUP(Table19315[[#This Row],[Ln'#]],Excellent!$A$5:$AU$54,3,FALSE))</calculatedColumnFormula>
    </tableColumn>
    <tableColumn id="7" xr3:uid="{00000000-0010-0000-2000-000007000000}" name="Dog Name/Breed" dataDxfId="602" totalsRowDxfId="601">
      <calculatedColumnFormula>IF(Table19315[[#This Row],[Status]]="Not Entered","",VLOOKUP(Table19315[[#This Row],[Ln'#]],Excellent!$A$5:$AU$54,4,FALSE) &amp; IF(ISERROR(VLOOKUP(Table19315[[#This Row],[Dog ID]],'SDDA Dogs'!A:C,3,FALSE)),""," - " &amp; VLOOKUP(Table19315[[#This Row],[Dog ID]],'SDDA Dogs'!A:C,3,FALSE)))</calculatedColumnFormula>
    </tableColumn>
    <tableColumn id="8" xr3:uid="{00000000-0010-0000-2000-000008000000}" name="Owner/Handler" dataDxfId="600" totalsRowDxfId="599">
      <calculatedColumnFormula>IF(Table19315[[#This Row],[Status]]="Not Entered","",VLOOKUP(Table19315[[#This Row],[Ln'#]],Excellent!$A$5:$AU$54,46,FALSE))</calculatedColumnFormula>
    </tableColumn>
  </tableColumns>
  <tableStyleInfo name="TableStyleLight8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21000000}" name="Table1710518" displayName="Table1710518" ref="A37:I68" totalsRowCount="1" headerRowDxfId="598" dataDxfId="597" totalsRowDxfId="596">
  <autoFilter ref="A37:I67" xr:uid="{00000000-0009-0000-0100-000011000000}"/>
  <sortState xmlns:xlrd2="http://schemas.microsoft.com/office/spreadsheetml/2017/richdata2" ref="A38:H67">
    <sortCondition ref="A3:A33"/>
  </sortState>
  <tableColumns count="9">
    <tableColumn id="1" xr3:uid="{00000000-0010-0000-2100-000001000000}" name="Ln#" dataDxfId="595" totalsRowDxfId="594"/>
    <tableColumn id="2" xr3:uid="{00000000-0010-0000-2100-000002000000}" name="Status" dataDxfId="593" totalsRowDxfId="592">
      <calculatedColumnFormula>IF(OR(VLOOKUP(Table1710518[[#This Row],[Ln'#]],Excellent!A$5:AW$54,14,FALSE)="E",VLOOKUP(Table1710518[[#This Row],[Ln'#]],Excellent!A$5:AW$54,14,FALSE)="FEO"),"Entered or FEO","Not Entered")</calculatedColumnFormula>
    </tableColumn>
    <tableColumn id="3" xr3:uid="{00000000-0010-0000-2100-000003000000}" name="Prop. RO" dataDxfId="591" totalsRowDxfId="590">
      <calculatedColumnFormula>IF(OR(B38="e",B38="FEO"),RAND(),"")</calculatedColumnFormula>
    </tableColumn>
    <tableColumn id="10" xr3:uid="{00000000-0010-0000-2100-00000A000000}" name="Present" totalsRowLabel="Entered" dataDxfId="589" totalsRowDxfId="588"/>
    <tableColumn id="5" xr3:uid="{00000000-0010-0000-2100-000005000000}" name="Running Order" totalsRowFunction="countNums" dataDxfId="587" totalsRowDxfId="586"/>
    <tableColumn id="4" xr3:uid="{00000000-0010-0000-2100-000004000000}" name="Session" dataDxfId="585" totalsRowDxfId="584"/>
    <tableColumn id="6" xr3:uid="{00000000-0010-0000-2100-000006000000}" name="Dog ID" dataDxfId="583" totalsRowDxfId="582">
      <calculatedColumnFormula>IF(Table1710518[[#This Row],[Status]]="Not Entered","",VLOOKUP(Table1710518[[#This Row],[Ln'#]],Excellent!$A$5:$AW$54,3,FALSE))</calculatedColumnFormula>
    </tableColumn>
    <tableColumn id="7" xr3:uid="{00000000-0010-0000-2100-000007000000}" name="Dog Name/Breed" dataDxfId="581" totalsRowDxfId="580">
      <calculatedColumnFormula>IF(Table1710518[[#This Row],[Status]]="Not Entered","",VLOOKUP(Table1710518[[#This Row],[Ln'#]],Excellent!$A$5:$AW$54,4,FALSE) &amp; IF(ISERROR(VLOOKUP(Table1710518[[#This Row],[Dog ID]],'SDDA Dogs'!A:C,3,FALSE)),""," - " &amp; VLOOKUP(Table1710518[[#This Row],[Dog ID]],'SDDA Dogs'!A:C,3,FALSE)))</calculatedColumnFormula>
    </tableColumn>
    <tableColumn id="8" xr3:uid="{00000000-0010-0000-2100-000008000000}" name="Owner/Handler" dataDxfId="579" totalsRowDxfId="578">
      <calculatedColumnFormula>IF(Table1710518[[#This Row],[Status]]="Not Entered","",VLOOKUP(Table1710518[[#This Row],[Ln'#]],Excellent!$A$4:$AW$54,46,FALSE))</calculatedColumnFormula>
    </tableColumn>
  </tableColumns>
  <tableStyleInfo name="TableStyleLight8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22000000}" name="Table171012825" displayName="Table171012825" ref="A71:I102" totalsRowCount="1" headerRowDxfId="577" dataDxfId="576" totalsRowDxfId="575">
  <autoFilter ref="A71:I101" xr:uid="{00000000-0009-0000-0100-000018000000}"/>
  <sortState xmlns:xlrd2="http://schemas.microsoft.com/office/spreadsheetml/2017/richdata2" ref="A72:H101">
    <sortCondition ref="A3:A33"/>
  </sortState>
  <tableColumns count="9">
    <tableColumn id="1" xr3:uid="{00000000-0010-0000-2200-000001000000}" name="Ln#" dataDxfId="574" totalsRowDxfId="573"/>
    <tableColumn id="2" xr3:uid="{00000000-0010-0000-2200-000002000000}" name="Status" dataDxfId="572" totalsRowDxfId="571">
      <calculatedColumnFormula>IF(OR(VLOOKUP(Table171012825[[#This Row],[Ln'#]],Excellent!A$5:AW$54,22,FALSE)="E",VLOOKUP(Table171012825[[#This Row],[Ln'#]],Excellent!A$5:AU$54,22,FALSE)="FEO"),"Entered or FEO","Not Entered")</calculatedColumnFormula>
    </tableColumn>
    <tableColumn id="3" xr3:uid="{00000000-0010-0000-2200-000003000000}" name="Prop. RO" dataDxfId="570" totalsRowDxfId="569">
      <calculatedColumnFormula>IF(OR(B72="e",B72="FEO"),RAND(),"")</calculatedColumnFormula>
    </tableColumn>
    <tableColumn id="10" xr3:uid="{00000000-0010-0000-2200-00000A000000}" name="Present" totalsRowLabel="Entered" dataDxfId="568" totalsRowDxfId="567"/>
    <tableColumn id="5" xr3:uid="{00000000-0010-0000-2200-000005000000}" name="Running Order" totalsRowFunction="countNums" dataDxfId="566" totalsRowDxfId="565"/>
    <tableColumn id="4" xr3:uid="{00000000-0010-0000-2200-000004000000}" name="Session" dataDxfId="564" totalsRowDxfId="563"/>
    <tableColumn id="6" xr3:uid="{00000000-0010-0000-2200-000006000000}" name="Dog ID" dataDxfId="562" totalsRowDxfId="561">
      <calculatedColumnFormula>IF(Table171012825[[#This Row],[Status]]="Not Entered","",VLOOKUP(Table171012825[[#This Row],[Ln'#]],Excellent!$A$5:$AW$54,3,FALSE))</calculatedColumnFormula>
    </tableColumn>
    <tableColumn id="7" xr3:uid="{00000000-0010-0000-2200-000007000000}" name="Dog Name/Breed" dataDxfId="560" totalsRowDxfId="559">
      <calculatedColumnFormula>IF(Table171012825[[#This Row],[Status]]="Not Entered","",VLOOKUP(Table171012825[[#This Row],[Ln'#]],Excellent!$A$5:$AW$54,4,FALSE) &amp; IF(ISERROR(VLOOKUP(Table171012825[[#This Row],[Dog ID]],'SDDA Dogs'!A:C,3,FALSE)),""," - " &amp; VLOOKUP(Table171012825[[#This Row],[Dog ID]],'SDDA Dogs'!A:C,3,FALSE)))</calculatedColumnFormula>
    </tableColumn>
    <tableColumn id="8" xr3:uid="{00000000-0010-0000-2200-000008000000}" name="Owner/Handler" dataDxfId="558" totalsRowDxfId="557">
      <calculatedColumnFormula>IF(Table171012825[[#This Row],[Status]]="Not Entered","",VLOOKUP(Table171012825[[#This Row],[Ln'#]],Excellent!$A$5:$AW$54,46,FALSE))</calculatedColumnFormula>
    </tableColumn>
  </tableColumns>
  <tableStyleInfo name="TableStyleLight8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23000000}" name="Table1932126" displayName="Table1932126" ref="A105:I136" totalsRowCount="1" headerRowDxfId="556" dataDxfId="555" totalsRowDxfId="554">
  <autoFilter ref="A105:I135" xr:uid="{00000000-0009-0000-0100-000019000000}"/>
  <sortState xmlns:xlrd2="http://schemas.microsoft.com/office/spreadsheetml/2017/richdata2" ref="A106:H135">
    <sortCondition ref="A3:A33"/>
  </sortState>
  <tableColumns count="9">
    <tableColumn id="1" xr3:uid="{00000000-0010-0000-2300-000001000000}" name="Ln#" dataDxfId="553" totalsRowDxfId="552"/>
    <tableColumn id="2" xr3:uid="{00000000-0010-0000-2300-000002000000}" name="Status" dataDxfId="551" totalsRowDxfId="550">
      <calculatedColumnFormula>IF(OR(VLOOKUP(Table1932126[[#This Row],[Ln'#]],Excellent!A$65:AW$114,6,FALSE)="E",VLOOKUP(Table1932126[[#This Row],[Ln'#]],Excellent!A$65:AW$114,6,FALSE)="FEO"),"Entered or FEO","Not Entered")</calculatedColumnFormula>
    </tableColumn>
    <tableColumn id="3" xr3:uid="{00000000-0010-0000-2300-000003000000}" name="Prop. RO" dataDxfId="549" totalsRowDxfId="548">
      <calculatedColumnFormula>IF(OR(B106="e",B106="FEO"),RAND(),"")</calculatedColumnFormula>
    </tableColumn>
    <tableColumn id="10" xr3:uid="{00000000-0010-0000-2300-00000A000000}" name="Present" totalsRowLabel="Entered" dataDxfId="547" totalsRowDxfId="546"/>
    <tableColumn id="5" xr3:uid="{00000000-0010-0000-2300-000005000000}" name="Running Order" totalsRowFunction="countNums" dataDxfId="545" totalsRowDxfId="544"/>
    <tableColumn id="4" xr3:uid="{00000000-0010-0000-2300-000004000000}" name="Session" dataDxfId="543" totalsRowDxfId="542"/>
    <tableColumn id="6" xr3:uid="{00000000-0010-0000-2300-000006000000}" name="Dog ID" dataDxfId="541" totalsRowDxfId="540">
      <calculatedColumnFormula>IF(Table1932126[[#This Row],[Status]]="Not Entered","",VLOOKUP(Table1932126[[#This Row],[Ln'#]],Excellent!$A$65:$AW$114,3,FALSE))</calculatedColumnFormula>
    </tableColumn>
    <tableColumn id="7" xr3:uid="{00000000-0010-0000-2300-000007000000}" name="Dog Name/Breed" dataDxfId="539" totalsRowDxfId="538">
      <calculatedColumnFormula>IF(Table1932126[[#This Row],[Status]]="Not Entered","",VLOOKUP(Table1932126[[#This Row],[Ln'#]],Excellent!$A$65:$AW$114,4,FALSE) &amp; IF(ISERROR(VLOOKUP(Table1932126[[#This Row],[Dog ID]],'SDDA Dogs'!A:C,3,FALSE)),""," - " &amp; VLOOKUP(Table1932126[[#This Row],[Dog ID]],'SDDA Dogs'!A:C,3,FALSE)))</calculatedColumnFormula>
    </tableColumn>
    <tableColumn id="8" xr3:uid="{00000000-0010-0000-2300-000008000000}" name="Owner/Handler" dataDxfId="537" totalsRowDxfId="536">
      <calculatedColumnFormula>IF(Table1932126[[#This Row],[Status]]="Not Entered","",VLOOKUP(Table1932126[[#This Row],[Ln'#]],Excellent!$A$65:$AW$114,46,FALSE))</calculatedColumnFormula>
    </tableColumn>
  </tableColumns>
  <tableStyleInfo name="TableStyleLight8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24000000}" name="Table171052227" displayName="Table171052227" ref="A139:I170" totalsRowCount="1" headerRowDxfId="535" dataDxfId="534" totalsRowDxfId="533">
  <autoFilter ref="A139:I169" xr:uid="{00000000-0009-0000-0100-00001A000000}"/>
  <sortState xmlns:xlrd2="http://schemas.microsoft.com/office/spreadsheetml/2017/richdata2" ref="A140:H169">
    <sortCondition ref="A3:A33"/>
  </sortState>
  <tableColumns count="9">
    <tableColumn id="1" xr3:uid="{00000000-0010-0000-2400-000001000000}" name="Ln#" dataDxfId="532" totalsRowDxfId="531"/>
    <tableColumn id="2" xr3:uid="{00000000-0010-0000-2400-000002000000}" name="Status" dataDxfId="530" totalsRowDxfId="529">
      <calculatedColumnFormula>IF(OR(VLOOKUP(Table171052227[[#This Row],[Ln'#]],Excellent!A$65:AW$114,14,FALSE)="E",VLOOKUP(Table171052227[[#This Row],[Ln'#]],Excellent!A$65:AW$114,14,FALSE)="FEO"),"Entered or FEO","Not Entered")</calculatedColumnFormula>
    </tableColumn>
    <tableColumn id="3" xr3:uid="{00000000-0010-0000-2400-000003000000}" name="Prop. RO" dataDxfId="528" totalsRowDxfId="527">
      <calculatedColumnFormula>IF(OR(B140="e",B140="FEO"),RAND(),"")</calculatedColumnFormula>
    </tableColumn>
    <tableColumn id="10" xr3:uid="{00000000-0010-0000-2400-00000A000000}" name="Present" totalsRowLabel="Entered" dataDxfId="526" totalsRowDxfId="525"/>
    <tableColumn id="5" xr3:uid="{00000000-0010-0000-2400-000005000000}" name="Running Order" totalsRowFunction="countNums" dataDxfId="524" totalsRowDxfId="523"/>
    <tableColumn id="4" xr3:uid="{00000000-0010-0000-2400-000004000000}" name="Session" dataDxfId="522" totalsRowDxfId="521"/>
    <tableColumn id="6" xr3:uid="{00000000-0010-0000-2400-000006000000}" name="Dog ID" dataDxfId="520" totalsRowDxfId="519">
      <calculatedColumnFormula>IF(Table171052227[[#This Row],[Status]]="Not Entered","",VLOOKUP(Table171052227[[#This Row],[Ln'#]],Excellent!$A$65:$AW$114,3,FALSE))</calculatedColumnFormula>
    </tableColumn>
    <tableColumn id="7" xr3:uid="{00000000-0010-0000-2400-000007000000}" name="Dog Name/Breed" dataDxfId="518" totalsRowDxfId="517">
      <calculatedColumnFormula>IF(Table171052227[[#This Row],[Status]]="Not Entered","",VLOOKUP(Table171052227[[#This Row],[Ln'#]],Excellent!$A$65:$AW$114,4,FALSE) &amp; IF(ISERROR(VLOOKUP(Table171052227[[#This Row],[Dog ID]],'SDDA Dogs'!A:C,3,FALSE)),""," - " &amp; VLOOKUP(Table171052227[[#This Row],[Dog ID]],'SDDA Dogs'!A:C,3,FALSE)))</calculatedColumnFormula>
    </tableColumn>
    <tableColumn id="8" xr3:uid="{00000000-0010-0000-2400-000008000000}" name="Owner/Handler" dataDxfId="516" totalsRowDxfId="515">
      <calculatedColumnFormula>IF(Table171052227[[#This Row],[Status]]="Not Entered","",VLOOKUP(Table171052227[[#This Row],[Ln'#]],Excellent!$A$65:$AW$114,46,FALSE))</calculatedColumnFormula>
    </tableColumn>
  </tableColumns>
  <tableStyleInfo name="TableStyleLight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25000000}" name="Table17101282328" displayName="Table17101282328" ref="A173:I204" totalsRowCount="1" headerRowDxfId="514" dataDxfId="513" totalsRowDxfId="512">
  <autoFilter ref="A173:I203" xr:uid="{00000000-0009-0000-0100-00001B000000}"/>
  <sortState xmlns:xlrd2="http://schemas.microsoft.com/office/spreadsheetml/2017/richdata2" ref="A174:H203">
    <sortCondition ref="A3:A33"/>
  </sortState>
  <tableColumns count="9">
    <tableColumn id="1" xr3:uid="{00000000-0010-0000-2500-000001000000}" name="Ln#" dataDxfId="511" totalsRowDxfId="510"/>
    <tableColumn id="2" xr3:uid="{00000000-0010-0000-2500-000002000000}" name="Status" dataDxfId="509" totalsRowDxfId="508">
      <calculatedColumnFormula>IF(OR(VLOOKUP(Table17101282328[[#This Row],[Ln'#]],Excellent!A$65:AW$114,22,FALSE)="E",VLOOKUP(Table17101282328[[#This Row],[Ln'#]],Excellent!A$65:AU$114,22,FALSE)="FEO"),"Entered or FEO","Not Entered")</calculatedColumnFormula>
    </tableColumn>
    <tableColumn id="3" xr3:uid="{00000000-0010-0000-2500-000003000000}" name="Prop. RO" dataDxfId="507" totalsRowDxfId="506">
      <calculatedColumnFormula>IF(OR(B174="e",B174="FEO"),RAND(),"")</calculatedColumnFormula>
    </tableColumn>
    <tableColumn id="10" xr3:uid="{00000000-0010-0000-2500-00000A000000}" name="Present" totalsRowLabel="Entered" dataDxfId="505" totalsRowDxfId="504"/>
    <tableColumn id="5" xr3:uid="{00000000-0010-0000-2500-000005000000}" name="Running Order" totalsRowFunction="countNums" dataDxfId="503" totalsRowDxfId="502"/>
    <tableColumn id="4" xr3:uid="{00000000-0010-0000-2500-000004000000}" name="Session" dataDxfId="501" totalsRowDxfId="500"/>
    <tableColumn id="6" xr3:uid="{00000000-0010-0000-2500-000006000000}" name="Dog ID" dataDxfId="499" totalsRowDxfId="498">
      <calculatedColumnFormula>IF(Table17101282328[[#This Row],[Status]]="Not Entered","",VLOOKUP(Table17101282328[[#This Row],[Ln'#]],Excellent!$A$65:$AW$114,3,FALSE))</calculatedColumnFormula>
    </tableColumn>
    <tableColumn id="7" xr3:uid="{00000000-0010-0000-2500-000007000000}" name="Dog Name/Breed" dataDxfId="497" totalsRowDxfId="496">
      <calculatedColumnFormula>IF(Table17101282328[[#This Row],[Status]]="Not Entered","",VLOOKUP(Table17101282328[[#This Row],[Ln'#]],Excellent!$A$65:$AW$114,4,FALSE) &amp; IF(ISERROR(VLOOKUP(Table17101282328[[#This Row],[Dog ID]],'SDDA Dogs'!A:C,3,FALSE)),""," - " &amp; VLOOKUP(Table17101282328[[#This Row],[Dog ID]],'SDDA Dogs'!A:C,3,FALSE)))</calculatedColumnFormula>
    </tableColumn>
    <tableColumn id="8" xr3:uid="{00000000-0010-0000-2500-000008000000}" name="Owner/Handler" dataDxfId="495" totalsRowDxfId="494">
      <calculatedColumnFormula>IF(Table17101282328[[#This Row],[Status]]="Not Entered","",VLOOKUP(Table17101282328[[#This Row],[Ln'#]],Excellent!$A$65:$AW$114,46,FALSE))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1" displayName="Table1" ref="A3:I34" totalsRowCount="1" headerRowDxfId="1209" dataDxfId="1208" totalsRowDxfId="1207">
  <autoFilter ref="A3:I33" xr:uid="{00000000-0009-0000-0100-000001000000}"/>
  <sortState xmlns:xlrd2="http://schemas.microsoft.com/office/spreadsheetml/2017/richdata2" ref="A4:I33">
    <sortCondition ref="A3:A33"/>
  </sortState>
  <tableColumns count="9">
    <tableColumn id="1" xr3:uid="{00000000-0010-0000-0200-000001000000}" name="Ln#" dataDxfId="1206" totalsRowDxfId="1205"/>
    <tableColumn id="2" xr3:uid="{00000000-0010-0000-0200-000002000000}" name="Status" dataDxfId="1204" totalsRowDxfId="1203">
      <calculatedColumnFormula>IF(OR(VLOOKUP(Table1[[#This Row],[Ln'#]],Started!A$5:AU$34,7,FALSE)="E",VLOOKUP(Table1[[#This Row],[Ln'#]],Started!A$5:AU$34,7,FALSE)="FEO"),"Entered or FEO","Not Entered")</calculatedColumnFormula>
    </tableColumn>
    <tableColumn id="3" xr3:uid="{00000000-0010-0000-0200-000003000000}" name="Prop. RO" dataDxfId="1202" totalsRowDxfId="1201">
      <calculatedColumnFormula>IF(OR(B4="e",B4="FEO"),RAND(),"")</calculatedColumnFormula>
    </tableColumn>
    <tableColumn id="10" xr3:uid="{00000000-0010-0000-0200-00000A000000}" name="Present" totalsRowLabel="Entered" dataDxfId="1200" totalsRowDxfId="1199"/>
    <tableColumn id="5" xr3:uid="{00000000-0010-0000-0200-000005000000}" name="Running Order" totalsRowFunction="countNums" dataDxfId="1198" totalsRowDxfId="1197"/>
    <tableColumn id="4" xr3:uid="{00000000-0010-0000-0200-000004000000}" name="Session" dataDxfId="1196" totalsRowDxfId="1195"/>
    <tableColumn id="6" xr3:uid="{00000000-0010-0000-0200-000006000000}" name="Dog ID" dataDxfId="1194" totalsRowDxfId="1193">
      <calculatedColumnFormula>IF(Table1[[#This Row],[Status]]="Not Entered","",VLOOKUP(Table1[[#This Row],[Ln'#]],Started!$A$5:$AU$34,3,FALSE))</calculatedColumnFormula>
    </tableColumn>
    <tableColumn id="7" xr3:uid="{00000000-0010-0000-0200-000007000000}" name="Dog Name/Breed" dataDxfId="1192" totalsRowDxfId="1191">
      <calculatedColumnFormula>IF(Table1[[#This Row],[Status]]="Not Entered","",VLOOKUP(Table1[[#This Row],[Ln'#]],Started!$A$5:$AU$34,4,FALSE) &amp; IF(ISERROR(VLOOKUP(Table1[[#This Row],[Dog ID]],'SDDA Dogs'!A:C,3,FALSE)),""," - " &amp; VLOOKUP(Table1[[#This Row],[Dog ID]],'SDDA Dogs'!A:C,3,FALSE)))</calculatedColumnFormula>
    </tableColumn>
    <tableColumn id="8" xr3:uid="{00000000-0010-0000-0200-000008000000}" name="Owner/Handler" dataDxfId="1190" totalsRowDxfId="1189">
      <calculatedColumnFormula>IF(Table1[[#This Row],[Status]]="Not Entered","",VLOOKUP(Table1[[#This Row],[Ln'#]],Started!$A$5:$BB$34,47,FALSE))</calculatedColumnFormula>
    </tableColumn>
  </tableColumns>
  <tableStyleInfo name="TableStyleLight8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6000000}" name="Table131342941" displayName="Table131342941" ref="K3:S34" totalsRowCount="1" headerRowDxfId="493" dataDxfId="492" totalsRowDxfId="491">
  <autoFilter ref="K3:S33" xr:uid="{00000000-0009-0000-0100-000028000000}"/>
  <sortState xmlns:xlrd2="http://schemas.microsoft.com/office/spreadsheetml/2017/richdata2" ref="K4:S33">
    <sortCondition ref="K3:K33"/>
  </sortState>
  <tableColumns count="9">
    <tableColumn id="1" xr3:uid="{00000000-0010-0000-2600-000001000000}" name="Ln#" dataDxfId="490" totalsRowDxfId="489"/>
    <tableColumn id="2" xr3:uid="{00000000-0010-0000-2600-000002000000}" name="Status Container" dataDxfId="488" totalsRowDxfId="487">
      <calculatedColumnFormula>IF(OR(VLOOKUP(Table131342941[[#This Row],[Ln'#]],Excellent!A$5:AU$54,6,FALSE)="E",VLOOKUP(Table131342941[[#This Row],[Ln'#]],Excellent!A$5:AU$54,6,FALSE)="FEO"),"x","")</calculatedColumnFormula>
    </tableColumn>
    <tableColumn id="3" xr3:uid="{00000000-0010-0000-2600-000003000000}" name="Status Interior" dataDxfId="486" totalsRowDxfId="485">
      <calculatedColumnFormula>IF(OR(VLOOKUP(Table131342941[[#This Row],[Ln'#]],Excellent!A$5:AU$54,14,FALSE)="E",VLOOKUP(Table131342941[[#This Row],[Ln'#]],Excellent!A$5:AU$54,14,FALSE)="FEO"),"x","")</calculatedColumnFormula>
    </tableColumn>
    <tableColumn id="10" xr3:uid="{00000000-0010-0000-2600-00000A000000}" name="Present" totalsRowLabel="Entered" dataDxfId="484" totalsRowDxfId="483"/>
    <tableColumn id="5" xr3:uid="{00000000-0010-0000-2600-000005000000}" name="Running Order" totalsRowFunction="countNums" dataDxfId="482" totalsRowDxfId="481"/>
    <tableColumn id="4" xr3:uid="{00000000-0010-0000-2600-000004000000}" name="Session" dataDxfId="480" totalsRowDxfId="479"/>
    <tableColumn id="6" xr3:uid="{00000000-0010-0000-2600-000006000000}" name="Dog ID" dataDxfId="478" totalsRowDxfId="477">
      <calculatedColumnFormula>IF(AND(Table131342941[[#This Row],[Status Container]]="",Table131342941[[#This Row],[Status Interior]]=""),"",VLOOKUP(Table131342941[[#This Row],[Ln'#]],Excellent!$A$5:$AU$54,3,FALSE))</calculatedColumnFormula>
    </tableColumn>
    <tableColumn id="7" xr3:uid="{00000000-0010-0000-2600-000007000000}" name="Dog Name/Breed" dataDxfId="476" totalsRowDxfId="475">
      <calculatedColumnFormula>IF(Table131342941[[#This Row],[Dog ID]]="","",(VLOOKUP(Table131342941[[#This Row],[Dog ID]],Excellent!C$5:$D$54,2,FALSE)&amp;" - " &amp;VLOOKUP(Table131342941[[#This Row],[Dog ID]],'SDDA Dogs'!A:C,3,FALSE)))</calculatedColumnFormula>
    </tableColumn>
    <tableColumn id="8" xr3:uid="{00000000-0010-0000-2600-000008000000}" name="Owner/Handler" dataDxfId="474" totalsRowDxfId="473">
      <calculatedColumnFormula>IF(Table131342941[[#This Row],[Dog ID]]="","",(VLOOKUP(Table131342941[[#This Row],[Dog ID]],Excellent!C$5:$AU54,44,FALSE)))</calculatedColumnFormula>
    </tableColumn>
  </tableColumns>
  <tableStyleInfo name="TableStyleLight8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7000000}" name="Table13130353842" displayName="Table13130353842" ref="K37:S68" totalsRowCount="1" headerRowDxfId="472" dataDxfId="471" totalsRowDxfId="470">
  <autoFilter ref="K37:S67" xr:uid="{00000000-0009-0000-0100-000029000000}"/>
  <sortState xmlns:xlrd2="http://schemas.microsoft.com/office/spreadsheetml/2017/richdata2" ref="K38:S67">
    <sortCondition ref="K3:K33"/>
  </sortState>
  <tableColumns count="9">
    <tableColumn id="1" xr3:uid="{00000000-0010-0000-2700-000001000000}" name="Ln#" dataDxfId="469" totalsRowDxfId="468"/>
    <tableColumn id="2" xr3:uid="{00000000-0010-0000-2700-000002000000}" name="Status Container" dataDxfId="467" totalsRowDxfId="466">
      <calculatedColumnFormula>IF(OR(VLOOKUP(Table13130353842[[#This Row],[Ln'#]],Excellent!A$5:AU$54,6,FALSE)="E",VLOOKUP(Table13130353842[[#This Row],[Ln'#]],Excellent!A$5:AU$54,6,FALSE)="FEO"),"x","")</calculatedColumnFormula>
    </tableColumn>
    <tableColumn id="3" xr3:uid="{00000000-0010-0000-2700-000003000000}" name="Status Exterior" dataDxfId="465" totalsRowDxfId="464">
      <calculatedColumnFormula>IF(OR(VLOOKUP(Table13130353842[[#This Row],[Ln'#]],Excellent!A$5:AU$54,22,FALSE)="E",VLOOKUP(Table13130353842[[#This Row],[Ln'#]],Excellent!A$5:AU$54,22,FALSE)="FEO"),"x","")</calculatedColumnFormula>
    </tableColumn>
    <tableColumn id="10" xr3:uid="{00000000-0010-0000-2700-00000A000000}" name="Present" totalsRowLabel="Entered" dataDxfId="463" totalsRowDxfId="462"/>
    <tableColumn id="5" xr3:uid="{00000000-0010-0000-2700-000005000000}" name="Running Order" totalsRowFunction="countNums" dataDxfId="461" totalsRowDxfId="460"/>
    <tableColumn id="4" xr3:uid="{00000000-0010-0000-2700-000004000000}" name="Session" dataDxfId="459" totalsRowDxfId="458"/>
    <tableColumn id="6" xr3:uid="{00000000-0010-0000-2700-000006000000}" name="Dog ID" dataDxfId="457" totalsRowDxfId="456">
      <calculatedColumnFormula>IF(AND(Table13130353842[[#This Row],[Status Container]]="",Table13130353842[[#This Row],[Status Exterior]]=""),"",VLOOKUP(Table13130353842[[#This Row],[Ln'#]],Excellent!$A$5:$AU$54,3,FALSE))</calculatedColumnFormula>
    </tableColumn>
    <tableColumn id="7" xr3:uid="{00000000-0010-0000-2700-000007000000}" name="Dog Name/Breed" dataDxfId="455" totalsRowDxfId="454">
      <calculatedColumnFormula>IF(Table13130353842[[#This Row],[Dog ID]]="","",(VLOOKUP(Table13130353842[[#This Row],[Dog ID]],Excellent!C$5:$D$54,2,FALSE)&amp;" - " &amp;VLOOKUP(Table13130353842[[#This Row],[Dog ID]],'SDDA Dogs'!A:C,3,FALSE)))</calculatedColumnFormula>
    </tableColumn>
    <tableColumn id="8" xr3:uid="{00000000-0010-0000-2700-000008000000}" name="Owner/Handler" dataDxfId="453" totalsRowDxfId="452">
      <calculatedColumnFormula>IF(Table13130353842[[#This Row],[Dog ID]]="","",(VLOOKUP(Table13130353842[[#This Row],[Dog ID]],Excellent!C$5:$AU54,44,FALSE)))</calculatedColumnFormula>
    </tableColumn>
  </tableColumns>
  <tableStyleInfo name="TableStyleLight8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8000000}" name="Table13132363943" displayName="Table13132363943" ref="K105:S136" totalsRowCount="1" headerRowDxfId="451" dataDxfId="450" totalsRowDxfId="449">
  <autoFilter ref="K105:S135" xr:uid="{00000000-0009-0000-0100-00002A000000}"/>
  <sortState xmlns:xlrd2="http://schemas.microsoft.com/office/spreadsheetml/2017/richdata2" ref="K106:S135">
    <sortCondition ref="K3:K33"/>
  </sortState>
  <tableColumns count="9">
    <tableColumn id="1" xr3:uid="{00000000-0010-0000-2800-000001000000}" name="Ln#" dataDxfId="448" totalsRowDxfId="447"/>
    <tableColumn id="2" xr3:uid="{00000000-0010-0000-2800-000002000000}" name="Status Container" dataDxfId="446" totalsRowDxfId="445">
      <calculatedColumnFormula>IF(OR(VLOOKUP(Table13132363943[[#This Row],[Ln'#]],Excellent!A$65:AU$114,6,FALSE)="E",VLOOKUP(Table13132363943[[#This Row],[Ln'#]],Excellent!A$65:AU$114,6,FALSE)="FEO"),"x","")</calculatedColumnFormula>
    </tableColumn>
    <tableColumn id="3" xr3:uid="{00000000-0010-0000-2800-000003000000}" name="Status Interior" dataDxfId="444" totalsRowDxfId="443">
      <calculatedColumnFormula>IF(OR(VLOOKUP(Table13132363943[[#This Row],[Ln'#]],Excellent!A$65:AU$114,14,FALSE)="E",VLOOKUP(Table13132363943[[#This Row],[Ln'#]],Excellent!A$65:AU$114,14,FALSE)="FEO"),"x","")</calculatedColumnFormula>
    </tableColumn>
    <tableColumn id="10" xr3:uid="{00000000-0010-0000-2800-00000A000000}" name="Present" totalsRowLabel="Entered" dataDxfId="442" totalsRowDxfId="441"/>
    <tableColumn id="5" xr3:uid="{00000000-0010-0000-2800-000005000000}" name="Running Order" totalsRowFunction="countNums" dataDxfId="440" totalsRowDxfId="439"/>
    <tableColumn id="4" xr3:uid="{00000000-0010-0000-2800-000004000000}" name="Session" dataDxfId="438" totalsRowDxfId="437"/>
    <tableColumn id="6" xr3:uid="{00000000-0010-0000-2800-000006000000}" name="Dog ID" dataDxfId="436" totalsRowDxfId="435">
      <calculatedColumnFormula>IF(AND(Table13132363943[[#This Row],[Status Container]]="",Table13132363943[[#This Row],[Status Interior]]=""),"",VLOOKUP(Table13132363943[[#This Row],[Ln'#]],Excellent!$A$65:$AU$114,3,FALSE))</calculatedColumnFormula>
    </tableColumn>
    <tableColumn id="7" xr3:uid="{00000000-0010-0000-2800-000007000000}" name="Dog Name/Breed" dataDxfId="434" totalsRowDxfId="433">
      <calculatedColumnFormula>IF(Table13132363943[[#This Row],[Dog ID]]="","",(VLOOKUP(Table13132363943[[#This Row],[Dog ID]],Excellent!C$65:$D$114,2,FALSE)&amp;" - " &amp;VLOOKUP(Table13132363943[[#This Row],[Dog ID]],'SDDA Dogs'!A:C,3,FALSE)))</calculatedColumnFormula>
    </tableColumn>
    <tableColumn id="8" xr3:uid="{00000000-0010-0000-2800-000008000000}" name="Owner/Handler" dataDxfId="432" totalsRowDxfId="431">
      <calculatedColumnFormula>IF(Table13132363943[[#This Row],[Dog ID]]="","",(VLOOKUP(Table13132363943[[#This Row],[Dog ID]],Excellent!C$65:$AU114,44,FALSE)))</calculatedColumnFormula>
    </tableColumn>
  </tableColumns>
  <tableStyleInfo name="TableStyleLight8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9000000}" name="Table1313033374044" displayName="Table1313033374044" ref="K139:S170" totalsRowCount="1" headerRowDxfId="430" dataDxfId="429" totalsRowDxfId="428">
  <autoFilter ref="K139:S169" xr:uid="{00000000-0009-0000-0100-00002B000000}"/>
  <sortState xmlns:xlrd2="http://schemas.microsoft.com/office/spreadsheetml/2017/richdata2" ref="K140:S169">
    <sortCondition ref="K3:K33"/>
  </sortState>
  <tableColumns count="9">
    <tableColumn id="1" xr3:uid="{00000000-0010-0000-2900-000001000000}" name="Ln#" dataDxfId="427" totalsRowDxfId="426"/>
    <tableColumn id="2" xr3:uid="{00000000-0010-0000-2900-000002000000}" name="Status Container" dataDxfId="425" totalsRowDxfId="424">
      <calculatedColumnFormula>IF(OR(VLOOKUP(Table1313033374044[[#This Row],[Ln'#]],Excellent!A$65:AU$114,6,FALSE)="E",VLOOKUP(Table1313033374044[[#This Row],[Ln'#]],Excellent!A$65:AU$114,6,FALSE)="FEO"),"x","")</calculatedColumnFormula>
    </tableColumn>
    <tableColumn id="3" xr3:uid="{00000000-0010-0000-2900-000003000000}" name="Status Exterior" dataDxfId="423" totalsRowDxfId="422">
      <calculatedColumnFormula>IF(OR(VLOOKUP(Table1313033374044[[#This Row],[Ln'#]],Excellent!A$65:AU$114,22,FALSE)="E",VLOOKUP(Table1313033374044[[#This Row],[Ln'#]],Excellent!A$65:AU$114,22,FALSE)="FEO"),"x","")</calculatedColumnFormula>
    </tableColumn>
    <tableColumn id="10" xr3:uid="{00000000-0010-0000-2900-00000A000000}" name="Present" totalsRowLabel="Entered" dataDxfId="421" totalsRowDxfId="420"/>
    <tableColumn id="5" xr3:uid="{00000000-0010-0000-2900-000005000000}" name="Running Order" totalsRowFunction="countNums" dataDxfId="419" totalsRowDxfId="418"/>
    <tableColumn id="4" xr3:uid="{00000000-0010-0000-2900-000004000000}" name="Session" dataDxfId="417" totalsRowDxfId="416"/>
    <tableColumn id="6" xr3:uid="{00000000-0010-0000-2900-000006000000}" name="Dog ID" dataDxfId="415" totalsRowDxfId="414">
      <calculatedColumnFormula>IF(AND(Table1313033374044[[#This Row],[Status Container]]="",Table1313033374044[[#This Row],[Status Exterior]]=""),"",VLOOKUP(Table1313033374044[[#This Row],[Ln'#]],Excellent!$A$65:$AU$114,3,FALSE))</calculatedColumnFormula>
    </tableColumn>
    <tableColumn id="7" xr3:uid="{00000000-0010-0000-2900-000007000000}" name="Dog Name/Breed" dataDxfId="413" totalsRowDxfId="412">
      <calculatedColumnFormula>IF(Table1313033374044[[#This Row],[Dog ID]]="","",(VLOOKUP(Table1313033374044[[#This Row],[Dog ID]],Excellent!C$65:$D$114,2,FALSE)&amp;" - " &amp;VLOOKUP(Table1313033374044[[#This Row],[Dog ID]],'SDDA Dogs'!A:C,3,FALSE)))</calculatedColumnFormula>
    </tableColumn>
    <tableColumn id="8" xr3:uid="{00000000-0010-0000-2900-000008000000}" name="Owner/Handler" dataDxfId="411" totalsRowDxfId="410">
      <calculatedColumnFormula>IF(Table1313033374044[[#This Row],[Dog ID]]="","",(VLOOKUP(Table1313033374044[[#This Row],[Dog ID]],Excellent!C$65:$AU114,44,FALSE)))</calculatedColumnFormula>
    </tableColumn>
  </tableColumns>
  <tableStyleInfo name="TableStyleLight8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A000000}" name="GamesDay1" displayName="GamesDay1" ref="B6:AS57" totalsRowCount="1" headerRowDxfId="409" dataDxfId="408" totalsRowDxfId="407">
  <autoFilter ref="B6:AS56" xr:uid="{00000000-0009-0000-0100-00002C000000}"/>
  <sortState xmlns:xlrd2="http://schemas.microsoft.com/office/spreadsheetml/2017/richdata2" ref="B7:AS56">
    <sortCondition ref="B7:B57"/>
  </sortState>
  <tableColumns count="44">
    <tableColumn id="1" xr3:uid="{00000000-0010-0000-2A00-000001000000}" name="Ln D1" dataDxfId="406" totalsRowDxfId="405"/>
    <tableColumn id="40" xr3:uid="{00000000-0010-0000-2A00-000028000000}" name="RO D1" dataDxfId="404" totalsRowDxfId="403">
      <calculatedColumnFormula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calculatedColumnFormula>
    </tableColumn>
    <tableColumn id="2" xr3:uid="{00000000-0010-0000-2A00-000002000000}" name="Dog D1" totalsRowFunction="custom" dataDxfId="402" totalsRowDxfId="401">
      <totalsRowFormula>COUNT(GamesDay1[Dog D1])</totalsRowFormula>
    </tableColumn>
    <tableColumn id="3" xr3:uid="{00000000-0010-0000-2A00-000003000000}" name="Call Name D1" dataDxfId="400" totalsRowDxfId="399">
      <calculatedColumnFormula>IFERROR(VLOOKUP(GamesDay1[[#This Row],[Dog D1]],'SDDA Dogs'!A:B,2,FALSE),"")</calculatedColumnFormula>
    </tableColumn>
    <tableColumn id="4" xr3:uid="{00000000-0010-0000-2A00-000004000000}" name="Breed D1" dataDxfId="398" totalsRowDxfId="397">
      <calculatedColumnFormula>IFERROR(VLOOKUP(GamesDay1[[#This Row],[Dog D1]],'SDDA Dogs'!A:C,3,FALSE),"")</calculatedColumnFormula>
    </tableColumn>
    <tableColumn id="5" xr3:uid="{00000000-0010-0000-2A00-000005000000}" name="Owner/Handler D1" dataDxfId="396" totalsRowDxfId="395">
      <calculatedColumnFormula>IFERROR(VLOOKUP(GamesDay1[[#This Row],[Dog D1]],'SDDA Dogs'!A:F,6,FALSE),"")</calculatedColumnFormula>
    </tableColumn>
    <tableColumn id="19" xr3:uid="{00000000-0010-0000-2A00-000013000000}" name="Email Address D1" dataDxfId="394" totalsRowDxfId="393"/>
    <tableColumn id="47" xr3:uid="{00000000-0010-0000-2A00-00002F000000}" name="Aerial Qs" dataDxfId="392" totalsRowDxfId="391">
      <calculatedColumnFormula>GamesDay1[[#This Row],[Total Qs Aerial D1]]</calculatedColumnFormula>
    </tableColumn>
    <tableColumn id="46" xr3:uid="{00000000-0010-0000-2A00-00002E000000}" name="Dist. Qs" dataDxfId="390" totalsRowDxfId="389">
      <calculatedColumnFormula>GamesDay1[[#This Row],[Total Qs Distance D1]]</calculatedColumnFormula>
    </tableColumn>
    <tableColumn id="45" xr3:uid="{00000000-0010-0000-2A00-00002D000000}" name="Speed Qs" dataDxfId="388" totalsRowDxfId="387">
      <calculatedColumnFormula>GamesDay1[[#This Row],[Total Qs Speed D1]]</calculatedColumnFormula>
    </tableColumn>
    <tableColumn id="44" xr3:uid="{00000000-0010-0000-2A00-00002C000000}" name="Team Qs" dataDxfId="386" totalsRowDxfId="385">
      <calculatedColumnFormula>GamesDay1[[#This Row],[Total Qs Team D1]]</calculatedColumnFormula>
    </tableColumn>
    <tableColumn id="32" xr3:uid="{00000000-0010-0000-2A00-000020000000}" name="Judge Aerial D1" dataDxfId="384" totalsRowDxfId="383">
      <calculatedColumnFormula>VLOOKUP(JudgeD1GamesAerial,JudgesList,2,FALSE)</calculatedColumnFormula>
    </tableColumn>
    <tableColumn id="6" xr3:uid="{00000000-0010-0000-2A00-000006000000}" name="Prev Qs Aerial D1" dataDxfId="382" totalsRowDxfId="381">
      <calculatedColumnFormula>IFERROR(VLOOKUP(GamesDay1[[#This Row],[Dog D1]]&amp;"-"&amp;N$5,DogInfo!#REF!,2,FALSE),0)</calculatedColumnFormula>
    </tableColumn>
    <tableColumn id="7" xr3:uid="{00000000-0010-0000-2A00-000007000000}" name="Pass / Fail Aerial D1" totalsRowFunction="custom" dataDxfId="380" totalsRowDxfId="379">
      <totalsRowFormula>COUNTIF(GamesDay1[Pass / Fail Aerial D1],"P")+COUNTIF(GamesDay1[Pass / Fail Aerial D1],"F")+COUNTIF(GamesDay1[Pass / Fail Aerial D1],"E")+COUNTIF(GamesDay1[Pass / Fail Aerial D1],"FEO")</totalsRowFormula>
    </tableColumn>
    <tableColumn id="31" xr3:uid="{00000000-0010-0000-2A00-00001F000000}" name="Time Aerial D1" dataDxfId="378" totalsRowDxfId="377"/>
    <tableColumn id="41" xr3:uid="{00000000-0010-0000-2A00-000029000000}" name="Plcmt Aerial D1" dataDxfId="376" totalsRowDxfId="375">
      <calculatedColumnFormula>IF(ISBLANK(GamesDay1[[#This Row],[Time Aerial D1]]),"",RANK(GamesDay1[[#This Row],[Time Aerial D1]],GamesDay1[Time Aerial D1],1))</calculatedColumnFormula>
    </tableColumn>
    <tableColumn id="36" xr3:uid="{00000000-0010-0000-2A00-000024000000}" name="Aerial Run Ordr D1" dataDxfId="374" totalsRowDxfId="373"/>
    <tableColumn id="8" xr3:uid="{00000000-0010-0000-2A00-000008000000}" name="Total Qs Aerial D1" dataDxfId="372" totalsRowDxfId="371">
      <calculatedColumnFormula>IF(GamesDay1[[#This Row],[Pass / Fail Aerial D1]]="P",IF(GamesDay1[[#This Row],[Prev Qs Aerial D1]]="",1,GamesDay1[[#This Row],[Prev Qs Aerial D1]]+1),GamesDay1[[#This Row],[Prev Qs Aerial D1]])</calculatedColumnFormula>
    </tableColumn>
    <tableColumn id="33" xr3:uid="{00000000-0010-0000-2A00-000021000000}" name="Judge Distance D1" dataDxfId="370" totalsRowDxfId="369">
      <calculatedColumnFormula>VLOOKUP(JudgeD1GamesDistance,JudgesList,2,FALSE)</calculatedColumnFormula>
    </tableColumn>
    <tableColumn id="9" xr3:uid="{00000000-0010-0000-2A00-000009000000}" name="Prev Qs Distance D1" dataDxfId="368" totalsRowDxfId="367">
      <calculatedColumnFormula>IFERROR(VLOOKUP(GamesDay1[[#This Row],[Dog D1]]&amp;"-"&amp;U$5,DogInfo!#REF!,2,FALSE),0)</calculatedColumnFormula>
    </tableColumn>
    <tableColumn id="10" xr3:uid="{00000000-0010-0000-2A00-00000A000000}" name="Pass / Fail Distance D1" totalsRowFunction="custom" dataDxfId="366" totalsRowDxfId="365">
      <totalsRowFormula>COUNTIF(GamesDay1[Pass / Fail Distance D1],"P")+COUNTIF(GamesDay1[Pass / Fail Distance D1],"F")+COUNTIF(GamesDay1[Pass / Fail Distance D1],"E")+COUNTIF(GamesDay1[Pass / Fail Distance D1],"FEO")</totalsRowFormula>
    </tableColumn>
    <tableColumn id="42" xr3:uid="{00000000-0010-0000-2A00-00002A000000}" name="Time Distance D1" dataDxfId="364" totalsRowDxfId="363"/>
    <tableColumn id="25" xr3:uid="{00000000-0010-0000-2A00-000019000000}" name="Plcmt Distance D1" dataDxfId="362" totalsRowDxfId="361">
      <calculatedColumnFormula>IF(ISBLANK(GamesDay1[[#This Row],[Time Distance D1]]),"",RANK(GamesDay1[[#This Row],[Time Distance D1]],GamesDay1[Time Distance D1],1))</calculatedColumnFormula>
    </tableColumn>
    <tableColumn id="37" xr3:uid="{00000000-0010-0000-2A00-000025000000}" name="Distance Run Ordr D1" dataDxfId="360" totalsRowDxfId="359"/>
    <tableColumn id="11" xr3:uid="{00000000-0010-0000-2A00-00000B000000}" name="Total Qs Distance D1" dataDxfId="358" totalsRowDxfId="357">
      <calculatedColumnFormula>IF(GamesDay1[[#This Row],[Pass / Fail Distance D1]]="P",IF(GamesDay1[[#This Row],[Prev Qs Distance D1]]="",1,GamesDay1[[#This Row],[Prev Qs Distance D1]]+1),GamesDay1[[#This Row],[Prev Qs Distance D1]])</calculatedColumnFormula>
    </tableColumn>
    <tableColumn id="34" xr3:uid="{00000000-0010-0000-2A00-000022000000}" name="Judge Speed D1" dataDxfId="356" totalsRowDxfId="355">
      <calculatedColumnFormula>VLOOKUP(JudgeD1GamesSpeed,JudgesList,2,FALSE)</calculatedColumnFormula>
    </tableColumn>
    <tableColumn id="12" xr3:uid="{00000000-0010-0000-2A00-00000C000000}" name="Prev Qs Speed D1" dataDxfId="354" totalsRowDxfId="353">
      <calculatedColumnFormula>IFERROR(VLOOKUP(GamesDay1[[#This Row],[Dog D1]]&amp;"-"&amp;AB$5,DogInfo!#REF!,2,FALSE),0)</calculatedColumnFormula>
    </tableColumn>
    <tableColumn id="13" xr3:uid="{00000000-0010-0000-2A00-00000D000000}" name="Pass / Fail Speed D1" totalsRowFunction="custom" dataDxfId="352" totalsRowDxfId="351">
      <totalsRowFormula>COUNTIF(GamesDay1[Pass / Fail Speed D1],"P")+COUNTIF(GamesDay1[Pass / Fail Speed D1],"F")+COUNTIF(GamesDay1[Pass / Fail Speed D1],"E")+COUNTIF(GamesDay1[Pass / Fail Speed D1],"FEO")</totalsRowFormula>
    </tableColumn>
    <tableColumn id="43" xr3:uid="{00000000-0010-0000-2A00-00002B000000}" name="Time Speed D1" dataDxfId="350" totalsRowDxfId="349"/>
    <tableColumn id="48" xr3:uid="{00000000-0010-0000-2A00-000030000000}" name="Plcmt Speed D1" dataDxfId="348" totalsRowDxfId="347">
      <calculatedColumnFormula>IF(ISBLANK(GamesDay1[[#This Row],[Time Speed D1]]),"",RANK(GamesDay1[[#This Row],[Time Speed D1]],GamesDay1[Time Speed D1],1))</calculatedColumnFormula>
    </tableColumn>
    <tableColumn id="38" xr3:uid="{00000000-0010-0000-2A00-000026000000}" name="Speed Run Ordr D1" dataDxfId="346" totalsRowDxfId="345"/>
    <tableColumn id="14" xr3:uid="{00000000-0010-0000-2A00-00000E000000}" name="Total Qs Speed D1" dataDxfId="344" totalsRowDxfId="343">
      <calculatedColumnFormula>IF(GamesDay1[[#This Row],[Pass / Fail Speed D1]]="P",IF(GamesDay1[[#This Row],[Prev Qs Speed D1]]="",1,GamesDay1[[#This Row],[Prev Qs Speed D1]]+1),GamesDay1[[#This Row],[Prev Qs Speed D1]])</calculatedColumnFormula>
    </tableColumn>
    <tableColumn id="35" xr3:uid="{00000000-0010-0000-2A00-000023000000}" name="Judge Team D1" dataDxfId="342" totalsRowDxfId="341">
      <calculatedColumnFormula>VLOOKUP(JudgeD1GamesTeam,JudgesList,2,FALSE)</calculatedColumnFormula>
    </tableColumn>
    <tableColumn id="15" xr3:uid="{00000000-0010-0000-2A00-00000F000000}" name="Prev Qs Team D1" dataDxfId="340" totalsRowDxfId="339">
      <calculatedColumnFormula>IFERROR(VLOOKUP(GamesDay1[[#This Row],[Dog D1]]&amp;"-"&amp;AI$5,DogInfo!#REF!,2,FALSE),0)</calculatedColumnFormula>
    </tableColumn>
    <tableColumn id="16" xr3:uid="{00000000-0010-0000-2A00-000010000000}" name="Pass / Fail Team D1" totalsRowFunction="custom" dataDxfId="338" totalsRowDxfId="337">
      <totalsRowFormula>(COUNTIF(GamesDay1[Pass / Fail Team D1],"P")+COUNTIF(GamesDay1[Pass / Fail Team D1],"F")+COUNTIF(GamesDay1[Pass / Fail Team D1],"E")+COUNTIF(GamesDay1[Pass / Fail Team D1],"FEO"))*0.5</totalsRowFormula>
    </tableColumn>
    <tableColumn id="18" xr3:uid="{00000000-0010-0000-2A00-000012000000}" name="Time Team D1" dataDxfId="336" totalsRowDxfId="335"/>
    <tableColumn id="20" xr3:uid="{00000000-0010-0000-2A00-000014000000}" name="Plcmt Team D1" dataDxfId="334" totalsRowDxfId="333">
      <calculatedColumnFormula>IF(ISBLANK(GamesDay1[[#This Row],[Time Team D1]]),"",RANK(GamesDay1[[#This Row],[Time Team D1]],GamesDay1[Time Team D1],1))</calculatedColumnFormula>
    </tableColumn>
    <tableColumn id="39" xr3:uid="{00000000-0010-0000-2A00-000027000000}" name="Team Run Ordr D1" dataDxfId="332" totalsRowDxfId="331"/>
    <tableColumn id="17" xr3:uid="{00000000-0010-0000-2A00-000011000000}" name="Total Qs Team D1" dataDxfId="330" totalsRowDxfId="329">
      <calculatedColumnFormula>IF(GamesDay1[[#This Row],[Pass / Fail Team D1]]="P",IF(GamesDay1[[#This Row],[Prev Qs Team D1]]="",1,GamesDay1[[#This Row],[Prev Qs Team D1]]+1),GamesDay1[[#This Row],[Prev Qs Team D1]])</calculatedColumnFormula>
    </tableColumn>
    <tableColumn id="22" xr3:uid="{00000000-0010-0000-2A00-000016000000}" name="Number of Games D1" totalsRowFunction="sum" dataDxfId="328" totalsRowDxfId="327">
      <calculatedColumnFormula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calculatedColumnFormula>
    </tableColumn>
    <tableColumn id="23" xr3:uid="{00000000-0010-0000-2A00-000017000000}" name="Number of FEOs D1" totalsRowFunction="sum" dataDxfId="326" totalsRowDxfId="325">
      <calculatedColumnFormula>IF(GamesDay1[[#This Row],[Pass / Fail Aerial D1]]="FEO",1,0)+IF(GamesDay1[[#This Row],[Pass / Fail Distance D1]]="FEO",1,0)+IF(GamesDay1[[#This Row],[Pass / Fail Speed D1]]="FEO",1,0)+IF(GamesDay1[[#This Row],[Pass / Fail Team D1]]="FEO",1,0)</calculatedColumnFormula>
    </tableColumn>
    <tableColumn id="24" xr3:uid="{00000000-0010-0000-2A00-000018000000}" name="Total Entry Fees D1" totalsRowFunction="sum" dataDxfId="324" totalsRowDxfId="323">
      <calculatedColumnFormula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calculatedColumnFormula>
    </tableColumn>
    <tableColumn id="30" xr3:uid="{00000000-0010-0000-2A00-00001E000000}" name="Total SDDA Fees D1" totalsRowFunction="sum" dataDxfId="322" totalsRowDxfId="321">
      <calculatedColumnFormula>GamesDay1[[#This Row],[Number of Games D1]]*SddaFee</calculatedColumnFormula>
    </tableColumn>
    <tableColumn id="29" xr3:uid="{00000000-0010-0000-2A00-00001D000000}" name="Total Judges Fees D1" totalsRowFunction="sum" dataDxfId="320" totalsRowDxfId="319">
      <calculatedColumnFormula>(GamesDay1[[#This Row],[Number of Games D1]]+GamesDay1[[#This Row],[Number of FEOs D1]])*JudgesFeeFEOGames</calculatedColumnFormula>
    </tableColumn>
  </tableColumns>
  <tableStyleInfo name="TableStyleMedium5" showFirstColumn="1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B000000}" name="GamesDay2" displayName="GamesDay2" ref="B65:AS116" totalsRowCount="1" headerRowDxfId="318" dataDxfId="317" totalsRowDxfId="316">
  <autoFilter ref="B65:AS115" xr:uid="{00000000-0009-0000-0100-00002D000000}"/>
  <sortState xmlns:xlrd2="http://schemas.microsoft.com/office/spreadsheetml/2017/richdata2" ref="C65:AO114">
    <sortCondition ref="C4:C54"/>
  </sortState>
  <tableColumns count="44">
    <tableColumn id="1" xr3:uid="{00000000-0010-0000-2B00-000001000000}" name="Ln D2" dataDxfId="315" totalsRowDxfId="314"/>
    <tableColumn id="31" xr3:uid="{00000000-0010-0000-2B00-00001F000000}" name="RO D2" dataDxfId="313" totalsRowDxfId="312">
      <calculatedColumnFormula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calculatedColumnFormula>
    </tableColumn>
    <tableColumn id="2" xr3:uid="{00000000-0010-0000-2B00-000002000000}" name="Dog D2" totalsRowFunction="custom" dataDxfId="311" totalsRowDxfId="310">
      <totalsRowFormula>COUNT(GamesDay2[Dog D2])</totalsRowFormula>
    </tableColumn>
    <tableColumn id="3" xr3:uid="{00000000-0010-0000-2B00-000003000000}" name="Call Name D2" dataDxfId="309" totalsRowDxfId="308">
      <calculatedColumnFormula>IFERROR(VLOOKUP(GamesDay2[[#This Row],[Dog D2]],'SDDA Dogs'!A:B,2,FALSE),"")</calculatedColumnFormula>
    </tableColumn>
    <tableColumn id="4" xr3:uid="{00000000-0010-0000-2B00-000004000000}" name="Breed D2" dataDxfId="307" totalsRowDxfId="306">
      <calculatedColumnFormula>IFERROR(VLOOKUP(GamesDay2[[#This Row],[Dog D2]],'SDDA Dogs'!A:C,3,FALSE),"")</calculatedColumnFormula>
    </tableColumn>
    <tableColumn id="5" xr3:uid="{00000000-0010-0000-2B00-000005000000}" name="Owner/Handler D2" dataDxfId="305" totalsRowDxfId="304">
      <calculatedColumnFormula>IFERROR(VLOOKUP(GamesDay2[[#This Row],[Dog D2]],'SDDA Dogs'!A:F,6,FALSE),"")</calculatedColumnFormula>
    </tableColumn>
    <tableColumn id="19" xr3:uid="{00000000-0010-0000-2B00-000013000000}" name="Email Address D2" dataDxfId="303" totalsRowDxfId="302"/>
    <tableColumn id="43" xr3:uid="{00000000-0010-0000-2B00-00002B000000}" name="Aerial Qs" dataDxfId="301" totalsRowDxfId="300">
      <calculatedColumnFormula>GamesDay2[[#This Row],[Total Qs Aerial D2]]</calculatedColumnFormula>
    </tableColumn>
    <tableColumn id="42" xr3:uid="{00000000-0010-0000-2B00-00002A000000}" name="Dist. Qs" dataDxfId="299" totalsRowDxfId="298">
      <calculatedColumnFormula>GamesDay2[[#This Row],[Total Qs Distance D2]]</calculatedColumnFormula>
    </tableColumn>
    <tableColumn id="41" xr3:uid="{00000000-0010-0000-2B00-000029000000}" name="Speed Qs" dataDxfId="297" totalsRowDxfId="296">
      <calculatedColumnFormula>GamesDay2[[#This Row],[Total Qs Speed D2]]</calculatedColumnFormula>
    </tableColumn>
    <tableColumn id="40" xr3:uid="{00000000-0010-0000-2B00-000028000000}" name="Team Qs" dataDxfId="295" totalsRowDxfId="294">
      <calculatedColumnFormula>GamesDay2[[#This Row],[Total Qs Team D2]]</calculatedColumnFormula>
    </tableColumn>
    <tableColumn id="32" xr3:uid="{00000000-0010-0000-2B00-000020000000}" name="Judge Aerial D2" dataDxfId="293" totalsRowDxfId="292">
      <calculatedColumnFormula>VLOOKUP(JudgeD2GamesAerial,JudgesList,2,FALSE)</calculatedColumnFormula>
    </tableColumn>
    <tableColumn id="6" xr3:uid="{00000000-0010-0000-2B00-000006000000}" name="Prev Qs Aerial D2" dataDxfId="291" totalsRowDxfId="290">
      <calculatedColumnFormula>IFERROR(VLOOKUP(GamesDay2[[#This Row],[Dog D2]],GamesDay1[[Dog D1]:[Total Qs Aerial D1]],16,FALSE),IFERROR(VLOOKUP(GamesDay2[[#This Row],[Dog D2]]&amp;"-"&amp;N$5,DogInfo!#REF!,2,FALSE),0))</calculatedColumnFormula>
    </tableColumn>
    <tableColumn id="7" xr3:uid="{00000000-0010-0000-2B00-000007000000}" name="Pass / Fail Aerial D2" totalsRowFunction="custom" dataDxfId="289" totalsRowDxfId="288">
      <totalsRowFormula>COUNTIF(GamesDay2[Pass / Fail Aerial D2],"P")+COUNTIF(GamesDay2[Pass / Fail Aerial D2],"F")+COUNTIF(GamesDay2[Pass / Fail Aerial D2],"E")+COUNTIF(GamesDay2[Pass / Fail Aerial D2],"FEO")</totalsRowFormula>
    </tableColumn>
    <tableColumn id="44" xr3:uid="{00000000-0010-0000-2B00-00002C000000}" name="Time Aerial D2" dataDxfId="287" totalsRowDxfId="286"/>
    <tableColumn id="45" xr3:uid="{00000000-0010-0000-2B00-00002D000000}" name="Plcmt Aerial D2" dataDxfId="285" totalsRowDxfId="284">
      <calculatedColumnFormula>IF(ISBLANK(GamesDay2[[#This Row],[Time Aerial D2]]),"",RANK(GamesDay2[[#This Row],[Time Aerial D2]],GamesDay2[Time Aerial D2],1))</calculatedColumnFormula>
    </tableColumn>
    <tableColumn id="36" xr3:uid="{00000000-0010-0000-2B00-000024000000}" name="Aerial Run Ordr D2" dataDxfId="283" totalsRowDxfId="282"/>
    <tableColumn id="8" xr3:uid="{00000000-0010-0000-2B00-000008000000}" name="Total Qs Aerial D2" dataDxfId="281" totalsRowDxfId="280">
      <calculatedColumnFormula>IF(GamesDay2[[#This Row],[Pass / Fail Aerial D2]]="P",IF(GamesDay2[[#This Row],[Prev Qs Aerial D2]]="",1,GamesDay2[[#This Row],[Prev Qs Aerial D2]]+1),GamesDay2[[#This Row],[Prev Qs Aerial D2]])</calculatedColumnFormula>
    </tableColumn>
    <tableColumn id="33" xr3:uid="{00000000-0010-0000-2B00-000021000000}" name="Judge Distance D2" dataDxfId="279" totalsRowDxfId="278">
      <calculatedColumnFormula>VLOOKUP(JudgeD2GamesDistance,JudgesList,2,FALSE)</calculatedColumnFormula>
    </tableColumn>
    <tableColumn id="9" xr3:uid="{00000000-0010-0000-2B00-000009000000}" name="Prev Qs Distance D2" dataDxfId="277" totalsRowDxfId="276">
      <calculatedColumnFormula>IFERROR(VLOOKUP(GamesDay2[[#This Row],[Dog D2]],GamesDay1[[Dog D1]:[Total Qs Distance D1]],23,FALSE),IFERROR(VLOOKUP(GamesDay2[[#This Row],[Dog D2]]&amp;"-"&amp;U$5,DogInfo!#REF!,2,FALSE),0))</calculatedColumnFormula>
    </tableColumn>
    <tableColumn id="10" xr3:uid="{00000000-0010-0000-2B00-00000A000000}" name="Pass / Fail Distance D2" totalsRowFunction="custom" dataDxfId="275" totalsRowDxfId="274">
      <totalsRowFormula>COUNTIF(GamesDay2[Pass / Fail Distance D2],"P")+COUNTIF(GamesDay2[Pass / Fail Distance D2],"F")+COUNTIF(GamesDay2[Pass / Fail Distance D2],"E")+COUNTIF(GamesDay2[Pass / Fail Distance D2],"FEO")</totalsRowFormula>
    </tableColumn>
    <tableColumn id="25" xr3:uid="{00000000-0010-0000-2B00-000019000000}" name="Time Distance D2" dataDxfId="273" totalsRowDxfId="272"/>
    <tableColumn id="46" xr3:uid="{00000000-0010-0000-2B00-00002E000000}" name="Plcmt Distance D2" dataDxfId="271" totalsRowDxfId="270">
      <calculatedColumnFormula>IF(ISBLANK(GamesDay2[[#This Row],[Time Distance D2]]),"",RANK(GamesDay2[[#This Row],[Time Distance D2]],GamesDay2[Time Distance D2],1))</calculatedColumnFormula>
    </tableColumn>
    <tableColumn id="37" xr3:uid="{00000000-0010-0000-2B00-000025000000}" name="Distance Run Ordr D2" dataDxfId="269" totalsRowDxfId="268"/>
    <tableColumn id="11" xr3:uid="{00000000-0010-0000-2B00-00000B000000}" name="Total Qs Distance D2" dataDxfId="267" totalsRowDxfId="266">
      <calculatedColumnFormula>IF(GamesDay2[[#This Row],[Pass / Fail Distance D2]]="P",IF(GamesDay2[[#This Row],[Prev Qs Distance D2]]="",1,GamesDay2[[#This Row],[Prev Qs Distance D2]]+1),GamesDay2[[#This Row],[Prev Qs Distance D2]])</calculatedColumnFormula>
    </tableColumn>
    <tableColumn id="34" xr3:uid="{00000000-0010-0000-2B00-000022000000}" name="Judge Speed D2" dataDxfId="265" totalsRowDxfId="264">
      <calculatedColumnFormula>VLOOKUP(JudgeD2GamesSpeed,JudgesList,2,FALSE)</calculatedColumnFormula>
    </tableColumn>
    <tableColumn id="12" xr3:uid="{00000000-0010-0000-2B00-00000C000000}" name="Prev Qs Speed D2" dataDxfId="263" totalsRowDxfId="262">
      <calculatedColumnFormula>IFERROR(VLOOKUP(GamesDay2[[#This Row],[Dog D2]],GamesDay1[[Dog D1]:[Total Qs Speed D1]],30,FALSE),IFERROR(VLOOKUP(GamesDay2[[#This Row],[Dog D2]]&amp;"-"&amp;AB$5,DogInfo!#REF!,2,FALSE),0))</calculatedColumnFormula>
    </tableColumn>
    <tableColumn id="13" xr3:uid="{00000000-0010-0000-2B00-00000D000000}" name="Pass / Fail Speed D2" totalsRowFunction="custom" dataDxfId="261" totalsRowDxfId="260">
      <totalsRowFormula>COUNTIF(GamesDay2[Pass / Fail Speed D2],"P")+COUNTIF(GamesDay2[Pass / Fail Speed D2],"F")+COUNTIF(GamesDay2[Pass / Fail Speed D2],"E")+COUNTIF(GamesDay2[Pass / Fail Speed D2],"FEO")</totalsRowFormula>
    </tableColumn>
    <tableColumn id="47" xr3:uid="{00000000-0010-0000-2B00-00002F000000}" name="Time Speed D2" dataDxfId="259" totalsRowDxfId="258"/>
    <tableColumn id="48" xr3:uid="{00000000-0010-0000-2B00-000030000000}" name="Plcmt Speed D2" dataDxfId="257" totalsRowDxfId="256">
      <calculatedColumnFormula>IF(ISBLANK(GamesDay2[[#This Row],[Time Speed D2]]),"",RANK(GamesDay2[[#This Row],[Time Speed D2]],GamesDay2[Time Speed D2],1))</calculatedColumnFormula>
    </tableColumn>
    <tableColumn id="38" xr3:uid="{00000000-0010-0000-2B00-000026000000}" name="Speed Run Ordr D2" dataDxfId="255" totalsRowDxfId="254"/>
    <tableColumn id="14" xr3:uid="{00000000-0010-0000-2B00-00000E000000}" name="Total Qs Speed D2" dataDxfId="253" totalsRowDxfId="252">
      <calculatedColumnFormula>IF(GamesDay2[[#This Row],[Pass / Fail Speed D2]]="P",IF(GamesDay2[[#This Row],[Prev Qs Speed D2]]="",1,GamesDay2[[#This Row],[Prev Qs Speed D2]]+1),GamesDay2[[#This Row],[Prev Qs Speed D2]])</calculatedColumnFormula>
    </tableColumn>
    <tableColumn id="35" xr3:uid="{00000000-0010-0000-2B00-000023000000}" name="Judge Team D2" dataDxfId="251" totalsRowDxfId="250">
      <calculatedColumnFormula>VLOOKUP(JudgeD2GamesTeam,JudgesList,2,FALSE)</calculatedColumnFormula>
    </tableColumn>
    <tableColumn id="15" xr3:uid="{00000000-0010-0000-2B00-00000F000000}" name="Prev Qs Team D2" dataDxfId="249" totalsRowDxfId="248">
      <calculatedColumnFormula>IFERROR(VLOOKUP(GamesDay2[[#This Row],[Dog D2]],GamesDay1[[Dog D1]:[Total Qs Team D1]],37,FALSE),IFERROR(VLOOKUP(GamesDay2[[#This Row],[Dog D2]]&amp;"-"&amp;AI$5,DogInfo!#REF!,2,FALSE),0))</calculatedColumnFormula>
    </tableColumn>
    <tableColumn id="16" xr3:uid="{00000000-0010-0000-2B00-000010000000}" name="Pass / Fail Team D2" totalsRowFunction="custom" dataDxfId="247" totalsRowDxfId="246">
      <totalsRowFormula>(COUNTIF(GamesDay2[Pass / Fail Team D2],"P")+COUNTIF(GamesDay2[Pass / Fail Team D2],"F")+COUNTIF(GamesDay2[Pass / Fail Team D2],"E")+COUNTIF(GamesDay2[Pass / Fail Team D2],"FEO"))*0.5</totalsRowFormula>
    </tableColumn>
    <tableColumn id="18" xr3:uid="{00000000-0010-0000-2B00-000012000000}" name="Time Team D2" dataDxfId="245" totalsRowDxfId="244"/>
    <tableColumn id="20" xr3:uid="{00000000-0010-0000-2B00-000014000000}" name="Plcmt Team D2" dataDxfId="243" totalsRowDxfId="242">
      <calculatedColumnFormula>IF(ISBLANK(GamesDay2[[#This Row],[Time Team D2]]),"",RANK(GamesDay2[[#This Row],[Time Team D2]],GamesDay2[Time Team D2],1))</calculatedColumnFormula>
    </tableColumn>
    <tableColumn id="39" xr3:uid="{00000000-0010-0000-2B00-000027000000}" name="Team Run Ordr D2" dataDxfId="241" totalsRowDxfId="240"/>
    <tableColumn id="17" xr3:uid="{00000000-0010-0000-2B00-000011000000}" name="Total Qs Team D2" dataDxfId="239" totalsRowDxfId="238">
      <calculatedColumnFormula>IF(GamesDay2[[#This Row],[Pass / Fail Team D2]]="P",IF(GamesDay2[[#This Row],[Prev Qs Team D2]]="",1,GamesDay2[[#This Row],[Prev Qs Team D2]]+1),GamesDay2[[#This Row],[Prev Qs Team D2]])</calculatedColumnFormula>
    </tableColumn>
    <tableColumn id="22" xr3:uid="{00000000-0010-0000-2B00-000016000000}" name="Number of Games D2" totalsRowFunction="sum" dataDxfId="237" totalsRowDxfId="236">
      <calculatedColumnFormula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calculatedColumnFormula>
    </tableColumn>
    <tableColumn id="23" xr3:uid="{00000000-0010-0000-2B00-000017000000}" name="Number of FEOs D2" totalsRowFunction="sum" dataDxfId="235" totalsRowDxfId="234">
      <calculatedColumnFormula>IF(GamesDay2[[#This Row],[Pass / Fail Aerial D2]]="FEO",1,0)+IF(GamesDay2[[#This Row],[Pass / Fail Distance D2]]="FEO",1,0)+IF(GamesDay2[[#This Row],[Pass / Fail Speed D2]]="FEO",1,0)+IF(GamesDay2[[#This Row],[Pass / Fail Team D2]]="FEO",1,0)</calculatedColumnFormula>
    </tableColumn>
    <tableColumn id="24" xr3:uid="{00000000-0010-0000-2B00-000018000000}" name="Total Entry Fees D2" totalsRowFunction="sum" dataDxfId="233" totalsRowDxfId="232">
      <calculatedColumnFormula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calculatedColumnFormula>
    </tableColumn>
    <tableColumn id="30" xr3:uid="{00000000-0010-0000-2B00-00001E000000}" name=" $-   " totalsRowFunction="sum" dataDxfId="231" totalsRowDxfId="230">
      <calculatedColumnFormula>GamesDay2[[#This Row],[Number of Games D2]]*SddaFee</calculatedColumnFormula>
    </tableColumn>
    <tableColumn id="29" xr3:uid="{00000000-0010-0000-2B00-00001D000000}" name="Total Judges Fees D2" totalsRowFunction="sum" dataDxfId="229" totalsRowDxfId="228">
      <calculatedColumnFormula>(GamesDay2[[#This Row],[Number of Games D2]]+GamesDay2[[#This Row],[Number of FEOs D2]])*JudgesFeeFEOGames</calculatedColumnFormula>
    </tableColumn>
  </tableColumns>
  <tableStyleInfo name="TableStyleMedium5" showFirstColumn="1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2C000000}" name="Table26" displayName="Table26" ref="A2:F162" totalsRowShown="0" headerRowDxfId="227">
  <autoFilter ref="A2:F162" xr:uid="{00000000-0009-0000-0100-000005000000}"/>
  <sortState xmlns:xlrd2="http://schemas.microsoft.com/office/spreadsheetml/2017/richdata2" ref="A3:F132">
    <sortCondition ref="F2:F132"/>
  </sortState>
  <tableColumns count="6">
    <tableColumn id="1" xr3:uid="{00000000-0010-0000-2C00-000001000000}" name="Dog" dataDxfId="226"/>
    <tableColumn id="2" xr3:uid="{00000000-0010-0000-2C00-000002000000}" name="Name"/>
    <tableColumn id="3" xr3:uid="{00000000-0010-0000-2C00-000003000000}" name="% Score" dataDxfId="225"/>
    <tableColumn id="4" xr3:uid="{00000000-0010-0000-2C00-000004000000}" name="% Time Used" dataDxfId="224"/>
    <tableColumn id="5" xr3:uid="{00000000-0010-0000-2C00-000005000000}" name="Total To Use" dataDxfId="223">
      <calculatedColumnFormula>IF(C3=0,0,C3*100 + (1-D3))</calculatedColumnFormula>
    </tableColumn>
    <tableColumn id="6" xr3:uid="{00000000-0010-0000-2C00-000006000000}" name="Rank" dataDxfId="222">
      <calculatedColumnFormula>IF(E3=0,"",RANK(E3,$E$3:$E$162))</calculatedColumnFormula>
    </tableColumn>
  </tableColumns>
  <tableStyleInfo name="TableStyleLight1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2D000000}" name="Table2624" displayName="Table2624" ref="A166:F326" totalsRowShown="0" headerRowDxfId="221">
  <autoFilter ref="A166:F326" xr:uid="{00000000-0009-0000-0100-000017000000}"/>
  <sortState xmlns:xlrd2="http://schemas.microsoft.com/office/spreadsheetml/2017/richdata2" ref="A137:F246">
    <sortCondition ref="F2:F132"/>
  </sortState>
  <tableColumns count="6">
    <tableColumn id="1" xr3:uid="{00000000-0010-0000-2D00-000001000000}" name="Dog" dataDxfId="220"/>
    <tableColumn id="2" xr3:uid="{00000000-0010-0000-2D00-000002000000}" name="Name"/>
    <tableColumn id="3" xr3:uid="{00000000-0010-0000-2D00-000003000000}" name="% Score" dataDxfId="219"/>
    <tableColumn id="4" xr3:uid="{00000000-0010-0000-2D00-000004000000}" name="% Time Used" dataDxfId="218"/>
    <tableColumn id="5" xr3:uid="{00000000-0010-0000-2D00-000005000000}" name="Total To Use" dataDxfId="217">
      <calculatedColumnFormula>IF(C167=0,0,C167*100 + (1-D167))</calculatedColumnFormula>
    </tableColumn>
    <tableColumn id="6" xr3:uid="{00000000-0010-0000-2D00-000006000000}" name="Rank" dataDxfId="216">
      <calculatedColumnFormula>IF(E167=0,"",RANK(E167,$E$167:$E$326))</calculatedColumnFormula>
    </tableColumn>
  </tableColumns>
  <tableStyleInfo name="TableStyleLight1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F80ED180-4C1C-43AF-B6EB-B5C97978BFD3}" name="qselDogInfo" displayName="qselDogInfo" ref="A1:B8454" tableType="queryTable" totalsRowShown="0">
  <autoFilter ref="A1:B8454" xr:uid="{F80ED180-4C1C-43AF-B6EB-B5C97978BFD3}"/>
  <tableColumns count="2">
    <tableColumn id="1" xr3:uid="{B00EA483-579F-490B-83D2-955858276FA8}" uniqueName="1" name="ID" queryTableFieldId="1" dataDxfId="202" totalsRowDxfId="215"/>
    <tableColumn id="2" xr3:uid="{18FC0678-E88C-4C71-8E21-A68CF6924C6A}" uniqueName="2" name="Data" queryTableFieldId="2"/>
  </tableColumns>
  <tableStyleInfo name="TableStyleMedium7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AF7D247-5180-487F-A462-6A341AD86AB1}" name="qselDogsForTrialSpreadsheet" displayName="qselDogsForTrialSpreadsheet" ref="A1:O7113" tableType="queryTable" totalsRowShown="0" headerRowDxfId="214" dataDxfId="213">
  <autoFilter ref="A1:O7113" xr:uid="{0AF7D247-5180-487F-A462-6A341AD86AB1}"/>
  <tableColumns count="15">
    <tableColumn id="1" xr3:uid="{D4EEA1A6-6C79-474D-8E7C-EE9D8C3D4E1C}" uniqueName="1" name="dgSDDA_DogNumber" queryTableFieldId="1" dataDxfId="14"/>
    <tableColumn id="2" xr3:uid="{6B03528D-D5FB-4048-8333-DE87DA6ECC67}" uniqueName="2" name="dgDogCallName" queryTableFieldId="2" dataDxfId="13"/>
    <tableColumn id="3" xr3:uid="{2DD87655-AC29-44B8-9C94-E4A50058D531}" uniqueName="3" name="brdName" queryTableFieldId="3" dataDxfId="12"/>
    <tableColumn id="4" xr3:uid="{837C1DAF-CA90-4800-AAE7-7F1D0CCD8164}" uniqueName="4" name="dgSex" queryTableFieldId="4" dataDxfId="11"/>
    <tableColumn id="5" xr3:uid="{7E340978-A083-4300-9AA9-1A4C8839D670}" uniqueName="5" name="cntSDDA_Id" queryTableFieldId="5" dataDxfId="10"/>
    <tableColumn id="6" xr3:uid="{E13E5D05-DF78-4CE1-A2B1-6F888DEF1786}" uniqueName="6" name="FullName" queryTableFieldId="6" dataDxfId="9"/>
    <tableColumn id="7" xr3:uid="{F0A9DA0F-F434-4405-8369-0664CB486ACF}" uniqueName="7" name="1- Container Search (S)" queryTableFieldId="7" dataDxfId="8"/>
    <tableColumn id="8" xr3:uid="{6A45AD4E-01FA-4126-992D-F3BDF700676B}" uniqueName="8" name="1- Interior Search (S)" queryTableFieldId="8" dataDxfId="7"/>
    <tableColumn id="9" xr3:uid="{C56D0B58-4B05-4405-8DAE-9FC4CCF51D31}" uniqueName="9" name="1- Exterior Search (S)" queryTableFieldId="9" dataDxfId="6"/>
    <tableColumn id="10" xr3:uid="{51CB83F8-C702-479B-A2A6-9CD56BD3B18E}" uniqueName="10" name="2- Container Search (A)" queryTableFieldId="10" dataDxfId="5"/>
    <tableColumn id="11" xr3:uid="{D327DDDA-ED5F-4402-B3B9-2EF5D972271E}" uniqueName="11" name="2- Interior Search (A)" queryTableFieldId="11" dataDxfId="4"/>
    <tableColumn id="12" xr3:uid="{AA57CE53-D105-4B6D-B954-AB1BD4E23662}" uniqueName="12" name="2- Exterior Search (A)" queryTableFieldId="12" dataDxfId="3"/>
    <tableColumn id="13" xr3:uid="{6905AB30-42E4-4CA7-A03A-0FF8C0F6EB6F}" uniqueName="13" name="3- Container Search (E)" queryTableFieldId="13" dataDxfId="2"/>
    <tableColumn id="14" xr3:uid="{137B0BE8-6684-4B16-A34C-5DA4835E9AFD}" uniqueName="14" name="3- Interior Search (E)" queryTableFieldId="14" dataDxfId="1"/>
    <tableColumn id="15" xr3:uid="{33704363-BA7B-48BD-92A6-B49C0626166E}" uniqueName="15" name="3- Exterior Search (E)" queryTableFieldId="15" dataDxfId="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17" displayName="Table17" ref="A37:I68" totalsRowCount="1" headerRowDxfId="1188" dataDxfId="1187" totalsRowDxfId="1186">
  <autoFilter ref="A37:I67" xr:uid="{00000000-0009-0000-0100-000006000000}"/>
  <sortState xmlns:xlrd2="http://schemas.microsoft.com/office/spreadsheetml/2017/richdata2" ref="A38:I67">
    <sortCondition ref="E37:E67"/>
  </sortState>
  <tableColumns count="9">
    <tableColumn id="1" xr3:uid="{00000000-0010-0000-0300-000001000000}" name="Ln#" dataDxfId="1185" totalsRowDxfId="1184"/>
    <tableColumn id="2" xr3:uid="{00000000-0010-0000-0300-000002000000}" name="Status" dataDxfId="1183" totalsRowDxfId="1182">
      <calculatedColumnFormula>IF(OR(VLOOKUP(Table17[[#This Row],[Ln'#]],Started!A$5:AU$34,15,FALSE)="E",VLOOKUP(Table17[[#This Row],[Ln'#]],Started!A$5:AU$34,15,FALSE)="FEO"),"Entered or FEO","Not Entered")</calculatedColumnFormula>
    </tableColumn>
    <tableColumn id="3" xr3:uid="{00000000-0010-0000-0300-000003000000}" name="Prop. RO" dataDxfId="1181" totalsRowDxfId="1180">
      <calculatedColumnFormula>IF(OR(B38="e",B38="FEO"),RAND(),"")</calculatedColumnFormula>
    </tableColumn>
    <tableColumn id="10" xr3:uid="{00000000-0010-0000-0300-00000A000000}" name="Present" totalsRowLabel="Entered" dataDxfId="1179" totalsRowDxfId="1178"/>
    <tableColumn id="5" xr3:uid="{00000000-0010-0000-0300-000005000000}" name="Running Order" totalsRowFunction="countNums" dataDxfId="1177" totalsRowDxfId="1176"/>
    <tableColumn id="4" xr3:uid="{00000000-0010-0000-0300-000004000000}" name="Session" dataDxfId="1175" totalsRowDxfId="1174"/>
    <tableColumn id="6" xr3:uid="{00000000-0010-0000-0300-000006000000}" name="Dog ID" dataDxfId="1173" totalsRowDxfId="1172">
      <calculatedColumnFormula>IF(Table17[[#This Row],[Status]]="Not Entered","",VLOOKUP(Table17[[#This Row],[Ln'#]],Started!$A$5:$AU$34,3,FALSE))</calculatedColumnFormula>
    </tableColumn>
    <tableColumn id="7" xr3:uid="{00000000-0010-0000-0300-000007000000}" name="Dog Name/Breed" dataDxfId="1171" totalsRowDxfId="1170">
      <calculatedColumnFormula>IF(Table17[[#This Row],[Status]]="Not Entered","",VLOOKUP(Table17[[#This Row],[Ln'#]],Started!$A$5:$AU$34,4,FALSE) &amp;IF(ISERROR(VLOOKUP(Table17[[#This Row],[Dog ID]],'SDDA Dogs'!A:C,3,FALSE)),""," - " &amp; VLOOKUP(Table17[[#This Row],[Dog ID]],'SDDA Dogs'!A:C,3,FALSE)))</calculatedColumnFormula>
    </tableColumn>
    <tableColumn id="8" xr3:uid="{00000000-0010-0000-0300-000008000000}" name="Owner/Handler" dataDxfId="1169" totalsRowDxfId="1168">
      <calculatedColumnFormula>IF(Table17[[#This Row],[Status]]="Not Entered","",VLOOKUP(Table17[[#This Row],[Ln'#]],Started!$A$5:$BB$34,46,FALSE))</calculatedColumnFormula>
    </tableColumn>
  </tableColumns>
  <tableStyleInfo name="TableStyleLight8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A255A45-DE65-4CDD-95E0-132243937E4B}" name="qselRecentlyProcessedTrials" displayName="qselRecentlyProcessedTrials" ref="A2:D53" tableType="queryTable" totalsRowShown="0">
  <autoFilter ref="A2:D53" xr:uid="{BA255A45-DE65-4CDD-95E0-132243937E4B}"/>
  <tableColumns count="4">
    <tableColumn id="1" xr3:uid="{7C21CF49-11D4-4B16-9997-BA5FAEF23578}" uniqueName="1" name="Trial Number" queryTableFieldId="1"/>
    <tableColumn id="2" xr3:uid="{AB3CC121-4E97-47DE-BD73-1D3AED90C9E3}" uniqueName="2" name="Trial Date" queryTableFieldId="2" dataDxfId="204"/>
    <tableColumn id="3" xr3:uid="{6E81C728-1771-456B-B01D-DDFCFB976D12}" uniqueName="3" name="Trial City/Town" queryTableFieldId="3" dataDxfId="212"/>
    <tableColumn id="4" xr3:uid="{DFE3FBAC-D851-48FB-A064-237F9187AADF}" uniqueName="4" name="Processed Date" queryTableFieldId="4" dataDxfId="203"/>
  </tableColumns>
  <tableStyleInfo name="TableStyleMedium1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25F55AA-CFC7-478F-A0D6-EA4D07D66DA0}" name="qselFutureTrials" displayName="qselFutureTrials" ref="G2:K260" tableType="queryTable" totalsRowShown="0">
  <autoFilter ref="G2:K260" xr:uid="{A25F55AA-CFC7-478F-A0D6-EA4D07D66DA0}"/>
  <tableColumns count="5">
    <tableColumn id="1" xr3:uid="{134F1363-FE45-4F29-8AD3-DD1D430E8DA0}" uniqueName="1" name="Trial Number" queryTableFieldId="1"/>
    <tableColumn id="2" xr3:uid="{6D244BFB-58C5-47BB-9F8E-9AC62FBCBD2C}" uniqueName="2" name="Trial Date" queryTableFieldId="2" dataDxfId="208"/>
    <tableColumn id="3" xr3:uid="{541D625E-52C5-4E2B-AA8D-06578B47AD17}" uniqueName="3" name="Trial City/Town" queryTableFieldId="3" dataDxfId="207"/>
    <tableColumn id="4" xr3:uid="{64BA55EC-0115-4640-95CC-B6745B12A0D2}" uniqueName="4" name="Email" queryTableFieldId="4" dataDxfId="206"/>
    <tableColumn id="5" xr3:uid="{8BABAB51-5E0C-430B-9710-777CEC4479FB}" uniqueName="5" name="evnReceivedFromHostDate" queryTableFieldId="5" dataDxfId="205"/>
  </tableColumns>
  <tableStyleInfo name="TableStyleMedium7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26A79814-FFD1-4135-8012-6D1B964C5AE6}" name="qselActiveJudges" displayName="qselActiveJudges" ref="A1:B44" tableType="queryTable" totalsRowShown="0" headerRowDxfId="211" headerRowCellStyle="Normal_Trial Info">
  <autoFilter ref="A1:B44" xr:uid="{26A79814-FFD1-4135-8012-6D1B964C5AE6}"/>
  <tableColumns count="2">
    <tableColumn id="1" xr3:uid="{5B585AA4-6073-4F9D-AFE5-E9D214C56E82}" uniqueName="1" name="Judge" queryTableFieldId="1" dataDxfId="210" dataCellStyle="Normal_Trial Info"/>
    <tableColumn id="2" xr3:uid="{B46704D8-33CF-4F58-BAF8-C0ACC40EFE69}" uniqueName="2" name="Contact ID" queryTableFieldId="2" dataDxfId="209" dataCellStyle="Normal_Trial Info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711" displayName="Table1711" ref="A71:I102" totalsRowCount="1" headerRowDxfId="1167" dataDxfId="1166" totalsRowDxfId="1165">
  <autoFilter ref="A71:I101" xr:uid="{00000000-0009-0000-0100-00000A000000}"/>
  <sortState xmlns:xlrd2="http://schemas.microsoft.com/office/spreadsheetml/2017/richdata2" ref="A72:I101">
    <sortCondition ref="A71:A101"/>
  </sortState>
  <tableColumns count="9">
    <tableColumn id="1" xr3:uid="{00000000-0010-0000-0400-000001000000}" name="Ln#" dataDxfId="1164" totalsRowDxfId="1163"/>
    <tableColumn id="2" xr3:uid="{00000000-0010-0000-0400-000002000000}" name="Status" dataDxfId="1162" totalsRowDxfId="1161">
      <calculatedColumnFormula>IF(OR(VLOOKUP(Table1711[[#This Row],[Ln'#]],Started!A$5:AU$34,23,FALSE)="E",VLOOKUP(Table1711[[#This Row],[Ln'#]],Started!A$5:AU$34,23,FALSE)="FEO"),"Entered or FEO","Not Entered")</calculatedColumnFormula>
    </tableColumn>
    <tableColumn id="3" xr3:uid="{00000000-0010-0000-0400-000003000000}" name="Prop. RO" dataDxfId="1160" totalsRowDxfId="1159">
      <calculatedColumnFormula>IF(OR(B72="e",B72="FEO"),RAND(),"")</calculatedColumnFormula>
    </tableColumn>
    <tableColumn id="10" xr3:uid="{00000000-0010-0000-0400-00000A000000}" name="Present" totalsRowLabel="Entered" dataDxfId="1158" totalsRowDxfId="1157"/>
    <tableColumn id="5" xr3:uid="{00000000-0010-0000-0400-000005000000}" name="Running Order" totalsRowFunction="countNums" dataDxfId="1156" totalsRowDxfId="1155"/>
    <tableColumn id="4" xr3:uid="{00000000-0010-0000-0400-000004000000}" name="Session" dataDxfId="1154" totalsRowDxfId="1153"/>
    <tableColumn id="6" xr3:uid="{00000000-0010-0000-0400-000006000000}" name="Dog ID" dataDxfId="1152" totalsRowDxfId="1151">
      <calculatedColumnFormula>IF(Table1711[[#This Row],[Status]]="Not Entered","",VLOOKUP(Table1711[[#This Row],[Ln'#]],Started!$A$5:$AU$34,3,FALSE))</calculatedColumnFormula>
    </tableColumn>
    <tableColumn id="7" xr3:uid="{00000000-0010-0000-0400-000007000000}" name="Dog Name/Breed" dataDxfId="1150" totalsRowDxfId="1149">
      <calculatedColumnFormula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calculatedColumnFormula>
    </tableColumn>
    <tableColumn id="8" xr3:uid="{00000000-0010-0000-0400-000008000000}" name="Owner/Handler" dataDxfId="1148" totalsRowDxfId="1147">
      <calculatedColumnFormula>IF(Table1711[[#This Row],[Status]]="Not Entered","",VLOOKUP(Table1711[[#This Row],[Ln'#]],Started!$A$5:$BB$34,47,FALSE))</calculatedColumnFormula>
    </tableColumn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5000000}" name="Table113" displayName="Table113" ref="A105:I136" totalsRowCount="1" headerRowDxfId="1146" dataDxfId="1145" totalsRowDxfId="1144">
  <autoFilter ref="A105:I135" xr:uid="{00000000-0009-0000-0100-00000C000000}"/>
  <sortState xmlns:xlrd2="http://schemas.microsoft.com/office/spreadsheetml/2017/richdata2" ref="A108:I137">
    <sortCondition ref="A3:A33"/>
  </sortState>
  <tableColumns count="9">
    <tableColumn id="1" xr3:uid="{00000000-0010-0000-0500-000001000000}" name="Ln#" dataDxfId="1143" totalsRowDxfId="1142"/>
    <tableColumn id="2" xr3:uid="{00000000-0010-0000-0500-000002000000}" name="Status" dataDxfId="1141" totalsRowDxfId="1140">
      <calculatedColumnFormula>IF(OR(VLOOKUP(Table113[[#This Row],[Ln'#]],Started!A$45:AU$74,7,FALSE)="E",VLOOKUP(Table113[[#This Row],[Ln'#]],Started!A$45:AU$74,7,FALSE)="FEO"),"Entered or FEO","Not Entered")</calculatedColumnFormula>
    </tableColumn>
    <tableColumn id="3" xr3:uid="{00000000-0010-0000-0500-000003000000}" name="Prop. RO" dataDxfId="1139" totalsRowDxfId="1138">
      <calculatedColumnFormula>IF(OR(B106="e",B106="FEO"),RAND(),"")</calculatedColumnFormula>
    </tableColumn>
    <tableColumn id="10" xr3:uid="{00000000-0010-0000-0500-00000A000000}" name="Present" totalsRowLabel="Entered" dataDxfId="1137" totalsRowDxfId="1136"/>
    <tableColumn id="5" xr3:uid="{00000000-0010-0000-0500-000005000000}" name="Running Order" totalsRowFunction="countNums" dataDxfId="1135" totalsRowDxfId="1134"/>
    <tableColumn id="4" xr3:uid="{00000000-0010-0000-0500-000004000000}" name="Session" dataDxfId="1133" totalsRowDxfId="1132"/>
    <tableColumn id="6" xr3:uid="{00000000-0010-0000-0500-000006000000}" name="Dog ID" dataDxfId="1131" totalsRowDxfId="1130">
      <calculatedColumnFormula>IF(Table113[[#This Row],[Status]]="Not Entered","",VLOOKUP(Table113[[#This Row],[Ln'#]],Started!$A$45:$AU$74,3,FALSE))</calculatedColumnFormula>
    </tableColumn>
    <tableColumn id="7" xr3:uid="{00000000-0010-0000-0500-000007000000}" name="Dog Name/Breed" dataDxfId="1129" totalsRowDxfId="1128">
      <calculatedColumnFormula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calculatedColumnFormula>
    </tableColumn>
    <tableColumn id="8" xr3:uid="{00000000-0010-0000-0500-000008000000}" name="Owner/Handler" dataDxfId="1127" totalsRowDxfId="1126">
      <calculatedColumnFormula>IF(Table113[[#This Row],[Status]]="Not Entered","",VLOOKUP(Table113[[#This Row],[Ln'#]],Started!$A$45:$BB$74,47,FALSE))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1714" displayName="Table1714" ref="A139:I170" totalsRowCount="1" headerRowDxfId="1125" dataDxfId="1124" totalsRowDxfId="1123">
  <autoFilter ref="A139:I169" xr:uid="{00000000-0009-0000-0100-00000D000000}"/>
  <sortState xmlns:xlrd2="http://schemas.microsoft.com/office/spreadsheetml/2017/richdata2" ref="A140:I169">
    <sortCondition ref="A139:A169"/>
  </sortState>
  <tableColumns count="9">
    <tableColumn id="1" xr3:uid="{00000000-0010-0000-0600-000001000000}" name="Ln#" dataDxfId="1122" totalsRowDxfId="1121"/>
    <tableColumn id="2" xr3:uid="{00000000-0010-0000-0600-000002000000}" name="Status" dataDxfId="1120" totalsRowDxfId="1119">
      <calculatedColumnFormula>IF(OR(VLOOKUP(Table1714[[#This Row],[Ln'#]],Started!A$45:AU$74,15,FALSE)="E",VLOOKUP(Table1714[[#This Row],[Ln'#]],Started!A$45:AU$74,15,FALSE)="FEO"),"Entered or FEO","Not Entered")</calculatedColumnFormula>
    </tableColumn>
    <tableColumn id="3" xr3:uid="{00000000-0010-0000-0600-000003000000}" name="Prop. RO" dataDxfId="1118" totalsRowDxfId="1117">
      <calculatedColumnFormula>IF(OR(B140="e",B140="FEO"),RAND(),"")</calculatedColumnFormula>
    </tableColumn>
    <tableColumn id="10" xr3:uid="{00000000-0010-0000-0600-00000A000000}" name="Present" totalsRowLabel="Entered" dataDxfId="1116" totalsRowDxfId="1115"/>
    <tableColumn id="5" xr3:uid="{00000000-0010-0000-0600-000005000000}" name="Running Order" totalsRowFunction="countNums" dataDxfId="1114" totalsRowDxfId="1113"/>
    <tableColumn id="4" xr3:uid="{00000000-0010-0000-0600-000004000000}" name="Session" dataDxfId="1112" totalsRowDxfId="1111"/>
    <tableColumn id="6" xr3:uid="{00000000-0010-0000-0600-000006000000}" name="Dog ID" dataDxfId="1110" totalsRowDxfId="1109">
      <calculatedColumnFormula>IF(Table1714[[#This Row],[Status]]="Not Entered","",VLOOKUP(Table1714[[#This Row],[Ln'#]],Started!$A$45:$AU$74,3,FALSE))</calculatedColumnFormula>
    </tableColumn>
    <tableColumn id="7" xr3:uid="{00000000-0010-0000-0600-000007000000}" name="Dog Name/Breed" dataDxfId="1108" totalsRowDxfId="1107">
      <calculatedColumnFormula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calculatedColumnFormula>
    </tableColumn>
    <tableColumn id="8" xr3:uid="{00000000-0010-0000-0600-000008000000}" name="Owner/Handler" dataDxfId="1106" totalsRowDxfId="1105">
      <calculatedColumnFormula>IF(Table1714[[#This Row],[Status]]="Not Entered","",VLOOKUP(Table1714[[#This Row],[Ln'#]],Started!$A$45:$BB$74,47,FALSE))</calculatedColumnFormula>
    </tableColumn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Table171116" displayName="Table171116" ref="A173:I204" totalsRowCount="1" headerRowDxfId="1104" dataDxfId="1103" totalsRowDxfId="1102">
  <autoFilter ref="A173:I203" xr:uid="{00000000-0009-0000-0100-00000F000000}"/>
  <sortState xmlns:xlrd2="http://schemas.microsoft.com/office/spreadsheetml/2017/richdata2" ref="A174:I203">
    <sortCondition ref="E173:E203"/>
  </sortState>
  <tableColumns count="9">
    <tableColumn id="1" xr3:uid="{00000000-0010-0000-0700-000001000000}" name="Ln#" dataDxfId="1101" totalsRowDxfId="1100"/>
    <tableColumn id="2" xr3:uid="{00000000-0010-0000-0700-000002000000}" name="Status" dataDxfId="1099" totalsRowDxfId="1098">
      <calculatedColumnFormula>IF(OR(VLOOKUP(Table171116[[#This Row],[Ln'#]],Started!A$45:AU$74,23,FALSE)="E",VLOOKUP(Table171116[[#This Row],[Ln'#]],Started!A$45:AU$74,23,FALSE)="FEO"),"Entered or FEO","Not Entered")</calculatedColumnFormula>
    </tableColumn>
    <tableColumn id="3" xr3:uid="{00000000-0010-0000-0700-000003000000}" name="Prop. RO" dataDxfId="1097" totalsRowDxfId="1096">
      <calculatedColumnFormula>IF(OR(B174="e",B174="FEO"),RAND(),"")</calculatedColumnFormula>
    </tableColumn>
    <tableColumn id="10" xr3:uid="{00000000-0010-0000-0700-00000A000000}" name="Present" totalsRowLabel="Entered" dataDxfId="1095" totalsRowDxfId="1094"/>
    <tableColumn id="5" xr3:uid="{00000000-0010-0000-0700-000005000000}" name="Running Order" totalsRowFunction="countNums" dataDxfId="1093" totalsRowDxfId="1092"/>
    <tableColumn id="4" xr3:uid="{00000000-0010-0000-0700-000004000000}" name="Session" dataDxfId="1091" totalsRowDxfId="1090"/>
    <tableColumn id="6" xr3:uid="{00000000-0010-0000-0700-000006000000}" name="Dog ID" dataDxfId="1089" totalsRowDxfId="1088">
      <calculatedColumnFormula>IF(Table171116[[#This Row],[Status]]="Not Entered","",VLOOKUP(Table171116[[#This Row],[Ln'#]],Started!$A$45:$AU$74,3,FALSE))</calculatedColumnFormula>
    </tableColumn>
    <tableColumn id="7" xr3:uid="{00000000-0010-0000-0700-000007000000}" name="Dog Name/Breed" dataDxfId="1087" totalsRowDxfId="1086">
      <calculatedColumnFormula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calculatedColumnFormula>
    </tableColumn>
    <tableColumn id="8" xr3:uid="{00000000-0010-0000-0700-000008000000}" name="Owner/Handler" dataDxfId="1085" totalsRowDxfId="1084">
      <calculatedColumnFormula>IF(Table171116[[#This Row],[Status]]="Not Entered","",VLOOKUP(Table171116[[#This Row],[Ln'#]],Started!$A$45:$BB$74,47,FALSE))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Z52" dT="2025-12-31T00:05:54.98" personId="{0CBE9F8F-4E11-4421-AF46-D4F9D1445890}" id="{4E3A34C8-3210-4067-AA30-774EF181FF9C}">
    <text>Day 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0.xml"/><Relationship Id="rId3" Type="http://schemas.openxmlformats.org/officeDocument/2006/relationships/table" Target="../tables/table35.xml"/><Relationship Id="rId7" Type="http://schemas.openxmlformats.org/officeDocument/2006/relationships/table" Target="../tables/table39.xml"/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38.xml"/><Relationship Id="rId11" Type="http://schemas.openxmlformats.org/officeDocument/2006/relationships/table" Target="../tables/table43.xml"/><Relationship Id="rId5" Type="http://schemas.openxmlformats.org/officeDocument/2006/relationships/table" Target="../tables/table37.xml"/><Relationship Id="rId10" Type="http://schemas.openxmlformats.org/officeDocument/2006/relationships/table" Target="../tables/table42.xml"/><Relationship Id="rId4" Type="http://schemas.openxmlformats.org/officeDocument/2006/relationships/table" Target="../tables/table36.xml"/><Relationship Id="rId9" Type="http://schemas.openxmlformats.org/officeDocument/2006/relationships/table" Target="../tables/table4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5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table" Target="../tables/table5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0.xml"/><Relationship Id="rId3" Type="http://schemas.openxmlformats.org/officeDocument/2006/relationships/table" Target="../tables/table15.xml"/><Relationship Id="rId7" Type="http://schemas.openxmlformats.org/officeDocument/2006/relationships/table" Target="../tables/table19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8.xml"/><Relationship Id="rId11" Type="http://schemas.openxmlformats.org/officeDocument/2006/relationships/table" Target="../tables/table23.xml"/><Relationship Id="rId5" Type="http://schemas.openxmlformats.org/officeDocument/2006/relationships/table" Target="../tables/table17.xml"/><Relationship Id="rId10" Type="http://schemas.openxmlformats.org/officeDocument/2006/relationships/table" Target="../tables/table22.xml"/><Relationship Id="rId4" Type="http://schemas.openxmlformats.org/officeDocument/2006/relationships/table" Target="../tables/table16.xml"/><Relationship Id="rId9" Type="http://schemas.openxmlformats.org/officeDocument/2006/relationships/table" Target="../tables/table2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0.xml"/><Relationship Id="rId3" Type="http://schemas.openxmlformats.org/officeDocument/2006/relationships/table" Target="../tables/table25.xml"/><Relationship Id="rId7" Type="http://schemas.openxmlformats.org/officeDocument/2006/relationships/table" Target="../tables/table29.xml"/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28.xml"/><Relationship Id="rId11" Type="http://schemas.openxmlformats.org/officeDocument/2006/relationships/table" Target="../tables/table33.xml"/><Relationship Id="rId5" Type="http://schemas.openxmlformats.org/officeDocument/2006/relationships/table" Target="../tables/table27.xml"/><Relationship Id="rId10" Type="http://schemas.openxmlformats.org/officeDocument/2006/relationships/table" Target="../tables/table32.xml"/><Relationship Id="rId4" Type="http://schemas.openxmlformats.org/officeDocument/2006/relationships/table" Target="../tables/table26.xml"/><Relationship Id="rId9" Type="http://schemas.openxmlformats.org/officeDocument/2006/relationships/table" Target="../tables/table3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5"/>
  <sheetViews>
    <sheetView showZeros="0" tabSelected="1" zoomScale="80" zoomScaleNormal="80" workbookViewId="0">
      <selection activeCell="G4" sqref="G4:J4"/>
    </sheetView>
  </sheetViews>
  <sheetFormatPr defaultColWidth="10.7109375" defaultRowHeight="15" x14ac:dyDescent="0.25"/>
  <cols>
    <col min="1" max="1" width="44.7109375" customWidth="1"/>
    <col min="2" max="2" width="16" bestFit="1" customWidth="1"/>
    <col min="3" max="4" width="19.5703125" customWidth="1"/>
    <col min="5" max="5" width="17.85546875" customWidth="1"/>
    <col min="6" max="6" width="13.28515625" customWidth="1"/>
    <col min="7" max="7" width="27.28515625" customWidth="1"/>
    <col min="8" max="8" width="38.140625" style="197" customWidth="1"/>
    <col min="9" max="10" width="14" customWidth="1"/>
    <col min="11" max="11" width="16.5703125" hidden="1" customWidth="1"/>
    <col min="12" max="12" width="41.28515625" hidden="1" customWidth="1"/>
    <col min="13" max="14" width="9.140625" hidden="1" customWidth="1"/>
    <col min="15" max="15" width="22.140625" hidden="1" customWidth="1"/>
    <col min="16" max="17" width="10.7109375" hidden="1" customWidth="1"/>
    <col min="18" max="18" width="5.5703125" hidden="1" customWidth="1"/>
    <col min="19" max="19" width="27.42578125" bestFit="1" customWidth="1"/>
    <col min="20" max="20" width="24.140625" style="2" customWidth="1"/>
  </cols>
  <sheetData>
    <row r="1" spans="1:20" x14ac:dyDescent="0.25">
      <c r="A1" s="312" t="s">
        <v>15947</v>
      </c>
      <c r="B1" s="313" t="s">
        <v>1726</v>
      </c>
      <c r="C1" s="312"/>
      <c r="D1" s="314" t="s">
        <v>15932</v>
      </c>
      <c r="E1" s="314" t="str">
        <f>"C:\Users\" &amp; UpdatedBy &amp; "\Dropbox\SDDA\Database\Sdda_v13.accdb"</f>
        <v>C:\Users\Owner\Dropbox\SDDA\Database\Sdda_v13.accdb</v>
      </c>
      <c r="F1" s="254"/>
      <c r="G1" s="254"/>
      <c r="H1" s="312" t="s">
        <v>16036</v>
      </c>
      <c r="I1" s="312"/>
      <c r="J1" s="313">
        <v>46266</v>
      </c>
      <c r="Q1" t="s">
        <v>16837</v>
      </c>
      <c r="T1"/>
    </row>
    <row r="2" spans="1:20" s="23" customFormat="1" ht="28.5" customHeight="1" x14ac:dyDescent="0.35">
      <c r="A2" s="341" t="s">
        <v>1144</v>
      </c>
      <c r="B2" s="342"/>
      <c r="C2" s="342"/>
      <c r="D2" s="342"/>
      <c r="E2" s="342"/>
      <c r="G2" t="s">
        <v>17031</v>
      </c>
      <c r="H2" s="197"/>
      <c r="K2" s="23" t="s">
        <v>1154</v>
      </c>
      <c r="L2" s="305">
        <v>2.0833333333333333E-3</v>
      </c>
      <c r="N2" s="23" t="s">
        <v>1163</v>
      </c>
      <c r="O2" s="23">
        <v>15</v>
      </c>
      <c r="Q2" s="23" t="s">
        <v>16833</v>
      </c>
      <c r="T2" s="192"/>
    </row>
    <row r="3" spans="1:20" ht="30" customHeight="1" x14ac:dyDescent="0.25">
      <c r="A3" s="349" t="s">
        <v>600</v>
      </c>
      <c r="B3" s="349"/>
      <c r="C3" s="349"/>
      <c r="D3" s="349"/>
      <c r="E3" s="349"/>
      <c r="G3" s="352" t="s">
        <v>8488</v>
      </c>
      <c r="H3" s="353"/>
      <c r="I3" s="353"/>
      <c r="J3" s="353"/>
      <c r="K3" s="23" t="s">
        <v>1155</v>
      </c>
      <c r="L3" s="305">
        <v>3.472222222222222E-3</v>
      </c>
      <c r="N3" s="23" t="s">
        <v>1164</v>
      </c>
      <c r="O3">
        <v>20</v>
      </c>
      <c r="Q3" t="s">
        <v>16834</v>
      </c>
    </row>
    <row r="4" spans="1:20" ht="31.5" x14ac:dyDescent="0.35">
      <c r="A4" s="341" t="s">
        <v>1547</v>
      </c>
      <c r="B4" s="342"/>
      <c r="C4" s="342"/>
      <c r="D4" s="342"/>
      <c r="E4" s="342"/>
      <c r="G4" s="354" t="s">
        <v>16196</v>
      </c>
      <c r="H4" s="355"/>
      <c r="I4" s="355"/>
      <c r="J4" s="355"/>
      <c r="K4" s="23" t="s">
        <v>1158</v>
      </c>
      <c r="L4" s="305">
        <v>3.472222222222222E-3</v>
      </c>
      <c r="N4" s="23" t="s">
        <v>1167</v>
      </c>
      <c r="O4">
        <v>40</v>
      </c>
      <c r="Q4" t="s">
        <v>16835</v>
      </c>
    </row>
    <row r="5" spans="1:20" ht="15" customHeight="1" thickBot="1" x14ac:dyDescent="0.3">
      <c r="B5" s="72"/>
      <c r="H5" s="212" t="s">
        <v>8907</v>
      </c>
      <c r="I5" s="212" t="s">
        <v>2556</v>
      </c>
      <c r="J5" s="212" t="s">
        <v>2557</v>
      </c>
      <c r="K5" s="23" t="s">
        <v>1160</v>
      </c>
      <c r="L5" s="305">
        <v>2.7777777777777779E-3</v>
      </c>
      <c r="N5" s="23" t="s">
        <v>1169</v>
      </c>
      <c r="O5">
        <v>30</v>
      </c>
      <c r="Q5" t="s">
        <v>16832</v>
      </c>
    </row>
    <row r="6" spans="1:20" ht="15" customHeight="1" x14ac:dyDescent="0.25">
      <c r="B6" s="320"/>
      <c r="D6" s="343" t="s">
        <v>16373</v>
      </c>
      <c r="E6" s="344"/>
      <c r="G6" s="203"/>
      <c r="H6" s="204"/>
      <c r="K6" s="23" t="s">
        <v>1161</v>
      </c>
      <c r="L6" s="305">
        <v>1.0416666666666666E-2</v>
      </c>
      <c r="N6" s="23" t="s">
        <v>1170</v>
      </c>
      <c r="O6">
        <v>40</v>
      </c>
      <c r="Q6" t="s">
        <v>16836</v>
      </c>
    </row>
    <row r="7" spans="1:20" ht="15" customHeight="1" x14ac:dyDescent="0.25">
      <c r="B7" s="72"/>
      <c r="D7" s="345"/>
      <c r="E7" s="346"/>
      <c r="G7" s="203" t="s">
        <v>8489</v>
      </c>
      <c r="H7" s="204"/>
      <c r="I7" s="197" t="str">
        <f>IF(AND(Ready&lt;&gt;"No",TrialEmailDay1=""),"Fail",IF(_xlfn.ISFORMULA(TrialEmailDay1),"","Overwritten"))</f>
        <v/>
      </c>
      <c r="J7" s="197" t="str">
        <f>IF(AND(Ready&lt;&gt;"No",TrialNumberDay2&lt;&gt;"",TrialEmailDay2=""),"Fail",IF(_xlfn.ISFORMULA(TrialEmailDay2),"","Overwritten"))</f>
        <v/>
      </c>
      <c r="K7" s="23" t="s">
        <v>1162</v>
      </c>
      <c r="L7" s="305">
        <v>3.472222222222222E-3</v>
      </c>
      <c r="N7" s="23" t="s">
        <v>1171</v>
      </c>
      <c r="O7">
        <v>30</v>
      </c>
    </row>
    <row r="8" spans="1:20" ht="15" customHeight="1" x14ac:dyDescent="0.25">
      <c r="B8" s="212"/>
      <c r="D8" s="345"/>
      <c r="E8" s="346"/>
      <c r="G8" s="203" t="s">
        <v>8490</v>
      </c>
      <c r="H8" s="204"/>
      <c r="I8" s="197" t="str">
        <f>IF(AND(Ready&lt;&gt;"No",TrialCityDay1=""),"Fail",IF(_xlfn.ISFORMULA(TrialCityDay1),"","Overwritten"))</f>
        <v/>
      </c>
      <c r="J8" s="197" t="str">
        <f>IF(AND(Ready&lt;&gt;"No",TrialNumberDay2&lt;&gt;"",TrialCityDay2=""),"Fail",IF(_xlfn.ISFORMULA(TrialCityDay2),"","Overwritten"))</f>
        <v/>
      </c>
      <c r="K8" s="23" t="s">
        <v>1156</v>
      </c>
      <c r="L8" s="305">
        <v>3.472222222222222E-3</v>
      </c>
      <c r="N8" s="23" t="s">
        <v>1165</v>
      </c>
      <c r="O8">
        <v>15</v>
      </c>
      <c r="S8" s="356" t="s">
        <v>9985</v>
      </c>
      <c r="T8" s="359" t="s">
        <v>9900</v>
      </c>
    </row>
    <row r="9" spans="1:20" ht="15" customHeight="1" x14ac:dyDescent="0.25">
      <c r="A9" t="s">
        <v>3594</v>
      </c>
      <c r="B9" s="318">
        <v>5</v>
      </c>
      <c r="D9" s="345"/>
      <c r="E9" s="346"/>
      <c r="G9" s="203" t="s">
        <v>6</v>
      </c>
      <c r="I9" s="204" t="str">
        <f>IF(AND(Ready&lt;&gt;"No",TrialNumber=""),"Fail","")</f>
        <v/>
      </c>
      <c r="J9" s="204" t="str">
        <f>IF(AND(Ready&lt;&gt;"No",TrialNumberDay2="",E$58+SUM(D$91:D$94)&lt;&gt;0),"Fail","")</f>
        <v/>
      </c>
      <c r="K9" s="23" t="s">
        <v>1157</v>
      </c>
      <c r="L9" s="305">
        <v>2.0833333333333333E-3</v>
      </c>
      <c r="N9" s="23" t="s">
        <v>1166</v>
      </c>
      <c r="O9">
        <v>30</v>
      </c>
      <c r="S9" s="357"/>
      <c r="T9" s="360"/>
    </row>
    <row r="10" spans="1:20" ht="15" customHeight="1" x14ac:dyDescent="0.25">
      <c r="A10" t="s">
        <v>2075</v>
      </c>
      <c r="B10" s="46">
        <v>10</v>
      </c>
      <c r="D10" s="345"/>
      <c r="E10" s="346"/>
      <c r="G10" s="203" t="s">
        <v>7</v>
      </c>
      <c r="I10" s="204" t="str">
        <f>IF(AND(Ready&lt;&gt;"No",TrialDate=""),"Fail",IF(_xlfn.ISFORMULA(TrialDate),"","Overwritten"))</f>
        <v/>
      </c>
      <c r="J10" s="204" t="str">
        <f>IF(AND(Ready&lt;&gt;"No",TrialNumberDay2&lt;&gt;"",TrialDateDay2=""),"Fail",IF(_xlfn.ISFORMULA(TrialDateDay2),"","Overwritten"))</f>
        <v/>
      </c>
      <c r="K10" s="23"/>
      <c r="L10" s="305"/>
      <c r="N10" s="23"/>
      <c r="S10" s="357"/>
      <c r="T10" s="360"/>
    </row>
    <row r="11" spans="1:20" ht="15" customHeight="1" x14ac:dyDescent="0.25">
      <c r="D11" s="345"/>
      <c r="E11" s="346"/>
      <c r="G11" s="203" t="s">
        <v>8889</v>
      </c>
      <c r="I11" s="204" t="str">
        <f>IF(AND(Ready&lt;&gt;"No",JudgeD1CSS="",$B$37&lt;&gt;0),"Fail","")</f>
        <v/>
      </c>
      <c r="J11" s="204" t="str">
        <f>IF(AND(Ready&lt;&gt;"No",JudgeD2CSS="",$B$54&lt;&gt;0),"Fail","")</f>
        <v/>
      </c>
      <c r="K11" s="23" t="s">
        <v>1159</v>
      </c>
      <c r="L11" s="305">
        <v>3.472222222222222E-3</v>
      </c>
      <c r="N11" s="23" t="s">
        <v>1168</v>
      </c>
      <c r="O11">
        <v>30</v>
      </c>
      <c r="S11" s="357"/>
      <c r="T11" s="360"/>
    </row>
    <row r="12" spans="1:20" ht="15" customHeight="1" x14ac:dyDescent="0.25">
      <c r="A12" t="s">
        <v>3595</v>
      </c>
      <c r="B12" s="46">
        <v>3</v>
      </c>
      <c r="D12" s="345"/>
      <c r="E12" s="346"/>
      <c r="G12" s="203" t="s">
        <v>8890</v>
      </c>
      <c r="I12" s="204" t="str">
        <f>IF(AND(Ready&lt;&gt;"No",JudgeD1ISS="",$C$37&lt;&gt;0),"Fail","")</f>
        <v/>
      </c>
      <c r="J12" s="204" t="str">
        <f>IF(AND(Ready&lt;&gt;"No",JudgeD2ISS="",$C$54&lt;&gt;0),"Fail","")</f>
        <v/>
      </c>
      <c r="K12" s="23"/>
      <c r="L12" s="305"/>
      <c r="N12" s="23"/>
      <c r="S12" s="357"/>
      <c r="T12" s="360"/>
    </row>
    <row r="13" spans="1:20" ht="15" customHeight="1" x14ac:dyDescent="0.25">
      <c r="A13" t="s">
        <v>3596</v>
      </c>
      <c r="B13" s="46">
        <v>2</v>
      </c>
      <c r="D13" s="345"/>
      <c r="E13" s="346"/>
      <c r="G13" s="203" t="s">
        <v>8891</v>
      </c>
      <c r="I13" s="204" t="str">
        <f>IF(AND(Ready&lt;&gt;"No",JudgeD1ESS="",$D$37&lt;&gt;0),"Fail","")</f>
        <v/>
      </c>
      <c r="J13" s="204" t="str">
        <f>IF(AND(Ready&lt;&gt;"No",JudgeD2ESS="",$D$54&lt;&gt;0),"Fail","")</f>
        <v/>
      </c>
      <c r="K13" s="23"/>
      <c r="L13" s="305"/>
      <c r="N13" s="23"/>
      <c r="S13" s="357"/>
      <c r="T13" s="360"/>
    </row>
    <row r="14" spans="1:20" ht="15" customHeight="1" x14ac:dyDescent="0.25">
      <c r="D14" s="345"/>
      <c r="E14" s="346"/>
      <c r="G14" s="203" t="s">
        <v>8892</v>
      </c>
      <c r="I14" s="204" t="str">
        <f>IF(AND(Ready&lt;&gt;"No",Started!D36&lt;&gt;0),Started!D36,"")</f>
        <v/>
      </c>
      <c r="J14" s="197" t="str">
        <f>IF(AND(Ready&lt;&gt;"No",Started!D76&lt;&gt;0),Started!D76,"")</f>
        <v/>
      </c>
      <c r="K14" s="23"/>
      <c r="L14" s="305"/>
      <c r="N14" s="23"/>
      <c r="R14" s="195"/>
      <c r="S14" s="357"/>
      <c r="T14" s="360"/>
    </row>
    <row r="15" spans="1:20" ht="15" customHeight="1" x14ac:dyDescent="0.25">
      <c r="A15" t="s">
        <v>3709</v>
      </c>
      <c r="B15" s="45">
        <v>35</v>
      </c>
      <c r="D15" s="345"/>
      <c r="E15" s="346"/>
      <c r="G15" s="203" t="s">
        <v>8909</v>
      </c>
      <c r="I15" s="204" t="str">
        <f>IF(AND(Ready&lt;&gt;"No",SUMPRODUCT(--(COUNTIF(Started!$C$5:$C$34,Started!$C$5:$C$34)&gt;1))&gt;0),"Fail","")</f>
        <v/>
      </c>
      <c r="J15" s="204" t="str">
        <f>IF(AND(Ready&lt;&gt;"No",SUMPRODUCT(--(COUNTIF(Started!$C$45:$C$74,Started!$C$45:$C$74)&gt;1))&gt;0),"Fail","")</f>
        <v/>
      </c>
      <c r="K15" s="23" t="s">
        <v>2035</v>
      </c>
      <c r="L15" s="305">
        <v>2.7777777777777779E-3</v>
      </c>
      <c r="N15" s="23" t="s">
        <v>2036</v>
      </c>
      <c r="O15">
        <v>30</v>
      </c>
      <c r="R15" s="195"/>
      <c r="S15" s="358"/>
      <c r="T15" s="360"/>
    </row>
    <row r="16" spans="1:20" ht="15" customHeight="1" x14ac:dyDescent="0.25">
      <c r="A16" t="s">
        <v>3710</v>
      </c>
      <c r="B16" s="45">
        <v>35</v>
      </c>
      <c r="D16" s="345"/>
      <c r="E16" s="346"/>
      <c r="G16" s="203" t="s">
        <v>8893</v>
      </c>
      <c r="I16" s="204" t="str">
        <f>IF(AND(Ready&lt;&gt;"No",JudgeD1CSA="",$B$38&lt;&gt;0),"Fail","")</f>
        <v/>
      </c>
      <c r="J16" s="204" t="str">
        <f>IF(AND(Ready&lt;&gt;"No",JudgeD2CSA="",$B$55&lt;&gt;0),"Fail","")</f>
        <v/>
      </c>
      <c r="K16" s="23" t="s">
        <v>2037</v>
      </c>
      <c r="L16" s="305">
        <v>6.9444444444444441E-3</v>
      </c>
      <c r="N16" s="23" t="s">
        <v>2039</v>
      </c>
      <c r="O16">
        <v>40</v>
      </c>
      <c r="R16" s="195"/>
      <c r="T16" s="360"/>
    </row>
    <row r="17" spans="1:20" ht="15" customHeight="1" x14ac:dyDescent="0.25">
      <c r="A17" t="s">
        <v>3711</v>
      </c>
      <c r="B17" s="45">
        <v>35</v>
      </c>
      <c r="D17" s="345"/>
      <c r="E17" s="346"/>
      <c r="G17" s="203" t="s">
        <v>8894</v>
      </c>
      <c r="I17" s="204" t="str">
        <f>IF(AND(Ready&lt;&gt;"No",JudgeD1ISA="",$C$38&lt;&gt;0),"Fail","")</f>
        <v/>
      </c>
      <c r="J17" s="204" t="str">
        <f>IF(AND(Ready&lt;&gt;"No",JudgeD2ISA="",$C$55&lt;&gt;0),"Fail","")</f>
        <v/>
      </c>
      <c r="K17" s="23" t="s">
        <v>2038</v>
      </c>
      <c r="L17" s="305">
        <v>3.472222222222222E-3</v>
      </c>
      <c r="N17" s="23" t="s">
        <v>2040</v>
      </c>
      <c r="O17">
        <v>30</v>
      </c>
      <c r="R17" s="195"/>
      <c r="T17" s="360"/>
    </row>
    <row r="18" spans="1:20" ht="15" customHeight="1" x14ac:dyDescent="0.25">
      <c r="A18" t="s">
        <v>3717</v>
      </c>
      <c r="B18" s="45">
        <v>90</v>
      </c>
      <c r="D18" s="345"/>
      <c r="E18" s="346"/>
      <c r="G18" s="203" t="s">
        <v>8895</v>
      </c>
      <c r="I18" s="204" t="str">
        <f>IF(AND(Ready&lt;&gt;"No",JudgeD1ESA="",$D$38&lt;&gt;0),"Fail","")</f>
        <v/>
      </c>
      <c r="J18" s="204" t="str">
        <f>IF(AND(Ready&lt;&gt;"No",JudgeD2ESA="",$D$55&lt;&gt;0),"Fail","")</f>
        <v/>
      </c>
      <c r="K18" s="23"/>
      <c r="L18" s="41"/>
      <c r="N18" s="23"/>
      <c r="R18" s="307"/>
      <c r="S18" s="366" t="s">
        <v>15689</v>
      </c>
      <c r="T18" s="361"/>
    </row>
    <row r="19" spans="1:20" ht="15" customHeight="1" thickBot="1" x14ac:dyDescent="0.3">
      <c r="A19" t="s">
        <v>3712</v>
      </c>
      <c r="B19" s="45">
        <v>15</v>
      </c>
      <c r="D19" s="347"/>
      <c r="E19" s="348"/>
      <c r="G19" s="203" t="s">
        <v>9439</v>
      </c>
      <c r="I19" s="204" t="str">
        <f>IF(AND(Ready&lt;&gt;"No",Advanced!D56&lt;&gt;0),Advanced!D56,"")</f>
        <v/>
      </c>
      <c r="J19" s="197" t="str">
        <f>IF(AND(Ready&lt;&gt;"No",Advanced!D116&lt;&gt;0),Advanced!D116,"")</f>
        <v/>
      </c>
      <c r="K19" s="138"/>
      <c r="L19" s="138"/>
      <c r="N19" s="23"/>
      <c r="R19" s="307"/>
      <c r="S19" s="367"/>
      <c r="T19" s="362"/>
    </row>
    <row r="20" spans="1:20" ht="15" customHeight="1" x14ac:dyDescent="0.25">
      <c r="A20" t="s">
        <v>3716</v>
      </c>
      <c r="B20" s="45">
        <v>75</v>
      </c>
      <c r="G20" s="203" t="s">
        <v>8910</v>
      </c>
      <c r="I20" s="204" t="str">
        <f>IF(AND(Ready&lt;&gt;"No",SUMPRODUCT(--(COUNTIF(Advanced!$C$5:$C$54,Advanced!$C$5:$C$54)&gt;1))&gt;0),"Fail","")</f>
        <v/>
      </c>
      <c r="J20" s="204" t="str">
        <f>IF(AND(Ready&lt;&gt;"No",SUMPRODUCT(--(COUNTIF(Advanced!$C$65:$C$114,Advanced!$C$65:$C$114)&gt;1))&gt;0),"Fail","")</f>
        <v/>
      </c>
      <c r="N20" s="23"/>
      <c r="R20" s="307"/>
      <c r="S20" s="367"/>
      <c r="T20" s="308"/>
    </row>
    <row r="21" spans="1:20" ht="15" customHeight="1" x14ac:dyDescent="0.25">
      <c r="A21" t="s">
        <v>3706</v>
      </c>
      <c r="B21" s="45">
        <v>20</v>
      </c>
      <c r="G21" s="203" t="s">
        <v>8896</v>
      </c>
      <c r="I21" s="204" t="str">
        <f>IF(AND(Ready&lt;&gt;"No",JudgeD1CSE="",$B$39&lt;&gt;0),"Fail","")</f>
        <v/>
      </c>
      <c r="J21" s="204" t="str">
        <f>IF(AND(Ready&lt;&gt;"No",JudgeD2CSE="",$B$56&lt;&gt;0),"Fail","")</f>
        <v/>
      </c>
      <c r="N21" s="23"/>
      <c r="R21" s="307"/>
      <c r="S21" s="367"/>
      <c r="T21" s="308"/>
    </row>
    <row r="22" spans="1:20" ht="15" customHeight="1" x14ac:dyDescent="0.25">
      <c r="A22" t="s">
        <v>3707</v>
      </c>
      <c r="B22" s="177">
        <v>20</v>
      </c>
      <c r="G22" s="203" t="s">
        <v>8897</v>
      </c>
      <c r="I22" s="204" t="str">
        <f>IF(AND(Ready&lt;&gt;"No",JudgeD1ISE="",$C$39&lt;&gt;0),"Fail","")</f>
        <v/>
      </c>
      <c r="J22" s="204" t="str">
        <f>IF(AND(Ready&lt;&gt;"No",JudgeD2ISE="",$C$56&lt;&gt;0),"Fail","")</f>
        <v/>
      </c>
      <c r="N22" s="23"/>
      <c r="R22" s="307"/>
      <c r="S22" s="367"/>
      <c r="T22" s="308"/>
    </row>
    <row r="23" spans="1:20" ht="15" customHeight="1" x14ac:dyDescent="0.25">
      <c r="A23" t="s">
        <v>3708</v>
      </c>
      <c r="B23" s="177">
        <v>20</v>
      </c>
      <c r="G23" s="203" t="s">
        <v>8898</v>
      </c>
      <c r="I23" s="204" t="str">
        <f>IF(AND(Ready&lt;&gt;"No",JudgeD1ESE="",$D$39&lt;&gt;0),"Fail","")</f>
        <v/>
      </c>
      <c r="J23" s="204" t="str">
        <f>IF(AND(Ready&lt;&gt;"No",JudgeD2ESE="",$D$56&lt;&gt;0),"Fail","")</f>
        <v/>
      </c>
      <c r="N23" s="23"/>
      <c r="R23" s="307"/>
      <c r="S23" s="368"/>
      <c r="T23" s="308"/>
    </row>
    <row r="24" spans="1:20" ht="15" customHeight="1" x14ac:dyDescent="0.25">
      <c r="A24" t="s">
        <v>3715</v>
      </c>
      <c r="B24" s="177">
        <v>20</v>
      </c>
      <c r="G24" s="203" t="s">
        <v>8911</v>
      </c>
      <c r="I24" s="204" t="str">
        <f>IF(AND(Ready&lt;&gt;"No",SUMPRODUCT(--(COUNTIF(Excellent!$C$5:$C$54,Excellent!$C$5:$C$54)&gt;1))&gt;0),"Fail","")</f>
        <v/>
      </c>
      <c r="J24" s="204" t="str">
        <f>IF(AND(Ready&lt;&gt;"No",SUMPRODUCT(--(COUNTIF(Excellent!$C$65:$C$114,Excellent!$C$65:$C$114)&gt;1))&gt;0),"Fail","")</f>
        <v/>
      </c>
      <c r="N24" s="23"/>
      <c r="R24" s="195"/>
      <c r="T24" s="196"/>
    </row>
    <row r="25" spans="1:20" ht="15" customHeight="1" x14ac:dyDescent="0.25">
      <c r="A25" t="s">
        <v>3713</v>
      </c>
      <c r="B25" s="45">
        <v>10</v>
      </c>
      <c r="G25" s="203" t="s">
        <v>8899</v>
      </c>
      <c r="I25" s="204" t="str">
        <f>IF(AND(Ready&lt;&gt;"No",JudgeD1CSL="",$B$40&lt;&gt;0),"Fail","")</f>
        <v/>
      </c>
      <c r="J25" s="204" t="str">
        <f>IF(AND(Ready&lt;&gt;"No",JudgeD2CSL="",$B$57&lt;&gt;0),"Fail","")</f>
        <v/>
      </c>
      <c r="N25" s="23"/>
      <c r="R25" s="195"/>
      <c r="T25" s="196"/>
    </row>
    <row r="26" spans="1:20" ht="15" customHeight="1" x14ac:dyDescent="0.25">
      <c r="B26" s="59"/>
      <c r="G26" s="203" t="s">
        <v>8900</v>
      </c>
      <c r="I26" s="204" t="str">
        <f>IF(AND(Ready&lt;&gt;"No",JudgeD1ISL="",$C$40&lt;&gt;0),"Fail","")</f>
        <v/>
      </c>
      <c r="J26" s="204" t="str">
        <f>IF(AND(Ready&lt;&gt;"No",JudgeD2ISL="",$C$57&lt;&gt;0),"Fail","")</f>
        <v/>
      </c>
      <c r="N26" s="23"/>
      <c r="R26" s="195"/>
      <c r="T26" s="196"/>
    </row>
    <row r="27" spans="1:20" ht="15" customHeight="1" x14ac:dyDescent="0.25">
      <c r="A27" s="364" t="s">
        <v>2556</v>
      </c>
      <c r="B27" s="365"/>
      <c r="C27" s="365"/>
      <c r="D27" s="365"/>
      <c r="E27" s="365"/>
      <c r="G27" s="203" t="s">
        <v>8901</v>
      </c>
      <c r="I27" s="204" t="str">
        <f>IF(AND(Ready&lt;&gt;"No",JudgeD1ESL="",$D$40&lt;&gt;0),"Fail","")</f>
        <v/>
      </c>
      <c r="J27" s="204" t="str">
        <f>IF(AND(Ready&lt;&gt;"No",JudgeD2ESL="",$D$57&lt;&gt;0),"Fail","")</f>
        <v/>
      </c>
      <c r="N27" s="23"/>
      <c r="R27" s="195"/>
      <c r="T27" s="196"/>
    </row>
    <row r="28" spans="1:20" ht="15" customHeight="1" x14ac:dyDescent="0.25">
      <c r="A28" t="s">
        <v>16194</v>
      </c>
      <c r="B28" s="39"/>
      <c r="C28" s="319" t="s">
        <v>16092</v>
      </c>
      <c r="D28" s="350" t="str">
        <f>IFERROR(INDEX(qselFutureTrials[],MATCH(TrialNumber,qselFutureTrials[Trial Number],0),3),"")</f>
        <v/>
      </c>
      <c r="E28" s="350"/>
      <c r="G28" s="203" t="s">
        <v>8912</v>
      </c>
      <c r="I28" s="204" t="str">
        <f>IF(AND(Ready&lt;&gt;"No",SUMPRODUCT(--(COUNTIF(Elite!$C$5:$C$34,Elite!$C$5:$C$34)&gt;1))&gt;0),"Fail","")</f>
        <v/>
      </c>
      <c r="J28" s="204" t="str">
        <f>IF(AND(Ready&lt;&gt;"No",SUMPRODUCT(--(COUNTIF(Elite!$C$45:$C$74,Elite!$C$45:$C$74)&gt;1))&gt;0),"Fail","")</f>
        <v/>
      </c>
      <c r="N28" s="23"/>
      <c r="R28" s="195"/>
      <c r="T28" s="196"/>
    </row>
    <row r="29" spans="1:20" ht="15" customHeight="1" x14ac:dyDescent="0.25">
      <c r="A29" t="s">
        <v>7</v>
      </c>
      <c r="B29" s="40" t="str">
        <f>IFERROR(INDEX(qselFutureTrials[],MATCH(TrialNumber,qselFutureTrials[Trial Number],0),2),"")</f>
        <v/>
      </c>
      <c r="C29" s="319" t="s">
        <v>16041</v>
      </c>
      <c r="D29" s="351" t="str">
        <f>IFERROR(INDEX(qselFutureTrials[],MATCH(TrialNumber,qselFutureTrials[Trial Number],0),4),"")</f>
        <v/>
      </c>
      <c r="E29" s="351"/>
      <c r="G29" s="203" t="s">
        <v>8902</v>
      </c>
      <c r="I29" s="204" t="str">
        <f>IF(AND(Ready&lt;&gt;"No",JudgeD1GamesAerial="",D75&lt;&gt;0),"Fail","")</f>
        <v/>
      </c>
      <c r="J29" s="204" t="str">
        <f>IF(AND(Ready&lt;&gt;"No",JudgeD2GamesAerial="",D91&lt;&gt;0),"Fail","")</f>
        <v/>
      </c>
      <c r="N29" s="23"/>
      <c r="R29" s="195"/>
      <c r="T29" s="196"/>
    </row>
    <row r="30" spans="1:20" ht="15" customHeight="1" x14ac:dyDescent="0.25">
      <c r="B30" s="74" t="s">
        <v>30</v>
      </c>
      <c r="C30" s="75" t="s">
        <v>31</v>
      </c>
      <c r="D30" s="317" t="s">
        <v>32</v>
      </c>
      <c r="G30" s="203" t="s">
        <v>8903</v>
      </c>
      <c r="I30" s="204" t="str">
        <f>IF(AND(Ready&lt;&gt;"No",JudgeD1GamesDistance="",D76&lt;&gt;0),"Fail","")</f>
        <v/>
      </c>
      <c r="J30" s="204" t="str">
        <f>IF(AND(Ready&lt;&gt;"No",JudgeD2GamesDistance="",D92&lt;&gt;0),"Fail","")</f>
        <v/>
      </c>
      <c r="N30" s="23"/>
      <c r="R30" s="195"/>
      <c r="T30" s="196"/>
    </row>
    <row r="31" spans="1:20" ht="15" customHeight="1" x14ac:dyDescent="0.25">
      <c r="A31" t="s">
        <v>1743</v>
      </c>
      <c r="B31" s="39"/>
      <c r="C31" s="39"/>
      <c r="D31" s="39"/>
      <c r="G31" s="203" t="s">
        <v>8904</v>
      </c>
      <c r="I31" s="204" t="str">
        <f>IF(AND(Ready&lt;&gt;"No",JudgeD1GamesSpeed="",D77&lt;&gt;0),"Fail","")</f>
        <v/>
      </c>
      <c r="J31" s="204" t="str">
        <f>IF(AND(Ready&lt;&gt;"No",JudgeD2GamesSpeed="",D93&lt;&gt;0),"Fail","")</f>
        <v/>
      </c>
      <c r="R31" s="195"/>
      <c r="T31" s="196"/>
    </row>
    <row r="32" spans="1:20" ht="15" customHeight="1" x14ac:dyDescent="0.25">
      <c r="A32" t="s">
        <v>1744</v>
      </c>
      <c r="B32" s="39"/>
      <c r="C32" s="39"/>
      <c r="D32" s="39"/>
      <c r="G32" s="203" t="s">
        <v>8905</v>
      </c>
      <c r="H32" s="338"/>
      <c r="I32" s="204" t="str">
        <f>IF(AND(Ready&lt;&gt;"No",JudgeD1GamesTeam="",D78&lt;&gt;0),"Fail","")</f>
        <v/>
      </c>
      <c r="J32" s="204" t="str">
        <f>IF(AND(Ready&lt;&gt;"No",JudgeD2GamesTeam="",D94&lt;&gt;0),"Fail","")</f>
        <v/>
      </c>
      <c r="R32" s="195"/>
      <c r="T32" s="196"/>
    </row>
    <row r="33" spans="1:20" ht="15" customHeight="1" x14ac:dyDescent="0.25">
      <c r="A33" t="s">
        <v>1745</v>
      </c>
      <c r="B33" s="39"/>
      <c r="C33" s="39"/>
      <c r="D33" s="39"/>
      <c r="G33" s="203" t="s">
        <v>16838</v>
      </c>
      <c r="H33" s="338"/>
      <c r="I33" s="204" t="str" cm="1">
        <f t="array" ref="I33">IF(AND(Ready&lt;&gt;"No",(50-SUM(--(_xlfn.ISFORMULA(GamesDay1[Call Name D1])))&gt;0)),50-SUM(--(_xlfn.ISFORMULA(GamesDay1[Call Name D1]))),"")</f>
        <v/>
      </c>
      <c r="J33" s="204" t="str" cm="1">
        <f t="array" ref="J33">IF(AND(Ready&lt;&gt;"No",(50-SUM(--(_xlfn.ISFORMULA(GamesDay2[Call Name D2])))&gt;0)),50-SUM(--(_xlfn.ISFORMULA(GamesDay2[Call Name D2]))),"")</f>
        <v/>
      </c>
      <c r="R33" s="195"/>
      <c r="T33" s="196"/>
    </row>
    <row r="34" spans="1:20" ht="15" customHeight="1" x14ac:dyDescent="0.25">
      <c r="A34" t="s">
        <v>2033</v>
      </c>
      <c r="B34" s="39"/>
      <c r="C34" s="39"/>
      <c r="D34" s="39"/>
      <c r="G34" s="203" t="s">
        <v>8913</v>
      </c>
      <c r="I34" s="204" t="str">
        <f>IF(AND(Ready&lt;&gt;"No",SUMPRODUCT(--(COUNTIF(GamesDay1[Dog D1],GamesDay1[Dog D1])&gt;1))&gt;0),"Fail","")</f>
        <v/>
      </c>
      <c r="J34" s="204" t="str">
        <f>IF(AND(Ready&lt;&gt;"No",SUMPRODUCT(--(COUNTIF(GamesDay2[Dog D2],GamesDay2[Dog D2])&gt;1))&gt;0),"Fail","")</f>
        <v/>
      </c>
      <c r="R34" s="195"/>
      <c r="T34" s="196"/>
    </row>
    <row r="35" spans="1:20" ht="15" customHeight="1" x14ac:dyDescent="0.25">
      <c r="B35" s="72"/>
      <c r="G35" s="203" t="s">
        <v>8906</v>
      </c>
      <c r="I35" s="204" t="str">
        <f>IF(AND(Ready&lt;&gt;"No",Summary!E45&lt;&gt;0),"Fail","")</f>
        <v/>
      </c>
      <c r="J35" s="204" t="str">
        <f>IF(AND(Ready&lt;&gt;"No",Summary!F45&lt;&gt;0),"Fail","")</f>
        <v/>
      </c>
      <c r="R35" s="195"/>
      <c r="T35" s="196"/>
    </row>
    <row r="36" spans="1:20" ht="15" customHeight="1" x14ac:dyDescent="0.25">
      <c r="A36" s="73" t="s">
        <v>1566</v>
      </c>
      <c r="B36" s="74" t="s">
        <v>30</v>
      </c>
      <c r="C36" s="75" t="s">
        <v>31</v>
      </c>
      <c r="D36" s="75" t="s">
        <v>32</v>
      </c>
      <c r="E36" s="75" t="s">
        <v>29</v>
      </c>
      <c r="G36" s="213" t="s">
        <v>8908</v>
      </c>
      <c r="H36" s="197" t="str">
        <f>IF(Ready&lt;&gt;"No",COUNT(Summary!I29:I55),"")</f>
        <v/>
      </c>
      <c r="I36" s="2"/>
      <c r="J36" s="2"/>
      <c r="R36" s="195"/>
      <c r="S36" s="195"/>
      <c r="T36" s="196"/>
    </row>
    <row r="37" spans="1:20" ht="15" customHeight="1" x14ac:dyDescent="0.25">
      <c r="A37" s="73" t="s">
        <v>3</v>
      </c>
      <c r="B37" s="74">
        <f>Started!G$35</f>
        <v>0</v>
      </c>
      <c r="C37" s="75">
        <f>Started!O$35</f>
        <v>0</v>
      </c>
      <c r="D37" s="75">
        <f>Started!W$35</f>
        <v>0</v>
      </c>
      <c r="E37" s="75">
        <f>Started!AH$35</f>
        <v>0</v>
      </c>
      <c r="G37" s="213" t="s">
        <v>9703</v>
      </c>
      <c r="H37" s="197" t="str">
        <f>IF(Ready&lt;&gt;"No",IF(TrialNumber = TrialNumberDay2,"Fail",""),"")</f>
        <v/>
      </c>
      <c r="I37" s="2"/>
      <c r="J37" s="2"/>
      <c r="R37" s="195"/>
      <c r="S37" s="195"/>
      <c r="T37" s="196"/>
    </row>
    <row r="38" spans="1:20" ht="15" customHeight="1" x14ac:dyDescent="0.25">
      <c r="A38" s="73" t="s">
        <v>4</v>
      </c>
      <c r="B38" s="74">
        <f>Advanced!G$55</f>
        <v>0</v>
      </c>
      <c r="C38" s="75">
        <f>Advanced!O$55</f>
        <v>0</v>
      </c>
      <c r="D38" s="75">
        <f>Advanced!W$55</f>
        <v>0</v>
      </c>
      <c r="E38" s="75">
        <f>Advanced!AH$55</f>
        <v>0</v>
      </c>
      <c r="G38" s="213" t="s">
        <v>16831</v>
      </c>
      <c r="H38" s="197" cm="1">
        <f t="array" ref="H38">SUMPRODUCT(--ISERR(FormattedResults!A2:AD1362))</f>
        <v>0</v>
      </c>
      <c r="R38" s="193"/>
      <c r="S38" s="195"/>
      <c r="T38" s="194"/>
    </row>
    <row r="39" spans="1:20" ht="15" customHeight="1" x14ac:dyDescent="0.25">
      <c r="A39" s="73" t="s">
        <v>5</v>
      </c>
      <c r="B39" s="74">
        <f>Excellent!G$55</f>
        <v>0</v>
      </c>
      <c r="C39" s="75">
        <f>Excellent!O$55</f>
        <v>0</v>
      </c>
      <c r="D39" s="75">
        <f>Excellent!W$55</f>
        <v>0</v>
      </c>
      <c r="E39" s="75">
        <f>Excellent!AH$55</f>
        <v>0</v>
      </c>
      <c r="G39" s="203"/>
      <c r="R39" s="193"/>
      <c r="S39" s="195"/>
      <c r="T39" s="194"/>
    </row>
    <row r="40" spans="1:20" ht="15" customHeight="1" x14ac:dyDescent="0.25">
      <c r="A40" s="73" t="s">
        <v>2034</v>
      </c>
      <c r="B40" s="74">
        <f>Elite!F$35</f>
        <v>0</v>
      </c>
      <c r="C40" s="75">
        <f>Elite!N$35</f>
        <v>0</v>
      </c>
      <c r="D40" s="75">
        <f>Elite!V$35</f>
        <v>0</v>
      </c>
      <c r="E40" s="75">
        <f>Elite!AG$35</f>
        <v>0</v>
      </c>
      <c r="G40" s="203"/>
      <c r="R40" s="193"/>
      <c r="T40" s="194"/>
    </row>
    <row r="41" spans="1:20" ht="15" customHeight="1" x14ac:dyDescent="0.25">
      <c r="A41" s="76" t="s">
        <v>29</v>
      </c>
      <c r="B41" s="77">
        <f>SUM(B37:B40)</f>
        <v>0</v>
      </c>
      <c r="C41" s="77">
        <f>SUM(C37:C40)</f>
        <v>0</v>
      </c>
      <c r="D41" s="77">
        <f>SUM(D37:D40)</f>
        <v>0</v>
      </c>
      <c r="E41" s="77">
        <f>SUM(E37:E40)</f>
        <v>0</v>
      </c>
      <c r="G41" s="203"/>
    </row>
    <row r="42" spans="1:20" ht="15" customHeight="1" x14ac:dyDescent="0.25">
      <c r="A42" s="4"/>
      <c r="B42" s="150"/>
      <c r="C42" s="150"/>
      <c r="D42" s="150"/>
      <c r="E42" s="150"/>
      <c r="G42" s="203"/>
    </row>
    <row r="43" spans="1:20" x14ac:dyDescent="0.25">
      <c r="B43" s="72"/>
      <c r="G43" s="203"/>
    </row>
    <row r="44" spans="1:20" ht="15.75" x14ac:dyDescent="0.25">
      <c r="A44" s="364" t="s">
        <v>1545</v>
      </c>
      <c r="B44" s="365"/>
      <c r="C44" s="365"/>
      <c r="D44" s="365"/>
      <c r="E44" s="365"/>
      <c r="G44" s="203"/>
    </row>
    <row r="45" spans="1:20" x14ac:dyDescent="0.25">
      <c r="A45" t="s">
        <v>16195</v>
      </c>
      <c r="B45" s="39"/>
      <c r="C45" s="319" t="s">
        <v>16092</v>
      </c>
      <c r="D45" s="350" t="str">
        <f>IFERROR(INDEX(qselFutureTrials[],MATCH(TrialNumberDay2,qselFutureTrials[Trial Number],0),3),"")</f>
        <v/>
      </c>
      <c r="E45" s="350"/>
      <c r="G45" s="203"/>
      <c r="K45" s="23"/>
    </row>
    <row r="46" spans="1:20" x14ac:dyDescent="0.25">
      <c r="A46" t="s">
        <v>7</v>
      </c>
      <c r="B46" s="40" t="str">
        <f>IFERROR(INDEX(qselFutureTrials[],MATCH(TrialNumberDay2,qselFutureTrials[Trial Number],0),2),"")</f>
        <v/>
      </c>
      <c r="C46" s="319" t="s">
        <v>16041</v>
      </c>
      <c r="D46" s="351" t="str">
        <f>IFERROR(INDEX(qselFutureTrials[],MATCH(TrialNumberDay2,qselFutureTrials[Trial Number],0),4),"")</f>
        <v/>
      </c>
      <c r="E46" s="351"/>
      <c r="G46" s="203"/>
      <c r="K46" s="23"/>
    </row>
    <row r="47" spans="1:20" x14ac:dyDescent="0.25">
      <c r="B47" s="74" t="s">
        <v>30</v>
      </c>
      <c r="C47" s="75" t="s">
        <v>31</v>
      </c>
      <c r="D47" s="75" t="s">
        <v>32</v>
      </c>
      <c r="G47" s="203"/>
      <c r="K47" s="23"/>
    </row>
    <row r="48" spans="1:20" x14ac:dyDescent="0.25">
      <c r="A48" t="s">
        <v>1743</v>
      </c>
      <c r="B48" s="39"/>
      <c r="C48" s="39"/>
      <c r="D48" s="39"/>
      <c r="G48" s="203"/>
      <c r="K48" s="23"/>
    </row>
    <row r="49" spans="1:11" x14ac:dyDescent="0.25">
      <c r="A49" t="s">
        <v>1744</v>
      </c>
      <c r="B49" s="39"/>
      <c r="C49" s="39"/>
      <c r="D49" s="39"/>
      <c r="K49" s="23"/>
    </row>
    <row r="50" spans="1:11" x14ac:dyDescent="0.25">
      <c r="A50" t="s">
        <v>1745</v>
      </c>
      <c r="B50" s="39"/>
      <c r="C50" s="39"/>
      <c r="D50" s="39"/>
      <c r="K50" s="23"/>
    </row>
    <row r="51" spans="1:11" x14ac:dyDescent="0.25">
      <c r="A51" t="s">
        <v>2033</v>
      </c>
      <c r="B51" s="39"/>
      <c r="C51" s="39"/>
      <c r="D51" s="39"/>
      <c r="K51" s="23"/>
    </row>
    <row r="52" spans="1:11" x14ac:dyDescent="0.25">
      <c r="K52" s="23"/>
    </row>
    <row r="53" spans="1:11" x14ac:dyDescent="0.25">
      <c r="A53" s="73" t="s">
        <v>1566</v>
      </c>
      <c r="B53" s="74" t="s">
        <v>30</v>
      </c>
      <c r="C53" s="75" t="s">
        <v>31</v>
      </c>
      <c r="D53" s="75" t="s">
        <v>32</v>
      </c>
      <c r="E53" s="75" t="s">
        <v>29</v>
      </c>
      <c r="G53" s="2"/>
      <c r="K53" s="23"/>
    </row>
    <row r="54" spans="1:11" x14ac:dyDescent="0.25">
      <c r="A54" s="73" t="s">
        <v>3</v>
      </c>
      <c r="B54" s="74">
        <f>Started!G$75</f>
        <v>0</v>
      </c>
      <c r="C54" s="75">
        <f>Started!O$75</f>
        <v>0</v>
      </c>
      <c r="D54" s="75">
        <f>Started!W$75</f>
        <v>0</v>
      </c>
      <c r="E54" s="75">
        <f>Started!AH$75</f>
        <v>0</v>
      </c>
      <c r="G54" s="2"/>
      <c r="K54" s="23"/>
    </row>
    <row r="55" spans="1:11" x14ac:dyDescent="0.25">
      <c r="A55" s="73" t="s">
        <v>4</v>
      </c>
      <c r="B55" s="74">
        <f>Advanced!G$115</f>
        <v>0</v>
      </c>
      <c r="C55" s="75">
        <f>Advanced!O$115</f>
        <v>0</v>
      </c>
      <c r="D55" s="75">
        <f>Advanced!W$115</f>
        <v>0</v>
      </c>
      <c r="E55" s="75">
        <f>Advanced!AH$115</f>
        <v>0</v>
      </c>
      <c r="G55" s="2"/>
      <c r="K55" s="23"/>
    </row>
    <row r="56" spans="1:11" x14ac:dyDescent="0.25">
      <c r="A56" s="73" t="s">
        <v>5</v>
      </c>
      <c r="B56" s="74">
        <f>Excellent!G$115</f>
        <v>0</v>
      </c>
      <c r="C56" s="75">
        <f>Excellent!O$115</f>
        <v>0</v>
      </c>
      <c r="D56" s="75">
        <f>Excellent!W$115</f>
        <v>0</v>
      </c>
      <c r="E56" s="75">
        <f>Excellent!AH$115</f>
        <v>0</v>
      </c>
      <c r="G56" s="2"/>
      <c r="K56" s="23"/>
    </row>
    <row r="57" spans="1:11" x14ac:dyDescent="0.25">
      <c r="A57" s="73" t="s">
        <v>2034</v>
      </c>
      <c r="B57" s="74">
        <f>Elite!F$75</f>
        <v>0</v>
      </c>
      <c r="C57" s="75">
        <f>Elite!N$75</f>
        <v>0</v>
      </c>
      <c r="D57" s="75">
        <f>Elite!V$75</f>
        <v>0</v>
      </c>
      <c r="E57" s="75">
        <f>Elite!AG$75</f>
        <v>0</v>
      </c>
      <c r="G57" s="2"/>
      <c r="K57" s="23"/>
    </row>
    <row r="58" spans="1:11" x14ac:dyDescent="0.25">
      <c r="A58" s="76" t="s">
        <v>29</v>
      </c>
      <c r="B58" s="77">
        <f>SUM(B54:B57)</f>
        <v>0</v>
      </c>
      <c r="C58" s="77">
        <f>SUM(C54:C57)</f>
        <v>0</v>
      </c>
      <c r="D58" s="77">
        <f>SUM(D54:D57)</f>
        <v>0</v>
      </c>
      <c r="E58" s="77">
        <f>SUM(E54:E57)</f>
        <v>0</v>
      </c>
      <c r="G58" s="150"/>
      <c r="H58" s="198"/>
      <c r="K58" s="23"/>
    </row>
    <row r="59" spans="1:11" x14ac:dyDescent="0.25">
      <c r="A59" s="78" t="s">
        <v>1552</v>
      </c>
      <c r="B59" s="79">
        <f>B41+B58</f>
        <v>0</v>
      </c>
      <c r="C59" s="79">
        <f>C41+C58</f>
        <v>0</v>
      </c>
      <c r="D59" s="79">
        <f>D41+D58</f>
        <v>0</v>
      </c>
      <c r="E59" s="79">
        <f>E41+E58</f>
        <v>0</v>
      </c>
      <c r="G59" s="152"/>
      <c r="H59" s="199"/>
      <c r="K59" s="23"/>
    </row>
    <row r="60" spans="1:11" x14ac:dyDescent="0.25">
      <c r="A60" s="109"/>
      <c r="E60" s="110"/>
      <c r="G60" s="110"/>
      <c r="H60" s="200"/>
      <c r="K60" s="23"/>
    </row>
    <row r="61" spans="1:11" ht="18.75" x14ac:dyDescent="0.3">
      <c r="A61" s="363" t="s">
        <v>3719</v>
      </c>
      <c r="B61" s="363"/>
      <c r="C61" s="363"/>
      <c r="D61" s="363"/>
      <c r="E61" s="363"/>
      <c r="F61" s="363"/>
      <c r="G61" s="363"/>
      <c r="H61" s="200"/>
      <c r="K61" s="23"/>
    </row>
    <row r="62" spans="1:11" x14ac:dyDescent="0.25">
      <c r="A62" t="s">
        <v>3597</v>
      </c>
      <c r="B62" s="114" t="s">
        <v>1735</v>
      </c>
      <c r="C62" t="s">
        <v>1729</v>
      </c>
      <c r="D62" t="s">
        <v>1145</v>
      </c>
      <c r="E62" t="s">
        <v>1149</v>
      </c>
      <c r="F62" t="s">
        <v>3610</v>
      </c>
      <c r="G62" t="s">
        <v>3611</v>
      </c>
      <c r="K62" s="23"/>
    </row>
    <row r="63" spans="1:11" hidden="1" x14ac:dyDescent="0.25">
      <c r="A63" t="s">
        <v>2556</v>
      </c>
      <c r="C63" t="s">
        <v>3598</v>
      </c>
      <c r="F63" s="52">
        <f t="shared" ref="F63:F74" si="0">(D63+E63)*JudgesFeeFEOGames</f>
        <v>0</v>
      </c>
      <c r="G63" s="52">
        <f t="shared" ref="G63:G74" si="1">D63*SddaFee</f>
        <v>0</v>
      </c>
      <c r="H63" s="201"/>
      <c r="K63" s="23"/>
    </row>
    <row r="64" spans="1:11" hidden="1" x14ac:dyDescent="0.25">
      <c r="A64" t="s">
        <v>2556</v>
      </c>
      <c r="C64" t="s">
        <v>3599</v>
      </c>
      <c r="F64" s="52">
        <f t="shared" si="0"/>
        <v>0</v>
      </c>
      <c r="G64" s="52">
        <f t="shared" si="1"/>
        <v>0</v>
      </c>
      <c r="H64" s="201"/>
      <c r="K64" s="23"/>
    </row>
    <row r="65" spans="1:11" hidden="1" x14ac:dyDescent="0.25">
      <c r="A65" t="s">
        <v>2556</v>
      </c>
      <c r="C65" t="s">
        <v>3600</v>
      </c>
      <c r="F65" s="52">
        <f t="shared" si="0"/>
        <v>0</v>
      </c>
      <c r="G65" s="52">
        <f t="shared" si="1"/>
        <v>0</v>
      </c>
      <c r="H65" s="201"/>
      <c r="K65" s="23"/>
    </row>
    <row r="66" spans="1:11" hidden="1" x14ac:dyDescent="0.25">
      <c r="A66" t="s">
        <v>2556</v>
      </c>
      <c r="C66" t="s">
        <v>3601</v>
      </c>
      <c r="F66" s="52">
        <f t="shared" si="0"/>
        <v>0</v>
      </c>
      <c r="G66" s="52">
        <f t="shared" si="1"/>
        <v>0</v>
      </c>
      <c r="H66" s="201"/>
      <c r="K66" s="23"/>
    </row>
    <row r="67" spans="1:11" hidden="1" x14ac:dyDescent="0.25">
      <c r="A67" t="s">
        <v>2556</v>
      </c>
      <c r="C67" t="s">
        <v>3602</v>
      </c>
      <c r="F67" s="52">
        <f t="shared" si="0"/>
        <v>0</v>
      </c>
      <c r="G67" s="52">
        <f t="shared" si="1"/>
        <v>0</v>
      </c>
      <c r="H67" s="201"/>
      <c r="K67" s="23"/>
    </row>
    <row r="68" spans="1:11" hidden="1" x14ac:dyDescent="0.25">
      <c r="A68" t="s">
        <v>2556</v>
      </c>
      <c r="C68" t="s">
        <v>3603</v>
      </c>
      <c r="F68" s="52">
        <f t="shared" si="0"/>
        <v>0</v>
      </c>
      <c r="G68" s="52">
        <f t="shared" si="1"/>
        <v>0</v>
      </c>
      <c r="H68" s="201"/>
      <c r="K68" s="23"/>
    </row>
    <row r="69" spans="1:11" hidden="1" x14ac:dyDescent="0.25">
      <c r="A69" t="s">
        <v>2556</v>
      </c>
      <c r="C69" t="s">
        <v>3604</v>
      </c>
      <c r="F69" s="52">
        <f t="shared" si="0"/>
        <v>0</v>
      </c>
      <c r="G69" s="52">
        <f t="shared" si="1"/>
        <v>0</v>
      </c>
      <c r="H69" s="201"/>
      <c r="K69" s="23"/>
    </row>
    <row r="70" spans="1:11" hidden="1" x14ac:dyDescent="0.25">
      <c r="A70" t="s">
        <v>2556</v>
      </c>
      <c r="C70" t="s">
        <v>3605</v>
      </c>
      <c r="F70" s="52">
        <f t="shared" si="0"/>
        <v>0</v>
      </c>
      <c r="G70" s="52">
        <f t="shared" si="1"/>
        <v>0</v>
      </c>
      <c r="H70" s="201"/>
      <c r="K70" s="23"/>
    </row>
    <row r="71" spans="1:11" hidden="1" x14ac:dyDescent="0.25">
      <c r="A71" t="s">
        <v>2556</v>
      </c>
      <c r="C71" t="s">
        <v>3606</v>
      </c>
      <c r="F71" s="52">
        <f t="shared" si="0"/>
        <v>0</v>
      </c>
      <c r="G71" s="52">
        <f t="shared" si="1"/>
        <v>0</v>
      </c>
      <c r="H71" s="201"/>
      <c r="K71" s="23"/>
    </row>
    <row r="72" spans="1:11" hidden="1" x14ac:dyDescent="0.25">
      <c r="A72" t="s">
        <v>2556</v>
      </c>
      <c r="C72" t="s">
        <v>3607</v>
      </c>
      <c r="F72" s="52">
        <f t="shared" si="0"/>
        <v>0</v>
      </c>
      <c r="G72" s="52">
        <f t="shared" si="1"/>
        <v>0</v>
      </c>
      <c r="H72" s="201"/>
      <c r="K72" s="23"/>
    </row>
    <row r="73" spans="1:11" hidden="1" x14ac:dyDescent="0.25">
      <c r="A73" t="s">
        <v>2556</v>
      </c>
      <c r="C73" t="s">
        <v>3608</v>
      </c>
      <c r="F73" s="52">
        <f t="shared" si="0"/>
        <v>0</v>
      </c>
      <c r="G73" s="52">
        <f t="shared" si="1"/>
        <v>0</v>
      </c>
      <c r="H73" s="201"/>
      <c r="K73" s="23"/>
    </row>
    <row r="74" spans="1:11" hidden="1" x14ac:dyDescent="0.25">
      <c r="A74" t="s">
        <v>2556</v>
      </c>
      <c r="C74" t="s">
        <v>3609</v>
      </c>
      <c r="F74" s="52">
        <f t="shared" si="0"/>
        <v>0</v>
      </c>
      <c r="G74" s="52">
        <f t="shared" si="1"/>
        <v>0</v>
      </c>
      <c r="H74" s="201"/>
      <c r="K74" s="23"/>
    </row>
    <row r="75" spans="1:11" x14ac:dyDescent="0.25">
      <c r="A75" t="s">
        <v>2556</v>
      </c>
      <c r="B75" s="114"/>
      <c r="C75" t="s">
        <v>3589</v>
      </c>
      <c r="D75">
        <f>COUNTIF(GamesDay1[Pass / Fail Aerial D1],"P")+COUNTIF(GamesDay1[Pass / Fail Aerial D1],"F")+COUNTIF(GamesDay1[Pass / Fail Aerial D1],"E")</f>
        <v>0</v>
      </c>
      <c r="E75">
        <f>COUNTIF(GamesDay1[Pass / Fail Aerial D1],"FEO")</f>
        <v>0</v>
      </c>
      <c r="F75" s="52">
        <f t="shared" ref="F75:F94" si="2">(D75+E75)*JudgesFeeFEOGames</f>
        <v>0</v>
      </c>
      <c r="G75" s="52">
        <f t="shared" ref="G75:G94" si="3">D75*SddaFee</f>
        <v>0</v>
      </c>
      <c r="H75" s="201"/>
      <c r="K75" s="23"/>
    </row>
    <row r="76" spans="1:11" x14ac:dyDescent="0.25">
      <c r="A76" t="s">
        <v>2556</v>
      </c>
      <c r="B76" s="114"/>
      <c r="C76" t="s">
        <v>3590</v>
      </c>
      <c r="D76">
        <f>COUNTIF(GamesDay1[Pass / Fail Distance D1],"P")+COUNTIF(GamesDay1[Pass / Fail Distance D1],"F")+COUNTIF(GamesDay1[Pass / Fail Distance D1],"E")</f>
        <v>0</v>
      </c>
      <c r="E76">
        <f>COUNTIF(GamesDay1[Pass / Fail Distance D1],"FEO")</f>
        <v>0</v>
      </c>
      <c r="F76" s="52">
        <f t="shared" si="2"/>
        <v>0</v>
      </c>
      <c r="G76" s="52">
        <f t="shared" si="3"/>
        <v>0</v>
      </c>
      <c r="H76" s="201"/>
      <c r="K76" s="23"/>
    </row>
    <row r="77" spans="1:11" x14ac:dyDescent="0.25">
      <c r="A77" t="s">
        <v>2556</v>
      </c>
      <c r="B77" s="114"/>
      <c r="C77" t="s">
        <v>3591</v>
      </c>
      <c r="D77">
        <f>COUNTIF(GamesDay1[Pass / Fail Speed D1],"P")+COUNTIF(GamesDay1[Pass / Fail Speed D1],"F")+COUNTIF(GamesDay1[Pass / Fail Speed D1],"E")</f>
        <v>0</v>
      </c>
      <c r="E77">
        <f>COUNTIF(GamesDay1[Pass / Fail Speed D1],"FEO")</f>
        <v>0</v>
      </c>
      <c r="F77" s="52">
        <f t="shared" si="2"/>
        <v>0</v>
      </c>
      <c r="G77" s="52">
        <f t="shared" si="3"/>
        <v>0</v>
      </c>
      <c r="H77" s="201"/>
      <c r="K77" s="23"/>
    </row>
    <row r="78" spans="1:11" x14ac:dyDescent="0.25">
      <c r="A78" t="s">
        <v>2556</v>
      </c>
      <c r="B78" s="114"/>
      <c r="C78" t="s">
        <v>3592</v>
      </c>
      <c r="D78">
        <f>(COUNTIF(GamesDay1[Pass / Fail Team D1],"P")+COUNTIF(GamesDay1[Pass / Fail Team D1],"F")+COUNTIF(GamesDay1[Pass / Fail Team D1],"E"))*0.5</f>
        <v>0</v>
      </c>
      <c r="E78">
        <f>COUNTIF(GamesDay1[Pass / Fail Team D1],"FEO")*0.5</f>
        <v>0</v>
      </c>
      <c r="F78" s="52">
        <f t="shared" si="2"/>
        <v>0</v>
      </c>
      <c r="G78" s="52">
        <f t="shared" si="3"/>
        <v>0</v>
      </c>
      <c r="H78" s="201"/>
      <c r="K78" s="23"/>
    </row>
    <row r="79" spans="1:11" hidden="1" x14ac:dyDescent="0.25">
      <c r="A79" t="s">
        <v>2557</v>
      </c>
      <c r="C79" t="s">
        <v>3598</v>
      </c>
      <c r="F79" s="52">
        <f t="shared" si="2"/>
        <v>0</v>
      </c>
      <c r="G79" s="52">
        <f t="shared" si="3"/>
        <v>0</v>
      </c>
      <c r="H79" s="201"/>
      <c r="K79" s="23"/>
    </row>
    <row r="80" spans="1:11" hidden="1" x14ac:dyDescent="0.25">
      <c r="A80" t="s">
        <v>2557</v>
      </c>
      <c r="C80" t="s">
        <v>3599</v>
      </c>
      <c r="F80" s="52">
        <f t="shared" si="2"/>
        <v>0</v>
      </c>
      <c r="G80" s="52">
        <f t="shared" si="3"/>
        <v>0</v>
      </c>
      <c r="H80" s="201"/>
      <c r="K80" s="23"/>
    </row>
    <row r="81" spans="1:11" hidden="1" x14ac:dyDescent="0.25">
      <c r="A81" t="s">
        <v>2557</v>
      </c>
      <c r="C81" t="s">
        <v>3600</v>
      </c>
      <c r="F81" s="52">
        <f t="shared" si="2"/>
        <v>0</v>
      </c>
      <c r="G81" s="52">
        <f t="shared" si="3"/>
        <v>0</v>
      </c>
      <c r="H81" s="201"/>
      <c r="K81" s="23"/>
    </row>
    <row r="82" spans="1:11" hidden="1" x14ac:dyDescent="0.25">
      <c r="A82" t="s">
        <v>2557</v>
      </c>
      <c r="C82" t="s">
        <v>3601</v>
      </c>
      <c r="F82" s="52">
        <f t="shared" si="2"/>
        <v>0</v>
      </c>
      <c r="G82" s="52">
        <f t="shared" si="3"/>
        <v>0</v>
      </c>
      <c r="H82" s="201"/>
      <c r="K82" s="23"/>
    </row>
    <row r="83" spans="1:11" hidden="1" x14ac:dyDescent="0.25">
      <c r="A83" t="s">
        <v>2557</v>
      </c>
      <c r="C83" t="s">
        <v>3602</v>
      </c>
      <c r="F83" s="52">
        <f t="shared" si="2"/>
        <v>0</v>
      </c>
      <c r="G83" s="52">
        <f t="shared" si="3"/>
        <v>0</v>
      </c>
      <c r="H83" s="201"/>
      <c r="K83" s="23"/>
    </row>
    <row r="84" spans="1:11" hidden="1" x14ac:dyDescent="0.25">
      <c r="A84" t="s">
        <v>2557</v>
      </c>
      <c r="C84" t="s">
        <v>3603</v>
      </c>
      <c r="F84" s="52">
        <f t="shared" si="2"/>
        <v>0</v>
      </c>
      <c r="G84" s="52">
        <f t="shared" si="3"/>
        <v>0</v>
      </c>
      <c r="H84" s="201"/>
      <c r="K84" s="23"/>
    </row>
    <row r="85" spans="1:11" hidden="1" x14ac:dyDescent="0.25">
      <c r="A85" t="s">
        <v>2557</v>
      </c>
      <c r="C85" t="s">
        <v>3604</v>
      </c>
      <c r="F85" s="52">
        <f t="shared" si="2"/>
        <v>0</v>
      </c>
      <c r="G85" s="52">
        <f t="shared" si="3"/>
        <v>0</v>
      </c>
      <c r="H85" s="201"/>
      <c r="K85" s="23"/>
    </row>
    <row r="86" spans="1:11" hidden="1" x14ac:dyDescent="0.25">
      <c r="A86" t="s">
        <v>2557</v>
      </c>
      <c r="C86" t="s">
        <v>3605</v>
      </c>
      <c r="F86" s="52">
        <f t="shared" si="2"/>
        <v>0</v>
      </c>
      <c r="G86" s="52">
        <f t="shared" si="3"/>
        <v>0</v>
      </c>
      <c r="H86" s="201"/>
      <c r="K86" s="23"/>
    </row>
    <row r="87" spans="1:11" hidden="1" x14ac:dyDescent="0.25">
      <c r="A87" t="s">
        <v>2557</v>
      </c>
      <c r="C87" t="s">
        <v>3606</v>
      </c>
      <c r="F87" s="52">
        <f t="shared" si="2"/>
        <v>0</v>
      </c>
      <c r="G87" s="52">
        <f t="shared" si="3"/>
        <v>0</v>
      </c>
      <c r="H87" s="201"/>
      <c r="K87" s="23"/>
    </row>
    <row r="88" spans="1:11" hidden="1" x14ac:dyDescent="0.25">
      <c r="A88" t="s">
        <v>2557</v>
      </c>
      <c r="C88" t="s">
        <v>3607</v>
      </c>
      <c r="F88" s="52">
        <f t="shared" si="2"/>
        <v>0</v>
      </c>
      <c r="G88" s="52">
        <f t="shared" si="3"/>
        <v>0</v>
      </c>
      <c r="H88" s="201"/>
      <c r="K88" s="23"/>
    </row>
    <row r="89" spans="1:11" hidden="1" x14ac:dyDescent="0.25">
      <c r="A89" t="s">
        <v>2557</v>
      </c>
      <c r="C89" t="s">
        <v>3608</v>
      </c>
      <c r="F89" s="52">
        <f t="shared" si="2"/>
        <v>0</v>
      </c>
      <c r="G89" s="52">
        <f t="shared" si="3"/>
        <v>0</v>
      </c>
      <c r="H89" s="201"/>
      <c r="K89" s="23"/>
    </row>
    <row r="90" spans="1:11" hidden="1" x14ac:dyDescent="0.25">
      <c r="A90" t="s">
        <v>2557</v>
      </c>
      <c r="C90" t="s">
        <v>3609</v>
      </c>
      <c r="F90" s="52">
        <f t="shared" si="2"/>
        <v>0</v>
      </c>
      <c r="G90" s="52">
        <f t="shared" si="3"/>
        <v>0</v>
      </c>
      <c r="H90" s="201"/>
      <c r="K90" s="23"/>
    </row>
    <row r="91" spans="1:11" x14ac:dyDescent="0.25">
      <c r="A91" t="s">
        <v>2557</v>
      </c>
      <c r="B91" s="114"/>
      <c r="C91" t="s">
        <v>3589</v>
      </c>
      <c r="D91">
        <f>COUNTIF(GamesDay2[Pass / Fail Aerial D2],"P")+COUNTIF(GamesDay2[Pass / Fail Aerial D2],"F")+COUNTIF(GamesDay2[Pass / Fail Aerial D2],"E")</f>
        <v>0</v>
      </c>
      <c r="E91">
        <f>COUNTIF(GamesDay2[Pass / Fail Aerial D2],"FEO")</f>
        <v>0</v>
      </c>
      <c r="F91" s="52">
        <f t="shared" si="2"/>
        <v>0</v>
      </c>
      <c r="G91" s="52">
        <f t="shared" si="3"/>
        <v>0</v>
      </c>
      <c r="H91" s="201"/>
      <c r="K91" s="23"/>
    </row>
    <row r="92" spans="1:11" x14ac:dyDescent="0.25">
      <c r="A92" t="s">
        <v>2557</v>
      </c>
      <c r="B92" s="114"/>
      <c r="C92" t="s">
        <v>3590</v>
      </c>
      <c r="D92">
        <f>COUNTIF(GamesDay2[Pass / Fail Distance D2],"P")+COUNTIF(GamesDay2[Pass / Fail Distance D2],"F")+COUNTIF(GamesDay2[Pass / Fail Distance D2],"E")</f>
        <v>0</v>
      </c>
      <c r="E92">
        <f>COUNTIF(GamesDay2[Pass / Fail Distance D2],"FEO")</f>
        <v>0</v>
      </c>
      <c r="F92" s="52">
        <f t="shared" si="2"/>
        <v>0</v>
      </c>
      <c r="G92" s="52">
        <f t="shared" si="3"/>
        <v>0</v>
      </c>
      <c r="H92" s="201"/>
      <c r="K92" s="23"/>
    </row>
    <row r="93" spans="1:11" x14ac:dyDescent="0.25">
      <c r="A93" t="s">
        <v>2557</v>
      </c>
      <c r="B93" s="114"/>
      <c r="C93" t="s">
        <v>3591</v>
      </c>
      <c r="D93">
        <f>COUNTIF(GamesDay2[Pass / Fail Speed D2],"P")+COUNTIF(GamesDay2[Pass / Fail Speed D2],"F")+COUNTIF(GamesDay2[Pass / Fail Speed D2],"E")</f>
        <v>0</v>
      </c>
      <c r="E93">
        <f>COUNTIF(GamesDay2[Pass / Fail Speed D2],"FEO")</f>
        <v>0</v>
      </c>
      <c r="F93" s="52">
        <f t="shared" si="2"/>
        <v>0</v>
      </c>
      <c r="G93" s="52">
        <f t="shared" si="3"/>
        <v>0</v>
      </c>
      <c r="H93" s="201"/>
      <c r="K93" s="23"/>
    </row>
    <row r="94" spans="1:11" x14ac:dyDescent="0.25">
      <c r="A94" t="s">
        <v>2557</v>
      </c>
      <c r="B94" s="114"/>
      <c r="C94" t="s">
        <v>3592</v>
      </c>
      <c r="D94">
        <f>(COUNTIF(GamesDay2[Pass / Fail Team D2],"P")+COUNTIF(GamesDay2[Pass / Fail Team D2],"F")+COUNTIF(GamesDay2[Pass / Fail Team D2],"E"))*0.5</f>
        <v>0</v>
      </c>
      <c r="E94">
        <f>COUNTIF(GamesDay2[Pass / Fail Team D2],"FEO")*0.5</f>
        <v>0</v>
      </c>
      <c r="F94" s="52">
        <f t="shared" si="2"/>
        <v>0</v>
      </c>
      <c r="G94" s="52">
        <f t="shared" si="3"/>
        <v>0</v>
      </c>
      <c r="H94" s="201"/>
      <c r="K94" s="23"/>
    </row>
    <row r="95" spans="1:11" x14ac:dyDescent="0.25">
      <c r="D95">
        <f>SUBTOTAL(109,Table47[Number of Runs])</f>
        <v>0</v>
      </c>
      <c r="E95">
        <f>SUBTOTAL(109,Table47[Number of FEO''s])</f>
        <v>0</v>
      </c>
      <c r="F95" s="278">
        <f>SUBTOTAL(109,Table47[Judging Fee])</f>
        <v>0</v>
      </c>
      <c r="G95" s="278">
        <f>SUBTOTAL(109,Table47[Sdda Fees])</f>
        <v>0</v>
      </c>
      <c r="H95" s="202"/>
      <c r="K95" s="23"/>
    </row>
    <row r="96" spans="1:11" x14ac:dyDescent="0.25">
      <c r="F96" s="153"/>
      <c r="G96" s="153"/>
      <c r="H96" s="202"/>
      <c r="K96" s="23"/>
    </row>
    <row r="97" spans="1:20" x14ac:dyDescent="0.25">
      <c r="F97" s="153"/>
      <c r="G97" s="153"/>
      <c r="H97" s="202"/>
      <c r="K97" s="23"/>
    </row>
    <row r="98" spans="1:20" ht="18" thickBot="1" x14ac:dyDescent="0.3">
      <c r="A98" s="232" t="s">
        <v>10142</v>
      </c>
      <c r="B98" s="231"/>
      <c r="C98" s="231"/>
      <c r="F98" s="153"/>
      <c r="G98" s="153"/>
      <c r="H98" s="202"/>
      <c r="K98" s="23"/>
    </row>
    <row r="99" spans="1:20" ht="15.75" thickTop="1" x14ac:dyDescent="0.25">
      <c r="A99" s="205" cm="1">
        <f t="array" ref="A99">LOOKUP(2,1/'SDDA Dogs'!A:A,'SDDA Dogs'!A:A)</f>
        <v>7331</v>
      </c>
      <c r="B99" s="205"/>
      <c r="C99" s="205"/>
      <c r="F99" s="153"/>
      <c r="G99" s="153"/>
      <c r="H99" s="202"/>
      <c r="K99" s="23"/>
    </row>
    <row r="100" spans="1:20" x14ac:dyDescent="0.25">
      <c r="A100" s="236"/>
      <c r="B100" s="237"/>
      <c r="C100" s="238"/>
      <c r="L100" s="23"/>
    </row>
    <row r="101" spans="1:20" ht="30" x14ac:dyDescent="0.25">
      <c r="A101" s="236" t="s">
        <v>15931</v>
      </c>
      <c r="B101" s="339"/>
      <c r="C101" s="340"/>
      <c r="D101" s="340"/>
      <c r="L101" s="23"/>
    </row>
    <row r="102" spans="1:20" x14ac:dyDescent="0.25">
      <c r="A102" s="236"/>
      <c r="B102" s="237"/>
      <c r="C102" s="238"/>
      <c r="L102" s="23"/>
    </row>
    <row r="103" spans="1:20" x14ac:dyDescent="0.25">
      <c r="A103" s="236"/>
      <c r="B103" s="237"/>
      <c r="C103" s="238"/>
      <c r="L103" s="23"/>
    </row>
    <row r="104" spans="1:20" x14ac:dyDescent="0.25">
      <c r="A104" s="236"/>
      <c r="B104" s="237"/>
      <c r="C104" s="238"/>
      <c r="L104" s="23"/>
    </row>
    <row r="105" spans="1:20" x14ac:dyDescent="0.25">
      <c r="A105" s="233"/>
      <c r="B105" s="234"/>
      <c r="C105" s="235"/>
      <c r="L105" s="23"/>
    </row>
    <row r="106" spans="1:20" x14ac:dyDescent="0.25">
      <c r="A106" s="233"/>
      <c r="B106" s="234"/>
      <c r="C106" s="235"/>
      <c r="E106" s="197"/>
      <c r="H106"/>
      <c r="I106" s="23"/>
      <c r="Q106" s="2"/>
      <c r="T106"/>
    </row>
    <row r="107" spans="1:20" x14ac:dyDescent="0.25">
      <c r="H107"/>
      <c r="J107" s="2"/>
      <c r="T107"/>
    </row>
    <row r="108" spans="1:20" x14ac:dyDescent="0.25">
      <c r="H108"/>
      <c r="J108" s="2"/>
      <c r="T108"/>
    </row>
    <row r="109" spans="1:20" x14ac:dyDescent="0.25">
      <c r="H109"/>
      <c r="J109" s="2"/>
      <c r="T109"/>
    </row>
    <row r="110" spans="1:20" x14ac:dyDescent="0.25">
      <c r="H110"/>
      <c r="J110" s="2"/>
      <c r="T110"/>
    </row>
    <row r="111" spans="1:20" x14ac:dyDescent="0.25">
      <c r="H111"/>
      <c r="J111" s="2"/>
      <c r="T111"/>
    </row>
    <row r="112" spans="1:20" x14ac:dyDescent="0.25">
      <c r="H112"/>
      <c r="J112" s="2"/>
      <c r="T112"/>
    </row>
    <row r="113" spans="8:20" x14ac:dyDescent="0.25">
      <c r="H113"/>
      <c r="J113" s="2"/>
      <c r="T113"/>
    </row>
    <row r="114" spans="8:20" x14ac:dyDescent="0.25">
      <c r="H114"/>
      <c r="J114" s="2"/>
      <c r="T114"/>
    </row>
    <row r="115" spans="8:20" x14ac:dyDescent="0.25">
      <c r="H115"/>
      <c r="J115" s="2"/>
      <c r="T115"/>
    </row>
    <row r="116" spans="8:20" x14ac:dyDescent="0.25">
      <c r="H116"/>
      <c r="J116" s="2"/>
      <c r="T116"/>
    </row>
    <row r="117" spans="8:20" x14ac:dyDescent="0.25">
      <c r="H117"/>
      <c r="J117" s="2"/>
      <c r="T117"/>
    </row>
    <row r="118" spans="8:20" x14ac:dyDescent="0.25">
      <c r="H118"/>
      <c r="J118" s="2"/>
      <c r="T118"/>
    </row>
    <row r="119" spans="8:20" x14ac:dyDescent="0.25">
      <c r="H119"/>
      <c r="J119" s="2"/>
      <c r="T119"/>
    </row>
    <row r="120" spans="8:20" x14ac:dyDescent="0.25">
      <c r="H120"/>
      <c r="J120" s="2"/>
      <c r="T120"/>
    </row>
    <row r="121" spans="8:20" x14ac:dyDescent="0.25">
      <c r="H121"/>
      <c r="J121" s="2"/>
      <c r="T121"/>
    </row>
    <row r="122" spans="8:20" x14ac:dyDescent="0.25">
      <c r="H122"/>
      <c r="J122" s="2"/>
      <c r="T122"/>
    </row>
    <row r="123" spans="8:20" x14ac:dyDescent="0.25">
      <c r="H123"/>
      <c r="J123" s="2"/>
      <c r="T123"/>
    </row>
    <row r="124" spans="8:20" x14ac:dyDescent="0.25">
      <c r="H124"/>
      <c r="J124" s="2"/>
      <c r="T124"/>
    </row>
    <row r="125" spans="8:20" x14ac:dyDescent="0.25">
      <c r="H125"/>
      <c r="J125" s="2"/>
      <c r="T125"/>
    </row>
    <row r="126" spans="8:20" x14ac:dyDescent="0.25">
      <c r="H126"/>
      <c r="J126" s="2"/>
      <c r="T126"/>
    </row>
    <row r="127" spans="8:20" x14ac:dyDescent="0.25">
      <c r="H127"/>
      <c r="J127" s="2"/>
      <c r="T127"/>
    </row>
    <row r="128" spans="8:20" x14ac:dyDescent="0.25">
      <c r="H128"/>
      <c r="J128" s="2"/>
      <c r="T128"/>
    </row>
    <row r="129" spans="8:20" x14ac:dyDescent="0.25">
      <c r="H129"/>
      <c r="J129" s="2"/>
      <c r="T129"/>
    </row>
    <row r="130" spans="8:20" x14ac:dyDescent="0.25">
      <c r="H130"/>
      <c r="J130" s="2"/>
      <c r="T130"/>
    </row>
    <row r="131" spans="8:20" x14ac:dyDescent="0.25">
      <c r="H131"/>
      <c r="J131" s="2"/>
      <c r="T131"/>
    </row>
    <row r="132" spans="8:20" x14ac:dyDescent="0.25">
      <c r="H132"/>
      <c r="J132" s="2"/>
      <c r="T132"/>
    </row>
    <row r="133" spans="8:20" x14ac:dyDescent="0.25">
      <c r="H133"/>
      <c r="J133" s="2"/>
      <c r="T133"/>
    </row>
    <row r="134" spans="8:20" x14ac:dyDescent="0.25">
      <c r="H134"/>
      <c r="J134" s="2"/>
      <c r="T134"/>
    </row>
    <row r="135" spans="8:20" x14ac:dyDescent="0.25">
      <c r="H135"/>
      <c r="J135" s="2"/>
      <c r="T135"/>
    </row>
    <row r="136" spans="8:20" x14ac:dyDescent="0.25">
      <c r="H136"/>
      <c r="J136" s="2"/>
      <c r="T136"/>
    </row>
    <row r="137" spans="8:20" x14ac:dyDescent="0.25">
      <c r="H137"/>
      <c r="J137" s="2"/>
      <c r="T137"/>
    </row>
    <row r="138" spans="8:20" x14ac:dyDescent="0.25">
      <c r="H138"/>
      <c r="J138" s="2"/>
      <c r="T138"/>
    </row>
    <row r="139" spans="8:20" x14ac:dyDescent="0.25">
      <c r="H139"/>
      <c r="J139" s="2"/>
      <c r="T139"/>
    </row>
    <row r="140" spans="8:20" x14ac:dyDescent="0.25">
      <c r="H140"/>
      <c r="J140" s="2"/>
      <c r="T140"/>
    </row>
    <row r="141" spans="8:20" x14ac:dyDescent="0.25">
      <c r="H141"/>
      <c r="J141" s="2"/>
      <c r="T141"/>
    </row>
    <row r="142" spans="8:20" x14ac:dyDescent="0.25">
      <c r="H142"/>
      <c r="J142" s="2"/>
      <c r="T142"/>
    </row>
    <row r="143" spans="8:20" x14ac:dyDescent="0.25">
      <c r="H143"/>
      <c r="J143" s="2"/>
      <c r="T143"/>
    </row>
    <row r="144" spans="8:20" x14ac:dyDescent="0.25">
      <c r="H144"/>
      <c r="J144" s="2"/>
      <c r="T144"/>
    </row>
    <row r="145" spans="5:20" x14ac:dyDescent="0.25">
      <c r="H145"/>
      <c r="J145" s="2"/>
      <c r="T145"/>
    </row>
    <row r="146" spans="5:20" x14ac:dyDescent="0.25">
      <c r="H146"/>
      <c r="J146" s="2"/>
      <c r="T146"/>
    </row>
    <row r="147" spans="5:20" x14ac:dyDescent="0.25">
      <c r="H147"/>
      <c r="J147" s="2"/>
      <c r="T147"/>
    </row>
    <row r="148" spans="5:20" x14ac:dyDescent="0.25">
      <c r="H148"/>
      <c r="J148" s="2"/>
      <c r="T148"/>
    </row>
    <row r="149" spans="5:20" x14ac:dyDescent="0.25">
      <c r="H149"/>
      <c r="J149" s="2"/>
      <c r="T149"/>
    </row>
    <row r="150" spans="5:20" x14ac:dyDescent="0.25">
      <c r="H150"/>
      <c r="J150" s="2"/>
      <c r="T150"/>
    </row>
    <row r="151" spans="5:20" x14ac:dyDescent="0.25">
      <c r="H151"/>
      <c r="J151" s="2"/>
      <c r="T151"/>
    </row>
    <row r="152" spans="5:20" x14ac:dyDescent="0.25">
      <c r="E152" s="197"/>
      <c r="H152"/>
      <c r="Q152" s="2"/>
      <c r="T152"/>
    </row>
    <row r="153" spans="5:20" x14ac:dyDescent="0.25">
      <c r="E153" s="197"/>
      <c r="H153"/>
      <c r="Q153" s="2"/>
      <c r="T153"/>
    </row>
    <row r="154" spans="5:20" x14ac:dyDescent="0.25">
      <c r="E154" s="197"/>
      <c r="H154"/>
      <c r="Q154" s="2"/>
      <c r="T154"/>
    </row>
    <row r="155" spans="5:20" x14ac:dyDescent="0.25">
      <c r="E155" s="197"/>
      <c r="H155"/>
      <c r="Q155" s="2"/>
      <c r="T155"/>
    </row>
  </sheetData>
  <sheetProtection algorithmName="SHA-512" hashValue="0mpSi379fut62KZPUvbwHh549Y7UnqgmtsFSQ4WVnHQBd65cGC2JFdYub3dj+PdtE8pa+tBSTffY+JPmkNI4+g==" saltValue="gWxBcd7jBagg++h/QjPiaQ==" spinCount="100000" sheet="1" selectLockedCells="1"/>
  <mergeCells count="17">
    <mergeCell ref="G3:J3"/>
    <mergeCell ref="G4:J4"/>
    <mergeCell ref="S8:S15"/>
    <mergeCell ref="T8:T19"/>
    <mergeCell ref="A61:G61"/>
    <mergeCell ref="A27:E27"/>
    <mergeCell ref="A44:E44"/>
    <mergeCell ref="S18:S23"/>
    <mergeCell ref="B101:D101"/>
    <mergeCell ref="A2:E2"/>
    <mergeCell ref="A4:E4"/>
    <mergeCell ref="D6:E19"/>
    <mergeCell ref="A3:E3"/>
    <mergeCell ref="D28:E28"/>
    <mergeCell ref="D29:E29"/>
    <mergeCell ref="D45:E45"/>
    <mergeCell ref="D46:E46"/>
  </mergeCells>
  <conditionalFormatting sqref="G9:G35">
    <cfRule type="expression" dxfId="201" priority="3">
      <formula>(OR($I9="fail",$J9="fail"))</formula>
    </cfRule>
  </conditionalFormatting>
  <conditionalFormatting sqref="G37:G38">
    <cfRule type="expression" dxfId="200" priority="305">
      <formula>$J18="fail"</formula>
    </cfRule>
  </conditionalFormatting>
  <conditionalFormatting sqref="G38:G40">
    <cfRule type="expression" dxfId="199" priority="328">
      <formula>$J21="fail"</formula>
    </cfRule>
  </conditionalFormatting>
  <conditionalFormatting sqref="G41:G43">
    <cfRule type="expression" dxfId="198" priority="339">
      <formula>$J25="fail"</formula>
    </cfRule>
  </conditionalFormatting>
  <conditionalFormatting sqref="G44:G47">
    <cfRule type="expression" dxfId="197" priority="345">
      <formula>$J29="fail"</formula>
    </cfRule>
  </conditionalFormatting>
  <conditionalFormatting sqref="G48">
    <cfRule type="expression" dxfId="196" priority="367">
      <formula>$J34="fail"</formula>
    </cfRule>
  </conditionalFormatting>
  <conditionalFormatting sqref="G6:H8">
    <cfRule type="expression" dxfId="195" priority="298">
      <formula>$H6="fail"</formula>
    </cfRule>
  </conditionalFormatting>
  <conditionalFormatting sqref="I9:I13 J10 I16:I18 I21:I23 I25:I27 I29:I32 I34:I35">
    <cfRule type="expression" dxfId="194" priority="281">
      <formula>(OR($I9="fail",$J9="fail"))</formula>
    </cfRule>
  </conditionalFormatting>
  <conditionalFormatting sqref="I14">
    <cfRule type="expression" dxfId="193" priority="290">
      <formula>$I14&lt;&gt;""</formula>
    </cfRule>
  </conditionalFormatting>
  <conditionalFormatting sqref="I19">
    <cfRule type="expression" dxfId="192" priority="4">
      <formula>$I19&lt;&gt;""</formula>
    </cfRule>
  </conditionalFormatting>
  <conditionalFormatting sqref="I15:J15">
    <cfRule type="expression" dxfId="191" priority="16">
      <formula>$I15="fail"</formula>
    </cfRule>
  </conditionalFormatting>
  <conditionalFormatting sqref="I20:J20 I24:J24 I28:J28">
    <cfRule type="expression" dxfId="190" priority="18">
      <formula>$I20="fail"</formula>
    </cfRule>
  </conditionalFormatting>
  <conditionalFormatting sqref="I33:J34">
    <cfRule type="expression" dxfId="189" priority="1">
      <formula>$I33="fail"</formula>
    </cfRule>
  </conditionalFormatting>
  <conditionalFormatting sqref="J9 J11:J13 J16:J18 J21:J23 J25:J27 J29:J32 J34:J35">
    <cfRule type="expression" dxfId="188" priority="292">
      <formula>$J9="fail"</formula>
    </cfRule>
  </conditionalFormatting>
  <dataValidations count="6">
    <dataValidation type="custom" allowBlank="1" showInputMessage="1" showErrorMessage="1" sqref="B8" xr:uid="{00000000-0002-0000-0000-000001000000}">
      <formula1>OR(B8="Y",B8="N")</formula1>
    </dataValidation>
    <dataValidation type="whole" allowBlank="1" showInputMessage="1" showErrorMessage="1" errorTitle="Trial Fee" error="Only whole numbers between 0 and 100 are permissable" sqref="B17 B19:B25" xr:uid="{00000000-0002-0000-0000-000002000000}">
      <formula1>0</formula1>
      <formula2>100</formula2>
    </dataValidation>
    <dataValidation type="whole" allowBlank="1" showInputMessage="1" showErrorMessage="1" errorTitle="Trial Fee" error="Only whole numbers between 0 and 100 are permissable" sqref="B18" xr:uid="{00000000-0002-0000-0000-000003000000}">
      <formula1>0</formula1>
      <formula2>200</formula2>
    </dataValidation>
    <dataValidation type="list" allowBlank="1" showInputMessage="1" showErrorMessage="1" sqref="G4" xr:uid="{00000000-0002-0000-0000-000005000000}">
      <formula1>"Yes,No"</formula1>
    </dataValidation>
    <dataValidation type="list" allowBlank="1" showInputMessage="1" showErrorMessage="1" sqref="B1" xr:uid="{D562A85E-BB45-4F55-ADA0-AB94C6013286}">
      <formula1>"kim_o,Owner"</formula1>
    </dataValidation>
    <dataValidation type="date" allowBlank="1" showInputMessage="1" showErrorMessage="1" sqref="B29 B46" xr:uid="{1D53C1B8-363E-4DDF-9119-160799478CD5}">
      <formula1>46023</formula1>
      <formula2>51135</formula2>
    </dataValidation>
  </dataValidations>
  <printOptions horizontalCentered="1"/>
  <pageMargins left="0.7" right="0.7" top="0.75" bottom="0.75" header="0.3" footer="0.3"/>
  <pageSetup orientation="portrait" r:id="rId1"/>
  <headerFooter>
    <oddFooter>&amp;L&amp;8The use of this workbook is at the sole discretion of the trial organizer.  SDDA or its agents shall not be held liable for any errors in the data.</oddFooter>
  </headerFooter>
  <ignoredErrors>
    <ignoredError sqref="D45:D46 D28:D29 B29 B46" unlockedFormula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6000000}">
          <x14:formula1>
            <xm:f>Judges!$A$2:$A$44</xm:f>
          </x14:formula1>
          <xm:sqref>B63:B94 B31:D34 B48:D51</xm:sqref>
        </x14:dataValidation>
        <x14:dataValidation type="list" allowBlank="1" showInputMessage="1" showErrorMessage="1" errorTitle="Trial Number" error="The Trial number should be found in the list of future trials.  If it is not found, send an email to your SDDA data management team." xr:uid="{EA48D9FE-59C6-4F0F-B8CE-C44490F0741F}">
          <x14:formula1>
            <xm:f>'Processed and Future Trials'!$G$3:$G$260</xm:f>
          </x14:formula1>
          <xm:sqref>B45 B28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S204"/>
  <sheetViews>
    <sheetView topLeftCell="A27" zoomScale="55" zoomScaleNormal="55" zoomScalePageLayoutView="70" workbookViewId="0">
      <selection activeCell="A205" sqref="A205"/>
    </sheetView>
  </sheetViews>
  <sheetFormatPr defaultColWidth="10.7109375" defaultRowHeight="30" customHeight="1" x14ac:dyDescent="0.4"/>
  <cols>
    <col min="1" max="1" width="8.85546875" style="42" customWidth="1"/>
    <col min="2" max="2" width="15.28515625" style="42" customWidth="1"/>
    <col min="3" max="3" width="10.85546875" style="42" hidden="1" customWidth="1"/>
    <col min="4" max="6" width="14" style="42" customWidth="1"/>
    <col min="7" max="7" width="15.140625" style="42" customWidth="1"/>
    <col min="8" max="8" width="50.85546875" style="43" customWidth="1"/>
    <col min="9" max="9" width="29.28515625" style="43" customWidth="1"/>
    <col min="10" max="10" width="10.710937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19" ht="30" customHeight="1" x14ac:dyDescent="0.4">
      <c r="A2" s="402" t="s">
        <v>1143</v>
      </c>
      <c r="B2" s="402"/>
      <c r="C2" s="43"/>
      <c r="D2" s="403" t="s">
        <v>2042</v>
      </c>
      <c r="E2" s="403"/>
      <c r="F2" s="403"/>
      <c r="G2" s="403"/>
      <c r="H2" s="403"/>
      <c r="I2" s="403"/>
      <c r="K2" s="23" t="s">
        <v>1143</v>
      </c>
      <c r="L2" s="403" t="s">
        <v>2540</v>
      </c>
      <c r="M2" s="403"/>
      <c r="N2" s="403"/>
      <c r="O2" s="403"/>
      <c r="P2" s="403"/>
      <c r="Q2" s="403"/>
      <c r="R2" s="403"/>
      <c r="S2" s="403"/>
    </row>
    <row r="3" spans="1:19" s="44" customFormat="1" ht="54" customHeight="1" x14ac:dyDescent="0.4">
      <c r="A3" s="67" t="s">
        <v>605</v>
      </c>
      <c r="B3" s="67" t="s">
        <v>1139</v>
      </c>
      <c r="C3" s="68" t="s">
        <v>1140</v>
      </c>
      <c r="D3" s="67" t="s">
        <v>1142</v>
      </c>
      <c r="E3" s="67" t="s">
        <v>1135</v>
      </c>
      <c r="F3" s="67" t="s">
        <v>1188</v>
      </c>
      <c r="G3" s="67" t="s">
        <v>1136</v>
      </c>
      <c r="H3" s="69" t="s">
        <v>1207</v>
      </c>
      <c r="I3" s="69" t="s">
        <v>1137</v>
      </c>
      <c r="K3" s="67" t="s">
        <v>605</v>
      </c>
      <c r="L3" s="67" t="s">
        <v>2493</v>
      </c>
      <c r="M3" s="67" t="s">
        <v>2494</v>
      </c>
      <c r="N3" s="67" t="s">
        <v>1142</v>
      </c>
      <c r="O3" s="67" t="s">
        <v>1135</v>
      </c>
      <c r="P3" s="67" t="s">
        <v>1188</v>
      </c>
      <c r="Q3" s="67" t="s">
        <v>1136</v>
      </c>
      <c r="R3" s="69" t="s">
        <v>1207</v>
      </c>
      <c r="S3" s="69" t="s">
        <v>1137</v>
      </c>
    </row>
    <row r="4" spans="1:19" ht="30" customHeight="1" x14ac:dyDescent="0.45">
      <c r="A4" s="49">
        <v>1</v>
      </c>
      <c r="B4" s="49" t="str">
        <f>IF(OR(VLOOKUP(Table19315[[#This Row],[Ln'#]],Elite!A$5:AV$34,6,FALSE)="E",VLOOKUP(Table19315[[#This Row],[Ln'#]],Elite!A$5:AV$34,6,FALSE)="FEO"),"Entered or FEO","Not Entered")</f>
        <v>Not Entered</v>
      </c>
      <c r="C4" s="50" t="str">
        <f t="shared" ref="C4:C33" ca="1" si="0">IF(OR(B4="e",B4="FEO"),RAND(),"")</f>
        <v/>
      </c>
      <c r="D4" s="48"/>
      <c r="E4" s="48"/>
      <c r="F4" s="48"/>
      <c r="G4" s="48" t="str">
        <f>IF(Table19315[[#This Row],[Status]]="Not Entered","",VLOOKUP(Table19315[[#This Row],[Ln'#]],Elite!$A$5:$AT$34,3,FALSE))</f>
        <v/>
      </c>
      <c r="H4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4" s="51" t="str">
        <f>IF(Table19315[[#This Row],[Status]]="Not Entered","",VLOOKUP(Table19315[[#This Row],[Ln'#]],Elite!$A$5:$AT$34,46,FALSE))</f>
        <v/>
      </c>
      <c r="K4" s="49">
        <v>1</v>
      </c>
      <c r="L4" s="144" t="str">
        <f>IF(OR(VLOOKUP(Table131342941[[#This Row],[Ln'#]],Elite!A$5:AT$34,6,FALSE)="E",VLOOKUP(Table131342941[[#This Row],[Ln'#]],Elite!A$5:AT$34,6,FALSE)="FEO"),"x","")</f>
        <v/>
      </c>
      <c r="M4" s="144" t="str">
        <f>IF(OR(VLOOKUP(Table131342941[[#This Row],[Ln'#]],Elite!A$5:AT$34,14,FALSE)="E",VLOOKUP(Table131342941[[#This Row],[Ln'#]],Elite!A$5:AT$34,14,FALSE)="FEO"),"x","")</f>
        <v/>
      </c>
      <c r="N4" s="48"/>
      <c r="O4" s="48"/>
      <c r="P4" s="48"/>
      <c r="Q4" s="48" t="str">
        <f>IF(AND(Table131342941[[#This Row],[Status Container]]="",Table131342941[[#This Row],[Status Interior]]=""),"",VLOOKUP(Table131342941[[#This Row],[Ln'#]],Elite!$A$5:$AT$34,3,FALSE))</f>
        <v/>
      </c>
      <c r="R4" s="51" t="str">
        <f>IF(Table131342941[[#This Row],[Dog ID]]="","",(VLOOKUP(Table131342941[[#This Row],[Dog ID]],Elite!C$5:$D$34,2,FALSE)&amp;" - " &amp;VLOOKUP(Table131342941[[#This Row],[Dog ID]],'SDDA Dogs'!A:C,3,FALSE)))</f>
        <v/>
      </c>
      <c r="S4" s="51" t="str">
        <f>IF(Table131342941[[#This Row],[Dog ID]]="","",(VLOOKUP(Table131342941[[#This Row],[Dog ID]],Elite!C$5:$AT34,44,FALSE)))</f>
        <v/>
      </c>
    </row>
    <row r="5" spans="1:19" ht="30" customHeight="1" x14ac:dyDescent="0.45">
      <c r="A5" s="49">
        <v>2</v>
      </c>
      <c r="B5" s="49" t="str">
        <f>IF(OR(VLOOKUP(Table19315[[#This Row],[Ln'#]],Elite!A$5:AV$34,6,FALSE)="E",VLOOKUP(Table19315[[#This Row],[Ln'#]],Elite!A$5:AV$34,6,FALSE)="FEO"),"Entered or FEO","Not Entered")</f>
        <v>Not Entered</v>
      </c>
      <c r="C5" s="50" t="str">
        <f t="shared" ca="1" si="0"/>
        <v/>
      </c>
      <c r="D5" s="48"/>
      <c r="E5" s="48"/>
      <c r="F5" s="48"/>
      <c r="G5" s="48" t="str">
        <f>IF(Table19315[[#This Row],[Status]]="Not Entered","",VLOOKUP(Table19315[[#This Row],[Ln'#]],Elite!$A$5:$AT$34,3,FALSE))</f>
        <v/>
      </c>
      <c r="H5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5" s="51" t="str">
        <f>IF(Table19315[[#This Row],[Status]]="Not Entered","",VLOOKUP(Table19315[[#This Row],[Ln'#]],Elite!$A$5:$AT$34,46,FALSE))</f>
        <v/>
      </c>
      <c r="K5" s="49">
        <v>2</v>
      </c>
      <c r="L5" s="144" t="str">
        <f>IF(OR(VLOOKUP(Table131342941[[#This Row],[Ln'#]],Elite!A$5:AT$34,6,FALSE)="E",VLOOKUP(Table131342941[[#This Row],[Ln'#]],Elite!A$5:AT$34,6,FALSE)="FEO"),"x","")</f>
        <v/>
      </c>
      <c r="M5" s="144" t="str">
        <f>IF(OR(VLOOKUP(Table131342941[[#This Row],[Ln'#]],Elite!A$5:AT$34,14,FALSE)="E",VLOOKUP(Table131342941[[#This Row],[Ln'#]],Elite!A$5:AT$34,14,FALSE)="FEO"),"x","")</f>
        <v/>
      </c>
      <c r="N5" s="48"/>
      <c r="O5" s="48"/>
      <c r="P5" s="48"/>
      <c r="Q5" s="48" t="str">
        <f>IF(AND(Table131342941[[#This Row],[Status Container]]="",Table131342941[[#This Row],[Status Interior]]=""),"",VLOOKUP(Table131342941[[#This Row],[Ln'#]],Elite!$A$5:$AT$34,3,FALSE))</f>
        <v/>
      </c>
      <c r="R5" s="51" t="str">
        <f>IF(Table131342941[[#This Row],[Dog ID]]="","",(VLOOKUP(Table131342941[[#This Row],[Dog ID]],Elite!C$5:$D$34,2,FALSE)&amp;" - " &amp;VLOOKUP(Table131342941[[#This Row],[Dog ID]],'SDDA Dogs'!A:C,3,FALSE)))</f>
        <v/>
      </c>
      <c r="S5" s="51" t="str">
        <f>IF(Table131342941[[#This Row],[Dog ID]]="","",(VLOOKUP(Table131342941[[#This Row],[Dog ID]],Elite!C$5:$AT35,44,FALSE)))</f>
        <v/>
      </c>
    </row>
    <row r="6" spans="1:19" ht="30" customHeight="1" x14ac:dyDescent="0.45">
      <c r="A6" s="49">
        <v>3</v>
      </c>
      <c r="B6" s="49" t="str">
        <f>IF(OR(VLOOKUP(Table19315[[#This Row],[Ln'#]],Elite!A$5:AV$34,6,FALSE)="E",VLOOKUP(Table19315[[#This Row],[Ln'#]],Elite!A$5:AV$34,6,FALSE)="FEO"),"Entered or FEO","Not Entered")</f>
        <v>Not Entered</v>
      </c>
      <c r="C6" s="50" t="str">
        <f t="shared" ca="1" si="0"/>
        <v/>
      </c>
      <c r="D6" s="48"/>
      <c r="E6" s="48"/>
      <c r="F6" s="48"/>
      <c r="G6" s="48" t="str">
        <f>IF(Table19315[[#This Row],[Status]]="Not Entered","",VLOOKUP(Table19315[[#This Row],[Ln'#]],Elite!$A$5:$AT$34,3,FALSE))</f>
        <v/>
      </c>
      <c r="H6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6" s="51" t="str">
        <f>IF(Table19315[[#This Row],[Status]]="Not Entered","",VLOOKUP(Table19315[[#This Row],[Ln'#]],Elite!$A$5:$AT$34,46,FALSE))</f>
        <v/>
      </c>
      <c r="K6" s="49">
        <v>3</v>
      </c>
      <c r="L6" s="144" t="str">
        <f>IF(OR(VLOOKUP(Table131342941[[#This Row],[Ln'#]],Elite!A$5:AT$34,6,FALSE)="E",VLOOKUP(Table131342941[[#This Row],[Ln'#]],Elite!A$5:AT$34,6,FALSE)="FEO"),"x","")</f>
        <v/>
      </c>
      <c r="M6" s="144" t="str">
        <f>IF(OR(VLOOKUP(Table131342941[[#This Row],[Ln'#]],Elite!A$5:AT$34,14,FALSE)="E",VLOOKUP(Table131342941[[#This Row],[Ln'#]],Elite!A$5:AT$34,14,FALSE)="FEO"),"x","")</f>
        <v/>
      </c>
      <c r="N6" s="48"/>
      <c r="O6" s="48"/>
      <c r="P6" s="48"/>
      <c r="Q6" s="48" t="str">
        <f>IF(AND(Table131342941[[#This Row],[Status Container]]="",Table131342941[[#This Row],[Status Interior]]=""),"",VLOOKUP(Table131342941[[#This Row],[Ln'#]],Elite!$A$5:$AT$34,3,FALSE))</f>
        <v/>
      </c>
      <c r="R6" s="51" t="str">
        <f>IF(Table131342941[[#This Row],[Dog ID]]="","",(VLOOKUP(Table131342941[[#This Row],[Dog ID]],Elite!C$5:$D$34,2,FALSE)&amp;" - " &amp;VLOOKUP(Table131342941[[#This Row],[Dog ID]],'SDDA Dogs'!A:C,3,FALSE)))</f>
        <v/>
      </c>
      <c r="S6" s="51" t="str">
        <f>IF(Table131342941[[#This Row],[Dog ID]]="","",(VLOOKUP(Table131342941[[#This Row],[Dog ID]],Elite!C$5:$AT36,44,FALSE)))</f>
        <v/>
      </c>
    </row>
    <row r="7" spans="1:19" ht="30" customHeight="1" x14ac:dyDescent="0.45">
      <c r="A7" s="49">
        <v>4</v>
      </c>
      <c r="B7" s="49" t="str">
        <f>IF(OR(VLOOKUP(Table19315[[#This Row],[Ln'#]],Elite!A$5:AV$34,6,FALSE)="E",VLOOKUP(Table19315[[#This Row],[Ln'#]],Elite!A$5:AV$34,6,FALSE)="FEO"),"Entered or FEO","Not Entered")</f>
        <v>Not Entered</v>
      </c>
      <c r="C7" s="50" t="str">
        <f t="shared" ca="1" si="0"/>
        <v/>
      </c>
      <c r="D7" s="48"/>
      <c r="E7" s="48"/>
      <c r="F7" s="48"/>
      <c r="G7" s="48" t="str">
        <f>IF(Table19315[[#This Row],[Status]]="Not Entered","",VLOOKUP(Table19315[[#This Row],[Ln'#]],Elite!$A$5:$AT$34,3,FALSE))</f>
        <v/>
      </c>
      <c r="H7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7" s="51" t="str">
        <f>IF(Table19315[[#This Row],[Status]]="Not Entered","",VLOOKUP(Table19315[[#This Row],[Ln'#]],Elite!$A$5:$AT$34,46,FALSE))</f>
        <v/>
      </c>
      <c r="K7" s="49">
        <v>4</v>
      </c>
      <c r="L7" s="144" t="str">
        <f>IF(OR(VLOOKUP(Table131342941[[#This Row],[Ln'#]],Elite!A$5:AT$34,6,FALSE)="E",VLOOKUP(Table131342941[[#This Row],[Ln'#]],Elite!A$5:AT$34,6,FALSE)="FEO"),"x","")</f>
        <v/>
      </c>
      <c r="M7" s="144" t="str">
        <f>IF(OR(VLOOKUP(Table131342941[[#This Row],[Ln'#]],Elite!A$5:AT$34,14,FALSE)="E",VLOOKUP(Table131342941[[#This Row],[Ln'#]],Elite!A$5:AT$34,14,FALSE)="FEO"),"x","")</f>
        <v/>
      </c>
      <c r="N7" s="48"/>
      <c r="O7" s="48"/>
      <c r="P7" s="48"/>
      <c r="Q7" s="48" t="str">
        <f>IF(AND(Table131342941[[#This Row],[Status Container]]="",Table131342941[[#This Row],[Status Interior]]=""),"",VLOOKUP(Table131342941[[#This Row],[Ln'#]],Elite!$A$5:$AT$34,3,FALSE))</f>
        <v/>
      </c>
      <c r="R7" s="51" t="str">
        <f>IF(Table131342941[[#This Row],[Dog ID]]="","",(VLOOKUP(Table131342941[[#This Row],[Dog ID]],Elite!C$5:$D$34,2,FALSE)&amp;" - " &amp;VLOOKUP(Table131342941[[#This Row],[Dog ID]],'SDDA Dogs'!A:C,3,FALSE)))</f>
        <v/>
      </c>
      <c r="S7" s="51" t="str">
        <f>IF(Table131342941[[#This Row],[Dog ID]]="","",(VLOOKUP(Table131342941[[#This Row],[Dog ID]],Elite!C$5:$AT37,44,FALSE)))</f>
        <v/>
      </c>
    </row>
    <row r="8" spans="1:19" ht="30" customHeight="1" x14ac:dyDescent="0.45">
      <c r="A8" s="49">
        <v>5</v>
      </c>
      <c r="B8" s="49" t="str">
        <f>IF(OR(VLOOKUP(Table19315[[#This Row],[Ln'#]],Elite!A$5:AV$34,6,FALSE)="E",VLOOKUP(Table19315[[#This Row],[Ln'#]],Elite!A$5:AV$34,6,FALSE)="FEO"),"Entered or FEO","Not Entered")</f>
        <v>Not Entered</v>
      </c>
      <c r="C8" s="50" t="str">
        <f t="shared" ca="1" si="0"/>
        <v/>
      </c>
      <c r="D8" s="48"/>
      <c r="E8" s="48"/>
      <c r="F8" s="48"/>
      <c r="G8" s="48" t="str">
        <f>IF(Table19315[[#This Row],[Status]]="Not Entered","",VLOOKUP(Table19315[[#This Row],[Ln'#]],Elite!$A$5:$AT$34,3,FALSE))</f>
        <v/>
      </c>
      <c r="H8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8" s="51" t="str">
        <f>IF(Table19315[[#This Row],[Status]]="Not Entered","",VLOOKUP(Table19315[[#This Row],[Ln'#]],Elite!$A$5:$AT$34,46,FALSE))</f>
        <v/>
      </c>
      <c r="K8" s="49">
        <v>5</v>
      </c>
      <c r="L8" s="144" t="str">
        <f>IF(OR(VLOOKUP(Table131342941[[#This Row],[Ln'#]],Elite!A$5:AT$34,6,FALSE)="E",VLOOKUP(Table131342941[[#This Row],[Ln'#]],Elite!A$5:AT$34,6,FALSE)="FEO"),"x","")</f>
        <v/>
      </c>
      <c r="M8" s="144" t="str">
        <f>IF(OR(VLOOKUP(Table131342941[[#This Row],[Ln'#]],Elite!A$5:AT$34,14,FALSE)="E",VLOOKUP(Table131342941[[#This Row],[Ln'#]],Elite!A$5:AT$34,14,FALSE)="FEO"),"x","")</f>
        <v/>
      </c>
      <c r="N8" s="48"/>
      <c r="O8" s="48"/>
      <c r="P8" s="48"/>
      <c r="Q8" s="48" t="str">
        <f>IF(AND(Table131342941[[#This Row],[Status Container]]="",Table131342941[[#This Row],[Status Interior]]=""),"",VLOOKUP(Table131342941[[#This Row],[Ln'#]],Elite!$A$5:$AT$34,3,FALSE))</f>
        <v/>
      </c>
      <c r="R8" s="51" t="str">
        <f>IF(Table131342941[[#This Row],[Dog ID]]="","",(VLOOKUP(Table131342941[[#This Row],[Dog ID]],Elite!C$5:$D$34,2,FALSE)&amp;" - " &amp;VLOOKUP(Table131342941[[#This Row],[Dog ID]],'SDDA Dogs'!A:C,3,FALSE)))</f>
        <v/>
      </c>
      <c r="S8" s="51" t="str">
        <f>IF(Table131342941[[#This Row],[Dog ID]]="","",(VLOOKUP(Table131342941[[#This Row],[Dog ID]],Elite!C$5:$AT38,44,FALSE)))</f>
        <v/>
      </c>
    </row>
    <row r="9" spans="1:19" ht="30" customHeight="1" x14ac:dyDescent="0.45">
      <c r="A9" s="49">
        <v>6</v>
      </c>
      <c r="B9" s="49" t="str">
        <f>IF(OR(VLOOKUP(Table19315[[#This Row],[Ln'#]],Elite!A$5:AV$34,6,FALSE)="E",VLOOKUP(Table19315[[#This Row],[Ln'#]],Elite!A$5:AV$34,6,FALSE)="FEO"),"Entered or FEO","Not Entered")</f>
        <v>Not Entered</v>
      </c>
      <c r="C9" s="50" t="str">
        <f t="shared" ca="1" si="0"/>
        <v/>
      </c>
      <c r="D9" s="48"/>
      <c r="E9" s="48"/>
      <c r="F9" s="48"/>
      <c r="G9" s="48" t="str">
        <f>IF(Table19315[[#This Row],[Status]]="Not Entered","",VLOOKUP(Table19315[[#This Row],[Ln'#]],Elite!$A$5:$AT$34,3,FALSE))</f>
        <v/>
      </c>
      <c r="H9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9" s="51" t="str">
        <f>IF(Table19315[[#This Row],[Status]]="Not Entered","",VLOOKUP(Table19315[[#This Row],[Ln'#]],Elite!$A$5:$AT$34,46,FALSE))</f>
        <v/>
      </c>
      <c r="K9" s="49">
        <v>6</v>
      </c>
      <c r="L9" s="144" t="str">
        <f>IF(OR(VLOOKUP(Table131342941[[#This Row],[Ln'#]],Elite!A$5:AT$34,6,FALSE)="E",VLOOKUP(Table131342941[[#This Row],[Ln'#]],Elite!A$5:AT$34,6,FALSE)="FEO"),"x","")</f>
        <v/>
      </c>
      <c r="M9" s="144" t="str">
        <f>IF(OR(VLOOKUP(Table131342941[[#This Row],[Ln'#]],Elite!A$5:AT$34,14,FALSE)="E",VLOOKUP(Table131342941[[#This Row],[Ln'#]],Elite!A$5:AT$34,14,FALSE)="FEO"),"x","")</f>
        <v/>
      </c>
      <c r="N9" s="48"/>
      <c r="O9" s="48"/>
      <c r="P9" s="48"/>
      <c r="Q9" s="48" t="str">
        <f>IF(AND(Table131342941[[#This Row],[Status Container]]="",Table131342941[[#This Row],[Status Interior]]=""),"",VLOOKUP(Table131342941[[#This Row],[Ln'#]],Elite!$A$5:$AT$34,3,FALSE))</f>
        <v/>
      </c>
      <c r="R9" s="51" t="str">
        <f>IF(Table131342941[[#This Row],[Dog ID]]="","",(VLOOKUP(Table131342941[[#This Row],[Dog ID]],Elite!C$5:$D$34,2,FALSE)&amp;" - " &amp;VLOOKUP(Table131342941[[#This Row],[Dog ID]],'SDDA Dogs'!A:C,3,FALSE)))</f>
        <v/>
      </c>
      <c r="S9" s="51" t="str">
        <f>IF(Table131342941[[#This Row],[Dog ID]]="","",(VLOOKUP(Table131342941[[#This Row],[Dog ID]],Elite!C$5:$AT39,44,FALSE)))</f>
        <v/>
      </c>
    </row>
    <row r="10" spans="1:19" ht="30" customHeight="1" x14ac:dyDescent="0.45">
      <c r="A10" s="49">
        <v>7</v>
      </c>
      <c r="B10" s="49" t="str">
        <f>IF(OR(VLOOKUP(Table19315[[#This Row],[Ln'#]],Elite!A$5:AV$34,6,FALSE)="E",VLOOKUP(Table19315[[#This Row],[Ln'#]],Elite!A$5:AV$34,6,FALSE)="FEO"),"Entered or FEO","Not Entered")</f>
        <v>Not Entered</v>
      </c>
      <c r="C10" s="50" t="str">
        <f t="shared" ca="1" si="0"/>
        <v/>
      </c>
      <c r="D10" s="48"/>
      <c r="E10" s="48"/>
      <c r="F10" s="48"/>
      <c r="G10" s="48" t="str">
        <f>IF(Table19315[[#This Row],[Status]]="Not Entered","",VLOOKUP(Table19315[[#This Row],[Ln'#]],Elite!$A$5:$AT$34,3,FALSE))</f>
        <v/>
      </c>
      <c r="H10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0" s="51" t="str">
        <f>IF(Table19315[[#This Row],[Status]]="Not Entered","",VLOOKUP(Table19315[[#This Row],[Ln'#]],Elite!$A$5:$AT$34,46,FALSE))</f>
        <v/>
      </c>
      <c r="K10" s="49">
        <v>7</v>
      </c>
      <c r="L10" s="144" t="str">
        <f>IF(OR(VLOOKUP(Table131342941[[#This Row],[Ln'#]],Elite!A$5:AT$34,6,FALSE)="E",VLOOKUP(Table131342941[[#This Row],[Ln'#]],Elite!A$5:AT$34,6,FALSE)="FEO"),"x","")</f>
        <v/>
      </c>
      <c r="M10" s="144" t="str">
        <f>IF(OR(VLOOKUP(Table131342941[[#This Row],[Ln'#]],Elite!A$5:AT$34,14,FALSE)="E",VLOOKUP(Table131342941[[#This Row],[Ln'#]],Elite!A$5:AT$34,14,FALSE)="FEO"),"x","")</f>
        <v/>
      </c>
      <c r="N10" s="48"/>
      <c r="O10" s="48"/>
      <c r="P10" s="48"/>
      <c r="Q10" s="48" t="str">
        <f>IF(AND(Table131342941[[#This Row],[Status Container]]="",Table131342941[[#This Row],[Status Interior]]=""),"",VLOOKUP(Table131342941[[#This Row],[Ln'#]],Elite!$A$5:$AT$34,3,FALSE))</f>
        <v/>
      </c>
      <c r="R10" s="51" t="str">
        <f>IF(Table131342941[[#This Row],[Dog ID]]="","",(VLOOKUP(Table131342941[[#This Row],[Dog ID]],Elite!C$5:$D$34,2,FALSE)&amp;" - " &amp;VLOOKUP(Table131342941[[#This Row],[Dog ID]],'SDDA Dogs'!A:C,3,FALSE)))</f>
        <v/>
      </c>
      <c r="S10" s="51" t="str">
        <f>IF(Table131342941[[#This Row],[Dog ID]]="","",(VLOOKUP(Table131342941[[#This Row],[Dog ID]],Elite!C$5:$AT40,44,FALSE)))</f>
        <v/>
      </c>
    </row>
    <row r="11" spans="1:19" ht="30" customHeight="1" x14ac:dyDescent="0.45">
      <c r="A11" s="49">
        <v>8</v>
      </c>
      <c r="B11" s="49" t="str">
        <f>IF(OR(VLOOKUP(Table19315[[#This Row],[Ln'#]],Elite!A$5:AV$34,6,FALSE)="E",VLOOKUP(Table19315[[#This Row],[Ln'#]],Elite!A$5:AV$34,6,FALSE)="FEO"),"Entered or FEO","Not Entered")</f>
        <v>Not Entered</v>
      </c>
      <c r="C11" s="50" t="str">
        <f t="shared" ca="1" si="0"/>
        <v/>
      </c>
      <c r="D11" s="48"/>
      <c r="E11" s="48"/>
      <c r="F11" s="48"/>
      <c r="G11" s="48" t="str">
        <f>IF(Table19315[[#This Row],[Status]]="Not Entered","",VLOOKUP(Table19315[[#This Row],[Ln'#]],Elite!$A$5:$AT$34,3,FALSE))</f>
        <v/>
      </c>
      <c r="H11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1" s="51" t="str">
        <f>IF(Table19315[[#This Row],[Status]]="Not Entered","",VLOOKUP(Table19315[[#This Row],[Ln'#]],Elite!$A$5:$AT$34,46,FALSE))</f>
        <v/>
      </c>
      <c r="K11" s="49">
        <v>8</v>
      </c>
      <c r="L11" s="144" t="str">
        <f>IF(OR(VLOOKUP(Table131342941[[#This Row],[Ln'#]],Elite!A$5:AT$34,6,FALSE)="E",VLOOKUP(Table131342941[[#This Row],[Ln'#]],Elite!A$5:AT$34,6,FALSE)="FEO"),"x","")</f>
        <v/>
      </c>
      <c r="M11" s="144" t="str">
        <f>IF(OR(VLOOKUP(Table131342941[[#This Row],[Ln'#]],Elite!A$5:AT$34,14,FALSE)="E",VLOOKUP(Table131342941[[#This Row],[Ln'#]],Elite!A$5:AT$34,14,FALSE)="FEO"),"x","")</f>
        <v/>
      </c>
      <c r="N11" s="48"/>
      <c r="O11" s="48"/>
      <c r="P11" s="48"/>
      <c r="Q11" s="48" t="str">
        <f>IF(AND(Table131342941[[#This Row],[Status Container]]="",Table131342941[[#This Row],[Status Interior]]=""),"",VLOOKUP(Table131342941[[#This Row],[Ln'#]],Elite!$A$5:$AT$34,3,FALSE))</f>
        <v/>
      </c>
      <c r="R11" s="51" t="str">
        <f>IF(Table131342941[[#This Row],[Dog ID]]="","",(VLOOKUP(Table131342941[[#This Row],[Dog ID]],Elite!C$5:$D$34,2,FALSE)&amp;" - " &amp;VLOOKUP(Table131342941[[#This Row],[Dog ID]],'SDDA Dogs'!A:C,3,FALSE)))</f>
        <v/>
      </c>
      <c r="S11" s="51" t="str">
        <f>IF(Table131342941[[#This Row],[Dog ID]]="","",(VLOOKUP(Table131342941[[#This Row],[Dog ID]],Elite!C$5:$AT41,44,FALSE)))</f>
        <v/>
      </c>
    </row>
    <row r="12" spans="1:19" ht="30" customHeight="1" x14ac:dyDescent="0.45">
      <c r="A12" s="49">
        <v>9</v>
      </c>
      <c r="B12" s="49" t="str">
        <f>IF(OR(VLOOKUP(Table19315[[#This Row],[Ln'#]],Elite!A$5:AV$34,6,FALSE)="E",VLOOKUP(Table19315[[#This Row],[Ln'#]],Elite!A$5:AV$34,6,FALSE)="FEO"),"Entered or FEO","Not Entered")</f>
        <v>Not Entered</v>
      </c>
      <c r="C12" s="50" t="str">
        <f t="shared" ca="1" si="0"/>
        <v/>
      </c>
      <c r="D12" s="48"/>
      <c r="E12" s="48"/>
      <c r="F12" s="48"/>
      <c r="G12" s="48" t="str">
        <f>IF(Table19315[[#This Row],[Status]]="Not Entered","",VLOOKUP(Table19315[[#This Row],[Ln'#]],Elite!$A$5:$AT$34,3,FALSE))</f>
        <v/>
      </c>
      <c r="H12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2" s="51" t="str">
        <f>IF(Table19315[[#This Row],[Status]]="Not Entered","",VLOOKUP(Table19315[[#This Row],[Ln'#]],Elite!$A$5:$AT$34,46,FALSE))</f>
        <v/>
      </c>
      <c r="K12" s="49">
        <v>9</v>
      </c>
      <c r="L12" s="144" t="str">
        <f>IF(OR(VLOOKUP(Table131342941[[#This Row],[Ln'#]],Elite!A$5:AT$34,6,FALSE)="E",VLOOKUP(Table131342941[[#This Row],[Ln'#]],Elite!A$5:AT$34,6,FALSE)="FEO"),"x","")</f>
        <v/>
      </c>
      <c r="M12" s="144" t="str">
        <f>IF(OR(VLOOKUP(Table131342941[[#This Row],[Ln'#]],Elite!A$5:AT$34,14,FALSE)="E",VLOOKUP(Table131342941[[#This Row],[Ln'#]],Elite!A$5:AT$34,14,FALSE)="FEO"),"x","")</f>
        <v/>
      </c>
      <c r="N12" s="48"/>
      <c r="O12" s="48"/>
      <c r="P12" s="48"/>
      <c r="Q12" s="48" t="str">
        <f>IF(AND(Table131342941[[#This Row],[Status Container]]="",Table131342941[[#This Row],[Status Interior]]=""),"",VLOOKUP(Table131342941[[#This Row],[Ln'#]],Elite!$A$5:$AT$34,3,FALSE))</f>
        <v/>
      </c>
      <c r="R12" s="51" t="str">
        <f>IF(Table131342941[[#This Row],[Dog ID]]="","",(VLOOKUP(Table131342941[[#This Row],[Dog ID]],Elite!C$5:$D$34,2,FALSE)&amp;" - " &amp;VLOOKUP(Table131342941[[#This Row],[Dog ID]],'SDDA Dogs'!A:C,3,FALSE)))</f>
        <v/>
      </c>
      <c r="S12" s="51" t="str">
        <f>IF(Table131342941[[#This Row],[Dog ID]]="","",(VLOOKUP(Table131342941[[#This Row],[Dog ID]],Elite!C$5:$AT42,44,FALSE)))</f>
        <v/>
      </c>
    </row>
    <row r="13" spans="1:19" ht="30" customHeight="1" x14ac:dyDescent="0.45">
      <c r="A13" s="49">
        <v>10</v>
      </c>
      <c r="B13" s="49" t="str">
        <f>IF(OR(VLOOKUP(Table19315[[#This Row],[Ln'#]],Elite!A$5:AV$34,6,FALSE)="E",VLOOKUP(Table19315[[#This Row],[Ln'#]],Elite!A$5:AV$34,6,FALSE)="FEO"),"Entered or FEO","Not Entered")</f>
        <v>Not Entered</v>
      </c>
      <c r="C13" s="50" t="str">
        <f t="shared" ca="1" si="0"/>
        <v/>
      </c>
      <c r="D13" s="48"/>
      <c r="E13" s="48"/>
      <c r="F13" s="48"/>
      <c r="G13" s="48" t="str">
        <f>IF(Table19315[[#This Row],[Status]]="Not Entered","",VLOOKUP(Table19315[[#This Row],[Ln'#]],Elite!$A$5:$AT$34,3,FALSE))</f>
        <v/>
      </c>
      <c r="H13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3" s="51" t="str">
        <f>IF(Table19315[[#This Row],[Status]]="Not Entered","",VLOOKUP(Table19315[[#This Row],[Ln'#]],Elite!$A$5:$AT$34,46,FALSE))</f>
        <v/>
      </c>
      <c r="K13" s="49">
        <v>10</v>
      </c>
      <c r="L13" s="144" t="str">
        <f>IF(OR(VLOOKUP(Table131342941[[#This Row],[Ln'#]],Elite!A$5:AT$34,6,FALSE)="E",VLOOKUP(Table131342941[[#This Row],[Ln'#]],Elite!A$5:AT$34,6,FALSE)="FEO"),"x","")</f>
        <v/>
      </c>
      <c r="M13" s="144" t="str">
        <f>IF(OR(VLOOKUP(Table131342941[[#This Row],[Ln'#]],Elite!A$5:AT$34,14,FALSE)="E",VLOOKUP(Table131342941[[#This Row],[Ln'#]],Elite!A$5:AT$34,14,FALSE)="FEO"),"x","")</f>
        <v/>
      </c>
      <c r="N13" s="48"/>
      <c r="O13" s="48"/>
      <c r="P13" s="48"/>
      <c r="Q13" s="48" t="str">
        <f>IF(AND(Table131342941[[#This Row],[Status Container]]="",Table131342941[[#This Row],[Status Interior]]=""),"",VLOOKUP(Table131342941[[#This Row],[Ln'#]],Elite!$A$5:$AT$34,3,FALSE))</f>
        <v/>
      </c>
      <c r="R13" s="51" t="str">
        <f>IF(Table131342941[[#This Row],[Dog ID]]="","",(VLOOKUP(Table131342941[[#This Row],[Dog ID]],Elite!C$5:$D$34,2,FALSE)&amp;" - " &amp;VLOOKUP(Table131342941[[#This Row],[Dog ID]],'SDDA Dogs'!A:C,3,FALSE)))</f>
        <v/>
      </c>
      <c r="S13" s="51" t="str">
        <f>IF(Table131342941[[#This Row],[Dog ID]]="","",(VLOOKUP(Table131342941[[#This Row],[Dog ID]],Elite!C$5:$AT43,44,FALSE)))</f>
        <v/>
      </c>
    </row>
    <row r="14" spans="1:19" ht="30" customHeight="1" x14ac:dyDescent="0.45">
      <c r="A14" s="49">
        <v>11</v>
      </c>
      <c r="B14" s="49" t="str">
        <f>IF(OR(VLOOKUP(Table19315[[#This Row],[Ln'#]],Elite!A$5:AV$34,6,FALSE)="E",VLOOKUP(Table19315[[#This Row],[Ln'#]],Elite!A$5:AV$34,6,FALSE)="FEO"),"Entered or FEO","Not Entered")</f>
        <v>Not Entered</v>
      </c>
      <c r="C14" s="50" t="str">
        <f t="shared" ca="1" si="0"/>
        <v/>
      </c>
      <c r="D14" s="48"/>
      <c r="E14" s="48"/>
      <c r="F14" s="48"/>
      <c r="G14" s="48" t="str">
        <f>IF(Table19315[[#This Row],[Status]]="Not Entered","",VLOOKUP(Table19315[[#This Row],[Ln'#]],Elite!$A$5:$AT$34,3,FALSE))</f>
        <v/>
      </c>
      <c r="H14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4" s="51" t="str">
        <f>IF(Table19315[[#This Row],[Status]]="Not Entered","",VLOOKUP(Table19315[[#This Row],[Ln'#]],Elite!$A$5:$AT$34,46,FALSE))</f>
        <v/>
      </c>
      <c r="K14" s="49">
        <v>11</v>
      </c>
      <c r="L14" s="144" t="str">
        <f>IF(OR(VLOOKUP(Table131342941[[#This Row],[Ln'#]],Elite!A$5:AT$34,6,FALSE)="E",VLOOKUP(Table131342941[[#This Row],[Ln'#]],Elite!A$5:AT$34,6,FALSE)="FEO"),"x","")</f>
        <v/>
      </c>
      <c r="M14" s="144" t="str">
        <f>IF(OR(VLOOKUP(Table131342941[[#This Row],[Ln'#]],Elite!A$5:AT$34,14,FALSE)="E",VLOOKUP(Table131342941[[#This Row],[Ln'#]],Elite!A$5:AT$34,14,FALSE)="FEO"),"x","")</f>
        <v/>
      </c>
      <c r="N14" s="48"/>
      <c r="O14" s="48"/>
      <c r="P14" s="48"/>
      <c r="Q14" s="48" t="str">
        <f>IF(AND(Table131342941[[#This Row],[Status Container]]="",Table131342941[[#This Row],[Status Interior]]=""),"",VLOOKUP(Table131342941[[#This Row],[Ln'#]],Elite!$A$5:$AT$34,3,FALSE))</f>
        <v/>
      </c>
      <c r="R14" s="51" t="str">
        <f>IF(Table131342941[[#This Row],[Dog ID]]="","",(VLOOKUP(Table131342941[[#This Row],[Dog ID]],Elite!C$5:$D$34,2,FALSE)&amp;" - " &amp;VLOOKUP(Table131342941[[#This Row],[Dog ID]],'SDDA Dogs'!A:C,3,FALSE)))</f>
        <v/>
      </c>
      <c r="S14" s="51" t="str">
        <f>IF(Table131342941[[#This Row],[Dog ID]]="","",(VLOOKUP(Table131342941[[#This Row],[Dog ID]],Elite!C$5:$AT44,44,FALSE)))</f>
        <v/>
      </c>
    </row>
    <row r="15" spans="1:19" ht="30" customHeight="1" x14ac:dyDescent="0.45">
      <c r="A15" s="49">
        <v>12</v>
      </c>
      <c r="B15" s="49" t="str">
        <f>IF(OR(VLOOKUP(Table19315[[#This Row],[Ln'#]],Elite!A$5:AV$34,6,FALSE)="E",VLOOKUP(Table19315[[#This Row],[Ln'#]],Elite!A$5:AV$34,6,FALSE)="FEO"),"Entered or FEO","Not Entered")</f>
        <v>Not Entered</v>
      </c>
      <c r="C15" s="50" t="str">
        <f t="shared" ca="1" si="0"/>
        <v/>
      </c>
      <c r="D15" s="48"/>
      <c r="E15" s="48"/>
      <c r="F15" s="48"/>
      <c r="G15" s="48" t="str">
        <f>IF(Table19315[[#This Row],[Status]]="Not Entered","",VLOOKUP(Table19315[[#This Row],[Ln'#]],Elite!$A$5:$AT$34,3,FALSE))</f>
        <v/>
      </c>
      <c r="H15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5" s="51" t="str">
        <f>IF(Table19315[[#This Row],[Status]]="Not Entered","",VLOOKUP(Table19315[[#This Row],[Ln'#]],Elite!$A$5:$AT$34,46,FALSE))</f>
        <v/>
      </c>
      <c r="K15" s="49">
        <v>12</v>
      </c>
      <c r="L15" s="144" t="str">
        <f>IF(OR(VLOOKUP(Table131342941[[#This Row],[Ln'#]],Elite!A$5:AT$34,6,FALSE)="E",VLOOKUP(Table131342941[[#This Row],[Ln'#]],Elite!A$5:AT$34,6,FALSE)="FEO"),"x","")</f>
        <v/>
      </c>
      <c r="M15" s="144" t="str">
        <f>IF(OR(VLOOKUP(Table131342941[[#This Row],[Ln'#]],Elite!A$5:AT$34,14,FALSE)="E",VLOOKUP(Table131342941[[#This Row],[Ln'#]],Elite!A$5:AT$34,14,FALSE)="FEO"),"x","")</f>
        <v/>
      </c>
      <c r="N15" s="48"/>
      <c r="O15" s="48"/>
      <c r="P15" s="48"/>
      <c r="Q15" s="48" t="str">
        <f>IF(AND(Table131342941[[#This Row],[Status Container]]="",Table131342941[[#This Row],[Status Interior]]=""),"",VLOOKUP(Table131342941[[#This Row],[Ln'#]],Elite!$A$5:$AT$34,3,FALSE))</f>
        <v/>
      </c>
      <c r="R15" s="51" t="str">
        <f>IF(Table131342941[[#This Row],[Dog ID]]="","",(VLOOKUP(Table131342941[[#This Row],[Dog ID]],Elite!C$5:$D$34,2,FALSE)&amp;" - " &amp;VLOOKUP(Table131342941[[#This Row],[Dog ID]],'SDDA Dogs'!A:C,3,FALSE)))</f>
        <v/>
      </c>
      <c r="S15" s="51" t="str">
        <f>IF(Table131342941[[#This Row],[Dog ID]]="","",(VLOOKUP(Table131342941[[#This Row],[Dog ID]],Elite!C$5:$AT45,44,FALSE)))</f>
        <v/>
      </c>
    </row>
    <row r="16" spans="1:19" ht="30" customHeight="1" x14ac:dyDescent="0.45">
      <c r="A16" s="49">
        <v>13</v>
      </c>
      <c r="B16" s="49" t="str">
        <f>IF(OR(VLOOKUP(Table19315[[#This Row],[Ln'#]],Elite!A$5:AV$34,6,FALSE)="E",VLOOKUP(Table19315[[#This Row],[Ln'#]],Elite!A$5:AV$34,6,FALSE)="FEO"),"Entered or FEO","Not Entered")</f>
        <v>Not Entered</v>
      </c>
      <c r="C16" s="50" t="str">
        <f t="shared" ca="1" si="0"/>
        <v/>
      </c>
      <c r="D16" s="48"/>
      <c r="E16" s="48"/>
      <c r="F16" s="48"/>
      <c r="G16" s="48" t="str">
        <f>IF(Table19315[[#This Row],[Status]]="Not Entered","",VLOOKUP(Table19315[[#This Row],[Ln'#]],Elite!$A$5:$AT$34,3,FALSE))</f>
        <v/>
      </c>
      <c r="H16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6" s="51" t="str">
        <f>IF(Table19315[[#This Row],[Status]]="Not Entered","",VLOOKUP(Table19315[[#This Row],[Ln'#]],Elite!$A$5:$AT$34,46,FALSE))</f>
        <v/>
      </c>
      <c r="K16" s="49">
        <v>13</v>
      </c>
      <c r="L16" s="144" t="str">
        <f>IF(OR(VLOOKUP(Table131342941[[#This Row],[Ln'#]],Elite!A$5:AT$34,6,FALSE)="E",VLOOKUP(Table131342941[[#This Row],[Ln'#]],Elite!A$5:AT$34,6,FALSE)="FEO"),"x","")</f>
        <v/>
      </c>
      <c r="M16" s="144" t="str">
        <f>IF(OR(VLOOKUP(Table131342941[[#This Row],[Ln'#]],Elite!A$5:AT$34,14,FALSE)="E",VLOOKUP(Table131342941[[#This Row],[Ln'#]],Elite!A$5:AT$34,14,FALSE)="FEO"),"x","")</f>
        <v/>
      </c>
      <c r="N16" s="48"/>
      <c r="O16" s="48"/>
      <c r="P16" s="48"/>
      <c r="Q16" s="48" t="str">
        <f>IF(AND(Table131342941[[#This Row],[Status Container]]="",Table131342941[[#This Row],[Status Interior]]=""),"",VLOOKUP(Table131342941[[#This Row],[Ln'#]],Elite!$A$5:$AT$34,3,FALSE))</f>
        <v/>
      </c>
      <c r="R16" s="51" t="str">
        <f>IF(Table131342941[[#This Row],[Dog ID]]="","",(VLOOKUP(Table131342941[[#This Row],[Dog ID]],Elite!C$5:$D$34,2,FALSE)&amp;" - " &amp;VLOOKUP(Table131342941[[#This Row],[Dog ID]],'SDDA Dogs'!A:C,3,FALSE)))</f>
        <v/>
      </c>
      <c r="S16" s="51" t="str">
        <f>IF(Table131342941[[#This Row],[Dog ID]]="","",(VLOOKUP(Table131342941[[#This Row],[Dog ID]],Elite!C$5:$AT46,44,FALSE)))</f>
        <v/>
      </c>
    </row>
    <row r="17" spans="1:19" ht="30" customHeight="1" x14ac:dyDescent="0.45">
      <c r="A17" s="49">
        <v>14</v>
      </c>
      <c r="B17" s="49" t="str">
        <f>IF(OR(VLOOKUP(Table19315[[#This Row],[Ln'#]],Elite!A$5:AV$34,6,FALSE)="E",VLOOKUP(Table19315[[#This Row],[Ln'#]],Elite!A$5:AV$34,6,FALSE)="FEO"),"Entered or FEO","Not Entered")</f>
        <v>Not Entered</v>
      </c>
      <c r="C17" s="50" t="str">
        <f t="shared" ca="1" si="0"/>
        <v/>
      </c>
      <c r="D17" s="48"/>
      <c r="E17" s="48"/>
      <c r="F17" s="48"/>
      <c r="G17" s="48" t="str">
        <f>IF(Table19315[[#This Row],[Status]]="Not Entered","",VLOOKUP(Table19315[[#This Row],[Ln'#]],Elite!$A$5:$AT$34,3,FALSE))</f>
        <v/>
      </c>
      <c r="H17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7" s="51" t="str">
        <f>IF(Table19315[[#This Row],[Status]]="Not Entered","",VLOOKUP(Table19315[[#This Row],[Ln'#]],Elite!$A$5:$AT$34,46,FALSE))</f>
        <v/>
      </c>
      <c r="K17" s="49">
        <v>14</v>
      </c>
      <c r="L17" s="144" t="str">
        <f>IF(OR(VLOOKUP(Table131342941[[#This Row],[Ln'#]],Elite!A$5:AT$34,6,FALSE)="E",VLOOKUP(Table131342941[[#This Row],[Ln'#]],Elite!A$5:AT$34,6,FALSE)="FEO"),"x","")</f>
        <v/>
      </c>
      <c r="M17" s="144" t="str">
        <f>IF(OR(VLOOKUP(Table131342941[[#This Row],[Ln'#]],Elite!A$5:AT$34,14,FALSE)="E",VLOOKUP(Table131342941[[#This Row],[Ln'#]],Elite!A$5:AT$34,14,FALSE)="FEO"),"x","")</f>
        <v/>
      </c>
      <c r="N17" s="48"/>
      <c r="O17" s="48"/>
      <c r="P17" s="48"/>
      <c r="Q17" s="48" t="str">
        <f>IF(AND(Table131342941[[#This Row],[Status Container]]="",Table131342941[[#This Row],[Status Interior]]=""),"",VLOOKUP(Table131342941[[#This Row],[Ln'#]],Elite!$A$5:$AT$34,3,FALSE))</f>
        <v/>
      </c>
      <c r="R17" s="51" t="str">
        <f>IF(Table131342941[[#This Row],[Dog ID]]="","",(VLOOKUP(Table131342941[[#This Row],[Dog ID]],Elite!C$5:$D$34,2,FALSE)&amp;" - " &amp;VLOOKUP(Table131342941[[#This Row],[Dog ID]],'SDDA Dogs'!A:C,3,FALSE)))</f>
        <v/>
      </c>
      <c r="S17" s="51" t="str">
        <f>IF(Table131342941[[#This Row],[Dog ID]]="","",(VLOOKUP(Table131342941[[#This Row],[Dog ID]],Elite!C$5:$AT47,44,FALSE)))</f>
        <v/>
      </c>
    </row>
    <row r="18" spans="1:19" ht="30" customHeight="1" x14ac:dyDescent="0.45">
      <c r="A18" s="49">
        <v>15</v>
      </c>
      <c r="B18" s="49" t="str">
        <f>IF(OR(VLOOKUP(Table19315[[#This Row],[Ln'#]],Elite!A$5:AV$34,6,FALSE)="E",VLOOKUP(Table19315[[#This Row],[Ln'#]],Elite!A$5:AV$34,6,FALSE)="FEO"),"Entered or FEO","Not Entered")</f>
        <v>Not Entered</v>
      </c>
      <c r="C18" s="50" t="str">
        <f t="shared" ca="1" si="0"/>
        <v/>
      </c>
      <c r="D18" s="48"/>
      <c r="E18" s="48"/>
      <c r="F18" s="48"/>
      <c r="G18" s="48" t="str">
        <f>IF(Table19315[[#This Row],[Status]]="Not Entered","",VLOOKUP(Table19315[[#This Row],[Ln'#]],Elite!$A$5:$AT$34,3,FALSE))</f>
        <v/>
      </c>
      <c r="H18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8" s="51" t="str">
        <f>IF(Table19315[[#This Row],[Status]]="Not Entered","",VLOOKUP(Table19315[[#This Row],[Ln'#]],Elite!$A$5:$AT$34,46,FALSE))</f>
        <v/>
      </c>
      <c r="K18" s="49">
        <v>15</v>
      </c>
      <c r="L18" s="144" t="str">
        <f>IF(OR(VLOOKUP(Table131342941[[#This Row],[Ln'#]],Elite!A$5:AT$34,6,FALSE)="E",VLOOKUP(Table131342941[[#This Row],[Ln'#]],Elite!A$5:AT$34,6,FALSE)="FEO"),"x","")</f>
        <v/>
      </c>
      <c r="M18" s="144" t="str">
        <f>IF(OR(VLOOKUP(Table131342941[[#This Row],[Ln'#]],Elite!A$5:AT$34,14,FALSE)="E",VLOOKUP(Table131342941[[#This Row],[Ln'#]],Elite!A$5:AT$34,14,FALSE)="FEO"),"x","")</f>
        <v/>
      </c>
      <c r="N18" s="48"/>
      <c r="O18" s="48"/>
      <c r="P18" s="48"/>
      <c r="Q18" s="48" t="str">
        <f>IF(AND(Table131342941[[#This Row],[Status Container]]="",Table131342941[[#This Row],[Status Interior]]=""),"",VLOOKUP(Table131342941[[#This Row],[Ln'#]],Elite!$A$5:$AT$34,3,FALSE))</f>
        <v/>
      </c>
      <c r="R18" s="51" t="str">
        <f>IF(Table131342941[[#This Row],[Dog ID]]="","",(VLOOKUP(Table131342941[[#This Row],[Dog ID]],Elite!C$5:$D$34,2,FALSE)&amp;" - " &amp;VLOOKUP(Table131342941[[#This Row],[Dog ID]],'SDDA Dogs'!A:C,3,FALSE)))</f>
        <v/>
      </c>
      <c r="S18" s="51" t="str">
        <f>IF(Table131342941[[#This Row],[Dog ID]]="","",(VLOOKUP(Table131342941[[#This Row],[Dog ID]],Elite!C$5:$AT48,44,FALSE)))</f>
        <v/>
      </c>
    </row>
    <row r="19" spans="1:19" ht="30" customHeight="1" x14ac:dyDescent="0.45">
      <c r="A19" s="49">
        <v>16</v>
      </c>
      <c r="B19" s="49" t="str">
        <f>IF(OR(VLOOKUP(Table19315[[#This Row],[Ln'#]],Elite!A$5:AV$34,6,FALSE)="E",VLOOKUP(Table19315[[#This Row],[Ln'#]],Elite!A$5:AV$34,6,FALSE)="FEO"),"Entered or FEO","Not Entered")</f>
        <v>Not Entered</v>
      </c>
      <c r="C19" s="50" t="str">
        <f t="shared" ca="1" si="0"/>
        <v/>
      </c>
      <c r="D19" s="48"/>
      <c r="E19" s="48"/>
      <c r="F19" s="48"/>
      <c r="G19" s="48" t="str">
        <f>IF(Table19315[[#This Row],[Status]]="Not Entered","",VLOOKUP(Table19315[[#This Row],[Ln'#]],Elite!$A$5:$AT$34,3,FALSE))</f>
        <v/>
      </c>
      <c r="H19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9" s="51" t="str">
        <f>IF(Table19315[[#This Row],[Status]]="Not Entered","",VLOOKUP(Table19315[[#This Row],[Ln'#]],Elite!$A$5:$AT$34,46,FALSE))</f>
        <v/>
      </c>
      <c r="K19" s="49">
        <v>16</v>
      </c>
      <c r="L19" s="144" t="str">
        <f>IF(OR(VLOOKUP(Table131342941[[#This Row],[Ln'#]],Elite!A$5:AT$34,6,FALSE)="E",VLOOKUP(Table131342941[[#This Row],[Ln'#]],Elite!A$5:AT$34,6,FALSE)="FEO"),"x","")</f>
        <v/>
      </c>
      <c r="M19" s="144" t="str">
        <f>IF(OR(VLOOKUP(Table131342941[[#This Row],[Ln'#]],Elite!A$5:AT$34,14,FALSE)="E",VLOOKUP(Table131342941[[#This Row],[Ln'#]],Elite!A$5:AT$34,14,FALSE)="FEO"),"x","")</f>
        <v/>
      </c>
      <c r="N19" s="48"/>
      <c r="O19" s="48"/>
      <c r="P19" s="48"/>
      <c r="Q19" s="48" t="str">
        <f>IF(AND(Table131342941[[#This Row],[Status Container]]="",Table131342941[[#This Row],[Status Interior]]=""),"",VLOOKUP(Table131342941[[#This Row],[Ln'#]],Elite!$A$5:$AT$34,3,FALSE))</f>
        <v/>
      </c>
      <c r="R19" s="51" t="str">
        <f>IF(Table131342941[[#This Row],[Dog ID]]="","",(VLOOKUP(Table131342941[[#This Row],[Dog ID]],Elite!C$5:$D$34,2,FALSE)&amp;" - " &amp;VLOOKUP(Table131342941[[#This Row],[Dog ID]],'SDDA Dogs'!A:C,3,FALSE)))</f>
        <v/>
      </c>
      <c r="S19" s="51" t="str">
        <f>IF(Table131342941[[#This Row],[Dog ID]]="","",(VLOOKUP(Table131342941[[#This Row],[Dog ID]],Elite!C$5:$AT49,44,FALSE)))</f>
        <v/>
      </c>
    </row>
    <row r="20" spans="1:19" ht="30" customHeight="1" x14ac:dyDescent="0.45">
      <c r="A20" s="49">
        <v>17</v>
      </c>
      <c r="B20" s="49" t="str">
        <f>IF(OR(VLOOKUP(Table19315[[#This Row],[Ln'#]],Elite!A$5:AV$34,6,FALSE)="E",VLOOKUP(Table19315[[#This Row],[Ln'#]],Elite!A$5:AV$34,6,FALSE)="FEO"),"Entered or FEO","Not Entered")</f>
        <v>Not Entered</v>
      </c>
      <c r="C20" s="50" t="str">
        <f t="shared" ca="1" si="0"/>
        <v/>
      </c>
      <c r="D20" s="48"/>
      <c r="E20" s="48"/>
      <c r="F20" s="48"/>
      <c r="G20" s="48" t="str">
        <f>IF(Table19315[[#This Row],[Status]]="Not Entered","",VLOOKUP(Table19315[[#This Row],[Ln'#]],Elite!$A$5:$AT$34,3,FALSE))</f>
        <v/>
      </c>
      <c r="H20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0" s="51" t="str">
        <f>IF(Table19315[[#This Row],[Status]]="Not Entered","",VLOOKUP(Table19315[[#This Row],[Ln'#]],Elite!$A$5:$AT$34,46,FALSE))</f>
        <v/>
      </c>
      <c r="K20" s="49">
        <v>17</v>
      </c>
      <c r="L20" s="144" t="str">
        <f>IF(OR(VLOOKUP(Table131342941[[#This Row],[Ln'#]],Elite!A$5:AT$34,6,FALSE)="E",VLOOKUP(Table131342941[[#This Row],[Ln'#]],Elite!A$5:AT$34,6,FALSE)="FEO"),"x","")</f>
        <v/>
      </c>
      <c r="M20" s="144" t="str">
        <f>IF(OR(VLOOKUP(Table131342941[[#This Row],[Ln'#]],Elite!A$5:AT$34,14,FALSE)="E",VLOOKUP(Table131342941[[#This Row],[Ln'#]],Elite!A$5:AT$34,14,FALSE)="FEO"),"x","")</f>
        <v/>
      </c>
      <c r="N20" s="48"/>
      <c r="O20" s="48"/>
      <c r="P20" s="48"/>
      <c r="Q20" s="48" t="str">
        <f>IF(AND(Table131342941[[#This Row],[Status Container]]="",Table131342941[[#This Row],[Status Interior]]=""),"",VLOOKUP(Table131342941[[#This Row],[Ln'#]],Elite!$A$5:$AT$34,3,FALSE))</f>
        <v/>
      </c>
      <c r="R20" s="51" t="str">
        <f>IF(Table131342941[[#This Row],[Dog ID]]="","",(VLOOKUP(Table131342941[[#This Row],[Dog ID]],Elite!C$5:$D$34,2,FALSE)&amp;" - " &amp;VLOOKUP(Table131342941[[#This Row],[Dog ID]],'SDDA Dogs'!A:C,3,FALSE)))</f>
        <v/>
      </c>
      <c r="S20" s="51" t="str">
        <f>IF(Table131342941[[#This Row],[Dog ID]]="","",(VLOOKUP(Table131342941[[#This Row],[Dog ID]],Elite!C$5:$AT50,44,FALSE)))</f>
        <v/>
      </c>
    </row>
    <row r="21" spans="1:19" ht="30" customHeight="1" x14ac:dyDescent="0.45">
      <c r="A21" s="49">
        <v>18</v>
      </c>
      <c r="B21" s="49" t="str">
        <f>IF(OR(VLOOKUP(Table19315[[#This Row],[Ln'#]],Elite!A$5:AV$34,6,FALSE)="E",VLOOKUP(Table19315[[#This Row],[Ln'#]],Elite!A$5:AV$34,6,FALSE)="FEO"),"Entered or FEO","Not Entered")</f>
        <v>Not Entered</v>
      </c>
      <c r="C21" s="50" t="str">
        <f t="shared" ca="1" si="0"/>
        <v/>
      </c>
      <c r="D21" s="48"/>
      <c r="E21" s="48"/>
      <c r="F21" s="48"/>
      <c r="G21" s="48" t="str">
        <f>IF(Table19315[[#This Row],[Status]]="Not Entered","",VLOOKUP(Table19315[[#This Row],[Ln'#]],Elite!$A$5:$AT$34,3,FALSE))</f>
        <v/>
      </c>
      <c r="H21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1" s="51" t="str">
        <f>IF(Table19315[[#This Row],[Status]]="Not Entered","",VLOOKUP(Table19315[[#This Row],[Ln'#]],Elite!$A$5:$AT$34,46,FALSE))</f>
        <v/>
      </c>
      <c r="K21" s="49">
        <v>18</v>
      </c>
      <c r="L21" s="144" t="str">
        <f>IF(OR(VLOOKUP(Table131342941[[#This Row],[Ln'#]],Elite!A$5:AT$34,6,FALSE)="E",VLOOKUP(Table131342941[[#This Row],[Ln'#]],Elite!A$5:AT$34,6,FALSE)="FEO"),"x","")</f>
        <v/>
      </c>
      <c r="M21" s="144" t="str">
        <f>IF(OR(VLOOKUP(Table131342941[[#This Row],[Ln'#]],Elite!A$5:AT$34,14,FALSE)="E",VLOOKUP(Table131342941[[#This Row],[Ln'#]],Elite!A$5:AT$34,14,FALSE)="FEO"),"x","")</f>
        <v/>
      </c>
      <c r="N21" s="48"/>
      <c r="O21" s="48"/>
      <c r="P21" s="48"/>
      <c r="Q21" s="48" t="str">
        <f>IF(AND(Table131342941[[#This Row],[Status Container]]="",Table131342941[[#This Row],[Status Interior]]=""),"",VLOOKUP(Table131342941[[#This Row],[Ln'#]],Elite!$A$5:$AT$34,3,FALSE))</f>
        <v/>
      </c>
      <c r="R21" s="51" t="str">
        <f>IF(Table131342941[[#This Row],[Dog ID]]="","",(VLOOKUP(Table131342941[[#This Row],[Dog ID]],Elite!C$5:$D$34,2,FALSE)&amp;" - " &amp;VLOOKUP(Table131342941[[#This Row],[Dog ID]],'SDDA Dogs'!A:C,3,FALSE)))</f>
        <v/>
      </c>
      <c r="S21" s="51" t="str">
        <f>IF(Table131342941[[#This Row],[Dog ID]]="","",(VLOOKUP(Table131342941[[#This Row],[Dog ID]],Elite!C$5:$AT51,44,FALSE)))</f>
        <v/>
      </c>
    </row>
    <row r="22" spans="1:19" ht="30" customHeight="1" x14ac:dyDescent="0.45">
      <c r="A22" s="49">
        <v>19</v>
      </c>
      <c r="B22" s="49" t="str">
        <f>IF(OR(VLOOKUP(Table19315[[#This Row],[Ln'#]],Elite!A$5:AV$34,6,FALSE)="E",VLOOKUP(Table19315[[#This Row],[Ln'#]],Elite!A$5:AV$34,6,FALSE)="FEO"),"Entered or FEO","Not Entered")</f>
        <v>Not Entered</v>
      </c>
      <c r="C22" s="50" t="str">
        <f t="shared" ca="1" si="0"/>
        <v/>
      </c>
      <c r="D22" s="48"/>
      <c r="E22" s="48"/>
      <c r="F22" s="48"/>
      <c r="G22" s="48" t="str">
        <f>IF(Table19315[[#This Row],[Status]]="Not Entered","",VLOOKUP(Table19315[[#This Row],[Ln'#]],Elite!$A$5:$AT$34,3,FALSE))</f>
        <v/>
      </c>
      <c r="H22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2" s="51" t="str">
        <f>IF(Table19315[[#This Row],[Status]]="Not Entered","",VLOOKUP(Table19315[[#This Row],[Ln'#]],Elite!$A$5:$AT$34,46,FALSE))</f>
        <v/>
      </c>
      <c r="K22" s="49">
        <v>19</v>
      </c>
      <c r="L22" s="144" t="str">
        <f>IF(OR(VLOOKUP(Table131342941[[#This Row],[Ln'#]],Elite!A$5:AT$34,6,FALSE)="E",VLOOKUP(Table131342941[[#This Row],[Ln'#]],Elite!A$5:AT$34,6,FALSE)="FEO"),"x","")</f>
        <v/>
      </c>
      <c r="M22" s="144" t="str">
        <f>IF(OR(VLOOKUP(Table131342941[[#This Row],[Ln'#]],Elite!A$5:AT$34,14,FALSE)="E",VLOOKUP(Table131342941[[#This Row],[Ln'#]],Elite!A$5:AT$34,14,FALSE)="FEO"),"x","")</f>
        <v/>
      </c>
      <c r="N22" s="48"/>
      <c r="O22" s="48"/>
      <c r="P22" s="48"/>
      <c r="Q22" s="48" t="str">
        <f>IF(AND(Table131342941[[#This Row],[Status Container]]="",Table131342941[[#This Row],[Status Interior]]=""),"",VLOOKUP(Table131342941[[#This Row],[Ln'#]],Elite!$A$5:$AT$34,3,FALSE))</f>
        <v/>
      </c>
      <c r="R22" s="51" t="str">
        <f>IF(Table131342941[[#This Row],[Dog ID]]="","",(VLOOKUP(Table131342941[[#This Row],[Dog ID]],Elite!C$5:$D$34,2,FALSE)&amp;" - " &amp;VLOOKUP(Table131342941[[#This Row],[Dog ID]],'SDDA Dogs'!A:C,3,FALSE)))</f>
        <v/>
      </c>
      <c r="S22" s="51" t="str">
        <f>IF(Table131342941[[#This Row],[Dog ID]]="","",(VLOOKUP(Table131342941[[#This Row],[Dog ID]],Elite!C$5:$AT52,44,FALSE)))</f>
        <v/>
      </c>
    </row>
    <row r="23" spans="1:19" ht="30" customHeight="1" x14ac:dyDescent="0.45">
      <c r="A23" s="49">
        <v>20</v>
      </c>
      <c r="B23" s="49" t="str">
        <f>IF(OR(VLOOKUP(Table19315[[#This Row],[Ln'#]],Elite!A$5:AV$34,6,FALSE)="E",VLOOKUP(Table19315[[#This Row],[Ln'#]],Elite!A$5:AV$34,6,FALSE)="FEO"),"Entered or FEO","Not Entered")</f>
        <v>Not Entered</v>
      </c>
      <c r="C23" s="50" t="str">
        <f t="shared" ca="1" si="0"/>
        <v/>
      </c>
      <c r="D23" s="48"/>
      <c r="E23" s="48"/>
      <c r="F23" s="48"/>
      <c r="G23" s="48" t="str">
        <f>IF(Table19315[[#This Row],[Status]]="Not Entered","",VLOOKUP(Table19315[[#This Row],[Ln'#]],Elite!$A$5:$AT$34,3,FALSE))</f>
        <v/>
      </c>
      <c r="H23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3" s="51" t="str">
        <f>IF(Table19315[[#This Row],[Status]]="Not Entered","",VLOOKUP(Table19315[[#This Row],[Ln'#]],Elite!$A$5:$AT$34,46,FALSE))</f>
        <v/>
      </c>
      <c r="K23" s="49">
        <v>20</v>
      </c>
      <c r="L23" s="144" t="str">
        <f>IF(OR(VLOOKUP(Table131342941[[#This Row],[Ln'#]],Elite!A$5:AT$34,6,FALSE)="E",VLOOKUP(Table131342941[[#This Row],[Ln'#]],Elite!A$5:AT$34,6,FALSE)="FEO"),"x","")</f>
        <v/>
      </c>
      <c r="M23" s="144" t="str">
        <f>IF(OR(VLOOKUP(Table131342941[[#This Row],[Ln'#]],Elite!A$5:AT$34,14,FALSE)="E",VLOOKUP(Table131342941[[#This Row],[Ln'#]],Elite!A$5:AT$34,14,FALSE)="FEO"),"x","")</f>
        <v/>
      </c>
      <c r="N23" s="48"/>
      <c r="O23" s="48"/>
      <c r="P23" s="48"/>
      <c r="Q23" s="48" t="str">
        <f>IF(AND(Table131342941[[#This Row],[Status Container]]="",Table131342941[[#This Row],[Status Interior]]=""),"",VLOOKUP(Table131342941[[#This Row],[Ln'#]],Elite!$A$5:$AT$34,3,FALSE))</f>
        <v/>
      </c>
      <c r="R23" s="51" t="str">
        <f>IF(Table131342941[[#This Row],[Dog ID]]="","",(VLOOKUP(Table131342941[[#This Row],[Dog ID]],Elite!C$5:$D$34,2,FALSE)&amp;" - " &amp;VLOOKUP(Table131342941[[#This Row],[Dog ID]],'SDDA Dogs'!A:C,3,FALSE)))</f>
        <v/>
      </c>
      <c r="S23" s="51" t="str">
        <f>IF(Table131342941[[#This Row],[Dog ID]]="","",(VLOOKUP(Table131342941[[#This Row],[Dog ID]],Elite!C$5:$AT53,44,FALSE)))</f>
        <v/>
      </c>
    </row>
    <row r="24" spans="1:19" ht="30" customHeight="1" x14ac:dyDescent="0.45">
      <c r="A24" s="49">
        <v>21</v>
      </c>
      <c r="B24" s="49" t="str">
        <f>IF(OR(VLOOKUP(Table19315[[#This Row],[Ln'#]],Elite!A$5:AV$34,6,FALSE)="E",VLOOKUP(Table19315[[#This Row],[Ln'#]],Elite!A$5:AV$34,6,FALSE)="FEO"),"Entered or FEO","Not Entered")</f>
        <v>Not Entered</v>
      </c>
      <c r="C24" s="50" t="str">
        <f t="shared" ca="1" si="0"/>
        <v/>
      </c>
      <c r="D24" s="48"/>
      <c r="E24" s="48"/>
      <c r="F24" s="48"/>
      <c r="G24" s="48" t="str">
        <f>IF(Table19315[[#This Row],[Status]]="Not Entered","",VLOOKUP(Table19315[[#This Row],[Ln'#]],Elite!$A$5:$AT$34,3,FALSE))</f>
        <v/>
      </c>
      <c r="H24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4" s="51" t="str">
        <f>IF(Table19315[[#This Row],[Status]]="Not Entered","",VLOOKUP(Table19315[[#This Row],[Ln'#]],Elite!$A$5:$AT$34,46,FALSE))</f>
        <v/>
      </c>
      <c r="K24" s="49">
        <v>21</v>
      </c>
      <c r="L24" s="144" t="str">
        <f>IF(OR(VLOOKUP(Table131342941[[#This Row],[Ln'#]],Elite!A$5:AT$34,6,FALSE)="E",VLOOKUP(Table131342941[[#This Row],[Ln'#]],Elite!A$5:AT$34,6,FALSE)="FEO"),"x","")</f>
        <v/>
      </c>
      <c r="M24" s="144" t="str">
        <f>IF(OR(VLOOKUP(Table131342941[[#This Row],[Ln'#]],Elite!A$5:AT$34,14,FALSE)="E",VLOOKUP(Table131342941[[#This Row],[Ln'#]],Elite!A$5:AT$34,14,FALSE)="FEO"),"x","")</f>
        <v/>
      </c>
      <c r="N24" s="48"/>
      <c r="O24" s="48"/>
      <c r="P24" s="48"/>
      <c r="Q24" s="48" t="str">
        <f>IF(AND(Table131342941[[#This Row],[Status Container]]="",Table131342941[[#This Row],[Status Interior]]=""),"",VLOOKUP(Table131342941[[#This Row],[Ln'#]],Elite!$A$5:$AT$34,3,FALSE))</f>
        <v/>
      </c>
      <c r="R24" s="51" t="str">
        <f>IF(Table131342941[[#This Row],[Dog ID]]="","",(VLOOKUP(Table131342941[[#This Row],[Dog ID]],Elite!C$5:$D$34,2,FALSE)&amp;" - " &amp;VLOOKUP(Table131342941[[#This Row],[Dog ID]],'SDDA Dogs'!A:C,3,FALSE)))</f>
        <v/>
      </c>
      <c r="S24" s="51" t="str">
        <f>IF(Table131342941[[#This Row],[Dog ID]]="","",(VLOOKUP(Table131342941[[#This Row],[Dog ID]],Elite!C$5:$AT54,44,FALSE)))</f>
        <v/>
      </c>
    </row>
    <row r="25" spans="1:19" ht="30" customHeight="1" x14ac:dyDescent="0.45">
      <c r="A25" s="49">
        <v>22</v>
      </c>
      <c r="B25" s="49" t="str">
        <f>IF(OR(VLOOKUP(Table19315[[#This Row],[Ln'#]],Elite!A$5:AV$34,6,FALSE)="E",VLOOKUP(Table19315[[#This Row],[Ln'#]],Elite!A$5:AV$34,6,FALSE)="FEO"),"Entered or FEO","Not Entered")</f>
        <v>Not Entered</v>
      </c>
      <c r="C25" s="50" t="str">
        <f t="shared" ca="1" si="0"/>
        <v/>
      </c>
      <c r="D25" s="48"/>
      <c r="E25" s="48"/>
      <c r="F25" s="48"/>
      <c r="G25" s="48" t="str">
        <f>IF(Table19315[[#This Row],[Status]]="Not Entered","",VLOOKUP(Table19315[[#This Row],[Ln'#]],Elite!$A$5:$AT$34,3,FALSE))</f>
        <v/>
      </c>
      <c r="H25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5" s="51" t="str">
        <f>IF(Table19315[[#This Row],[Status]]="Not Entered","",VLOOKUP(Table19315[[#This Row],[Ln'#]],Elite!$A$5:$AT$34,46,FALSE))</f>
        <v/>
      </c>
      <c r="K25" s="49">
        <v>22</v>
      </c>
      <c r="L25" s="144" t="str">
        <f>IF(OR(VLOOKUP(Table131342941[[#This Row],[Ln'#]],Elite!A$5:AT$34,6,FALSE)="E",VLOOKUP(Table131342941[[#This Row],[Ln'#]],Elite!A$5:AT$34,6,FALSE)="FEO"),"x","")</f>
        <v/>
      </c>
      <c r="M25" s="144" t="str">
        <f>IF(OR(VLOOKUP(Table131342941[[#This Row],[Ln'#]],Elite!A$5:AT$34,14,FALSE)="E",VLOOKUP(Table131342941[[#This Row],[Ln'#]],Elite!A$5:AT$34,14,FALSE)="FEO"),"x","")</f>
        <v/>
      </c>
      <c r="N25" s="48"/>
      <c r="O25" s="48"/>
      <c r="P25" s="48"/>
      <c r="Q25" s="48" t="str">
        <f>IF(AND(Table131342941[[#This Row],[Status Container]]="",Table131342941[[#This Row],[Status Interior]]=""),"",VLOOKUP(Table131342941[[#This Row],[Ln'#]],Elite!$A$5:$AT$34,3,FALSE))</f>
        <v/>
      </c>
      <c r="R25" s="51" t="str">
        <f>IF(Table131342941[[#This Row],[Dog ID]]="","",(VLOOKUP(Table131342941[[#This Row],[Dog ID]],Elite!C$5:$D$34,2,FALSE)&amp;" - " &amp;VLOOKUP(Table131342941[[#This Row],[Dog ID]],'SDDA Dogs'!A:C,3,FALSE)))</f>
        <v/>
      </c>
      <c r="S25" s="51" t="str">
        <f>IF(Table131342941[[#This Row],[Dog ID]]="","",(VLOOKUP(Table131342941[[#This Row],[Dog ID]],Elite!C$5:$AT55,44,FALSE)))</f>
        <v/>
      </c>
    </row>
    <row r="26" spans="1:19" ht="30" customHeight="1" x14ac:dyDescent="0.45">
      <c r="A26" s="49">
        <v>23</v>
      </c>
      <c r="B26" s="49" t="str">
        <f>IF(OR(VLOOKUP(Table19315[[#This Row],[Ln'#]],Elite!A$5:AV$34,6,FALSE)="E",VLOOKUP(Table19315[[#This Row],[Ln'#]],Elite!A$5:AV$34,6,FALSE)="FEO"),"Entered or FEO","Not Entered")</f>
        <v>Not Entered</v>
      </c>
      <c r="C26" s="50" t="str">
        <f t="shared" ca="1" si="0"/>
        <v/>
      </c>
      <c r="D26" s="48"/>
      <c r="E26" s="48"/>
      <c r="F26" s="48"/>
      <c r="G26" s="48" t="str">
        <f>IF(Table19315[[#This Row],[Status]]="Not Entered","",VLOOKUP(Table19315[[#This Row],[Ln'#]],Elite!$A$5:$AT$34,3,FALSE))</f>
        <v/>
      </c>
      <c r="H26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6" s="51" t="str">
        <f>IF(Table19315[[#This Row],[Status]]="Not Entered","",VLOOKUP(Table19315[[#This Row],[Ln'#]],Elite!$A$5:$AT$34,46,FALSE))</f>
        <v/>
      </c>
      <c r="K26" s="49">
        <v>23</v>
      </c>
      <c r="L26" s="144" t="str">
        <f>IF(OR(VLOOKUP(Table131342941[[#This Row],[Ln'#]],Elite!A$5:AT$34,6,FALSE)="E",VLOOKUP(Table131342941[[#This Row],[Ln'#]],Elite!A$5:AT$34,6,FALSE)="FEO"),"x","")</f>
        <v/>
      </c>
      <c r="M26" s="144" t="str">
        <f>IF(OR(VLOOKUP(Table131342941[[#This Row],[Ln'#]],Elite!A$5:AT$34,14,FALSE)="E",VLOOKUP(Table131342941[[#This Row],[Ln'#]],Elite!A$5:AT$34,14,FALSE)="FEO"),"x","")</f>
        <v/>
      </c>
      <c r="N26" s="48"/>
      <c r="O26" s="48"/>
      <c r="P26" s="48"/>
      <c r="Q26" s="48" t="str">
        <f>IF(AND(Table131342941[[#This Row],[Status Container]]="",Table131342941[[#This Row],[Status Interior]]=""),"",VLOOKUP(Table131342941[[#This Row],[Ln'#]],Elite!$A$5:$AT$34,3,FALSE))</f>
        <v/>
      </c>
      <c r="R26" s="51" t="str">
        <f>IF(Table131342941[[#This Row],[Dog ID]]="","",(VLOOKUP(Table131342941[[#This Row],[Dog ID]],Elite!C$5:$D$34,2,FALSE)&amp;" - " &amp;VLOOKUP(Table131342941[[#This Row],[Dog ID]],'SDDA Dogs'!A:C,3,FALSE)))</f>
        <v/>
      </c>
      <c r="S26" s="51" t="str">
        <f>IF(Table131342941[[#This Row],[Dog ID]]="","",(VLOOKUP(Table131342941[[#This Row],[Dog ID]],Elite!C$5:$AT56,44,FALSE)))</f>
        <v/>
      </c>
    </row>
    <row r="27" spans="1:19" ht="30" customHeight="1" x14ac:dyDescent="0.45">
      <c r="A27" s="49">
        <v>24</v>
      </c>
      <c r="B27" s="49" t="str">
        <f>IF(OR(VLOOKUP(Table19315[[#This Row],[Ln'#]],Elite!A$5:AV$34,6,FALSE)="E",VLOOKUP(Table19315[[#This Row],[Ln'#]],Elite!A$5:AV$34,6,FALSE)="FEO"),"Entered or FEO","Not Entered")</f>
        <v>Not Entered</v>
      </c>
      <c r="C27" s="50" t="str">
        <f t="shared" ca="1" si="0"/>
        <v/>
      </c>
      <c r="D27" s="48"/>
      <c r="E27" s="48"/>
      <c r="F27" s="48"/>
      <c r="G27" s="48" t="str">
        <f>IF(Table19315[[#This Row],[Status]]="Not Entered","",VLOOKUP(Table19315[[#This Row],[Ln'#]],Elite!$A$5:$AT$34,3,FALSE))</f>
        <v/>
      </c>
      <c r="H27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7" s="51" t="str">
        <f>IF(Table19315[[#This Row],[Status]]="Not Entered","",VLOOKUP(Table19315[[#This Row],[Ln'#]],Elite!$A$5:$AT$34,46,FALSE))</f>
        <v/>
      </c>
      <c r="K27" s="49">
        <v>24</v>
      </c>
      <c r="L27" s="144" t="str">
        <f>IF(OR(VLOOKUP(Table131342941[[#This Row],[Ln'#]],Elite!A$5:AT$34,6,FALSE)="E",VLOOKUP(Table131342941[[#This Row],[Ln'#]],Elite!A$5:AT$34,6,FALSE)="FEO"),"x","")</f>
        <v/>
      </c>
      <c r="M27" s="144" t="str">
        <f>IF(OR(VLOOKUP(Table131342941[[#This Row],[Ln'#]],Elite!A$5:AT$34,14,FALSE)="E",VLOOKUP(Table131342941[[#This Row],[Ln'#]],Elite!A$5:AT$34,14,FALSE)="FEO"),"x","")</f>
        <v/>
      </c>
      <c r="N27" s="48"/>
      <c r="O27" s="48"/>
      <c r="P27" s="48"/>
      <c r="Q27" s="48" t="str">
        <f>IF(AND(Table131342941[[#This Row],[Status Container]]="",Table131342941[[#This Row],[Status Interior]]=""),"",VLOOKUP(Table131342941[[#This Row],[Ln'#]],Elite!$A$5:$AT$34,3,FALSE))</f>
        <v/>
      </c>
      <c r="R27" s="51" t="str">
        <f>IF(Table131342941[[#This Row],[Dog ID]]="","",(VLOOKUP(Table131342941[[#This Row],[Dog ID]],Elite!C$5:$D$34,2,FALSE)&amp;" - " &amp;VLOOKUP(Table131342941[[#This Row],[Dog ID]],'SDDA Dogs'!A:C,3,FALSE)))</f>
        <v/>
      </c>
      <c r="S27" s="51" t="str">
        <f>IF(Table131342941[[#This Row],[Dog ID]]="","",(VLOOKUP(Table131342941[[#This Row],[Dog ID]],Elite!C$5:$AT57,44,FALSE)))</f>
        <v/>
      </c>
    </row>
    <row r="28" spans="1:19" ht="30" customHeight="1" x14ac:dyDescent="0.45">
      <c r="A28" s="49">
        <v>25</v>
      </c>
      <c r="B28" s="49" t="str">
        <f>IF(OR(VLOOKUP(Table19315[[#This Row],[Ln'#]],Elite!A$5:AV$34,6,FALSE)="E",VLOOKUP(Table19315[[#This Row],[Ln'#]],Elite!A$5:AV$34,6,FALSE)="FEO"),"Entered or FEO","Not Entered")</f>
        <v>Not Entered</v>
      </c>
      <c r="C28" s="50" t="str">
        <f t="shared" ca="1" si="0"/>
        <v/>
      </c>
      <c r="D28" s="48"/>
      <c r="E28" s="48"/>
      <c r="F28" s="48"/>
      <c r="G28" s="48" t="str">
        <f>IF(Table19315[[#This Row],[Status]]="Not Entered","",VLOOKUP(Table19315[[#This Row],[Ln'#]],Elite!$A$5:$AT$34,3,FALSE))</f>
        <v/>
      </c>
      <c r="H28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8" s="51" t="str">
        <f>IF(Table19315[[#This Row],[Status]]="Not Entered","",VLOOKUP(Table19315[[#This Row],[Ln'#]],Elite!$A$5:$AT$34,46,FALSE))</f>
        <v/>
      </c>
      <c r="K28" s="49">
        <v>25</v>
      </c>
      <c r="L28" s="144" t="str">
        <f>IF(OR(VLOOKUP(Table131342941[[#This Row],[Ln'#]],Elite!A$5:AT$34,6,FALSE)="E",VLOOKUP(Table131342941[[#This Row],[Ln'#]],Elite!A$5:AT$34,6,FALSE)="FEO"),"x","")</f>
        <v/>
      </c>
      <c r="M28" s="144" t="str">
        <f>IF(OR(VLOOKUP(Table131342941[[#This Row],[Ln'#]],Elite!A$5:AT$34,14,FALSE)="E",VLOOKUP(Table131342941[[#This Row],[Ln'#]],Elite!A$5:AT$34,14,FALSE)="FEO"),"x","")</f>
        <v/>
      </c>
      <c r="N28" s="48"/>
      <c r="O28" s="48"/>
      <c r="P28" s="48"/>
      <c r="Q28" s="48" t="str">
        <f>IF(AND(Table131342941[[#This Row],[Status Container]]="",Table131342941[[#This Row],[Status Interior]]=""),"",VLOOKUP(Table131342941[[#This Row],[Ln'#]],Elite!$A$5:$AT$34,3,FALSE))</f>
        <v/>
      </c>
      <c r="R28" s="51" t="str">
        <f>IF(Table131342941[[#This Row],[Dog ID]]="","",(VLOOKUP(Table131342941[[#This Row],[Dog ID]],Elite!C$5:$D$34,2,FALSE)&amp;" - " &amp;VLOOKUP(Table131342941[[#This Row],[Dog ID]],'SDDA Dogs'!A:C,3,FALSE)))</f>
        <v/>
      </c>
      <c r="S28" s="51" t="str">
        <f>IF(Table131342941[[#This Row],[Dog ID]]="","",(VLOOKUP(Table131342941[[#This Row],[Dog ID]],Elite!C$5:$AT58,44,FALSE)))</f>
        <v/>
      </c>
    </row>
    <row r="29" spans="1:19" ht="30" customHeight="1" x14ac:dyDescent="0.45">
      <c r="A29" s="49">
        <v>26</v>
      </c>
      <c r="B29" s="49" t="str">
        <f>IF(OR(VLOOKUP(Table19315[[#This Row],[Ln'#]],Elite!A$5:AV$34,6,FALSE)="E",VLOOKUP(Table19315[[#This Row],[Ln'#]],Elite!A$5:AV$34,6,FALSE)="FEO"),"Entered or FEO","Not Entered")</f>
        <v>Not Entered</v>
      </c>
      <c r="C29" s="50" t="str">
        <f t="shared" ca="1" si="0"/>
        <v/>
      </c>
      <c r="D29" s="48"/>
      <c r="E29" s="48"/>
      <c r="F29" s="48"/>
      <c r="G29" s="48" t="str">
        <f>IF(Table19315[[#This Row],[Status]]="Not Entered","",VLOOKUP(Table19315[[#This Row],[Ln'#]],Elite!$A$5:$AT$34,3,FALSE))</f>
        <v/>
      </c>
      <c r="H29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9" s="51" t="str">
        <f>IF(Table19315[[#This Row],[Status]]="Not Entered","",VLOOKUP(Table19315[[#This Row],[Ln'#]],Elite!$A$5:$AT$34,46,FALSE))</f>
        <v/>
      </c>
      <c r="K29" s="49">
        <v>26</v>
      </c>
      <c r="L29" s="144" t="str">
        <f>IF(OR(VLOOKUP(Table131342941[[#This Row],[Ln'#]],Elite!A$5:AT$34,6,FALSE)="E",VLOOKUP(Table131342941[[#This Row],[Ln'#]],Elite!A$5:AT$34,6,FALSE)="FEO"),"x","")</f>
        <v/>
      </c>
      <c r="M29" s="144" t="str">
        <f>IF(OR(VLOOKUP(Table131342941[[#This Row],[Ln'#]],Elite!A$5:AT$34,14,FALSE)="E",VLOOKUP(Table131342941[[#This Row],[Ln'#]],Elite!A$5:AT$34,14,FALSE)="FEO"),"x","")</f>
        <v/>
      </c>
      <c r="N29" s="48"/>
      <c r="O29" s="48"/>
      <c r="P29" s="48"/>
      <c r="Q29" s="48" t="str">
        <f>IF(AND(Table131342941[[#This Row],[Status Container]]="",Table131342941[[#This Row],[Status Interior]]=""),"",VLOOKUP(Table131342941[[#This Row],[Ln'#]],Elite!$A$5:$AT$34,3,FALSE))</f>
        <v/>
      </c>
      <c r="R29" s="51" t="str">
        <f>IF(Table131342941[[#This Row],[Dog ID]]="","",(VLOOKUP(Table131342941[[#This Row],[Dog ID]],Elite!C$5:$D$34,2,FALSE)&amp;" - " &amp;VLOOKUP(Table131342941[[#This Row],[Dog ID]],'SDDA Dogs'!A:C,3,FALSE)))</f>
        <v/>
      </c>
      <c r="S29" s="51" t="str">
        <f>IF(Table131342941[[#This Row],[Dog ID]]="","",(VLOOKUP(Table131342941[[#This Row],[Dog ID]],Elite!C$5:$AT59,44,FALSE)))</f>
        <v/>
      </c>
    </row>
    <row r="30" spans="1:19" ht="30" customHeight="1" x14ac:dyDescent="0.45">
      <c r="A30" s="49">
        <v>27</v>
      </c>
      <c r="B30" s="49" t="str">
        <f>IF(OR(VLOOKUP(Table19315[[#This Row],[Ln'#]],Elite!A$5:AV$34,6,FALSE)="E",VLOOKUP(Table19315[[#This Row],[Ln'#]],Elite!A$5:AV$34,6,FALSE)="FEO"),"Entered or FEO","Not Entered")</f>
        <v>Not Entered</v>
      </c>
      <c r="C30" s="50" t="str">
        <f t="shared" ca="1" si="0"/>
        <v/>
      </c>
      <c r="D30" s="48"/>
      <c r="E30" s="48"/>
      <c r="F30" s="48"/>
      <c r="G30" s="48" t="str">
        <f>IF(Table19315[[#This Row],[Status]]="Not Entered","",VLOOKUP(Table19315[[#This Row],[Ln'#]],Elite!$A$5:$AT$34,3,FALSE))</f>
        <v/>
      </c>
      <c r="H30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0" s="51" t="str">
        <f>IF(Table19315[[#This Row],[Status]]="Not Entered","",VLOOKUP(Table19315[[#This Row],[Ln'#]],Elite!$A$5:$AT$34,46,FALSE))</f>
        <v/>
      </c>
      <c r="K30" s="49">
        <v>27</v>
      </c>
      <c r="L30" s="144" t="str">
        <f>IF(OR(VLOOKUP(Table131342941[[#This Row],[Ln'#]],Elite!A$5:AT$34,6,FALSE)="E",VLOOKUP(Table131342941[[#This Row],[Ln'#]],Elite!A$5:AT$34,6,FALSE)="FEO"),"x","")</f>
        <v/>
      </c>
      <c r="M30" s="144" t="str">
        <f>IF(OR(VLOOKUP(Table131342941[[#This Row],[Ln'#]],Elite!A$5:AT$34,14,FALSE)="E",VLOOKUP(Table131342941[[#This Row],[Ln'#]],Elite!A$5:AT$34,14,FALSE)="FEO"),"x","")</f>
        <v/>
      </c>
      <c r="N30" s="48"/>
      <c r="O30" s="48"/>
      <c r="P30" s="48"/>
      <c r="Q30" s="48" t="str">
        <f>IF(AND(Table131342941[[#This Row],[Status Container]]="",Table131342941[[#This Row],[Status Interior]]=""),"",VLOOKUP(Table131342941[[#This Row],[Ln'#]],Elite!$A$5:$AT$34,3,FALSE))</f>
        <v/>
      </c>
      <c r="R30" s="51" t="str">
        <f>IF(Table131342941[[#This Row],[Dog ID]]="","",(VLOOKUP(Table131342941[[#This Row],[Dog ID]],Elite!C$5:$D$34,2,FALSE)&amp;" - " &amp;VLOOKUP(Table131342941[[#This Row],[Dog ID]],'SDDA Dogs'!A:C,3,FALSE)))</f>
        <v/>
      </c>
      <c r="S30" s="51" t="str">
        <f>IF(Table131342941[[#This Row],[Dog ID]]="","",(VLOOKUP(Table131342941[[#This Row],[Dog ID]],Elite!C$5:$AT60,44,FALSE)))</f>
        <v/>
      </c>
    </row>
    <row r="31" spans="1:19" ht="30" customHeight="1" x14ac:dyDescent="0.45">
      <c r="A31" s="49">
        <v>28</v>
      </c>
      <c r="B31" s="49" t="str">
        <f>IF(OR(VLOOKUP(Table19315[[#This Row],[Ln'#]],Elite!A$5:AV$34,6,FALSE)="E",VLOOKUP(Table19315[[#This Row],[Ln'#]],Elite!A$5:AV$34,6,FALSE)="FEO"),"Entered or FEO","Not Entered")</f>
        <v>Not Entered</v>
      </c>
      <c r="C31" s="50" t="str">
        <f t="shared" ca="1" si="0"/>
        <v/>
      </c>
      <c r="D31" s="48"/>
      <c r="E31" s="48"/>
      <c r="F31" s="48"/>
      <c r="G31" s="48" t="str">
        <f>IF(Table19315[[#This Row],[Status]]="Not Entered","",VLOOKUP(Table19315[[#This Row],[Ln'#]],Elite!$A$5:$AT$34,3,FALSE))</f>
        <v/>
      </c>
      <c r="H31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1" s="51" t="str">
        <f>IF(Table19315[[#This Row],[Status]]="Not Entered","",VLOOKUP(Table19315[[#This Row],[Ln'#]],Elite!$A$5:$AT$34,46,FALSE))</f>
        <v/>
      </c>
      <c r="K31" s="49">
        <v>28</v>
      </c>
      <c r="L31" s="144" t="str">
        <f>IF(OR(VLOOKUP(Table131342941[[#This Row],[Ln'#]],Elite!A$5:AT$34,6,FALSE)="E",VLOOKUP(Table131342941[[#This Row],[Ln'#]],Elite!A$5:AT$34,6,FALSE)="FEO"),"x","")</f>
        <v/>
      </c>
      <c r="M31" s="144" t="str">
        <f>IF(OR(VLOOKUP(Table131342941[[#This Row],[Ln'#]],Elite!A$5:AT$34,14,FALSE)="E",VLOOKUP(Table131342941[[#This Row],[Ln'#]],Elite!A$5:AT$34,14,FALSE)="FEO"),"x","")</f>
        <v/>
      </c>
      <c r="N31" s="48"/>
      <c r="O31" s="48"/>
      <c r="P31" s="48"/>
      <c r="Q31" s="48" t="str">
        <f>IF(AND(Table131342941[[#This Row],[Status Container]]="",Table131342941[[#This Row],[Status Interior]]=""),"",VLOOKUP(Table131342941[[#This Row],[Ln'#]],Elite!$A$5:$AT$34,3,FALSE))</f>
        <v/>
      </c>
      <c r="R31" s="51" t="str">
        <f>IF(Table131342941[[#This Row],[Dog ID]]="","",(VLOOKUP(Table131342941[[#This Row],[Dog ID]],Elite!C$5:$D$34,2,FALSE)&amp;" - " &amp;VLOOKUP(Table131342941[[#This Row],[Dog ID]],'SDDA Dogs'!A:C,3,FALSE)))</f>
        <v/>
      </c>
      <c r="S31" s="51" t="str">
        <f>IF(Table131342941[[#This Row],[Dog ID]]="","",(VLOOKUP(Table131342941[[#This Row],[Dog ID]],Elite!C$5:$AT61,44,FALSE)))</f>
        <v/>
      </c>
    </row>
    <row r="32" spans="1:19" ht="30" customHeight="1" x14ac:dyDescent="0.45">
      <c r="A32" s="49">
        <v>29</v>
      </c>
      <c r="B32" s="49" t="str">
        <f>IF(OR(VLOOKUP(Table19315[[#This Row],[Ln'#]],Elite!A$5:AV$34,6,FALSE)="E",VLOOKUP(Table19315[[#This Row],[Ln'#]],Elite!A$5:AV$34,6,FALSE)="FEO"),"Entered or FEO","Not Entered")</f>
        <v>Not Entered</v>
      </c>
      <c r="C32" s="50" t="str">
        <f t="shared" ca="1" si="0"/>
        <v/>
      </c>
      <c r="D32" s="48"/>
      <c r="E32" s="48"/>
      <c r="F32" s="48"/>
      <c r="G32" s="48" t="str">
        <f>IF(Table19315[[#This Row],[Status]]="Not Entered","",VLOOKUP(Table19315[[#This Row],[Ln'#]],Elite!$A$5:$AT$34,3,FALSE))</f>
        <v/>
      </c>
      <c r="H32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2" s="51" t="str">
        <f>IF(Table19315[[#This Row],[Status]]="Not Entered","",VLOOKUP(Table19315[[#This Row],[Ln'#]],Elite!$A$5:$AT$34,46,FALSE))</f>
        <v/>
      </c>
      <c r="K32" s="49">
        <v>29</v>
      </c>
      <c r="L32" s="144" t="str">
        <f>IF(OR(VLOOKUP(Table131342941[[#This Row],[Ln'#]],Elite!A$5:AT$34,6,FALSE)="E",VLOOKUP(Table131342941[[#This Row],[Ln'#]],Elite!A$5:AT$34,6,FALSE)="FEO"),"x","")</f>
        <v/>
      </c>
      <c r="M32" s="144" t="str">
        <f>IF(OR(VLOOKUP(Table131342941[[#This Row],[Ln'#]],Elite!A$5:AT$34,14,FALSE)="E",VLOOKUP(Table131342941[[#This Row],[Ln'#]],Elite!A$5:AT$34,14,FALSE)="FEO"),"x","")</f>
        <v/>
      </c>
      <c r="N32" s="48"/>
      <c r="O32" s="48"/>
      <c r="P32" s="48"/>
      <c r="Q32" s="48" t="str">
        <f>IF(AND(Table131342941[[#This Row],[Status Container]]="",Table131342941[[#This Row],[Status Interior]]=""),"",VLOOKUP(Table131342941[[#This Row],[Ln'#]],Elite!$A$5:$AT$34,3,FALSE))</f>
        <v/>
      </c>
      <c r="R32" s="51" t="str">
        <f>IF(Table131342941[[#This Row],[Dog ID]]="","",(VLOOKUP(Table131342941[[#This Row],[Dog ID]],Elite!C$5:$D$34,2,FALSE)&amp;" - " &amp;VLOOKUP(Table131342941[[#This Row],[Dog ID]],'SDDA Dogs'!A:C,3,FALSE)))</f>
        <v/>
      </c>
      <c r="S32" s="51" t="str">
        <f>IF(Table131342941[[#This Row],[Dog ID]]="","",(VLOOKUP(Table131342941[[#This Row],[Dog ID]],Elite!C$5:$AT62,44,FALSE)))</f>
        <v/>
      </c>
    </row>
    <row r="33" spans="1:19" ht="30" customHeight="1" x14ac:dyDescent="0.45">
      <c r="A33" s="49">
        <v>30</v>
      </c>
      <c r="B33" s="49" t="str">
        <f>IF(OR(VLOOKUP(Table19315[[#This Row],[Ln'#]],Elite!A$5:AV$34,6,FALSE)="E",VLOOKUP(Table19315[[#This Row],[Ln'#]],Elite!A$5:AV$34,6,FALSE)="FEO"),"Entered or FEO","Not Entered")</f>
        <v>Not Entered</v>
      </c>
      <c r="C33" s="50" t="str">
        <f t="shared" ca="1" si="0"/>
        <v/>
      </c>
      <c r="D33" s="48"/>
      <c r="E33" s="48"/>
      <c r="F33" s="48"/>
      <c r="G33" s="48" t="str">
        <f>IF(Table19315[[#This Row],[Status]]="Not Entered","",VLOOKUP(Table19315[[#This Row],[Ln'#]],Elite!$A$5:$AT$34,3,FALSE))</f>
        <v/>
      </c>
      <c r="H33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3" s="51" t="str">
        <f>IF(Table19315[[#This Row],[Status]]="Not Entered","",VLOOKUP(Table19315[[#This Row],[Ln'#]],Elite!$A$5:$AT$34,46,FALSE))</f>
        <v/>
      </c>
      <c r="K33" s="49">
        <v>30</v>
      </c>
      <c r="L33" s="144" t="str">
        <f>IF(OR(VLOOKUP(Table131342941[[#This Row],[Ln'#]],Elite!A$5:AT$34,6,FALSE)="E",VLOOKUP(Table131342941[[#This Row],[Ln'#]],Elite!A$5:AT$34,6,FALSE)="FEO"),"x","")</f>
        <v/>
      </c>
      <c r="M33" s="144" t="str">
        <f>IF(OR(VLOOKUP(Table131342941[[#This Row],[Ln'#]],Elite!A$5:AT$34,14,FALSE)="E",VLOOKUP(Table131342941[[#This Row],[Ln'#]],Elite!A$5:AT$34,14,FALSE)="FEO"),"x","")</f>
        <v/>
      </c>
      <c r="N33" s="48"/>
      <c r="O33" s="48"/>
      <c r="P33" s="48"/>
      <c r="Q33" s="48" t="str">
        <f>IF(AND(Table131342941[[#This Row],[Status Container]]="",Table131342941[[#This Row],[Status Interior]]=""),"",VLOOKUP(Table131342941[[#This Row],[Ln'#]],Elite!$A$5:$AT$34,3,FALSE))</f>
        <v/>
      </c>
      <c r="R33" s="51" t="str">
        <f>IF(Table131342941[[#This Row],[Dog ID]]="","",(VLOOKUP(Table131342941[[#This Row],[Dog ID]],Elite!C$5:$D$34,2,FALSE)&amp;" - " &amp;VLOOKUP(Table131342941[[#This Row],[Dog ID]],'SDDA Dogs'!A:C,3,FALSE)))</f>
        <v/>
      </c>
      <c r="S33" s="51" t="str">
        <f>IF(Table131342941[[#This Row],[Dog ID]]="","",(VLOOKUP(Table131342941[[#This Row],[Dog ID]],Elite!C$5:$AT63,44,FALSE)))</f>
        <v/>
      </c>
    </row>
    <row r="34" spans="1:19" ht="30" customHeight="1" x14ac:dyDescent="0.4">
      <c r="A34" s="116"/>
      <c r="B34" s="116"/>
      <c r="C34" s="116"/>
      <c r="D34" s="116" t="s">
        <v>1141</v>
      </c>
      <c r="E34" s="116">
        <f>SUBTOTAL(102,Table19315[Running Order])</f>
        <v>0</v>
      </c>
      <c r="F34" s="116"/>
      <c r="G34" s="116"/>
      <c r="H34" s="117"/>
      <c r="I34" s="117"/>
      <c r="K34" s="48"/>
      <c r="L34" s="48"/>
      <c r="M34" s="48"/>
      <c r="N34" s="48" t="s">
        <v>1141</v>
      </c>
      <c r="O34" s="48">
        <f>SUBTOTAL(102,Table131342941[Running Order])</f>
        <v>0</v>
      </c>
      <c r="P34" s="48"/>
      <c r="Q34" s="48"/>
      <c r="R34" s="51"/>
      <c r="S34" s="51"/>
    </row>
    <row r="36" spans="1:19" ht="30" customHeight="1" x14ac:dyDescent="0.4">
      <c r="A36" s="402" t="s">
        <v>1143</v>
      </c>
      <c r="B36" s="402"/>
      <c r="C36" s="43"/>
      <c r="D36" s="403" t="s">
        <v>2043</v>
      </c>
      <c r="E36" s="403"/>
      <c r="F36" s="403"/>
      <c r="G36" s="403"/>
      <c r="H36" s="403"/>
      <c r="I36" s="403"/>
      <c r="K36" s="23" t="s">
        <v>1143</v>
      </c>
      <c r="L36" s="403" t="s">
        <v>2541</v>
      </c>
      <c r="M36" s="403"/>
      <c r="N36" s="403"/>
      <c r="O36" s="403"/>
      <c r="P36" s="403"/>
      <c r="Q36" s="403"/>
      <c r="R36" s="403"/>
      <c r="S36" s="403"/>
    </row>
    <row r="37" spans="1:19" ht="54" customHeight="1" x14ac:dyDescent="0.4">
      <c r="A37" s="67" t="s">
        <v>605</v>
      </c>
      <c r="B37" s="67" t="s">
        <v>1139</v>
      </c>
      <c r="C37" s="68" t="s">
        <v>1140</v>
      </c>
      <c r="D37" s="67" t="s">
        <v>1142</v>
      </c>
      <c r="E37" s="67" t="s">
        <v>1135</v>
      </c>
      <c r="F37" s="67" t="s">
        <v>1188</v>
      </c>
      <c r="G37" s="67" t="s">
        <v>1136</v>
      </c>
      <c r="H37" s="69" t="s">
        <v>1207</v>
      </c>
      <c r="I37" s="69" t="s">
        <v>1137</v>
      </c>
      <c r="K37" s="67" t="s">
        <v>605</v>
      </c>
      <c r="L37" s="67" t="s">
        <v>2493</v>
      </c>
      <c r="M37" s="67" t="s">
        <v>2496</v>
      </c>
      <c r="N37" s="67" t="s">
        <v>1142</v>
      </c>
      <c r="O37" s="67" t="s">
        <v>1135</v>
      </c>
      <c r="P37" s="67" t="s">
        <v>1188</v>
      </c>
      <c r="Q37" s="67" t="s">
        <v>1136</v>
      </c>
      <c r="R37" s="69" t="s">
        <v>1207</v>
      </c>
      <c r="S37" s="69" t="s">
        <v>1137</v>
      </c>
    </row>
    <row r="38" spans="1:19" ht="30" customHeight="1" x14ac:dyDescent="0.45">
      <c r="A38" s="49">
        <v>1</v>
      </c>
      <c r="B38" s="49" t="str">
        <f>IF(OR(VLOOKUP(Table1710518[[#This Row],[Ln'#]],Elite!A$5:AV$34,14,FALSE)="E",VLOOKUP(Table1710518[[#This Row],[Ln'#]],Elite!A$5:AV$34,14,FALSE)="FEO"),"Entered or FEO","Not Entered")</f>
        <v>Not Entered</v>
      </c>
      <c r="C38" s="50" t="str">
        <f t="shared" ref="C38:C67" ca="1" si="1">IF(OR(B38="e",B38="FEO"),RAND(),"")</f>
        <v/>
      </c>
      <c r="D38" s="48"/>
      <c r="E38" s="48"/>
      <c r="F38" s="48"/>
      <c r="G38" s="48" t="str">
        <f>IF(Table1710518[[#This Row],[Status]]="Not Entered","",VLOOKUP(Table1710518[[#This Row],[Ln'#]],Elite!$A$5:$AV$34,3,FALSE))</f>
        <v/>
      </c>
      <c r="H38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38" s="51" t="str">
        <f>IF(Table1710518[[#This Row],[Status]]="Not Entered","",VLOOKUP(Table1710518[[#This Row],[Ln'#]],Elite!$A$4:$AV$34,46,FALSE))</f>
        <v/>
      </c>
      <c r="K38" s="49">
        <v>1</v>
      </c>
      <c r="L38" s="144" t="str">
        <f>IF(OR(VLOOKUP(Table13130353842[[#This Row],[Ln'#]],Elite!A$5:AT$34,6,FALSE)="E",VLOOKUP(Table13130353842[[#This Row],[Ln'#]],Elite!A$5:AT$34,6,FALSE)="FEO"),"x","")</f>
        <v/>
      </c>
      <c r="M38" s="144" t="str">
        <f>IF(OR(VLOOKUP(Table13130353842[[#This Row],[Ln'#]],Elite!A$5:AT$34,22,FALSE)="E",VLOOKUP(Table13130353842[[#This Row],[Ln'#]],Elite!A$5:AT$34,22,FALSE)="FEO"),"x","")</f>
        <v/>
      </c>
      <c r="N38" s="48"/>
      <c r="O38" s="48"/>
      <c r="P38" s="48"/>
      <c r="Q38" s="48" t="str">
        <f>IF(AND(Table13130353842[[#This Row],[Status Container]]="",Table13130353842[[#This Row],[Status Exterior]]=""),"",VLOOKUP(Table13130353842[[#This Row],[Ln'#]],Elite!$A$5:$AT$34,3,FALSE))</f>
        <v/>
      </c>
      <c r="R38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38" s="51" t="str">
        <f>IF(Table13130353842[[#This Row],[Dog ID]]="","",(VLOOKUP(Table13130353842[[#This Row],[Dog ID]],Elite!C$5:$AT34,44,FALSE)))</f>
        <v/>
      </c>
    </row>
    <row r="39" spans="1:19" ht="30" customHeight="1" x14ac:dyDescent="0.45">
      <c r="A39" s="49">
        <v>2</v>
      </c>
      <c r="B39" s="49" t="str">
        <f>IF(OR(VLOOKUP(Table1710518[[#This Row],[Ln'#]],Elite!A$5:AV$34,14,FALSE)="E",VLOOKUP(Table1710518[[#This Row],[Ln'#]],Elite!A$5:AV$34,14,FALSE)="FEO"),"Entered or FEO","Not Entered")</f>
        <v>Not Entered</v>
      </c>
      <c r="C39" s="50" t="str">
        <f t="shared" ca="1" si="1"/>
        <v/>
      </c>
      <c r="D39" s="48"/>
      <c r="E39" s="48"/>
      <c r="F39" s="48"/>
      <c r="G39" s="48" t="str">
        <f>IF(Table1710518[[#This Row],[Status]]="Not Entered","",VLOOKUP(Table1710518[[#This Row],[Ln'#]],Elite!$A$5:$AV$34,3,FALSE))</f>
        <v/>
      </c>
      <c r="H39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39" s="51" t="str">
        <f>IF(Table1710518[[#This Row],[Status]]="Not Entered","",VLOOKUP(Table1710518[[#This Row],[Ln'#]],Elite!$A$4:$AV$34,46,FALSE))</f>
        <v/>
      </c>
      <c r="K39" s="49">
        <v>2</v>
      </c>
      <c r="L39" s="144" t="str">
        <f>IF(OR(VLOOKUP(Table13130353842[[#This Row],[Ln'#]],Elite!A$5:AT$34,6,FALSE)="E",VLOOKUP(Table13130353842[[#This Row],[Ln'#]],Elite!A$5:AT$34,6,FALSE)="FEO"),"x","")</f>
        <v/>
      </c>
      <c r="M39" s="144" t="str">
        <f>IF(OR(VLOOKUP(Table13130353842[[#This Row],[Ln'#]],Elite!A$5:AT$34,22,FALSE)="E",VLOOKUP(Table13130353842[[#This Row],[Ln'#]],Elite!A$5:AT$34,22,FALSE)="FEO"),"x","")</f>
        <v/>
      </c>
      <c r="N39" s="48"/>
      <c r="O39" s="48"/>
      <c r="P39" s="48"/>
      <c r="Q39" s="48" t="str">
        <f>IF(AND(Table13130353842[[#This Row],[Status Container]]="",Table13130353842[[#This Row],[Status Exterior]]=""),"",VLOOKUP(Table13130353842[[#This Row],[Ln'#]],Elite!$A$5:$AT$34,3,FALSE))</f>
        <v/>
      </c>
      <c r="R39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39" s="51" t="str">
        <f>IF(Table13130353842[[#This Row],[Dog ID]]="","",(VLOOKUP(Table13130353842[[#This Row],[Dog ID]],Elite!C$5:$AT35,44,FALSE)))</f>
        <v/>
      </c>
    </row>
    <row r="40" spans="1:19" ht="30" customHeight="1" x14ac:dyDescent="0.45">
      <c r="A40" s="49">
        <v>3</v>
      </c>
      <c r="B40" s="49" t="str">
        <f>IF(OR(VLOOKUP(Table1710518[[#This Row],[Ln'#]],Elite!A$5:AV$34,14,FALSE)="E",VLOOKUP(Table1710518[[#This Row],[Ln'#]],Elite!A$5:AV$34,14,FALSE)="FEO"),"Entered or FEO","Not Entered")</f>
        <v>Not Entered</v>
      </c>
      <c r="C40" s="50" t="str">
        <f t="shared" ca="1" si="1"/>
        <v/>
      </c>
      <c r="D40" s="48"/>
      <c r="E40" s="48"/>
      <c r="F40" s="48"/>
      <c r="G40" s="48" t="str">
        <f>IF(Table1710518[[#This Row],[Status]]="Not Entered","",VLOOKUP(Table1710518[[#This Row],[Ln'#]],Elite!$A$5:$AV$34,3,FALSE))</f>
        <v/>
      </c>
      <c r="H40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0" s="51" t="str">
        <f>IF(Table1710518[[#This Row],[Status]]="Not Entered","",VLOOKUP(Table1710518[[#This Row],[Ln'#]],Elite!$A$4:$AV$34,46,FALSE))</f>
        <v/>
      </c>
      <c r="K40" s="49">
        <v>3</v>
      </c>
      <c r="L40" s="144" t="str">
        <f>IF(OR(VLOOKUP(Table13130353842[[#This Row],[Ln'#]],Elite!A$5:AT$34,6,FALSE)="E",VLOOKUP(Table13130353842[[#This Row],[Ln'#]],Elite!A$5:AT$34,6,FALSE)="FEO"),"x","")</f>
        <v/>
      </c>
      <c r="M40" s="144" t="str">
        <f>IF(OR(VLOOKUP(Table13130353842[[#This Row],[Ln'#]],Elite!A$5:AT$34,22,FALSE)="E",VLOOKUP(Table13130353842[[#This Row],[Ln'#]],Elite!A$5:AT$34,22,FALSE)="FEO"),"x","")</f>
        <v/>
      </c>
      <c r="N40" s="48"/>
      <c r="O40" s="48"/>
      <c r="P40" s="48"/>
      <c r="Q40" s="48" t="str">
        <f>IF(AND(Table13130353842[[#This Row],[Status Container]]="",Table13130353842[[#This Row],[Status Exterior]]=""),"",VLOOKUP(Table13130353842[[#This Row],[Ln'#]],Elite!$A$5:$AT$34,3,FALSE))</f>
        <v/>
      </c>
      <c r="R40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0" s="51" t="str">
        <f>IF(Table13130353842[[#This Row],[Dog ID]]="","",(VLOOKUP(Table13130353842[[#This Row],[Dog ID]],Elite!C$5:$AT36,44,FALSE)))</f>
        <v/>
      </c>
    </row>
    <row r="41" spans="1:19" ht="30" customHeight="1" x14ac:dyDescent="0.45">
      <c r="A41" s="49">
        <v>4</v>
      </c>
      <c r="B41" s="49" t="str">
        <f>IF(OR(VLOOKUP(Table1710518[[#This Row],[Ln'#]],Elite!A$5:AV$34,14,FALSE)="E",VLOOKUP(Table1710518[[#This Row],[Ln'#]],Elite!A$5:AV$34,14,FALSE)="FEO"),"Entered or FEO","Not Entered")</f>
        <v>Not Entered</v>
      </c>
      <c r="C41" s="50" t="str">
        <f t="shared" ca="1" si="1"/>
        <v/>
      </c>
      <c r="D41" s="48"/>
      <c r="E41" s="48"/>
      <c r="F41" s="48"/>
      <c r="G41" s="48" t="str">
        <f>IF(Table1710518[[#This Row],[Status]]="Not Entered","",VLOOKUP(Table1710518[[#This Row],[Ln'#]],Elite!$A$5:$AV$34,3,FALSE))</f>
        <v/>
      </c>
      <c r="H41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1" s="51" t="str">
        <f>IF(Table1710518[[#This Row],[Status]]="Not Entered","",VLOOKUP(Table1710518[[#This Row],[Ln'#]],Elite!$A$4:$AV$34,46,FALSE))</f>
        <v/>
      </c>
      <c r="K41" s="49">
        <v>4</v>
      </c>
      <c r="L41" s="144" t="str">
        <f>IF(OR(VLOOKUP(Table13130353842[[#This Row],[Ln'#]],Elite!A$5:AT$34,6,FALSE)="E",VLOOKUP(Table13130353842[[#This Row],[Ln'#]],Elite!A$5:AT$34,6,FALSE)="FEO"),"x","")</f>
        <v/>
      </c>
      <c r="M41" s="144" t="str">
        <f>IF(OR(VLOOKUP(Table13130353842[[#This Row],[Ln'#]],Elite!A$5:AT$34,22,FALSE)="E",VLOOKUP(Table13130353842[[#This Row],[Ln'#]],Elite!A$5:AT$34,22,FALSE)="FEO"),"x","")</f>
        <v/>
      </c>
      <c r="N41" s="48"/>
      <c r="O41" s="48"/>
      <c r="P41" s="48"/>
      <c r="Q41" s="48" t="str">
        <f>IF(AND(Table13130353842[[#This Row],[Status Container]]="",Table13130353842[[#This Row],[Status Exterior]]=""),"",VLOOKUP(Table13130353842[[#This Row],[Ln'#]],Elite!$A$5:$AT$34,3,FALSE))</f>
        <v/>
      </c>
      <c r="R41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1" s="51" t="str">
        <f>IF(Table13130353842[[#This Row],[Dog ID]]="","",(VLOOKUP(Table13130353842[[#This Row],[Dog ID]],Elite!C$5:$AT37,44,FALSE)))</f>
        <v/>
      </c>
    </row>
    <row r="42" spans="1:19" ht="30" customHeight="1" x14ac:dyDescent="0.45">
      <c r="A42" s="49">
        <v>5</v>
      </c>
      <c r="B42" s="49" t="str">
        <f>IF(OR(VLOOKUP(Table1710518[[#This Row],[Ln'#]],Elite!A$5:AV$34,14,FALSE)="E",VLOOKUP(Table1710518[[#This Row],[Ln'#]],Elite!A$5:AV$34,14,FALSE)="FEO"),"Entered or FEO","Not Entered")</f>
        <v>Not Entered</v>
      </c>
      <c r="C42" s="50" t="str">
        <f t="shared" ca="1" si="1"/>
        <v/>
      </c>
      <c r="D42" s="48"/>
      <c r="E42" s="48"/>
      <c r="F42" s="48"/>
      <c r="G42" s="48" t="str">
        <f>IF(Table1710518[[#This Row],[Status]]="Not Entered","",VLOOKUP(Table1710518[[#This Row],[Ln'#]],Elite!$A$5:$AV$34,3,FALSE))</f>
        <v/>
      </c>
      <c r="H42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2" s="51" t="str">
        <f>IF(Table1710518[[#This Row],[Status]]="Not Entered","",VLOOKUP(Table1710518[[#This Row],[Ln'#]],Elite!$A$4:$AV$34,46,FALSE))</f>
        <v/>
      </c>
      <c r="K42" s="49">
        <v>5</v>
      </c>
      <c r="L42" s="144" t="str">
        <f>IF(OR(VLOOKUP(Table13130353842[[#This Row],[Ln'#]],Elite!A$5:AT$34,6,FALSE)="E",VLOOKUP(Table13130353842[[#This Row],[Ln'#]],Elite!A$5:AT$34,6,FALSE)="FEO"),"x","")</f>
        <v/>
      </c>
      <c r="M42" s="144" t="str">
        <f>IF(OR(VLOOKUP(Table13130353842[[#This Row],[Ln'#]],Elite!A$5:AT$34,22,FALSE)="E",VLOOKUP(Table13130353842[[#This Row],[Ln'#]],Elite!A$5:AT$34,22,FALSE)="FEO"),"x","")</f>
        <v/>
      </c>
      <c r="N42" s="48"/>
      <c r="O42" s="48"/>
      <c r="P42" s="48"/>
      <c r="Q42" s="48" t="str">
        <f>IF(AND(Table13130353842[[#This Row],[Status Container]]="",Table13130353842[[#This Row],[Status Exterior]]=""),"",VLOOKUP(Table13130353842[[#This Row],[Ln'#]],Elite!$A$5:$AT$34,3,FALSE))</f>
        <v/>
      </c>
      <c r="R42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2" s="51" t="str">
        <f>IF(Table13130353842[[#This Row],[Dog ID]]="","",(VLOOKUP(Table13130353842[[#This Row],[Dog ID]],Elite!C$5:$AT38,44,FALSE)))</f>
        <v/>
      </c>
    </row>
    <row r="43" spans="1:19" ht="30" customHeight="1" x14ac:dyDescent="0.45">
      <c r="A43" s="49">
        <v>6</v>
      </c>
      <c r="B43" s="49" t="str">
        <f>IF(OR(VLOOKUP(Table1710518[[#This Row],[Ln'#]],Elite!A$5:AV$34,14,FALSE)="E",VLOOKUP(Table1710518[[#This Row],[Ln'#]],Elite!A$5:AV$34,14,FALSE)="FEO"),"Entered or FEO","Not Entered")</f>
        <v>Not Entered</v>
      </c>
      <c r="C43" s="50" t="str">
        <f t="shared" ca="1" si="1"/>
        <v/>
      </c>
      <c r="D43" s="48"/>
      <c r="E43" s="48"/>
      <c r="F43" s="48"/>
      <c r="G43" s="48" t="str">
        <f>IF(Table1710518[[#This Row],[Status]]="Not Entered","",VLOOKUP(Table1710518[[#This Row],[Ln'#]],Elite!$A$5:$AV$34,3,FALSE))</f>
        <v/>
      </c>
      <c r="H43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3" s="51" t="str">
        <f>IF(Table1710518[[#This Row],[Status]]="Not Entered","",VLOOKUP(Table1710518[[#This Row],[Ln'#]],Elite!$A$4:$AV$34,46,FALSE))</f>
        <v/>
      </c>
      <c r="K43" s="49">
        <v>6</v>
      </c>
      <c r="L43" s="144" t="str">
        <f>IF(OR(VLOOKUP(Table13130353842[[#This Row],[Ln'#]],Elite!A$5:AT$34,6,FALSE)="E",VLOOKUP(Table13130353842[[#This Row],[Ln'#]],Elite!A$5:AT$34,6,FALSE)="FEO"),"x","")</f>
        <v/>
      </c>
      <c r="M43" s="144" t="str">
        <f>IF(OR(VLOOKUP(Table13130353842[[#This Row],[Ln'#]],Elite!A$5:AT$34,22,FALSE)="E",VLOOKUP(Table13130353842[[#This Row],[Ln'#]],Elite!A$5:AT$34,22,FALSE)="FEO"),"x","")</f>
        <v/>
      </c>
      <c r="N43" s="48"/>
      <c r="O43" s="48"/>
      <c r="P43" s="48"/>
      <c r="Q43" s="48" t="str">
        <f>IF(AND(Table13130353842[[#This Row],[Status Container]]="",Table13130353842[[#This Row],[Status Exterior]]=""),"",VLOOKUP(Table13130353842[[#This Row],[Ln'#]],Elite!$A$5:$AT$34,3,FALSE))</f>
        <v/>
      </c>
      <c r="R43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3" s="51" t="str">
        <f>IF(Table13130353842[[#This Row],[Dog ID]]="","",(VLOOKUP(Table13130353842[[#This Row],[Dog ID]],Elite!C$5:$AT39,44,FALSE)))</f>
        <v/>
      </c>
    </row>
    <row r="44" spans="1:19" ht="30" customHeight="1" x14ac:dyDescent="0.45">
      <c r="A44" s="49">
        <v>7</v>
      </c>
      <c r="B44" s="49" t="str">
        <f>IF(OR(VLOOKUP(Table1710518[[#This Row],[Ln'#]],Elite!A$5:AV$34,14,FALSE)="E",VLOOKUP(Table1710518[[#This Row],[Ln'#]],Elite!A$5:AV$34,14,FALSE)="FEO"),"Entered or FEO","Not Entered")</f>
        <v>Not Entered</v>
      </c>
      <c r="C44" s="50" t="str">
        <f t="shared" ca="1" si="1"/>
        <v/>
      </c>
      <c r="D44" s="48"/>
      <c r="E44" s="48"/>
      <c r="F44" s="48"/>
      <c r="G44" s="48" t="str">
        <f>IF(Table1710518[[#This Row],[Status]]="Not Entered","",VLOOKUP(Table1710518[[#This Row],[Ln'#]],Elite!$A$5:$AV$34,3,FALSE))</f>
        <v/>
      </c>
      <c r="H44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4" s="51" t="str">
        <f>IF(Table1710518[[#This Row],[Status]]="Not Entered","",VLOOKUP(Table1710518[[#This Row],[Ln'#]],Elite!$A$4:$AV$34,46,FALSE))</f>
        <v/>
      </c>
      <c r="K44" s="49">
        <v>7</v>
      </c>
      <c r="L44" s="144" t="str">
        <f>IF(OR(VLOOKUP(Table13130353842[[#This Row],[Ln'#]],Elite!A$5:AT$34,6,FALSE)="E",VLOOKUP(Table13130353842[[#This Row],[Ln'#]],Elite!A$5:AT$34,6,FALSE)="FEO"),"x","")</f>
        <v/>
      </c>
      <c r="M44" s="144" t="str">
        <f>IF(OR(VLOOKUP(Table13130353842[[#This Row],[Ln'#]],Elite!A$5:AT$34,22,FALSE)="E",VLOOKUP(Table13130353842[[#This Row],[Ln'#]],Elite!A$5:AT$34,22,FALSE)="FEO"),"x","")</f>
        <v/>
      </c>
      <c r="N44" s="48"/>
      <c r="O44" s="48"/>
      <c r="P44" s="48"/>
      <c r="Q44" s="48" t="str">
        <f>IF(AND(Table13130353842[[#This Row],[Status Container]]="",Table13130353842[[#This Row],[Status Exterior]]=""),"",VLOOKUP(Table13130353842[[#This Row],[Ln'#]],Elite!$A$5:$AT$34,3,FALSE))</f>
        <v/>
      </c>
      <c r="R44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4" s="51" t="str">
        <f>IF(Table13130353842[[#This Row],[Dog ID]]="","",(VLOOKUP(Table13130353842[[#This Row],[Dog ID]],Elite!C$5:$AT40,44,FALSE)))</f>
        <v/>
      </c>
    </row>
    <row r="45" spans="1:19" ht="30" customHeight="1" x14ac:dyDescent="0.45">
      <c r="A45" s="49">
        <v>8</v>
      </c>
      <c r="B45" s="49" t="str">
        <f>IF(OR(VLOOKUP(Table1710518[[#This Row],[Ln'#]],Elite!A$5:AV$34,14,FALSE)="E",VLOOKUP(Table1710518[[#This Row],[Ln'#]],Elite!A$5:AV$34,14,FALSE)="FEO"),"Entered or FEO","Not Entered")</f>
        <v>Not Entered</v>
      </c>
      <c r="C45" s="50" t="str">
        <f t="shared" ca="1" si="1"/>
        <v/>
      </c>
      <c r="D45" s="48"/>
      <c r="E45" s="48"/>
      <c r="F45" s="48"/>
      <c r="G45" s="48" t="str">
        <f>IF(Table1710518[[#This Row],[Status]]="Not Entered","",VLOOKUP(Table1710518[[#This Row],[Ln'#]],Elite!$A$5:$AV$34,3,FALSE))</f>
        <v/>
      </c>
      <c r="H45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5" s="51" t="str">
        <f>IF(Table1710518[[#This Row],[Status]]="Not Entered","",VLOOKUP(Table1710518[[#This Row],[Ln'#]],Elite!$A$4:$AV$34,46,FALSE))</f>
        <v/>
      </c>
      <c r="K45" s="49">
        <v>8</v>
      </c>
      <c r="L45" s="144" t="str">
        <f>IF(OR(VLOOKUP(Table13130353842[[#This Row],[Ln'#]],Elite!A$5:AT$34,6,FALSE)="E",VLOOKUP(Table13130353842[[#This Row],[Ln'#]],Elite!A$5:AT$34,6,FALSE)="FEO"),"x","")</f>
        <v/>
      </c>
      <c r="M45" s="144" t="str">
        <f>IF(OR(VLOOKUP(Table13130353842[[#This Row],[Ln'#]],Elite!A$5:AT$34,22,FALSE)="E",VLOOKUP(Table13130353842[[#This Row],[Ln'#]],Elite!A$5:AT$34,22,FALSE)="FEO"),"x","")</f>
        <v/>
      </c>
      <c r="N45" s="48"/>
      <c r="O45" s="48"/>
      <c r="P45" s="48"/>
      <c r="Q45" s="48" t="str">
        <f>IF(AND(Table13130353842[[#This Row],[Status Container]]="",Table13130353842[[#This Row],[Status Exterior]]=""),"",VLOOKUP(Table13130353842[[#This Row],[Ln'#]],Elite!$A$5:$AT$34,3,FALSE))</f>
        <v/>
      </c>
      <c r="R45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5" s="51" t="str">
        <f>IF(Table13130353842[[#This Row],[Dog ID]]="","",(VLOOKUP(Table13130353842[[#This Row],[Dog ID]],Elite!C$5:$AT41,44,FALSE)))</f>
        <v/>
      </c>
    </row>
    <row r="46" spans="1:19" ht="30" customHeight="1" x14ac:dyDescent="0.45">
      <c r="A46" s="49">
        <v>9</v>
      </c>
      <c r="B46" s="49" t="str">
        <f>IF(OR(VLOOKUP(Table1710518[[#This Row],[Ln'#]],Elite!A$5:AV$34,14,FALSE)="E",VLOOKUP(Table1710518[[#This Row],[Ln'#]],Elite!A$5:AV$34,14,FALSE)="FEO"),"Entered or FEO","Not Entered")</f>
        <v>Not Entered</v>
      </c>
      <c r="C46" s="50" t="str">
        <f t="shared" ca="1" si="1"/>
        <v/>
      </c>
      <c r="D46" s="48"/>
      <c r="E46" s="48"/>
      <c r="F46" s="48"/>
      <c r="G46" s="48" t="str">
        <f>IF(Table1710518[[#This Row],[Status]]="Not Entered","",VLOOKUP(Table1710518[[#This Row],[Ln'#]],Elite!$A$5:$AV$34,3,FALSE))</f>
        <v/>
      </c>
      <c r="H46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6" s="51" t="str">
        <f>IF(Table1710518[[#This Row],[Status]]="Not Entered","",VLOOKUP(Table1710518[[#This Row],[Ln'#]],Elite!$A$4:$AV$34,46,FALSE))</f>
        <v/>
      </c>
      <c r="K46" s="49">
        <v>9</v>
      </c>
      <c r="L46" s="144" t="str">
        <f>IF(OR(VLOOKUP(Table13130353842[[#This Row],[Ln'#]],Elite!A$5:AT$34,6,FALSE)="E",VLOOKUP(Table13130353842[[#This Row],[Ln'#]],Elite!A$5:AT$34,6,FALSE)="FEO"),"x","")</f>
        <v/>
      </c>
      <c r="M46" s="144" t="str">
        <f>IF(OR(VLOOKUP(Table13130353842[[#This Row],[Ln'#]],Elite!A$5:AT$34,22,FALSE)="E",VLOOKUP(Table13130353842[[#This Row],[Ln'#]],Elite!A$5:AT$34,22,FALSE)="FEO"),"x","")</f>
        <v/>
      </c>
      <c r="N46" s="48"/>
      <c r="O46" s="48"/>
      <c r="P46" s="48"/>
      <c r="Q46" s="48" t="str">
        <f>IF(AND(Table13130353842[[#This Row],[Status Container]]="",Table13130353842[[#This Row],[Status Exterior]]=""),"",VLOOKUP(Table13130353842[[#This Row],[Ln'#]],Elite!$A$5:$AT$34,3,FALSE))</f>
        <v/>
      </c>
      <c r="R46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6" s="51" t="str">
        <f>IF(Table13130353842[[#This Row],[Dog ID]]="","",(VLOOKUP(Table13130353842[[#This Row],[Dog ID]],Elite!C$5:$AT42,44,FALSE)))</f>
        <v/>
      </c>
    </row>
    <row r="47" spans="1:19" ht="30" customHeight="1" x14ac:dyDescent="0.45">
      <c r="A47" s="49">
        <v>10</v>
      </c>
      <c r="B47" s="49" t="str">
        <f>IF(OR(VLOOKUP(Table1710518[[#This Row],[Ln'#]],Elite!A$5:AV$34,14,FALSE)="E",VLOOKUP(Table1710518[[#This Row],[Ln'#]],Elite!A$5:AV$34,14,FALSE)="FEO"),"Entered or FEO","Not Entered")</f>
        <v>Not Entered</v>
      </c>
      <c r="C47" s="50" t="str">
        <f t="shared" ca="1" si="1"/>
        <v/>
      </c>
      <c r="D47" s="48"/>
      <c r="E47" s="48"/>
      <c r="F47" s="48"/>
      <c r="G47" s="48" t="str">
        <f>IF(Table1710518[[#This Row],[Status]]="Not Entered","",VLOOKUP(Table1710518[[#This Row],[Ln'#]],Elite!$A$5:$AV$34,3,FALSE))</f>
        <v/>
      </c>
      <c r="H47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7" s="51" t="str">
        <f>IF(Table1710518[[#This Row],[Status]]="Not Entered","",VLOOKUP(Table1710518[[#This Row],[Ln'#]],Elite!$A$4:$AV$34,46,FALSE))</f>
        <v/>
      </c>
      <c r="K47" s="49">
        <v>10</v>
      </c>
      <c r="L47" s="144" t="str">
        <f>IF(OR(VLOOKUP(Table13130353842[[#This Row],[Ln'#]],Elite!A$5:AT$34,6,FALSE)="E",VLOOKUP(Table13130353842[[#This Row],[Ln'#]],Elite!A$5:AT$34,6,FALSE)="FEO"),"x","")</f>
        <v/>
      </c>
      <c r="M47" s="144" t="str">
        <f>IF(OR(VLOOKUP(Table13130353842[[#This Row],[Ln'#]],Elite!A$5:AT$34,22,FALSE)="E",VLOOKUP(Table13130353842[[#This Row],[Ln'#]],Elite!A$5:AT$34,22,FALSE)="FEO"),"x","")</f>
        <v/>
      </c>
      <c r="N47" s="48"/>
      <c r="O47" s="48"/>
      <c r="P47" s="48"/>
      <c r="Q47" s="48" t="str">
        <f>IF(AND(Table13130353842[[#This Row],[Status Container]]="",Table13130353842[[#This Row],[Status Exterior]]=""),"",VLOOKUP(Table13130353842[[#This Row],[Ln'#]],Elite!$A$5:$AT$34,3,FALSE))</f>
        <v/>
      </c>
      <c r="R47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7" s="51" t="str">
        <f>IF(Table13130353842[[#This Row],[Dog ID]]="","",(VLOOKUP(Table13130353842[[#This Row],[Dog ID]],Elite!C$5:$AT43,44,FALSE)))</f>
        <v/>
      </c>
    </row>
    <row r="48" spans="1:19" ht="30" customHeight="1" x14ac:dyDescent="0.45">
      <c r="A48" s="49">
        <v>11</v>
      </c>
      <c r="B48" s="49" t="str">
        <f>IF(OR(VLOOKUP(Table1710518[[#This Row],[Ln'#]],Elite!A$5:AV$34,14,FALSE)="E",VLOOKUP(Table1710518[[#This Row],[Ln'#]],Elite!A$5:AV$34,14,FALSE)="FEO"),"Entered or FEO","Not Entered")</f>
        <v>Not Entered</v>
      </c>
      <c r="C48" s="50" t="str">
        <f t="shared" ca="1" si="1"/>
        <v/>
      </c>
      <c r="D48" s="48"/>
      <c r="E48" s="48"/>
      <c r="F48" s="48"/>
      <c r="G48" s="48" t="str">
        <f>IF(Table1710518[[#This Row],[Status]]="Not Entered","",VLOOKUP(Table1710518[[#This Row],[Ln'#]],Elite!$A$5:$AV$34,3,FALSE))</f>
        <v/>
      </c>
      <c r="H48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8" s="51" t="str">
        <f>IF(Table1710518[[#This Row],[Status]]="Not Entered","",VLOOKUP(Table1710518[[#This Row],[Ln'#]],Elite!$A$4:$AV$34,46,FALSE))</f>
        <v/>
      </c>
      <c r="K48" s="49">
        <v>11</v>
      </c>
      <c r="L48" s="144" t="str">
        <f>IF(OR(VLOOKUP(Table13130353842[[#This Row],[Ln'#]],Elite!A$5:AT$34,6,FALSE)="E",VLOOKUP(Table13130353842[[#This Row],[Ln'#]],Elite!A$5:AT$34,6,FALSE)="FEO"),"x","")</f>
        <v/>
      </c>
      <c r="M48" s="144" t="str">
        <f>IF(OR(VLOOKUP(Table13130353842[[#This Row],[Ln'#]],Elite!A$5:AT$34,22,FALSE)="E",VLOOKUP(Table13130353842[[#This Row],[Ln'#]],Elite!A$5:AT$34,22,FALSE)="FEO"),"x","")</f>
        <v/>
      </c>
      <c r="N48" s="48"/>
      <c r="O48" s="48"/>
      <c r="P48" s="48"/>
      <c r="Q48" s="48" t="str">
        <f>IF(AND(Table13130353842[[#This Row],[Status Container]]="",Table13130353842[[#This Row],[Status Exterior]]=""),"",VLOOKUP(Table13130353842[[#This Row],[Ln'#]],Elite!$A$5:$AT$34,3,FALSE))</f>
        <v/>
      </c>
      <c r="R48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8" s="51" t="str">
        <f>IF(Table13130353842[[#This Row],[Dog ID]]="","",(VLOOKUP(Table13130353842[[#This Row],[Dog ID]],Elite!C$5:$AT44,44,FALSE)))</f>
        <v/>
      </c>
    </row>
    <row r="49" spans="1:19" ht="30" customHeight="1" x14ac:dyDescent="0.45">
      <c r="A49" s="49">
        <v>12</v>
      </c>
      <c r="B49" s="49" t="str">
        <f>IF(OR(VLOOKUP(Table1710518[[#This Row],[Ln'#]],Elite!A$5:AV$34,14,FALSE)="E",VLOOKUP(Table1710518[[#This Row],[Ln'#]],Elite!A$5:AV$34,14,FALSE)="FEO"),"Entered or FEO","Not Entered")</f>
        <v>Not Entered</v>
      </c>
      <c r="C49" s="50" t="str">
        <f t="shared" ca="1" si="1"/>
        <v/>
      </c>
      <c r="D49" s="48"/>
      <c r="E49" s="48"/>
      <c r="F49" s="48"/>
      <c r="G49" s="48" t="str">
        <f>IF(Table1710518[[#This Row],[Status]]="Not Entered","",VLOOKUP(Table1710518[[#This Row],[Ln'#]],Elite!$A$5:$AV$34,3,FALSE))</f>
        <v/>
      </c>
      <c r="H49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9" s="51" t="str">
        <f>IF(Table1710518[[#This Row],[Status]]="Not Entered","",VLOOKUP(Table1710518[[#This Row],[Ln'#]],Elite!$A$4:$AV$34,46,FALSE))</f>
        <v/>
      </c>
      <c r="K49" s="49">
        <v>12</v>
      </c>
      <c r="L49" s="144" t="str">
        <f>IF(OR(VLOOKUP(Table13130353842[[#This Row],[Ln'#]],Elite!A$5:AT$34,6,FALSE)="E",VLOOKUP(Table13130353842[[#This Row],[Ln'#]],Elite!A$5:AT$34,6,FALSE)="FEO"),"x","")</f>
        <v/>
      </c>
      <c r="M49" s="144" t="str">
        <f>IF(OR(VLOOKUP(Table13130353842[[#This Row],[Ln'#]],Elite!A$5:AT$34,22,FALSE)="E",VLOOKUP(Table13130353842[[#This Row],[Ln'#]],Elite!A$5:AT$34,22,FALSE)="FEO"),"x","")</f>
        <v/>
      </c>
      <c r="N49" s="48"/>
      <c r="O49" s="48"/>
      <c r="P49" s="48"/>
      <c r="Q49" s="48" t="str">
        <f>IF(AND(Table13130353842[[#This Row],[Status Container]]="",Table13130353842[[#This Row],[Status Exterior]]=""),"",VLOOKUP(Table13130353842[[#This Row],[Ln'#]],Elite!$A$5:$AT$34,3,FALSE))</f>
        <v/>
      </c>
      <c r="R49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9" s="51" t="str">
        <f>IF(Table13130353842[[#This Row],[Dog ID]]="","",(VLOOKUP(Table13130353842[[#This Row],[Dog ID]],Elite!C$5:$AT45,44,FALSE)))</f>
        <v/>
      </c>
    </row>
    <row r="50" spans="1:19" ht="30" customHeight="1" x14ac:dyDescent="0.45">
      <c r="A50" s="49">
        <v>13</v>
      </c>
      <c r="B50" s="49" t="str">
        <f>IF(OR(VLOOKUP(Table1710518[[#This Row],[Ln'#]],Elite!A$5:AV$34,14,FALSE)="E",VLOOKUP(Table1710518[[#This Row],[Ln'#]],Elite!A$5:AV$34,14,FALSE)="FEO"),"Entered or FEO","Not Entered")</f>
        <v>Not Entered</v>
      </c>
      <c r="C50" s="50" t="str">
        <f t="shared" ca="1" si="1"/>
        <v/>
      </c>
      <c r="D50" s="48"/>
      <c r="E50" s="48"/>
      <c r="F50" s="48"/>
      <c r="G50" s="48" t="str">
        <f>IF(Table1710518[[#This Row],[Status]]="Not Entered","",VLOOKUP(Table1710518[[#This Row],[Ln'#]],Elite!$A$5:$AV$34,3,FALSE))</f>
        <v/>
      </c>
      <c r="H50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0" s="51" t="str">
        <f>IF(Table1710518[[#This Row],[Status]]="Not Entered","",VLOOKUP(Table1710518[[#This Row],[Ln'#]],Elite!$A$4:$AV$34,46,FALSE))</f>
        <v/>
      </c>
      <c r="K50" s="49">
        <v>13</v>
      </c>
      <c r="L50" s="144" t="str">
        <f>IF(OR(VLOOKUP(Table13130353842[[#This Row],[Ln'#]],Elite!A$5:AT$34,6,FALSE)="E",VLOOKUP(Table13130353842[[#This Row],[Ln'#]],Elite!A$5:AT$34,6,FALSE)="FEO"),"x","")</f>
        <v/>
      </c>
      <c r="M50" s="144" t="str">
        <f>IF(OR(VLOOKUP(Table13130353842[[#This Row],[Ln'#]],Elite!A$5:AT$34,22,FALSE)="E",VLOOKUP(Table13130353842[[#This Row],[Ln'#]],Elite!A$5:AT$34,22,FALSE)="FEO"),"x","")</f>
        <v/>
      </c>
      <c r="N50" s="48"/>
      <c r="O50" s="48"/>
      <c r="P50" s="48"/>
      <c r="Q50" s="48" t="str">
        <f>IF(AND(Table13130353842[[#This Row],[Status Container]]="",Table13130353842[[#This Row],[Status Exterior]]=""),"",VLOOKUP(Table13130353842[[#This Row],[Ln'#]],Elite!$A$5:$AT$34,3,FALSE))</f>
        <v/>
      </c>
      <c r="R50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0" s="51" t="str">
        <f>IF(Table13130353842[[#This Row],[Dog ID]]="","",(VLOOKUP(Table13130353842[[#This Row],[Dog ID]],Elite!C$5:$AT46,44,FALSE)))</f>
        <v/>
      </c>
    </row>
    <row r="51" spans="1:19" ht="30" customHeight="1" x14ac:dyDescent="0.45">
      <c r="A51" s="49">
        <v>14</v>
      </c>
      <c r="B51" s="49" t="str">
        <f>IF(OR(VLOOKUP(Table1710518[[#This Row],[Ln'#]],Elite!A$5:AV$34,14,FALSE)="E",VLOOKUP(Table1710518[[#This Row],[Ln'#]],Elite!A$5:AV$34,14,FALSE)="FEO"),"Entered or FEO","Not Entered")</f>
        <v>Not Entered</v>
      </c>
      <c r="C51" s="50" t="str">
        <f t="shared" ca="1" si="1"/>
        <v/>
      </c>
      <c r="D51" s="48"/>
      <c r="E51" s="48"/>
      <c r="F51" s="48"/>
      <c r="G51" s="48" t="str">
        <f>IF(Table1710518[[#This Row],[Status]]="Not Entered","",VLOOKUP(Table1710518[[#This Row],[Ln'#]],Elite!$A$5:$AV$34,3,FALSE))</f>
        <v/>
      </c>
      <c r="H51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1" s="51" t="str">
        <f>IF(Table1710518[[#This Row],[Status]]="Not Entered","",VLOOKUP(Table1710518[[#This Row],[Ln'#]],Elite!$A$4:$AV$34,46,FALSE))</f>
        <v/>
      </c>
      <c r="K51" s="49">
        <v>14</v>
      </c>
      <c r="L51" s="144" t="str">
        <f>IF(OR(VLOOKUP(Table13130353842[[#This Row],[Ln'#]],Elite!A$5:AT$34,6,FALSE)="E",VLOOKUP(Table13130353842[[#This Row],[Ln'#]],Elite!A$5:AT$34,6,FALSE)="FEO"),"x","")</f>
        <v/>
      </c>
      <c r="M51" s="144" t="str">
        <f>IF(OR(VLOOKUP(Table13130353842[[#This Row],[Ln'#]],Elite!A$5:AT$34,22,FALSE)="E",VLOOKUP(Table13130353842[[#This Row],[Ln'#]],Elite!A$5:AT$34,22,FALSE)="FEO"),"x","")</f>
        <v/>
      </c>
      <c r="N51" s="48"/>
      <c r="O51" s="48"/>
      <c r="P51" s="48"/>
      <c r="Q51" s="48" t="str">
        <f>IF(AND(Table13130353842[[#This Row],[Status Container]]="",Table13130353842[[#This Row],[Status Exterior]]=""),"",VLOOKUP(Table13130353842[[#This Row],[Ln'#]],Elite!$A$5:$AT$34,3,FALSE))</f>
        <v/>
      </c>
      <c r="R51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1" s="51" t="str">
        <f>IF(Table13130353842[[#This Row],[Dog ID]]="","",(VLOOKUP(Table13130353842[[#This Row],[Dog ID]],Elite!C$5:$AT47,44,FALSE)))</f>
        <v/>
      </c>
    </row>
    <row r="52" spans="1:19" ht="30" customHeight="1" x14ac:dyDescent="0.45">
      <c r="A52" s="49">
        <v>15</v>
      </c>
      <c r="B52" s="49" t="str">
        <f>IF(OR(VLOOKUP(Table1710518[[#This Row],[Ln'#]],Elite!A$5:AV$34,14,FALSE)="E",VLOOKUP(Table1710518[[#This Row],[Ln'#]],Elite!A$5:AV$34,14,FALSE)="FEO"),"Entered or FEO","Not Entered")</f>
        <v>Not Entered</v>
      </c>
      <c r="C52" s="50" t="str">
        <f t="shared" ca="1" si="1"/>
        <v/>
      </c>
      <c r="D52" s="48"/>
      <c r="E52" s="48"/>
      <c r="F52" s="48"/>
      <c r="G52" s="48" t="str">
        <f>IF(Table1710518[[#This Row],[Status]]="Not Entered","",VLOOKUP(Table1710518[[#This Row],[Ln'#]],Elite!$A$5:$AV$34,3,FALSE))</f>
        <v/>
      </c>
      <c r="H52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2" s="51" t="str">
        <f>IF(Table1710518[[#This Row],[Status]]="Not Entered","",VLOOKUP(Table1710518[[#This Row],[Ln'#]],Elite!$A$4:$AV$34,46,FALSE))</f>
        <v/>
      </c>
      <c r="K52" s="49">
        <v>15</v>
      </c>
      <c r="L52" s="144" t="str">
        <f>IF(OR(VLOOKUP(Table13130353842[[#This Row],[Ln'#]],Elite!A$5:AT$34,6,FALSE)="E",VLOOKUP(Table13130353842[[#This Row],[Ln'#]],Elite!A$5:AT$34,6,FALSE)="FEO"),"x","")</f>
        <v/>
      </c>
      <c r="M52" s="144" t="str">
        <f>IF(OR(VLOOKUP(Table13130353842[[#This Row],[Ln'#]],Elite!A$5:AT$34,22,FALSE)="E",VLOOKUP(Table13130353842[[#This Row],[Ln'#]],Elite!A$5:AT$34,22,FALSE)="FEO"),"x","")</f>
        <v/>
      </c>
      <c r="N52" s="48"/>
      <c r="O52" s="48"/>
      <c r="P52" s="48"/>
      <c r="Q52" s="48" t="str">
        <f>IF(AND(Table13130353842[[#This Row],[Status Container]]="",Table13130353842[[#This Row],[Status Exterior]]=""),"",VLOOKUP(Table13130353842[[#This Row],[Ln'#]],Elite!$A$5:$AT$34,3,FALSE))</f>
        <v/>
      </c>
      <c r="R52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2" s="51" t="str">
        <f>IF(Table13130353842[[#This Row],[Dog ID]]="","",(VLOOKUP(Table13130353842[[#This Row],[Dog ID]],Elite!C$5:$AT48,44,FALSE)))</f>
        <v/>
      </c>
    </row>
    <row r="53" spans="1:19" ht="30" customHeight="1" x14ac:dyDescent="0.45">
      <c r="A53" s="49">
        <v>16</v>
      </c>
      <c r="B53" s="49" t="str">
        <f>IF(OR(VLOOKUP(Table1710518[[#This Row],[Ln'#]],Elite!A$5:AV$34,14,FALSE)="E",VLOOKUP(Table1710518[[#This Row],[Ln'#]],Elite!A$5:AV$34,14,FALSE)="FEO"),"Entered or FEO","Not Entered")</f>
        <v>Not Entered</v>
      </c>
      <c r="C53" s="50" t="str">
        <f t="shared" ca="1" si="1"/>
        <v/>
      </c>
      <c r="D53" s="48"/>
      <c r="E53" s="48"/>
      <c r="F53" s="48"/>
      <c r="G53" s="48" t="str">
        <f>IF(Table1710518[[#This Row],[Status]]="Not Entered","",VLOOKUP(Table1710518[[#This Row],[Ln'#]],Elite!$A$5:$AV$34,3,FALSE))</f>
        <v/>
      </c>
      <c r="H53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3" s="51" t="str">
        <f>IF(Table1710518[[#This Row],[Status]]="Not Entered","",VLOOKUP(Table1710518[[#This Row],[Ln'#]],Elite!$A$4:$AV$34,46,FALSE))</f>
        <v/>
      </c>
      <c r="K53" s="49">
        <v>16</v>
      </c>
      <c r="L53" s="144" t="str">
        <f>IF(OR(VLOOKUP(Table13130353842[[#This Row],[Ln'#]],Elite!A$5:AT$34,6,FALSE)="E",VLOOKUP(Table13130353842[[#This Row],[Ln'#]],Elite!A$5:AT$34,6,FALSE)="FEO"),"x","")</f>
        <v/>
      </c>
      <c r="M53" s="144" t="str">
        <f>IF(OR(VLOOKUP(Table13130353842[[#This Row],[Ln'#]],Elite!A$5:AT$34,22,FALSE)="E",VLOOKUP(Table13130353842[[#This Row],[Ln'#]],Elite!A$5:AT$34,22,FALSE)="FEO"),"x","")</f>
        <v/>
      </c>
      <c r="N53" s="48"/>
      <c r="O53" s="48"/>
      <c r="P53" s="48"/>
      <c r="Q53" s="48" t="str">
        <f>IF(AND(Table13130353842[[#This Row],[Status Container]]="",Table13130353842[[#This Row],[Status Exterior]]=""),"",VLOOKUP(Table13130353842[[#This Row],[Ln'#]],Elite!$A$5:$AT$34,3,FALSE))</f>
        <v/>
      </c>
      <c r="R53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3" s="51" t="str">
        <f>IF(Table13130353842[[#This Row],[Dog ID]]="","",(VLOOKUP(Table13130353842[[#This Row],[Dog ID]],Elite!C$5:$AT49,44,FALSE)))</f>
        <v/>
      </c>
    </row>
    <row r="54" spans="1:19" ht="30" customHeight="1" x14ac:dyDescent="0.45">
      <c r="A54" s="49">
        <v>17</v>
      </c>
      <c r="B54" s="49" t="str">
        <f>IF(OR(VLOOKUP(Table1710518[[#This Row],[Ln'#]],Elite!A$5:AV$34,14,FALSE)="E",VLOOKUP(Table1710518[[#This Row],[Ln'#]],Elite!A$5:AV$34,14,FALSE)="FEO"),"Entered or FEO","Not Entered")</f>
        <v>Not Entered</v>
      </c>
      <c r="C54" s="50" t="str">
        <f t="shared" ca="1" si="1"/>
        <v/>
      </c>
      <c r="D54" s="48"/>
      <c r="E54" s="48"/>
      <c r="F54" s="48"/>
      <c r="G54" s="48" t="str">
        <f>IF(Table1710518[[#This Row],[Status]]="Not Entered","",VLOOKUP(Table1710518[[#This Row],[Ln'#]],Elite!$A$5:$AV$34,3,FALSE))</f>
        <v/>
      </c>
      <c r="H54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4" s="51" t="str">
        <f>IF(Table1710518[[#This Row],[Status]]="Not Entered","",VLOOKUP(Table1710518[[#This Row],[Ln'#]],Elite!$A$4:$AV$34,46,FALSE))</f>
        <v/>
      </c>
      <c r="K54" s="49">
        <v>17</v>
      </c>
      <c r="L54" s="144" t="str">
        <f>IF(OR(VLOOKUP(Table13130353842[[#This Row],[Ln'#]],Elite!A$5:AT$34,6,FALSE)="E",VLOOKUP(Table13130353842[[#This Row],[Ln'#]],Elite!A$5:AT$34,6,FALSE)="FEO"),"x","")</f>
        <v/>
      </c>
      <c r="M54" s="144" t="str">
        <f>IF(OR(VLOOKUP(Table13130353842[[#This Row],[Ln'#]],Elite!A$5:AT$34,22,FALSE)="E",VLOOKUP(Table13130353842[[#This Row],[Ln'#]],Elite!A$5:AT$34,22,FALSE)="FEO"),"x","")</f>
        <v/>
      </c>
      <c r="N54" s="48"/>
      <c r="O54" s="48"/>
      <c r="P54" s="48"/>
      <c r="Q54" s="48" t="str">
        <f>IF(AND(Table13130353842[[#This Row],[Status Container]]="",Table13130353842[[#This Row],[Status Exterior]]=""),"",VLOOKUP(Table13130353842[[#This Row],[Ln'#]],Elite!$A$5:$AT$34,3,FALSE))</f>
        <v/>
      </c>
      <c r="R54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4" s="51" t="str">
        <f>IF(Table13130353842[[#This Row],[Dog ID]]="","",(VLOOKUP(Table13130353842[[#This Row],[Dog ID]],Elite!C$5:$AT50,44,FALSE)))</f>
        <v/>
      </c>
    </row>
    <row r="55" spans="1:19" ht="30" customHeight="1" x14ac:dyDescent="0.45">
      <c r="A55" s="49">
        <v>18</v>
      </c>
      <c r="B55" s="49" t="str">
        <f>IF(OR(VLOOKUP(Table1710518[[#This Row],[Ln'#]],Elite!A$5:AV$34,14,FALSE)="E",VLOOKUP(Table1710518[[#This Row],[Ln'#]],Elite!A$5:AV$34,14,FALSE)="FEO"),"Entered or FEO","Not Entered")</f>
        <v>Not Entered</v>
      </c>
      <c r="C55" s="50" t="str">
        <f t="shared" ca="1" si="1"/>
        <v/>
      </c>
      <c r="D55" s="48"/>
      <c r="E55" s="48"/>
      <c r="F55" s="48"/>
      <c r="G55" s="48" t="str">
        <f>IF(Table1710518[[#This Row],[Status]]="Not Entered","",VLOOKUP(Table1710518[[#This Row],[Ln'#]],Elite!$A$5:$AV$34,3,FALSE))</f>
        <v/>
      </c>
      <c r="H55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5" s="51" t="str">
        <f>IF(Table1710518[[#This Row],[Status]]="Not Entered","",VLOOKUP(Table1710518[[#This Row],[Ln'#]],Elite!$A$4:$AV$34,46,FALSE))</f>
        <v/>
      </c>
      <c r="K55" s="49">
        <v>18</v>
      </c>
      <c r="L55" s="144" t="str">
        <f>IF(OR(VLOOKUP(Table13130353842[[#This Row],[Ln'#]],Elite!A$5:AT$34,6,FALSE)="E",VLOOKUP(Table13130353842[[#This Row],[Ln'#]],Elite!A$5:AT$34,6,FALSE)="FEO"),"x","")</f>
        <v/>
      </c>
      <c r="M55" s="144" t="str">
        <f>IF(OR(VLOOKUP(Table13130353842[[#This Row],[Ln'#]],Elite!A$5:AT$34,22,FALSE)="E",VLOOKUP(Table13130353842[[#This Row],[Ln'#]],Elite!A$5:AT$34,22,FALSE)="FEO"),"x","")</f>
        <v/>
      </c>
      <c r="N55" s="48"/>
      <c r="O55" s="48"/>
      <c r="P55" s="48"/>
      <c r="Q55" s="48" t="str">
        <f>IF(AND(Table13130353842[[#This Row],[Status Container]]="",Table13130353842[[#This Row],[Status Exterior]]=""),"",VLOOKUP(Table13130353842[[#This Row],[Ln'#]],Elite!$A$5:$AT$34,3,FALSE))</f>
        <v/>
      </c>
      <c r="R55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5" s="51" t="str">
        <f>IF(Table13130353842[[#This Row],[Dog ID]]="","",(VLOOKUP(Table13130353842[[#This Row],[Dog ID]],Elite!C$5:$AT51,44,FALSE)))</f>
        <v/>
      </c>
    </row>
    <row r="56" spans="1:19" ht="30" customHeight="1" x14ac:dyDescent="0.45">
      <c r="A56" s="49">
        <v>19</v>
      </c>
      <c r="B56" s="49" t="str">
        <f>IF(OR(VLOOKUP(Table1710518[[#This Row],[Ln'#]],Elite!A$5:AV$34,14,FALSE)="E",VLOOKUP(Table1710518[[#This Row],[Ln'#]],Elite!A$5:AV$34,14,FALSE)="FEO"),"Entered or FEO","Not Entered")</f>
        <v>Not Entered</v>
      </c>
      <c r="C56" s="50" t="str">
        <f t="shared" ca="1" si="1"/>
        <v/>
      </c>
      <c r="D56" s="48"/>
      <c r="E56" s="48"/>
      <c r="F56" s="48"/>
      <c r="G56" s="48" t="str">
        <f>IF(Table1710518[[#This Row],[Status]]="Not Entered","",VLOOKUP(Table1710518[[#This Row],[Ln'#]],Elite!$A$5:$AV$34,3,FALSE))</f>
        <v/>
      </c>
      <c r="H56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6" s="51" t="str">
        <f>IF(Table1710518[[#This Row],[Status]]="Not Entered","",VLOOKUP(Table1710518[[#This Row],[Ln'#]],Elite!$A$4:$AV$34,46,FALSE))</f>
        <v/>
      </c>
      <c r="K56" s="49">
        <v>19</v>
      </c>
      <c r="L56" s="144" t="str">
        <f>IF(OR(VLOOKUP(Table13130353842[[#This Row],[Ln'#]],Elite!A$5:AT$34,6,FALSE)="E",VLOOKUP(Table13130353842[[#This Row],[Ln'#]],Elite!A$5:AT$34,6,FALSE)="FEO"),"x","")</f>
        <v/>
      </c>
      <c r="M56" s="144" t="str">
        <f>IF(OR(VLOOKUP(Table13130353842[[#This Row],[Ln'#]],Elite!A$5:AT$34,22,FALSE)="E",VLOOKUP(Table13130353842[[#This Row],[Ln'#]],Elite!A$5:AT$34,22,FALSE)="FEO"),"x","")</f>
        <v/>
      </c>
      <c r="N56" s="48"/>
      <c r="O56" s="48"/>
      <c r="P56" s="48"/>
      <c r="Q56" s="48" t="str">
        <f>IF(AND(Table13130353842[[#This Row],[Status Container]]="",Table13130353842[[#This Row],[Status Exterior]]=""),"",VLOOKUP(Table13130353842[[#This Row],[Ln'#]],Elite!$A$5:$AT$34,3,FALSE))</f>
        <v/>
      </c>
      <c r="R56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6" s="51" t="str">
        <f>IF(Table13130353842[[#This Row],[Dog ID]]="","",(VLOOKUP(Table13130353842[[#This Row],[Dog ID]],Elite!C$5:$AT52,44,FALSE)))</f>
        <v/>
      </c>
    </row>
    <row r="57" spans="1:19" ht="30" customHeight="1" x14ac:dyDescent="0.45">
      <c r="A57" s="49">
        <v>20</v>
      </c>
      <c r="B57" s="49" t="str">
        <f>IF(OR(VLOOKUP(Table1710518[[#This Row],[Ln'#]],Elite!A$5:AV$34,14,FALSE)="E",VLOOKUP(Table1710518[[#This Row],[Ln'#]],Elite!A$5:AV$34,14,FALSE)="FEO"),"Entered or FEO","Not Entered")</f>
        <v>Not Entered</v>
      </c>
      <c r="C57" s="50" t="str">
        <f t="shared" ca="1" si="1"/>
        <v/>
      </c>
      <c r="D57" s="48"/>
      <c r="E57" s="48"/>
      <c r="F57" s="48"/>
      <c r="G57" s="48" t="str">
        <f>IF(Table1710518[[#This Row],[Status]]="Not Entered","",VLOOKUP(Table1710518[[#This Row],[Ln'#]],Elite!$A$5:$AV$34,3,FALSE))</f>
        <v/>
      </c>
      <c r="H57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7" s="51" t="str">
        <f>IF(Table1710518[[#This Row],[Status]]="Not Entered","",VLOOKUP(Table1710518[[#This Row],[Ln'#]],Elite!$A$4:$AV$34,46,FALSE))</f>
        <v/>
      </c>
      <c r="K57" s="49">
        <v>20</v>
      </c>
      <c r="L57" s="144" t="str">
        <f>IF(OR(VLOOKUP(Table13130353842[[#This Row],[Ln'#]],Elite!A$5:AT$34,6,FALSE)="E",VLOOKUP(Table13130353842[[#This Row],[Ln'#]],Elite!A$5:AT$34,6,FALSE)="FEO"),"x","")</f>
        <v/>
      </c>
      <c r="M57" s="144" t="str">
        <f>IF(OR(VLOOKUP(Table13130353842[[#This Row],[Ln'#]],Elite!A$5:AT$34,22,FALSE)="E",VLOOKUP(Table13130353842[[#This Row],[Ln'#]],Elite!A$5:AT$34,22,FALSE)="FEO"),"x","")</f>
        <v/>
      </c>
      <c r="N57" s="48"/>
      <c r="O57" s="48"/>
      <c r="P57" s="48"/>
      <c r="Q57" s="48" t="str">
        <f>IF(AND(Table13130353842[[#This Row],[Status Container]]="",Table13130353842[[#This Row],[Status Exterior]]=""),"",VLOOKUP(Table13130353842[[#This Row],[Ln'#]],Elite!$A$5:$AT$34,3,FALSE))</f>
        <v/>
      </c>
      <c r="R57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7" s="51" t="str">
        <f>IF(Table13130353842[[#This Row],[Dog ID]]="","",(VLOOKUP(Table13130353842[[#This Row],[Dog ID]],Elite!C$5:$AT53,44,FALSE)))</f>
        <v/>
      </c>
    </row>
    <row r="58" spans="1:19" ht="30" customHeight="1" x14ac:dyDescent="0.45">
      <c r="A58" s="49">
        <v>21</v>
      </c>
      <c r="B58" s="49" t="str">
        <f>IF(OR(VLOOKUP(Table1710518[[#This Row],[Ln'#]],Elite!A$5:AV$34,14,FALSE)="E",VLOOKUP(Table1710518[[#This Row],[Ln'#]],Elite!A$5:AV$34,14,FALSE)="FEO"),"Entered or FEO","Not Entered")</f>
        <v>Not Entered</v>
      </c>
      <c r="C58" s="50" t="str">
        <f t="shared" ca="1" si="1"/>
        <v/>
      </c>
      <c r="D58" s="48"/>
      <c r="E58" s="48"/>
      <c r="F58" s="48"/>
      <c r="G58" s="48" t="str">
        <f>IF(Table1710518[[#This Row],[Status]]="Not Entered","",VLOOKUP(Table1710518[[#This Row],[Ln'#]],Elite!$A$5:$AV$34,3,FALSE))</f>
        <v/>
      </c>
      <c r="H58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8" s="51" t="str">
        <f>IF(Table1710518[[#This Row],[Status]]="Not Entered","",VLOOKUP(Table1710518[[#This Row],[Ln'#]],Elite!$A$4:$AV$34,46,FALSE))</f>
        <v/>
      </c>
      <c r="K58" s="49">
        <v>21</v>
      </c>
      <c r="L58" s="144" t="str">
        <f>IF(OR(VLOOKUP(Table13130353842[[#This Row],[Ln'#]],Elite!A$5:AT$34,6,FALSE)="E",VLOOKUP(Table13130353842[[#This Row],[Ln'#]],Elite!A$5:AT$34,6,FALSE)="FEO"),"x","")</f>
        <v/>
      </c>
      <c r="M58" s="144" t="str">
        <f>IF(OR(VLOOKUP(Table13130353842[[#This Row],[Ln'#]],Elite!A$5:AT$34,22,FALSE)="E",VLOOKUP(Table13130353842[[#This Row],[Ln'#]],Elite!A$5:AT$34,22,FALSE)="FEO"),"x","")</f>
        <v/>
      </c>
      <c r="N58" s="48"/>
      <c r="O58" s="48"/>
      <c r="P58" s="48"/>
      <c r="Q58" s="48" t="str">
        <f>IF(AND(Table13130353842[[#This Row],[Status Container]]="",Table13130353842[[#This Row],[Status Exterior]]=""),"",VLOOKUP(Table13130353842[[#This Row],[Ln'#]],Elite!$A$5:$AT$34,3,FALSE))</f>
        <v/>
      </c>
      <c r="R58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8" s="51" t="str">
        <f>IF(Table13130353842[[#This Row],[Dog ID]]="","",(VLOOKUP(Table13130353842[[#This Row],[Dog ID]],Elite!C$5:$AT54,44,FALSE)))</f>
        <v/>
      </c>
    </row>
    <row r="59" spans="1:19" ht="30" customHeight="1" x14ac:dyDescent="0.45">
      <c r="A59" s="49">
        <v>22</v>
      </c>
      <c r="B59" s="49" t="str">
        <f>IF(OR(VLOOKUP(Table1710518[[#This Row],[Ln'#]],Elite!A$5:AV$34,14,FALSE)="E",VLOOKUP(Table1710518[[#This Row],[Ln'#]],Elite!A$5:AV$34,14,FALSE)="FEO"),"Entered or FEO","Not Entered")</f>
        <v>Not Entered</v>
      </c>
      <c r="C59" s="50" t="str">
        <f t="shared" ca="1" si="1"/>
        <v/>
      </c>
      <c r="D59" s="48"/>
      <c r="E59" s="48"/>
      <c r="F59" s="48"/>
      <c r="G59" s="48" t="str">
        <f>IF(Table1710518[[#This Row],[Status]]="Not Entered","",VLOOKUP(Table1710518[[#This Row],[Ln'#]],Elite!$A$5:$AV$34,3,FALSE))</f>
        <v/>
      </c>
      <c r="H59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9" s="51" t="str">
        <f>IF(Table1710518[[#This Row],[Status]]="Not Entered","",VLOOKUP(Table1710518[[#This Row],[Ln'#]],Elite!$A$4:$AV$34,46,FALSE))</f>
        <v/>
      </c>
      <c r="K59" s="49">
        <v>22</v>
      </c>
      <c r="L59" s="144" t="str">
        <f>IF(OR(VLOOKUP(Table13130353842[[#This Row],[Ln'#]],Elite!A$5:AT$34,6,FALSE)="E",VLOOKUP(Table13130353842[[#This Row],[Ln'#]],Elite!A$5:AT$34,6,FALSE)="FEO"),"x","")</f>
        <v/>
      </c>
      <c r="M59" s="144" t="str">
        <f>IF(OR(VLOOKUP(Table13130353842[[#This Row],[Ln'#]],Elite!A$5:AT$34,22,FALSE)="E",VLOOKUP(Table13130353842[[#This Row],[Ln'#]],Elite!A$5:AT$34,22,FALSE)="FEO"),"x","")</f>
        <v/>
      </c>
      <c r="N59" s="48"/>
      <c r="O59" s="48"/>
      <c r="P59" s="48"/>
      <c r="Q59" s="48" t="str">
        <f>IF(AND(Table13130353842[[#This Row],[Status Container]]="",Table13130353842[[#This Row],[Status Exterior]]=""),"",VLOOKUP(Table13130353842[[#This Row],[Ln'#]],Elite!$A$5:$AT$34,3,FALSE))</f>
        <v/>
      </c>
      <c r="R59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9" s="51" t="str">
        <f>IF(Table13130353842[[#This Row],[Dog ID]]="","",(VLOOKUP(Table13130353842[[#This Row],[Dog ID]],Elite!C$5:$AT55,44,FALSE)))</f>
        <v/>
      </c>
    </row>
    <row r="60" spans="1:19" ht="30" customHeight="1" x14ac:dyDescent="0.45">
      <c r="A60" s="49">
        <v>23</v>
      </c>
      <c r="B60" s="49" t="str">
        <f>IF(OR(VLOOKUP(Table1710518[[#This Row],[Ln'#]],Elite!A$5:AV$34,14,FALSE)="E",VLOOKUP(Table1710518[[#This Row],[Ln'#]],Elite!A$5:AV$34,14,FALSE)="FEO"),"Entered or FEO","Not Entered")</f>
        <v>Not Entered</v>
      </c>
      <c r="C60" s="50" t="str">
        <f t="shared" ca="1" si="1"/>
        <v/>
      </c>
      <c r="D60" s="48"/>
      <c r="E60" s="48"/>
      <c r="F60" s="48"/>
      <c r="G60" s="48" t="str">
        <f>IF(Table1710518[[#This Row],[Status]]="Not Entered","",VLOOKUP(Table1710518[[#This Row],[Ln'#]],Elite!$A$5:$AV$34,3,FALSE))</f>
        <v/>
      </c>
      <c r="H60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0" s="51" t="str">
        <f>IF(Table1710518[[#This Row],[Status]]="Not Entered","",VLOOKUP(Table1710518[[#This Row],[Ln'#]],Elite!$A$4:$AV$34,46,FALSE))</f>
        <v/>
      </c>
      <c r="K60" s="49">
        <v>23</v>
      </c>
      <c r="L60" s="144" t="str">
        <f>IF(OR(VLOOKUP(Table13130353842[[#This Row],[Ln'#]],Elite!A$5:AT$34,6,FALSE)="E",VLOOKUP(Table13130353842[[#This Row],[Ln'#]],Elite!A$5:AT$34,6,FALSE)="FEO"),"x","")</f>
        <v/>
      </c>
      <c r="M60" s="144" t="str">
        <f>IF(OR(VLOOKUP(Table13130353842[[#This Row],[Ln'#]],Elite!A$5:AT$34,22,FALSE)="E",VLOOKUP(Table13130353842[[#This Row],[Ln'#]],Elite!A$5:AT$34,22,FALSE)="FEO"),"x","")</f>
        <v/>
      </c>
      <c r="N60" s="48"/>
      <c r="O60" s="48"/>
      <c r="P60" s="48"/>
      <c r="Q60" s="48" t="str">
        <f>IF(AND(Table13130353842[[#This Row],[Status Container]]="",Table13130353842[[#This Row],[Status Exterior]]=""),"",VLOOKUP(Table13130353842[[#This Row],[Ln'#]],Elite!$A$5:$AT$34,3,FALSE))</f>
        <v/>
      </c>
      <c r="R60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0" s="51" t="str">
        <f>IF(Table13130353842[[#This Row],[Dog ID]]="","",(VLOOKUP(Table13130353842[[#This Row],[Dog ID]],Elite!C$5:$AT56,44,FALSE)))</f>
        <v/>
      </c>
    </row>
    <row r="61" spans="1:19" ht="30" customHeight="1" x14ac:dyDescent="0.45">
      <c r="A61" s="49">
        <v>24</v>
      </c>
      <c r="B61" s="49" t="str">
        <f>IF(OR(VLOOKUP(Table1710518[[#This Row],[Ln'#]],Elite!A$5:AV$34,14,FALSE)="E",VLOOKUP(Table1710518[[#This Row],[Ln'#]],Elite!A$5:AV$34,14,FALSE)="FEO"),"Entered or FEO","Not Entered")</f>
        <v>Not Entered</v>
      </c>
      <c r="C61" s="50" t="str">
        <f t="shared" ca="1" si="1"/>
        <v/>
      </c>
      <c r="D61" s="48"/>
      <c r="E61" s="48"/>
      <c r="F61" s="48"/>
      <c r="G61" s="48" t="str">
        <f>IF(Table1710518[[#This Row],[Status]]="Not Entered","",VLOOKUP(Table1710518[[#This Row],[Ln'#]],Elite!$A$5:$AV$34,3,FALSE))</f>
        <v/>
      </c>
      <c r="H61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1" s="51" t="str">
        <f>IF(Table1710518[[#This Row],[Status]]="Not Entered","",VLOOKUP(Table1710518[[#This Row],[Ln'#]],Elite!$A$4:$AV$34,46,FALSE))</f>
        <v/>
      </c>
      <c r="K61" s="49">
        <v>24</v>
      </c>
      <c r="L61" s="144" t="str">
        <f>IF(OR(VLOOKUP(Table13130353842[[#This Row],[Ln'#]],Elite!A$5:AT$34,6,FALSE)="E",VLOOKUP(Table13130353842[[#This Row],[Ln'#]],Elite!A$5:AT$34,6,FALSE)="FEO"),"x","")</f>
        <v/>
      </c>
      <c r="M61" s="144" t="str">
        <f>IF(OR(VLOOKUP(Table13130353842[[#This Row],[Ln'#]],Elite!A$5:AT$34,22,FALSE)="E",VLOOKUP(Table13130353842[[#This Row],[Ln'#]],Elite!A$5:AT$34,22,FALSE)="FEO"),"x","")</f>
        <v/>
      </c>
      <c r="N61" s="48"/>
      <c r="O61" s="48"/>
      <c r="P61" s="48"/>
      <c r="Q61" s="48" t="str">
        <f>IF(AND(Table13130353842[[#This Row],[Status Container]]="",Table13130353842[[#This Row],[Status Exterior]]=""),"",VLOOKUP(Table13130353842[[#This Row],[Ln'#]],Elite!$A$5:$AT$34,3,FALSE))</f>
        <v/>
      </c>
      <c r="R61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1" s="51" t="str">
        <f>IF(Table13130353842[[#This Row],[Dog ID]]="","",(VLOOKUP(Table13130353842[[#This Row],[Dog ID]],Elite!C$5:$AT57,44,FALSE)))</f>
        <v/>
      </c>
    </row>
    <row r="62" spans="1:19" ht="30" customHeight="1" x14ac:dyDescent="0.45">
      <c r="A62" s="49">
        <v>25</v>
      </c>
      <c r="B62" s="49" t="str">
        <f>IF(OR(VLOOKUP(Table1710518[[#This Row],[Ln'#]],Elite!A$5:AV$34,14,FALSE)="E",VLOOKUP(Table1710518[[#This Row],[Ln'#]],Elite!A$5:AV$34,14,FALSE)="FEO"),"Entered or FEO","Not Entered")</f>
        <v>Not Entered</v>
      </c>
      <c r="C62" s="50" t="str">
        <f t="shared" ca="1" si="1"/>
        <v/>
      </c>
      <c r="D62" s="48"/>
      <c r="E62" s="48"/>
      <c r="F62" s="48"/>
      <c r="G62" s="48" t="str">
        <f>IF(Table1710518[[#This Row],[Status]]="Not Entered","",VLOOKUP(Table1710518[[#This Row],[Ln'#]],Elite!$A$5:$AV$34,3,FALSE))</f>
        <v/>
      </c>
      <c r="H62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2" s="51" t="str">
        <f>IF(Table1710518[[#This Row],[Status]]="Not Entered","",VLOOKUP(Table1710518[[#This Row],[Ln'#]],Elite!$A$4:$AV$34,46,FALSE))</f>
        <v/>
      </c>
      <c r="K62" s="49">
        <v>25</v>
      </c>
      <c r="L62" s="144" t="str">
        <f>IF(OR(VLOOKUP(Table13130353842[[#This Row],[Ln'#]],Elite!A$5:AT$34,6,FALSE)="E",VLOOKUP(Table13130353842[[#This Row],[Ln'#]],Elite!A$5:AT$34,6,FALSE)="FEO"),"x","")</f>
        <v/>
      </c>
      <c r="M62" s="144" t="str">
        <f>IF(OR(VLOOKUP(Table13130353842[[#This Row],[Ln'#]],Elite!A$5:AT$34,22,FALSE)="E",VLOOKUP(Table13130353842[[#This Row],[Ln'#]],Elite!A$5:AT$34,22,FALSE)="FEO"),"x","")</f>
        <v/>
      </c>
      <c r="N62" s="48"/>
      <c r="O62" s="48"/>
      <c r="P62" s="48"/>
      <c r="Q62" s="48" t="str">
        <f>IF(AND(Table13130353842[[#This Row],[Status Container]]="",Table13130353842[[#This Row],[Status Exterior]]=""),"",VLOOKUP(Table13130353842[[#This Row],[Ln'#]],Elite!$A$5:$AT$34,3,FALSE))</f>
        <v/>
      </c>
      <c r="R62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2" s="51" t="str">
        <f>IF(Table13130353842[[#This Row],[Dog ID]]="","",(VLOOKUP(Table13130353842[[#This Row],[Dog ID]],Elite!C$5:$AT58,44,FALSE)))</f>
        <v/>
      </c>
    </row>
    <row r="63" spans="1:19" ht="30" customHeight="1" x14ac:dyDescent="0.45">
      <c r="A63" s="49">
        <v>26</v>
      </c>
      <c r="B63" s="49" t="str">
        <f>IF(OR(VLOOKUP(Table1710518[[#This Row],[Ln'#]],Elite!A$5:AV$34,14,FALSE)="E",VLOOKUP(Table1710518[[#This Row],[Ln'#]],Elite!A$5:AV$34,14,FALSE)="FEO"),"Entered or FEO","Not Entered")</f>
        <v>Not Entered</v>
      </c>
      <c r="C63" s="50" t="str">
        <f t="shared" ca="1" si="1"/>
        <v/>
      </c>
      <c r="D63" s="48"/>
      <c r="E63" s="48"/>
      <c r="F63" s="48"/>
      <c r="G63" s="48" t="str">
        <f>IF(Table1710518[[#This Row],[Status]]="Not Entered","",VLOOKUP(Table1710518[[#This Row],[Ln'#]],Elite!$A$5:$AV$34,3,FALSE))</f>
        <v/>
      </c>
      <c r="H63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3" s="51" t="str">
        <f>IF(Table1710518[[#This Row],[Status]]="Not Entered","",VLOOKUP(Table1710518[[#This Row],[Ln'#]],Elite!$A$4:$AV$34,46,FALSE))</f>
        <v/>
      </c>
      <c r="K63" s="49">
        <v>26</v>
      </c>
      <c r="L63" s="144" t="str">
        <f>IF(OR(VLOOKUP(Table13130353842[[#This Row],[Ln'#]],Elite!A$5:AT$34,6,FALSE)="E",VLOOKUP(Table13130353842[[#This Row],[Ln'#]],Elite!A$5:AT$34,6,FALSE)="FEO"),"x","")</f>
        <v/>
      </c>
      <c r="M63" s="144" t="str">
        <f>IF(OR(VLOOKUP(Table13130353842[[#This Row],[Ln'#]],Elite!A$5:AT$34,22,FALSE)="E",VLOOKUP(Table13130353842[[#This Row],[Ln'#]],Elite!A$5:AT$34,22,FALSE)="FEO"),"x","")</f>
        <v/>
      </c>
      <c r="N63" s="48"/>
      <c r="O63" s="48"/>
      <c r="P63" s="48"/>
      <c r="Q63" s="48" t="str">
        <f>IF(AND(Table13130353842[[#This Row],[Status Container]]="",Table13130353842[[#This Row],[Status Exterior]]=""),"",VLOOKUP(Table13130353842[[#This Row],[Ln'#]],Elite!$A$5:$AT$34,3,FALSE))</f>
        <v/>
      </c>
      <c r="R63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3" s="51" t="str">
        <f>IF(Table13130353842[[#This Row],[Dog ID]]="","",(VLOOKUP(Table13130353842[[#This Row],[Dog ID]],Elite!C$5:$AT59,44,FALSE)))</f>
        <v/>
      </c>
    </row>
    <row r="64" spans="1:19" ht="30" customHeight="1" x14ac:dyDescent="0.45">
      <c r="A64" s="49">
        <v>27</v>
      </c>
      <c r="B64" s="49" t="str">
        <f>IF(OR(VLOOKUP(Table1710518[[#This Row],[Ln'#]],Elite!A$5:AV$34,14,FALSE)="E",VLOOKUP(Table1710518[[#This Row],[Ln'#]],Elite!A$5:AV$34,14,FALSE)="FEO"),"Entered or FEO","Not Entered")</f>
        <v>Not Entered</v>
      </c>
      <c r="C64" s="50" t="str">
        <f t="shared" ca="1" si="1"/>
        <v/>
      </c>
      <c r="D64" s="48"/>
      <c r="E64" s="48"/>
      <c r="F64" s="48"/>
      <c r="G64" s="48" t="str">
        <f>IF(Table1710518[[#This Row],[Status]]="Not Entered","",VLOOKUP(Table1710518[[#This Row],[Ln'#]],Elite!$A$5:$AV$34,3,FALSE))</f>
        <v/>
      </c>
      <c r="H64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4" s="51" t="str">
        <f>IF(Table1710518[[#This Row],[Status]]="Not Entered","",VLOOKUP(Table1710518[[#This Row],[Ln'#]],Elite!$A$4:$AV$34,46,FALSE))</f>
        <v/>
      </c>
      <c r="K64" s="49">
        <v>27</v>
      </c>
      <c r="L64" s="144" t="str">
        <f>IF(OR(VLOOKUP(Table13130353842[[#This Row],[Ln'#]],Elite!A$5:AT$34,6,FALSE)="E",VLOOKUP(Table13130353842[[#This Row],[Ln'#]],Elite!A$5:AT$34,6,FALSE)="FEO"),"x","")</f>
        <v/>
      </c>
      <c r="M64" s="144" t="str">
        <f>IF(OR(VLOOKUP(Table13130353842[[#This Row],[Ln'#]],Elite!A$5:AT$34,22,FALSE)="E",VLOOKUP(Table13130353842[[#This Row],[Ln'#]],Elite!A$5:AT$34,22,FALSE)="FEO"),"x","")</f>
        <v/>
      </c>
      <c r="N64" s="48"/>
      <c r="O64" s="48"/>
      <c r="P64" s="48"/>
      <c r="Q64" s="48" t="str">
        <f>IF(AND(Table13130353842[[#This Row],[Status Container]]="",Table13130353842[[#This Row],[Status Exterior]]=""),"",VLOOKUP(Table13130353842[[#This Row],[Ln'#]],Elite!$A$5:$AT$34,3,FALSE))</f>
        <v/>
      </c>
      <c r="R64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4" s="51" t="str">
        <f>IF(Table13130353842[[#This Row],[Dog ID]]="","",(VLOOKUP(Table13130353842[[#This Row],[Dog ID]],Elite!C$5:$AT60,44,FALSE)))</f>
        <v/>
      </c>
    </row>
    <row r="65" spans="1:19" ht="30" customHeight="1" x14ac:dyDescent="0.45">
      <c r="A65" s="49">
        <v>28</v>
      </c>
      <c r="B65" s="49" t="str">
        <f>IF(OR(VLOOKUP(Table1710518[[#This Row],[Ln'#]],Elite!A$5:AV$34,14,FALSE)="E",VLOOKUP(Table1710518[[#This Row],[Ln'#]],Elite!A$5:AV$34,14,FALSE)="FEO"),"Entered or FEO","Not Entered")</f>
        <v>Not Entered</v>
      </c>
      <c r="C65" s="50" t="str">
        <f t="shared" ca="1" si="1"/>
        <v/>
      </c>
      <c r="D65" s="48"/>
      <c r="E65" s="48"/>
      <c r="F65" s="48"/>
      <c r="G65" s="48" t="str">
        <f>IF(Table1710518[[#This Row],[Status]]="Not Entered","",VLOOKUP(Table1710518[[#This Row],[Ln'#]],Elite!$A$5:$AV$34,3,FALSE))</f>
        <v/>
      </c>
      <c r="H65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5" s="51" t="str">
        <f>IF(Table1710518[[#This Row],[Status]]="Not Entered","",VLOOKUP(Table1710518[[#This Row],[Ln'#]],Elite!$A$4:$AV$34,46,FALSE))</f>
        <v/>
      </c>
      <c r="K65" s="49">
        <v>28</v>
      </c>
      <c r="L65" s="144" t="str">
        <f>IF(OR(VLOOKUP(Table13130353842[[#This Row],[Ln'#]],Elite!A$5:AT$34,6,FALSE)="E",VLOOKUP(Table13130353842[[#This Row],[Ln'#]],Elite!A$5:AT$34,6,FALSE)="FEO"),"x","")</f>
        <v/>
      </c>
      <c r="M65" s="144" t="str">
        <f>IF(OR(VLOOKUP(Table13130353842[[#This Row],[Ln'#]],Elite!A$5:AT$34,22,FALSE)="E",VLOOKUP(Table13130353842[[#This Row],[Ln'#]],Elite!A$5:AT$34,22,FALSE)="FEO"),"x","")</f>
        <v/>
      </c>
      <c r="N65" s="48"/>
      <c r="O65" s="48"/>
      <c r="P65" s="48"/>
      <c r="Q65" s="48" t="str">
        <f>IF(AND(Table13130353842[[#This Row],[Status Container]]="",Table13130353842[[#This Row],[Status Exterior]]=""),"",VLOOKUP(Table13130353842[[#This Row],[Ln'#]],Elite!$A$5:$AT$34,3,FALSE))</f>
        <v/>
      </c>
      <c r="R65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5" s="51" t="str">
        <f>IF(Table13130353842[[#This Row],[Dog ID]]="","",(VLOOKUP(Table13130353842[[#This Row],[Dog ID]],Elite!C$5:$AT61,44,FALSE)))</f>
        <v/>
      </c>
    </row>
    <row r="66" spans="1:19" ht="30" customHeight="1" x14ac:dyDescent="0.45">
      <c r="A66" s="49">
        <v>29</v>
      </c>
      <c r="B66" s="49" t="str">
        <f>IF(OR(VLOOKUP(Table1710518[[#This Row],[Ln'#]],Elite!A$5:AV$34,14,FALSE)="E",VLOOKUP(Table1710518[[#This Row],[Ln'#]],Elite!A$5:AV$34,14,FALSE)="FEO"),"Entered or FEO","Not Entered")</f>
        <v>Not Entered</v>
      </c>
      <c r="C66" s="50" t="str">
        <f t="shared" ca="1" si="1"/>
        <v/>
      </c>
      <c r="D66" s="48"/>
      <c r="E66" s="48"/>
      <c r="F66" s="48"/>
      <c r="G66" s="48" t="str">
        <f>IF(Table1710518[[#This Row],[Status]]="Not Entered","",VLOOKUP(Table1710518[[#This Row],[Ln'#]],Elite!$A$5:$AV$34,3,FALSE))</f>
        <v/>
      </c>
      <c r="H66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6" s="51" t="str">
        <f>IF(Table1710518[[#This Row],[Status]]="Not Entered","",VLOOKUP(Table1710518[[#This Row],[Ln'#]],Elite!$A$4:$AV$34,46,FALSE))</f>
        <v/>
      </c>
      <c r="K66" s="49">
        <v>29</v>
      </c>
      <c r="L66" s="144" t="str">
        <f>IF(OR(VLOOKUP(Table13130353842[[#This Row],[Ln'#]],Elite!A$5:AT$34,6,FALSE)="E",VLOOKUP(Table13130353842[[#This Row],[Ln'#]],Elite!A$5:AT$34,6,FALSE)="FEO"),"x","")</f>
        <v/>
      </c>
      <c r="M66" s="144" t="str">
        <f>IF(OR(VLOOKUP(Table13130353842[[#This Row],[Ln'#]],Elite!A$5:AT$34,22,FALSE)="E",VLOOKUP(Table13130353842[[#This Row],[Ln'#]],Elite!A$5:AT$34,22,FALSE)="FEO"),"x","")</f>
        <v/>
      </c>
      <c r="N66" s="48"/>
      <c r="O66" s="48"/>
      <c r="P66" s="48"/>
      <c r="Q66" s="48" t="str">
        <f>IF(AND(Table13130353842[[#This Row],[Status Container]]="",Table13130353842[[#This Row],[Status Exterior]]=""),"",VLOOKUP(Table13130353842[[#This Row],[Ln'#]],Elite!$A$5:$AT$34,3,FALSE))</f>
        <v/>
      </c>
      <c r="R66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6" s="51" t="str">
        <f>IF(Table13130353842[[#This Row],[Dog ID]]="","",(VLOOKUP(Table13130353842[[#This Row],[Dog ID]],Elite!C$5:$AT62,44,FALSE)))</f>
        <v/>
      </c>
    </row>
    <row r="67" spans="1:19" ht="30" customHeight="1" x14ac:dyDescent="0.45">
      <c r="A67" s="49">
        <v>30</v>
      </c>
      <c r="B67" s="49" t="str">
        <f>IF(OR(VLOOKUP(Table1710518[[#This Row],[Ln'#]],Elite!A$5:AV$34,14,FALSE)="E",VLOOKUP(Table1710518[[#This Row],[Ln'#]],Elite!A$5:AV$34,14,FALSE)="FEO"),"Entered or FEO","Not Entered")</f>
        <v>Not Entered</v>
      </c>
      <c r="C67" s="50" t="str">
        <f t="shared" ca="1" si="1"/>
        <v/>
      </c>
      <c r="D67" s="48"/>
      <c r="E67" s="48"/>
      <c r="F67" s="48"/>
      <c r="G67" s="48" t="str">
        <f>IF(Table1710518[[#This Row],[Status]]="Not Entered","",VLOOKUP(Table1710518[[#This Row],[Ln'#]],Elite!$A$5:$AV$34,3,FALSE))</f>
        <v/>
      </c>
      <c r="H67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7" s="51" t="str">
        <f>IF(Table1710518[[#This Row],[Status]]="Not Entered","",VLOOKUP(Table1710518[[#This Row],[Ln'#]],Elite!$A$4:$AV$34,46,FALSE))</f>
        <v/>
      </c>
      <c r="K67" s="49">
        <v>30</v>
      </c>
      <c r="L67" s="144" t="str">
        <f>IF(OR(VLOOKUP(Table13130353842[[#This Row],[Ln'#]],Elite!A$5:AT$34,6,FALSE)="E",VLOOKUP(Table13130353842[[#This Row],[Ln'#]],Elite!A$5:AT$34,6,FALSE)="FEO"),"x","")</f>
        <v/>
      </c>
      <c r="M67" s="144" t="str">
        <f>IF(OR(VLOOKUP(Table13130353842[[#This Row],[Ln'#]],Elite!A$5:AT$34,22,FALSE)="E",VLOOKUP(Table13130353842[[#This Row],[Ln'#]],Elite!A$5:AT$34,22,FALSE)="FEO"),"x","")</f>
        <v/>
      </c>
      <c r="N67" s="48"/>
      <c r="O67" s="48"/>
      <c r="P67" s="48"/>
      <c r="Q67" s="48" t="str">
        <f>IF(AND(Table13130353842[[#This Row],[Status Container]]="",Table13130353842[[#This Row],[Status Exterior]]=""),"",VLOOKUP(Table13130353842[[#This Row],[Ln'#]],Elite!$A$5:$AT$34,3,FALSE))</f>
        <v/>
      </c>
      <c r="R67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7" s="51" t="str">
        <f>IF(Table13130353842[[#This Row],[Dog ID]]="","",(VLOOKUP(Table13130353842[[#This Row],[Dog ID]],Elite!C$5:$AT63,44,FALSE)))</f>
        <v/>
      </c>
    </row>
    <row r="68" spans="1:19" ht="30" customHeight="1" x14ac:dyDescent="0.4">
      <c r="A68" s="48"/>
      <c r="B68" s="48"/>
      <c r="C68" s="48"/>
      <c r="D68" s="48" t="s">
        <v>1141</v>
      </c>
      <c r="E68" s="48">
        <f>SUBTOTAL(102,Table1710518[Running Order])</f>
        <v>0</v>
      </c>
      <c r="F68" s="48"/>
      <c r="G68" s="48"/>
      <c r="H68" s="51"/>
      <c r="I68" s="51"/>
      <c r="K68" s="145"/>
      <c r="L68" s="145"/>
      <c r="M68" s="145"/>
      <c r="N68" s="145" t="s">
        <v>1141</v>
      </c>
      <c r="O68" s="145">
        <f>SUBTOTAL(102,Table13130353842[Running Order])</f>
        <v>0</v>
      </c>
      <c r="P68" s="145"/>
      <c r="Q68" s="145"/>
      <c r="R68" s="146"/>
      <c r="S68" s="146"/>
    </row>
    <row r="70" spans="1:19" ht="30" customHeight="1" x14ac:dyDescent="0.4">
      <c r="A70" s="402" t="s">
        <v>1143</v>
      </c>
      <c r="B70" s="402"/>
      <c r="C70" s="43"/>
      <c r="D70" s="403" t="s">
        <v>2044</v>
      </c>
      <c r="E70" s="403"/>
      <c r="F70" s="403"/>
      <c r="G70" s="403"/>
      <c r="H70" s="403"/>
      <c r="I70" s="403"/>
    </row>
    <row r="71" spans="1:19" ht="54" customHeight="1" x14ac:dyDescent="0.4">
      <c r="A71" s="67" t="s">
        <v>605</v>
      </c>
      <c r="B71" s="67" t="s">
        <v>1139</v>
      </c>
      <c r="C71" s="68" t="s">
        <v>1140</v>
      </c>
      <c r="D71" s="67" t="s">
        <v>1142</v>
      </c>
      <c r="E71" s="67" t="s">
        <v>1135</v>
      </c>
      <c r="F71" s="67" t="s">
        <v>1188</v>
      </c>
      <c r="G71" s="67" t="s">
        <v>1136</v>
      </c>
      <c r="H71" s="69" t="s">
        <v>1207</v>
      </c>
      <c r="I71" s="69" t="s">
        <v>1137</v>
      </c>
      <c r="K71" s="71"/>
      <c r="L71" s="71"/>
      <c r="M71" s="71"/>
      <c r="N71" s="71"/>
      <c r="O71" s="71"/>
      <c r="P71" s="71"/>
      <c r="Q71" s="71"/>
      <c r="R71" s="71"/>
      <c r="S71" s="71"/>
    </row>
    <row r="72" spans="1:19" ht="30" customHeight="1" x14ac:dyDescent="0.4">
      <c r="A72" s="49">
        <v>1</v>
      </c>
      <c r="B72" s="49" t="str">
        <f>IF(OR(VLOOKUP(Table171012825[[#This Row],[Ln'#]],Elite!A$5:AV$34,22,FALSE)="E",VLOOKUP(Table171012825[[#This Row],[Ln'#]],Elite!A$5:AT$34,22,FALSE)="FEO"),"Entered or FEO","Not Entered")</f>
        <v>Not Entered</v>
      </c>
      <c r="C72" s="50" t="str">
        <f t="shared" ref="C72:C101" ca="1" si="2">IF(OR(B72="e",B72="FEO"),RAND(),"")</f>
        <v/>
      </c>
      <c r="D72" s="48"/>
      <c r="E72" s="48"/>
      <c r="F72" s="48"/>
      <c r="G72" s="48" t="str">
        <f>IF(Table171012825[[#This Row],[Status]]="Not Entered","",VLOOKUP(Table171012825[[#This Row],[Ln'#]],Elite!$A$5:$AV$34,3,FALSE))</f>
        <v/>
      </c>
      <c r="H72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2" s="51" t="str">
        <f>IF(Table171012825[[#This Row],[Status]]="Not Entered","",VLOOKUP(Table171012825[[#This Row],[Ln'#]],Elite!$A$5:$AV$34,46,FALSE))</f>
        <v/>
      </c>
    </row>
    <row r="73" spans="1:19" ht="30" customHeight="1" x14ac:dyDescent="0.4">
      <c r="A73" s="49">
        <v>2</v>
      </c>
      <c r="B73" s="49" t="str">
        <f>IF(OR(VLOOKUP(Table171012825[[#This Row],[Ln'#]],Elite!A$5:AV$34,22,FALSE)="E",VLOOKUP(Table171012825[[#This Row],[Ln'#]],Elite!A$5:AT$34,22,FALSE)="FEO"),"Entered or FEO","Not Entered")</f>
        <v>Not Entered</v>
      </c>
      <c r="C73" s="50" t="str">
        <f t="shared" ca="1" si="2"/>
        <v/>
      </c>
      <c r="D73" s="48"/>
      <c r="E73" s="48"/>
      <c r="F73" s="48"/>
      <c r="G73" s="48" t="str">
        <f>IF(Table171012825[[#This Row],[Status]]="Not Entered","",VLOOKUP(Table171012825[[#This Row],[Ln'#]],Elite!$A$5:$AV$34,3,FALSE))</f>
        <v/>
      </c>
      <c r="H73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3" s="51" t="str">
        <f>IF(Table171012825[[#This Row],[Status]]="Not Entered","",VLOOKUP(Table171012825[[#This Row],[Ln'#]],Elite!$A$5:$AV$34,46,FALSE))</f>
        <v/>
      </c>
    </row>
    <row r="74" spans="1:19" ht="30" customHeight="1" x14ac:dyDescent="0.4">
      <c r="A74" s="49">
        <v>3</v>
      </c>
      <c r="B74" s="49" t="str">
        <f>IF(OR(VLOOKUP(Table171012825[[#This Row],[Ln'#]],Elite!A$5:AV$34,22,FALSE)="E",VLOOKUP(Table171012825[[#This Row],[Ln'#]],Elite!A$5:AT$34,22,FALSE)="FEO"),"Entered or FEO","Not Entered")</f>
        <v>Not Entered</v>
      </c>
      <c r="C74" s="50" t="str">
        <f t="shared" ca="1" si="2"/>
        <v/>
      </c>
      <c r="D74" s="48"/>
      <c r="E74" s="48"/>
      <c r="F74" s="48"/>
      <c r="G74" s="48" t="str">
        <f>IF(Table171012825[[#This Row],[Status]]="Not Entered","",VLOOKUP(Table171012825[[#This Row],[Ln'#]],Elite!$A$5:$AV$34,3,FALSE))</f>
        <v/>
      </c>
      <c r="H74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4" s="51" t="str">
        <f>IF(Table171012825[[#This Row],[Status]]="Not Entered","",VLOOKUP(Table171012825[[#This Row],[Ln'#]],Elite!$A$5:$AV$34,46,FALSE))</f>
        <v/>
      </c>
    </row>
    <row r="75" spans="1:19" ht="30" customHeight="1" x14ac:dyDescent="0.4">
      <c r="A75" s="49">
        <v>4</v>
      </c>
      <c r="B75" s="49" t="str">
        <f>IF(OR(VLOOKUP(Table171012825[[#This Row],[Ln'#]],Elite!A$5:AV$34,22,FALSE)="E",VLOOKUP(Table171012825[[#This Row],[Ln'#]],Elite!A$5:AT$34,22,FALSE)="FEO"),"Entered or FEO","Not Entered")</f>
        <v>Not Entered</v>
      </c>
      <c r="C75" s="50" t="str">
        <f t="shared" ca="1" si="2"/>
        <v/>
      </c>
      <c r="D75" s="48"/>
      <c r="E75" s="48"/>
      <c r="F75" s="48"/>
      <c r="G75" s="48" t="str">
        <f>IF(Table171012825[[#This Row],[Status]]="Not Entered","",VLOOKUP(Table171012825[[#This Row],[Ln'#]],Elite!$A$5:$AV$34,3,FALSE))</f>
        <v/>
      </c>
      <c r="H75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5" s="51" t="str">
        <f>IF(Table171012825[[#This Row],[Status]]="Not Entered","",VLOOKUP(Table171012825[[#This Row],[Ln'#]],Elite!$A$5:$AV$34,46,FALSE))</f>
        <v/>
      </c>
    </row>
    <row r="76" spans="1:19" ht="30" customHeight="1" x14ac:dyDescent="0.4">
      <c r="A76" s="49">
        <v>5</v>
      </c>
      <c r="B76" s="49" t="str">
        <f>IF(OR(VLOOKUP(Table171012825[[#This Row],[Ln'#]],Elite!A$5:AV$34,22,FALSE)="E",VLOOKUP(Table171012825[[#This Row],[Ln'#]],Elite!A$5:AT$34,22,FALSE)="FEO"),"Entered or FEO","Not Entered")</f>
        <v>Not Entered</v>
      </c>
      <c r="C76" s="50" t="str">
        <f t="shared" ca="1" si="2"/>
        <v/>
      </c>
      <c r="D76" s="48"/>
      <c r="E76" s="48"/>
      <c r="F76" s="48"/>
      <c r="G76" s="48" t="str">
        <f>IF(Table171012825[[#This Row],[Status]]="Not Entered","",VLOOKUP(Table171012825[[#This Row],[Ln'#]],Elite!$A$5:$AV$34,3,FALSE))</f>
        <v/>
      </c>
      <c r="H76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6" s="51" t="str">
        <f>IF(Table171012825[[#This Row],[Status]]="Not Entered","",VLOOKUP(Table171012825[[#This Row],[Ln'#]],Elite!$A$5:$AV$34,46,FALSE))</f>
        <v/>
      </c>
    </row>
    <row r="77" spans="1:19" ht="30" customHeight="1" x14ac:dyDescent="0.4">
      <c r="A77" s="49">
        <v>6</v>
      </c>
      <c r="B77" s="49" t="str">
        <f>IF(OR(VLOOKUP(Table171012825[[#This Row],[Ln'#]],Elite!A$5:AV$34,22,FALSE)="E",VLOOKUP(Table171012825[[#This Row],[Ln'#]],Elite!A$5:AT$34,22,FALSE)="FEO"),"Entered or FEO","Not Entered")</f>
        <v>Not Entered</v>
      </c>
      <c r="C77" s="50" t="str">
        <f t="shared" ca="1" si="2"/>
        <v/>
      </c>
      <c r="D77" s="48"/>
      <c r="E77" s="48"/>
      <c r="F77" s="48"/>
      <c r="G77" s="48" t="str">
        <f>IF(Table171012825[[#This Row],[Status]]="Not Entered","",VLOOKUP(Table171012825[[#This Row],[Ln'#]],Elite!$A$5:$AV$34,3,FALSE))</f>
        <v/>
      </c>
      <c r="H77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7" s="51" t="str">
        <f>IF(Table171012825[[#This Row],[Status]]="Not Entered","",VLOOKUP(Table171012825[[#This Row],[Ln'#]],Elite!$A$5:$AV$34,46,FALSE))</f>
        <v/>
      </c>
    </row>
    <row r="78" spans="1:19" ht="30" customHeight="1" x14ac:dyDescent="0.4">
      <c r="A78" s="49">
        <v>7</v>
      </c>
      <c r="B78" s="49" t="str">
        <f>IF(OR(VLOOKUP(Table171012825[[#This Row],[Ln'#]],Elite!A$5:AV$34,22,FALSE)="E",VLOOKUP(Table171012825[[#This Row],[Ln'#]],Elite!A$5:AT$34,22,FALSE)="FEO"),"Entered or FEO","Not Entered")</f>
        <v>Not Entered</v>
      </c>
      <c r="C78" s="50" t="str">
        <f t="shared" ca="1" si="2"/>
        <v/>
      </c>
      <c r="D78" s="48"/>
      <c r="E78" s="48"/>
      <c r="F78" s="48"/>
      <c r="G78" s="48" t="str">
        <f>IF(Table171012825[[#This Row],[Status]]="Not Entered","",VLOOKUP(Table171012825[[#This Row],[Ln'#]],Elite!$A$5:$AV$34,3,FALSE))</f>
        <v/>
      </c>
      <c r="H78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8" s="51" t="str">
        <f>IF(Table171012825[[#This Row],[Status]]="Not Entered","",VLOOKUP(Table171012825[[#This Row],[Ln'#]],Elite!$A$5:$AV$34,46,FALSE))</f>
        <v/>
      </c>
    </row>
    <row r="79" spans="1:19" ht="30" customHeight="1" x14ac:dyDescent="0.4">
      <c r="A79" s="49">
        <v>8</v>
      </c>
      <c r="B79" s="49" t="str">
        <f>IF(OR(VLOOKUP(Table171012825[[#This Row],[Ln'#]],Elite!A$5:AV$34,22,FALSE)="E",VLOOKUP(Table171012825[[#This Row],[Ln'#]],Elite!A$5:AT$34,22,FALSE)="FEO"),"Entered or FEO","Not Entered")</f>
        <v>Not Entered</v>
      </c>
      <c r="C79" s="50" t="str">
        <f t="shared" ca="1" si="2"/>
        <v/>
      </c>
      <c r="D79" s="48"/>
      <c r="E79" s="48"/>
      <c r="F79" s="48"/>
      <c r="G79" s="48" t="str">
        <f>IF(Table171012825[[#This Row],[Status]]="Not Entered","",VLOOKUP(Table171012825[[#This Row],[Ln'#]],Elite!$A$5:$AV$34,3,FALSE))</f>
        <v/>
      </c>
      <c r="H79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9" s="51" t="str">
        <f>IF(Table171012825[[#This Row],[Status]]="Not Entered","",VLOOKUP(Table171012825[[#This Row],[Ln'#]],Elite!$A$5:$AV$34,46,FALSE))</f>
        <v/>
      </c>
    </row>
    <row r="80" spans="1:19" ht="30" customHeight="1" x14ac:dyDescent="0.4">
      <c r="A80" s="49">
        <v>9</v>
      </c>
      <c r="B80" s="49" t="str">
        <f>IF(OR(VLOOKUP(Table171012825[[#This Row],[Ln'#]],Elite!A$5:AV$34,22,FALSE)="E",VLOOKUP(Table171012825[[#This Row],[Ln'#]],Elite!A$5:AT$34,22,FALSE)="FEO"),"Entered or FEO","Not Entered")</f>
        <v>Not Entered</v>
      </c>
      <c r="C80" s="50" t="str">
        <f t="shared" ca="1" si="2"/>
        <v/>
      </c>
      <c r="D80" s="48"/>
      <c r="E80" s="48"/>
      <c r="F80" s="48"/>
      <c r="G80" s="48" t="str">
        <f>IF(Table171012825[[#This Row],[Status]]="Not Entered","",VLOOKUP(Table171012825[[#This Row],[Ln'#]],Elite!$A$5:$AV$34,3,FALSE))</f>
        <v/>
      </c>
      <c r="H80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0" s="51" t="str">
        <f>IF(Table171012825[[#This Row],[Status]]="Not Entered","",VLOOKUP(Table171012825[[#This Row],[Ln'#]],Elite!$A$5:$AV$34,46,FALSE))</f>
        <v/>
      </c>
    </row>
    <row r="81" spans="1:9" ht="30" customHeight="1" x14ac:dyDescent="0.4">
      <c r="A81" s="49">
        <v>10</v>
      </c>
      <c r="B81" s="49" t="str">
        <f>IF(OR(VLOOKUP(Table171012825[[#This Row],[Ln'#]],Elite!A$5:AV$34,22,FALSE)="E",VLOOKUP(Table171012825[[#This Row],[Ln'#]],Elite!A$5:AT$34,22,FALSE)="FEO"),"Entered or FEO","Not Entered")</f>
        <v>Not Entered</v>
      </c>
      <c r="C81" s="50" t="str">
        <f t="shared" ca="1" si="2"/>
        <v/>
      </c>
      <c r="D81" s="48"/>
      <c r="E81" s="48"/>
      <c r="F81" s="48"/>
      <c r="G81" s="48" t="str">
        <f>IF(Table171012825[[#This Row],[Status]]="Not Entered","",VLOOKUP(Table171012825[[#This Row],[Ln'#]],Elite!$A$5:$AV$34,3,FALSE))</f>
        <v/>
      </c>
      <c r="H81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1" s="51" t="str">
        <f>IF(Table171012825[[#This Row],[Status]]="Not Entered","",VLOOKUP(Table171012825[[#This Row],[Ln'#]],Elite!$A$5:$AV$34,46,FALSE))</f>
        <v/>
      </c>
    </row>
    <row r="82" spans="1:9" ht="30" customHeight="1" x14ac:dyDescent="0.4">
      <c r="A82" s="49">
        <v>11</v>
      </c>
      <c r="B82" s="49" t="str">
        <f>IF(OR(VLOOKUP(Table171012825[[#This Row],[Ln'#]],Elite!A$5:AV$34,22,FALSE)="E",VLOOKUP(Table171012825[[#This Row],[Ln'#]],Elite!A$5:AT$34,22,FALSE)="FEO"),"Entered or FEO","Not Entered")</f>
        <v>Not Entered</v>
      </c>
      <c r="C82" s="50" t="str">
        <f t="shared" ca="1" si="2"/>
        <v/>
      </c>
      <c r="D82" s="48"/>
      <c r="E82" s="48"/>
      <c r="F82" s="48"/>
      <c r="G82" s="48" t="str">
        <f>IF(Table171012825[[#This Row],[Status]]="Not Entered","",VLOOKUP(Table171012825[[#This Row],[Ln'#]],Elite!$A$5:$AV$34,3,FALSE))</f>
        <v/>
      </c>
      <c r="H82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2" s="51" t="str">
        <f>IF(Table171012825[[#This Row],[Status]]="Not Entered","",VLOOKUP(Table171012825[[#This Row],[Ln'#]],Elite!$A$5:$AV$34,46,FALSE))</f>
        <v/>
      </c>
    </row>
    <row r="83" spans="1:9" ht="30" customHeight="1" x14ac:dyDescent="0.4">
      <c r="A83" s="49">
        <v>12</v>
      </c>
      <c r="B83" s="49" t="str">
        <f>IF(OR(VLOOKUP(Table171012825[[#This Row],[Ln'#]],Elite!A$5:AV$34,22,FALSE)="E",VLOOKUP(Table171012825[[#This Row],[Ln'#]],Elite!A$5:AT$34,22,FALSE)="FEO"),"Entered or FEO","Not Entered")</f>
        <v>Not Entered</v>
      </c>
      <c r="C83" s="50" t="str">
        <f t="shared" ca="1" si="2"/>
        <v/>
      </c>
      <c r="D83" s="48"/>
      <c r="E83" s="48"/>
      <c r="F83" s="48"/>
      <c r="G83" s="48" t="str">
        <f>IF(Table171012825[[#This Row],[Status]]="Not Entered","",VLOOKUP(Table171012825[[#This Row],[Ln'#]],Elite!$A$5:$AV$34,3,FALSE))</f>
        <v/>
      </c>
      <c r="H83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3" s="51" t="str">
        <f>IF(Table171012825[[#This Row],[Status]]="Not Entered","",VLOOKUP(Table171012825[[#This Row],[Ln'#]],Elite!$A$5:$AV$34,46,FALSE))</f>
        <v/>
      </c>
    </row>
    <row r="84" spans="1:9" ht="30" customHeight="1" x14ac:dyDescent="0.4">
      <c r="A84" s="49">
        <v>13</v>
      </c>
      <c r="B84" s="49" t="str">
        <f>IF(OR(VLOOKUP(Table171012825[[#This Row],[Ln'#]],Elite!A$5:AV$34,22,FALSE)="E",VLOOKUP(Table171012825[[#This Row],[Ln'#]],Elite!A$5:AT$34,22,FALSE)="FEO"),"Entered or FEO","Not Entered")</f>
        <v>Not Entered</v>
      </c>
      <c r="C84" s="50" t="str">
        <f t="shared" ca="1" si="2"/>
        <v/>
      </c>
      <c r="D84" s="48"/>
      <c r="E84" s="48"/>
      <c r="F84" s="48"/>
      <c r="G84" s="48" t="str">
        <f>IF(Table171012825[[#This Row],[Status]]="Not Entered","",VLOOKUP(Table171012825[[#This Row],[Ln'#]],Elite!$A$5:$AV$34,3,FALSE))</f>
        <v/>
      </c>
      <c r="H84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4" s="51" t="str">
        <f>IF(Table171012825[[#This Row],[Status]]="Not Entered","",VLOOKUP(Table171012825[[#This Row],[Ln'#]],Elite!$A$5:$AV$34,46,FALSE))</f>
        <v/>
      </c>
    </row>
    <row r="85" spans="1:9" ht="30" customHeight="1" x14ac:dyDescent="0.4">
      <c r="A85" s="49">
        <v>14</v>
      </c>
      <c r="B85" s="49" t="str">
        <f>IF(OR(VLOOKUP(Table171012825[[#This Row],[Ln'#]],Elite!A$5:AV$34,22,FALSE)="E",VLOOKUP(Table171012825[[#This Row],[Ln'#]],Elite!A$5:AT$34,22,FALSE)="FEO"),"Entered or FEO","Not Entered")</f>
        <v>Not Entered</v>
      </c>
      <c r="C85" s="50" t="str">
        <f t="shared" ca="1" si="2"/>
        <v/>
      </c>
      <c r="D85" s="48"/>
      <c r="E85" s="48"/>
      <c r="F85" s="48"/>
      <c r="G85" s="48" t="str">
        <f>IF(Table171012825[[#This Row],[Status]]="Not Entered","",VLOOKUP(Table171012825[[#This Row],[Ln'#]],Elite!$A$5:$AV$34,3,FALSE))</f>
        <v/>
      </c>
      <c r="H85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5" s="51" t="str">
        <f>IF(Table171012825[[#This Row],[Status]]="Not Entered","",VLOOKUP(Table171012825[[#This Row],[Ln'#]],Elite!$A$5:$AV$34,46,FALSE))</f>
        <v/>
      </c>
    </row>
    <row r="86" spans="1:9" ht="30" customHeight="1" x14ac:dyDescent="0.4">
      <c r="A86" s="49">
        <v>15</v>
      </c>
      <c r="B86" s="49" t="str">
        <f>IF(OR(VLOOKUP(Table171012825[[#This Row],[Ln'#]],Elite!A$5:AV$34,22,FALSE)="E",VLOOKUP(Table171012825[[#This Row],[Ln'#]],Elite!A$5:AT$34,22,FALSE)="FEO"),"Entered or FEO","Not Entered")</f>
        <v>Not Entered</v>
      </c>
      <c r="C86" s="50" t="str">
        <f t="shared" ca="1" si="2"/>
        <v/>
      </c>
      <c r="D86" s="48"/>
      <c r="E86" s="48"/>
      <c r="F86" s="48"/>
      <c r="G86" s="48" t="str">
        <f>IF(Table171012825[[#This Row],[Status]]="Not Entered","",VLOOKUP(Table171012825[[#This Row],[Ln'#]],Elite!$A$5:$AV$34,3,FALSE))</f>
        <v/>
      </c>
      <c r="H86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6" s="51" t="str">
        <f>IF(Table171012825[[#This Row],[Status]]="Not Entered","",VLOOKUP(Table171012825[[#This Row],[Ln'#]],Elite!$A$5:$AV$34,46,FALSE))</f>
        <v/>
      </c>
    </row>
    <row r="87" spans="1:9" ht="30" customHeight="1" x14ac:dyDescent="0.4">
      <c r="A87" s="49">
        <v>16</v>
      </c>
      <c r="B87" s="49" t="str">
        <f>IF(OR(VLOOKUP(Table171012825[[#This Row],[Ln'#]],Elite!A$5:AV$34,22,FALSE)="E",VLOOKUP(Table171012825[[#This Row],[Ln'#]],Elite!A$5:AT$34,22,FALSE)="FEO"),"Entered or FEO","Not Entered")</f>
        <v>Not Entered</v>
      </c>
      <c r="C87" s="50" t="str">
        <f t="shared" ca="1" si="2"/>
        <v/>
      </c>
      <c r="D87" s="48"/>
      <c r="E87" s="48"/>
      <c r="F87" s="48"/>
      <c r="G87" s="48" t="str">
        <f>IF(Table171012825[[#This Row],[Status]]="Not Entered","",VLOOKUP(Table171012825[[#This Row],[Ln'#]],Elite!$A$5:$AV$34,3,FALSE))</f>
        <v/>
      </c>
      <c r="H87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7" s="51" t="str">
        <f>IF(Table171012825[[#This Row],[Status]]="Not Entered","",VLOOKUP(Table171012825[[#This Row],[Ln'#]],Elite!$A$5:$AV$34,46,FALSE))</f>
        <v/>
      </c>
    </row>
    <row r="88" spans="1:9" ht="30" customHeight="1" x14ac:dyDescent="0.4">
      <c r="A88" s="49">
        <v>17</v>
      </c>
      <c r="B88" s="49" t="str">
        <f>IF(OR(VLOOKUP(Table171012825[[#This Row],[Ln'#]],Elite!A$5:AV$34,22,FALSE)="E",VLOOKUP(Table171012825[[#This Row],[Ln'#]],Elite!A$5:AT$34,22,FALSE)="FEO"),"Entered or FEO","Not Entered")</f>
        <v>Not Entered</v>
      </c>
      <c r="C88" s="50" t="str">
        <f t="shared" ca="1" si="2"/>
        <v/>
      </c>
      <c r="D88" s="48"/>
      <c r="E88" s="48"/>
      <c r="F88" s="48"/>
      <c r="G88" s="48" t="str">
        <f>IF(Table171012825[[#This Row],[Status]]="Not Entered","",VLOOKUP(Table171012825[[#This Row],[Ln'#]],Elite!$A$5:$AV$34,3,FALSE))</f>
        <v/>
      </c>
      <c r="H88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8" s="51" t="str">
        <f>IF(Table171012825[[#This Row],[Status]]="Not Entered","",VLOOKUP(Table171012825[[#This Row],[Ln'#]],Elite!$A$5:$AV$34,46,FALSE))</f>
        <v/>
      </c>
    </row>
    <row r="89" spans="1:9" ht="30" customHeight="1" x14ac:dyDescent="0.4">
      <c r="A89" s="49">
        <v>18</v>
      </c>
      <c r="B89" s="49" t="str">
        <f>IF(OR(VLOOKUP(Table171012825[[#This Row],[Ln'#]],Elite!A$5:AV$34,22,FALSE)="E",VLOOKUP(Table171012825[[#This Row],[Ln'#]],Elite!A$5:AT$34,22,FALSE)="FEO"),"Entered or FEO","Not Entered")</f>
        <v>Not Entered</v>
      </c>
      <c r="C89" s="50" t="str">
        <f t="shared" ca="1" si="2"/>
        <v/>
      </c>
      <c r="D89" s="48"/>
      <c r="E89" s="48"/>
      <c r="F89" s="48"/>
      <c r="G89" s="48" t="str">
        <f>IF(Table171012825[[#This Row],[Status]]="Not Entered","",VLOOKUP(Table171012825[[#This Row],[Ln'#]],Elite!$A$5:$AV$34,3,FALSE))</f>
        <v/>
      </c>
      <c r="H89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9" s="51" t="str">
        <f>IF(Table171012825[[#This Row],[Status]]="Not Entered","",VLOOKUP(Table171012825[[#This Row],[Ln'#]],Elite!$A$5:$AV$34,46,FALSE))</f>
        <v/>
      </c>
    </row>
    <row r="90" spans="1:9" ht="30" customHeight="1" x14ac:dyDescent="0.4">
      <c r="A90" s="49">
        <v>19</v>
      </c>
      <c r="B90" s="49" t="str">
        <f>IF(OR(VLOOKUP(Table171012825[[#This Row],[Ln'#]],Elite!A$5:AV$34,22,FALSE)="E",VLOOKUP(Table171012825[[#This Row],[Ln'#]],Elite!A$5:AT$34,22,FALSE)="FEO"),"Entered or FEO","Not Entered")</f>
        <v>Not Entered</v>
      </c>
      <c r="C90" s="50" t="str">
        <f t="shared" ca="1" si="2"/>
        <v/>
      </c>
      <c r="D90" s="48"/>
      <c r="E90" s="48"/>
      <c r="F90" s="48"/>
      <c r="G90" s="48" t="str">
        <f>IF(Table171012825[[#This Row],[Status]]="Not Entered","",VLOOKUP(Table171012825[[#This Row],[Ln'#]],Elite!$A$5:$AV$34,3,FALSE))</f>
        <v/>
      </c>
      <c r="H90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0" s="51" t="str">
        <f>IF(Table171012825[[#This Row],[Status]]="Not Entered","",VLOOKUP(Table171012825[[#This Row],[Ln'#]],Elite!$A$5:$AV$34,46,FALSE))</f>
        <v/>
      </c>
    </row>
    <row r="91" spans="1:9" ht="30" customHeight="1" x14ac:dyDescent="0.4">
      <c r="A91" s="49">
        <v>20</v>
      </c>
      <c r="B91" s="49" t="str">
        <f>IF(OR(VLOOKUP(Table171012825[[#This Row],[Ln'#]],Elite!A$5:AV$34,22,FALSE)="E",VLOOKUP(Table171012825[[#This Row],[Ln'#]],Elite!A$5:AT$34,22,FALSE)="FEO"),"Entered or FEO","Not Entered")</f>
        <v>Not Entered</v>
      </c>
      <c r="C91" s="50" t="str">
        <f t="shared" ca="1" si="2"/>
        <v/>
      </c>
      <c r="D91" s="48"/>
      <c r="E91" s="48"/>
      <c r="F91" s="48"/>
      <c r="G91" s="48" t="str">
        <f>IF(Table171012825[[#This Row],[Status]]="Not Entered","",VLOOKUP(Table171012825[[#This Row],[Ln'#]],Elite!$A$5:$AV$34,3,FALSE))</f>
        <v/>
      </c>
      <c r="H91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1" s="51" t="str">
        <f>IF(Table171012825[[#This Row],[Status]]="Not Entered","",VLOOKUP(Table171012825[[#This Row],[Ln'#]],Elite!$A$5:$AV$34,46,FALSE))</f>
        <v/>
      </c>
    </row>
    <row r="92" spans="1:9" ht="30" customHeight="1" x14ac:dyDescent="0.4">
      <c r="A92" s="49">
        <v>21</v>
      </c>
      <c r="B92" s="49" t="str">
        <f>IF(OR(VLOOKUP(Table171012825[[#This Row],[Ln'#]],Elite!A$5:AV$34,22,FALSE)="E",VLOOKUP(Table171012825[[#This Row],[Ln'#]],Elite!A$5:AT$34,22,FALSE)="FEO"),"Entered or FEO","Not Entered")</f>
        <v>Not Entered</v>
      </c>
      <c r="C92" s="50" t="str">
        <f t="shared" ca="1" si="2"/>
        <v/>
      </c>
      <c r="D92" s="48"/>
      <c r="E92" s="48"/>
      <c r="F92" s="48"/>
      <c r="G92" s="48" t="str">
        <f>IF(Table171012825[[#This Row],[Status]]="Not Entered","",VLOOKUP(Table171012825[[#This Row],[Ln'#]],Elite!$A$5:$AV$34,3,FALSE))</f>
        <v/>
      </c>
      <c r="H92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2" s="51" t="str">
        <f>IF(Table171012825[[#This Row],[Status]]="Not Entered","",VLOOKUP(Table171012825[[#This Row],[Ln'#]],Elite!$A$5:$AV$34,46,FALSE))</f>
        <v/>
      </c>
    </row>
    <row r="93" spans="1:9" ht="30" customHeight="1" x14ac:dyDescent="0.4">
      <c r="A93" s="49">
        <v>22</v>
      </c>
      <c r="B93" s="49" t="str">
        <f>IF(OR(VLOOKUP(Table171012825[[#This Row],[Ln'#]],Elite!A$5:AV$34,22,FALSE)="E",VLOOKUP(Table171012825[[#This Row],[Ln'#]],Elite!A$5:AT$34,22,FALSE)="FEO"),"Entered or FEO","Not Entered")</f>
        <v>Not Entered</v>
      </c>
      <c r="C93" s="50" t="str">
        <f t="shared" ca="1" si="2"/>
        <v/>
      </c>
      <c r="D93" s="48"/>
      <c r="E93" s="48"/>
      <c r="F93" s="48"/>
      <c r="G93" s="48" t="str">
        <f>IF(Table171012825[[#This Row],[Status]]="Not Entered","",VLOOKUP(Table171012825[[#This Row],[Ln'#]],Elite!$A$5:$AV$34,3,FALSE))</f>
        <v/>
      </c>
      <c r="H93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3" s="51" t="str">
        <f>IF(Table171012825[[#This Row],[Status]]="Not Entered","",VLOOKUP(Table171012825[[#This Row],[Ln'#]],Elite!$A$5:$AV$34,46,FALSE))</f>
        <v/>
      </c>
    </row>
    <row r="94" spans="1:9" ht="30" customHeight="1" x14ac:dyDescent="0.4">
      <c r="A94" s="49">
        <v>23</v>
      </c>
      <c r="B94" s="49" t="str">
        <f>IF(OR(VLOOKUP(Table171012825[[#This Row],[Ln'#]],Elite!A$5:AV$34,22,FALSE)="E",VLOOKUP(Table171012825[[#This Row],[Ln'#]],Elite!A$5:AT$34,22,FALSE)="FEO"),"Entered or FEO","Not Entered")</f>
        <v>Not Entered</v>
      </c>
      <c r="C94" s="50" t="str">
        <f t="shared" ca="1" si="2"/>
        <v/>
      </c>
      <c r="D94" s="48"/>
      <c r="E94" s="48"/>
      <c r="F94" s="48"/>
      <c r="G94" s="48" t="str">
        <f>IF(Table171012825[[#This Row],[Status]]="Not Entered","",VLOOKUP(Table171012825[[#This Row],[Ln'#]],Elite!$A$5:$AV$34,3,FALSE))</f>
        <v/>
      </c>
      <c r="H94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4" s="51" t="str">
        <f>IF(Table171012825[[#This Row],[Status]]="Not Entered","",VLOOKUP(Table171012825[[#This Row],[Ln'#]],Elite!$A$5:$AV$34,46,FALSE))</f>
        <v/>
      </c>
    </row>
    <row r="95" spans="1:9" ht="30" customHeight="1" x14ac:dyDescent="0.4">
      <c r="A95" s="49">
        <v>24</v>
      </c>
      <c r="B95" s="49" t="str">
        <f>IF(OR(VLOOKUP(Table171012825[[#This Row],[Ln'#]],Elite!A$5:AV$34,22,FALSE)="E",VLOOKUP(Table171012825[[#This Row],[Ln'#]],Elite!A$5:AT$34,22,FALSE)="FEO"),"Entered or FEO","Not Entered")</f>
        <v>Not Entered</v>
      </c>
      <c r="C95" s="50" t="str">
        <f t="shared" ca="1" si="2"/>
        <v/>
      </c>
      <c r="D95" s="48"/>
      <c r="E95" s="48"/>
      <c r="F95" s="48"/>
      <c r="G95" s="48" t="str">
        <f>IF(Table171012825[[#This Row],[Status]]="Not Entered","",VLOOKUP(Table171012825[[#This Row],[Ln'#]],Elite!$A$5:$AV$34,3,FALSE))</f>
        <v/>
      </c>
      <c r="H95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5" s="51" t="str">
        <f>IF(Table171012825[[#This Row],[Status]]="Not Entered","",VLOOKUP(Table171012825[[#This Row],[Ln'#]],Elite!$A$5:$AV$34,46,FALSE))</f>
        <v/>
      </c>
    </row>
    <row r="96" spans="1:9" ht="30" customHeight="1" x14ac:dyDescent="0.4">
      <c r="A96" s="49">
        <v>25</v>
      </c>
      <c r="B96" s="49" t="str">
        <f>IF(OR(VLOOKUP(Table171012825[[#This Row],[Ln'#]],Elite!A$5:AV$34,22,FALSE)="E",VLOOKUP(Table171012825[[#This Row],[Ln'#]],Elite!A$5:AT$34,22,FALSE)="FEO"),"Entered or FEO","Not Entered")</f>
        <v>Not Entered</v>
      </c>
      <c r="C96" s="50" t="str">
        <f t="shared" ca="1" si="2"/>
        <v/>
      </c>
      <c r="D96" s="48"/>
      <c r="E96" s="48"/>
      <c r="F96" s="48"/>
      <c r="G96" s="48" t="str">
        <f>IF(Table171012825[[#This Row],[Status]]="Not Entered","",VLOOKUP(Table171012825[[#This Row],[Ln'#]],Elite!$A$5:$AV$34,3,FALSE))</f>
        <v/>
      </c>
      <c r="H96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6" s="51" t="str">
        <f>IF(Table171012825[[#This Row],[Status]]="Not Entered","",VLOOKUP(Table171012825[[#This Row],[Ln'#]],Elite!$A$5:$AV$34,46,FALSE))</f>
        <v/>
      </c>
    </row>
    <row r="97" spans="1:19" ht="30" customHeight="1" x14ac:dyDescent="0.4">
      <c r="A97" s="49">
        <v>26</v>
      </c>
      <c r="B97" s="49" t="str">
        <f>IF(OR(VLOOKUP(Table171012825[[#This Row],[Ln'#]],Elite!A$5:AV$34,22,FALSE)="E",VLOOKUP(Table171012825[[#This Row],[Ln'#]],Elite!A$5:AT$34,22,FALSE)="FEO"),"Entered or FEO","Not Entered")</f>
        <v>Not Entered</v>
      </c>
      <c r="C97" s="50" t="str">
        <f t="shared" ca="1" si="2"/>
        <v/>
      </c>
      <c r="D97" s="48"/>
      <c r="E97" s="48"/>
      <c r="F97" s="48"/>
      <c r="G97" s="48" t="str">
        <f>IF(Table171012825[[#This Row],[Status]]="Not Entered","",VLOOKUP(Table171012825[[#This Row],[Ln'#]],Elite!$A$5:$AV$34,3,FALSE))</f>
        <v/>
      </c>
      <c r="H97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7" s="51" t="str">
        <f>IF(Table171012825[[#This Row],[Status]]="Not Entered","",VLOOKUP(Table171012825[[#This Row],[Ln'#]],Elite!$A$5:$AV$34,46,FALSE))</f>
        <v/>
      </c>
    </row>
    <row r="98" spans="1:19" ht="30" customHeight="1" x14ac:dyDescent="0.4">
      <c r="A98" s="49">
        <v>27</v>
      </c>
      <c r="B98" s="49" t="str">
        <f>IF(OR(VLOOKUP(Table171012825[[#This Row],[Ln'#]],Elite!A$5:AV$34,22,FALSE)="E",VLOOKUP(Table171012825[[#This Row],[Ln'#]],Elite!A$5:AT$34,22,FALSE)="FEO"),"Entered or FEO","Not Entered")</f>
        <v>Not Entered</v>
      </c>
      <c r="C98" s="50" t="str">
        <f t="shared" ca="1" si="2"/>
        <v/>
      </c>
      <c r="D98" s="48"/>
      <c r="E98" s="48"/>
      <c r="F98" s="48"/>
      <c r="G98" s="48" t="str">
        <f>IF(Table171012825[[#This Row],[Status]]="Not Entered","",VLOOKUP(Table171012825[[#This Row],[Ln'#]],Elite!$A$5:$AV$34,3,FALSE))</f>
        <v/>
      </c>
      <c r="H98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8" s="51" t="str">
        <f>IF(Table171012825[[#This Row],[Status]]="Not Entered","",VLOOKUP(Table171012825[[#This Row],[Ln'#]],Elite!$A$5:$AV$34,46,FALSE))</f>
        <v/>
      </c>
    </row>
    <row r="99" spans="1:19" ht="30" customHeight="1" x14ac:dyDescent="0.4">
      <c r="A99" s="49">
        <v>28</v>
      </c>
      <c r="B99" s="49" t="str">
        <f>IF(OR(VLOOKUP(Table171012825[[#This Row],[Ln'#]],Elite!A$5:AV$34,22,FALSE)="E",VLOOKUP(Table171012825[[#This Row],[Ln'#]],Elite!A$5:AT$34,22,FALSE)="FEO"),"Entered or FEO","Not Entered")</f>
        <v>Not Entered</v>
      </c>
      <c r="C99" s="50" t="str">
        <f t="shared" ca="1" si="2"/>
        <v/>
      </c>
      <c r="D99" s="48"/>
      <c r="E99" s="48"/>
      <c r="F99" s="48"/>
      <c r="G99" s="48" t="str">
        <f>IF(Table171012825[[#This Row],[Status]]="Not Entered","",VLOOKUP(Table171012825[[#This Row],[Ln'#]],Elite!$A$5:$AV$34,3,FALSE))</f>
        <v/>
      </c>
      <c r="H99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9" s="51" t="str">
        <f>IF(Table171012825[[#This Row],[Status]]="Not Entered","",VLOOKUP(Table171012825[[#This Row],[Ln'#]],Elite!$A$5:$AV$34,46,FALSE))</f>
        <v/>
      </c>
    </row>
    <row r="100" spans="1:19" ht="30" customHeight="1" x14ac:dyDescent="0.4">
      <c r="A100" s="49">
        <v>29</v>
      </c>
      <c r="B100" s="49" t="str">
        <f>IF(OR(VLOOKUP(Table171012825[[#This Row],[Ln'#]],Elite!A$5:AV$34,22,FALSE)="E",VLOOKUP(Table171012825[[#This Row],[Ln'#]],Elite!A$5:AT$34,22,FALSE)="FEO"),"Entered or FEO","Not Entered")</f>
        <v>Not Entered</v>
      </c>
      <c r="C100" s="50" t="str">
        <f t="shared" ca="1" si="2"/>
        <v/>
      </c>
      <c r="D100" s="48"/>
      <c r="E100" s="48"/>
      <c r="F100" s="48"/>
      <c r="G100" s="48" t="str">
        <f>IF(Table171012825[[#This Row],[Status]]="Not Entered","",VLOOKUP(Table171012825[[#This Row],[Ln'#]],Elite!$A$5:$AV$34,3,FALSE))</f>
        <v/>
      </c>
      <c r="H100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100" s="51" t="str">
        <f>IF(Table171012825[[#This Row],[Status]]="Not Entered","",VLOOKUP(Table171012825[[#This Row],[Ln'#]],Elite!$A$5:$AV$34,46,FALSE))</f>
        <v/>
      </c>
    </row>
    <row r="101" spans="1:19" ht="30" customHeight="1" x14ac:dyDescent="0.4">
      <c r="A101" s="49">
        <v>30</v>
      </c>
      <c r="B101" s="49" t="str">
        <f>IF(OR(VLOOKUP(Table171012825[[#This Row],[Ln'#]],Elite!A$5:AV$34,22,FALSE)="E",VLOOKUP(Table171012825[[#This Row],[Ln'#]],Elite!A$5:AT$34,22,FALSE)="FEO"),"Entered or FEO","Not Entered")</f>
        <v>Not Entered</v>
      </c>
      <c r="C101" s="50" t="str">
        <f t="shared" ca="1" si="2"/>
        <v/>
      </c>
      <c r="D101" s="48"/>
      <c r="E101" s="48"/>
      <c r="F101" s="48"/>
      <c r="G101" s="48" t="str">
        <f>IF(Table171012825[[#This Row],[Status]]="Not Entered","",VLOOKUP(Table171012825[[#This Row],[Ln'#]],Elite!$A$5:$AV$34,3,FALSE))</f>
        <v/>
      </c>
      <c r="H101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101" s="51" t="str">
        <f>IF(Table171012825[[#This Row],[Status]]="Not Entered","",VLOOKUP(Table171012825[[#This Row],[Ln'#]],Elite!$A$5:$AV$34,46,FALSE))</f>
        <v/>
      </c>
    </row>
    <row r="102" spans="1:19" ht="30" customHeight="1" x14ac:dyDescent="0.4">
      <c r="A102" s="116"/>
      <c r="B102" s="116"/>
      <c r="C102" s="116"/>
      <c r="D102" s="116" t="s">
        <v>1141</v>
      </c>
      <c r="E102" s="116">
        <f>SUBTOTAL(102,Table171012825[Running Order])</f>
        <v>0</v>
      </c>
      <c r="F102" s="116"/>
      <c r="G102" s="116"/>
      <c r="H102" s="117"/>
      <c r="I102" s="117"/>
    </row>
    <row r="104" spans="1:19" ht="30" customHeight="1" x14ac:dyDescent="0.4">
      <c r="A104" s="402" t="s">
        <v>1143</v>
      </c>
      <c r="B104" s="402"/>
      <c r="C104" s="43"/>
      <c r="D104" s="403" t="s">
        <v>2045</v>
      </c>
      <c r="E104" s="403"/>
      <c r="F104" s="403"/>
      <c r="G104" s="403"/>
      <c r="H104" s="403"/>
      <c r="I104" s="403"/>
      <c r="K104" s="23" t="s">
        <v>1143</v>
      </c>
      <c r="L104" s="403" t="s">
        <v>2542</v>
      </c>
      <c r="M104" s="403"/>
      <c r="N104" s="403"/>
      <c r="O104" s="403"/>
      <c r="P104" s="403"/>
      <c r="Q104" s="403"/>
      <c r="R104" s="403"/>
      <c r="S104" s="403"/>
    </row>
    <row r="105" spans="1:19" ht="47.25" x14ac:dyDescent="0.4">
      <c r="A105" s="67" t="s">
        <v>605</v>
      </c>
      <c r="B105" s="67" t="s">
        <v>1139</v>
      </c>
      <c r="C105" s="68" t="s">
        <v>1140</v>
      </c>
      <c r="D105" s="67" t="s">
        <v>1142</v>
      </c>
      <c r="E105" s="67" t="s">
        <v>1135</v>
      </c>
      <c r="F105" s="67" t="s">
        <v>1188</v>
      </c>
      <c r="G105" s="67" t="s">
        <v>1136</v>
      </c>
      <c r="H105" s="69" t="s">
        <v>1207</v>
      </c>
      <c r="I105" s="69" t="s">
        <v>1137</v>
      </c>
      <c r="K105" s="67" t="s">
        <v>605</v>
      </c>
      <c r="L105" s="67" t="s">
        <v>2493</v>
      </c>
      <c r="M105" s="67" t="s">
        <v>2494</v>
      </c>
      <c r="N105" s="67" t="s">
        <v>1142</v>
      </c>
      <c r="O105" s="67" t="s">
        <v>1135</v>
      </c>
      <c r="P105" s="67" t="s">
        <v>1188</v>
      </c>
      <c r="Q105" s="67" t="s">
        <v>1136</v>
      </c>
      <c r="R105" s="69" t="s">
        <v>1207</v>
      </c>
      <c r="S105" s="69" t="s">
        <v>1137</v>
      </c>
    </row>
    <row r="106" spans="1:19" ht="30" customHeight="1" x14ac:dyDescent="0.45">
      <c r="A106" s="49">
        <v>1</v>
      </c>
      <c r="B106" s="49" t="str">
        <f>IF(OR(VLOOKUP(Table1932126[[#This Row],[Ln'#]],Elite!A$45:AV$74,6,FALSE)="E",VLOOKUP(Table1932126[[#This Row],[Ln'#]],Elite!A$45:AV$74,6,FALSE)="FEO"),"Entered or FEO","Not Entered")</f>
        <v>Not Entered</v>
      </c>
      <c r="C106" s="50" t="str">
        <f t="shared" ref="C106:C135" ca="1" si="3">IF(OR(B106="e",B106="FEO"),RAND(),"")</f>
        <v/>
      </c>
      <c r="D106" s="48"/>
      <c r="E106" s="48"/>
      <c r="F106" s="48"/>
      <c r="G106" s="48" t="str">
        <f>IF(Table1932126[[#This Row],[Status]]="Not Entered","",VLOOKUP(Table1932126[[#This Row],[Ln'#]],Elite!$A$45:$AV$74,3,FALSE))</f>
        <v/>
      </c>
      <c r="H106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6" s="51" t="str">
        <f>IF(Table1932126[[#This Row],[Status]]="Not Entered","",VLOOKUP(Table1932126[[#This Row],[Ln'#]],Elite!$A$45:$AV$74,46,FALSE))</f>
        <v/>
      </c>
      <c r="K106" s="49">
        <v>1</v>
      </c>
      <c r="L106" s="144" t="str">
        <f>IF(OR(VLOOKUP(Table13132363943[[#This Row],[Ln'#]],Elite!A$45:AT$74,6,FALSE)="E",VLOOKUP(Table13132363943[[#This Row],[Ln'#]],Elite!A$45:AT$74,6,FALSE)="FEO"),"x","")</f>
        <v/>
      </c>
      <c r="M106" s="144" t="str">
        <f>IF(OR(VLOOKUP(Table13132363943[[#This Row],[Ln'#]],Elite!A$45:AT$74,14,FALSE)="E",VLOOKUP(Table13132363943[[#This Row],[Ln'#]],Elite!A$45:AT$74,14,FALSE)="FEO"),"x","")</f>
        <v/>
      </c>
      <c r="N106" s="48"/>
      <c r="O106" s="48"/>
      <c r="P106" s="48"/>
      <c r="Q106" s="48" t="str">
        <f>IF(AND(Table13132363943[[#This Row],[Status Container]]="",Table13132363943[[#This Row],[Status Interior]]=""),"",VLOOKUP(Table13132363943[[#This Row],[Ln'#]],Elite!$A$45:$AT$74,3,FALSE))</f>
        <v/>
      </c>
      <c r="R106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6" s="51" t="str">
        <f>IF(Table13132363943[[#This Row],[Dog ID]]="","",(VLOOKUP(Table13132363943[[#This Row],[Dog ID]],Elite!C$45:$AT74,44,FALSE)))</f>
        <v/>
      </c>
    </row>
    <row r="107" spans="1:19" ht="30" customHeight="1" x14ac:dyDescent="0.45">
      <c r="A107" s="49">
        <v>2</v>
      </c>
      <c r="B107" s="49" t="str">
        <f>IF(OR(VLOOKUP(Table1932126[[#This Row],[Ln'#]],Elite!A$45:AV$74,6,FALSE)="E",VLOOKUP(Table1932126[[#This Row],[Ln'#]],Elite!A$45:AV$74,6,FALSE)="FEO"),"Entered or FEO","Not Entered")</f>
        <v>Not Entered</v>
      </c>
      <c r="C107" s="50" t="str">
        <f t="shared" ca="1" si="3"/>
        <v/>
      </c>
      <c r="D107" s="48"/>
      <c r="E107" s="48"/>
      <c r="F107" s="48"/>
      <c r="G107" s="48" t="str">
        <f>IF(Table1932126[[#This Row],[Status]]="Not Entered","",VLOOKUP(Table1932126[[#This Row],[Ln'#]],Elite!$A$45:$AV$74,3,FALSE))</f>
        <v/>
      </c>
      <c r="H107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7" s="51" t="str">
        <f>IF(Table1932126[[#This Row],[Status]]="Not Entered","",VLOOKUP(Table1932126[[#This Row],[Ln'#]],Elite!$A$45:$AV$74,46,FALSE))</f>
        <v/>
      </c>
      <c r="K107" s="49">
        <v>2</v>
      </c>
      <c r="L107" s="144" t="str">
        <f>IF(OR(VLOOKUP(Table13132363943[[#This Row],[Ln'#]],Elite!A$45:AT$74,6,FALSE)="E",VLOOKUP(Table13132363943[[#This Row],[Ln'#]],Elite!A$45:AT$74,6,FALSE)="FEO"),"x","")</f>
        <v/>
      </c>
      <c r="M107" s="144" t="str">
        <f>IF(OR(VLOOKUP(Table13132363943[[#This Row],[Ln'#]],Elite!A$45:AT$74,14,FALSE)="E",VLOOKUP(Table13132363943[[#This Row],[Ln'#]],Elite!A$45:AT$74,14,FALSE)="FEO"),"x","")</f>
        <v/>
      </c>
      <c r="N107" s="48"/>
      <c r="O107" s="48"/>
      <c r="P107" s="48"/>
      <c r="Q107" s="48" t="str">
        <f>IF(AND(Table13132363943[[#This Row],[Status Container]]="",Table13132363943[[#This Row],[Status Interior]]=""),"",VLOOKUP(Table13132363943[[#This Row],[Ln'#]],Elite!$A$45:$AT$74,3,FALSE))</f>
        <v/>
      </c>
      <c r="R107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7" s="51" t="str">
        <f>IF(Table13132363943[[#This Row],[Dog ID]]="","",(VLOOKUP(Table13132363943[[#This Row],[Dog ID]],Elite!C$45:$AT75,44,FALSE)))</f>
        <v/>
      </c>
    </row>
    <row r="108" spans="1:19" ht="30" customHeight="1" x14ac:dyDescent="0.45">
      <c r="A108" s="49">
        <v>3</v>
      </c>
      <c r="B108" s="49" t="str">
        <f>IF(OR(VLOOKUP(Table1932126[[#This Row],[Ln'#]],Elite!A$45:AV$74,6,FALSE)="E",VLOOKUP(Table1932126[[#This Row],[Ln'#]],Elite!A$45:AV$74,6,FALSE)="FEO"),"Entered or FEO","Not Entered")</f>
        <v>Not Entered</v>
      </c>
      <c r="C108" s="50" t="str">
        <f t="shared" ca="1" si="3"/>
        <v/>
      </c>
      <c r="D108" s="48"/>
      <c r="E108" s="48"/>
      <c r="F108" s="48"/>
      <c r="G108" s="48" t="str">
        <f>IF(Table1932126[[#This Row],[Status]]="Not Entered","",VLOOKUP(Table1932126[[#This Row],[Ln'#]],Elite!$A$45:$AV$74,3,FALSE))</f>
        <v/>
      </c>
      <c r="H108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8" s="51" t="str">
        <f>IF(Table1932126[[#This Row],[Status]]="Not Entered","",VLOOKUP(Table1932126[[#This Row],[Ln'#]],Elite!$A$45:$AV$74,46,FALSE))</f>
        <v/>
      </c>
      <c r="K108" s="49">
        <v>3</v>
      </c>
      <c r="L108" s="144" t="str">
        <f>IF(OR(VLOOKUP(Table13132363943[[#This Row],[Ln'#]],Elite!A$45:AT$74,6,FALSE)="E",VLOOKUP(Table13132363943[[#This Row],[Ln'#]],Elite!A$45:AT$74,6,FALSE)="FEO"),"x","")</f>
        <v/>
      </c>
      <c r="M108" s="144" t="str">
        <f>IF(OR(VLOOKUP(Table13132363943[[#This Row],[Ln'#]],Elite!A$45:AT$74,14,FALSE)="E",VLOOKUP(Table13132363943[[#This Row],[Ln'#]],Elite!A$45:AT$74,14,FALSE)="FEO"),"x","")</f>
        <v/>
      </c>
      <c r="N108" s="48"/>
      <c r="O108" s="48"/>
      <c r="P108" s="48"/>
      <c r="Q108" s="48" t="str">
        <f>IF(AND(Table13132363943[[#This Row],[Status Container]]="",Table13132363943[[#This Row],[Status Interior]]=""),"",VLOOKUP(Table13132363943[[#This Row],[Ln'#]],Elite!$A$45:$AT$74,3,FALSE))</f>
        <v/>
      </c>
      <c r="R108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8" s="51" t="str">
        <f>IF(Table13132363943[[#This Row],[Dog ID]]="","",(VLOOKUP(Table13132363943[[#This Row],[Dog ID]],Elite!C$45:$AT76,44,FALSE)))</f>
        <v/>
      </c>
    </row>
    <row r="109" spans="1:19" ht="30" customHeight="1" x14ac:dyDescent="0.45">
      <c r="A109" s="49">
        <v>4</v>
      </c>
      <c r="B109" s="49" t="str">
        <f>IF(OR(VLOOKUP(Table1932126[[#This Row],[Ln'#]],Elite!A$45:AV$74,6,FALSE)="E",VLOOKUP(Table1932126[[#This Row],[Ln'#]],Elite!A$45:AV$74,6,FALSE)="FEO"),"Entered or FEO","Not Entered")</f>
        <v>Not Entered</v>
      </c>
      <c r="C109" s="50" t="str">
        <f t="shared" ca="1" si="3"/>
        <v/>
      </c>
      <c r="D109" s="48"/>
      <c r="E109" s="48"/>
      <c r="F109" s="48"/>
      <c r="G109" s="48" t="str">
        <f>IF(Table1932126[[#This Row],[Status]]="Not Entered","",VLOOKUP(Table1932126[[#This Row],[Ln'#]],Elite!$A$45:$AV$74,3,FALSE))</f>
        <v/>
      </c>
      <c r="H109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9" s="51" t="str">
        <f>IF(Table1932126[[#This Row],[Status]]="Not Entered","",VLOOKUP(Table1932126[[#This Row],[Ln'#]],Elite!$A$45:$AV$74,46,FALSE))</f>
        <v/>
      </c>
      <c r="K109" s="49">
        <v>4</v>
      </c>
      <c r="L109" s="144" t="str">
        <f>IF(OR(VLOOKUP(Table13132363943[[#This Row],[Ln'#]],Elite!A$45:AT$74,6,FALSE)="E",VLOOKUP(Table13132363943[[#This Row],[Ln'#]],Elite!A$45:AT$74,6,FALSE)="FEO"),"x","")</f>
        <v/>
      </c>
      <c r="M109" s="144" t="str">
        <f>IF(OR(VLOOKUP(Table13132363943[[#This Row],[Ln'#]],Elite!A$45:AT$74,14,FALSE)="E",VLOOKUP(Table13132363943[[#This Row],[Ln'#]],Elite!A$45:AT$74,14,FALSE)="FEO"),"x","")</f>
        <v/>
      </c>
      <c r="N109" s="48"/>
      <c r="O109" s="48"/>
      <c r="P109" s="48"/>
      <c r="Q109" s="48" t="str">
        <f>IF(AND(Table13132363943[[#This Row],[Status Container]]="",Table13132363943[[#This Row],[Status Interior]]=""),"",VLOOKUP(Table13132363943[[#This Row],[Ln'#]],Elite!$A$45:$AT$74,3,FALSE))</f>
        <v/>
      </c>
      <c r="R109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9" s="51" t="str">
        <f>IF(Table13132363943[[#This Row],[Dog ID]]="","",(VLOOKUP(Table13132363943[[#This Row],[Dog ID]],Elite!C$45:$AT77,44,FALSE)))</f>
        <v/>
      </c>
    </row>
    <row r="110" spans="1:19" ht="30" customHeight="1" x14ac:dyDescent="0.45">
      <c r="A110" s="49">
        <v>5</v>
      </c>
      <c r="B110" s="49" t="str">
        <f>IF(OR(VLOOKUP(Table1932126[[#This Row],[Ln'#]],Elite!A$45:AV$74,6,FALSE)="E",VLOOKUP(Table1932126[[#This Row],[Ln'#]],Elite!A$45:AV$74,6,FALSE)="FEO"),"Entered or FEO","Not Entered")</f>
        <v>Not Entered</v>
      </c>
      <c r="C110" s="50" t="str">
        <f t="shared" ca="1" si="3"/>
        <v/>
      </c>
      <c r="D110" s="48"/>
      <c r="E110" s="48"/>
      <c r="F110" s="48"/>
      <c r="G110" s="48" t="str">
        <f>IF(Table1932126[[#This Row],[Status]]="Not Entered","",VLOOKUP(Table1932126[[#This Row],[Ln'#]],Elite!$A$45:$AV$74,3,FALSE))</f>
        <v/>
      </c>
      <c r="H110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0" s="51" t="str">
        <f>IF(Table1932126[[#This Row],[Status]]="Not Entered","",VLOOKUP(Table1932126[[#This Row],[Ln'#]],Elite!$A$45:$AV$74,46,FALSE))</f>
        <v/>
      </c>
      <c r="K110" s="49">
        <v>5</v>
      </c>
      <c r="L110" s="144" t="str">
        <f>IF(OR(VLOOKUP(Table13132363943[[#This Row],[Ln'#]],Elite!A$45:AT$74,6,FALSE)="E",VLOOKUP(Table13132363943[[#This Row],[Ln'#]],Elite!A$45:AT$74,6,FALSE)="FEO"),"x","")</f>
        <v/>
      </c>
      <c r="M110" s="144" t="str">
        <f>IF(OR(VLOOKUP(Table13132363943[[#This Row],[Ln'#]],Elite!A$45:AT$74,14,FALSE)="E",VLOOKUP(Table13132363943[[#This Row],[Ln'#]],Elite!A$45:AT$74,14,FALSE)="FEO"),"x","")</f>
        <v/>
      </c>
      <c r="N110" s="48"/>
      <c r="O110" s="48"/>
      <c r="P110" s="48"/>
      <c r="Q110" s="48" t="str">
        <f>IF(AND(Table13132363943[[#This Row],[Status Container]]="",Table13132363943[[#This Row],[Status Interior]]=""),"",VLOOKUP(Table13132363943[[#This Row],[Ln'#]],Elite!$A$45:$AT$74,3,FALSE))</f>
        <v/>
      </c>
      <c r="R110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0" s="51" t="str">
        <f>IF(Table13132363943[[#This Row],[Dog ID]]="","",(VLOOKUP(Table13132363943[[#This Row],[Dog ID]],Elite!C$45:$AT78,44,FALSE)))</f>
        <v/>
      </c>
    </row>
    <row r="111" spans="1:19" ht="30" customHeight="1" x14ac:dyDescent="0.45">
      <c r="A111" s="49">
        <v>6</v>
      </c>
      <c r="B111" s="49" t="str">
        <f>IF(OR(VLOOKUP(Table1932126[[#This Row],[Ln'#]],Elite!A$45:AV$74,6,FALSE)="E",VLOOKUP(Table1932126[[#This Row],[Ln'#]],Elite!A$45:AV$74,6,FALSE)="FEO"),"Entered or FEO","Not Entered")</f>
        <v>Not Entered</v>
      </c>
      <c r="C111" s="50" t="str">
        <f t="shared" ca="1" si="3"/>
        <v/>
      </c>
      <c r="D111" s="48"/>
      <c r="E111" s="48"/>
      <c r="F111" s="48"/>
      <c r="G111" s="48" t="str">
        <f>IF(Table1932126[[#This Row],[Status]]="Not Entered","",VLOOKUP(Table1932126[[#This Row],[Ln'#]],Elite!$A$45:$AV$74,3,FALSE))</f>
        <v/>
      </c>
      <c r="H111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1" s="51" t="str">
        <f>IF(Table1932126[[#This Row],[Status]]="Not Entered","",VLOOKUP(Table1932126[[#This Row],[Ln'#]],Elite!$A$45:$AV$74,46,FALSE))</f>
        <v/>
      </c>
      <c r="K111" s="49">
        <v>6</v>
      </c>
      <c r="L111" s="144" t="str">
        <f>IF(OR(VLOOKUP(Table13132363943[[#This Row],[Ln'#]],Elite!A$45:AT$74,6,FALSE)="E",VLOOKUP(Table13132363943[[#This Row],[Ln'#]],Elite!A$45:AT$74,6,FALSE)="FEO"),"x","")</f>
        <v/>
      </c>
      <c r="M111" s="144" t="str">
        <f>IF(OR(VLOOKUP(Table13132363943[[#This Row],[Ln'#]],Elite!A$45:AT$74,14,FALSE)="E",VLOOKUP(Table13132363943[[#This Row],[Ln'#]],Elite!A$45:AT$74,14,FALSE)="FEO"),"x","")</f>
        <v/>
      </c>
      <c r="N111" s="48"/>
      <c r="O111" s="48"/>
      <c r="P111" s="48"/>
      <c r="Q111" s="48" t="str">
        <f>IF(AND(Table13132363943[[#This Row],[Status Container]]="",Table13132363943[[#This Row],[Status Interior]]=""),"",VLOOKUP(Table13132363943[[#This Row],[Ln'#]],Elite!$A$45:$AT$74,3,FALSE))</f>
        <v/>
      </c>
      <c r="R111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1" s="51" t="str">
        <f>IF(Table13132363943[[#This Row],[Dog ID]]="","",(VLOOKUP(Table13132363943[[#This Row],[Dog ID]],Elite!C$45:$AT79,44,FALSE)))</f>
        <v/>
      </c>
    </row>
    <row r="112" spans="1:19" ht="30" customHeight="1" x14ac:dyDescent="0.45">
      <c r="A112" s="49">
        <v>7</v>
      </c>
      <c r="B112" s="49" t="str">
        <f>IF(OR(VLOOKUP(Table1932126[[#This Row],[Ln'#]],Elite!A$45:AV$74,6,FALSE)="E",VLOOKUP(Table1932126[[#This Row],[Ln'#]],Elite!A$45:AV$74,6,FALSE)="FEO"),"Entered or FEO","Not Entered")</f>
        <v>Not Entered</v>
      </c>
      <c r="C112" s="50" t="str">
        <f t="shared" ca="1" si="3"/>
        <v/>
      </c>
      <c r="D112" s="48"/>
      <c r="E112" s="48"/>
      <c r="F112" s="48"/>
      <c r="G112" s="48" t="str">
        <f>IF(Table1932126[[#This Row],[Status]]="Not Entered","",VLOOKUP(Table1932126[[#This Row],[Ln'#]],Elite!$A$45:$AV$74,3,FALSE))</f>
        <v/>
      </c>
      <c r="H112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2" s="51" t="str">
        <f>IF(Table1932126[[#This Row],[Status]]="Not Entered","",VLOOKUP(Table1932126[[#This Row],[Ln'#]],Elite!$A$45:$AV$74,46,FALSE))</f>
        <v/>
      </c>
      <c r="K112" s="49">
        <v>7</v>
      </c>
      <c r="L112" s="144" t="str">
        <f>IF(OR(VLOOKUP(Table13132363943[[#This Row],[Ln'#]],Elite!A$45:AT$74,6,FALSE)="E",VLOOKUP(Table13132363943[[#This Row],[Ln'#]],Elite!A$45:AT$74,6,FALSE)="FEO"),"x","")</f>
        <v/>
      </c>
      <c r="M112" s="144" t="str">
        <f>IF(OR(VLOOKUP(Table13132363943[[#This Row],[Ln'#]],Elite!A$45:AT$74,14,FALSE)="E",VLOOKUP(Table13132363943[[#This Row],[Ln'#]],Elite!A$45:AT$74,14,FALSE)="FEO"),"x","")</f>
        <v/>
      </c>
      <c r="N112" s="48"/>
      <c r="O112" s="48"/>
      <c r="P112" s="48"/>
      <c r="Q112" s="48" t="str">
        <f>IF(AND(Table13132363943[[#This Row],[Status Container]]="",Table13132363943[[#This Row],[Status Interior]]=""),"",VLOOKUP(Table13132363943[[#This Row],[Ln'#]],Elite!$A$45:$AT$74,3,FALSE))</f>
        <v/>
      </c>
      <c r="R112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2" s="51" t="str">
        <f>IF(Table13132363943[[#This Row],[Dog ID]]="","",(VLOOKUP(Table13132363943[[#This Row],[Dog ID]],Elite!C$45:$AT80,44,FALSE)))</f>
        <v/>
      </c>
    </row>
    <row r="113" spans="1:19" ht="30" customHeight="1" x14ac:dyDescent="0.45">
      <c r="A113" s="49">
        <v>8</v>
      </c>
      <c r="B113" s="49" t="str">
        <f>IF(OR(VLOOKUP(Table1932126[[#This Row],[Ln'#]],Elite!A$45:AV$74,6,FALSE)="E",VLOOKUP(Table1932126[[#This Row],[Ln'#]],Elite!A$45:AV$74,6,FALSE)="FEO"),"Entered or FEO","Not Entered")</f>
        <v>Not Entered</v>
      </c>
      <c r="C113" s="50" t="str">
        <f t="shared" ca="1" si="3"/>
        <v/>
      </c>
      <c r="D113" s="48"/>
      <c r="E113" s="48"/>
      <c r="F113" s="48"/>
      <c r="G113" s="48" t="str">
        <f>IF(Table1932126[[#This Row],[Status]]="Not Entered","",VLOOKUP(Table1932126[[#This Row],[Ln'#]],Elite!$A$45:$AV$74,3,FALSE))</f>
        <v/>
      </c>
      <c r="H113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3" s="51" t="str">
        <f>IF(Table1932126[[#This Row],[Status]]="Not Entered","",VLOOKUP(Table1932126[[#This Row],[Ln'#]],Elite!$A$45:$AV$74,46,FALSE))</f>
        <v/>
      </c>
      <c r="K113" s="49">
        <v>8</v>
      </c>
      <c r="L113" s="144" t="str">
        <f>IF(OR(VLOOKUP(Table13132363943[[#This Row],[Ln'#]],Elite!A$45:AT$74,6,FALSE)="E",VLOOKUP(Table13132363943[[#This Row],[Ln'#]],Elite!A$45:AT$74,6,FALSE)="FEO"),"x","")</f>
        <v/>
      </c>
      <c r="M113" s="144" t="str">
        <f>IF(OR(VLOOKUP(Table13132363943[[#This Row],[Ln'#]],Elite!A$45:AT$74,14,FALSE)="E",VLOOKUP(Table13132363943[[#This Row],[Ln'#]],Elite!A$45:AT$74,14,FALSE)="FEO"),"x","")</f>
        <v/>
      </c>
      <c r="N113" s="48"/>
      <c r="O113" s="48"/>
      <c r="P113" s="48"/>
      <c r="Q113" s="48" t="str">
        <f>IF(AND(Table13132363943[[#This Row],[Status Container]]="",Table13132363943[[#This Row],[Status Interior]]=""),"",VLOOKUP(Table13132363943[[#This Row],[Ln'#]],Elite!$A$45:$AT$74,3,FALSE))</f>
        <v/>
      </c>
      <c r="R113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3" s="51" t="str">
        <f>IF(Table13132363943[[#This Row],[Dog ID]]="","",(VLOOKUP(Table13132363943[[#This Row],[Dog ID]],Elite!C$45:$AT81,44,FALSE)))</f>
        <v/>
      </c>
    </row>
    <row r="114" spans="1:19" ht="30" customHeight="1" x14ac:dyDescent="0.45">
      <c r="A114" s="49">
        <v>9</v>
      </c>
      <c r="B114" s="49" t="str">
        <f>IF(OR(VLOOKUP(Table1932126[[#This Row],[Ln'#]],Elite!A$45:AV$74,6,FALSE)="E",VLOOKUP(Table1932126[[#This Row],[Ln'#]],Elite!A$45:AV$74,6,FALSE)="FEO"),"Entered or FEO","Not Entered")</f>
        <v>Not Entered</v>
      </c>
      <c r="C114" s="50" t="str">
        <f t="shared" ca="1" si="3"/>
        <v/>
      </c>
      <c r="D114" s="48"/>
      <c r="E114" s="48"/>
      <c r="F114" s="48"/>
      <c r="G114" s="48" t="str">
        <f>IF(Table1932126[[#This Row],[Status]]="Not Entered","",VLOOKUP(Table1932126[[#This Row],[Ln'#]],Elite!$A$45:$AV$74,3,FALSE))</f>
        <v/>
      </c>
      <c r="H114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4" s="51" t="str">
        <f>IF(Table1932126[[#This Row],[Status]]="Not Entered","",VLOOKUP(Table1932126[[#This Row],[Ln'#]],Elite!$A$45:$AV$74,46,FALSE))</f>
        <v/>
      </c>
      <c r="K114" s="49">
        <v>9</v>
      </c>
      <c r="L114" s="144" t="str">
        <f>IF(OR(VLOOKUP(Table13132363943[[#This Row],[Ln'#]],Elite!A$45:AT$74,6,FALSE)="E",VLOOKUP(Table13132363943[[#This Row],[Ln'#]],Elite!A$45:AT$74,6,FALSE)="FEO"),"x","")</f>
        <v/>
      </c>
      <c r="M114" s="144" t="str">
        <f>IF(OR(VLOOKUP(Table13132363943[[#This Row],[Ln'#]],Elite!A$45:AT$74,14,FALSE)="E",VLOOKUP(Table13132363943[[#This Row],[Ln'#]],Elite!A$45:AT$74,14,FALSE)="FEO"),"x","")</f>
        <v/>
      </c>
      <c r="N114" s="48"/>
      <c r="O114" s="48"/>
      <c r="P114" s="48"/>
      <c r="Q114" s="48" t="str">
        <f>IF(AND(Table13132363943[[#This Row],[Status Container]]="",Table13132363943[[#This Row],[Status Interior]]=""),"",VLOOKUP(Table13132363943[[#This Row],[Ln'#]],Elite!$A$45:$AT$74,3,FALSE))</f>
        <v/>
      </c>
      <c r="R114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4" s="51" t="str">
        <f>IF(Table13132363943[[#This Row],[Dog ID]]="","",(VLOOKUP(Table13132363943[[#This Row],[Dog ID]],Elite!C$45:$AT82,44,FALSE)))</f>
        <v/>
      </c>
    </row>
    <row r="115" spans="1:19" ht="30" customHeight="1" x14ac:dyDescent="0.45">
      <c r="A115" s="49">
        <v>10</v>
      </c>
      <c r="B115" s="49" t="str">
        <f>IF(OR(VLOOKUP(Table1932126[[#This Row],[Ln'#]],Elite!A$45:AV$74,6,FALSE)="E",VLOOKUP(Table1932126[[#This Row],[Ln'#]],Elite!A$45:AV$74,6,FALSE)="FEO"),"Entered or FEO","Not Entered")</f>
        <v>Not Entered</v>
      </c>
      <c r="C115" s="50" t="str">
        <f t="shared" ca="1" si="3"/>
        <v/>
      </c>
      <c r="D115" s="48"/>
      <c r="E115" s="48"/>
      <c r="F115" s="48"/>
      <c r="G115" s="48" t="str">
        <f>IF(Table1932126[[#This Row],[Status]]="Not Entered","",VLOOKUP(Table1932126[[#This Row],[Ln'#]],Elite!$A$45:$AV$74,3,FALSE))</f>
        <v/>
      </c>
      <c r="H115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5" s="51" t="str">
        <f>IF(Table1932126[[#This Row],[Status]]="Not Entered","",VLOOKUP(Table1932126[[#This Row],[Ln'#]],Elite!$A$45:$AV$74,46,FALSE))</f>
        <v/>
      </c>
      <c r="K115" s="49">
        <v>10</v>
      </c>
      <c r="L115" s="144" t="str">
        <f>IF(OR(VLOOKUP(Table13132363943[[#This Row],[Ln'#]],Elite!A$45:AT$74,6,FALSE)="E",VLOOKUP(Table13132363943[[#This Row],[Ln'#]],Elite!A$45:AT$74,6,FALSE)="FEO"),"x","")</f>
        <v/>
      </c>
      <c r="M115" s="144" t="str">
        <f>IF(OR(VLOOKUP(Table13132363943[[#This Row],[Ln'#]],Elite!A$45:AT$74,14,FALSE)="E",VLOOKUP(Table13132363943[[#This Row],[Ln'#]],Elite!A$45:AT$74,14,FALSE)="FEO"),"x","")</f>
        <v/>
      </c>
      <c r="N115" s="48"/>
      <c r="O115" s="48"/>
      <c r="P115" s="48"/>
      <c r="Q115" s="48" t="str">
        <f>IF(AND(Table13132363943[[#This Row],[Status Container]]="",Table13132363943[[#This Row],[Status Interior]]=""),"",VLOOKUP(Table13132363943[[#This Row],[Ln'#]],Elite!$A$45:$AT$74,3,FALSE))</f>
        <v/>
      </c>
      <c r="R115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5" s="51" t="str">
        <f>IF(Table13132363943[[#This Row],[Dog ID]]="","",(VLOOKUP(Table13132363943[[#This Row],[Dog ID]],Elite!C$45:$AT83,44,FALSE)))</f>
        <v/>
      </c>
    </row>
    <row r="116" spans="1:19" ht="30" customHeight="1" x14ac:dyDescent="0.45">
      <c r="A116" s="49">
        <v>11</v>
      </c>
      <c r="B116" s="49" t="str">
        <f>IF(OR(VLOOKUP(Table1932126[[#This Row],[Ln'#]],Elite!A$45:AV$74,6,FALSE)="E",VLOOKUP(Table1932126[[#This Row],[Ln'#]],Elite!A$45:AV$74,6,FALSE)="FEO"),"Entered or FEO","Not Entered")</f>
        <v>Not Entered</v>
      </c>
      <c r="C116" s="50" t="str">
        <f t="shared" ca="1" si="3"/>
        <v/>
      </c>
      <c r="D116" s="48"/>
      <c r="E116" s="48"/>
      <c r="F116" s="48"/>
      <c r="G116" s="48" t="str">
        <f>IF(Table1932126[[#This Row],[Status]]="Not Entered","",VLOOKUP(Table1932126[[#This Row],[Ln'#]],Elite!$A$45:$AV$74,3,FALSE))</f>
        <v/>
      </c>
      <c r="H116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6" s="51" t="str">
        <f>IF(Table1932126[[#This Row],[Status]]="Not Entered","",VLOOKUP(Table1932126[[#This Row],[Ln'#]],Elite!$A$45:$AV$74,46,FALSE))</f>
        <v/>
      </c>
      <c r="K116" s="49">
        <v>11</v>
      </c>
      <c r="L116" s="144" t="str">
        <f>IF(OR(VLOOKUP(Table13132363943[[#This Row],[Ln'#]],Elite!A$45:AT$74,6,FALSE)="E",VLOOKUP(Table13132363943[[#This Row],[Ln'#]],Elite!A$45:AT$74,6,FALSE)="FEO"),"x","")</f>
        <v/>
      </c>
      <c r="M116" s="144" t="str">
        <f>IF(OR(VLOOKUP(Table13132363943[[#This Row],[Ln'#]],Elite!A$45:AT$74,14,FALSE)="E",VLOOKUP(Table13132363943[[#This Row],[Ln'#]],Elite!A$45:AT$74,14,FALSE)="FEO"),"x","")</f>
        <v/>
      </c>
      <c r="N116" s="48"/>
      <c r="O116" s="48"/>
      <c r="P116" s="48"/>
      <c r="Q116" s="48" t="str">
        <f>IF(AND(Table13132363943[[#This Row],[Status Container]]="",Table13132363943[[#This Row],[Status Interior]]=""),"",VLOOKUP(Table13132363943[[#This Row],[Ln'#]],Elite!$A$45:$AT$74,3,FALSE))</f>
        <v/>
      </c>
      <c r="R116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6" s="51" t="str">
        <f>IF(Table13132363943[[#This Row],[Dog ID]]="","",(VLOOKUP(Table13132363943[[#This Row],[Dog ID]],Elite!C$45:$AT84,44,FALSE)))</f>
        <v/>
      </c>
    </row>
    <row r="117" spans="1:19" ht="30" customHeight="1" x14ac:dyDescent="0.45">
      <c r="A117" s="49">
        <v>12</v>
      </c>
      <c r="B117" s="49" t="str">
        <f>IF(OR(VLOOKUP(Table1932126[[#This Row],[Ln'#]],Elite!A$45:AV$74,6,FALSE)="E",VLOOKUP(Table1932126[[#This Row],[Ln'#]],Elite!A$45:AV$74,6,FALSE)="FEO"),"Entered or FEO","Not Entered")</f>
        <v>Not Entered</v>
      </c>
      <c r="C117" s="50" t="str">
        <f t="shared" ca="1" si="3"/>
        <v/>
      </c>
      <c r="D117" s="48"/>
      <c r="E117" s="48"/>
      <c r="F117" s="48"/>
      <c r="G117" s="48" t="str">
        <f>IF(Table1932126[[#This Row],[Status]]="Not Entered","",VLOOKUP(Table1932126[[#This Row],[Ln'#]],Elite!$A$45:$AV$74,3,FALSE))</f>
        <v/>
      </c>
      <c r="H117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7" s="51" t="str">
        <f>IF(Table1932126[[#This Row],[Status]]="Not Entered","",VLOOKUP(Table1932126[[#This Row],[Ln'#]],Elite!$A$45:$AV$74,46,FALSE))</f>
        <v/>
      </c>
      <c r="K117" s="49">
        <v>12</v>
      </c>
      <c r="L117" s="144" t="str">
        <f>IF(OR(VLOOKUP(Table13132363943[[#This Row],[Ln'#]],Elite!A$45:AT$74,6,FALSE)="E",VLOOKUP(Table13132363943[[#This Row],[Ln'#]],Elite!A$45:AT$74,6,FALSE)="FEO"),"x","")</f>
        <v/>
      </c>
      <c r="M117" s="144" t="str">
        <f>IF(OR(VLOOKUP(Table13132363943[[#This Row],[Ln'#]],Elite!A$45:AT$74,14,FALSE)="E",VLOOKUP(Table13132363943[[#This Row],[Ln'#]],Elite!A$45:AT$74,14,FALSE)="FEO"),"x","")</f>
        <v/>
      </c>
      <c r="N117" s="48"/>
      <c r="O117" s="48"/>
      <c r="P117" s="48"/>
      <c r="Q117" s="48" t="str">
        <f>IF(AND(Table13132363943[[#This Row],[Status Container]]="",Table13132363943[[#This Row],[Status Interior]]=""),"",VLOOKUP(Table13132363943[[#This Row],[Ln'#]],Elite!$A$45:$AT$74,3,FALSE))</f>
        <v/>
      </c>
      <c r="R117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7" s="51" t="str">
        <f>IF(Table13132363943[[#This Row],[Dog ID]]="","",(VLOOKUP(Table13132363943[[#This Row],[Dog ID]],Elite!C$45:$AT85,44,FALSE)))</f>
        <v/>
      </c>
    </row>
    <row r="118" spans="1:19" ht="30" customHeight="1" x14ac:dyDescent="0.45">
      <c r="A118" s="49">
        <v>13</v>
      </c>
      <c r="B118" s="49" t="str">
        <f>IF(OR(VLOOKUP(Table1932126[[#This Row],[Ln'#]],Elite!A$45:AV$74,6,FALSE)="E",VLOOKUP(Table1932126[[#This Row],[Ln'#]],Elite!A$45:AV$74,6,FALSE)="FEO"),"Entered or FEO","Not Entered")</f>
        <v>Not Entered</v>
      </c>
      <c r="C118" s="50" t="str">
        <f t="shared" ca="1" si="3"/>
        <v/>
      </c>
      <c r="D118" s="48"/>
      <c r="E118" s="48"/>
      <c r="F118" s="48"/>
      <c r="G118" s="48" t="str">
        <f>IF(Table1932126[[#This Row],[Status]]="Not Entered","",VLOOKUP(Table1932126[[#This Row],[Ln'#]],Elite!$A$45:$AV$74,3,FALSE))</f>
        <v/>
      </c>
      <c r="H118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8" s="51" t="str">
        <f>IF(Table1932126[[#This Row],[Status]]="Not Entered","",VLOOKUP(Table1932126[[#This Row],[Ln'#]],Elite!$A$45:$AV$74,46,FALSE))</f>
        <v/>
      </c>
      <c r="K118" s="49">
        <v>13</v>
      </c>
      <c r="L118" s="144" t="str">
        <f>IF(OR(VLOOKUP(Table13132363943[[#This Row],[Ln'#]],Elite!A$45:AT$74,6,FALSE)="E",VLOOKUP(Table13132363943[[#This Row],[Ln'#]],Elite!A$45:AT$74,6,FALSE)="FEO"),"x","")</f>
        <v/>
      </c>
      <c r="M118" s="144" t="str">
        <f>IF(OR(VLOOKUP(Table13132363943[[#This Row],[Ln'#]],Elite!A$45:AT$74,14,FALSE)="E",VLOOKUP(Table13132363943[[#This Row],[Ln'#]],Elite!A$45:AT$74,14,FALSE)="FEO"),"x","")</f>
        <v/>
      </c>
      <c r="N118" s="48"/>
      <c r="O118" s="48"/>
      <c r="P118" s="48"/>
      <c r="Q118" s="48" t="str">
        <f>IF(AND(Table13132363943[[#This Row],[Status Container]]="",Table13132363943[[#This Row],[Status Interior]]=""),"",VLOOKUP(Table13132363943[[#This Row],[Ln'#]],Elite!$A$45:$AT$74,3,FALSE))</f>
        <v/>
      </c>
      <c r="R118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8" s="51" t="str">
        <f>IF(Table13132363943[[#This Row],[Dog ID]]="","",(VLOOKUP(Table13132363943[[#This Row],[Dog ID]],Elite!C$45:$AT86,44,FALSE)))</f>
        <v/>
      </c>
    </row>
    <row r="119" spans="1:19" ht="30" customHeight="1" x14ac:dyDescent="0.45">
      <c r="A119" s="49">
        <v>14</v>
      </c>
      <c r="B119" s="49" t="str">
        <f>IF(OR(VLOOKUP(Table1932126[[#This Row],[Ln'#]],Elite!A$45:AV$74,6,FALSE)="E",VLOOKUP(Table1932126[[#This Row],[Ln'#]],Elite!A$45:AV$74,6,FALSE)="FEO"),"Entered or FEO","Not Entered")</f>
        <v>Not Entered</v>
      </c>
      <c r="C119" s="50" t="str">
        <f t="shared" ca="1" si="3"/>
        <v/>
      </c>
      <c r="D119" s="48"/>
      <c r="E119" s="48"/>
      <c r="F119" s="48"/>
      <c r="G119" s="48" t="str">
        <f>IF(Table1932126[[#This Row],[Status]]="Not Entered","",VLOOKUP(Table1932126[[#This Row],[Ln'#]],Elite!$A$45:$AV$74,3,FALSE))</f>
        <v/>
      </c>
      <c r="H119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9" s="51" t="str">
        <f>IF(Table1932126[[#This Row],[Status]]="Not Entered","",VLOOKUP(Table1932126[[#This Row],[Ln'#]],Elite!$A$45:$AV$74,46,FALSE))</f>
        <v/>
      </c>
      <c r="K119" s="49">
        <v>14</v>
      </c>
      <c r="L119" s="144" t="str">
        <f>IF(OR(VLOOKUP(Table13132363943[[#This Row],[Ln'#]],Elite!A$45:AT$74,6,FALSE)="E",VLOOKUP(Table13132363943[[#This Row],[Ln'#]],Elite!A$45:AT$74,6,FALSE)="FEO"),"x","")</f>
        <v/>
      </c>
      <c r="M119" s="144" t="str">
        <f>IF(OR(VLOOKUP(Table13132363943[[#This Row],[Ln'#]],Elite!A$45:AT$74,14,FALSE)="E",VLOOKUP(Table13132363943[[#This Row],[Ln'#]],Elite!A$45:AT$74,14,FALSE)="FEO"),"x","")</f>
        <v/>
      </c>
      <c r="N119" s="48"/>
      <c r="O119" s="48"/>
      <c r="P119" s="48"/>
      <c r="Q119" s="48" t="str">
        <f>IF(AND(Table13132363943[[#This Row],[Status Container]]="",Table13132363943[[#This Row],[Status Interior]]=""),"",VLOOKUP(Table13132363943[[#This Row],[Ln'#]],Elite!$A$45:$AT$74,3,FALSE))</f>
        <v/>
      </c>
      <c r="R119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9" s="51" t="str">
        <f>IF(Table13132363943[[#This Row],[Dog ID]]="","",(VLOOKUP(Table13132363943[[#This Row],[Dog ID]],Elite!C$45:$AT87,44,FALSE)))</f>
        <v/>
      </c>
    </row>
    <row r="120" spans="1:19" ht="30" customHeight="1" x14ac:dyDescent="0.45">
      <c r="A120" s="49">
        <v>15</v>
      </c>
      <c r="B120" s="49" t="str">
        <f>IF(OR(VLOOKUP(Table1932126[[#This Row],[Ln'#]],Elite!A$45:AV$74,6,FALSE)="E",VLOOKUP(Table1932126[[#This Row],[Ln'#]],Elite!A$45:AV$74,6,FALSE)="FEO"),"Entered or FEO","Not Entered")</f>
        <v>Not Entered</v>
      </c>
      <c r="C120" s="50" t="str">
        <f t="shared" ca="1" si="3"/>
        <v/>
      </c>
      <c r="D120" s="48"/>
      <c r="E120" s="48"/>
      <c r="F120" s="48"/>
      <c r="G120" s="48" t="str">
        <f>IF(Table1932126[[#This Row],[Status]]="Not Entered","",VLOOKUP(Table1932126[[#This Row],[Ln'#]],Elite!$A$45:$AV$74,3,FALSE))</f>
        <v/>
      </c>
      <c r="H120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0" s="51" t="str">
        <f>IF(Table1932126[[#This Row],[Status]]="Not Entered","",VLOOKUP(Table1932126[[#This Row],[Ln'#]],Elite!$A$45:$AV$74,46,FALSE))</f>
        <v/>
      </c>
      <c r="K120" s="49">
        <v>15</v>
      </c>
      <c r="L120" s="144" t="str">
        <f>IF(OR(VLOOKUP(Table13132363943[[#This Row],[Ln'#]],Elite!A$45:AT$74,6,FALSE)="E",VLOOKUP(Table13132363943[[#This Row],[Ln'#]],Elite!A$45:AT$74,6,FALSE)="FEO"),"x","")</f>
        <v/>
      </c>
      <c r="M120" s="144" t="str">
        <f>IF(OR(VLOOKUP(Table13132363943[[#This Row],[Ln'#]],Elite!A$45:AT$74,14,FALSE)="E",VLOOKUP(Table13132363943[[#This Row],[Ln'#]],Elite!A$45:AT$74,14,FALSE)="FEO"),"x","")</f>
        <v/>
      </c>
      <c r="N120" s="48"/>
      <c r="O120" s="48"/>
      <c r="P120" s="48"/>
      <c r="Q120" s="48" t="str">
        <f>IF(AND(Table13132363943[[#This Row],[Status Container]]="",Table13132363943[[#This Row],[Status Interior]]=""),"",VLOOKUP(Table13132363943[[#This Row],[Ln'#]],Elite!$A$45:$AT$74,3,FALSE))</f>
        <v/>
      </c>
      <c r="R120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0" s="51" t="str">
        <f>IF(Table13132363943[[#This Row],[Dog ID]]="","",(VLOOKUP(Table13132363943[[#This Row],[Dog ID]],Elite!C$45:$AT88,44,FALSE)))</f>
        <v/>
      </c>
    </row>
    <row r="121" spans="1:19" ht="30" customHeight="1" x14ac:dyDescent="0.45">
      <c r="A121" s="49">
        <v>16</v>
      </c>
      <c r="B121" s="49" t="str">
        <f>IF(OR(VLOOKUP(Table1932126[[#This Row],[Ln'#]],Elite!A$45:AV$74,6,FALSE)="E",VLOOKUP(Table1932126[[#This Row],[Ln'#]],Elite!A$45:AV$74,6,FALSE)="FEO"),"Entered or FEO","Not Entered")</f>
        <v>Not Entered</v>
      </c>
      <c r="C121" s="50" t="str">
        <f t="shared" ca="1" si="3"/>
        <v/>
      </c>
      <c r="D121" s="48"/>
      <c r="E121" s="48"/>
      <c r="F121" s="48"/>
      <c r="G121" s="48" t="str">
        <f>IF(Table1932126[[#This Row],[Status]]="Not Entered","",VLOOKUP(Table1932126[[#This Row],[Ln'#]],Elite!$A$45:$AV$74,3,FALSE))</f>
        <v/>
      </c>
      <c r="H121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1" s="51" t="str">
        <f>IF(Table1932126[[#This Row],[Status]]="Not Entered","",VLOOKUP(Table1932126[[#This Row],[Ln'#]],Elite!$A$45:$AV$74,46,FALSE))</f>
        <v/>
      </c>
      <c r="K121" s="49">
        <v>16</v>
      </c>
      <c r="L121" s="144" t="str">
        <f>IF(OR(VLOOKUP(Table13132363943[[#This Row],[Ln'#]],Elite!A$45:AT$74,6,FALSE)="E",VLOOKUP(Table13132363943[[#This Row],[Ln'#]],Elite!A$45:AT$74,6,FALSE)="FEO"),"x","")</f>
        <v/>
      </c>
      <c r="M121" s="144" t="str">
        <f>IF(OR(VLOOKUP(Table13132363943[[#This Row],[Ln'#]],Elite!A$45:AT$74,14,FALSE)="E",VLOOKUP(Table13132363943[[#This Row],[Ln'#]],Elite!A$45:AT$74,14,FALSE)="FEO"),"x","")</f>
        <v/>
      </c>
      <c r="N121" s="48"/>
      <c r="O121" s="48"/>
      <c r="P121" s="48"/>
      <c r="Q121" s="48" t="str">
        <f>IF(AND(Table13132363943[[#This Row],[Status Container]]="",Table13132363943[[#This Row],[Status Interior]]=""),"",VLOOKUP(Table13132363943[[#This Row],[Ln'#]],Elite!$A$45:$AT$74,3,FALSE))</f>
        <v/>
      </c>
      <c r="R121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1" s="51" t="str">
        <f>IF(Table13132363943[[#This Row],[Dog ID]]="","",(VLOOKUP(Table13132363943[[#This Row],[Dog ID]],Elite!C$45:$AT89,44,FALSE)))</f>
        <v/>
      </c>
    </row>
    <row r="122" spans="1:19" ht="30" customHeight="1" x14ac:dyDescent="0.45">
      <c r="A122" s="49">
        <v>17</v>
      </c>
      <c r="B122" s="49" t="str">
        <f>IF(OR(VLOOKUP(Table1932126[[#This Row],[Ln'#]],Elite!A$45:AV$74,6,FALSE)="E",VLOOKUP(Table1932126[[#This Row],[Ln'#]],Elite!A$45:AV$74,6,FALSE)="FEO"),"Entered or FEO","Not Entered")</f>
        <v>Not Entered</v>
      </c>
      <c r="C122" s="50" t="str">
        <f t="shared" ca="1" si="3"/>
        <v/>
      </c>
      <c r="D122" s="48"/>
      <c r="E122" s="48"/>
      <c r="F122" s="48"/>
      <c r="G122" s="48" t="str">
        <f>IF(Table1932126[[#This Row],[Status]]="Not Entered","",VLOOKUP(Table1932126[[#This Row],[Ln'#]],Elite!$A$45:$AV$74,3,FALSE))</f>
        <v/>
      </c>
      <c r="H122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2" s="51" t="str">
        <f>IF(Table1932126[[#This Row],[Status]]="Not Entered","",VLOOKUP(Table1932126[[#This Row],[Ln'#]],Elite!$A$45:$AV$74,46,FALSE))</f>
        <v/>
      </c>
      <c r="K122" s="49">
        <v>17</v>
      </c>
      <c r="L122" s="144" t="str">
        <f>IF(OR(VLOOKUP(Table13132363943[[#This Row],[Ln'#]],Elite!A$45:AT$74,6,FALSE)="E",VLOOKUP(Table13132363943[[#This Row],[Ln'#]],Elite!A$45:AT$74,6,FALSE)="FEO"),"x","")</f>
        <v/>
      </c>
      <c r="M122" s="144" t="str">
        <f>IF(OR(VLOOKUP(Table13132363943[[#This Row],[Ln'#]],Elite!A$45:AT$74,14,FALSE)="E",VLOOKUP(Table13132363943[[#This Row],[Ln'#]],Elite!A$45:AT$74,14,FALSE)="FEO"),"x","")</f>
        <v/>
      </c>
      <c r="N122" s="48"/>
      <c r="O122" s="48"/>
      <c r="P122" s="48"/>
      <c r="Q122" s="48" t="str">
        <f>IF(AND(Table13132363943[[#This Row],[Status Container]]="",Table13132363943[[#This Row],[Status Interior]]=""),"",VLOOKUP(Table13132363943[[#This Row],[Ln'#]],Elite!$A$45:$AT$74,3,FALSE))</f>
        <v/>
      </c>
      <c r="R122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2" s="51" t="str">
        <f>IF(Table13132363943[[#This Row],[Dog ID]]="","",(VLOOKUP(Table13132363943[[#This Row],[Dog ID]],Elite!C$45:$AT90,44,FALSE)))</f>
        <v/>
      </c>
    </row>
    <row r="123" spans="1:19" ht="30" customHeight="1" x14ac:dyDescent="0.45">
      <c r="A123" s="49">
        <v>18</v>
      </c>
      <c r="B123" s="49" t="str">
        <f>IF(OR(VLOOKUP(Table1932126[[#This Row],[Ln'#]],Elite!A$45:AV$74,6,FALSE)="E",VLOOKUP(Table1932126[[#This Row],[Ln'#]],Elite!A$45:AV$74,6,FALSE)="FEO"),"Entered or FEO","Not Entered")</f>
        <v>Not Entered</v>
      </c>
      <c r="C123" s="50" t="str">
        <f t="shared" ca="1" si="3"/>
        <v/>
      </c>
      <c r="D123" s="48"/>
      <c r="E123" s="48"/>
      <c r="F123" s="48"/>
      <c r="G123" s="48" t="str">
        <f>IF(Table1932126[[#This Row],[Status]]="Not Entered","",VLOOKUP(Table1932126[[#This Row],[Ln'#]],Elite!$A$45:$AV$74,3,FALSE))</f>
        <v/>
      </c>
      <c r="H123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3" s="51" t="str">
        <f>IF(Table1932126[[#This Row],[Status]]="Not Entered","",VLOOKUP(Table1932126[[#This Row],[Ln'#]],Elite!$A$45:$AV$74,46,FALSE))</f>
        <v/>
      </c>
      <c r="K123" s="49">
        <v>18</v>
      </c>
      <c r="L123" s="144" t="str">
        <f>IF(OR(VLOOKUP(Table13132363943[[#This Row],[Ln'#]],Elite!A$45:AT$74,6,FALSE)="E",VLOOKUP(Table13132363943[[#This Row],[Ln'#]],Elite!A$45:AT$74,6,FALSE)="FEO"),"x","")</f>
        <v/>
      </c>
      <c r="M123" s="144" t="str">
        <f>IF(OR(VLOOKUP(Table13132363943[[#This Row],[Ln'#]],Elite!A$45:AT$74,14,FALSE)="E",VLOOKUP(Table13132363943[[#This Row],[Ln'#]],Elite!A$45:AT$74,14,FALSE)="FEO"),"x","")</f>
        <v/>
      </c>
      <c r="N123" s="48"/>
      <c r="O123" s="48"/>
      <c r="P123" s="48"/>
      <c r="Q123" s="48" t="str">
        <f>IF(AND(Table13132363943[[#This Row],[Status Container]]="",Table13132363943[[#This Row],[Status Interior]]=""),"",VLOOKUP(Table13132363943[[#This Row],[Ln'#]],Elite!$A$45:$AT$74,3,FALSE))</f>
        <v/>
      </c>
      <c r="R123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3" s="51" t="str">
        <f>IF(Table13132363943[[#This Row],[Dog ID]]="","",(VLOOKUP(Table13132363943[[#This Row],[Dog ID]],Elite!C$45:$AT91,44,FALSE)))</f>
        <v/>
      </c>
    </row>
    <row r="124" spans="1:19" ht="30" customHeight="1" x14ac:dyDescent="0.45">
      <c r="A124" s="49">
        <v>19</v>
      </c>
      <c r="B124" s="49" t="str">
        <f>IF(OR(VLOOKUP(Table1932126[[#This Row],[Ln'#]],Elite!A$45:AV$74,6,FALSE)="E",VLOOKUP(Table1932126[[#This Row],[Ln'#]],Elite!A$45:AV$74,6,FALSE)="FEO"),"Entered or FEO","Not Entered")</f>
        <v>Not Entered</v>
      </c>
      <c r="C124" s="50" t="str">
        <f t="shared" ca="1" si="3"/>
        <v/>
      </c>
      <c r="D124" s="48"/>
      <c r="E124" s="48"/>
      <c r="F124" s="48"/>
      <c r="G124" s="48" t="str">
        <f>IF(Table1932126[[#This Row],[Status]]="Not Entered","",VLOOKUP(Table1932126[[#This Row],[Ln'#]],Elite!$A$45:$AV$74,3,FALSE))</f>
        <v/>
      </c>
      <c r="H124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4" s="51" t="str">
        <f>IF(Table1932126[[#This Row],[Status]]="Not Entered","",VLOOKUP(Table1932126[[#This Row],[Ln'#]],Elite!$A$45:$AV$74,46,FALSE))</f>
        <v/>
      </c>
      <c r="K124" s="49">
        <v>19</v>
      </c>
      <c r="L124" s="144" t="str">
        <f>IF(OR(VLOOKUP(Table13132363943[[#This Row],[Ln'#]],Elite!A$45:AT$74,6,FALSE)="E",VLOOKUP(Table13132363943[[#This Row],[Ln'#]],Elite!A$45:AT$74,6,FALSE)="FEO"),"x","")</f>
        <v/>
      </c>
      <c r="M124" s="144" t="str">
        <f>IF(OR(VLOOKUP(Table13132363943[[#This Row],[Ln'#]],Elite!A$45:AT$74,14,FALSE)="E",VLOOKUP(Table13132363943[[#This Row],[Ln'#]],Elite!A$45:AT$74,14,FALSE)="FEO"),"x","")</f>
        <v/>
      </c>
      <c r="N124" s="48"/>
      <c r="O124" s="48"/>
      <c r="P124" s="48"/>
      <c r="Q124" s="48" t="str">
        <f>IF(AND(Table13132363943[[#This Row],[Status Container]]="",Table13132363943[[#This Row],[Status Interior]]=""),"",VLOOKUP(Table13132363943[[#This Row],[Ln'#]],Elite!$A$45:$AT$74,3,FALSE))</f>
        <v/>
      </c>
      <c r="R124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4" s="51" t="str">
        <f>IF(Table13132363943[[#This Row],[Dog ID]]="","",(VLOOKUP(Table13132363943[[#This Row],[Dog ID]],Elite!C$45:$AT92,44,FALSE)))</f>
        <v/>
      </c>
    </row>
    <row r="125" spans="1:19" ht="30" customHeight="1" x14ac:dyDescent="0.45">
      <c r="A125" s="49">
        <v>20</v>
      </c>
      <c r="B125" s="49" t="str">
        <f>IF(OR(VLOOKUP(Table1932126[[#This Row],[Ln'#]],Elite!A$45:AV$74,6,FALSE)="E",VLOOKUP(Table1932126[[#This Row],[Ln'#]],Elite!A$45:AV$74,6,FALSE)="FEO"),"Entered or FEO","Not Entered")</f>
        <v>Not Entered</v>
      </c>
      <c r="C125" s="50" t="str">
        <f t="shared" ca="1" si="3"/>
        <v/>
      </c>
      <c r="D125" s="48"/>
      <c r="E125" s="48"/>
      <c r="F125" s="48"/>
      <c r="G125" s="48" t="str">
        <f>IF(Table1932126[[#This Row],[Status]]="Not Entered","",VLOOKUP(Table1932126[[#This Row],[Ln'#]],Elite!$A$45:$AV$74,3,FALSE))</f>
        <v/>
      </c>
      <c r="H125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5" s="51" t="str">
        <f>IF(Table1932126[[#This Row],[Status]]="Not Entered","",VLOOKUP(Table1932126[[#This Row],[Ln'#]],Elite!$A$45:$AV$74,46,FALSE))</f>
        <v/>
      </c>
      <c r="K125" s="49">
        <v>20</v>
      </c>
      <c r="L125" s="144" t="str">
        <f>IF(OR(VLOOKUP(Table13132363943[[#This Row],[Ln'#]],Elite!A$45:AT$74,6,FALSE)="E",VLOOKUP(Table13132363943[[#This Row],[Ln'#]],Elite!A$45:AT$74,6,FALSE)="FEO"),"x","")</f>
        <v/>
      </c>
      <c r="M125" s="144" t="str">
        <f>IF(OR(VLOOKUP(Table13132363943[[#This Row],[Ln'#]],Elite!A$45:AT$74,14,FALSE)="E",VLOOKUP(Table13132363943[[#This Row],[Ln'#]],Elite!A$45:AT$74,14,FALSE)="FEO"),"x","")</f>
        <v/>
      </c>
      <c r="N125" s="48"/>
      <c r="O125" s="48"/>
      <c r="P125" s="48"/>
      <c r="Q125" s="48" t="str">
        <f>IF(AND(Table13132363943[[#This Row],[Status Container]]="",Table13132363943[[#This Row],[Status Interior]]=""),"",VLOOKUP(Table13132363943[[#This Row],[Ln'#]],Elite!$A$45:$AT$74,3,FALSE))</f>
        <v/>
      </c>
      <c r="R125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5" s="51" t="str">
        <f>IF(Table13132363943[[#This Row],[Dog ID]]="","",(VLOOKUP(Table13132363943[[#This Row],[Dog ID]],Elite!C$45:$AT93,44,FALSE)))</f>
        <v/>
      </c>
    </row>
    <row r="126" spans="1:19" ht="30" customHeight="1" x14ac:dyDescent="0.45">
      <c r="A126" s="49">
        <v>21</v>
      </c>
      <c r="B126" s="49" t="str">
        <f>IF(OR(VLOOKUP(Table1932126[[#This Row],[Ln'#]],Elite!A$45:AV$74,6,FALSE)="E",VLOOKUP(Table1932126[[#This Row],[Ln'#]],Elite!A$45:AV$74,6,FALSE)="FEO"),"Entered or FEO","Not Entered")</f>
        <v>Not Entered</v>
      </c>
      <c r="C126" s="50" t="str">
        <f t="shared" ca="1" si="3"/>
        <v/>
      </c>
      <c r="D126" s="48"/>
      <c r="E126" s="48"/>
      <c r="F126" s="48"/>
      <c r="G126" s="48" t="str">
        <f>IF(Table1932126[[#This Row],[Status]]="Not Entered","",VLOOKUP(Table1932126[[#This Row],[Ln'#]],Elite!$A$45:$AV$74,3,FALSE))</f>
        <v/>
      </c>
      <c r="H126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6" s="51" t="str">
        <f>IF(Table1932126[[#This Row],[Status]]="Not Entered","",VLOOKUP(Table1932126[[#This Row],[Ln'#]],Elite!$A$45:$AV$74,46,FALSE))</f>
        <v/>
      </c>
      <c r="K126" s="49">
        <v>21</v>
      </c>
      <c r="L126" s="144" t="str">
        <f>IF(OR(VLOOKUP(Table13132363943[[#This Row],[Ln'#]],Elite!A$45:AT$74,6,FALSE)="E",VLOOKUP(Table13132363943[[#This Row],[Ln'#]],Elite!A$45:AT$74,6,FALSE)="FEO"),"x","")</f>
        <v/>
      </c>
      <c r="M126" s="144" t="str">
        <f>IF(OR(VLOOKUP(Table13132363943[[#This Row],[Ln'#]],Elite!A$45:AT$74,14,FALSE)="E",VLOOKUP(Table13132363943[[#This Row],[Ln'#]],Elite!A$45:AT$74,14,FALSE)="FEO"),"x","")</f>
        <v/>
      </c>
      <c r="N126" s="48"/>
      <c r="O126" s="48"/>
      <c r="P126" s="48"/>
      <c r="Q126" s="48" t="str">
        <f>IF(AND(Table13132363943[[#This Row],[Status Container]]="",Table13132363943[[#This Row],[Status Interior]]=""),"",VLOOKUP(Table13132363943[[#This Row],[Ln'#]],Elite!$A$45:$AT$74,3,FALSE))</f>
        <v/>
      </c>
      <c r="R126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6" s="51" t="str">
        <f>IF(Table13132363943[[#This Row],[Dog ID]]="","",(VLOOKUP(Table13132363943[[#This Row],[Dog ID]],Elite!C$45:$AT94,44,FALSE)))</f>
        <v/>
      </c>
    </row>
    <row r="127" spans="1:19" ht="30" customHeight="1" x14ac:dyDescent="0.45">
      <c r="A127" s="49">
        <v>22</v>
      </c>
      <c r="B127" s="49" t="str">
        <f>IF(OR(VLOOKUP(Table1932126[[#This Row],[Ln'#]],Elite!A$45:AV$74,6,FALSE)="E",VLOOKUP(Table1932126[[#This Row],[Ln'#]],Elite!A$45:AV$74,6,FALSE)="FEO"),"Entered or FEO","Not Entered")</f>
        <v>Not Entered</v>
      </c>
      <c r="C127" s="50" t="str">
        <f t="shared" ca="1" si="3"/>
        <v/>
      </c>
      <c r="D127" s="48"/>
      <c r="E127" s="48"/>
      <c r="F127" s="48"/>
      <c r="G127" s="48" t="str">
        <f>IF(Table1932126[[#This Row],[Status]]="Not Entered","",VLOOKUP(Table1932126[[#This Row],[Ln'#]],Elite!$A$45:$AV$74,3,FALSE))</f>
        <v/>
      </c>
      <c r="H127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7" s="51" t="str">
        <f>IF(Table1932126[[#This Row],[Status]]="Not Entered","",VLOOKUP(Table1932126[[#This Row],[Ln'#]],Elite!$A$45:$AV$74,46,FALSE))</f>
        <v/>
      </c>
      <c r="K127" s="49">
        <v>22</v>
      </c>
      <c r="L127" s="144" t="str">
        <f>IF(OR(VLOOKUP(Table13132363943[[#This Row],[Ln'#]],Elite!A$45:AT$74,6,FALSE)="E",VLOOKUP(Table13132363943[[#This Row],[Ln'#]],Elite!A$45:AT$74,6,FALSE)="FEO"),"x","")</f>
        <v/>
      </c>
      <c r="M127" s="144" t="str">
        <f>IF(OR(VLOOKUP(Table13132363943[[#This Row],[Ln'#]],Elite!A$45:AT$74,14,FALSE)="E",VLOOKUP(Table13132363943[[#This Row],[Ln'#]],Elite!A$45:AT$74,14,FALSE)="FEO"),"x","")</f>
        <v/>
      </c>
      <c r="N127" s="48"/>
      <c r="O127" s="48"/>
      <c r="P127" s="48"/>
      <c r="Q127" s="48" t="str">
        <f>IF(AND(Table13132363943[[#This Row],[Status Container]]="",Table13132363943[[#This Row],[Status Interior]]=""),"",VLOOKUP(Table13132363943[[#This Row],[Ln'#]],Elite!$A$45:$AT$74,3,FALSE))</f>
        <v/>
      </c>
      <c r="R127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7" s="51" t="str">
        <f>IF(Table13132363943[[#This Row],[Dog ID]]="","",(VLOOKUP(Table13132363943[[#This Row],[Dog ID]],Elite!C$45:$AT95,44,FALSE)))</f>
        <v/>
      </c>
    </row>
    <row r="128" spans="1:19" ht="30" customHeight="1" x14ac:dyDescent="0.45">
      <c r="A128" s="49">
        <v>23</v>
      </c>
      <c r="B128" s="49" t="str">
        <f>IF(OR(VLOOKUP(Table1932126[[#This Row],[Ln'#]],Elite!A$45:AV$74,6,FALSE)="E",VLOOKUP(Table1932126[[#This Row],[Ln'#]],Elite!A$45:AV$74,6,FALSE)="FEO"),"Entered or FEO","Not Entered")</f>
        <v>Not Entered</v>
      </c>
      <c r="C128" s="50" t="str">
        <f t="shared" ca="1" si="3"/>
        <v/>
      </c>
      <c r="D128" s="48"/>
      <c r="E128" s="48"/>
      <c r="F128" s="48"/>
      <c r="G128" s="48" t="str">
        <f>IF(Table1932126[[#This Row],[Status]]="Not Entered","",VLOOKUP(Table1932126[[#This Row],[Ln'#]],Elite!$A$45:$AV$74,3,FALSE))</f>
        <v/>
      </c>
      <c r="H128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8" s="51" t="str">
        <f>IF(Table1932126[[#This Row],[Status]]="Not Entered","",VLOOKUP(Table1932126[[#This Row],[Ln'#]],Elite!$A$45:$AV$74,46,FALSE))</f>
        <v/>
      </c>
      <c r="K128" s="49">
        <v>23</v>
      </c>
      <c r="L128" s="144" t="str">
        <f>IF(OR(VLOOKUP(Table13132363943[[#This Row],[Ln'#]],Elite!A$45:AT$74,6,FALSE)="E",VLOOKUP(Table13132363943[[#This Row],[Ln'#]],Elite!A$45:AT$74,6,FALSE)="FEO"),"x","")</f>
        <v/>
      </c>
      <c r="M128" s="144" t="str">
        <f>IF(OR(VLOOKUP(Table13132363943[[#This Row],[Ln'#]],Elite!A$45:AT$74,14,FALSE)="E",VLOOKUP(Table13132363943[[#This Row],[Ln'#]],Elite!A$45:AT$74,14,FALSE)="FEO"),"x","")</f>
        <v/>
      </c>
      <c r="N128" s="48"/>
      <c r="O128" s="48"/>
      <c r="P128" s="48"/>
      <c r="Q128" s="48" t="str">
        <f>IF(AND(Table13132363943[[#This Row],[Status Container]]="",Table13132363943[[#This Row],[Status Interior]]=""),"",VLOOKUP(Table13132363943[[#This Row],[Ln'#]],Elite!$A$45:$AT$74,3,FALSE))</f>
        <v/>
      </c>
      <c r="R128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8" s="51" t="str">
        <f>IF(Table13132363943[[#This Row],[Dog ID]]="","",(VLOOKUP(Table13132363943[[#This Row],[Dog ID]],Elite!C$45:$AT96,44,FALSE)))</f>
        <v/>
      </c>
    </row>
    <row r="129" spans="1:19" ht="30" customHeight="1" x14ac:dyDescent="0.45">
      <c r="A129" s="49">
        <v>24</v>
      </c>
      <c r="B129" s="49" t="str">
        <f>IF(OR(VLOOKUP(Table1932126[[#This Row],[Ln'#]],Elite!A$45:AV$74,6,FALSE)="E",VLOOKUP(Table1932126[[#This Row],[Ln'#]],Elite!A$45:AV$74,6,FALSE)="FEO"),"Entered or FEO","Not Entered")</f>
        <v>Not Entered</v>
      </c>
      <c r="C129" s="50" t="str">
        <f t="shared" ca="1" si="3"/>
        <v/>
      </c>
      <c r="D129" s="48"/>
      <c r="E129" s="48"/>
      <c r="F129" s="48"/>
      <c r="G129" s="48" t="str">
        <f>IF(Table1932126[[#This Row],[Status]]="Not Entered","",VLOOKUP(Table1932126[[#This Row],[Ln'#]],Elite!$A$45:$AV$74,3,FALSE))</f>
        <v/>
      </c>
      <c r="H129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9" s="51" t="str">
        <f>IF(Table1932126[[#This Row],[Status]]="Not Entered","",VLOOKUP(Table1932126[[#This Row],[Ln'#]],Elite!$A$45:$AV$74,46,FALSE))</f>
        <v/>
      </c>
      <c r="K129" s="49">
        <v>24</v>
      </c>
      <c r="L129" s="144" t="str">
        <f>IF(OR(VLOOKUP(Table13132363943[[#This Row],[Ln'#]],Elite!A$45:AT$74,6,FALSE)="E",VLOOKUP(Table13132363943[[#This Row],[Ln'#]],Elite!A$45:AT$74,6,FALSE)="FEO"),"x","")</f>
        <v/>
      </c>
      <c r="M129" s="144" t="str">
        <f>IF(OR(VLOOKUP(Table13132363943[[#This Row],[Ln'#]],Elite!A$45:AT$74,14,FALSE)="E",VLOOKUP(Table13132363943[[#This Row],[Ln'#]],Elite!A$45:AT$74,14,FALSE)="FEO"),"x","")</f>
        <v/>
      </c>
      <c r="N129" s="48"/>
      <c r="O129" s="48"/>
      <c r="P129" s="48"/>
      <c r="Q129" s="48" t="str">
        <f>IF(AND(Table13132363943[[#This Row],[Status Container]]="",Table13132363943[[#This Row],[Status Interior]]=""),"",VLOOKUP(Table13132363943[[#This Row],[Ln'#]],Elite!$A$45:$AT$74,3,FALSE))</f>
        <v/>
      </c>
      <c r="R129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9" s="51" t="str">
        <f>IF(Table13132363943[[#This Row],[Dog ID]]="","",(VLOOKUP(Table13132363943[[#This Row],[Dog ID]],Elite!C$45:$AT97,44,FALSE)))</f>
        <v/>
      </c>
    </row>
    <row r="130" spans="1:19" ht="30" customHeight="1" x14ac:dyDescent="0.45">
      <c r="A130" s="49">
        <v>25</v>
      </c>
      <c r="B130" s="49" t="str">
        <f>IF(OR(VLOOKUP(Table1932126[[#This Row],[Ln'#]],Elite!A$45:AV$74,6,FALSE)="E",VLOOKUP(Table1932126[[#This Row],[Ln'#]],Elite!A$45:AV$74,6,FALSE)="FEO"),"Entered or FEO","Not Entered")</f>
        <v>Not Entered</v>
      </c>
      <c r="C130" s="50" t="str">
        <f t="shared" ca="1" si="3"/>
        <v/>
      </c>
      <c r="D130" s="48"/>
      <c r="E130" s="48"/>
      <c r="F130" s="48"/>
      <c r="G130" s="48" t="str">
        <f>IF(Table1932126[[#This Row],[Status]]="Not Entered","",VLOOKUP(Table1932126[[#This Row],[Ln'#]],Elite!$A$45:$AV$74,3,FALSE))</f>
        <v/>
      </c>
      <c r="H130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0" s="51" t="str">
        <f>IF(Table1932126[[#This Row],[Status]]="Not Entered","",VLOOKUP(Table1932126[[#This Row],[Ln'#]],Elite!$A$45:$AV$74,46,FALSE))</f>
        <v/>
      </c>
      <c r="K130" s="49">
        <v>25</v>
      </c>
      <c r="L130" s="144" t="str">
        <f>IF(OR(VLOOKUP(Table13132363943[[#This Row],[Ln'#]],Elite!A$45:AT$74,6,FALSE)="E",VLOOKUP(Table13132363943[[#This Row],[Ln'#]],Elite!A$45:AT$74,6,FALSE)="FEO"),"x","")</f>
        <v/>
      </c>
      <c r="M130" s="144" t="str">
        <f>IF(OR(VLOOKUP(Table13132363943[[#This Row],[Ln'#]],Elite!A$45:AT$74,14,FALSE)="E",VLOOKUP(Table13132363943[[#This Row],[Ln'#]],Elite!A$45:AT$74,14,FALSE)="FEO"),"x","")</f>
        <v/>
      </c>
      <c r="N130" s="48"/>
      <c r="O130" s="48"/>
      <c r="P130" s="48"/>
      <c r="Q130" s="48" t="str">
        <f>IF(AND(Table13132363943[[#This Row],[Status Container]]="",Table13132363943[[#This Row],[Status Interior]]=""),"",VLOOKUP(Table13132363943[[#This Row],[Ln'#]],Elite!$A$45:$AT$74,3,FALSE))</f>
        <v/>
      </c>
      <c r="R130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0" s="51" t="str">
        <f>IF(Table13132363943[[#This Row],[Dog ID]]="","",(VLOOKUP(Table13132363943[[#This Row],[Dog ID]],Elite!C$45:$AT98,44,FALSE)))</f>
        <v/>
      </c>
    </row>
    <row r="131" spans="1:19" ht="30" customHeight="1" x14ac:dyDescent="0.45">
      <c r="A131" s="49">
        <v>26</v>
      </c>
      <c r="B131" s="49" t="str">
        <f>IF(OR(VLOOKUP(Table1932126[[#This Row],[Ln'#]],Elite!A$45:AV$74,6,FALSE)="E",VLOOKUP(Table1932126[[#This Row],[Ln'#]],Elite!A$45:AV$74,6,FALSE)="FEO"),"Entered or FEO","Not Entered")</f>
        <v>Not Entered</v>
      </c>
      <c r="C131" s="50" t="str">
        <f t="shared" ca="1" si="3"/>
        <v/>
      </c>
      <c r="D131" s="48"/>
      <c r="E131" s="48"/>
      <c r="F131" s="48"/>
      <c r="G131" s="48" t="str">
        <f>IF(Table1932126[[#This Row],[Status]]="Not Entered","",VLOOKUP(Table1932126[[#This Row],[Ln'#]],Elite!$A$45:$AV$74,3,FALSE))</f>
        <v/>
      </c>
      <c r="H131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1" s="51" t="str">
        <f>IF(Table1932126[[#This Row],[Status]]="Not Entered","",VLOOKUP(Table1932126[[#This Row],[Ln'#]],Elite!$A$45:$AV$74,46,FALSE))</f>
        <v/>
      </c>
      <c r="K131" s="49">
        <v>26</v>
      </c>
      <c r="L131" s="144" t="str">
        <f>IF(OR(VLOOKUP(Table13132363943[[#This Row],[Ln'#]],Elite!A$45:AT$74,6,FALSE)="E",VLOOKUP(Table13132363943[[#This Row],[Ln'#]],Elite!A$45:AT$74,6,FALSE)="FEO"),"x","")</f>
        <v/>
      </c>
      <c r="M131" s="144" t="str">
        <f>IF(OR(VLOOKUP(Table13132363943[[#This Row],[Ln'#]],Elite!A$45:AT$74,14,FALSE)="E",VLOOKUP(Table13132363943[[#This Row],[Ln'#]],Elite!A$45:AT$74,14,FALSE)="FEO"),"x","")</f>
        <v/>
      </c>
      <c r="N131" s="48"/>
      <c r="O131" s="48"/>
      <c r="P131" s="48"/>
      <c r="Q131" s="48" t="str">
        <f>IF(AND(Table13132363943[[#This Row],[Status Container]]="",Table13132363943[[#This Row],[Status Interior]]=""),"",VLOOKUP(Table13132363943[[#This Row],[Ln'#]],Elite!$A$45:$AT$74,3,FALSE))</f>
        <v/>
      </c>
      <c r="R131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1" s="51" t="str">
        <f>IF(Table13132363943[[#This Row],[Dog ID]]="","",(VLOOKUP(Table13132363943[[#This Row],[Dog ID]],Elite!C$45:$AT99,44,FALSE)))</f>
        <v/>
      </c>
    </row>
    <row r="132" spans="1:19" ht="30" customHeight="1" x14ac:dyDescent="0.45">
      <c r="A132" s="49">
        <v>27</v>
      </c>
      <c r="B132" s="49" t="str">
        <f>IF(OR(VLOOKUP(Table1932126[[#This Row],[Ln'#]],Elite!A$45:AV$74,6,FALSE)="E",VLOOKUP(Table1932126[[#This Row],[Ln'#]],Elite!A$45:AV$74,6,FALSE)="FEO"),"Entered or FEO","Not Entered")</f>
        <v>Not Entered</v>
      </c>
      <c r="C132" s="50" t="str">
        <f t="shared" ca="1" si="3"/>
        <v/>
      </c>
      <c r="D132" s="48"/>
      <c r="E132" s="48"/>
      <c r="F132" s="48"/>
      <c r="G132" s="48" t="str">
        <f>IF(Table1932126[[#This Row],[Status]]="Not Entered","",VLOOKUP(Table1932126[[#This Row],[Ln'#]],Elite!$A$45:$AV$74,3,FALSE))</f>
        <v/>
      </c>
      <c r="H132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2" s="51" t="str">
        <f>IF(Table1932126[[#This Row],[Status]]="Not Entered","",VLOOKUP(Table1932126[[#This Row],[Ln'#]],Elite!$A$45:$AV$74,46,FALSE))</f>
        <v/>
      </c>
      <c r="K132" s="49">
        <v>27</v>
      </c>
      <c r="L132" s="144" t="str">
        <f>IF(OR(VLOOKUP(Table13132363943[[#This Row],[Ln'#]],Elite!A$45:AT$74,6,FALSE)="E",VLOOKUP(Table13132363943[[#This Row],[Ln'#]],Elite!A$45:AT$74,6,FALSE)="FEO"),"x","")</f>
        <v/>
      </c>
      <c r="M132" s="144" t="str">
        <f>IF(OR(VLOOKUP(Table13132363943[[#This Row],[Ln'#]],Elite!A$45:AT$74,14,FALSE)="E",VLOOKUP(Table13132363943[[#This Row],[Ln'#]],Elite!A$45:AT$74,14,FALSE)="FEO"),"x","")</f>
        <v/>
      </c>
      <c r="N132" s="48"/>
      <c r="O132" s="48"/>
      <c r="P132" s="48"/>
      <c r="Q132" s="48" t="str">
        <f>IF(AND(Table13132363943[[#This Row],[Status Container]]="",Table13132363943[[#This Row],[Status Interior]]=""),"",VLOOKUP(Table13132363943[[#This Row],[Ln'#]],Elite!$A$45:$AT$74,3,FALSE))</f>
        <v/>
      </c>
      <c r="R132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2" s="51" t="str">
        <f>IF(Table13132363943[[#This Row],[Dog ID]]="","",(VLOOKUP(Table13132363943[[#This Row],[Dog ID]],Elite!C$45:$AT100,44,FALSE)))</f>
        <v/>
      </c>
    </row>
    <row r="133" spans="1:19" ht="30" customHeight="1" x14ac:dyDescent="0.45">
      <c r="A133" s="49">
        <v>28</v>
      </c>
      <c r="B133" s="49" t="str">
        <f>IF(OR(VLOOKUP(Table1932126[[#This Row],[Ln'#]],Elite!A$45:AV$74,6,FALSE)="E",VLOOKUP(Table1932126[[#This Row],[Ln'#]],Elite!A$45:AV$74,6,FALSE)="FEO"),"Entered or FEO","Not Entered")</f>
        <v>Not Entered</v>
      </c>
      <c r="C133" s="50" t="str">
        <f t="shared" ca="1" si="3"/>
        <v/>
      </c>
      <c r="D133" s="48"/>
      <c r="E133" s="48"/>
      <c r="F133" s="48"/>
      <c r="G133" s="48" t="str">
        <f>IF(Table1932126[[#This Row],[Status]]="Not Entered","",VLOOKUP(Table1932126[[#This Row],[Ln'#]],Elite!$A$45:$AV$74,3,FALSE))</f>
        <v/>
      </c>
      <c r="H133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3" s="51" t="str">
        <f>IF(Table1932126[[#This Row],[Status]]="Not Entered","",VLOOKUP(Table1932126[[#This Row],[Ln'#]],Elite!$A$45:$AV$74,46,FALSE))</f>
        <v/>
      </c>
      <c r="K133" s="49">
        <v>28</v>
      </c>
      <c r="L133" s="144" t="str">
        <f>IF(OR(VLOOKUP(Table13132363943[[#This Row],[Ln'#]],Elite!A$45:AT$74,6,FALSE)="E",VLOOKUP(Table13132363943[[#This Row],[Ln'#]],Elite!A$45:AT$74,6,FALSE)="FEO"),"x","")</f>
        <v/>
      </c>
      <c r="M133" s="144" t="str">
        <f>IF(OR(VLOOKUP(Table13132363943[[#This Row],[Ln'#]],Elite!A$45:AT$74,14,FALSE)="E",VLOOKUP(Table13132363943[[#This Row],[Ln'#]],Elite!A$45:AT$74,14,FALSE)="FEO"),"x","")</f>
        <v/>
      </c>
      <c r="N133" s="48"/>
      <c r="O133" s="48"/>
      <c r="P133" s="48"/>
      <c r="Q133" s="48" t="str">
        <f>IF(AND(Table13132363943[[#This Row],[Status Container]]="",Table13132363943[[#This Row],[Status Interior]]=""),"",VLOOKUP(Table13132363943[[#This Row],[Ln'#]],Elite!$A$45:$AT$74,3,FALSE))</f>
        <v/>
      </c>
      <c r="R133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3" s="51" t="str">
        <f>IF(Table13132363943[[#This Row],[Dog ID]]="","",(VLOOKUP(Table13132363943[[#This Row],[Dog ID]],Elite!C$45:$AT101,44,FALSE)))</f>
        <v/>
      </c>
    </row>
    <row r="134" spans="1:19" ht="30" customHeight="1" x14ac:dyDescent="0.45">
      <c r="A134" s="49">
        <v>29</v>
      </c>
      <c r="B134" s="49" t="str">
        <f>IF(OR(VLOOKUP(Table1932126[[#This Row],[Ln'#]],Elite!A$45:AV$74,6,FALSE)="E",VLOOKUP(Table1932126[[#This Row],[Ln'#]],Elite!A$45:AV$74,6,FALSE)="FEO"),"Entered or FEO","Not Entered")</f>
        <v>Not Entered</v>
      </c>
      <c r="C134" s="50" t="str">
        <f t="shared" ca="1" si="3"/>
        <v/>
      </c>
      <c r="D134" s="48"/>
      <c r="E134" s="48"/>
      <c r="F134" s="48"/>
      <c r="G134" s="48" t="str">
        <f>IF(Table1932126[[#This Row],[Status]]="Not Entered","",VLOOKUP(Table1932126[[#This Row],[Ln'#]],Elite!$A$45:$AV$74,3,FALSE))</f>
        <v/>
      </c>
      <c r="H134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4" s="51" t="str">
        <f>IF(Table1932126[[#This Row],[Status]]="Not Entered","",VLOOKUP(Table1932126[[#This Row],[Ln'#]],Elite!$A$45:$AV$74,46,FALSE))</f>
        <v/>
      </c>
      <c r="K134" s="49">
        <v>29</v>
      </c>
      <c r="L134" s="144" t="str">
        <f>IF(OR(VLOOKUP(Table13132363943[[#This Row],[Ln'#]],Elite!A$45:AT$74,6,FALSE)="E",VLOOKUP(Table13132363943[[#This Row],[Ln'#]],Elite!A$45:AT$74,6,FALSE)="FEO"),"x","")</f>
        <v/>
      </c>
      <c r="M134" s="144" t="str">
        <f>IF(OR(VLOOKUP(Table13132363943[[#This Row],[Ln'#]],Elite!A$45:AT$74,14,FALSE)="E",VLOOKUP(Table13132363943[[#This Row],[Ln'#]],Elite!A$45:AT$74,14,FALSE)="FEO"),"x","")</f>
        <v/>
      </c>
      <c r="N134" s="48"/>
      <c r="O134" s="48"/>
      <c r="P134" s="48"/>
      <c r="Q134" s="48" t="str">
        <f>IF(AND(Table13132363943[[#This Row],[Status Container]]="",Table13132363943[[#This Row],[Status Interior]]=""),"",VLOOKUP(Table13132363943[[#This Row],[Ln'#]],Elite!$A$45:$AT$74,3,FALSE))</f>
        <v/>
      </c>
      <c r="R134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4" s="51" t="str">
        <f>IF(Table13132363943[[#This Row],[Dog ID]]="","",(VLOOKUP(Table13132363943[[#This Row],[Dog ID]],Elite!C$45:$AT102,44,FALSE)))</f>
        <v/>
      </c>
    </row>
    <row r="135" spans="1:19" ht="30" customHeight="1" x14ac:dyDescent="0.45">
      <c r="A135" s="49">
        <v>30</v>
      </c>
      <c r="B135" s="49" t="str">
        <f>IF(OR(VLOOKUP(Table1932126[[#This Row],[Ln'#]],Elite!A$45:AV$74,6,FALSE)="E",VLOOKUP(Table1932126[[#This Row],[Ln'#]],Elite!A$45:AV$74,6,FALSE)="FEO"),"Entered or FEO","Not Entered")</f>
        <v>Not Entered</v>
      </c>
      <c r="C135" s="50" t="str">
        <f t="shared" ca="1" si="3"/>
        <v/>
      </c>
      <c r="D135" s="48"/>
      <c r="E135" s="48"/>
      <c r="F135" s="48"/>
      <c r="G135" s="48" t="str">
        <f>IF(Table1932126[[#This Row],[Status]]="Not Entered","",VLOOKUP(Table1932126[[#This Row],[Ln'#]],Elite!$A$45:$AV$74,3,FALSE))</f>
        <v/>
      </c>
      <c r="H135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5" s="51" t="str">
        <f>IF(Table1932126[[#This Row],[Status]]="Not Entered","",VLOOKUP(Table1932126[[#This Row],[Ln'#]],Elite!$A$45:$AV$74,46,FALSE))</f>
        <v/>
      </c>
      <c r="K135" s="49">
        <v>30</v>
      </c>
      <c r="L135" s="144" t="str">
        <f>IF(OR(VLOOKUP(Table13132363943[[#This Row],[Ln'#]],Elite!A$45:AT$74,6,FALSE)="E",VLOOKUP(Table13132363943[[#This Row],[Ln'#]],Elite!A$45:AT$74,6,FALSE)="FEO"),"x","")</f>
        <v/>
      </c>
      <c r="M135" s="144" t="str">
        <f>IF(OR(VLOOKUP(Table13132363943[[#This Row],[Ln'#]],Elite!A$45:AT$74,14,FALSE)="E",VLOOKUP(Table13132363943[[#This Row],[Ln'#]],Elite!A$45:AT$74,14,FALSE)="FEO"),"x","")</f>
        <v/>
      </c>
      <c r="N135" s="48"/>
      <c r="O135" s="48"/>
      <c r="P135" s="48"/>
      <c r="Q135" s="48" t="str">
        <f>IF(AND(Table13132363943[[#This Row],[Status Container]]="",Table13132363943[[#This Row],[Status Interior]]=""),"",VLOOKUP(Table13132363943[[#This Row],[Ln'#]],Elite!$A$45:$AT$74,3,FALSE))</f>
        <v/>
      </c>
      <c r="R135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5" s="51" t="str">
        <f>IF(Table13132363943[[#This Row],[Dog ID]]="","",(VLOOKUP(Table13132363943[[#This Row],[Dog ID]],Elite!C$45:$AT103,44,FALSE)))</f>
        <v/>
      </c>
    </row>
    <row r="136" spans="1:19" ht="30" customHeight="1" x14ac:dyDescent="0.4">
      <c r="A136" s="48"/>
      <c r="B136" s="48"/>
      <c r="C136" s="48"/>
      <c r="D136" s="48" t="s">
        <v>1141</v>
      </c>
      <c r="E136" s="48">
        <f>SUBTOTAL(102,Table1932126[Running Order])</f>
        <v>0</v>
      </c>
      <c r="F136" s="48"/>
      <c r="G136" s="48"/>
      <c r="H136" s="51"/>
      <c r="I136" s="51"/>
      <c r="K136" s="48"/>
      <c r="L136" s="48"/>
      <c r="M136" s="48"/>
      <c r="N136" s="48" t="s">
        <v>1141</v>
      </c>
      <c r="O136" s="48">
        <f>SUBTOTAL(102,Table13132363943[Running Order])</f>
        <v>0</v>
      </c>
      <c r="P136" s="48"/>
      <c r="Q136" s="48"/>
      <c r="R136" s="51"/>
      <c r="S136" s="51"/>
    </row>
    <row r="138" spans="1:19" ht="30" customHeight="1" x14ac:dyDescent="0.4">
      <c r="A138" s="402" t="s">
        <v>1143</v>
      </c>
      <c r="B138" s="402"/>
      <c r="C138" s="43"/>
      <c r="D138" s="403" t="s">
        <v>2046</v>
      </c>
      <c r="E138" s="403"/>
      <c r="F138" s="403"/>
      <c r="G138" s="403"/>
      <c r="H138" s="403"/>
      <c r="I138" s="403"/>
      <c r="K138" s="23" t="s">
        <v>1143</v>
      </c>
      <c r="L138" s="403" t="s">
        <v>2543</v>
      </c>
      <c r="M138" s="403"/>
      <c r="N138" s="403"/>
      <c r="O138" s="403"/>
      <c r="P138" s="403"/>
      <c r="Q138" s="403"/>
      <c r="R138" s="403"/>
      <c r="S138" s="403"/>
    </row>
    <row r="139" spans="1:19" ht="47.25" x14ac:dyDescent="0.4">
      <c r="A139" s="67" t="s">
        <v>605</v>
      </c>
      <c r="B139" s="67" t="s">
        <v>1139</v>
      </c>
      <c r="C139" s="68" t="s">
        <v>1140</v>
      </c>
      <c r="D139" s="67" t="s">
        <v>1142</v>
      </c>
      <c r="E139" s="67" t="s">
        <v>1135</v>
      </c>
      <c r="F139" s="67" t="s">
        <v>1188</v>
      </c>
      <c r="G139" s="67" t="s">
        <v>1136</v>
      </c>
      <c r="H139" s="69" t="s">
        <v>1207</v>
      </c>
      <c r="I139" s="69" t="s">
        <v>1137</v>
      </c>
      <c r="K139" s="67" t="s">
        <v>605</v>
      </c>
      <c r="L139" s="67" t="s">
        <v>2493</v>
      </c>
      <c r="M139" s="67" t="s">
        <v>2496</v>
      </c>
      <c r="N139" s="67" t="s">
        <v>1142</v>
      </c>
      <c r="O139" s="67" t="s">
        <v>1135</v>
      </c>
      <c r="P139" s="67" t="s">
        <v>1188</v>
      </c>
      <c r="Q139" s="67" t="s">
        <v>1136</v>
      </c>
      <c r="R139" s="69" t="s">
        <v>1207</v>
      </c>
      <c r="S139" s="69" t="s">
        <v>1137</v>
      </c>
    </row>
    <row r="140" spans="1:19" ht="30" customHeight="1" x14ac:dyDescent="0.45">
      <c r="A140" s="49">
        <v>1</v>
      </c>
      <c r="B140" s="49" t="str">
        <f>IF(OR(VLOOKUP(Table171052227[[#This Row],[Ln'#]],Elite!A$45:AV$74,14,FALSE)="E",VLOOKUP(Table171052227[[#This Row],[Ln'#]],Elite!A$45:AV$74,14,FALSE)="FEO"),"Entered or FEO","Not Entered")</f>
        <v>Not Entered</v>
      </c>
      <c r="C140" s="50" t="str">
        <f t="shared" ref="C140:C169" ca="1" si="4">IF(OR(B140="e",B140="FEO"),RAND(),"")</f>
        <v/>
      </c>
      <c r="D140" s="48"/>
      <c r="E140" s="48"/>
      <c r="F140" s="48"/>
      <c r="G140" s="48" t="str">
        <f>IF(Table171052227[[#This Row],[Status]]="Not Entered","",VLOOKUP(Table171052227[[#This Row],[Ln'#]],Elite!$A$45:$AV$74,3,FALSE))</f>
        <v/>
      </c>
      <c r="H140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0" s="51" t="str">
        <f>IF(Table171052227[[#This Row],[Status]]="Not Entered","",VLOOKUP(Table171052227[[#This Row],[Ln'#]],Elite!$A$45:$AV$74,46,FALSE))</f>
        <v/>
      </c>
      <c r="K140" s="49">
        <v>1</v>
      </c>
      <c r="L140" s="144" t="str">
        <f>IF(OR(VLOOKUP(Table1313033374044[[#This Row],[Ln'#]],Elite!A$45:AT$74,6,FALSE)="E",VLOOKUP(Table1313033374044[[#This Row],[Ln'#]],Elite!A$45:AT$74,6,FALSE)="FEO"),"x","")</f>
        <v/>
      </c>
      <c r="M140" s="144" t="str">
        <f>IF(OR(VLOOKUP(Table1313033374044[[#This Row],[Ln'#]],Elite!A$45:AT$74,22,FALSE)="E",VLOOKUP(Table1313033374044[[#This Row],[Ln'#]],Elite!A$45:AT$74,22,FALSE)="FEO"),"x","")</f>
        <v/>
      </c>
      <c r="N140" s="48"/>
      <c r="O140" s="48"/>
      <c r="P140" s="48"/>
      <c r="Q140" s="48" t="str">
        <f>IF(AND(Table1313033374044[[#This Row],[Status Container]]="",Table1313033374044[[#This Row],[Status Exterior]]=""),"",VLOOKUP(Table1313033374044[[#This Row],[Ln'#]],Elite!$A$45:$AT$74,3,FALSE))</f>
        <v/>
      </c>
      <c r="R140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0" s="51" t="str">
        <f>IF(Table1313033374044[[#This Row],[Dog ID]]="","",(VLOOKUP(Table1313033374044[[#This Row],[Dog ID]],Elite!C$45:$AT74,44,FALSE)))</f>
        <v/>
      </c>
    </row>
    <row r="141" spans="1:19" ht="30" customHeight="1" x14ac:dyDescent="0.45">
      <c r="A141" s="49">
        <v>2</v>
      </c>
      <c r="B141" s="49" t="str">
        <f>IF(OR(VLOOKUP(Table171052227[[#This Row],[Ln'#]],Elite!A$45:AV$74,14,FALSE)="E",VLOOKUP(Table171052227[[#This Row],[Ln'#]],Elite!A$45:AV$74,14,FALSE)="FEO"),"Entered or FEO","Not Entered")</f>
        <v>Not Entered</v>
      </c>
      <c r="C141" s="50" t="str">
        <f t="shared" ca="1" si="4"/>
        <v/>
      </c>
      <c r="D141" s="48"/>
      <c r="E141" s="48"/>
      <c r="F141" s="48"/>
      <c r="G141" s="48" t="str">
        <f>IF(Table171052227[[#This Row],[Status]]="Not Entered","",VLOOKUP(Table171052227[[#This Row],[Ln'#]],Elite!$A$45:$AV$74,3,FALSE))</f>
        <v/>
      </c>
      <c r="H141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1" s="51" t="str">
        <f>IF(Table171052227[[#This Row],[Status]]="Not Entered","",VLOOKUP(Table171052227[[#This Row],[Ln'#]],Elite!$A$45:$AV$74,46,FALSE))</f>
        <v/>
      </c>
      <c r="K141" s="49">
        <v>2</v>
      </c>
      <c r="L141" s="144" t="str">
        <f>IF(OR(VLOOKUP(Table1313033374044[[#This Row],[Ln'#]],Elite!A$45:AT$74,6,FALSE)="E",VLOOKUP(Table1313033374044[[#This Row],[Ln'#]],Elite!A$45:AT$74,6,FALSE)="FEO"),"x","")</f>
        <v/>
      </c>
      <c r="M141" s="144" t="str">
        <f>IF(OR(VLOOKUP(Table1313033374044[[#This Row],[Ln'#]],Elite!A$45:AT$74,22,FALSE)="E",VLOOKUP(Table1313033374044[[#This Row],[Ln'#]],Elite!A$45:AT$74,22,FALSE)="FEO"),"x","")</f>
        <v/>
      </c>
      <c r="N141" s="48"/>
      <c r="O141" s="48"/>
      <c r="P141" s="48"/>
      <c r="Q141" s="48" t="str">
        <f>IF(AND(Table1313033374044[[#This Row],[Status Container]]="",Table1313033374044[[#This Row],[Status Exterior]]=""),"",VLOOKUP(Table1313033374044[[#This Row],[Ln'#]],Elite!$A$45:$AT$74,3,FALSE))</f>
        <v/>
      </c>
      <c r="R141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1" s="51" t="str">
        <f>IF(Table1313033374044[[#This Row],[Dog ID]]="","",(VLOOKUP(Table1313033374044[[#This Row],[Dog ID]],Elite!C$45:$AT75,44,FALSE)))</f>
        <v/>
      </c>
    </row>
    <row r="142" spans="1:19" ht="30" customHeight="1" x14ac:dyDescent="0.45">
      <c r="A142" s="49">
        <v>3</v>
      </c>
      <c r="B142" s="49" t="str">
        <f>IF(OR(VLOOKUP(Table171052227[[#This Row],[Ln'#]],Elite!A$45:AV$74,14,FALSE)="E",VLOOKUP(Table171052227[[#This Row],[Ln'#]],Elite!A$45:AV$74,14,FALSE)="FEO"),"Entered or FEO","Not Entered")</f>
        <v>Not Entered</v>
      </c>
      <c r="C142" s="50" t="str">
        <f t="shared" ca="1" si="4"/>
        <v/>
      </c>
      <c r="D142" s="48"/>
      <c r="E142" s="48"/>
      <c r="F142" s="48"/>
      <c r="G142" s="48" t="str">
        <f>IF(Table171052227[[#This Row],[Status]]="Not Entered","",VLOOKUP(Table171052227[[#This Row],[Ln'#]],Elite!$A$45:$AV$74,3,FALSE))</f>
        <v/>
      </c>
      <c r="H142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2" s="51" t="str">
        <f>IF(Table171052227[[#This Row],[Status]]="Not Entered","",VLOOKUP(Table171052227[[#This Row],[Ln'#]],Elite!$A$45:$AV$74,46,FALSE))</f>
        <v/>
      </c>
      <c r="K142" s="49">
        <v>3</v>
      </c>
      <c r="L142" s="144" t="str">
        <f>IF(OR(VLOOKUP(Table1313033374044[[#This Row],[Ln'#]],Elite!A$45:AT$74,6,FALSE)="E",VLOOKUP(Table1313033374044[[#This Row],[Ln'#]],Elite!A$45:AT$74,6,FALSE)="FEO"),"x","")</f>
        <v/>
      </c>
      <c r="M142" s="144" t="str">
        <f>IF(OR(VLOOKUP(Table1313033374044[[#This Row],[Ln'#]],Elite!A$45:AT$74,22,FALSE)="E",VLOOKUP(Table1313033374044[[#This Row],[Ln'#]],Elite!A$45:AT$74,22,FALSE)="FEO"),"x","")</f>
        <v/>
      </c>
      <c r="N142" s="48"/>
      <c r="O142" s="48"/>
      <c r="P142" s="48"/>
      <c r="Q142" s="48" t="str">
        <f>IF(AND(Table1313033374044[[#This Row],[Status Container]]="",Table1313033374044[[#This Row],[Status Exterior]]=""),"",VLOOKUP(Table1313033374044[[#This Row],[Ln'#]],Elite!$A$45:$AT$74,3,FALSE))</f>
        <v/>
      </c>
      <c r="R142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2" s="51" t="str">
        <f>IF(Table1313033374044[[#This Row],[Dog ID]]="","",(VLOOKUP(Table1313033374044[[#This Row],[Dog ID]],Elite!C$45:$AT76,44,FALSE)))</f>
        <v/>
      </c>
    </row>
    <row r="143" spans="1:19" ht="30" customHeight="1" x14ac:dyDescent="0.45">
      <c r="A143" s="49">
        <v>4</v>
      </c>
      <c r="B143" s="49" t="str">
        <f>IF(OR(VLOOKUP(Table171052227[[#This Row],[Ln'#]],Elite!A$45:AV$74,14,FALSE)="E",VLOOKUP(Table171052227[[#This Row],[Ln'#]],Elite!A$45:AV$74,14,FALSE)="FEO"),"Entered or FEO","Not Entered")</f>
        <v>Not Entered</v>
      </c>
      <c r="C143" s="50" t="str">
        <f t="shared" ca="1" si="4"/>
        <v/>
      </c>
      <c r="D143" s="48"/>
      <c r="E143" s="48"/>
      <c r="F143" s="48"/>
      <c r="G143" s="48" t="str">
        <f>IF(Table171052227[[#This Row],[Status]]="Not Entered","",VLOOKUP(Table171052227[[#This Row],[Ln'#]],Elite!$A$45:$AV$74,3,FALSE))</f>
        <v/>
      </c>
      <c r="H143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3" s="51" t="str">
        <f>IF(Table171052227[[#This Row],[Status]]="Not Entered","",VLOOKUP(Table171052227[[#This Row],[Ln'#]],Elite!$A$45:$AV$74,46,FALSE))</f>
        <v/>
      </c>
      <c r="K143" s="49">
        <v>4</v>
      </c>
      <c r="L143" s="144" t="str">
        <f>IF(OR(VLOOKUP(Table1313033374044[[#This Row],[Ln'#]],Elite!A$45:AT$74,6,FALSE)="E",VLOOKUP(Table1313033374044[[#This Row],[Ln'#]],Elite!A$45:AT$74,6,FALSE)="FEO"),"x","")</f>
        <v/>
      </c>
      <c r="M143" s="144" t="str">
        <f>IF(OR(VLOOKUP(Table1313033374044[[#This Row],[Ln'#]],Elite!A$45:AT$74,22,FALSE)="E",VLOOKUP(Table1313033374044[[#This Row],[Ln'#]],Elite!A$45:AT$74,22,FALSE)="FEO"),"x","")</f>
        <v/>
      </c>
      <c r="N143" s="48"/>
      <c r="O143" s="48"/>
      <c r="P143" s="48"/>
      <c r="Q143" s="48" t="str">
        <f>IF(AND(Table1313033374044[[#This Row],[Status Container]]="",Table1313033374044[[#This Row],[Status Exterior]]=""),"",VLOOKUP(Table1313033374044[[#This Row],[Ln'#]],Elite!$A$45:$AT$74,3,FALSE))</f>
        <v/>
      </c>
      <c r="R143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3" s="51" t="str">
        <f>IF(Table1313033374044[[#This Row],[Dog ID]]="","",(VLOOKUP(Table1313033374044[[#This Row],[Dog ID]],Elite!C$45:$AT77,44,FALSE)))</f>
        <v/>
      </c>
    </row>
    <row r="144" spans="1:19" ht="30" customHeight="1" x14ac:dyDescent="0.45">
      <c r="A144" s="49">
        <v>5</v>
      </c>
      <c r="B144" s="49" t="str">
        <f>IF(OR(VLOOKUP(Table171052227[[#This Row],[Ln'#]],Elite!A$45:AV$74,14,FALSE)="E",VLOOKUP(Table171052227[[#This Row],[Ln'#]],Elite!A$45:AV$74,14,FALSE)="FEO"),"Entered or FEO","Not Entered")</f>
        <v>Not Entered</v>
      </c>
      <c r="C144" s="50" t="str">
        <f t="shared" ca="1" si="4"/>
        <v/>
      </c>
      <c r="D144" s="48"/>
      <c r="E144" s="48"/>
      <c r="F144" s="48"/>
      <c r="G144" s="48" t="str">
        <f>IF(Table171052227[[#This Row],[Status]]="Not Entered","",VLOOKUP(Table171052227[[#This Row],[Ln'#]],Elite!$A$45:$AV$74,3,FALSE))</f>
        <v/>
      </c>
      <c r="H144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4" s="51" t="str">
        <f>IF(Table171052227[[#This Row],[Status]]="Not Entered","",VLOOKUP(Table171052227[[#This Row],[Ln'#]],Elite!$A$45:$AV$74,46,FALSE))</f>
        <v/>
      </c>
      <c r="K144" s="49">
        <v>5</v>
      </c>
      <c r="L144" s="144" t="str">
        <f>IF(OR(VLOOKUP(Table1313033374044[[#This Row],[Ln'#]],Elite!A$45:AT$74,6,FALSE)="E",VLOOKUP(Table1313033374044[[#This Row],[Ln'#]],Elite!A$45:AT$74,6,FALSE)="FEO"),"x","")</f>
        <v/>
      </c>
      <c r="M144" s="144" t="str">
        <f>IF(OR(VLOOKUP(Table1313033374044[[#This Row],[Ln'#]],Elite!A$45:AT$74,22,FALSE)="E",VLOOKUP(Table1313033374044[[#This Row],[Ln'#]],Elite!A$45:AT$74,22,FALSE)="FEO"),"x","")</f>
        <v/>
      </c>
      <c r="N144" s="48"/>
      <c r="O144" s="48"/>
      <c r="P144" s="48"/>
      <c r="Q144" s="48" t="str">
        <f>IF(AND(Table1313033374044[[#This Row],[Status Container]]="",Table1313033374044[[#This Row],[Status Exterior]]=""),"",VLOOKUP(Table1313033374044[[#This Row],[Ln'#]],Elite!$A$45:$AT$74,3,FALSE))</f>
        <v/>
      </c>
      <c r="R144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4" s="51" t="str">
        <f>IF(Table1313033374044[[#This Row],[Dog ID]]="","",(VLOOKUP(Table1313033374044[[#This Row],[Dog ID]],Elite!C$45:$AT78,44,FALSE)))</f>
        <v/>
      </c>
    </row>
    <row r="145" spans="1:19" ht="30" customHeight="1" x14ac:dyDescent="0.45">
      <c r="A145" s="49">
        <v>6</v>
      </c>
      <c r="B145" s="49" t="str">
        <f>IF(OR(VLOOKUP(Table171052227[[#This Row],[Ln'#]],Elite!A$45:AV$74,14,FALSE)="E",VLOOKUP(Table171052227[[#This Row],[Ln'#]],Elite!A$45:AV$74,14,FALSE)="FEO"),"Entered or FEO","Not Entered")</f>
        <v>Not Entered</v>
      </c>
      <c r="C145" s="50" t="str">
        <f t="shared" ca="1" si="4"/>
        <v/>
      </c>
      <c r="D145" s="48"/>
      <c r="E145" s="48"/>
      <c r="F145" s="48"/>
      <c r="G145" s="48" t="str">
        <f>IF(Table171052227[[#This Row],[Status]]="Not Entered","",VLOOKUP(Table171052227[[#This Row],[Ln'#]],Elite!$A$45:$AV$74,3,FALSE))</f>
        <v/>
      </c>
      <c r="H145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5" s="51" t="str">
        <f>IF(Table171052227[[#This Row],[Status]]="Not Entered","",VLOOKUP(Table171052227[[#This Row],[Ln'#]],Elite!$A$45:$AV$74,46,FALSE))</f>
        <v/>
      </c>
      <c r="K145" s="49">
        <v>6</v>
      </c>
      <c r="L145" s="144" t="str">
        <f>IF(OR(VLOOKUP(Table1313033374044[[#This Row],[Ln'#]],Elite!A$45:AT$74,6,FALSE)="E",VLOOKUP(Table1313033374044[[#This Row],[Ln'#]],Elite!A$45:AT$74,6,FALSE)="FEO"),"x","")</f>
        <v/>
      </c>
      <c r="M145" s="144" t="str">
        <f>IF(OR(VLOOKUP(Table1313033374044[[#This Row],[Ln'#]],Elite!A$45:AT$74,22,FALSE)="E",VLOOKUP(Table1313033374044[[#This Row],[Ln'#]],Elite!A$45:AT$74,22,FALSE)="FEO"),"x","")</f>
        <v/>
      </c>
      <c r="N145" s="48"/>
      <c r="O145" s="48"/>
      <c r="P145" s="48"/>
      <c r="Q145" s="48" t="str">
        <f>IF(AND(Table1313033374044[[#This Row],[Status Container]]="",Table1313033374044[[#This Row],[Status Exterior]]=""),"",VLOOKUP(Table1313033374044[[#This Row],[Ln'#]],Elite!$A$45:$AT$74,3,FALSE))</f>
        <v/>
      </c>
      <c r="R145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5" s="51" t="str">
        <f>IF(Table1313033374044[[#This Row],[Dog ID]]="","",(VLOOKUP(Table1313033374044[[#This Row],[Dog ID]],Elite!C$45:$AT79,44,FALSE)))</f>
        <v/>
      </c>
    </row>
    <row r="146" spans="1:19" ht="30" customHeight="1" x14ac:dyDescent="0.45">
      <c r="A146" s="49">
        <v>7</v>
      </c>
      <c r="B146" s="49" t="str">
        <f>IF(OR(VLOOKUP(Table171052227[[#This Row],[Ln'#]],Elite!A$45:AV$74,14,FALSE)="E",VLOOKUP(Table171052227[[#This Row],[Ln'#]],Elite!A$45:AV$74,14,FALSE)="FEO"),"Entered or FEO","Not Entered")</f>
        <v>Not Entered</v>
      </c>
      <c r="C146" s="50" t="str">
        <f t="shared" ca="1" si="4"/>
        <v/>
      </c>
      <c r="D146" s="48"/>
      <c r="E146" s="48"/>
      <c r="F146" s="48"/>
      <c r="G146" s="48" t="str">
        <f>IF(Table171052227[[#This Row],[Status]]="Not Entered","",VLOOKUP(Table171052227[[#This Row],[Ln'#]],Elite!$A$45:$AV$74,3,FALSE))</f>
        <v/>
      </c>
      <c r="H146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6" s="51" t="str">
        <f>IF(Table171052227[[#This Row],[Status]]="Not Entered","",VLOOKUP(Table171052227[[#This Row],[Ln'#]],Elite!$A$45:$AV$74,46,FALSE))</f>
        <v/>
      </c>
      <c r="K146" s="49">
        <v>7</v>
      </c>
      <c r="L146" s="144" t="str">
        <f>IF(OR(VLOOKUP(Table1313033374044[[#This Row],[Ln'#]],Elite!A$45:AT$74,6,FALSE)="E",VLOOKUP(Table1313033374044[[#This Row],[Ln'#]],Elite!A$45:AT$74,6,FALSE)="FEO"),"x","")</f>
        <v/>
      </c>
      <c r="M146" s="144" t="str">
        <f>IF(OR(VLOOKUP(Table1313033374044[[#This Row],[Ln'#]],Elite!A$45:AT$74,22,FALSE)="E",VLOOKUP(Table1313033374044[[#This Row],[Ln'#]],Elite!A$45:AT$74,22,FALSE)="FEO"),"x","")</f>
        <v/>
      </c>
      <c r="N146" s="48"/>
      <c r="O146" s="48"/>
      <c r="P146" s="48"/>
      <c r="Q146" s="48" t="str">
        <f>IF(AND(Table1313033374044[[#This Row],[Status Container]]="",Table1313033374044[[#This Row],[Status Exterior]]=""),"",VLOOKUP(Table1313033374044[[#This Row],[Ln'#]],Elite!$A$45:$AT$74,3,FALSE))</f>
        <v/>
      </c>
      <c r="R146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6" s="51" t="str">
        <f>IF(Table1313033374044[[#This Row],[Dog ID]]="","",(VLOOKUP(Table1313033374044[[#This Row],[Dog ID]],Elite!C$45:$AT80,44,FALSE)))</f>
        <v/>
      </c>
    </row>
    <row r="147" spans="1:19" ht="30" customHeight="1" x14ac:dyDescent="0.45">
      <c r="A147" s="49">
        <v>8</v>
      </c>
      <c r="B147" s="49" t="str">
        <f>IF(OR(VLOOKUP(Table171052227[[#This Row],[Ln'#]],Elite!A$45:AV$74,14,FALSE)="E",VLOOKUP(Table171052227[[#This Row],[Ln'#]],Elite!A$45:AV$74,14,FALSE)="FEO"),"Entered or FEO","Not Entered")</f>
        <v>Not Entered</v>
      </c>
      <c r="C147" s="50" t="str">
        <f t="shared" ca="1" si="4"/>
        <v/>
      </c>
      <c r="D147" s="48"/>
      <c r="E147" s="48"/>
      <c r="F147" s="48"/>
      <c r="G147" s="48" t="str">
        <f>IF(Table171052227[[#This Row],[Status]]="Not Entered","",VLOOKUP(Table171052227[[#This Row],[Ln'#]],Elite!$A$45:$AV$74,3,FALSE))</f>
        <v/>
      </c>
      <c r="H147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7" s="51" t="str">
        <f>IF(Table171052227[[#This Row],[Status]]="Not Entered","",VLOOKUP(Table171052227[[#This Row],[Ln'#]],Elite!$A$45:$AV$74,46,FALSE))</f>
        <v/>
      </c>
      <c r="K147" s="49">
        <v>8</v>
      </c>
      <c r="L147" s="144" t="str">
        <f>IF(OR(VLOOKUP(Table1313033374044[[#This Row],[Ln'#]],Elite!A$45:AT$74,6,FALSE)="E",VLOOKUP(Table1313033374044[[#This Row],[Ln'#]],Elite!A$45:AT$74,6,FALSE)="FEO"),"x","")</f>
        <v/>
      </c>
      <c r="M147" s="144" t="str">
        <f>IF(OR(VLOOKUP(Table1313033374044[[#This Row],[Ln'#]],Elite!A$45:AT$74,22,FALSE)="E",VLOOKUP(Table1313033374044[[#This Row],[Ln'#]],Elite!A$45:AT$74,22,FALSE)="FEO"),"x","")</f>
        <v/>
      </c>
      <c r="N147" s="48"/>
      <c r="O147" s="48"/>
      <c r="P147" s="48"/>
      <c r="Q147" s="48" t="str">
        <f>IF(AND(Table1313033374044[[#This Row],[Status Container]]="",Table1313033374044[[#This Row],[Status Exterior]]=""),"",VLOOKUP(Table1313033374044[[#This Row],[Ln'#]],Elite!$A$45:$AT$74,3,FALSE))</f>
        <v/>
      </c>
      <c r="R147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7" s="51" t="str">
        <f>IF(Table1313033374044[[#This Row],[Dog ID]]="","",(VLOOKUP(Table1313033374044[[#This Row],[Dog ID]],Elite!C$45:$AT81,44,FALSE)))</f>
        <v/>
      </c>
    </row>
    <row r="148" spans="1:19" ht="30" customHeight="1" x14ac:dyDescent="0.45">
      <c r="A148" s="49">
        <v>9</v>
      </c>
      <c r="B148" s="49" t="str">
        <f>IF(OR(VLOOKUP(Table171052227[[#This Row],[Ln'#]],Elite!A$45:AV$74,14,FALSE)="E",VLOOKUP(Table171052227[[#This Row],[Ln'#]],Elite!A$45:AV$74,14,FALSE)="FEO"),"Entered or FEO","Not Entered")</f>
        <v>Not Entered</v>
      </c>
      <c r="C148" s="50" t="str">
        <f t="shared" ca="1" si="4"/>
        <v/>
      </c>
      <c r="D148" s="48"/>
      <c r="E148" s="48"/>
      <c r="F148" s="48"/>
      <c r="G148" s="48" t="str">
        <f>IF(Table171052227[[#This Row],[Status]]="Not Entered","",VLOOKUP(Table171052227[[#This Row],[Ln'#]],Elite!$A$45:$AV$74,3,FALSE))</f>
        <v/>
      </c>
      <c r="H148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8" s="51" t="str">
        <f>IF(Table171052227[[#This Row],[Status]]="Not Entered","",VLOOKUP(Table171052227[[#This Row],[Ln'#]],Elite!$A$45:$AV$74,46,FALSE))</f>
        <v/>
      </c>
      <c r="K148" s="49">
        <v>9</v>
      </c>
      <c r="L148" s="144" t="str">
        <f>IF(OR(VLOOKUP(Table1313033374044[[#This Row],[Ln'#]],Elite!A$45:AT$74,6,FALSE)="E",VLOOKUP(Table1313033374044[[#This Row],[Ln'#]],Elite!A$45:AT$74,6,FALSE)="FEO"),"x","")</f>
        <v/>
      </c>
      <c r="M148" s="144" t="str">
        <f>IF(OR(VLOOKUP(Table1313033374044[[#This Row],[Ln'#]],Elite!A$45:AT$74,22,FALSE)="E",VLOOKUP(Table1313033374044[[#This Row],[Ln'#]],Elite!A$45:AT$74,22,FALSE)="FEO"),"x","")</f>
        <v/>
      </c>
      <c r="N148" s="48"/>
      <c r="O148" s="48"/>
      <c r="P148" s="48"/>
      <c r="Q148" s="48" t="str">
        <f>IF(AND(Table1313033374044[[#This Row],[Status Container]]="",Table1313033374044[[#This Row],[Status Exterior]]=""),"",VLOOKUP(Table1313033374044[[#This Row],[Ln'#]],Elite!$A$45:$AT$74,3,FALSE))</f>
        <v/>
      </c>
      <c r="R148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8" s="51" t="str">
        <f>IF(Table1313033374044[[#This Row],[Dog ID]]="","",(VLOOKUP(Table1313033374044[[#This Row],[Dog ID]],Elite!C$45:$AT82,44,FALSE)))</f>
        <v/>
      </c>
    </row>
    <row r="149" spans="1:19" ht="30" customHeight="1" x14ac:dyDescent="0.45">
      <c r="A149" s="49">
        <v>10</v>
      </c>
      <c r="B149" s="49" t="str">
        <f>IF(OR(VLOOKUP(Table171052227[[#This Row],[Ln'#]],Elite!A$45:AV$74,14,FALSE)="E",VLOOKUP(Table171052227[[#This Row],[Ln'#]],Elite!A$45:AV$74,14,FALSE)="FEO"),"Entered or FEO","Not Entered")</f>
        <v>Not Entered</v>
      </c>
      <c r="C149" s="50" t="str">
        <f t="shared" ca="1" si="4"/>
        <v/>
      </c>
      <c r="D149" s="48"/>
      <c r="E149" s="48"/>
      <c r="F149" s="48"/>
      <c r="G149" s="48" t="str">
        <f>IF(Table171052227[[#This Row],[Status]]="Not Entered","",VLOOKUP(Table171052227[[#This Row],[Ln'#]],Elite!$A$45:$AV$74,3,FALSE))</f>
        <v/>
      </c>
      <c r="H149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9" s="51" t="str">
        <f>IF(Table171052227[[#This Row],[Status]]="Not Entered","",VLOOKUP(Table171052227[[#This Row],[Ln'#]],Elite!$A$45:$AV$74,46,FALSE))</f>
        <v/>
      </c>
      <c r="K149" s="49">
        <v>10</v>
      </c>
      <c r="L149" s="144" t="str">
        <f>IF(OR(VLOOKUP(Table1313033374044[[#This Row],[Ln'#]],Elite!A$45:AT$74,6,FALSE)="E",VLOOKUP(Table1313033374044[[#This Row],[Ln'#]],Elite!A$45:AT$74,6,FALSE)="FEO"),"x","")</f>
        <v/>
      </c>
      <c r="M149" s="144" t="str">
        <f>IF(OR(VLOOKUP(Table1313033374044[[#This Row],[Ln'#]],Elite!A$45:AT$74,22,FALSE)="E",VLOOKUP(Table1313033374044[[#This Row],[Ln'#]],Elite!A$45:AT$74,22,FALSE)="FEO"),"x","")</f>
        <v/>
      </c>
      <c r="N149" s="48"/>
      <c r="O149" s="48"/>
      <c r="P149" s="48"/>
      <c r="Q149" s="48" t="str">
        <f>IF(AND(Table1313033374044[[#This Row],[Status Container]]="",Table1313033374044[[#This Row],[Status Exterior]]=""),"",VLOOKUP(Table1313033374044[[#This Row],[Ln'#]],Elite!$A$45:$AT$74,3,FALSE))</f>
        <v/>
      </c>
      <c r="R149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9" s="51" t="str">
        <f>IF(Table1313033374044[[#This Row],[Dog ID]]="","",(VLOOKUP(Table1313033374044[[#This Row],[Dog ID]],Elite!C$45:$AT83,44,FALSE)))</f>
        <v/>
      </c>
    </row>
    <row r="150" spans="1:19" ht="30" customHeight="1" x14ac:dyDescent="0.45">
      <c r="A150" s="49">
        <v>11</v>
      </c>
      <c r="B150" s="49" t="str">
        <f>IF(OR(VLOOKUP(Table171052227[[#This Row],[Ln'#]],Elite!A$45:AV$74,14,FALSE)="E",VLOOKUP(Table171052227[[#This Row],[Ln'#]],Elite!A$45:AV$74,14,FALSE)="FEO"),"Entered or FEO","Not Entered")</f>
        <v>Not Entered</v>
      </c>
      <c r="C150" s="50" t="str">
        <f t="shared" ca="1" si="4"/>
        <v/>
      </c>
      <c r="D150" s="48"/>
      <c r="E150" s="48"/>
      <c r="F150" s="48"/>
      <c r="G150" s="48" t="str">
        <f>IF(Table171052227[[#This Row],[Status]]="Not Entered","",VLOOKUP(Table171052227[[#This Row],[Ln'#]],Elite!$A$45:$AV$74,3,FALSE))</f>
        <v/>
      </c>
      <c r="H150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0" s="51" t="str">
        <f>IF(Table171052227[[#This Row],[Status]]="Not Entered","",VLOOKUP(Table171052227[[#This Row],[Ln'#]],Elite!$A$45:$AV$74,46,FALSE))</f>
        <v/>
      </c>
      <c r="K150" s="49">
        <v>11</v>
      </c>
      <c r="L150" s="144" t="str">
        <f>IF(OR(VLOOKUP(Table1313033374044[[#This Row],[Ln'#]],Elite!A$45:AT$74,6,FALSE)="E",VLOOKUP(Table1313033374044[[#This Row],[Ln'#]],Elite!A$45:AT$74,6,FALSE)="FEO"),"x","")</f>
        <v/>
      </c>
      <c r="M150" s="144" t="str">
        <f>IF(OR(VLOOKUP(Table1313033374044[[#This Row],[Ln'#]],Elite!A$45:AT$74,22,FALSE)="E",VLOOKUP(Table1313033374044[[#This Row],[Ln'#]],Elite!A$45:AT$74,22,FALSE)="FEO"),"x","")</f>
        <v/>
      </c>
      <c r="N150" s="48"/>
      <c r="O150" s="48"/>
      <c r="P150" s="48"/>
      <c r="Q150" s="48" t="str">
        <f>IF(AND(Table1313033374044[[#This Row],[Status Container]]="",Table1313033374044[[#This Row],[Status Exterior]]=""),"",VLOOKUP(Table1313033374044[[#This Row],[Ln'#]],Elite!$A$45:$AT$74,3,FALSE))</f>
        <v/>
      </c>
      <c r="R150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0" s="51" t="str">
        <f>IF(Table1313033374044[[#This Row],[Dog ID]]="","",(VLOOKUP(Table1313033374044[[#This Row],[Dog ID]],Elite!C$45:$AT84,44,FALSE)))</f>
        <v/>
      </c>
    </row>
    <row r="151" spans="1:19" ht="30" customHeight="1" x14ac:dyDescent="0.45">
      <c r="A151" s="49">
        <v>12</v>
      </c>
      <c r="B151" s="49" t="str">
        <f>IF(OR(VLOOKUP(Table171052227[[#This Row],[Ln'#]],Elite!A$45:AV$74,14,FALSE)="E",VLOOKUP(Table171052227[[#This Row],[Ln'#]],Elite!A$45:AV$74,14,FALSE)="FEO"),"Entered or FEO","Not Entered")</f>
        <v>Not Entered</v>
      </c>
      <c r="C151" s="50" t="str">
        <f t="shared" ca="1" si="4"/>
        <v/>
      </c>
      <c r="D151" s="48"/>
      <c r="E151" s="48"/>
      <c r="F151" s="48"/>
      <c r="G151" s="48" t="str">
        <f>IF(Table171052227[[#This Row],[Status]]="Not Entered","",VLOOKUP(Table171052227[[#This Row],[Ln'#]],Elite!$A$45:$AV$74,3,FALSE))</f>
        <v/>
      </c>
      <c r="H151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1" s="51" t="str">
        <f>IF(Table171052227[[#This Row],[Status]]="Not Entered","",VLOOKUP(Table171052227[[#This Row],[Ln'#]],Elite!$A$45:$AV$74,46,FALSE))</f>
        <v/>
      </c>
      <c r="K151" s="49">
        <v>12</v>
      </c>
      <c r="L151" s="144" t="str">
        <f>IF(OR(VLOOKUP(Table1313033374044[[#This Row],[Ln'#]],Elite!A$45:AT$74,6,FALSE)="E",VLOOKUP(Table1313033374044[[#This Row],[Ln'#]],Elite!A$45:AT$74,6,FALSE)="FEO"),"x","")</f>
        <v/>
      </c>
      <c r="M151" s="144" t="str">
        <f>IF(OR(VLOOKUP(Table1313033374044[[#This Row],[Ln'#]],Elite!A$45:AT$74,22,FALSE)="E",VLOOKUP(Table1313033374044[[#This Row],[Ln'#]],Elite!A$45:AT$74,22,FALSE)="FEO"),"x","")</f>
        <v/>
      </c>
      <c r="N151" s="48"/>
      <c r="O151" s="48"/>
      <c r="P151" s="48"/>
      <c r="Q151" s="48" t="str">
        <f>IF(AND(Table1313033374044[[#This Row],[Status Container]]="",Table1313033374044[[#This Row],[Status Exterior]]=""),"",VLOOKUP(Table1313033374044[[#This Row],[Ln'#]],Elite!$A$45:$AT$74,3,FALSE))</f>
        <v/>
      </c>
      <c r="R151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1" s="51" t="str">
        <f>IF(Table1313033374044[[#This Row],[Dog ID]]="","",(VLOOKUP(Table1313033374044[[#This Row],[Dog ID]],Elite!C$45:$AT85,44,FALSE)))</f>
        <v/>
      </c>
    </row>
    <row r="152" spans="1:19" ht="30" customHeight="1" x14ac:dyDescent="0.45">
      <c r="A152" s="49">
        <v>13</v>
      </c>
      <c r="B152" s="49" t="str">
        <f>IF(OR(VLOOKUP(Table171052227[[#This Row],[Ln'#]],Elite!A$45:AV$74,14,FALSE)="E",VLOOKUP(Table171052227[[#This Row],[Ln'#]],Elite!A$45:AV$74,14,FALSE)="FEO"),"Entered or FEO","Not Entered")</f>
        <v>Not Entered</v>
      </c>
      <c r="C152" s="50" t="str">
        <f t="shared" ca="1" si="4"/>
        <v/>
      </c>
      <c r="D152" s="48"/>
      <c r="E152" s="48"/>
      <c r="F152" s="48"/>
      <c r="G152" s="48" t="str">
        <f>IF(Table171052227[[#This Row],[Status]]="Not Entered","",VLOOKUP(Table171052227[[#This Row],[Ln'#]],Elite!$A$45:$AV$74,3,FALSE))</f>
        <v/>
      </c>
      <c r="H152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2" s="51" t="str">
        <f>IF(Table171052227[[#This Row],[Status]]="Not Entered","",VLOOKUP(Table171052227[[#This Row],[Ln'#]],Elite!$A$45:$AV$74,46,FALSE))</f>
        <v/>
      </c>
      <c r="K152" s="49">
        <v>13</v>
      </c>
      <c r="L152" s="144" t="str">
        <f>IF(OR(VLOOKUP(Table1313033374044[[#This Row],[Ln'#]],Elite!A$45:AT$74,6,FALSE)="E",VLOOKUP(Table1313033374044[[#This Row],[Ln'#]],Elite!A$45:AT$74,6,FALSE)="FEO"),"x","")</f>
        <v/>
      </c>
      <c r="M152" s="144" t="str">
        <f>IF(OR(VLOOKUP(Table1313033374044[[#This Row],[Ln'#]],Elite!A$45:AT$74,22,FALSE)="E",VLOOKUP(Table1313033374044[[#This Row],[Ln'#]],Elite!A$45:AT$74,22,FALSE)="FEO"),"x","")</f>
        <v/>
      </c>
      <c r="N152" s="48"/>
      <c r="O152" s="48"/>
      <c r="P152" s="48"/>
      <c r="Q152" s="48" t="str">
        <f>IF(AND(Table1313033374044[[#This Row],[Status Container]]="",Table1313033374044[[#This Row],[Status Exterior]]=""),"",VLOOKUP(Table1313033374044[[#This Row],[Ln'#]],Elite!$A$45:$AT$74,3,FALSE))</f>
        <v/>
      </c>
      <c r="R152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2" s="51" t="str">
        <f>IF(Table1313033374044[[#This Row],[Dog ID]]="","",(VLOOKUP(Table1313033374044[[#This Row],[Dog ID]],Elite!C$45:$AT86,44,FALSE)))</f>
        <v/>
      </c>
    </row>
    <row r="153" spans="1:19" ht="30" customHeight="1" x14ac:dyDescent="0.45">
      <c r="A153" s="49">
        <v>14</v>
      </c>
      <c r="B153" s="49" t="str">
        <f>IF(OR(VLOOKUP(Table171052227[[#This Row],[Ln'#]],Elite!A$45:AV$74,14,FALSE)="E",VLOOKUP(Table171052227[[#This Row],[Ln'#]],Elite!A$45:AV$74,14,FALSE)="FEO"),"Entered or FEO","Not Entered")</f>
        <v>Not Entered</v>
      </c>
      <c r="C153" s="50" t="str">
        <f t="shared" ca="1" si="4"/>
        <v/>
      </c>
      <c r="D153" s="48"/>
      <c r="E153" s="48"/>
      <c r="F153" s="48"/>
      <c r="G153" s="48" t="str">
        <f>IF(Table171052227[[#This Row],[Status]]="Not Entered","",VLOOKUP(Table171052227[[#This Row],[Ln'#]],Elite!$A$45:$AV$74,3,FALSE))</f>
        <v/>
      </c>
      <c r="H153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3" s="51" t="str">
        <f>IF(Table171052227[[#This Row],[Status]]="Not Entered","",VLOOKUP(Table171052227[[#This Row],[Ln'#]],Elite!$A$45:$AV$74,46,FALSE))</f>
        <v/>
      </c>
      <c r="K153" s="49">
        <v>14</v>
      </c>
      <c r="L153" s="144" t="str">
        <f>IF(OR(VLOOKUP(Table1313033374044[[#This Row],[Ln'#]],Elite!A$45:AT$74,6,FALSE)="E",VLOOKUP(Table1313033374044[[#This Row],[Ln'#]],Elite!A$45:AT$74,6,FALSE)="FEO"),"x","")</f>
        <v/>
      </c>
      <c r="M153" s="144" t="str">
        <f>IF(OR(VLOOKUP(Table1313033374044[[#This Row],[Ln'#]],Elite!A$45:AT$74,22,FALSE)="E",VLOOKUP(Table1313033374044[[#This Row],[Ln'#]],Elite!A$45:AT$74,22,FALSE)="FEO"),"x","")</f>
        <v/>
      </c>
      <c r="N153" s="48"/>
      <c r="O153" s="48"/>
      <c r="P153" s="48"/>
      <c r="Q153" s="48" t="str">
        <f>IF(AND(Table1313033374044[[#This Row],[Status Container]]="",Table1313033374044[[#This Row],[Status Exterior]]=""),"",VLOOKUP(Table1313033374044[[#This Row],[Ln'#]],Elite!$A$45:$AT$74,3,FALSE))</f>
        <v/>
      </c>
      <c r="R153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3" s="51" t="str">
        <f>IF(Table1313033374044[[#This Row],[Dog ID]]="","",(VLOOKUP(Table1313033374044[[#This Row],[Dog ID]],Elite!C$45:$AT87,44,FALSE)))</f>
        <v/>
      </c>
    </row>
    <row r="154" spans="1:19" ht="30" customHeight="1" x14ac:dyDescent="0.45">
      <c r="A154" s="49">
        <v>15</v>
      </c>
      <c r="B154" s="49" t="str">
        <f>IF(OR(VLOOKUP(Table171052227[[#This Row],[Ln'#]],Elite!A$45:AV$74,14,FALSE)="E",VLOOKUP(Table171052227[[#This Row],[Ln'#]],Elite!A$45:AV$74,14,FALSE)="FEO"),"Entered or FEO","Not Entered")</f>
        <v>Not Entered</v>
      </c>
      <c r="C154" s="50" t="str">
        <f t="shared" ca="1" si="4"/>
        <v/>
      </c>
      <c r="D154" s="48"/>
      <c r="E154" s="48"/>
      <c r="F154" s="48"/>
      <c r="G154" s="48" t="str">
        <f>IF(Table171052227[[#This Row],[Status]]="Not Entered","",VLOOKUP(Table171052227[[#This Row],[Ln'#]],Elite!$A$45:$AV$74,3,FALSE))</f>
        <v/>
      </c>
      <c r="H154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4" s="51" t="str">
        <f>IF(Table171052227[[#This Row],[Status]]="Not Entered","",VLOOKUP(Table171052227[[#This Row],[Ln'#]],Elite!$A$45:$AV$74,46,FALSE))</f>
        <v/>
      </c>
      <c r="K154" s="49">
        <v>15</v>
      </c>
      <c r="L154" s="144" t="str">
        <f>IF(OR(VLOOKUP(Table1313033374044[[#This Row],[Ln'#]],Elite!A$45:AT$74,6,FALSE)="E",VLOOKUP(Table1313033374044[[#This Row],[Ln'#]],Elite!A$45:AT$74,6,FALSE)="FEO"),"x","")</f>
        <v/>
      </c>
      <c r="M154" s="144" t="str">
        <f>IF(OR(VLOOKUP(Table1313033374044[[#This Row],[Ln'#]],Elite!A$45:AT$74,22,FALSE)="E",VLOOKUP(Table1313033374044[[#This Row],[Ln'#]],Elite!A$45:AT$74,22,FALSE)="FEO"),"x","")</f>
        <v/>
      </c>
      <c r="N154" s="48"/>
      <c r="O154" s="48"/>
      <c r="P154" s="48"/>
      <c r="Q154" s="48" t="str">
        <f>IF(AND(Table1313033374044[[#This Row],[Status Container]]="",Table1313033374044[[#This Row],[Status Exterior]]=""),"",VLOOKUP(Table1313033374044[[#This Row],[Ln'#]],Elite!$A$45:$AT$74,3,FALSE))</f>
        <v/>
      </c>
      <c r="R154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4" s="51" t="str">
        <f>IF(Table1313033374044[[#This Row],[Dog ID]]="","",(VLOOKUP(Table1313033374044[[#This Row],[Dog ID]],Elite!C$45:$AT88,44,FALSE)))</f>
        <v/>
      </c>
    </row>
    <row r="155" spans="1:19" ht="30" customHeight="1" x14ac:dyDescent="0.45">
      <c r="A155" s="49">
        <v>16</v>
      </c>
      <c r="B155" s="49" t="str">
        <f>IF(OR(VLOOKUP(Table171052227[[#This Row],[Ln'#]],Elite!A$45:AV$74,14,FALSE)="E",VLOOKUP(Table171052227[[#This Row],[Ln'#]],Elite!A$45:AV$74,14,FALSE)="FEO"),"Entered or FEO","Not Entered")</f>
        <v>Not Entered</v>
      </c>
      <c r="C155" s="50" t="str">
        <f t="shared" ca="1" si="4"/>
        <v/>
      </c>
      <c r="D155" s="48"/>
      <c r="E155" s="48"/>
      <c r="F155" s="48"/>
      <c r="G155" s="48" t="str">
        <f>IF(Table171052227[[#This Row],[Status]]="Not Entered","",VLOOKUP(Table171052227[[#This Row],[Ln'#]],Elite!$A$45:$AV$74,3,FALSE))</f>
        <v/>
      </c>
      <c r="H155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5" s="51" t="str">
        <f>IF(Table171052227[[#This Row],[Status]]="Not Entered","",VLOOKUP(Table171052227[[#This Row],[Ln'#]],Elite!$A$45:$AV$74,46,FALSE))</f>
        <v/>
      </c>
      <c r="K155" s="49">
        <v>16</v>
      </c>
      <c r="L155" s="144" t="str">
        <f>IF(OR(VLOOKUP(Table1313033374044[[#This Row],[Ln'#]],Elite!A$45:AT$74,6,FALSE)="E",VLOOKUP(Table1313033374044[[#This Row],[Ln'#]],Elite!A$45:AT$74,6,FALSE)="FEO"),"x","")</f>
        <v/>
      </c>
      <c r="M155" s="144" t="str">
        <f>IF(OR(VLOOKUP(Table1313033374044[[#This Row],[Ln'#]],Elite!A$45:AT$74,22,FALSE)="E",VLOOKUP(Table1313033374044[[#This Row],[Ln'#]],Elite!A$45:AT$74,22,FALSE)="FEO"),"x","")</f>
        <v/>
      </c>
      <c r="N155" s="48"/>
      <c r="O155" s="48"/>
      <c r="P155" s="48"/>
      <c r="Q155" s="48" t="str">
        <f>IF(AND(Table1313033374044[[#This Row],[Status Container]]="",Table1313033374044[[#This Row],[Status Exterior]]=""),"",VLOOKUP(Table1313033374044[[#This Row],[Ln'#]],Elite!$A$45:$AT$74,3,FALSE))</f>
        <v/>
      </c>
      <c r="R155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5" s="51" t="str">
        <f>IF(Table1313033374044[[#This Row],[Dog ID]]="","",(VLOOKUP(Table1313033374044[[#This Row],[Dog ID]],Elite!C$45:$AT89,44,FALSE)))</f>
        <v/>
      </c>
    </row>
    <row r="156" spans="1:19" ht="30" customHeight="1" x14ac:dyDescent="0.45">
      <c r="A156" s="49">
        <v>17</v>
      </c>
      <c r="B156" s="49" t="str">
        <f>IF(OR(VLOOKUP(Table171052227[[#This Row],[Ln'#]],Elite!A$45:AV$74,14,FALSE)="E",VLOOKUP(Table171052227[[#This Row],[Ln'#]],Elite!A$45:AV$74,14,FALSE)="FEO"),"Entered or FEO","Not Entered")</f>
        <v>Not Entered</v>
      </c>
      <c r="C156" s="50" t="str">
        <f t="shared" ca="1" si="4"/>
        <v/>
      </c>
      <c r="D156" s="48"/>
      <c r="E156" s="48"/>
      <c r="F156" s="48"/>
      <c r="G156" s="48" t="str">
        <f>IF(Table171052227[[#This Row],[Status]]="Not Entered","",VLOOKUP(Table171052227[[#This Row],[Ln'#]],Elite!$A$45:$AV$74,3,FALSE))</f>
        <v/>
      </c>
      <c r="H156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6" s="51" t="str">
        <f>IF(Table171052227[[#This Row],[Status]]="Not Entered","",VLOOKUP(Table171052227[[#This Row],[Ln'#]],Elite!$A$45:$AV$74,46,FALSE))</f>
        <v/>
      </c>
      <c r="K156" s="49">
        <v>17</v>
      </c>
      <c r="L156" s="144" t="str">
        <f>IF(OR(VLOOKUP(Table1313033374044[[#This Row],[Ln'#]],Elite!A$45:AT$74,6,FALSE)="E",VLOOKUP(Table1313033374044[[#This Row],[Ln'#]],Elite!A$45:AT$74,6,FALSE)="FEO"),"x","")</f>
        <v/>
      </c>
      <c r="M156" s="144" t="str">
        <f>IF(OR(VLOOKUP(Table1313033374044[[#This Row],[Ln'#]],Elite!A$45:AT$74,22,FALSE)="E",VLOOKUP(Table1313033374044[[#This Row],[Ln'#]],Elite!A$45:AT$74,22,FALSE)="FEO"),"x","")</f>
        <v/>
      </c>
      <c r="N156" s="48"/>
      <c r="O156" s="48"/>
      <c r="P156" s="48"/>
      <c r="Q156" s="48" t="str">
        <f>IF(AND(Table1313033374044[[#This Row],[Status Container]]="",Table1313033374044[[#This Row],[Status Exterior]]=""),"",VLOOKUP(Table1313033374044[[#This Row],[Ln'#]],Elite!$A$45:$AT$74,3,FALSE))</f>
        <v/>
      </c>
      <c r="R156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6" s="51" t="str">
        <f>IF(Table1313033374044[[#This Row],[Dog ID]]="","",(VLOOKUP(Table1313033374044[[#This Row],[Dog ID]],Elite!C$45:$AT90,44,FALSE)))</f>
        <v/>
      </c>
    </row>
    <row r="157" spans="1:19" ht="30" customHeight="1" x14ac:dyDescent="0.45">
      <c r="A157" s="49">
        <v>18</v>
      </c>
      <c r="B157" s="49" t="str">
        <f>IF(OR(VLOOKUP(Table171052227[[#This Row],[Ln'#]],Elite!A$45:AV$74,14,FALSE)="E",VLOOKUP(Table171052227[[#This Row],[Ln'#]],Elite!A$45:AV$74,14,FALSE)="FEO"),"Entered or FEO","Not Entered")</f>
        <v>Not Entered</v>
      </c>
      <c r="C157" s="50" t="str">
        <f t="shared" ca="1" si="4"/>
        <v/>
      </c>
      <c r="D157" s="48"/>
      <c r="E157" s="48"/>
      <c r="F157" s="48"/>
      <c r="G157" s="48" t="str">
        <f>IF(Table171052227[[#This Row],[Status]]="Not Entered","",VLOOKUP(Table171052227[[#This Row],[Ln'#]],Elite!$A$45:$AV$74,3,FALSE))</f>
        <v/>
      </c>
      <c r="H157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7" s="51" t="str">
        <f>IF(Table171052227[[#This Row],[Status]]="Not Entered","",VLOOKUP(Table171052227[[#This Row],[Ln'#]],Elite!$A$45:$AV$74,46,FALSE))</f>
        <v/>
      </c>
      <c r="K157" s="49">
        <v>18</v>
      </c>
      <c r="L157" s="144" t="str">
        <f>IF(OR(VLOOKUP(Table1313033374044[[#This Row],[Ln'#]],Elite!A$45:AT$74,6,FALSE)="E",VLOOKUP(Table1313033374044[[#This Row],[Ln'#]],Elite!A$45:AT$74,6,FALSE)="FEO"),"x","")</f>
        <v/>
      </c>
      <c r="M157" s="144" t="str">
        <f>IF(OR(VLOOKUP(Table1313033374044[[#This Row],[Ln'#]],Elite!A$45:AT$74,22,FALSE)="E",VLOOKUP(Table1313033374044[[#This Row],[Ln'#]],Elite!A$45:AT$74,22,FALSE)="FEO"),"x","")</f>
        <v/>
      </c>
      <c r="N157" s="48"/>
      <c r="O157" s="48"/>
      <c r="P157" s="48"/>
      <c r="Q157" s="48" t="str">
        <f>IF(AND(Table1313033374044[[#This Row],[Status Container]]="",Table1313033374044[[#This Row],[Status Exterior]]=""),"",VLOOKUP(Table1313033374044[[#This Row],[Ln'#]],Elite!$A$45:$AT$74,3,FALSE))</f>
        <v/>
      </c>
      <c r="R157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7" s="51" t="str">
        <f>IF(Table1313033374044[[#This Row],[Dog ID]]="","",(VLOOKUP(Table1313033374044[[#This Row],[Dog ID]],Elite!C$45:$AT91,44,FALSE)))</f>
        <v/>
      </c>
    </row>
    <row r="158" spans="1:19" ht="30" customHeight="1" x14ac:dyDescent="0.45">
      <c r="A158" s="49">
        <v>19</v>
      </c>
      <c r="B158" s="49" t="str">
        <f>IF(OR(VLOOKUP(Table171052227[[#This Row],[Ln'#]],Elite!A$45:AV$74,14,FALSE)="E",VLOOKUP(Table171052227[[#This Row],[Ln'#]],Elite!A$45:AV$74,14,FALSE)="FEO"),"Entered or FEO","Not Entered")</f>
        <v>Not Entered</v>
      </c>
      <c r="C158" s="50" t="str">
        <f t="shared" ca="1" si="4"/>
        <v/>
      </c>
      <c r="D158" s="48"/>
      <c r="E158" s="48"/>
      <c r="F158" s="48"/>
      <c r="G158" s="48" t="str">
        <f>IF(Table171052227[[#This Row],[Status]]="Not Entered","",VLOOKUP(Table171052227[[#This Row],[Ln'#]],Elite!$A$45:$AV$74,3,FALSE))</f>
        <v/>
      </c>
      <c r="H158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8" s="51" t="str">
        <f>IF(Table171052227[[#This Row],[Status]]="Not Entered","",VLOOKUP(Table171052227[[#This Row],[Ln'#]],Elite!$A$45:$AV$74,46,FALSE))</f>
        <v/>
      </c>
      <c r="K158" s="49">
        <v>19</v>
      </c>
      <c r="L158" s="144" t="str">
        <f>IF(OR(VLOOKUP(Table1313033374044[[#This Row],[Ln'#]],Elite!A$45:AT$74,6,FALSE)="E",VLOOKUP(Table1313033374044[[#This Row],[Ln'#]],Elite!A$45:AT$74,6,FALSE)="FEO"),"x","")</f>
        <v/>
      </c>
      <c r="M158" s="144" t="str">
        <f>IF(OR(VLOOKUP(Table1313033374044[[#This Row],[Ln'#]],Elite!A$45:AT$74,22,FALSE)="E",VLOOKUP(Table1313033374044[[#This Row],[Ln'#]],Elite!A$45:AT$74,22,FALSE)="FEO"),"x","")</f>
        <v/>
      </c>
      <c r="N158" s="48"/>
      <c r="O158" s="48"/>
      <c r="P158" s="48"/>
      <c r="Q158" s="48" t="str">
        <f>IF(AND(Table1313033374044[[#This Row],[Status Container]]="",Table1313033374044[[#This Row],[Status Exterior]]=""),"",VLOOKUP(Table1313033374044[[#This Row],[Ln'#]],Elite!$A$45:$AT$74,3,FALSE))</f>
        <v/>
      </c>
      <c r="R158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8" s="51" t="str">
        <f>IF(Table1313033374044[[#This Row],[Dog ID]]="","",(VLOOKUP(Table1313033374044[[#This Row],[Dog ID]],Elite!C$45:$AT92,44,FALSE)))</f>
        <v/>
      </c>
    </row>
    <row r="159" spans="1:19" ht="30" customHeight="1" x14ac:dyDescent="0.45">
      <c r="A159" s="49">
        <v>20</v>
      </c>
      <c r="B159" s="49" t="str">
        <f>IF(OR(VLOOKUP(Table171052227[[#This Row],[Ln'#]],Elite!A$45:AV$74,14,FALSE)="E",VLOOKUP(Table171052227[[#This Row],[Ln'#]],Elite!A$45:AV$74,14,FALSE)="FEO"),"Entered or FEO","Not Entered")</f>
        <v>Not Entered</v>
      </c>
      <c r="C159" s="50" t="str">
        <f t="shared" ca="1" si="4"/>
        <v/>
      </c>
      <c r="D159" s="48"/>
      <c r="E159" s="48"/>
      <c r="F159" s="48"/>
      <c r="G159" s="48" t="str">
        <f>IF(Table171052227[[#This Row],[Status]]="Not Entered","",VLOOKUP(Table171052227[[#This Row],[Ln'#]],Elite!$A$45:$AV$74,3,FALSE))</f>
        <v/>
      </c>
      <c r="H159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9" s="51" t="str">
        <f>IF(Table171052227[[#This Row],[Status]]="Not Entered","",VLOOKUP(Table171052227[[#This Row],[Ln'#]],Elite!$A$45:$AV$74,46,FALSE))</f>
        <v/>
      </c>
      <c r="K159" s="49">
        <v>20</v>
      </c>
      <c r="L159" s="144" t="str">
        <f>IF(OR(VLOOKUP(Table1313033374044[[#This Row],[Ln'#]],Elite!A$45:AT$74,6,FALSE)="E",VLOOKUP(Table1313033374044[[#This Row],[Ln'#]],Elite!A$45:AT$74,6,FALSE)="FEO"),"x","")</f>
        <v/>
      </c>
      <c r="M159" s="144" t="str">
        <f>IF(OR(VLOOKUP(Table1313033374044[[#This Row],[Ln'#]],Elite!A$45:AT$74,22,FALSE)="E",VLOOKUP(Table1313033374044[[#This Row],[Ln'#]],Elite!A$45:AT$74,22,FALSE)="FEO"),"x","")</f>
        <v/>
      </c>
      <c r="N159" s="48"/>
      <c r="O159" s="48"/>
      <c r="P159" s="48"/>
      <c r="Q159" s="48" t="str">
        <f>IF(AND(Table1313033374044[[#This Row],[Status Container]]="",Table1313033374044[[#This Row],[Status Exterior]]=""),"",VLOOKUP(Table1313033374044[[#This Row],[Ln'#]],Elite!$A$45:$AT$74,3,FALSE))</f>
        <v/>
      </c>
      <c r="R159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9" s="51" t="str">
        <f>IF(Table1313033374044[[#This Row],[Dog ID]]="","",(VLOOKUP(Table1313033374044[[#This Row],[Dog ID]],Elite!C$45:$AT93,44,FALSE)))</f>
        <v/>
      </c>
    </row>
    <row r="160" spans="1:19" ht="30" customHeight="1" x14ac:dyDescent="0.45">
      <c r="A160" s="49">
        <v>21</v>
      </c>
      <c r="B160" s="49" t="str">
        <f>IF(OR(VLOOKUP(Table171052227[[#This Row],[Ln'#]],Elite!A$45:AV$74,14,FALSE)="E",VLOOKUP(Table171052227[[#This Row],[Ln'#]],Elite!A$45:AV$74,14,FALSE)="FEO"),"Entered or FEO","Not Entered")</f>
        <v>Not Entered</v>
      </c>
      <c r="C160" s="50" t="str">
        <f t="shared" ca="1" si="4"/>
        <v/>
      </c>
      <c r="D160" s="48"/>
      <c r="E160" s="48"/>
      <c r="F160" s="48"/>
      <c r="G160" s="48" t="str">
        <f>IF(Table171052227[[#This Row],[Status]]="Not Entered","",VLOOKUP(Table171052227[[#This Row],[Ln'#]],Elite!$A$45:$AV$74,3,FALSE))</f>
        <v/>
      </c>
      <c r="H160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0" s="51" t="str">
        <f>IF(Table171052227[[#This Row],[Status]]="Not Entered","",VLOOKUP(Table171052227[[#This Row],[Ln'#]],Elite!$A$45:$AV$74,46,FALSE))</f>
        <v/>
      </c>
      <c r="K160" s="49">
        <v>21</v>
      </c>
      <c r="L160" s="144" t="str">
        <f>IF(OR(VLOOKUP(Table1313033374044[[#This Row],[Ln'#]],Elite!A$45:AT$74,6,FALSE)="E",VLOOKUP(Table1313033374044[[#This Row],[Ln'#]],Elite!A$45:AT$74,6,FALSE)="FEO"),"x","")</f>
        <v/>
      </c>
      <c r="M160" s="144" t="str">
        <f>IF(OR(VLOOKUP(Table1313033374044[[#This Row],[Ln'#]],Elite!A$45:AT$74,22,FALSE)="E",VLOOKUP(Table1313033374044[[#This Row],[Ln'#]],Elite!A$45:AT$74,22,FALSE)="FEO"),"x","")</f>
        <v/>
      </c>
      <c r="N160" s="48"/>
      <c r="O160" s="48"/>
      <c r="P160" s="48"/>
      <c r="Q160" s="48" t="str">
        <f>IF(AND(Table1313033374044[[#This Row],[Status Container]]="",Table1313033374044[[#This Row],[Status Exterior]]=""),"",VLOOKUP(Table1313033374044[[#This Row],[Ln'#]],Elite!$A$45:$AT$74,3,FALSE))</f>
        <v/>
      </c>
      <c r="R160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0" s="51" t="str">
        <f>IF(Table1313033374044[[#This Row],[Dog ID]]="","",(VLOOKUP(Table1313033374044[[#This Row],[Dog ID]],Elite!C$45:$AT94,44,FALSE)))</f>
        <v/>
      </c>
    </row>
    <row r="161" spans="1:19" ht="30" customHeight="1" x14ac:dyDescent="0.45">
      <c r="A161" s="49">
        <v>22</v>
      </c>
      <c r="B161" s="49" t="str">
        <f>IF(OR(VLOOKUP(Table171052227[[#This Row],[Ln'#]],Elite!A$45:AV$74,14,FALSE)="E",VLOOKUP(Table171052227[[#This Row],[Ln'#]],Elite!A$45:AV$74,14,FALSE)="FEO"),"Entered or FEO","Not Entered")</f>
        <v>Not Entered</v>
      </c>
      <c r="C161" s="50" t="str">
        <f t="shared" ca="1" si="4"/>
        <v/>
      </c>
      <c r="D161" s="48"/>
      <c r="E161" s="48"/>
      <c r="F161" s="48"/>
      <c r="G161" s="48" t="str">
        <f>IF(Table171052227[[#This Row],[Status]]="Not Entered","",VLOOKUP(Table171052227[[#This Row],[Ln'#]],Elite!$A$45:$AV$74,3,FALSE))</f>
        <v/>
      </c>
      <c r="H161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1" s="51" t="str">
        <f>IF(Table171052227[[#This Row],[Status]]="Not Entered","",VLOOKUP(Table171052227[[#This Row],[Ln'#]],Elite!$A$45:$AV$74,46,FALSE))</f>
        <v/>
      </c>
      <c r="K161" s="49">
        <v>22</v>
      </c>
      <c r="L161" s="144" t="str">
        <f>IF(OR(VLOOKUP(Table1313033374044[[#This Row],[Ln'#]],Elite!A$45:AT$74,6,FALSE)="E",VLOOKUP(Table1313033374044[[#This Row],[Ln'#]],Elite!A$45:AT$74,6,FALSE)="FEO"),"x","")</f>
        <v/>
      </c>
      <c r="M161" s="144" t="str">
        <f>IF(OR(VLOOKUP(Table1313033374044[[#This Row],[Ln'#]],Elite!A$45:AT$74,22,FALSE)="E",VLOOKUP(Table1313033374044[[#This Row],[Ln'#]],Elite!A$45:AT$74,22,FALSE)="FEO"),"x","")</f>
        <v/>
      </c>
      <c r="N161" s="48"/>
      <c r="O161" s="48"/>
      <c r="P161" s="48"/>
      <c r="Q161" s="48" t="str">
        <f>IF(AND(Table1313033374044[[#This Row],[Status Container]]="",Table1313033374044[[#This Row],[Status Exterior]]=""),"",VLOOKUP(Table1313033374044[[#This Row],[Ln'#]],Elite!$A$45:$AT$74,3,FALSE))</f>
        <v/>
      </c>
      <c r="R161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1" s="51" t="str">
        <f>IF(Table1313033374044[[#This Row],[Dog ID]]="","",(VLOOKUP(Table1313033374044[[#This Row],[Dog ID]],Elite!C$45:$AT95,44,FALSE)))</f>
        <v/>
      </c>
    </row>
    <row r="162" spans="1:19" ht="30" customHeight="1" x14ac:dyDescent="0.45">
      <c r="A162" s="49">
        <v>23</v>
      </c>
      <c r="B162" s="49" t="str">
        <f>IF(OR(VLOOKUP(Table171052227[[#This Row],[Ln'#]],Elite!A$45:AV$74,14,FALSE)="E",VLOOKUP(Table171052227[[#This Row],[Ln'#]],Elite!A$45:AV$74,14,FALSE)="FEO"),"Entered or FEO","Not Entered")</f>
        <v>Not Entered</v>
      </c>
      <c r="C162" s="50" t="str">
        <f t="shared" ca="1" si="4"/>
        <v/>
      </c>
      <c r="D162" s="48"/>
      <c r="E162" s="48"/>
      <c r="F162" s="48"/>
      <c r="G162" s="48" t="str">
        <f>IF(Table171052227[[#This Row],[Status]]="Not Entered","",VLOOKUP(Table171052227[[#This Row],[Ln'#]],Elite!$A$45:$AV$74,3,FALSE))</f>
        <v/>
      </c>
      <c r="H162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2" s="51" t="str">
        <f>IF(Table171052227[[#This Row],[Status]]="Not Entered","",VLOOKUP(Table171052227[[#This Row],[Ln'#]],Elite!$A$45:$AV$74,46,FALSE))</f>
        <v/>
      </c>
      <c r="K162" s="49">
        <v>23</v>
      </c>
      <c r="L162" s="144" t="str">
        <f>IF(OR(VLOOKUP(Table1313033374044[[#This Row],[Ln'#]],Elite!A$45:AT$74,6,FALSE)="E",VLOOKUP(Table1313033374044[[#This Row],[Ln'#]],Elite!A$45:AT$74,6,FALSE)="FEO"),"x","")</f>
        <v/>
      </c>
      <c r="M162" s="144" t="str">
        <f>IF(OR(VLOOKUP(Table1313033374044[[#This Row],[Ln'#]],Elite!A$45:AT$74,22,FALSE)="E",VLOOKUP(Table1313033374044[[#This Row],[Ln'#]],Elite!A$45:AT$74,22,FALSE)="FEO"),"x","")</f>
        <v/>
      </c>
      <c r="N162" s="48"/>
      <c r="O162" s="48"/>
      <c r="P162" s="48"/>
      <c r="Q162" s="48" t="str">
        <f>IF(AND(Table1313033374044[[#This Row],[Status Container]]="",Table1313033374044[[#This Row],[Status Exterior]]=""),"",VLOOKUP(Table1313033374044[[#This Row],[Ln'#]],Elite!$A$45:$AT$74,3,FALSE))</f>
        <v/>
      </c>
      <c r="R162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2" s="51" t="str">
        <f>IF(Table1313033374044[[#This Row],[Dog ID]]="","",(VLOOKUP(Table1313033374044[[#This Row],[Dog ID]],Elite!C$45:$AT96,44,FALSE)))</f>
        <v/>
      </c>
    </row>
    <row r="163" spans="1:19" ht="30" customHeight="1" x14ac:dyDescent="0.45">
      <c r="A163" s="49">
        <v>24</v>
      </c>
      <c r="B163" s="49" t="str">
        <f>IF(OR(VLOOKUP(Table171052227[[#This Row],[Ln'#]],Elite!A$45:AV$74,14,FALSE)="E",VLOOKUP(Table171052227[[#This Row],[Ln'#]],Elite!A$45:AV$74,14,FALSE)="FEO"),"Entered or FEO","Not Entered")</f>
        <v>Not Entered</v>
      </c>
      <c r="C163" s="50" t="str">
        <f t="shared" ca="1" si="4"/>
        <v/>
      </c>
      <c r="D163" s="48"/>
      <c r="E163" s="48"/>
      <c r="F163" s="48"/>
      <c r="G163" s="48" t="str">
        <f>IF(Table171052227[[#This Row],[Status]]="Not Entered","",VLOOKUP(Table171052227[[#This Row],[Ln'#]],Elite!$A$45:$AV$74,3,FALSE))</f>
        <v/>
      </c>
      <c r="H163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3" s="51" t="str">
        <f>IF(Table171052227[[#This Row],[Status]]="Not Entered","",VLOOKUP(Table171052227[[#This Row],[Ln'#]],Elite!$A$45:$AV$74,46,FALSE))</f>
        <v/>
      </c>
      <c r="K163" s="49">
        <v>24</v>
      </c>
      <c r="L163" s="144" t="str">
        <f>IF(OR(VLOOKUP(Table1313033374044[[#This Row],[Ln'#]],Elite!A$45:AT$74,6,FALSE)="E",VLOOKUP(Table1313033374044[[#This Row],[Ln'#]],Elite!A$45:AT$74,6,FALSE)="FEO"),"x","")</f>
        <v/>
      </c>
      <c r="M163" s="144" t="str">
        <f>IF(OR(VLOOKUP(Table1313033374044[[#This Row],[Ln'#]],Elite!A$45:AT$74,22,FALSE)="E",VLOOKUP(Table1313033374044[[#This Row],[Ln'#]],Elite!A$45:AT$74,22,FALSE)="FEO"),"x","")</f>
        <v/>
      </c>
      <c r="N163" s="48"/>
      <c r="O163" s="48"/>
      <c r="P163" s="48"/>
      <c r="Q163" s="48" t="str">
        <f>IF(AND(Table1313033374044[[#This Row],[Status Container]]="",Table1313033374044[[#This Row],[Status Exterior]]=""),"",VLOOKUP(Table1313033374044[[#This Row],[Ln'#]],Elite!$A$45:$AT$74,3,FALSE))</f>
        <v/>
      </c>
      <c r="R163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3" s="51" t="str">
        <f>IF(Table1313033374044[[#This Row],[Dog ID]]="","",(VLOOKUP(Table1313033374044[[#This Row],[Dog ID]],Elite!C$45:$AT97,44,FALSE)))</f>
        <v/>
      </c>
    </row>
    <row r="164" spans="1:19" ht="30" customHeight="1" x14ac:dyDescent="0.45">
      <c r="A164" s="49">
        <v>25</v>
      </c>
      <c r="B164" s="49" t="str">
        <f>IF(OR(VLOOKUP(Table171052227[[#This Row],[Ln'#]],Elite!A$45:AV$74,14,FALSE)="E",VLOOKUP(Table171052227[[#This Row],[Ln'#]],Elite!A$45:AV$74,14,FALSE)="FEO"),"Entered or FEO","Not Entered")</f>
        <v>Not Entered</v>
      </c>
      <c r="C164" s="50" t="str">
        <f t="shared" ca="1" si="4"/>
        <v/>
      </c>
      <c r="D164" s="48"/>
      <c r="E164" s="48"/>
      <c r="F164" s="48"/>
      <c r="G164" s="48" t="str">
        <f>IF(Table171052227[[#This Row],[Status]]="Not Entered","",VLOOKUP(Table171052227[[#This Row],[Ln'#]],Elite!$A$45:$AV$74,3,FALSE))</f>
        <v/>
      </c>
      <c r="H164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4" s="51" t="str">
        <f>IF(Table171052227[[#This Row],[Status]]="Not Entered","",VLOOKUP(Table171052227[[#This Row],[Ln'#]],Elite!$A$45:$AV$74,46,FALSE))</f>
        <v/>
      </c>
      <c r="K164" s="49">
        <v>25</v>
      </c>
      <c r="L164" s="144" t="str">
        <f>IF(OR(VLOOKUP(Table1313033374044[[#This Row],[Ln'#]],Elite!A$45:AT$74,6,FALSE)="E",VLOOKUP(Table1313033374044[[#This Row],[Ln'#]],Elite!A$45:AT$74,6,FALSE)="FEO"),"x","")</f>
        <v/>
      </c>
      <c r="M164" s="144" t="str">
        <f>IF(OR(VLOOKUP(Table1313033374044[[#This Row],[Ln'#]],Elite!A$45:AT$74,22,FALSE)="E",VLOOKUP(Table1313033374044[[#This Row],[Ln'#]],Elite!A$45:AT$74,22,FALSE)="FEO"),"x","")</f>
        <v/>
      </c>
      <c r="N164" s="48"/>
      <c r="O164" s="48"/>
      <c r="P164" s="48"/>
      <c r="Q164" s="48" t="str">
        <f>IF(AND(Table1313033374044[[#This Row],[Status Container]]="",Table1313033374044[[#This Row],[Status Exterior]]=""),"",VLOOKUP(Table1313033374044[[#This Row],[Ln'#]],Elite!$A$45:$AT$74,3,FALSE))</f>
        <v/>
      </c>
      <c r="R164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4" s="51" t="str">
        <f>IF(Table1313033374044[[#This Row],[Dog ID]]="","",(VLOOKUP(Table1313033374044[[#This Row],[Dog ID]],Elite!C$45:$AT98,44,FALSE)))</f>
        <v/>
      </c>
    </row>
    <row r="165" spans="1:19" ht="30" customHeight="1" x14ac:dyDescent="0.45">
      <c r="A165" s="49">
        <v>26</v>
      </c>
      <c r="B165" s="49" t="str">
        <f>IF(OR(VLOOKUP(Table171052227[[#This Row],[Ln'#]],Elite!A$45:AV$74,14,FALSE)="E",VLOOKUP(Table171052227[[#This Row],[Ln'#]],Elite!A$45:AV$74,14,FALSE)="FEO"),"Entered or FEO","Not Entered")</f>
        <v>Not Entered</v>
      </c>
      <c r="C165" s="50" t="str">
        <f t="shared" ca="1" si="4"/>
        <v/>
      </c>
      <c r="D165" s="48"/>
      <c r="E165" s="48"/>
      <c r="F165" s="48"/>
      <c r="G165" s="48" t="str">
        <f>IF(Table171052227[[#This Row],[Status]]="Not Entered","",VLOOKUP(Table171052227[[#This Row],[Ln'#]],Elite!$A$45:$AV$74,3,FALSE))</f>
        <v/>
      </c>
      <c r="H165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5" s="51" t="str">
        <f>IF(Table171052227[[#This Row],[Status]]="Not Entered","",VLOOKUP(Table171052227[[#This Row],[Ln'#]],Elite!$A$45:$AV$74,46,FALSE))</f>
        <v/>
      </c>
      <c r="K165" s="49">
        <v>26</v>
      </c>
      <c r="L165" s="144" t="str">
        <f>IF(OR(VLOOKUP(Table1313033374044[[#This Row],[Ln'#]],Elite!A$45:AT$74,6,FALSE)="E",VLOOKUP(Table1313033374044[[#This Row],[Ln'#]],Elite!A$45:AT$74,6,FALSE)="FEO"),"x","")</f>
        <v/>
      </c>
      <c r="M165" s="144" t="str">
        <f>IF(OR(VLOOKUP(Table1313033374044[[#This Row],[Ln'#]],Elite!A$45:AT$74,22,FALSE)="E",VLOOKUP(Table1313033374044[[#This Row],[Ln'#]],Elite!A$45:AT$74,22,FALSE)="FEO"),"x","")</f>
        <v/>
      </c>
      <c r="N165" s="48"/>
      <c r="O165" s="48"/>
      <c r="P165" s="48"/>
      <c r="Q165" s="48" t="str">
        <f>IF(AND(Table1313033374044[[#This Row],[Status Container]]="",Table1313033374044[[#This Row],[Status Exterior]]=""),"",VLOOKUP(Table1313033374044[[#This Row],[Ln'#]],Elite!$A$45:$AT$74,3,FALSE))</f>
        <v/>
      </c>
      <c r="R165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5" s="51" t="str">
        <f>IF(Table1313033374044[[#This Row],[Dog ID]]="","",(VLOOKUP(Table1313033374044[[#This Row],[Dog ID]],Elite!C$45:$AT99,44,FALSE)))</f>
        <v/>
      </c>
    </row>
    <row r="166" spans="1:19" ht="30" customHeight="1" x14ac:dyDescent="0.45">
      <c r="A166" s="49">
        <v>27</v>
      </c>
      <c r="B166" s="49" t="str">
        <f>IF(OR(VLOOKUP(Table171052227[[#This Row],[Ln'#]],Elite!A$45:AV$74,14,FALSE)="E",VLOOKUP(Table171052227[[#This Row],[Ln'#]],Elite!A$45:AV$74,14,FALSE)="FEO"),"Entered or FEO","Not Entered")</f>
        <v>Not Entered</v>
      </c>
      <c r="C166" s="50" t="str">
        <f t="shared" ca="1" si="4"/>
        <v/>
      </c>
      <c r="D166" s="48"/>
      <c r="E166" s="48"/>
      <c r="F166" s="48"/>
      <c r="G166" s="48" t="str">
        <f>IF(Table171052227[[#This Row],[Status]]="Not Entered","",VLOOKUP(Table171052227[[#This Row],[Ln'#]],Elite!$A$45:$AV$74,3,FALSE))</f>
        <v/>
      </c>
      <c r="H166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6" s="51" t="str">
        <f>IF(Table171052227[[#This Row],[Status]]="Not Entered","",VLOOKUP(Table171052227[[#This Row],[Ln'#]],Elite!$A$45:$AV$74,46,FALSE))</f>
        <v/>
      </c>
      <c r="K166" s="49">
        <v>27</v>
      </c>
      <c r="L166" s="144" t="str">
        <f>IF(OR(VLOOKUP(Table1313033374044[[#This Row],[Ln'#]],Elite!A$45:AT$74,6,FALSE)="E",VLOOKUP(Table1313033374044[[#This Row],[Ln'#]],Elite!A$45:AT$74,6,FALSE)="FEO"),"x","")</f>
        <v/>
      </c>
      <c r="M166" s="144" t="str">
        <f>IF(OR(VLOOKUP(Table1313033374044[[#This Row],[Ln'#]],Elite!A$45:AT$74,22,FALSE)="E",VLOOKUP(Table1313033374044[[#This Row],[Ln'#]],Elite!A$45:AT$74,22,FALSE)="FEO"),"x","")</f>
        <v/>
      </c>
      <c r="N166" s="48"/>
      <c r="O166" s="48"/>
      <c r="P166" s="48"/>
      <c r="Q166" s="48" t="str">
        <f>IF(AND(Table1313033374044[[#This Row],[Status Container]]="",Table1313033374044[[#This Row],[Status Exterior]]=""),"",VLOOKUP(Table1313033374044[[#This Row],[Ln'#]],Elite!$A$45:$AT$74,3,FALSE))</f>
        <v/>
      </c>
      <c r="R166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6" s="51" t="str">
        <f>IF(Table1313033374044[[#This Row],[Dog ID]]="","",(VLOOKUP(Table1313033374044[[#This Row],[Dog ID]],Elite!C$45:$AT100,44,FALSE)))</f>
        <v/>
      </c>
    </row>
    <row r="167" spans="1:19" ht="30" customHeight="1" x14ac:dyDescent="0.45">
      <c r="A167" s="49">
        <v>28</v>
      </c>
      <c r="B167" s="49" t="str">
        <f>IF(OR(VLOOKUP(Table171052227[[#This Row],[Ln'#]],Elite!A$45:AV$74,14,FALSE)="E",VLOOKUP(Table171052227[[#This Row],[Ln'#]],Elite!A$45:AV$74,14,FALSE)="FEO"),"Entered or FEO","Not Entered")</f>
        <v>Not Entered</v>
      </c>
      <c r="C167" s="50" t="str">
        <f t="shared" ca="1" si="4"/>
        <v/>
      </c>
      <c r="D167" s="48"/>
      <c r="E167" s="48"/>
      <c r="F167" s="48"/>
      <c r="G167" s="48" t="str">
        <f>IF(Table171052227[[#This Row],[Status]]="Not Entered","",VLOOKUP(Table171052227[[#This Row],[Ln'#]],Elite!$A$45:$AV$74,3,FALSE))</f>
        <v/>
      </c>
      <c r="H167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7" s="51" t="str">
        <f>IF(Table171052227[[#This Row],[Status]]="Not Entered","",VLOOKUP(Table171052227[[#This Row],[Ln'#]],Elite!$A$45:$AV$74,46,FALSE))</f>
        <v/>
      </c>
      <c r="K167" s="49">
        <v>28</v>
      </c>
      <c r="L167" s="144" t="str">
        <f>IF(OR(VLOOKUP(Table1313033374044[[#This Row],[Ln'#]],Elite!A$45:AT$74,6,FALSE)="E",VLOOKUP(Table1313033374044[[#This Row],[Ln'#]],Elite!A$45:AT$74,6,FALSE)="FEO"),"x","")</f>
        <v/>
      </c>
      <c r="M167" s="144" t="str">
        <f>IF(OR(VLOOKUP(Table1313033374044[[#This Row],[Ln'#]],Elite!A$45:AT$74,22,FALSE)="E",VLOOKUP(Table1313033374044[[#This Row],[Ln'#]],Elite!A$45:AT$74,22,FALSE)="FEO"),"x","")</f>
        <v/>
      </c>
      <c r="N167" s="48"/>
      <c r="O167" s="48"/>
      <c r="P167" s="48"/>
      <c r="Q167" s="48" t="str">
        <f>IF(AND(Table1313033374044[[#This Row],[Status Container]]="",Table1313033374044[[#This Row],[Status Exterior]]=""),"",VLOOKUP(Table1313033374044[[#This Row],[Ln'#]],Elite!$A$45:$AT$74,3,FALSE))</f>
        <v/>
      </c>
      <c r="R167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7" s="51" t="str">
        <f>IF(Table1313033374044[[#This Row],[Dog ID]]="","",(VLOOKUP(Table1313033374044[[#This Row],[Dog ID]],Elite!C$45:$AT101,44,FALSE)))</f>
        <v/>
      </c>
    </row>
    <row r="168" spans="1:19" ht="30" customHeight="1" x14ac:dyDescent="0.45">
      <c r="A168" s="49">
        <v>29</v>
      </c>
      <c r="B168" s="49" t="str">
        <f>IF(OR(VLOOKUP(Table171052227[[#This Row],[Ln'#]],Elite!A$45:AV$74,14,FALSE)="E",VLOOKUP(Table171052227[[#This Row],[Ln'#]],Elite!A$45:AV$74,14,FALSE)="FEO"),"Entered or FEO","Not Entered")</f>
        <v>Not Entered</v>
      </c>
      <c r="C168" s="50" t="str">
        <f t="shared" ca="1" si="4"/>
        <v/>
      </c>
      <c r="D168" s="48"/>
      <c r="E168" s="48"/>
      <c r="F168" s="48"/>
      <c r="G168" s="48" t="str">
        <f>IF(Table171052227[[#This Row],[Status]]="Not Entered","",VLOOKUP(Table171052227[[#This Row],[Ln'#]],Elite!$A$45:$AV$74,3,FALSE))</f>
        <v/>
      </c>
      <c r="H168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8" s="51" t="str">
        <f>IF(Table171052227[[#This Row],[Status]]="Not Entered","",VLOOKUP(Table171052227[[#This Row],[Ln'#]],Elite!$A$45:$AV$74,46,FALSE))</f>
        <v/>
      </c>
      <c r="K168" s="49">
        <v>29</v>
      </c>
      <c r="L168" s="144" t="str">
        <f>IF(OR(VLOOKUP(Table1313033374044[[#This Row],[Ln'#]],Elite!A$45:AT$74,6,FALSE)="E",VLOOKUP(Table1313033374044[[#This Row],[Ln'#]],Elite!A$45:AT$74,6,FALSE)="FEO"),"x","")</f>
        <v/>
      </c>
      <c r="M168" s="144" t="str">
        <f>IF(OR(VLOOKUP(Table1313033374044[[#This Row],[Ln'#]],Elite!A$45:AT$74,22,FALSE)="E",VLOOKUP(Table1313033374044[[#This Row],[Ln'#]],Elite!A$45:AT$74,22,FALSE)="FEO"),"x","")</f>
        <v/>
      </c>
      <c r="N168" s="48"/>
      <c r="O168" s="48"/>
      <c r="P168" s="48"/>
      <c r="Q168" s="48" t="str">
        <f>IF(AND(Table1313033374044[[#This Row],[Status Container]]="",Table1313033374044[[#This Row],[Status Exterior]]=""),"",VLOOKUP(Table1313033374044[[#This Row],[Ln'#]],Elite!$A$45:$AT$74,3,FALSE))</f>
        <v/>
      </c>
      <c r="R168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8" s="51" t="str">
        <f>IF(Table1313033374044[[#This Row],[Dog ID]]="","",(VLOOKUP(Table1313033374044[[#This Row],[Dog ID]],Elite!C$45:$AT102,44,FALSE)))</f>
        <v/>
      </c>
    </row>
    <row r="169" spans="1:19" ht="30" customHeight="1" x14ac:dyDescent="0.45">
      <c r="A169" s="49">
        <v>30</v>
      </c>
      <c r="B169" s="49" t="str">
        <f>IF(OR(VLOOKUP(Table171052227[[#This Row],[Ln'#]],Elite!A$45:AV$74,14,FALSE)="E",VLOOKUP(Table171052227[[#This Row],[Ln'#]],Elite!A$45:AV$74,14,FALSE)="FEO"),"Entered or FEO","Not Entered")</f>
        <v>Not Entered</v>
      </c>
      <c r="C169" s="50" t="str">
        <f t="shared" ca="1" si="4"/>
        <v/>
      </c>
      <c r="D169" s="48"/>
      <c r="E169" s="48"/>
      <c r="F169" s="48"/>
      <c r="G169" s="48" t="str">
        <f>IF(Table171052227[[#This Row],[Status]]="Not Entered","",VLOOKUP(Table171052227[[#This Row],[Ln'#]],Elite!$A$45:$AV$74,3,FALSE))</f>
        <v/>
      </c>
      <c r="H169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9" s="51" t="str">
        <f>IF(Table171052227[[#This Row],[Status]]="Not Entered","",VLOOKUP(Table171052227[[#This Row],[Ln'#]],Elite!$A$45:$AV$74,46,FALSE))</f>
        <v/>
      </c>
      <c r="K169" s="49">
        <v>30</v>
      </c>
      <c r="L169" s="144" t="str">
        <f>IF(OR(VLOOKUP(Table1313033374044[[#This Row],[Ln'#]],Elite!A$45:AT$74,6,FALSE)="E",VLOOKUP(Table1313033374044[[#This Row],[Ln'#]],Elite!A$45:AT$74,6,FALSE)="FEO"),"x","")</f>
        <v/>
      </c>
      <c r="M169" s="144" t="str">
        <f>IF(OR(VLOOKUP(Table1313033374044[[#This Row],[Ln'#]],Elite!A$45:AT$74,22,FALSE)="E",VLOOKUP(Table1313033374044[[#This Row],[Ln'#]],Elite!A$45:AT$74,22,FALSE)="FEO"),"x","")</f>
        <v/>
      </c>
      <c r="N169" s="48"/>
      <c r="O169" s="48"/>
      <c r="P169" s="48"/>
      <c r="Q169" s="48" t="str">
        <f>IF(AND(Table1313033374044[[#This Row],[Status Container]]="",Table1313033374044[[#This Row],[Status Exterior]]=""),"",VLOOKUP(Table1313033374044[[#This Row],[Ln'#]],Elite!$A$45:$AT$74,3,FALSE))</f>
        <v/>
      </c>
      <c r="R169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9" s="51" t="str">
        <f>IF(Table1313033374044[[#This Row],[Dog ID]]="","",(VLOOKUP(Table1313033374044[[#This Row],[Dog ID]],Elite!C$45:$AT103,44,FALSE)))</f>
        <v/>
      </c>
    </row>
    <row r="170" spans="1:19" ht="30" customHeight="1" x14ac:dyDescent="0.4">
      <c r="A170" s="48"/>
      <c r="B170" s="48"/>
      <c r="C170" s="48"/>
      <c r="D170" s="48" t="s">
        <v>1141</v>
      </c>
      <c r="E170" s="48">
        <f>SUBTOTAL(102,Table171052227[Running Order])</f>
        <v>0</v>
      </c>
      <c r="F170" s="48"/>
      <c r="G170" s="48"/>
      <c r="H170" s="51"/>
      <c r="I170" s="51"/>
      <c r="K170" s="145"/>
      <c r="L170" s="145"/>
      <c r="M170" s="145"/>
      <c r="N170" s="145" t="s">
        <v>1141</v>
      </c>
      <c r="O170" s="145">
        <f>SUBTOTAL(102,Table1313033374044[Running Order])</f>
        <v>0</v>
      </c>
      <c r="P170" s="145"/>
      <c r="Q170" s="145"/>
      <c r="R170" s="146"/>
      <c r="S170" s="146"/>
    </row>
    <row r="172" spans="1:19" ht="30" customHeight="1" x14ac:dyDescent="0.4">
      <c r="A172" s="402" t="s">
        <v>1143</v>
      </c>
      <c r="B172" s="402"/>
      <c r="C172" s="43"/>
      <c r="D172" s="403" t="s">
        <v>2047</v>
      </c>
      <c r="E172" s="403"/>
      <c r="F172" s="403"/>
      <c r="G172" s="403"/>
      <c r="H172" s="403"/>
      <c r="I172" s="403"/>
    </row>
    <row r="173" spans="1:19" ht="30" customHeight="1" x14ac:dyDescent="0.4">
      <c r="A173" s="67" t="s">
        <v>605</v>
      </c>
      <c r="B173" s="67" t="s">
        <v>1139</v>
      </c>
      <c r="C173" s="68" t="s">
        <v>1140</v>
      </c>
      <c r="D173" s="67" t="s">
        <v>1142</v>
      </c>
      <c r="E173" s="67" t="s">
        <v>1135</v>
      </c>
      <c r="F173" s="67" t="s">
        <v>1188</v>
      </c>
      <c r="G173" s="67" t="s">
        <v>1136</v>
      </c>
      <c r="H173" s="69" t="s">
        <v>1207</v>
      </c>
      <c r="I173" s="69" t="s">
        <v>1137</v>
      </c>
      <c r="K173" s="71"/>
      <c r="L173" s="71"/>
      <c r="M173" s="71"/>
      <c r="N173" s="71"/>
      <c r="O173" s="71"/>
      <c r="P173" s="71"/>
      <c r="Q173" s="71"/>
      <c r="R173" s="71"/>
      <c r="S173" s="71"/>
    </row>
    <row r="174" spans="1:19" ht="30" customHeight="1" x14ac:dyDescent="0.4">
      <c r="A174" s="49">
        <v>1</v>
      </c>
      <c r="B174" s="49" t="str">
        <f>IF(OR(VLOOKUP(Table17101282328[[#This Row],[Ln'#]],Elite!A$45:AV$74,22,FALSE)="E",VLOOKUP(Table17101282328[[#This Row],[Ln'#]],Elite!A$45:AT$74,22,FALSE)="FEO"),"Entered or FEO","Not Entered")</f>
        <v>Not Entered</v>
      </c>
      <c r="C174" s="50" t="str">
        <f t="shared" ref="C174:C203" ca="1" si="5">IF(OR(B174="e",B174="FEO"),RAND(),"")</f>
        <v/>
      </c>
      <c r="D174" s="48"/>
      <c r="E174" s="48"/>
      <c r="F174" s="48"/>
      <c r="G174" s="48" t="str">
        <f>IF(Table17101282328[[#This Row],[Status]]="Not Entered","",VLOOKUP(Table17101282328[[#This Row],[Ln'#]],Elite!$A$45:$AV$74,3,FALSE))</f>
        <v/>
      </c>
      <c r="H174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4" s="51" t="str">
        <f>IF(Table17101282328[[#This Row],[Status]]="Not Entered","",VLOOKUP(Table17101282328[[#This Row],[Ln'#]],Elite!$A$45:$AV$74,46,FALSE))</f>
        <v/>
      </c>
    </row>
    <row r="175" spans="1:19" ht="30" customHeight="1" x14ac:dyDescent="0.4">
      <c r="A175" s="49">
        <v>2</v>
      </c>
      <c r="B175" s="49" t="str">
        <f>IF(OR(VLOOKUP(Table17101282328[[#This Row],[Ln'#]],Elite!A$45:AV$74,22,FALSE)="E",VLOOKUP(Table17101282328[[#This Row],[Ln'#]],Elite!A$45:AT$74,22,FALSE)="FEO"),"Entered or FEO","Not Entered")</f>
        <v>Not Entered</v>
      </c>
      <c r="C175" s="50" t="str">
        <f t="shared" ca="1" si="5"/>
        <v/>
      </c>
      <c r="D175" s="48"/>
      <c r="E175" s="48"/>
      <c r="F175" s="48"/>
      <c r="G175" s="48" t="str">
        <f>IF(Table17101282328[[#This Row],[Status]]="Not Entered","",VLOOKUP(Table17101282328[[#This Row],[Ln'#]],Elite!$A$45:$AV$74,3,FALSE))</f>
        <v/>
      </c>
      <c r="H175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5" s="51" t="str">
        <f>IF(Table17101282328[[#This Row],[Status]]="Not Entered","",VLOOKUP(Table17101282328[[#This Row],[Ln'#]],Elite!$A$45:$AV$74,46,FALSE))</f>
        <v/>
      </c>
    </row>
    <row r="176" spans="1:19" ht="30" customHeight="1" x14ac:dyDescent="0.4">
      <c r="A176" s="49">
        <v>3</v>
      </c>
      <c r="B176" s="49" t="str">
        <f>IF(OR(VLOOKUP(Table17101282328[[#This Row],[Ln'#]],Elite!A$45:AV$74,22,FALSE)="E",VLOOKUP(Table17101282328[[#This Row],[Ln'#]],Elite!A$45:AT$74,22,FALSE)="FEO"),"Entered or FEO","Not Entered")</f>
        <v>Not Entered</v>
      </c>
      <c r="C176" s="50" t="str">
        <f t="shared" ca="1" si="5"/>
        <v/>
      </c>
      <c r="D176" s="48"/>
      <c r="E176" s="48"/>
      <c r="F176" s="48"/>
      <c r="G176" s="48" t="str">
        <f>IF(Table17101282328[[#This Row],[Status]]="Not Entered","",VLOOKUP(Table17101282328[[#This Row],[Ln'#]],Elite!$A$45:$AV$74,3,FALSE))</f>
        <v/>
      </c>
      <c r="H176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6" s="51" t="str">
        <f>IF(Table17101282328[[#This Row],[Status]]="Not Entered","",VLOOKUP(Table17101282328[[#This Row],[Ln'#]],Elite!$A$45:$AV$74,46,FALSE))</f>
        <v/>
      </c>
    </row>
    <row r="177" spans="1:9" ht="30" customHeight="1" x14ac:dyDescent="0.4">
      <c r="A177" s="49">
        <v>4</v>
      </c>
      <c r="B177" s="49" t="str">
        <f>IF(OR(VLOOKUP(Table17101282328[[#This Row],[Ln'#]],Elite!A$45:AV$74,22,FALSE)="E",VLOOKUP(Table17101282328[[#This Row],[Ln'#]],Elite!A$45:AT$74,22,FALSE)="FEO"),"Entered or FEO","Not Entered")</f>
        <v>Not Entered</v>
      </c>
      <c r="C177" s="50" t="str">
        <f t="shared" ca="1" si="5"/>
        <v/>
      </c>
      <c r="D177" s="48"/>
      <c r="E177" s="48"/>
      <c r="F177" s="48"/>
      <c r="G177" s="48" t="str">
        <f>IF(Table17101282328[[#This Row],[Status]]="Not Entered","",VLOOKUP(Table17101282328[[#This Row],[Ln'#]],Elite!$A$45:$AV$74,3,FALSE))</f>
        <v/>
      </c>
      <c r="H177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7" s="51" t="str">
        <f>IF(Table17101282328[[#This Row],[Status]]="Not Entered","",VLOOKUP(Table17101282328[[#This Row],[Ln'#]],Elite!$A$45:$AV$74,46,FALSE))</f>
        <v/>
      </c>
    </row>
    <row r="178" spans="1:9" ht="30" customHeight="1" x14ac:dyDescent="0.4">
      <c r="A178" s="49">
        <v>5</v>
      </c>
      <c r="B178" s="49" t="str">
        <f>IF(OR(VLOOKUP(Table17101282328[[#This Row],[Ln'#]],Elite!A$45:AV$74,22,FALSE)="E",VLOOKUP(Table17101282328[[#This Row],[Ln'#]],Elite!A$45:AT$74,22,FALSE)="FEO"),"Entered or FEO","Not Entered")</f>
        <v>Not Entered</v>
      </c>
      <c r="C178" s="50" t="str">
        <f t="shared" ca="1" si="5"/>
        <v/>
      </c>
      <c r="D178" s="48"/>
      <c r="E178" s="48"/>
      <c r="F178" s="48"/>
      <c r="G178" s="48" t="str">
        <f>IF(Table17101282328[[#This Row],[Status]]="Not Entered","",VLOOKUP(Table17101282328[[#This Row],[Ln'#]],Elite!$A$45:$AV$74,3,FALSE))</f>
        <v/>
      </c>
      <c r="H178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8" s="51" t="str">
        <f>IF(Table17101282328[[#This Row],[Status]]="Not Entered","",VLOOKUP(Table17101282328[[#This Row],[Ln'#]],Elite!$A$45:$AV$74,46,FALSE))</f>
        <v/>
      </c>
    </row>
    <row r="179" spans="1:9" ht="30" customHeight="1" x14ac:dyDescent="0.4">
      <c r="A179" s="49">
        <v>6</v>
      </c>
      <c r="B179" s="49" t="str">
        <f>IF(OR(VLOOKUP(Table17101282328[[#This Row],[Ln'#]],Elite!A$45:AV$74,22,FALSE)="E",VLOOKUP(Table17101282328[[#This Row],[Ln'#]],Elite!A$45:AT$74,22,FALSE)="FEO"),"Entered or FEO","Not Entered")</f>
        <v>Not Entered</v>
      </c>
      <c r="C179" s="50" t="str">
        <f t="shared" ca="1" si="5"/>
        <v/>
      </c>
      <c r="D179" s="48"/>
      <c r="E179" s="48"/>
      <c r="F179" s="48"/>
      <c r="G179" s="48" t="str">
        <f>IF(Table17101282328[[#This Row],[Status]]="Not Entered","",VLOOKUP(Table17101282328[[#This Row],[Ln'#]],Elite!$A$45:$AV$74,3,FALSE))</f>
        <v/>
      </c>
      <c r="H179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9" s="51" t="str">
        <f>IF(Table17101282328[[#This Row],[Status]]="Not Entered","",VLOOKUP(Table17101282328[[#This Row],[Ln'#]],Elite!$A$45:$AV$74,46,FALSE))</f>
        <v/>
      </c>
    </row>
    <row r="180" spans="1:9" ht="30" customHeight="1" x14ac:dyDescent="0.4">
      <c r="A180" s="49">
        <v>7</v>
      </c>
      <c r="B180" s="49" t="str">
        <f>IF(OR(VLOOKUP(Table17101282328[[#This Row],[Ln'#]],Elite!A$45:AV$74,22,FALSE)="E",VLOOKUP(Table17101282328[[#This Row],[Ln'#]],Elite!A$45:AT$74,22,FALSE)="FEO"),"Entered or FEO","Not Entered")</f>
        <v>Not Entered</v>
      </c>
      <c r="C180" s="50" t="str">
        <f t="shared" ca="1" si="5"/>
        <v/>
      </c>
      <c r="D180" s="48"/>
      <c r="E180" s="48"/>
      <c r="F180" s="48"/>
      <c r="G180" s="48" t="str">
        <f>IF(Table17101282328[[#This Row],[Status]]="Not Entered","",VLOOKUP(Table17101282328[[#This Row],[Ln'#]],Elite!$A$45:$AV$74,3,FALSE))</f>
        <v/>
      </c>
      <c r="H180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0" s="51" t="str">
        <f>IF(Table17101282328[[#This Row],[Status]]="Not Entered","",VLOOKUP(Table17101282328[[#This Row],[Ln'#]],Elite!$A$45:$AV$74,46,FALSE))</f>
        <v/>
      </c>
    </row>
    <row r="181" spans="1:9" ht="30" customHeight="1" x14ac:dyDescent="0.4">
      <c r="A181" s="49">
        <v>8</v>
      </c>
      <c r="B181" s="49" t="str">
        <f>IF(OR(VLOOKUP(Table17101282328[[#This Row],[Ln'#]],Elite!A$45:AV$74,22,FALSE)="E",VLOOKUP(Table17101282328[[#This Row],[Ln'#]],Elite!A$45:AT$74,22,FALSE)="FEO"),"Entered or FEO","Not Entered")</f>
        <v>Not Entered</v>
      </c>
      <c r="C181" s="50" t="str">
        <f t="shared" ca="1" si="5"/>
        <v/>
      </c>
      <c r="D181" s="48"/>
      <c r="E181" s="48"/>
      <c r="F181" s="48"/>
      <c r="G181" s="48" t="str">
        <f>IF(Table17101282328[[#This Row],[Status]]="Not Entered","",VLOOKUP(Table17101282328[[#This Row],[Ln'#]],Elite!$A$45:$AV$74,3,FALSE))</f>
        <v/>
      </c>
      <c r="H181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1" s="51" t="str">
        <f>IF(Table17101282328[[#This Row],[Status]]="Not Entered","",VLOOKUP(Table17101282328[[#This Row],[Ln'#]],Elite!$A$45:$AV$74,46,FALSE))</f>
        <v/>
      </c>
    </row>
    <row r="182" spans="1:9" ht="30" customHeight="1" x14ac:dyDescent="0.4">
      <c r="A182" s="49">
        <v>9</v>
      </c>
      <c r="B182" s="49" t="str">
        <f>IF(OR(VLOOKUP(Table17101282328[[#This Row],[Ln'#]],Elite!A$45:AV$74,22,FALSE)="E",VLOOKUP(Table17101282328[[#This Row],[Ln'#]],Elite!A$45:AT$74,22,FALSE)="FEO"),"Entered or FEO","Not Entered")</f>
        <v>Not Entered</v>
      </c>
      <c r="C182" s="50" t="str">
        <f t="shared" ca="1" si="5"/>
        <v/>
      </c>
      <c r="D182" s="48"/>
      <c r="E182" s="48"/>
      <c r="F182" s="48"/>
      <c r="G182" s="48" t="str">
        <f>IF(Table17101282328[[#This Row],[Status]]="Not Entered","",VLOOKUP(Table17101282328[[#This Row],[Ln'#]],Elite!$A$45:$AV$74,3,FALSE))</f>
        <v/>
      </c>
      <c r="H182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2" s="51" t="str">
        <f>IF(Table17101282328[[#This Row],[Status]]="Not Entered","",VLOOKUP(Table17101282328[[#This Row],[Ln'#]],Elite!$A$45:$AV$74,46,FALSE))</f>
        <v/>
      </c>
    </row>
    <row r="183" spans="1:9" ht="30" customHeight="1" x14ac:dyDescent="0.4">
      <c r="A183" s="49">
        <v>10</v>
      </c>
      <c r="B183" s="49" t="str">
        <f>IF(OR(VLOOKUP(Table17101282328[[#This Row],[Ln'#]],Elite!A$45:AV$74,22,FALSE)="E",VLOOKUP(Table17101282328[[#This Row],[Ln'#]],Elite!A$45:AT$74,22,FALSE)="FEO"),"Entered or FEO","Not Entered")</f>
        <v>Not Entered</v>
      </c>
      <c r="C183" s="50" t="str">
        <f t="shared" ca="1" si="5"/>
        <v/>
      </c>
      <c r="D183" s="48"/>
      <c r="E183" s="48"/>
      <c r="F183" s="48"/>
      <c r="G183" s="48" t="str">
        <f>IF(Table17101282328[[#This Row],[Status]]="Not Entered","",VLOOKUP(Table17101282328[[#This Row],[Ln'#]],Elite!$A$45:$AV$74,3,FALSE))</f>
        <v/>
      </c>
      <c r="H183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3" s="51" t="str">
        <f>IF(Table17101282328[[#This Row],[Status]]="Not Entered","",VLOOKUP(Table17101282328[[#This Row],[Ln'#]],Elite!$A$45:$AV$74,46,FALSE))</f>
        <v/>
      </c>
    </row>
    <row r="184" spans="1:9" ht="30" customHeight="1" x14ac:dyDescent="0.4">
      <c r="A184" s="49">
        <v>11</v>
      </c>
      <c r="B184" s="49" t="str">
        <f>IF(OR(VLOOKUP(Table17101282328[[#This Row],[Ln'#]],Elite!A$45:AV$74,22,FALSE)="E",VLOOKUP(Table17101282328[[#This Row],[Ln'#]],Elite!A$45:AT$74,22,FALSE)="FEO"),"Entered or FEO","Not Entered")</f>
        <v>Not Entered</v>
      </c>
      <c r="C184" s="50" t="str">
        <f t="shared" ca="1" si="5"/>
        <v/>
      </c>
      <c r="D184" s="48"/>
      <c r="E184" s="48"/>
      <c r="F184" s="48"/>
      <c r="G184" s="48" t="str">
        <f>IF(Table17101282328[[#This Row],[Status]]="Not Entered","",VLOOKUP(Table17101282328[[#This Row],[Ln'#]],Elite!$A$45:$AV$74,3,FALSE))</f>
        <v/>
      </c>
      <c r="H184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4" s="51" t="str">
        <f>IF(Table17101282328[[#This Row],[Status]]="Not Entered","",VLOOKUP(Table17101282328[[#This Row],[Ln'#]],Elite!$A$45:$AV$74,46,FALSE))</f>
        <v/>
      </c>
    </row>
    <row r="185" spans="1:9" ht="30" customHeight="1" x14ac:dyDescent="0.4">
      <c r="A185" s="49">
        <v>12</v>
      </c>
      <c r="B185" s="49" t="str">
        <f>IF(OR(VLOOKUP(Table17101282328[[#This Row],[Ln'#]],Elite!A$45:AV$74,22,FALSE)="E",VLOOKUP(Table17101282328[[#This Row],[Ln'#]],Elite!A$45:AT$74,22,FALSE)="FEO"),"Entered or FEO","Not Entered")</f>
        <v>Not Entered</v>
      </c>
      <c r="C185" s="50" t="str">
        <f t="shared" ca="1" si="5"/>
        <v/>
      </c>
      <c r="D185" s="48"/>
      <c r="E185" s="48"/>
      <c r="F185" s="48"/>
      <c r="G185" s="48" t="str">
        <f>IF(Table17101282328[[#This Row],[Status]]="Not Entered","",VLOOKUP(Table17101282328[[#This Row],[Ln'#]],Elite!$A$45:$AV$74,3,FALSE))</f>
        <v/>
      </c>
      <c r="H185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5" s="51" t="str">
        <f>IF(Table17101282328[[#This Row],[Status]]="Not Entered","",VLOOKUP(Table17101282328[[#This Row],[Ln'#]],Elite!$A$45:$AV$74,46,FALSE))</f>
        <v/>
      </c>
    </row>
    <row r="186" spans="1:9" ht="30" customHeight="1" x14ac:dyDescent="0.4">
      <c r="A186" s="49">
        <v>13</v>
      </c>
      <c r="B186" s="49" t="str">
        <f>IF(OR(VLOOKUP(Table17101282328[[#This Row],[Ln'#]],Elite!A$45:AV$74,22,FALSE)="E",VLOOKUP(Table17101282328[[#This Row],[Ln'#]],Elite!A$45:AT$74,22,FALSE)="FEO"),"Entered or FEO","Not Entered")</f>
        <v>Not Entered</v>
      </c>
      <c r="C186" s="50" t="str">
        <f t="shared" ca="1" si="5"/>
        <v/>
      </c>
      <c r="D186" s="48"/>
      <c r="E186" s="48"/>
      <c r="F186" s="48"/>
      <c r="G186" s="48" t="str">
        <f>IF(Table17101282328[[#This Row],[Status]]="Not Entered","",VLOOKUP(Table17101282328[[#This Row],[Ln'#]],Elite!$A$45:$AV$74,3,FALSE))</f>
        <v/>
      </c>
      <c r="H186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6" s="51" t="str">
        <f>IF(Table17101282328[[#This Row],[Status]]="Not Entered","",VLOOKUP(Table17101282328[[#This Row],[Ln'#]],Elite!$A$45:$AV$74,46,FALSE))</f>
        <v/>
      </c>
    </row>
    <row r="187" spans="1:9" ht="30" customHeight="1" x14ac:dyDescent="0.4">
      <c r="A187" s="49">
        <v>14</v>
      </c>
      <c r="B187" s="49" t="str">
        <f>IF(OR(VLOOKUP(Table17101282328[[#This Row],[Ln'#]],Elite!A$45:AV$74,22,FALSE)="E",VLOOKUP(Table17101282328[[#This Row],[Ln'#]],Elite!A$45:AT$74,22,FALSE)="FEO"),"Entered or FEO","Not Entered")</f>
        <v>Not Entered</v>
      </c>
      <c r="C187" s="50" t="str">
        <f t="shared" ca="1" si="5"/>
        <v/>
      </c>
      <c r="D187" s="48"/>
      <c r="E187" s="48"/>
      <c r="F187" s="48"/>
      <c r="G187" s="48" t="str">
        <f>IF(Table17101282328[[#This Row],[Status]]="Not Entered","",VLOOKUP(Table17101282328[[#This Row],[Ln'#]],Elite!$A$45:$AV$74,3,FALSE))</f>
        <v/>
      </c>
      <c r="H187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7" s="51" t="str">
        <f>IF(Table17101282328[[#This Row],[Status]]="Not Entered","",VLOOKUP(Table17101282328[[#This Row],[Ln'#]],Elite!$A$45:$AV$74,46,FALSE))</f>
        <v/>
      </c>
    </row>
    <row r="188" spans="1:9" ht="30" customHeight="1" x14ac:dyDescent="0.4">
      <c r="A188" s="49">
        <v>15</v>
      </c>
      <c r="B188" s="49" t="str">
        <f>IF(OR(VLOOKUP(Table17101282328[[#This Row],[Ln'#]],Elite!A$45:AV$74,22,FALSE)="E",VLOOKUP(Table17101282328[[#This Row],[Ln'#]],Elite!A$45:AT$74,22,FALSE)="FEO"),"Entered or FEO","Not Entered")</f>
        <v>Not Entered</v>
      </c>
      <c r="C188" s="50" t="str">
        <f t="shared" ca="1" si="5"/>
        <v/>
      </c>
      <c r="D188" s="48"/>
      <c r="E188" s="48"/>
      <c r="F188" s="48"/>
      <c r="G188" s="48" t="str">
        <f>IF(Table17101282328[[#This Row],[Status]]="Not Entered","",VLOOKUP(Table17101282328[[#This Row],[Ln'#]],Elite!$A$45:$AV$74,3,FALSE))</f>
        <v/>
      </c>
      <c r="H188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8" s="51" t="str">
        <f>IF(Table17101282328[[#This Row],[Status]]="Not Entered","",VLOOKUP(Table17101282328[[#This Row],[Ln'#]],Elite!$A$45:$AV$74,46,FALSE))</f>
        <v/>
      </c>
    </row>
    <row r="189" spans="1:9" ht="30" customHeight="1" x14ac:dyDescent="0.4">
      <c r="A189" s="49">
        <v>16</v>
      </c>
      <c r="B189" s="49" t="str">
        <f>IF(OR(VLOOKUP(Table17101282328[[#This Row],[Ln'#]],Elite!A$45:AV$74,22,FALSE)="E",VLOOKUP(Table17101282328[[#This Row],[Ln'#]],Elite!A$45:AT$74,22,FALSE)="FEO"),"Entered or FEO","Not Entered")</f>
        <v>Not Entered</v>
      </c>
      <c r="C189" s="50" t="str">
        <f t="shared" ca="1" si="5"/>
        <v/>
      </c>
      <c r="D189" s="48"/>
      <c r="E189" s="48"/>
      <c r="F189" s="48"/>
      <c r="G189" s="48" t="str">
        <f>IF(Table17101282328[[#This Row],[Status]]="Not Entered","",VLOOKUP(Table17101282328[[#This Row],[Ln'#]],Elite!$A$45:$AV$74,3,FALSE))</f>
        <v/>
      </c>
      <c r="H189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9" s="51" t="str">
        <f>IF(Table17101282328[[#This Row],[Status]]="Not Entered","",VLOOKUP(Table17101282328[[#This Row],[Ln'#]],Elite!$A$45:$AV$74,46,FALSE))</f>
        <v/>
      </c>
    </row>
    <row r="190" spans="1:9" ht="30" customHeight="1" x14ac:dyDescent="0.4">
      <c r="A190" s="49">
        <v>17</v>
      </c>
      <c r="B190" s="49" t="str">
        <f>IF(OR(VLOOKUP(Table17101282328[[#This Row],[Ln'#]],Elite!A$45:AV$74,22,FALSE)="E",VLOOKUP(Table17101282328[[#This Row],[Ln'#]],Elite!A$45:AT$74,22,FALSE)="FEO"),"Entered or FEO","Not Entered")</f>
        <v>Not Entered</v>
      </c>
      <c r="C190" s="50" t="str">
        <f t="shared" ca="1" si="5"/>
        <v/>
      </c>
      <c r="D190" s="48"/>
      <c r="E190" s="48"/>
      <c r="F190" s="48"/>
      <c r="G190" s="48" t="str">
        <f>IF(Table17101282328[[#This Row],[Status]]="Not Entered","",VLOOKUP(Table17101282328[[#This Row],[Ln'#]],Elite!$A$45:$AV$74,3,FALSE))</f>
        <v/>
      </c>
      <c r="H190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0" s="51" t="str">
        <f>IF(Table17101282328[[#This Row],[Status]]="Not Entered","",VLOOKUP(Table17101282328[[#This Row],[Ln'#]],Elite!$A$45:$AV$74,46,FALSE))</f>
        <v/>
      </c>
    </row>
    <row r="191" spans="1:9" ht="30" customHeight="1" x14ac:dyDescent="0.4">
      <c r="A191" s="49">
        <v>18</v>
      </c>
      <c r="B191" s="49" t="str">
        <f>IF(OR(VLOOKUP(Table17101282328[[#This Row],[Ln'#]],Elite!A$45:AV$74,22,FALSE)="E",VLOOKUP(Table17101282328[[#This Row],[Ln'#]],Elite!A$45:AT$74,22,FALSE)="FEO"),"Entered or FEO","Not Entered")</f>
        <v>Not Entered</v>
      </c>
      <c r="C191" s="50" t="str">
        <f t="shared" ca="1" si="5"/>
        <v/>
      </c>
      <c r="D191" s="48"/>
      <c r="E191" s="48"/>
      <c r="F191" s="48"/>
      <c r="G191" s="48" t="str">
        <f>IF(Table17101282328[[#This Row],[Status]]="Not Entered","",VLOOKUP(Table17101282328[[#This Row],[Ln'#]],Elite!$A$45:$AV$74,3,FALSE))</f>
        <v/>
      </c>
      <c r="H191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1" s="51" t="str">
        <f>IF(Table17101282328[[#This Row],[Status]]="Not Entered","",VLOOKUP(Table17101282328[[#This Row],[Ln'#]],Elite!$A$45:$AV$74,46,FALSE))</f>
        <v/>
      </c>
    </row>
    <row r="192" spans="1:9" ht="30" customHeight="1" x14ac:dyDescent="0.4">
      <c r="A192" s="49">
        <v>19</v>
      </c>
      <c r="B192" s="49" t="str">
        <f>IF(OR(VLOOKUP(Table17101282328[[#This Row],[Ln'#]],Elite!A$45:AV$74,22,FALSE)="E",VLOOKUP(Table17101282328[[#This Row],[Ln'#]],Elite!A$45:AT$74,22,FALSE)="FEO"),"Entered or FEO","Not Entered")</f>
        <v>Not Entered</v>
      </c>
      <c r="C192" s="50" t="str">
        <f t="shared" ca="1" si="5"/>
        <v/>
      </c>
      <c r="D192" s="48"/>
      <c r="E192" s="48"/>
      <c r="F192" s="48"/>
      <c r="G192" s="48" t="str">
        <f>IF(Table17101282328[[#This Row],[Status]]="Not Entered","",VLOOKUP(Table17101282328[[#This Row],[Ln'#]],Elite!$A$45:$AV$74,3,FALSE))</f>
        <v/>
      </c>
      <c r="H192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2" s="51" t="str">
        <f>IF(Table17101282328[[#This Row],[Status]]="Not Entered","",VLOOKUP(Table17101282328[[#This Row],[Ln'#]],Elite!$A$45:$AV$74,46,FALSE))</f>
        <v/>
      </c>
    </row>
    <row r="193" spans="1:9" ht="30" customHeight="1" x14ac:dyDescent="0.4">
      <c r="A193" s="49">
        <v>20</v>
      </c>
      <c r="B193" s="49" t="str">
        <f>IF(OR(VLOOKUP(Table17101282328[[#This Row],[Ln'#]],Elite!A$45:AV$74,22,FALSE)="E",VLOOKUP(Table17101282328[[#This Row],[Ln'#]],Elite!A$45:AT$74,22,FALSE)="FEO"),"Entered or FEO","Not Entered")</f>
        <v>Not Entered</v>
      </c>
      <c r="C193" s="50" t="str">
        <f t="shared" ca="1" si="5"/>
        <v/>
      </c>
      <c r="D193" s="48"/>
      <c r="E193" s="48"/>
      <c r="F193" s="48"/>
      <c r="G193" s="48" t="str">
        <f>IF(Table17101282328[[#This Row],[Status]]="Not Entered","",VLOOKUP(Table17101282328[[#This Row],[Ln'#]],Elite!$A$45:$AV$74,3,FALSE))</f>
        <v/>
      </c>
      <c r="H193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3" s="51" t="str">
        <f>IF(Table17101282328[[#This Row],[Status]]="Not Entered","",VLOOKUP(Table17101282328[[#This Row],[Ln'#]],Elite!$A$45:$AV$74,46,FALSE))</f>
        <v/>
      </c>
    </row>
    <row r="194" spans="1:9" ht="30" customHeight="1" x14ac:dyDescent="0.4">
      <c r="A194" s="49">
        <v>21</v>
      </c>
      <c r="B194" s="49" t="str">
        <f>IF(OR(VLOOKUP(Table17101282328[[#This Row],[Ln'#]],Elite!A$45:AV$74,22,FALSE)="E",VLOOKUP(Table17101282328[[#This Row],[Ln'#]],Elite!A$45:AT$74,22,FALSE)="FEO"),"Entered or FEO","Not Entered")</f>
        <v>Not Entered</v>
      </c>
      <c r="C194" s="50" t="str">
        <f t="shared" ca="1" si="5"/>
        <v/>
      </c>
      <c r="D194" s="48"/>
      <c r="E194" s="48"/>
      <c r="F194" s="48"/>
      <c r="G194" s="48" t="str">
        <f>IF(Table17101282328[[#This Row],[Status]]="Not Entered","",VLOOKUP(Table17101282328[[#This Row],[Ln'#]],Elite!$A$45:$AV$74,3,FALSE))</f>
        <v/>
      </c>
      <c r="H194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4" s="51" t="str">
        <f>IF(Table17101282328[[#This Row],[Status]]="Not Entered","",VLOOKUP(Table17101282328[[#This Row],[Ln'#]],Elite!$A$45:$AV$74,46,FALSE))</f>
        <v/>
      </c>
    </row>
    <row r="195" spans="1:9" ht="30" customHeight="1" x14ac:dyDescent="0.4">
      <c r="A195" s="49">
        <v>22</v>
      </c>
      <c r="B195" s="49" t="str">
        <f>IF(OR(VLOOKUP(Table17101282328[[#This Row],[Ln'#]],Elite!A$45:AV$74,22,FALSE)="E",VLOOKUP(Table17101282328[[#This Row],[Ln'#]],Elite!A$45:AT$74,22,FALSE)="FEO"),"Entered or FEO","Not Entered")</f>
        <v>Not Entered</v>
      </c>
      <c r="C195" s="50" t="str">
        <f t="shared" ca="1" si="5"/>
        <v/>
      </c>
      <c r="D195" s="48"/>
      <c r="E195" s="48"/>
      <c r="F195" s="48"/>
      <c r="G195" s="48" t="str">
        <f>IF(Table17101282328[[#This Row],[Status]]="Not Entered","",VLOOKUP(Table17101282328[[#This Row],[Ln'#]],Elite!$A$45:$AV$74,3,FALSE))</f>
        <v/>
      </c>
      <c r="H195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5" s="51" t="str">
        <f>IF(Table17101282328[[#This Row],[Status]]="Not Entered","",VLOOKUP(Table17101282328[[#This Row],[Ln'#]],Elite!$A$45:$AV$74,46,FALSE))</f>
        <v/>
      </c>
    </row>
    <row r="196" spans="1:9" ht="30" customHeight="1" x14ac:dyDescent="0.4">
      <c r="A196" s="49">
        <v>23</v>
      </c>
      <c r="B196" s="49" t="str">
        <f>IF(OR(VLOOKUP(Table17101282328[[#This Row],[Ln'#]],Elite!A$45:AV$74,22,FALSE)="E",VLOOKUP(Table17101282328[[#This Row],[Ln'#]],Elite!A$45:AT$74,22,FALSE)="FEO"),"Entered or FEO","Not Entered")</f>
        <v>Not Entered</v>
      </c>
      <c r="C196" s="50" t="str">
        <f t="shared" ca="1" si="5"/>
        <v/>
      </c>
      <c r="D196" s="48"/>
      <c r="E196" s="48"/>
      <c r="F196" s="48"/>
      <c r="G196" s="48" t="str">
        <f>IF(Table17101282328[[#This Row],[Status]]="Not Entered","",VLOOKUP(Table17101282328[[#This Row],[Ln'#]],Elite!$A$45:$AV$74,3,FALSE))</f>
        <v/>
      </c>
      <c r="H196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6" s="51" t="str">
        <f>IF(Table17101282328[[#This Row],[Status]]="Not Entered","",VLOOKUP(Table17101282328[[#This Row],[Ln'#]],Elite!$A$45:$AV$74,46,FALSE))</f>
        <v/>
      </c>
    </row>
    <row r="197" spans="1:9" ht="30" customHeight="1" x14ac:dyDescent="0.4">
      <c r="A197" s="49">
        <v>24</v>
      </c>
      <c r="B197" s="49" t="str">
        <f>IF(OR(VLOOKUP(Table17101282328[[#This Row],[Ln'#]],Elite!A$45:AV$74,22,FALSE)="E",VLOOKUP(Table17101282328[[#This Row],[Ln'#]],Elite!A$45:AT$74,22,FALSE)="FEO"),"Entered or FEO","Not Entered")</f>
        <v>Not Entered</v>
      </c>
      <c r="C197" s="50" t="str">
        <f t="shared" ca="1" si="5"/>
        <v/>
      </c>
      <c r="D197" s="48"/>
      <c r="E197" s="48"/>
      <c r="F197" s="48"/>
      <c r="G197" s="48" t="str">
        <f>IF(Table17101282328[[#This Row],[Status]]="Not Entered","",VLOOKUP(Table17101282328[[#This Row],[Ln'#]],Elite!$A$45:$AV$74,3,FALSE))</f>
        <v/>
      </c>
      <c r="H197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7" s="51" t="str">
        <f>IF(Table17101282328[[#This Row],[Status]]="Not Entered","",VLOOKUP(Table17101282328[[#This Row],[Ln'#]],Elite!$A$45:$AV$74,46,FALSE))</f>
        <v/>
      </c>
    </row>
    <row r="198" spans="1:9" ht="30" customHeight="1" x14ac:dyDescent="0.4">
      <c r="A198" s="49">
        <v>25</v>
      </c>
      <c r="B198" s="49" t="str">
        <f>IF(OR(VLOOKUP(Table17101282328[[#This Row],[Ln'#]],Elite!A$45:AV$74,22,FALSE)="E",VLOOKUP(Table17101282328[[#This Row],[Ln'#]],Elite!A$45:AT$74,22,FALSE)="FEO"),"Entered or FEO","Not Entered")</f>
        <v>Not Entered</v>
      </c>
      <c r="C198" s="50" t="str">
        <f t="shared" ca="1" si="5"/>
        <v/>
      </c>
      <c r="D198" s="48"/>
      <c r="E198" s="48"/>
      <c r="F198" s="48"/>
      <c r="G198" s="48" t="str">
        <f>IF(Table17101282328[[#This Row],[Status]]="Not Entered","",VLOOKUP(Table17101282328[[#This Row],[Ln'#]],Elite!$A$45:$AV$74,3,FALSE))</f>
        <v/>
      </c>
      <c r="H198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8" s="51" t="str">
        <f>IF(Table17101282328[[#This Row],[Status]]="Not Entered","",VLOOKUP(Table17101282328[[#This Row],[Ln'#]],Elite!$A$45:$AV$74,46,FALSE))</f>
        <v/>
      </c>
    </row>
    <row r="199" spans="1:9" ht="30" customHeight="1" x14ac:dyDescent="0.4">
      <c r="A199" s="49">
        <v>26</v>
      </c>
      <c r="B199" s="49" t="str">
        <f>IF(OR(VLOOKUP(Table17101282328[[#This Row],[Ln'#]],Elite!A$45:AV$74,22,FALSE)="E",VLOOKUP(Table17101282328[[#This Row],[Ln'#]],Elite!A$45:AT$74,22,FALSE)="FEO"),"Entered or FEO","Not Entered")</f>
        <v>Not Entered</v>
      </c>
      <c r="C199" s="50" t="str">
        <f t="shared" ca="1" si="5"/>
        <v/>
      </c>
      <c r="D199" s="48"/>
      <c r="E199" s="48"/>
      <c r="F199" s="48"/>
      <c r="G199" s="48" t="str">
        <f>IF(Table17101282328[[#This Row],[Status]]="Not Entered","",VLOOKUP(Table17101282328[[#This Row],[Ln'#]],Elite!$A$45:$AV$74,3,FALSE))</f>
        <v/>
      </c>
      <c r="H199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9" s="51" t="str">
        <f>IF(Table17101282328[[#This Row],[Status]]="Not Entered","",VLOOKUP(Table17101282328[[#This Row],[Ln'#]],Elite!$A$45:$AV$74,46,FALSE))</f>
        <v/>
      </c>
    </row>
    <row r="200" spans="1:9" ht="30" customHeight="1" x14ac:dyDescent="0.4">
      <c r="A200" s="49">
        <v>27</v>
      </c>
      <c r="B200" s="49" t="str">
        <f>IF(OR(VLOOKUP(Table17101282328[[#This Row],[Ln'#]],Elite!A$45:AV$74,22,FALSE)="E",VLOOKUP(Table17101282328[[#This Row],[Ln'#]],Elite!A$45:AT$74,22,FALSE)="FEO"),"Entered or FEO","Not Entered")</f>
        <v>Not Entered</v>
      </c>
      <c r="C200" s="50" t="str">
        <f t="shared" ca="1" si="5"/>
        <v/>
      </c>
      <c r="D200" s="48"/>
      <c r="E200" s="48"/>
      <c r="F200" s="48"/>
      <c r="G200" s="48" t="str">
        <f>IF(Table17101282328[[#This Row],[Status]]="Not Entered","",VLOOKUP(Table17101282328[[#This Row],[Ln'#]],Elite!$A$45:$AV$74,3,FALSE))</f>
        <v/>
      </c>
      <c r="H200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0" s="51" t="str">
        <f>IF(Table17101282328[[#This Row],[Status]]="Not Entered","",VLOOKUP(Table17101282328[[#This Row],[Ln'#]],Elite!$A$45:$AV$74,46,FALSE))</f>
        <v/>
      </c>
    </row>
    <row r="201" spans="1:9" ht="30" customHeight="1" x14ac:dyDescent="0.4">
      <c r="A201" s="49">
        <v>28</v>
      </c>
      <c r="B201" s="49" t="str">
        <f>IF(OR(VLOOKUP(Table17101282328[[#This Row],[Ln'#]],Elite!A$45:AV$74,22,FALSE)="E",VLOOKUP(Table17101282328[[#This Row],[Ln'#]],Elite!A$45:AT$74,22,FALSE)="FEO"),"Entered or FEO","Not Entered")</f>
        <v>Not Entered</v>
      </c>
      <c r="C201" s="50" t="str">
        <f t="shared" ca="1" si="5"/>
        <v/>
      </c>
      <c r="D201" s="48"/>
      <c r="E201" s="48"/>
      <c r="F201" s="48"/>
      <c r="G201" s="48" t="str">
        <f>IF(Table17101282328[[#This Row],[Status]]="Not Entered","",VLOOKUP(Table17101282328[[#This Row],[Ln'#]],Elite!$A$45:$AV$74,3,FALSE))</f>
        <v/>
      </c>
      <c r="H201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1" s="51" t="str">
        <f>IF(Table17101282328[[#This Row],[Status]]="Not Entered","",VLOOKUP(Table17101282328[[#This Row],[Ln'#]],Elite!$A$45:$AV$74,46,FALSE))</f>
        <v/>
      </c>
    </row>
    <row r="202" spans="1:9" ht="30" customHeight="1" x14ac:dyDescent="0.4">
      <c r="A202" s="49">
        <v>29</v>
      </c>
      <c r="B202" s="49" t="str">
        <f>IF(OR(VLOOKUP(Table17101282328[[#This Row],[Ln'#]],Elite!A$45:AV$74,22,FALSE)="E",VLOOKUP(Table17101282328[[#This Row],[Ln'#]],Elite!A$45:AT$74,22,FALSE)="FEO"),"Entered or FEO","Not Entered")</f>
        <v>Not Entered</v>
      </c>
      <c r="C202" s="50" t="str">
        <f t="shared" ca="1" si="5"/>
        <v/>
      </c>
      <c r="D202" s="48"/>
      <c r="E202" s="48"/>
      <c r="F202" s="48"/>
      <c r="G202" s="48" t="str">
        <f>IF(Table17101282328[[#This Row],[Status]]="Not Entered","",VLOOKUP(Table17101282328[[#This Row],[Ln'#]],Elite!$A$45:$AV$74,3,FALSE))</f>
        <v/>
      </c>
      <c r="H202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2" s="51" t="str">
        <f>IF(Table17101282328[[#This Row],[Status]]="Not Entered","",VLOOKUP(Table17101282328[[#This Row],[Ln'#]],Elite!$A$45:$AV$74,46,FALSE))</f>
        <v/>
      </c>
    </row>
    <row r="203" spans="1:9" ht="30" customHeight="1" x14ac:dyDescent="0.4">
      <c r="A203" s="49">
        <v>30</v>
      </c>
      <c r="B203" s="49" t="str">
        <f>IF(OR(VLOOKUP(Table17101282328[[#This Row],[Ln'#]],Elite!A$45:AV$74,22,FALSE)="E",VLOOKUP(Table17101282328[[#This Row],[Ln'#]],Elite!A$45:AT$74,22,FALSE)="FEO"),"Entered or FEO","Not Entered")</f>
        <v>Not Entered</v>
      </c>
      <c r="C203" s="50" t="str">
        <f t="shared" ca="1" si="5"/>
        <v/>
      </c>
      <c r="D203" s="48"/>
      <c r="E203" s="48"/>
      <c r="F203" s="48"/>
      <c r="G203" s="48" t="str">
        <f>IF(Table17101282328[[#This Row],[Status]]="Not Entered","",VLOOKUP(Table17101282328[[#This Row],[Ln'#]],Elite!$A$45:$AV$74,3,FALSE))</f>
        <v/>
      </c>
      <c r="H203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3" s="51" t="str">
        <f>IF(Table17101282328[[#This Row],[Status]]="Not Entered","",VLOOKUP(Table17101282328[[#This Row],[Ln'#]],Elite!$A$45:$AV$74,46,FALSE))</f>
        <v/>
      </c>
    </row>
    <row r="204" spans="1:9" ht="30" customHeight="1" x14ac:dyDescent="0.4">
      <c r="A204" s="48"/>
      <c r="B204" s="48"/>
      <c r="C204" s="48"/>
      <c r="D204" s="48" t="s">
        <v>1141</v>
      </c>
      <c r="E204" s="48">
        <f>SUBTOTAL(102,Table17101282328[Running Order])</f>
        <v>0</v>
      </c>
      <c r="F204" s="48"/>
      <c r="G204" s="48"/>
      <c r="H204" s="51"/>
      <c r="I204" s="51"/>
    </row>
  </sheetData>
  <sheetProtection selectLockedCells="1"/>
  <mergeCells count="16">
    <mergeCell ref="A172:B172"/>
    <mergeCell ref="D172:I172"/>
    <mergeCell ref="L2:S2"/>
    <mergeCell ref="L36:S36"/>
    <mergeCell ref="L104:S104"/>
    <mergeCell ref="L138:S138"/>
    <mergeCell ref="A2:B2"/>
    <mergeCell ref="D2:I2"/>
    <mergeCell ref="A36:B36"/>
    <mergeCell ref="D36:I36"/>
    <mergeCell ref="A70:B70"/>
    <mergeCell ref="D70:I70"/>
    <mergeCell ref="A104:B104"/>
    <mergeCell ref="D104:I104"/>
    <mergeCell ref="A138:B138"/>
    <mergeCell ref="D138:I138"/>
  </mergeCells>
  <printOptions horizontalCentered="1" gridLines="1"/>
  <pageMargins left="0.7" right="0.7" top="0.75" bottom="0.75" header="0.3" footer="0.3"/>
  <pageSetup scale="72" fitToHeight="0" orientation="landscape" r:id="rId1"/>
  <rowBreaks count="6" manualBreakCount="6">
    <brk id="34" max="16383" man="1"/>
    <brk id="68" max="16383" man="1"/>
    <brk id="102" max="16383" man="1"/>
    <brk id="136" max="16383" man="1"/>
    <brk id="170" max="16383" man="1"/>
    <brk id="204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AS116"/>
  <sheetViews>
    <sheetView showZeros="0" zoomScale="80" zoomScaleNormal="8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D7" sqref="D7"/>
    </sheetView>
  </sheetViews>
  <sheetFormatPr defaultColWidth="9.140625" defaultRowHeight="24.75" customHeight="1" x14ac:dyDescent="0.25"/>
  <cols>
    <col min="1" max="1" width="7.7109375" style="9" bestFit="1" customWidth="1"/>
    <col min="2" max="2" width="11.5703125" style="57" bestFit="1" customWidth="1"/>
    <col min="3" max="3" width="12" style="57" bestFit="1" customWidth="1"/>
    <col min="4" max="4" width="11" style="9" customWidth="1"/>
    <col min="5" max="5" width="15" style="9" bestFit="1" customWidth="1"/>
    <col min="6" max="6" width="22" style="9" customWidth="1"/>
    <col min="7" max="7" width="20" style="9" bestFit="1" customWidth="1"/>
    <col min="8" max="8" width="18.42578125" style="9" bestFit="1" customWidth="1"/>
    <col min="9" max="9" width="6" customWidth="1"/>
    <col min="10" max="12" width="6" style="57" customWidth="1"/>
    <col min="13" max="13" width="21.7109375" style="57" hidden="1" customWidth="1"/>
    <col min="14" max="14" width="10.7109375" style="57" customWidth="1"/>
    <col min="15" max="15" width="10.7109375" style="151" customWidth="1"/>
    <col min="16" max="19" width="10.7109375" style="57" customWidth="1"/>
    <col min="20" max="20" width="10.7109375" style="57" hidden="1" customWidth="1"/>
    <col min="21" max="26" width="10.7109375" style="57" customWidth="1"/>
    <col min="27" max="27" width="10.7109375" style="57" hidden="1" customWidth="1"/>
    <col min="28" max="33" width="10.7109375" style="57" customWidth="1"/>
    <col min="34" max="34" width="10.7109375" style="9" hidden="1" customWidth="1"/>
    <col min="35" max="36" width="10.7109375" style="57" customWidth="1"/>
    <col min="37" max="40" width="10.7109375" style="9" customWidth="1"/>
    <col min="41" max="42" width="9.140625" style="9" customWidth="1"/>
    <col min="43" max="16384" width="9.140625" style="9"/>
  </cols>
  <sheetData>
    <row r="1" spans="1:45" ht="22.5" hidden="1" customHeight="1" x14ac:dyDescent="0.2">
      <c r="B1" s="9"/>
      <c r="D1" s="57">
        <v>1</v>
      </c>
      <c r="E1" s="57">
        <f>D1+1</f>
        <v>2</v>
      </c>
      <c r="F1" s="57">
        <f t="shared" ref="F1:AN1" si="0">E1+1</f>
        <v>3</v>
      </c>
      <c r="G1" s="57">
        <f t="shared" si="0"/>
        <v>4</v>
      </c>
      <c r="H1" s="57">
        <f t="shared" si="0"/>
        <v>5</v>
      </c>
      <c r="I1" s="57">
        <f t="shared" si="0"/>
        <v>6</v>
      </c>
      <c r="J1" s="57">
        <f t="shared" si="0"/>
        <v>7</v>
      </c>
      <c r="K1" s="57">
        <f t="shared" si="0"/>
        <v>8</v>
      </c>
      <c r="L1" s="57">
        <f t="shared" si="0"/>
        <v>9</v>
      </c>
      <c r="M1" s="57">
        <f t="shared" si="0"/>
        <v>10</v>
      </c>
      <c r="N1" s="57">
        <f t="shared" si="0"/>
        <v>11</v>
      </c>
      <c r="O1" s="57">
        <f t="shared" si="0"/>
        <v>12</v>
      </c>
      <c r="P1" s="57">
        <f t="shared" si="0"/>
        <v>13</v>
      </c>
      <c r="Q1" s="57">
        <f t="shared" si="0"/>
        <v>14</v>
      </c>
      <c r="R1" s="57">
        <f t="shared" si="0"/>
        <v>15</v>
      </c>
      <c r="S1" s="57">
        <f t="shared" si="0"/>
        <v>16</v>
      </c>
      <c r="T1" s="57">
        <f t="shared" si="0"/>
        <v>17</v>
      </c>
      <c r="U1" s="57">
        <f t="shared" si="0"/>
        <v>18</v>
      </c>
      <c r="V1" s="57">
        <f t="shared" si="0"/>
        <v>19</v>
      </c>
      <c r="W1" s="57">
        <f t="shared" si="0"/>
        <v>20</v>
      </c>
      <c r="X1" s="57">
        <f t="shared" si="0"/>
        <v>21</v>
      </c>
      <c r="Y1" s="57">
        <f t="shared" si="0"/>
        <v>22</v>
      </c>
      <c r="Z1" s="57">
        <f t="shared" si="0"/>
        <v>23</v>
      </c>
      <c r="AA1" s="57">
        <f t="shared" si="0"/>
        <v>24</v>
      </c>
      <c r="AB1" s="57">
        <f t="shared" si="0"/>
        <v>25</v>
      </c>
      <c r="AC1" s="57">
        <f t="shared" si="0"/>
        <v>26</v>
      </c>
      <c r="AD1" s="57">
        <f t="shared" si="0"/>
        <v>27</v>
      </c>
      <c r="AE1" s="57">
        <f t="shared" si="0"/>
        <v>28</v>
      </c>
      <c r="AF1" s="57">
        <f t="shared" si="0"/>
        <v>29</v>
      </c>
      <c r="AG1" s="57">
        <f t="shared" si="0"/>
        <v>30</v>
      </c>
      <c r="AH1" s="57">
        <f t="shared" si="0"/>
        <v>31</v>
      </c>
      <c r="AI1" s="57">
        <f t="shared" si="0"/>
        <v>32</v>
      </c>
      <c r="AJ1" s="57">
        <f t="shared" si="0"/>
        <v>33</v>
      </c>
      <c r="AK1" s="57">
        <f t="shared" si="0"/>
        <v>34</v>
      </c>
      <c r="AL1" s="57">
        <f t="shared" si="0"/>
        <v>35</v>
      </c>
      <c r="AM1" s="57">
        <f t="shared" si="0"/>
        <v>36</v>
      </c>
      <c r="AN1" s="57">
        <f t="shared" si="0"/>
        <v>37</v>
      </c>
    </row>
    <row r="2" spans="1:45" ht="24.75" customHeight="1" x14ac:dyDescent="0.2">
      <c r="A2" s="178" t="s">
        <v>3703</v>
      </c>
      <c r="B2" s="179" t="s">
        <v>9880</v>
      </c>
      <c r="C2" s="405" t="str">
        <f>IF(GamesRunningOrderType="A","Aerial",IF(GamesRunningOrderType="D","Distance",IF(GamesRunningOrderType="S","Speed",IF(GamesRunningOrderType="T","Team","Select the"))))&amp;" Running Order"</f>
        <v>Aerial Running Order</v>
      </c>
      <c r="D2" s="406"/>
      <c r="E2" s="406"/>
      <c r="F2" s="406"/>
      <c r="G2" s="406"/>
      <c r="H2" s="57"/>
      <c r="I2" s="57"/>
      <c r="N2" s="408" t="s">
        <v>9899</v>
      </c>
      <c r="O2" s="408"/>
      <c r="P2" s="408"/>
      <c r="Q2" s="408"/>
      <c r="R2" s="408"/>
      <c r="S2" s="408"/>
      <c r="U2" s="408" t="s">
        <v>9899</v>
      </c>
      <c r="V2" s="408"/>
      <c r="W2" s="408"/>
      <c r="X2" s="408"/>
      <c r="Y2" s="408"/>
      <c r="Z2" s="408"/>
      <c r="AB2" s="408" t="s">
        <v>9899</v>
      </c>
      <c r="AC2" s="408"/>
      <c r="AD2" s="408"/>
      <c r="AE2" s="408"/>
      <c r="AF2" s="408"/>
      <c r="AG2" s="408"/>
      <c r="AH2" s="57"/>
      <c r="AI2" s="408" t="s">
        <v>9899</v>
      </c>
      <c r="AJ2" s="408"/>
      <c r="AK2" s="408"/>
      <c r="AL2" s="408"/>
      <c r="AM2" s="408"/>
      <c r="AN2" s="408"/>
    </row>
    <row r="3" spans="1:45" ht="48.75" customHeight="1" x14ac:dyDescent="0.2">
      <c r="A3" s="171"/>
      <c r="B3" s="169" t="s">
        <v>605</v>
      </c>
      <c r="C3" s="174" t="s">
        <v>3702</v>
      </c>
      <c r="D3" s="174" t="s">
        <v>3580</v>
      </c>
      <c r="E3" s="175" t="s">
        <v>3118</v>
      </c>
      <c r="F3" s="175" t="s">
        <v>1</v>
      </c>
      <c r="G3" s="175" t="s">
        <v>1137</v>
      </c>
      <c r="H3" s="171" t="s">
        <v>1561</v>
      </c>
      <c r="I3" s="206" t="s">
        <v>8700</v>
      </c>
      <c r="J3" s="171" t="s">
        <v>8701</v>
      </c>
      <c r="K3" s="171" t="s">
        <v>8702</v>
      </c>
      <c r="L3" s="171" t="s">
        <v>8703</v>
      </c>
      <c r="M3" s="171" t="s">
        <v>3661</v>
      </c>
      <c r="N3" s="293" t="s">
        <v>3662</v>
      </c>
      <c r="O3" s="294" t="s">
        <v>3663</v>
      </c>
      <c r="P3" s="294" t="s">
        <v>9878</v>
      </c>
      <c r="Q3" s="294" t="s">
        <v>9879</v>
      </c>
      <c r="R3" s="294" t="s">
        <v>3664</v>
      </c>
      <c r="S3" s="295" t="s">
        <v>3665</v>
      </c>
      <c r="T3" s="170" t="s">
        <v>3666</v>
      </c>
      <c r="U3" s="296" t="s">
        <v>3667</v>
      </c>
      <c r="V3" s="297" t="s">
        <v>3668</v>
      </c>
      <c r="W3" s="297" t="s">
        <v>9883</v>
      </c>
      <c r="X3" s="297" t="s">
        <v>9884</v>
      </c>
      <c r="Y3" s="297" t="s">
        <v>3669</v>
      </c>
      <c r="Z3" s="297" t="s">
        <v>3670</v>
      </c>
      <c r="AA3" s="170" t="s">
        <v>3671</v>
      </c>
      <c r="AB3" s="298" t="s">
        <v>3672</v>
      </c>
      <c r="AC3" s="299" t="s">
        <v>3673</v>
      </c>
      <c r="AD3" s="299" t="s">
        <v>9889</v>
      </c>
      <c r="AE3" s="299" t="s">
        <v>9890</v>
      </c>
      <c r="AF3" s="299" t="s">
        <v>3674</v>
      </c>
      <c r="AG3" s="299" t="s">
        <v>3675</v>
      </c>
      <c r="AH3" s="170" t="s">
        <v>3676</v>
      </c>
      <c r="AI3" s="172" t="s">
        <v>3677</v>
      </c>
      <c r="AJ3" s="170" t="s">
        <v>3678</v>
      </c>
      <c r="AK3" s="170" t="s">
        <v>9893</v>
      </c>
      <c r="AL3" s="170" t="s">
        <v>9894</v>
      </c>
      <c r="AM3" s="170" t="s">
        <v>3679</v>
      </c>
      <c r="AN3" s="173" t="s">
        <v>3680</v>
      </c>
      <c r="AO3" s="170" t="s">
        <v>3681</v>
      </c>
      <c r="AP3" s="228" t="s">
        <v>3682</v>
      </c>
      <c r="AQ3" s="170" t="s">
        <v>3683</v>
      </c>
      <c r="AR3" s="170" t="s">
        <v>3684</v>
      </c>
      <c r="AS3" s="230" t="s">
        <v>3685</v>
      </c>
    </row>
    <row r="4" spans="1:45" s="6" customFormat="1" ht="43.5" customHeight="1" x14ac:dyDescent="0.25">
      <c r="A4" s="171"/>
      <c r="B4" s="407" t="s">
        <v>3687</v>
      </c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7"/>
      <c r="Z4" s="407"/>
      <c r="AA4" s="407"/>
      <c r="AB4" s="407"/>
      <c r="AC4" s="407"/>
      <c r="AD4" s="407"/>
      <c r="AE4" s="407"/>
      <c r="AF4" s="407"/>
      <c r="AG4" s="407"/>
      <c r="AH4" s="407"/>
      <c r="AI4" s="407"/>
      <c r="AJ4" s="407"/>
      <c r="AK4" s="407"/>
      <c r="AL4" s="407"/>
      <c r="AM4" s="407"/>
      <c r="AN4" s="407"/>
      <c r="AO4" s="170"/>
      <c r="AP4" s="229"/>
      <c r="AQ4" s="170"/>
      <c r="AR4" s="170"/>
      <c r="AS4" s="229"/>
    </row>
    <row r="5" spans="1:45" s="6" customFormat="1" ht="24.75" hidden="1" customHeight="1" x14ac:dyDescent="0.25">
      <c r="A5" s="171" t="s">
        <v>3688</v>
      </c>
      <c r="B5" s="154"/>
      <c r="C5" s="155"/>
      <c r="D5" s="155"/>
      <c r="E5" s="6" t="s">
        <v>3588</v>
      </c>
      <c r="F5" s="6" t="s">
        <v>3585</v>
      </c>
      <c r="G5" s="176" t="s">
        <v>3586</v>
      </c>
      <c r="K5" s="155"/>
      <c r="L5" s="155"/>
      <c r="M5" s="156"/>
      <c r="N5" s="155" t="s">
        <v>4933</v>
      </c>
      <c r="O5" s="156"/>
      <c r="Q5" s="155"/>
      <c r="R5" s="155"/>
      <c r="S5" s="155"/>
      <c r="T5" s="155"/>
      <c r="U5" s="155" t="s">
        <v>4934</v>
      </c>
      <c r="V5" s="155"/>
      <c r="X5" s="155"/>
      <c r="Y5" s="155"/>
      <c r="Z5" s="155"/>
      <c r="AA5" s="155"/>
      <c r="AB5" s="155" t="s">
        <v>4935</v>
      </c>
      <c r="AC5" s="155"/>
      <c r="AE5" s="155"/>
      <c r="AF5" s="155"/>
      <c r="AG5" s="155"/>
      <c r="AH5" s="155"/>
      <c r="AI5" s="155" t="s">
        <v>4936</v>
      </c>
      <c r="AJ5" s="155"/>
      <c r="AM5" s="155"/>
      <c r="AN5" s="155"/>
      <c r="AQ5" s="157"/>
    </row>
    <row r="6" spans="1:45" s="5" customFormat="1" ht="48.75" customHeight="1" x14ac:dyDescent="0.25">
      <c r="A6" s="171" t="s">
        <v>3688</v>
      </c>
      <c r="B6" s="158" t="s">
        <v>3696</v>
      </c>
      <c r="C6" s="159" t="s">
        <v>3704</v>
      </c>
      <c r="D6" s="159" t="s">
        <v>3691</v>
      </c>
      <c r="E6" s="160" t="s">
        <v>3692</v>
      </c>
      <c r="F6" s="160" t="s">
        <v>3693</v>
      </c>
      <c r="G6" s="160" t="s">
        <v>3694</v>
      </c>
      <c r="H6" s="160" t="s">
        <v>3695</v>
      </c>
      <c r="I6" s="207" t="s">
        <v>8700</v>
      </c>
      <c r="J6" s="160" t="s">
        <v>8701</v>
      </c>
      <c r="K6" s="160" t="s">
        <v>8702</v>
      </c>
      <c r="L6" s="223" t="s">
        <v>8703</v>
      </c>
      <c r="M6" s="160" t="s">
        <v>3615</v>
      </c>
      <c r="N6" s="293" t="s">
        <v>3612</v>
      </c>
      <c r="O6" s="294" t="s">
        <v>3613</v>
      </c>
      <c r="P6" s="294" t="s">
        <v>9874</v>
      </c>
      <c r="Q6" s="294" t="s">
        <v>9877</v>
      </c>
      <c r="R6" s="294" t="s">
        <v>3632</v>
      </c>
      <c r="S6" s="295" t="s">
        <v>3614</v>
      </c>
      <c r="T6" s="159" t="s">
        <v>3637</v>
      </c>
      <c r="U6" s="296" t="s">
        <v>3616</v>
      </c>
      <c r="V6" s="297" t="s">
        <v>3617</v>
      </c>
      <c r="W6" s="297" t="s">
        <v>9881</v>
      </c>
      <c r="X6" s="297" t="s">
        <v>9882</v>
      </c>
      <c r="Y6" s="297" t="s">
        <v>3633</v>
      </c>
      <c r="Z6" s="297" t="s">
        <v>3618</v>
      </c>
      <c r="AA6" s="159" t="s">
        <v>3619</v>
      </c>
      <c r="AB6" s="298" t="s">
        <v>3620</v>
      </c>
      <c r="AC6" s="299" t="s">
        <v>3621</v>
      </c>
      <c r="AD6" s="299" t="s">
        <v>9887</v>
      </c>
      <c r="AE6" s="299" t="s">
        <v>9888</v>
      </c>
      <c r="AF6" s="299" t="s">
        <v>3634</v>
      </c>
      <c r="AG6" s="299" t="s">
        <v>3622</v>
      </c>
      <c r="AH6" s="159" t="s">
        <v>3623</v>
      </c>
      <c r="AI6" s="161" t="s">
        <v>3624</v>
      </c>
      <c r="AJ6" s="159" t="s">
        <v>3625</v>
      </c>
      <c r="AK6" s="174" t="s">
        <v>9895</v>
      </c>
      <c r="AL6" s="174" t="s">
        <v>9896</v>
      </c>
      <c r="AM6" s="159" t="s">
        <v>3635</v>
      </c>
      <c r="AN6" s="226" t="s">
        <v>3626</v>
      </c>
      <c r="AO6" s="162" t="s">
        <v>3627</v>
      </c>
      <c r="AP6" s="163" t="s">
        <v>3628</v>
      </c>
      <c r="AQ6" s="162" t="s">
        <v>3629</v>
      </c>
      <c r="AR6" s="162" t="s">
        <v>3630</v>
      </c>
      <c r="AS6" s="164" t="s">
        <v>3631</v>
      </c>
    </row>
    <row r="7" spans="1:45" s="6" customFormat="1" ht="24.75" customHeight="1" x14ac:dyDescent="0.25">
      <c r="A7" s="171" t="s">
        <v>3688</v>
      </c>
      <c r="B7" s="155">
        <v>1</v>
      </c>
      <c r="C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7" s="218"/>
      <c r="E7" s="219" t="str">
        <f>IFERROR(VLOOKUP(GamesDay1[[#This Row],[Dog D1]],'SDDA Dogs'!A:B,2,FALSE),"")</f>
        <v/>
      </c>
      <c r="F7" s="219" t="str">
        <f>IFERROR(VLOOKUP(GamesDay1[[#This Row],[Dog D1]],'SDDA Dogs'!A:C,3,FALSE),"")</f>
        <v/>
      </c>
      <c r="G7" s="219" t="str">
        <f>IFERROR(VLOOKUP(GamesDay1[[#This Row],[Dog D1]],'SDDA Dogs'!A:F,6,FALSE),"")</f>
        <v/>
      </c>
      <c r="H7" s="168"/>
      <c r="I7" s="165">
        <f>GamesDay1[[#This Row],[Total Qs Aerial D1]]</f>
        <v>0</v>
      </c>
      <c r="J7" s="155">
        <f>GamesDay1[[#This Row],[Total Qs Distance D1]]</f>
        <v>0</v>
      </c>
      <c r="K7" s="155">
        <f>GamesDay1[[#This Row],[Total Qs Speed D1]]</f>
        <v>0</v>
      </c>
      <c r="L7" s="224">
        <f>GamesDay1[[#This Row],[Total Qs Team D1]]</f>
        <v>0</v>
      </c>
      <c r="M7" s="219" t="e">
        <f t="shared" ref="M7:M38" si="1">VLOOKUP(JudgeD1GamesAerial,JudgesList,2,FALSE)</f>
        <v>#N/A</v>
      </c>
      <c r="N7" s="293">
        <f>IFERROR(VLOOKUP(GamesDay1[[#This Row],[Dog D1]]&amp;"-"&amp;N$5,DogInfo!A:B,2,FALSE),0)</f>
        <v>0</v>
      </c>
      <c r="O7" s="301"/>
      <c r="P7" s="302"/>
      <c r="Q7" s="294" t="str">
        <f>IF(ISBLANK(GamesDay1[[#This Row],[Time Aerial D1]]),"",RANK(GamesDay1[[#This Row],[Time Aerial D1]],GamesDay1[Time Aerial D1],1))</f>
        <v/>
      </c>
      <c r="R7" s="301"/>
      <c r="S7" s="300">
        <f>IF(GamesDay1[[#This Row],[Pass / Fail Aerial D1]]="P",IF(GamesDay1[[#This Row],[Prev Qs Aerial D1]]="",1,GamesDay1[[#This Row],[Prev Qs Aerial D1]]+1),GamesDay1[[#This Row],[Prev Qs Aerial D1]])</f>
        <v>0</v>
      </c>
      <c r="T7" s="155" t="e">
        <f t="shared" ref="T7:T38" si="2">VLOOKUP(JudgeD1GamesDistance,JudgesList,2,FALSE)</f>
        <v>#N/A</v>
      </c>
      <c r="U7" s="296">
        <f>IFERROR(VLOOKUP(GamesDay1[[#This Row],[Dog D1]]&amp;"-"&amp;U$5,DogInfo!A:B,2,FALSE),0)</f>
        <v>0</v>
      </c>
      <c r="V7" s="303"/>
      <c r="W7" s="303"/>
      <c r="X7" s="297" t="str">
        <f>IF(ISBLANK(GamesDay1[[#This Row],[Time Distance D1]]),"",RANK(GamesDay1[[#This Row],[Time Distance D1]],GamesDay1[Time Distance D1],1))</f>
        <v/>
      </c>
      <c r="Y7" s="303"/>
      <c r="Z7" s="297">
        <f>IF(GamesDay1[[#This Row],[Pass / Fail Distance D1]]="P",IF(GamesDay1[[#This Row],[Prev Qs Distance D1]]="",1,GamesDay1[[#This Row],[Prev Qs Distance D1]]+1),GamesDay1[[#This Row],[Prev Qs Distance D1]])</f>
        <v>0</v>
      </c>
      <c r="AA7" s="155" t="e">
        <f t="shared" ref="AA7:AA38" si="3">VLOOKUP(JudgeD1GamesSpeed,JudgesList,2,FALSE)</f>
        <v>#N/A</v>
      </c>
      <c r="AB7" s="298">
        <f>IFERROR(VLOOKUP(GamesDay1[[#This Row],[Dog D1]]&amp;"-"&amp;AB$5,DogInfo!A:B,2,FALSE),0)</f>
        <v>0</v>
      </c>
      <c r="AC7" s="304"/>
      <c r="AD7" s="304"/>
      <c r="AE7" s="299" t="str">
        <f>IF(ISBLANK(GamesDay1[[#This Row],[Time Speed D1]]),"",RANK(GamesDay1[[#This Row],[Time Speed D1]],GamesDay1[Time Speed D1],1))</f>
        <v/>
      </c>
      <c r="AF7" s="304"/>
      <c r="AG7" s="299">
        <f>IF(GamesDay1[[#This Row],[Pass / Fail Speed D1]]="P",IF(GamesDay1[[#This Row],[Prev Qs Speed D1]]="",1,GamesDay1[[#This Row],[Prev Qs Speed D1]]+1),GamesDay1[[#This Row],[Prev Qs Speed D1]])</f>
        <v>0</v>
      </c>
      <c r="AH7" s="155" t="e">
        <f t="shared" ref="AH7:AH38" si="4">VLOOKUP(JudgeD1GamesTeam,JudgesList,2,FALSE)</f>
        <v>#N/A</v>
      </c>
      <c r="AI7" s="155">
        <f>IFERROR(VLOOKUP(GamesDay1[[#This Row],[Dog D1]]&amp;"-"&amp;AI$5,DogInfo!A:B,2,FALSE),0)</f>
        <v>0</v>
      </c>
      <c r="AJ7" s="220"/>
      <c r="AK7" s="221"/>
      <c r="AL7" s="155" t="str">
        <f>IF(ISBLANK(GamesDay1[[#This Row],[Time Team D1]]),"",RANK(GamesDay1[[#This Row],[Time Team D1]],GamesDay1[Time Team D1],1))</f>
        <v/>
      </c>
      <c r="AM7" s="220"/>
      <c r="AN7" s="225">
        <f>IF(GamesDay1[[#This Row],[Pass / Fail Team D1]]="P",IF(GamesDay1[[#This Row],[Prev Qs Team D1]]="",1,GamesDay1[[#This Row],[Prev Qs Team D1]]+1),GamesDay1[[#This Row],[Prev Qs Team D1]])</f>
        <v>0</v>
      </c>
      <c r="AO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7" s="167">
        <f>GamesDay1[[#This Row],[Number of Games D1]]*SddaFee</f>
        <v>0</v>
      </c>
      <c r="AS7" s="167">
        <f>(GamesDay1[[#This Row],[Number of Games D1]]+GamesDay1[[#This Row],[Number of FEOs D1]])*JudgesFeeFEOGames</f>
        <v>0</v>
      </c>
    </row>
    <row r="8" spans="1:45" s="6" customFormat="1" ht="24.75" customHeight="1" x14ac:dyDescent="0.25">
      <c r="A8" s="171" t="s">
        <v>3688</v>
      </c>
      <c r="B8" s="155">
        <v>2</v>
      </c>
      <c r="C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8" s="220"/>
      <c r="E8" s="219" t="str">
        <f>IFERROR(VLOOKUP(GamesDay1[[#This Row],[Dog D1]],'SDDA Dogs'!A:B,2,FALSE),"")</f>
        <v/>
      </c>
      <c r="F8" s="219" t="str">
        <f>IFERROR(VLOOKUP(GamesDay1[[#This Row],[Dog D1]],'SDDA Dogs'!A:C,3,FALSE),"")</f>
        <v/>
      </c>
      <c r="G8" s="219" t="str">
        <f>IFERROR(VLOOKUP(GamesDay1[[#This Row],[Dog D1]],'SDDA Dogs'!A:F,6,FALSE),"")</f>
        <v/>
      </c>
      <c r="H8" s="219"/>
      <c r="I8" s="165">
        <f>GamesDay1[[#This Row],[Total Qs Aerial D1]]</f>
        <v>0</v>
      </c>
      <c r="J8" s="155">
        <f>GamesDay1[[#This Row],[Total Qs Distance D1]]</f>
        <v>0</v>
      </c>
      <c r="K8" s="155">
        <f>GamesDay1[[#This Row],[Total Qs Speed D1]]</f>
        <v>0</v>
      </c>
      <c r="L8" s="224">
        <f>GamesDay1[[#This Row],[Total Qs Team D1]]</f>
        <v>0</v>
      </c>
      <c r="M8" s="219" t="e">
        <f t="shared" si="1"/>
        <v>#N/A</v>
      </c>
      <c r="N8" s="155">
        <f>IFERROR(VLOOKUP(GamesDay1[[#This Row],[Dog D1]]&amp;"-"&amp;N$5,DogInfo!A:B,2,FALSE),0)</f>
        <v>0</v>
      </c>
      <c r="O8" s="220"/>
      <c r="P8" s="221"/>
      <c r="Q8" s="155" t="str">
        <f>IF(ISBLANK(GamesDay1[[#This Row],[Time Aerial D1]]),"",RANK(GamesDay1[[#This Row],[Time Aerial D1]],GamesDay1[Time Aerial D1],1))</f>
        <v/>
      </c>
      <c r="R8" s="220"/>
      <c r="S8" s="225">
        <f>IF(GamesDay1[[#This Row],[Pass / Fail Aerial D1]]="P",IF(GamesDay1[[#This Row],[Prev Qs Aerial D1]]="",1,GamesDay1[[#This Row],[Prev Qs Aerial D1]]+1),GamesDay1[[#This Row],[Prev Qs Aerial D1]])</f>
        <v>0</v>
      </c>
      <c r="T8" s="155" t="e">
        <f t="shared" si="2"/>
        <v>#N/A</v>
      </c>
      <c r="U8" s="155">
        <f>IFERROR(VLOOKUP(GamesDay1[[#This Row],[Dog D1]]&amp;"-"&amp;U$5,DogInfo!A:B,2,FALSE),0)</f>
        <v>0</v>
      </c>
      <c r="V8" s="220"/>
      <c r="W8" s="221"/>
      <c r="X8" s="155" t="str">
        <f>IF(ISBLANK(GamesDay1[[#This Row],[Time Distance D1]]),"",RANK(GamesDay1[[#This Row],[Time Distance D1]],GamesDay1[Time Distance D1],1))</f>
        <v/>
      </c>
      <c r="Y8" s="220"/>
      <c r="Z8" s="225">
        <f>IF(GamesDay1[[#This Row],[Pass / Fail Distance D1]]="P",IF(GamesDay1[[#This Row],[Prev Qs Distance D1]]="",1,GamesDay1[[#This Row],[Prev Qs Distance D1]]+1),GamesDay1[[#This Row],[Prev Qs Distance D1]])</f>
        <v>0</v>
      </c>
      <c r="AA8" s="155" t="e">
        <f t="shared" si="3"/>
        <v>#N/A</v>
      </c>
      <c r="AB8" s="155">
        <f>IFERROR(VLOOKUP(GamesDay1[[#This Row],[Dog D1]]&amp;"-"&amp;AB$5,DogInfo!A:B,2,FALSE),0)</f>
        <v>0</v>
      </c>
      <c r="AC8" s="220"/>
      <c r="AD8" s="221"/>
      <c r="AE8" s="155" t="str">
        <f>IF(ISBLANK(GamesDay1[[#This Row],[Time Speed D1]]),"",RANK(GamesDay1[[#This Row],[Time Speed D1]],GamesDay1[Time Speed D1],1))</f>
        <v/>
      </c>
      <c r="AF8" s="220"/>
      <c r="AG8" s="225">
        <f>IF(GamesDay1[[#This Row],[Pass / Fail Speed D1]]="P",IF(GamesDay1[[#This Row],[Prev Qs Speed D1]]="",1,GamesDay1[[#This Row],[Prev Qs Speed D1]]+1),GamesDay1[[#This Row],[Prev Qs Speed D1]])</f>
        <v>0</v>
      </c>
      <c r="AH8" s="155" t="e">
        <f t="shared" si="4"/>
        <v>#N/A</v>
      </c>
      <c r="AI8" s="155">
        <f>IFERROR(VLOOKUP(GamesDay1[[#This Row],[Dog D1]]&amp;"-"&amp;AI$5,DogInfo!A:B,2,FALSE),0)</f>
        <v>0</v>
      </c>
      <c r="AJ8" s="220"/>
      <c r="AK8" s="221"/>
      <c r="AL8" s="155" t="str">
        <f>IF(ISBLANK(GamesDay1[[#This Row],[Time Team D1]]),"",RANK(GamesDay1[[#This Row],[Time Team D1]],GamesDay1[Time Team D1],1))</f>
        <v/>
      </c>
      <c r="AM8" s="220"/>
      <c r="AN8" s="225">
        <f>IF(GamesDay1[[#This Row],[Pass / Fail Team D1]]="P",IF(GamesDay1[[#This Row],[Prev Qs Team D1]]="",1,GamesDay1[[#This Row],[Prev Qs Team D1]]+1),GamesDay1[[#This Row],[Prev Qs Team D1]])</f>
        <v>0</v>
      </c>
      <c r="AO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8" s="167">
        <f>GamesDay1[[#This Row],[Number of Games D1]]*SddaFee</f>
        <v>0</v>
      </c>
      <c r="AS8" s="167">
        <f>(GamesDay1[[#This Row],[Number of Games D1]]+GamesDay1[[#This Row],[Number of FEOs D1]])*JudgesFeeFEOGames</f>
        <v>0</v>
      </c>
    </row>
    <row r="9" spans="1:45" s="6" customFormat="1" ht="24.75" customHeight="1" x14ac:dyDescent="0.25">
      <c r="A9" s="171" t="s">
        <v>3688</v>
      </c>
      <c r="B9" s="155">
        <v>3</v>
      </c>
      <c r="C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9" s="220"/>
      <c r="E9" s="219" t="str">
        <f>IFERROR(VLOOKUP(GamesDay1[[#This Row],[Dog D1]],'SDDA Dogs'!A:B,2,FALSE),"")</f>
        <v/>
      </c>
      <c r="F9" s="219" t="str">
        <f>IFERROR(VLOOKUP(GamesDay1[[#This Row],[Dog D1]],'SDDA Dogs'!A:C,3,FALSE),"")</f>
        <v/>
      </c>
      <c r="G9" s="219" t="str">
        <f>IFERROR(VLOOKUP(GamesDay1[[#This Row],[Dog D1]],'SDDA Dogs'!A:F,6,FALSE),"")</f>
        <v/>
      </c>
      <c r="H9" s="219"/>
      <c r="I9" s="165">
        <f>GamesDay1[[#This Row],[Total Qs Aerial D1]]</f>
        <v>0</v>
      </c>
      <c r="J9" s="155">
        <f>GamesDay1[[#This Row],[Total Qs Distance D1]]</f>
        <v>0</v>
      </c>
      <c r="K9" s="155">
        <f>GamesDay1[[#This Row],[Total Qs Speed D1]]</f>
        <v>0</v>
      </c>
      <c r="L9" s="224">
        <f>GamesDay1[[#This Row],[Total Qs Team D1]]</f>
        <v>0</v>
      </c>
      <c r="M9" s="219" t="e">
        <f t="shared" si="1"/>
        <v>#N/A</v>
      </c>
      <c r="N9" s="293">
        <f>IFERROR(VLOOKUP(GamesDay1[[#This Row],[Dog D1]]&amp;"-"&amp;N$5,DogInfo!A:B,2,FALSE),0)</f>
        <v>0</v>
      </c>
      <c r="O9" s="301"/>
      <c r="P9" s="301"/>
      <c r="Q9" s="294" t="str">
        <f>IF(ISBLANK(GamesDay1[[#This Row],[Time Aerial D1]]),"",RANK(GamesDay1[[#This Row],[Time Aerial D1]],GamesDay1[Time Aerial D1],1))</f>
        <v/>
      </c>
      <c r="R9" s="301"/>
      <c r="S9" s="300">
        <f>IF(GamesDay1[[#This Row],[Pass / Fail Aerial D1]]="P",IF(GamesDay1[[#This Row],[Prev Qs Aerial D1]]="",1,GamesDay1[[#This Row],[Prev Qs Aerial D1]]+1),GamesDay1[[#This Row],[Prev Qs Aerial D1]])</f>
        <v>0</v>
      </c>
      <c r="T9" s="155" t="e">
        <f t="shared" si="2"/>
        <v>#N/A</v>
      </c>
      <c r="U9" s="296">
        <f>IFERROR(VLOOKUP(GamesDay1[[#This Row],[Dog D1]]&amp;"-"&amp;U$5,DogInfo!A:B,2,FALSE),0)</f>
        <v>0</v>
      </c>
      <c r="V9" s="303"/>
      <c r="W9" s="303"/>
      <c r="X9" s="297" t="str">
        <f>IF(ISBLANK(GamesDay1[[#This Row],[Time Distance D1]]),"",RANK(GamesDay1[[#This Row],[Time Distance D1]],GamesDay1[Time Distance D1],1))</f>
        <v/>
      </c>
      <c r="Y9" s="303"/>
      <c r="Z9" s="297">
        <f>IF(GamesDay1[[#This Row],[Pass / Fail Distance D1]]="P",IF(GamesDay1[[#This Row],[Prev Qs Distance D1]]="",1,GamesDay1[[#This Row],[Prev Qs Distance D1]]+1),GamesDay1[[#This Row],[Prev Qs Distance D1]])</f>
        <v>0</v>
      </c>
      <c r="AA9" s="155" t="e">
        <f t="shared" si="3"/>
        <v>#N/A</v>
      </c>
      <c r="AB9" s="298">
        <f>IFERROR(VLOOKUP(GamesDay1[[#This Row],[Dog D1]]&amp;"-"&amp;AB$5,DogInfo!A:B,2,FALSE),0)</f>
        <v>0</v>
      </c>
      <c r="AC9" s="304"/>
      <c r="AD9" s="304"/>
      <c r="AE9" s="299" t="str">
        <f>IF(ISBLANK(GamesDay1[[#This Row],[Time Speed D1]]),"",RANK(GamesDay1[[#This Row],[Time Speed D1]],GamesDay1[Time Speed D1],1))</f>
        <v/>
      </c>
      <c r="AF9" s="304"/>
      <c r="AG9" s="299">
        <f>IF(GamesDay1[[#This Row],[Pass / Fail Speed D1]]="P",IF(GamesDay1[[#This Row],[Prev Qs Speed D1]]="",1,GamesDay1[[#This Row],[Prev Qs Speed D1]]+1),GamesDay1[[#This Row],[Prev Qs Speed D1]])</f>
        <v>0</v>
      </c>
      <c r="AH9" s="155" t="e">
        <f t="shared" si="4"/>
        <v>#N/A</v>
      </c>
      <c r="AI9" s="155">
        <f>IFERROR(VLOOKUP(GamesDay1[[#This Row],[Dog D1]]&amp;"-"&amp;AI$5,DogInfo!A:B,2,FALSE),0)</f>
        <v>0</v>
      </c>
      <c r="AJ9" s="220"/>
      <c r="AK9" s="221"/>
      <c r="AL9" s="155" t="str">
        <f>IF(ISBLANK(GamesDay1[[#This Row],[Time Team D1]]),"",RANK(GamesDay1[[#This Row],[Time Team D1]],GamesDay1[Time Team D1],1))</f>
        <v/>
      </c>
      <c r="AM9" s="220"/>
      <c r="AN9" s="225">
        <f>IF(GamesDay1[[#This Row],[Pass / Fail Team D1]]="P",IF(GamesDay1[[#This Row],[Prev Qs Team D1]]="",1,GamesDay1[[#This Row],[Prev Qs Team D1]]+1),GamesDay1[[#This Row],[Prev Qs Team D1]])</f>
        <v>0</v>
      </c>
      <c r="AO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9" s="167">
        <f>GamesDay1[[#This Row],[Number of Games D1]]*SddaFee</f>
        <v>0</v>
      </c>
      <c r="AS9" s="167">
        <f>(GamesDay1[[#This Row],[Number of Games D1]]+GamesDay1[[#This Row],[Number of FEOs D1]])*JudgesFeeFEOGames</f>
        <v>0</v>
      </c>
    </row>
    <row r="10" spans="1:45" s="6" customFormat="1" ht="24.75" customHeight="1" x14ac:dyDescent="0.25">
      <c r="A10" s="171" t="s">
        <v>3688</v>
      </c>
      <c r="B10" s="155">
        <v>4</v>
      </c>
      <c r="C1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0" s="220"/>
      <c r="E10" s="219" t="str">
        <f>IFERROR(VLOOKUP(GamesDay1[[#This Row],[Dog D1]],'SDDA Dogs'!A:B,2,FALSE),"")</f>
        <v/>
      </c>
      <c r="F10" s="219" t="str">
        <f>IFERROR(VLOOKUP(GamesDay1[[#This Row],[Dog D1]],'SDDA Dogs'!A:C,3,FALSE),"")</f>
        <v/>
      </c>
      <c r="G10" s="219" t="str">
        <f>IFERROR(VLOOKUP(GamesDay1[[#This Row],[Dog D1]],'SDDA Dogs'!A:F,6,FALSE),"")</f>
        <v/>
      </c>
      <c r="H10" s="219"/>
      <c r="I10" s="165">
        <f>GamesDay1[[#This Row],[Total Qs Aerial D1]]</f>
        <v>0</v>
      </c>
      <c r="J10" s="155">
        <f>GamesDay1[[#This Row],[Total Qs Distance D1]]</f>
        <v>0</v>
      </c>
      <c r="K10" s="155">
        <f>GamesDay1[[#This Row],[Total Qs Speed D1]]</f>
        <v>0</v>
      </c>
      <c r="L10" s="224">
        <f>GamesDay1[[#This Row],[Total Qs Team D1]]</f>
        <v>0</v>
      </c>
      <c r="M10" s="219" t="e">
        <f t="shared" si="1"/>
        <v>#N/A</v>
      </c>
      <c r="N10" s="155">
        <f>IFERROR(VLOOKUP(GamesDay1[[#This Row],[Dog D1]]&amp;"-"&amp;N$5,DogInfo!A:B,2,FALSE),0)</f>
        <v>0</v>
      </c>
      <c r="O10" s="220"/>
      <c r="P10" s="221"/>
      <c r="Q10" s="155" t="str">
        <f>IF(ISBLANK(GamesDay1[[#This Row],[Time Aerial D1]]),"",RANK(GamesDay1[[#This Row],[Time Aerial D1]],GamesDay1[Time Aerial D1],1))</f>
        <v/>
      </c>
      <c r="R10" s="220"/>
      <c r="S10" s="225">
        <f>IF(GamesDay1[[#This Row],[Pass / Fail Aerial D1]]="P",IF(GamesDay1[[#This Row],[Prev Qs Aerial D1]]="",1,GamesDay1[[#This Row],[Prev Qs Aerial D1]]+1),GamesDay1[[#This Row],[Prev Qs Aerial D1]])</f>
        <v>0</v>
      </c>
      <c r="T10" s="155" t="e">
        <f t="shared" si="2"/>
        <v>#N/A</v>
      </c>
      <c r="U10" s="155">
        <f>IFERROR(VLOOKUP(GamesDay1[[#This Row],[Dog D1]]&amp;"-"&amp;U$5,DogInfo!A:B,2,FALSE),0)</f>
        <v>0</v>
      </c>
      <c r="V10" s="220"/>
      <c r="W10" s="221"/>
      <c r="X10" s="155" t="str">
        <f>IF(ISBLANK(GamesDay1[[#This Row],[Time Distance D1]]),"",RANK(GamesDay1[[#This Row],[Time Distance D1]],GamesDay1[Time Distance D1],1))</f>
        <v/>
      </c>
      <c r="Y10" s="220"/>
      <c r="Z10" s="225">
        <f>IF(GamesDay1[[#This Row],[Pass / Fail Distance D1]]="P",IF(GamesDay1[[#This Row],[Prev Qs Distance D1]]="",1,GamesDay1[[#This Row],[Prev Qs Distance D1]]+1),GamesDay1[[#This Row],[Prev Qs Distance D1]])</f>
        <v>0</v>
      </c>
      <c r="AA10" s="155" t="e">
        <f t="shared" si="3"/>
        <v>#N/A</v>
      </c>
      <c r="AB10" s="155">
        <f>IFERROR(VLOOKUP(GamesDay1[[#This Row],[Dog D1]]&amp;"-"&amp;AB$5,DogInfo!A:B,2,FALSE),0)</f>
        <v>0</v>
      </c>
      <c r="AC10" s="220"/>
      <c r="AD10" s="221"/>
      <c r="AE10" s="155" t="str">
        <f>IF(ISBLANK(GamesDay1[[#This Row],[Time Speed D1]]),"",RANK(GamesDay1[[#This Row],[Time Speed D1]],GamesDay1[Time Speed D1],1))</f>
        <v/>
      </c>
      <c r="AF10" s="220"/>
      <c r="AG10" s="225">
        <f>IF(GamesDay1[[#This Row],[Pass / Fail Speed D1]]="P",IF(GamesDay1[[#This Row],[Prev Qs Speed D1]]="",1,GamesDay1[[#This Row],[Prev Qs Speed D1]]+1),GamesDay1[[#This Row],[Prev Qs Speed D1]])</f>
        <v>0</v>
      </c>
      <c r="AH10" s="155" t="e">
        <f t="shared" si="4"/>
        <v>#N/A</v>
      </c>
      <c r="AI10" s="155">
        <f>IFERROR(VLOOKUP(GamesDay1[[#This Row],[Dog D1]]&amp;"-"&amp;AI$5,DogInfo!A:B,2,FALSE),0)</f>
        <v>0</v>
      </c>
      <c r="AJ10" s="220"/>
      <c r="AK10" s="221"/>
      <c r="AL10" s="155" t="str">
        <f>IF(ISBLANK(GamesDay1[[#This Row],[Time Team D1]]),"",RANK(GamesDay1[[#This Row],[Time Team D1]],GamesDay1[Time Team D1],1))</f>
        <v/>
      </c>
      <c r="AM10" s="220"/>
      <c r="AN10" s="225">
        <f>IF(GamesDay1[[#This Row],[Pass / Fail Team D1]]="P",IF(GamesDay1[[#This Row],[Prev Qs Team D1]]="",1,GamesDay1[[#This Row],[Prev Qs Team D1]]+1),GamesDay1[[#This Row],[Prev Qs Team D1]])</f>
        <v>0</v>
      </c>
      <c r="AO1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0" s="167">
        <f>GamesDay1[[#This Row],[Number of Games D1]]*SddaFee</f>
        <v>0</v>
      </c>
      <c r="AS10" s="167">
        <f>(GamesDay1[[#This Row],[Number of Games D1]]+GamesDay1[[#This Row],[Number of FEOs D1]])*JudgesFeeFEOGames</f>
        <v>0</v>
      </c>
    </row>
    <row r="11" spans="1:45" s="6" customFormat="1" ht="24.75" customHeight="1" x14ac:dyDescent="0.25">
      <c r="A11" s="171" t="s">
        <v>3688</v>
      </c>
      <c r="B11" s="155">
        <v>5</v>
      </c>
      <c r="C1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1" s="220"/>
      <c r="E11" s="219" t="str">
        <f>IFERROR(VLOOKUP(GamesDay1[[#This Row],[Dog D1]],'SDDA Dogs'!A:B,2,FALSE),"")</f>
        <v/>
      </c>
      <c r="F11" s="219" t="str">
        <f>IFERROR(VLOOKUP(GamesDay1[[#This Row],[Dog D1]],'SDDA Dogs'!A:C,3,FALSE),"")</f>
        <v/>
      </c>
      <c r="G11" s="219" t="str">
        <f>IFERROR(VLOOKUP(GamesDay1[[#This Row],[Dog D1]],'SDDA Dogs'!A:F,6,FALSE),"")</f>
        <v/>
      </c>
      <c r="H11" s="219"/>
      <c r="I11" s="165">
        <f>GamesDay1[[#This Row],[Total Qs Aerial D1]]</f>
        <v>0</v>
      </c>
      <c r="J11" s="155">
        <f>GamesDay1[[#This Row],[Total Qs Distance D1]]</f>
        <v>0</v>
      </c>
      <c r="K11" s="155">
        <f>GamesDay1[[#This Row],[Total Qs Speed D1]]</f>
        <v>0</v>
      </c>
      <c r="L11" s="224">
        <f>GamesDay1[[#This Row],[Total Qs Team D1]]</f>
        <v>0</v>
      </c>
      <c r="M11" s="219" t="e">
        <f t="shared" si="1"/>
        <v>#N/A</v>
      </c>
      <c r="N11" s="293">
        <f>IFERROR(VLOOKUP(GamesDay1[[#This Row],[Dog D1]]&amp;"-"&amp;N$5,DogInfo!A:B,2,FALSE),0)</f>
        <v>0</v>
      </c>
      <c r="O11" s="301"/>
      <c r="P11" s="301"/>
      <c r="Q11" s="294" t="str">
        <f>IF(ISBLANK(GamesDay1[[#This Row],[Time Aerial D1]]),"",RANK(GamesDay1[[#This Row],[Time Aerial D1]],GamesDay1[Time Aerial D1],1))</f>
        <v/>
      </c>
      <c r="R11" s="301"/>
      <c r="S11" s="300">
        <f>IF(GamesDay1[[#This Row],[Pass / Fail Aerial D1]]="P",IF(GamesDay1[[#This Row],[Prev Qs Aerial D1]]="",1,GamesDay1[[#This Row],[Prev Qs Aerial D1]]+1),GamesDay1[[#This Row],[Prev Qs Aerial D1]])</f>
        <v>0</v>
      </c>
      <c r="T11" s="155" t="e">
        <f t="shared" si="2"/>
        <v>#N/A</v>
      </c>
      <c r="U11" s="296">
        <f>IFERROR(VLOOKUP(GamesDay1[[#This Row],[Dog D1]]&amp;"-"&amp;U$5,DogInfo!A:B,2,FALSE),0)</f>
        <v>0</v>
      </c>
      <c r="V11" s="303"/>
      <c r="W11" s="303"/>
      <c r="X11" s="297" t="str">
        <f>IF(ISBLANK(GamesDay1[[#This Row],[Time Distance D1]]),"",RANK(GamesDay1[[#This Row],[Time Distance D1]],GamesDay1[Time Distance D1],1))</f>
        <v/>
      </c>
      <c r="Y11" s="303"/>
      <c r="Z11" s="297">
        <f>IF(GamesDay1[[#This Row],[Pass / Fail Distance D1]]="P",IF(GamesDay1[[#This Row],[Prev Qs Distance D1]]="",1,GamesDay1[[#This Row],[Prev Qs Distance D1]]+1),GamesDay1[[#This Row],[Prev Qs Distance D1]])</f>
        <v>0</v>
      </c>
      <c r="AA11" s="155" t="e">
        <f t="shared" si="3"/>
        <v>#N/A</v>
      </c>
      <c r="AB11" s="298">
        <f>IFERROR(VLOOKUP(GamesDay1[[#This Row],[Dog D1]]&amp;"-"&amp;AB$5,DogInfo!A:B,2,FALSE),0)</f>
        <v>0</v>
      </c>
      <c r="AC11" s="304"/>
      <c r="AD11" s="304"/>
      <c r="AE11" s="299" t="str">
        <f>IF(ISBLANK(GamesDay1[[#This Row],[Time Speed D1]]),"",RANK(GamesDay1[[#This Row],[Time Speed D1]],GamesDay1[Time Speed D1],1))</f>
        <v/>
      </c>
      <c r="AF11" s="304"/>
      <c r="AG11" s="299">
        <f>IF(GamesDay1[[#This Row],[Pass / Fail Speed D1]]="P",IF(GamesDay1[[#This Row],[Prev Qs Speed D1]]="",1,GamesDay1[[#This Row],[Prev Qs Speed D1]]+1),GamesDay1[[#This Row],[Prev Qs Speed D1]])</f>
        <v>0</v>
      </c>
      <c r="AH11" s="155" t="e">
        <f t="shared" si="4"/>
        <v>#N/A</v>
      </c>
      <c r="AI11" s="155">
        <f>IFERROR(VLOOKUP(GamesDay1[[#This Row],[Dog D1]]&amp;"-"&amp;AI$5,DogInfo!A:B,2,FALSE),0)</f>
        <v>0</v>
      </c>
      <c r="AJ11" s="220"/>
      <c r="AK11" s="221"/>
      <c r="AL11" s="155" t="str">
        <f>IF(ISBLANK(GamesDay1[[#This Row],[Time Team D1]]),"",RANK(GamesDay1[[#This Row],[Time Team D1]],GamesDay1[Time Team D1],1))</f>
        <v/>
      </c>
      <c r="AM11" s="220"/>
      <c r="AN11" s="225">
        <f>IF(GamesDay1[[#This Row],[Pass / Fail Team D1]]="P",IF(GamesDay1[[#This Row],[Prev Qs Team D1]]="",1,GamesDay1[[#This Row],[Prev Qs Team D1]]+1),GamesDay1[[#This Row],[Prev Qs Team D1]])</f>
        <v>0</v>
      </c>
      <c r="AO1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1" s="167">
        <f>GamesDay1[[#This Row],[Number of Games D1]]*SddaFee</f>
        <v>0</v>
      </c>
      <c r="AS11" s="167">
        <f>(GamesDay1[[#This Row],[Number of Games D1]]+GamesDay1[[#This Row],[Number of FEOs D1]])*JudgesFeeFEOGames</f>
        <v>0</v>
      </c>
    </row>
    <row r="12" spans="1:45" s="6" customFormat="1" ht="24.75" customHeight="1" x14ac:dyDescent="0.25">
      <c r="A12" s="171" t="s">
        <v>3688</v>
      </c>
      <c r="B12" s="155">
        <v>6</v>
      </c>
      <c r="C1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2" s="220"/>
      <c r="E12" s="219" t="str">
        <f>IFERROR(VLOOKUP(GamesDay1[[#This Row],[Dog D1]],'SDDA Dogs'!A:B,2,FALSE),"")</f>
        <v/>
      </c>
      <c r="F12" s="219" t="str">
        <f>IFERROR(VLOOKUP(GamesDay1[[#This Row],[Dog D1]],'SDDA Dogs'!A:C,3,FALSE),"")</f>
        <v/>
      </c>
      <c r="G12" s="219" t="str">
        <f>IFERROR(VLOOKUP(GamesDay1[[#This Row],[Dog D1]],'SDDA Dogs'!A:F,6,FALSE),"")</f>
        <v/>
      </c>
      <c r="H12" s="219"/>
      <c r="I12" s="165">
        <f>GamesDay1[[#This Row],[Total Qs Aerial D1]]</f>
        <v>0</v>
      </c>
      <c r="J12" s="155">
        <f>GamesDay1[[#This Row],[Total Qs Distance D1]]</f>
        <v>0</v>
      </c>
      <c r="K12" s="155">
        <f>GamesDay1[[#This Row],[Total Qs Speed D1]]</f>
        <v>0</v>
      </c>
      <c r="L12" s="224">
        <f>GamesDay1[[#This Row],[Total Qs Team D1]]</f>
        <v>0</v>
      </c>
      <c r="M12" s="219" t="e">
        <f t="shared" si="1"/>
        <v>#N/A</v>
      </c>
      <c r="N12" s="155">
        <f>IFERROR(VLOOKUP(GamesDay1[[#This Row],[Dog D1]]&amp;"-"&amp;N$5,DogInfo!A:B,2,FALSE),0)</f>
        <v>0</v>
      </c>
      <c r="O12" s="220"/>
      <c r="P12" s="221"/>
      <c r="Q12" s="155" t="str">
        <f>IF(ISBLANK(GamesDay1[[#This Row],[Time Aerial D1]]),"",RANK(GamesDay1[[#This Row],[Time Aerial D1]],GamesDay1[Time Aerial D1],1))</f>
        <v/>
      </c>
      <c r="R12" s="220"/>
      <c r="S12" s="225">
        <f>IF(GamesDay1[[#This Row],[Pass / Fail Aerial D1]]="P",IF(GamesDay1[[#This Row],[Prev Qs Aerial D1]]="",1,GamesDay1[[#This Row],[Prev Qs Aerial D1]]+1),GamesDay1[[#This Row],[Prev Qs Aerial D1]])</f>
        <v>0</v>
      </c>
      <c r="T12" s="155" t="e">
        <f t="shared" si="2"/>
        <v>#N/A</v>
      </c>
      <c r="U12" s="155">
        <f>IFERROR(VLOOKUP(GamesDay1[[#This Row],[Dog D1]]&amp;"-"&amp;U$5,DogInfo!A:B,2,FALSE),0)</f>
        <v>0</v>
      </c>
      <c r="V12" s="220"/>
      <c r="W12" s="221"/>
      <c r="X12" s="155" t="str">
        <f>IF(ISBLANK(GamesDay1[[#This Row],[Time Distance D1]]),"",RANK(GamesDay1[[#This Row],[Time Distance D1]],GamesDay1[Time Distance D1],1))</f>
        <v/>
      </c>
      <c r="Y12" s="220"/>
      <c r="Z12" s="225">
        <f>IF(GamesDay1[[#This Row],[Pass / Fail Distance D1]]="P",IF(GamesDay1[[#This Row],[Prev Qs Distance D1]]="",1,GamesDay1[[#This Row],[Prev Qs Distance D1]]+1),GamesDay1[[#This Row],[Prev Qs Distance D1]])</f>
        <v>0</v>
      </c>
      <c r="AA12" s="155" t="e">
        <f t="shared" si="3"/>
        <v>#N/A</v>
      </c>
      <c r="AB12" s="155">
        <f>IFERROR(VLOOKUP(GamesDay1[[#This Row],[Dog D1]]&amp;"-"&amp;AB$5,DogInfo!A:B,2,FALSE),0)</f>
        <v>0</v>
      </c>
      <c r="AC12" s="220"/>
      <c r="AD12" s="221"/>
      <c r="AE12" s="155" t="str">
        <f>IF(ISBLANK(GamesDay1[[#This Row],[Time Speed D1]]),"",RANK(GamesDay1[[#This Row],[Time Speed D1]],GamesDay1[Time Speed D1],1))</f>
        <v/>
      </c>
      <c r="AF12" s="220"/>
      <c r="AG12" s="225">
        <f>IF(GamesDay1[[#This Row],[Pass / Fail Speed D1]]="P",IF(GamesDay1[[#This Row],[Prev Qs Speed D1]]="",1,GamesDay1[[#This Row],[Prev Qs Speed D1]]+1),GamesDay1[[#This Row],[Prev Qs Speed D1]])</f>
        <v>0</v>
      </c>
      <c r="AH12" s="155" t="e">
        <f t="shared" si="4"/>
        <v>#N/A</v>
      </c>
      <c r="AI12" s="155">
        <f>IFERROR(VLOOKUP(GamesDay1[[#This Row],[Dog D1]]&amp;"-"&amp;AI$5,DogInfo!A:B,2,FALSE),0)</f>
        <v>0</v>
      </c>
      <c r="AJ12" s="220"/>
      <c r="AK12" s="221"/>
      <c r="AL12" s="155" t="str">
        <f>IF(ISBLANK(GamesDay1[[#This Row],[Time Team D1]]),"",RANK(GamesDay1[[#This Row],[Time Team D1]],GamesDay1[Time Team D1],1))</f>
        <v/>
      </c>
      <c r="AM12" s="220"/>
      <c r="AN12" s="225">
        <f>IF(GamesDay1[[#This Row],[Pass / Fail Team D1]]="P",IF(GamesDay1[[#This Row],[Prev Qs Team D1]]="",1,GamesDay1[[#This Row],[Prev Qs Team D1]]+1),GamesDay1[[#This Row],[Prev Qs Team D1]])</f>
        <v>0</v>
      </c>
      <c r="AO1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2" s="167">
        <f>GamesDay1[[#This Row],[Number of Games D1]]*SddaFee</f>
        <v>0</v>
      </c>
      <c r="AS12" s="167">
        <f>(GamesDay1[[#This Row],[Number of Games D1]]+GamesDay1[[#This Row],[Number of FEOs D1]])*JudgesFeeFEOGames</f>
        <v>0</v>
      </c>
    </row>
    <row r="13" spans="1:45" s="6" customFormat="1" ht="24.75" customHeight="1" x14ac:dyDescent="0.25">
      <c r="A13" s="171" t="s">
        <v>3688</v>
      </c>
      <c r="B13" s="155">
        <v>7</v>
      </c>
      <c r="C1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3" s="220"/>
      <c r="E13" s="219" t="str">
        <f>IFERROR(VLOOKUP(GamesDay1[[#This Row],[Dog D1]],'SDDA Dogs'!A:B,2,FALSE),"")</f>
        <v/>
      </c>
      <c r="F13" s="219" t="str">
        <f>IFERROR(VLOOKUP(GamesDay1[[#This Row],[Dog D1]],'SDDA Dogs'!A:C,3,FALSE),"")</f>
        <v/>
      </c>
      <c r="G13" s="219" t="str">
        <f>IFERROR(VLOOKUP(GamesDay1[[#This Row],[Dog D1]],'SDDA Dogs'!A:F,6,FALSE),"")</f>
        <v/>
      </c>
      <c r="H13" s="219"/>
      <c r="I13" s="165">
        <f>GamesDay1[[#This Row],[Total Qs Aerial D1]]</f>
        <v>0</v>
      </c>
      <c r="J13" s="155">
        <f>GamesDay1[[#This Row],[Total Qs Distance D1]]</f>
        <v>0</v>
      </c>
      <c r="K13" s="155">
        <f>GamesDay1[[#This Row],[Total Qs Speed D1]]</f>
        <v>0</v>
      </c>
      <c r="L13" s="224">
        <f>GamesDay1[[#This Row],[Total Qs Team D1]]</f>
        <v>0</v>
      </c>
      <c r="M13" s="219" t="e">
        <f t="shared" si="1"/>
        <v>#N/A</v>
      </c>
      <c r="N13" s="293">
        <f>IFERROR(VLOOKUP(GamesDay1[[#This Row],[Dog D1]]&amp;"-"&amp;N$5,DogInfo!A:B,2,FALSE),0)</f>
        <v>0</v>
      </c>
      <c r="O13" s="301"/>
      <c r="P13" s="301"/>
      <c r="Q13" s="294" t="str">
        <f>IF(ISBLANK(GamesDay1[[#This Row],[Time Aerial D1]]),"",RANK(GamesDay1[[#This Row],[Time Aerial D1]],GamesDay1[Time Aerial D1],1))</f>
        <v/>
      </c>
      <c r="R13" s="301"/>
      <c r="S13" s="300">
        <f>IF(GamesDay1[[#This Row],[Pass / Fail Aerial D1]]="P",IF(GamesDay1[[#This Row],[Prev Qs Aerial D1]]="",1,GamesDay1[[#This Row],[Prev Qs Aerial D1]]+1),GamesDay1[[#This Row],[Prev Qs Aerial D1]])</f>
        <v>0</v>
      </c>
      <c r="T13" s="155" t="e">
        <f t="shared" si="2"/>
        <v>#N/A</v>
      </c>
      <c r="U13" s="296">
        <f>IFERROR(VLOOKUP(GamesDay1[[#This Row],[Dog D1]]&amp;"-"&amp;U$5,DogInfo!A:B,2,FALSE),0)</f>
        <v>0</v>
      </c>
      <c r="V13" s="303"/>
      <c r="W13" s="303"/>
      <c r="X13" s="297" t="str">
        <f>IF(ISBLANK(GamesDay1[[#This Row],[Time Distance D1]]),"",RANK(GamesDay1[[#This Row],[Time Distance D1]],GamesDay1[Time Distance D1],1))</f>
        <v/>
      </c>
      <c r="Y13" s="303"/>
      <c r="Z13" s="297">
        <f>IF(GamesDay1[[#This Row],[Pass / Fail Distance D1]]="P",IF(GamesDay1[[#This Row],[Prev Qs Distance D1]]="",1,GamesDay1[[#This Row],[Prev Qs Distance D1]]+1),GamesDay1[[#This Row],[Prev Qs Distance D1]])</f>
        <v>0</v>
      </c>
      <c r="AA13" s="155" t="e">
        <f t="shared" si="3"/>
        <v>#N/A</v>
      </c>
      <c r="AB13" s="298">
        <f>IFERROR(VLOOKUP(GamesDay1[[#This Row],[Dog D1]]&amp;"-"&amp;AB$5,DogInfo!A:B,2,FALSE),0)</f>
        <v>0</v>
      </c>
      <c r="AC13" s="304"/>
      <c r="AD13" s="304"/>
      <c r="AE13" s="299" t="str">
        <f>IF(ISBLANK(GamesDay1[[#This Row],[Time Speed D1]]),"",RANK(GamesDay1[[#This Row],[Time Speed D1]],GamesDay1[Time Speed D1],1))</f>
        <v/>
      </c>
      <c r="AF13" s="304"/>
      <c r="AG13" s="299">
        <f>IF(GamesDay1[[#This Row],[Pass / Fail Speed D1]]="P",IF(GamesDay1[[#This Row],[Prev Qs Speed D1]]="",1,GamesDay1[[#This Row],[Prev Qs Speed D1]]+1),GamesDay1[[#This Row],[Prev Qs Speed D1]])</f>
        <v>0</v>
      </c>
      <c r="AH13" s="155" t="e">
        <f t="shared" si="4"/>
        <v>#N/A</v>
      </c>
      <c r="AI13" s="155">
        <f>IFERROR(VLOOKUP(GamesDay1[[#This Row],[Dog D1]]&amp;"-"&amp;AI$5,DogInfo!A:B,2,FALSE),0)</f>
        <v>0</v>
      </c>
      <c r="AJ13" s="220"/>
      <c r="AK13" s="221"/>
      <c r="AL13" s="155" t="str">
        <f>IF(ISBLANK(GamesDay1[[#This Row],[Time Team D1]]),"",RANK(GamesDay1[[#This Row],[Time Team D1]],GamesDay1[Time Team D1],1))</f>
        <v/>
      </c>
      <c r="AM13" s="220"/>
      <c r="AN13" s="225">
        <f>IF(GamesDay1[[#This Row],[Pass / Fail Team D1]]="P",IF(GamesDay1[[#This Row],[Prev Qs Team D1]]="",1,GamesDay1[[#This Row],[Prev Qs Team D1]]+1),GamesDay1[[#This Row],[Prev Qs Team D1]])</f>
        <v>0</v>
      </c>
      <c r="AO1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3" s="167">
        <f>GamesDay1[[#This Row],[Number of Games D1]]*SddaFee</f>
        <v>0</v>
      </c>
      <c r="AS13" s="167">
        <f>(GamesDay1[[#This Row],[Number of Games D1]]+GamesDay1[[#This Row],[Number of FEOs D1]])*JudgesFeeFEOGames</f>
        <v>0</v>
      </c>
    </row>
    <row r="14" spans="1:45" s="6" customFormat="1" ht="24.75" customHeight="1" x14ac:dyDescent="0.25">
      <c r="A14" s="171" t="s">
        <v>3688</v>
      </c>
      <c r="B14" s="155">
        <v>8</v>
      </c>
      <c r="C1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4" s="220"/>
      <c r="E14" s="219" t="str">
        <f>IFERROR(VLOOKUP(GamesDay1[[#This Row],[Dog D1]],'SDDA Dogs'!A:B,2,FALSE),"")</f>
        <v/>
      </c>
      <c r="F14" s="219" t="str">
        <f>IFERROR(VLOOKUP(GamesDay1[[#This Row],[Dog D1]],'SDDA Dogs'!A:C,3,FALSE),"")</f>
        <v/>
      </c>
      <c r="G14" s="219" t="str">
        <f>IFERROR(VLOOKUP(GamesDay1[[#This Row],[Dog D1]],'SDDA Dogs'!A:F,6,FALSE),"")</f>
        <v/>
      </c>
      <c r="H14" s="219"/>
      <c r="I14" s="165">
        <f>GamesDay1[[#This Row],[Total Qs Aerial D1]]</f>
        <v>0</v>
      </c>
      <c r="J14" s="155">
        <f>GamesDay1[[#This Row],[Total Qs Distance D1]]</f>
        <v>0</v>
      </c>
      <c r="K14" s="155">
        <f>GamesDay1[[#This Row],[Total Qs Speed D1]]</f>
        <v>0</v>
      </c>
      <c r="L14" s="224">
        <f>GamesDay1[[#This Row],[Total Qs Team D1]]</f>
        <v>0</v>
      </c>
      <c r="M14" s="219" t="e">
        <f t="shared" si="1"/>
        <v>#N/A</v>
      </c>
      <c r="N14" s="155">
        <f>IFERROR(VLOOKUP(GamesDay1[[#This Row],[Dog D1]]&amp;"-"&amp;N$5,DogInfo!A:B,2,FALSE),0)</f>
        <v>0</v>
      </c>
      <c r="O14" s="220"/>
      <c r="P14" s="221"/>
      <c r="Q14" s="155" t="str">
        <f>IF(ISBLANK(GamesDay1[[#This Row],[Time Aerial D1]]),"",RANK(GamesDay1[[#This Row],[Time Aerial D1]],GamesDay1[Time Aerial D1],1))</f>
        <v/>
      </c>
      <c r="R14" s="220"/>
      <c r="S14" s="225">
        <f>IF(GamesDay1[[#This Row],[Pass / Fail Aerial D1]]="P",IF(GamesDay1[[#This Row],[Prev Qs Aerial D1]]="",1,GamesDay1[[#This Row],[Prev Qs Aerial D1]]+1),GamesDay1[[#This Row],[Prev Qs Aerial D1]])</f>
        <v>0</v>
      </c>
      <c r="T14" s="155" t="e">
        <f t="shared" si="2"/>
        <v>#N/A</v>
      </c>
      <c r="U14" s="155">
        <f>IFERROR(VLOOKUP(GamesDay1[[#This Row],[Dog D1]]&amp;"-"&amp;U$5,DogInfo!A:B,2,FALSE),0)</f>
        <v>0</v>
      </c>
      <c r="V14" s="220"/>
      <c r="W14" s="221"/>
      <c r="X14" s="155" t="str">
        <f>IF(ISBLANK(GamesDay1[[#This Row],[Time Distance D1]]),"",RANK(GamesDay1[[#This Row],[Time Distance D1]],GamesDay1[Time Distance D1],1))</f>
        <v/>
      </c>
      <c r="Y14" s="220"/>
      <c r="Z14" s="225">
        <f>IF(GamesDay1[[#This Row],[Pass / Fail Distance D1]]="P",IF(GamesDay1[[#This Row],[Prev Qs Distance D1]]="",1,GamesDay1[[#This Row],[Prev Qs Distance D1]]+1),GamesDay1[[#This Row],[Prev Qs Distance D1]])</f>
        <v>0</v>
      </c>
      <c r="AA14" s="155" t="e">
        <f t="shared" si="3"/>
        <v>#N/A</v>
      </c>
      <c r="AB14" s="155">
        <f>IFERROR(VLOOKUP(GamesDay1[[#This Row],[Dog D1]]&amp;"-"&amp;AB$5,DogInfo!A:B,2,FALSE),0)</f>
        <v>0</v>
      </c>
      <c r="AC14" s="220"/>
      <c r="AD14" s="221"/>
      <c r="AE14" s="155" t="str">
        <f>IF(ISBLANK(GamesDay1[[#This Row],[Time Speed D1]]),"",RANK(GamesDay1[[#This Row],[Time Speed D1]],GamesDay1[Time Speed D1],1))</f>
        <v/>
      </c>
      <c r="AF14" s="220"/>
      <c r="AG14" s="225">
        <f>IF(GamesDay1[[#This Row],[Pass / Fail Speed D1]]="P",IF(GamesDay1[[#This Row],[Prev Qs Speed D1]]="",1,GamesDay1[[#This Row],[Prev Qs Speed D1]]+1),GamesDay1[[#This Row],[Prev Qs Speed D1]])</f>
        <v>0</v>
      </c>
      <c r="AH14" s="155" t="e">
        <f t="shared" si="4"/>
        <v>#N/A</v>
      </c>
      <c r="AI14" s="155">
        <f>IFERROR(VLOOKUP(GamesDay1[[#This Row],[Dog D1]]&amp;"-"&amp;AI$5,DogInfo!A:B,2,FALSE),0)</f>
        <v>0</v>
      </c>
      <c r="AJ14" s="220"/>
      <c r="AK14" s="221"/>
      <c r="AL14" s="155" t="str">
        <f>IF(ISBLANK(GamesDay1[[#This Row],[Time Team D1]]),"",RANK(GamesDay1[[#This Row],[Time Team D1]],GamesDay1[Time Team D1],1))</f>
        <v/>
      </c>
      <c r="AM14" s="220"/>
      <c r="AN14" s="225">
        <f>IF(GamesDay1[[#This Row],[Pass / Fail Team D1]]="P",IF(GamesDay1[[#This Row],[Prev Qs Team D1]]="",1,GamesDay1[[#This Row],[Prev Qs Team D1]]+1),GamesDay1[[#This Row],[Prev Qs Team D1]])</f>
        <v>0</v>
      </c>
      <c r="AO1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4" s="167">
        <f>GamesDay1[[#This Row],[Number of Games D1]]*SddaFee</f>
        <v>0</v>
      </c>
      <c r="AS14" s="167">
        <f>(GamesDay1[[#This Row],[Number of Games D1]]+GamesDay1[[#This Row],[Number of FEOs D1]])*JudgesFeeFEOGames</f>
        <v>0</v>
      </c>
    </row>
    <row r="15" spans="1:45" s="6" customFormat="1" ht="24.75" customHeight="1" x14ac:dyDescent="0.25">
      <c r="A15" s="171" t="s">
        <v>3688</v>
      </c>
      <c r="B15" s="155">
        <v>9</v>
      </c>
      <c r="C1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5" s="220"/>
      <c r="E15" s="219" t="str">
        <f>IFERROR(VLOOKUP(GamesDay1[[#This Row],[Dog D1]],'SDDA Dogs'!A:B,2,FALSE),"")</f>
        <v/>
      </c>
      <c r="F15" s="219" t="str">
        <f>IFERROR(VLOOKUP(GamesDay1[[#This Row],[Dog D1]],'SDDA Dogs'!A:C,3,FALSE),"")</f>
        <v/>
      </c>
      <c r="G15" s="219" t="str">
        <f>IFERROR(VLOOKUP(GamesDay1[[#This Row],[Dog D1]],'SDDA Dogs'!A:F,6,FALSE),"")</f>
        <v/>
      </c>
      <c r="H15" s="219"/>
      <c r="I15" s="165">
        <f>GamesDay1[[#This Row],[Total Qs Aerial D1]]</f>
        <v>0</v>
      </c>
      <c r="J15" s="155">
        <f>GamesDay1[[#This Row],[Total Qs Distance D1]]</f>
        <v>0</v>
      </c>
      <c r="K15" s="155">
        <f>GamesDay1[[#This Row],[Total Qs Speed D1]]</f>
        <v>0</v>
      </c>
      <c r="L15" s="224">
        <f>GamesDay1[[#This Row],[Total Qs Team D1]]</f>
        <v>0</v>
      </c>
      <c r="M15" s="219" t="e">
        <f t="shared" si="1"/>
        <v>#N/A</v>
      </c>
      <c r="N15" s="293">
        <f>IFERROR(VLOOKUP(GamesDay1[[#This Row],[Dog D1]]&amp;"-"&amp;N$5,DogInfo!A:B,2,FALSE),0)</f>
        <v>0</v>
      </c>
      <c r="O15" s="301"/>
      <c r="P15" s="301"/>
      <c r="Q15" s="294" t="str">
        <f>IF(ISBLANK(GamesDay1[[#This Row],[Time Aerial D1]]),"",RANK(GamesDay1[[#This Row],[Time Aerial D1]],GamesDay1[Time Aerial D1],1))</f>
        <v/>
      </c>
      <c r="R15" s="301"/>
      <c r="S15" s="300">
        <f>IF(GamesDay1[[#This Row],[Pass / Fail Aerial D1]]="P",IF(GamesDay1[[#This Row],[Prev Qs Aerial D1]]="",1,GamesDay1[[#This Row],[Prev Qs Aerial D1]]+1),GamesDay1[[#This Row],[Prev Qs Aerial D1]])</f>
        <v>0</v>
      </c>
      <c r="T15" s="155" t="e">
        <f t="shared" si="2"/>
        <v>#N/A</v>
      </c>
      <c r="U15" s="296">
        <f>IFERROR(VLOOKUP(GamesDay1[[#This Row],[Dog D1]]&amp;"-"&amp;U$5,DogInfo!A:B,2,FALSE),0)</f>
        <v>0</v>
      </c>
      <c r="V15" s="303"/>
      <c r="W15" s="303"/>
      <c r="X15" s="297" t="str">
        <f>IF(ISBLANK(GamesDay1[[#This Row],[Time Distance D1]]),"",RANK(GamesDay1[[#This Row],[Time Distance D1]],GamesDay1[Time Distance D1],1))</f>
        <v/>
      </c>
      <c r="Y15" s="303"/>
      <c r="Z15" s="297">
        <f>IF(GamesDay1[[#This Row],[Pass / Fail Distance D1]]="P",IF(GamesDay1[[#This Row],[Prev Qs Distance D1]]="",1,GamesDay1[[#This Row],[Prev Qs Distance D1]]+1),GamesDay1[[#This Row],[Prev Qs Distance D1]])</f>
        <v>0</v>
      </c>
      <c r="AA15" s="155" t="e">
        <f t="shared" si="3"/>
        <v>#N/A</v>
      </c>
      <c r="AB15" s="298">
        <f>IFERROR(VLOOKUP(GamesDay1[[#This Row],[Dog D1]]&amp;"-"&amp;AB$5,DogInfo!A:B,2,FALSE),0)</f>
        <v>0</v>
      </c>
      <c r="AC15" s="304"/>
      <c r="AD15" s="304"/>
      <c r="AE15" s="299" t="str">
        <f>IF(ISBLANK(GamesDay1[[#This Row],[Time Speed D1]]),"",RANK(GamesDay1[[#This Row],[Time Speed D1]],GamesDay1[Time Speed D1],1))</f>
        <v/>
      </c>
      <c r="AF15" s="304"/>
      <c r="AG15" s="299">
        <f>IF(GamesDay1[[#This Row],[Pass / Fail Speed D1]]="P",IF(GamesDay1[[#This Row],[Prev Qs Speed D1]]="",1,GamesDay1[[#This Row],[Prev Qs Speed D1]]+1),GamesDay1[[#This Row],[Prev Qs Speed D1]])</f>
        <v>0</v>
      </c>
      <c r="AH15" s="155" t="e">
        <f t="shared" si="4"/>
        <v>#N/A</v>
      </c>
      <c r="AI15" s="155">
        <f>IFERROR(VLOOKUP(GamesDay1[[#This Row],[Dog D1]]&amp;"-"&amp;AI$5,DogInfo!A:B,2,FALSE),0)</f>
        <v>0</v>
      </c>
      <c r="AJ15" s="220"/>
      <c r="AK15" s="221"/>
      <c r="AL15" s="155" t="str">
        <f>IF(ISBLANK(GamesDay1[[#This Row],[Time Team D1]]),"",RANK(GamesDay1[[#This Row],[Time Team D1]],GamesDay1[Time Team D1],1))</f>
        <v/>
      </c>
      <c r="AM15" s="220"/>
      <c r="AN15" s="225">
        <f>IF(GamesDay1[[#This Row],[Pass / Fail Team D1]]="P",IF(GamesDay1[[#This Row],[Prev Qs Team D1]]="",1,GamesDay1[[#This Row],[Prev Qs Team D1]]+1),GamesDay1[[#This Row],[Prev Qs Team D1]])</f>
        <v>0</v>
      </c>
      <c r="AO1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5" s="167">
        <f>GamesDay1[[#This Row],[Number of Games D1]]*SddaFee</f>
        <v>0</v>
      </c>
      <c r="AS15" s="167">
        <f>(GamesDay1[[#This Row],[Number of Games D1]]+GamesDay1[[#This Row],[Number of FEOs D1]])*JudgesFeeFEOGames</f>
        <v>0</v>
      </c>
    </row>
    <row r="16" spans="1:45" s="6" customFormat="1" ht="24.75" customHeight="1" x14ac:dyDescent="0.25">
      <c r="A16" s="171" t="s">
        <v>3688</v>
      </c>
      <c r="B16" s="155">
        <v>10</v>
      </c>
      <c r="C1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6" s="220"/>
      <c r="E16" s="219" t="str">
        <f>IFERROR(VLOOKUP(GamesDay1[[#This Row],[Dog D1]],'SDDA Dogs'!A:B,2,FALSE),"")</f>
        <v/>
      </c>
      <c r="F16" s="219" t="str">
        <f>IFERROR(VLOOKUP(GamesDay1[[#This Row],[Dog D1]],'SDDA Dogs'!A:C,3,FALSE),"")</f>
        <v/>
      </c>
      <c r="G16" s="219" t="str">
        <f>IFERROR(VLOOKUP(GamesDay1[[#This Row],[Dog D1]],'SDDA Dogs'!A:F,6,FALSE),"")</f>
        <v/>
      </c>
      <c r="H16" s="219"/>
      <c r="I16" s="165">
        <f>GamesDay1[[#This Row],[Total Qs Aerial D1]]</f>
        <v>0</v>
      </c>
      <c r="J16" s="155">
        <f>GamesDay1[[#This Row],[Total Qs Distance D1]]</f>
        <v>0</v>
      </c>
      <c r="K16" s="155">
        <f>GamesDay1[[#This Row],[Total Qs Speed D1]]</f>
        <v>0</v>
      </c>
      <c r="L16" s="224">
        <f>GamesDay1[[#This Row],[Total Qs Team D1]]</f>
        <v>0</v>
      </c>
      <c r="M16" s="219" t="e">
        <f t="shared" si="1"/>
        <v>#N/A</v>
      </c>
      <c r="N16" s="155">
        <f>IFERROR(VLOOKUP(GamesDay1[[#This Row],[Dog D1]]&amp;"-"&amp;N$5,DogInfo!A:B,2,FALSE),0)</f>
        <v>0</v>
      </c>
      <c r="O16" s="220"/>
      <c r="P16" s="221"/>
      <c r="Q16" s="155" t="str">
        <f>IF(ISBLANK(GamesDay1[[#This Row],[Time Aerial D1]]),"",RANK(GamesDay1[[#This Row],[Time Aerial D1]],GamesDay1[Time Aerial D1],1))</f>
        <v/>
      </c>
      <c r="R16" s="220"/>
      <c r="S16" s="225">
        <f>IF(GamesDay1[[#This Row],[Pass / Fail Aerial D1]]="P",IF(GamesDay1[[#This Row],[Prev Qs Aerial D1]]="",1,GamesDay1[[#This Row],[Prev Qs Aerial D1]]+1),GamesDay1[[#This Row],[Prev Qs Aerial D1]])</f>
        <v>0</v>
      </c>
      <c r="T16" s="155" t="e">
        <f t="shared" si="2"/>
        <v>#N/A</v>
      </c>
      <c r="U16" s="155">
        <f>IFERROR(VLOOKUP(GamesDay1[[#This Row],[Dog D1]]&amp;"-"&amp;U$5,DogInfo!A:B,2,FALSE),0)</f>
        <v>0</v>
      </c>
      <c r="V16" s="220"/>
      <c r="W16" s="221"/>
      <c r="X16" s="155" t="str">
        <f>IF(ISBLANK(GamesDay1[[#This Row],[Time Distance D1]]),"",RANK(GamesDay1[[#This Row],[Time Distance D1]],GamesDay1[Time Distance D1],1))</f>
        <v/>
      </c>
      <c r="Y16" s="220"/>
      <c r="Z16" s="225">
        <f>IF(GamesDay1[[#This Row],[Pass / Fail Distance D1]]="P",IF(GamesDay1[[#This Row],[Prev Qs Distance D1]]="",1,GamesDay1[[#This Row],[Prev Qs Distance D1]]+1),GamesDay1[[#This Row],[Prev Qs Distance D1]])</f>
        <v>0</v>
      </c>
      <c r="AA16" s="155" t="e">
        <f t="shared" si="3"/>
        <v>#N/A</v>
      </c>
      <c r="AB16" s="155">
        <f>IFERROR(VLOOKUP(GamesDay1[[#This Row],[Dog D1]]&amp;"-"&amp;AB$5,DogInfo!A:B,2,FALSE),0)</f>
        <v>0</v>
      </c>
      <c r="AC16" s="220"/>
      <c r="AD16" s="221"/>
      <c r="AE16" s="155" t="str">
        <f>IF(ISBLANK(GamesDay1[[#This Row],[Time Speed D1]]),"",RANK(GamesDay1[[#This Row],[Time Speed D1]],GamesDay1[Time Speed D1],1))</f>
        <v/>
      </c>
      <c r="AF16" s="220"/>
      <c r="AG16" s="225">
        <f>IF(GamesDay1[[#This Row],[Pass / Fail Speed D1]]="P",IF(GamesDay1[[#This Row],[Prev Qs Speed D1]]="",1,GamesDay1[[#This Row],[Prev Qs Speed D1]]+1),GamesDay1[[#This Row],[Prev Qs Speed D1]])</f>
        <v>0</v>
      </c>
      <c r="AH16" s="155" t="e">
        <f t="shared" si="4"/>
        <v>#N/A</v>
      </c>
      <c r="AI16" s="155">
        <f>IFERROR(VLOOKUP(GamesDay1[[#This Row],[Dog D1]]&amp;"-"&amp;AI$5,DogInfo!A:B,2,FALSE),0)</f>
        <v>0</v>
      </c>
      <c r="AJ16" s="220"/>
      <c r="AK16" s="221"/>
      <c r="AL16" s="155" t="str">
        <f>IF(ISBLANK(GamesDay1[[#This Row],[Time Team D1]]),"",RANK(GamesDay1[[#This Row],[Time Team D1]],GamesDay1[Time Team D1],1))</f>
        <v/>
      </c>
      <c r="AM16" s="220"/>
      <c r="AN16" s="225">
        <f>IF(GamesDay1[[#This Row],[Pass / Fail Team D1]]="P",IF(GamesDay1[[#This Row],[Prev Qs Team D1]]="",1,GamesDay1[[#This Row],[Prev Qs Team D1]]+1),GamesDay1[[#This Row],[Prev Qs Team D1]])</f>
        <v>0</v>
      </c>
      <c r="AO1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6" s="167">
        <f>GamesDay1[[#This Row],[Number of Games D1]]*SddaFee</f>
        <v>0</v>
      </c>
      <c r="AS16" s="167">
        <f>(GamesDay1[[#This Row],[Number of Games D1]]+GamesDay1[[#This Row],[Number of FEOs D1]])*JudgesFeeFEOGames</f>
        <v>0</v>
      </c>
    </row>
    <row r="17" spans="1:45" s="6" customFormat="1" ht="24.75" customHeight="1" x14ac:dyDescent="0.25">
      <c r="A17" s="171" t="s">
        <v>3688</v>
      </c>
      <c r="B17" s="155">
        <v>11</v>
      </c>
      <c r="C1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7" s="220"/>
      <c r="E17" s="219" t="str">
        <f>IFERROR(VLOOKUP(GamesDay1[[#This Row],[Dog D1]],'SDDA Dogs'!A:B,2,FALSE),"")</f>
        <v/>
      </c>
      <c r="F17" s="219" t="str">
        <f>IFERROR(VLOOKUP(GamesDay1[[#This Row],[Dog D1]],'SDDA Dogs'!A:C,3,FALSE),"")</f>
        <v/>
      </c>
      <c r="G17" s="219" t="str">
        <f>IFERROR(VLOOKUP(GamesDay1[[#This Row],[Dog D1]],'SDDA Dogs'!A:F,6,FALSE),"")</f>
        <v/>
      </c>
      <c r="H17" s="219"/>
      <c r="I17" s="165">
        <f>GamesDay1[[#This Row],[Total Qs Aerial D1]]</f>
        <v>0</v>
      </c>
      <c r="J17" s="155">
        <f>GamesDay1[[#This Row],[Total Qs Distance D1]]</f>
        <v>0</v>
      </c>
      <c r="K17" s="155">
        <f>GamesDay1[[#This Row],[Total Qs Speed D1]]</f>
        <v>0</v>
      </c>
      <c r="L17" s="224">
        <f>GamesDay1[[#This Row],[Total Qs Team D1]]</f>
        <v>0</v>
      </c>
      <c r="M17" s="219" t="e">
        <f t="shared" si="1"/>
        <v>#N/A</v>
      </c>
      <c r="N17" s="293">
        <f>IFERROR(VLOOKUP(GamesDay1[[#This Row],[Dog D1]]&amp;"-"&amp;N$5,DogInfo!A:B,2,FALSE),0)</f>
        <v>0</v>
      </c>
      <c r="O17" s="301"/>
      <c r="P17" s="301"/>
      <c r="Q17" s="294" t="str">
        <f>IF(ISBLANK(GamesDay1[[#This Row],[Time Aerial D1]]),"",RANK(GamesDay1[[#This Row],[Time Aerial D1]],GamesDay1[Time Aerial D1],1))</f>
        <v/>
      </c>
      <c r="R17" s="301"/>
      <c r="S17" s="300">
        <f>IF(GamesDay1[[#This Row],[Pass / Fail Aerial D1]]="P",IF(GamesDay1[[#This Row],[Prev Qs Aerial D1]]="",1,GamesDay1[[#This Row],[Prev Qs Aerial D1]]+1),GamesDay1[[#This Row],[Prev Qs Aerial D1]])</f>
        <v>0</v>
      </c>
      <c r="T17" s="155" t="e">
        <f t="shared" si="2"/>
        <v>#N/A</v>
      </c>
      <c r="U17" s="296">
        <f>IFERROR(VLOOKUP(GamesDay1[[#This Row],[Dog D1]]&amp;"-"&amp;U$5,DogInfo!A:B,2,FALSE),0)</f>
        <v>0</v>
      </c>
      <c r="V17" s="303"/>
      <c r="W17" s="303"/>
      <c r="X17" s="297" t="str">
        <f>IF(ISBLANK(GamesDay1[[#This Row],[Time Distance D1]]),"",RANK(GamesDay1[[#This Row],[Time Distance D1]],GamesDay1[Time Distance D1],1))</f>
        <v/>
      </c>
      <c r="Y17" s="303"/>
      <c r="Z17" s="297">
        <f>IF(GamesDay1[[#This Row],[Pass / Fail Distance D1]]="P",IF(GamesDay1[[#This Row],[Prev Qs Distance D1]]="",1,GamesDay1[[#This Row],[Prev Qs Distance D1]]+1),GamesDay1[[#This Row],[Prev Qs Distance D1]])</f>
        <v>0</v>
      </c>
      <c r="AA17" s="155" t="e">
        <f t="shared" si="3"/>
        <v>#N/A</v>
      </c>
      <c r="AB17" s="298">
        <f>IFERROR(VLOOKUP(GamesDay1[[#This Row],[Dog D1]]&amp;"-"&amp;AB$5,DogInfo!A:B,2,FALSE),0)</f>
        <v>0</v>
      </c>
      <c r="AC17" s="304"/>
      <c r="AD17" s="304"/>
      <c r="AE17" s="299" t="str">
        <f>IF(ISBLANK(GamesDay1[[#This Row],[Time Speed D1]]),"",RANK(GamesDay1[[#This Row],[Time Speed D1]],GamesDay1[Time Speed D1],1))</f>
        <v/>
      </c>
      <c r="AF17" s="304"/>
      <c r="AG17" s="299">
        <f>IF(GamesDay1[[#This Row],[Pass / Fail Speed D1]]="P",IF(GamesDay1[[#This Row],[Prev Qs Speed D1]]="",1,GamesDay1[[#This Row],[Prev Qs Speed D1]]+1),GamesDay1[[#This Row],[Prev Qs Speed D1]])</f>
        <v>0</v>
      </c>
      <c r="AH17" s="155" t="e">
        <f t="shared" si="4"/>
        <v>#N/A</v>
      </c>
      <c r="AI17" s="155">
        <f>IFERROR(VLOOKUP(GamesDay1[[#This Row],[Dog D1]]&amp;"-"&amp;AI$5,DogInfo!A:B,2,FALSE),0)</f>
        <v>0</v>
      </c>
      <c r="AJ17" s="220"/>
      <c r="AK17" s="221"/>
      <c r="AL17" s="155" t="str">
        <f>IF(ISBLANK(GamesDay1[[#This Row],[Time Team D1]]),"",RANK(GamesDay1[[#This Row],[Time Team D1]],GamesDay1[Time Team D1],1))</f>
        <v/>
      </c>
      <c r="AM17" s="220"/>
      <c r="AN17" s="225">
        <f>IF(GamesDay1[[#This Row],[Pass / Fail Team D1]]="P",IF(GamesDay1[[#This Row],[Prev Qs Team D1]]="",1,GamesDay1[[#This Row],[Prev Qs Team D1]]+1),GamesDay1[[#This Row],[Prev Qs Team D1]])</f>
        <v>0</v>
      </c>
      <c r="AO1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7" s="167">
        <f>GamesDay1[[#This Row],[Number of Games D1]]*SddaFee</f>
        <v>0</v>
      </c>
      <c r="AS17" s="167">
        <f>(GamesDay1[[#This Row],[Number of Games D1]]+GamesDay1[[#This Row],[Number of FEOs D1]])*JudgesFeeFEOGames</f>
        <v>0</v>
      </c>
    </row>
    <row r="18" spans="1:45" s="6" customFormat="1" ht="24.75" customHeight="1" x14ac:dyDescent="0.25">
      <c r="A18" s="171" t="s">
        <v>3688</v>
      </c>
      <c r="B18" s="155">
        <v>12</v>
      </c>
      <c r="C1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8" s="220"/>
      <c r="E18" s="219" t="str">
        <f>IFERROR(VLOOKUP(GamesDay1[[#This Row],[Dog D1]],'SDDA Dogs'!A:B,2,FALSE),"")</f>
        <v/>
      </c>
      <c r="F18" s="219" t="str">
        <f>IFERROR(VLOOKUP(GamesDay1[[#This Row],[Dog D1]],'SDDA Dogs'!A:C,3,FALSE),"")</f>
        <v/>
      </c>
      <c r="G18" s="219" t="str">
        <f>IFERROR(VLOOKUP(GamesDay1[[#This Row],[Dog D1]],'SDDA Dogs'!A:F,6,FALSE),"")</f>
        <v/>
      </c>
      <c r="H18" s="219"/>
      <c r="I18" s="165">
        <f>GamesDay1[[#This Row],[Total Qs Aerial D1]]</f>
        <v>0</v>
      </c>
      <c r="J18" s="155">
        <f>GamesDay1[[#This Row],[Total Qs Distance D1]]</f>
        <v>0</v>
      </c>
      <c r="K18" s="155">
        <f>GamesDay1[[#This Row],[Total Qs Speed D1]]</f>
        <v>0</v>
      </c>
      <c r="L18" s="224">
        <f>GamesDay1[[#This Row],[Total Qs Team D1]]</f>
        <v>0</v>
      </c>
      <c r="M18" s="219" t="e">
        <f t="shared" si="1"/>
        <v>#N/A</v>
      </c>
      <c r="N18" s="155">
        <f>IFERROR(VLOOKUP(GamesDay1[[#This Row],[Dog D1]]&amp;"-"&amp;N$5,DogInfo!A:B,2,FALSE),0)</f>
        <v>0</v>
      </c>
      <c r="O18" s="220"/>
      <c r="P18" s="221"/>
      <c r="Q18" s="155" t="str">
        <f>IF(ISBLANK(GamesDay1[[#This Row],[Time Aerial D1]]),"",RANK(GamesDay1[[#This Row],[Time Aerial D1]],GamesDay1[Time Aerial D1],1))</f>
        <v/>
      </c>
      <c r="R18" s="220"/>
      <c r="S18" s="225">
        <f>IF(GamesDay1[[#This Row],[Pass / Fail Aerial D1]]="P",IF(GamesDay1[[#This Row],[Prev Qs Aerial D1]]="",1,GamesDay1[[#This Row],[Prev Qs Aerial D1]]+1),GamesDay1[[#This Row],[Prev Qs Aerial D1]])</f>
        <v>0</v>
      </c>
      <c r="T18" s="155" t="e">
        <f t="shared" si="2"/>
        <v>#N/A</v>
      </c>
      <c r="U18" s="155">
        <f>IFERROR(VLOOKUP(GamesDay1[[#This Row],[Dog D1]]&amp;"-"&amp;U$5,DogInfo!A:B,2,FALSE),0)</f>
        <v>0</v>
      </c>
      <c r="V18" s="220"/>
      <c r="W18" s="221"/>
      <c r="X18" s="155" t="str">
        <f>IF(ISBLANK(GamesDay1[[#This Row],[Time Distance D1]]),"",RANK(GamesDay1[[#This Row],[Time Distance D1]],GamesDay1[Time Distance D1],1))</f>
        <v/>
      </c>
      <c r="Y18" s="220"/>
      <c r="Z18" s="225">
        <f>IF(GamesDay1[[#This Row],[Pass / Fail Distance D1]]="P",IF(GamesDay1[[#This Row],[Prev Qs Distance D1]]="",1,GamesDay1[[#This Row],[Prev Qs Distance D1]]+1),GamesDay1[[#This Row],[Prev Qs Distance D1]])</f>
        <v>0</v>
      </c>
      <c r="AA18" s="155" t="e">
        <f t="shared" si="3"/>
        <v>#N/A</v>
      </c>
      <c r="AB18" s="155">
        <f>IFERROR(VLOOKUP(GamesDay1[[#This Row],[Dog D1]]&amp;"-"&amp;AB$5,DogInfo!A:B,2,FALSE),0)</f>
        <v>0</v>
      </c>
      <c r="AC18" s="220"/>
      <c r="AD18" s="221"/>
      <c r="AE18" s="155" t="str">
        <f>IF(ISBLANK(GamesDay1[[#This Row],[Time Speed D1]]),"",RANK(GamesDay1[[#This Row],[Time Speed D1]],GamesDay1[Time Speed D1],1))</f>
        <v/>
      </c>
      <c r="AF18" s="220"/>
      <c r="AG18" s="225">
        <f>IF(GamesDay1[[#This Row],[Pass / Fail Speed D1]]="P",IF(GamesDay1[[#This Row],[Prev Qs Speed D1]]="",1,GamesDay1[[#This Row],[Prev Qs Speed D1]]+1),GamesDay1[[#This Row],[Prev Qs Speed D1]])</f>
        <v>0</v>
      </c>
      <c r="AH18" s="155" t="e">
        <f t="shared" si="4"/>
        <v>#N/A</v>
      </c>
      <c r="AI18" s="155">
        <f>IFERROR(VLOOKUP(GamesDay1[[#This Row],[Dog D1]]&amp;"-"&amp;AI$5,DogInfo!A:B,2,FALSE),0)</f>
        <v>0</v>
      </c>
      <c r="AJ18" s="220"/>
      <c r="AK18" s="221"/>
      <c r="AL18" s="155" t="str">
        <f>IF(ISBLANK(GamesDay1[[#This Row],[Time Team D1]]),"",RANK(GamesDay1[[#This Row],[Time Team D1]],GamesDay1[Time Team D1],1))</f>
        <v/>
      </c>
      <c r="AM18" s="220"/>
      <c r="AN18" s="225">
        <f>IF(GamesDay1[[#This Row],[Pass / Fail Team D1]]="P",IF(GamesDay1[[#This Row],[Prev Qs Team D1]]="",1,GamesDay1[[#This Row],[Prev Qs Team D1]]+1),GamesDay1[[#This Row],[Prev Qs Team D1]])</f>
        <v>0</v>
      </c>
      <c r="AO1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8" s="167">
        <f>GamesDay1[[#This Row],[Number of Games D1]]*SddaFee</f>
        <v>0</v>
      </c>
      <c r="AS18" s="167">
        <f>(GamesDay1[[#This Row],[Number of Games D1]]+GamesDay1[[#This Row],[Number of FEOs D1]])*JudgesFeeFEOGames</f>
        <v>0</v>
      </c>
    </row>
    <row r="19" spans="1:45" s="6" customFormat="1" ht="24.75" customHeight="1" x14ac:dyDescent="0.25">
      <c r="A19" s="171" t="s">
        <v>3688</v>
      </c>
      <c r="B19" s="155">
        <v>13</v>
      </c>
      <c r="C1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9" s="220"/>
      <c r="E19" s="219" t="str">
        <f>IFERROR(VLOOKUP(GamesDay1[[#This Row],[Dog D1]],'SDDA Dogs'!A:B,2,FALSE),"")</f>
        <v/>
      </c>
      <c r="F19" s="219" t="str">
        <f>IFERROR(VLOOKUP(GamesDay1[[#This Row],[Dog D1]],'SDDA Dogs'!A:C,3,FALSE),"")</f>
        <v/>
      </c>
      <c r="G19" s="219" t="str">
        <f>IFERROR(VLOOKUP(GamesDay1[[#This Row],[Dog D1]],'SDDA Dogs'!A:F,6,FALSE),"")</f>
        <v/>
      </c>
      <c r="H19" s="219"/>
      <c r="I19" s="165">
        <f>GamesDay1[[#This Row],[Total Qs Aerial D1]]</f>
        <v>0</v>
      </c>
      <c r="J19" s="155">
        <f>GamesDay1[[#This Row],[Total Qs Distance D1]]</f>
        <v>0</v>
      </c>
      <c r="K19" s="155">
        <f>GamesDay1[[#This Row],[Total Qs Speed D1]]</f>
        <v>0</v>
      </c>
      <c r="L19" s="224">
        <f>GamesDay1[[#This Row],[Total Qs Team D1]]</f>
        <v>0</v>
      </c>
      <c r="M19" s="219" t="e">
        <f t="shared" si="1"/>
        <v>#N/A</v>
      </c>
      <c r="N19" s="293">
        <f>IFERROR(VLOOKUP(GamesDay1[[#This Row],[Dog D1]]&amp;"-"&amp;N$5,DogInfo!A:B,2,FALSE),0)</f>
        <v>0</v>
      </c>
      <c r="O19" s="301"/>
      <c r="P19" s="301"/>
      <c r="Q19" s="294" t="str">
        <f>IF(ISBLANK(GamesDay1[[#This Row],[Time Aerial D1]]),"",RANK(GamesDay1[[#This Row],[Time Aerial D1]],GamesDay1[Time Aerial D1],1))</f>
        <v/>
      </c>
      <c r="R19" s="301"/>
      <c r="S19" s="300">
        <f>IF(GamesDay1[[#This Row],[Pass / Fail Aerial D1]]="P",IF(GamesDay1[[#This Row],[Prev Qs Aerial D1]]="",1,GamesDay1[[#This Row],[Prev Qs Aerial D1]]+1),GamesDay1[[#This Row],[Prev Qs Aerial D1]])</f>
        <v>0</v>
      </c>
      <c r="T19" s="155" t="e">
        <f t="shared" si="2"/>
        <v>#N/A</v>
      </c>
      <c r="U19" s="296">
        <f>IFERROR(VLOOKUP(GamesDay1[[#This Row],[Dog D1]]&amp;"-"&amp;U$5,DogInfo!A:B,2,FALSE),0)</f>
        <v>0</v>
      </c>
      <c r="V19" s="303"/>
      <c r="W19" s="303"/>
      <c r="X19" s="297" t="str">
        <f>IF(ISBLANK(GamesDay1[[#This Row],[Time Distance D1]]),"",RANK(GamesDay1[[#This Row],[Time Distance D1]],GamesDay1[Time Distance D1],1))</f>
        <v/>
      </c>
      <c r="Y19" s="303"/>
      <c r="Z19" s="297">
        <f>IF(GamesDay1[[#This Row],[Pass / Fail Distance D1]]="P",IF(GamesDay1[[#This Row],[Prev Qs Distance D1]]="",1,GamesDay1[[#This Row],[Prev Qs Distance D1]]+1),GamesDay1[[#This Row],[Prev Qs Distance D1]])</f>
        <v>0</v>
      </c>
      <c r="AA19" s="155" t="e">
        <f t="shared" si="3"/>
        <v>#N/A</v>
      </c>
      <c r="AB19" s="298">
        <f>IFERROR(VLOOKUP(GamesDay1[[#This Row],[Dog D1]]&amp;"-"&amp;AB$5,DogInfo!A:B,2,FALSE),0)</f>
        <v>0</v>
      </c>
      <c r="AC19" s="304"/>
      <c r="AD19" s="304"/>
      <c r="AE19" s="299" t="str">
        <f>IF(ISBLANK(GamesDay1[[#This Row],[Time Speed D1]]),"",RANK(GamesDay1[[#This Row],[Time Speed D1]],GamesDay1[Time Speed D1],1))</f>
        <v/>
      </c>
      <c r="AF19" s="304"/>
      <c r="AG19" s="299">
        <f>IF(GamesDay1[[#This Row],[Pass / Fail Speed D1]]="P",IF(GamesDay1[[#This Row],[Prev Qs Speed D1]]="",1,GamesDay1[[#This Row],[Prev Qs Speed D1]]+1),GamesDay1[[#This Row],[Prev Qs Speed D1]])</f>
        <v>0</v>
      </c>
      <c r="AH19" s="155" t="e">
        <f t="shared" si="4"/>
        <v>#N/A</v>
      </c>
      <c r="AI19" s="155">
        <f>IFERROR(VLOOKUP(GamesDay1[[#This Row],[Dog D1]]&amp;"-"&amp;AI$5,DogInfo!A:B,2,FALSE),0)</f>
        <v>0</v>
      </c>
      <c r="AJ19" s="220"/>
      <c r="AK19" s="221"/>
      <c r="AL19" s="155" t="str">
        <f>IF(ISBLANK(GamesDay1[[#This Row],[Time Team D1]]),"",RANK(GamesDay1[[#This Row],[Time Team D1]],GamesDay1[Time Team D1],1))</f>
        <v/>
      </c>
      <c r="AM19" s="220"/>
      <c r="AN19" s="225">
        <f>IF(GamesDay1[[#This Row],[Pass / Fail Team D1]]="P",IF(GamesDay1[[#This Row],[Prev Qs Team D1]]="",1,GamesDay1[[#This Row],[Prev Qs Team D1]]+1),GamesDay1[[#This Row],[Prev Qs Team D1]])</f>
        <v>0</v>
      </c>
      <c r="AO1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9" s="167">
        <f>GamesDay1[[#This Row],[Number of Games D1]]*SddaFee</f>
        <v>0</v>
      </c>
      <c r="AS19" s="167">
        <f>(GamesDay1[[#This Row],[Number of Games D1]]+GamesDay1[[#This Row],[Number of FEOs D1]])*JudgesFeeFEOGames</f>
        <v>0</v>
      </c>
    </row>
    <row r="20" spans="1:45" s="6" customFormat="1" ht="24.75" customHeight="1" x14ac:dyDescent="0.25">
      <c r="A20" s="171" t="s">
        <v>3688</v>
      </c>
      <c r="B20" s="155">
        <v>14</v>
      </c>
      <c r="C2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0" s="220"/>
      <c r="E20" s="219" t="str">
        <f>IFERROR(VLOOKUP(GamesDay1[[#This Row],[Dog D1]],'SDDA Dogs'!A:B,2,FALSE),"")</f>
        <v/>
      </c>
      <c r="F20" s="219" t="str">
        <f>IFERROR(VLOOKUP(GamesDay1[[#This Row],[Dog D1]],'SDDA Dogs'!A:C,3,FALSE),"")</f>
        <v/>
      </c>
      <c r="G20" s="219" t="str">
        <f>IFERROR(VLOOKUP(GamesDay1[[#This Row],[Dog D1]],'SDDA Dogs'!A:F,6,FALSE),"")</f>
        <v/>
      </c>
      <c r="H20" s="219"/>
      <c r="I20" s="165">
        <f>GamesDay1[[#This Row],[Total Qs Aerial D1]]</f>
        <v>0</v>
      </c>
      <c r="J20" s="155">
        <f>GamesDay1[[#This Row],[Total Qs Distance D1]]</f>
        <v>0</v>
      </c>
      <c r="K20" s="155">
        <f>GamesDay1[[#This Row],[Total Qs Speed D1]]</f>
        <v>0</v>
      </c>
      <c r="L20" s="224">
        <f>GamesDay1[[#This Row],[Total Qs Team D1]]</f>
        <v>0</v>
      </c>
      <c r="M20" s="219" t="e">
        <f t="shared" si="1"/>
        <v>#N/A</v>
      </c>
      <c r="N20" s="155">
        <f>IFERROR(VLOOKUP(GamesDay1[[#This Row],[Dog D1]]&amp;"-"&amp;N$5,DogInfo!A:B,2,FALSE),0)</f>
        <v>0</v>
      </c>
      <c r="O20" s="220"/>
      <c r="P20" s="221"/>
      <c r="Q20" s="155" t="str">
        <f>IF(ISBLANK(GamesDay1[[#This Row],[Time Aerial D1]]),"",RANK(GamesDay1[[#This Row],[Time Aerial D1]],GamesDay1[Time Aerial D1],1))</f>
        <v/>
      </c>
      <c r="R20" s="220"/>
      <c r="S20" s="225">
        <f>IF(GamesDay1[[#This Row],[Pass / Fail Aerial D1]]="P",IF(GamesDay1[[#This Row],[Prev Qs Aerial D1]]="",1,GamesDay1[[#This Row],[Prev Qs Aerial D1]]+1),GamesDay1[[#This Row],[Prev Qs Aerial D1]])</f>
        <v>0</v>
      </c>
      <c r="T20" s="155" t="e">
        <f t="shared" si="2"/>
        <v>#N/A</v>
      </c>
      <c r="U20" s="155">
        <f>IFERROR(VLOOKUP(GamesDay1[[#This Row],[Dog D1]]&amp;"-"&amp;U$5,DogInfo!A:B,2,FALSE),0)</f>
        <v>0</v>
      </c>
      <c r="V20" s="220"/>
      <c r="W20" s="221"/>
      <c r="X20" s="155" t="str">
        <f>IF(ISBLANK(GamesDay1[[#This Row],[Time Distance D1]]),"",RANK(GamesDay1[[#This Row],[Time Distance D1]],GamesDay1[Time Distance D1],1))</f>
        <v/>
      </c>
      <c r="Y20" s="220"/>
      <c r="Z20" s="225">
        <f>IF(GamesDay1[[#This Row],[Pass / Fail Distance D1]]="P",IF(GamesDay1[[#This Row],[Prev Qs Distance D1]]="",1,GamesDay1[[#This Row],[Prev Qs Distance D1]]+1),GamesDay1[[#This Row],[Prev Qs Distance D1]])</f>
        <v>0</v>
      </c>
      <c r="AA20" s="155" t="e">
        <f t="shared" si="3"/>
        <v>#N/A</v>
      </c>
      <c r="AB20" s="155">
        <f>IFERROR(VLOOKUP(GamesDay1[[#This Row],[Dog D1]]&amp;"-"&amp;AB$5,DogInfo!A:B,2,FALSE),0)</f>
        <v>0</v>
      </c>
      <c r="AC20" s="220"/>
      <c r="AD20" s="221"/>
      <c r="AE20" s="155" t="str">
        <f>IF(ISBLANK(GamesDay1[[#This Row],[Time Speed D1]]),"",RANK(GamesDay1[[#This Row],[Time Speed D1]],GamesDay1[Time Speed D1],1))</f>
        <v/>
      </c>
      <c r="AF20" s="220"/>
      <c r="AG20" s="225">
        <f>IF(GamesDay1[[#This Row],[Pass / Fail Speed D1]]="P",IF(GamesDay1[[#This Row],[Prev Qs Speed D1]]="",1,GamesDay1[[#This Row],[Prev Qs Speed D1]]+1),GamesDay1[[#This Row],[Prev Qs Speed D1]])</f>
        <v>0</v>
      </c>
      <c r="AH20" s="155" t="e">
        <f t="shared" si="4"/>
        <v>#N/A</v>
      </c>
      <c r="AI20" s="155">
        <f>IFERROR(VLOOKUP(GamesDay1[[#This Row],[Dog D1]]&amp;"-"&amp;AI$5,DogInfo!A:B,2,FALSE),0)</f>
        <v>0</v>
      </c>
      <c r="AJ20" s="220"/>
      <c r="AK20" s="221"/>
      <c r="AL20" s="155" t="str">
        <f>IF(ISBLANK(GamesDay1[[#This Row],[Time Team D1]]),"",RANK(GamesDay1[[#This Row],[Time Team D1]],GamesDay1[Time Team D1],1))</f>
        <v/>
      </c>
      <c r="AM20" s="220"/>
      <c r="AN20" s="225">
        <f>IF(GamesDay1[[#This Row],[Pass / Fail Team D1]]="P",IF(GamesDay1[[#This Row],[Prev Qs Team D1]]="",1,GamesDay1[[#This Row],[Prev Qs Team D1]]+1),GamesDay1[[#This Row],[Prev Qs Team D1]])</f>
        <v>0</v>
      </c>
      <c r="AO2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0" s="167">
        <f>GamesDay1[[#This Row],[Number of Games D1]]*SddaFee</f>
        <v>0</v>
      </c>
      <c r="AS20" s="167">
        <f>(GamesDay1[[#This Row],[Number of Games D1]]+GamesDay1[[#This Row],[Number of FEOs D1]])*JudgesFeeFEOGames</f>
        <v>0</v>
      </c>
    </row>
    <row r="21" spans="1:45" s="6" customFormat="1" ht="24.75" customHeight="1" x14ac:dyDescent="0.25">
      <c r="A21" s="171" t="s">
        <v>3688</v>
      </c>
      <c r="B21" s="155">
        <v>15</v>
      </c>
      <c r="C2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1" s="220"/>
      <c r="E21" s="219" t="str">
        <f>IFERROR(VLOOKUP(GamesDay1[[#This Row],[Dog D1]],'SDDA Dogs'!A:B,2,FALSE),"")</f>
        <v/>
      </c>
      <c r="F21" s="219" t="str">
        <f>IFERROR(VLOOKUP(GamesDay1[[#This Row],[Dog D1]],'SDDA Dogs'!A:C,3,FALSE),"")</f>
        <v/>
      </c>
      <c r="G21" s="219" t="str">
        <f>IFERROR(VLOOKUP(GamesDay1[[#This Row],[Dog D1]],'SDDA Dogs'!A:F,6,FALSE),"")</f>
        <v/>
      </c>
      <c r="H21" s="219"/>
      <c r="I21" s="165">
        <f>GamesDay1[[#This Row],[Total Qs Aerial D1]]</f>
        <v>0</v>
      </c>
      <c r="J21" s="155">
        <f>GamesDay1[[#This Row],[Total Qs Distance D1]]</f>
        <v>0</v>
      </c>
      <c r="K21" s="155">
        <f>GamesDay1[[#This Row],[Total Qs Speed D1]]</f>
        <v>0</v>
      </c>
      <c r="L21" s="224">
        <f>GamesDay1[[#This Row],[Total Qs Team D1]]</f>
        <v>0</v>
      </c>
      <c r="M21" s="219" t="e">
        <f t="shared" si="1"/>
        <v>#N/A</v>
      </c>
      <c r="N21" s="293">
        <f>IFERROR(VLOOKUP(GamesDay1[[#This Row],[Dog D1]]&amp;"-"&amp;N$5,DogInfo!A:B,2,FALSE),0)</f>
        <v>0</v>
      </c>
      <c r="O21" s="301"/>
      <c r="P21" s="301"/>
      <c r="Q21" s="294" t="str">
        <f>IF(ISBLANK(GamesDay1[[#This Row],[Time Aerial D1]]),"",RANK(GamesDay1[[#This Row],[Time Aerial D1]],GamesDay1[Time Aerial D1],1))</f>
        <v/>
      </c>
      <c r="R21" s="301"/>
      <c r="S21" s="300">
        <f>IF(GamesDay1[[#This Row],[Pass / Fail Aerial D1]]="P",IF(GamesDay1[[#This Row],[Prev Qs Aerial D1]]="",1,GamesDay1[[#This Row],[Prev Qs Aerial D1]]+1),GamesDay1[[#This Row],[Prev Qs Aerial D1]])</f>
        <v>0</v>
      </c>
      <c r="T21" s="155" t="e">
        <f t="shared" si="2"/>
        <v>#N/A</v>
      </c>
      <c r="U21" s="296">
        <f>IFERROR(VLOOKUP(GamesDay1[[#This Row],[Dog D1]]&amp;"-"&amp;U$5,DogInfo!A:B,2,FALSE),0)</f>
        <v>0</v>
      </c>
      <c r="V21" s="303"/>
      <c r="W21" s="303"/>
      <c r="X21" s="297" t="str">
        <f>IF(ISBLANK(GamesDay1[[#This Row],[Time Distance D1]]),"",RANK(GamesDay1[[#This Row],[Time Distance D1]],GamesDay1[Time Distance D1],1))</f>
        <v/>
      </c>
      <c r="Y21" s="303"/>
      <c r="Z21" s="297">
        <f>IF(GamesDay1[[#This Row],[Pass / Fail Distance D1]]="P",IF(GamesDay1[[#This Row],[Prev Qs Distance D1]]="",1,GamesDay1[[#This Row],[Prev Qs Distance D1]]+1),GamesDay1[[#This Row],[Prev Qs Distance D1]])</f>
        <v>0</v>
      </c>
      <c r="AA21" s="155" t="e">
        <f t="shared" si="3"/>
        <v>#N/A</v>
      </c>
      <c r="AB21" s="298">
        <f>IFERROR(VLOOKUP(GamesDay1[[#This Row],[Dog D1]]&amp;"-"&amp;AB$5,DogInfo!A:B,2,FALSE),0)</f>
        <v>0</v>
      </c>
      <c r="AC21" s="304"/>
      <c r="AD21" s="304"/>
      <c r="AE21" s="299" t="str">
        <f>IF(ISBLANK(GamesDay1[[#This Row],[Time Speed D1]]),"",RANK(GamesDay1[[#This Row],[Time Speed D1]],GamesDay1[Time Speed D1],1))</f>
        <v/>
      </c>
      <c r="AF21" s="304"/>
      <c r="AG21" s="299">
        <f>IF(GamesDay1[[#This Row],[Pass / Fail Speed D1]]="P",IF(GamesDay1[[#This Row],[Prev Qs Speed D1]]="",1,GamesDay1[[#This Row],[Prev Qs Speed D1]]+1),GamesDay1[[#This Row],[Prev Qs Speed D1]])</f>
        <v>0</v>
      </c>
      <c r="AH21" s="155" t="e">
        <f t="shared" si="4"/>
        <v>#N/A</v>
      </c>
      <c r="AI21" s="155">
        <f>IFERROR(VLOOKUP(GamesDay1[[#This Row],[Dog D1]]&amp;"-"&amp;AI$5,DogInfo!A:B,2,FALSE),0)</f>
        <v>0</v>
      </c>
      <c r="AJ21" s="220"/>
      <c r="AK21" s="221"/>
      <c r="AL21" s="155" t="str">
        <f>IF(ISBLANK(GamesDay1[[#This Row],[Time Team D1]]),"",RANK(GamesDay1[[#This Row],[Time Team D1]],GamesDay1[Time Team D1],1))</f>
        <v/>
      </c>
      <c r="AM21" s="220"/>
      <c r="AN21" s="225">
        <f>IF(GamesDay1[[#This Row],[Pass / Fail Team D1]]="P",IF(GamesDay1[[#This Row],[Prev Qs Team D1]]="",1,GamesDay1[[#This Row],[Prev Qs Team D1]]+1),GamesDay1[[#This Row],[Prev Qs Team D1]])</f>
        <v>0</v>
      </c>
      <c r="AO2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1" s="167">
        <f>GamesDay1[[#This Row],[Number of Games D1]]*SddaFee</f>
        <v>0</v>
      </c>
      <c r="AS21" s="167">
        <f>(GamesDay1[[#This Row],[Number of Games D1]]+GamesDay1[[#This Row],[Number of FEOs D1]])*JudgesFeeFEOGames</f>
        <v>0</v>
      </c>
    </row>
    <row r="22" spans="1:45" s="6" customFormat="1" ht="24.75" customHeight="1" x14ac:dyDescent="0.25">
      <c r="A22" s="171" t="s">
        <v>3688</v>
      </c>
      <c r="B22" s="155">
        <v>16</v>
      </c>
      <c r="C2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2" s="220"/>
      <c r="E22" s="219" t="str">
        <f>IFERROR(VLOOKUP(GamesDay1[[#This Row],[Dog D1]],'SDDA Dogs'!A:B,2,FALSE),"")</f>
        <v/>
      </c>
      <c r="F22" s="219" t="str">
        <f>IFERROR(VLOOKUP(GamesDay1[[#This Row],[Dog D1]],'SDDA Dogs'!A:C,3,FALSE),"")</f>
        <v/>
      </c>
      <c r="G22" s="219" t="str">
        <f>IFERROR(VLOOKUP(GamesDay1[[#This Row],[Dog D1]],'SDDA Dogs'!A:F,6,FALSE),"")</f>
        <v/>
      </c>
      <c r="H22" s="219"/>
      <c r="I22" s="165">
        <f>GamesDay1[[#This Row],[Total Qs Aerial D1]]</f>
        <v>0</v>
      </c>
      <c r="J22" s="155">
        <f>GamesDay1[[#This Row],[Total Qs Distance D1]]</f>
        <v>0</v>
      </c>
      <c r="K22" s="155">
        <f>GamesDay1[[#This Row],[Total Qs Speed D1]]</f>
        <v>0</v>
      </c>
      <c r="L22" s="224">
        <f>GamesDay1[[#This Row],[Total Qs Team D1]]</f>
        <v>0</v>
      </c>
      <c r="M22" s="219" t="e">
        <f t="shared" si="1"/>
        <v>#N/A</v>
      </c>
      <c r="N22" s="155">
        <f>IFERROR(VLOOKUP(GamesDay1[[#This Row],[Dog D1]]&amp;"-"&amp;N$5,DogInfo!A:B,2,FALSE),0)</f>
        <v>0</v>
      </c>
      <c r="O22" s="220"/>
      <c r="P22" s="221"/>
      <c r="Q22" s="155" t="str">
        <f>IF(ISBLANK(GamesDay1[[#This Row],[Time Aerial D1]]),"",RANK(GamesDay1[[#This Row],[Time Aerial D1]],GamesDay1[Time Aerial D1],1))</f>
        <v/>
      </c>
      <c r="R22" s="220"/>
      <c r="S22" s="225">
        <f>IF(GamesDay1[[#This Row],[Pass / Fail Aerial D1]]="P",IF(GamesDay1[[#This Row],[Prev Qs Aerial D1]]="",1,GamesDay1[[#This Row],[Prev Qs Aerial D1]]+1),GamesDay1[[#This Row],[Prev Qs Aerial D1]])</f>
        <v>0</v>
      </c>
      <c r="T22" s="155" t="e">
        <f t="shared" si="2"/>
        <v>#N/A</v>
      </c>
      <c r="U22" s="155">
        <f>IFERROR(VLOOKUP(GamesDay1[[#This Row],[Dog D1]]&amp;"-"&amp;U$5,DogInfo!A:B,2,FALSE),0)</f>
        <v>0</v>
      </c>
      <c r="V22" s="220"/>
      <c r="W22" s="221"/>
      <c r="X22" s="155" t="str">
        <f>IF(ISBLANK(GamesDay1[[#This Row],[Time Distance D1]]),"",RANK(GamesDay1[[#This Row],[Time Distance D1]],GamesDay1[Time Distance D1],1))</f>
        <v/>
      </c>
      <c r="Y22" s="220"/>
      <c r="Z22" s="225">
        <f>IF(GamesDay1[[#This Row],[Pass / Fail Distance D1]]="P",IF(GamesDay1[[#This Row],[Prev Qs Distance D1]]="",1,GamesDay1[[#This Row],[Prev Qs Distance D1]]+1),GamesDay1[[#This Row],[Prev Qs Distance D1]])</f>
        <v>0</v>
      </c>
      <c r="AA22" s="155" t="e">
        <f t="shared" si="3"/>
        <v>#N/A</v>
      </c>
      <c r="AB22" s="155">
        <f>IFERROR(VLOOKUP(GamesDay1[[#This Row],[Dog D1]]&amp;"-"&amp;AB$5,DogInfo!A:B,2,FALSE),0)</f>
        <v>0</v>
      </c>
      <c r="AC22" s="220"/>
      <c r="AD22" s="221"/>
      <c r="AE22" s="155" t="str">
        <f>IF(ISBLANK(GamesDay1[[#This Row],[Time Speed D1]]),"",RANK(GamesDay1[[#This Row],[Time Speed D1]],GamesDay1[Time Speed D1],1))</f>
        <v/>
      </c>
      <c r="AF22" s="220"/>
      <c r="AG22" s="225">
        <f>IF(GamesDay1[[#This Row],[Pass / Fail Speed D1]]="P",IF(GamesDay1[[#This Row],[Prev Qs Speed D1]]="",1,GamesDay1[[#This Row],[Prev Qs Speed D1]]+1),GamesDay1[[#This Row],[Prev Qs Speed D1]])</f>
        <v>0</v>
      </c>
      <c r="AH22" s="155" t="e">
        <f t="shared" si="4"/>
        <v>#N/A</v>
      </c>
      <c r="AI22" s="155">
        <f>IFERROR(VLOOKUP(GamesDay1[[#This Row],[Dog D1]]&amp;"-"&amp;AI$5,DogInfo!A:B,2,FALSE),0)</f>
        <v>0</v>
      </c>
      <c r="AJ22" s="220"/>
      <c r="AK22" s="221"/>
      <c r="AL22" s="155" t="str">
        <f>IF(ISBLANK(GamesDay1[[#This Row],[Time Team D1]]),"",RANK(GamesDay1[[#This Row],[Time Team D1]],GamesDay1[Time Team D1],1))</f>
        <v/>
      </c>
      <c r="AM22" s="220"/>
      <c r="AN22" s="225">
        <f>IF(GamesDay1[[#This Row],[Pass / Fail Team D1]]="P",IF(GamesDay1[[#This Row],[Prev Qs Team D1]]="",1,GamesDay1[[#This Row],[Prev Qs Team D1]]+1),GamesDay1[[#This Row],[Prev Qs Team D1]])</f>
        <v>0</v>
      </c>
      <c r="AO2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2" s="167">
        <f>GamesDay1[[#This Row],[Number of Games D1]]*SddaFee</f>
        <v>0</v>
      </c>
      <c r="AS22" s="167">
        <f>(GamesDay1[[#This Row],[Number of Games D1]]+GamesDay1[[#This Row],[Number of FEOs D1]])*JudgesFeeFEOGames</f>
        <v>0</v>
      </c>
    </row>
    <row r="23" spans="1:45" s="6" customFormat="1" ht="24.75" customHeight="1" x14ac:dyDescent="0.25">
      <c r="A23" s="171" t="s">
        <v>3688</v>
      </c>
      <c r="B23" s="155">
        <v>17</v>
      </c>
      <c r="C2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3" s="220"/>
      <c r="E23" s="219" t="str">
        <f>IFERROR(VLOOKUP(GamesDay1[[#This Row],[Dog D1]],'SDDA Dogs'!A:B,2,FALSE),"")</f>
        <v/>
      </c>
      <c r="F23" s="219" t="str">
        <f>IFERROR(VLOOKUP(GamesDay1[[#This Row],[Dog D1]],'SDDA Dogs'!A:C,3,FALSE),"")</f>
        <v/>
      </c>
      <c r="G23" s="219" t="str">
        <f>IFERROR(VLOOKUP(GamesDay1[[#This Row],[Dog D1]],'SDDA Dogs'!A:F,6,FALSE),"")</f>
        <v/>
      </c>
      <c r="H23" s="219"/>
      <c r="I23" s="165">
        <f>GamesDay1[[#This Row],[Total Qs Aerial D1]]</f>
        <v>0</v>
      </c>
      <c r="J23" s="155">
        <f>GamesDay1[[#This Row],[Total Qs Distance D1]]</f>
        <v>0</v>
      </c>
      <c r="K23" s="155">
        <f>GamesDay1[[#This Row],[Total Qs Speed D1]]</f>
        <v>0</v>
      </c>
      <c r="L23" s="224">
        <f>GamesDay1[[#This Row],[Total Qs Team D1]]</f>
        <v>0</v>
      </c>
      <c r="M23" s="219" t="e">
        <f t="shared" si="1"/>
        <v>#N/A</v>
      </c>
      <c r="N23" s="293">
        <f>IFERROR(VLOOKUP(GamesDay1[[#This Row],[Dog D1]]&amp;"-"&amp;N$5,DogInfo!A:B,2,FALSE),0)</f>
        <v>0</v>
      </c>
      <c r="O23" s="301"/>
      <c r="P23" s="301"/>
      <c r="Q23" s="294" t="str">
        <f>IF(ISBLANK(GamesDay1[[#This Row],[Time Aerial D1]]),"",RANK(GamesDay1[[#This Row],[Time Aerial D1]],GamesDay1[Time Aerial D1],1))</f>
        <v/>
      </c>
      <c r="R23" s="301"/>
      <c r="S23" s="300">
        <f>IF(GamesDay1[[#This Row],[Pass / Fail Aerial D1]]="P",IF(GamesDay1[[#This Row],[Prev Qs Aerial D1]]="",1,GamesDay1[[#This Row],[Prev Qs Aerial D1]]+1),GamesDay1[[#This Row],[Prev Qs Aerial D1]])</f>
        <v>0</v>
      </c>
      <c r="T23" s="155" t="e">
        <f t="shared" si="2"/>
        <v>#N/A</v>
      </c>
      <c r="U23" s="296">
        <f>IFERROR(VLOOKUP(GamesDay1[[#This Row],[Dog D1]]&amp;"-"&amp;U$5,DogInfo!A:B,2,FALSE),0)</f>
        <v>0</v>
      </c>
      <c r="V23" s="303"/>
      <c r="W23" s="303"/>
      <c r="X23" s="297" t="str">
        <f>IF(ISBLANK(GamesDay1[[#This Row],[Time Distance D1]]),"",RANK(GamesDay1[[#This Row],[Time Distance D1]],GamesDay1[Time Distance D1],1))</f>
        <v/>
      </c>
      <c r="Y23" s="303"/>
      <c r="Z23" s="297">
        <f>IF(GamesDay1[[#This Row],[Pass / Fail Distance D1]]="P",IF(GamesDay1[[#This Row],[Prev Qs Distance D1]]="",1,GamesDay1[[#This Row],[Prev Qs Distance D1]]+1),GamesDay1[[#This Row],[Prev Qs Distance D1]])</f>
        <v>0</v>
      </c>
      <c r="AA23" s="155" t="e">
        <f t="shared" si="3"/>
        <v>#N/A</v>
      </c>
      <c r="AB23" s="298">
        <f>IFERROR(VLOOKUP(GamesDay1[[#This Row],[Dog D1]]&amp;"-"&amp;AB$5,DogInfo!A:B,2,FALSE),0)</f>
        <v>0</v>
      </c>
      <c r="AC23" s="304"/>
      <c r="AD23" s="304"/>
      <c r="AE23" s="299" t="str">
        <f>IF(ISBLANK(GamesDay1[[#This Row],[Time Speed D1]]),"",RANK(GamesDay1[[#This Row],[Time Speed D1]],GamesDay1[Time Speed D1],1))</f>
        <v/>
      </c>
      <c r="AF23" s="304"/>
      <c r="AG23" s="299">
        <f>IF(GamesDay1[[#This Row],[Pass / Fail Speed D1]]="P",IF(GamesDay1[[#This Row],[Prev Qs Speed D1]]="",1,GamesDay1[[#This Row],[Prev Qs Speed D1]]+1),GamesDay1[[#This Row],[Prev Qs Speed D1]])</f>
        <v>0</v>
      </c>
      <c r="AH23" s="155" t="e">
        <f t="shared" si="4"/>
        <v>#N/A</v>
      </c>
      <c r="AI23" s="155">
        <f>IFERROR(VLOOKUP(GamesDay1[[#This Row],[Dog D1]]&amp;"-"&amp;AI$5,DogInfo!A:B,2,FALSE),0)</f>
        <v>0</v>
      </c>
      <c r="AJ23" s="220"/>
      <c r="AK23" s="221"/>
      <c r="AL23" s="155" t="str">
        <f>IF(ISBLANK(GamesDay1[[#This Row],[Time Team D1]]),"",RANK(GamesDay1[[#This Row],[Time Team D1]],GamesDay1[Time Team D1],1))</f>
        <v/>
      </c>
      <c r="AM23" s="220"/>
      <c r="AN23" s="225">
        <f>IF(GamesDay1[[#This Row],[Pass / Fail Team D1]]="P",IF(GamesDay1[[#This Row],[Prev Qs Team D1]]="",1,GamesDay1[[#This Row],[Prev Qs Team D1]]+1),GamesDay1[[#This Row],[Prev Qs Team D1]])</f>
        <v>0</v>
      </c>
      <c r="AO2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3" s="167">
        <f>GamesDay1[[#This Row],[Number of Games D1]]*SddaFee</f>
        <v>0</v>
      </c>
      <c r="AS23" s="167">
        <f>(GamesDay1[[#This Row],[Number of Games D1]]+GamesDay1[[#This Row],[Number of FEOs D1]])*JudgesFeeFEOGames</f>
        <v>0</v>
      </c>
    </row>
    <row r="24" spans="1:45" s="6" customFormat="1" ht="24.75" customHeight="1" x14ac:dyDescent="0.25">
      <c r="A24" s="171" t="s">
        <v>3688</v>
      </c>
      <c r="B24" s="155">
        <v>18</v>
      </c>
      <c r="C2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4" s="220"/>
      <c r="E24" s="219" t="str">
        <f>IFERROR(VLOOKUP(GamesDay1[[#This Row],[Dog D1]],'SDDA Dogs'!A:B,2,FALSE),"")</f>
        <v/>
      </c>
      <c r="F24" s="219" t="str">
        <f>IFERROR(VLOOKUP(GamesDay1[[#This Row],[Dog D1]],'SDDA Dogs'!A:C,3,FALSE),"")</f>
        <v/>
      </c>
      <c r="G24" s="219" t="str">
        <f>IFERROR(VLOOKUP(GamesDay1[[#This Row],[Dog D1]],'SDDA Dogs'!A:F,6,FALSE),"")</f>
        <v/>
      </c>
      <c r="H24" s="219"/>
      <c r="I24" s="165">
        <f>GamesDay1[[#This Row],[Total Qs Aerial D1]]</f>
        <v>0</v>
      </c>
      <c r="J24" s="155">
        <f>GamesDay1[[#This Row],[Total Qs Distance D1]]</f>
        <v>0</v>
      </c>
      <c r="K24" s="155">
        <f>GamesDay1[[#This Row],[Total Qs Speed D1]]</f>
        <v>0</v>
      </c>
      <c r="L24" s="224">
        <f>GamesDay1[[#This Row],[Total Qs Team D1]]</f>
        <v>0</v>
      </c>
      <c r="M24" s="219" t="e">
        <f t="shared" si="1"/>
        <v>#N/A</v>
      </c>
      <c r="N24" s="155">
        <f>IFERROR(VLOOKUP(GamesDay1[[#This Row],[Dog D1]]&amp;"-"&amp;N$5,DogInfo!A:B,2,FALSE),0)</f>
        <v>0</v>
      </c>
      <c r="O24" s="220"/>
      <c r="P24" s="221"/>
      <c r="Q24" s="155" t="str">
        <f>IF(ISBLANK(GamesDay1[[#This Row],[Time Aerial D1]]),"",RANK(GamesDay1[[#This Row],[Time Aerial D1]],GamesDay1[Time Aerial D1],1))</f>
        <v/>
      </c>
      <c r="R24" s="220"/>
      <c r="S24" s="225">
        <f>IF(GamesDay1[[#This Row],[Pass / Fail Aerial D1]]="P",IF(GamesDay1[[#This Row],[Prev Qs Aerial D1]]="",1,GamesDay1[[#This Row],[Prev Qs Aerial D1]]+1),GamesDay1[[#This Row],[Prev Qs Aerial D1]])</f>
        <v>0</v>
      </c>
      <c r="T24" s="155" t="e">
        <f t="shared" si="2"/>
        <v>#N/A</v>
      </c>
      <c r="U24" s="155">
        <f>IFERROR(VLOOKUP(GamesDay1[[#This Row],[Dog D1]]&amp;"-"&amp;U$5,DogInfo!A:B,2,FALSE),0)</f>
        <v>0</v>
      </c>
      <c r="V24" s="220"/>
      <c r="W24" s="221"/>
      <c r="X24" s="155" t="str">
        <f>IF(ISBLANK(GamesDay1[[#This Row],[Time Distance D1]]),"",RANK(GamesDay1[[#This Row],[Time Distance D1]],GamesDay1[Time Distance D1],1))</f>
        <v/>
      </c>
      <c r="Y24" s="220"/>
      <c r="Z24" s="225">
        <f>IF(GamesDay1[[#This Row],[Pass / Fail Distance D1]]="P",IF(GamesDay1[[#This Row],[Prev Qs Distance D1]]="",1,GamesDay1[[#This Row],[Prev Qs Distance D1]]+1),GamesDay1[[#This Row],[Prev Qs Distance D1]])</f>
        <v>0</v>
      </c>
      <c r="AA24" s="155" t="e">
        <f t="shared" si="3"/>
        <v>#N/A</v>
      </c>
      <c r="AB24" s="155">
        <f>IFERROR(VLOOKUP(GamesDay1[[#This Row],[Dog D1]]&amp;"-"&amp;AB$5,DogInfo!A:B,2,FALSE),0)</f>
        <v>0</v>
      </c>
      <c r="AC24" s="220"/>
      <c r="AD24" s="221"/>
      <c r="AE24" s="155" t="str">
        <f>IF(ISBLANK(GamesDay1[[#This Row],[Time Speed D1]]),"",RANK(GamesDay1[[#This Row],[Time Speed D1]],GamesDay1[Time Speed D1],1))</f>
        <v/>
      </c>
      <c r="AF24" s="220"/>
      <c r="AG24" s="225">
        <f>IF(GamesDay1[[#This Row],[Pass / Fail Speed D1]]="P",IF(GamesDay1[[#This Row],[Prev Qs Speed D1]]="",1,GamesDay1[[#This Row],[Prev Qs Speed D1]]+1),GamesDay1[[#This Row],[Prev Qs Speed D1]])</f>
        <v>0</v>
      </c>
      <c r="AH24" s="155" t="e">
        <f t="shared" si="4"/>
        <v>#N/A</v>
      </c>
      <c r="AI24" s="155">
        <f>IFERROR(VLOOKUP(GamesDay1[[#This Row],[Dog D1]]&amp;"-"&amp;AI$5,DogInfo!A:B,2,FALSE),0)</f>
        <v>0</v>
      </c>
      <c r="AJ24" s="220"/>
      <c r="AK24" s="221"/>
      <c r="AL24" s="155" t="str">
        <f>IF(ISBLANK(GamesDay1[[#This Row],[Time Team D1]]),"",RANK(GamesDay1[[#This Row],[Time Team D1]],GamesDay1[Time Team D1],1))</f>
        <v/>
      </c>
      <c r="AM24" s="220"/>
      <c r="AN24" s="225">
        <f>IF(GamesDay1[[#This Row],[Pass / Fail Team D1]]="P",IF(GamesDay1[[#This Row],[Prev Qs Team D1]]="",1,GamesDay1[[#This Row],[Prev Qs Team D1]]+1),GamesDay1[[#This Row],[Prev Qs Team D1]])</f>
        <v>0</v>
      </c>
      <c r="AO2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4" s="167">
        <f>GamesDay1[[#This Row],[Number of Games D1]]*SddaFee</f>
        <v>0</v>
      </c>
      <c r="AS24" s="167">
        <f>(GamesDay1[[#This Row],[Number of Games D1]]+GamesDay1[[#This Row],[Number of FEOs D1]])*JudgesFeeFEOGames</f>
        <v>0</v>
      </c>
    </row>
    <row r="25" spans="1:45" s="6" customFormat="1" ht="24.75" customHeight="1" x14ac:dyDescent="0.25">
      <c r="A25" s="171" t="s">
        <v>3688</v>
      </c>
      <c r="B25" s="155">
        <v>19</v>
      </c>
      <c r="C2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5" s="220"/>
      <c r="E25" s="219" t="str">
        <f>IFERROR(VLOOKUP(GamesDay1[[#This Row],[Dog D1]],'SDDA Dogs'!A:B,2,FALSE),"")</f>
        <v/>
      </c>
      <c r="F25" s="219" t="str">
        <f>IFERROR(VLOOKUP(GamesDay1[[#This Row],[Dog D1]],'SDDA Dogs'!A:C,3,FALSE),"")</f>
        <v/>
      </c>
      <c r="G25" s="219" t="str">
        <f>IFERROR(VLOOKUP(GamesDay1[[#This Row],[Dog D1]],'SDDA Dogs'!A:F,6,FALSE),"")</f>
        <v/>
      </c>
      <c r="H25" s="219"/>
      <c r="I25" s="165">
        <f>GamesDay1[[#This Row],[Total Qs Aerial D1]]</f>
        <v>0</v>
      </c>
      <c r="J25" s="155">
        <f>GamesDay1[[#This Row],[Total Qs Distance D1]]</f>
        <v>0</v>
      </c>
      <c r="K25" s="155">
        <f>GamesDay1[[#This Row],[Total Qs Speed D1]]</f>
        <v>0</v>
      </c>
      <c r="L25" s="224">
        <f>GamesDay1[[#This Row],[Total Qs Team D1]]</f>
        <v>0</v>
      </c>
      <c r="M25" s="219" t="e">
        <f t="shared" si="1"/>
        <v>#N/A</v>
      </c>
      <c r="N25" s="293">
        <f>IFERROR(VLOOKUP(GamesDay1[[#This Row],[Dog D1]]&amp;"-"&amp;N$5,DogInfo!A:B,2,FALSE),0)</f>
        <v>0</v>
      </c>
      <c r="O25" s="301"/>
      <c r="P25" s="301"/>
      <c r="Q25" s="294" t="str">
        <f>IF(ISBLANK(GamesDay1[[#This Row],[Time Aerial D1]]),"",RANK(GamesDay1[[#This Row],[Time Aerial D1]],GamesDay1[Time Aerial D1],1))</f>
        <v/>
      </c>
      <c r="R25" s="301"/>
      <c r="S25" s="300">
        <f>IF(GamesDay1[[#This Row],[Pass / Fail Aerial D1]]="P",IF(GamesDay1[[#This Row],[Prev Qs Aerial D1]]="",1,GamesDay1[[#This Row],[Prev Qs Aerial D1]]+1),GamesDay1[[#This Row],[Prev Qs Aerial D1]])</f>
        <v>0</v>
      </c>
      <c r="T25" s="155" t="e">
        <f t="shared" si="2"/>
        <v>#N/A</v>
      </c>
      <c r="U25" s="296">
        <f>IFERROR(VLOOKUP(GamesDay1[[#This Row],[Dog D1]]&amp;"-"&amp;U$5,DogInfo!A:B,2,FALSE),0)</f>
        <v>0</v>
      </c>
      <c r="V25" s="303"/>
      <c r="W25" s="303"/>
      <c r="X25" s="297" t="str">
        <f>IF(ISBLANK(GamesDay1[[#This Row],[Time Distance D1]]),"",RANK(GamesDay1[[#This Row],[Time Distance D1]],GamesDay1[Time Distance D1],1))</f>
        <v/>
      </c>
      <c r="Y25" s="303"/>
      <c r="Z25" s="297">
        <f>IF(GamesDay1[[#This Row],[Pass / Fail Distance D1]]="P",IF(GamesDay1[[#This Row],[Prev Qs Distance D1]]="",1,GamesDay1[[#This Row],[Prev Qs Distance D1]]+1),GamesDay1[[#This Row],[Prev Qs Distance D1]])</f>
        <v>0</v>
      </c>
      <c r="AA25" s="155" t="e">
        <f t="shared" si="3"/>
        <v>#N/A</v>
      </c>
      <c r="AB25" s="298">
        <f>IFERROR(VLOOKUP(GamesDay1[[#This Row],[Dog D1]]&amp;"-"&amp;AB$5,DogInfo!A:B,2,FALSE),0)</f>
        <v>0</v>
      </c>
      <c r="AC25" s="304"/>
      <c r="AD25" s="304"/>
      <c r="AE25" s="299" t="str">
        <f>IF(ISBLANK(GamesDay1[[#This Row],[Time Speed D1]]),"",RANK(GamesDay1[[#This Row],[Time Speed D1]],GamesDay1[Time Speed D1],1))</f>
        <v/>
      </c>
      <c r="AF25" s="304"/>
      <c r="AG25" s="299">
        <f>IF(GamesDay1[[#This Row],[Pass / Fail Speed D1]]="P",IF(GamesDay1[[#This Row],[Prev Qs Speed D1]]="",1,GamesDay1[[#This Row],[Prev Qs Speed D1]]+1),GamesDay1[[#This Row],[Prev Qs Speed D1]])</f>
        <v>0</v>
      </c>
      <c r="AH25" s="155" t="e">
        <f t="shared" si="4"/>
        <v>#N/A</v>
      </c>
      <c r="AI25" s="155">
        <f>IFERROR(VLOOKUP(GamesDay1[[#This Row],[Dog D1]]&amp;"-"&amp;AI$5,DogInfo!A:B,2,FALSE),0)</f>
        <v>0</v>
      </c>
      <c r="AJ25" s="220"/>
      <c r="AK25" s="221"/>
      <c r="AL25" s="155" t="str">
        <f>IF(ISBLANK(GamesDay1[[#This Row],[Time Team D1]]),"",RANK(GamesDay1[[#This Row],[Time Team D1]],GamesDay1[Time Team D1],1))</f>
        <v/>
      </c>
      <c r="AM25" s="220"/>
      <c r="AN25" s="225">
        <f>IF(GamesDay1[[#This Row],[Pass / Fail Team D1]]="P",IF(GamesDay1[[#This Row],[Prev Qs Team D1]]="",1,GamesDay1[[#This Row],[Prev Qs Team D1]]+1),GamesDay1[[#This Row],[Prev Qs Team D1]])</f>
        <v>0</v>
      </c>
      <c r="AO2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5" s="167">
        <f>GamesDay1[[#This Row],[Number of Games D1]]*SddaFee</f>
        <v>0</v>
      </c>
      <c r="AS25" s="167">
        <f>(GamesDay1[[#This Row],[Number of Games D1]]+GamesDay1[[#This Row],[Number of FEOs D1]])*JudgesFeeFEOGames</f>
        <v>0</v>
      </c>
    </row>
    <row r="26" spans="1:45" s="6" customFormat="1" ht="24.75" customHeight="1" x14ac:dyDescent="0.25">
      <c r="A26" s="171" t="s">
        <v>3688</v>
      </c>
      <c r="B26" s="155">
        <v>20</v>
      </c>
      <c r="C2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6" s="220"/>
      <c r="E26" s="219" t="str">
        <f>IFERROR(VLOOKUP(GamesDay1[[#This Row],[Dog D1]],'SDDA Dogs'!A:B,2,FALSE),"")</f>
        <v/>
      </c>
      <c r="F26" s="219" t="str">
        <f>IFERROR(VLOOKUP(GamesDay1[[#This Row],[Dog D1]],'SDDA Dogs'!A:C,3,FALSE),"")</f>
        <v/>
      </c>
      <c r="G26" s="219" t="str">
        <f>IFERROR(VLOOKUP(GamesDay1[[#This Row],[Dog D1]],'SDDA Dogs'!A:F,6,FALSE),"")</f>
        <v/>
      </c>
      <c r="H26" s="219"/>
      <c r="I26" s="165">
        <f>GamesDay1[[#This Row],[Total Qs Aerial D1]]</f>
        <v>0</v>
      </c>
      <c r="J26" s="155">
        <f>GamesDay1[[#This Row],[Total Qs Distance D1]]</f>
        <v>0</v>
      </c>
      <c r="K26" s="155">
        <f>GamesDay1[[#This Row],[Total Qs Speed D1]]</f>
        <v>0</v>
      </c>
      <c r="L26" s="224">
        <f>GamesDay1[[#This Row],[Total Qs Team D1]]</f>
        <v>0</v>
      </c>
      <c r="M26" s="219" t="e">
        <f t="shared" si="1"/>
        <v>#N/A</v>
      </c>
      <c r="N26" s="155">
        <f>IFERROR(VLOOKUP(GamesDay1[[#This Row],[Dog D1]]&amp;"-"&amp;N$5,DogInfo!A:B,2,FALSE),0)</f>
        <v>0</v>
      </c>
      <c r="O26" s="220"/>
      <c r="P26" s="221"/>
      <c r="Q26" s="155" t="str">
        <f>IF(ISBLANK(GamesDay1[[#This Row],[Time Aerial D1]]),"",RANK(GamesDay1[[#This Row],[Time Aerial D1]],GamesDay1[Time Aerial D1],1))</f>
        <v/>
      </c>
      <c r="R26" s="220"/>
      <c r="S26" s="225">
        <f>IF(GamesDay1[[#This Row],[Pass / Fail Aerial D1]]="P",IF(GamesDay1[[#This Row],[Prev Qs Aerial D1]]="",1,GamesDay1[[#This Row],[Prev Qs Aerial D1]]+1),GamesDay1[[#This Row],[Prev Qs Aerial D1]])</f>
        <v>0</v>
      </c>
      <c r="T26" s="155" t="e">
        <f t="shared" si="2"/>
        <v>#N/A</v>
      </c>
      <c r="U26" s="155">
        <f>IFERROR(VLOOKUP(GamesDay1[[#This Row],[Dog D1]]&amp;"-"&amp;U$5,DogInfo!A:B,2,FALSE),0)</f>
        <v>0</v>
      </c>
      <c r="V26" s="220"/>
      <c r="W26" s="221"/>
      <c r="X26" s="155" t="str">
        <f>IF(ISBLANK(GamesDay1[[#This Row],[Time Distance D1]]),"",RANK(GamesDay1[[#This Row],[Time Distance D1]],GamesDay1[Time Distance D1],1))</f>
        <v/>
      </c>
      <c r="Y26" s="220"/>
      <c r="Z26" s="225">
        <f>IF(GamesDay1[[#This Row],[Pass / Fail Distance D1]]="P",IF(GamesDay1[[#This Row],[Prev Qs Distance D1]]="",1,GamesDay1[[#This Row],[Prev Qs Distance D1]]+1),GamesDay1[[#This Row],[Prev Qs Distance D1]])</f>
        <v>0</v>
      </c>
      <c r="AA26" s="155" t="e">
        <f t="shared" si="3"/>
        <v>#N/A</v>
      </c>
      <c r="AB26" s="155">
        <f>IFERROR(VLOOKUP(GamesDay1[[#This Row],[Dog D1]]&amp;"-"&amp;AB$5,DogInfo!A:B,2,FALSE),0)</f>
        <v>0</v>
      </c>
      <c r="AC26" s="220"/>
      <c r="AD26" s="221"/>
      <c r="AE26" s="155" t="str">
        <f>IF(ISBLANK(GamesDay1[[#This Row],[Time Speed D1]]),"",RANK(GamesDay1[[#This Row],[Time Speed D1]],GamesDay1[Time Speed D1],1))</f>
        <v/>
      </c>
      <c r="AF26" s="220"/>
      <c r="AG26" s="225">
        <f>IF(GamesDay1[[#This Row],[Pass / Fail Speed D1]]="P",IF(GamesDay1[[#This Row],[Prev Qs Speed D1]]="",1,GamesDay1[[#This Row],[Prev Qs Speed D1]]+1),GamesDay1[[#This Row],[Prev Qs Speed D1]])</f>
        <v>0</v>
      </c>
      <c r="AH26" s="155" t="e">
        <f t="shared" si="4"/>
        <v>#N/A</v>
      </c>
      <c r="AI26" s="155">
        <f>IFERROR(VLOOKUP(GamesDay1[[#This Row],[Dog D1]]&amp;"-"&amp;AI$5,DogInfo!A:B,2,FALSE),0)</f>
        <v>0</v>
      </c>
      <c r="AJ26" s="220"/>
      <c r="AK26" s="221"/>
      <c r="AL26" s="155" t="str">
        <f>IF(ISBLANK(GamesDay1[[#This Row],[Time Team D1]]),"",RANK(GamesDay1[[#This Row],[Time Team D1]],GamesDay1[Time Team D1],1))</f>
        <v/>
      </c>
      <c r="AM26" s="220"/>
      <c r="AN26" s="225">
        <f>IF(GamesDay1[[#This Row],[Pass / Fail Team D1]]="P",IF(GamesDay1[[#This Row],[Prev Qs Team D1]]="",1,GamesDay1[[#This Row],[Prev Qs Team D1]]+1),GamesDay1[[#This Row],[Prev Qs Team D1]])</f>
        <v>0</v>
      </c>
      <c r="AO2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6" s="167">
        <f>GamesDay1[[#This Row],[Number of Games D1]]*SddaFee</f>
        <v>0</v>
      </c>
      <c r="AS26" s="167">
        <f>(GamesDay1[[#This Row],[Number of Games D1]]+GamesDay1[[#This Row],[Number of FEOs D1]])*JudgesFeeFEOGames</f>
        <v>0</v>
      </c>
    </row>
    <row r="27" spans="1:45" s="6" customFormat="1" ht="24.75" customHeight="1" x14ac:dyDescent="0.25">
      <c r="A27" s="171" t="s">
        <v>3688</v>
      </c>
      <c r="B27" s="155">
        <v>21</v>
      </c>
      <c r="C2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7" s="220"/>
      <c r="E27" s="219" t="str">
        <f>IFERROR(VLOOKUP(GamesDay1[[#This Row],[Dog D1]],'SDDA Dogs'!A:B,2,FALSE),"")</f>
        <v/>
      </c>
      <c r="F27" s="219" t="str">
        <f>IFERROR(VLOOKUP(GamesDay1[[#This Row],[Dog D1]],'SDDA Dogs'!A:C,3,FALSE),"")</f>
        <v/>
      </c>
      <c r="G27" s="219" t="str">
        <f>IFERROR(VLOOKUP(GamesDay1[[#This Row],[Dog D1]],'SDDA Dogs'!A:F,6,FALSE),"")</f>
        <v/>
      </c>
      <c r="H27" s="219"/>
      <c r="I27" s="165">
        <f>GamesDay1[[#This Row],[Total Qs Aerial D1]]</f>
        <v>0</v>
      </c>
      <c r="J27" s="155">
        <f>GamesDay1[[#This Row],[Total Qs Distance D1]]</f>
        <v>0</v>
      </c>
      <c r="K27" s="155">
        <f>GamesDay1[[#This Row],[Total Qs Speed D1]]</f>
        <v>0</v>
      </c>
      <c r="L27" s="224">
        <f>GamesDay1[[#This Row],[Total Qs Team D1]]</f>
        <v>0</v>
      </c>
      <c r="M27" s="219" t="e">
        <f t="shared" si="1"/>
        <v>#N/A</v>
      </c>
      <c r="N27" s="293">
        <f>IFERROR(VLOOKUP(GamesDay1[[#This Row],[Dog D1]]&amp;"-"&amp;N$5,DogInfo!A:B,2,FALSE),0)</f>
        <v>0</v>
      </c>
      <c r="O27" s="301"/>
      <c r="P27" s="301"/>
      <c r="Q27" s="294" t="str">
        <f>IF(ISBLANK(GamesDay1[[#This Row],[Time Aerial D1]]),"",RANK(GamesDay1[[#This Row],[Time Aerial D1]],GamesDay1[Time Aerial D1],1))</f>
        <v/>
      </c>
      <c r="R27" s="301"/>
      <c r="S27" s="300">
        <f>IF(GamesDay1[[#This Row],[Pass / Fail Aerial D1]]="P",IF(GamesDay1[[#This Row],[Prev Qs Aerial D1]]="",1,GamesDay1[[#This Row],[Prev Qs Aerial D1]]+1),GamesDay1[[#This Row],[Prev Qs Aerial D1]])</f>
        <v>0</v>
      </c>
      <c r="T27" s="155" t="e">
        <f t="shared" si="2"/>
        <v>#N/A</v>
      </c>
      <c r="U27" s="296">
        <f>IFERROR(VLOOKUP(GamesDay1[[#This Row],[Dog D1]]&amp;"-"&amp;U$5,DogInfo!A:B,2,FALSE),0)</f>
        <v>0</v>
      </c>
      <c r="V27" s="303"/>
      <c r="W27" s="303"/>
      <c r="X27" s="297" t="str">
        <f>IF(ISBLANK(GamesDay1[[#This Row],[Time Distance D1]]),"",RANK(GamesDay1[[#This Row],[Time Distance D1]],GamesDay1[Time Distance D1],1))</f>
        <v/>
      </c>
      <c r="Y27" s="303"/>
      <c r="Z27" s="297">
        <f>IF(GamesDay1[[#This Row],[Pass / Fail Distance D1]]="P",IF(GamesDay1[[#This Row],[Prev Qs Distance D1]]="",1,GamesDay1[[#This Row],[Prev Qs Distance D1]]+1),GamesDay1[[#This Row],[Prev Qs Distance D1]])</f>
        <v>0</v>
      </c>
      <c r="AA27" s="155" t="e">
        <f t="shared" si="3"/>
        <v>#N/A</v>
      </c>
      <c r="AB27" s="298">
        <f>IFERROR(VLOOKUP(GamesDay1[[#This Row],[Dog D1]]&amp;"-"&amp;AB$5,DogInfo!A:B,2,FALSE),0)</f>
        <v>0</v>
      </c>
      <c r="AC27" s="304"/>
      <c r="AD27" s="304"/>
      <c r="AE27" s="299" t="str">
        <f>IF(ISBLANK(GamesDay1[[#This Row],[Time Speed D1]]),"",RANK(GamesDay1[[#This Row],[Time Speed D1]],GamesDay1[Time Speed D1],1))</f>
        <v/>
      </c>
      <c r="AF27" s="304"/>
      <c r="AG27" s="299">
        <f>IF(GamesDay1[[#This Row],[Pass / Fail Speed D1]]="P",IF(GamesDay1[[#This Row],[Prev Qs Speed D1]]="",1,GamesDay1[[#This Row],[Prev Qs Speed D1]]+1),GamesDay1[[#This Row],[Prev Qs Speed D1]])</f>
        <v>0</v>
      </c>
      <c r="AH27" s="155" t="e">
        <f t="shared" si="4"/>
        <v>#N/A</v>
      </c>
      <c r="AI27" s="155">
        <f>IFERROR(VLOOKUP(GamesDay1[[#This Row],[Dog D1]]&amp;"-"&amp;AI$5,DogInfo!A:B,2,FALSE),0)</f>
        <v>0</v>
      </c>
      <c r="AJ27" s="220"/>
      <c r="AK27" s="221"/>
      <c r="AL27" s="155" t="str">
        <f>IF(ISBLANK(GamesDay1[[#This Row],[Time Team D1]]),"",RANK(GamesDay1[[#This Row],[Time Team D1]],GamesDay1[Time Team D1],1))</f>
        <v/>
      </c>
      <c r="AM27" s="220"/>
      <c r="AN27" s="225">
        <f>IF(GamesDay1[[#This Row],[Pass / Fail Team D1]]="P",IF(GamesDay1[[#This Row],[Prev Qs Team D1]]="",1,GamesDay1[[#This Row],[Prev Qs Team D1]]+1),GamesDay1[[#This Row],[Prev Qs Team D1]])</f>
        <v>0</v>
      </c>
      <c r="AO2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7" s="167">
        <f>GamesDay1[[#This Row],[Number of Games D1]]*SddaFee</f>
        <v>0</v>
      </c>
      <c r="AS27" s="167">
        <f>(GamesDay1[[#This Row],[Number of Games D1]]+GamesDay1[[#This Row],[Number of FEOs D1]])*JudgesFeeFEOGames</f>
        <v>0</v>
      </c>
    </row>
    <row r="28" spans="1:45" s="6" customFormat="1" ht="24.75" customHeight="1" x14ac:dyDescent="0.25">
      <c r="A28" s="171" t="s">
        <v>3688</v>
      </c>
      <c r="B28" s="155">
        <v>22</v>
      </c>
      <c r="C2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8" s="220"/>
      <c r="E28" s="219" t="str">
        <f>IFERROR(VLOOKUP(GamesDay1[[#This Row],[Dog D1]],'SDDA Dogs'!A:B,2,FALSE),"")</f>
        <v/>
      </c>
      <c r="F28" s="219" t="str">
        <f>IFERROR(VLOOKUP(GamesDay1[[#This Row],[Dog D1]],'SDDA Dogs'!A:C,3,FALSE),"")</f>
        <v/>
      </c>
      <c r="G28" s="219" t="str">
        <f>IFERROR(VLOOKUP(GamesDay1[[#This Row],[Dog D1]],'SDDA Dogs'!A:F,6,FALSE),"")</f>
        <v/>
      </c>
      <c r="H28" s="219"/>
      <c r="I28" s="165">
        <f>GamesDay1[[#This Row],[Total Qs Aerial D1]]</f>
        <v>0</v>
      </c>
      <c r="J28" s="155">
        <f>GamesDay1[[#This Row],[Total Qs Distance D1]]</f>
        <v>0</v>
      </c>
      <c r="K28" s="155">
        <f>GamesDay1[[#This Row],[Total Qs Speed D1]]</f>
        <v>0</v>
      </c>
      <c r="L28" s="224">
        <f>GamesDay1[[#This Row],[Total Qs Team D1]]</f>
        <v>0</v>
      </c>
      <c r="M28" s="219" t="e">
        <f t="shared" si="1"/>
        <v>#N/A</v>
      </c>
      <c r="N28" s="155">
        <f>IFERROR(VLOOKUP(GamesDay1[[#This Row],[Dog D1]]&amp;"-"&amp;N$5,DogInfo!A:B,2,FALSE),0)</f>
        <v>0</v>
      </c>
      <c r="O28" s="220"/>
      <c r="P28" s="221"/>
      <c r="Q28" s="155" t="str">
        <f>IF(ISBLANK(GamesDay1[[#This Row],[Time Aerial D1]]),"",RANK(GamesDay1[[#This Row],[Time Aerial D1]],GamesDay1[Time Aerial D1],1))</f>
        <v/>
      </c>
      <c r="R28" s="220"/>
      <c r="S28" s="225">
        <f>IF(GamesDay1[[#This Row],[Pass / Fail Aerial D1]]="P",IF(GamesDay1[[#This Row],[Prev Qs Aerial D1]]="",1,GamesDay1[[#This Row],[Prev Qs Aerial D1]]+1),GamesDay1[[#This Row],[Prev Qs Aerial D1]])</f>
        <v>0</v>
      </c>
      <c r="T28" s="155" t="e">
        <f t="shared" si="2"/>
        <v>#N/A</v>
      </c>
      <c r="U28" s="155">
        <f>IFERROR(VLOOKUP(GamesDay1[[#This Row],[Dog D1]]&amp;"-"&amp;U$5,DogInfo!A:B,2,FALSE),0)</f>
        <v>0</v>
      </c>
      <c r="V28" s="220"/>
      <c r="W28" s="221"/>
      <c r="X28" s="155" t="str">
        <f>IF(ISBLANK(GamesDay1[[#This Row],[Time Distance D1]]),"",RANK(GamesDay1[[#This Row],[Time Distance D1]],GamesDay1[Time Distance D1],1))</f>
        <v/>
      </c>
      <c r="Y28" s="220"/>
      <c r="Z28" s="225">
        <f>IF(GamesDay1[[#This Row],[Pass / Fail Distance D1]]="P",IF(GamesDay1[[#This Row],[Prev Qs Distance D1]]="",1,GamesDay1[[#This Row],[Prev Qs Distance D1]]+1),GamesDay1[[#This Row],[Prev Qs Distance D1]])</f>
        <v>0</v>
      </c>
      <c r="AA28" s="155" t="e">
        <f t="shared" si="3"/>
        <v>#N/A</v>
      </c>
      <c r="AB28" s="155">
        <f>IFERROR(VLOOKUP(GamesDay1[[#This Row],[Dog D1]]&amp;"-"&amp;AB$5,DogInfo!A:B,2,FALSE),0)</f>
        <v>0</v>
      </c>
      <c r="AC28" s="220"/>
      <c r="AD28" s="221"/>
      <c r="AE28" s="155" t="str">
        <f>IF(ISBLANK(GamesDay1[[#This Row],[Time Speed D1]]),"",RANK(GamesDay1[[#This Row],[Time Speed D1]],GamesDay1[Time Speed D1],1))</f>
        <v/>
      </c>
      <c r="AF28" s="220"/>
      <c r="AG28" s="225">
        <f>IF(GamesDay1[[#This Row],[Pass / Fail Speed D1]]="P",IF(GamesDay1[[#This Row],[Prev Qs Speed D1]]="",1,GamesDay1[[#This Row],[Prev Qs Speed D1]]+1),GamesDay1[[#This Row],[Prev Qs Speed D1]])</f>
        <v>0</v>
      </c>
      <c r="AH28" s="155" t="e">
        <f t="shared" si="4"/>
        <v>#N/A</v>
      </c>
      <c r="AI28" s="155">
        <f>IFERROR(VLOOKUP(GamesDay1[[#This Row],[Dog D1]]&amp;"-"&amp;AI$5,DogInfo!A:B,2,FALSE),0)</f>
        <v>0</v>
      </c>
      <c r="AJ28" s="220"/>
      <c r="AK28" s="221"/>
      <c r="AL28" s="155" t="str">
        <f>IF(ISBLANK(GamesDay1[[#This Row],[Time Team D1]]),"",RANK(GamesDay1[[#This Row],[Time Team D1]],GamesDay1[Time Team D1],1))</f>
        <v/>
      </c>
      <c r="AM28" s="220"/>
      <c r="AN28" s="225">
        <f>IF(GamesDay1[[#This Row],[Pass / Fail Team D1]]="P",IF(GamesDay1[[#This Row],[Prev Qs Team D1]]="",1,GamesDay1[[#This Row],[Prev Qs Team D1]]+1),GamesDay1[[#This Row],[Prev Qs Team D1]])</f>
        <v>0</v>
      </c>
      <c r="AO2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8" s="167">
        <f>GamesDay1[[#This Row],[Number of Games D1]]*SddaFee</f>
        <v>0</v>
      </c>
      <c r="AS28" s="167">
        <f>(GamesDay1[[#This Row],[Number of Games D1]]+GamesDay1[[#This Row],[Number of FEOs D1]])*JudgesFeeFEOGames</f>
        <v>0</v>
      </c>
    </row>
    <row r="29" spans="1:45" s="6" customFormat="1" ht="24.75" customHeight="1" x14ac:dyDescent="0.25">
      <c r="A29" s="171" t="s">
        <v>3688</v>
      </c>
      <c r="B29" s="155">
        <v>23</v>
      </c>
      <c r="C2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9" s="220"/>
      <c r="E29" s="219" t="str">
        <f>IFERROR(VLOOKUP(GamesDay1[[#This Row],[Dog D1]],'SDDA Dogs'!A:B,2,FALSE),"")</f>
        <v/>
      </c>
      <c r="F29" s="219" t="str">
        <f>IFERROR(VLOOKUP(GamesDay1[[#This Row],[Dog D1]],'SDDA Dogs'!A:C,3,FALSE),"")</f>
        <v/>
      </c>
      <c r="G29" s="219" t="str">
        <f>IFERROR(VLOOKUP(GamesDay1[[#This Row],[Dog D1]],'SDDA Dogs'!A:F,6,FALSE),"")</f>
        <v/>
      </c>
      <c r="H29" s="219"/>
      <c r="I29" s="165">
        <f>GamesDay1[[#This Row],[Total Qs Aerial D1]]</f>
        <v>0</v>
      </c>
      <c r="J29" s="155">
        <f>GamesDay1[[#This Row],[Total Qs Distance D1]]</f>
        <v>0</v>
      </c>
      <c r="K29" s="155">
        <f>GamesDay1[[#This Row],[Total Qs Speed D1]]</f>
        <v>0</v>
      </c>
      <c r="L29" s="224">
        <f>GamesDay1[[#This Row],[Total Qs Team D1]]</f>
        <v>0</v>
      </c>
      <c r="M29" s="219" t="e">
        <f t="shared" si="1"/>
        <v>#N/A</v>
      </c>
      <c r="N29" s="293">
        <f>IFERROR(VLOOKUP(GamesDay1[[#This Row],[Dog D1]]&amp;"-"&amp;N$5,DogInfo!A:B,2,FALSE),0)</f>
        <v>0</v>
      </c>
      <c r="O29" s="301"/>
      <c r="P29" s="301"/>
      <c r="Q29" s="294" t="str">
        <f>IF(ISBLANK(GamesDay1[[#This Row],[Time Aerial D1]]),"",RANK(GamesDay1[[#This Row],[Time Aerial D1]],GamesDay1[Time Aerial D1],1))</f>
        <v/>
      </c>
      <c r="R29" s="301"/>
      <c r="S29" s="300">
        <f>IF(GamesDay1[[#This Row],[Pass / Fail Aerial D1]]="P",IF(GamesDay1[[#This Row],[Prev Qs Aerial D1]]="",1,GamesDay1[[#This Row],[Prev Qs Aerial D1]]+1),GamesDay1[[#This Row],[Prev Qs Aerial D1]])</f>
        <v>0</v>
      </c>
      <c r="T29" s="155" t="e">
        <f t="shared" si="2"/>
        <v>#N/A</v>
      </c>
      <c r="U29" s="296">
        <f>IFERROR(VLOOKUP(GamesDay1[[#This Row],[Dog D1]]&amp;"-"&amp;U$5,DogInfo!A:B,2,FALSE),0)</f>
        <v>0</v>
      </c>
      <c r="V29" s="303"/>
      <c r="W29" s="303"/>
      <c r="X29" s="297" t="str">
        <f>IF(ISBLANK(GamesDay1[[#This Row],[Time Distance D1]]),"",RANK(GamesDay1[[#This Row],[Time Distance D1]],GamesDay1[Time Distance D1],1))</f>
        <v/>
      </c>
      <c r="Y29" s="303"/>
      <c r="Z29" s="297">
        <f>IF(GamesDay1[[#This Row],[Pass / Fail Distance D1]]="P",IF(GamesDay1[[#This Row],[Prev Qs Distance D1]]="",1,GamesDay1[[#This Row],[Prev Qs Distance D1]]+1),GamesDay1[[#This Row],[Prev Qs Distance D1]])</f>
        <v>0</v>
      </c>
      <c r="AA29" s="155" t="e">
        <f t="shared" si="3"/>
        <v>#N/A</v>
      </c>
      <c r="AB29" s="298">
        <f>IFERROR(VLOOKUP(GamesDay1[[#This Row],[Dog D1]]&amp;"-"&amp;AB$5,DogInfo!A:B,2,FALSE),0)</f>
        <v>0</v>
      </c>
      <c r="AC29" s="304"/>
      <c r="AD29" s="304"/>
      <c r="AE29" s="299" t="str">
        <f>IF(ISBLANK(GamesDay1[[#This Row],[Time Speed D1]]),"",RANK(GamesDay1[[#This Row],[Time Speed D1]],GamesDay1[Time Speed D1],1))</f>
        <v/>
      </c>
      <c r="AF29" s="304"/>
      <c r="AG29" s="299">
        <f>IF(GamesDay1[[#This Row],[Pass / Fail Speed D1]]="P",IF(GamesDay1[[#This Row],[Prev Qs Speed D1]]="",1,GamesDay1[[#This Row],[Prev Qs Speed D1]]+1),GamesDay1[[#This Row],[Prev Qs Speed D1]])</f>
        <v>0</v>
      </c>
      <c r="AH29" s="155" t="e">
        <f t="shared" si="4"/>
        <v>#N/A</v>
      </c>
      <c r="AI29" s="155">
        <f>IFERROR(VLOOKUP(GamesDay1[[#This Row],[Dog D1]]&amp;"-"&amp;AI$5,DogInfo!A:B,2,FALSE),0)</f>
        <v>0</v>
      </c>
      <c r="AJ29" s="220"/>
      <c r="AK29" s="221"/>
      <c r="AL29" s="155" t="str">
        <f>IF(ISBLANK(GamesDay1[[#This Row],[Time Team D1]]),"",RANK(GamesDay1[[#This Row],[Time Team D1]],GamesDay1[Time Team D1],1))</f>
        <v/>
      </c>
      <c r="AM29" s="220"/>
      <c r="AN29" s="225">
        <f>IF(GamesDay1[[#This Row],[Pass / Fail Team D1]]="P",IF(GamesDay1[[#This Row],[Prev Qs Team D1]]="",1,GamesDay1[[#This Row],[Prev Qs Team D1]]+1),GamesDay1[[#This Row],[Prev Qs Team D1]])</f>
        <v>0</v>
      </c>
      <c r="AO2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9" s="167">
        <f>GamesDay1[[#This Row],[Number of Games D1]]*SddaFee</f>
        <v>0</v>
      </c>
      <c r="AS29" s="167">
        <f>(GamesDay1[[#This Row],[Number of Games D1]]+GamesDay1[[#This Row],[Number of FEOs D1]])*JudgesFeeFEOGames</f>
        <v>0</v>
      </c>
    </row>
    <row r="30" spans="1:45" s="6" customFormat="1" ht="24.75" customHeight="1" x14ac:dyDescent="0.25">
      <c r="A30" s="171" t="s">
        <v>3688</v>
      </c>
      <c r="B30" s="155">
        <v>24</v>
      </c>
      <c r="C3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0" s="220"/>
      <c r="E30" s="219" t="str">
        <f>IFERROR(VLOOKUP(GamesDay1[[#This Row],[Dog D1]],'SDDA Dogs'!A:B,2,FALSE),"")</f>
        <v/>
      </c>
      <c r="F30" s="219" t="str">
        <f>IFERROR(VLOOKUP(GamesDay1[[#This Row],[Dog D1]],'SDDA Dogs'!A:C,3,FALSE),"")</f>
        <v/>
      </c>
      <c r="G30" s="219" t="str">
        <f>IFERROR(VLOOKUP(GamesDay1[[#This Row],[Dog D1]],'SDDA Dogs'!A:F,6,FALSE),"")</f>
        <v/>
      </c>
      <c r="H30" s="219"/>
      <c r="I30" s="165">
        <f>GamesDay1[[#This Row],[Total Qs Aerial D1]]</f>
        <v>0</v>
      </c>
      <c r="J30" s="155">
        <f>GamesDay1[[#This Row],[Total Qs Distance D1]]</f>
        <v>0</v>
      </c>
      <c r="K30" s="155">
        <f>GamesDay1[[#This Row],[Total Qs Speed D1]]</f>
        <v>0</v>
      </c>
      <c r="L30" s="224">
        <f>GamesDay1[[#This Row],[Total Qs Team D1]]</f>
        <v>0</v>
      </c>
      <c r="M30" s="219" t="e">
        <f t="shared" si="1"/>
        <v>#N/A</v>
      </c>
      <c r="N30" s="155">
        <f>IFERROR(VLOOKUP(GamesDay1[[#This Row],[Dog D1]]&amp;"-"&amp;N$5,DogInfo!A:B,2,FALSE),0)</f>
        <v>0</v>
      </c>
      <c r="O30" s="220"/>
      <c r="P30" s="221"/>
      <c r="Q30" s="155" t="str">
        <f>IF(ISBLANK(GamesDay1[[#This Row],[Time Aerial D1]]),"",RANK(GamesDay1[[#This Row],[Time Aerial D1]],GamesDay1[Time Aerial D1],1))</f>
        <v/>
      </c>
      <c r="R30" s="220"/>
      <c r="S30" s="225">
        <f>IF(GamesDay1[[#This Row],[Pass / Fail Aerial D1]]="P",IF(GamesDay1[[#This Row],[Prev Qs Aerial D1]]="",1,GamesDay1[[#This Row],[Prev Qs Aerial D1]]+1),GamesDay1[[#This Row],[Prev Qs Aerial D1]])</f>
        <v>0</v>
      </c>
      <c r="T30" s="155" t="e">
        <f t="shared" si="2"/>
        <v>#N/A</v>
      </c>
      <c r="U30" s="155">
        <f>IFERROR(VLOOKUP(GamesDay1[[#This Row],[Dog D1]]&amp;"-"&amp;U$5,DogInfo!A:B,2,FALSE),0)</f>
        <v>0</v>
      </c>
      <c r="V30" s="220"/>
      <c r="W30" s="221"/>
      <c r="X30" s="155" t="str">
        <f>IF(ISBLANK(GamesDay1[[#This Row],[Time Distance D1]]),"",RANK(GamesDay1[[#This Row],[Time Distance D1]],GamesDay1[Time Distance D1],1))</f>
        <v/>
      </c>
      <c r="Y30" s="220"/>
      <c r="Z30" s="225">
        <f>IF(GamesDay1[[#This Row],[Pass / Fail Distance D1]]="P",IF(GamesDay1[[#This Row],[Prev Qs Distance D1]]="",1,GamesDay1[[#This Row],[Prev Qs Distance D1]]+1),GamesDay1[[#This Row],[Prev Qs Distance D1]])</f>
        <v>0</v>
      </c>
      <c r="AA30" s="155" t="e">
        <f t="shared" si="3"/>
        <v>#N/A</v>
      </c>
      <c r="AB30" s="155">
        <f>IFERROR(VLOOKUP(GamesDay1[[#This Row],[Dog D1]]&amp;"-"&amp;AB$5,DogInfo!A:B,2,FALSE),0)</f>
        <v>0</v>
      </c>
      <c r="AC30" s="220"/>
      <c r="AD30" s="221"/>
      <c r="AE30" s="155" t="str">
        <f>IF(ISBLANK(GamesDay1[[#This Row],[Time Speed D1]]),"",RANK(GamesDay1[[#This Row],[Time Speed D1]],GamesDay1[Time Speed D1],1))</f>
        <v/>
      </c>
      <c r="AF30" s="220"/>
      <c r="AG30" s="225">
        <f>IF(GamesDay1[[#This Row],[Pass / Fail Speed D1]]="P",IF(GamesDay1[[#This Row],[Prev Qs Speed D1]]="",1,GamesDay1[[#This Row],[Prev Qs Speed D1]]+1),GamesDay1[[#This Row],[Prev Qs Speed D1]])</f>
        <v>0</v>
      </c>
      <c r="AH30" s="155" t="e">
        <f t="shared" si="4"/>
        <v>#N/A</v>
      </c>
      <c r="AI30" s="155">
        <f>IFERROR(VLOOKUP(GamesDay1[[#This Row],[Dog D1]]&amp;"-"&amp;AI$5,DogInfo!A:B,2,FALSE),0)</f>
        <v>0</v>
      </c>
      <c r="AJ30" s="220"/>
      <c r="AK30" s="221"/>
      <c r="AL30" s="155" t="str">
        <f>IF(ISBLANK(GamesDay1[[#This Row],[Time Team D1]]),"",RANK(GamesDay1[[#This Row],[Time Team D1]],GamesDay1[Time Team D1],1))</f>
        <v/>
      </c>
      <c r="AM30" s="220"/>
      <c r="AN30" s="225">
        <f>IF(GamesDay1[[#This Row],[Pass / Fail Team D1]]="P",IF(GamesDay1[[#This Row],[Prev Qs Team D1]]="",1,GamesDay1[[#This Row],[Prev Qs Team D1]]+1),GamesDay1[[#This Row],[Prev Qs Team D1]])</f>
        <v>0</v>
      </c>
      <c r="AO3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0" s="167">
        <f>GamesDay1[[#This Row],[Number of Games D1]]*SddaFee</f>
        <v>0</v>
      </c>
      <c r="AS30" s="167">
        <f>(GamesDay1[[#This Row],[Number of Games D1]]+GamesDay1[[#This Row],[Number of FEOs D1]])*JudgesFeeFEOGames</f>
        <v>0</v>
      </c>
    </row>
    <row r="31" spans="1:45" s="6" customFormat="1" ht="24.75" customHeight="1" x14ac:dyDescent="0.25">
      <c r="A31" s="171" t="s">
        <v>3688</v>
      </c>
      <c r="B31" s="155">
        <v>25</v>
      </c>
      <c r="C3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1" s="220"/>
      <c r="E31" s="219" t="str">
        <f>IFERROR(VLOOKUP(GamesDay1[[#This Row],[Dog D1]],'SDDA Dogs'!A:B,2,FALSE),"")</f>
        <v/>
      </c>
      <c r="F31" s="219" t="str">
        <f>IFERROR(VLOOKUP(GamesDay1[[#This Row],[Dog D1]],'SDDA Dogs'!A:C,3,FALSE),"")</f>
        <v/>
      </c>
      <c r="G31" s="219" t="str">
        <f>IFERROR(VLOOKUP(GamesDay1[[#This Row],[Dog D1]],'SDDA Dogs'!A:F,6,FALSE),"")</f>
        <v/>
      </c>
      <c r="H31" s="219"/>
      <c r="I31" s="165">
        <f>GamesDay1[[#This Row],[Total Qs Aerial D1]]</f>
        <v>0</v>
      </c>
      <c r="J31" s="155">
        <f>GamesDay1[[#This Row],[Total Qs Distance D1]]</f>
        <v>0</v>
      </c>
      <c r="K31" s="155">
        <f>GamesDay1[[#This Row],[Total Qs Speed D1]]</f>
        <v>0</v>
      </c>
      <c r="L31" s="224">
        <f>GamesDay1[[#This Row],[Total Qs Team D1]]</f>
        <v>0</v>
      </c>
      <c r="M31" s="219" t="e">
        <f t="shared" si="1"/>
        <v>#N/A</v>
      </c>
      <c r="N31" s="293">
        <f>IFERROR(VLOOKUP(GamesDay1[[#This Row],[Dog D1]]&amp;"-"&amp;N$5,DogInfo!A:B,2,FALSE),0)</f>
        <v>0</v>
      </c>
      <c r="O31" s="301"/>
      <c r="P31" s="301"/>
      <c r="Q31" s="294" t="str">
        <f>IF(ISBLANK(GamesDay1[[#This Row],[Time Aerial D1]]),"",RANK(GamesDay1[[#This Row],[Time Aerial D1]],GamesDay1[Time Aerial D1],1))</f>
        <v/>
      </c>
      <c r="R31" s="301"/>
      <c r="S31" s="300">
        <f>IF(GamesDay1[[#This Row],[Pass / Fail Aerial D1]]="P",IF(GamesDay1[[#This Row],[Prev Qs Aerial D1]]="",1,GamesDay1[[#This Row],[Prev Qs Aerial D1]]+1),GamesDay1[[#This Row],[Prev Qs Aerial D1]])</f>
        <v>0</v>
      </c>
      <c r="T31" s="155" t="e">
        <f t="shared" si="2"/>
        <v>#N/A</v>
      </c>
      <c r="U31" s="296">
        <f>IFERROR(VLOOKUP(GamesDay1[[#This Row],[Dog D1]]&amp;"-"&amp;U$5,DogInfo!A:B,2,FALSE),0)</f>
        <v>0</v>
      </c>
      <c r="V31" s="303"/>
      <c r="W31" s="303"/>
      <c r="X31" s="297" t="str">
        <f>IF(ISBLANK(GamesDay1[[#This Row],[Time Distance D1]]),"",RANK(GamesDay1[[#This Row],[Time Distance D1]],GamesDay1[Time Distance D1],1))</f>
        <v/>
      </c>
      <c r="Y31" s="303"/>
      <c r="Z31" s="297">
        <f>IF(GamesDay1[[#This Row],[Pass / Fail Distance D1]]="P",IF(GamesDay1[[#This Row],[Prev Qs Distance D1]]="",1,GamesDay1[[#This Row],[Prev Qs Distance D1]]+1),GamesDay1[[#This Row],[Prev Qs Distance D1]])</f>
        <v>0</v>
      </c>
      <c r="AA31" s="155" t="e">
        <f t="shared" si="3"/>
        <v>#N/A</v>
      </c>
      <c r="AB31" s="298">
        <f>IFERROR(VLOOKUP(GamesDay1[[#This Row],[Dog D1]]&amp;"-"&amp;AB$5,DogInfo!A:B,2,FALSE),0)</f>
        <v>0</v>
      </c>
      <c r="AC31" s="304"/>
      <c r="AD31" s="304"/>
      <c r="AE31" s="299" t="str">
        <f>IF(ISBLANK(GamesDay1[[#This Row],[Time Speed D1]]),"",RANK(GamesDay1[[#This Row],[Time Speed D1]],GamesDay1[Time Speed D1],1))</f>
        <v/>
      </c>
      <c r="AF31" s="304"/>
      <c r="AG31" s="299">
        <f>IF(GamesDay1[[#This Row],[Pass / Fail Speed D1]]="P",IF(GamesDay1[[#This Row],[Prev Qs Speed D1]]="",1,GamesDay1[[#This Row],[Prev Qs Speed D1]]+1),GamesDay1[[#This Row],[Prev Qs Speed D1]])</f>
        <v>0</v>
      </c>
      <c r="AH31" s="155" t="e">
        <f t="shared" si="4"/>
        <v>#N/A</v>
      </c>
      <c r="AI31" s="155">
        <f>IFERROR(VLOOKUP(GamesDay1[[#This Row],[Dog D1]]&amp;"-"&amp;AI$5,DogInfo!A:B,2,FALSE),0)</f>
        <v>0</v>
      </c>
      <c r="AJ31" s="220"/>
      <c r="AK31" s="221"/>
      <c r="AL31" s="155" t="str">
        <f>IF(ISBLANK(GamesDay1[[#This Row],[Time Team D1]]),"",RANK(GamesDay1[[#This Row],[Time Team D1]],GamesDay1[Time Team D1],1))</f>
        <v/>
      </c>
      <c r="AM31" s="220"/>
      <c r="AN31" s="225">
        <f>IF(GamesDay1[[#This Row],[Pass / Fail Team D1]]="P",IF(GamesDay1[[#This Row],[Prev Qs Team D1]]="",1,GamesDay1[[#This Row],[Prev Qs Team D1]]+1),GamesDay1[[#This Row],[Prev Qs Team D1]])</f>
        <v>0</v>
      </c>
      <c r="AO3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1" s="167">
        <f>GamesDay1[[#This Row],[Number of Games D1]]*SddaFee</f>
        <v>0</v>
      </c>
      <c r="AS31" s="167">
        <f>(GamesDay1[[#This Row],[Number of Games D1]]+GamesDay1[[#This Row],[Number of FEOs D1]])*JudgesFeeFEOGames</f>
        <v>0</v>
      </c>
    </row>
    <row r="32" spans="1:45" s="6" customFormat="1" ht="24.75" customHeight="1" x14ac:dyDescent="0.25">
      <c r="A32" s="171" t="s">
        <v>3688</v>
      </c>
      <c r="B32" s="155">
        <v>26</v>
      </c>
      <c r="C3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2" s="220"/>
      <c r="E32" s="219" t="str">
        <f>IFERROR(VLOOKUP(GamesDay1[[#This Row],[Dog D1]],'SDDA Dogs'!A:B,2,FALSE),"")</f>
        <v/>
      </c>
      <c r="F32" s="219" t="str">
        <f>IFERROR(VLOOKUP(GamesDay1[[#This Row],[Dog D1]],'SDDA Dogs'!A:C,3,FALSE),"")</f>
        <v/>
      </c>
      <c r="G32" s="219" t="str">
        <f>IFERROR(VLOOKUP(GamesDay1[[#This Row],[Dog D1]],'SDDA Dogs'!A:F,6,FALSE),"")</f>
        <v/>
      </c>
      <c r="H32" s="219"/>
      <c r="I32" s="165">
        <f>GamesDay1[[#This Row],[Total Qs Aerial D1]]</f>
        <v>0</v>
      </c>
      <c r="J32" s="155">
        <f>GamesDay1[[#This Row],[Total Qs Distance D1]]</f>
        <v>0</v>
      </c>
      <c r="K32" s="155">
        <f>GamesDay1[[#This Row],[Total Qs Speed D1]]</f>
        <v>0</v>
      </c>
      <c r="L32" s="224">
        <f>GamesDay1[[#This Row],[Total Qs Team D1]]</f>
        <v>0</v>
      </c>
      <c r="M32" s="219" t="e">
        <f t="shared" si="1"/>
        <v>#N/A</v>
      </c>
      <c r="N32" s="155">
        <f>IFERROR(VLOOKUP(GamesDay1[[#This Row],[Dog D1]]&amp;"-"&amp;N$5,DogInfo!A:B,2,FALSE),0)</f>
        <v>0</v>
      </c>
      <c r="O32" s="220"/>
      <c r="P32" s="221"/>
      <c r="Q32" s="155" t="str">
        <f>IF(ISBLANK(GamesDay1[[#This Row],[Time Aerial D1]]),"",RANK(GamesDay1[[#This Row],[Time Aerial D1]],GamesDay1[Time Aerial D1],1))</f>
        <v/>
      </c>
      <c r="R32" s="220"/>
      <c r="S32" s="225">
        <f>IF(GamesDay1[[#This Row],[Pass / Fail Aerial D1]]="P",IF(GamesDay1[[#This Row],[Prev Qs Aerial D1]]="",1,GamesDay1[[#This Row],[Prev Qs Aerial D1]]+1),GamesDay1[[#This Row],[Prev Qs Aerial D1]])</f>
        <v>0</v>
      </c>
      <c r="T32" s="155" t="e">
        <f t="shared" si="2"/>
        <v>#N/A</v>
      </c>
      <c r="U32" s="155">
        <f>IFERROR(VLOOKUP(GamesDay1[[#This Row],[Dog D1]]&amp;"-"&amp;U$5,DogInfo!A:B,2,FALSE),0)</f>
        <v>0</v>
      </c>
      <c r="V32" s="220"/>
      <c r="W32" s="221"/>
      <c r="X32" s="155" t="str">
        <f>IF(ISBLANK(GamesDay1[[#This Row],[Time Distance D1]]),"",RANK(GamesDay1[[#This Row],[Time Distance D1]],GamesDay1[Time Distance D1],1))</f>
        <v/>
      </c>
      <c r="Y32" s="220"/>
      <c r="Z32" s="225">
        <f>IF(GamesDay1[[#This Row],[Pass / Fail Distance D1]]="P",IF(GamesDay1[[#This Row],[Prev Qs Distance D1]]="",1,GamesDay1[[#This Row],[Prev Qs Distance D1]]+1),GamesDay1[[#This Row],[Prev Qs Distance D1]])</f>
        <v>0</v>
      </c>
      <c r="AA32" s="155" t="e">
        <f t="shared" si="3"/>
        <v>#N/A</v>
      </c>
      <c r="AB32" s="155">
        <f>IFERROR(VLOOKUP(GamesDay1[[#This Row],[Dog D1]]&amp;"-"&amp;AB$5,DogInfo!A:B,2,FALSE),0)</f>
        <v>0</v>
      </c>
      <c r="AC32" s="220"/>
      <c r="AD32" s="221"/>
      <c r="AE32" s="155" t="str">
        <f>IF(ISBLANK(GamesDay1[[#This Row],[Time Speed D1]]),"",RANK(GamesDay1[[#This Row],[Time Speed D1]],GamesDay1[Time Speed D1],1))</f>
        <v/>
      </c>
      <c r="AF32" s="220"/>
      <c r="AG32" s="225">
        <f>IF(GamesDay1[[#This Row],[Pass / Fail Speed D1]]="P",IF(GamesDay1[[#This Row],[Prev Qs Speed D1]]="",1,GamesDay1[[#This Row],[Prev Qs Speed D1]]+1),GamesDay1[[#This Row],[Prev Qs Speed D1]])</f>
        <v>0</v>
      </c>
      <c r="AH32" s="155" t="e">
        <f t="shared" si="4"/>
        <v>#N/A</v>
      </c>
      <c r="AI32" s="155">
        <f>IFERROR(VLOOKUP(GamesDay1[[#This Row],[Dog D1]]&amp;"-"&amp;AI$5,DogInfo!A:B,2,FALSE),0)</f>
        <v>0</v>
      </c>
      <c r="AJ32" s="220"/>
      <c r="AK32" s="221"/>
      <c r="AL32" s="155" t="str">
        <f>IF(ISBLANK(GamesDay1[[#This Row],[Time Team D1]]),"",RANK(GamesDay1[[#This Row],[Time Team D1]],GamesDay1[Time Team D1],1))</f>
        <v/>
      </c>
      <c r="AM32" s="220"/>
      <c r="AN32" s="225">
        <f>IF(GamesDay1[[#This Row],[Pass / Fail Team D1]]="P",IF(GamesDay1[[#This Row],[Prev Qs Team D1]]="",1,GamesDay1[[#This Row],[Prev Qs Team D1]]+1),GamesDay1[[#This Row],[Prev Qs Team D1]])</f>
        <v>0</v>
      </c>
      <c r="AO3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2" s="167">
        <f>GamesDay1[[#This Row],[Number of Games D1]]*SddaFee</f>
        <v>0</v>
      </c>
      <c r="AS32" s="167">
        <f>(GamesDay1[[#This Row],[Number of Games D1]]+GamesDay1[[#This Row],[Number of FEOs D1]])*JudgesFeeFEOGames</f>
        <v>0</v>
      </c>
    </row>
    <row r="33" spans="1:45" s="6" customFormat="1" ht="24.75" customHeight="1" x14ac:dyDescent="0.25">
      <c r="A33" s="171" t="s">
        <v>3688</v>
      </c>
      <c r="B33" s="155">
        <v>27</v>
      </c>
      <c r="C3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3" s="220"/>
      <c r="E33" s="219" t="str">
        <f>IFERROR(VLOOKUP(GamesDay1[[#This Row],[Dog D1]],'SDDA Dogs'!A:B,2,FALSE),"")</f>
        <v/>
      </c>
      <c r="F33" s="219" t="str">
        <f>IFERROR(VLOOKUP(GamesDay1[[#This Row],[Dog D1]],'SDDA Dogs'!A:C,3,FALSE),"")</f>
        <v/>
      </c>
      <c r="G33" s="219" t="str">
        <f>IFERROR(VLOOKUP(GamesDay1[[#This Row],[Dog D1]],'SDDA Dogs'!A:F,6,FALSE),"")</f>
        <v/>
      </c>
      <c r="H33" s="219"/>
      <c r="I33" s="165">
        <f>GamesDay1[[#This Row],[Total Qs Aerial D1]]</f>
        <v>0</v>
      </c>
      <c r="J33" s="155">
        <f>GamesDay1[[#This Row],[Total Qs Distance D1]]</f>
        <v>0</v>
      </c>
      <c r="K33" s="155">
        <f>GamesDay1[[#This Row],[Total Qs Speed D1]]</f>
        <v>0</v>
      </c>
      <c r="L33" s="224">
        <f>GamesDay1[[#This Row],[Total Qs Team D1]]</f>
        <v>0</v>
      </c>
      <c r="M33" s="219" t="e">
        <f t="shared" si="1"/>
        <v>#N/A</v>
      </c>
      <c r="N33" s="293">
        <f>IFERROR(VLOOKUP(GamesDay1[[#This Row],[Dog D1]]&amp;"-"&amp;N$5,DogInfo!A:B,2,FALSE),0)</f>
        <v>0</v>
      </c>
      <c r="O33" s="301"/>
      <c r="P33" s="301"/>
      <c r="Q33" s="294" t="str">
        <f>IF(ISBLANK(GamesDay1[[#This Row],[Time Aerial D1]]),"",RANK(GamesDay1[[#This Row],[Time Aerial D1]],GamesDay1[Time Aerial D1],1))</f>
        <v/>
      </c>
      <c r="R33" s="301"/>
      <c r="S33" s="300">
        <f>IF(GamesDay1[[#This Row],[Pass / Fail Aerial D1]]="P",IF(GamesDay1[[#This Row],[Prev Qs Aerial D1]]="",1,GamesDay1[[#This Row],[Prev Qs Aerial D1]]+1),GamesDay1[[#This Row],[Prev Qs Aerial D1]])</f>
        <v>0</v>
      </c>
      <c r="T33" s="155" t="e">
        <f t="shared" si="2"/>
        <v>#N/A</v>
      </c>
      <c r="U33" s="296">
        <f>IFERROR(VLOOKUP(GamesDay1[[#This Row],[Dog D1]]&amp;"-"&amp;U$5,DogInfo!A:B,2,FALSE),0)</f>
        <v>0</v>
      </c>
      <c r="V33" s="303"/>
      <c r="W33" s="303"/>
      <c r="X33" s="297" t="str">
        <f>IF(ISBLANK(GamesDay1[[#This Row],[Time Distance D1]]),"",RANK(GamesDay1[[#This Row],[Time Distance D1]],GamesDay1[Time Distance D1],1))</f>
        <v/>
      </c>
      <c r="Y33" s="303"/>
      <c r="Z33" s="297">
        <f>IF(GamesDay1[[#This Row],[Pass / Fail Distance D1]]="P",IF(GamesDay1[[#This Row],[Prev Qs Distance D1]]="",1,GamesDay1[[#This Row],[Prev Qs Distance D1]]+1),GamesDay1[[#This Row],[Prev Qs Distance D1]])</f>
        <v>0</v>
      </c>
      <c r="AA33" s="155" t="e">
        <f t="shared" si="3"/>
        <v>#N/A</v>
      </c>
      <c r="AB33" s="298">
        <f>IFERROR(VLOOKUP(GamesDay1[[#This Row],[Dog D1]]&amp;"-"&amp;AB$5,DogInfo!A:B,2,FALSE),0)</f>
        <v>0</v>
      </c>
      <c r="AC33" s="304"/>
      <c r="AD33" s="304"/>
      <c r="AE33" s="299" t="str">
        <f>IF(ISBLANK(GamesDay1[[#This Row],[Time Speed D1]]),"",RANK(GamesDay1[[#This Row],[Time Speed D1]],GamesDay1[Time Speed D1],1))</f>
        <v/>
      </c>
      <c r="AF33" s="304"/>
      <c r="AG33" s="299">
        <f>IF(GamesDay1[[#This Row],[Pass / Fail Speed D1]]="P",IF(GamesDay1[[#This Row],[Prev Qs Speed D1]]="",1,GamesDay1[[#This Row],[Prev Qs Speed D1]]+1),GamesDay1[[#This Row],[Prev Qs Speed D1]])</f>
        <v>0</v>
      </c>
      <c r="AH33" s="155" t="e">
        <f t="shared" si="4"/>
        <v>#N/A</v>
      </c>
      <c r="AI33" s="155">
        <f>IFERROR(VLOOKUP(GamesDay1[[#This Row],[Dog D1]]&amp;"-"&amp;AI$5,DogInfo!A:B,2,FALSE),0)</f>
        <v>0</v>
      </c>
      <c r="AJ33" s="220"/>
      <c r="AK33" s="221"/>
      <c r="AL33" s="155" t="str">
        <f>IF(ISBLANK(GamesDay1[[#This Row],[Time Team D1]]),"",RANK(GamesDay1[[#This Row],[Time Team D1]],GamesDay1[Time Team D1],1))</f>
        <v/>
      </c>
      <c r="AM33" s="220"/>
      <c r="AN33" s="225">
        <f>IF(GamesDay1[[#This Row],[Pass / Fail Team D1]]="P",IF(GamesDay1[[#This Row],[Prev Qs Team D1]]="",1,GamesDay1[[#This Row],[Prev Qs Team D1]]+1),GamesDay1[[#This Row],[Prev Qs Team D1]])</f>
        <v>0</v>
      </c>
      <c r="AO3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3" s="167">
        <f>GamesDay1[[#This Row],[Number of Games D1]]*SddaFee</f>
        <v>0</v>
      </c>
      <c r="AS33" s="167">
        <f>(GamesDay1[[#This Row],[Number of Games D1]]+GamesDay1[[#This Row],[Number of FEOs D1]])*JudgesFeeFEOGames</f>
        <v>0</v>
      </c>
    </row>
    <row r="34" spans="1:45" s="6" customFormat="1" ht="24.75" customHeight="1" x14ac:dyDescent="0.25">
      <c r="A34" s="171" t="s">
        <v>3688</v>
      </c>
      <c r="B34" s="155">
        <v>28</v>
      </c>
      <c r="C3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4" s="220"/>
      <c r="E34" s="219" t="str">
        <f>IFERROR(VLOOKUP(GamesDay1[[#This Row],[Dog D1]],'SDDA Dogs'!A:B,2,FALSE),"")</f>
        <v/>
      </c>
      <c r="F34" s="219" t="str">
        <f>IFERROR(VLOOKUP(GamesDay1[[#This Row],[Dog D1]],'SDDA Dogs'!A:C,3,FALSE),"")</f>
        <v/>
      </c>
      <c r="G34" s="219" t="str">
        <f>IFERROR(VLOOKUP(GamesDay1[[#This Row],[Dog D1]],'SDDA Dogs'!A:F,6,FALSE),"")</f>
        <v/>
      </c>
      <c r="H34" s="219"/>
      <c r="I34" s="165">
        <f>GamesDay1[[#This Row],[Total Qs Aerial D1]]</f>
        <v>0</v>
      </c>
      <c r="J34" s="155">
        <f>GamesDay1[[#This Row],[Total Qs Distance D1]]</f>
        <v>0</v>
      </c>
      <c r="K34" s="155">
        <f>GamesDay1[[#This Row],[Total Qs Speed D1]]</f>
        <v>0</v>
      </c>
      <c r="L34" s="224">
        <f>GamesDay1[[#This Row],[Total Qs Team D1]]</f>
        <v>0</v>
      </c>
      <c r="M34" s="219" t="e">
        <f t="shared" si="1"/>
        <v>#N/A</v>
      </c>
      <c r="N34" s="155">
        <f>IFERROR(VLOOKUP(GamesDay1[[#This Row],[Dog D1]]&amp;"-"&amp;N$5,DogInfo!A:B,2,FALSE),0)</f>
        <v>0</v>
      </c>
      <c r="O34" s="220"/>
      <c r="P34" s="221"/>
      <c r="Q34" s="155" t="str">
        <f>IF(ISBLANK(GamesDay1[[#This Row],[Time Aerial D1]]),"",RANK(GamesDay1[[#This Row],[Time Aerial D1]],GamesDay1[Time Aerial D1],1))</f>
        <v/>
      </c>
      <c r="R34" s="220"/>
      <c r="S34" s="225">
        <f>IF(GamesDay1[[#This Row],[Pass / Fail Aerial D1]]="P",IF(GamesDay1[[#This Row],[Prev Qs Aerial D1]]="",1,GamesDay1[[#This Row],[Prev Qs Aerial D1]]+1),GamesDay1[[#This Row],[Prev Qs Aerial D1]])</f>
        <v>0</v>
      </c>
      <c r="T34" s="155" t="e">
        <f t="shared" si="2"/>
        <v>#N/A</v>
      </c>
      <c r="U34" s="155">
        <f>IFERROR(VLOOKUP(GamesDay1[[#This Row],[Dog D1]]&amp;"-"&amp;U$5,DogInfo!A:B,2,FALSE),0)</f>
        <v>0</v>
      </c>
      <c r="V34" s="220"/>
      <c r="W34" s="221"/>
      <c r="X34" s="155" t="str">
        <f>IF(ISBLANK(GamesDay1[[#This Row],[Time Distance D1]]),"",RANK(GamesDay1[[#This Row],[Time Distance D1]],GamesDay1[Time Distance D1],1))</f>
        <v/>
      </c>
      <c r="Y34" s="220"/>
      <c r="Z34" s="225">
        <f>IF(GamesDay1[[#This Row],[Pass / Fail Distance D1]]="P",IF(GamesDay1[[#This Row],[Prev Qs Distance D1]]="",1,GamesDay1[[#This Row],[Prev Qs Distance D1]]+1),GamesDay1[[#This Row],[Prev Qs Distance D1]])</f>
        <v>0</v>
      </c>
      <c r="AA34" s="155" t="e">
        <f t="shared" si="3"/>
        <v>#N/A</v>
      </c>
      <c r="AB34" s="155">
        <f>IFERROR(VLOOKUP(GamesDay1[[#This Row],[Dog D1]]&amp;"-"&amp;AB$5,DogInfo!A:B,2,FALSE),0)</f>
        <v>0</v>
      </c>
      <c r="AC34" s="220"/>
      <c r="AD34" s="221"/>
      <c r="AE34" s="155" t="str">
        <f>IF(ISBLANK(GamesDay1[[#This Row],[Time Speed D1]]),"",RANK(GamesDay1[[#This Row],[Time Speed D1]],GamesDay1[Time Speed D1],1))</f>
        <v/>
      </c>
      <c r="AF34" s="220"/>
      <c r="AG34" s="225">
        <f>IF(GamesDay1[[#This Row],[Pass / Fail Speed D1]]="P",IF(GamesDay1[[#This Row],[Prev Qs Speed D1]]="",1,GamesDay1[[#This Row],[Prev Qs Speed D1]]+1),GamesDay1[[#This Row],[Prev Qs Speed D1]])</f>
        <v>0</v>
      </c>
      <c r="AH34" s="155" t="e">
        <f t="shared" si="4"/>
        <v>#N/A</v>
      </c>
      <c r="AI34" s="155">
        <f>IFERROR(VLOOKUP(GamesDay1[[#This Row],[Dog D1]]&amp;"-"&amp;AI$5,DogInfo!A:B,2,FALSE),0)</f>
        <v>0</v>
      </c>
      <c r="AJ34" s="220"/>
      <c r="AK34" s="221"/>
      <c r="AL34" s="155" t="str">
        <f>IF(ISBLANK(GamesDay1[[#This Row],[Time Team D1]]),"",RANK(GamesDay1[[#This Row],[Time Team D1]],GamesDay1[Time Team D1],1))</f>
        <v/>
      </c>
      <c r="AM34" s="220"/>
      <c r="AN34" s="225">
        <f>IF(GamesDay1[[#This Row],[Pass / Fail Team D1]]="P",IF(GamesDay1[[#This Row],[Prev Qs Team D1]]="",1,GamesDay1[[#This Row],[Prev Qs Team D1]]+1),GamesDay1[[#This Row],[Prev Qs Team D1]])</f>
        <v>0</v>
      </c>
      <c r="AO3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4" s="167">
        <f>GamesDay1[[#This Row],[Number of Games D1]]*SddaFee</f>
        <v>0</v>
      </c>
      <c r="AS34" s="167">
        <f>(GamesDay1[[#This Row],[Number of Games D1]]+GamesDay1[[#This Row],[Number of FEOs D1]])*JudgesFeeFEOGames</f>
        <v>0</v>
      </c>
    </row>
    <row r="35" spans="1:45" s="6" customFormat="1" ht="24.75" customHeight="1" x14ac:dyDescent="0.25">
      <c r="A35" s="171" t="s">
        <v>3688</v>
      </c>
      <c r="B35" s="155">
        <v>29</v>
      </c>
      <c r="C3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5" s="220"/>
      <c r="E35" s="219" t="str">
        <f>IFERROR(VLOOKUP(GamesDay1[[#This Row],[Dog D1]],'SDDA Dogs'!A:B,2,FALSE),"")</f>
        <v/>
      </c>
      <c r="F35" s="219" t="str">
        <f>IFERROR(VLOOKUP(GamesDay1[[#This Row],[Dog D1]],'SDDA Dogs'!A:C,3,FALSE),"")</f>
        <v/>
      </c>
      <c r="G35" s="219" t="str">
        <f>IFERROR(VLOOKUP(GamesDay1[[#This Row],[Dog D1]],'SDDA Dogs'!A:F,6,FALSE),"")</f>
        <v/>
      </c>
      <c r="H35" s="219"/>
      <c r="I35" s="165">
        <f>GamesDay1[[#This Row],[Total Qs Aerial D1]]</f>
        <v>0</v>
      </c>
      <c r="J35" s="155">
        <f>GamesDay1[[#This Row],[Total Qs Distance D1]]</f>
        <v>0</v>
      </c>
      <c r="K35" s="155">
        <f>GamesDay1[[#This Row],[Total Qs Speed D1]]</f>
        <v>0</v>
      </c>
      <c r="L35" s="224">
        <f>GamesDay1[[#This Row],[Total Qs Team D1]]</f>
        <v>0</v>
      </c>
      <c r="M35" s="219" t="e">
        <f t="shared" si="1"/>
        <v>#N/A</v>
      </c>
      <c r="N35" s="293">
        <f>IFERROR(VLOOKUP(GamesDay1[[#This Row],[Dog D1]]&amp;"-"&amp;N$5,DogInfo!A:B,2,FALSE),0)</f>
        <v>0</v>
      </c>
      <c r="O35" s="301"/>
      <c r="P35" s="301"/>
      <c r="Q35" s="294" t="str">
        <f>IF(ISBLANK(GamesDay1[[#This Row],[Time Aerial D1]]),"",RANK(GamesDay1[[#This Row],[Time Aerial D1]],GamesDay1[Time Aerial D1],1))</f>
        <v/>
      </c>
      <c r="R35" s="301"/>
      <c r="S35" s="300">
        <f>IF(GamesDay1[[#This Row],[Pass / Fail Aerial D1]]="P",IF(GamesDay1[[#This Row],[Prev Qs Aerial D1]]="",1,GamesDay1[[#This Row],[Prev Qs Aerial D1]]+1),GamesDay1[[#This Row],[Prev Qs Aerial D1]])</f>
        <v>0</v>
      </c>
      <c r="T35" s="155" t="e">
        <f t="shared" si="2"/>
        <v>#N/A</v>
      </c>
      <c r="U35" s="296">
        <f>IFERROR(VLOOKUP(GamesDay1[[#This Row],[Dog D1]]&amp;"-"&amp;U$5,DogInfo!A:B,2,FALSE),0)</f>
        <v>0</v>
      </c>
      <c r="V35" s="303"/>
      <c r="W35" s="303"/>
      <c r="X35" s="297" t="str">
        <f>IF(ISBLANK(GamesDay1[[#This Row],[Time Distance D1]]),"",RANK(GamesDay1[[#This Row],[Time Distance D1]],GamesDay1[Time Distance D1],1))</f>
        <v/>
      </c>
      <c r="Y35" s="303"/>
      <c r="Z35" s="297">
        <f>IF(GamesDay1[[#This Row],[Pass / Fail Distance D1]]="P",IF(GamesDay1[[#This Row],[Prev Qs Distance D1]]="",1,GamesDay1[[#This Row],[Prev Qs Distance D1]]+1),GamesDay1[[#This Row],[Prev Qs Distance D1]])</f>
        <v>0</v>
      </c>
      <c r="AA35" s="155" t="e">
        <f t="shared" si="3"/>
        <v>#N/A</v>
      </c>
      <c r="AB35" s="298">
        <f>IFERROR(VLOOKUP(GamesDay1[[#This Row],[Dog D1]]&amp;"-"&amp;AB$5,DogInfo!A:B,2,FALSE),0)</f>
        <v>0</v>
      </c>
      <c r="AC35" s="304"/>
      <c r="AD35" s="304"/>
      <c r="AE35" s="299" t="str">
        <f>IF(ISBLANK(GamesDay1[[#This Row],[Time Speed D1]]),"",RANK(GamesDay1[[#This Row],[Time Speed D1]],GamesDay1[Time Speed D1],1))</f>
        <v/>
      </c>
      <c r="AF35" s="304"/>
      <c r="AG35" s="299">
        <f>IF(GamesDay1[[#This Row],[Pass / Fail Speed D1]]="P",IF(GamesDay1[[#This Row],[Prev Qs Speed D1]]="",1,GamesDay1[[#This Row],[Prev Qs Speed D1]]+1),GamesDay1[[#This Row],[Prev Qs Speed D1]])</f>
        <v>0</v>
      </c>
      <c r="AH35" s="155" t="e">
        <f t="shared" si="4"/>
        <v>#N/A</v>
      </c>
      <c r="AI35" s="155">
        <f>IFERROR(VLOOKUP(GamesDay1[[#This Row],[Dog D1]]&amp;"-"&amp;AI$5,DogInfo!A:B,2,FALSE),0)</f>
        <v>0</v>
      </c>
      <c r="AJ35" s="220"/>
      <c r="AK35" s="221"/>
      <c r="AL35" s="155" t="str">
        <f>IF(ISBLANK(GamesDay1[[#This Row],[Time Team D1]]),"",RANK(GamesDay1[[#This Row],[Time Team D1]],GamesDay1[Time Team D1],1))</f>
        <v/>
      </c>
      <c r="AM35" s="220"/>
      <c r="AN35" s="225">
        <f>IF(GamesDay1[[#This Row],[Pass / Fail Team D1]]="P",IF(GamesDay1[[#This Row],[Prev Qs Team D1]]="",1,GamesDay1[[#This Row],[Prev Qs Team D1]]+1),GamesDay1[[#This Row],[Prev Qs Team D1]])</f>
        <v>0</v>
      </c>
      <c r="AO3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5" s="167">
        <f>GamesDay1[[#This Row],[Number of Games D1]]*SddaFee</f>
        <v>0</v>
      </c>
      <c r="AS35" s="167">
        <f>(GamesDay1[[#This Row],[Number of Games D1]]+GamesDay1[[#This Row],[Number of FEOs D1]])*JudgesFeeFEOGames</f>
        <v>0</v>
      </c>
    </row>
    <row r="36" spans="1:45" s="6" customFormat="1" ht="24.75" customHeight="1" x14ac:dyDescent="0.25">
      <c r="A36" s="171" t="s">
        <v>3688</v>
      </c>
      <c r="B36" s="155">
        <v>30</v>
      </c>
      <c r="C3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6" s="220"/>
      <c r="E36" s="219" t="str">
        <f>IFERROR(VLOOKUP(GamesDay1[[#This Row],[Dog D1]],'SDDA Dogs'!A:B,2,FALSE),"")</f>
        <v/>
      </c>
      <c r="F36" s="219" t="str">
        <f>IFERROR(VLOOKUP(GamesDay1[[#This Row],[Dog D1]],'SDDA Dogs'!A:C,3,FALSE),"")</f>
        <v/>
      </c>
      <c r="G36" s="219" t="str">
        <f>IFERROR(VLOOKUP(GamesDay1[[#This Row],[Dog D1]],'SDDA Dogs'!A:F,6,FALSE),"")</f>
        <v/>
      </c>
      <c r="H36" s="219"/>
      <c r="I36" s="165">
        <f>GamesDay1[[#This Row],[Total Qs Aerial D1]]</f>
        <v>0</v>
      </c>
      <c r="J36" s="155">
        <f>GamesDay1[[#This Row],[Total Qs Distance D1]]</f>
        <v>0</v>
      </c>
      <c r="K36" s="155">
        <f>GamesDay1[[#This Row],[Total Qs Speed D1]]</f>
        <v>0</v>
      </c>
      <c r="L36" s="224">
        <f>GamesDay1[[#This Row],[Total Qs Team D1]]</f>
        <v>0</v>
      </c>
      <c r="M36" s="219" t="e">
        <f t="shared" si="1"/>
        <v>#N/A</v>
      </c>
      <c r="N36" s="155">
        <f>IFERROR(VLOOKUP(GamesDay1[[#This Row],[Dog D1]]&amp;"-"&amp;N$5,DogInfo!A:B,2,FALSE),0)</f>
        <v>0</v>
      </c>
      <c r="O36" s="220"/>
      <c r="P36" s="221"/>
      <c r="Q36" s="155" t="str">
        <f>IF(ISBLANK(GamesDay1[[#This Row],[Time Aerial D1]]),"",RANK(GamesDay1[[#This Row],[Time Aerial D1]],GamesDay1[Time Aerial D1],1))</f>
        <v/>
      </c>
      <c r="R36" s="220"/>
      <c r="S36" s="225">
        <f>IF(GamesDay1[[#This Row],[Pass / Fail Aerial D1]]="P",IF(GamesDay1[[#This Row],[Prev Qs Aerial D1]]="",1,GamesDay1[[#This Row],[Prev Qs Aerial D1]]+1),GamesDay1[[#This Row],[Prev Qs Aerial D1]])</f>
        <v>0</v>
      </c>
      <c r="T36" s="155" t="e">
        <f t="shared" si="2"/>
        <v>#N/A</v>
      </c>
      <c r="U36" s="155">
        <f>IFERROR(VLOOKUP(GamesDay1[[#This Row],[Dog D1]]&amp;"-"&amp;U$5,DogInfo!A:B,2,FALSE),0)</f>
        <v>0</v>
      </c>
      <c r="V36" s="220"/>
      <c r="W36" s="221"/>
      <c r="X36" s="155" t="str">
        <f>IF(ISBLANK(GamesDay1[[#This Row],[Time Distance D1]]),"",RANK(GamesDay1[[#This Row],[Time Distance D1]],GamesDay1[Time Distance D1],1))</f>
        <v/>
      </c>
      <c r="Y36" s="220"/>
      <c r="Z36" s="225">
        <f>IF(GamesDay1[[#This Row],[Pass / Fail Distance D1]]="P",IF(GamesDay1[[#This Row],[Prev Qs Distance D1]]="",1,GamesDay1[[#This Row],[Prev Qs Distance D1]]+1),GamesDay1[[#This Row],[Prev Qs Distance D1]])</f>
        <v>0</v>
      </c>
      <c r="AA36" s="155" t="e">
        <f t="shared" si="3"/>
        <v>#N/A</v>
      </c>
      <c r="AB36" s="155">
        <f>IFERROR(VLOOKUP(GamesDay1[[#This Row],[Dog D1]]&amp;"-"&amp;AB$5,DogInfo!A:B,2,FALSE),0)</f>
        <v>0</v>
      </c>
      <c r="AC36" s="220"/>
      <c r="AD36" s="221"/>
      <c r="AE36" s="155" t="str">
        <f>IF(ISBLANK(GamesDay1[[#This Row],[Time Speed D1]]),"",RANK(GamesDay1[[#This Row],[Time Speed D1]],GamesDay1[Time Speed D1],1))</f>
        <v/>
      </c>
      <c r="AF36" s="220"/>
      <c r="AG36" s="225">
        <f>IF(GamesDay1[[#This Row],[Pass / Fail Speed D1]]="P",IF(GamesDay1[[#This Row],[Prev Qs Speed D1]]="",1,GamesDay1[[#This Row],[Prev Qs Speed D1]]+1),GamesDay1[[#This Row],[Prev Qs Speed D1]])</f>
        <v>0</v>
      </c>
      <c r="AH36" s="155" t="e">
        <f t="shared" si="4"/>
        <v>#N/A</v>
      </c>
      <c r="AI36" s="155">
        <f>IFERROR(VLOOKUP(GamesDay1[[#This Row],[Dog D1]]&amp;"-"&amp;AI$5,DogInfo!A:B,2,FALSE),0)</f>
        <v>0</v>
      </c>
      <c r="AJ36" s="220"/>
      <c r="AK36" s="221"/>
      <c r="AL36" s="155" t="str">
        <f>IF(ISBLANK(GamesDay1[[#This Row],[Time Team D1]]),"",RANK(GamesDay1[[#This Row],[Time Team D1]],GamesDay1[Time Team D1],1))</f>
        <v/>
      </c>
      <c r="AM36" s="220"/>
      <c r="AN36" s="225">
        <f>IF(GamesDay1[[#This Row],[Pass / Fail Team D1]]="P",IF(GamesDay1[[#This Row],[Prev Qs Team D1]]="",1,GamesDay1[[#This Row],[Prev Qs Team D1]]+1),GamesDay1[[#This Row],[Prev Qs Team D1]])</f>
        <v>0</v>
      </c>
      <c r="AO3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6" s="167">
        <f>GamesDay1[[#This Row],[Number of Games D1]]*SddaFee</f>
        <v>0</v>
      </c>
      <c r="AS36" s="167">
        <f>(GamesDay1[[#This Row],[Number of Games D1]]+GamesDay1[[#This Row],[Number of FEOs D1]])*JudgesFeeFEOGames</f>
        <v>0</v>
      </c>
    </row>
    <row r="37" spans="1:45" s="6" customFormat="1" ht="24.75" customHeight="1" x14ac:dyDescent="0.25">
      <c r="A37" s="171" t="s">
        <v>3688</v>
      </c>
      <c r="B37" s="155">
        <v>31</v>
      </c>
      <c r="C3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7" s="220"/>
      <c r="E37" s="219" t="str">
        <f>IFERROR(VLOOKUP(GamesDay1[[#This Row],[Dog D1]],'SDDA Dogs'!A:B,2,FALSE),"")</f>
        <v/>
      </c>
      <c r="F37" s="219" t="str">
        <f>IFERROR(VLOOKUP(GamesDay1[[#This Row],[Dog D1]],'SDDA Dogs'!A:C,3,FALSE),"")</f>
        <v/>
      </c>
      <c r="G37" s="219" t="str">
        <f>IFERROR(VLOOKUP(GamesDay1[[#This Row],[Dog D1]],'SDDA Dogs'!A:F,6,FALSE),"")</f>
        <v/>
      </c>
      <c r="H37" s="219"/>
      <c r="I37" s="165">
        <f>GamesDay1[[#This Row],[Total Qs Aerial D1]]</f>
        <v>0</v>
      </c>
      <c r="J37" s="155">
        <f>GamesDay1[[#This Row],[Total Qs Distance D1]]</f>
        <v>0</v>
      </c>
      <c r="K37" s="155">
        <f>GamesDay1[[#This Row],[Total Qs Speed D1]]</f>
        <v>0</v>
      </c>
      <c r="L37" s="224">
        <f>GamesDay1[[#This Row],[Total Qs Team D1]]</f>
        <v>0</v>
      </c>
      <c r="M37" s="219" t="e">
        <f t="shared" si="1"/>
        <v>#N/A</v>
      </c>
      <c r="N37" s="293">
        <f>IFERROR(VLOOKUP(GamesDay1[[#This Row],[Dog D1]]&amp;"-"&amp;N$5,DogInfo!A:B,2,FALSE),0)</f>
        <v>0</v>
      </c>
      <c r="O37" s="301"/>
      <c r="P37" s="301"/>
      <c r="Q37" s="294" t="str">
        <f>IF(ISBLANK(GamesDay1[[#This Row],[Time Aerial D1]]),"",RANK(GamesDay1[[#This Row],[Time Aerial D1]],GamesDay1[Time Aerial D1],1))</f>
        <v/>
      </c>
      <c r="R37" s="301"/>
      <c r="S37" s="300">
        <f>IF(GamesDay1[[#This Row],[Pass / Fail Aerial D1]]="P",IF(GamesDay1[[#This Row],[Prev Qs Aerial D1]]="",1,GamesDay1[[#This Row],[Prev Qs Aerial D1]]+1),GamesDay1[[#This Row],[Prev Qs Aerial D1]])</f>
        <v>0</v>
      </c>
      <c r="T37" s="155" t="e">
        <f t="shared" si="2"/>
        <v>#N/A</v>
      </c>
      <c r="U37" s="296">
        <f>IFERROR(VLOOKUP(GamesDay1[[#This Row],[Dog D1]]&amp;"-"&amp;U$5,DogInfo!A:B,2,FALSE),0)</f>
        <v>0</v>
      </c>
      <c r="V37" s="303"/>
      <c r="W37" s="303"/>
      <c r="X37" s="297" t="str">
        <f>IF(ISBLANK(GamesDay1[[#This Row],[Time Distance D1]]),"",RANK(GamesDay1[[#This Row],[Time Distance D1]],GamesDay1[Time Distance D1],1))</f>
        <v/>
      </c>
      <c r="Y37" s="303"/>
      <c r="Z37" s="297">
        <f>IF(GamesDay1[[#This Row],[Pass / Fail Distance D1]]="P",IF(GamesDay1[[#This Row],[Prev Qs Distance D1]]="",1,GamesDay1[[#This Row],[Prev Qs Distance D1]]+1),GamesDay1[[#This Row],[Prev Qs Distance D1]])</f>
        <v>0</v>
      </c>
      <c r="AA37" s="155" t="e">
        <f t="shared" si="3"/>
        <v>#N/A</v>
      </c>
      <c r="AB37" s="298">
        <f>IFERROR(VLOOKUP(GamesDay1[[#This Row],[Dog D1]]&amp;"-"&amp;AB$5,DogInfo!A:B,2,FALSE),0)</f>
        <v>0</v>
      </c>
      <c r="AC37" s="304"/>
      <c r="AD37" s="304"/>
      <c r="AE37" s="299" t="str">
        <f>IF(ISBLANK(GamesDay1[[#This Row],[Time Speed D1]]),"",RANK(GamesDay1[[#This Row],[Time Speed D1]],GamesDay1[Time Speed D1],1))</f>
        <v/>
      </c>
      <c r="AF37" s="304"/>
      <c r="AG37" s="299">
        <f>IF(GamesDay1[[#This Row],[Pass / Fail Speed D1]]="P",IF(GamesDay1[[#This Row],[Prev Qs Speed D1]]="",1,GamesDay1[[#This Row],[Prev Qs Speed D1]]+1),GamesDay1[[#This Row],[Prev Qs Speed D1]])</f>
        <v>0</v>
      </c>
      <c r="AH37" s="155" t="e">
        <f t="shared" si="4"/>
        <v>#N/A</v>
      </c>
      <c r="AI37" s="155">
        <f>IFERROR(VLOOKUP(GamesDay1[[#This Row],[Dog D1]]&amp;"-"&amp;AI$5,DogInfo!A:B,2,FALSE),0)</f>
        <v>0</v>
      </c>
      <c r="AJ37" s="220"/>
      <c r="AK37" s="221"/>
      <c r="AL37" s="155" t="str">
        <f>IF(ISBLANK(GamesDay1[[#This Row],[Time Team D1]]),"",RANK(GamesDay1[[#This Row],[Time Team D1]],GamesDay1[Time Team D1],1))</f>
        <v/>
      </c>
      <c r="AM37" s="220"/>
      <c r="AN37" s="225">
        <f>IF(GamesDay1[[#This Row],[Pass / Fail Team D1]]="P",IF(GamesDay1[[#This Row],[Prev Qs Team D1]]="",1,GamesDay1[[#This Row],[Prev Qs Team D1]]+1),GamesDay1[[#This Row],[Prev Qs Team D1]])</f>
        <v>0</v>
      </c>
      <c r="AO3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7" s="167">
        <f>GamesDay1[[#This Row],[Number of Games D1]]*SddaFee</f>
        <v>0</v>
      </c>
      <c r="AS37" s="167">
        <f>(GamesDay1[[#This Row],[Number of Games D1]]+GamesDay1[[#This Row],[Number of FEOs D1]])*JudgesFeeFEOGames</f>
        <v>0</v>
      </c>
    </row>
    <row r="38" spans="1:45" s="6" customFormat="1" ht="24.75" customHeight="1" x14ac:dyDescent="0.25">
      <c r="A38" s="171" t="s">
        <v>3688</v>
      </c>
      <c r="B38" s="155">
        <v>32</v>
      </c>
      <c r="C3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8" s="220"/>
      <c r="E38" s="219" t="str">
        <f>IFERROR(VLOOKUP(GamesDay1[[#This Row],[Dog D1]],'SDDA Dogs'!A:B,2,FALSE),"")</f>
        <v/>
      </c>
      <c r="F38" s="219" t="str">
        <f>IFERROR(VLOOKUP(GamesDay1[[#This Row],[Dog D1]],'SDDA Dogs'!A:C,3,FALSE),"")</f>
        <v/>
      </c>
      <c r="G38" s="219" t="str">
        <f>IFERROR(VLOOKUP(GamesDay1[[#This Row],[Dog D1]],'SDDA Dogs'!A:F,6,FALSE),"")</f>
        <v/>
      </c>
      <c r="H38" s="219"/>
      <c r="I38" s="165">
        <f>GamesDay1[[#This Row],[Total Qs Aerial D1]]</f>
        <v>0</v>
      </c>
      <c r="J38" s="155">
        <f>GamesDay1[[#This Row],[Total Qs Distance D1]]</f>
        <v>0</v>
      </c>
      <c r="K38" s="155">
        <f>GamesDay1[[#This Row],[Total Qs Speed D1]]</f>
        <v>0</v>
      </c>
      <c r="L38" s="224">
        <f>GamesDay1[[#This Row],[Total Qs Team D1]]</f>
        <v>0</v>
      </c>
      <c r="M38" s="219" t="e">
        <f t="shared" si="1"/>
        <v>#N/A</v>
      </c>
      <c r="N38" s="155">
        <f>IFERROR(VLOOKUP(GamesDay1[[#This Row],[Dog D1]]&amp;"-"&amp;N$5,DogInfo!A:B,2,FALSE),0)</f>
        <v>0</v>
      </c>
      <c r="O38" s="220"/>
      <c r="P38" s="221"/>
      <c r="Q38" s="155" t="str">
        <f>IF(ISBLANK(GamesDay1[[#This Row],[Time Aerial D1]]),"",RANK(GamesDay1[[#This Row],[Time Aerial D1]],GamesDay1[Time Aerial D1],1))</f>
        <v/>
      </c>
      <c r="R38" s="220"/>
      <c r="S38" s="225">
        <f>IF(GamesDay1[[#This Row],[Pass / Fail Aerial D1]]="P",IF(GamesDay1[[#This Row],[Prev Qs Aerial D1]]="",1,GamesDay1[[#This Row],[Prev Qs Aerial D1]]+1),GamesDay1[[#This Row],[Prev Qs Aerial D1]])</f>
        <v>0</v>
      </c>
      <c r="T38" s="155" t="e">
        <f t="shared" si="2"/>
        <v>#N/A</v>
      </c>
      <c r="U38" s="155">
        <f>IFERROR(VLOOKUP(GamesDay1[[#This Row],[Dog D1]]&amp;"-"&amp;U$5,DogInfo!A:B,2,FALSE),0)</f>
        <v>0</v>
      </c>
      <c r="V38" s="220"/>
      <c r="W38" s="221"/>
      <c r="X38" s="155" t="str">
        <f>IF(ISBLANK(GamesDay1[[#This Row],[Time Distance D1]]),"",RANK(GamesDay1[[#This Row],[Time Distance D1]],GamesDay1[Time Distance D1],1))</f>
        <v/>
      </c>
      <c r="Y38" s="220"/>
      <c r="Z38" s="225">
        <f>IF(GamesDay1[[#This Row],[Pass / Fail Distance D1]]="P",IF(GamesDay1[[#This Row],[Prev Qs Distance D1]]="",1,GamesDay1[[#This Row],[Prev Qs Distance D1]]+1),GamesDay1[[#This Row],[Prev Qs Distance D1]])</f>
        <v>0</v>
      </c>
      <c r="AA38" s="155" t="e">
        <f t="shared" si="3"/>
        <v>#N/A</v>
      </c>
      <c r="AB38" s="155">
        <f>IFERROR(VLOOKUP(GamesDay1[[#This Row],[Dog D1]]&amp;"-"&amp;AB$5,DogInfo!A:B,2,FALSE),0)</f>
        <v>0</v>
      </c>
      <c r="AC38" s="220"/>
      <c r="AD38" s="221"/>
      <c r="AE38" s="155" t="str">
        <f>IF(ISBLANK(GamesDay1[[#This Row],[Time Speed D1]]),"",RANK(GamesDay1[[#This Row],[Time Speed D1]],GamesDay1[Time Speed D1],1))</f>
        <v/>
      </c>
      <c r="AF38" s="220"/>
      <c r="AG38" s="225">
        <f>IF(GamesDay1[[#This Row],[Pass / Fail Speed D1]]="P",IF(GamesDay1[[#This Row],[Prev Qs Speed D1]]="",1,GamesDay1[[#This Row],[Prev Qs Speed D1]]+1),GamesDay1[[#This Row],[Prev Qs Speed D1]])</f>
        <v>0</v>
      </c>
      <c r="AH38" s="155" t="e">
        <f t="shared" si="4"/>
        <v>#N/A</v>
      </c>
      <c r="AI38" s="155">
        <f>IFERROR(VLOOKUP(GamesDay1[[#This Row],[Dog D1]]&amp;"-"&amp;AI$5,DogInfo!A:B,2,FALSE),0)</f>
        <v>0</v>
      </c>
      <c r="AJ38" s="220"/>
      <c r="AK38" s="221"/>
      <c r="AL38" s="155" t="str">
        <f>IF(ISBLANK(GamesDay1[[#This Row],[Time Team D1]]),"",RANK(GamesDay1[[#This Row],[Time Team D1]],GamesDay1[Time Team D1],1))</f>
        <v/>
      </c>
      <c r="AM38" s="220"/>
      <c r="AN38" s="225">
        <f>IF(GamesDay1[[#This Row],[Pass / Fail Team D1]]="P",IF(GamesDay1[[#This Row],[Prev Qs Team D1]]="",1,GamesDay1[[#This Row],[Prev Qs Team D1]]+1),GamesDay1[[#This Row],[Prev Qs Team D1]])</f>
        <v>0</v>
      </c>
      <c r="AO3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8" s="167">
        <f>GamesDay1[[#This Row],[Number of Games D1]]*SddaFee</f>
        <v>0</v>
      </c>
      <c r="AS38" s="167">
        <f>(GamesDay1[[#This Row],[Number of Games D1]]+GamesDay1[[#This Row],[Number of FEOs D1]])*JudgesFeeFEOGames</f>
        <v>0</v>
      </c>
    </row>
    <row r="39" spans="1:45" s="6" customFormat="1" ht="24.75" customHeight="1" x14ac:dyDescent="0.25">
      <c r="A39" s="171" t="s">
        <v>3688</v>
      </c>
      <c r="B39" s="155">
        <v>33</v>
      </c>
      <c r="C3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9" s="220"/>
      <c r="E39" s="219" t="str">
        <f>IFERROR(VLOOKUP(GamesDay1[[#This Row],[Dog D1]],'SDDA Dogs'!A:B,2,FALSE),"")</f>
        <v/>
      </c>
      <c r="F39" s="219" t="str">
        <f>IFERROR(VLOOKUP(GamesDay1[[#This Row],[Dog D1]],'SDDA Dogs'!A:C,3,FALSE),"")</f>
        <v/>
      </c>
      <c r="G39" s="219" t="str">
        <f>IFERROR(VLOOKUP(GamesDay1[[#This Row],[Dog D1]],'SDDA Dogs'!A:F,6,FALSE),"")</f>
        <v/>
      </c>
      <c r="H39" s="219"/>
      <c r="I39" s="165">
        <f>GamesDay1[[#This Row],[Total Qs Aerial D1]]</f>
        <v>0</v>
      </c>
      <c r="J39" s="155">
        <f>GamesDay1[[#This Row],[Total Qs Distance D1]]</f>
        <v>0</v>
      </c>
      <c r="K39" s="155">
        <f>GamesDay1[[#This Row],[Total Qs Speed D1]]</f>
        <v>0</v>
      </c>
      <c r="L39" s="224">
        <f>GamesDay1[[#This Row],[Total Qs Team D1]]</f>
        <v>0</v>
      </c>
      <c r="M39" s="219" t="e">
        <f t="shared" ref="M39:M56" si="5">VLOOKUP(JudgeD1GamesAerial,JudgesList,2,FALSE)</f>
        <v>#N/A</v>
      </c>
      <c r="N39" s="293">
        <f>IFERROR(VLOOKUP(GamesDay1[[#This Row],[Dog D1]]&amp;"-"&amp;N$5,DogInfo!A:B,2,FALSE),0)</f>
        <v>0</v>
      </c>
      <c r="O39" s="301"/>
      <c r="P39" s="301"/>
      <c r="Q39" s="294" t="str">
        <f>IF(ISBLANK(GamesDay1[[#This Row],[Time Aerial D1]]),"",RANK(GamesDay1[[#This Row],[Time Aerial D1]],GamesDay1[Time Aerial D1],1))</f>
        <v/>
      </c>
      <c r="R39" s="301"/>
      <c r="S39" s="300">
        <f>IF(GamesDay1[[#This Row],[Pass / Fail Aerial D1]]="P",IF(GamesDay1[[#This Row],[Prev Qs Aerial D1]]="",1,GamesDay1[[#This Row],[Prev Qs Aerial D1]]+1),GamesDay1[[#This Row],[Prev Qs Aerial D1]])</f>
        <v>0</v>
      </c>
      <c r="T39" s="155" t="e">
        <f t="shared" ref="T39:T56" si="6">VLOOKUP(JudgeD1GamesDistance,JudgesList,2,FALSE)</f>
        <v>#N/A</v>
      </c>
      <c r="U39" s="296">
        <f>IFERROR(VLOOKUP(GamesDay1[[#This Row],[Dog D1]]&amp;"-"&amp;U$5,DogInfo!A:B,2,FALSE),0)</f>
        <v>0</v>
      </c>
      <c r="V39" s="303"/>
      <c r="W39" s="303"/>
      <c r="X39" s="297" t="str">
        <f>IF(ISBLANK(GamesDay1[[#This Row],[Time Distance D1]]),"",RANK(GamesDay1[[#This Row],[Time Distance D1]],GamesDay1[Time Distance D1],1))</f>
        <v/>
      </c>
      <c r="Y39" s="303"/>
      <c r="Z39" s="297">
        <f>IF(GamesDay1[[#This Row],[Pass / Fail Distance D1]]="P",IF(GamesDay1[[#This Row],[Prev Qs Distance D1]]="",1,GamesDay1[[#This Row],[Prev Qs Distance D1]]+1),GamesDay1[[#This Row],[Prev Qs Distance D1]])</f>
        <v>0</v>
      </c>
      <c r="AA39" s="155" t="e">
        <f t="shared" ref="AA39:AA56" si="7">VLOOKUP(JudgeD1GamesSpeed,JudgesList,2,FALSE)</f>
        <v>#N/A</v>
      </c>
      <c r="AB39" s="298">
        <f>IFERROR(VLOOKUP(GamesDay1[[#This Row],[Dog D1]]&amp;"-"&amp;AB$5,DogInfo!A:B,2,FALSE),0)</f>
        <v>0</v>
      </c>
      <c r="AC39" s="304"/>
      <c r="AD39" s="304"/>
      <c r="AE39" s="299" t="str">
        <f>IF(ISBLANK(GamesDay1[[#This Row],[Time Speed D1]]),"",RANK(GamesDay1[[#This Row],[Time Speed D1]],GamesDay1[Time Speed D1],1))</f>
        <v/>
      </c>
      <c r="AF39" s="304"/>
      <c r="AG39" s="299">
        <f>IF(GamesDay1[[#This Row],[Pass / Fail Speed D1]]="P",IF(GamesDay1[[#This Row],[Prev Qs Speed D1]]="",1,GamesDay1[[#This Row],[Prev Qs Speed D1]]+1),GamesDay1[[#This Row],[Prev Qs Speed D1]])</f>
        <v>0</v>
      </c>
      <c r="AH39" s="155" t="e">
        <f t="shared" ref="AH39:AH56" si="8">VLOOKUP(JudgeD1GamesTeam,JudgesList,2,FALSE)</f>
        <v>#N/A</v>
      </c>
      <c r="AI39" s="155">
        <f>IFERROR(VLOOKUP(GamesDay1[[#This Row],[Dog D1]]&amp;"-"&amp;AI$5,DogInfo!A:B,2,FALSE),0)</f>
        <v>0</v>
      </c>
      <c r="AJ39" s="220"/>
      <c r="AK39" s="221"/>
      <c r="AL39" s="155" t="str">
        <f>IF(ISBLANK(GamesDay1[[#This Row],[Time Team D1]]),"",RANK(GamesDay1[[#This Row],[Time Team D1]],GamesDay1[Time Team D1],1))</f>
        <v/>
      </c>
      <c r="AM39" s="220"/>
      <c r="AN39" s="225">
        <f>IF(GamesDay1[[#This Row],[Pass / Fail Team D1]]="P",IF(GamesDay1[[#This Row],[Prev Qs Team D1]]="",1,GamesDay1[[#This Row],[Prev Qs Team D1]]+1),GamesDay1[[#This Row],[Prev Qs Team D1]])</f>
        <v>0</v>
      </c>
      <c r="AO3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9" s="167">
        <f>GamesDay1[[#This Row],[Number of Games D1]]*SddaFee</f>
        <v>0</v>
      </c>
      <c r="AS39" s="167">
        <f>(GamesDay1[[#This Row],[Number of Games D1]]+GamesDay1[[#This Row],[Number of FEOs D1]])*JudgesFeeFEOGames</f>
        <v>0</v>
      </c>
    </row>
    <row r="40" spans="1:45" s="6" customFormat="1" ht="24.75" customHeight="1" x14ac:dyDescent="0.25">
      <c r="A40" s="171" t="s">
        <v>3688</v>
      </c>
      <c r="B40" s="155">
        <v>34</v>
      </c>
      <c r="C4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0" s="220"/>
      <c r="E40" s="219" t="str">
        <f>IFERROR(VLOOKUP(GamesDay1[[#This Row],[Dog D1]],'SDDA Dogs'!A:B,2,FALSE),"")</f>
        <v/>
      </c>
      <c r="F40" s="219" t="str">
        <f>IFERROR(VLOOKUP(GamesDay1[[#This Row],[Dog D1]],'SDDA Dogs'!A:C,3,FALSE),"")</f>
        <v/>
      </c>
      <c r="G40" s="219" t="str">
        <f>IFERROR(VLOOKUP(GamesDay1[[#This Row],[Dog D1]],'SDDA Dogs'!A:F,6,FALSE),"")</f>
        <v/>
      </c>
      <c r="H40" s="219"/>
      <c r="I40" s="165">
        <f>GamesDay1[[#This Row],[Total Qs Aerial D1]]</f>
        <v>0</v>
      </c>
      <c r="J40" s="155">
        <f>GamesDay1[[#This Row],[Total Qs Distance D1]]</f>
        <v>0</v>
      </c>
      <c r="K40" s="155">
        <f>GamesDay1[[#This Row],[Total Qs Speed D1]]</f>
        <v>0</v>
      </c>
      <c r="L40" s="224">
        <f>GamesDay1[[#This Row],[Total Qs Team D1]]</f>
        <v>0</v>
      </c>
      <c r="M40" s="219" t="e">
        <f t="shared" si="5"/>
        <v>#N/A</v>
      </c>
      <c r="N40" s="155">
        <f>IFERROR(VLOOKUP(GamesDay1[[#This Row],[Dog D1]]&amp;"-"&amp;N$5,DogInfo!A:B,2,FALSE),0)</f>
        <v>0</v>
      </c>
      <c r="O40" s="220"/>
      <c r="P40" s="221"/>
      <c r="Q40" s="155" t="str">
        <f>IF(ISBLANK(GamesDay1[[#This Row],[Time Aerial D1]]),"",RANK(GamesDay1[[#This Row],[Time Aerial D1]],GamesDay1[Time Aerial D1],1))</f>
        <v/>
      </c>
      <c r="R40" s="220"/>
      <c r="S40" s="225">
        <f>IF(GamesDay1[[#This Row],[Pass / Fail Aerial D1]]="P",IF(GamesDay1[[#This Row],[Prev Qs Aerial D1]]="",1,GamesDay1[[#This Row],[Prev Qs Aerial D1]]+1),GamesDay1[[#This Row],[Prev Qs Aerial D1]])</f>
        <v>0</v>
      </c>
      <c r="T40" s="155" t="e">
        <f t="shared" si="6"/>
        <v>#N/A</v>
      </c>
      <c r="U40" s="155">
        <f>IFERROR(VLOOKUP(GamesDay1[[#This Row],[Dog D1]]&amp;"-"&amp;U$5,DogInfo!A:B,2,FALSE),0)</f>
        <v>0</v>
      </c>
      <c r="V40" s="220"/>
      <c r="W40" s="221"/>
      <c r="X40" s="155" t="str">
        <f>IF(ISBLANK(GamesDay1[[#This Row],[Time Distance D1]]),"",RANK(GamesDay1[[#This Row],[Time Distance D1]],GamesDay1[Time Distance D1],1))</f>
        <v/>
      </c>
      <c r="Y40" s="220"/>
      <c r="Z40" s="225">
        <f>IF(GamesDay1[[#This Row],[Pass / Fail Distance D1]]="P",IF(GamesDay1[[#This Row],[Prev Qs Distance D1]]="",1,GamesDay1[[#This Row],[Prev Qs Distance D1]]+1),GamesDay1[[#This Row],[Prev Qs Distance D1]])</f>
        <v>0</v>
      </c>
      <c r="AA40" s="155" t="e">
        <f t="shared" si="7"/>
        <v>#N/A</v>
      </c>
      <c r="AB40" s="155">
        <f>IFERROR(VLOOKUP(GamesDay1[[#This Row],[Dog D1]]&amp;"-"&amp;AB$5,DogInfo!A:B,2,FALSE),0)</f>
        <v>0</v>
      </c>
      <c r="AC40" s="220"/>
      <c r="AD40" s="221"/>
      <c r="AE40" s="155" t="str">
        <f>IF(ISBLANK(GamesDay1[[#This Row],[Time Speed D1]]),"",RANK(GamesDay1[[#This Row],[Time Speed D1]],GamesDay1[Time Speed D1],1))</f>
        <v/>
      </c>
      <c r="AF40" s="220"/>
      <c r="AG40" s="225">
        <f>IF(GamesDay1[[#This Row],[Pass / Fail Speed D1]]="P",IF(GamesDay1[[#This Row],[Prev Qs Speed D1]]="",1,GamesDay1[[#This Row],[Prev Qs Speed D1]]+1),GamesDay1[[#This Row],[Prev Qs Speed D1]])</f>
        <v>0</v>
      </c>
      <c r="AH40" s="155" t="e">
        <f t="shared" si="8"/>
        <v>#N/A</v>
      </c>
      <c r="AI40" s="155">
        <f>IFERROR(VLOOKUP(GamesDay1[[#This Row],[Dog D1]]&amp;"-"&amp;AI$5,DogInfo!A:B,2,FALSE),0)</f>
        <v>0</v>
      </c>
      <c r="AJ40" s="220"/>
      <c r="AK40" s="221"/>
      <c r="AL40" s="155" t="str">
        <f>IF(ISBLANK(GamesDay1[[#This Row],[Time Team D1]]),"",RANK(GamesDay1[[#This Row],[Time Team D1]],GamesDay1[Time Team D1],1))</f>
        <v/>
      </c>
      <c r="AM40" s="220"/>
      <c r="AN40" s="225">
        <f>IF(GamesDay1[[#This Row],[Pass / Fail Team D1]]="P",IF(GamesDay1[[#This Row],[Prev Qs Team D1]]="",1,GamesDay1[[#This Row],[Prev Qs Team D1]]+1),GamesDay1[[#This Row],[Prev Qs Team D1]])</f>
        <v>0</v>
      </c>
      <c r="AO4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0" s="167">
        <f>GamesDay1[[#This Row],[Number of Games D1]]*SddaFee</f>
        <v>0</v>
      </c>
      <c r="AS40" s="167">
        <f>(GamesDay1[[#This Row],[Number of Games D1]]+GamesDay1[[#This Row],[Number of FEOs D1]])*JudgesFeeFEOGames</f>
        <v>0</v>
      </c>
    </row>
    <row r="41" spans="1:45" s="6" customFormat="1" ht="24.75" customHeight="1" x14ac:dyDescent="0.25">
      <c r="A41" s="171" t="s">
        <v>3688</v>
      </c>
      <c r="B41" s="155">
        <v>35</v>
      </c>
      <c r="C4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1" s="220"/>
      <c r="E41" s="219" t="str">
        <f>IFERROR(VLOOKUP(GamesDay1[[#This Row],[Dog D1]],'SDDA Dogs'!A:B,2,FALSE),"")</f>
        <v/>
      </c>
      <c r="F41" s="219" t="str">
        <f>IFERROR(VLOOKUP(GamesDay1[[#This Row],[Dog D1]],'SDDA Dogs'!A:C,3,FALSE),"")</f>
        <v/>
      </c>
      <c r="G41" s="219" t="str">
        <f>IFERROR(VLOOKUP(GamesDay1[[#This Row],[Dog D1]],'SDDA Dogs'!A:F,6,FALSE),"")</f>
        <v/>
      </c>
      <c r="H41" s="219"/>
      <c r="I41" s="165">
        <f>GamesDay1[[#This Row],[Total Qs Aerial D1]]</f>
        <v>0</v>
      </c>
      <c r="J41" s="155">
        <f>GamesDay1[[#This Row],[Total Qs Distance D1]]</f>
        <v>0</v>
      </c>
      <c r="K41" s="155">
        <f>GamesDay1[[#This Row],[Total Qs Speed D1]]</f>
        <v>0</v>
      </c>
      <c r="L41" s="224">
        <f>GamesDay1[[#This Row],[Total Qs Team D1]]</f>
        <v>0</v>
      </c>
      <c r="M41" s="219" t="e">
        <f t="shared" si="5"/>
        <v>#N/A</v>
      </c>
      <c r="N41" s="293">
        <f>IFERROR(VLOOKUP(GamesDay1[[#This Row],[Dog D1]]&amp;"-"&amp;N$5,DogInfo!A:B,2,FALSE),0)</f>
        <v>0</v>
      </c>
      <c r="O41" s="301"/>
      <c r="P41" s="301"/>
      <c r="Q41" s="294" t="str">
        <f>IF(ISBLANK(GamesDay1[[#This Row],[Time Aerial D1]]),"",RANK(GamesDay1[[#This Row],[Time Aerial D1]],GamesDay1[Time Aerial D1],1))</f>
        <v/>
      </c>
      <c r="R41" s="301"/>
      <c r="S41" s="300">
        <f>IF(GamesDay1[[#This Row],[Pass / Fail Aerial D1]]="P",IF(GamesDay1[[#This Row],[Prev Qs Aerial D1]]="",1,GamesDay1[[#This Row],[Prev Qs Aerial D1]]+1),GamesDay1[[#This Row],[Prev Qs Aerial D1]])</f>
        <v>0</v>
      </c>
      <c r="T41" s="155" t="e">
        <f t="shared" si="6"/>
        <v>#N/A</v>
      </c>
      <c r="U41" s="296">
        <f>IFERROR(VLOOKUP(GamesDay1[[#This Row],[Dog D1]]&amp;"-"&amp;U$5,DogInfo!A:B,2,FALSE),0)</f>
        <v>0</v>
      </c>
      <c r="V41" s="303"/>
      <c r="W41" s="303"/>
      <c r="X41" s="297" t="str">
        <f>IF(ISBLANK(GamesDay1[[#This Row],[Time Distance D1]]),"",RANK(GamesDay1[[#This Row],[Time Distance D1]],GamesDay1[Time Distance D1],1))</f>
        <v/>
      </c>
      <c r="Y41" s="303"/>
      <c r="Z41" s="297">
        <f>IF(GamesDay1[[#This Row],[Pass / Fail Distance D1]]="P",IF(GamesDay1[[#This Row],[Prev Qs Distance D1]]="",1,GamesDay1[[#This Row],[Prev Qs Distance D1]]+1),GamesDay1[[#This Row],[Prev Qs Distance D1]])</f>
        <v>0</v>
      </c>
      <c r="AA41" s="155" t="e">
        <f t="shared" si="7"/>
        <v>#N/A</v>
      </c>
      <c r="AB41" s="298">
        <f>IFERROR(VLOOKUP(GamesDay1[[#This Row],[Dog D1]]&amp;"-"&amp;AB$5,DogInfo!A:B,2,FALSE),0)</f>
        <v>0</v>
      </c>
      <c r="AC41" s="304"/>
      <c r="AD41" s="304"/>
      <c r="AE41" s="299" t="str">
        <f>IF(ISBLANK(GamesDay1[[#This Row],[Time Speed D1]]),"",RANK(GamesDay1[[#This Row],[Time Speed D1]],GamesDay1[Time Speed D1],1))</f>
        <v/>
      </c>
      <c r="AF41" s="304"/>
      <c r="AG41" s="299">
        <f>IF(GamesDay1[[#This Row],[Pass / Fail Speed D1]]="P",IF(GamesDay1[[#This Row],[Prev Qs Speed D1]]="",1,GamesDay1[[#This Row],[Prev Qs Speed D1]]+1),GamesDay1[[#This Row],[Prev Qs Speed D1]])</f>
        <v>0</v>
      </c>
      <c r="AH41" s="155" t="e">
        <f t="shared" si="8"/>
        <v>#N/A</v>
      </c>
      <c r="AI41" s="155">
        <f>IFERROR(VLOOKUP(GamesDay1[[#This Row],[Dog D1]]&amp;"-"&amp;AI$5,DogInfo!A:B,2,FALSE),0)</f>
        <v>0</v>
      </c>
      <c r="AJ41" s="220"/>
      <c r="AK41" s="221"/>
      <c r="AL41" s="155" t="str">
        <f>IF(ISBLANK(GamesDay1[[#This Row],[Time Team D1]]),"",RANK(GamesDay1[[#This Row],[Time Team D1]],GamesDay1[Time Team D1],1))</f>
        <v/>
      </c>
      <c r="AM41" s="220"/>
      <c r="AN41" s="225">
        <f>IF(GamesDay1[[#This Row],[Pass / Fail Team D1]]="P",IF(GamesDay1[[#This Row],[Prev Qs Team D1]]="",1,GamesDay1[[#This Row],[Prev Qs Team D1]]+1),GamesDay1[[#This Row],[Prev Qs Team D1]])</f>
        <v>0</v>
      </c>
      <c r="AO4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1" s="167">
        <f>GamesDay1[[#This Row],[Number of Games D1]]*SddaFee</f>
        <v>0</v>
      </c>
      <c r="AS41" s="167">
        <f>(GamesDay1[[#This Row],[Number of Games D1]]+GamesDay1[[#This Row],[Number of FEOs D1]])*JudgesFeeFEOGames</f>
        <v>0</v>
      </c>
    </row>
    <row r="42" spans="1:45" s="6" customFormat="1" ht="24.75" customHeight="1" x14ac:dyDescent="0.25">
      <c r="A42" s="171" t="s">
        <v>3688</v>
      </c>
      <c r="B42" s="155">
        <v>36</v>
      </c>
      <c r="C4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2" s="220"/>
      <c r="E42" s="219" t="str">
        <f>IFERROR(VLOOKUP(GamesDay1[[#This Row],[Dog D1]],'SDDA Dogs'!A:B,2,FALSE),"")</f>
        <v/>
      </c>
      <c r="F42" s="219" t="str">
        <f>IFERROR(VLOOKUP(GamesDay1[[#This Row],[Dog D1]],'SDDA Dogs'!A:C,3,FALSE),"")</f>
        <v/>
      </c>
      <c r="G42" s="219" t="str">
        <f>IFERROR(VLOOKUP(GamesDay1[[#This Row],[Dog D1]],'SDDA Dogs'!A:F,6,FALSE),"")</f>
        <v/>
      </c>
      <c r="H42" s="219"/>
      <c r="I42" s="165">
        <f>GamesDay1[[#This Row],[Total Qs Aerial D1]]</f>
        <v>0</v>
      </c>
      <c r="J42" s="155">
        <f>GamesDay1[[#This Row],[Total Qs Distance D1]]</f>
        <v>0</v>
      </c>
      <c r="K42" s="155">
        <f>GamesDay1[[#This Row],[Total Qs Speed D1]]</f>
        <v>0</v>
      </c>
      <c r="L42" s="224">
        <f>GamesDay1[[#This Row],[Total Qs Team D1]]</f>
        <v>0</v>
      </c>
      <c r="M42" s="219" t="e">
        <f t="shared" si="5"/>
        <v>#N/A</v>
      </c>
      <c r="N42" s="155">
        <f>IFERROR(VLOOKUP(GamesDay1[[#This Row],[Dog D1]]&amp;"-"&amp;N$5,DogInfo!A:B,2,FALSE),0)</f>
        <v>0</v>
      </c>
      <c r="O42" s="220"/>
      <c r="P42" s="221"/>
      <c r="Q42" s="155" t="str">
        <f>IF(ISBLANK(GamesDay1[[#This Row],[Time Aerial D1]]),"",RANK(GamesDay1[[#This Row],[Time Aerial D1]],GamesDay1[Time Aerial D1],1))</f>
        <v/>
      </c>
      <c r="R42" s="220"/>
      <c r="S42" s="225">
        <f>IF(GamesDay1[[#This Row],[Pass / Fail Aerial D1]]="P",IF(GamesDay1[[#This Row],[Prev Qs Aerial D1]]="",1,GamesDay1[[#This Row],[Prev Qs Aerial D1]]+1),GamesDay1[[#This Row],[Prev Qs Aerial D1]])</f>
        <v>0</v>
      </c>
      <c r="T42" s="155" t="e">
        <f t="shared" si="6"/>
        <v>#N/A</v>
      </c>
      <c r="U42" s="155">
        <f>IFERROR(VLOOKUP(GamesDay1[[#This Row],[Dog D1]]&amp;"-"&amp;U$5,DogInfo!A:B,2,FALSE),0)</f>
        <v>0</v>
      </c>
      <c r="V42" s="220"/>
      <c r="W42" s="221"/>
      <c r="X42" s="155" t="str">
        <f>IF(ISBLANK(GamesDay1[[#This Row],[Time Distance D1]]),"",RANK(GamesDay1[[#This Row],[Time Distance D1]],GamesDay1[Time Distance D1],1))</f>
        <v/>
      </c>
      <c r="Y42" s="220"/>
      <c r="Z42" s="225">
        <f>IF(GamesDay1[[#This Row],[Pass / Fail Distance D1]]="P",IF(GamesDay1[[#This Row],[Prev Qs Distance D1]]="",1,GamesDay1[[#This Row],[Prev Qs Distance D1]]+1),GamesDay1[[#This Row],[Prev Qs Distance D1]])</f>
        <v>0</v>
      </c>
      <c r="AA42" s="155" t="e">
        <f t="shared" si="7"/>
        <v>#N/A</v>
      </c>
      <c r="AB42" s="155">
        <f>IFERROR(VLOOKUP(GamesDay1[[#This Row],[Dog D1]]&amp;"-"&amp;AB$5,DogInfo!A:B,2,FALSE),0)</f>
        <v>0</v>
      </c>
      <c r="AC42" s="220"/>
      <c r="AD42" s="221"/>
      <c r="AE42" s="155" t="str">
        <f>IF(ISBLANK(GamesDay1[[#This Row],[Time Speed D1]]),"",RANK(GamesDay1[[#This Row],[Time Speed D1]],GamesDay1[Time Speed D1],1))</f>
        <v/>
      </c>
      <c r="AF42" s="220"/>
      <c r="AG42" s="225">
        <f>IF(GamesDay1[[#This Row],[Pass / Fail Speed D1]]="P",IF(GamesDay1[[#This Row],[Prev Qs Speed D1]]="",1,GamesDay1[[#This Row],[Prev Qs Speed D1]]+1),GamesDay1[[#This Row],[Prev Qs Speed D1]])</f>
        <v>0</v>
      </c>
      <c r="AH42" s="155" t="e">
        <f t="shared" si="8"/>
        <v>#N/A</v>
      </c>
      <c r="AI42" s="155">
        <f>IFERROR(VLOOKUP(GamesDay1[[#This Row],[Dog D1]]&amp;"-"&amp;AI$5,DogInfo!A:B,2,FALSE),0)</f>
        <v>0</v>
      </c>
      <c r="AJ42" s="220"/>
      <c r="AK42" s="221"/>
      <c r="AL42" s="155" t="str">
        <f>IF(ISBLANK(GamesDay1[[#This Row],[Time Team D1]]),"",RANK(GamesDay1[[#This Row],[Time Team D1]],GamesDay1[Time Team D1],1))</f>
        <v/>
      </c>
      <c r="AM42" s="220"/>
      <c r="AN42" s="225">
        <f>IF(GamesDay1[[#This Row],[Pass / Fail Team D1]]="P",IF(GamesDay1[[#This Row],[Prev Qs Team D1]]="",1,GamesDay1[[#This Row],[Prev Qs Team D1]]+1),GamesDay1[[#This Row],[Prev Qs Team D1]])</f>
        <v>0</v>
      </c>
      <c r="AO4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2" s="167">
        <f>GamesDay1[[#This Row],[Number of Games D1]]*SddaFee</f>
        <v>0</v>
      </c>
      <c r="AS42" s="167">
        <f>(GamesDay1[[#This Row],[Number of Games D1]]+GamesDay1[[#This Row],[Number of FEOs D1]])*JudgesFeeFEOGames</f>
        <v>0</v>
      </c>
    </row>
    <row r="43" spans="1:45" s="6" customFormat="1" ht="24.75" customHeight="1" x14ac:dyDescent="0.25">
      <c r="A43" s="171" t="s">
        <v>3688</v>
      </c>
      <c r="B43" s="155">
        <v>37</v>
      </c>
      <c r="C4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3" s="220"/>
      <c r="E43" s="219" t="str">
        <f>IFERROR(VLOOKUP(GamesDay1[[#This Row],[Dog D1]],'SDDA Dogs'!A:B,2,FALSE),"")</f>
        <v/>
      </c>
      <c r="F43" s="219" t="str">
        <f>IFERROR(VLOOKUP(GamesDay1[[#This Row],[Dog D1]],'SDDA Dogs'!A:C,3,FALSE),"")</f>
        <v/>
      </c>
      <c r="G43" s="219" t="str">
        <f>IFERROR(VLOOKUP(GamesDay1[[#This Row],[Dog D1]],'SDDA Dogs'!A:F,6,FALSE),"")</f>
        <v/>
      </c>
      <c r="H43" s="219"/>
      <c r="I43" s="165">
        <f>GamesDay1[[#This Row],[Total Qs Aerial D1]]</f>
        <v>0</v>
      </c>
      <c r="J43" s="155">
        <f>GamesDay1[[#This Row],[Total Qs Distance D1]]</f>
        <v>0</v>
      </c>
      <c r="K43" s="155">
        <f>GamesDay1[[#This Row],[Total Qs Speed D1]]</f>
        <v>0</v>
      </c>
      <c r="L43" s="224">
        <f>GamesDay1[[#This Row],[Total Qs Team D1]]</f>
        <v>0</v>
      </c>
      <c r="M43" s="219" t="e">
        <f t="shared" si="5"/>
        <v>#N/A</v>
      </c>
      <c r="N43" s="293">
        <f>IFERROR(VLOOKUP(GamesDay1[[#This Row],[Dog D1]]&amp;"-"&amp;N$5,DogInfo!A:B,2,FALSE),0)</f>
        <v>0</v>
      </c>
      <c r="O43" s="301"/>
      <c r="P43" s="301"/>
      <c r="Q43" s="294" t="str">
        <f>IF(ISBLANK(GamesDay1[[#This Row],[Time Aerial D1]]),"",RANK(GamesDay1[[#This Row],[Time Aerial D1]],GamesDay1[Time Aerial D1],1))</f>
        <v/>
      </c>
      <c r="R43" s="301"/>
      <c r="S43" s="300">
        <f>IF(GamesDay1[[#This Row],[Pass / Fail Aerial D1]]="P",IF(GamesDay1[[#This Row],[Prev Qs Aerial D1]]="",1,GamesDay1[[#This Row],[Prev Qs Aerial D1]]+1),GamesDay1[[#This Row],[Prev Qs Aerial D1]])</f>
        <v>0</v>
      </c>
      <c r="T43" s="155" t="e">
        <f t="shared" si="6"/>
        <v>#N/A</v>
      </c>
      <c r="U43" s="296">
        <f>IFERROR(VLOOKUP(GamesDay1[[#This Row],[Dog D1]]&amp;"-"&amp;U$5,DogInfo!A:B,2,FALSE),0)</f>
        <v>0</v>
      </c>
      <c r="V43" s="303"/>
      <c r="W43" s="303"/>
      <c r="X43" s="297" t="str">
        <f>IF(ISBLANK(GamesDay1[[#This Row],[Time Distance D1]]),"",RANK(GamesDay1[[#This Row],[Time Distance D1]],GamesDay1[Time Distance D1],1))</f>
        <v/>
      </c>
      <c r="Y43" s="303"/>
      <c r="Z43" s="297">
        <f>IF(GamesDay1[[#This Row],[Pass / Fail Distance D1]]="P",IF(GamesDay1[[#This Row],[Prev Qs Distance D1]]="",1,GamesDay1[[#This Row],[Prev Qs Distance D1]]+1),GamesDay1[[#This Row],[Prev Qs Distance D1]])</f>
        <v>0</v>
      </c>
      <c r="AA43" s="155" t="e">
        <f t="shared" si="7"/>
        <v>#N/A</v>
      </c>
      <c r="AB43" s="298">
        <f>IFERROR(VLOOKUP(GamesDay1[[#This Row],[Dog D1]]&amp;"-"&amp;AB$5,DogInfo!A:B,2,FALSE),0)</f>
        <v>0</v>
      </c>
      <c r="AC43" s="304"/>
      <c r="AD43" s="304"/>
      <c r="AE43" s="299" t="str">
        <f>IF(ISBLANK(GamesDay1[[#This Row],[Time Speed D1]]),"",RANK(GamesDay1[[#This Row],[Time Speed D1]],GamesDay1[Time Speed D1],1))</f>
        <v/>
      </c>
      <c r="AF43" s="304"/>
      <c r="AG43" s="299">
        <f>IF(GamesDay1[[#This Row],[Pass / Fail Speed D1]]="P",IF(GamesDay1[[#This Row],[Prev Qs Speed D1]]="",1,GamesDay1[[#This Row],[Prev Qs Speed D1]]+1),GamesDay1[[#This Row],[Prev Qs Speed D1]])</f>
        <v>0</v>
      </c>
      <c r="AH43" s="155" t="e">
        <f t="shared" si="8"/>
        <v>#N/A</v>
      </c>
      <c r="AI43" s="155">
        <f>IFERROR(VLOOKUP(GamesDay1[[#This Row],[Dog D1]]&amp;"-"&amp;AI$5,DogInfo!A:B,2,FALSE),0)</f>
        <v>0</v>
      </c>
      <c r="AJ43" s="220"/>
      <c r="AK43" s="221"/>
      <c r="AL43" s="155" t="str">
        <f>IF(ISBLANK(GamesDay1[[#This Row],[Time Team D1]]),"",RANK(GamesDay1[[#This Row],[Time Team D1]],GamesDay1[Time Team D1],1))</f>
        <v/>
      </c>
      <c r="AM43" s="220"/>
      <c r="AN43" s="225">
        <f>IF(GamesDay1[[#This Row],[Pass / Fail Team D1]]="P",IF(GamesDay1[[#This Row],[Prev Qs Team D1]]="",1,GamesDay1[[#This Row],[Prev Qs Team D1]]+1),GamesDay1[[#This Row],[Prev Qs Team D1]])</f>
        <v>0</v>
      </c>
      <c r="AO4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3" s="167">
        <f>GamesDay1[[#This Row],[Number of Games D1]]*SddaFee</f>
        <v>0</v>
      </c>
      <c r="AS43" s="167">
        <f>(GamesDay1[[#This Row],[Number of Games D1]]+GamesDay1[[#This Row],[Number of FEOs D1]])*JudgesFeeFEOGames</f>
        <v>0</v>
      </c>
    </row>
    <row r="44" spans="1:45" s="6" customFormat="1" ht="24.75" customHeight="1" x14ac:dyDescent="0.25">
      <c r="A44" s="171" t="s">
        <v>3688</v>
      </c>
      <c r="B44" s="155">
        <v>38</v>
      </c>
      <c r="C4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4" s="220"/>
      <c r="E44" s="219" t="str">
        <f>IFERROR(VLOOKUP(GamesDay1[[#This Row],[Dog D1]],'SDDA Dogs'!A:B,2,FALSE),"")</f>
        <v/>
      </c>
      <c r="F44" s="219" t="str">
        <f>IFERROR(VLOOKUP(GamesDay1[[#This Row],[Dog D1]],'SDDA Dogs'!A:C,3,FALSE),"")</f>
        <v/>
      </c>
      <c r="G44" s="219" t="str">
        <f>IFERROR(VLOOKUP(GamesDay1[[#This Row],[Dog D1]],'SDDA Dogs'!A:F,6,FALSE),"")</f>
        <v/>
      </c>
      <c r="H44" s="219"/>
      <c r="I44" s="165">
        <f>GamesDay1[[#This Row],[Total Qs Aerial D1]]</f>
        <v>0</v>
      </c>
      <c r="J44" s="155">
        <f>GamesDay1[[#This Row],[Total Qs Distance D1]]</f>
        <v>0</v>
      </c>
      <c r="K44" s="155">
        <f>GamesDay1[[#This Row],[Total Qs Speed D1]]</f>
        <v>0</v>
      </c>
      <c r="L44" s="224">
        <f>GamesDay1[[#This Row],[Total Qs Team D1]]</f>
        <v>0</v>
      </c>
      <c r="M44" s="219" t="e">
        <f t="shared" si="5"/>
        <v>#N/A</v>
      </c>
      <c r="N44" s="155">
        <f>IFERROR(VLOOKUP(GamesDay1[[#This Row],[Dog D1]]&amp;"-"&amp;N$5,DogInfo!A:B,2,FALSE),0)</f>
        <v>0</v>
      </c>
      <c r="O44" s="220"/>
      <c r="P44" s="221"/>
      <c r="Q44" s="155" t="str">
        <f>IF(ISBLANK(GamesDay1[[#This Row],[Time Aerial D1]]),"",RANK(GamesDay1[[#This Row],[Time Aerial D1]],GamesDay1[Time Aerial D1],1))</f>
        <v/>
      </c>
      <c r="R44" s="220"/>
      <c r="S44" s="225">
        <f>IF(GamesDay1[[#This Row],[Pass / Fail Aerial D1]]="P",IF(GamesDay1[[#This Row],[Prev Qs Aerial D1]]="",1,GamesDay1[[#This Row],[Prev Qs Aerial D1]]+1),GamesDay1[[#This Row],[Prev Qs Aerial D1]])</f>
        <v>0</v>
      </c>
      <c r="T44" s="155" t="e">
        <f t="shared" si="6"/>
        <v>#N/A</v>
      </c>
      <c r="U44" s="155">
        <f>IFERROR(VLOOKUP(GamesDay1[[#This Row],[Dog D1]]&amp;"-"&amp;U$5,DogInfo!A:B,2,FALSE),0)</f>
        <v>0</v>
      </c>
      <c r="V44" s="220"/>
      <c r="W44" s="221"/>
      <c r="X44" s="155" t="str">
        <f>IF(ISBLANK(GamesDay1[[#This Row],[Time Distance D1]]),"",RANK(GamesDay1[[#This Row],[Time Distance D1]],GamesDay1[Time Distance D1],1))</f>
        <v/>
      </c>
      <c r="Y44" s="220"/>
      <c r="Z44" s="225">
        <f>IF(GamesDay1[[#This Row],[Pass / Fail Distance D1]]="P",IF(GamesDay1[[#This Row],[Prev Qs Distance D1]]="",1,GamesDay1[[#This Row],[Prev Qs Distance D1]]+1),GamesDay1[[#This Row],[Prev Qs Distance D1]])</f>
        <v>0</v>
      </c>
      <c r="AA44" s="155" t="e">
        <f t="shared" si="7"/>
        <v>#N/A</v>
      </c>
      <c r="AB44" s="155">
        <f>IFERROR(VLOOKUP(GamesDay1[[#This Row],[Dog D1]]&amp;"-"&amp;AB$5,DogInfo!A:B,2,FALSE),0)</f>
        <v>0</v>
      </c>
      <c r="AC44" s="220"/>
      <c r="AD44" s="221"/>
      <c r="AE44" s="155" t="str">
        <f>IF(ISBLANK(GamesDay1[[#This Row],[Time Speed D1]]),"",RANK(GamesDay1[[#This Row],[Time Speed D1]],GamesDay1[Time Speed D1],1))</f>
        <v/>
      </c>
      <c r="AF44" s="220"/>
      <c r="AG44" s="225">
        <f>IF(GamesDay1[[#This Row],[Pass / Fail Speed D1]]="P",IF(GamesDay1[[#This Row],[Prev Qs Speed D1]]="",1,GamesDay1[[#This Row],[Prev Qs Speed D1]]+1),GamesDay1[[#This Row],[Prev Qs Speed D1]])</f>
        <v>0</v>
      </c>
      <c r="AH44" s="155" t="e">
        <f t="shared" si="8"/>
        <v>#N/A</v>
      </c>
      <c r="AI44" s="155">
        <f>IFERROR(VLOOKUP(GamesDay1[[#This Row],[Dog D1]]&amp;"-"&amp;AI$5,DogInfo!A:B,2,FALSE),0)</f>
        <v>0</v>
      </c>
      <c r="AJ44" s="220"/>
      <c r="AK44" s="221"/>
      <c r="AL44" s="155" t="str">
        <f>IF(ISBLANK(GamesDay1[[#This Row],[Time Team D1]]),"",RANK(GamesDay1[[#This Row],[Time Team D1]],GamesDay1[Time Team D1],1))</f>
        <v/>
      </c>
      <c r="AM44" s="220"/>
      <c r="AN44" s="225">
        <f>IF(GamesDay1[[#This Row],[Pass / Fail Team D1]]="P",IF(GamesDay1[[#This Row],[Prev Qs Team D1]]="",1,GamesDay1[[#This Row],[Prev Qs Team D1]]+1),GamesDay1[[#This Row],[Prev Qs Team D1]])</f>
        <v>0</v>
      </c>
      <c r="AO4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4" s="167">
        <f>GamesDay1[[#This Row],[Number of Games D1]]*SddaFee</f>
        <v>0</v>
      </c>
      <c r="AS44" s="167">
        <f>(GamesDay1[[#This Row],[Number of Games D1]]+GamesDay1[[#This Row],[Number of FEOs D1]])*JudgesFeeFEOGames</f>
        <v>0</v>
      </c>
    </row>
    <row r="45" spans="1:45" s="6" customFormat="1" ht="24.75" customHeight="1" x14ac:dyDescent="0.25">
      <c r="A45" s="171" t="s">
        <v>3688</v>
      </c>
      <c r="B45" s="155">
        <v>39</v>
      </c>
      <c r="C4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5" s="220"/>
      <c r="E45" s="219" t="str">
        <f>IFERROR(VLOOKUP(GamesDay1[[#This Row],[Dog D1]],'SDDA Dogs'!A:B,2,FALSE),"")</f>
        <v/>
      </c>
      <c r="F45" s="219" t="str">
        <f>IFERROR(VLOOKUP(GamesDay1[[#This Row],[Dog D1]],'SDDA Dogs'!A:C,3,FALSE),"")</f>
        <v/>
      </c>
      <c r="G45" s="219" t="str">
        <f>IFERROR(VLOOKUP(GamesDay1[[#This Row],[Dog D1]],'SDDA Dogs'!A:F,6,FALSE),"")</f>
        <v/>
      </c>
      <c r="H45" s="219"/>
      <c r="I45" s="165">
        <f>GamesDay1[[#This Row],[Total Qs Aerial D1]]</f>
        <v>0</v>
      </c>
      <c r="J45" s="155">
        <f>GamesDay1[[#This Row],[Total Qs Distance D1]]</f>
        <v>0</v>
      </c>
      <c r="K45" s="155">
        <f>GamesDay1[[#This Row],[Total Qs Speed D1]]</f>
        <v>0</v>
      </c>
      <c r="L45" s="224">
        <f>GamesDay1[[#This Row],[Total Qs Team D1]]</f>
        <v>0</v>
      </c>
      <c r="M45" s="219" t="e">
        <f t="shared" si="5"/>
        <v>#N/A</v>
      </c>
      <c r="N45" s="293">
        <f>IFERROR(VLOOKUP(GamesDay1[[#This Row],[Dog D1]]&amp;"-"&amp;N$5,DogInfo!A:B,2,FALSE),0)</f>
        <v>0</v>
      </c>
      <c r="O45" s="301"/>
      <c r="P45" s="301"/>
      <c r="Q45" s="294" t="str">
        <f>IF(ISBLANK(GamesDay1[[#This Row],[Time Aerial D1]]),"",RANK(GamesDay1[[#This Row],[Time Aerial D1]],GamesDay1[Time Aerial D1],1))</f>
        <v/>
      </c>
      <c r="R45" s="301"/>
      <c r="S45" s="300">
        <f>IF(GamesDay1[[#This Row],[Pass / Fail Aerial D1]]="P",IF(GamesDay1[[#This Row],[Prev Qs Aerial D1]]="",1,GamesDay1[[#This Row],[Prev Qs Aerial D1]]+1),GamesDay1[[#This Row],[Prev Qs Aerial D1]])</f>
        <v>0</v>
      </c>
      <c r="T45" s="155" t="e">
        <f t="shared" si="6"/>
        <v>#N/A</v>
      </c>
      <c r="U45" s="296">
        <f>IFERROR(VLOOKUP(GamesDay1[[#This Row],[Dog D1]]&amp;"-"&amp;U$5,DogInfo!A:B,2,FALSE),0)</f>
        <v>0</v>
      </c>
      <c r="V45" s="303"/>
      <c r="W45" s="303"/>
      <c r="X45" s="297" t="str">
        <f>IF(ISBLANK(GamesDay1[[#This Row],[Time Distance D1]]),"",RANK(GamesDay1[[#This Row],[Time Distance D1]],GamesDay1[Time Distance D1],1))</f>
        <v/>
      </c>
      <c r="Y45" s="303"/>
      <c r="Z45" s="297">
        <f>IF(GamesDay1[[#This Row],[Pass / Fail Distance D1]]="P",IF(GamesDay1[[#This Row],[Prev Qs Distance D1]]="",1,GamesDay1[[#This Row],[Prev Qs Distance D1]]+1),GamesDay1[[#This Row],[Prev Qs Distance D1]])</f>
        <v>0</v>
      </c>
      <c r="AA45" s="155" t="e">
        <f t="shared" si="7"/>
        <v>#N/A</v>
      </c>
      <c r="AB45" s="298">
        <f>IFERROR(VLOOKUP(GamesDay1[[#This Row],[Dog D1]]&amp;"-"&amp;AB$5,DogInfo!A:B,2,FALSE),0)</f>
        <v>0</v>
      </c>
      <c r="AC45" s="304"/>
      <c r="AD45" s="304"/>
      <c r="AE45" s="299" t="str">
        <f>IF(ISBLANK(GamesDay1[[#This Row],[Time Speed D1]]),"",RANK(GamesDay1[[#This Row],[Time Speed D1]],GamesDay1[Time Speed D1],1))</f>
        <v/>
      </c>
      <c r="AF45" s="304"/>
      <c r="AG45" s="299">
        <f>IF(GamesDay1[[#This Row],[Pass / Fail Speed D1]]="P",IF(GamesDay1[[#This Row],[Prev Qs Speed D1]]="",1,GamesDay1[[#This Row],[Prev Qs Speed D1]]+1),GamesDay1[[#This Row],[Prev Qs Speed D1]])</f>
        <v>0</v>
      </c>
      <c r="AH45" s="155" t="e">
        <f t="shared" si="8"/>
        <v>#N/A</v>
      </c>
      <c r="AI45" s="155">
        <f>IFERROR(VLOOKUP(GamesDay1[[#This Row],[Dog D1]]&amp;"-"&amp;AI$5,DogInfo!A:B,2,FALSE),0)</f>
        <v>0</v>
      </c>
      <c r="AJ45" s="220"/>
      <c r="AK45" s="221"/>
      <c r="AL45" s="155" t="str">
        <f>IF(ISBLANK(GamesDay1[[#This Row],[Time Team D1]]),"",RANK(GamesDay1[[#This Row],[Time Team D1]],GamesDay1[Time Team D1],1))</f>
        <v/>
      </c>
      <c r="AM45" s="220"/>
      <c r="AN45" s="225">
        <f>IF(GamesDay1[[#This Row],[Pass / Fail Team D1]]="P",IF(GamesDay1[[#This Row],[Prev Qs Team D1]]="",1,GamesDay1[[#This Row],[Prev Qs Team D1]]+1),GamesDay1[[#This Row],[Prev Qs Team D1]])</f>
        <v>0</v>
      </c>
      <c r="AO4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5" s="167">
        <f>GamesDay1[[#This Row],[Number of Games D1]]*SddaFee</f>
        <v>0</v>
      </c>
      <c r="AS45" s="167">
        <f>(GamesDay1[[#This Row],[Number of Games D1]]+GamesDay1[[#This Row],[Number of FEOs D1]])*JudgesFeeFEOGames</f>
        <v>0</v>
      </c>
    </row>
    <row r="46" spans="1:45" s="6" customFormat="1" ht="24.75" customHeight="1" x14ac:dyDescent="0.25">
      <c r="A46" s="171" t="s">
        <v>3688</v>
      </c>
      <c r="B46" s="155">
        <v>40</v>
      </c>
      <c r="C4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6" s="220"/>
      <c r="E46" s="219" t="str">
        <f>IFERROR(VLOOKUP(GamesDay1[[#This Row],[Dog D1]],'SDDA Dogs'!A:B,2,FALSE),"")</f>
        <v/>
      </c>
      <c r="F46" s="219" t="str">
        <f>IFERROR(VLOOKUP(GamesDay1[[#This Row],[Dog D1]],'SDDA Dogs'!A:C,3,FALSE),"")</f>
        <v/>
      </c>
      <c r="G46" s="219" t="str">
        <f>IFERROR(VLOOKUP(GamesDay1[[#This Row],[Dog D1]],'SDDA Dogs'!A:F,6,FALSE),"")</f>
        <v/>
      </c>
      <c r="H46" s="219"/>
      <c r="I46" s="165">
        <f>GamesDay1[[#This Row],[Total Qs Aerial D1]]</f>
        <v>0</v>
      </c>
      <c r="J46" s="155">
        <f>GamesDay1[[#This Row],[Total Qs Distance D1]]</f>
        <v>0</v>
      </c>
      <c r="K46" s="155">
        <f>GamesDay1[[#This Row],[Total Qs Speed D1]]</f>
        <v>0</v>
      </c>
      <c r="L46" s="224">
        <f>GamesDay1[[#This Row],[Total Qs Team D1]]</f>
        <v>0</v>
      </c>
      <c r="M46" s="219" t="e">
        <f t="shared" si="5"/>
        <v>#N/A</v>
      </c>
      <c r="N46" s="155">
        <f>IFERROR(VLOOKUP(GamesDay1[[#This Row],[Dog D1]]&amp;"-"&amp;N$5,DogInfo!A:B,2,FALSE),0)</f>
        <v>0</v>
      </c>
      <c r="O46" s="220"/>
      <c r="P46" s="221"/>
      <c r="Q46" s="155" t="str">
        <f>IF(ISBLANK(GamesDay1[[#This Row],[Time Aerial D1]]),"",RANK(GamesDay1[[#This Row],[Time Aerial D1]],GamesDay1[Time Aerial D1],1))</f>
        <v/>
      </c>
      <c r="R46" s="220"/>
      <c r="S46" s="225">
        <f>IF(GamesDay1[[#This Row],[Pass / Fail Aerial D1]]="P",IF(GamesDay1[[#This Row],[Prev Qs Aerial D1]]="",1,GamesDay1[[#This Row],[Prev Qs Aerial D1]]+1),GamesDay1[[#This Row],[Prev Qs Aerial D1]])</f>
        <v>0</v>
      </c>
      <c r="T46" s="155" t="e">
        <f t="shared" si="6"/>
        <v>#N/A</v>
      </c>
      <c r="U46" s="155">
        <f>IFERROR(VLOOKUP(GamesDay1[[#This Row],[Dog D1]]&amp;"-"&amp;U$5,DogInfo!A:B,2,FALSE),0)</f>
        <v>0</v>
      </c>
      <c r="V46" s="220"/>
      <c r="W46" s="221"/>
      <c r="X46" s="155" t="str">
        <f>IF(ISBLANK(GamesDay1[[#This Row],[Time Distance D1]]),"",RANK(GamesDay1[[#This Row],[Time Distance D1]],GamesDay1[Time Distance D1],1))</f>
        <v/>
      </c>
      <c r="Y46" s="220"/>
      <c r="Z46" s="225">
        <f>IF(GamesDay1[[#This Row],[Pass / Fail Distance D1]]="P",IF(GamesDay1[[#This Row],[Prev Qs Distance D1]]="",1,GamesDay1[[#This Row],[Prev Qs Distance D1]]+1),GamesDay1[[#This Row],[Prev Qs Distance D1]])</f>
        <v>0</v>
      </c>
      <c r="AA46" s="155" t="e">
        <f t="shared" si="7"/>
        <v>#N/A</v>
      </c>
      <c r="AB46" s="155">
        <f>IFERROR(VLOOKUP(GamesDay1[[#This Row],[Dog D1]]&amp;"-"&amp;AB$5,DogInfo!A:B,2,FALSE),0)</f>
        <v>0</v>
      </c>
      <c r="AC46" s="220"/>
      <c r="AD46" s="221"/>
      <c r="AE46" s="155" t="str">
        <f>IF(ISBLANK(GamesDay1[[#This Row],[Time Speed D1]]),"",RANK(GamesDay1[[#This Row],[Time Speed D1]],GamesDay1[Time Speed D1],1))</f>
        <v/>
      </c>
      <c r="AF46" s="220"/>
      <c r="AG46" s="225">
        <f>IF(GamesDay1[[#This Row],[Pass / Fail Speed D1]]="P",IF(GamesDay1[[#This Row],[Prev Qs Speed D1]]="",1,GamesDay1[[#This Row],[Prev Qs Speed D1]]+1),GamesDay1[[#This Row],[Prev Qs Speed D1]])</f>
        <v>0</v>
      </c>
      <c r="AH46" s="155" t="e">
        <f t="shared" si="8"/>
        <v>#N/A</v>
      </c>
      <c r="AI46" s="155">
        <f>IFERROR(VLOOKUP(GamesDay1[[#This Row],[Dog D1]]&amp;"-"&amp;AI$5,DogInfo!A:B,2,FALSE),0)</f>
        <v>0</v>
      </c>
      <c r="AJ46" s="220"/>
      <c r="AK46" s="221"/>
      <c r="AL46" s="155" t="str">
        <f>IF(ISBLANK(GamesDay1[[#This Row],[Time Team D1]]),"",RANK(GamesDay1[[#This Row],[Time Team D1]],GamesDay1[Time Team D1],1))</f>
        <v/>
      </c>
      <c r="AM46" s="220"/>
      <c r="AN46" s="225">
        <f>IF(GamesDay1[[#This Row],[Pass / Fail Team D1]]="P",IF(GamesDay1[[#This Row],[Prev Qs Team D1]]="",1,GamesDay1[[#This Row],[Prev Qs Team D1]]+1),GamesDay1[[#This Row],[Prev Qs Team D1]])</f>
        <v>0</v>
      </c>
      <c r="AO4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6" s="167">
        <f>GamesDay1[[#This Row],[Number of Games D1]]*SddaFee</f>
        <v>0</v>
      </c>
      <c r="AS46" s="167">
        <f>(GamesDay1[[#This Row],[Number of Games D1]]+GamesDay1[[#This Row],[Number of FEOs D1]])*JudgesFeeFEOGames</f>
        <v>0</v>
      </c>
    </row>
    <row r="47" spans="1:45" s="6" customFormat="1" ht="24.75" customHeight="1" x14ac:dyDescent="0.25">
      <c r="A47" s="171" t="s">
        <v>3688</v>
      </c>
      <c r="B47" s="155">
        <v>41</v>
      </c>
      <c r="C4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7" s="220"/>
      <c r="E47" s="219" t="str">
        <f>IFERROR(VLOOKUP(GamesDay1[[#This Row],[Dog D1]],'SDDA Dogs'!A:B,2,FALSE),"")</f>
        <v/>
      </c>
      <c r="F47" s="219" t="str">
        <f>IFERROR(VLOOKUP(GamesDay1[[#This Row],[Dog D1]],'SDDA Dogs'!A:C,3,FALSE),"")</f>
        <v/>
      </c>
      <c r="G47" s="219" t="str">
        <f>IFERROR(VLOOKUP(GamesDay1[[#This Row],[Dog D1]],'SDDA Dogs'!A:F,6,FALSE),"")</f>
        <v/>
      </c>
      <c r="H47" s="219"/>
      <c r="I47" s="165">
        <f>GamesDay1[[#This Row],[Total Qs Aerial D1]]</f>
        <v>0</v>
      </c>
      <c r="J47" s="155">
        <f>GamesDay1[[#This Row],[Total Qs Distance D1]]</f>
        <v>0</v>
      </c>
      <c r="K47" s="155">
        <f>GamesDay1[[#This Row],[Total Qs Speed D1]]</f>
        <v>0</v>
      </c>
      <c r="L47" s="224">
        <f>GamesDay1[[#This Row],[Total Qs Team D1]]</f>
        <v>0</v>
      </c>
      <c r="M47" s="219" t="e">
        <f t="shared" si="5"/>
        <v>#N/A</v>
      </c>
      <c r="N47" s="293">
        <f>IFERROR(VLOOKUP(GamesDay1[[#This Row],[Dog D1]]&amp;"-"&amp;N$5,DogInfo!A:B,2,FALSE),0)</f>
        <v>0</v>
      </c>
      <c r="O47" s="301"/>
      <c r="P47" s="301"/>
      <c r="Q47" s="294" t="str">
        <f>IF(ISBLANK(GamesDay1[[#This Row],[Time Aerial D1]]),"",RANK(GamesDay1[[#This Row],[Time Aerial D1]],GamesDay1[Time Aerial D1],1))</f>
        <v/>
      </c>
      <c r="R47" s="301"/>
      <c r="S47" s="300">
        <f>IF(GamesDay1[[#This Row],[Pass / Fail Aerial D1]]="P",IF(GamesDay1[[#This Row],[Prev Qs Aerial D1]]="",1,GamesDay1[[#This Row],[Prev Qs Aerial D1]]+1),GamesDay1[[#This Row],[Prev Qs Aerial D1]])</f>
        <v>0</v>
      </c>
      <c r="T47" s="155" t="e">
        <f t="shared" si="6"/>
        <v>#N/A</v>
      </c>
      <c r="U47" s="296">
        <f>IFERROR(VLOOKUP(GamesDay1[[#This Row],[Dog D1]]&amp;"-"&amp;U$5,DogInfo!A:B,2,FALSE),0)</f>
        <v>0</v>
      </c>
      <c r="V47" s="303"/>
      <c r="W47" s="303"/>
      <c r="X47" s="297" t="str">
        <f>IF(ISBLANK(GamesDay1[[#This Row],[Time Distance D1]]),"",RANK(GamesDay1[[#This Row],[Time Distance D1]],GamesDay1[Time Distance D1],1))</f>
        <v/>
      </c>
      <c r="Y47" s="303"/>
      <c r="Z47" s="297">
        <f>IF(GamesDay1[[#This Row],[Pass / Fail Distance D1]]="P",IF(GamesDay1[[#This Row],[Prev Qs Distance D1]]="",1,GamesDay1[[#This Row],[Prev Qs Distance D1]]+1),GamesDay1[[#This Row],[Prev Qs Distance D1]])</f>
        <v>0</v>
      </c>
      <c r="AA47" s="155" t="e">
        <f t="shared" si="7"/>
        <v>#N/A</v>
      </c>
      <c r="AB47" s="298">
        <f>IFERROR(VLOOKUP(GamesDay1[[#This Row],[Dog D1]]&amp;"-"&amp;AB$5,DogInfo!A:B,2,FALSE),0)</f>
        <v>0</v>
      </c>
      <c r="AC47" s="304"/>
      <c r="AD47" s="304"/>
      <c r="AE47" s="299" t="str">
        <f>IF(ISBLANK(GamesDay1[[#This Row],[Time Speed D1]]),"",RANK(GamesDay1[[#This Row],[Time Speed D1]],GamesDay1[Time Speed D1],1))</f>
        <v/>
      </c>
      <c r="AF47" s="304"/>
      <c r="AG47" s="299">
        <f>IF(GamesDay1[[#This Row],[Pass / Fail Speed D1]]="P",IF(GamesDay1[[#This Row],[Prev Qs Speed D1]]="",1,GamesDay1[[#This Row],[Prev Qs Speed D1]]+1),GamesDay1[[#This Row],[Prev Qs Speed D1]])</f>
        <v>0</v>
      </c>
      <c r="AH47" s="155" t="e">
        <f t="shared" si="8"/>
        <v>#N/A</v>
      </c>
      <c r="AI47" s="155">
        <f>IFERROR(VLOOKUP(GamesDay1[[#This Row],[Dog D1]]&amp;"-"&amp;AI$5,DogInfo!A:B,2,FALSE),0)</f>
        <v>0</v>
      </c>
      <c r="AJ47" s="220"/>
      <c r="AK47" s="221"/>
      <c r="AL47" s="155" t="str">
        <f>IF(ISBLANK(GamesDay1[[#This Row],[Time Team D1]]),"",RANK(GamesDay1[[#This Row],[Time Team D1]],GamesDay1[Time Team D1],1))</f>
        <v/>
      </c>
      <c r="AM47" s="220"/>
      <c r="AN47" s="225">
        <f>IF(GamesDay1[[#This Row],[Pass / Fail Team D1]]="P",IF(GamesDay1[[#This Row],[Prev Qs Team D1]]="",1,GamesDay1[[#This Row],[Prev Qs Team D1]]+1),GamesDay1[[#This Row],[Prev Qs Team D1]])</f>
        <v>0</v>
      </c>
      <c r="AO4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7" s="167">
        <f>GamesDay1[[#This Row],[Number of Games D1]]*SddaFee</f>
        <v>0</v>
      </c>
      <c r="AS47" s="167">
        <f>(GamesDay1[[#This Row],[Number of Games D1]]+GamesDay1[[#This Row],[Number of FEOs D1]])*JudgesFeeFEOGames</f>
        <v>0</v>
      </c>
    </row>
    <row r="48" spans="1:45" s="6" customFormat="1" ht="24.75" customHeight="1" x14ac:dyDescent="0.25">
      <c r="A48" s="171" t="s">
        <v>3688</v>
      </c>
      <c r="B48" s="155">
        <v>42</v>
      </c>
      <c r="C4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8" s="220"/>
      <c r="E48" s="219" t="str">
        <f>IFERROR(VLOOKUP(GamesDay1[[#This Row],[Dog D1]],'SDDA Dogs'!A:B,2,FALSE),"")</f>
        <v/>
      </c>
      <c r="F48" s="219" t="str">
        <f>IFERROR(VLOOKUP(GamesDay1[[#This Row],[Dog D1]],'SDDA Dogs'!A:C,3,FALSE),"")</f>
        <v/>
      </c>
      <c r="G48" s="219" t="str">
        <f>IFERROR(VLOOKUP(GamesDay1[[#This Row],[Dog D1]],'SDDA Dogs'!A:F,6,FALSE),"")</f>
        <v/>
      </c>
      <c r="H48" s="219"/>
      <c r="I48" s="165">
        <f>GamesDay1[[#This Row],[Total Qs Aerial D1]]</f>
        <v>0</v>
      </c>
      <c r="J48" s="155">
        <f>GamesDay1[[#This Row],[Total Qs Distance D1]]</f>
        <v>0</v>
      </c>
      <c r="K48" s="155">
        <f>GamesDay1[[#This Row],[Total Qs Speed D1]]</f>
        <v>0</v>
      </c>
      <c r="L48" s="224">
        <f>GamesDay1[[#This Row],[Total Qs Team D1]]</f>
        <v>0</v>
      </c>
      <c r="M48" s="219" t="e">
        <f t="shared" si="5"/>
        <v>#N/A</v>
      </c>
      <c r="N48" s="155">
        <f>IFERROR(VLOOKUP(GamesDay1[[#This Row],[Dog D1]]&amp;"-"&amp;N$5,DogInfo!A:B,2,FALSE),0)</f>
        <v>0</v>
      </c>
      <c r="O48" s="220"/>
      <c r="P48" s="221"/>
      <c r="Q48" s="155" t="str">
        <f>IF(ISBLANK(GamesDay1[[#This Row],[Time Aerial D1]]),"",RANK(GamesDay1[[#This Row],[Time Aerial D1]],GamesDay1[Time Aerial D1],1))</f>
        <v/>
      </c>
      <c r="R48" s="220"/>
      <c r="S48" s="225">
        <f>IF(GamesDay1[[#This Row],[Pass / Fail Aerial D1]]="P",IF(GamesDay1[[#This Row],[Prev Qs Aerial D1]]="",1,GamesDay1[[#This Row],[Prev Qs Aerial D1]]+1),GamesDay1[[#This Row],[Prev Qs Aerial D1]])</f>
        <v>0</v>
      </c>
      <c r="T48" s="155" t="e">
        <f t="shared" si="6"/>
        <v>#N/A</v>
      </c>
      <c r="U48" s="155">
        <f>IFERROR(VLOOKUP(GamesDay1[[#This Row],[Dog D1]]&amp;"-"&amp;U$5,DogInfo!A:B,2,FALSE),0)</f>
        <v>0</v>
      </c>
      <c r="V48" s="220"/>
      <c r="W48" s="221"/>
      <c r="X48" s="155" t="str">
        <f>IF(ISBLANK(GamesDay1[[#This Row],[Time Distance D1]]),"",RANK(GamesDay1[[#This Row],[Time Distance D1]],GamesDay1[Time Distance D1],1))</f>
        <v/>
      </c>
      <c r="Y48" s="220"/>
      <c r="Z48" s="225">
        <f>IF(GamesDay1[[#This Row],[Pass / Fail Distance D1]]="P",IF(GamesDay1[[#This Row],[Prev Qs Distance D1]]="",1,GamesDay1[[#This Row],[Prev Qs Distance D1]]+1),GamesDay1[[#This Row],[Prev Qs Distance D1]])</f>
        <v>0</v>
      </c>
      <c r="AA48" s="155" t="e">
        <f t="shared" si="7"/>
        <v>#N/A</v>
      </c>
      <c r="AB48" s="155">
        <f>IFERROR(VLOOKUP(GamesDay1[[#This Row],[Dog D1]]&amp;"-"&amp;AB$5,DogInfo!A:B,2,FALSE),0)</f>
        <v>0</v>
      </c>
      <c r="AC48" s="220"/>
      <c r="AD48" s="221"/>
      <c r="AE48" s="155" t="str">
        <f>IF(ISBLANK(GamesDay1[[#This Row],[Time Speed D1]]),"",RANK(GamesDay1[[#This Row],[Time Speed D1]],GamesDay1[Time Speed D1],1))</f>
        <v/>
      </c>
      <c r="AF48" s="220"/>
      <c r="AG48" s="225">
        <f>IF(GamesDay1[[#This Row],[Pass / Fail Speed D1]]="P",IF(GamesDay1[[#This Row],[Prev Qs Speed D1]]="",1,GamesDay1[[#This Row],[Prev Qs Speed D1]]+1),GamesDay1[[#This Row],[Prev Qs Speed D1]])</f>
        <v>0</v>
      </c>
      <c r="AH48" s="155" t="e">
        <f t="shared" si="8"/>
        <v>#N/A</v>
      </c>
      <c r="AI48" s="155">
        <f>IFERROR(VLOOKUP(GamesDay1[[#This Row],[Dog D1]]&amp;"-"&amp;AI$5,DogInfo!A:B,2,FALSE),0)</f>
        <v>0</v>
      </c>
      <c r="AJ48" s="220"/>
      <c r="AK48" s="221"/>
      <c r="AL48" s="155" t="str">
        <f>IF(ISBLANK(GamesDay1[[#This Row],[Time Team D1]]),"",RANK(GamesDay1[[#This Row],[Time Team D1]],GamesDay1[Time Team D1],1))</f>
        <v/>
      </c>
      <c r="AM48" s="220"/>
      <c r="AN48" s="225">
        <f>IF(GamesDay1[[#This Row],[Pass / Fail Team D1]]="P",IF(GamesDay1[[#This Row],[Prev Qs Team D1]]="",1,GamesDay1[[#This Row],[Prev Qs Team D1]]+1),GamesDay1[[#This Row],[Prev Qs Team D1]])</f>
        <v>0</v>
      </c>
      <c r="AO4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8" s="167">
        <f>GamesDay1[[#This Row],[Number of Games D1]]*SddaFee</f>
        <v>0</v>
      </c>
      <c r="AS48" s="167">
        <f>(GamesDay1[[#This Row],[Number of Games D1]]+GamesDay1[[#This Row],[Number of FEOs D1]])*JudgesFeeFEOGames</f>
        <v>0</v>
      </c>
    </row>
    <row r="49" spans="1:45" s="6" customFormat="1" ht="24.75" customHeight="1" x14ac:dyDescent="0.25">
      <c r="A49" s="171" t="s">
        <v>3688</v>
      </c>
      <c r="B49" s="155">
        <v>43</v>
      </c>
      <c r="C4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9" s="220"/>
      <c r="E49" s="219" t="str">
        <f>IFERROR(VLOOKUP(GamesDay1[[#This Row],[Dog D1]],'SDDA Dogs'!A:B,2,FALSE),"")</f>
        <v/>
      </c>
      <c r="F49" s="219" t="str">
        <f>IFERROR(VLOOKUP(GamesDay1[[#This Row],[Dog D1]],'SDDA Dogs'!A:C,3,FALSE),"")</f>
        <v/>
      </c>
      <c r="G49" s="219" t="str">
        <f>IFERROR(VLOOKUP(GamesDay1[[#This Row],[Dog D1]],'SDDA Dogs'!A:F,6,FALSE),"")</f>
        <v/>
      </c>
      <c r="H49" s="219"/>
      <c r="I49" s="165">
        <f>GamesDay1[[#This Row],[Total Qs Aerial D1]]</f>
        <v>0</v>
      </c>
      <c r="J49" s="155">
        <f>GamesDay1[[#This Row],[Total Qs Distance D1]]</f>
        <v>0</v>
      </c>
      <c r="K49" s="155">
        <f>GamesDay1[[#This Row],[Total Qs Speed D1]]</f>
        <v>0</v>
      </c>
      <c r="L49" s="224">
        <f>GamesDay1[[#This Row],[Total Qs Team D1]]</f>
        <v>0</v>
      </c>
      <c r="M49" s="219" t="e">
        <f t="shared" si="5"/>
        <v>#N/A</v>
      </c>
      <c r="N49" s="293">
        <f>IFERROR(VLOOKUP(GamesDay1[[#This Row],[Dog D1]]&amp;"-"&amp;N$5,DogInfo!A:B,2,FALSE),0)</f>
        <v>0</v>
      </c>
      <c r="O49" s="301"/>
      <c r="P49" s="301"/>
      <c r="Q49" s="294" t="str">
        <f>IF(ISBLANK(GamesDay1[[#This Row],[Time Aerial D1]]),"",RANK(GamesDay1[[#This Row],[Time Aerial D1]],GamesDay1[Time Aerial D1],1))</f>
        <v/>
      </c>
      <c r="R49" s="301"/>
      <c r="S49" s="300">
        <f>IF(GamesDay1[[#This Row],[Pass / Fail Aerial D1]]="P",IF(GamesDay1[[#This Row],[Prev Qs Aerial D1]]="",1,GamesDay1[[#This Row],[Prev Qs Aerial D1]]+1),GamesDay1[[#This Row],[Prev Qs Aerial D1]])</f>
        <v>0</v>
      </c>
      <c r="T49" s="155" t="e">
        <f t="shared" si="6"/>
        <v>#N/A</v>
      </c>
      <c r="U49" s="296">
        <f>IFERROR(VLOOKUP(GamesDay1[[#This Row],[Dog D1]]&amp;"-"&amp;U$5,DogInfo!A:B,2,FALSE),0)</f>
        <v>0</v>
      </c>
      <c r="V49" s="303"/>
      <c r="W49" s="303"/>
      <c r="X49" s="297" t="str">
        <f>IF(ISBLANK(GamesDay1[[#This Row],[Time Distance D1]]),"",RANK(GamesDay1[[#This Row],[Time Distance D1]],GamesDay1[Time Distance D1],1))</f>
        <v/>
      </c>
      <c r="Y49" s="303"/>
      <c r="Z49" s="297">
        <f>IF(GamesDay1[[#This Row],[Pass / Fail Distance D1]]="P",IF(GamesDay1[[#This Row],[Prev Qs Distance D1]]="",1,GamesDay1[[#This Row],[Prev Qs Distance D1]]+1),GamesDay1[[#This Row],[Prev Qs Distance D1]])</f>
        <v>0</v>
      </c>
      <c r="AA49" s="297" t="e">
        <f t="shared" si="7"/>
        <v>#N/A</v>
      </c>
      <c r="AB49" s="298">
        <f>IFERROR(VLOOKUP(GamesDay1[[#This Row],[Dog D1]]&amp;"-"&amp;AB$5,DogInfo!A:B,2,FALSE),0)</f>
        <v>0</v>
      </c>
      <c r="AC49" s="304"/>
      <c r="AD49" s="304"/>
      <c r="AE49" s="299" t="str">
        <f>IF(ISBLANK(GamesDay1[[#This Row],[Time Speed D1]]),"",RANK(GamesDay1[[#This Row],[Time Speed D1]],GamesDay1[Time Speed D1],1))</f>
        <v/>
      </c>
      <c r="AF49" s="304"/>
      <c r="AG49" s="299">
        <f>IF(GamesDay1[[#This Row],[Pass / Fail Speed D1]]="P",IF(GamesDay1[[#This Row],[Prev Qs Speed D1]]="",1,GamesDay1[[#This Row],[Prev Qs Speed D1]]+1),GamesDay1[[#This Row],[Prev Qs Speed D1]])</f>
        <v>0</v>
      </c>
      <c r="AH49" s="155" t="e">
        <f t="shared" si="8"/>
        <v>#N/A</v>
      </c>
      <c r="AI49" s="155">
        <f>IFERROR(VLOOKUP(GamesDay1[[#This Row],[Dog D1]]&amp;"-"&amp;AI$5,DogInfo!A:B,2,FALSE),0)</f>
        <v>0</v>
      </c>
      <c r="AJ49" s="220"/>
      <c r="AK49" s="221"/>
      <c r="AL49" s="155" t="str">
        <f>IF(ISBLANK(GamesDay1[[#This Row],[Time Team D1]]),"",RANK(GamesDay1[[#This Row],[Time Team D1]],GamesDay1[Time Team D1],1))</f>
        <v/>
      </c>
      <c r="AM49" s="220"/>
      <c r="AN49" s="225">
        <f>IF(GamesDay1[[#This Row],[Pass / Fail Team D1]]="P",IF(GamesDay1[[#This Row],[Prev Qs Team D1]]="",1,GamesDay1[[#This Row],[Prev Qs Team D1]]+1),GamesDay1[[#This Row],[Prev Qs Team D1]])</f>
        <v>0</v>
      </c>
      <c r="AO4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9" s="167">
        <f>GamesDay1[[#This Row],[Number of Games D1]]*SddaFee</f>
        <v>0</v>
      </c>
      <c r="AS49" s="167">
        <f>(GamesDay1[[#This Row],[Number of Games D1]]+GamesDay1[[#This Row],[Number of FEOs D1]])*JudgesFeeFEOGames</f>
        <v>0</v>
      </c>
    </row>
    <row r="50" spans="1:45" s="6" customFormat="1" ht="24.75" customHeight="1" x14ac:dyDescent="0.25">
      <c r="A50" s="171" t="s">
        <v>3688</v>
      </c>
      <c r="B50" s="155">
        <v>44</v>
      </c>
      <c r="C5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0" s="220"/>
      <c r="E50" s="219" t="str">
        <f>IFERROR(VLOOKUP(GamesDay1[[#This Row],[Dog D1]],'SDDA Dogs'!A:B,2,FALSE),"")</f>
        <v/>
      </c>
      <c r="F50" s="219" t="str">
        <f>IFERROR(VLOOKUP(GamesDay1[[#This Row],[Dog D1]],'SDDA Dogs'!A:C,3,FALSE),"")</f>
        <v/>
      </c>
      <c r="G50" s="219" t="str">
        <f>IFERROR(VLOOKUP(GamesDay1[[#This Row],[Dog D1]],'SDDA Dogs'!A:F,6,FALSE),"")</f>
        <v/>
      </c>
      <c r="H50" s="219"/>
      <c r="I50" s="165">
        <f>GamesDay1[[#This Row],[Total Qs Aerial D1]]</f>
        <v>0</v>
      </c>
      <c r="J50" s="155">
        <f>GamesDay1[[#This Row],[Total Qs Distance D1]]</f>
        <v>0</v>
      </c>
      <c r="K50" s="155">
        <f>GamesDay1[[#This Row],[Total Qs Speed D1]]</f>
        <v>0</v>
      </c>
      <c r="L50" s="224">
        <f>GamesDay1[[#This Row],[Total Qs Team D1]]</f>
        <v>0</v>
      </c>
      <c r="M50" s="219" t="e">
        <f t="shared" si="5"/>
        <v>#N/A</v>
      </c>
      <c r="N50" s="155">
        <f>IFERROR(VLOOKUP(GamesDay1[[#This Row],[Dog D1]]&amp;"-"&amp;N$5,DogInfo!A:B,2,FALSE),0)</f>
        <v>0</v>
      </c>
      <c r="O50" s="220"/>
      <c r="P50" s="221"/>
      <c r="Q50" s="155" t="str">
        <f>IF(ISBLANK(GamesDay1[[#This Row],[Time Aerial D1]]),"",RANK(GamesDay1[[#This Row],[Time Aerial D1]],GamesDay1[Time Aerial D1],1))</f>
        <v/>
      </c>
      <c r="R50" s="220"/>
      <c r="S50" s="225">
        <f>IF(GamesDay1[[#This Row],[Pass / Fail Aerial D1]]="P",IF(GamesDay1[[#This Row],[Prev Qs Aerial D1]]="",1,GamesDay1[[#This Row],[Prev Qs Aerial D1]]+1),GamesDay1[[#This Row],[Prev Qs Aerial D1]])</f>
        <v>0</v>
      </c>
      <c r="T50" s="155" t="e">
        <f t="shared" si="6"/>
        <v>#N/A</v>
      </c>
      <c r="U50" s="155">
        <f>IFERROR(VLOOKUP(GamesDay1[[#This Row],[Dog D1]]&amp;"-"&amp;U$5,DogInfo!A:B,2,FALSE),0)</f>
        <v>0</v>
      </c>
      <c r="V50" s="220"/>
      <c r="W50" s="221"/>
      <c r="X50" s="155" t="str">
        <f>IF(ISBLANK(GamesDay1[[#This Row],[Time Distance D1]]),"",RANK(GamesDay1[[#This Row],[Time Distance D1]],GamesDay1[Time Distance D1],1))</f>
        <v/>
      </c>
      <c r="Y50" s="220"/>
      <c r="Z50" s="225">
        <f>IF(GamesDay1[[#This Row],[Pass / Fail Distance D1]]="P",IF(GamesDay1[[#This Row],[Prev Qs Distance D1]]="",1,GamesDay1[[#This Row],[Prev Qs Distance D1]]+1),GamesDay1[[#This Row],[Prev Qs Distance D1]])</f>
        <v>0</v>
      </c>
      <c r="AA50" s="155" t="e">
        <f t="shared" si="7"/>
        <v>#N/A</v>
      </c>
      <c r="AB50" s="155">
        <f>IFERROR(VLOOKUP(GamesDay1[[#This Row],[Dog D1]]&amp;"-"&amp;AB$5,DogInfo!A:B,2,FALSE),0)</f>
        <v>0</v>
      </c>
      <c r="AC50" s="220"/>
      <c r="AD50" s="221"/>
      <c r="AE50" s="155" t="str">
        <f>IF(ISBLANK(GamesDay1[[#This Row],[Time Speed D1]]),"",RANK(GamesDay1[[#This Row],[Time Speed D1]],GamesDay1[Time Speed D1],1))</f>
        <v/>
      </c>
      <c r="AF50" s="220"/>
      <c r="AG50" s="225">
        <f>IF(GamesDay1[[#This Row],[Pass / Fail Speed D1]]="P",IF(GamesDay1[[#This Row],[Prev Qs Speed D1]]="",1,GamesDay1[[#This Row],[Prev Qs Speed D1]]+1),GamesDay1[[#This Row],[Prev Qs Speed D1]])</f>
        <v>0</v>
      </c>
      <c r="AH50" s="155" t="e">
        <f t="shared" si="8"/>
        <v>#N/A</v>
      </c>
      <c r="AI50" s="155">
        <f>IFERROR(VLOOKUP(GamesDay1[[#This Row],[Dog D1]]&amp;"-"&amp;AI$5,DogInfo!A:B,2,FALSE),0)</f>
        <v>0</v>
      </c>
      <c r="AJ50" s="220"/>
      <c r="AK50" s="221"/>
      <c r="AL50" s="155" t="str">
        <f>IF(ISBLANK(GamesDay1[[#This Row],[Time Team D1]]),"",RANK(GamesDay1[[#This Row],[Time Team D1]],GamesDay1[Time Team D1],1))</f>
        <v/>
      </c>
      <c r="AM50" s="220"/>
      <c r="AN50" s="225">
        <f>IF(GamesDay1[[#This Row],[Pass / Fail Team D1]]="P",IF(GamesDay1[[#This Row],[Prev Qs Team D1]]="",1,GamesDay1[[#This Row],[Prev Qs Team D1]]+1),GamesDay1[[#This Row],[Prev Qs Team D1]])</f>
        <v>0</v>
      </c>
      <c r="AO5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0" s="167">
        <f>GamesDay1[[#This Row],[Number of Games D1]]*SddaFee</f>
        <v>0</v>
      </c>
      <c r="AS50" s="167">
        <f>(GamesDay1[[#This Row],[Number of Games D1]]+GamesDay1[[#This Row],[Number of FEOs D1]])*JudgesFeeFEOGames</f>
        <v>0</v>
      </c>
    </row>
    <row r="51" spans="1:45" s="6" customFormat="1" ht="24.75" customHeight="1" x14ac:dyDescent="0.25">
      <c r="A51" s="171" t="s">
        <v>3688</v>
      </c>
      <c r="B51" s="155">
        <v>45</v>
      </c>
      <c r="C5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1" s="220"/>
      <c r="E51" s="219" t="str">
        <f>IFERROR(VLOOKUP(GamesDay1[[#This Row],[Dog D1]],'SDDA Dogs'!A:B,2,FALSE),"")</f>
        <v/>
      </c>
      <c r="F51" s="219" t="str">
        <f>IFERROR(VLOOKUP(GamesDay1[[#This Row],[Dog D1]],'SDDA Dogs'!A:C,3,FALSE),"")</f>
        <v/>
      </c>
      <c r="G51" s="219" t="str">
        <f>IFERROR(VLOOKUP(GamesDay1[[#This Row],[Dog D1]],'SDDA Dogs'!A:F,6,FALSE),"")</f>
        <v/>
      </c>
      <c r="H51" s="219"/>
      <c r="I51" s="165">
        <f>GamesDay1[[#This Row],[Total Qs Aerial D1]]</f>
        <v>0</v>
      </c>
      <c r="J51" s="155">
        <f>GamesDay1[[#This Row],[Total Qs Distance D1]]</f>
        <v>0</v>
      </c>
      <c r="K51" s="155">
        <f>GamesDay1[[#This Row],[Total Qs Speed D1]]</f>
        <v>0</v>
      </c>
      <c r="L51" s="224">
        <f>GamesDay1[[#This Row],[Total Qs Team D1]]</f>
        <v>0</v>
      </c>
      <c r="M51" s="219" t="e">
        <f t="shared" si="5"/>
        <v>#N/A</v>
      </c>
      <c r="N51" s="293">
        <f>IFERROR(VLOOKUP(GamesDay1[[#This Row],[Dog D1]]&amp;"-"&amp;N$5,DogInfo!A:B,2,FALSE),0)</f>
        <v>0</v>
      </c>
      <c r="O51" s="301"/>
      <c r="P51" s="301"/>
      <c r="Q51" s="294" t="str">
        <f>IF(ISBLANK(GamesDay1[[#This Row],[Time Aerial D1]]),"",RANK(GamesDay1[[#This Row],[Time Aerial D1]],GamesDay1[Time Aerial D1],1))</f>
        <v/>
      </c>
      <c r="R51" s="301"/>
      <c r="S51" s="300">
        <f>IF(GamesDay1[[#This Row],[Pass / Fail Aerial D1]]="P",IF(GamesDay1[[#This Row],[Prev Qs Aerial D1]]="",1,GamesDay1[[#This Row],[Prev Qs Aerial D1]]+1),GamesDay1[[#This Row],[Prev Qs Aerial D1]])</f>
        <v>0</v>
      </c>
      <c r="T51" s="155" t="e">
        <f t="shared" si="6"/>
        <v>#N/A</v>
      </c>
      <c r="U51" s="296">
        <f>IFERROR(VLOOKUP(GamesDay1[[#This Row],[Dog D1]]&amp;"-"&amp;U$5,DogInfo!A:B,2,FALSE),0)</f>
        <v>0</v>
      </c>
      <c r="V51" s="303"/>
      <c r="W51" s="303"/>
      <c r="X51" s="297" t="str">
        <f>IF(ISBLANK(GamesDay1[[#This Row],[Time Distance D1]]),"",RANK(GamesDay1[[#This Row],[Time Distance D1]],GamesDay1[Time Distance D1],1))</f>
        <v/>
      </c>
      <c r="Y51" s="303"/>
      <c r="Z51" s="297">
        <f>IF(GamesDay1[[#This Row],[Pass / Fail Distance D1]]="P",IF(GamesDay1[[#This Row],[Prev Qs Distance D1]]="",1,GamesDay1[[#This Row],[Prev Qs Distance D1]]+1),GamesDay1[[#This Row],[Prev Qs Distance D1]])</f>
        <v>0</v>
      </c>
      <c r="AA51" s="155" t="e">
        <f t="shared" si="7"/>
        <v>#N/A</v>
      </c>
      <c r="AB51" s="298">
        <f>IFERROR(VLOOKUP(GamesDay1[[#This Row],[Dog D1]]&amp;"-"&amp;AB$5,DogInfo!A:B,2,FALSE),0)</f>
        <v>0</v>
      </c>
      <c r="AC51" s="304"/>
      <c r="AD51" s="304"/>
      <c r="AE51" s="299" t="str">
        <f>IF(ISBLANK(GamesDay1[[#This Row],[Time Speed D1]]),"",RANK(GamesDay1[[#This Row],[Time Speed D1]],GamesDay1[Time Speed D1],1))</f>
        <v/>
      </c>
      <c r="AF51" s="304"/>
      <c r="AG51" s="299">
        <f>IF(GamesDay1[[#This Row],[Pass / Fail Speed D1]]="P",IF(GamesDay1[[#This Row],[Prev Qs Speed D1]]="",1,GamesDay1[[#This Row],[Prev Qs Speed D1]]+1),GamesDay1[[#This Row],[Prev Qs Speed D1]])</f>
        <v>0</v>
      </c>
      <c r="AH51" s="155" t="e">
        <f t="shared" si="8"/>
        <v>#N/A</v>
      </c>
      <c r="AI51" s="155">
        <f>IFERROR(VLOOKUP(GamesDay1[[#This Row],[Dog D1]]&amp;"-"&amp;AI$5,DogInfo!A:B,2,FALSE),0)</f>
        <v>0</v>
      </c>
      <c r="AJ51" s="220"/>
      <c r="AK51" s="221"/>
      <c r="AL51" s="155" t="str">
        <f>IF(ISBLANK(GamesDay1[[#This Row],[Time Team D1]]),"",RANK(GamesDay1[[#This Row],[Time Team D1]],GamesDay1[Time Team D1],1))</f>
        <v/>
      </c>
      <c r="AM51" s="220"/>
      <c r="AN51" s="225">
        <f>IF(GamesDay1[[#This Row],[Pass / Fail Team D1]]="P",IF(GamesDay1[[#This Row],[Prev Qs Team D1]]="",1,GamesDay1[[#This Row],[Prev Qs Team D1]]+1),GamesDay1[[#This Row],[Prev Qs Team D1]])</f>
        <v>0</v>
      </c>
      <c r="AO5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1" s="167">
        <f>GamesDay1[[#This Row],[Number of Games D1]]*SddaFee</f>
        <v>0</v>
      </c>
      <c r="AS51" s="167">
        <f>(GamesDay1[[#This Row],[Number of Games D1]]+GamesDay1[[#This Row],[Number of FEOs D1]])*JudgesFeeFEOGames</f>
        <v>0</v>
      </c>
    </row>
    <row r="52" spans="1:45" s="6" customFormat="1" ht="24.75" customHeight="1" x14ac:dyDescent="0.25">
      <c r="A52" s="171" t="s">
        <v>3688</v>
      </c>
      <c r="B52" s="155">
        <v>46</v>
      </c>
      <c r="C5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2" s="220"/>
      <c r="E52" s="219" t="str">
        <f>IFERROR(VLOOKUP(GamesDay1[[#This Row],[Dog D1]],'SDDA Dogs'!A:B,2,FALSE),"")</f>
        <v/>
      </c>
      <c r="F52" s="219" t="str">
        <f>IFERROR(VLOOKUP(GamesDay1[[#This Row],[Dog D1]],'SDDA Dogs'!A:C,3,FALSE),"")</f>
        <v/>
      </c>
      <c r="G52" s="219" t="str">
        <f>IFERROR(VLOOKUP(GamesDay1[[#This Row],[Dog D1]],'SDDA Dogs'!A:F,6,FALSE),"")</f>
        <v/>
      </c>
      <c r="H52" s="219"/>
      <c r="I52" s="165">
        <f>GamesDay1[[#This Row],[Total Qs Aerial D1]]</f>
        <v>0</v>
      </c>
      <c r="J52" s="155">
        <f>GamesDay1[[#This Row],[Total Qs Distance D1]]</f>
        <v>0</v>
      </c>
      <c r="K52" s="155">
        <f>GamesDay1[[#This Row],[Total Qs Speed D1]]</f>
        <v>0</v>
      </c>
      <c r="L52" s="224">
        <f>GamesDay1[[#This Row],[Total Qs Team D1]]</f>
        <v>0</v>
      </c>
      <c r="M52" s="219" t="e">
        <f t="shared" si="5"/>
        <v>#N/A</v>
      </c>
      <c r="N52" s="155">
        <f>IFERROR(VLOOKUP(GamesDay1[[#This Row],[Dog D1]]&amp;"-"&amp;N$5,DogInfo!A:B,2,FALSE),0)</f>
        <v>0</v>
      </c>
      <c r="O52" s="220"/>
      <c r="P52" s="221"/>
      <c r="Q52" s="155" t="str">
        <f>IF(ISBLANK(GamesDay1[[#This Row],[Time Aerial D1]]),"",RANK(GamesDay1[[#This Row],[Time Aerial D1]],GamesDay1[Time Aerial D1],1))</f>
        <v/>
      </c>
      <c r="R52" s="220"/>
      <c r="S52" s="225">
        <f>IF(GamesDay1[[#This Row],[Pass / Fail Aerial D1]]="P",IF(GamesDay1[[#This Row],[Prev Qs Aerial D1]]="",1,GamesDay1[[#This Row],[Prev Qs Aerial D1]]+1),GamesDay1[[#This Row],[Prev Qs Aerial D1]])</f>
        <v>0</v>
      </c>
      <c r="T52" s="155" t="e">
        <f t="shared" si="6"/>
        <v>#N/A</v>
      </c>
      <c r="U52" s="155">
        <f>IFERROR(VLOOKUP(GamesDay1[[#This Row],[Dog D1]]&amp;"-"&amp;U$5,DogInfo!A:B,2,FALSE),0)</f>
        <v>0</v>
      </c>
      <c r="V52" s="220"/>
      <c r="W52" s="221"/>
      <c r="X52" s="155" t="str">
        <f>IF(ISBLANK(GamesDay1[[#This Row],[Time Distance D1]]),"",RANK(GamesDay1[[#This Row],[Time Distance D1]],GamesDay1[Time Distance D1],1))</f>
        <v/>
      </c>
      <c r="Y52" s="220"/>
      <c r="Z52" s="225">
        <f>IF(GamesDay1[[#This Row],[Pass / Fail Distance D1]]="P",IF(GamesDay1[[#This Row],[Prev Qs Distance D1]]="",1,GamesDay1[[#This Row],[Prev Qs Distance D1]]+1),GamesDay1[[#This Row],[Prev Qs Distance D1]])</f>
        <v>0</v>
      </c>
      <c r="AA52" s="155" t="e">
        <f t="shared" si="7"/>
        <v>#N/A</v>
      </c>
      <c r="AB52" s="155">
        <f>IFERROR(VLOOKUP(GamesDay1[[#This Row],[Dog D1]]&amp;"-"&amp;AB$5,DogInfo!A:B,2,FALSE),0)</f>
        <v>0</v>
      </c>
      <c r="AC52" s="220"/>
      <c r="AD52" s="221"/>
      <c r="AE52" s="155" t="str">
        <f>IF(ISBLANK(GamesDay1[[#This Row],[Time Speed D1]]),"",RANK(GamesDay1[[#This Row],[Time Speed D1]],GamesDay1[Time Speed D1],1))</f>
        <v/>
      </c>
      <c r="AF52" s="220"/>
      <c r="AG52" s="225">
        <f>IF(GamesDay1[[#This Row],[Pass / Fail Speed D1]]="P",IF(GamesDay1[[#This Row],[Prev Qs Speed D1]]="",1,GamesDay1[[#This Row],[Prev Qs Speed D1]]+1),GamesDay1[[#This Row],[Prev Qs Speed D1]])</f>
        <v>0</v>
      </c>
      <c r="AH52" s="155" t="e">
        <f t="shared" si="8"/>
        <v>#N/A</v>
      </c>
      <c r="AI52" s="155">
        <f>IFERROR(VLOOKUP(GamesDay1[[#This Row],[Dog D1]]&amp;"-"&amp;AI$5,DogInfo!A:B,2,FALSE),0)</f>
        <v>0</v>
      </c>
      <c r="AJ52" s="220"/>
      <c r="AK52" s="221"/>
      <c r="AL52" s="155" t="str">
        <f>IF(ISBLANK(GamesDay1[[#This Row],[Time Team D1]]),"",RANK(GamesDay1[[#This Row],[Time Team D1]],GamesDay1[Time Team D1],1))</f>
        <v/>
      </c>
      <c r="AM52" s="220"/>
      <c r="AN52" s="225">
        <f>IF(GamesDay1[[#This Row],[Pass / Fail Team D1]]="P",IF(GamesDay1[[#This Row],[Prev Qs Team D1]]="",1,GamesDay1[[#This Row],[Prev Qs Team D1]]+1),GamesDay1[[#This Row],[Prev Qs Team D1]])</f>
        <v>0</v>
      </c>
      <c r="AO5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2" s="167">
        <f>GamesDay1[[#This Row],[Number of Games D1]]*SddaFee</f>
        <v>0</v>
      </c>
      <c r="AS52" s="167">
        <f>(GamesDay1[[#This Row],[Number of Games D1]]+GamesDay1[[#This Row],[Number of FEOs D1]])*JudgesFeeFEOGames</f>
        <v>0</v>
      </c>
    </row>
    <row r="53" spans="1:45" s="6" customFormat="1" ht="24.75" customHeight="1" x14ac:dyDescent="0.25">
      <c r="A53" s="171" t="s">
        <v>3688</v>
      </c>
      <c r="B53" s="155">
        <v>47</v>
      </c>
      <c r="C5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3" s="220"/>
      <c r="E53" s="219" t="str">
        <f>IFERROR(VLOOKUP(GamesDay1[[#This Row],[Dog D1]],'SDDA Dogs'!A:B,2,FALSE),"")</f>
        <v/>
      </c>
      <c r="F53" s="219" t="str">
        <f>IFERROR(VLOOKUP(GamesDay1[[#This Row],[Dog D1]],'SDDA Dogs'!A:C,3,FALSE),"")</f>
        <v/>
      </c>
      <c r="G53" s="219" t="str">
        <f>IFERROR(VLOOKUP(GamesDay1[[#This Row],[Dog D1]],'SDDA Dogs'!A:F,6,FALSE),"")</f>
        <v/>
      </c>
      <c r="H53" s="219"/>
      <c r="I53" s="165">
        <f>GamesDay1[[#This Row],[Total Qs Aerial D1]]</f>
        <v>0</v>
      </c>
      <c r="J53" s="155">
        <f>GamesDay1[[#This Row],[Total Qs Distance D1]]</f>
        <v>0</v>
      </c>
      <c r="K53" s="155">
        <f>GamesDay1[[#This Row],[Total Qs Speed D1]]</f>
        <v>0</v>
      </c>
      <c r="L53" s="224">
        <f>GamesDay1[[#This Row],[Total Qs Team D1]]</f>
        <v>0</v>
      </c>
      <c r="M53" s="219" t="e">
        <f t="shared" si="5"/>
        <v>#N/A</v>
      </c>
      <c r="N53" s="293">
        <f>IFERROR(VLOOKUP(GamesDay1[[#This Row],[Dog D1]]&amp;"-"&amp;N$5,DogInfo!A:B,2,FALSE),0)</f>
        <v>0</v>
      </c>
      <c r="O53" s="301"/>
      <c r="P53" s="301"/>
      <c r="Q53" s="294" t="str">
        <f>IF(ISBLANK(GamesDay1[[#This Row],[Time Aerial D1]]),"",RANK(GamesDay1[[#This Row],[Time Aerial D1]],GamesDay1[Time Aerial D1],1))</f>
        <v/>
      </c>
      <c r="R53" s="301"/>
      <c r="S53" s="300">
        <f>IF(GamesDay1[[#This Row],[Pass / Fail Aerial D1]]="P",IF(GamesDay1[[#This Row],[Prev Qs Aerial D1]]="",1,GamesDay1[[#This Row],[Prev Qs Aerial D1]]+1),GamesDay1[[#This Row],[Prev Qs Aerial D1]])</f>
        <v>0</v>
      </c>
      <c r="T53" s="155" t="e">
        <f t="shared" si="6"/>
        <v>#N/A</v>
      </c>
      <c r="U53" s="296">
        <f>IFERROR(VLOOKUP(GamesDay1[[#This Row],[Dog D1]]&amp;"-"&amp;U$5,DogInfo!A:B,2,FALSE),0)</f>
        <v>0</v>
      </c>
      <c r="V53" s="303"/>
      <c r="W53" s="303"/>
      <c r="X53" s="297" t="str">
        <f>IF(ISBLANK(GamesDay1[[#This Row],[Time Distance D1]]),"",RANK(GamesDay1[[#This Row],[Time Distance D1]],GamesDay1[Time Distance D1],1))</f>
        <v/>
      </c>
      <c r="Y53" s="303"/>
      <c r="Z53" s="297">
        <f>IF(GamesDay1[[#This Row],[Pass / Fail Distance D1]]="P",IF(GamesDay1[[#This Row],[Prev Qs Distance D1]]="",1,GamesDay1[[#This Row],[Prev Qs Distance D1]]+1),GamesDay1[[#This Row],[Prev Qs Distance D1]])</f>
        <v>0</v>
      </c>
      <c r="AA53" s="155" t="e">
        <f t="shared" si="7"/>
        <v>#N/A</v>
      </c>
      <c r="AB53" s="298">
        <f>IFERROR(VLOOKUP(GamesDay1[[#This Row],[Dog D1]]&amp;"-"&amp;AB$5,DogInfo!A:B,2,FALSE),0)</f>
        <v>0</v>
      </c>
      <c r="AC53" s="304"/>
      <c r="AD53" s="304"/>
      <c r="AE53" s="299" t="str">
        <f>IF(ISBLANK(GamesDay1[[#This Row],[Time Speed D1]]),"",RANK(GamesDay1[[#This Row],[Time Speed D1]],GamesDay1[Time Speed D1],1))</f>
        <v/>
      </c>
      <c r="AF53" s="304"/>
      <c r="AG53" s="299">
        <f>IF(GamesDay1[[#This Row],[Pass / Fail Speed D1]]="P",IF(GamesDay1[[#This Row],[Prev Qs Speed D1]]="",1,GamesDay1[[#This Row],[Prev Qs Speed D1]]+1),GamesDay1[[#This Row],[Prev Qs Speed D1]])</f>
        <v>0</v>
      </c>
      <c r="AH53" s="155" t="e">
        <f t="shared" si="8"/>
        <v>#N/A</v>
      </c>
      <c r="AI53" s="155">
        <f>IFERROR(VLOOKUP(GamesDay1[[#This Row],[Dog D1]]&amp;"-"&amp;AI$5,DogInfo!A:B,2,FALSE),0)</f>
        <v>0</v>
      </c>
      <c r="AJ53" s="220"/>
      <c r="AK53" s="221"/>
      <c r="AL53" s="155" t="str">
        <f>IF(ISBLANK(GamesDay1[[#This Row],[Time Team D1]]),"",RANK(GamesDay1[[#This Row],[Time Team D1]],GamesDay1[Time Team D1],1))</f>
        <v/>
      </c>
      <c r="AM53" s="220"/>
      <c r="AN53" s="225">
        <f>IF(GamesDay1[[#This Row],[Pass / Fail Team D1]]="P",IF(GamesDay1[[#This Row],[Prev Qs Team D1]]="",1,GamesDay1[[#This Row],[Prev Qs Team D1]]+1),GamesDay1[[#This Row],[Prev Qs Team D1]])</f>
        <v>0</v>
      </c>
      <c r="AO5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3" s="167">
        <f>GamesDay1[[#This Row],[Number of Games D1]]*SddaFee</f>
        <v>0</v>
      </c>
      <c r="AS53" s="167">
        <f>(GamesDay1[[#This Row],[Number of Games D1]]+GamesDay1[[#This Row],[Number of FEOs D1]])*JudgesFeeFEOGames</f>
        <v>0</v>
      </c>
    </row>
    <row r="54" spans="1:45" s="6" customFormat="1" ht="24.75" customHeight="1" x14ac:dyDescent="0.25">
      <c r="A54" s="171" t="s">
        <v>3688</v>
      </c>
      <c r="B54" s="155">
        <v>48</v>
      </c>
      <c r="C5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4" s="220"/>
      <c r="E54" s="219" t="str">
        <f>IFERROR(VLOOKUP(GamesDay1[[#This Row],[Dog D1]],'SDDA Dogs'!A:B,2,FALSE),"")</f>
        <v/>
      </c>
      <c r="F54" s="219" t="str">
        <f>IFERROR(VLOOKUP(GamesDay1[[#This Row],[Dog D1]],'SDDA Dogs'!A:C,3,FALSE),"")</f>
        <v/>
      </c>
      <c r="G54" s="219" t="str">
        <f>IFERROR(VLOOKUP(GamesDay1[[#This Row],[Dog D1]],'SDDA Dogs'!A:F,6,FALSE),"")</f>
        <v/>
      </c>
      <c r="H54" s="219"/>
      <c r="I54" s="165">
        <f>GamesDay1[[#This Row],[Total Qs Aerial D1]]</f>
        <v>0</v>
      </c>
      <c r="J54" s="155">
        <f>GamesDay1[[#This Row],[Total Qs Distance D1]]</f>
        <v>0</v>
      </c>
      <c r="K54" s="155">
        <f>GamesDay1[[#This Row],[Total Qs Speed D1]]</f>
        <v>0</v>
      </c>
      <c r="L54" s="224">
        <f>GamesDay1[[#This Row],[Total Qs Team D1]]</f>
        <v>0</v>
      </c>
      <c r="M54" s="219" t="e">
        <f t="shared" si="5"/>
        <v>#N/A</v>
      </c>
      <c r="N54" s="155">
        <f>IFERROR(VLOOKUP(GamesDay1[[#This Row],[Dog D1]]&amp;"-"&amp;N$5,DogInfo!A:B,2,FALSE),0)</f>
        <v>0</v>
      </c>
      <c r="O54" s="220"/>
      <c r="P54" s="221"/>
      <c r="Q54" s="155" t="str">
        <f>IF(ISBLANK(GamesDay1[[#This Row],[Time Aerial D1]]),"",RANK(GamesDay1[[#This Row],[Time Aerial D1]],GamesDay1[Time Aerial D1],1))</f>
        <v/>
      </c>
      <c r="R54" s="220"/>
      <c r="S54" s="225">
        <f>IF(GamesDay1[[#This Row],[Pass / Fail Aerial D1]]="P",IF(GamesDay1[[#This Row],[Prev Qs Aerial D1]]="",1,GamesDay1[[#This Row],[Prev Qs Aerial D1]]+1),GamesDay1[[#This Row],[Prev Qs Aerial D1]])</f>
        <v>0</v>
      </c>
      <c r="T54" s="155" t="e">
        <f t="shared" si="6"/>
        <v>#N/A</v>
      </c>
      <c r="U54" s="155">
        <f>IFERROR(VLOOKUP(GamesDay1[[#This Row],[Dog D1]]&amp;"-"&amp;U$5,DogInfo!A:B,2,FALSE),0)</f>
        <v>0</v>
      </c>
      <c r="V54" s="220"/>
      <c r="W54" s="221"/>
      <c r="X54" s="155" t="str">
        <f>IF(ISBLANK(GamesDay1[[#This Row],[Time Distance D1]]),"",RANK(GamesDay1[[#This Row],[Time Distance D1]],GamesDay1[Time Distance D1],1))</f>
        <v/>
      </c>
      <c r="Y54" s="220"/>
      <c r="Z54" s="225">
        <f>IF(GamesDay1[[#This Row],[Pass / Fail Distance D1]]="P",IF(GamesDay1[[#This Row],[Prev Qs Distance D1]]="",1,GamesDay1[[#This Row],[Prev Qs Distance D1]]+1),GamesDay1[[#This Row],[Prev Qs Distance D1]])</f>
        <v>0</v>
      </c>
      <c r="AA54" s="155" t="e">
        <f t="shared" si="7"/>
        <v>#N/A</v>
      </c>
      <c r="AB54" s="155">
        <f>IFERROR(VLOOKUP(GamesDay1[[#This Row],[Dog D1]]&amp;"-"&amp;AB$5,DogInfo!A:B,2,FALSE),0)</f>
        <v>0</v>
      </c>
      <c r="AC54" s="220"/>
      <c r="AD54" s="221"/>
      <c r="AE54" s="155" t="str">
        <f>IF(ISBLANK(GamesDay1[[#This Row],[Time Speed D1]]),"",RANK(GamesDay1[[#This Row],[Time Speed D1]],GamesDay1[Time Speed D1],1))</f>
        <v/>
      </c>
      <c r="AF54" s="220"/>
      <c r="AG54" s="225">
        <f>IF(GamesDay1[[#This Row],[Pass / Fail Speed D1]]="P",IF(GamesDay1[[#This Row],[Prev Qs Speed D1]]="",1,GamesDay1[[#This Row],[Prev Qs Speed D1]]+1),GamesDay1[[#This Row],[Prev Qs Speed D1]])</f>
        <v>0</v>
      </c>
      <c r="AH54" s="155" t="e">
        <f t="shared" si="8"/>
        <v>#N/A</v>
      </c>
      <c r="AI54" s="155">
        <f>IFERROR(VLOOKUP(GamesDay1[[#This Row],[Dog D1]]&amp;"-"&amp;AI$5,DogInfo!A:B,2,FALSE),0)</f>
        <v>0</v>
      </c>
      <c r="AJ54" s="220"/>
      <c r="AK54" s="221"/>
      <c r="AL54" s="155" t="str">
        <f>IF(ISBLANK(GamesDay1[[#This Row],[Time Team D1]]),"",RANK(GamesDay1[[#This Row],[Time Team D1]],GamesDay1[Time Team D1],1))</f>
        <v/>
      </c>
      <c r="AM54" s="220"/>
      <c r="AN54" s="225">
        <f>IF(GamesDay1[[#This Row],[Pass / Fail Team D1]]="P",IF(GamesDay1[[#This Row],[Prev Qs Team D1]]="",1,GamesDay1[[#This Row],[Prev Qs Team D1]]+1),GamesDay1[[#This Row],[Prev Qs Team D1]])</f>
        <v>0</v>
      </c>
      <c r="AO5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4" s="167">
        <f>GamesDay1[[#This Row],[Number of Games D1]]*SddaFee</f>
        <v>0</v>
      </c>
      <c r="AS54" s="167">
        <f>(GamesDay1[[#This Row],[Number of Games D1]]+GamesDay1[[#This Row],[Number of FEOs D1]])*JudgesFeeFEOGames</f>
        <v>0</v>
      </c>
    </row>
    <row r="55" spans="1:45" s="6" customFormat="1" ht="24.75" customHeight="1" x14ac:dyDescent="0.25">
      <c r="A55" s="171" t="s">
        <v>3688</v>
      </c>
      <c r="B55" s="155">
        <v>49</v>
      </c>
      <c r="C5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5" s="220"/>
      <c r="E55" s="219" t="str">
        <f>IFERROR(VLOOKUP(GamesDay1[[#This Row],[Dog D1]],'SDDA Dogs'!A:B,2,FALSE),"")</f>
        <v/>
      </c>
      <c r="F55" s="219" t="str">
        <f>IFERROR(VLOOKUP(GamesDay1[[#This Row],[Dog D1]],'SDDA Dogs'!A:C,3,FALSE),"")</f>
        <v/>
      </c>
      <c r="G55" s="219" t="str">
        <f>IFERROR(VLOOKUP(GamesDay1[[#This Row],[Dog D1]],'SDDA Dogs'!A:F,6,FALSE),"")</f>
        <v/>
      </c>
      <c r="H55" s="219"/>
      <c r="I55" s="165">
        <f>GamesDay1[[#This Row],[Total Qs Aerial D1]]</f>
        <v>0</v>
      </c>
      <c r="J55" s="155">
        <f>GamesDay1[[#This Row],[Total Qs Distance D1]]</f>
        <v>0</v>
      </c>
      <c r="K55" s="155">
        <f>GamesDay1[[#This Row],[Total Qs Speed D1]]</f>
        <v>0</v>
      </c>
      <c r="L55" s="224">
        <f>GamesDay1[[#This Row],[Total Qs Team D1]]</f>
        <v>0</v>
      </c>
      <c r="M55" s="219" t="e">
        <f t="shared" si="5"/>
        <v>#N/A</v>
      </c>
      <c r="N55" s="293">
        <f>IFERROR(VLOOKUP(GamesDay1[[#This Row],[Dog D1]]&amp;"-"&amp;N$5,DogInfo!A:B,2,FALSE),0)</f>
        <v>0</v>
      </c>
      <c r="O55" s="301"/>
      <c r="P55" s="301"/>
      <c r="Q55" s="294" t="str">
        <f>IF(ISBLANK(GamesDay1[[#This Row],[Time Aerial D1]]),"",RANK(GamesDay1[[#This Row],[Time Aerial D1]],GamesDay1[Time Aerial D1],1))</f>
        <v/>
      </c>
      <c r="R55" s="301"/>
      <c r="S55" s="300">
        <f>IF(GamesDay1[[#This Row],[Pass / Fail Aerial D1]]="P",IF(GamesDay1[[#This Row],[Prev Qs Aerial D1]]="",1,GamesDay1[[#This Row],[Prev Qs Aerial D1]]+1),GamesDay1[[#This Row],[Prev Qs Aerial D1]])</f>
        <v>0</v>
      </c>
      <c r="T55" s="155" t="e">
        <f t="shared" si="6"/>
        <v>#N/A</v>
      </c>
      <c r="U55" s="296">
        <f>IFERROR(VLOOKUP(GamesDay1[[#This Row],[Dog D1]]&amp;"-"&amp;U$5,DogInfo!A:B,2,FALSE),0)</f>
        <v>0</v>
      </c>
      <c r="V55" s="303"/>
      <c r="W55" s="303"/>
      <c r="X55" s="297" t="str">
        <f>IF(ISBLANK(GamesDay1[[#This Row],[Time Distance D1]]),"",RANK(GamesDay1[[#This Row],[Time Distance D1]],GamesDay1[Time Distance D1],1))</f>
        <v/>
      </c>
      <c r="Y55" s="303"/>
      <c r="Z55" s="297">
        <f>IF(GamesDay1[[#This Row],[Pass / Fail Distance D1]]="P",IF(GamesDay1[[#This Row],[Prev Qs Distance D1]]="",1,GamesDay1[[#This Row],[Prev Qs Distance D1]]+1),GamesDay1[[#This Row],[Prev Qs Distance D1]])</f>
        <v>0</v>
      </c>
      <c r="AA55" s="155" t="e">
        <f t="shared" si="7"/>
        <v>#N/A</v>
      </c>
      <c r="AB55" s="298">
        <f>IFERROR(VLOOKUP(GamesDay1[[#This Row],[Dog D1]]&amp;"-"&amp;AB$5,DogInfo!A:B,2,FALSE),0)</f>
        <v>0</v>
      </c>
      <c r="AC55" s="304"/>
      <c r="AD55" s="304"/>
      <c r="AE55" s="299" t="str">
        <f>IF(ISBLANK(GamesDay1[[#This Row],[Time Speed D1]]),"",RANK(GamesDay1[[#This Row],[Time Speed D1]],GamesDay1[Time Speed D1],1))</f>
        <v/>
      </c>
      <c r="AF55" s="304"/>
      <c r="AG55" s="299">
        <f>IF(GamesDay1[[#This Row],[Pass / Fail Speed D1]]="P",IF(GamesDay1[[#This Row],[Prev Qs Speed D1]]="",1,GamesDay1[[#This Row],[Prev Qs Speed D1]]+1),GamesDay1[[#This Row],[Prev Qs Speed D1]])</f>
        <v>0</v>
      </c>
      <c r="AH55" s="155" t="e">
        <f t="shared" si="8"/>
        <v>#N/A</v>
      </c>
      <c r="AI55" s="155">
        <f>IFERROR(VLOOKUP(GamesDay1[[#This Row],[Dog D1]]&amp;"-"&amp;AI$5,DogInfo!A:B,2,FALSE),0)</f>
        <v>0</v>
      </c>
      <c r="AJ55" s="220"/>
      <c r="AK55" s="221"/>
      <c r="AL55" s="155" t="str">
        <f>IF(ISBLANK(GamesDay1[[#This Row],[Time Team D1]]),"",RANK(GamesDay1[[#This Row],[Time Team D1]],GamesDay1[Time Team D1],1))</f>
        <v/>
      </c>
      <c r="AM55" s="220"/>
      <c r="AN55" s="225">
        <f>IF(GamesDay1[[#This Row],[Pass / Fail Team D1]]="P",IF(GamesDay1[[#This Row],[Prev Qs Team D1]]="",1,GamesDay1[[#This Row],[Prev Qs Team D1]]+1),GamesDay1[[#This Row],[Prev Qs Team D1]])</f>
        <v>0</v>
      </c>
      <c r="AO5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5" s="167">
        <f>GamesDay1[[#This Row],[Number of Games D1]]*SddaFee</f>
        <v>0</v>
      </c>
      <c r="AS55" s="167">
        <f>(GamesDay1[[#This Row],[Number of Games D1]]+GamesDay1[[#This Row],[Number of FEOs D1]])*JudgesFeeFEOGames</f>
        <v>0</v>
      </c>
    </row>
    <row r="56" spans="1:45" s="6" customFormat="1" ht="24.75" customHeight="1" x14ac:dyDescent="0.25">
      <c r="A56" s="171" t="s">
        <v>3688</v>
      </c>
      <c r="B56" s="155">
        <v>50</v>
      </c>
      <c r="C5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6" s="220"/>
      <c r="E56" s="219" t="str">
        <f>IFERROR(VLOOKUP(GamesDay1[[#This Row],[Dog D1]],'SDDA Dogs'!A:B,2,FALSE),"")</f>
        <v/>
      </c>
      <c r="F56" s="219" t="str">
        <f>IFERROR(VLOOKUP(GamesDay1[[#This Row],[Dog D1]],'SDDA Dogs'!A:C,3,FALSE),"")</f>
        <v/>
      </c>
      <c r="G56" s="219" t="str">
        <f>IFERROR(VLOOKUP(GamesDay1[[#This Row],[Dog D1]],'SDDA Dogs'!A:F,6,FALSE),"")</f>
        <v/>
      </c>
      <c r="H56" s="219"/>
      <c r="I56" s="165">
        <f>GamesDay1[[#This Row],[Total Qs Aerial D1]]</f>
        <v>0</v>
      </c>
      <c r="J56" s="155">
        <f>GamesDay1[[#This Row],[Total Qs Distance D1]]</f>
        <v>0</v>
      </c>
      <c r="K56" s="155">
        <f>GamesDay1[[#This Row],[Total Qs Speed D1]]</f>
        <v>0</v>
      </c>
      <c r="L56" s="224">
        <f>GamesDay1[[#This Row],[Total Qs Team D1]]</f>
        <v>0</v>
      </c>
      <c r="M56" s="219" t="e">
        <f t="shared" si="5"/>
        <v>#N/A</v>
      </c>
      <c r="N56" s="155">
        <f>IFERROR(VLOOKUP(GamesDay1[[#This Row],[Dog D1]]&amp;"-"&amp;N$5,DogInfo!A:B,2,FALSE),0)</f>
        <v>0</v>
      </c>
      <c r="O56" s="220"/>
      <c r="P56" s="221"/>
      <c r="Q56" s="155" t="str">
        <f>IF(ISBLANK(GamesDay1[[#This Row],[Time Aerial D1]]),"",RANK(GamesDay1[[#This Row],[Time Aerial D1]],GamesDay1[Time Aerial D1],1))</f>
        <v/>
      </c>
      <c r="R56" s="220"/>
      <c r="S56" s="225">
        <f>IF(GamesDay1[[#This Row],[Pass / Fail Aerial D1]]="P",IF(GamesDay1[[#This Row],[Prev Qs Aerial D1]]="",1,GamesDay1[[#This Row],[Prev Qs Aerial D1]]+1),GamesDay1[[#This Row],[Prev Qs Aerial D1]])</f>
        <v>0</v>
      </c>
      <c r="T56" s="155" t="e">
        <f t="shared" si="6"/>
        <v>#N/A</v>
      </c>
      <c r="U56" s="155">
        <f>IFERROR(VLOOKUP(GamesDay1[[#This Row],[Dog D1]]&amp;"-"&amp;U$5,DogInfo!A:B,2,FALSE),0)</f>
        <v>0</v>
      </c>
      <c r="V56" s="220"/>
      <c r="W56" s="221"/>
      <c r="X56" s="155" t="str">
        <f>IF(ISBLANK(GamesDay1[[#This Row],[Time Distance D1]]),"",RANK(GamesDay1[[#This Row],[Time Distance D1]],GamesDay1[Time Distance D1],1))</f>
        <v/>
      </c>
      <c r="Y56" s="220"/>
      <c r="Z56" s="225">
        <f>IF(GamesDay1[[#This Row],[Pass / Fail Distance D1]]="P",IF(GamesDay1[[#This Row],[Prev Qs Distance D1]]="",1,GamesDay1[[#This Row],[Prev Qs Distance D1]]+1),GamesDay1[[#This Row],[Prev Qs Distance D1]])</f>
        <v>0</v>
      </c>
      <c r="AA56" s="155" t="e">
        <f t="shared" si="7"/>
        <v>#N/A</v>
      </c>
      <c r="AB56" s="155">
        <f>IFERROR(VLOOKUP(GamesDay1[[#This Row],[Dog D1]]&amp;"-"&amp;AB$5,DogInfo!A:B,2,FALSE),0)</f>
        <v>0</v>
      </c>
      <c r="AC56" s="220"/>
      <c r="AD56" s="221"/>
      <c r="AE56" s="155" t="str">
        <f>IF(ISBLANK(GamesDay1[[#This Row],[Time Speed D1]]),"",RANK(GamesDay1[[#This Row],[Time Speed D1]],GamesDay1[Time Speed D1],1))</f>
        <v/>
      </c>
      <c r="AF56" s="220"/>
      <c r="AG56" s="225">
        <f>IF(GamesDay1[[#This Row],[Pass / Fail Speed D1]]="P",IF(GamesDay1[[#This Row],[Prev Qs Speed D1]]="",1,GamesDay1[[#This Row],[Prev Qs Speed D1]]+1),GamesDay1[[#This Row],[Prev Qs Speed D1]])</f>
        <v>0</v>
      </c>
      <c r="AH56" s="155" t="e">
        <f t="shared" si="8"/>
        <v>#N/A</v>
      </c>
      <c r="AI56" s="155">
        <f>IFERROR(VLOOKUP(GamesDay1[[#This Row],[Dog D1]]&amp;"-"&amp;AI$5,DogInfo!A:B,2,FALSE),0)</f>
        <v>0</v>
      </c>
      <c r="AJ56" s="220"/>
      <c r="AK56" s="221"/>
      <c r="AL56" s="155" t="str">
        <f>IF(ISBLANK(GamesDay1[[#This Row],[Time Team D1]]),"",RANK(GamesDay1[[#This Row],[Time Team D1]],GamesDay1[Time Team D1],1))</f>
        <v/>
      </c>
      <c r="AM56" s="220"/>
      <c r="AN56" s="225">
        <f>IF(GamesDay1[[#This Row],[Pass / Fail Team D1]]="P",IF(GamesDay1[[#This Row],[Prev Qs Team D1]]="",1,GamesDay1[[#This Row],[Prev Qs Team D1]]+1),GamesDay1[[#This Row],[Prev Qs Team D1]])</f>
        <v>0</v>
      </c>
      <c r="AO5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6" s="167">
        <f>GamesDay1[[#This Row],[Number of Games D1]]*SddaFee</f>
        <v>0</v>
      </c>
      <c r="AS56" s="167">
        <f>(GamesDay1[[#This Row],[Number of Games D1]]+GamesDay1[[#This Row],[Number of FEOs D1]])*JudgesFeeFEOGames</f>
        <v>0</v>
      </c>
    </row>
    <row r="57" spans="1:45" s="6" customFormat="1" ht="24.75" customHeight="1" x14ac:dyDescent="0.25">
      <c r="A57" s="171" t="s">
        <v>3688</v>
      </c>
      <c r="B57" s="155"/>
      <c r="C57" s="155"/>
      <c r="D57" s="155">
        <f>COUNT(GamesDay1[Dog D1])</f>
        <v>0</v>
      </c>
      <c r="N57" s="279"/>
      <c r="O57" s="155">
        <f>COUNTIF(GamesDay1[Pass / Fail Aerial D1],"P")+COUNTIF(GamesDay1[Pass / Fail Aerial D1],"F")+COUNTIF(GamesDay1[Pass / Fail Aerial D1],"E")+COUNTIF(GamesDay1[Pass / Fail Aerial D1],"FEO")</f>
        <v>0</v>
      </c>
      <c r="P57" s="155"/>
      <c r="Q57" s="155"/>
      <c r="R57" s="155"/>
      <c r="S57" s="225"/>
      <c r="T57" s="280"/>
      <c r="U57" s="155"/>
      <c r="V57" s="155">
        <f>COUNTIF(GamesDay1[Pass / Fail Distance D1],"P")+COUNTIF(GamesDay1[Pass / Fail Distance D1],"F")+COUNTIF(GamesDay1[Pass / Fail Distance D1],"E")+COUNTIF(GamesDay1[Pass / Fail Distance D1],"FEO")</f>
        <v>0</v>
      </c>
      <c r="W57" s="155"/>
      <c r="X57" s="155"/>
      <c r="Y57" s="155"/>
      <c r="Z57" s="225"/>
      <c r="AA57" s="155"/>
      <c r="AB57" s="155"/>
      <c r="AC57" s="155">
        <f>COUNTIF(GamesDay1[Pass / Fail Speed D1],"P")+COUNTIF(GamesDay1[Pass / Fail Speed D1],"F")+COUNTIF(GamesDay1[Pass / Fail Speed D1],"E")+COUNTIF(GamesDay1[Pass / Fail Speed D1],"FEO")</f>
        <v>0</v>
      </c>
      <c r="AD57" s="155"/>
      <c r="AE57" s="155"/>
      <c r="AF57" s="155"/>
      <c r="AG57" s="225"/>
      <c r="AH57" s="155"/>
      <c r="AI57" s="155"/>
      <c r="AJ57" s="155">
        <f>(COUNTIF(GamesDay1[Pass / Fail Team D1],"P")+COUNTIF(GamesDay1[Pass / Fail Team D1],"F")+COUNTIF(GamesDay1[Pass / Fail Team D1],"E")+COUNTIF(GamesDay1[Pass / Fail Team D1],"FEO"))*0.5</f>
        <v>0</v>
      </c>
      <c r="AK57" s="155"/>
      <c r="AL57" s="155"/>
      <c r="AM57" s="155"/>
      <c r="AN57" s="225"/>
      <c r="AO57" s="155">
        <f>SUBTOTAL(109,GamesDay1[Number of Games D1])</f>
        <v>0</v>
      </c>
      <c r="AP57" s="224">
        <f>SUBTOTAL(109,GamesDay1[Number of FEOs D1])</f>
        <v>0</v>
      </c>
      <c r="AQ57" s="281">
        <f>SUBTOTAL(109,GamesDay1[Total Entry Fees D1])</f>
        <v>0</v>
      </c>
      <c r="AR57" s="281">
        <f>SUBTOTAL(109,GamesDay1[Total SDDA Fees D1])</f>
        <v>0</v>
      </c>
      <c r="AS57" s="282">
        <f>SUBTOTAL(109,GamesDay1[Total Judges Fees D1])</f>
        <v>0</v>
      </c>
    </row>
    <row r="64" spans="1:45" s="6" customFormat="1" ht="39" customHeight="1" x14ac:dyDescent="0.25">
      <c r="A64" s="171" t="s">
        <v>3689</v>
      </c>
      <c r="B64" s="407" t="s">
        <v>3686</v>
      </c>
      <c r="C64" s="407"/>
      <c r="D64" s="407"/>
      <c r="E64" s="407"/>
      <c r="F64" s="407"/>
      <c r="G64" s="407"/>
      <c r="H64" s="407"/>
      <c r="I64" s="407"/>
      <c r="J64" s="407"/>
      <c r="K64" s="407"/>
      <c r="L64" s="407"/>
      <c r="M64" s="407"/>
      <c r="N64" s="407"/>
      <c r="O64" s="407"/>
      <c r="P64" s="407"/>
      <c r="Q64" s="407"/>
      <c r="R64" s="407"/>
      <c r="S64" s="407"/>
      <c r="T64" s="407"/>
      <c r="U64" s="407"/>
      <c r="V64" s="407"/>
      <c r="W64" s="407"/>
      <c r="X64" s="407"/>
      <c r="Y64" s="407"/>
      <c r="Z64" s="407"/>
      <c r="AA64" s="407"/>
      <c r="AB64" s="407"/>
      <c r="AC64" s="407"/>
      <c r="AD64" s="407"/>
      <c r="AE64" s="407"/>
      <c r="AF64" s="407"/>
      <c r="AG64" s="407"/>
      <c r="AH64" s="407"/>
      <c r="AI64" s="407"/>
      <c r="AJ64" s="407"/>
      <c r="AK64" s="407"/>
      <c r="AL64" s="407"/>
      <c r="AM64" s="407"/>
      <c r="AN64" s="407"/>
      <c r="AO64" s="407"/>
      <c r="AP64" s="407"/>
      <c r="AQ64" s="407"/>
      <c r="AR64" s="407"/>
      <c r="AS64" s="407"/>
    </row>
    <row r="65" spans="1:45" ht="48.75" customHeight="1" x14ac:dyDescent="0.2">
      <c r="A65" s="171" t="s">
        <v>3689</v>
      </c>
      <c r="B65" s="158" t="s">
        <v>3697</v>
      </c>
      <c r="C65" s="159" t="s">
        <v>3705</v>
      </c>
      <c r="D65" s="159" t="s">
        <v>3690</v>
      </c>
      <c r="E65" s="160" t="s">
        <v>3698</v>
      </c>
      <c r="F65" s="160" t="s">
        <v>3699</v>
      </c>
      <c r="G65" s="160" t="s">
        <v>3700</v>
      </c>
      <c r="H65" s="160" t="s">
        <v>3701</v>
      </c>
      <c r="I65" s="207" t="s">
        <v>8700</v>
      </c>
      <c r="J65" s="160" t="s">
        <v>8701</v>
      </c>
      <c r="K65" s="160" t="s">
        <v>8702</v>
      </c>
      <c r="L65" s="160" t="s">
        <v>8703</v>
      </c>
      <c r="M65" s="160" t="s">
        <v>3636</v>
      </c>
      <c r="N65" s="293" t="s">
        <v>3639</v>
      </c>
      <c r="O65" s="294" t="s">
        <v>3640</v>
      </c>
      <c r="P65" s="294" t="s">
        <v>9875</v>
      </c>
      <c r="Q65" s="294" t="s">
        <v>9876</v>
      </c>
      <c r="R65" s="294" t="s">
        <v>3641</v>
      </c>
      <c r="S65" s="295" t="s">
        <v>3642</v>
      </c>
      <c r="T65" s="159" t="s">
        <v>3638</v>
      </c>
      <c r="U65" s="296" t="s">
        <v>3643</v>
      </c>
      <c r="V65" s="297" t="s">
        <v>3644</v>
      </c>
      <c r="W65" s="297" t="s">
        <v>9885</v>
      </c>
      <c r="X65" s="297" t="s">
        <v>9886</v>
      </c>
      <c r="Y65" s="297" t="s">
        <v>3645</v>
      </c>
      <c r="Z65" s="297" t="s">
        <v>3646</v>
      </c>
      <c r="AA65" s="159" t="s">
        <v>3647</v>
      </c>
      <c r="AB65" s="298" t="s">
        <v>3648</v>
      </c>
      <c r="AC65" s="299" t="s">
        <v>3649</v>
      </c>
      <c r="AD65" s="299" t="s">
        <v>9891</v>
      </c>
      <c r="AE65" s="299" t="s">
        <v>9892</v>
      </c>
      <c r="AF65" s="299" t="s">
        <v>3650</v>
      </c>
      <c r="AG65" s="299" t="s">
        <v>3651</v>
      </c>
      <c r="AH65" s="159" t="s">
        <v>3652</v>
      </c>
      <c r="AI65" s="161" t="s">
        <v>3653</v>
      </c>
      <c r="AJ65" s="159" t="s">
        <v>3654</v>
      </c>
      <c r="AK65" s="174" t="s">
        <v>9897</v>
      </c>
      <c r="AL65" s="174" t="s">
        <v>9898</v>
      </c>
      <c r="AM65" s="159" t="s">
        <v>3655</v>
      </c>
      <c r="AN65" s="226" t="s">
        <v>3656</v>
      </c>
      <c r="AO65" s="162" t="s">
        <v>3657</v>
      </c>
      <c r="AP65" s="163" t="s">
        <v>3658</v>
      </c>
      <c r="AQ65" s="162" t="s">
        <v>3659</v>
      </c>
      <c r="AR65" s="166" t="s">
        <v>3714</v>
      </c>
      <c r="AS65" s="164" t="s">
        <v>3660</v>
      </c>
    </row>
    <row r="66" spans="1:45" ht="24.75" customHeight="1" x14ac:dyDescent="0.2">
      <c r="A66" s="171" t="s">
        <v>3689</v>
      </c>
      <c r="B66" s="155">
        <v>51</v>
      </c>
      <c r="C6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6" s="218"/>
      <c r="E66" s="219" t="str">
        <f>IFERROR(VLOOKUP(GamesDay2[[#This Row],[Dog D2]],'SDDA Dogs'!A:B,2,FALSE),"")</f>
        <v/>
      </c>
      <c r="F66" s="219" t="str">
        <f>IFERROR(VLOOKUP(GamesDay2[[#This Row],[Dog D2]],'SDDA Dogs'!A:C,3,FALSE),"")</f>
        <v/>
      </c>
      <c r="G66" s="219" t="str">
        <f>IFERROR(VLOOKUP(GamesDay2[[#This Row],[Dog D2]],'SDDA Dogs'!A:F,6,FALSE),"")</f>
        <v/>
      </c>
      <c r="H66" s="168"/>
      <c r="I66" s="155">
        <f>GamesDay2[[#This Row],[Total Qs Aerial D2]]</f>
        <v>0</v>
      </c>
      <c r="J66" s="155">
        <f>GamesDay2[[#This Row],[Total Qs Distance D2]]</f>
        <v>0</v>
      </c>
      <c r="K66" s="155">
        <f>GamesDay2[[#This Row],[Total Qs Speed D2]]</f>
        <v>0</v>
      </c>
      <c r="L66" s="155">
        <f>GamesDay2[[#This Row],[Total Qs Team D2]]</f>
        <v>0</v>
      </c>
      <c r="M66" s="219" t="e">
        <f t="shared" ref="M66:M97" si="9">VLOOKUP(JudgeD2GamesAerial,JudgesList,2,FALSE)</f>
        <v>#N/A</v>
      </c>
      <c r="N66" s="293">
        <f>IFERROR(VLOOKUP(GamesDay2[[#This Row],[Dog D2]],GamesDay1[[Dog D1]:[Total Qs Aerial D1]],16,FALSE),IFERROR(VLOOKUP(GamesDay2[[#This Row],[Dog D2]]&amp;"-"&amp;N$5,DogInfo!A:B,2,FALSE),0))</f>
        <v>0</v>
      </c>
      <c r="O66" s="301"/>
      <c r="P66" s="301"/>
      <c r="Q66" s="294" t="str">
        <f>IF(ISBLANK(GamesDay2[[#This Row],[Time Aerial D2]]),"",RANK(GamesDay2[[#This Row],[Time Aerial D2]],GamesDay2[Time Aerial D2],1))</f>
        <v/>
      </c>
      <c r="R66" s="301"/>
      <c r="S66" s="300">
        <f>IF(GamesDay2[[#This Row],[Pass / Fail Aerial D2]]="P",IF(GamesDay2[[#This Row],[Prev Qs Aerial D2]]="",1,GamesDay2[[#This Row],[Prev Qs Aerial D2]]+1),GamesDay2[[#This Row],[Prev Qs Aerial D2]])</f>
        <v>0</v>
      </c>
      <c r="T66" s="155" t="e">
        <f t="shared" ref="T66:T97" si="10">VLOOKUP(JudgeD2GamesDistance,JudgesList,2,FALSE)</f>
        <v>#N/A</v>
      </c>
      <c r="U66" s="296">
        <f>IFERROR(VLOOKUP(GamesDay2[[#This Row],[Dog D2]],GamesDay1[[Dog D1]:[Total Qs Distance D1]],23,FALSE),IFERROR(VLOOKUP(GamesDay2[[#This Row],[Dog D2]]&amp;"-"&amp;U$5,DogInfo!A:B,2,FALSE),0))</f>
        <v>0</v>
      </c>
      <c r="V66" s="303"/>
      <c r="W66" s="303"/>
      <c r="X66" s="297" t="str">
        <f>IF(ISBLANK(GamesDay2[[#This Row],[Time Distance D2]]),"",RANK(GamesDay2[[#This Row],[Time Distance D2]],GamesDay2[Time Distance D2],1))</f>
        <v/>
      </c>
      <c r="Y66" s="303"/>
      <c r="Z66" s="297">
        <f>IF(GamesDay2[[#This Row],[Pass / Fail Distance D2]]="P",IF(GamesDay2[[#This Row],[Prev Qs Distance D2]]="",1,GamesDay2[[#This Row],[Prev Qs Distance D2]]+1),GamesDay2[[#This Row],[Prev Qs Distance D2]])</f>
        <v>0</v>
      </c>
      <c r="AA66" s="155" t="e">
        <f t="shared" ref="AA66:AA97" si="11">VLOOKUP(JudgeD2GamesSpeed,JudgesList,2,FALSE)</f>
        <v>#N/A</v>
      </c>
      <c r="AB66" s="298">
        <f>IFERROR(VLOOKUP(GamesDay2[[#This Row],[Dog D2]],GamesDay1[[Dog D1]:[Total Qs Speed D1]],30,FALSE),IFERROR(VLOOKUP(GamesDay2[[#This Row],[Dog D2]]&amp;"-"&amp;AB$5,DogInfo!A:B,2,FALSE),0))</f>
        <v>0</v>
      </c>
      <c r="AC66" s="304"/>
      <c r="AD66" s="304"/>
      <c r="AE66" s="299"/>
      <c r="AF66" s="304"/>
      <c r="AG66" s="299">
        <f>IF(GamesDay2[[#This Row],[Pass / Fail Speed D2]]="P",IF(GamesDay2[[#This Row],[Prev Qs Speed D2]]="",1,GamesDay2[[#This Row],[Prev Qs Speed D2]]+1),GamesDay2[[#This Row],[Prev Qs Speed D2]])</f>
        <v>0</v>
      </c>
      <c r="AH66" s="155" t="e">
        <f t="shared" ref="AH66:AH97" si="12">VLOOKUP(JudgeD2GamesTeam,JudgesList,2,FALSE)</f>
        <v>#N/A</v>
      </c>
      <c r="AI66" s="155">
        <f>IFERROR(VLOOKUP(GamesDay2[[#This Row],[Dog D2]],GamesDay1[[Dog D1]:[Total Qs Team D1]],37,FALSE),IFERROR(VLOOKUP(GamesDay2[[#This Row],[Dog D2]]&amp;"-"&amp;AI$5,DogInfo!A:B,2,FALSE),0))</f>
        <v>0</v>
      </c>
      <c r="AJ66" s="220"/>
      <c r="AK66" s="221"/>
      <c r="AL66" s="155" t="str">
        <f>IF(ISBLANK(GamesDay2[[#This Row],[Time Team D2]]),"",RANK(GamesDay2[[#This Row],[Time Team D2]],GamesDay2[Time Team D2],1))</f>
        <v/>
      </c>
      <c r="AM66" s="220"/>
      <c r="AN66" s="225">
        <f>IF(GamesDay2[[#This Row],[Pass / Fail Team D2]]="P",IF(GamesDay2[[#This Row],[Prev Qs Team D2]]="",1,GamesDay2[[#This Row],[Prev Qs Team D2]]+1),GamesDay2[[#This Row],[Prev Qs Team D2]])</f>
        <v>0</v>
      </c>
      <c r="AO6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6" s="167">
        <f>GamesDay2[[#This Row],[Number of Games D2]]*SddaFee</f>
        <v>0</v>
      </c>
      <c r="AS66" s="167">
        <f>(GamesDay2[[#This Row],[Number of Games D2]]+GamesDay2[[#This Row],[Number of FEOs D2]])*JudgesFeeFEOGames</f>
        <v>0</v>
      </c>
    </row>
    <row r="67" spans="1:45" ht="24.75" customHeight="1" x14ac:dyDescent="0.2">
      <c r="A67" s="171" t="s">
        <v>3689</v>
      </c>
      <c r="B67" s="155">
        <v>52</v>
      </c>
      <c r="C6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7" s="220"/>
      <c r="E67" s="219" t="str">
        <f>IFERROR(VLOOKUP(GamesDay2[[#This Row],[Dog D2]],'SDDA Dogs'!A:B,2,FALSE),"")</f>
        <v/>
      </c>
      <c r="F67" s="219" t="str">
        <f>IFERROR(VLOOKUP(GamesDay2[[#This Row],[Dog D2]],'SDDA Dogs'!A:C,3,FALSE),"")</f>
        <v/>
      </c>
      <c r="G67" s="219" t="str">
        <f>IFERROR(VLOOKUP(GamesDay2[[#This Row],[Dog D2]],'SDDA Dogs'!A:F,6,FALSE),"")</f>
        <v/>
      </c>
      <c r="H67" s="219"/>
      <c r="I67" s="155">
        <f>GamesDay2[[#This Row],[Total Qs Aerial D2]]</f>
        <v>0</v>
      </c>
      <c r="J67" s="155">
        <f>GamesDay2[[#This Row],[Total Qs Distance D2]]</f>
        <v>0</v>
      </c>
      <c r="K67" s="155">
        <f>GamesDay2[[#This Row],[Total Qs Speed D2]]</f>
        <v>0</v>
      </c>
      <c r="L67" s="155">
        <f>GamesDay2[[#This Row],[Total Qs Team D2]]</f>
        <v>0</v>
      </c>
      <c r="M67" s="219" t="e">
        <f t="shared" si="9"/>
        <v>#N/A</v>
      </c>
      <c r="N67" s="155">
        <f>IFERROR(VLOOKUP(GamesDay2[[#This Row],[Dog D2]],GamesDay1[[Dog D1]:[Total Qs Aerial D1]],16,FALSE),IFERROR(VLOOKUP(GamesDay2[[#This Row],[Dog D2]]&amp;"-"&amp;N$5,DogInfo!A:B,2,FALSE),0))</f>
        <v>0</v>
      </c>
      <c r="O67" s="220"/>
      <c r="P67" s="221"/>
      <c r="Q67" s="155" t="str">
        <f>IF(ISBLANK(GamesDay2[[#This Row],[Time Aerial D2]]),"",RANK(GamesDay2[[#This Row],[Time Aerial D2]],GamesDay2[Time Aerial D2],1))</f>
        <v/>
      </c>
      <c r="R67" s="220"/>
      <c r="S67" s="225">
        <f>IF(GamesDay2[[#This Row],[Pass / Fail Aerial D2]]="P",IF(GamesDay2[[#This Row],[Prev Qs Aerial D2]]="",1,GamesDay2[[#This Row],[Prev Qs Aerial D2]]+1),GamesDay2[[#This Row],[Prev Qs Aerial D2]])</f>
        <v>0</v>
      </c>
      <c r="T67" s="155" t="e">
        <f t="shared" si="10"/>
        <v>#N/A</v>
      </c>
      <c r="U67" s="155">
        <f>IFERROR(VLOOKUP(GamesDay2[[#This Row],[Dog D2]],GamesDay1[[Dog D1]:[Total Qs Distance D1]],23,FALSE),IFERROR(VLOOKUP(GamesDay2[[#This Row],[Dog D2]]&amp;"-"&amp;U$5,DogInfo!A:B,2,FALSE),0))</f>
        <v>0</v>
      </c>
      <c r="V67" s="220"/>
      <c r="W67" s="221"/>
      <c r="X67" s="155" t="str">
        <f>IF(ISBLANK(GamesDay2[[#This Row],[Time Distance D2]]),"",RANK(GamesDay2[[#This Row],[Time Distance D2]],GamesDay2[Time Distance D2],1))</f>
        <v/>
      </c>
      <c r="Y67" s="220"/>
      <c r="Z67" s="225">
        <f>IF(GamesDay2[[#This Row],[Pass / Fail Distance D2]]="P",IF(GamesDay2[[#This Row],[Prev Qs Distance D2]]="",1,GamesDay2[[#This Row],[Prev Qs Distance D2]]+1),GamesDay2[[#This Row],[Prev Qs Distance D2]])</f>
        <v>0</v>
      </c>
      <c r="AA67" s="155" t="e">
        <f t="shared" si="11"/>
        <v>#N/A</v>
      </c>
      <c r="AB67" s="155">
        <f>IFERROR(VLOOKUP(GamesDay2[[#This Row],[Dog D2]],GamesDay1[[Dog D1]:[Total Qs Speed D1]],30,FALSE),IFERROR(VLOOKUP(GamesDay2[[#This Row],[Dog D2]]&amp;"-"&amp;AB$5,DogInfo!A:B,2,FALSE),0))</f>
        <v>0</v>
      </c>
      <c r="AC67" s="220"/>
      <c r="AD67" s="221"/>
      <c r="AE67" s="155"/>
      <c r="AF67" s="220"/>
      <c r="AG67" s="225">
        <f>IF(GamesDay2[[#This Row],[Pass / Fail Speed D2]]="P",IF(GamesDay2[[#This Row],[Prev Qs Speed D2]]="",1,GamesDay2[[#This Row],[Prev Qs Speed D2]]+1),GamesDay2[[#This Row],[Prev Qs Speed D2]])</f>
        <v>0</v>
      </c>
      <c r="AH67" s="155" t="e">
        <f t="shared" si="12"/>
        <v>#N/A</v>
      </c>
      <c r="AI67" s="155">
        <f>IFERROR(VLOOKUP(GamesDay2[[#This Row],[Dog D2]],GamesDay1[[Dog D1]:[Total Qs Team D1]],37,FALSE),IFERROR(VLOOKUP(GamesDay2[[#This Row],[Dog D2]]&amp;"-"&amp;AI$5,DogInfo!A:B,2,FALSE),0))</f>
        <v>0</v>
      </c>
      <c r="AJ67" s="220"/>
      <c r="AK67" s="221"/>
      <c r="AL67" s="155" t="str">
        <f>IF(ISBLANK(GamesDay2[[#This Row],[Time Team D2]]),"",RANK(GamesDay2[[#This Row],[Time Team D2]],GamesDay2[Time Team D2],1))</f>
        <v/>
      </c>
      <c r="AM67" s="220"/>
      <c r="AN67" s="225">
        <f>IF(GamesDay2[[#This Row],[Pass / Fail Team D2]]="P",IF(GamesDay2[[#This Row],[Prev Qs Team D2]]="",1,GamesDay2[[#This Row],[Prev Qs Team D2]]+1),GamesDay2[[#This Row],[Prev Qs Team D2]])</f>
        <v>0</v>
      </c>
      <c r="AO6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7" s="167">
        <f>GamesDay2[[#This Row],[Number of Games D2]]*SddaFee</f>
        <v>0</v>
      </c>
      <c r="AS67" s="167">
        <f>(GamesDay2[[#This Row],[Number of Games D2]]+GamesDay2[[#This Row],[Number of FEOs D2]])*JudgesFeeFEOGames</f>
        <v>0</v>
      </c>
    </row>
    <row r="68" spans="1:45" ht="24.75" customHeight="1" x14ac:dyDescent="0.2">
      <c r="A68" s="171" t="s">
        <v>3689</v>
      </c>
      <c r="B68" s="155">
        <v>53</v>
      </c>
      <c r="C6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8" s="220"/>
      <c r="E68" s="219" t="str">
        <f>IFERROR(VLOOKUP(GamesDay2[[#This Row],[Dog D2]],'SDDA Dogs'!A:B,2,FALSE),"")</f>
        <v/>
      </c>
      <c r="F68" s="219" t="str">
        <f>IFERROR(VLOOKUP(GamesDay2[[#This Row],[Dog D2]],'SDDA Dogs'!A:C,3,FALSE),"")</f>
        <v/>
      </c>
      <c r="G68" s="219" t="str">
        <f>IFERROR(VLOOKUP(GamesDay2[[#This Row],[Dog D2]],'SDDA Dogs'!A:F,6,FALSE),"")</f>
        <v/>
      </c>
      <c r="H68" s="219"/>
      <c r="I68" s="155">
        <f>GamesDay2[[#This Row],[Total Qs Aerial D2]]</f>
        <v>0</v>
      </c>
      <c r="J68" s="155">
        <f>GamesDay2[[#This Row],[Total Qs Distance D2]]</f>
        <v>0</v>
      </c>
      <c r="K68" s="155">
        <f>GamesDay2[[#This Row],[Total Qs Speed D2]]</f>
        <v>0</v>
      </c>
      <c r="L68" s="155">
        <f>GamesDay2[[#This Row],[Total Qs Team D2]]</f>
        <v>0</v>
      </c>
      <c r="M68" s="219" t="e">
        <f t="shared" si="9"/>
        <v>#N/A</v>
      </c>
      <c r="N68" s="293">
        <f>IFERROR(VLOOKUP(GamesDay2[[#This Row],[Dog D2]],GamesDay1[[Dog D1]:[Total Qs Aerial D1]],16,FALSE),IFERROR(VLOOKUP(GamesDay2[[#This Row],[Dog D2]]&amp;"-"&amp;N$5,DogInfo!A:B,2,FALSE),0))</f>
        <v>0</v>
      </c>
      <c r="O68" s="301"/>
      <c r="P68" s="301"/>
      <c r="Q68" s="294" t="str">
        <f>IF(ISBLANK(GamesDay2[[#This Row],[Time Aerial D2]]),"",RANK(GamesDay2[[#This Row],[Time Aerial D2]],GamesDay2[Time Aerial D2],1))</f>
        <v/>
      </c>
      <c r="R68" s="301"/>
      <c r="S68" s="300">
        <f>IF(GamesDay2[[#This Row],[Pass / Fail Aerial D2]]="P",IF(GamesDay2[[#This Row],[Prev Qs Aerial D2]]="",1,GamesDay2[[#This Row],[Prev Qs Aerial D2]]+1),GamesDay2[[#This Row],[Prev Qs Aerial D2]])</f>
        <v>0</v>
      </c>
      <c r="T68" s="155" t="e">
        <f t="shared" si="10"/>
        <v>#N/A</v>
      </c>
      <c r="U68" s="296">
        <f>IFERROR(VLOOKUP(GamesDay2[[#This Row],[Dog D2]],GamesDay1[[Dog D1]:[Total Qs Distance D1]],23,FALSE),IFERROR(VLOOKUP(GamesDay2[[#This Row],[Dog D2]]&amp;"-"&amp;U$5,DogInfo!A:B,2,FALSE),0))</f>
        <v>0</v>
      </c>
      <c r="V68" s="303"/>
      <c r="W68" s="303"/>
      <c r="X68" s="297" t="str">
        <f>IF(ISBLANK(GamesDay2[[#This Row],[Time Distance D2]]),"",RANK(GamesDay2[[#This Row],[Time Distance D2]],GamesDay2[Time Distance D2],1))</f>
        <v/>
      </c>
      <c r="Y68" s="303"/>
      <c r="Z68" s="297">
        <f>IF(GamesDay2[[#This Row],[Pass / Fail Distance D2]]="P",IF(GamesDay2[[#This Row],[Prev Qs Distance D2]]="",1,GamesDay2[[#This Row],[Prev Qs Distance D2]]+1),GamesDay2[[#This Row],[Prev Qs Distance D2]])</f>
        <v>0</v>
      </c>
      <c r="AA68" s="155" t="e">
        <f t="shared" si="11"/>
        <v>#N/A</v>
      </c>
      <c r="AB68" s="298">
        <f>IFERROR(VLOOKUP(GamesDay2[[#This Row],[Dog D2]],GamesDay1[[Dog D1]:[Total Qs Speed D1]],30,FALSE),IFERROR(VLOOKUP(GamesDay2[[#This Row],[Dog D2]]&amp;"-"&amp;AB$5,DogInfo!A:B,2,FALSE),0))</f>
        <v>0</v>
      </c>
      <c r="AC68" s="304"/>
      <c r="AD68" s="304"/>
      <c r="AE68" s="299"/>
      <c r="AF68" s="304"/>
      <c r="AG68" s="299">
        <f>IF(GamesDay2[[#This Row],[Pass / Fail Speed D2]]="P",IF(GamesDay2[[#This Row],[Prev Qs Speed D2]]="",1,GamesDay2[[#This Row],[Prev Qs Speed D2]]+1),GamesDay2[[#This Row],[Prev Qs Speed D2]])</f>
        <v>0</v>
      </c>
      <c r="AH68" s="155" t="e">
        <f t="shared" si="12"/>
        <v>#N/A</v>
      </c>
      <c r="AI68" s="155">
        <f>IFERROR(VLOOKUP(GamesDay2[[#This Row],[Dog D2]],GamesDay1[[Dog D1]:[Total Qs Team D1]],37,FALSE),IFERROR(VLOOKUP(GamesDay2[[#This Row],[Dog D2]]&amp;"-"&amp;AI$5,DogInfo!A:B,2,FALSE),0))</f>
        <v>0</v>
      </c>
      <c r="AJ68" s="220"/>
      <c r="AK68" s="221"/>
      <c r="AL68" s="155" t="str">
        <f>IF(ISBLANK(GamesDay2[[#This Row],[Time Team D2]]),"",RANK(GamesDay2[[#This Row],[Time Team D2]],GamesDay2[Time Team D2],1))</f>
        <v/>
      </c>
      <c r="AM68" s="220"/>
      <c r="AN68" s="225">
        <f>IF(GamesDay2[[#This Row],[Pass / Fail Team D2]]="P",IF(GamesDay2[[#This Row],[Prev Qs Team D2]]="",1,GamesDay2[[#This Row],[Prev Qs Team D2]]+1),GamesDay2[[#This Row],[Prev Qs Team D2]])</f>
        <v>0</v>
      </c>
      <c r="AO6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8" s="167">
        <f>GamesDay2[[#This Row],[Number of Games D2]]*SddaFee</f>
        <v>0</v>
      </c>
      <c r="AS68" s="167">
        <f>(GamesDay2[[#This Row],[Number of Games D2]]+GamesDay2[[#This Row],[Number of FEOs D2]])*JudgesFeeFEOGames</f>
        <v>0</v>
      </c>
    </row>
    <row r="69" spans="1:45" ht="24.75" customHeight="1" x14ac:dyDescent="0.2">
      <c r="A69" s="171" t="s">
        <v>3689</v>
      </c>
      <c r="B69" s="155">
        <v>54</v>
      </c>
      <c r="C6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9" s="220"/>
      <c r="E69" s="219" t="str">
        <f>IFERROR(VLOOKUP(GamesDay2[[#This Row],[Dog D2]],'SDDA Dogs'!A:B,2,FALSE),"")</f>
        <v/>
      </c>
      <c r="F69" s="219" t="str">
        <f>IFERROR(VLOOKUP(GamesDay2[[#This Row],[Dog D2]],'SDDA Dogs'!A:C,3,FALSE),"")</f>
        <v/>
      </c>
      <c r="G69" s="219" t="str">
        <f>IFERROR(VLOOKUP(GamesDay2[[#This Row],[Dog D2]],'SDDA Dogs'!A:F,6,FALSE),"")</f>
        <v/>
      </c>
      <c r="H69" s="219"/>
      <c r="I69" s="155">
        <f>GamesDay2[[#This Row],[Total Qs Aerial D2]]</f>
        <v>0</v>
      </c>
      <c r="J69" s="155">
        <f>GamesDay2[[#This Row],[Total Qs Distance D2]]</f>
        <v>0</v>
      </c>
      <c r="K69" s="155">
        <f>GamesDay2[[#This Row],[Total Qs Speed D2]]</f>
        <v>0</v>
      </c>
      <c r="L69" s="155">
        <f>GamesDay2[[#This Row],[Total Qs Team D2]]</f>
        <v>0</v>
      </c>
      <c r="M69" s="219" t="e">
        <f t="shared" si="9"/>
        <v>#N/A</v>
      </c>
      <c r="N69" s="155">
        <f>IFERROR(VLOOKUP(GamesDay2[[#This Row],[Dog D2]],GamesDay1[[Dog D1]:[Total Qs Aerial D1]],16,FALSE),IFERROR(VLOOKUP(GamesDay2[[#This Row],[Dog D2]]&amp;"-"&amp;N$5,DogInfo!A:B,2,FALSE),0))</f>
        <v>0</v>
      </c>
      <c r="O69" s="220"/>
      <c r="P69" s="221"/>
      <c r="Q69" s="155" t="str">
        <f>IF(ISBLANK(GamesDay2[[#This Row],[Time Aerial D2]]),"",RANK(GamesDay2[[#This Row],[Time Aerial D2]],GamesDay2[Time Aerial D2],1))</f>
        <v/>
      </c>
      <c r="R69" s="220"/>
      <c r="S69" s="225">
        <f>IF(GamesDay2[[#This Row],[Pass / Fail Aerial D2]]="P",IF(GamesDay2[[#This Row],[Prev Qs Aerial D2]]="",1,GamesDay2[[#This Row],[Prev Qs Aerial D2]]+1),GamesDay2[[#This Row],[Prev Qs Aerial D2]])</f>
        <v>0</v>
      </c>
      <c r="T69" s="155" t="e">
        <f t="shared" si="10"/>
        <v>#N/A</v>
      </c>
      <c r="U69" s="155">
        <f>IFERROR(VLOOKUP(GamesDay2[[#This Row],[Dog D2]],GamesDay1[[Dog D1]:[Total Qs Distance D1]],23,FALSE),IFERROR(VLOOKUP(GamesDay2[[#This Row],[Dog D2]]&amp;"-"&amp;U$5,DogInfo!A:B,2,FALSE),0))</f>
        <v>0</v>
      </c>
      <c r="V69" s="220"/>
      <c r="W69" s="221"/>
      <c r="X69" s="155" t="str">
        <f>IF(ISBLANK(GamesDay2[[#This Row],[Time Distance D2]]),"",RANK(GamesDay2[[#This Row],[Time Distance D2]],GamesDay2[Time Distance D2],1))</f>
        <v/>
      </c>
      <c r="Y69" s="220"/>
      <c r="Z69" s="225">
        <f>IF(GamesDay2[[#This Row],[Pass / Fail Distance D2]]="P",IF(GamesDay2[[#This Row],[Prev Qs Distance D2]]="",1,GamesDay2[[#This Row],[Prev Qs Distance D2]]+1),GamesDay2[[#This Row],[Prev Qs Distance D2]])</f>
        <v>0</v>
      </c>
      <c r="AA69" s="155" t="e">
        <f t="shared" si="11"/>
        <v>#N/A</v>
      </c>
      <c r="AB69" s="155">
        <f>IFERROR(VLOOKUP(GamesDay2[[#This Row],[Dog D2]],GamesDay1[[Dog D1]:[Total Qs Speed D1]],30,FALSE),IFERROR(VLOOKUP(GamesDay2[[#This Row],[Dog D2]]&amp;"-"&amp;AB$5,DogInfo!A:B,2,FALSE),0))</f>
        <v>0</v>
      </c>
      <c r="AC69" s="220"/>
      <c r="AD69" s="221"/>
      <c r="AE69" s="155"/>
      <c r="AF69" s="220"/>
      <c r="AG69" s="225">
        <f>IF(GamesDay2[[#This Row],[Pass / Fail Speed D2]]="P",IF(GamesDay2[[#This Row],[Prev Qs Speed D2]]="",1,GamesDay2[[#This Row],[Prev Qs Speed D2]]+1),GamesDay2[[#This Row],[Prev Qs Speed D2]])</f>
        <v>0</v>
      </c>
      <c r="AH69" s="155" t="e">
        <f t="shared" si="12"/>
        <v>#N/A</v>
      </c>
      <c r="AI69" s="155">
        <f>IFERROR(VLOOKUP(GamesDay2[[#This Row],[Dog D2]],GamesDay1[[Dog D1]:[Total Qs Team D1]],37,FALSE),IFERROR(VLOOKUP(GamesDay2[[#This Row],[Dog D2]]&amp;"-"&amp;AI$5,DogInfo!A:B,2,FALSE),0))</f>
        <v>0</v>
      </c>
      <c r="AJ69" s="220"/>
      <c r="AK69" s="221"/>
      <c r="AL69" s="155" t="str">
        <f>IF(ISBLANK(GamesDay2[[#This Row],[Time Team D2]]),"",RANK(GamesDay2[[#This Row],[Time Team D2]],GamesDay2[Time Team D2],1))</f>
        <v/>
      </c>
      <c r="AM69" s="220"/>
      <c r="AN69" s="225">
        <f>IF(GamesDay2[[#This Row],[Pass / Fail Team D2]]="P",IF(GamesDay2[[#This Row],[Prev Qs Team D2]]="",1,GamesDay2[[#This Row],[Prev Qs Team D2]]+1),GamesDay2[[#This Row],[Prev Qs Team D2]])</f>
        <v>0</v>
      </c>
      <c r="AO6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9" s="167">
        <f>GamesDay2[[#This Row],[Number of Games D2]]*SddaFee</f>
        <v>0</v>
      </c>
      <c r="AS69" s="167">
        <f>(GamesDay2[[#This Row],[Number of Games D2]]+GamesDay2[[#This Row],[Number of FEOs D2]])*JudgesFeeFEOGames</f>
        <v>0</v>
      </c>
    </row>
    <row r="70" spans="1:45" ht="24.75" customHeight="1" x14ac:dyDescent="0.2">
      <c r="A70" s="171" t="s">
        <v>3689</v>
      </c>
      <c r="B70" s="155">
        <v>55</v>
      </c>
      <c r="C7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0" s="220"/>
      <c r="E70" s="219" t="str">
        <f>IFERROR(VLOOKUP(GamesDay2[[#This Row],[Dog D2]],'SDDA Dogs'!A:B,2,FALSE),"")</f>
        <v/>
      </c>
      <c r="F70" s="219" t="str">
        <f>IFERROR(VLOOKUP(GamesDay2[[#This Row],[Dog D2]],'SDDA Dogs'!A:C,3,FALSE),"")</f>
        <v/>
      </c>
      <c r="G70" s="219" t="str">
        <f>IFERROR(VLOOKUP(GamesDay2[[#This Row],[Dog D2]],'SDDA Dogs'!A:F,6,FALSE),"")</f>
        <v/>
      </c>
      <c r="H70" s="219"/>
      <c r="I70" s="155">
        <f>GamesDay2[[#This Row],[Total Qs Aerial D2]]</f>
        <v>0</v>
      </c>
      <c r="J70" s="155">
        <f>GamesDay2[[#This Row],[Total Qs Distance D2]]</f>
        <v>0</v>
      </c>
      <c r="K70" s="155">
        <f>GamesDay2[[#This Row],[Total Qs Speed D2]]</f>
        <v>0</v>
      </c>
      <c r="L70" s="155">
        <f>GamesDay2[[#This Row],[Total Qs Team D2]]</f>
        <v>0</v>
      </c>
      <c r="M70" s="219" t="e">
        <f t="shared" si="9"/>
        <v>#N/A</v>
      </c>
      <c r="N70" s="293">
        <f>IFERROR(VLOOKUP(GamesDay2[[#This Row],[Dog D2]],GamesDay1[[Dog D1]:[Total Qs Aerial D1]],16,FALSE),IFERROR(VLOOKUP(GamesDay2[[#This Row],[Dog D2]]&amp;"-"&amp;N$5,DogInfo!A:B,2,FALSE),0))</f>
        <v>0</v>
      </c>
      <c r="O70" s="301"/>
      <c r="P70" s="301"/>
      <c r="Q70" s="294" t="str">
        <f>IF(ISBLANK(GamesDay2[[#This Row],[Time Aerial D2]]),"",RANK(GamesDay2[[#This Row],[Time Aerial D2]],GamesDay2[Time Aerial D2],1))</f>
        <v/>
      </c>
      <c r="R70" s="301"/>
      <c r="S70" s="300">
        <f>IF(GamesDay2[[#This Row],[Pass / Fail Aerial D2]]="P",IF(GamesDay2[[#This Row],[Prev Qs Aerial D2]]="",1,GamesDay2[[#This Row],[Prev Qs Aerial D2]]+1),GamesDay2[[#This Row],[Prev Qs Aerial D2]])</f>
        <v>0</v>
      </c>
      <c r="T70" s="155" t="e">
        <f t="shared" si="10"/>
        <v>#N/A</v>
      </c>
      <c r="U70" s="296">
        <f>IFERROR(VLOOKUP(GamesDay2[[#This Row],[Dog D2]],GamesDay1[[Dog D1]:[Total Qs Distance D1]],23,FALSE),IFERROR(VLOOKUP(GamesDay2[[#This Row],[Dog D2]]&amp;"-"&amp;U$5,DogInfo!A:B,2,FALSE),0))</f>
        <v>0</v>
      </c>
      <c r="V70" s="303"/>
      <c r="W70" s="303"/>
      <c r="X70" s="297" t="str">
        <f>IF(ISBLANK(GamesDay2[[#This Row],[Time Distance D2]]),"",RANK(GamesDay2[[#This Row],[Time Distance D2]],GamesDay2[Time Distance D2],1))</f>
        <v/>
      </c>
      <c r="Y70" s="303"/>
      <c r="Z70" s="297">
        <f>IF(GamesDay2[[#This Row],[Pass / Fail Distance D2]]="P",IF(GamesDay2[[#This Row],[Prev Qs Distance D2]]="",1,GamesDay2[[#This Row],[Prev Qs Distance D2]]+1),GamesDay2[[#This Row],[Prev Qs Distance D2]])</f>
        <v>0</v>
      </c>
      <c r="AA70" s="155" t="e">
        <f t="shared" si="11"/>
        <v>#N/A</v>
      </c>
      <c r="AB70" s="298">
        <f>IFERROR(VLOOKUP(GamesDay2[[#This Row],[Dog D2]],GamesDay1[[Dog D1]:[Total Qs Speed D1]],30,FALSE),IFERROR(VLOOKUP(GamesDay2[[#This Row],[Dog D2]]&amp;"-"&amp;AB$5,DogInfo!A:B,2,FALSE),0))</f>
        <v>0</v>
      </c>
      <c r="AC70" s="304"/>
      <c r="AD70" s="304"/>
      <c r="AE70" s="299" t="str">
        <f>IF(ISBLANK(GamesDay2[[#This Row],[Time Speed D2]]),"",RANK(GamesDay2[[#This Row],[Time Speed D2]],GamesDay2[Time Speed D2],1))</f>
        <v/>
      </c>
      <c r="AF70" s="304"/>
      <c r="AG70" s="299">
        <f>IF(GamesDay2[[#This Row],[Pass / Fail Speed D2]]="P",IF(GamesDay2[[#This Row],[Prev Qs Speed D2]]="",1,GamesDay2[[#This Row],[Prev Qs Speed D2]]+1),GamesDay2[[#This Row],[Prev Qs Speed D2]])</f>
        <v>0</v>
      </c>
      <c r="AH70" s="155" t="e">
        <f t="shared" si="12"/>
        <v>#N/A</v>
      </c>
      <c r="AI70" s="155">
        <f>IFERROR(VLOOKUP(GamesDay2[[#This Row],[Dog D2]],GamesDay1[[Dog D1]:[Total Qs Team D1]],37,FALSE),IFERROR(VLOOKUP(GamesDay2[[#This Row],[Dog D2]]&amp;"-"&amp;AI$5,DogInfo!A:B,2,FALSE),0))</f>
        <v>0</v>
      </c>
      <c r="AJ70" s="220"/>
      <c r="AK70" s="221"/>
      <c r="AL70" s="155" t="str">
        <f>IF(ISBLANK(GamesDay2[[#This Row],[Time Team D2]]),"",RANK(GamesDay2[[#This Row],[Time Team D2]],GamesDay2[Time Team D2],1))</f>
        <v/>
      </c>
      <c r="AM70" s="220"/>
      <c r="AN70" s="225">
        <f>IF(GamesDay2[[#This Row],[Pass / Fail Team D2]]="P",IF(GamesDay2[[#This Row],[Prev Qs Team D2]]="",1,GamesDay2[[#This Row],[Prev Qs Team D2]]+1),GamesDay2[[#This Row],[Prev Qs Team D2]])</f>
        <v>0</v>
      </c>
      <c r="AO7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0" s="167">
        <f>GamesDay2[[#This Row],[Number of Games D2]]*SddaFee</f>
        <v>0</v>
      </c>
      <c r="AS70" s="167">
        <f>(GamesDay2[[#This Row],[Number of Games D2]]+GamesDay2[[#This Row],[Number of FEOs D2]])*JudgesFeeFEOGames</f>
        <v>0</v>
      </c>
    </row>
    <row r="71" spans="1:45" ht="24.75" customHeight="1" x14ac:dyDescent="0.2">
      <c r="A71" s="171" t="s">
        <v>3689</v>
      </c>
      <c r="B71" s="155">
        <v>56</v>
      </c>
      <c r="C7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1" s="220"/>
      <c r="E71" s="219" t="str">
        <f>IFERROR(VLOOKUP(GamesDay2[[#This Row],[Dog D2]],'SDDA Dogs'!A:B,2,FALSE),"")</f>
        <v/>
      </c>
      <c r="F71" s="219" t="str">
        <f>IFERROR(VLOOKUP(GamesDay2[[#This Row],[Dog D2]],'SDDA Dogs'!A:C,3,FALSE),"")</f>
        <v/>
      </c>
      <c r="G71" s="219" t="str">
        <f>IFERROR(VLOOKUP(GamesDay2[[#This Row],[Dog D2]],'SDDA Dogs'!A:F,6,FALSE),"")</f>
        <v/>
      </c>
      <c r="H71" s="219"/>
      <c r="I71" s="155">
        <f>GamesDay2[[#This Row],[Total Qs Aerial D2]]</f>
        <v>0</v>
      </c>
      <c r="J71" s="155">
        <f>GamesDay2[[#This Row],[Total Qs Distance D2]]</f>
        <v>0</v>
      </c>
      <c r="K71" s="155">
        <f>GamesDay2[[#This Row],[Total Qs Speed D2]]</f>
        <v>0</v>
      </c>
      <c r="L71" s="155">
        <f>GamesDay2[[#This Row],[Total Qs Team D2]]</f>
        <v>0</v>
      </c>
      <c r="M71" s="219" t="e">
        <f t="shared" si="9"/>
        <v>#N/A</v>
      </c>
      <c r="N71" s="155">
        <f>IFERROR(VLOOKUP(GamesDay2[[#This Row],[Dog D2]],GamesDay1[[Dog D1]:[Total Qs Aerial D1]],16,FALSE),IFERROR(VLOOKUP(GamesDay2[[#This Row],[Dog D2]]&amp;"-"&amp;N$5,DogInfo!A:B,2,FALSE),0))</f>
        <v>0</v>
      </c>
      <c r="O71" s="220"/>
      <c r="P71" s="221"/>
      <c r="Q71" s="155" t="str">
        <f>IF(ISBLANK(GamesDay2[[#This Row],[Time Aerial D2]]),"",RANK(GamesDay2[[#This Row],[Time Aerial D2]],GamesDay2[Time Aerial D2],1))</f>
        <v/>
      </c>
      <c r="R71" s="220"/>
      <c r="S71" s="225">
        <f>IF(GamesDay2[[#This Row],[Pass / Fail Aerial D2]]="P",IF(GamesDay2[[#This Row],[Prev Qs Aerial D2]]="",1,GamesDay2[[#This Row],[Prev Qs Aerial D2]]+1),GamesDay2[[#This Row],[Prev Qs Aerial D2]])</f>
        <v>0</v>
      </c>
      <c r="T71" s="155" t="e">
        <f t="shared" si="10"/>
        <v>#N/A</v>
      </c>
      <c r="U71" s="155">
        <f>IFERROR(VLOOKUP(GamesDay2[[#This Row],[Dog D2]],GamesDay1[[Dog D1]:[Total Qs Distance D1]],23,FALSE),IFERROR(VLOOKUP(GamesDay2[[#This Row],[Dog D2]]&amp;"-"&amp;U$5,DogInfo!A:B,2,FALSE),0))</f>
        <v>0</v>
      </c>
      <c r="V71" s="220"/>
      <c r="W71" s="221"/>
      <c r="X71" s="155" t="str">
        <f>IF(ISBLANK(GamesDay2[[#This Row],[Time Distance D2]]),"",RANK(GamesDay2[[#This Row],[Time Distance D2]],GamesDay2[Time Distance D2],1))</f>
        <v/>
      </c>
      <c r="Y71" s="220"/>
      <c r="Z71" s="225">
        <f>IF(GamesDay2[[#This Row],[Pass / Fail Distance D2]]="P",IF(GamesDay2[[#This Row],[Prev Qs Distance D2]]="",1,GamesDay2[[#This Row],[Prev Qs Distance D2]]+1),GamesDay2[[#This Row],[Prev Qs Distance D2]])</f>
        <v>0</v>
      </c>
      <c r="AA71" s="155" t="e">
        <f t="shared" si="11"/>
        <v>#N/A</v>
      </c>
      <c r="AB71" s="155">
        <f>IFERROR(VLOOKUP(GamesDay2[[#This Row],[Dog D2]],GamesDay1[[Dog D1]:[Total Qs Speed D1]],30,FALSE),IFERROR(VLOOKUP(GamesDay2[[#This Row],[Dog D2]]&amp;"-"&amp;AB$5,DogInfo!A:B,2,FALSE),0))</f>
        <v>0</v>
      </c>
      <c r="AC71" s="220"/>
      <c r="AD71" s="221"/>
      <c r="AE71" s="155" t="str">
        <f>IF(ISBLANK(GamesDay2[[#This Row],[Time Speed D2]]),"",RANK(GamesDay2[[#This Row],[Time Speed D2]],GamesDay2[Time Speed D2],1))</f>
        <v/>
      </c>
      <c r="AF71" s="220"/>
      <c r="AG71" s="225">
        <f>IF(GamesDay2[[#This Row],[Pass / Fail Speed D2]]="P",IF(GamesDay2[[#This Row],[Prev Qs Speed D2]]="",1,GamesDay2[[#This Row],[Prev Qs Speed D2]]+1),GamesDay2[[#This Row],[Prev Qs Speed D2]])</f>
        <v>0</v>
      </c>
      <c r="AH71" s="155" t="e">
        <f t="shared" si="12"/>
        <v>#N/A</v>
      </c>
      <c r="AI71" s="155">
        <f>IFERROR(VLOOKUP(GamesDay2[[#This Row],[Dog D2]],GamesDay1[[Dog D1]:[Total Qs Team D1]],37,FALSE),IFERROR(VLOOKUP(GamesDay2[[#This Row],[Dog D2]]&amp;"-"&amp;AI$5,DogInfo!A:B,2,FALSE),0))</f>
        <v>0</v>
      </c>
      <c r="AJ71" s="220"/>
      <c r="AK71" s="221"/>
      <c r="AL71" s="155" t="str">
        <f>IF(ISBLANK(GamesDay2[[#This Row],[Time Team D2]]),"",RANK(GamesDay2[[#This Row],[Time Team D2]],GamesDay2[Time Team D2],1))</f>
        <v/>
      </c>
      <c r="AM71" s="220"/>
      <c r="AN71" s="225">
        <f>IF(GamesDay2[[#This Row],[Pass / Fail Team D2]]="P",IF(GamesDay2[[#This Row],[Prev Qs Team D2]]="",1,GamesDay2[[#This Row],[Prev Qs Team D2]]+1),GamesDay2[[#This Row],[Prev Qs Team D2]])</f>
        <v>0</v>
      </c>
      <c r="AO7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1" s="167">
        <f>GamesDay2[[#This Row],[Number of Games D2]]*SddaFee</f>
        <v>0</v>
      </c>
      <c r="AS71" s="167">
        <f>(GamesDay2[[#This Row],[Number of Games D2]]+GamesDay2[[#This Row],[Number of FEOs D2]])*JudgesFeeFEOGames</f>
        <v>0</v>
      </c>
    </row>
    <row r="72" spans="1:45" ht="24.75" customHeight="1" x14ac:dyDescent="0.2">
      <c r="A72" s="171" t="s">
        <v>3689</v>
      </c>
      <c r="B72" s="155">
        <v>57</v>
      </c>
      <c r="C7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2" s="220"/>
      <c r="E72" s="219" t="str">
        <f>IFERROR(VLOOKUP(GamesDay2[[#This Row],[Dog D2]],'SDDA Dogs'!A:B,2,FALSE),"")</f>
        <v/>
      </c>
      <c r="F72" s="219" t="str">
        <f>IFERROR(VLOOKUP(GamesDay2[[#This Row],[Dog D2]],'SDDA Dogs'!A:C,3,FALSE),"")</f>
        <v/>
      </c>
      <c r="G72" s="219" t="str">
        <f>IFERROR(VLOOKUP(GamesDay2[[#This Row],[Dog D2]],'SDDA Dogs'!A:F,6,FALSE),"")</f>
        <v/>
      </c>
      <c r="H72" s="219"/>
      <c r="I72" s="155">
        <f>GamesDay2[[#This Row],[Total Qs Aerial D2]]</f>
        <v>0</v>
      </c>
      <c r="J72" s="155">
        <f>GamesDay2[[#This Row],[Total Qs Distance D2]]</f>
        <v>0</v>
      </c>
      <c r="K72" s="155">
        <f>GamesDay2[[#This Row],[Total Qs Speed D2]]</f>
        <v>0</v>
      </c>
      <c r="L72" s="155">
        <f>GamesDay2[[#This Row],[Total Qs Team D2]]</f>
        <v>0</v>
      </c>
      <c r="M72" s="219" t="e">
        <f t="shared" si="9"/>
        <v>#N/A</v>
      </c>
      <c r="N72" s="293">
        <f>IFERROR(VLOOKUP(GamesDay2[[#This Row],[Dog D2]],GamesDay1[[Dog D1]:[Total Qs Aerial D1]],16,FALSE),IFERROR(VLOOKUP(GamesDay2[[#This Row],[Dog D2]]&amp;"-"&amp;N$5,DogInfo!A:B,2,FALSE),0))</f>
        <v>0</v>
      </c>
      <c r="O72" s="301"/>
      <c r="P72" s="301"/>
      <c r="Q72" s="294" t="str">
        <f>IF(ISBLANK(GamesDay2[[#This Row],[Time Aerial D2]]),"",RANK(GamesDay2[[#This Row],[Time Aerial D2]],GamesDay2[Time Aerial D2],1))</f>
        <v/>
      </c>
      <c r="R72" s="301"/>
      <c r="S72" s="300">
        <f>IF(GamesDay2[[#This Row],[Pass / Fail Aerial D2]]="P",IF(GamesDay2[[#This Row],[Prev Qs Aerial D2]]="",1,GamesDay2[[#This Row],[Prev Qs Aerial D2]]+1),GamesDay2[[#This Row],[Prev Qs Aerial D2]])</f>
        <v>0</v>
      </c>
      <c r="T72" s="155" t="e">
        <f t="shared" si="10"/>
        <v>#N/A</v>
      </c>
      <c r="U72" s="296">
        <f>IFERROR(VLOOKUP(GamesDay2[[#This Row],[Dog D2]],GamesDay1[[Dog D1]:[Total Qs Distance D1]],23,FALSE),IFERROR(VLOOKUP(GamesDay2[[#This Row],[Dog D2]]&amp;"-"&amp;U$5,DogInfo!A:B,2,FALSE),0))</f>
        <v>0</v>
      </c>
      <c r="V72" s="303"/>
      <c r="W72" s="303"/>
      <c r="X72" s="297" t="str">
        <f>IF(ISBLANK(GamesDay2[[#This Row],[Time Distance D2]]),"",RANK(GamesDay2[[#This Row],[Time Distance D2]],GamesDay2[Time Distance D2],1))</f>
        <v/>
      </c>
      <c r="Y72" s="303"/>
      <c r="Z72" s="297">
        <f>IF(GamesDay2[[#This Row],[Pass / Fail Distance D2]]="P",IF(GamesDay2[[#This Row],[Prev Qs Distance D2]]="",1,GamesDay2[[#This Row],[Prev Qs Distance D2]]+1),GamesDay2[[#This Row],[Prev Qs Distance D2]])</f>
        <v>0</v>
      </c>
      <c r="AA72" s="155" t="e">
        <f t="shared" si="11"/>
        <v>#N/A</v>
      </c>
      <c r="AB72" s="298">
        <f>IFERROR(VLOOKUP(GamesDay2[[#This Row],[Dog D2]],GamesDay1[[Dog D1]:[Total Qs Speed D1]],30,FALSE),IFERROR(VLOOKUP(GamesDay2[[#This Row],[Dog D2]]&amp;"-"&amp;AB$5,DogInfo!A:B,2,FALSE),0))</f>
        <v>0</v>
      </c>
      <c r="AC72" s="304"/>
      <c r="AD72" s="304"/>
      <c r="AE72" s="299" t="str">
        <f>IF(ISBLANK(GamesDay2[[#This Row],[Time Speed D2]]),"",RANK(GamesDay2[[#This Row],[Time Speed D2]],GamesDay2[Time Speed D2],1))</f>
        <v/>
      </c>
      <c r="AF72" s="304"/>
      <c r="AG72" s="299">
        <f>IF(GamesDay2[[#This Row],[Pass / Fail Speed D2]]="P",IF(GamesDay2[[#This Row],[Prev Qs Speed D2]]="",1,GamesDay2[[#This Row],[Prev Qs Speed D2]]+1),GamesDay2[[#This Row],[Prev Qs Speed D2]])</f>
        <v>0</v>
      </c>
      <c r="AH72" s="155" t="e">
        <f t="shared" si="12"/>
        <v>#N/A</v>
      </c>
      <c r="AI72" s="155">
        <f>IFERROR(VLOOKUP(GamesDay2[[#This Row],[Dog D2]],GamesDay1[[Dog D1]:[Total Qs Team D1]],37,FALSE),IFERROR(VLOOKUP(GamesDay2[[#This Row],[Dog D2]]&amp;"-"&amp;AI$5,DogInfo!A:B,2,FALSE),0))</f>
        <v>0</v>
      </c>
      <c r="AJ72" s="220"/>
      <c r="AK72" s="221"/>
      <c r="AL72" s="155" t="str">
        <f>IF(ISBLANK(GamesDay2[[#This Row],[Time Team D2]]),"",RANK(GamesDay2[[#This Row],[Time Team D2]],GamesDay2[Time Team D2],1))</f>
        <v/>
      </c>
      <c r="AM72" s="220"/>
      <c r="AN72" s="225">
        <f>IF(GamesDay2[[#This Row],[Pass / Fail Team D2]]="P",IF(GamesDay2[[#This Row],[Prev Qs Team D2]]="",1,GamesDay2[[#This Row],[Prev Qs Team D2]]+1),GamesDay2[[#This Row],[Prev Qs Team D2]])</f>
        <v>0</v>
      </c>
      <c r="AO7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2" s="167">
        <f>GamesDay2[[#This Row],[Number of Games D2]]*SddaFee</f>
        <v>0</v>
      </c>
      <c r="AS72" s="167">
        <f>(GamesDay2[[#This Row],[Number of Games D2]]+GamesDay2[[#This Row],[Number of FEOs D2]])*JudgesFeeFEOGames</f>
        <v>0</v>
      </c>
    </row>
    <row r="73" spans="1:45" ht="24.75" customHeight="1" x14ac:dyDescent="0.2">
      <c r="A73" s="171" t="s">
        <v>3689</v>
      </c>
      <c r="B73" s="155">
        <v>58</v>
      </c>
      <c r="C7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3" s="220"/>
      <c r="E73" s="219" t="str">
        <f>IFERROR(VLOOKUP(GamesDay2[[#This Row],[Dog D2]],'SDDA Dogs'!A:B,2,FALSE),"")</f>
        <v/>
      </c>
      <c r="F73" s="219" t="str">
        <f>IFERROR(VLOOKUP(GamesDay2[[#This Row],[Dog D2]],'SDDA Dogs'!A:C,3,FALSE),"")</f>
        <v/>
      </c>
      <c r="G73" s="219" t="str">
        <f>IFERROR(VLOOKUP(GamesDay2[[#This Row],[Dog D2]],'SDDA Dogs'!A:F,6,FALSE),"")</f>
        <v/>
      </c>
      <c r="H73" s="219"/>
      <c r="I73" s="155">
        <f>GamesDay2[[#This Row],[Total Qs Aerial D2]]</f>
        <v>0</v>
      </c>
      <c r="J73" s="155">
        <f>GamesDay2[[#This Row],[Total Qs Distance D2]]</f>
        <v>0</v>
      </c>
      <c r="K73" s="155">
        <f>GamesDay2[[#This Row],[Total Qs Speed D2]]</f>
        <v>0</v>
      </c>
      <c r="L73" s="155">
        <f>GamesDay2[[#This Row],[Total Qs Team D2]]</f>
        <v>0</v>
      </c>
      <c r="M73" s="219" t="e">
        <f t="shared" si="9"/>
        <v>#N/A</v>
      </c>
      <c r="N73" s="155">
        <f>IFERROR(VLOOKUP(GamesDay2[[#This Row],[Dog D2]],GamesDay1[[Dog D1]:[Total Qs Aerial D1]],16,FALSE),IFERROR(VLOOKUP(GamesDay2[[#This Row],[Dog D2]]&amp;"-"&amp;N$5,DogInfo!A:B,2,FALSE),0))</f>
        <v>0</v>
      </c>
      <c r="O73" s="220"/>
      <c r="P73" s="221"/>
      <c r="Q73" s="155" t="str">
        <f>IF(ISBLANK(GamesDay2[[#This Row],[Time Aerial D2]]),"",RANK(GamesDay2[[#This Row],[Time Aerial D2]],GamesDay2[Time Aerial D2],1))</f>
        <v/>
      </c>
      <c r="R73" s="220"/>
      <c r="S73" s="225">
        <f>IF(GamesDay2[[#This Row],[Pass / Fail Aerial D2]]="P",IF(GamesDay2[[#This Row],[Prev Qs Aerial D2]]="",1,GamesDay2[[#This Row],[Prev Qs Aerial D2]]+1),GamesDay2[[#This Row],[Prev Qs Aerial D2]])</f>
        <v>0</v>
      </c>
      <c r="T73" s="155" t="e">
        <f t="shared" si="10"/>
        <v>#N/A</v>
      </c>
      <c r="U73" s="155">
        <f>IFERROR(VLOOKUP(GamesDay2[[#This Row],[Dog D2]],GamesDay1[[Dog D1]:[Total Qs Distance D1]],23,FALSE),IFERROR(VLOOKUP(GamesDay2[[#This Row],[Dog D2]]&amp;"-"&amp;U$5,DogInfo!A:B,2,FALSE),0))</f>
        <v>0</v>
      </c>
      <c r="V73" s="220"/>
      <c r="W73" s="221"/>
      <c r="X73" s="155" t="str">
        <f>IF(ISBLANK(GamesDay2[[#This Row],[Time Distance D2]]),"",RANK(GamesDay2[[#This Row],[Time Distance D2]],GamesDay2[Time Distance D2],1))</f>
        <v/>
      </c>
      <c r="Y73" s="220"/>
      <c r="Z73" s="225">
        <f>IF(GamesDay2[[#This Row],[Pass / Fail Distance D2]]="P",IF(GamesDay2[[#This Row],[Prev Qs Distance D2]]="",1,GamesDay2[[#This Row],[Prev Qs Distance D2]]+1),GamesDay2[[#This Row],[Prev Qs Distance D2]])</f>
        <v>0</v>
      </c>
      <c r="AA73" s="155" t="e">
        <f t="shared" si="11"/>
        <v>#N/A</v>
      </c>
      <c r="AB73" s="155">
        <f>IFERROR(VLOOKUP(GamesDay2[[#This Row],[Dog D2]],GamesDay1[[Dog D1]:[Total Qs Speed D1]],30,FALSE),IFERROR(VLOOKUP(GamesDay2[[#This Row],[Dog D2]]&amp;"-"&amp;AB$5,DogInfo!A:B,2,FALSE),0))</f>
        <v>0</v>
      </c>
      <c r="AC73" s="220"/>
      <c r="AD73" s="221"/>
      <c r="AE73" s="155" t="str">
        <f>IF(ISBLANK(GamesDay2[[#This Row],[Time Speed D2]]),"",RANK(GamesDay2[[#This Row],[Time Speed D2]],GamesDay2[Time Speed D2],1))</f>
        <v/>
      </c>
      <c r="AF73" s="220"/>
      <c r="AG73" s="225">
        <f>IF(GamesDay2[[#This Row],[Pass / Fail Speed D2]]="P",IF(GamesDay2[[#This Row],[Prev Qs Speed D2]]="",1,GamesDay2[[#This Row],[Prev Qs Speed D2]]+1),GamesDay2[[#This Row],[Prev Qs Speed D2]])</f>
        <v>0</v>
      </c>
      <c r="AH73" s="155" t="e">
        <f t="shared" si="12"/>
        <v>#N/A</v>
      </c>
      <c r="AI73" s="155">
        <f>IFERROR(VLOOKUP(GamesDay2[[#This Row],[Dog D2]],GamesDay1[[Dog D1]:[Total Qs Team D1]],37,FALSE),IFERROR(VLOOKUP(GamesDay2[[#This Row],[Dog D2]]&amp;"-"&amp;AI$5,DogInfo!A:B,2,FALSE),0))</f>
        <v>0</v>
      </c>
      <c r="AJ73" s="220"/>
      <c r="AK73" s="221"/>
      <c r="AL73" s="155" t="str">
        <f>IF(ISBLANK(GamesDay2[[#This Row],[Time Team D2]]),"",RANK(GamesDay2[[#This Row],[Time Team D2]],GamesDay2[Time Team D2],1))</f>
        <v/>
      </c>
      <c r="AM73" s="220"/>
      <c r="AN73" s="225">
        <f>IF(GamesDay2[[#This Row],[Pass / Fail Team D2]]="P",IF(GamesDay2[[#This Row],[Prev Qs Team D2]]="",1,GamesDay2[[#This Row],[Prev Qs Team D2]]+1),GamesDay2[[#This Row],[Prev Qs Team D2]])</f>
        <v>0</v>
      </c>
      <c r="AO7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3" s="167">
        <f>GamesDay2[[#This Row],[Number of Games D2]]*SddaFee</f>
        <v>0</v>
      </c>
      <c r="AS73" s="167">
        <f>(GamesDay2[[#This Row],[Number of Games D2]]+GamesDay2[[#This Row],[Number of FEOs D2]])*JudgesFeeFEOGames</f>
        <v>0</v>
      </c>
    </row>
    <row r="74" spans="1:45" ht="24.75" customHeight="1" x14ac:dyDescent="0.2">
      <c r="A74" s="171" t="s">
        <v>3689</v>
      </c>
      <c r="B74" s="155">
        <v>59</v>
      </c>
      <c r="C7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4" s="220"/>
      <c r="E74" s="219" t="str">
        <f>IFERROR(VLOOKUP(GamesDay2[[#This Row],[Dog D2]],'SDDA Dogs'!A:B,2,FALSE),"")</f>
        <v/>
      </c>
      <c r="F74" s="219" t="str">
        <f>IFERROR(VLOOKUP(GamesDay2[[#This Row],[Dog D2]],'SDDA Dogs'!A:C,3,FALSE),"")</f>
        <v/>
      </c>
      <c r="G74" s="219" t="str">
        <f>IFERROR(VLOOKUP(GamesDay2[[#This Row],[Dog D2]],'SDDA Dogs'!A:F,6,FALSE),"")</f>
        <v/>
      </c>
      <c r="H74" s="219"/>
      <c r="I74" s="155">
        <f>GamesDay2[[#This Row],[Total Qs Aerial D2]]</f>
        <v>0</v>
      </c>
      <c r="J74" s="155">
        <f>GamesDay2[[#This Row],[Total Qs Distance D2]]</f>
        <v>0</v>
      </c>
      <c r="K74" s="155">
        <f>GamesDay2[[#This Row],[Total Qs Speed D2]]</f>
        <v>0</v>
      </c>
      <c r="L74" s="155">
        <f>GamesDay2[[#This Row],[Total Qs Team D2]]</f>
        <v>0</v>
      </c>
      <c r="M74" s="219" t="e">
        <f t="shared" si="9"/>
        <v>#N/A</v>
      </c>
      <c r="N74" s="293">
        <f>IFERROR(VLOOKUP(GamesDay2[[#This Row],[Dog D2]],GamesDay1[[Dog D1]:[Total Qs Aerial D1]],16,FALSE),IFERROR(VLOOKUP(GamesDay2[[#This Row],[Dog D2]]&amp;"-"&amp;N$5,DogInfo!A:B,2,FALSE),0))</f>
        <v>0</v>
      </c>
      <c r="O74" s="301"/>
      <c r="P74" s="301"/>
      <c r="Q74" s="294" t="str">
        <f>IF(ISBLANK(GamesDay2[[#This Row],[Time Aerial D2]]),"",RANK(GamesDay2[[#This Row],[Time Aerial D2]],GamesDay2[Time Aerial D2],1))</f>
        <v/>
      </c>
      <c r="R74" s="301"/>
      <c r="S74" s="300">
        <f>IF(GamesDay2[[#This Row],[Pass / Fail Aerial D2]]="P",IF(GamesDay2[[#This Row],[Prev Qs Aerial D2]]="",1,GamesDay2[[#This Row],[Prev Qs Aerial D2]]+1),GamesDay2[[#This Row],[Prev Qs Aerial D2]])</f>
        <v>0</v>
      </c>
      <c r="T74" s="155" t="e">
        <f t="shared" si="10"/>
        <v>#N/A</v>
      </c>
      <c r="U74" s="296">
        <f>IFERROR(VLOOKUP(GamesDay2[[#This Row],[Dog D2]],GamesDay1[[Dog D1]:[Total Qs Distance D1]],23,FALSE),IFERROR(VLOOKUP(GamesDay2[[#This Row],[Dog D2]]&amp;"-"&amp;U$5,DogInfo!A:B,2,FALSE),0))</f>
        <v>0</v>
      </c>
      <c r="V74" s="303"/>
      <c r="W74" s="303"/>
      <c r="X74" s="297" t="str">
        <f>IF(ISBLANK(GamesDay2[[#This Row],[Time Distance D2]]),"",RANK(GamesDay2[[#This Row],[Time Distance D2]],GamesDay2[Time Distance D2],1))</f>
        <v/>
      </c>
      <c r="Y74" s="303"/>
      <c r="Z74" s="297">
        <f>IF(GamesDay2[[#This Row],[Pass / Fail Distance D2]]="P",IF(GamesDay2[[#This Row],[Prev Qs Distance D2]]="",1,GamesDay2[[#This Row],[Prev Qs Distance D2]]+1),GamesDay2[[#This Row],[Prev Qs Distance D2]])</f>
        <v>0</v>
      </c>
      <c r="AA74" s="155" t="e">
        <f t="shared" si="11"/>
        <v>#N/A</v>
      </c>
      <c r="AB74" s="298">
        <f>IFERROR(VLOOKUP(GamesDay2[[#This Row],[Dog D2]],GamesDay1[[Dog D1]:[Total Qs Speed D1]],30,FALSE),IFERROR(VLOOKUP(GamesDay2[[#This Row],[Dog D2]]&amp;"-"&amp;AB$5,DogInfo!A:B,2,FALSE),0))</f>
        <v>0</v>
      </c>
      <c r="AC74" s="304"/>
      <c r="AD74" s="304"/>
      <c r="AE74" s="299" t="str">
        <f>IF(ISBLANK(GamesDay2[[#This Row],[Time Speed D2]]),"",RANK(GamesDay2[[#This Row],[Time Speed D2]],GamesDay2[Time Speed D2],1))</f>
        <v/>
      </c>
      <c r="AF74" s="304"/>
      <c r="AG74" s="299">
        <f>IF(GamesDay2[[#This Row],[Pass / Fail Speed D2]]="P",IF(GamesDay2[[#This Row],[Prev Qs Speed D2]]="",1,GamesDay2[[#This Row],[Prev Qs Speed D2]]+1),GamesDay2[[#This Row],[Prev Qs Speed D2]])</f>
        <v>0</v>
      </c>
      <c r="AH74" s="155" t="e">
        <f t="shared" si="12"/>
        <v>#N/A</v>
      </c>
      <c r="AI74" s="155">
        <f>IFERROR(VLOOKUP(GamesDay2[[#This Row],[Dog D2]],GamesDay1[[Dog D1]:[Total Qs Team D1]],37,FALSE),IFERROR(VLOOKUP(GamesDay2[[#This Row],[Dog D2]]&amp;"-"&amp;AI$5,DogInfo!A:B,2,FALSE),0))</f>
        <v>0</v>
      </c>
      <c r="AJ74" s="220"/>
      <c r="AK74" s="221"/>
      <c r="AL74" s="155" t="str">
        <f>IF(ISBLANK(GamesDay2[[#This Row],[Time Team D2]]),"",RANK(GamesDay2[[#This Row],[Time Team D2]],GamesDay2[Time Team D2],1))</f>
        <v/>
      </c>
      <c r="AM74" s="220"/>
      <c r="AN74" s="225">
        <f>IF(GamesDay2[[#This Row],[Pass / Fail Team D2]]="P",IF(GamesDay2[[#This Row],[Prev Qs Team D2]]="",1,GamesDay2[[#This Row],[Prev Qs Team D2]]+1),GamesDay2[[#This Row],[Prev Qs Team D2]])</f>
        <v>0</v>
      </c>
      <c r="AO7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4" s="167">
        <f>GamesDay2[[#This Row],[Number of Games D2]]*SddaFee</f>
        <v>0</v>
      </c>
      <c r="AS74" s="167">
        <f>(GamesDay2[[#This Row],[Number of Games D2]]+GamesDay2[[#This Row],[Number of FEOs D2]])*JudgesFeeFEOGames</f>
        <v>0</v>
      </c>
    </row>
    <row r="75" spans="1:45" ht="24.75" customHeight="1" x14ac:dyDescent="0.2">
      <c r="A75" s="171" t="s">
        <v>3689</v>
      </c>
      <c r="B75" s="155">
        <v>60</v>
      </c>
      <c r="C7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5" s="220"/>
      <c r="E75" s="219" t="str">
        <f>IFERROR(VLOOKUP(GamesDay2[[#This Row],[Dog D2]],'SDDA Dogs'!A:B,2,FALSE),"")</f>
        <v/>
      </c>
      <c r="F75" s="219" t="str">
        <f>IFERROR(VLOOKUP(GamesDay2[[#This Row],[Dog D2]],'SDDA Dogs'!A:C,3,FALSE),"")</f>
        <v/>
      </c>
      <c r="G75" s="219" t="str">
        <f>IFERROR(VLOOKUP(GamesDay2[[#This Row],[Dog D2]],'SDDA Dogs'!A:F,6,FALSE),"")</f>
        <v/>
      </c>
      <c r="H75" s="219"/>
      <c r="I75" s="155">
        <f>GamesDay2[[#This Row],[Total Qs Aerial D2]]</f>
        <v>0</v>
      </c>
      <c r="J75" s="155">
        <f>GamesDay2[[#This Row],[Total Qs Distance D2]]</f>
        <v>0</v>
      </c>
      <c r="K75" s="155">
        <f>GamesDay2[[#This Row],[Total Qs Speed D2]]</f>
        <v>0</v>
      </c>
      <c r="L75" s="155">
        <f>GamesDay2[[#This Row],[Total Qs Team D2]]</f>
        <v>0</v>
      </c>
      <c r="M75" s="219" t="e">
        <f t="shared" si="9"/>
        <v>#N/A</v>
      </c>
      <c r="N75" s="155">
        <f>IFERROR(VLOOKUP(GamesDay2[[#This Row],[Dog D2]],GamesDay1[[Dog D1]:[Total Qs Aerial D1]],16,FALSE),IFERROR(VLOOKUP(GamesDay2[[#This Row],[Dog D2]]&amp;"-"&amp;N$5,DogInfo!A:B,2,FALSE),0))</f>
        <v>0</v>
      </c>
      <c r="O75" s="220"/>
      <c r="P75" s="221"/>
      <c r="Q75" s="155" t="str">
        <f>IF(ISBLANK(GamesDay2[[#This Row],[Time Aerial D2]]),"",RANK(GamesDay2[[#This Row],[Time Aerial D2]],GamesDay2[Time Aerial D2],1))</f>
        <v/>
      </c>
      <c r="R75" s="220"/>
      <c r="S75" s="225">
        <f>IF(GamesDay2[[#This Row],[Pass / Fail Aerial D2]]="P",IF(GamesDay2[[#This Row],[Prev Qs Aerial D2]]="",1,GamesDay2[[#This Row],[Prev Qs Aerial D2]]+1),GamesDay2[[#This Row],[Prev Qs Aerial D2]])</f>
        <v>0</v>
      </c>
      <c r="T75" s="155" t="e">
        <f t="shared" si="10"/>
        <v>#N/A</v>
      </c>
      <c r="U75" s="155">
        <f>IFERROR(VLOOKUP(GamesDay2[[#This Row],[Dog D2]],GamesDay1[[Dog D1]:[Total Qs Distance D1]],23,FALSE),IFERROR(VLOOKUP(GamesDay2[[#This Row],[Dog D2]]&amp;"-"&amp;U$5,DogInfo!A:B,2,FALSE),0))</f>
        <v>0</v>
      </c>
      <c r="V75" s="220"/>
      <c r="W75" s="221"/>
      <c r="X75" s="155" t="str">
        <f>IF(ISBLANK(GamesDay2[[#This Row],[Time Distance D2]]),"",RANK(GamesDay2[[#This Row],[Time Distance D2]],GamesDay2[Time Distance D2],1))</f>
        <v/>
      </c>
      <c r="Y75" s="220"/>
      <c r="Z75" s="225">
        <f>IF(GamesDay2[[#This Row],[Pass / Fail Distance D2]]="P",IF(GamesDay2[[#This Row],[Prev Qs Distance D2]]="",1,GamesDay2[[#This Row],[Prev Qs Distance D2]]+1),GamesDay2[[#This Row],[Prev Qs Distance D2]])</f>
        <v>0</v>
      </c>
      <c r="AA75" s="155" t="e">
        <f t="shared" si="11"/>
        <v>#N/A</v>
      </c>
      <c r="AB75" s="155">
        <f>IFERROR(VLOOKUP(GamesDay2[[#This Row],[Dog D2]],GamesDay1[[Dog D1]:[Total Qs Speed D1]],30,FALSE),IFERROR(VLOOKUP(GamesDay2[[#This Row],[Dog D2]]&amp;"-"&amp;AB$5,DogInfo!A:B,2,FALSE),0))</f>
        <v>0</v>
      </c>
      <c r="AC75" s="220"/>
      <c r="AD75" s="221"/>
      <c r="AE75" s="155" t="str">
        <f>IF(ISBLANK(GamesDay2[[#This Row],[Time Speed D2]]),"",RANK(GamesDay2[[#This Row],[Time Speed D2]],GamesDay2[Time Speed D2],1))</f>
        <v/>
      </c>
      <c r="AF75" s="220"/>
      <c r="AG75" s="225">
        <f>IF(GamesDay2[[#This Row],[Pass / Fail Speed D2]]="P",IF(GamesDay2[[#This Row],[Prev Qs Speed D2]]="",1,GamesDay2[[#This Row],[Prev Qs Speed D2]]+1),GamesDay2[[#This Row],[Prev Qs Speed D2]])</f>
        <v>0</v>
      </c>
      <c r="AH75" s="155" t="e">
        <f t="shared" si="12"/>
        <v>#N/A</v>
      </c>
      <c r="AI75" s="155">
        <f>IFERROR(VLOOKUP(GamesDay2[[#This Row],[Dog D2]],GamesDay1[[Dog D1]:[Total Qs Team D1]],37,FALSE),IFERROR(VLOOKUP(GamesDay2[[#This Row],[Dog D2]]&amp;"-"&amp;AI$5,DogInfo!A:B,2,FALSE),0))</f>
        <v>0</v>
      </c>
      <c r="AJ75" s="220"/>
      <c r="AK75" s="221"/>
      <c r="AL75" s="155" t="str">
        <f>IF(ISBLANK(GamesDay2[[#This Row],[Time Team D2]]),"",RANK(GamesDay2[[#This Row],[Time Team D2]],GamesDay2[Time Team D2],1))</f>
        <v/>
      </c>
      <c r="AM75" s="220"/>
      <c r="AN75" s="225">
        <f>IF(GamesDay2[[#This Row],[Pass / Fail Team D2]]="P",IF(GamesDay2[[#This Row],[Prev Qs Team D2]]="",1,GamesDay2[[#This Row],[Prev Qs Team D2]]+1),GamesDay2[[#This Row],[Prev Qs Team D2]])</f>
        <v>0</v>
      </c>
      <c r="AO7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5" s="167">
        <f>GamesDay2[[#This Row],[Number of Games D2]]*SddaFee</f>
        <v>0</v>
      </c>
      <c r="AS75" s="167">
        <f>(GamesDay2[[#This Row],[Number of Games D2]]+GamesDay2[[#This Row],[Number of FEOs D2]])*JudgesFeeFEOGames</f>
        <v>0</v>
      </c>
    </row>
    <row r="76" spans="1:45" ht="24.75" customHeight="1" x14ac:dyDescent="0.2">
      <c r="A76" s="171" t="s">
        <v>3689</v>
      </c>
      <c r="B76" s="155">
        <v>61</v>
      </c>
      <c r="C7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6" s="220"/>
      <c r="E76" s="219" t="str">
        <f>IFERROR(VLOOKUP(GamesDay2[[#This Row],[Dog D2]],'SDDA Dogs'!A:B,2,FALSE),"")</f>
        <v/>
      </c>
      <c r="F76" s="219" t="str">
        <f>IFERROR(VLOOKUP(GamesDay2[[#This Row],[Dog D2]],'SDDA Dogs'!A:C,3,FALSE),"")</f>
        <v/>
      </c>
      <c r="G76" s="219" t="str">
        <f>IFERROR(VLOOKUP(GamesDay2[[#This Row],[Dog D2]],'SDDA Dogs'!A:F,6,FALSE),"")</f>
        <v/>
      </c>
      <c r="H76" s="219"/>
      <c r="I76" s="155">
        <f>GamesDay2[[#This Row],[Total Qs Aerial D2]]</f>
        <v>0</v>
      </c>
      <c r="J76" s="155">
        <f>GamesDay2[[#This Row],[Total Qs Distance D2]]</f>
        <v>0</v>
      </c>
      <c r="K76" s="155">
        <f>GamesDay2[[#This Row],[Total Qs Speed D2]]</f>
        <v>0</v>
      </c>
      <c r="L76" s="155">
        <f>GamesDay2[[#This Row],[Total Qs Team D2]]</f>
        <v>0</v>
      </c>
      <c r="M76" s="219" t="e">
        <f t="shared" si="9"/>
        <v>#N/A</v>
      </c>
      <c r="N76" s="293">
        <f>IFERROR(VLOOKUP(GamesDay2[[#This Row],[Dog D2]],GamesDay1[[Dog D1]:[Total Qs Aerial D1]],16,FALSE),IFERROR(VLOOKUP(GamesDay2[[#This Row],[Dog D2]]&amp;"-"&amp;N$5,DogInfo!A:B,2,FALSE),0))</f>
        <v>0</v>
      </c>
      <c r="O76" s="301"/>
      <c r="P76" s="301"/>
      <c r="Q76" s="294" t="str">
        <f>IF(ISBLANK(GamesDay2[[#This Row],[Time Aerial D2]]),"",RANK(GamesDay2[[#This Row],[Time Aerial D2]],GamesDay2[Time Aerial D2],1))</f>
        <v/>
      </c>
      <c r="R76" s="301"/>
      <c r="S76" s="300">
        <f>IF(GamesDay2[[#This Row],[Pass / Fail Aerial D2]]="P",IF(GamesDay2[[#This Row],[Prev Qs Aerial D2]]="",1,GamesDay2[[#This Row],[Prev Qs Aerial D2]]+1),GamesDay2[[#This Row],[Prev Qs Aerial D2]])</f>
        <v>0</v>
      </c>
      <c r="T76" s="155" t="e">
        <f t="shared" si="10"/>
        <v>#N/A</v>
      </c>
      <c r="U76" s="296">
        <f>IFERROR(VLOOKUP(GamesDay2[[#This Row],[Dog D2]],GamesDay1[[Dog D1]:[Total Qs Distance D1]],23,FALSE),IFERROR(VLOOKUP(GamesDay2[[#This Row],[Dog D2]]&amp;"-"&amp;U$5,DogInfo!A:B,2,FALSE),0))</f>
        <v>0</v>
      </c>
      <c r="V76" s="303"/>
      <c r="W76" s="303"/>
      <c r="X76" s="297" t="str">
        <f>IF(ISBLANK(GamesDay2[[#This Row],[Time Distance D2]]),"",RANK(GamesDay2[[#This Row],[Time Distance D2]],GamesDay2[Time Distance D2],1))</f>
        <v/>
      </c>
      <c r="Y76" s="303"/>
      <c r="Z76" s="297">
        <f>IF(GamesDay2[[#This Row],[Pass / Fail Distance D2]]="P",IF(GamesDay2[[#This Row],[Prev Qs Distance D2]]="",1,GamesDay2[[#This Row],[Prev Qs Distance D2]]+1),GamesDay2[[#This Row],[Prev Qs Distance D2]])</f>
        <v>0</v>
      </c>
      <c r="AA76" s="155" t="e">
        <f t="shared" si="11"/>
        <v>#N/A</v>
      </c>
      <c r="AB76" s="298">
        <f>IFERROR(VLOOKUP(GamesDay2[[#This Row],[Dog D2]],GamesDay1[[Dog D1]:[Total Qs Speed D1]],30,FALSE),IFERROR(VLOOKUP(GamesDay2[[#This Row],[Dog D2]]&amp;"-"&amp;AB$5,DogInfo!A:B,2,FALSE),0))</f>
        <v>0</v>
      </c>
      <c r="AC76" s="304"/>
      <c r="AD76" s="304"/>
      <c r="AE76" s="299" t="str">
        <f>IF(ISBLANK(GamesDay2[[#This Row],[Time Speed D2]]),"",RANK(GamesDay2[[#This Row],[Time Speed D2]],GamesDay2[Time Speed D2],1))</f>
        <v/>
      </c>
      <c r="AF76" s="304"/>
      <c r="AG76" s="299">
        <f>IF(GamesDay2[[#This Row],[Pass / Fail Speed D2]]="P",IF(GamesDay2[[#This Row],[Prev Qs Speed D2]]="",1,GamesDay2[[#This Row],[Prev Qs Speed D2]]+1),GamesDay2[[#This Row],[Prev Qs Speed D2]])</f>
        <v>0</v>
      </c>
      <c r="AH76" s="155" t="e">
        <f t="shared" si="12"/>
        <v>#N/A</v>
      </c>
      <c r="AI76" s="155">
        <f>IFERROR(VLOOKUP(GamesDay2[[#This Row],[Dog D2]],GamesDay1[[Dog D1]:[Total Qs Team D1]],37,FALSE),IFERROR(VLOOKUP(GamesDay2[[#This Row],[Dog D2]]&amp;"-"&amp;AI$5,DogInfo!A:B,2,FALSE),0))</f>
        <v>0</v>
      </c>
      <c r="AJ76" s="220"/>
      <c r="AK76" s="221"/>
      <c r="AL76" s="155" t="str">
        <f>IF(ISBLANK(GamesDay2[[#This Row],[Time Team D2]]),"",RANK(GamesDay2[[#This Row],[Time Team D2]],GamesDay2[Time Team D2],1))</f>
        <v/>
      </c>
      <c r="AM76" s="220"/>
      <c r="AN76" s="225">
        <f>IF(GamesDay2[[#This Row],[Pass / Fail Team D2]]="P",IF(GamesDay2[[#This Row],[Prev Qs Team D2]]="",1,GamesDay2[[#This Row],[Prev Qs Team D2]]+1),GamesDay2[[#This Row],[Prev Qs Team D2]])</f>
        <v>0</v>
      </c>
      <c r="AO7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6" s="167">
        <f>GamesDay2[[#This Row],[Number of Games D2]]*SddaFee</f>
        <v>0</v>
      </c>
      <c r="AS76" s="167">
        <f>(GamesDay2[[#This Row],[Number of Games D2]]+GamesDay2[[#This Row],[Number of FEOs D2]])*JudgesFeeFEOGames</f>
        <v>0</v>
      </c>
    </row>
    <row r="77" spans="1:45" ht="24.75" customHeight="1" x14ac:dyDescent="0.2">
      <c r="A77" s="171" t="s">
        <v>3689</v>
      </c>
      <c r="B77" s="155">
        <v>62</v>
      </c>
      <c r="C7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7" s="220"/>
      <c r="E77" s="219" t="str">
        <f>IFERROR(VLOOKUP(GamesDay2[[#This Row],[Dog D2]],'SDDA Dogs'!A:B,2,FALSE),"")</f>
        <v/>
      </c>
      <c r="F77" s="219" t="str">
        <f>IFERROR(VLOOKUP(GamesDay2[[#This Row],[Dog D2]],'SDDA Dogs'!A:C,3,FALSE),"")</f>
        <v/>
      </c>
      <c r="G77" s="219" t="str">
        <f>IFERROR(VLOOKUP(GamesDay2[[#This Row],[Dog D2]],'SDDA Dogs'!A:F,6,FALSE),"")</f>
        <v/>
      </c>
      <c r="H77" s="219"/>
      <c r="I77" s="155">
        <f>GamesDay2[[#This Row],[Total Qs Aerial D2]]</f>
        <v>0</v>
      </c>
      <c r="J77" s="155">
        <f>GamesDay2[[#This Row],[Total Qs Distance D2]]</f>
        <v>0</v>
      </c>
      <c r="K77" s="155">
        <f>GamesDay2[[#This Row],[Total Qs Speed D2]]</f>
        <v>0</v>
      </c>
      <c r="L77" s="155">
        <f>GamesDay2[[#This Row],[Total Qs Team D2]]</f>
        <v>0</v>
      </c>
      <c r="M77" s="219" t="e">
        <f t="shared" si="9"/>
        <v>#N/A</v>
      </c>
      <c r="N77" s="155">
        <f>IFERROR(VLOOKUP(GamesDay2[[#This Row],[Dog D2]],GamesDay1[[Dog D1]:[Total Qs Aerial D1]],16,FALSE),IFERROR(VLOOKUP(GamesDay2[[#This Row],[Dog D2]]&amp;"-"&amp;N$5,DogInfo!A:B,2,FALSE),0))</f>
        <v>0</v>
      </c>
      <c r="O77" s="220"/>
      <c r="P77" s="221"/>
      <c r="Q77" s="155" t="str">
        <f>IF(ISBLANK(GamesDay2[[#This Row],[Time Aerial D2]]),"",RANK(GamesDay2[[#This Row],[Time Aerial D2]],GamesDay2[Time Aerial D2],1))</f>
        <v/>
      </c>
      <c r="R77" s="220"/>
      <c r="S77" s="225">
        <f>IF(GamesDay2[[#This Row],[Pass / Fail Aerial D2]]="P",IF(GamesDay2[[#This Row],[Prev Qs Aerial D2]]="",1,GamesDay2[[#This Row],[Prev Qs Aerial D2]]+1),GamesDay2[[#This Row],[Prev Qs Aerial D2]])</f>
        <v>0</v>
      </c>
      <c r="T77" s="155" t="e">
        <f t="shared" si="10"/>
        <v>#N/A</v>
      </c>
      <c r="U77" s="155">
        <f>IFERROR(VLOOKUP(GamesDay2[[#This Row],[Dog D2]],GamesDay1[[Dog D1]:[Total Qs Distance D1]],23,FALSE),IFERROR(VLOOKUP(GamesDay2[[#This Row],[Dog D2]]&amp;"-"&amp;U$5,DogInfo!A:B,2,FALSE),0))</f>
        <v>0</v>
      </c>
      <c r="V77" s="220"/>
      <c r="W77" s="221"/>
      <c r="X77" s="155" t="str">
        <f>IF(ISBLANK(GamesDay2[[#This Row],[Time Distance D2]]),"",RANK(GamesDay2[[#This Row],[Time Distance D2]],GamesDay2[Time Distance D2],1))</f>
        <v/>
      </c>
      <c r="Y77" s="220"/>
      <c r="Z77" s="225">
        <f>IF(GamesDay2[[#This Row],[Pass / Fail Distance D2]]="P",IF(GamesDay2[[#This Row],[Prev Qs Distance D2]]="",1,GamesDay2[[#This Row],[Prev Qs Distance D2]]+1),GamesDay2[[#This Row],[Prev Qs Distance D2]])</f>
        <v>0</v>
      </c>
      <c r="AA77" s="155" t="e">
        <f t="shared" si="11"/>
        <v>#N/A</v>
      </c>
      <c r="AB77" s="155">
        <f>IFERROR(VLOOKUP(GamesDay2[[#This Row],[Dog D2]],GamesDay1[[Dog D1]:[Total Qs Speed D1]],30,FALSE),IFERROR(VLOOKUP(GamesDay2[[#This Row],[Dog D2]]&amp;"-"&amp;AB$5,DogInfo!A:B,2,FALSE),0))</f>
        <v>0</v>
      </c>
      <c r="AC77" s="220"/>
      <c r="AD77" s="221"/>
      <c r="AE77" s="155" t="str">
        <f>IF(ISBLANK(GamesDay2[[#This Row],[Time Speed D2]]),"",RANK(GamesDay2[[#This Row],[Time Speed D2]],GamesDay2[Time Speed D2],1))</f>
        <v/>
      </c>
      <c r="AF77" s="220"/>
      <c r="AG77" s="225">
        <f>IF(GamesDay2[[#This Row],[Pass / Fail Speed D2]]="P",IF(GamesDay2[[#This Row],[Prev Qs Speed D2]]="",1,GamesDay2[[#This Row],[Prev Qs Speed D2]]+1),GamesDay2[[#This Row],[Prev Qs Speed D2]])</f>
        <v>0</v>
      </c>
      <c r="AH77" s="155" t="e">
        <f t="shared" si="12"/>
        <v>#N/A</v>
      </c>
      <c r="AI77" s="155">
        <f>IFERROR(VLOOKUP(GamesDay2[[#This Row],[Dog D2]],GamesDay1[[Dog D1]:[Total Qs Team D1]],37,FALSE),IFERROR(VLOOKUP(GamesDay2[[#This Row],[Dog D2]]&amp;"-"&amp;AI$5,DogInfo!A:B,2,FALSE),0))</f>
        <v>0</v>
      </c>
      <c r="AJ77" s="220"/>
      <c r="AK77" s="221"/>
      <c r="AL77" s="155" t="str">
        <f>IF(ISBLANK(GamesDay2[[#This Row],[Time Team D2]]),"",RANK(GamesDay2[[#This Row],[Time Team D2]],GamesDay2[Time Team D2],1))</f>
        <v/>
      </c>
      <c r="AM77" s="220"/>
      <c r="AN77" s="225">
        <f>IF(GamesDay2[[#This Row],[Pass / Fail Team D2]]="P",IF(GamesDay2[[#This Row],[Prev Qs Team D2]]="",1,GamesDay2[[#This Row],[Prev Qs Team D2]]+1),GamesDay2[[#This Row],[Prev Qs Team D2]])</f>
        <v>0</v>
      </c>
      <c r="AO7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7" s="167">
        <f>GamesDay2[[#This Row],[Number of Games D2]]*SddaFee</f>
        <v>0</v>
      </c>
      <c r="AS77" s="167">
        <f>(GamesDay2[[#This Row],[Number of Games D2]]+GamesDay2[[#This Row],[Number of FEOs D2]])*JudgesFeeFEOGames</f>
        <v>0</v>
      </c>
    </row>
    <row r="78" spans="1:45" ht="24.75" customHeight="1" x14ac:dyDescent="0.2">
      <c r="A78" s="171" t="s">
        <v>3689</v>
      </c>
      <c r="B78" s="155">
        <v>63</v>
      </c>
      <c r="C7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8" s="220"/>
      <c r="E78" s="219" t="str">
        <f>IFERROR(VLOOKUP(GamesDay2[[#This Row],[Dog D2]],'SDDA Dogs'!A:B,2,FALSE),"")</f>
        <v/>
      </c>
      <c r="F78" s="219" t="str">
        <f>IFERROR(VLOOKUP(GamesDay2[[#This Row],[Dog D2]],'SDDA Dogs'!A:C,3,FALSE),"")</f>
        <v/>
      </c>
      <c r="G78" s="219" t="str">
        <f>IFERROR(VLOOKUP(GamesDay2[[#This Row],[Dog D2]],'SDDA Dogs'!A:F,6,FALSE),"")</f>
        <v/>
      </c>
      <c r="H78" s="219"/>
      <c r="I78" s="155">
        <f>GamesDay2[[#This Row],[Total Qs Aerial D2]]</f>
        <v>0</v>
      </c>
      <c r="J78" s="155">
        <f>GamesDay2[[#This Row],[Total Qs Distance D2]]</f>
        <v>0</v>
      </c>
      <c r="K78" s="155">
        <f>GamesDay2[[#This Row],[Total Qs Speed D2]]</f>
        <v>0</v>
      </c>
      <c r="L78" s="155">
        <f>GamesDay2[[#This Row],[Total Qs Team D2]]</f>
        <v>0</v>
      </c>
      <c r="M78" s="219" t="e">
        <f t="shared" si="9"/>
        <v>#N/A</v>
      </c>
      <c r="N78" s="293">
        <f>IFERROR(VLOOKUP(GamesDay2[[#This Row],[Dog D2]],GamesDay1[[Dog D1]:[Total Qs Aerial D1]],16,FALSE),IFERROR(VLOOKUP(GamesDay2[[#This Row],[Dog D2]]&amp;"-"&amp;N$5,DogInfo!A:B,2,FALSE),0))</f>
        <v>0</v>
      </c>
      <c r="O78" s="301"/>
      <c r="P78" s="301"/>
      <c r="Q78" s="294" t="str">
        <f>IF(ISBLANK(GamesDay2[[#This Row],[Time Aerial D2]]),"",RANK(GamesDay2[[#This Row],[Time Aerial D2]],GamesDay2[Time Aerial D2],1))</f>
        <v/>
      </c>
      <c r="R78" s="301"/>
      <c r="S78" s="300">
        <f>IF(GamesDay2[[#This Row],[Pass / Fail Aerial D2]]="P",IF(GamesDay2[[#This Row],[Prev Qs Aerial D2]]="",1,GamesDay2[[#This Row],[Prev Qs Aerial D2]]+1),GamesDay2[[#This Row],[Prev Qs Aerial D2]])</f>
        <v>0</v>
      </c>
      <c r="T78" s="155" t="e">
        <f t="shared" si="10"/>
        <v>#N/A</v>
      </c>
      <c r="U78" s="296">
        <f>IFERROR(VLOOKUP(GamesDay2[[#This Row],[Dog D2]],GamesDay1[[Dog D1]:[Total Qs Distance D1]],23,FALSE),IFERROR(VLOOKUP(GamesDay2[[#This Row],[Dog D2]]&amp;"-"&amp;U$5,DogInfo!A:B,2,FALSE),0))</f>
        <v>0</v>
      </c>
      <c r="V78" s="303"/>
      <c r="W78" s="303"/>
      <c r="X78" s="297" t="str">
        <f>IF(ISBLANK(GamesDay2[[#This Row],[Time Distance D2]]),"",RANK(GamesDay2[[#This Row],[Time Distance D2]],GamesDay2[Time Distance D2],1))</f>
        <v/>
      </c>
      <c r="Y78" s="303"/>
      <c r="Z78" s="297">
        <f>IF(GamesDay2[[#This Row],[Pass / Fail Distance D2]]="P",IF(GamesDay2[[#This Row],[Prev Qs Distance D2]]="",1,GamesDay2[[#This Row],[Prev Qs Distance D2]]+1),GamesDay2[[#This Row],[Prev Qs Distance D2]])</f>
        <v>0</v>
      </c>
      <c r="AA78" s="155" t="e">
        <f t="shared" si="11"/>
        <v>#N/A</v>
      </c>
      <c r="AB78" s="298">
        <f>IFERROR(VLOOKUP(GamesDay2[[#This Row],[Dog D2]],GamesDay1[[Dog D1]:[Total Qs Speed D1]],30,FALSE),IFERROR(VLOOKUP(GamesDay2[[#This Row],[Dog D2]]&amp;"-"&amp;AB$5,DogInfo!A:B,2,FALSE),0))</f>
        <v>0</v>
      </c>
      <c r="AC78" s="304"/>
      <c r="AD78" s="304"/>
      <c r="AE78" s="299" t="str">
        <f>IF(ISBLANK(GamesDay2[[#This Row],[Time Speed D2]]),"",RANK(GamesDay2[[#This Row],[Time Speed D2]],GamesDay2[Time Speed D2],1))</f>
        <v/>
      </c>
      <c r="AF78" s="304"/>
      <c r="AG78" s="299">
        <f>IF(GamesDay2[[#This Row],[Pass / Fail Speed D2]]="P",IF(GamesDay2[[#This Row],[Prev Qs Speed D2]]="",1,GamesDay2[[#This Row],[Prev Qs Speed D2]]+1),GamesDay2[[#This Row],[Prev Qs Speed D2]])</f>
        <v>0</v>
      </c>
      <c r="AH78" s="155" t="e">
        <f t="shared" si="12"/>
        <v>#N/A</v>
      </c>
      <c r="AI78" s="155">
        <f>IFERROR(VLOOKUP(GamesDay2[[#This Row],[Dog D2]],GamesDay1[[Dog D1]:[Total Qs Team D1]],37,FALSE),IFERROR(VLOOKUP(GamesDay2[[#This Row],[Dog D2]]&amp;"-"&amp;AI$5,DogInfo!A:B,2,FALSE),0))</f>
        <v>0</v>
      </c>
      <c r="AJ78" s="220"/>
      <c r="AK78" s="221"/>
      <c r="AL78" s="155" t="str">
        <f>IF(ISBLANK(GamesDay2[[#This Row],[Time Team D2]]),"",RANK(GamesDay2[[#This Row],[Time Team D2]],GamesDay2[Time Team D2],1))</f>
        <v/>
      </c>
      <c r="AM78" s="220"/>
      <c r="AN78" s="225">
        <f>IF(GamesDay2[[#This Row],[Pass / Fail Team D2]]="P",IF(GamesDay2[[#This Row],[Prev Qs Team D2]]="",1,GamesDay2[[#This Row],[Prev Qs Team D2]]+1),GamesDay2[[#This Row],[Prev Qs Team D2]])</f>
        <v>0</v>
      </c>
      <c r="AO7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8" s="167">
        <f>GamesDay2[[#This Row],[Number of Games D2]]*SddaFee</f>
        <v>0</v>
      </c>
      <c r="AS78" s="167">
        <f>(GamesDay2[[#This Row],[Number of Games D2]]+GamesDay2[[#This Row],[Number of FEOs D2]])*JudgesFeeFEOGames</f>
        <v>0</v>
      </c>
    </row>
    <row r="79" spans="1:45" ht="24.75" customHeight="1" x14ac:dyDescent="0.2">
      <c r="A79" s="171" t="s">
        <v>3689</v>
      </c>
      <c r="B79" s="155">
        <v>64</v>
      </c>
      <c r="C7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9" s="220"/>
      <c r="E79" s="219" t="str">
        <f>IFERROR(VLOOKUP(GamesDay2[[#This Row],[Dog D2]],'SDDA Dogs'!A:B,2,FALSE),"")</f>
        <v/>
      </c>
      <c r="F79" s="219" t="str">
        <f>IFERROR(VLOOKUP(GamesDay2[[#This Row],[Dog D2]],'SDDA Dogs'!A:C,3,FALSE),"")</f>
        <v/>
      </c>
      <c r="G79" s="219" t="str">
        <f>IFERROR(VLOOKUP(GamesDay2[[#This Row],[Dog D2]],'SDDA Dogs'!A:F,6,FALSE),"")</f>
        <v/>
      </c>
      <c r="H79" s="219"/>
      <c r="I79" s="155">
        <f>GamesDay2[[#This Row],[Total Qs Aerial D2]]</f>
        <v>0</v>
      </c>
      <c r="J79" s="155">
        <f>GamesDay2[[#This Row],[Total Qs Distance D2]]</f>
        <v>0</v>
      </c>
      <c r="K79" s="155">
        <f>GamesDay2[[#This Row],[Total Qs Speed D2]]</f>
        <v>0</v>
      </c>
      <c r="L79" s="155">
        <f>GamesDay2[[#This Row],[Total Qs Team D2]]</f>
        <v>0</v>
      </c>
      <c r="M79" s="219" t="e">
        <f t="shared" si="9"/>
        <v>#N/A</v>
      </c>
      <c r="N79" s="155">
        <f>IFERROR(VLOOKUP(GamesDay2[[#This Row],[Dog D2]],GamesDay1[[Dog D1]:[Total Qs Aerial D1]],16,FALSE),IFERROR(VLOOKUP(GamesDay2[[#This Row],[Dog D2]]&amp;"-"&amp;N$5,DogInfo!A:B,2,FALSE),0))</f>
        <v>0</v>
      </c>
      <c r="O79" s="220"/>
      <c r="P79" s="221"/>
      <c r="Q79" s="155" t="str">
        <f>IF(ISBLANK(GamesDay2[[#This Row],[Time Aerial D2]]),"",RANK(GamesDay2[[#This Row],[Time Aerial D2]],GamesDay2[Time Aerial D2],1))</f>
        <v/>
      </c>
      <c r="R79" s="220"/>
      <c r="S79" s="225">
        <f>IF(GamesDay2[[#This Row],[Pass / Fail Aerial D2]]="P",IF(GamesDay2[[#This Row],[Prev Qs Aerial D2]]="",1,GamesDay2[[#This Row],[Prev Qs Aerial D2]]+1),GamesDay2[[#This Row],[Prev Qs Aerial D2]])</f>
        <v>0</v>
      </c>
      <c r="T79" s="155" t="e">
        <f t="shared" si="10"/>
        <v>#N/A</v>
      </c>
      <c r="U79" s="155">
        <f>IFERROR(VLOOKUP(GamesDay2[[#This Row],[Dog D2]],GamesDay1[[Dog D1]:[Total Qs Distance D1]],23,FALSE),IFERROR(VLOOKUP(GamesDay2[[#This Row],[Dog D2]]&amp;"-"&amp;U$5,DogInfo!A:B,2,FALSE),0))</f>
        <v>0</v>
      </c>
      <c r="V79" s="220"/>
      <c r="W79" s="221"/>
      <c r="X79" s="155" t="str">
        <f>IF(ISBLANK(GamesDay2[[#This Row],[Time Distance D2]]),"",RANK(GamesDay2[[#This Row],[Time Distance D2]],GamesDay2[Time Distance D2],1))</f>
        <v/>
      </c>
      <c r="Y79" s="220"/>
      <c r="Z79" s="225">
        <f>IF(GamesDay2[[#This Row],[Pass / Fail Distance D2]]="P",IF(GamesDay2[[#This Row],[Prev Qs Distance D2]]="",1,GamesDay2[[#This Row],[Prev Qs Distance D2]]+1),GamesDay2[[#This Row],[Prev Qs Distance D2]])</f>
        <v>0</v>
      </c>
      <c r="AA79" s="155" t="e">
        <f t="shared" si="11"/>
        <v>#N/A</v>
      </c>
      <c r="AB79" s="155">
        <f>IFERROR(VLOOKUP(GamesDay2[[#This Row],[Dog D2]],GamesDay1[[Dog D1]:[Total Qs Speed D1]],30,FALSE),IFERROR(VLOOKUP(GamesDay2[[#This Row],[Dog D2]]&amp;"-"&amp;AB$5,DogInfo!A:B,2,FALSE),0))</f>
        <v>0</v>
      </c>
      <c r="AC79" s="220"/>
      <c r="AD79" s="221"/>
      <c r="AE79" s="155" t="str">
        <f>IF(ISBLANK(GamesDay2[[#This Row],[Time Speed D2]]),"",RANK(GamesDay2[[#This Row],[Time Speed D2]],GamesDay2[Time Speed D2],1))</f>
        <v/>
      </c>
      <c r="AF79" s="220"/>
      <c r="AG79" s="225">
        <f>IF(GamesDay2[[#This Row],[Pass / Fail Speed D2]]="P",IF(GamesDay2[[#This Row],[Prev Qs Speed D2]]="",1,GamesDay2[[#This Row],[Prev Qs Speed D2]]+1),GamesDay2[[#This Row],[Prev Qs Speed D2]])</f>
        <v>0</v>
      </c>
      <c r="AH79" s="155" t="e">
        <f t="shared" si="12"/>
        <v>#N/A</v>
      </c>
      <c r="AI79" s="155">
        <f>IFERROR(VLOOKUP(GamesDay2[[#This Row],[Dog D2]],GamesDay1[[Dog D1]:[Total Qs Team D1]],37,FALSE),IFERROR(VLOOKUP(GamesDay2[[#This Row],[Dog D2]]&amp;"-"&amp;AI$5,DogInfo!A:B,2,FALSE),0))</f>
        <v>0</v>
      </c>
      <c r="AJ79" s="220"/>
      <c r="AK79" s="221"/>
      <c r="AL79" s="155" t="str">
        <f>IF(ISBLANK(GamesDay2[[#This Row],[Time Team D2]]),"",RANK(GamesDay2[[#This Row],[Time Team D2]],GamesDay2[Time Team D2],1))</f>
        <v/>
      </c>
      <c r="AM79" s="220"/>
      <c r="AN79" s="225">
        <f>IF(GamesDay2[[#This Row],[Pass / Fail Team D2]]="P",IF(GamesDay2[[#This Row],[Prev Qs Team D2]]="",1,GamesDay2[[#This Row],[Prev Qs Team D2]]+1),GamesDay2[[#This Row],[Prev Qs Team D2]])</f>
        <v>0</v>
      </c>
      <c r="AO7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9" s="167">
        <f>GamesDay2[[#This Row],[Number of Games D2]]*SddaFee</f>
        <v>0</v>
      </c>
      <c r="AS79" s="167">
        <f>(GamesDay2[[#This Row],[Number of Games D2]]+GamesDay2[[#This Row],[Number of FEOs D2]])*JudgesFeeFEOGames</f>
        <v>0</v>
      </c>
    </row>
    <row r="80" spans="1:45" ht="24.75" customHeight="1" x14ac:dyDescent="0.2">
      <c r="A80" s="171" t="s">
        <v>3689</v>
      </c>
      <c r="B80" s="155">
        <v>65</v>
      </c>
      <c r="C8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0" s="220"/>
      <c r="E80" s="219" t="str">
        <f>IFERROR(VLOOKUP(GamesDay2[[#This Row],[Dog D2]],'SDDA Dogs'!A:B,2,FALSE),"")</f>
        <v/>
      </c>
      <c r="F80" s="219" t="str">
        <f>IFERROR(VLOOKUP(GamesDay2[[#This Row],[Dog D2]],'SDDA Dogs'!A:C,3,FALSE),"")</f>
        <v/>
      </c>
      <c r="G80" s="219" t="str">
        <f>IFERROR(VLOOKUP(GamesDay2[[#This Row],[Dog D2]],'SDDA Dogs'!A:F,6,FALSE),"")</f>
        <v/>
      </c>
      <c r="H80" s="219"/>
      <c r="I80" s="155">
        <f>GamesDay2[[#This Row],[Total Qs Aerial D2]]</f>
        <v>0</v>
      </c>
      <c r="J80" s="155">
        <f>GamesDay2[[#This Row],[Total Qs Distance D2]]</f>
        <v>0</v>
      </c>
      <c r="K80" s="155">
        <f>GamesDay2[[#This Row],[Total Qs Speed D2]]</f>
        <v>0</v>
      </c>
      <c r="L80" s="155">
        <f>GamesDay2[[#This Row],[Total Qs Team D2]]</f>
        <v>0</v>
      </c>
      <c r="M80" s="219" t="e">
        <f t="shared" si="9"/>
        <v>#N/A</v>
      </c>
      <c r="N80" s="293">
        <f>IFERROR(VLOOKUP(GamesDay2[[#This Row],[Dog D2]],GamesDay1[[Dog D1]:[Total Qs Aerial D1]],16,FALSE),IFERROR(VLOOKUP(GamesDay2[[#This Row],[Dog D2]]&amp;"-"&amp;N$5,DogInfo!A:B,2,FALSE),0))</f>
        <v>0</v>
      </c>
      <c r="O80" s="301"/>
      <c r="P80" s="301"/>
      <c r="Q80" s="294" t="str">
        <f>IF(ISBLANK(GamesDay2[[#This Row],[Time Aerial D2]]),"",RANK(GamesDay2[[#This Row],[Time Aerial D2]],GamesDay2[Time Aerial D2],1))</f>
        <v/>
      </c>
      <c r="R80" s="301"/>
      <c r="S80" s="300">
        <f>IF(GamesDay2[[#This Row],[Pass / Fail Aerial D2]]="P",IF(GamesDay2[[#This Row],[Prev Qs Aerial D2]]="",1,GamesDay2[[#This Row],[Prev Qs Aerial D2]]+1),GamesDay2[[#This Row],[Prev Qs Aerial D2]])</f>
        <v>0</v>
      </c>
      <c r="T80" s="155" t="e">
        <f t="shared" si="10"/>
        <v>#N/A</v>
      </c>
      <c r="U80" s="296">
        <f>IFERROR(VLOOKUP(GamesDay2[[#This Row],[Dog D2]],GamesDay1[[Dog D1]:[Total Qs Distance D1]],23,FALSE),IFERROR(VLOOKUP(GamesDay2[[#This Row],[Dog D2]]&amp;"-"&amp;U$5,DogInfo!A:B,2,FALSE),0))</f>
        <v>0</v>
      </c>
      <c r="V80" s="303"/>
      <c r="W80" s="303"/>
      <c r="X80" s="297" t="str">
        <f>IF(ISBLANK(GamesDay2[[#This Row],[Time Distance D2]]),"",RANK(GamesDay2[[#This Row],[Time Distance D2]],GamesDay2[Time Distance D2],1))</f>
        <v/>
      </c>
      <c r="Y80" s="303"/>
      <c r="Z80" s="297">
        <f>IF(GamesDay2[[#This Row],[Pass / Fail Distance D2]]="P",IF(GamesDay2[[#This Row],[Prev Qs Distance D2]]="",1,GamesDay2[[#This Row],[Prev Qs Distance D2]]+1),GamesDay2[[#This Row],[Prev Qs Distance D2]])</f>
        <v>0</v>
      </c>
      <c r="AA80" s="155" t="e">
        <f t="shared" si="11"/>
        <v>#N/A</v>
      </c>
      <c r="AB80" s="298">
        <f>IFERROR(VLOOKUP(GamesDay2[[#This Row],[Dog D2]],GamesDay1[[Dog D1]:[Total Qs Speed D1]],30,FALSE),IFERROR(VLOOKUP(GamesDay2[[#This Row],[Dog D2]]&amp;"-"&amp;AB$5,DogInfo!A:B,2,FALSE),0))</f>
        <v>0</v>
      </c>
      <c r="AC80" s="304"/>
      <c r="AD80" s="304"/>
      <c r="AE80" s="299" t="str">
        <f>IF(ISBLANK(GamesDay2[[#This Row],[Time Speed D2]]),"",RANK(GamesDay2[[#This Row],[Time Speed D2]],GamesDay2[Time Speed D2],1))</f>
        <v/>
      </c>
      <c r="AF80" s="304"/>
      <c r="AG80" s="299">
        <f>IF(GamesDay2[[#This Row],[Pass / Fail Speed D2]]="P",IF(GamesDay2[[#This Row],[Prev Qs Speed D2]]="",1,GamesDay2[[#This Row],[Prev Qs Speed D2]]+1),GamesDay2[[#This Row],[Prev Qs Speed D2]])</f>
        <v>0</v>
      </c>
      <c r="AH80" s="155" t="e">
        <f t="shared" si="12"/>
        <v>#N/A</v>
      </c>
      <c r="AI80" s="155">
        <f>IFERROR(VLOOKUP(GamesDay2[[#This Row],[Dog D2]],GamesDay1[[Dog D1]:[Total Qs Team D1]],37,FALSE),IFERROR(VLOOKUP(GamesDay2[[#This Row],[Dog D2]]&amp;"-"&amp;AI$5,DogInfo!A:B,2,FALSE),0))</f>
        <v>0</v>
      </c>
      <c r="AJ80" s="220"/>
      <c r="AK80" s="221"/>
      <c r="AL80" s="155" t="str">
        <f>IF(ISBLANK(GamesDay2[[#This Row],[Time Team D2]]),"",RANK(GamesDay2[[#This Row],[Time Team D2]],GamesDay2[Time Team D2],1))</f>
        <v/>
      </c>
      <c r="AM80" s="220"/>
      <c r="AN80" s="225">
        <f>IF(GamesDay2[[#This Row],[Pass / Fail Team D2]]="P",IF(GamesDay2[[#This Row],[Prev Qs Team D2]]="",1,GamesDay2[[#This Row],[Prev Qs Team D2]]+1),GamesDay2[[#This Row],[Prev Qs Team D2]])</f>
        <v>0</v>
      </c>
      <c r="AO8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0" s="167">
        <f>GamesDay2[[#This Row],[Number of Games D2]]*SddaFee</f>
        <v>0</v>
      </c>
      <c r="AS80" s="167">
        <f>(GamesDay2[[#This Row],[Number of Games D2]]+GamesDay2[[#This Row],[Number of FEOs D2]])*JudgesFeeFEOGames</f>
        <v>0</v>
      </c>
    </row>
    <row r="81" spans="1:45" ht="24.75" customHeight="1" x14ac:dyDescent="0.2">
      <c r="A81" s="171" t="s">
        <v>3689</v>
      </c>
      <c r="B81" s="155">
        <v>66</v>
      </c>
      <c r="C8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1" s="220"/>
      <c r="E81" s="219" t="str">
        <f>IFERROR(VLOOKUP(GamesDay2[[#This Row],[Dog D2]],'SDDA Dogs'!A:B,2,FALSE),"")</f>
        <v/>
      </c>
      <c r="F81" s="219" t="str">
        <f>IFERROR(VLOOKUP(GamesDay2[[#This Row],[Dog D2]],'SDDA Dogs'!A:C,3,FALSE),"")</f>
        <v/>
      </c>
      <c r="G81" s="219" t="str">
        <f>IFERROR(VLOOKUP(GamesDay2[[#This Row],[Dog D2]],'SDDA Dogs'!A:F,6,FALSE),"")</f>
        <v/>
      </c>
      <c r="H81" s="219"/>
      <c r="I81" s="155">
        <f>GamesDay2[[#This Row],[Total Qs Aerial D2]]</f>
        <v>0</v>
      </c>
      <c r="J81" s="155">
        <f>GamesDay2[[#This Row],[Total Qs Distance D2]]</f>
        <v>0</v>
      </c>
      <c r="K81" s="155">
        <f>GamesDay2[[#This Row],[Total Qs Speed D2]]</f>
        <v>0</v>
      </c>
      <c r="L81" s="155">
        <f>GamesDay2[[#This Row],[Total Qs Team D2]]</f>
        <v>0</v>
      </c>
      <c r="M81" s="219" t="e">
        <f t="shared" si="9"/>
        <v>#N/A</v>
      </c>
      <c r="N81" s="155">
        <f>IFERROR(VLOOKUP(GamesDay2[[#This Row],[Dog D2]],GamesDay1[[Dog D1]:[Total Qs Aerial D1]],16,FALSE),IFERROR(VLOOKUP(GamesDay2[[#This Row],[Dog D2]]&amp;"-"&amp;N$5,DogInfo!A:B,2,FALSE),0))</f>
        <v>0</v>
      </c>
      <c r="O81" s="220"/>
      <c r="P81" s="221"/>
      <c r="Q81" s="155" t="str">
        <f>IF(ISBLANK(GamesDay2[[#This Row],[Time Aerial D2]]),"",RANK(GamesDay2[[#This Row],[Time Aerial D2]],GamesDay2[Time Aerial D2],1))</f>
        <v/>
      </c>
      <c r="R81" s="220"/>
      <c r="S81" s="225">
        <f>IF(GamesDay2[[#This Row],[Pass / Fail Aerial D2]]="P",IF(GamesDay2[[#This Row],[Prev Qs Aerial D2]]="",1,GamesDay2[[#This Row],[Prev Qs Aerial D2]]+1),GamesDay2[[#This Row],[Prev Qs Aerial D2]])</f>
        <v>0</v>
      </c>
      <c r="T81" s="155" t="e">
        <f t="shared" si="10"/>
        <v>#N/A</v>
      </c>
      <c r="U81" s="155">
        <f>IFERROR(VLOOKUP(GamesDay2[[#This Row],[Dog D2]],GamesDay1[[Dog D1]:[Total Qs Distance D1]],23,FALSE),IFERROR(VLOOKUP(GamesDay2[[#This Row],[Dog D2]]&amp;"-"&amp;U$5,DogInfo!A:B,2,FALSE),0))</f>
        <v>0</v>
      </c>
      <c r="V81" s="220"/>
      <c r="W81" s="221"/>
      <c r="X81" s="155" t="str">
        <f>IF(ISBLANK(GamesDay2[[#This Row],[Time Distance D2]]),"",RANK(GamesDay2[[#This Row],[Time Distance D2]],GamesDay2[Time Distance D2],1))</f>
        <v/>
      </c>
      <c r="Y81" s="220"/>
      <c r="Z81" s="225">
        <f>IF(GamesDay2[[#This Row],[Pass / Fail Distance D2]]="P",IF(GamesDay2[[#This Row],[Prev Qs Distance D2]]="",1,GamesDay2[[#This Row],[Prev Qs Distance D2]]+1),GamesDay2[[#This Row],[Prev Qs Distance D2]])</f>
        <v>0</v>
      </c>
      <c r="AA81" s="155" t="e">
        <f t="shared" si="11"/>
        <v>#N/A</v>
      </c>
      <c r="AB81" s="155">
        <f>IFERROR(VLOOKUP(GamesDay2[[#This Row],[Dog D2]],GamesDay1[[Dog D1]:[Total Qs Speed D1]],30,FALSE),IFERROR(VLOOKUP(GamesDay2[[#This Row],[Dog D2]]&amp;"-"&amp;AB$5,DogInfo!A:B,2,FALSE),0))</f>
        <v>0</v>
      </c>
      <c r="AC81" s="220"/>
      <c r="AD81" s="221"/>
      <c r="AE81" s="155" t="str">
        <f>IF(ISBLANK(GamesDay2[[#This Row],[Time Speed D2]]),"",RANK(GamesDay2[[#This Row],[Time Speed D2]],GamesDay2[Time Speed D2],1))</f>
        <v/>
      </c>
      <c r="AF81" s="220"/>
      <c r="AG81" s="225">
        <f>IF(GamesDay2[[#This Row],[Pass / Fail Speed D2]]="P",IF(GamesDay2[[#This Row],[Prev Qs Speed D2]]="",1,GamesDay2[[#This Row],[Prev Qs Speed D2]]+1),GamesDay2[[#This Row],[Prev Qs Speed D2]])</f>
        <v>0</v>
      </c>
      <c r="AH81" s="155" t="e">
        <f t="shared" si="12"/>
        <v>#N/A</v>
      </c>
      <c r="AI81" s="155">
        <f>IFERROR(VLOOKUP(GamesDay2[[#This Row],[Dog D2]],GamesDay1[[Dog D1]:[Total Qs Team D1]],37,FALSE),IFERROR(VLOOKUP(GamesDay2[[#This Row],[Dog D2]]&amp;"-"&amp;AI$5,DogInfo!A:B,2,FALSE),0))</f>
        <v>0</v>
      </c>
      <c r="AJ81" s="220"/>
      <c r="AK81" s="221"/>
      <c r="AL81" s="155" t="str">
        <f>IF(ISBLANK(GamesDay2[[#This Row],[Time Team D2]]),"",RANK(GamesDay2[[#This Row],[Time Team D2]],GamesDay2[Time Team D2],1))</f>
        <v/>
      </c>
      <c r="AM81" s="220"/>
      <c r="AN81" s="225">
        <f>IF(GamesDay2[[#This Row],[Pass / Fail Team D2]]="P",IF(GamesDay2[[#This Row],[Prev Qs Team D2]]="",1,GamesDay2[[#This Row],[Prev Qs Team D2]]+1),GamesDay2[[#This Row],[Prev Qs Team D2]])</f>
        <v>0</v>
      </c>
      <c r="AO8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1" s="167">
        <f>GamesDay2[[#This Row],[Number of Games D2]]*SddaFee</f>
        <v>0</v>
      </c>
      <c r="AS81" s="167">
        <f>(GamesDay2[[#This Row],[Number of Games D2]]+GamesDay2[[#This Row],[Number of FEOs D2]])*JudgesFeeFEOGames</f>
        <v>0</v>
      </c>
    </row>
    <row r="82" spans="1:45" ht="24.75" customHeight="1" x14ac:dyDescent="0.2">
      <c r="A82" s="171" t="s">
        <v>3689</v>
      </c>
      <c r="B82" s="155">
        <v>67</v>
      </c>
      <c r="C8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2" s="220"/>
      <c r="E82" s="219" t="str">
        <f>IFERROR(VLOOKUP(GamesDay2[[#This Row],[Dog D2]],'SDDA Dogs'!A:B,2,FALSE),"")</f>
        <v/>
      </c>
      <c r="F82" s="219" t="str">
        <f>IFERROR(VLOOKUP(GamesDay2[[#This Row],[Dog D2]],'SDDA Dogs'!A:C,3,FALSE),"")</f>
        <v/>
      </c>
      <c r="G82" s="219" t="str">
        <f>IFERROR(VLOOKUP(GamesDay2[[#This Row],[Dog D2]],'SDDA Dogs'!A:F,6,FALSE),"")</f>
        <v/>
      </c>
      <c r="H82" s="219"/>
      <c r="I82" s="155">
        <f>GamesDay2[[#This Row],[Total Qs Aerial D2]]</f>
        <v>0</v>
      </c>
      <c r="J82" s="155">
        <f>GamesDay2[[#This Row],[Total Qs Distance D2]]</f>
        <v>0</v>
      </c>
      <c r="K82" s="155">
        <f>GamesDay2[[#This Row],[Total Qs Speed D2]]</f>
        <v>0</v>
      </c>
      <c r="L82" s="155">
        <f>GamesDay2[[#This Row],[Total Qs Team D2]]</f>
        <v>0</v>
      </c>
      <c r="M82" s="219" t="e">
        <f t="shared" si="9"/>
        <v>#N/A</v>
      </c>
      <c r="N82" s="293">
        <f>IFERROR(VLOOKUP(GamesDay2[[#This Row],[Dog D2]],GamesDay1[[Dog D1]:[Total Qs Aerial D1]],16,FALSE),IFERROR(VLOOKUP(GamesDay2[[#This Row],[Dog D2]]&amp;"-"&amp;N$5,DogInfo!A:B,2,FALSE),0))</f>
        <v>0</v>
      </c>
      <c r="O82" s="301"/>
      <c r="P82" s="301"/>
      <c r="Q82" s="294" t="str">
        <f>IF(ISBLANK(GamesDay2[[#This Row],[Time Aerial D2]]),"",RANK(GamesDay2[[#This Row],[Time Aerial D2]],GamesDay2[Time Aerial D2],1))</f>
        <v/>
      </c>
      <c r="R82" s="301"/>
      <c r="S82" s="300">
        <f>IF(GamesDay2[[#This Row],[Pass / Fail Aerial D2]]="P",IF(GamesDay2[[#This Row],[Prev Qs Aerial D2]]="",1,GamesDay2[[#This Row],[Prev Qs Aerial D2]]+1),GamesDay2[[#This Row],[Prev Qs Aerial D2]])</f>
        <v>0</v>
      </c>
      <c r="T82" s="155" t="e">
        <f t="shared" si="10"/>
        <v>#N/A</v>
      </c>
      <c r="U82" s="296">
        <f>IFERROR(VLOOKUP(GamesDay2[[#This Row],[Dog D2]],GamesDay1[[Dog D1]:[Total Qs Distance D1]],23,FALSE),IFERROR(VLOOKUP(GamesDay2[[#This Row],[Dog D2]]&amp;"-"&amp;U$5,DogInfo!A:B,2,FALSE),0))</f>
        <v>0</v>
      </c>
      <c r="V82" s="303"/>
      <c r="W82" s="303"/>
      <c r="X82" s="297" t="str">
        <f>IF(ISBLANK(GamesDay2[[#This Row],[Time Distance D2]]),"",RANK(GamesDay2[[#This Row],[Time Distance D2]],GamesDay2[Time Distance D2],1))</f>
        <v/>
      </c>
      <c r="Y82" s="303"/>
      <c r="Z82" s="297">
        <f>IF(GamesDay2[[#This Row],[Pass / Fail Distance D2]]="P",IF(GamesDay2[[#This Row],[Prev Qs Distance D2]]="",1,GamesDay2[[#This Row],[Prev Qs Distance D2]]+1),GamesDay2[[#This Row],[Prev Qs Distance D2]])</f>
        <v>0</v>
      </c>
      <c r="AA82" s="155" t="e">
        <f t="shared" si="11"/>
        <v>#N/A</v>
      </c>
      <c r="AB82" s="298">
        <f>IFERROR(VLOOKUP(GamesDay2[[#This Row],[Dog D2]],GamesDay1[[Dog D1]:[Total Qs Speed D1]],30,FALSE),IFERROR(VLOOKUP(GamesDay2[[#This Row],[Dog D2]]&amp;"-"&amp;AB$5,DogInfo!A:B,2,FALSE),0))</f>
        <v>0</v>
      </c>
      <c r="AC82" s="304"/>
      <c r="AD82" s="304"/>
      <c r="AE82" s="299" t="str">
        <f>IF(ISBLANK(GamesDay2[[#This Row],[Time Speed D2]]),"",RANK(GamesDay2[[#This Row],[Time Speed D2]],GamesDay2[Time Speed D2],1))</f>
        <v/>
      </c>
      <c r="AF82" s="304"/>
      <c r="AG82" s="299">
        <f>IF(GamesDay2[[#This Row],[Pass / Fail Speed D2]]="P",IF(GamesDay2[[#This Row],[Prev Qs Speed D2]]="",1,GamesDay2[[#This Row],[Prev Qs Speed D2]]+1),GamesDay2[[#This Row],[Prev Qs Speed D2]])</f>
        <v>0</v>
      </c>
      <c r="AH82" s="155" t="e">
        <f t="shared" si="12"/>
        <v>#N/A</v>
      </c>
      <c r="AI82" s="155">
        <f>IFERROR(VLOOKUP(GamesDay2[[#This Row],[Dog D2]],GamesDay1[[Dog D1]:[Total Qs Team D1]],37,FALSE),IFERROR(VLOOKUP(GamesDay2[[#This Row],[Dog D2]]&amp;"-"&amp;AI$5,DogInfo!A:B,2,FALSE),0))</f>
        <v>0</v>
      </c>
      <c r="AJ82" s="220"/>
      <c r="AK82" s="221"/>
      <c r="AL82" s="155" t="str">
        <f>IF(ISBLANK(GamesDay2[[#This Row],[Time Team D2]]),"",RANK(GamesDay2[[#This Row],[Time Team D2]],GamesDay2[Time Team D2],1))</f>
        <v/>
      </c>
      <c r="AM82" s="220"/>
      <c r="AN82" s="225">
        <f>IF(GamesDay2[[#This Row],[Pass / Fail Team D2]]="P",IF(GamesDay2[[#This Row],[Prev Qs Team D2]]="",1,GamesDay2[[#This Row],[Prev Qs Team D2]]+1),GamesDay2[[#This Row],[Prev Qs Team D2]])</f>
        <v>0</v>
      </c>
      <c r="AO8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2" s="167">
        <f>GamesDay2[[#This Row],[Number of Games D2]]*SddaFee</f>
        <v>0</v>
      </c>
      <c r="AS82" s="167">
        <f>(GamesDay2[[#This Row],[Number of Games D2]]+GamesDay2[[#This Row],[Number of FEOs D2]])*JudgesFeeFEOGames</f>
        <v>0</v>
      </c>
    </row>
    <row r="83" spans="1:45" ht="24.75" customHeight="1" x14ac:dyDescent="0.2">
      <c r="A83" s="171" t="s">
        <v>3689</v>
      </c>
      <c r="B83" s="155">
        <v>68</v>
      </c>
      <c r="C8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3" s="220"/>
      <c r="E83" s="219" t="str">
        <f>IFERROR(VLOOKUP(GamesDay2[[#This Row],[Dog D2]],'SDDA Dogs'!A:B,2,FALSE),"")</f>
        <v/>
      </c>
      <c r="F83" s="219" t="str">
        <f>IFERROR(VLOOKUP(GamesDay2[[#This Row],[Dog D2]],'SDDA Dogs'!A:C,3,FALSE),"")</f>
        <v/>
      </c>
      <c r="G83" s="219" t="str">
        <f>IFERROR(VLOOKUP(GamesDay2[[#This Row],[Dog D2]],'SDDA Dogs'!A:F,6,FALSE),"")</f>
        <v/>
      </c>
      <c r="H83" s="219"/>
      <c r="I83" s="155">
        <f>GamesDay2[[#This Row],[Total Qs Aerial D2]]</f>
        <v>0</v>
      </c>
      <c r="J83" s="155">
        <f>GamesDay2[[#This Row],[Total Qs Distance D2]]</f>
        <v>0</v>
      </c>
      <c r="K83" s="155">
        <f>GamesDay2[[#This Row],[Total Qs Speed D2]]</f>
        <v>0</v>
      </c>
      <c r="L83" s="155">
        <f>GamesDay2[[#This Row],[Total Qs Team D2]]</f>
        <v>0</v>
      </c>
      <c r="M83" s="219" t="e">
        <f t="shared" si="9"/>
        <v>#N/A</v>
      </c>
      <c r="N83" s="155">
        <f>IFERROR(VLOOKUP(GamesDay2[[#This Row],[Dog D2]],GamesDay1[[Dog D1]:[Total Qs Aerial D1]],16,FALSE),IFERROR(VLOOKUP(GamesDay2[[#This Row],[Dog D2]]&amp;"-"&amp;N$5,DogInfo!A:B,2,FALSE),0))</f>
        <v>0</v>
      </c>
      <c r="O83" s="220"/>
      <c r="P83" s="221"/>
      <c r="Q83" s="155" t="str">
        <f>IF(ISBLANK(GamesDay2[[#This Row],[Time Aerial D2]]),"",RANK(GamesDay2[[#This Row],[Time Aerial D2]],GamesDay2[Time Aerial D2],1))</f>
        <v/>
      </c>
      <c r="R83" s="220"/>
      <c r="S83" s="225">
        <f>IF(GamesDay2[[#This Row],[Pass / Fail Aerial D2]]="P",IF(GamesDay2[[#This Row],[Prev Qs Aerial D2]]="",1,GamesDay2[[#This Row],[Prev Qs Aerial D2]]+1),GamesDay2[[#This Row],[Prev Qs Aerial D2]])</f>
        <v>0</v>
      </c>
      <c r="T83" s="155" t="e">
        <f t="shared" si="10"/>
        <v>#N/A</v>
      </c>
      <c r="U83" s="155">
        <f>IFERROR(VLOOKUP(GamesDay2[[#This Row],[Dog D2]],GamesDay1[[Dog D1]:[Total Qs Distance D1]],23,FALSE),IFERROR(VLOOKUP(GamesDay2[[#This Row],[Dog D2]]&amp;"-"&amp;U$5,DogInfo!A:B,2,FALSE),0))</f>
        <v>0</v>
      </c>
      <c r="V83" s="220"/>
      <c r="W83" s="221"/>
      <c r="X83" s="155" t="str">
        <f>IF(ISBLANK(GamesDay2[[#This Row],[Time Distance D2]]),"",RANK(GamesDay2[[#This Row],[Time Distance D2]],GamesDay2[Time Distance D2],1))</f>
        <v/>
      </c>
      <c r="Y83" s="220"/>
      <c r="Z83" s="225">
        <f>IF(GamesDay2[[#This Row],[Pass / Fail Distance D2]]="P",IF(GamesDay2[[#This Row],[Prev Qs Distance D2]]="",1,GamesDay2[[#This Row],[Prev Qs Distance D2]]+1),GamesDay2[[#This Row],[Prev Qs Distance D2]])</f>
        <v>0</v>
      </c>
      <c r="AA83" s="155" t="e">
        <f t="shared" si="11"/>
        <v>#N/A</v>
      </c>
      <c r="AB83" s="155">
        <f>IFERROR(VLOOKUP(GamesDay2[[#This Row],[Dog D2]],GamesDay1[[Dog D1]:[Total Qs Speed D1]],30,FALSE),IFERROR(VLOOKUP(GamesDay2[[#This Row],[Dog D2]]&amp;"-"&amp;AB$5,DogInfo!A:B,2,FALSE),0))</f>
        <v>0</v>
      </c>
      <c r="AC83" s="220"/>
      <c r="AD83" s="221"/>
      <c r="AE83" s="155" t="str">
        <f>IF(ISBLANK(GamesDay2[[#This Row],[Time Speed D2]]),"",RANK(GamesDay2[[#This Row],[Time Speed D2]],GamesDay2[Time Speed D2],1))</f>
        <v/>
      </c>
      <c r="AF83" s="220"/>
      <c r="AG83" s="225">
        <f>IF(GamesDay2[[#This Row],[Pass / Fail Speed D2]]="P",IF(GamesDay2[[#This Row],[Prev Qs Speed D2]]="",1,GamesDay2[[#This Row],[Prev Qs Speed D2]]+1),GamesDay2[[#This Row],[Prev Qs Speed D2]])</f>
        <v>0</v>
      </c>
      <c r="AH83" s="155" t="e">
        <f t="shared" si="12"/>
        <v>#N/A</v>
      </c>
      <c r="AI83" s="155">
        <f>IFERROR(VLOOKUP(GamesDay2[[#This Row],[Dog D2]],GamesDay1[[Dog D1]:[Total Qs Team D1]],37,FALSE),IFERROR(VLOOKUP(GamesDay2[[#This Row],[Dog D2]]&amp;"-"&amp;AI$5,DogInfo!A:B,2,FALSE),0))</f>
        <v>0</v>
      </c>
      <c r="AJ83" s="220"/>
      <c r="AK83" s="221"/>
      <c r="AL83" s="155" t="str">
        <f>IF(ISBLANK(GamesDay2[[#This Row],[Time Team D2]]),"",RANK(GamesDay2[[#This Row],[Time Team D2]],GamesDay2[Time Team D2],1))</f>
        <v/>
      </c>
      <c r="AM83" s="220"/>
      <c r="AN83" s="225">
        <f>IF(GamesDay2[[#This Row],[Pass / Fail Team D2]]="P",IF(GamesDay2[[#This Row],[Prev Qs Team D2]]="",1,GamesDay2[[#This Row],[Prev Qs Team D2]]+1),GamesDay2[[#This Row],[Prev Qs Team D2]])</f>
        <v>0</v>
      </c>
      <c r="AO8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3" s="167">
        <f>GamesDay2[[#This Row],[Number of Games D2]]*SddaFee</f>
        <v>0</v>
      </c>
      <c r="AS83" s="167">
        <f>(GamesDay2[[#This Row],[Number of Games D2]]+GamesDay2[[#This Row],[Number of FEOs D2]])*JudgesFeeFEOGames</f>
        <v>0</v>
      </c>
    </row>
    <row r="84" spans="1:45" ht="24.75" customHeight="1" x14ac:dyDescent="0.2">
      <c r="A84" s="171" t="s">
        <v>3689</v>
      </c>
      <c r="B84" s="155">
        <v>69</v>
      </c>
      <c r="C8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4" s="220"/>
      <c r="E84" s="219" t="str">
        <f>IFERROR(VLOOKUP(GamesDay2[[#This Row],[Dog D2]],'SDDA Dogs'!A:B,2,FALSE),"")</f>
        <v/>
      </c>
      <c r="F84" s="219" t="str">
        <f>IFERROR(VLOOKUP(GamesDay2[[#This Row],[Dog D2]],'SDDA Dogs'!A:C,3,FALSE),"")</f>
        <v/>
      </c>
      <c r="G84" s="219" t="str">
        <f>IFERROR(VLOOKUP(GamesDay2[[#This Row],[Dog D2]],'SDDA Dogs'!A:F,6,FALSE),"")</f>
        <v/>
      </c>
      <c r="H84" s="219"/>
      <c r="I84" s="155">
        <f>GamesDay2[[#This Row],[Total Qs Aerial D2]]</f>
        <v>0</v>
      </c>
      <c r="J84" s="155">
        <f>GamesDay2[[#This Row],[Total Qs Distance D2]]</f>
        <v>0</v>
      </c>
      <c r="K84" s="155">
        <f>GamesDay2[[#This Row],[Total Qs Speed D2]]</f>
        <v>0</v>
      </c>
      <c r="L84" s="155">
        <f>GamesDay2[[#This Row],[Total Qs Team D2]]</f>
        <v>0</v>
      </c>
      <c r="M84" s="219" t="e">
        <f t="shared" si="9"/>
        <v>#N/A</v>
      </c>
      <c r="N84" s="293">
        <f>IFERROR(VLOOKUP(GamesDay2[[#This Row],[Dog D2]],GamesDay1[[Dog D1]:[Total Qs Aerial D1]],16,FALSE),IFERROR(VLOOKUP(GamesDay2[[#This Row],[Dog D2]]&amp;"-"&amp;N$5,DogInfo!A:B,2,FALSE),0))</f>
        <v>0</v>
      </c>
      <c r="O84" s="301"/>
      <c r="P84" s="301"/>
      <c r="Q84" s="294" t="str">
        <f>IF(ISBLANK(GamesDay2[[#This Row],[Time Aerial D2]]),"",RANK(GamesDay2[[#This Row],[Time Aerial D2]],GamesDay2[Time Aerial D2],1))</f>
        <v/>
      </c>
      <c r="R84" s="301"/>
      <c r="S84" s="300">
        <f>IF(GamesDay2[[#This Row],[Pass / Fail Aerial D2]]="P",IF(GamesDay2[[#This Row],[Prev Qs Aerial D2]]="",1,GamesDay2[[#This Row],[Prev Qs Aerial D2]]+1),GamesDay2[[#This Row],[Prev Qs Aerial D2]])</f>
        <v>0</v>
      </c>
      <c r="T84" s="155" t="e">
        <f t="shared" si="10"/>
        <v>#N/A</v>
      </c>
      <c r="U84" s="296">
        <f>IFERROR(VLOOKUP(GamesDay2[[#This Row],[Dog D2]],GamesDay1[[Dog D1]:[Total Qs Distance D1]],23,FALSE),IFERROR(VLOOKUP(GamesDay2[[#This Row],[Dog D2]]&amp;"-"&amp;U$5,DogInfo!A:B,2,FALSE),0))</f>
        <v>0</v>
      </c>
      <c r="V84" s="303"/>
      <c r="W84" s="303"/>
      <c r="X84" s="297" t="str">
        <f>IF(ISBLANK(GamesDay2[[#This Row],[Time Distance D2]]),"",RANK(GamesDay2[[#This Row],[Time Distance D2]],GamesDay2[Time Distance D2],1))</f>
        <v/>
      </c>
      <c r="Y84" s="303"/>
      <c r="Z84" s="297">
        <f>IF(GamesDay2[[#This Row],[Pass / Fail Distance D2]]="P",IF(GamesDay2[[#This Row],[Prev Qs Distance D2]]="",1,GamesDay2[[#This Row],[Prev Qs Distance D2]]+1),GamesDay2[[#This Row],[Prev Qs Distance D2]])</f>
        <v>0</v>
      </c>
      <c r="AA84" s="155" t="e">
        <f t="shared" si="11"/>
        <v>#N/A</v>
      </c>
      <c r="AB84" s="298">
        <f>IFERROR(VLOOKUP(GamesDay2[[#This Row],[Dog D2]],GamesDay1[[Dog D1]:[Total Qs Speed D1]],30,FALSE),IFERROR(VLOOKUP(GamesDay2[[#This Row],[Dog D2]]&amp;"-"&amp;AB$5,DogInfo!A:B,2,FALSE),0))</f>
        <v>0</v>
      </c>
      <c r="AC84" s="304"/>
      <c r="AD84" s="304"/>
      <c r="AE84" s="299" t="str">
        <f>IF(ISBLANK(GamesDay2[[#This Row],[Time Speed D2]]),"",RANK(GamesDay2[[#This Row],[Time Speed D2]],GamesDay2[Time Speed D2],1))</f>
        <v/>
      </c>
      <c r="AF84" s="304"/>
      <c r="AG84" s="299">
        <f>IF(GamesDay2[[#This Row],[Pass / Fail Speed D2]]="P",IF(GamesDay2[[#This Row],[Prev Qs Speed D2]]="",1,GamesDay2[[#This Row],[Prev Qs Speed D2]]+1),GamesDay2[[#This Row],[Prev Qs Speed D2]])</f>
        <v>0</v>
      </c>
      <c r="AH84" s="155" t="e">
        <f t="shared" si="12"/>
        <v>#N/A</v>
      </c>
      <c r="AI84" s="155">
        <f>IFERROR(VLOOKUP(GamesDay2[[#This Row],[Dog D2]],GamesDay1[[Dog D1]:[Total Qs Team D1]],37,FALSE),IFERROR(VLOOKUP(GamesDay2[[#This Row],[Dog D2]]&amp;"-"&amp;AI$5,DogInfo!A:B,2,FALSE),0))</f>
        <v>0</v>
      </c>
      <c r="AJ84" s="220"/>
      <c r="AK84" s="221"/>
      <c r="AL84" s="155" t="str">
        <f>IF(ISBLANK(GamesDay2[[#This Row],[Time Team D2]]),"",RANK(GamesDay2[[#This Row],[Time Team D2]],GamesDay2[Time Team D2],1))</f>
        <v/>
      </c>
      <c r="AM84" s="220"/>
      <c r="AN84" s="225">
        <f>IF(GamesDay2[[#This Row],[Pass / Fail Team D2]]="P",IF(GamesDay2[[#This Row],[Prev Qs Team D2]]="",1,GamesDay2[[#This Row],[Prev Qs Team D2]]+1),GamesDay2[[#This Row],[Prev Qs Team D2]])</f>
        <v>0</v>
      </c>
      <c r="AO8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4" s="167">
        <f>GamesDay2[[#This Row],[Number of Games D2]]*SddaFee</f>
        <v>0</v>
      </c>
      <c r="AS84" s="167">
        <f>(GamesDay2[[#This Row],[Number of Games D2]]+GamesDay2[[#This Row],[Number of FEOs D2]])*JudgesFeeFEOGames</f>
        <v>0</v>
      </c>
    </row>
    <row r="85" spans="1:45" ht="24.75" customHeight="1" x14ac:dyDescent="0.2">
      <c r="A85" s="171" t="s">
        <v>3689</v>
      </c>
      <c r="B85" s="155">
        <v>70</v>
      </c>
      <c r="C8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5" s="220"/>
      <c r="E85" s="219" t="str">
        <f>IFERROR(VLOOKUP(GamesDay2[[#This Row],[Dog D2]],'SDDA Dogs'!A:B,2,FALSE),"")</f>
        <v/>
      </c>
      <c r="F85" s="219" t="str">
        <f>IFERROR(VLOOKUP(GamesDay2[[#This Row],[Dog D2]],'SDDA Dogs'!A:C,3,FALSE),"")</f>
        <v/>
      </c>
      <c r="G85" s="219" t="str">
        <f>IFERROR(VLOOKUP(GamesDay2[[#This Row],[Dog D2]],'SDDA Dogs'!A:F,6,FALSE),"")</f>
        <v/>
      </c>
      <c r="H85" s="219"/>
      <c r="I85" s="155">
        <f>GamesDay2[[#This Row],[Total Qs Aerial D2]]</f>
        <v>0</v>
      </c>
      <c r="J85" s="155">
        <f>GamesDay2[[#This Row],[Total Qs Distance D2]]</f>
        <v>0</v>
      </c>
      <c r="K85" s="155">
        <f>GamesDay2[[#This Row],[Total Qs Speed D2]]</f>
        <v>0</v>
      </c>
      <c r="L85" s="155">
        <f>GamesDay2[[#This Row],[Total Qs Team D2]]</f>
        <v>0</v>
      </c>
      <c r="M85" s="219" t="e">
        <f t="shared" si="9"/>
        <v>#N/A</v>
      </c>
      <c r="N85" s="155">
        <f>IFERROR(VLOOKUP(GamesDay2[[#This Row],[Dog D2]],GamesDay1[[Dog D1]:[Total Qs Aerial D1]],16,FALSE),IFERROR(VLOOKUP(GamesDay2[[#This Row],[Dog D2]]&amp;"-"&amp;N$5,DogInfo!A:B,2,FALSE),0))</f>
        <v>0</v>
      </c>
      <c r="O85" s="220"/>
      <c r="P85" s="221"/>
      <c r="Q85" s="155" t="str">
        <f>IF(ISBLANK(GamesDay2[[#This Row],[Time Aerial D2]]),"",RANK(GamesDay2[[#This Row],[Time Aerial D2]],GamesDay2[Time Aerial D2],1))</f>
        <v/>
      </c>
      <c r="R85" s="220"/>
      <c r="S85" s="225">
        <f>IF(GamesDay2[[#This Row],[Pass / Fail Aerial D2]]="P",IF(GamesDay2[[#This Row],[Prev Qs Aerial D2]]="",1,GamesDay2[[#This Row],[Prev Qs Aerial D2]]+1),GamesDay2[[#This Row],[Prev Qs Aerial D2]])</f>
        <v>0</v>
      </c>
      <c r="T85" s="155" t="e">
        <f t="shared" si="10"/>
        <v>#N/A</v>
      </c>
      <c r="U85" s="155">
        <f>IFERROR(VLOOKUP(GamesDay2[[#This Row],[Dog D2]],GamesDay1[[Dog D1]:[Total Qs Distance D1]],23,FALSE),IFERROR(VLOOKUP(GamesDay2[[#This Row],[Dog D2]]&amp;"-"&amp;U$5,DogInfo!A:B,2,FALSE),0))</f>
        <v>0</v>
      </c>
      <c r="V85" s="220"/>
      <c r="W85" s="221"/>
      <c r="X85" s="155" t="str">
        <f>IF(ISBLANK(GamesDay2[[#This Row],[Time Distance D2]]),"",RANK(GamesDay2[[#This Row],[Time Distance D2]],GamesDay2[Time Distance D2],1))</f>
        <v/>
      </c>
      <c r="Y85" s="220"/>
      <c r="Z85" s="225">
        <f>IF(GamesDay2[[#This Row],[Pass / Fail Distance D2]]="P",IF(GamesDay2[[#This Row],[Prev Qs Distance D2]]="",1,GamesDay2[[#This Row],[Prev Qs Distance D2]]+1),GamesDay2[[#This Row],[Prev Qs Distance D2]])</f>
        <v>0</v>
      </c>
      <c r="AA85" s="155" t="e">
        <f t="shared" si="11"/>
        <v>#N/A</v>
      </c>
      <c r="AB85" s="155">
        <f>IFERROR(VLOOKUP(GamesDay2[[#This Row],[Dog D2]],GamesDay1[[Dog D1]:[Total Qs Speed D1]],30,FALSE),IFERROR(VLOOKUP(GamesDay2[[#This Row],[Dog D2]]&amp;"-"&amp;AB$5,DogInfo!A:B,2,FALSE),0))</f>
        <v>0</v>
      </c>
      <c r="AC85" s="220"/>
      <c r="AD85" s="221"/>
      <c r="AE85" s="155" t="str">
        <f>IF(ISBLANK(GamesDay2[[#This Row],[Time Speed D2]]),"",RANK(GamesDay2[[#This Row],[Time Speed D2]],GamesDay2[Time Speed D2],1))</f>
        <v/>
      </c>
      <c r="AF85" s="220"/>
      <c r="AG85" s="225">
        <f>IF(GamesDay2[[#This Row],[Pass / Fail Speed D2]]="P",IF(GamesDay2[[#This Row],[Prev Qs Speed D2]]="",1,GamesDay2[[#This Row],[Prev Qs Speed D2]]+1),GamesDay2[[#This Row],[Prev Qs Speed D2]])</f>
        <v>0</v>
      </c>
      <c r="AH85" s="155" t="e">
        <f t="shared" si="12"/>
        <v>#N/A</v>
      </c>
      <c r="AI85" s="155">
        <f>IFERROR(VLOOKUP(GamesDay2[[#This Row],[Dog D2]],GamesDay1[[Dog D1]:[Total Qs Team D1]],37,FALSE),IFERROR(VLOOKUP(GamesDay2[[#This Row],[Dog D2]]&amp;"-"&amp;AI$5,DogInfo!A:B,2,FALSE),0))</f>
        <v>0</v>
      </c>
      <c r="AJ85" s="220"/>
      <c r="AK85" s="221"/>
      <c r="AL85" s="155" t="str">
        <f>IF(ISBLANK(GamesDay2[[#This Row],[Time Team D2]]),"",RANK(GamesDay2[[#This Row],[Time Team D2]],GamesDay2[Time Team D2],1))</f>
        <v/>
      </c>
      <c r="AM85" s="220"/>
      <c r="AN85" s="225">
        <f>IF(GamesDay2[[#This Row],[Pass / Fail Team D2]]="P",IF(GamesDay2[[#This Row],[Prev Qs Team D2]]="",1,GamesDay2[[#This Row],[Prev Qs Team D2]]+1),GamesDay2[[#This Row],[Prev Qs Team D2]])</f>
        <v>0</v>
      </c>
      <c r="AO8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5" s="167">
        <f>GamesDay2[[#This Row],[Number of Games D2]]*SddaFee</f>
        <v>0</v>
      </c>
      <c r="AS85" s="167">
        <f>(GamesDay2[[#This Row],[Number of Games D2]]+GamesDay2[[#This Row],[Number of FEOs D2]])*JudgesFeeFEOGames</f>
        <v>0</v>
      </c>
    </row>
    <row r="86" spans="1:45" ht="24.75" customHeight="1" x14ac:dyDescent="0.2">
      <c r="A86" s="171" t="s">
        <v>3689</v>
      </c>
      <c r="B86" s="155">
        <v>71</v>
      </c>
      <c r="C8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6" s="220"/>
      <c r="E86" s="219" t="str">
        <f>IFERROR(VLOOKUP(GamesDay2[[#This Row],[Dog D2]],'SDDA Dogs'!A:B,2,FALSE),"")</f>
        <v/>
      </c>
      <c r="F86" s="219" t="str">
        <f>IFERROR(VLOOKUP(GamesDay2[[#This Row],[Dog D2]],'SDDA Dogs'!A:C,3,FALSE),"")</f>
        <v/>
      </c>
      <c r="G86" s="219" t="str">
        <f>IFERROR(VLOOKUP(GamesDay2[[#This Row],[Dog D2]],'SDDA Dogs'!A:F,6,FALSE),"")</f>
        <v/>
      </c>
      <c r="H86" s="219"/>
      <c r="I86" s="155">
        <f>GamesDay2[[#This Row],[Total Qs Aerial D2]]</f>
        <v>0</v>
      </c>
      <c r="J86" s="155">
        <f>GamesDay2[[#This Row],[Total Qs Distance D2]]</f>
        <v>0</v>
      </c>
      <c r="K86" s="155">
        <f>GamesDay2[[#This Row],[Total Qs Speed D2]]</f>
        <v>0</v>
      </c>
      <c r="L86" s="155">
        <f>GamesDay2[[#This Row],[Total Qs Team D2]]</f>
        <v>0</v>
      </c>
      <c r="M86" s="219" t="e">
        <f t="shared" si="9"/>
        <v>#N/A</v>
      </c>
      <c r="N86" s="293">
        <f>IFERROR(VLOOKUP(GamesDay2[[#This Row],[Dog D2]],GamesDay1[[Dog D1]:[Total Qs Aerial D1]],16,FALSE),IFERROR(VLOOKUP(GamesDay2[[#This Row],[Dog D2]]&amp;"-"&amp;N$5,DogInfo!A:B,2,FALSE),0))</f>
        <v>0</v>
      </c>
      <c r="O86" s="301"/>
      <c r="P86" s="301"/>
      <c r="Q86" s="294" t="str">
        <f>IF(ISBLANK(GamesDay2[[#This Row],[Time Aerial D2]]),"",RANK(GamesDay2[[#This Row],[Time Aerial D2]],GamesDay2[Time Aerial D2],1))</f>
        <v/>
      </c>
      <c r="R86" s="301"/>
      <c r="S86" s="300">
        <f>IF(GamesDay2[[#This Row],[Pass / Fail Aerial D2]]="P",IF(GamesDay2[[#This Row],[Prev Qs Aerial D2]]="",1,GamesDay2[[#This Row],[Prev Qs Aerial D2]]+1),GamesDay2[[#This Row],[Prev Qs Aerial D2]])</f>
        <v>0</v>
      </c>
      <c r="T86" s="155" t="e">
        <f t="shared" si="10"/>
        <v>#N/A</v>
      </c>
      <c r="U86" s="296">
        <f>IFERROR(VLOOKUP(GamesDay2[[#This Row],[Dog D2]],GamesDay1[[Dog D1]:[Total Qs Distance D1]],23,FALSE),IFERROR(VLOOKUP(GamesDay2[[#This Row],[Dog D2]]&amp;"-"&amp;U$5,DogInfo!A:B,2,FALSE),0))</f>
        <v>0</v>
      </c>
      <c r="V86" s="303"/>
      <c r="W86" s="303"/>
      <c r="X86" s="297" t="str">
        <f>IF(ISBLANK(GamesDay2[[#This Row],[Time Distance D2]]),"",RANK(GamesDay2[[#This Row],[Time Distance D2]],GamesDay2[Time Distance D2],1))</f>
        <v/>
      </c>
      <c r="Y86" s="303"/>
      <c r="Z86" s="297">
        <f>IF(GamesDay2[[#This Row],[Pass / Fail Distance D2]]="P",IF(GamesDay2[[#This Row],[Prev Qs Distance D2]]="",1,GamesDay2[[#This Row],[Prev Qs Distance D2]]+1),GamesDay2[[#This Row],[Prev Qs Distance D2]])</f>
        <v>0</v>
      </c>
      <c r="AA86" s="155" t="e">
        <f t="shared" si="11"/>
        <v>#N/A</v>
      </c>
      <c r="AB86" s="298">
        <f>IFERROR(VLOOKUP(GamesDay2[[#This Row],[Dog D2]],GamesDay1[[Dog D1]:[Total Qs Speed D1]],30,FALSE),IFERROR(VLOOKUP(GamesDay2[[#This Row],[Dog D2]]&amp;"-"&amp;AB$5,DogInfo!A:B,2,FALSE),0))</f>
        <v>0</v>
      </c>
      <c r="AC86" s="304"/>
      <c r="AD86" s="304"/>
      <c r="AE86" s="299" t="str">
        <f>IF(ISBLANK(GamesDay2[[#This Row],[Time Speed D2]]),"",RANK(GamesDay2[[#This Row],[Time Speed D2]],GamesDay2[Time Speed D2],1))</f>
        <v/>
      </c>
      <c r="AF86" s="304"/>
      <c r="AG86" s="299">
        <f>IF(GamesDay2[[#This Row],[Pass / Fail Speed D2]]="P",IF(GamesDay2[[#This Row],[Prev Qs Speed D2]]="",1,GamesDay2[[#This Row],[Prev Qs Speed D2]]+1),GamesDay2[[#This Row],[Prev Qs Speed D2]])</f>
        <v>0</v>
      </c>
      <c r="AH86" s="155" t="e">
        <f t="shared" si="12"/>
        <v>#N/A</v>
      </c>
      <c r="AI86" s="155">
        <f>IFERROR(VLOOKUP(GamesDay2[[#This Row],[Dog D2]],GamesDay1[[Dog D1]:[Total Qs Team D1]],37,FALSE),IFERROR(VLOOKUP(GamesDay2[[#This Row],[Dog D2]]&amp;"-"&amp;AI$5,DogInfo!A:B,2,FALSE),0))</f>
        <v>0</v>
      </c>
      <c r="AJ86" s="220"/>
      <c r="AK86" s="221"/>
      <c r="AL86" s="155" t="str">
        <f>IF(ISBLANK(GamesDay2[[#This Row],[Time Team D2]]),"",RANK(GamesDay2[[#This Row],[Time Team D2]],GamesDay2[Time Team D2],1))</f>
        <v/>
      </c>
      <c r="AM86" s="220"/>
      <c r="AN86" s="225">
        <f>IF(GamesDay2[[#This Row],[Pass / Fail Team D2]]="P",IF(GamesDay2[[#This Row],[Prev Qs Team D2]]="",1,GamesDay2[[#This Row],[Prev Qs Team D2]]+1),GamesDay2[[#This Row],[Prev Qs Team D2]])</f>
        <v>0</v>
      </c>
      <c r="AO8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6" s="167">
        <f>GamesDay2[[#This Row],[Number of Games D2]]*SddaFee</f>
        <v>0</v>
      </c>
      <c r="AS86" s="167">
        <f>(GamesDay2[[#This Row],[Number of Games D2]]+GamesDay2[[#This Row],[Number of FEOs D2]])*JudgesFeeFEOGames</f>
        <v>0</v>
      </c>
    </row>
    <row r="87" spans="1:45" ht="24.75" customHeight="1" x14ac:dyDescent="0.2">
      <c r="A87" s="171" t="s">
        <v>3689</v>
      </c>
      <c r="B87" s="155">
        <v>72</v>
      </c>
      <c r="C8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7" s="220"/>
      <c r="E87" s="219" t="str">
        <f>IFERROR(VLOOKUP(GamesDay2[[#This Row],[Dog D2]],'SDDA Dogs'!A:B,2,FALSE),"")</f>
        <v/>
      </c>
      <c r="F87" s="219" t="str">
        <f>IFERROR(VLOOKUP(GamesDay2[[#This Row],[Dog D2]],'SDDA Dogs'!A:C,3,FALSE),"")</f>
        <v/>
      </c>
      <c r="G87" s="219" t="str">
        <f>IFERROR(VLOOKUP(GamesDay2[[#This Row],[Dog D2]],'SDDA Dogs'!A:F,6,FALSE),"")</f>
        <v/>
      </c>
      <c r="H87" s="219"/>
      <c r="I87" s="155">
        <f>GamesDay2[[#This Row],[Total Qs Aerial D2]]</f>
        <v>0</v>
      </c>
      <c r="J87" s="155">
        <f>GamesDay2[[#This Row],[Total Qs Distance D2]]</f>
        <v>0</v>
      </c>
      <c r="K87" s="155">
        <f>GamesDay2[[#This Row],[Total Qs Speed D2]]</f>
        <v>0</v>
      </c>
      <c r="L87" s="155">
        <f>GamesDay2[[#This Row],[Total Qs Team D2]]</f>
        <v>0</v>
      </c>
      <c r="M87" s="219" t="e">
        <f t="shared" si="9"/>
        <v>#N/A</v>
      </c>
      <c r="N87" s="155">
        <f>IFERROR(VLOOKUP(GamesDay2[[#This Row],[Dog D2]],GamesDay1[[Dog D1]:[Total Qs Aerial D1]],16,FALSE),IFERROR(VLOOKUP(GamesDay2[[#This Row],[Dog D2]]&amp;"-"&amp;N$5,DogInfo!A:B,2,FALSE),0))</f>
        <v>0</v>
      </c>
      <c r="O87" s="220"/>
      <c r="P87" s="221"/>
      <c r="Q87" s="155" t="str">
        <f>IF(ISBLANK(GamesDay2[[#This Row],[Time Aerial D2]]),"",RANK(GamesDay2[[#This Row],[Time Aerial D2]],GamesDay2[Time Aerial D2],1))</f>
        <v/>
      </c>
      <c r="R87" s="220"/>
      <c r="S87" s="225">
        <f>IF(GamesDay2[[#This Row],[Pass / Fail Aerial D2]]="P",IF(GamesDay2[[#This Row],[Prev Qs Aerial D2]]="",1,GamesDay2[[#This Row],[Prev Qs Aerial D2]]+1),GamesDay2[[#This Row],[Prev Qs Aerial D2]])</f>
        <v>0</v>
      </c>
      <c r="T87" s="155" t="e">
        <f t="shared" si="10"/>
        <v>#N/A</v>
      </c>
      <c r="U87" s="155">
        <f>IFERROR(VLOOKUP(GamesDay2[[#This Row],[Dog D2]],GamesDay1[[Dog D1]:[Total Qs Distance D1]],23,FALSE),IFERROR(VLOOKUP(GamesDay2[[#This Row],[Dog D2]]&amp;"-"&amp;U$5,DogInfo!A:B,2,FALSE),0))</f>
        <v>0</v>
      </c>
      <c r="V87" s="220"/>
      <c r="W87" s="221"/>
      <c r="X87" s="155" t="str">
        <f>IF(ISBLANK(GamesDay2[[#This Row],[Time Distance D2]]),"",RANK(GamesDay2[[#This Row],[Time Distance D2]],GamesDay2[Time Distance D2],1))</f>
        <v/>
      </c>
      <c r="Y87" s="220"/>
      <c r="Z87" s="225">
        <f>IF(GamesDay2[[#This Row],[Pass / Fail Distance D2]]="P",IF(GamesDay2[[#This Row],[Prev Qs Distance D2]]="",1,GamesDay2[[#This Row],[Prev Qs Distance D2]]+1),GamesDay2[[#This Row],[Prev Qs Distance D2]])</f>
        <v>0</v>
      </c>
      <c r="AA87" s="155" t="e">
        <f t="shared" si="11"/>
        <v>#N/A</v>
      </c>
      <c r="AB87" s="155">
        <f>IFERROR(VLOOKUP(GamesDay2[[#This Row],[Dog D2]],GamesDay1[[Dog D1]:[Total Qs Speed D1]],30,FALSE),IFERROR(VLOOKUP(GamesDay2[[#This Row],[Dog D2]]&amp;"-"&amp;AB$5,DogInfo!A:B,2,FALSE),0))</f>
        <v>0</v>
      </c>
      <c r="AC87" s="220"/>
      <c r="AD87" s="221"/>
      <c r="AE87" s="155" t="str">
        <f>IF(ISBLANK(GamesDay2[[#This Row],[Time Speed D2]]),"",RANK(GamesDay2[[#This Row],[Time Speed D2]],GamesDay2[Time Speed D2],1))</f>
        <v/>
      </c>
      <c r="AF87" s="220"/>
      <c r="AG87" s="225">
        <f>IF(GamesDay2[[#This Row],[Pass / Fail Speed D2]]="P",IF(GamesDay2[[#This Row],[Prev Qs Speed D2]]="",1,GamesDay2[[#This Row],[Prev Qs Speed D2]]+1),GamesDay2[[#This Row],[Prev Qs Speed D2]])</f>
        <v>0</v>
      </c>
      <c r="AH87" s="155" t="e">
        <f t="shared" si="12"/>
        <v>#N/A</v>
      </c>
      <c r="AI87" s="155">
        <f>IFERROR(VLOOKUP(GamesDay2[[#This Row],[Dog D2]],GamesDay1[[Dog D1]:[Total Qs Team D1]],37,FALSE),IFERROR(VLOOKUP(GamesDay2[[#This Row],[Dog D2]]&amp;"-"&amp;AI$5,DogInfo!A:B,2,FALSE),0))</f>
        <v>0</v>
      </c>
      <c r="AJ87" s="220"/>
      <c r="AK87" s="221"/>
      <c r="AL87" s="155" t="str">
        <f>IF(ISBLANK(GamesDay2[[#This Row],[Time Team D2]]),"",RANK(GamesDay2[[#This Row],[Time Team D2]],GamesDay2[Time Team D2],1))</f>
        <v/>
      </c>
      <c r="AM87" s="220"/>
      <c r="AN87" s="225">
        <f>IF(GamesDay2[[#This Row],[Pass / Fail Team D2]]="P",IF(GamesDay2[[#This Row],[Prev Qs Team D2]]="",1,GamesDay2[[#This Row],[Prev Qs Team D2]]+1),GamesDay2[[#This Row],[Prev Qs Team D2]])</f>
        <v>0</v>
      </c>
      <c r="AO8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7" s="167">
        <f>GamesDay2[[#This Row],[Number of Games D2]]*SddaFee</f>
        <v>0</v>
      </c>
      <c r="AS87" s="167">
        <f>(GamesDay2[[#This Row],[Number of Games D2]]+GamesDay2[[#This Row],[Number of FEOs D2]])*JudgesFeeFEOGames</f>
        <v>0</v>
      </c>
    </row>
    <row r="88" spans="1:45" ht="24.75" customHeight="1" x14ac:dyDescent="0.2">
      <c r="A88" s="171" t="s">
        <v>3689</v>
      </c>
      <c r="B88" s="155">
        <v>73</v>
      </c>
      <c r="C8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8" s="220"/>
      <c r="E88" s="219" t="str">
        <f>IFERROR(VLOOKUP(GamesDay2[[#This Row],[Dog D2]],'SDDA Dogs'!A:B,2,FALSE),"")</f>
        <v/>
      </c>
      <c r="F88" s="219" t="str">
        <f>IFERROR(VLOOKUP(GamesDay2[[#This Row],[Dog D2]],'SDDA Dogs'!A:C,3,FALSE),"")</f>
        <v/>
      </c>
      <c r="G88" s="219" t="str">
        <f>IFERROR(VLOOKUP(GamesDay2[[#This Row],[Dog D2]],'SDDA Dogs'!A:F,6,FALSE),"")</f>
        <v/>
      </c>
      <c r="H88" s="219"/>
      <c r="I88" s="155">
        <f>GamesDay2[[#This Row],[Total Qs Aerial D2]]</f>
        <v>0</v>
      </c>
      <c r="J88" s="155">
        <f>GamesDay2[[#This Row],[Total Qs Distance D2]]</f>
        <v>0</v>
      </c>
      <c r="K88" s="155">
        <f>GamesDay2[[#This Row],[Total Qs Speed D2]]</f>
        <v>0</v>
      </c>
      <c r="L88" s="155">
        <f>GamesDay2[[#This Row],[Total Qs Team D2]]</f>
        <v>0</v>
      </c>
      <c r="M88" s="219" t="e">
        <f t="shared" si="9"/>
        <v>#N/A</v>
      </c>
      <c r="N88" s="293">
        <f>IFERROR(VLOOKUP(GamesDay2[[#This Row],[Dog D2]],GamesDay1[[Dog D1]:[Total Qs Aerial D1]],16,FALSE),IFERROR(VLOOKUP(GamesDay2[[#This Row],[Dog D2]]&amp;"-"&amp;N$5,DogInfo!A:B,2,FALSE),0))</f>
        <v>0</v>
      </c>
      <c r="O88" s="301"/>
      <c r="P88" s="301"/>
      <c r="Q88" s="294" t="str">
        <f>IF(ISBLANK(GamesDay2[[#This Row],[Time Aerial D2]]),"",RANK(GamesDay2[[#This Row],[Time Aerial D2]],GamesDay2[Time Aerial D2],1))</f>
        <v/>
      </c>
      <c r="R88" s="301"/>
      <c r="S88" s="300">
        <f>IF(GamesDay2[[#This Row],[Pass / Fail Aerial D2]]="P",IF(GamesDay2[[#This Row],[Prev Qs Aerial D2]]="",1,GamesDay2[[#This Row],[Prev Qs Aerial D2]]+1),GamesDay2[[#This Row],[Prev Qs Aerial D2]])</f>
        <v>0</v>
      </c>
      <c r="T88" s="155" t="e">
        <f t="shared" si="10"/>
        <v>#N/A</v>
      </c>
      <c r="U88" s="296">
        <f>IFERROR(VLOOKUP(GamesDay2[[#This Row],[Dog D2]],GamesDay1[[Dog D1]:[Total Qs Distance D1]],23,FALSE),IFERROR(VLOOKUP(GamesDay2[[#This Row],[Dog D2]]&amp;"-"&amp;U$5,DogInfo!A:B,2,FALSE),0))</f>
        <v>0</v>
      </c>
      <c r="V88" s="303"/>
      <c r="W88" s="303"/>
      <c r="X88" s="297" t="str">
        <f>IF(ISBLANK(GamesDay2[[#This Row],[Time Distance D2]]),"",RANK(GamesDay2[[#This Row],[Time Distance D2]],GamesDay2[Time Distance D2],1))</f>
        <v/>
      </c>
      <c r="Y88" s="303"/>
      <c r="Z88" s="297">
        <f>IF(GamesDay2[[#This Row],[Pass / Fail Distance D2]]="P",IF(GamesDay2[[#This Row],[Prev Qs Distance D2]]="",1,GamesDay2[[#This Row],[Prev Qs Distance D2]]+1),GamesDay2[[#This Row],[Prev Qs Distance D2]])</f>
        <v>0</v>
      </c>
      <c r="AA88" s="155" t="e">
        <f t="shared" si="11"/>
        <v>#N/A</v>
      </c>
      <c r="AB88" s="298">
        <f>IFERROR(VLOOKUP(GamesDay2[[#This Row],[Dog D2]],GamesDay1[[Dog D1]:[Total Qs Speed D1]],30,FALSE),IFERROR(VLOOKUP(GamesDay2[[#This Row],[Dog D2]]&amp;"-"&amp;AB$5,DogInfo!A:B,2,FALSE),0))</f>
        <v>0</v>
      </c>
      <c r="AC88" s="304"/>
      <c r="AD88" s="304"/>
      <c r="AE88" s="299" t="str">
        <f>IF(ISBLANK(GamesDay2[[#This Row],[Time Speed D2]]),"",RANK(GamesDay2[[#This Row],[Time Speed D2]],GamesDay2[Time Speed D2],1))</f>
        <v/>
      </c>
      <c r="AF88" s="304"/>
      <c r="AG88" s="299">
        <f>IF(GamesDay2[[#This Row],[Pass / Fail Speed D2]]="P",IF(GamesDay2[[#This Row],[Prev Qs Speed D2]]="",1,GamesDay2[[#This Row],[Prev Qs Speed D2]]+1),GamesDay2[[#This Row],[Prev Qs Speed D2]])</f>
        <v>0</v>
      </c>
      <c r="AH88" s="155" t="e">
        <f t="shared" si="12"/>
        <v>#N/A</v>
      </c>
      <c r="AI88" s="155">
        <f>IFERROR(VLOOKUP(GamesDay2[[#This Row],[Dog D2]],GamesDay1[[Dog D1]:[Total Qs Team D1]],37,FALSE),IFERROR(VLOOKUP(GamesDay2[[#This Row],[Dog D2]]&amp;"-"&amp;AI$5,DogInfo!A:B,2,FALSE),0))</f>
        <v>0</v>
      </c>
      <c r="AJ88" s="220"/>
      <c r="AK88" s="221"/>
      <c r="AL88" s="155" t="str">
        <f>IF(ISBLANK(GamesDay2[[#This Row],[Time Team D2]]),"",RANK(GamesDay2[[#This Row],[Time Team D2]],GamesDay2[Time Team D2],1))</f>
        <v/>
      </c>
      <c r="AM88" s="220"/>
      <c r="AN88" s="225">
        <f>IF(GamesDay2[[#This Row],[Pass / Fail Team D2]]="P",IF(GamesDay2[[#This Row],[Prev Qs Team D2]]="",1,GamesDay2[[#This Row],[Prev Qs Team D2]]+1),GamesDay2[[#This Row],[Prev Qs Team D2]])</f>
        <v>0</v>
      </c>
      <c r="AO8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8" s="167">
        <f>GamesDay2[[#This Row],[Number of Games D2]]*SddaFee</f>
        <v>0</v>
      </c>
      <c r="AS88" s="167">
        <f>(GamesDay2[[#This Row],[Number of Games D2]]+GamesDay2[[#This Row],[Number of FEOs D2]])*JudgesFeeFEOGames</f>
        <v>0</v>
      </c>
    </row>
    <row r="89" spans="1:45" ht="24.75" customHeight="1" x14ac:dyDescent="0.2">
      <c r="A89" s="171" t="s">
        <v>3689</v>
      </c>
      <c r="B89" s="155">
        <v>74</v>
      </c>
      <c r="C8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9" s="220"/>
      <c r="E89" s="219" t="str">
        <f>IFERROR(VLOOKUP(GamesDay2[[#This Row],[Dog D2]],'SDDA Dogs'!A:B,2,FALSE),"")</f>
        <v/>
      </c>
      <c r="F89" s="219" t="str">
        <f>IFERROR(VLOOKUP(GamesDay2[[#This Row],[Dog D2]],'SDDA Dogs'!A:C,3,FALSE),"")</f>
        <v/>
      </c>
      <c r="G89" s="219" t="str">
        <f>IFERROR(VLOOKUP(GamesDay2[[#This Row],[Dog D2]],'SDDA Dogs'!A:F,6,FALSE),"")</f>
        <v/>
      </c>
      <c r="H89" s="219"/>
      <c r="I89" s="155">
        <f>GamesDay2[[#This Row],[Total Qs Aerial D2]]</f>
        <v>0</v>
      </c>
      <c r="J89" s="155">
        <f>GamesDay2[[#This Row],[Total Qs Distance D2]]</f>
        <v>0</v>
      </c>
      <c r="K89" s="155">
        <f>GamesDay2[[#This Row],[Total Qs Speed D2]]</f>
        <v>0</v>
      </c>
      <c r="L89" s="155">
        <f>GamesDay2[[#This Row],[Total Qs Team D2]]</f>
        <v>0</v>
      </c>
      <c r="M89" s="219" t="e">
        <f t="shared" si="9"/>
        <v>#N/A</v>
      </c>
      <c r="N89" s="155">
        <f>IFERROR(VLOOKUP(GamesDay2[[#This Row],[Dog D2]],GamesDay1[[Dog D1]:[Total Qs Aerial D1]],16,FALSE),IFERROR(VLOOKUP(GamesDay2[[#This Row],[Dog D2]]&amp;"-"&amp;N$5,DogInfo!A:B,2,FALSE),0))</f>
        <v>0</v>
      </c>
      <c r="O89" s="220"/>
      <c r="P89" s="221"/>
      <c r="Q89" s="155" t="str">
        <f>IF(ISBLANK(GamesDay2[[#This Row],[Time Aerial D2]]),"",RANK(GamesDay2[[#This Row],[Time Aerial D2]],GamesDay2[Time Aerial D2],1))</f>
        <v/>
      </c>
      <c r="R89" s="220"/>
      <c r="S89" s="225">
        <f>IF(GamesDay2[[#This Row],[Pass / Fail Aerial D2]]="P",IF(GamesDay2[[#This Row],[Prev Qs Aerial D2]]="",1,GamesDay2[[#This Row],[Prev Qs Aerial D2]]+1),GamesDay2[[#This Row],[Prev Qs Aerial D2]])</f>
        <v>0</v>
      </c>
      <c r="T89" s="155" t="e">
        <f t="shared" si="10"/>
        <v>#N/A</v>
      </c>
      <c r="U89" s="155">
        <f>IFERROR(VLOOKUP(GamesDay2[[#This Row],[Dog D2]],GamesDay1[[Dog D1]:[Total Qs Distance D1]],23,FALSE),IFERROR(VLOOKUP(GamesDay2[[#This Row],[Dog D2]]&amp;"-"&amp;U$5,DogInfo!A:B,2,FALSE),0))</f>
        <v>0</v>
      </c>
      <c r="V89" s="220"/>
      <c r="W89" s="221"/>
      <c r="X89" s="155" t="str">
        <f>IF(ISBLANK(GamesDay2[[#This Row],[Time Distance D2]]),"",RANK(GamesDay2[[#This Row],[Time Distance D2]],GamesDay2[Time Distance D2],1))</f>
        <v/>
      </c>
      <c r="Y89" s="220"/>
      <c r="Z89" s="225">
        <f>IF(GamesDay2[[#This Row],[Pass / Fail Distance D2]]="P",IF(GamesDay2[[#This Row],[Prev Qs Distance D2]]="",1,GamesDay2[[#This Row],[Prev Qs Distance D2]]+1),GamesDay2[[#This Row],[Prev Qs Distance D2]])</f>
        <v>0</v>
      </c>
      <c r="AA89" s="155" t="e">
        <f t="shared" si="11"/>
        <v>#N/A</v>
      </c>
      <c r="AB89" s="155">
        <f>IFERROR(VLOOKUP(GamesDay2[[#This Row],[Dog D2]],GamesDay1[[Dog D1]:[Total Qs Speed D1]],30,FALSE),IFERROR(VLOOKUP(GamesDay2[[#This Row],[Dog D2]]&amp;"-"&amp;AB$5,DogInfo!A:B,2,FALSE),0))</f>
        <v>0</v>
      </c>
      <c r="AC89" s="220"/>
      <c r="AD89" s="221"/>
      <c r="AE89" s="155" t="str">
        <f>IF(ISBLANK(GamesDay2[[#This Row],[Time Speed D2]]),"",RANK(GamesDay2[[#This Row],[Time Speed D2]],GamesDay2[Time Speed D2],1))</f>
        <v/>
      </c>
      <c r="AF89" s="220"/>
      <c r="AG89" s="225">
        <f>IF(GamesDay2[[#This Row],[Pass / Fail Speed D2]]="P",IF(GamesDay2[[#This Row],[Prev Qs Speed D2]]="",1,GamesDay2[[#This Row],[Prev Qs Speed D2]]+1),GamesDay2[[#This Row],[Prev Qs Speed D2]])</f>
        <v>0</v>
      </c>
      <c r="AH89" s="155" t="e">
        <f t="shared" si="12"/>
        <v>#N/A</v>
      </c>
      <c r="AI89" s="155">
        <f>IFERROR(VLOOKUP(GamesDay2[[#This Row],[Dog D2]],GamesDay1[[Dog D1]:[Total Qs Team D1]],37,FALSE),IFERROR(VLOOKUP(GamesDay2[[#This Row],[Dog D2]]&amp;"-"&amp;AI$5,DogInfo!A:B,2,FALSE),0))</f>
        <v>0</v>
      </c>
      <c r="AJ89" s="220"/>
      <c r="AK89" s="221"/>
      <c r="AL89" s="155" t="str">
        <f>IF(ISBLANK(GamesDay2[[#This Row],[Time Team D2]]),"",RANK(GamesDay2[[#This Row],[Time Team D2]],GamesDay2[Time Team D2],1))</f>
        <v/>
      </c>
      <c r="AM89" s="220"/>
      <c r="AN89" s="225">
        <f>IF(GamesDay2[[#This Row],[Pass / Fail Team D2]]="P",IF(GamesDay2[[#This Row],[Prev Qs Team D2]]="",1,GamesDay2[[#This Row],[Prev Qs Team D2]]+1),GamesDay2[[#This Row],[Prev Qs Team D2]])</f>
        <v>0</v>
      </c>
      <c r="AO8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9" s="167">
        <f>GamesDay2[[#This Row],[Number of Games D2]]*SddaFee</f>
        <v>0</v>
      </c>
      <c r="AS89" s="167">
        <f>(GamesDay2[[#This Row],[Number of Games D2]]+GamesDay2[[#This Row],[Number of FEOs D2]])*JudgesFeeFEOGames</f>
        <v>0</v>
      </c>
    </row>
    <row r="90" spans="1:45" ht="24.75" customHeight="1" x14ac:dyDescent="0.2">
      <c r="A90" s="171" t="s">
        <v>3689</v>
      </c>
      <c r="B90" s="155">
        <v>75</v>
      </c>
      <c r="C9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0" s="220"/>
      <c r="E90" s="219" t="str">
        <f>IFERROR(VLOOKUP(GamesDay2[[#This Row],[Dog D2]],'SDDA Dogs'!A:B,2,FALSE),"")</f>
        <v/>
      </c>
      <c r="F90" s="219" t="str">
        <f>IFERROR(VLOOKUP(GamesDay2[[#This Row],[Dog D2]],'SDDA Dogs'!A:C,3,FALSE),"")</f>
        <v/>
      </c>
      <c r="G90" s="219" t="str">
        <f>IFERROR(VLOOKUP(GamesDay2[[#This Row],[Dog D2]],'SDDA Dogs'!A:F,6,FALSE),"")</f>
        <v/>
      </c>
      <c r="H90" s="219"/>
      <c r="I90" s="155">
        <f>GamesDay2[[#This Row],[Total Qs Aerial D2]]</f>
        <v>0</v>
      </c>
      <c r="J90" s="155">
        <f>GamesDay2[[#This Row],[Total Qs Distance D2]]</f>
        <v>0</v>
      </c>
      <c r="K90" s="155">
        <f>GamesDay2[[#This Row],[Total Qs Speed D2]]</f>
        <v>0</v>
      </c>
      <c r="L90" s="155">
        <f>GamesDay2[[#This Row],[Total Qs Team D2]]</f>
        <v>0</v>
      </c>
      <c r="M90" s="219" t="e">
        <f t="shared" si="9"/>
        <v>#N/A</v>
      </c>
      <c r="N90" s="293">
        <f>IFERROR(VLOOKUP(GamesDay2[[#This Row],[Dog D2]],GamesDay1[[Dog D1]:[Total Qs Aerial D1]],16,FALSE),IFERROR(VLOOKUP(GamesDay2[[#This Row],[Dog D2]]&amp;"-"&amp;N$5,DogInfo!A:B,2,FALSE),0))</f>
        <v>0</v>
      </c>
      <c r="O90" s="301"/>
      <c r="P90" s="301"/>
      <c r="Q90" s="294" t="str">
        <f>IF(ISBLANK(GamesDay2[[#This Row],[Time Aerial D2]]),"",RANK(GamesDay2[[#This Row],[Time Aerial D2]],GamesDay2[Time Aerial D2],1))</f>
        <v/>
      </c>
      <c r="R90" s="301"/>
      <c r="S90" s="300">
        <f>IF(GamesDay2[[#This Row],[Pass / Fail Aerial D2]]="P",IF(GamesDay2[[#This Row],[Prev Qs Aerial D2]]="",1,GamesDay2[[#This Row],[Prev Qs Aerial D2]]+1),GamesDay2[[#This Row],[Prev Qs Aerial D2]])</f>
        <v>0</v>
      </c>
      <c r="T90" s="155" t="e">
        <f t="shared" si="10"/>
        <v>#N/A</v>
      </c>
      <c r="U90" s="296">
        <f>IFERROR(VLOOKUP(GamesDay2[[#This Row],[Dog D2]],GamesDay1[[Dog D1]:[Total Qs Distance D1]],23,FALSE),IFERROR(VLOOKUP(GamesDay2[[#This Row],[Dog D2]]&amp;"-"&amp;U$5,DogInfo!A:B,2,FALSE),0))</f>
        <v>0</v>
      </c>
      <c r="V90" s="303"/>
      <c r="W90" s="303"/>
      <c r="X90" s="297" t="str">
        <f>IF(ISBLANK(GamesDay2[[#This Row],[Time Distance D2]]),"",RANK(GamesDay2[[#This Row],[Time Distance D2]],GamesDay2[Time Distance D2],1))</f>
        <v/>
      </c>
      <c r="Y90" s="303"/>
      <c r="Z90" s="297">
        <f>IF(GamesDay2[[#This Row],[Pass / Fail Distance D2]]="P",IF(GamesDay2[[#This Row],[Prev Qs Distance D2]]="",1,GamesDay2[[#This Row],[Prev Qs Distance D2]]+1),GamesDay2[[#This Row],[Prev Qs Distance D2]])</f>
        <v>0</v>
      </c>
      <c r="AA90" s="155" t="e">
        <f t="shared" si="11"/>
        <v>#N/A</v>
      </c>
      <c r="AB90" s="298">
        <f>IFERROR(VLOOKUP(GamesDay2[[#This Row],[Dog D2]],GamesDay1[[Dog D1]:[Total Qs Speed D1]],30,FALSE),IFERROR(VLOOKUP(GamesDay2[[#This Row],[Dog D2]]&amp;"-"&amp;AB$5,DogInfo!A:B,2,FALSE),0))</f>
        <v>0</v>
      </c>
      <c r="AC90" s="304"/>
      <c r="AD90" s="304"/>
      <c r="AE90" s="299" t="str">
        <f>IF(ISBLANK(GamesDay2[[#This Row],[Time Speed D2]]),"",RANK(GamesDay2[[#This Row],[Time Speed D2]],GamesDay2[Time Speed D2],1))</f>
        <v/>
      </c>
      <c r="AF90" s="304"/>
      <c r="AG90" s="299">
        <f>IF(GamesDay2[[#This Row],[Pass / Fail Speed D2]]="P",IF(GamesDay2[[#This Row],[Prev Qs Speed D2]]="",1,GamesDay2[[#This Row],[Prev Qs Speed D2]]+1),GamesDay2[[#This Row],[Prev Qs Speed D2]])</f>
        <v>0</v>
      </c>
      <c r="AH90" s="155" t="e">
        <f t="shared" si="12"/>
        <v>#N/A</v>
      </c>
      <c r="AI90" s="155">
        <f>IFERROR(VLOOKUP(GamesDay2[[#This Row],[Dog D2]],GamesDay1[[Dog D1]:[Total Qs Team D1]],37,FALSE),IFERROR(VLOOKUP(GamesDay2[[#This Row],[Dog D2]]&amp;"-"&amp;AI$5,DogInfo!A:B,2,FALSE),0))</f>
        <v>0</v>
      </c>
      <c r="AJ90" s="220"/>
      <c r="AK90" s="221"/>
      <c r="AL90" s="155" t="str">
        <f>IF(ISBLANK(GamesDay2[[#This Row],[Time Team D2]]),"",RANK(GamesDay2[[#This Row],[Time Team D2]],GamesDay2[Time Team D2],1))</f>
        <v/>
      </c>
      <c r="AM90" s="220"/>
      <c r="AN90" s="225">
        <f>IF(GamesDay2[[#This Row],[Pass / Fail Team D2]]="P",IF(GamesDay2[[#This Row],[Prev Qs Team D2]]="",1,GamesDay2[[#This Row],[Prev Qs Team D2]]+1),GamesDay2[[#This Row],[Prev Qs Team D2]])</f>
        <v>0</v>
      </c>
      <c r="AO9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0" s="167">
        <f>GamesDay2[[#This Row],[Number of Games D2]]*SddaFee</f>
        <v>0</v>
      </c>
      <c r="AS90" s="167">
        <f>(GamesDay2[[#This Row],[Number of Games D2]]+GamesDay2[[#This Row],[Number of FEOs D2]])*JudgesFeeFEOGames</f>
        <v>0</v>
      </c>
    </row>
    <row r="91" spans="1:45" ht="24.75" customHeight="1" x14ac:dyDescent="0.2">
      <c r="A91" s="171" t="s">
        <v>3689</v>
      </c>
      <c r="B91" s="155">
        <v>76</v>
      </c>
      <c r="C9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1" s="220"/>
      <c r="E91" s="219" t="str">
        <f>IFERROR(VLOOKUP(GamesDay2[[#This Row],[Dog D2]],'SDDA Dogs'!A:B,2,FALSE),"")</f>
        <v/>
      </c>
      <c r="F91" s="219" t="str">
        <f>IFERROR(VLOOKUP(GamesDay2[[#This Row],[Dog D2]],'SDDA Dogs'!A:C,3,FALSE),"")</f>
        <v/>
      </c>
      <c r="G91" s="219" t="str">
        <f>IFERROR(VLOOKUP(GamesDay2[[#This Row],[Dog D2]],'SDDA Dogs'!A:F,6,FALSE),"")</f>
        <v/>
      </c>
      <c r="H91" s="219"/>
      <c r="I91" s="155">
        <f>GamesDay2[[#This Row],[Total Qs Aerial D2]]</f>
        <v>0</v>
      </c>
      <c r="J91" s="155">
        <f>GamesDay2[[#This Row],[Total Qs Distance D2]]</f>
        <v>0</v>
      </c>
      <c r="K91" s="155">
        <f>GamesDay2[[#This Row],[Total Qs Speed D2]]</f>
        <v>0</v>
      </c>
      <c r="L91" s="155">
        <f>GamesDay2[[#This Row],[Total Qs Team D2]]</f>
        <v>0</v>
      </c>
      <c r="M91" s="219" t="e">
        <f t="shared" si="9"/>
        <v>#N/A</v>
      </c>
      <c r="N91" s="155">
        <f>IFERROR(VLOOKUP(GamesDay2[[#This Row],[Dog D2]],GamesDay1[[Dog D1]:[Total Qs Aerial D1]],16,FALSE),IFERROR(VLOOKUP(GamesDay2[[#This Row],[Dog D2]]&amp;"-"&amp;N$5,DogInfo!A:B,2,FALSE),0))</f>
        <v>0</v>
      </c>
      <c r="O91" s="220"/>
      <c r="P91" s="221"/>
      <c r="Q91" s="155" t="str">
        <f>IF(ISBLANK(GamesDay2[[#This Row],[Time Aerial D2]]),"",RANK(GamesDay2[[#This Row],[Time Aerial D2]],GamesDay2[Time Aerial D2],1))</f>
        <v/>
      </c>
      <c r="R91" s="220"/>
      <c r="S91" s="225">
        <f>IF(GamesDay2[[#This Row],[Pass / Fail Aerial D2]]="P",IF(GamesDay2[[#This Row],[Prev Qs Aerial D2]]="",1,GamesDay2[[#This Row],[Prev Qs Aerial D2]]+1),GamesDay2[[#This Row],[Prev Qs Aerial D2]])</f>
        <v>0</v>
      </c>
      <c r="T91" s="155" t="e">
        <f t="shared" si="10"/>
        <v>#N/A</v>
      </c>
      <c r="U91" s="155">
        <f>IFERROR(VLOOKUP(GamesDay2[[#This Row],[Dog D2]],GamesDay1[[Dog D1]:[Total Qs Distance D1]],23,FALSE),IFERROR(VLOOKUP(GamesDay2[[#This Row],[Dog D2]]&amp;"-"&amp;U$5,DogInfo!A:B,2,FALSE),0))</f>
        <v>0</v>
      </c>
      <c r="V91" s="220"/>
      <c r="W91" s="221"/>
      <c r="X91" s="155" t="str">
        <f>IF(ISBLANK(GamesDay2[[#This Row],[Time Distance D2]]),"",RANK(GamesDay2[[#This Row],[Time Distance D2]],GamesDay2[Time Distance D2],1))</f>
        <v/>
      </c>
      <c r="Y91" s="220"/>
      <c r="Z91" s="225">
        <f>IF(GamesDay2[[#This Row],[Pass / Fail Distance D2]]="P",IF(GamesDay2[[#This Row],[Prev Qs Distance D2]]="",1,GamesDay2[[#This Row],[Prev Qs Distance D2]]+1),GamesDay2[[#This Row],[Prev Qs Distance D2]])</f>
        <v>0</v>
      </c>
      <c r="AA91" s="155" t="e">
        <f t="shared" si="11"/>
        <v>#N/A</v>
      </c>
      <c r="AB91" s="155">
        <f>IFERROR(VLOOKUP(GamesDay2[[#This Row],[Dog D2]],GamesDay1[[Dog D1]:[Total Qs Speed D1]],30,FALSE),IFERROR(VLOOKUP(GamesDay2[[#This Row],[Dog D2]]&amp;"-"&amp;AB$5,DogInfo!A:B,2,FALSE),0))</f>
        <v>0</v>
      </c>
      <c r="AC91" s="220"/>
      <c r="AD91" s="221"/>
      <c r="AE91" s="155" t="str">
        <f>IF(ISBLANK(GamesDay2[[#This Row],[Time Speed D2]]),"",RANK(GamesDay2[[#This Row],[Time Speed D2]],GamesDay2[Time Speed D2],1))</f>
        <v/>
      </c>
      <c r="AF91" s="220"/>
      <c r="AG91" s="225">
        <f>IF(GamesDay2[[#This Row],[Pass / Fail Speed D2]]="P",IF(GamesDay2[[#This Row],[Prev Qs Speed D2]]="",1,GamesDay2[[#This Row],[Prev Qs Speed D2]]+1),GamesDay2[[#This Row],[Prev Qs Speed D2]])</f>
        <v>0</v>
      </c>
      <c r="AH91" s="155" t="e">
        <f t="shared" si="12"/>
        <v>#N/A</v>
      </c>
      <c r="AI91" s="155">
        <f>IFERROR(VLOOKUP(GamesDay2[[#This Row],[Dog D2]],GamesDay1[[Dog D1]:[Total Qs Team D1]],37,FALSE),IFERROR(VLOOKUP(GamesDay2[[#This Row],[Dog D2]]&amp;"-"&amp;AI$5,DogInfo!A:B,2,FALSE),0))</f>
        <v>0</v>
      </c>
      <c r="AJ91" s="220"/>
      <c r="AK91" s="221"/>
      <c r="AL91" s="155" t="str">
        <f>IF(ISBLANK(GamesDay2[[#This Row],[Time Team D2]]),"",RANK(GamesDay2[[#This Row],[Time Team D2]],GamesDay2[Time Team D2],1))</f>
        <v/>
      </c>
      <c r="AM91" s="220"/>
      <c r="AN91" s="225">
        <f>IF(GamesDay2[[#This Row],[Pass / Fail Team D2]]="P",IF(GamesDay2[[#This Row],[Prev Qs Team D2]]="",1,GamesDay2[[#This Row],[Prev Qs Team D2]]+1),GamesDay2[[#This Row],[Prev Qs Team D2]])</f>
        <v>0</v>
      </c>
      <c r="AO9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1" s="167">
        <f>GamesDay2[[#This Row],[Number of Games D2]]*SddaFee</f>
        <v>0</v>
      </c>
      <c r="AS91" s="167">
        <f>(GamesDay2[[#This Row],[Number of Games D2]]+GamesDay2[[#This Row],[Number of FEOs D2]])*JudgesFeeFEOGames</f>
        <v>0</v>
      </c>
    </row>
    <row r="92" spans="1:45" ht="24.75" customHeight="1" x14ac:dyDescent="0.2">
      <c r="A92" s="171" t="s">
        <v>3689</v>
      </c>
      <c r="B92" s="155">
        <v>77</v>
      </c>
      <c r="C9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2" s="220"/>
      <c r="E92" s="219" t="str">
        <f>IFERROR(VLOOKUP(GamesDay2[[#This Row],[Dog D2]],'SDDA Dogs'!A:B,2,FALSE),"")</f>
        <v/>
      </c>
      <c r="F92" s="219" t="str">
        <f>IFERROR(VLOOKUP(GamesDay2[[#This Row],[Dog D2]],'SDDA Dogs'!A:C,3,FALSE),"")</f>
        <v/>
      </c>
      <c r="G92" s="219" t="str">
        <f>IFERROR(VLOOKUP(GamesDay2[[#This Row],[Dog D2]],'SDDA Dogs'!A:F,6,FALSE),"")</f>
        <v/>
      </c>
      <c r="H92" s="219"/>
      <c r="I92" s="155">
        <f>GamesDay2[[#This Row],[Total Qs Aerial D2]]</f>
        <v>0</v>
      </c>
      <c r="J92" s="155">
        <f>GamesDay2[[#This Row],[Total Qs Distance D2]]</f>
        <v>0</v>
      </c>
      <c r="K92" s="155">
        <f>GamesDay2[[#This Row],[Total Qs Speed D2]]</f>
        <v>0</v>
      </c>
      <c r="L92" s="155">
        <f>GamesDay2[[#This Row],[Total Qs Team D2]]</f>
        <v>0</v>
      </c>
      <c r="M92" s="219" t="e">
        <f t="shared" si="9"/>
        <v>#N/A</v>
      </c>
      <c r="N92" s="293">
        <f>IFERROR(VLOOKUP(GamesDay2[[#This Row],[Dog D2]],GamesDay1[[Dog D1]:[Total Qs Aerial D1]],16,FALSE),IFERROR(VLOOKUP(GamesDay2[[#This Row],[Dog D2]]&amp;"-"&amp;N$5,DogInfo!A:B,2,FALSE),0))</f>
        <v>0</v>
      </c>
      <c r="O92" s="301"/>
      <c r="P92" s="301"/>
      <c r="Q92" s="294" t="str">
        <f>IF(ISBLANK(GamesDay2[[#This Row],[Time Aerial D2]]),"",RANK(GamesDay2[[#This Row],[Time Aerial D2]],GamesDay2[Time Aerial D2],1))</f>
        <v/>
      </c>
      <c r="R92" s="301"/>
      <c r="S92" s="300">
        <f>IF(GamesDay2[[#This Row],[Pass / Fail Aerial D2]]="P",IF(GamesDay2[[#This Row],[Prev Qs Aerial D2]]="",1,GamesDay2[[#This Row],[Prev Qs Aerial D2]]+1),GamesDay2[[#This Row],[Prev Qs Aerial D2]])</f>
        <v>0</v>
      </c>
      <c r="T92" s="155" t="e">
        <f t="shared" si="10"/>
        <v>#N/A</v>
      </c>
      <c r="U92" s="296">
        <f>IFERROR(VLOOKUP(GamesDay2[[#This Row],[Dog D2]],GamesDay1[[Dog D1]:[Total Qs Distance D1]],23,FALSE),IFERROR(VLOOKUP(GamesDay2[[#This Row],[Dog D2]]&amp;"-"&amp;U$5,DogInfo!A:B,2,FALSE),0))</f>
        <v>0</v>
      </c>
      <c r="V92" s="303"/>
      <c r="W92" s="303"/>
      <c r="X92" s="297" t="str">
        <f>IF(ISBLANK(GamesDay2[[#This Row],[Time Distance D2]]),"",RANK(GamesDay2[[#This Row],[Time Distance D2]],GamesDay2[Time Distance D2],1))</f>
        <v/>
      </c>
      <c r="Y92" s="303"/>
      <c r="Z92" s="297">
        <f>IF(GamesDay2[[#This Row],[Pass / Fail Distance D2]]="P",IF(GamesDay2[[#This Row],[Prev Qs Distance D2]]="",1,GamesDay2[[#This Row],[Prev Qs Distance D2]]+1),GamesDay2[[#This Row],[Prev Qs Distance D2]])</f>
        <v>0</v>
      </c>
      <c r="AA92" s="155" t="e">
        <f t="shared" si="11"/>
        <v>#N/A</v>
      </c>
      <c r="AB92" s="298">
        <f>IFERROR(VLOOKUP(GamesDay2[[#This Row],[Dog D2]],GamesDay1[[Dog D1]:[Total Qs Speed D1]],30,FALSE),IFERROR(VLOOKUP(GamesDay2[[#This Row],[Dog D2]]&amp;"-"&amp;AB$5,DogInfo!A:B,2,FALSE),0))</f>
        <v>0</v>
      </c>
      <c r="AC92" s="304"/>
      <c r="AD92" s="304"/>
      <c r="AE92" s="299" t="str">
        <f>IF(ISBLANK(GamesDay2[[#This Row],[Time Speed D2]]),"",RANK(GamesDay2[[#This Row],[Time Speed D2]],GamesDay2[Time Speed D2],1))</f>
        <v/>
      </c>
      <c r="AF92" s="304"/>
      <c r="AG92" s="299">
        <f>IF(GamesDay2[[#This Row],[Pass / Fail Speed D2]]="P",IF(GamesDay2[[#This Row],[Prev Qs Speed D2]]="",1,GamesDay2[[#This Row],[Prev Qs Speed D2]]+1),GamesDay2[[#This Row],[Prev Qs Speed D2]])</f>
        <v>0</v>
      </c>
      <c r="AH92" s="155" t="e">
        <f t="shared" si="12"/>
        <v>#N/A</v>
      </c>
      <c r="AI92" s="155">
        <f>IFERROR(VLOOKUP(GamesDay2[[#This Row],[Dog D2]],GamesDay1[[Dog D1]:[Total Qs Team D1]],37,FALSE),IFERROR(VLOOKUP(GamesDay2[[#This Row],[Dog D2]]&amp;"-"&amp;AI$5,DogInfo!A:B,2,FALSE),0))</f>
        <v>0</v>
      </c>
      <c r="AJ92" s="220"/>
      <c r="AK92" s="221"/>
      <c r="AL92" s="155" t="str">
        <f>IF(ISBLANK(GamesDay2[[#This Row],[Time Team D2]]),"",RANK(GamesDay2[[#This Row],[Time Team D2]],GamesDay2[Time Team D2],1))</f>
        <v/>
      </c>
      <c r="AM92" s="220"/>
      <c r="AN92" s="225">
        <f>IF(GamesDay2[[#This Row],[Pass / Fail Team D2]]="P",IF(GamesDay2[[#This Row],[Prev Qs Team D2]]="",1,GamesDay2[[#This Row],[Prev Qs Team D2]]+1),GamesDay2[[#This Row],[Prev Qs Team D2]])</f>
        <v>0</v>
      </c>
      <c r="AO9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2" s="167">
        <f>GamesDay2[[#This Row],[Number of Games D2]]*SddaFee</f>
        <v>0</v>
      </c>
      <c r="AS92" s="167">
        <f>(GamesDay2[[#This Row],[Number of Games D2]]+GamesDay2[[#This Row],[Number of FEOs D2]])*JudgesFeeFEOGames</f>
        <v>0</v>
      </c>
    </row>
    <row r="93" spans="1:45" ht="24.75" customHeight="1" x14ac:dyDescent="0.2">
      <c r="A93" s="171" t="s">
        <v>3689</v>
      </c>
      <c r="B93" s="155">
        <v>78</v>
      </c>
      <c r="C9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3" s="220"/>
      <c r="E93" s="219" t="str">
        <f>IFERROR(VLOOKUP(GamesDay2[[#This Row],[Dog D2]],'SDDA Dogs'!A:B,2,FALSE),"")</f>
        <v/>
      </c>
      <c r="F93" s="219" t="str">
        <f>IFERROR(VLOOKUP(GamesDay2[[#This Row],[Dog D2]],'SDDA Dogs'!A:C,3,FALSE),"")</f>
        <v/>
      </c>
      <c r="G93" s="219" t="str">
        <f>IFERROR(VLOOKUP(GamesDay2[[#This Row],[Dog D2]],'SDDA Dogs'!A:F,6,FALSE),"")</f>
        <v/>
      </c>
      <c r="H93" s="219"/>
      <c r="I93" s="155">
        <f>GamesDay2[[#This Row],[Total Qs Aerial D2]]</f>
        <v>0</v>
      </c>
      <c r="J93" s="155">
        <f>GamesDay2[[#This Row],[Total Qs Distance D2]]</f>
        <v>0</v>
      </c>
      <c r="K93" s="155">
        <f>GamesDay2[[#This Row],[Total Qs Speed D2]]</f>
        <v>0</v>
      </c>
      <c r="L93" s="155">
        <f>GamesDay2[[#This Row],[Total Qs Team D2]]</f>
        <v>0</v>
      </c>
      <c r="M93" s="219" t="e">
        <f t="shared" si="9"/>
        <v>#N/A</v>
      </c>
      <c r="N93" s="155">
        <f>IFERROR(VLOOKUP(GamesDay2[[#This Row],[Dog D2]],GamesDay1[[Dog D1]:[Total Qs Aerial D1]],16,FALSE),IFERROR(VLOOKUP(GamesDay2[[#This Row],[Dog D2]]&amp;"-"&amp;N$5,DogInfo!A:B,2,FALSE),0))</f>
        <v>0</v>
      </c>
      <c r="O93" s="220"/>
      <c r="P93" s="221"/>
      <c r="Q93" s="155" t="str">
        <f>IF(ISBLANK(GamesDay2[[#This Row],[Time Aerial D2]]),"",RANK(GamesDay2[[#This Row],[Time Aerial D2]],GamesDay2[Time Aerial D2],1))</f>
        <v/>
      </c>
      <c r="R93" s="220"/>
      <c r="S93" s="225">
        <f>IF(GamesDay2[[#This Row],[Pass / Fail Aerial D2]]="P",IF(GamesDay2[[#This Row],[Prev Qs Aerial D2]]="",1,GamesDay2[[#This Row],[Prev Qs Aerial D2]]+1),GamesDay2[[#This Row],[Prev Qs Aerial D2]])</f>
        <v>0</v>
      </c>
      <c r="T93" s="155" t="e">
        <f t="shared" si="10"/>
        <v>#N/A</v>
      </c>
      <c r="U93" s="155">
        <f>IFERROR(VLOOKUP(GamesDay2[[#This Row],[Dog D2]],GamesDay1[[Dog D1]:[Total Qs Distance D1]],23,FALSE),IFERROR(VLOOKUP(GamesDay2[[#This Row],[Dog D2]]&amp;"-"&amp;U$5,DogInfo!A:B,2,FALSE),0))</f>
        <v>0</v>
      </c>
      <c r="V93" s="220"/>
      <c r="W93" s="221"/>
      <c r="X93" s="155" t="str">
        <f>IF(ISBLANK(GamesDay2[[#This Row],[Time Distance D2]]),"",RANK(GamesDay2[[#This Row],[Time Distance D2]],GamesDay2[Time Distance D2],1))</f>
        <v/>
      </c>
      <c r="Y93" s="220"/>
      <c r="Z93" s="225">
        <f>IF(GamesDay2[[#This Row],[Pass / Fail Distance D2]]="P",IF(GamesDay2[[#This Row],[Prev Qs Distance D2]]="",1,GamesDay2[[#This Row],[Prev Qs Distance D2]]+1),GamesDay2[[#This Row],[Prev Qs Distance D2]])</f>
        <v>0</v>
      </c>
      <c r="AA93" s="155" t="e">
        <f t="shared" si="11"/>
        <v>#N/A</v>
      </c>
      <c r="AB93" s="155">
        <f>IFERROR(VLOOKUP(GamesDay2[[#This Row],[Dog D2]],GamesDay1[[Dog D1]:[Total Qs Speed D1]],30,FALSE),IFERROR(VLOOKUP(GamesDay2[[#This Row],[Dog D2]]&amp;"-"&amp;AB$5,DogInfo!A:B,2,FALSE),0))</f>
        <v>0</v>
      </c>
      <c r="AC93" s="220"/>
      <c r="AD93" s="221"/>
      <c r="AE93" s="155" t="str">
        <f>IF(ISBLANK(GamesDay2[[#This Row],[Time Speed D2]]),"",RANK(GamesDay2[[#This Row],[Time Speed D2]],GamesDay2[Time Speed D2],1))</f>
        <v/>
      </c>
      <c r="AF93" s="220"/>
      <c r="AG93" s="225">
        <f>IF(GamesDay2[[#This Row],[Pass / Fail Speed D2]]="P",IF(GamesDay2[[#This Row],[Prev Qs Speed D2]]="",1,GamesDay2[[#This Row],[Prev Qs Speed D2]]+1),GamesDay2[[#This Row],[Prev Qs Speed D2]])</f>
        <v>0</v>
      </c>
      <c r="AH93" s="155" t="e">
        <f t="shared" si="12"/>
        <v>#N/A</v>
      </c>
      <c r="AI93" s="155">
        <f>IFERROR(VLOOKUP(GamesDay2[[#This Row],[Dog D2]],GamesDay1[[Dog D1]:[Total Qs Team D1]],37,FALSE),IFERROR(VLOOKUP(GamesDay2[[#This Row],[Dog D2]]&amp;"-"&amp;AI$5,DogInfo!A:B,2,FALSE),0))</f>
        <v>0</v>
      </c>
      <c r="AJ93" s="220"/>
      <c r="AK93" s="221"/>
      <c r="AL93" s="155" t="str">
        <f>IF(ISBLANK(GamesDay2[[#This Row],[Time Team D2]]),"",RANK(GamesDay2[[#This Row],[Time Team D2]],GamesDay2[Time Team D2],1))</f>
        <v/>
      </c>
      <c r="AM93" s="220"/>
      <c r="AN93" s="225">
        <f>IF(GamesDay2[[#This Row],[Pass / Fail Team D2]]="P",IF(GamesDay2[[#This Row],[Prev Qs Team D2]]="",1,GamesDay2[[#This Row],[Prev Qs Team D2]]+1),GamesDay2[[#This Row],[Prev Qs Team D2]])</f>
        <v>0</v>
      </c>
      <c r="AO9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3" s="167">
        <f>GamesDay2[[#This Row],[Number of Games D2]]*SddaFee</f>
        <v>0</v>
      </c>
      <c r="AS93" s="167">
        <f>(GamesDay2[[#This Row],[Number of Games D2]]+GamesDay2[[#This Row],[Number of FEOs D2]])*JudgesFeeFEOGames</f>
        <v>0</v>
      </c>
    </row>
    <row r="94" spans="1:45" ht="24.75" customHeight="1" x14ac:dyDescent="0.2">
      <c r="A94" s="171" t="s">
        <v>3689</v>
      </c>
      <c r="B94" s="155">
        <v>79</v>
      </c>
      <c r="C9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4" s="220"/>
      <c r="E94" s="219" t="str">
        <f>IFERROR(VLOOKUP(GamesDay2[[#This Row],[Dog D2]],'SDDA Dogs'!A:B,2,FALSE),"")</f>
        <v/>
      </c>
      <c r="F94" s="219" t="str">
        <f>IFERROR(VLOOKUP(GamesDay2[[#This Row],[Dog D2]],'SDDA Dogs'!A:C,3,FALSE),"")</f>
        <v/>
      </c>
      <c r="G94" s="219" t="str">
        <f>IFERROR(VLOOKUP(GamesDay2[[#This Row],[Dog D2]],'SDDA Dogs'!A:F,6,FALSE),"")</f>
        <v/>
      </c>
      <c r="H94" s="219"/>
      <c r="I94" s="155">
        <f>GamesDay2[[#This Row],[Total Qs Aerial D2]]</f>
        <v>0</v>
      </c>
      <c r="J94" s="155">
        <f>GamesDay2[[#This Row],[Total Qs Distance D2]]</f>
        <v>0</v>
      </c>
      <c r="K94" s="155">
        <f>GamesDay2[[#This Row],[Total Qs Speed D2]]</f>
        <v>0</v>
      </c>
      <c r="L94" s="155">
        <f>GamesDay2[[#This Row],[Total Qs Team D2]]</f>
        <v>0</v>
      </c>
      <c r="M94" s="219" t="e">
        <f t="shared" si="9"/>
        <v>#N/A</v>
      </c>
      <c r="N94" s="293">
        <f>IFERROR(VLOOKUP(GamesDay2[[#This Row],[Dog D2]],GamesDay1[[Dog D1]:[Total Qs Aerial D1]],16,FALSE),IFERROR(VLOOKUP(GamesDay2[[#This Row],[Dog D2]]&amp;"-"&amp;N$5,DogInfo!A:B,2,FALSE),0))</f>
        <v>0</v>
      </c>
      <c r="O94" s="301"/>
      <c r="P94" s="301"/>
      <c r="Q94" s="294" t="str">
        <f>IF(ISBLANK(GamesDay2[[#This Row],[Time Aerial D2]]),"",RANK(GamesDay2[[#This Row],[Time Aerial D2]],GamesDay2[Time Aerial D2],1))</f>
        <v/>
      </c>
      <c r="R94" s="301"/>
      <c r="S94" s="300">
        <f>IF(GamesDay2[[#This Row],[Pass / Fail Aerial D2]]="P",IF(GamesDay2[[#This Row],[Prev Qs Aerial D2]]="",1,GamesDay2[[#This Row],[Prev Qs Aerial D2]]+1),GamesDay2[[#This Row],[Prev Qs Aerial D2]])</f>
        <v>0</v>
      </c>
      <c r="T94" s="155" t="e">
        <f t="shared" si="10"/>
        <v>#N/A</v>
      </c>
      <c r="U94" s="296">
        <f>IFERROR(VLOOKUP(GamesDay2[[#This Row],[Dog D2]],GamesDay1[[Dog D1]:[Total Qs Distance D1]],23,FALSE),IFERROR(VLOOKUP(GamesDay2[[#This Row],[Dog D2]]&amp;"-"&amp;U$5,DogInfo!A:B,2,FALSE),0))</f>
        <v>0</v>
      </c>
      <c r="V94" s="303"/>
      <c r="W94" s="303"/>
      <c r="X94" s="297" t="str">
        <f>IF(ISBLANK(GamesDay2[[#This Row],[Time Distance D2]]),"",RANK(GamesDay2[[#This Row],[Time Distance D2]],GamesDay2[Time Distance D2],1))</f>
        <v/>
      </c>
      <c r="Y94" s="303"/>
      <c r="Z94" s="297">
        <f>IF(GamesDay2[[#This Row],[Pass / Fail Distance D2]]="P",IF(GamesDay2[[#This Row],[Prev Qs Distance D2]]="",1,GamesDay2[[#This Row],[Prev Qs Distance D2]]+1),GamesDay2[[#This Row],[Prev Qs Distance D2]])</f>
        <v>0</v>
      </c>
      <c r="AA94" s="155" t="e">
        <f t="shared" si="11"/>
        <v>#N/A</v>
      </c>
      <c r="AB94" s="298">
        <f>IFERROR(VLOOKUP(GamesDay2[[#This Row],[Dog D2]],GamesDay1[[Dog D1]:[Total Qs Speed D1]],30,FALSE),IFERROR(VLOOKUP(GamesDay2[[#This Row],[Dog D2]]&amp;"-"&amp;AB$5,DogInfo!A:B,2,FALSE),0))</f>
        <v>0</v>
      </c>
      <c r="AC94" s="304"/>
      <c r="AD94" s="304"/>
      <c r="AE94" s="299" t="str">
        <f>IF(ISBLANK(GamesDay2[[#This Row],[Time Speed D2]]),"",RANK(GamesDay2[[#This Row],[Time Speed D2]],GamesDay2[Time Speed D2],1))</f>
        <v/>
      </c>
      <c r="AF94" s="304"/>
      <c r="AG94" s="299">
        <f>IF(GamesDay2[[#This Row],[Pass / Fail Speed D2]]="P",IF(GamesDay2[[#This Row],[Prev Qs Speed D2]]="",1,GamesDay2[[#This Row],[Prev Qs Speed D2]]+1),GamesDay2[[#This Row],[Prev Qs Speed D2]])</f>
        <v>0</v>
      </c>
      <c r="AH94" s="155" t="e">
        <f t="shared" si="12"/>
        <v>#N/A</v>
      </c>
      <c r="AI94" s="155">
        <f>IFERROR(VLOOKUP(GamesDay2[[#This Row],[Dog D2]],GamesDay1[[Dog D1]:[Total Qs Team D1]],37,FALSE),IFERROR(VLOOKUP(GamesDay2[[#This Row],[Dog D2]]&amp;"-"&amp;AI$5,DogInfo!A:B,2,FALSE),0))</f>
        <v>0</v>
      </c>
      <c r="AJ94" s="220"/>
      <c r="AK94" s="221"/>
      <c r="AL94" s="155" t="str">
        <f>IF(ISBLANK(GamesDay2[[#This Row],[Time Team D2]]),"",RANK(GamesDay2[[#This Row],[Time Team D2]],GamesDay2[Time Team D2],1))</f>
        <v/>
      </c>
      <c r="AM94" s="220"/>
      <c r="AN94" s="225">
        <f>IF(GamesDay2[[#This Row],[Pass / Fail Team D2]]="P",IF(GamesDay2[[#This Row],[Prev Qs Team D2]]="",1,GamesDay2[[#This Row],[Prev Qs Team D2]]+1),GamesDay2[[#This Row],[Prev Qs Team D2]])</f>
        <v>0</v>
      </c>
      <c r="AO9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4" s="167">
        <f>GamesDay2[[#This Row],[Number of Games D2]]*SddaFee</f>
        <v>0</v>
      </c>
      <c r="AS94" s="167">
        <f>(GamesDay2[[#This Row],[Number of Games D2]]+GamesDay2[[#This Row],[Number of FEOs D2]])*JudgesFeeFEOGames</f>
        <v>0</v>
      </c>
    </row>
    <row r="95" spans="1:45" ht="24.75" customHeight="1" x14ac:dyDescent="0.2">
      <c r="A95" s="171" t="s">
        <v>3689</v>
      </c>
      <c r="B95" s="155">
        <v>80</v>
      </c>
      <c r="C9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5" s="220"/>
      <c r="E95" s="219" t="str">
        <f>IFERROR(VLOOKUP(GamesDay2[[#This Row],[Dog D2]],'SDDA Dogs'!A:B,2,FALSE),"")</f>
        <v/>
      </c>
      <c r="F95" s="219" t="str">
        <f>IFERROR(VLOOKUP(GamesDay2[[#This Row],[Dog D2]],'SDDA Dogs'!A:C,3,FALSE),"")</f>
        <v/>
      </c>
      <c r="G95" s="219" t="str">
        <f>IFERROR(VLOOKUP(GamesDay2[[#This Row],[Dog D2]],'SDDA Dogs'!A:F,6,FALSE),"")</f>
        <v/>
      </c>
      <c r="H95" s="219"/>
      <c r="I95" s="155">
        <f>GamesDay2[[#This Row],[Total Qs Aerial D2]]</f>
        <v>0</v>
      </c>
      <c r="J95" s="155">
        <f>GamesDay2[[#This Row],[Total Qs Distance D2]]</f>
        <v>0</v>
      </c>
      <c r="K95" s="155">
        <f>GamesDay2[[#This Row],[Total Qs Speed D2]]</f>
        <v>0</v>
      </c>
      <c r="L95" s="155">
        <f>GamesDay2[[#This Row],[Total Qs Team D2]]</f>
        <v>0</v>
      </c>
      <c r="M95" s="219" t="e">
        <f t="shared" si="9"/>
        <v>#N/A</v>
      </c>
      <c r="N95" s="155">
        <f>IFERROR(VLOOKUP(GamesDay2[[#This Row],[Dog D2]],GamesDay1[[Dog D1]:[Total Qs Aerial D1]],16,FALSE),IFERROR(VLOOKUP(GamesDay2[[#This Row],[Dog D2]]&amp;"-"&amp;N$5,DogInfo!A:B,2,FALSE),0))</f>
        <v>0</v>
      </c>
      <c r="O95" s="220"/>
      <c r="P95" s="221"/>
      <c r="Q95" s="155" t="str">
        <f>IF(ISBLANK(GamesDay2[[#This Row],[Time Aerial D2]]),"",RANK(GamesDay2[[#This Row],[Time Aerial D2]],GamesDay2[Time Aerial D2],1))</f>
        <v/>
      </c>
      <c r="R95" s="220"/>
      <c r="S95" s="225">
        <f>IF(GamesDay2[[#This Row],[Pass / Fail Aerial D2]]="P",IF(GamesDay2[[#This Row],[Prev Qs Aerial D2]]="",1,GamesDay2[[#This Row],[Prev Qs Aerial D2]]+1),GamesDay2[[#This Row],[Prev Qs Aerial D2]])</f>
        <v>0</v>
      </c>
      <c r="T95" s="155" t="e">
        <f t="shared" si="10"/>
        <v>#N/A</v>
      </c>
      <c r="U95" s="155">
        <f>IFERROR(VLOOKUP(GamesDay2[[#This Row],[Dog D2]],GamesDay1[[Dog D1]:[Total Qs Distance D1]],23,FALSE),IFERROR(VLOOKUP(GamesDay2[[#This Row],[Dog D2]]&amp;"-"&amp;U$5,DogInfo!A:B,2,FALSE),0))</f>
        <v>0</v>
      </c>
      <c r="V95" s="220"/>
      <c r="W95" s="221"/>
      <c r="X95" s="155" t="str">
        <f>IF(ISBLANK(GamesDay2[[#This Row],[Time Distance D2]]),"",RANK(GamesDay2[[#This Row],[Time Distance D2]],GamesDay2[Time Distance D2],1))</f>
        <v/>
      </c>
      <c r="Y95" s="220"/>
      <c r="Z95" s="225">
        <f>IF(GamesDay2[[#This Row],[Pass / Fail Distance D2]]="P",IF(GamesDay2[[#This Row],[Prev Qs Distance D2]]="",1,GamesDay2[[#This Row],[Prev Qs Distance D2]]+1),GamesDay2[[#This Row],[Prev Qs Distance D2]])</f>
        <v>0</v>
      </c>
      <c r="AA95" s="155" t="e">
        <f t="shared" si="11"/>
        <v>#N/A</v>
      </c>
      <c r="AB95" s="155">
        <f>IFERROR(VLOOKUP(GamesDay2[[#This Row],[Dog D2]],GamesDay1[[Dog D1]:[Total Qs Speed D1]],30,FALSE),IFERROR(VLOOKUP(GamesDay2[[#This Row],[Dog D2]]&amp;"-"&amp;AB$5,DogInfo!A:B,2,FALSE),0))</f>
        <v>0</v>
      </c>
      <c r="AC95" s="220"/>
      <c r="AD95" s="221"/>
      <c r="AE95" s="155" t="str">
        <f>IF(ISBLANK(GamesDay2[[#This Row],[Time Speed D2]]),"",RANK(GamesDay2[[#This Row],[Time Speed D2]],GamesDay2[Time Speed D2],1))</f>
        <v/>
      </c>
      <c r="AF95" s="220"/>
      <c r="AG95" s="225">
        <f>IF(GamesDay2[[#This Row],[Pass / Fail Speed D2]]="P",IF(GamesDay2[[#This Row],[Prev Qs Speed D2]]="",1,GamesDay2[[#This Row],[Prev Qs Speed D2]]+1),GamesDay2[[#This Row],[Prev Qs Speed D2]])</f>
        <v>0</v>
      </c>
      <c r="AH95" s="155" t="e">
        <f t="shared" si="12"/>
        <v>#N/A</v>
      </c>
      <c r="AI95" s="155">
        <f>IFERROR(VLOOKUP(GamesDay2[[#This Row],[Dog D2]],GamesDay1[[Dog D1]:[Total Qs Team D1]],37,FALSE),IFERROR(VLOOKUP(GamesDay2[[#This Row],[Dog D2]]&amp;"-"&amp;AI$5,DogInfo!A:B,2,FALSE),0))</f>
        <v>0</v>
      </c>
      <c r="AJ95" s="220"/>
      <c r="AK95" s="221"/>
      <c r="AL95" s="155" t="str">
        <f>IF(ISBLANK(GamesDay2[[#This Row],[Time Team D2]]),"",RANK(GamesDay2[[#This Row],[Time Team D2]],GamesDay2[Time Team D2],1))</f>
        <v/>
      </c>
      <c r="AM95" s="220"/>
      <c r="AN95" s="225">
        <f>IF(GamesDay2[[#This Row],[Pass / Fail Team D2]]="P",IF(GamesDay2[[#This Row],[Prev Qs Team D2]]="",1,GamesDay2[[#This Row],[Prev Qs Team D2]]+1),GamesDay2[[#This Row],[Prev Qs Team D2]])</f>
        <v>0</v>
      </c>
      <c r="AO9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5" s="167">
        <f>GamesDay2[[#This Row],[Number of Games D2]]*SddaFee</f>
        <v>0</v>
      </c>
      <c r="AS95" s="167">
        <f>(GamesDay2[[#This Row],[Number of Games D2]]+GamesDay2[[#This Row],[Number of FEOs D2]])*JudgesFeeFEOGames</f>
        <v>0</v>
      </c>
    </row>
    <row r="96" spans="1:45" ht="24.75" customHeight="1" x14ac:dyDescent="0.2">
      <c r="A96" s="171" t="s">
        <v>3689</v>
      </c>
      <c r="B96" s="155">
        <v>81</v>
      </c>
      <c r="C9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6" s="220"/>
      <c r="E96" s="219" t="str">
        <f>IFERROR(VLOOKUP(GamesDay2[[#This Row],[Dog D2]],'SDDA Dogs'!A:B,2,FALSE),"")</f>
        <v/>
      </c>
      <c r="F96" s="219" t="str">
        <f>IFERROR(VLOOKUP(GamesDay2[[#This Row],[Dog D2]],'SDDA Dogs'!A:C,3,FALSE),"")</f>
        <v/>
      </c>
      <c r="G96" s="219" t="str">
        <f>IFERROR(VLOOKUP(GamesDay2[[#This Row],[Dog D2]],'SDDA Dogs'!A:F,6,FALSE),"")</f>
        <v/>
      </c>
      <c r="H96" s="219"/>
      <c r="I96" s="155">
        <f>GamesDay2[[#This Row],[Total Qs Aerial D2]]</f>
        <v>0</v>
      </c>
      <c r="J96" s="155">
        <f>GamesDay2[[#This Row],[Total Qs Distance D2]]</f>
        <v>0</v>
      </c>
      <c r="K96" s="155">
        <f>GamesDay2[[#This Row],[Total Qs Speed D2]]</f>
        <v>0</v>
      </c>
      <c r="L96" s="155">
        <f>GamesDay2[[#This Row],[Total Qs Team D2]]</f>
        <v>0</v>
      </c>
      <c r="M96" s="219" t="e">
        <f t="shared" si="9"/>
        <v>#N/A</v>
      </c>
      <c r="N96" s="293">
        <f>IFERROR(VLOOKUP(GamesDay2[[#This Row],[Dog D2]],GamesDay1[[Dog D1]:[Total Qs Aerial D1]],16,FALSE),IFERROR(VLOOKUP(GamesDay2[[#This Row],[Dog D2]]&amp;"-"&amp;N$5,DogInfo!A:B,2,FALSE),0))</f>
        <v>0</v>
      </c>
      <c r="O96" s="301"/>
      <c r="P96" s="301"/>
      <c r="Q96" s="294" t="str">
        <f>IF(ISBLANK(GamesDay2[[#This Row],[Time Aerial D2]]),"",RANK(GamesDay2[[#This Row],[Time Aerial D2]],GamesDay2[Time Aerial D2],1))</f>
        <v/>
      </c>
      <c r="R96" s="301"/>
      <c r="S96" s="300">
        <f>IF(GamesDay2[[#This Row],[Pass / Fail Aerial D2]]="P",IF(GamesDay2[[#This Row],[Prev Qs Aerial D2]]="",1,GamesDay2[[#This Row],[Prev Qs Aerial D2]]+1),GamesDay2[[#This Row],[Prev Qs Aerial D2]])</f>
        <v>0</v>
      </c>
      <c r="T96" s="155" t="e">
        <f t="shared" si="10"/>
        <v>#N/A</v>
      </c>
      <c r="U96" s="296">
        <f>IFERROR(VLOOKUP(GamesDay2[[#This Row],[Dog D2]],GamesDay1[[Dog D1]:[Total Qs Distance D1]],23,FALSE),IFERROR(VLOOKUP(GamesDay2[[#This Row],[Dog D2]]&amp;"-"&amp;U$5,DogInfo!A:B,2,FALSE),0))</f>
        <v>0</v>
      </c>
      <c r="V96" s="303"/>
      <c r="W96" s="303"/>
      <c r="X96" s="297" t="str">
        <f>IF(ISBLANK(GamesDay2[[#This Row],[Time Distance D2]]),"",RANK(GamesDay2[[#This Row],[Time Distance D2]],GamesDay2[Time Distance D2],1))</f>
        <v/>
      </c>
      <c r="Y96" s="303"/>
      <c r="Z96" s="297">
        <f>IF(GamesDay2[[#This Row],[Pass / Fail Distance D2]]="P",IF(GamesDay2[[#This Row],[Prev Qs Distance D2]]="",1,GamesDay2[[#This Row],[Prev Qs Distance D2]]+1),GamesDay2[[#This Row],[Prev Qs Distance D2]])</f>
        <v>0</v>
      </c>
      <c r="AA96" s="155" t="e">
        <f t="shared" si="11"/>
        <v>#N/A</v>
      </c>
      <c r="AB96" s="298">
        <f>IFERROR(VLOOKUP(GamesDay2[[#This Row],[Dog D2]],GamesDay1[[Dog D1]:[Total Qs Speed D1]],30,FALSE),IFERROR(VLOOKUP(GamesDay2[[#This Row],[Dog D2]]&amp;"-"&amp;AB$5,DogInfo!A:B,2,FALSE),0))</f>
        <v>0</v>
      </c>
      <c r="AC96" s="304"/>
      <c r="AD96" s="304"/>
      <c r="AE96" s="299" t="str">
        <f>IF(ISBLANK(GamesDay2[[#This Row],[Time Speed D2]]),"",RANK(GamesDay2[[#This Row],[Time Speed D2]],GamesDay2[Time Speed D2],1))</f>
        <v/>
      </c>
      <c r="AF96" s="304"/>
      <c r="AG96" s="299">
        <f>IF(GamesDay2[[#This Row],[Pass / Fail Speed D2]]="P",IF(GamesDay2[[#This Row],[Prev Qs Speed D2]]="",1,GamesDay2[[#This Row],[Prev Qs Speed D2]]+1),GamesDay2[[#This Row],[Prev Qs Speed D2]])</f>
        <v>0</v>
      </c>
      <c r="AH96" s="155" t="e">
        <f t="shared" si="12"/>
        <v>#N/A</v>
      </c>
      <c r="AI96" s="155">
        <f>IFERROR(VLOOKUP(GamesDay2[[#This Row],[Dog D2]],GamesDay1[[Dog D1]:[Total Qs Team D1]],37,FALSE),IFERROR(VLOOKUP(GamesDay2[[#This Row],[Dog D2]]&amp;"-"&amp;AI$5,DogInfo!A:B,2,FALSE),0))</f>
        <v>0</v>
      </c>
      <c r="AJ96" s="220"/>
      <c r="AK96" s="221"/>
      <c r="AL96" s="155" t="str">
        <f>IF(ISBLANK(GamesDay2[[#This Row],[Time Team D2]]),"",RANK(GamesDay2[[#This Row],[Time Team D2]],GamesDay2[Time Team D2],1))</f>
        <v/>
      </c>
      <c r="AM96" s="220"/>
      <c r="AN96" s="225">
        <f>IF(GamesDay2[[#This Row],[Pass / Fail Team D2]]="P",IF(GamesDay2[[#This Row],[Prev Qs Team D2]]="",1,GamesDay2[[#This Row],[Prev Qs Team D2]]+1),GamesDay2[[#This Row],[Prev Qs Team D2]])</f>
        <v>0</v>
      </c>
      <c r="AO9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6" s="167">
        <f>GamesDay2[[#This Row],[Number of Games D2]]*SddaFee</f>
        <v>0</v>
      </c>
      <c r="AS96" s="167">
        <f>(GamesDay2[[#This Row],[Number of Games D2]]+GamesDay2[[#This Row],[Number of FEOs D2]])*JudgesFeeFEOGames</f>
        <v>0</v>
      </c>
    </row>
    <row r="97" spans="1:45" ht="24.75" customHeight="1" x14ac:dyDescent="0.2">
      <c r="A97" s="171" t="s">
        <v>3689</v>
      </c>
      <c r="B97" s="155">
        <v>82</v>
      </c>
      <c r="C9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7" s="220"/>
      <c r="E97" s="219" t="str">
        <f>IFERROR(VLOOKUP(GamesDay2[[#This Row],[Dog D2]],'SDDA Dogs'!A:B,2,FALSE),"")</f>
        <v/>
      </c>
      <c r="F97" s="219" t="str">
        <f>IFERROR(VLOOKUP(GamesDay2[[#This Row],[Dog D2]],'SDDA Dogs'!A:C,3,FALSE),"")</f>
        <v/>
      </c>
      <c r="G97" s="219" t="str">
        <f>IFERROR(VLOOKUP(GamesDay2[[#This Row],[Dog D2]],'SDDA Dogs'!A:F,6,FALSE),"")</f>
        <v/>
      </c>
      <c r="H97" s="219"/>
      <c r="I97" s="155">
        <f>GamesDay2[[#This Row],[Total Qs Aerial D2]]</f>
        <v>0</v>
      </c>
      <c r="J97" s="155">
        <f>GamesDay2[[#This Row],[Total Qs Distance D2]]</f>
        <v>0</v>
      </c>
      <c r="K97" s="155">
        <f>GamesDay2[[#This Row],[Total Qs Speed D2]]</f>
        <v>0</v>
      </c>
      <c r="L97" s="155">
        <f>GamesDay2[[#This Row],[Total Qs Team D2]]</f>
        <v>0</v>
      </c>
      <c r="M97" s="219" t="e">
        <f t="shared" si="9"/>
        <v>#N/A</v>
      </c>
      <c r="N97" s="155">
        <f>IFERROR(VLOOKUP(GamesDay2[[#This Row],[Dog D2]],GamesDay1[[Dog D1]:[Total Qs Aerial D1]],16,FALSE),IFERROR(VLOOKUP(GamesDay2[[#This Row],[Dog D2]]&amp;"-"&amp;N$5,DogInfo!A:B,2,FALSE),0))</f>
        <v>0</v>
      </c>
      <c r="O97" s="220"/>
      <c r="P97" s="221"/>
      <c r="Q97" s="155" t="str">
        <f>IF(ISBLANK(GamesDay2[[#This Row],[Time Aerial D2]]),"",RANK(GamesDay2[[#This Row],[Time Aerial D2]],GamesDay2[Time Aerial D2],1))</f>
        <v/>
      </c>
      <c r="R97" s="220"/>
      <c r="S97" s="225">
        <f>IF(GamesDay2[[#This Row],[Pass / Fail Aerial D2]]="P",IF(GamesDay2[[#This Row],[Prev Qs Aerial D2]]="",1,GamesDay2[[#This Row],[Prev Qs Aerial D2]]+1),GamesDay2[[#This Row],[Prev Qs Aerial D2]])</f>
        <v>0</v>
      </c>
      <c r="T97" s="155" t="e">
        <f t="shared" si="10"/>
        <v>#N/A</v>
      </c>
      <c r="U97" s="155">
        <f>IFERROR(VLOOKUP(GamesDay2[[#This Row],[Dog D2]],GamesDay1[[Dog D1]:[Total Qs Distance D1]],23,FALSE),IFERROR(VLOOKUP(GamesDay2[[#This Row],[Dog D2]]&amp;"-"&amp;U$5,DogInfo!A:B,2,FALSE),0))</f>
        <v>0</v>
      </c>
      <c r="V97" s="220"/>
      <c r="W97" s="221"/>
      <c r="X97" s="155" t="str">
        <f>IF(ISBLANK(GamesDay2[[#This Row],[Time Distance D2]]),"",RANK(GamesDay2[[#This Row],[Time Distance D2]],GamesDay2[Time Distance D2],1))</f>
        <v/>
      </c>
      <c r="Y97" s="220"/>
      <c r="Z97" s="225">
        <f>IF(GamesDay2[[#This Row],[Pass / Fail Distance D2]]="P",IF(GamesDay2[[#This Row],[Prev Qs Distance D2]]="",1,GamesDay2[[#This Row],[Prev Qs Distance D2]]+1),GamesDay2[[#This Row],[Prev Qs Distance D2]])</f>
        <v>0</v>
      </c>
      <c r="AA97" s="155" t="e">
        <f t="shared" si="11"/>
        <v>#N/A</v>
      </c>
      <c r="AB97" s="155">
        <f>IFERROR(VLOOKUP(GamesDay2[[#This Row],[Dog D2]],GamesDay1[[Dog D1]:[Total Qs Speed D1]],30,FALSE),IFERROR(VLOOKUP(GamesDay2[[#This Row],[Dog D2]]&amp;"-"&amp;AB$5,DogInfo!A:B,2,FALSE),0))</f>
        <v>0</v>
      </c>
      <c r="AC97" s="220"/>
      <c r="AD97" s="221"/>
      <c r="AE97" s="155" t="str">
        <f>IF(ISBLANK(GamesDay2[[#This Row],[Time Speed D2]]),"",RANK(GamesDay2[[#This Row],[Time Speed D2]],GamesDay2[Time Speed D2],1))</f>
        <v/>
      </c>
      <c r="AF97" s="220"/>
      <c r="AG97" s="225">
        <f>IF(GamesDay2[[#This Row],[Pass / Fail Speed D2]]="P",IF(GamesDay2[[#This Row],[Prev Qs Speed D2]]="",1,GamesDay2[[#This Row],[Prev Qs Speed D2]]+1),GamesDay2[[#This Row],[Prev Qs Speed D2]])</f>
        <v>0</v>
      </c>
      <c r="AH97" s="155" t="e">
        <f t="shared" si="12"/>
        <v>#N/A</v>
      </c>
      <c r="AI97" s="155">
        <f>IFERROR(VLOOKUP(GamesDay2[[#This Row],[Dog D2]],GamesDay1[[Dog D1]:[Total Qs Team D1]],37,FALSE),IFERROR(VLOOKUP(GamesDay2[[#This Row],[Dog D2]]&amp;"-"&amp;AI$5,DogInfo!A:B,2,FALSE),0))</f>
        <v>0</v>
      </c>
      <c r="AJ97" s="220"/>
      <c r="AK97" s="221"/>
      <c r="AL97" s="155" t="str">
        <f>IF(ISBLANK(GamesDay2[[#This Row],[Time Team D2]]),"",RANK(GamesDay2[[#This Row],[Time Team D2]],GamesDay2[Time Team D2],1))</f>
        <v/>
      </c>
      <c r="AM97" s="220"/>
      <c r="AN97" s="225">
        <f>IF(GamesDay2[[#This Row],[Pass / Fail Team D2]]="P",IF(GamesDay2[[#This Row],[Prev Qs Team D2]]="",1,GamesDay2[[#This Row],[Prev Qs Team D2]]+1),GamesDay2[[#This Row],[Prev Qs Team D2]])</f>
        <v>0</v>
      </c>
      <c r="AO9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7" s="167">
        <f>GamesDay2[[#This Row],[Number of Games D2]]*SddaFee</f>
        <v>0</v>
      </c>
      <c r="AS97" s="167">
        <f>(GamesDay2[[#This Row],[Number of Games D2]]+GamesDay2[[#This Row],[Number of FEOs D2]])*JudgesFeeFEOGames</f>
        <v>0</v>
      </c>
    </row>
    <row r="98" spans="1:45" ht="24.75" customHeight="1" x14ac:dyDescent="0.2">
      <c r="A98" s="171" t="s">
        <v>3689</v>
      </c>
      <c r="B98" s="155">
        <v>83</v>
      </c>
      <c r="C9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8" s="220"/>
      <c r="E98" s="219" t="str">
        <f>IFERROR(VLOOKUP(GamesDay2[[#This Row],[Dog D2]],'SDDA Dogs'!A:B,2,FALSE),"")</f>
        <v/>
      </c>
      <c r="F98" s="219" t="str">
        <f>IFERROR(VLOOKUP(GamesDay2[[#This Row],[Dog D2]],'SDDA Dogs'!A:C,3,FALSE),"")</f>
        <v/>
      </c>
      <c r="G98" s="219" t="str">
        <f>IFERROR(VLOOKUP(GamesDay2[[#This Row],[Dog D2]],'SDDA Dogs'!A:F,6,FALSE),"")</f>
        <v/>
      </c>
      <c r="H98" s="219"/>
      <c r="I98" s="155">
        <f>GamesDay2[[#This Row],[Total Qs Aerial D2]]</f>
        <v>0</v>
      </c>
      <c r="J98" s="155">
        <f>GamesDay2[[#This Row],[Total Qs Distance D2]]</f>
        <v>0</v>
      </c>
      <c r="K98" s="155">
        <f>GamesDay2[[#This Row],[Total Qs Speed D2]]</f>
        <v>0</v>
      </c>
      <c r="L98" s="155">
        <f>GamesDay2[[#This Row],[Total Qs Team D2]]</f>
        <v>0</v>
      </c>
      <c r="M98" s="219" t="e">
        <f t="shared" ref="M98:M115" si="13">VLOOKUP(JudgeD2GamesAerial,JudgesList,2,FALSE)</f>
        <v>#N/A</v>
      </c>
      <c r="N98" s="293">
        <f>IFERROR(VLOOKUP(GamesDay2[[#This Row],[Dog D2]],GamesDay1[[Dog D1]:[Total Qs Aerial D1]],16,FALSE),IFERROR(VLOOKUP(GamesDay2[[#This Row],[Dog D2]]&amp;"-"&amp;N$5,DogInfo!A:B,2,FALSE),0))</f>
        <v>0</v>
      </c>
      <c r="O98" s="301"/>
      <c r="P98" s="301"/>
      <c r="Q98" s="294" t="str">
        <f>IF(ISBLANK(GamesDay2[[#This Row],[Time Aerial D2]]),"",RANK(GamesDay2[[#This Row],[Time Aerial D2]],GamesDay2[Time Aerial D2],1))</f>
        <v/>
      </c>
      <c r="R98" s="301"/>
      <c r="S98" s="300">
        <f>IF(GamesDay2[[#This Row],[Pass / Fail Aerial D2]]="P",IF(GamesDay2[[#This Row],[Prev Qs Aerial D2]]="",1,GamesDay2[[#This Row],[Prev Qs Aerial D2]]+1),GamesDay2[[#This Row],[Prev Qs Aerial D2]])</f>
        <v>0</v>
      </c>
      <c r="T98" s="155" t="e">
        <f t="shared" ref="T98:T115" si="14">VLOOKUP(JudgeD2GamesDistance,JudgesList,2,FALSE)</f>
        <v>#N/A</v>
      </c>
      <c r="U98" s="296">
        <f>IFERROR(VLOOKUP(GamesDay2[[#This Row],[Dog D2]],GamesDay1[[Dog D1]:[Total Qs Distance D1]],23,FALSE),IFERROR(VLOOKUP(GamesDay2[[#This Row],[Dog D2]]&amp;"-"&amp;U$5,DogInfo!A:B,2,FALSE),0))</f>
        <v>0</v>
      </c>
      <c r="V98" s="303"/>
      <c r="W98" s="303"/>
      <c r="X98" s="297" t="str">
        <f>IF(ISBLANK(GamesDay2[[#This Row],[Time Distance D2]]),"",RANK(GamesDay2[[#This Row],[Time Distance D2]],GamesDay2[Time Distance D2],1))</f>
        <v/>
      </c>
      <c r="Y98" s="303"/>
      <c r="Z98" s="297">
        <f>IF(GamesDay2[[#This Row],[Pass / Fail Distance D2]]="P",IF(GamesDay2[[#This Row],[Prev Qs Distance D2]]="",1,GamesDay2[[#This Row],[Prev Qs Distance D2]]+1),GamesDay2[[#This Row],[Prev Qs Distance D2]])</f>
        <v>0</v>
      </c>
      <c r="AA98" s="155" t="e">
        <f t="shared" ref="AA98:AA115" si="15">VLOOKUP(JudgeD2GamesSpeed,JudgesList,2,FALSE)</f>
        <v>#N/A</v>
      </c>
      <c r="AB98" s="298">
        <f>IFERROR(VLOOKUP(GamesDay2[[#This Row],[Dog D2]],GamesDay1[[Dog D1]:[Total Qs Speed D1]],30,FALSE),IFERROR(VLOOKUP(GamesDay2[[#This Row],[Dog D2]]&amp;"-"&amp;AB$5,DogInfo!A:B,2,FALSE),0))</f>
        <v>0</v>
      </c>
      <c r="AC98" s="304"/>
      <c r="AD98" s="304"/>
      <c r="AE98" s="299" t="str">
        <f>IF(ISBLANK(GamesDay2[[#This Row],[Time Speed D2]]),"",RANK(GamesDay2[[#This Row],[Time Speed D2]],GamesDay2[Time Speed D2],1))</f>
        <v/>
      </c>
      <c r="AF98" s="304"/>
      <c r="AG98" s="299">
        <f>IF(GamesDay2[[#This Row],[Pass / Fail Speed D2]]="P",IF(GamesDay2[[#This Row],[Prev Qs Speed D2]]="",1,GamesDay2[[#This Row],[Prev Qs Speed D2]]+1),GamesDay2[[#This Row],[Prev Qs Speed D2]])</f>
        <v>0</v>
      </c>
      <c r="AH98" s="155" t="e">
        <f t="shared" ref="AH98:AH115" si="16">VLOOKUP(JudgeD2GamesTeam,JudgesList,2,FALSE)</f>
        <v>#N/A</v>
      </c>
      <c r="AI98" s="155">
        <f>IFERROR(VLOOKUP(GamesDay2[[#This Row],[Dog D2]],GamesDay1[[Dog D1]:[Total Qs Team D1]],37,FALSE),IFERROR(VLOOKUP(GamesDay2[[#This Row],[Dog D2]]&amp;"-"&amp;AI$5,DogInfo!A:B,2,FALSE),0))</f>
        <v>0</v>
      </c>
      <c r="AJ98" s="220"/>
      <c r="AK98" s="221"/>
      <c r="AL98" s="155" t="str">
        <f>IF(ISBLANK(GamesDay2[[#This Row],[Time Team D2]]),"",RANK(GamesDay2[[#This Row],[Time Team D2]],GamesDay2[Time Team D2],1))</f>
        <v/>
      </c>
      <c r="AM98" s="220"/>
      <c r="AN98" s="225">
        <f>IF(GamesDay2[[#This Row],[Pass / Fail Team D2]]="P",IF(GamesDay2[[#This Row],[Prev Qs Team D2]]="",1,GamesDay2[[#This Row],[Prev Qs Team D2]]+1),GamesDay2[[#This Row],[Prev Qs Team D2]])</f>
        <v>0</v>
      </c>
      <c r="AO9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8" s="167">
        <f>GamesDay2[[#This Row],[Number of Games D2]]*SddaFee</f>
        <v>0</v>
      </c>
      <c r="AS98" s="167">
        <f>(GamesDay2[[#This Row],[Number of Games D2]]+GamesDay2[[#This Row],[Number of FEOs D2]])*JudgesFeeFEOGames</f>
        <v>0</v>
      </c>
    </row>
    <row r="99" spans="1:45" ht="24.75" customHeight="1" x14ac:dyDescent="0.2">
      <c r="A99" s="171" t="s">
        <v>3689</v>
      </c>
      <c r="B99" s="155">
        <v>84</v>
      </c>
      <c r="C9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9" s="220"/>
      <c r="E99" s="219" t="str">
        <f>IFERROR(VLOOKUP(GamesDay2[[#This Row],[Dog D2]],'SDDA Dogs'!A:B,2,FALSE),"")</f>
        <v/>
      </c>
      <c r="F99" s="219" t="str">
        <f>IFERROR(VLOOKUP(GamesDay2[[#This Row],[Dog D2]],'SDDA Dogs'!A:C,3,FALSE),"")</f>
        <v/>
      </c>
      <c r="G99" s="219" t="str">
        <f>IFERROR(VLOOKUP(GamesDay2[[#This Row],[Dog D2]],'SDDA Dogs'!A:F,6,FALSE),"")</f>
        <v/>
      </c>
      <c r="H99" s="219"/>
      <c r="I99" s="155">
        <f>GamesDay2[[#This Row],[Total Qs Aerial D2]]</f>
        <v>0</v>
      </c>
      <c r="J99" s="155">
        <f>GamesDay2[[#This Row],[Total Qs Distance D2]]</f>
        <v>0</v>
      </c>
      <c r="K99" s="155">
        <f>GamesDay2[[#This Row],[Total Qs Speed D2]]</f>
        <v>0</v>
      </c>
      <c r="L99" s="155">
        <f>GamesDay2[[#This Row],[Total Qs Team D2]]</f>
        <v>0</v>
      </c>
      <c r="M99" s="219" t="e">
        <f t="shared" si="13"/>
        <v>#N/A</v>
      </c>
      <c r="N99" s="155">
        <f>IFERROR(VLOOKUP(GamesDay2[[#This Row],[Dog D2]],GamesDay1[[Dog D1]:[Total Qs Aerial D1]],16,FALSE),IFERROR(VLOOKUP(GamesDay2[[#This Row],[Dog D2]]&amp;"-"&amp;N$5,DogInfo!A:B,2,FALSE),0))</f>
        <v>0</v>
      </c>
      <c r="O99" s="220"/>
      <c r="P99" s="221"/>
      <c r="Q99" s="155" t="str">
        <f>IF(ISBLANK(GamesDay2[[#This Row],[Time Aerial D2]]),"",RANK(GamesDay2[[#This Row],[Time Aerial D2]],GamesDay2[Time Aerial D2],1))</f>
        <v/>
      </c>
      <c r="R99" s="220"/>
      <c r="S99" s="225">
        <f>IF(GamesDay2[[#This Row],[Pass / Fail Aerial D2]]="P",IF(GamesDay2[[#This Row],[Prev Qs Aerial D2]]="",1,GamesDay2[[#This Row],[Prev Qs Aerial D2]]+1),GamesDay2[[#This Row],[Prev Qs Aerial D2]])</f>
        <v>0</v>
      </c>
      <c r="T99" s="155" t="e">
        <f t="shared" si="14"/>
        <v>#N/A</v>
      </c>
      <c r="U99" s="155">
        <f>IFERROR(VLOOKUP(GamesDay2[[#This Row],[Dog D2]],GamesDay1[[Dog D1]:[Total Qs Distance D1]],23,FALSE),IFERROR(VLOOKUP(GamesDay2[[#This Row],[Dog D2]]&amp;"-"&amp;U$5,DogInfo!A:B,2,FALSE),0))</f>
        <v>0</v>
      </c>
      <c r="V99" s="220"/>
      <c r="W99" s="221"/>
      <c r="X99" s="155" t="str">
        <f>IF(ISBLANK(GamesDay2[[#This Row],[Time Distance D2]]),"",RANK(GamesDay2[[#This Row],[Time Distance D2]],GamesDay2[Time Distance D2],1))</f>
        <v/>
      </c>
      <c r="Y99" s="220"/>
      <c r="Z99" s="225">
        <f>IF(GamesDay2[[#This Row],[Pass / Fail Distance D2]]="P",IF(GamesDay2[[#This Row],[Prev Qs Distance D2]]="",1,GamesDay2[[#This Row],[Prev Qs Distance D2]]+1),GamesDay2[[#This Row],[Prev Qs Distance D2]])</f>
        <v>0</v>
      </c>
      <c r="AA99" s="155" t="e">
        <f t="shared" si="15"/>
        <v>#N/A</v>
      </c>
      <c r="AB99" s="155">
        <f>IFERROR(VLOOKUP(GamesDay2[[#This Row],[Dog D2]],GamesDay1[[Dog D1]:[Total Qs Speed D1]],30,FALSE),IFERROR(VLOOKUP(GamesDay2[[#This Row],[Dog D2]]&amp;"-"&amp;AB$5,DogInfo!A:B,2,FALSE),0))</f>
        <v>0</v>
      </c>
      <c r="AC99" s="220"/>
      <c r="AD99" s="221"/>
      <c r="AE99" s="155" t="str">
        <f>IF(ISBLANK(GamesDay2[[#This Row],[Time Speed D2]]),"",RANK(GamesDay2[[#This Row],[Time Speed D2]],GamesDay2[Time Speed D2],1))</f>
        <v/>
      </c>
      <c r="AF99" s="220"/>
      <c r="AG99" s="225">
        <f>IF(GamesDay2[[#This Row],[Pass / Fail Speed D2]]="P",IF(GamesDay2[[#This Row],[Prev Qs Speed D2]]="",1,GamesDay2[[#This Row],[Prev Qs Speed D2]]+1),GamesDay2[[#This Row],[Prev Qs Speed D2]])</f>
        <v>0</v>
      </c>
      <c r="AH99" s="155" t="e">
        <f t="shared" si="16"/>
        <v>#N/A</v>
      </c>
      <c r="AI99" s="155">
        <f>IFERROR(VLOOKUP(GamesDay2[[#This Row],[Dog D2]],GamesDay1[[Dog D1]:[Total Qs Team D1]],37,FALSE),IFERROR(VLOOKUP(GamesDay2[[#This Row],[Dog D2]]&amp;"-"&amp;AI$5,DogInfo!A:B,2,FALSE),0))</f>
        <v>0</v>
      </c>
      <c r="AJ99" s="220"/>
      <c r="AK99" s="221"/>
      <c r="AL99" s="155" t="str">
        <f>IF(ISBLANK(GamesDay2[[#This Row],[Time Team D2]]),"",RANK(GamesDay2[[#This Row],[Time Team D2]],GamesDay2[Time Team D2],1))</f>
        <v/>
      </c>
      <c r="AM99" s="220"/>
      <c r="AN99" s="225">
        <f>IF(GamesDay2[[#This Row],[Pass / Fail Team D2]]="P",IF(GamesDay2[[#This Row],[Prev Qs Team D2]]="",1,GamesDay2[[#This Row],[Prev Qs Team D2]]+1),GamesDay2[[#This Row],[Prev Qs Team D2]])</f>
        <v>0</v>
      </c>
      <c r="AO9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9" s="167">
        <f>GamesDay2[[#This Row],[Number of Games D2]]*SddaFee</f>
        <v>0</v>
      </c>
      <c r="AS99" s="167">
        <f>(GamesDay2[[#This Row],[Number of Games D2]]+GamesDay2[[#This Row],[Number of FEOs D2]])*JudgesFeeFEOGames</f>
        <v>0</v>
      </c>
    </row>
    <row r="100" spans="1:45" ht="24.75" customHeight="1" x14ac:dyDescent="0.2">
      <c r="A100" s="171" t="s">
        <v>3689</v>
      </c>
      <c r="B100" s="155">
        <v>85</v>
      </c>
      <c r="C10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0" s="220"/>
      <c r="E100" s="219" t="str">
        <f>IFERROR(VLOOKUP(GamesDay2[[#This Row],[Dog D2]],'SDDA Dogs'!A:B,2,FALSE),"")</f>
        <v/>
      </c>
      <c r="F100" s="219" t="str">
        <f>IFERROR(VLOOKUP(GamesDay2[[#This Row],[Dog D2]],'SDDA Dogs'!A:C,3,FALSE),"")</f>
        <v/>
      </c>
      <c r="G100" s="219" t="str">
        <f>IFERROR(VLOOKUP(GamesDay2[[#This Row],[Dog D2]],'SDDA Dogs'!A:F,6,FALSE),"")</f>
        <v/>
      </c>
      <c r="H100" s="219"/>
      <c r="I100" s="155">
        <f>GamesDay2[[#This Row],[Total Qs Aerial D2]]</f>
        <v>0</v>
      </c>
      <c r="J100" s="155">
        <f>GamesDay2[[#This Row],[Total Qs Distance D2]]</f>
        <v>0</v>
      </c>
      <c r="K100" s="155">
        <f>GamesDay2[[#This Row],[Total Qs Speed D2]]</f>
        <v>0</v>
      </c>
      <c r="L100" s="155">
        <f>GamesDay2[[#This Row],[Total Qs Team D2]]</f>
        <v>0</v>
      </c>
      <c r="M100" s="219" t="e">
        <f t="shared" si="13"/>
        <v>#N/A</v>
      </c>
      <c r="N100" s="293">
        <f>IFERROR(VLOOKUP(GamesDay2[[#This Row],[Dog D2]],GamesDay1[[Dog D1]:[Total Qs Aerial D1]],16,FALSE),IFERROR(VLOOKUP(GamesDay2[[#This Row],[Dog D2]]&amp;"-"&amp;N$5,DogInfo!A:B,2,FALSE),0))</f>
        <v>0</v>
      </c>
      <c r="O100" s="301"/>
      <c r="P100" s="301"/>
      <c r="Q100" s="294" t="str">
        <f>IF(ISBLANK(GamesDay2[[#This Row],[Time Aerial D2]]),"",RANK(GamesDay2[[#This Row],[Time Aerial D2]],GamesDay2[Time Aerial D2],1))</f>
        <v/>
      </c>
      <c r="R100" s="301"/>
      <c r="S100" s="300">
        <f>IF(GamesDay2[[#This Row],[Pass / Fail Aerial D2]]="P",IF(GamesDay2[[#This Row],[Prev Qs Aerial D2]]="",1,GamesDay2[[#This Row],[Prev Qs Aerial D2]]+1),GamesDay2[[#This Row],[Prev Qs Aerial D2]])</f>
        <v>0</v>
      </c>
      <c r="T100" s="155" t="e">
        <f t="shared" si="14"/>
        <v>#N/A</v>
      </c>
      <c r="U100" s="296">
        <f>IFERROR(VLOOKUP(GamesDay2[[#This Row],[Dog D2]],GamesDay1[[Dog D1]:[Total Qs Distance D1]],23,FALSE),IFERROR(VLOOKUP(GamesDay2[[#This Row],[Dog D2]]&amp;"-"&amp;U$5,DogInfo!A:B,2,FALSE),0))</f>
        <v>0</v>
      </c>
      <c r="V100" s="303"/>
      <c r="W100" s="303"/>
      <c r="X100" s="297" t="str">
        <f>IF(ISBLANK(GamesDay2[[#This Row],[Time Distance D2]]),"",RANK(GamesDay2[[#This Row],[Time Distance D2]],GamesDay2[Time Distance D2],1))</f>
        <v/>
      </c>
      <c r="Y100" s="303"/>
      <c r="Z100" s="297">
        <f>IF(GamesDay2[[#This Row],[Pass / Fail Distance D2]]="P",IF(GamesDay2[[#This Row],[Prev Qs Distance D2]]="",1,GamesDay2[[#This Row],[Prev Qs Distance D2]]+1),GamesDay2[[#This Row],[Prev Qs Distance D2]])</f>
        <v>0</v>
      </c>
      <c r="AA100" s="155" t="e">
        <f t="shared" si="15"/>
        <v>#N/A</v>
      </c>
      <c r="AB100" s="298">
        <f>IFERROR(VLOOKUP(GamesDay2[[#This Row],[Dog D2]],GamesDay1[[Dog D1]:[Total Qs Speed D1]],30,FALSE),IFERROR(VLOOKUP(GamesDay2[[#This Row],[Dog D2]]&amp;"-"&amp;AB$5,DogInfo!A:B,2,FALSE),0))</f>
        <v>0</v>
      </c>
      <c r="AC100" s="304"/>
      <c r="AD100" s="304"/>
      <c r="AE100" s="299" t="str">
        <f>IF(ISBLANK(GamesDay2[[#This Row],[Time Speed D2]]),"",RANK(GamesDay2[[#This Row],[Time Speed D2]],GamesDay2[Time Speed D2],1))</f>
        <v/>
      </c>
      <c r="AF100" s="304"/>
      <c r="AG100" s="299">
        <f>IF(GamesDay2[[#This Row],[Pass / Fail Speed D2]]="P",IF(GamesDay2[[#This Row],[Prev Qs Speed D2]]="",1,GamesDay2[[#This Row],[Prev Qs Speed D2]]+1),GamesDay2[[#This Row],[Prev Qs Speed D2]])</f>
        <v>0</v>
      </c>
      <c r="AH100" s="155" t="e">
        <f t="shared" si="16"/>
        <v>#N/A</v>
      </c>
      <c r="AI100" s="155">
        <f>IFERROR(VLOOKUP(GamesDay2[[#This Row],[Dog D2]],GamesDay1[[Dog D1]:[Total Qs Team D1]],37,FALSE),IFERROR(VLOOKUP(GamesDay2[[#This Row],[Dog D2]]&amp;"-"&amp;AI$5,DogInfo!A:B,2,FALSE),0))</f>
        <v>0</v>
      </c>
      <c r="AJ100" s="220"/>
      <c r="AK100" s="221"/>
      <c r="AL100" s="155" t="str">
        <f>IF(ISBLANK(GamesDay2[[#This Row],[Time Team D2]]),"",RANK(GamesDay2[[#This Row],[Time Team D2]],GamesDay2[Time Team D2],1))</f>
        <v/>
      </c>
      <c r="AM100" s="220"/>
      <c r="AN100" s="225">
        <f>IF(GamesDay2[[#This Row],[Pass / Fail Team D2]]="P",IF(GamesDay2[[#This Row],[Prev Qs Team D2]]="",1,GamesDay2[[#This Row],[Prev Qs Team D2]]+1),GamesDay2[[#This Row],[Prev Qs Team D2]])</f>
        <v>0</v>
      </c>
      <c r="AO10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0" s="167">
        <f>GamesDay2[[#This Row],[Number of Games D2]]*SddaFee</f>
        <v>0</v>
      </c>
      <c r="AS100" s="167">
        <f>(GamesDay2[[#This Row],[Number of Games D2]]+GamesDay2[[#This Row],[Number of FEOs D2]])*JudgesFeeFEOGames</f>
        <v>0</v>
      </c>
    </row>
    <row r="101" spans="1:45" ht="24.75" customHeight="1" x14ac:dyDescent="0.2">
      <c r="A101" s="171" t="s">
        <v>3689</v>
      </c>
      <c r="B101" s="155">
        <v>86</v>
      </c>
      <c r="C10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1" s="220"/>
      <c r="E101" s="219" t="str">
        <f>IFERROR(VLOOKUP(GamesDay2[[#This Row],[Dog D2]],'SDDA Dogs'!A:B,2,FALSE),"")</f>
        <v/>
      </c>
      <c r="F101" s="219" t="str">
        <f>IFERROR(VLOOKUP(GamesDay2[[#This Row],[Dog D2]],'SDDA Dogs'!A:C,3,FALSE),"")</f>
        <v/>
      </c>
      <c r="G101" s="219" t="str">
        <f>IFERROR(VLOOKUP(GamesDay2[[#This Row],[Dog D2]],'SDDA Dogs'!A:F,6,FALSE),"")</f>
        <v/>
      </c>
      <c r="H101" s="219"/>
      <c r="I101" s="155">
        <f>GamesDay2[[#This Row],[Total Qs Aerial D2]]</f>
        <v>0</v>
      </c>
      <c r="J101" s="155">
        <f>GamesDay2[[#This Row],[Total Qs Distance D2]]</f>
        <v>0</v>
      </c>
      <c r="K101" s="155">
        <f>GamesDay2[[#This Row],[Total Qs Speed D2]]</f>
        <v>0</v>
      </c>
      <c r="L101" s="155">
        <f>GamesDay2[[#This Row],[Total Qs Team D2]]</f>
        <v>0</v>
      </c>
      <c r="M101" s="219" t="e">
        <f t="shared" si="13"/>
        <v>#N/A</v>
      </c>
      <c r="N101" s="155">
        <f>IFERROR(VLOOKUP(GamesDay2[[#This Row],[Dog D2]],GamesDay1[[Dog D1]:[Total Qs Aerial D1]],16,FALSE),IFERROR(VLOOKUP(GamesDay2[[#This Row],[Dog D2]]&amp;"-"&amp;N$5,DogInfo!A:B,2,FALSE),0))</f>
        <v>0</v>
      </c>
      <c r="O101" s="220"/>
      <c r="P101" s="221"/>
      <c r="Q101" s="155" t="str">
        <f>IF(ISBLANK(GamesDay2[[#This Row],[Time Aerial D2]]),"",RANK(GamesDay2[[#This Row],[Time Aerial D2]],GamesDay2[Time Aerial D2],1))</f>
        <v/>
      </c>
      <c r="R101" s="220"/>
      <c r="S101" s="225">
        <f>IF(GamesDay2[[#This Row],[Pass / Fail Aerial D2]]="P",IF(GamesDay2[[#This Row],[Prev Qs Aerial D2]]="",1,GamesDay2[[#This Row],[Prev Qs Aerial D2]]+1),GamesDay2[[#This Row],[Prev Qs Aerial D2]])</f>
        <v>0</v>
      </c>
      <c r="T101" s="155" t="e">
        <f t="shared" si="14"/>
        <v>#N/A</v>
      </c>
      <c r="U101" s="155">
        <f>IFERROR(VLOOKUP(GamesDay2[[#This Row],[Dog D2]],GamesDay1[[Dog D1]:[Total Qs Distance D1]],23,FALSE),IFERROR(VLOOKUP(GamesDay2[[#This Row],[Dog D2]]&amp;"-"&amp;U$5,DogInfo!A:B,2,FALSE),0))</f>
        <v>0</v>
      </c>
      <c r="V101" s="220"/>
      <c r="W101" s="221"/>
      <c r="X101" s="155" t="str">
        <f>IF(ISBLANK(GamesDay2[[#This Row],[Time Distance D2]]),"",RANK(GamesDay2[[#This Row],[Time Distance D2]],GamesDay2[Time Distance D2],1))</f>
        <v/>
      </c>
      <c r="Y101" s="220"/>
      <c r="Z101" s="225">
        <f>IF(GamesDay2[[#This Row],[Pass / Fail Distance D2]]="P",IF(GamesDay2[[#This Row],[Prev Qs Distance D2]]="",1,GamesDay2[[#This Row],[Prev Qs Distance D2]]+1),GamesDay2[[#This Row],[Prev Qs Distance D2]])</f>
        <v>0</v>
      </c>
      <c r="AA101" s="155" t="e">
        <f t="shared" si="15"/>
        <v>#N/A</v>
      </c>
      <c r="AB101" s="155">
        <f>IFERROR(VLOOKUP(GamesDay2[[#This Row],[Dog D2]],GamesDay1[[Dog D1]:[Total Qs Speed D1]],30,FALSE),IFERROR(VLOOKUP(GamesDay2[[#This Row],[Dog D2]]&amp;"-"&amp;AB$5,DogInfo!A:B,2,FALSE),0))</f>
        <v>0</v>
      </c>
      <c r="AC101" s="220"/>
      <c r="AD101" s="221"/>
      <c r="AE101" s="155" t="str">
        <f>IF(ISBLANK(GamesDay2[[#This Row],[Time Speed D2]]),"",RANK(GamesDay2[[#This Row],[Time Speed D2]],GamesDay2[Time Speed D2],1))</f>
        <v/>
      </c>
      <c r="AF101" s="220"/>
      <c r="AG101" s="225">
        <f>IF(GamesDay2[[#This Row],[Pass / Fail Speed D2]]="P",IF(GamesDay2[[#This Row],[Prev Qs Speed D2]]="",1,GamesDay2[[#This Row],[Prev Qs Speed D2]]+1),GamesDay2[[#This Row],[Prev Qs Speed D2]])</f>
        <v>0</v>
      </c>
      <c r="AH101" s="155" t="e">
        <f t="shared" si="16"/>
        <v>#N/A</v>
      </c>
      <c r="AI101" s="155">
        <f>IFERROR(VLOOKUP(GamesDay2[[#This Row],[Dog D2]],GamesDay1[[Dog D1]:[Total Qs Team D1]],37,FALSE),IFERROR(VLOOKUP(GamesDay2[[#This Row],[Dog D2]]&amp;"-"&amp;AI$5,DogInfo!A:B,2,FALSE),0))</f>
        <v>0</v>
      </c>
      <c r="AJ101" s="220"/>
      <c r="AK101" s="221"/>
      <c r="AL101" s="155" t="str">
        <f>IF(ISBLANK(GamesDay2[[#This Row],[Time Team D2]]),"",RANK(GamesDay2[[#This Row],[Time Team D2]],GamesDay2[Time Team D2],1))</f>
        <v/>
      </c>
      <c r="AM101" s="220"/>
      <c r="AN101" s="225">
        <f>IF(GamesDay2[[#This Row],[Pass / Fail Team D2]]="P",IF(GamesDay2[[#This Row],[Prev Qs Team D2]]="",1,GamesDay2[[#This Row],[Prev Qs Team D2]]+1),GamesDay2[[#This Row],[Prev Qs Team D2]])</f>
        <v>0</v>
      </c>
      <c r="AO10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1" s="167">
        <f>GamesDay2[[#This Row],[Number of Games D2]]*SddaFee</f>
        <v>0</v>
      </c>
      <c r="AS101" s="167">
        <f>(GamesDay2[[#This Row],[Number of Games D2]]+GamesDay2[[#This Row],[Number of FEOs D2]])*JudgesFeeFEOGames</f>
        <v>0</v>
      </c>
    </row>
    <row r="102" spans="1:45" ht="24.75" customHeight="1" x14ac:dyDescent="0.2">
      <c r="A102" s="171" t="s">
        <v>3689</v>
      </c>
      <c r="B102" s="155">
        <v>87</v>
      </c>
      <c r="C10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2" s="220"/>
      <c r="E102" s="219" t="str">
        <f>IFERROR(VLOOKUP(GamesDay2[[#This Row],[Dog D2]],'SDDA Dogs'!A:B,2,FALSE),"")</f>
        <v/>
      </c>
      <c r="F102" s="219" t="str">
        <f>IFERROR(VLOOKUP(GamesDay2[[#This Row],[Dog D2]],'SDDA Dogs'!A:C,3,FALSE),"")</f>
        <v/>
      </c>
      <c r="G102" s="219" t="str">
        <f>IFERROR(VLOOKUP(GamesDay2[[#This Row],[Dog D2]],'SDDA Dogs'!A:F,6,FALSE),"")</f>
        <v/>
      </c>
      <c r="H102" s="219"/>
      <c r="I102" s="155">
        <f>GamesDay2[[#This Row],[Total Qs Aerial D2]]</f>
        <v>0</v>
      </c>
      <c r="J102" s="155">
        <f>GamesDay2[[#This Row],[Total Qs Distance D2]]</f>
        <v>0</v>
      </c>
      <c r="K102" s="155">
        <f>GamesDay2[[#This Row],[Total Qs Speed D2]]</f>
        <v>0</v>
      </c>
      <c r="L102" s="155">
        <f>GamesDay2[[#This Row],[Total Qs Team D2]]</f>
        <v>0</v>
      </c>
      <c r="M102" s="219" t="e">
        <f t="shared" si="13"/>
        <v>#N/A</v>
      </c>
      <c r="N102" s="293">
        <f>IFERROR(VLOOKUP(GamesDay2[[#This Row],[Dog D2]],GamesDay1[[Dog D1]:[Total Qs Aerial D1]],16,FALSE),IFERROR(VLOOKUP(GamesDay2[[#This Row],[Dog D2]]&amp;"-"&amp;N$5,DogInfo!A:B,2,FALSE),0))</f>
        <v>0</v>
      </c>
      <c r="O102" s="301"/>
      <c r="P102" s="301"/>
      <c r="Q102" s="294" t="str">
        <f>IF(ISBLANK(GamesDay2[[#This Row],[Time Aerial D2]]),"",RANK(GamesDay2[[#This Row],[Time Aerial D2]],GamesDay2[Time Aerial D2],1))</f>
        <v/>
      </c>
      <c r="R102" s="301"/>
      <c r="S102" s="300">
        <f>IF(GamesDay2[[#This Row],[Pass / Fail Aerial D2]]="P",IF(GamesDay2[[#This Row],[Prev Qs Aerial D2]]="",1,GamesDay2[[#This Row],[Prev Qs Aerial D2]]+1),GamesDay2[[#This Row],[Prev Qs Aerial D2]])</f>
        <v>0</v>
      </c>
      <c r="T102" s="155" t="e">
        <f t="shared" si="14"/>
        <v>#N/A</v>
      </c>
      <c r="U102" s="296">
        <f>IFERROR(VLOOKUP(GamesDay2[[#This Row],[Dog D2]],GamesDay1[[Dog D1]:[Total Qs Distance D1]],23,FALSE),IFERROR(VLOOKUP(GamesDay2[[#This Row],[Dog D2]]&amp;"-"&amp;U$5,DogInfo!A:B,2,FALSE),0))</f>
        <v>0</v>
      </c>
      <c r="V102" s="303"/>
      <c r="W102" s="303"/>
      <c r="X102" s="297" t="str">
        <f>IF(ISBLANK(GamesDay2[[#This Row],[Time Distance D2]]),"",RANK(GamesDay2[[#This Row],[Time Distance D2]],GamesDay2[Time Distance D2],1))</f>
        <v/>
      </c>
      <c r="Y102" s="303"/>
      <c r="Z102" s="297">
        <f>IF(GamesDay2[[#This Row],[Pass / Fail Distance D2]]="P",IF(GamesDay2[[#This Row],[Prev Qs Distance D2]]="",1,GamesDay2[[#This Row],[Prev Qs Distance D2]]+1),GamesDay2[[#This Row],[Prev Qs Distance D2]])</f>
        <v>0</v>
      </c>
      <c r="AA102" s="155" t="e">
        <f t="shared" si="15"/>
        <v>#N/A</v>
      </c>
      <c r="AB102" s="298">
        <f>IFERROR(VLOOKUP(GamesDay2[[#This Row],[Dog D2]],GamesDay1[[Dog D1]:[Total Qs Speed D1]],30,FALSE),IFERROR(VLOOKUP(GamesDay2[[#This Row],[Dog D2]]&amp;"-"&amp;AB$5,DogInfo!A:B,2,FALSE),0))</f>
        <v>0</v>
      </c>
      <c r="AC102" s="304"/>
      <c r="AD102" s="304"/>
      <c r="AE102" s="299" t="str">
        <f>IF(ISBLANK(GamesDay2[[#This Row],[Time Speed D2]]),"",RANK(GamesDay2[[#This Row],[Time Speed D2]],GamesDay2[Time Speed D2],1))</f>
        <v/>
      </c>
      <c r="AF102" s="304"/>
      <c r="AG102" s="299">
        <f>IF(GamesDay2[[#This Row],[Pass / Fail Speed D2]]="P",IF(GamesDay2[[#This Row],[Prev Qs Speed D2]]="",1,GamesDay2[[#This Row],[Prev Qs Speed D2]]+1),GamesDay2[[#This Row],[Prev Qs Speed D2]])</f>
        <v>0</v>
      </c>
      <c r="AH102" s="155" t="e">
        <f t="shared" si="16"/>
        <v>#N/A</v>
      </c>
      <c r="AI102" s="155">
        <f>IFERROR(VLOOKUP(GamesDay2[[#This Row],[Dog D2]],GamesDay1[[Dog D1]:[Total Qs Team D1]],37,FALSE),IFERROR(VLOOKUP(GamesDay2[[#This Row],[Dog D2]]&amp;"-"&amp;AI$5,DogInfo!A:B,2,FALSE),0))</f>
        <v>0</v>
      </c>
      <c r="AJ102" s="220"/>
      <c r="AK102" s="221"/>
      <c r="AL102" s="155" t="str">
        <f>IF(ISBLANK(GamesDay2[[#This Row],[Time Team D2]]),"",RANK(GamesDay2[[#This Row],[Time Team D2]],GamesDay2[Time Team D2],1))</f>
        <v/>
      </c>
      <c r="AM102" s="220"/>
      <c r="AN102" s="225">
        <f>IF(GamesDay2[[#This Row],[Pass / Fail Team D2]]="P",IF(GamesDay2[[#This Row],[Prev Qs Team D2]]="",1,GamesDay2[[#This Row],[Prev Qs Team D2]]+1),GamesDay2[[#This Row],[Prev Qs Team D2]])</f>
        <v>0</v>
      </c>
      <c r="AO10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2" s="167">
        <f>GamesDay2[[#This Row],[Number of Games D2]]*SddaFee</f>
        <v>0</v>
      </c>
      <c r="AS102" s="167">
        <f>(GamesDay2[[#This Row],[Number of Games D2]]+GamesDay2[[#This Row],[Number of FEOs D2]])*JudgesFeeFEOGames</f>
        <v>0</v>
      </c>
    </row>
    <row r="103" spans="1:45" ht="24.75" customHeight="1" x14ac:dyDescent="0.2">
      <c r="A103" s="171" t="s">
        <v>3689</v>
      </c>
      <c r="B103" s="155">
        <v>88</v>
      </c>
      <c r="C10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3" s="220"/>
      <c r="E103" s="219" t="str">
        <f>IFERROR(VLOOKUP(GamesDay2[[#This Row],[Dog D2]],'SDDA Dogs'!A:B,2,FALSE),"")</f>
        <v/>
      </c>
      <c r="F103" s="219" t="str">
        <f>IFERROR(VLOOKUP(GamesDay2[[#This Row],[Dog D2]],'SDDA Dogs'!A:C,3,FALSE),"")</f>
        <v/>
      </c>
      <c r="G103" s="219" t="str">
        <f>IFERROR(VLOOKUP(GamesDay2[[#This Row],[Dog D2]],'SDDA Dogs'!A:F,6,FALSE),"")</f>
        <v/>
      </c>
      <c r="H103" s="219"/>
      <c r="I103" s="155">
        <f>GamesDay2[[#This Row],[Total Qs Aerial D2]]</f>
        <v>0</v>
      </c>
      <c r="J103" s="155">
        <f>GamesDay2[[#This Row],[Total Qs Distance D2]]</f>
        <v>0</v>
      </c>
      <c r="K103" s="155">
        <f>GamesDay2[[#This Row],[Total Qs Speed D2]]</f>
        <v>0</v>
      </c>
      <c r="L103" s="155">
        <f>GamesDay2[[#This Row],[Total Qs Team D2]]</f>
        <v>0</v>
      </c>
      <c r="M103" s="219" t="e">
        <f t="shared" si="13"/>
        <v>#N/A</v>
      </c>
      <c r="N103" s="155">
        <f>IFERROR(VLOOKUP(GamesDay2[[#This Row],[Dog D2]],GamesDay1[[Dog D1]:[Total Qs Aerial D1]],16,FALSE),IFERROR(VLOOKUP(GamesDay2[[#This Row],[Dog D2]]&amp;"-"&amp;N$5,DogInfo!A:B,2,FALSE),0))</f>
        <v>0</v>
      </c>
      <c r="O103" s="220"/>
      <c r="P103" s="221"/>
      <c r="Q103" s="155" t="str">
        <f>IF(ISBLANK(GamesDay2[[#This Row],[Time Aerial D2]]),"",RANK(GamesDay2[[#This Row],[Time Aerial D2]],GamesDay2[Time Aerial D2],1))</f>
        <v/>
      </c>
      <c r="R103" s="220"/>
      <c r="S103" s="225">
        <f>IF(GamesDay2[[#This Row],[Pass / Fail Aerial D2]]="P",IF(GamesDay2[[#This Row],[Prev Qs Aerial D2]]="",1,GamesDay2[[#This Row],[Prev Qs Aerial D2]]+1),GamesDay2[[#This Row],[Prev Qs Aerial D2]])</f>
        <v>0</v>
      </c>
      <c r="T103" s="155" t="e">
        <f t="shared" si="14"/>
        <v>#N/A</v>
      </c>
      <c r="U103" s="155">
        <f>IFERROR(VLOOKUP(GamesDay2[[#This Row],[Dog D2]],GamesDay1[[Dog D1]:[Total Qs Distance D1]],23,FALSE),IFERROR(VLOOKUP(GamesDay2[[#This Row],[Dog D2]]&amp;"-"&amp;U$5,DogInfo!A:B,2,FALSE),0))</f>
        <v>0</v>
      </c>
      <c r="V103" s="220"/>
      <c r="W103" s="221"/>
      <c r="X103" s="155" t="str">
        <f>IF(ISBLANK(GamesDay2[[#This Row],[Time Distance D2]]),"",RANK(GamesDay2[[#This Row],[Time Distance D2]],GamesDay2[Time Distance D2],1))</f>
        <v/>
      </c>
      <c r="Y103" s="220"/>
      <c r="Z103" s="225">
        <f>IF(GamesDay2[[#This Row],[Pass / Fail Distance D2]]="P",IF(GamesDay2[[#This Row],[Prev Qs Distance D2]]="",1,GamesDay2[[#This Row],[Prev Qs Distance D2]]+1),GamesDay2[[#This Row],[Prev Qs Distance D2]])</f>
        <v>0</v>
      </c>
      <c r="AA103" s="155" t="e">
        <f t="shared" si="15"/>
        <v>#N/A</v>
      </c>
      <c r="AB103" s="155">
        <f>IFERROR(VLOOKUP(GamesDay2[[#This Row],[Dog D2]],GamesDay1[[Dog D1]:[Total Qs Speed D1]],30,FALSE),IFERROR(VLOOKUP(GamesDay2[[#This Row],[Dog D2]]&amp;"-"&amp;AB$5,DogInfo!A:B,2,FALSE),0))</f>
        <v>0</v>
      </c>
      <c r="AC103" s="220"/>
      <c r="AD103" s="221"/>
      <c r="AE103" s="155" t="str">
        <f>IF(ISBLANK(GamesDay2[[#This Row],[Time Speed D2]]),"",RANK(GamesDay2[[#This Row],[Time Speed D2]],GamesDay2[Time Speed D2],1))</f>
        <v/>
      </c>
      <c r="AF103" s="220"/>
      <c r="AG103" s="225">
        <f>IF(GamesDay2[[#This Row],[Pass / Fail Speed D2]]="P",IF(GamesDay2[[#This Row],[Prev Qs Speed D2]]="",1,GamesDay2[[#This Row],[Prev Qs Speed D2]]+1),GamesDay2[[#This Row],[Prev Qs Speed D2]])</f>
        <v>0</v>
      </c>
      <c r="AH103" s="155" t="e">
        <f t="shared" si="16"/>
        <v>#N/A</v>
      </c>
      <c r="AI103" s="155">
        <f>IFERROR(VLOOKUP(GamesDay2[[#This Row],[Dog D2]],GamesDay1[[Dog D1]:[Total Qs Team D1]],37,FALSE),IFERROR(VLOOKUP(GamesDay2[[#This Row],[Dog D2]]&amp;"-"&amp;AI$5,DogInfo!A:B,2,FALSE),0))</f>
        <v>0</v>
      </c>
      <c r="AJ103" s="220"/>
      <c r="AK103" s="221"/>
      <c r="AL103" s="155" t="str">
        <f>IF(ISBLANK(GamesDay2[[#This Row],[Time Team D2]]),"",RANK(GamesDay2[[#This Row],[Time Team D2]],GamesDay2[Time Team D2],1))</f>
        <v/>
      </c>
      <c r="AM103" s="220"/>
      <c r="AN103" s="225">
        <f>IF(GamesDay2[[#This Row],[Pass / Fail Team D2]]="P",IF(GamesDay2[[#This Row],[Prev Qs Team D2]]="",1,GamesDay2[[#This Row],[Prev Qs Team D2]]+1),GamesDay2[[#This Row],[Prev Qs Team D2]])</f>
        <v>0</v>
      </c>
      <c r="AO10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3" s="167">
        <f>GamesDay2[[#This Row],[Number of Games D2]]*SddaFee</f>
        <v>0</v>
      </c>
      <c r="AS103" s="167">
        <f>(GamesDay2[[#This Row],[Number of Games D2]]+GamesDay2[[#This Row],[Number of FEOs D2]])*JudgesFeeFEOGames</f>
        <v>0</v>
      </c>
    </row>
    <row r="104" spans="1:45" ht="24.75" customHeight="1" x14ac:dyDescent="0.2">
      <c r="A104" s="171" t="s">
        <v>3689</v>
      </c>
      <c r="B104" s="155">
        <v>89</v>
      </c>
      <c r="C10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4" s="220"/>
      <c r="E104" s="219" t="str">
        <f>IFERROR(VLOOKUP(GamesDay2[[#This Row],[Dog D2]],'SDDA Dogs'!A:B,2,FALSE),"")</f>
        <v/>
      </c>
      <c r="F104" s="219" t="str">
        <f>IFERROR(VLOOKUP(GamesDay2[[#This Row],[Dog D2]],'SDDA Dogs'!A:C,3,FALSE),"")</f>
        <v/>
      </c>
      <c r="G104" s="219" t="str">
        <f>IFERROR(VLOOKUP(GamesDay2[[#This Row],[Dog D2]],'SDDA Dogs'!A:F,6,FALSE),"")</f>
        <v/>
      </c>
      <c r="H104" s="219"/>
      <c r="I104" s="155">
        <f>GamesDay2[[#This Row],[Total Qs Aerial D2]]</f>
        <v>0</v>
      </c>
      <c r="J104" s="155">
        <f>GamesDay2[[#This Row],[Total Qs Distance D2]]</f>
        <v>0</v>
      </c>
      <c r="K104" s="155">
        <f>GamesDay2[[#This Row],[Total Qs Speed D2]]</f>
        <v>0</v>
      </c>
      <c r="L104" s="155">
        <f>GamesDay2[[#This Row],[Total Qs Team D2]]</f>
        <v>0</v>
      </c>
      <c r="M104" s="219" t="e">
        <f t="shared" si="13"/>
        <v>#N/A</v>
      </c>
      <c r="N104" s="293">
        <f>IFERROR(VLOOKUP(GamesDay2[[#This Row],[Dog D2]],GamesDay1[[Dog D1]:[Total Qs Aerial D1]],16,FALSE),IFERROR(VLOOKUP(GamesDay2[[#This Row],[Dog D2]]&amp;"-"&amp;N$5,DogInfo!A:B,2,FALSE),0))</f>
        <v>0</v>
      </c>
      <c r="O104" s="301"/>
      <c r="P104" s="301"/>
      <c r="Q104" s="294" t="str">
        <f>IF(ISBLANK(GamesDay2[[#This Row],[Time Aerial D2]]),"",RANK(GamesDay2[[#This Row],[Time Aerial D2]],GamesDay2[Time Aerial D2],1))</f>
        <v/>
      </c>
      <c r="R104" s="301"/>
      <c r="S104" s="300">
        <f>IF(GamesDay2[[#This Row],[Pass / Fail Aerial D2]]="P",IF(GamesDay2[[#This Row],[Prev Qs Aerial D2]]="",1,GamesDay2[[#This Row],[Prev Qs Aerial D2]]+1),GamesDay2[[#This Row],[Prev Qs Aerial D2]])</f>
        <v>0</v>
      </c>
      <c r="T104" s="155" t="e">
        <f t="shared" si="14"/>
        <v>#N/A</v>
      </c>
      <c r="U104" s="296">
        <f>IFERROR(VLOOKUP(GamesDay2[[#This Row],[Dog D2]],GamesDay1[[Dog D1]:[Total Qs Distance D1]],23,FALSE),IFERROR(VLOOKUP(GamesDay2[[#This Row],[Dog D2]]&amp;"-"&amp;U$5,DogInfo!A:B,2,FALSE),0))</f>
        <v>0</v>
      </c>
      <c r="V104" s="303"/>
      <c r="W104" s="303"/>
      <c r="X104" s="297" t="str">
        <f>IF(ISBLANK(GamesDay2[[#This Row],[Time Distance D2]]),"",RANK(GamesDay2[[#This Row],[Time Distance D2]],GamesDay2[Time Distance D2],1))</f>
        <v/>
      </c>
      <c r="Y104" s="303"/>
      <c r="Z104" s="297">
        <f>IF(GamesDay2[[#This Row],[Pass / Fail Distance D2]]="P",IF(GamesDay2[[#This Row],[Prev Qs Distance D2]]="",1,GamesDay2[[#This Row],[Prev Qs Distance D2]]+1),GamesDay2[[#This Row],[Prev Qs Distance D2]])</f>
        <v>0</v>
      </c>
      <c r="AA104" s="155" t="e">
        <f t="shared" si="15"/>
        <v>#N/A</v>
      </c>
      <c r="AB104" s="298">
        <f>IFERROR(VLOOKUP(GamesDay2[[#This Row],[Dog D2]],GamesDay1[[Dog D1]:[Total Qs Speed D1]],30,FALSE),IFERROR(VLOOKUP(GamesDay2[[#This Row],[Dog D2]]&amp;"-"&amp;AB$5,DogInfo!A:B,2,FALSE),0))</f>
        <v>0</v>
      </c>
      <c r="AC104" s="304"/>
      <c r="AD104" s="304"/>
      <c r="AE104" s="299" t="str">
        <f>IF(ISBLANK(GamesDay2[[#This Row],[Time Speed D2]]),"",RANK(GamesDay2[[#This Row],[Time Speed D2]],GamesDay2[Time Speed D2],1))</f>
        <v/>
      </c>
      <c r="AF104" s="304"/>
      <c r="AG104" s="299">
        <f>IF(GamesDay2[[#This Row],[Pass / Fail Speed D2]]="P",IF(GamesDay2[[#This Row],[Prev Qs Speed D2]]="",1,GamesDay2[[#This Row],[Prev Qs Speed D2]]+1),GamesDay2[[#This Row],[Prev Qs Speed D2]])</f>
        <v>0</v>
      </c>
      <c r="AH104" s="155" t="e">
        <f t="shared" si="16"/>
        <v>#N/A</v>
      </c>
      <c r="AI104" s="155">
        <f>IFERROR(VLOOKUP(GamesDay2[[#This Row],[Dog D2]],GamesDay1[[Dog D1]:[Total Qs Team D1]],37,FALSE),IFERROR(VLOOKUP(GamesDay2[[#This Row],[Dog D2]]&amp;"-"&amp;AI$5,DogInfo!A:B,2,FALSE),0))</f>
        <v>0</v>
      </c>
      <c r="AJ104" s="220"/>
      <c r="AK104" s="221"/>
      <c r="AL104" s="155" t="str">
        <f>IF(ISBLANK(GamesDay2[[#This Row],[Time Team D2]]),"",RANK(GamesDay2[[#This Row],[Time Team D2]],GamesDay2[Time Team D2],1))</f>
        <v/>
      </c>
      <c r="AM104" s="220"/>
      <c r="AN104" s="225">
        <f>IF(GamesDay2[[#This Row],[Pass / Fail Team D2]]="P",IF(GamesDay2[[#This Row],[Prev Qs Team D2]]="",1,GamesDay2[[#This Row],[Prev Qs Team D2]]+1),GamesDay2[[#This Row],[Prev Qs Team D2]])</f>
        <v>0</v>
      </c>
      <c r="AO10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4" s="167">
        <f>GamesDay2[[#This Row],[Number of Games D2]]*SddaFee</f>
        <v>0</v>
      </c>
      <c r="AS104" s="167">
        <f>(GamesDay2[[#This Row],[Number of Games D2]]+GamesDay2[[#This Row],[Number of FEOs D2]])*JudgesFeeFEOGames</f>
        <v>0</v>
      </c>
    </row>
    <row r="105" spans="1:45" ht="24.75" customHeight="1" x14ac:dyDescent="0.2">
      <c r="A105" s="171" t="s">
        <v>3689</v>
      </c>
      <c r="B105" s="155">
        <v>90</v>
      </c>
      <c r="C10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5" s="220"/>
      <c r="E105" s="219" t="str">
        <f>IFERROR(VLOOKUP(GamesDay2[[#This Row],[Dog D2]],'SDDA Dogs'!A:B,2,FALSE),"")</f>
        <v/>
      </c>
      <c r="F105" s="219" t="str">
        <f>IFERROR(VLOOKUP(GamesDay2[[#This Row],[Dog D2]],'SDDA Dogs'!A:C,3,FALSE),"")</f>
        <v/>
      </c>
      <c r="G105" s="219" t="str">
        <f>IFERROR(VLOOKUP(GamesDay2[[#This Row],[Dog D2]],'SDDA Dogs'!A:F,6,FALSE),"")</f>
        <v/>
      </c>
      <c r="H105" s="219"/>
      <c r="I105" s="155">
        <f>GamesDay2[[#This Row],[Total Qs Aerial D2]]</f>
        <v>0</v>
      </c>
      <c r="J105" s="155">
        <f>GamesDay2[[#This Row],[Total Qs Distance D2]]</f>
        <v>0</v>
      </c>
      <c r="K105" s="155">
        <f>GamesDay2[[#This Row],[Total Qs Speed D2]]</f>
        <v>0</v>
      </c>
      <c r="L105" s="155">
        <f>GamesDay2[[#This Row],[Total Qs Team D2]]</f>
        <v>0</v>
      </c>
      <c r="M105" s="219" t="e">
        <f t="shared" si="13"/>
        <v>#N/A</v>
      </c>
      <c r="N105" s="155">
        <f>IFERROR(VLOOKUP(GamesDay2[[#This Row],[Dog D2]],GamesDay1[[Dog D1]:[Total Qs Aerial D1]],16,FALSE),IFERROR(VLOOKUP(GamesDay2[[#This Row],[Dog D2]]&amp;"-"&amp;N$5,DogInfo!A:B,2,FALSE),0))</f>
        <v>0</v>
      </c>
      <c r="O105" s="220"/>
      <c r="P105" s="221"/>
      <c r="Q105" s="155" t="str">
        <f>IF(ISBLANK(GamesDay2[[#This Row],[Time Aerial D2]]),"",RANK(GamesDay2[[#This Row],[Time Aerial D2]],GamesDay2[Time Aerial D2],1))</f>
        <v/>
      </c>
      <c r="R105" s="220"/>
      <c r="S105" s="225">
        <f>IF(GamesDay2[[#This Row],[Pass / Fail Aerial D2]]="P",IF(GamesDay2[[#This Row],[Prev Qs Aerial D2]]="",1,GamesDay2[[#This Row],[Prev Qs Aerial D2]]+1),GamesDay2[[#This Row],[Prev Qs Aerial D2]])</f>
        <v>0</v>
      </c>
      <c r="T105" s="155" t="e">
        <f t="shared" si="14"/>
        <v>#N/A</v>
      </c>
      <c r="U105" s="155">
        <f>IFERROR(VLOOKUP(GamesDay2[[#This Row],[Dog D2]],GamesDay1[[Dog D1]:[Total Qs Distance D1]],23,FALSE),IFERROR(VLOOKUP(GamesDay2[[#This Row],[Dog D2]]&amp;"-"&amp;U$5,DogInfo!A:B,2,FALSE),0))</f>
        <v>0</v>
      </c>
      <c r="V105" s="220"/>
      <c r="W105" s="221"/>
      <c r="X105" s="155" t="str">
        <f>IF(ISBLANK(GamesDay2[[#This Row],[Time Distance D2]]),"",RANK(GamesDay2[[#This Row],[Time Distance D2]],GamesDay2[Time Distance D2],1))</f>
        <v/>
      </c>
      <c r="Y105" s="220"/>
      <c r="Z105" s="225">
        <f>IF(GamesDay2[[#This Row],[Pass / Fail Distance D2]]="P",IF(GamesDay2[[#This Row],[Prev Qs Distance D2]]="",1,GamesDay2[[#This Row],[Prev Qs Distance D2]]+1),GamesDay2[[#This Row],[Prev Qs Distance D2]])</f>
        <v>0</v>
      </c>
      <c r="AA105" s="155" t="e">
        <f t="shared" si="15"/>
        <v>#N/A</v>
      </c>
      <c r="AB105" s="155">
        <f>IFERROR(VLOOKUP(GamesDay2[[#This Row],[Dog D2]],GamesDay1[[Dog D1]:[Total Qs Speed D1]],30,FALSE),IFERROR(VLOOKUP(GamesDay2[[#This Row],[Dog D2]]&amp;"-"&amp;AB$5,DogInfo!A:B,2,FALSE),0))</f>
        <v>0</v>
      </c>
      <c r="AC105" s="220"/>
      <c r="AD105" s="221"/>
      <c r="AE105" s="155" t="str">
        <f>IF(ISBLANK(GamesDay2[[#This Row],[Time Speed D2]]),"",RANK(GamesDay2[[#This Row],[Time Speed D2]],GamesDay2[Time Speed D2],1))</f>
        <v/>
      </c>
      <c r="AF105" s="220"/>
      <c r="AG105" s="225">
        <f>IF(GamesDay2[[#This Row],[Pass / Fail Speed D2]]="P",IF(GamesDay2[[#This Row],[Prev Qs Speed D2]]="",1,GamesDay2[[#This Row],[Prev Qs Speed D2]]+1),GamesDay2[[#This Row],[Prev Qs Speed D2]])</f>
        <v>0</v>
      </c>
      <c r="AH105" s="155" t="e">
        <f t="shared" si="16"/>
        <v>#N/A</v>
      </c>
      <c r="AI105" s="155">
        <f>IFERROR(VLOOKUP(GamesDay2[[#This Row],[Dog D2]],GamesDay1[[Dog D1]:[Total Qs Team D1]],37,FALSE),IFERROR(VLOOKUP(GamesDay2[[#This Row],[Dog D2]]&amp;"-"&amp;AI$5,DogInfo!A:B,2,FALSE),0))</f>
        <v>0</v>
      </c>
      <c r="AJ105" s="220"/>
      <c r="AK105" s="221"/>
      <c r="AL105" s="155" t="str">
        <f>IF(ISBLANK(GamesDay2[[#This Row],[Time Team D2]]),"",RANK(GamesDay2[[#This Row],[Time Team D2]],GamesDay2[Time Team D2],1))</f>
        <v/>
      </c>
      <c r="AM105" s="220"/>
      <c r="AN105" s="225">
        <f>IF(GamesDay2[[#This Row],[Pass / Fail Team D2]]="P",IF(GamesDay2[[#This Row],[Prev Qs Team D2]]="",1,GamesDay2[[#This Row],[Prev Qs Team D2]]+1),GamesDay2[[#This Row],[Prev Qs Team D2]])</f>
        <v>0</v>
      </c>
      <c r="AO10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5" s="167">
        <f>GamesDay2[[#This Row],[Number of Games D2]]*SddaFee</f>
        <v>0</v>
      </c>
      <c r="AS105" s="167">
        <f>(GamesDay2[[#This Row],[Number of Games D2]]+GamesDay2[[#This Row],[Number of FEOs D2]])*JudgesFeeFEOGames</f>
        <v>0</v>
      </c>
    </row>
    <row r="106" spans="1:45" ht="24.75" customHeight="1" x14ac:dyDescent="0.2">
      <c r="A106" s="171" t="s">
        <v>3689</v>
      </c>
      <c r="B106" s="155">
        <v>91</v>
      </c>
      <c r="C10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6" s="220"/>
      <c r="E106" s="219" t="str">
        <f>IFERROR(VLOOKUP(GamesDay2[[#This Row],[Dog D2]],'SDDA Dogs'!A:B,2,FALSE),"")</f>
        <v/>
      </c>
      <c r="F106" s="219" t="str">
        <f>IFERROR(VLOOKUP(GamesDay2[[#This Row],[Dog D2]],'SDDA Dogs'!A:C,3,FALSE),"")</f>
        <v/>
      </c>
      <c r="G106" s="219" t="str">
        <f>IFERROR(VLOOKUP(GamesDay2[[#This Row],[Dog D2]],'SDDA Dogs'!A:F,6,FALSE),"")</f>
        <v/>
      </c>
      <c r="H106" s="219"/>
      <c r="I106" s="155">
        <f>GamesDay2[[#This Row],[Total Qs Aerial D2]]</f>
        <v>0</v>
      </c>
      <c r="J106" s="155">
        <f>GamesDay2[[#This Row],[Total Qs Distance D2]]</f>
        <v>0</v>
      </c>
      <c r="K106" s="155">
        <f>GamesDay2[[#This Row],[Total Qs Speed D2]]</f>
        <v>0</v>
      </c>
      <c r="L106" s="155">
        <f>GamesDay2[[#This Row],[Total Qs Team D2]]</f>
        <v>0</v>
      </c>
      <c r="M106" s="219" t="e">
        <f t="shared" si="13"/>
        <v>#N/A</v>
      </c>
      <c r="N106" s="293">
        <f>IFERROR(VLOOKUP(GamesDay2[[#This Row],[Dog D2]],GamesDay1[[Dog D1]:[Total Qs Aerial D1]],16,FALSE),IFERROR(VLOOKUP(GamesDay2[[#This Row],[Dog D2]]&amp;"-"&amp;N$5,DogInfo!A:B,2,FALSE),0))</f>
        <v>0</v>
      </c>
      <c r="O106" s="301"/>
      <c r="P106" s="301"/>
      <c r="Q106" s="294" t="str">
        <f>IF(ISBLANK(GamesDay2[[#This Row],[Time Aerial D2]]),"",RANK(GamesDay2[[#This Row],[Time Aerial D2]],GamesDay2[Time Aerial D2],1))</f>
        <v/>
      </c>
      <c r="R106" s="301"/>
      <c r="S106" s="300">
        <f>IF(GamesDay2[[#This Row],[Pass / Fail Aerial D2]]="P",IF(GamesDay2[[#This Row],[Prev Qs Aerial D2]]="",1,GamesDay2[[#This Row],[Prev Qs Aerial D2]]+1),GamesDay2[[#This Row],[Prev Qs Aerial D2]])</f>
        <v>0</v>
      </c>
      <c r="T106" s="155" t="e">
        <f t="shared" si="14"/>
        <v>#N/A</v>
      </c>
      <c r="U106" s="296">
        <f>IFERROR(VLOOKUP(GamesDay2[[#This Row],[Dog D2]],GamesDay1[[Dog D1]:[Total Qs Distance D1]],23,FALSE),IFERROR(VLOOKUP(GamesDay2[[#This Row],[Dog D2]]&amp;"-"&amp;U$5,DogInfo!A:B,2,FALSE),0))</f>
        <v>0</v>
      </c>
      <c r="V106" s="303"/>
      <c r="W106" s="303"/>
      <c r="X106" s="297" t="str">
        <f>IF(ISBLANK(GamesDay2[[#This Row],[Time Distance D2]]),"",RANK(GamesDay2[[#This Row],[Time Distance D2]],GamesDay2[Time Distance D2],1))</f>
        <v/>
      </c>
      <c r="Y106" s="303"/>
      <c r="Z106" s="297">
        <f>IF(GamesDay2[[#This Row],[Pass / Fail Distance D2]]="P",IF(GamesDay2[[#This Row],[Prev Qs Distance D2]]="",1,GamesDay2[[#This Row],[Prev Qs Distance D2]]+1),GamesDay2[[#This Row],[Prev Qs Distance D2]])</f>
        <v>0</v>
      </c>
      <c r="AA106" s="155" t="e">
        <f t="shared" si="15"/>
        <v>#N/A</v>
      </c>
      <c r="AB106" s="298">
        <f>IFERROR(VLOOKUP(GamesDay2[[#This Row],[Dog D2]],GamesDay1[[Dog D1]:[Total Qs Speed D1]],30,FALSE),IFERROR(VLOOKUP(GamesDay2[[#This Row],[Dog D2]]&amp;"-"&amp;AB$5,DogInfo!A:B,2,FALSE),0))</f>
        <v>0</v>
      </c>
      <c r="AC106" s="304"/>
      <c r="AD106" s="304"/>
      <c r="AE106" s="299" t="str">
        <f>IF(ISBLANK(GamesDay2[[#This Row],[Time Speed D2]]),"",RANK(GamesDay2[[#This Row],[Time Speed D2]],GamesDay2[Time Speed D2],1))</f>
        <v/>
      </c>
      <c r="AF106" s="304"/>
      <c r="AG106" s="299">
        <f>IF(GamesDay2[[#This Row],[Pass / Fail Speed D2]]="P",IF(GamesDay2[[#This Row],[Prev Qs Speed D2]]="",1,GamesDay2[[#This Row],[Prev Qs Speed D2]]+1),GamesDay2[[#This Row],[Prev Qs Speed D2]])</f>
        <v>0</v>
      </c>
      <c r="AH106" s="155" t="e">
        <f t="shared" si="16"/>
        <v>#N/A</v>
      </c>
      <c r="AI106" s="155">
        <f>IFERROR(VLOOKUP(GamesDay2[[#This Row],[Dog D2]],GamesDay1[[Dog D1]:[Total Qs Team D1]],37,FALSE),IFERROR(VLOOKUP(GamesDay2[[#This Row],[Dog D2]]&amp;"-"&amp;AI$5,DogInfo!A:B,2,FALSE),0))</f>
        <v>0</v>
      </c>
      <c r="AJ106" s="220"/>
      <c r="AK106" s="221"/>
      <c r="AL106" s="155" t="str">
        <f>IF(ISBLANK(GamesDay2[[#This Row],[Time Team D2]]),"",RANK(GamesDay2[[#This Row],[Time Team D2]],GamesDay2[Time Team D2],1))</f>
        <v/>
      </c>
      <c r="AM106" s="220"/>
      <c r="AN106" s="225">
        <f>IF(GamesDay2[[#This Row],[Pass / Fail Team D2]]="P",IF(GamesDay2[[#This Row],[Prev Qs Team D2]]="",1,GamesDay2[[#This Row],[Prev Qs Team D2]]+1),GamesDay2[[#This Row],[Prev Qs Team D2]])</f>
        <v>0</v>
      </c>
      <c r="AO10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6" s="167">
        <f>GamesDay2[[#This Row],[Number of Games D2]]*SddaFee</f>
        <v>0</v>
      </c>
      <c r="AS106" s="167">
        <f>(GamesDay2[[#This Row],[Number of Games D2]]+GamesDay2[[#This Row],[Number of FEOs D2]])*JudgesFeeFEOGames</f>
        <v>0</v>
      </c>
    </row>
    <row r="107" spans="1:45" ht="24.75" customHeight="1" x14ac:dyDescent="0.2">
      <c r="A107" s="171" t="s">
        <v>3689</v>
      </c>
      <c r="B107" s="155">
        <v>92</v>
      </c>
      <c r="C10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7" s="220"/>
      <c r="E107" s="219" t="str">
        <f>IFERROR(VLOOKUP(GamesDay2[[#This Row],[Dog D2]],'SDDA Dogs'!A:B,2,FALSE),"")</f>
        <v/>
      </c>
      <c r="F107" s="219" t="str">
        <f>IFERROR(VLOOKUP(GamesDay2[[#This Row],[Dog D2]],'SDDA Dogs'!A:C,3,FALSE),"")</f>
        <v/>
      </c>
      <c r="G107" s="219" t="str">
        <f>IFERROR(VLOOKUP(GamesDay2[[#This Row],[Dog D2]],'SDDA Dogs'!A:F,6,FALSE),"")</f>
        <v/>
      </c>
      <c r="H107" s="219"/>
      <c r="I107" s="155">
        <f>GamesDay2[[#This Row],[Total Qs Aerial D2]]</f>
        <v>0</v>
      </c>
      <c r="J107" s="155">
        <f>GamesDay2[[#This Row],[Total Qs Distance D2]]</f>
        <v>0</v>
      </c>
      <c r="K107" s="155">
        <f>GamesDay2[[#This Row],[Total Qs Speed D2]]</f>
        <v>0</v>
      </c>
      <c r="L107" s="155">
        <f>GamesDay2[[#This Row],[Total Qs Team D2]]</f>
        <v>0</v>
      </c>
      <c r="M107" s="219" t="e">
        <f t="shared" si="13"/>
        <v>#N/A</v>
      </c>
      <c r="N107" s="155">
        <f>IFERROR(VLOOKUP(GamesDay2[[#This Row],[Dog D2]],GamesDay1[[Dog D1]:[Total Qs Aerial D1]],16,FALSE),IFERROR(VLOOKUP(GamesDay2[[#This Row],[Dog D2]]&amp;"-"&amp;N$5,DogInfo!A:B,2,FALSE),0))</f>
        <v>0</v>
      </c>
      <c r="O107" s="220"/>
      <c r="P107" s="221"/>
      <c r="Q107" s="155" t="str">
        <f>IF(ISBLANK(GamesDay2[[#This Row],[Time Aerial D2]]),"",RANK(GamesDay2[[#This Row],[Time Aerial D2]],GamesDay2[Time Aerial D2],1))</f>
        <v/>
      </c>
      <c r="R107" s="220"/>
      <c r="S107" s="225">
        <f>IF(GamesDay2[[#This Row],[Pass / Fail Aerial D2]]="P",IF(GamesDay2[[#This Row],[Prev Qs Aerial D2]]="",1,GamesDay2[[#This Row],[Prev Qs Aerial D2]]+1),GamesDay2[[#This Row],[Prev Qs Aerial D2]])</f>
        <v>0</v>
      </c>
      <c r="T107" s="155" t="e">
        <f t="shared" si="14"/>
        <v>#N/A</v>
      </c>
      <c r="U107" s="155">
        <f>IFERROR(VLOOKUP(GamesDay2[[#This Row],[Dog D2]],GamesDay1[[Dog D1]:[Total Qs Distance D1]],23,FALSE),IFERROR(VLOOKUP(GamesDay2[[#This Row],[Dog D2]]&amp;"-"&amp;U$5,DogInfo!A:B,2,FALSE),0))</f>
        <v>0</v>
      </c>
      <c r="V107" s="220"/>
      <c r="W107" s="221"/>
      <c r="X107" s="155" t="str">
        <f>IF(ISBLANK(GamesDay2[[#This Row],[Time Distance D2]]),"",RANK(GamesDay2[[#This Row],[Time Distance D2]],GamesDay2[Time Distance D2],1))</f>
        <v/>
      </c>
      <c r="Y107" s="220"/>
      <c r="Z107" s="225">
        <f>IF(GamesDay2[[#This Row],[Pass / Fail Distance D2]]="P",IF(GamesDay2[[#This Row],[Prev Qs Distance D2]]="",1,GamesDay2[[#This Row],[Prev Qs Distance D2]]+1),GamesDay2[[#This Row],[Prev Qs Distance D2]])</f>
        <v>0</v>
      </c>
      <c r="AA107" s="155" t="e">
        <f t="shared" si="15"/>
        <v>#N/A</v>
      </c>
      <c r="AB107" s="155">
        <f>IFERROR(VLOOKUP(GamesDay2[[#This Row],[Dog D2]],GamesDay1[[Dog D1]:[Total Qs Speed D1]],30,FALSE),IFERROR(VLOOKUP(GamesDay2[[#This Row],[Dog D2]]&amp;"-"&amp;AB$5,DogInfo!A:B,2,FALSE),0))</f>
        <v>0</v>
      </c>
      <c r="AC107" s="220"/>
      <c r="AD107" s="221"/>
      <c r="AE107" s="155" t="str">
        <f>IF(ISBLANK(GamesDay2[[#This Row],[Time Speed D2]]),"",RANK(GamesDay2[[#This Row],[Time Speed D2]],GamesDay2[Time Speed D2],1))</f>
        <v/>
      </c>
      <c r="AF107" s="220"/>
      <c r="AG107" s="225">
        <f>IF(GamesDay2[[#This Row],[Pass / Fail Speed D2]]="P",IF(GamesDay2[[#This Row],[Prev Qs Speed D2]]="",1,GamesDay2[[#This Row],[Prev Qs Speed D2]]+1),GamesDay2[[#This Row],[Prev Qs Speed D2]])</f>
        <v>0</v>
      </c>
      <c r="AH107" s="155" t="e">
        <f t="shared" si="16"/>
        <v>#N/A</v>
      </c>
      <c r="AI107" s="155">
        <f>IFERROR(VLOOKUP(GamesDay2[[#This Row],[Dog D2]],GamesDay1[[Dog D1]:[Total Qs Team D1]],37,FALSE),IFERROR(VLOOKUP(GamesDay2[[#This Row],[Dog D2]]&amp;"-"&amp;AI$5,DogInfo!A:B,2,FALSE),0))</f>
        <v>0</v>
      </c>
      <c r="AJ107" s="220"/>
      <c r="AK107" s="221"/>
      <c r="AL107" s="155" t="str">
        <f>IF(ISBLANK(GamesDay2[[#This Row],[Time Team D2]]),"",RANK(GamesDay2[[#This Row],[Time Team D2]],GamesDay2[Time Team D2],1))</f>
        <v/>
      </c>
      <c r="AM107" s="220"/>
      <c r="AN107" s="225">
        <f>IF(GamesDay2[[#This Row],[Pass / Fail Team D2]]="P",IF(GamesDay2[[#This Row],[Prev Qs Team D2]]="",1,GamesDay2[[#This Row],[Prev Qs Team D2]]+1),GamesDay2[[#This Row],[Prev Qs Team D2]])</f>
        <v>0</v>
      </c>
      <c r="AO10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7" s="167">
        <f>GamesDay2[[#This Row],[Number of Games D2]]*SddaFee</f>
        <v>0</v>
      </c>
      <c r="AS107" s="167">
        <f>(GamesDay2[[#This Row],[Number of Games D2]]+GamesDay2[[#This Row],[Number of FEOs D2]])*JudgesFeeFEOGames</f>
        <v>0</v>
      </c>
    </row>
    <row r="108" spans="1:45" ht="24.75" customHeight="1" x14ac:dyDescent="0.2">
      <c r="A108" s="171" t="s">
        <v>3689</v>
      </c>
      <c r="B108" s="155">
        <v>93</v>
      </c>
      <c r="C10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8" s="220"/>
      <c r="E108" s="219" t="str">
        <f>IFERROR(VLOOKUP(GamesDay2[[#This Row],[Dog D2]],'SDDA Dogs'!A:B,2,FALSE),"")</f>
        <v/>
      </c>
      <c r="F108" s="219" t="str">
        <f>IFERROR(VLOOKUP(GamesDay2[[#This Row],[Dog D2]],'SDDA Dogs'!A:C,3,FALSE),"")</f>
        <v/>
      </c>
      <c r="G108" s="219" t="str">
        <f>IFERROR(VLOOKUP(GamesDay2[[#This Row],[Dog D2]],'SDDA Dogs'!A:F,6,FALSE),"")</f>
        <v/>
      </c>
      <c r="H108" s="219"/>
      <c r="I108" s="155">
        <f>GamesDay2[[#This Row],[Total Qs Aerial D2]]</f>
        <v>0</v>
      </c>
      <c r="J108" s="155">
        <f>GamesDay2[[#This Row],[Total Qs Distance D2]]</f>
        <v>0</v>
      </c>
      <c r="K108" s="155">
        <f>GamesDay2[[#This Row],[Total Qs Speed D2]]</f>
        <v>0</v>
      </c>
      <c r="L108" s="155">
        <f>GamesDay2[[#This Row],[Total Qs Team D2]]</f>
        <v>0</v>
      </c>
      <c r="M108" s="219" t="e">
        <f t="shared" si="13"/>
        <v>#N/A</v>
      </c>
      <c r="N108" s="293">
        <f>IFERROR(VLOOKUP(GamesDay2[[#This Row],[Dog D2]],GamesDay1[[Dog D1]:[Total Qs Aerial D1]],16,FALSE),IFERROR(VLOOKUP(GamesDay2[[#This Row],[Dog D2]]&amp;"-"&amp;N$5,DogInfo!A:B,2,FALSE),0))</f>
        <v>0</v>
      </c>
      <c r="O108" s="301"/>
      <c r="P108" s="301"/>
      <c r="Q108" s="294" t="str">
        <f>IF(ISBLANK(GamesDay2[[#This Row],[Time Aerial D2]]),"",RANK(GamesDay2[[#This Row],[Time Aerial D2]],GamesDay2[Time Aerial D2],1))</f>
        <v/>
      </c>
      <c r="R108" s="301"/>
      <c r="S108" s="300">
        <f>IF(GamesDay2[[#This Row],[Pass / Fail Aerial D2]]="P",IF(GamesDay2[[#This Row],[Prev Qs Aerial D2]]="",1,GamesDay2[[#This Row],[Prev Qs Aerial D2]]+1),GamesDay2[[#This Row],[Prev Qs Aerial D2]])</f>
        <v>0</v>
      </c>
      <c r="T108" s="155" t="e">
        <f t="shared" si="14"/>
        <v>#N/A</v>
      </c>
      <c r="U108" s="296">
        <f>IFERROR(VLOOKUP(GamesDay2[[#This Row],[Dog D2]],GamesDay1[[Dog D1]:[Total Qs Distance D1]],23,FALSE),IFERROR(VLOOKUP(GamesDay2[[#This Row],[Dog D2]]&amp;"-"&amp;U$5,DogInfo!A:B,2,FALSE),0))</f>
        <v>0</v>
      </c>
      <c r="V108" s="303"/>
      <c r="W108" s="303"/>
      <c r="X108" s="297" t="str">
        <f>IF(ISBLANK(GamesDay2[[#This Row],[Time Distance D2]]),"",RANK(GamesDay2[[#This Row],[Time Distance D2]],GamesDay2[Time Distance D2],1))</f>
        <v/>
      </c>
      <c r="Y108" s="303"/>
      <c r="Z108" s="297">
        <f>IF(GamesDay2[[#This Row],[Pass / Fail Distance D2]]="P",IF(GamesDay2[[#This Row],[Prev Qs Distance D2]]="",1,GamesDay2[[#This Row],[Prev Qs Distance D2]]+1),GamesDay2[[#This Row],[Prev Qs Distance D2]])</f>
        <v>0</v>
      </c>
      <c r="AA108" s="155" t="e">
        <f t="shared" si="15"/>
        <v>#N/A</v>
      </c>
      <c r="AB108" s="298">
        <f>IFERROR(VLOOKUP(GamesDay2[[#This Row],[Dog D2]],GamesDay1[[Dog D1]:[Total Qs Speed D1]],30,FALSE),IFERROR(VLOOKUP(GamesDay2[[#This Row],[Dog D2]]&amp;"-"&amp;AB$5,DogInfo!A:B,2,FALSE),0))</f>
        <v>0</v>
      </c>
      <c r="AC108" s="304"/>
      <c r="AD108" s="304"/>
      <c r="AE108" s="299" t="str">
        <f>IF(ISBLANK(GamesDay2[[#This Row],[Time Speed D2]]),"",RANK(GamesDay2[[#This Row],[Time Speed D2]],GamesDay2[Time Speed D2],1))</f>
        <v/>
      </c>
      <c r="AF108" s="304"/>
      <c r="AG108" s="299">
        <f>IF(GamesDay2[[#This Row],[Pass / Fail Speed D2]]="P",IF(GamesDay2[[#This Row],[Prev Qs Speed D2]]="",1,GamesDay2[[#This Row],[Prev Qs Speed D2]]+1),GamesDay2[[#This Row],[Prev Qs Speed D2]])</f>
        <v>0</v>
      </c>
      <c r="AH108" s="155" t="e">
        <f t="shared" si="16"/>
        <v>#N/A</v>
      </c>
      <c r="AI108" s="155">
        <f>IFERROR(VLOOKUP(GamesDay2[[#This Row],[Dog D2]],GamesDay1[[Dog D1]:[Total Qs Team D1]],37,FALSE),IFERROR(VLOOKUP(GamesDay2[[#This Row],[Dog D2]]&amp;"-"&amp;AI$5,DogInfo!A:B,2,FALSE),0))</f>
        <v>0</v>
      </c>
      <c r="AJ108" s="220"/>
      <c r="AK108" s="221"/>
      <c r="AL108" s="155" t="str">
        <f>IF(ISBLANK(GamesDay2[[#This Row],[Time Team D2]]),"",RANK(GamesDay2[[#This Row],[Time Team D2]],GamesDay2[Time Team D2],1))</f>
        <v/>
      </c>
      <c r="AM108" s="220"/>
      <c r="AN108" s="225">
        <f>IF(GamesDay2[[#This Row],[Pass / Fail Team D2]]="P",IF(GamesDay2[[#This Row],[Prev Qs Team D2]]="",1,GamesDay2[[#This Row],[Prev Qs Team D2]]+1),GamesDay2[[#This Row],[Prev Qs Team D2]])</f>
        <v>0</v>
      </c>
      <c r="AO10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8" s="167">
        <f>GamesDay2[[#This Row],[Number of Games D2]]*SddaFee</f>
        <v>0</v>
      </c>
      <c r="AS108" s="167">
        <f>(GamesDay2[[#This Row],[Number of Games D2]]+GamesDay2[[#This Row],[Number of FEOs D2]])*JudgesFeeFEOGames</f>
        <v>0</v>
      </c>
    </row>
    <row r="109" spans="1:45" ht="24.75" customHeight="1" x14ac:dyDescent="0.2">
      <c r="A109" s="171" t="s">
        <v>3689</v>
      </c>
      <c r="B109" s="155">
        <v>94</v>
      </c>
      <c r="C10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9" s="220"/>
      <c r="E109" s="219" t="str">
        <f>IFERROR(VLOOKUP(GamesDay2[[#This Row],[Dog D2]],'SDDA Dogs'!A:B,2,FALSE),"")</f>
        <v/>
      </c>
      <c r="F109" s="219" t="str">
        <f>IFERROR(VLOOKUP(GamesDay2[[#This Row],[Dog D2]],'SDDA Dogs'!A:C,3,FALSE),"")</f>
        <v/>
      </c>
      <c r="G109" s="219" t="str">
        <f>IFERROR(VLOOKUP(GamesDay2[[#This Row],[Dog D2]],'SDDA Dogs'!A:F,6,FALSE),"")</f>
        <v/>
      </c>
      <c r="H109" s="219"/>
      <c r="I109" s="155">
        <f>GamesDay2[[#This Row],[Total Qs Aerial D2]]</f>
        <v>0</v>
      </c>
      <c r="J109" s="155">
        <f>GamesDay2[[#This Row],[Total Qs Distance D2]]</f>
        <v>0</v>
      </c>
      <c r="K109" s="155">
        <f>GamesDay2[[#This Row],[Total Qs Speed D2]]</f>
        <v>0</v>
      </c>
      <c r="L109" s="155">
        <f>GamesDay2[[#This Row],[Total Qs Team D2]]</f>
        <v>0</v>
      </c>
      <c r="M109" s="219" t="e">
        <f t="shared" si="13"/>
        <v>#N/A</v>
      </c>
      <c r="N109" s="155">
        <f>IFERROR(VLOOKUP(GamesDay2[[#This Row],[Dog D2]],GamesDay1[[Dog D1]:[Total Qs Aerial D1]],16,FALSE),IFERROR(VLOOKUP(GamesDay2[[#This Row],[Dog D2]]&amp;"-"&amp;N$5,DogInfo!A:B,2,FALSE),0))</f>
        <v>0</v>
      </c>
      <c r="O109" s="220"/>
      <c r="P109" s="221"/>
      <c r="Q109" s="155" t="str">
        <f>IF(ISBLANK(GamesDay2[[#This Row],[Time Aerial D2]]),"",RANK(GamesDay2[[#This Row],[Time Aerial D2]],GamesDay2[Time Aerial D2],1))</f>
        <v/>
      </c>
      <c r="R109" s="220"/>
      <c r="S109" s="225">
        <f>IF(GamesDay2[[#This Row],[Pass / Fail Aerial D2]]="P",IF(GamesDay2[[#This Row],[Prev Qs Aerial D2]]="",1,GamesDay2[[#This Row],[Prev Qs Aerial D2]]+1),GamesDay2[[#This Row],[Prev Qs Aerial D2]])</f>
        <v>0</v>
      </c>
      <c r="T109" s="155" t="e">
        <f t="shared" si="14"/>
        <v>#N/A</v>
      </c>
      <c r="U109" s="155">
        <f>IFERROR(VLOOKUP(GamesDay2[[#This Row],[Dog D2]],GamesDay1[[Dog D1]:[Total Qs Distance D1]],23,FALSE),IFERROR(VLOOKUP(GamesDay2[[#This Row],[Dog D2]]&amp;"-"&amp;U$5,DogInfo!A:B,2,FALSE),0))</f>
        <v>0</v>
      </c>
      <c r="V109" s="220"/>
      <c r="W109" s="221"/>
      <c r="X109" s="155" t="str">
        <f>IF(ISBLANK(GamesDay2[[#This Row],[Time Distance D2]]),"",RANK(GamesDay2[[#This Row],[Time Distance D2]],GamesDay2[Time Distance D2],1))</f>
        <v/>
      </c>
      <c r="Y109" s="220"/>
      <c r="Z109" s="225">
        <f>IF(GamesDay2[[#This Row],[Pass / Fail Distance D2]]="P",IF(GamesDay2[[#This Row],[Prev Qs Distance D2]]="",1,GamesDay2[[#This Row],[Prev Qs Distance D2]]+1),GamesDay2[[#This Row],[Prev Qs Distance D2]])</f>
        <v>0</v>
      </c>
      <c r="AA109" s="155" t="e">
        <f t="shared" si="15"/>
        <v>#N/A</v>
      </c>
      <c r="AB109" s="155">
        <f>IFERROR(VLOOKUP(GamesDay2[[#This Row],[Dog D2]],GamesDay1[[Dog D1]:[Total Qs Speed D1]],30,FALSE),IFERROR(VLOOKUP(GamesDay2[[#This Row],[Dog D2]]&amp;"-"&amp;AB$5,DogInfo!A:B,2,FALSE),0))</f>
        <v>0</v>
      </c>
      <c r="AC109" s="220"/>
      <c r="AD109" s="221"/>
      <c r="AE109" s="155" t="str">
        <f>IF(ISBLANK(GamesDay2[[#This Row],[Time Speed D2]]),"",RANK(GamesDay2[[#This Row],[Time Speed D2]],GamesDay2[Time Speed D2],1))</f>
        <v/>
      </c>
      <c r="AF109" s="220"/>
      <c r="AG109" s="225">
        <f>IF(GamesDay2[[#This Row],[Pass / Fail Speed D2]]="P",IF(GamesDay2[[#This Row],[Prev Qs Speed D2]]="",1,GamesDay2[[#This Row],[Prev Qs Speed D2]]+1),GamesDay2[[#This Row],[Prev Qs Speed D2]])</f>
        <v>0</v>
      </c>
      <c r="AH109" s="155" t="e">
        <f t="shared" si="16"/>
        <v>#N/A</v>
      </c>
      <c r="AI109" s="155">
        <f>IFERROR(VLOOKUP(GamesDay2[[#This Row],[Dog D2]],GamesDay1[[Dog D1]:[Total Qs Team D1]],37,FALSE),IFERROR(VLOOKUP(GamesDay2[[#This Row],[Dog D2]]&amp;"-"&amp;AI$5,DogInfo!A:B,2,FALSE),0))</f>
        <v>0</v>
      </c>
      <c r="AJ109" s="220"/>
      <c r="AK109" s="221"/>
      <c r="AL109" s="155" t="str">
        <f>IF(ISBLANK(GamesDay2[[#This Row],[Time Team D2]]),"",RANK(GamesDay2[[#This Row],[Time Team D2]],GamesDay2[Time Team D2],1))</f>
        <v/>
      </c>
      <c r="AM109" s="220"/>
      <c r="AN109" s="225">
        <f>IF(GamesDay2[[#This Row],[Pass / Fail Team D2]]="P",IF(GamesDay2[[#This Row],[Prev Qs Team D2]]="",1,GamesDay2[[#This Row],[Prev Qs Team D2]]+1),GamesDay2[[#This Row],[Prev Qs Team D2]])</f>
        <v>0</v>
      </c>
      <c r="AO10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9" s="167">
        <f>GamesDay2[[#This Row],[Number of Games D2]]*SddaFee</f>
        <v>0</v>
      </c>
      <c r="AS109" s="167">
        <f>(GamesDay2[[#This Row],[Number of Games D2]]+GamesDay2[[#This Row],[Number of FEOs D2]])*JudgesFeeFEOGames</f>
        <v>0</v>
      </c>
    </row>
    <row r="110" spans="1:45" ht="24.75" customHeight="1" x14ac:dyDescent="0.2">
      <c r="A110" s="171" t="s">
        <v>3689</v>
      </c>
      <c r="B110" s="155">
        <v>95</v>
      </c>
      <c r="C11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0" s="220"/>
      <c r="E110" s="219" t="str">
        <f>IFERROR(VLOOKUP(GamesDay2[[#This Row],[Dog D2]],'SDDA Dogs'!A:B,2,FALSE),"")</f>
        <v/>
      </c>
      <c r="F110" s="219" t="str">
        <f>IFERROR(VLOOKUP(GamesDay2[[#This Row],[Dog D2]],'SDDA Dogs'!A:C,3,FALSE),"")</f>
        <v/>
      </c>
      <c r="G110" s="219" t="str">
        <f>IFERROR(VLOOKUP(GamesDay2[[#This Row],[Dog D2]],'SDDA Dogs'!A:F,6,FALSE),"")</f>
        <v/>
      </c>
      <c r="H110" s="219"/>
      <c r="I110" s="155">
        <f>GamesDay2[[#This Row],[Total Qs Aerial D2]]</f>
        <v>0</v>
      </c>
      <c r="J110" s="155">
        <f>GamesDay2[[#This Row],[Total Qs Distance D2]]</f>
        <v>0</v>
      </c>
      <c r="K110" s="155">
        <f>GamesDay2[[#This Row],[Total Qs Speed D2]]</f>
        <v>0</v>
      </c>
      <c r="L110" s="155">
        <f>GamesDay2[[#This Row],[Total Qs Team D2]]</f>
        <v>0</v>
      </c>
      <c r="M110" s="219" t="e">
        <f t="shared" si="13"/>
        <v>#N/A</v>
      </c>
      <c r="N110" s="293">
        <f>IFERROR(VLOOKUP(GamesDay2[[#This Row],[Dog D2]],GamesDay1[[Dog D1]:[Total Qs Aerial D1]],16,FALSE),IFERROR(VLOOKUP(GamesDay2[[#This Row],[Dog D2]]&amp;"-"&amp;N$5,DogInfo!A:B,2,FALSE),0))</f>
        <v>0</v>
      </c>
      <c r="O110" s="301"/>
      <c r="P110" s="301"/>
      <c r="Q110" s="294" t="str">
        <f>IF(ISBLANK(GamesDay2[[#This Row],[Time Aerial D2]]),"",RANK(GamesDay2[[#This Row],[Time Aerial D2]],GamesDay2[Time Aerial D2],1))</f>
        <v/>
      </c>
      <c r="R110" s="301"/>
      <c r="S110" s="300">
        <f>IF(GamesDay2[[#This Row],[Pass / Fail Aerial D2]]="P",IF(GamesDay2[[#This Row],[Prev Qs Aerial D2]]="",1,GamesDay2[[#This Row],[Prev Qs Aerial D2]]+1),GamesDay2[[#This Row],[Prev Qs Aerial D2]])</f>
        <v>0</v>
      </c>
      <c r="T110" s="155" t="e">
        <f t="shared" si="14"/>
        <v>#N/A</v>
      </c>
      <c r="U110" s="296">
        <f>IFERROR(VLOOKUP(GamesDay2[[#This Row],[Dog D2]],GamesDay1[[Dog D1]:[Total Qs Distance D1]],23,FALSE),IFERROR(VLOOKUP(GamesDay2[[#This Row],[Dog D2]]&amp;"-"&amp;U$5,DogInfo!A:B,2,FALSE),0))</f>
        <v>0</v>
      </c>
      <c r="V110" s="303"/>
      <c r="W110" s="303"/>
      <c r="X110" s="297" t="str">
        <f>IF(ISBLANK(GamesDay2[[#This Row],[Time Distance D2]]),"",RANK(GamesDay2[[#This Row],[Time Distance D2]],GamesDay2[Time Distance D2],1))</f>
        <v/>
      </c>
      <c r="Y110" s="303"/>
      <c r="Z110" s="297">
        <f>IF(GamesDay2[[#This Row],[Pass / Fail Distance D2]]="P",IF(GamesDay2[[#This Row],[Prev Qs Distance D2]]="",1,GamesDay2[[#This Row],[Prev Qs Distance D2]]+1),GamesDay2[[#This Row],[Prev Qs Distance D2]])</f>
        <v>0</v>
      </c>
      <c r="AA110" s="155" t="e">
        <f t="shared" si="15"/>
        <v>#N/A</v>
      </c>
      <c r="AB110" s="298">
        <f>IFERROR(VLOOKUP(GamesDay2[[#This Row],[Dog D2]],GamesDay1[[Dog D1]:[Total Qs Speed D1]],30,FALSE),IFERROR(VLOOKUP(GamesDay2[[#This Row],[Dog D2]]&amp;"-"&amp;AB$5,DogInfo!A:B,2,FALSE),0))</f>
        <v>0</v>
      </c>
      <c r="AC110" s="304"/>
      <c r="AD110" s="304"/>
      <c r="AE110" s="299" t="str">
        <f>IF(ISBLANK(GamesDay2[[#This Row],[Time Speed D2]]),"",RANK(GamesDay2[[#This Row],[Time Speed D2]],GamesDay2[Time Speed D2],1))</f>
        <v/>
      </c>
      <c r="AF110" s="304"/>
      <c r="AG110" s="299">
        <f>IF(GamesDay2[[#This Row],[Pass / Fail Speed D2]]="P",IF(GamesDay2[[#This Row],[Prev Qs Speed D2]]="",1,GamesDay2[[#This Row],[Prev Qs Speed D2]]+1),GamesDay2[[#This Row],[Prev Qs Speed D2]])</f>
        <v>0</v>
      </c>
      <c r="AH110" s="155" t="e">
        <f t="shared" si="16"/>
        <v>#N/A</v>
      </c>
      <c r="AI110" s="155">
        <f>IFERROR(VLOOKUP(GamesDay2[[#This Row],[Dog D2]],GamesDay1[[Dog D1]:[Total Qs Team D1]],37,FALSE),IFERROR(VLOOKUP(GamesDay2[[#This Row],[Dog D2]]&amp;"-"&amp;AI$5,DogInfo!A:B,2,FALSE),0))</f>
        <v>0</v>
      </c>
      <c r="AJ110" s="220"/>
      <c r="AK110" s="221"/>
      <c r="AL110" s="155" t="str">
        <f>IF(ISBLANK(GamesDay2[[#This Row],[Time Team D2]]),"",RANK(GamesDay2[[#This Row],[Time Team D2]],GamesDay2[Time Team D2],1))</f>
        <v/>
      </c>
      <c r="AM110" s="220"/>
      <c r="AN110" s="225">
        <f>IF(GamesDay2[[#This Row],[Pass / Fail Team D2]]="P",IF(GamesDay2[[#This Row],[Prev Qs Team D2]]="",1,GamesDay2[[#This Row],[Prev Qs Team D2]]+1),GamesDay2[[#This Row],[Prev Qs Team D2]])</f>
        <v>0</v>
      </c>
      <c r="AO11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0" s="167">
        <f>GamesDay2[[#This Row],[Number of Games D2]]*SddaFee</f>
        <v>0</v>
      </c>
      <c r="AS110" s="167">
        <f>(GamesDay2[[#This Row],[Number of Games D2]]+GamesDay2[[#This Row],[Number of FEOs D2]])*JudgesFeeFEOGames</f>
        <v>0</v>
      </c>
    </row>
    <row r="111" spans="1:45" ht="24.75" customHeight="1" x14ac:dyDescent="0.2">
      <c r="A111" s="171" t="s">
        <v>3689</v>
      </c>
      <c r="B111" s="155">
        <v>96</v>
      </c>
      <c r="C11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1" s="220"/>
      <c r="E111" s="219" t="str">
        <f>IFERROR(VLOOKUP(GamesDay2[[#This Row],[Dog D2]],'SDDA Dogs'!A:B,2,FALSE),"")</f>
        <v/>
      </c>
      <c r="F111" s="219" t="str">
        <f>IFERROR(VLOOKUP(GamesDay2[[#This Row],[Dog D2]],'SDDA Dogs'!A:C,3,FALSE),"")</f>
        <v/>
      </c>
      <c r="G111" s="219" t="str">
        <f>IFERROR(VLOOKUP(GamesDay2[[#This Row],[Dog D2]],'SDDA Dogs'!A:F,6,FALSE),"")</f>
        <v/>
      </c>
      <c r="H111" s="219"/>
      <c r="I111" s="155">
        <f>GamesDay2[[#This Row],[Total Qs Aerial D2]]</f>
        <v>0</v>
      </c>
      <c r="J111" s="155">
        <f>GamesDay2[[#This Row],[Total Qs Distance D2]]</f>
        <v>0</v>
      </c>
      <c r="K111" s="155">
        <f>GamesDay2[[#This Row],[Total Qs Speed D2]]</f>
        <v>0</v>
      </c>
      <c r="L111" s="155">
        <f>GamesDay2[[#This Row],[Total Qs Team D2]]</f>
        <v>0</v>
      </c>
      <c r="M111" s="219" t="e">
        <f t="shared" si="13"/>
        <v>#N/A</v>
      </c>
      <c r="N111" s="155">
        <f>IFERROR(VLOOKUP(GamesDay2[[#This Row],[Dog D2]],GamesDay1[[Dog D1]:[Total Qs Aerial D1]],16,FALSE),IFERROR(VLOOKUP(GamesDay2[[#This Row],[Dog D2]]&amp;"-"&amp;N$5,DogInfo!A:B,2,FALSE),0))</f>
        <v>0</v>
      </c>
      <c r="O111" s="220"/>
      <c r="P111" s="221"/>
      <c r="Q111" s="155" t="str">
        <f>IF(ISBLANK(GamesDay2[[#This Row],[Time Aerial D2]]),"",RANK(GamesDay2[[#This Row],[Time Aerial D2]],GamesDay2[Time Aerial D2],1))</f>
        <v/>
      </c>
      <c r="R111" s="220"/>
      <c r="S111" s="225">
        <f>IF(GamesDay2[[#This Row],[Pass / Fail Aerial D2]]="P",IF(GamesDay2[[#This Row],[Prev Qs Aerial D2]]="",1,GamesDay2[[#This Row],[Prev Qs Aerial D2]]+1),GamesDay2[[#This Row],[Prev Qs Aerial D2]])</f>
        <v>0</v>
      </c>
      <c r="T111" s="155" t="e">
        <f t="shared" si="14"/>
        <v>#N/A</v>
      </c>
      <c r="U111" s="155">
        <f>IFERROR(VLOOKUP(GamesDay2[[#This Row],[Dog D2]],GamesDay1[[Dog D1]:[Total Qs Distance D1]],23,FALSE),IFERROR(VLOOKUP(GamesDay2[[#This Row],[Dog D2]]&amp;"-"&amp;U$5,DogInfo!A:B,2,FALSE),0))</f>
        <v>0</v>
      </c>
      <c r="V111" s="220"/>
      <c r="W111" s="221"/>
      <c r="X111" s="155" t="str">
        <f>IF(ISBLANK(GamesDay2[[#This Row],[Time Distance D2]]),"",RANK(GamesDay2[[#This Row],[Time Distance D2]],GamesDay2[Time Distance D2],1))</f>
        <v/>
      </c>
      <c r="Y111" s="220"/>
      <c r="Z111" s="225">
        <f>IF(GamesDay2[[#This Row],[Pass / Fail Distance D2]]="P",IF(GamesDay2[[#This Row],[Prev Qs Distance D2]]="",1,GamesDay2[[#This Row],[Prev Qs Distance D2]]+1),GamesDay2[[#This Row],[Prev Qs Distance D2]])</f>
        <v>0</v>
      </c>
      <c r="AA111" s="155" t="e">
        <f t="shared" si="15"/>
        <v>#N/A</v>
      </c>
      <c r="AB111" s="155">
        <f>IFERROR(VLOOKUP(GamesDay2[[#This Row],[Dog D2]],GamesDay1[[Dog D1]:[Total Qs Speed D1]],30,FALSE),IFERROR(VLOOKUP(GamesDay2[[#This Row],[Dog D2]]&amp;"-"&amp;AB$5,DogInfo!A:B,2,FALSE),0))</f>
        <v>0</v>
      </c>
      <c r="AC111" s="220"/>
      <c r="AD111" s="221"/>
      <c r="AE111" s="155" t="str">
        <f>IF(ISBLANK(GamesDay2[[#This Row],[Time Speed D2]]),"",RANK(GamesDay2[[#This Row],[Time Speed D2]],GamesDay2[Time Speed D2],1))</f>
        <v/>
      </c>
      <c r="AF111" s="220"/>
      <c r="AG111" s="225">
        <f>IF(GamesDay2[[#This Row],[Pass / Fail Speed D2]]="P",IF(GamesDay2[[#This Row],[Prev Qs Speed D2]]="",1,GamesDay2[[#This Row],[Prev Qs Speed D2]]+1),GamesDay2[[#This Row],[Prev Qs Speed D2]])</f>
        <v>0</v>
      </c>
      <c r="AH111" s="155" t="e">
        <f t="shared" si="16"/>
        <v>#N/A</v>
      </c>
      <c r="AI111" s="155">
        <f>IFERROR(VLOOKUP(GamesDay2[[#This Row],[Dog D2]],GamesDay1[[Dog D1]:[Total Qs Team D1]],37,FALSE),IFERROR(VLOOKUP(GamesDay2[[#This Row],[Dog D2]]&amp;"-"&amp;AI$5,DogInfo!A:B,2,FALSE),0))</f>
        <v>0</v>
      </c>
      <c r="AJ111" s="220"/>
      <c r="AK111" s="221"/>
      <c r="AL111" s="155" t="str">
        <f>IF(ISBLANK(GamesDay2[[#This Row],[Time Team D2]]),"",RANK(GamesDay2[[#This Row],[Time Team D2]],GamesDay2[Time Team D2],1))</f>
        <v/>
      </c>
      <c r="AM111" s="220"/>
      <c r="AN111" s="225">
        <f>IF(GamesDay2[[#This Row],[Pass / Fail Team D2]]="P",IF(GamesDay2[[#This Row],[Prev Qs Team D2]]="",1,GamesDay2[[#This Row],[Prev Qs Team D2]]+1),GamesDay2[[#This Row],[Prev Qs Team D2]])</f>
        <v>0</v>
      </c>
      <c r="AO11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1" s="167">
        <f>GamesDay2[[#This Row],[Number of Games D2]]*SddaFee</f>
        <v>0</v>
      </c>
      <c r="AS111" s="167">
        <f>(GamesDay2[[#This Row],[Number of Games D2]]+GamesDay2[[#This Row],[Number of FEOs D2]])*JudgesFeeFEOGames</f>
        <v>0</v>
      </c>
    </row>
    <row r="112" spans="1:45" ht="24.75" customHeight="1" x14ac:dyDescent="0.2">
      <c r="A112" s="171" t="s">
        <v>3689</v>
      </c>
      <c r="B112" s="155">
        <v>97</v>
      </c>
      <c r="C11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2" s="220"/>
      <c r="E112" s="219" t="str">
        <f>IFERROR(VLOOKUP(GamesDay2[[#This Row],[Dog D2]],'SDDA Dogs'!A:B,2,FALSE),"")</f>
        <v/>
      </c>
      <c r="F112" s="219" t="str">
        <f>IFERROR(VLOOKUP(GamesDay2[[#This Row],[Dog D2]],'SDDA Dogs'!A:C,3,FALSE),"")</f>
        <v/>
      </c>
      <c r="G112" s="219" t="str">
        <f>IFERROR(VLOOKUP(GamesDay2[[#This Row],[Dog D2]],'SDDA Dogs'!A:F,6,FALSE),"")</f>
        <v/>
      </c>
      <c r="H112" s="219"/>
      <c r="I112" s="155">
        <f>GamesDay2[[#This Row],[Total Qs Aerial D2]]</f>
        <v>0</v>
      </c>
      <c r="J112" s="155">
        <f>GamesDay2[[#This Row],[Total Qs Distance D2]]</f>
        <v>0</v>
      </c>
      <c r="K112" s="155">
        <f>GamesDay2[[#This Row],[Total Qs Speed D2]]</f>
        <v>0</v>
      </c>
      <c r="L112" s="155">
        <f>GamesDay2[[#This Row],[Total Qs Team D2]]</f>
        <v>0</v>
      </c>
      <c r="M112" s="219" t="e">
        <f t="shared" si="13"/>
        <v>#N/A</v>
      </c>
      <c r="N112" s="293">
        <f>IFERROR(VLOOKUP(GamesDay2[[#This Row],[Dog D2]],GamesDay1[[Dog D1]:[Total Qs Aerial D1]],16,FALSE),IFERROR(VLOOKUP(GamesDay2[[#This Row],[Dog D2]]&amp;"-"&amp;N$5,DogInfo!A:B,2,FALSE),0))</f>
        <v>0</v>
      </c>
      <c r="O112" s="301"/>
      <c r="P112" s="301"/>
      <c r="Q112" s="294" t="str">
        <f>IF(ISBLANK(GamesDay2[[#This Row],[Time Aerial D2]]),"",RANK(GamesDay2[[#This Row],[Time Aerial D2]],GamesDay2[Time Aerial D2],1))</f>
        <v/>
      </c>
      <c r="R112" s="301"/>
      <c r="S112" s="300">
        <f>IF(GamesDay2[[#This Row],[Pass / Fail Aerial D2]]="P",IF(GamesDay2[[#This Row],[Prev Qs Aerial D2]]="",1,GamesDay2[[#This Row],[Prev Qs Aerial D2]]+1),GamesDay2[[#This Row],[Prev Qs Aerial D2]])</f>
        <v>0</v>
      </c>
      <c r="T112" s="155" t="e">
        <f t="shared" si="14"/>
        <v>#N/A</v>
      </c>
      <c r="U112" s="296">
        <f>IFERROR(VLOOKUP(GamesDay2[[#This Row],[Dog D2]],GamesDay1[[Dog D1]:[Total Qs Distance D1]],23,FALSE),IFERROR(VLOOKUP(GamesDay2[[#This Row],[Dog D2]]&amp;"-"&amp;U$5,DogInfo!A:B,2,FALSE),0))</f>
        <v>0</v>
      </c>
      <c r="V112" s="303"/>
      <c r="W112" s="303"/>
      <c r="X112" s="297" t="str">
        <f>IF(ISBLANK(GamesDay2[[#This Row],[Time Distance D2]]),"",RANK(GamesDay2[[#This Row],[Time Distance D2]],GamesDay2[Time Distance D2],1))</f>
        <v/>
      </c>
      <c r="Y112" s="303"/>
      <c r="Z112" s="297">
        <f>IF(GamesDay2[[#This Row],[Pass / Fail Distance D2]]="P",IF(GamesDay2[[#This Row],[Prev Qs Distance D2]]="",1,GamesDay2[[#This Row],[Prev Qs Distance D2]]+1),GamesDay2[[#This Row],[Prev Qs Distance D2]])</f>
        <v>0</v>
      </c>
      <c r="AA112" s="155" t="e">
        <f t="shared" si="15"/>
        <v>#N/A</v>
      </c>
      <c r="AB112" s="298">
        <f>IFERROR(VLOOKUP(GamesDay2[[#This Row],[Dog D2]],GamesDay1[[Dog D1]:[Total Qs Speed D1]],30,FALSE),IFERROR(VLOOKUP(GamesDay2[[#This Row],[Dog D2]]&amp;"-"&amp;AB$5,DogInfo!A:B,2,FALSE),0))</f>
        <v>0</v>
      </c>
      <c r="AC112" s="304"/>
      <c r="AD112" s="304"/>
      <c r="AE112" s="299" t="str">
        <f>IF(ISBLANK(GamesDay2[[#This Row],[Time Speed D2]]),"",RANK(GamesDay2[[#This Row],[Time Speed D2]],GamesDay2[Time Speed D2],1))</f>
        <v/>
      </c>
      <c r="AF112" s="304"/>
      <c r="AG112" s="299">
        <f>IF(GamesDay2[[#This Row],[Pass / Fail Speed D2]]="P",IF(GamesDay2[[#This Row],[Prev Qs Speed D2]]="",1,GamesDay2[[#This Row],[Prev Qs Speed D2]]+1),GamesDay2[[#This Row],[Prev Qs Speed D2]])</f>
        <v>0</v>
      </c>
      <c r="AH112" s="155" t="e">
        <f t="shared" si="16"/>
        <v>#N/A</v>
      </c>
      <c r="AI112" s="155">
        <f>IFERROR(VLOOKUP(GamesDay2[[#This Row],[Dog D2]],GamesDay1[[Dog D1]:[Total Qs Team D1]],37,FALSE),IFERROR(VLOOKUP(GamesDay2[[#This Row],[Dog D2]]&amp;"-"&amp;AI$5,DogInfo!A:B,2,FALSE),0))</f>
        <v>0</v>
      </c>
      <c r="AJ112" s="220"/>
      <c r="AK112" s="221"/>
      <c r="AL112" s="155" t="str">
        <f>IF(ISBLANK(GamesDay2[[#This Row],[Time Team D2]]),"",RANK(GamesDay2[[#This Row],[Time Team D2]],GamesDay2[Time Team D2],1))</f>
        <v/>
      </c>
      <c r="AM112" s="220"/>
      <c r="AN112" s="225">
        <f>IF(GamesDay2[[#This Row],[Pass / Fail Team D2]]="P",IF(GamesDay2[[#This Row],[Prev Qs Team D2]]="",1,GamesDay2[[#This Row],[Prev Qs Team D2]]+1),GamesDay2[[#This Row],[Prev Qs Team D2]])</f>
        <v>0</v>
      </c>
      <c r="AO11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2" s="167">
        <f>GamesDay2[[#This Row],[Number of Games D2]]*SddaFee</f>
        <v>0</v>
      </c>
      <c r="AS112" s="167">
        <f>(GamesDay2[[#This Row],[Number of Games D2]]+GamesDay2[[#This Row],[Number of FEOs D2]])*JudgesFeeFEOGames</f>
        <v>0</v>
      </c>
    </row>
    <row r="113" spans="1:45" ht="24.75" customHeight="1" x14ac:dyDescent="0.2">
      <c r="A113" s="171" t="s">
        <v>3689</v>
      </c>
      <c r="B113" s="155">
        <v>98</v>
      </c>
      <c r="C11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3" s="220"/>
      <c r="E113" s="219" t="str">
        <f>IFERROR(VLOOKUP(GamesDay2[[#This Row],[Dog D2]],'SDDA Dogs'!A:B,2,FALSE),"")</f>
        <v/>
      </c>
      <c r="F113" s="219" t="str">
        <f>IFERROR(VLOOKUP(GamesDay2[[#This Row],[Dog D2]],'SDDA Dogs'!A:C,3,FALSE),"")</f>
        <v/>
      </c>
      <c r="G113" s="219" t="str">
        <f>IFERROR(VLOOKUP(GamesDay2[[#This Row],[Dog D2]],'SDDA Dogs'!A:F,6,FALSE),"")</f>
        <v/>
      </c>
      <c r="H113" s="219"/>
      <c r="I113" s="155">
        <f>GamesDay2[[#This Row],[Total Qs Aerial D2]]</f>
        <v>0</v>
      </c>
      <c r="J113" s="155">
        <f>GamesDay2[[#This Row],[Total Qs Distance D2]]</f>
        <v>0</v>
      </c>
      <c r="K113" s="155">
        <f>GamesDay2[[#This Row],[Total Qs Speed D2]]</f>
        <v>0</v>
      </c>
      <c r="L113" s="155">
        <f>GamesDay2[[#This Row],[Total Qs Team D2]]</f>
        <v>0</v>
      </c>
      <c r="M113" s="219" t="e">
        <f t="shared" si="13"/>
        <v>#N/A</v>
      </c>
      <c r="N113" s="155">
        <f>IFERROR(VLOOKUP(GamesDay2[[#This Row],[Dog D2]],GamesDay1[[Dog D1]:[Total Qs Aerial D1]],16,FALSE),IFERROR(VLOOKUP(GamesDay2[[#This Row],[Dog D2]]&amp;"-"&amp;N$5,DogInfo!A:B,2,FALSE),0))</f>
        <v>0</v>
      </c>
      <c r="O113" s="220"/>
      <c r="P113" s="221"/>
      <c r="Q113" s="155" t="str">
        <f>IF(ISBLANK(GamesDay2[[#This Row],[Time Aerial D2]]),"",RANK(GamesDay2[[#This Row],[Time Aerial D2]],GamesDay2[Time Aerial D2],1))</f>
        <v/>
      </c>
      <c r="R113" s="220"/>
      <c r="S113" s="225">
        <f>IF(GamesDay2[[#This Row],[Pass / Fail Aerial D2]]="P",IF(GamesDay2[[#This Row],[Prev Qs Aerial D2]]="",1,GamesDay2[[#This Row],[Prev Qs Aerial D2]]+1),GamesDay2[[#This Row],[Prev Qs Aerial D2]])</f>
        <v>0</v>
      </c>
      <c r="T113" s="155" t="e">
        <f t="shared" si="14"/>
        <v>#N/A</v>
      </c>
      <c r="U113" s="155">
        <f>IFERROR(VLOOKUP(GamesDay2[[#This Row],[Dog D2]],GamesDay1[[Dog D1]:[Total Qs Distance D1]],23,FALSE),IFERROR(VLOOKUP(GamesDay2[[#This Row],[Dog D2]]&amp;"-"&amp;U$5,DogInfo!A:B,2,FALSE),0))</f>
        <v>0</v>
      </c>
      <c r="V113" s="220"/>
      <c r="W113" s="221"/>
      <c r="X113" s="155" t="str">
        <f>IF(ISBLANK(GamesDay2[[#This Row],[Time Distance D2]]),"",RANK(GamesDay2[[#This Row],[Time Distance D2]],GamesDay2[Time Distance D2],1))</f>
        <v/>
      </c>
      <c r="Y113" s="220"/>
      <c r="Z113" s="225">
        <f>IF(GamesDay2[[#This Row],[Pass / Fail Distance D2]]="P",IF(GamesDay2[[#This Row],[Prev Qs Distance D2]]="",1,GamesDay2[[#This Row],[Prev Qs Distance D2]]+1),GamesDay2[[#This Row],[Prev Qs Distance D2]])</f>
        <v>0</v>
      </c>
      <c r="AA113" s="155" t="e">
        <f t="shared" si="15"/>
        <v>#N/A</v>
      </c>
      <c r="AB113" s="155">
        <f>IFERROR(VLOOKUP(GamesDay2[[#This Row],[Dog D2]],GamesDay1[[Dog D1]:[Total Qs Speed D1]],30,FALSE),IFERROR(VLOOKUP(GamesDay2[[#This Row],[Dog D2]]&amp;"-"&amp;AB$5,DogInfo!A:B,2,FALSE),0))</f>
        <v>0</v>
      </c>
      <c r="AC113" s="220"/>
      <c r="AD113" s="221"/>
      <c r="AE113" s="155" t="str">
        <f>IF(ISBLANK(GamesDay2[[#This Row],[Time Speed D2]]),"",RANK(GamesDay2[[#This Row],[Time Speed D2]],GamesDay2[Time Speed D2],1))</f>
        <v/>
      </c>
      <c r="AF113" s="220"/>
      <c r="AG113" s="225">
        <f>IF(GamesDay2[[#This Row],[Pass / Fail Speed D2]]="P",IF(GamesDay2[[#This Row],[Prev Qs Speed D2]]="",1,GamesDay2[[#This Row],[Prev Qs Speed D2]]+1),GamesDay2[[#This Row],[Prev Qs Speed D2]])</f>
        <v>0</v>
      </c>
      <c r="AH113" s="155" t="e">
        <f t="shared" si="16"/>
        <v>#N/A</v>
      </c>
      <c r="AI113" s="155">
        <f>IFERROR(VLOOKUP(GamesDay2[[#This Row],[Dog D2]],GamesDay1[[Dog D1]:[Total Qs Team D1]],37,FALSE),IFERROR(VLOOKUP(GamesDay2[[#This Row],[Dog D2]]&amp;"-"&amp;AI$5,DogInfo!A:B,2,FALSE),0))</f>
        <v>0</v>
      </c>
      <c r="AJ113" s="220"/>
      <c r="AK113" s="221"/>
      <c r="AL113" s="155" t="str">
        <f>IF(ISBLANK(GamesDay2[[#This Row],[Time Team D2]]),"",RANK(GamesDay2[[#This Row],[Time Team D2]],GamesDay2[Time Team D2],1))</f>
        <v/>
      </c>
      <c r="AM113" s="220"/>
      <c r="AN113" s="225">
        <f>IF(GamesDay2[[#This Row],[Pass / Fail Team D2]]="P",IF(GamesDay2[[#This Row],[Prev Qs Team D2]]="",1,GamesDay2[[#This Row],[Prev Qs Team D2]]+1),GamesDay2[[#This Row],[Prev Qs Team D2]])</f>
        <v>0</v>
      </c>
      <c r="AO11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3" s="167">
        <f>GamesDay2[[#This Row],[Number of Games D2]]*SddaFee</f>
        <v>0</v>
      </c>
      <c r="AS113" s="167">
        <f>(GamesDay2[[#This Row],[Number of Games D2]]+GamesDay2[[#This Row],[Number of FEOs D2]])*JudgesFeeFEOGames</f>
        <v>0</v>
      </c>
    </row>
    <row r="114" spans="1:45" ht="24.75" customHeight="1" x14ac:dyDescent="0.2">
      <c r="A114" s="171" t="s">
        <v>3689</v>
      </c>
      <c r="B114" s="155">
        <v>99</v>
      </c>
      <c r="C11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4" s="220"/>
      <c r="E114" s="219" t="str">
        <f>IFERROR(VLOOKUP(GamesDay2[[#This Row],[Dog D2]],'SDDA Dogs'!A:B,2,FALSE),"")</f>
        <v/>
      </c>
      <c r="F114" s="219" t="str">
        <f>IFERROR(VLOOKUP(GamesDay2[[#This Row],[Dog D2]],'SDDA Dogs'!A:C,3,FALSE),"")</f>
        <v/>
      </c>
      <c r="G114" s="219" t="str">
        <f>IFERROR(VLOOKUP(GamesDay2[[#This Row],[Dog D2]],'SDDA Dogs'!A:F,6,FALSE),"")</f>
        <v/>
      </c>
      <c r="H114" s="219"/>
      <c r="I114" s="155">
        <f>GamesDay2[[#This Row],[Total Qs Aerial D2]]</f>
        <v>0</v>
      </c>
      <c r="J114" s="155">
        <f>GamesDay2[[#This Row],[Total Qs Distance D2]]</f>
        <v>0</v>
      </c>
      <c r="K114" s="155">
        <f>GamesDay2[[#This Row],[Total Qs Speed D2]]</f>
        <v>0</v>
      </c>
      <c r="L114" s="155">
        <f>GamesDay2[[#This Row],[Total Qs Team D2]]</f>
        <v>0</v>
      </c>
      <c r="M114" s="219" t="e">
        <f t="shared" si="13"/>
        <v>#N/A</v>
      </c>
      <c r="N114" s="293">
        <f>IFERROR(VLOOKUP(GamesDay2[[#This Row],[Dog D2]],GamesDay1[[Dog D1]:[Total Qs Aerial D1]],16,FALSE),IFERROR(VLOOKUP(GamesDay2[[#This Row],[Dog D2]]&amp;"-"&amp;N$5,DogInfo!A:B,2,FALSE),0))</f>
        <v>0</v>
      </c>
      <c r="O114" s="301"/>
      <c r="P114" s="301"/>
      <c r="Q114" s="294" t="str">
        <f>IF(ISBLANK(GamesDay2[[#This Row],[Time Aerial D2]]),"",RANK(GamesDay2[[#This Row],[Time Aerial D2]],GamesDay2[Time Aerial D2],1))</f>
        <v/>
      </c>
      <c r="R114" s="301"/>
      <c r="S114" s="300">
        <f>IF(GamesDay2[[#This Row],[Pass / Fail Aerial D2]]="P",IF(GamesDay2[[#This Row],[Prev Qs Aerial D2]]="",1,GamesDay2[[#This Row],[Prev Qs Aerial D2]]+1),GamesDay2[[#This Row],[Prev Qs Aerial D2]])</f>
        <v>0</v>
      </c>
      <c r="T114" s="155" t="e">
        <f t="shared" si="14"/>
        <v>#N/A</v>
      </c>
      <c r="U114" s="296">
        <f>IFERROR(VLOOKUP(GamesDay2[[#This Row],[Dog D2]],GamesDay1[[Dog D1]:[Total Qs Distance D1]],23,FALSE),IFERROR(VLOOKUP(GamesDay2[[#This Row],[Dog D2]]&amp;"-"&amp;U$5,DogInfo!A:B,2,FALSE),0))</f>
        <v>0</v>
      </c>
      <c r="V114" s="303"/>
      <c r="W114" s="303"/>
      <c r="X114" s="297" t="str">
        <f>IF(ISBLANK(GamesDay2[[#This Row],[Time Distance D2]]),"",RANK(GamesDay2[[#This Row],[Time Distance D2]],GamesDay2[Time Distance D2],1))</f>
        <v/>
      </c>
      <c r="Y114" s="303"/>
      <c r="Z114" s="297">
        <f>IF(GamesDay2[[#This Row],[Pass / Fail Distance D2]]="P",IF(GamesDay2[[#This Row],[Prev Qs Distance D2]]="",1,GamesDay2[[#This Row],[Prev Qs Distance D2]]+1),GamesDay2[[#This Row],[Prev Qs Distance D2]])</f>
        <v>0</v>
      </c>
      <c r="AA114" s="155" t="e">
        <f t="shared" si="15"/>
        <v>#N/A</v>
      </c>
      <c r="AB114" s="298">
        <f>IFERROR(VLOOKUP(GamesDay2[[#This Row],[Dog D2]],GamesDay1[[Dog D1]:[Total Qs Speed D1]],30,FALSE),IFERROR(VLOOKUP(GamesDay2[[#This Row],[Dog D2]]&amp;"-"&amp;AB$5,DogInfo!A:B,2,FALSE),0))</f>
        <v>0</v>
      </c>
      <c r="AC114" s="304"/>
      <c r="AD114" s="304"/>
      <c r="AE114" s="299" t="str">
        <f>IF(ISBLANK(GamesDay2[[#This Row],[Time Speed D2]]),"",RANK(GamesDay2[[#This Row],[Time Speed D2]],GamesDay2[Time Speed D2],1))</f>
        <v/>
      </c>
      <c r="AF114" s="304"/>
      <c r="AG114" s="299">
        <f>IF(GamesDay2[[#This Row],[Pass / Fail Speed D2]]="P",IF(GamesDay2[[#This Row],[Prev Qs Speed D2]]="",1,GamesDay2[[#This Row],[Prev Qs Speed D2]]+1),GamesDay2[[#This Row],[Prev Qs Speed D2]])</f>
        <v>0</v>
      </c>
      <c r="AH114" s="155" t="e">
        <f t="shared" si="16"/>
        <v>#N/A</v>
      </c>
      <c r="AI114" s="155">
        <f>IFERROR(VLOOKUP(GamesDay2[[#This Row],[Dog D2]],GamesDay1[[Dog D1]:[Total Qs Team D1]],37,FALSE),IFERROR(VLOOKUP(GamesDay2[[#This Row],[Dog D2]]&amp;"-"&amp;AI$5,DogInfo!A:B,2,FALSE),0))</f>
        <v>0</v>
      </c>
      <c r="AJ114" s="220"/>
      <c r="AK114" s="221"/>
      <c r="AL114" s="155" t="str">
        <f>IF(ISBLANK(GamesDay2[[#This Row],[Time Team D2]]),"",RANK(GamesDay2[[#This Row],[Time Team D2]],GamesDay2[Time Team D2],1))</f>
        <v/>
      </c>
      <c r="AM114" s="220"/>
      <c r="AN114" s="225">
        <f>IF(GamesDay2[[#This Row],[Pass / Fail Team D2]]="P",IF(GamesDay2[[#This Row],[Prev Qs Team D2]]="",1,GamesDay2[[#This Row],[Prev Qs Team D2]]+1),GamesDay2[[#This Row],[Prev Qs Team D2]])</f>
        <v>0</v>
      </c>
      <c r="AO11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4" s="167">
        <f>GamesDay2[[#This Row],[Number of Games D2]]*SddaFee</f>
        <v>0</v>
      </c>
      <c r="AS114" s="167">
        <f>(GamesDay2[[#This Row],[Number of Games D2]]+GamesDay2[[#This Row],[Number of FEOs D2]])*JudgesFeeFEOGames</f>
        <v>0</v>
      </c>
    </row>
    <row r="115" spans="1:45" ht="24.75" customHeight="1" x14ac:dyDescent="0.2">
      <c r="A115" s="171" t="s">
        <v>3689</v>
      </c>
      <c r="B115" s="155">
        <v>100</v>
      </c>
      <c r="C11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5" s="220"/>
      <c r="E115" s="219" t="str">
        <f>IFERROR(VLOOKUP(GamesDay2[[#This Row],[Dog D2]],'SDDA Dogs'!A:B,2,FALSE),"")</f>
        <v/>
      </c>
      <c r="F115" s="219" t="str">
        <f>IFERROR(VLOOKUP(GamesDay2[[#This Row],[Dog D2]],'SDDA Dogs'!A:C,3,FALSE),"")</f>
        <v/>
      </c>
      <c r="G115" s="219" t="str">
        <f>IFERROR(VLOOKUP(GamesDay2[[#This Row],[Dog D2]],'SDDA Dogs'!A:F,6,FALSE),"")</f>
        <v/>
      </c>
      <c r="H115" s="219"/>
      <c r="I115" s="155">
        <f>GamesDay2[[#This Row],[Total Qs Aerial D2]]</f>
        <v>0</v>
      </c>
      <c r="J115" s="155">
        <f>GamesDay2[[#This Row],[Total Qs Distance D2]]</f>
        <v>0</v>
      </c>
      <c r="K115" s="155">
        <f>GamesDay2[[#This Row],[Total Qs Speed D2]]</f>
        <v>0</v>
      </c>
      <c r="L115" s="155">
        <f>GamesDay2[[#This Row],[Total Qs Team D2]]</f>
        <v>0</v>
      </c>
      <c r="M115" s="219" t="e">
        <f t="shared" si="13"/>
        <v>#N/A</v>
      </c>
      <c r="N115" s="155">
        <f>IFERROR(VLOOKUP(GamesDay2[[#This Row],[Dog D2]],GamesDay1[[Dog D1]:[Total Qs Aerial D1]],16,FALSE),IFERROR(VLOOKUP(GamesDay2[[#This Row],[Dog D2]]&amp;"-"&amp;N$5,DogInfo!A:B,2,FALSE),0))</f>
        <v>0</v>
      </c>
      <c r="O115" s="220"/>
      <c r="P115" s="221"/>
      <c r="Q115" s="155" t="str">
        <f>IF(ISBLANK(GamesDay2[[#This Row],[Time Aerial D2]]),"",RANK(GamesDay2[[#This Row],[Time Aerial D2]],GamesDay2[Time Aerial D2],1))</f>
        <v/>
      </c>
      <c r="R115" s="220"/>
      <c r="S115" s="225">
        <f>IF(GamesDay2[[#This Row],[Pass / Fail Aerial D2]]="P",IF(GamesDay2[[#This Row],[Prev Qs Aerial D2]]="",1,GamesDay2[[#This Row],[Prev Qs Aerial D2]]+1),GamesDay2[[#This Row],[Prev Qs Aerial D2]])</f>
        <v>0</v>
      </c>
      <c r="T115" s="155" t="e">
        <f t="shared" si="14"/>
        <v>#N/A</v>
      </c>
      <c r="U115" s="155">
        <f>IFERROR(VLOOKUP(GamesDay2[[#This Row],[Dog D2]],GamesDay1[[Dog D1]:[Total Qs Distance D1]],23,FALSE),IFERROR(VLOOKUP(GamesDay2[[#This Row],[Dog D2]]&amp;"-"&amp;U$5,DogInfo!A:B,2,FALSE),0))</f>
        <v>0</v>
      </c>
      <c r="V115" s="220"/>
      <c r="W115" s="221"/>
      <c r="X115" s="155" t="str">
        <f>IF(ISBLANK(GamesDay2[[#This Row],[Time Distance D2]]),"",RANK(GamesDay2[[#This Row],[Time Distance D2]],GamesDay2[Time Distance D2],1))</f>
        <v/>
      </c>
      <c r="Y115" s="220"/>
      <c r="Z115" s="225">
        <f>IF(GamesDay2[[#This Row],[Pass / Fail Distance D2]]="P",IF(GamesDay2[[#This Row],[Prev Qs Distance D2]]="",1,GamesDay2[[#This Row],[Prev Qs Distance D2]]+1),GamesDay2[[#This Row],[Prev Qs Distance D2]])</f>
        <v>0</v>
      </c>
      <c r="AA115" s="155" t="e">
        <f t="shared" si="15"/>
        <v>#N/A</v>
      </c>
      <c r="AB115" s="155">
        <f>IFERROR(VLOOKUP(GamesDay2[[#This Row],[Dog D2]],GamesDay1[[Dog D1]:[Total Qs Speed D1]],30,FALSE),IFERROR(VLOOKUP(GamesDay2[[#This Row],[Dog D2]]&amp;"-"&amp;AB$5,DogInfo!A:B,2,FALSE),0))</f>
        <v>0</v>
      </c>
      <c r="AC115" s="220"/>
      <c r="AD115" s="221"/>
      <c r="AE115" s="155" t="str">
        <f>IF(ISBLANK(GamesDay2[[#This Row],[Time Speed D2]]),"",RANK(GamesDay2[[#This Row],[Time Speed D2]],GamesDay2[Time Speed D2],1))</f>
        <v/>
      </c>
      <c r="AF115" s="220"/>
      <c r="AG115" s="225">
        <f>IF(GamesDay2[[#This Row],[Pass / Fail Speed D2]]="P",IF(GamesDay2[[#This Row],[Prev Qs Speed D2]]="",1,GamesDay2[[#This Row],[Prev Qs Speed D2]]+1),GamesDay2[[#This Row],[Prev Qs Speed D2]])</f>
        <v>0</v>
      </c>
      <c r="AH115" s="155" t="e">
        <f t="shared" si="16"/>
        <v>#N/A</v>
      </c>
      <c r="AI115" s="155">
        <f>IFERROR(VLOOKUP(GamesDay2[[#This Row],[Dog D2]],GamesDay1[[Dog D1]:[Total Qs Team D1]],37,FALSE),IFERROR(VLOOKUP(GamesDay2[[#This Row],[Dog D2]]&amp;"-"&amp;AI$5,DogInfo!A:B,2,FALSE),0))</f>
        <v>0</v>
      </c>
      <c r="AJ115" s="220"/>
      <c r="AK115" s="221"/>
      <c r="AL115" s="155" t="str">
        <f>IF(ISBLANK(GamesDay2[[#This Row],[Time Team D2]]),"",RANK(GamesDay2[[#This Row],[Time Team D2]],GamesDay2[Time Team D2],1))</f>
        <v/>
      </c>
      <c r="AM115" s="220"/>
      <c r="AN115" s="225">
        <f>IF(GamesDay2[[#This Row],[Pass / Fail Team D2]]="P",IF(GamesDay2[[#This Row],[Prev Qs Team D2]]="",1,GamesDay2[[#This Row],[Prev Qs Team D2]]+1),GamesDay2[[#This Row],[Prev Qs Team D2]])</f>
        <v>0</v>
      </c>
      <c r="AO11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5" s="167">
        <f>GamesDay2[[#This Row],[Number of Games D2]]*SddaFee</f>
        <v>0</v>
      </c>
      <c r="AS115" s="167">
        <f>(GamesDay2[[#This Row],[Number of Games D2]]+GamesDay2[[#This Row],[Number of FEOs D2]])*JudgesFeeFEOGames</f>
        <v>0</v>
      </c>
    </row>
    <row r="116" spans="1:45" ht="24.75" customHeight="1" x14ac:dyDescent="0.2">
      <c r="A116" s="57"/>
      <c r="B116" s="155"/>
      <c r="C116" s="155"/>
      <c r="D116" s="155">
        <f>COUNT(GamesDay2[Dog D2])</f>
        <v>0</v>
      </c>
      <c r="E116" s="6"/>
      <c r="F116" s="6"/>
      <c r="G116" s="6"/>
      <c r="H116" s="6"/>
      <c r="I116" s="6"/>
      <c r="J116" s="6"/>
      <c r="K116" s="6"/>
      <c r="L116" s="6"/>
      <c r="M116" s="6"/>
      <c r="N116" s="279"/>
      <c r="O116" s="155">
        <f>COUNTIF(GamesDay2[Pass / Fail Aerial D2],"P")+COUNTIF(GamesDay2[Pass / Fail Aerial D2],"F")+COUNTIF(GamesDay2[Pass / Fail Aerial D2],"E")+COUNTIF(GamesDay2[Pass / Fail Aerial D2],"FEO")</f>
        <v>0</v>
      </c>
      <c r="P116" s="155"/>
      <c r="Q116" s="155"/>
      <c r="R116" s="155"/>
      <c r="S116" s="225"/>
      <c r="T116" s="280"/>
      <c r="U116" s="155"/>
      <c r="V116" s="155">
        <f>COUNTIF(GamesDay2[Pass / Fail Distance D2],"P")+COUNTIF(GamesDay2[Pass / Fail Distance D2],"F")+COUNTIF(GamesDay2[Pass / Fail Distance D2],"E")+COUNTIF(GamesDay2[Pass / Fail Distance D2],"FEO")</f>
        <v>0</v>
      </c>
      <c r="W116" s="155"/>
      <c r="X116" s="155"/>
      <c r="Y116" s="155"/>
      <c r="Z116" s="225"/>
      <c r="AA116" s="155"/>
      <c r="AB116" s="155"/>
      <c r="AC116" s="155">
        <f>COUNTIF(GamesDay2[Pass / Fail Speed D2],"P")+COUNTIF(GamesDay2[Pass / Fail Speed D2],"F")+COUNTIF(GamesDay2[Pass / Fail Speed D2],"E")+COUNTIF(GamesDay2[Pass / Fail Speed D2],"FEO")</f>
        <v>0</v>
      </c>
      <c r="AD116" s="155"/>
      <c r="AE116" s="155"/>
      <c r="AF116" s="155"/>
      <c r="AG116" s="225"/>
      <c r="AH116" s="155"/>
      <c r="AI116" s="155"/>
      <c r="AJ116" s="155">
        <f>(COUNTIF(GamesDay2[Pass / Fail Team D2],"P")+COUNTIF(GamesDay2[Pass / Fail Team D2],"F")+COUNTIF(GamesDay2[Pass / Fail Team D2],"E")+COUNTIF(GamesDay2[Pass / Fail Team D2],"FEO"))*0.5</f>
        <v>0</v>
      </c>
      <c r="AK116" s="155"/>
      <c r="AL116" s="155"/>
      <c r="AM116" s="155"/>
      <c r="AN116" s="225"/>
      <c r="AO116" s="155">
        <f>SUBTOTAL(109,GamesDay2[Number of Games D2])</f>
        <v>0</v>
      </c>
      <c r="AP116" s="224">
        <f>SUBTOTAL(109,GamesDay2[Number of FEOs D2])</f>
        <v>0</v>
      </c>
      <c r="AQ116" s="281">
        <f>SUBTOTAL(109,GamesDay2[Total Entry Fees D2])</f>
        <v>0</v>
      </c>
      <c r="AR116" s="281">
        <f>SUBTOTAL(109,GamesDay2[ $-   ])</f>
        <v>0</v>
      </c>
      <c r="AS116" s="282">
        <f>SUBTOTAL(109,GamesDay2[Total Judges Fees D2])</f>
        <v>0</v>
      </c>
    </row>
  </sheetData>
  <sheetProtection algorithmName="SHA-512" hashValue="zMjwcpn734kTZuuliTvlWa+zHlTafXcDsIS3fZdPP+cvbhISJNTujeA7AkDj4zgjTfrEj2QHBkOqxlbwuu3EmA==" saltValue="DTgXaCq9q82GRvuJPbW76g==" spinCount="100000" sheet="1" formatCells="0" formatColumns="0" formatRows="0" selectLockedCells="1" sort="0" autoFilter="0"/>
  <protectedRanges>
    <protectedRange sqref="D3:G3 D6:G56 D65:G115" name="GamesRunOrderDay1"/>
    <protectedRange sqref="B3:AS3 B6:AS56 B65:AS115" name="GamesSortDay1"/>
  </protectedRanges>
  <mergeCells count="7">
    <mergeCell ref="C2:G2"/>
    <mergeCell ref="B4:AN4"/>
    <mergeCell ref="B64:AS64"/>
    <mergeCell ref="N2:S2"/>
    <mergeCell ref="U2:Z2"/>
    <mergeCell ref="AB2:AG2"/>
    <mergeCell ref="AI2:AN2"/>
  </mergeCells>
  <conditionalFormatting sqref="D7:D56">
    <cfRule type="expression" dxfId="16" priority="2">
      <formula>AND(COUNTIF(D$7:D$56,D7)&gt;1,D7&gt;0)</formula>
    </cfRule>
  </conditionalFormatting>
  <conditionalFormatting sqref="D66:D115">
    <cfRule type="expression" dxfId="15" priority="1">
      <formula>AND(COUNTIF(D$66:D$115,D66)&gt;1,D66&gt;0)</formula>
    </cfRule>
  </conditionalFormatting>
  <dataValidations count="4">
    <dataValidation type="whole" allowBlank="1" showInputMessage="1" showErrorMessage="1" sqref="R7:R56 Y7:Y56 AF7:AF56 R66:R115 Y66:Y115 AF66:AF115" xr:uid="{00000000-0002-0000-0A00-000001000000}">
      <formula1>1</formula1>
      <formula2>50</formula2>
    </dataValidation>
    <dataValidation type="whole" allowBlank="1" showInputMessage="1" showErrorMessage="1" sqref="AM7:AM56 AM66:AM115" xr:uid="{00000000-0002-0000-0A00-000002000000}">
      <formula1>1</formula1>
      <formula2>25</formula2>
    </dataValidation>
    <dataValidation type="list" allowBlank="1" showInputMessage="1" showErrorMessage="1" sqref="B2" xr:uid="{00000000-0002-0000-0A00-000003000000}">
      <formula1>"A,D,S,T,a,s,d,t"</formula1>
    </dataValidation>
    <dataValidation type="list" allowBlank="1" showInputMessage="1" showErrorMessage="1" errorTitle="Input error" error="Only use one of the following codes: E, NE, FEO, P or F.  Do not use any spaces." sqref="O7:O56 V7:V56 AC7:AC56 AJ7:AJ56 O66:O115 V66:V115 AC66:AC115 AJ66:AJ115" xr:uid="{3E564708-72BD-4BA4-B369-6CAB51FAC8B5}">
      <formula1>ListGamesValidEntries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rowBreaks count="1" manualBreakCount="1">
    <brk id="57" max="16383" man="1"/>
  </rowBreaks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6"/>
  <sheetViews>
    <sheetView workbookViewId="0">
      <selection activeCell="A3" sqref="A3"/>
    </sheetView>
  </sheetViews>
  <sheetFormatPr defaultColWidth="10.7109375" defaultRowHeight="15" x14ac:dyDescent="0.25"/>
  <cols>
    <col min="1" max="1" width="10.7109375" style="2"/>
    <col min="5" max="5" width="9.140625" hidden="1" customWidth="1"/>
  </cols>
  <sheetData>
    <row r="1" spans="1:6" ht="20.25" thickBot="1" x14ac:dyDescent="0.35">
      <c r="A1" s="409" t="s">
        <v>1179</v>
      </c>
      <c r="B1" s="409"/>
      <c r="C1" s="409"/>
      <c r="D1" s="409"/>
      <c r="E1" s="409"/>
      <c r="F1" s="409"/>
    </row>
    <row r="2" spans="1:6" ht="30.75" thickTop="1" x14ac:dyDescent="0.25">
      <c r="A2" s="1" t="s">
        <v>1174</v>
      </c>
      <c r="B2" s="1" t="s">
        <v>2</v>
      </c>
      <c r="C2" s="1" t="s">
        <v>1176</v>
      </c>
      <c r="D2" s="1" t="s">
        <v>1177</v>
      </c>
      <c r="E2" s="1" t="s">
        <v>1178</v>
      </c>
      <c r="F2" s="1" t="s">
        <v>1175</v>
      </c>
    </row>
    <row r="3" spans="1:6" x14ac:dyDescent="0.25">
      <c r="A3" s="2">
        <f>Started!C5</f>
        <v>0</v>
      </c>
      <c r="B3" s="2" t="str">
        <f>Started!D5</f>
        <v/>
      </c>
      <c r="C3" s="65">
        <f>Started!AZ5</f>
        <v>0</v>
      </c>
      <c r="D3" s="65">
        <f>Started!BA5</f>
        <v>0</v>
      </c>
      <c r="E3" s="64">
        <f t="shared" ref="E3:E54" si="0">IF(C3=0,0,C3*100 + (1-D3))</f>
        <v>0</v>
      </c>
      <c r="F3" s="2" t="str">
        <f t="shared" ref="F3:F54" si="1">IF(E3=0,"",RANK(E3,$E$3:$E$162))</f>
        <v/>
      </c>
    </row>
    <row r="4" spans="1:6" x14ac:dyDescent="0.25">
      <c r="A4" s="2">
        <f>Started!C6</f>
        <v>0</v>
      </c>
      <c r="B4" s="2" t="str">
        <f>Started!D6</f>
        <v/>
      </c>
      <c r="C4" s="65">
        <f>Started!AZ6</f>
        <v>0</v>
      </c>
      <c r="D4" s="65">
        <f>Started!BA6</f>
        <v>0</v>
      </c>
      <c r="E4" s="64">
        <f t="shared" si="0"/>
        <v>0</v>
      </c>
      <c r="F4" s="2" t="str">
        <f t="shared" si="1"/>
        <v/>
      </c>
    </row>
    <row r="5" spans="1:6" x14ac:dyDescent="0.25">
      <c r="A5" s="2">
        <f>Started!C7</f>
        <v>0</v>
      </c>
      <c r="B5" s="2" t="str">
        <f>Started!D7</f>
        <v/>
      </c>
      <c r="C5" s="65">
        <f>Started!AZ7</f>
        <v>0</v>
      </c>
      <c r="D5" s="65">
        <f>Started!BA7</f>
        <v>0</v>
      </c>
      <c r="E5" s="64">
        <f t="shared" si="0"/>
        <v>0</v>
      </c>
      <c r="F5" s="2" t="str">
        <f t="shared" si="1"/>
        <v/>
      </c>
    </row>
    <row r="6" spans="1:6" x14ac:dyDescent="0.25">
      <c r="A6" s="2">
        <f>Started!C8</f>
        <v>0</v>
      </c>
      <c r="B6" s="2" t="str">
        <f>Started!D8</f>
        <v/>
      </c>
      <c r="C6" s="65">
        <f>Started!AZ8</f>
        <v>0</v>
      </c>
      <c r="D6" s="65">
        <f>Started!BA8</f>
        <v>0</v>
      </c>
      <c r="E6" s="64">
        <f t="shared" si="0"/>
        <v>0</v>
      </c>
      <c r="F6" s="2" t="str">
        <f t="shared" si="1"/>
        <v/>
      </c>
    </row>
    <row r="7" spans="1:6" x14ac:dyDescent="0.25">
      <c r="A7" s="2">
        <f>Started!C9</f>
        <v>0</v>
      </c>
      <c r="B7" s="2" t="str">
        <f>Started!D9</f>
        <v/>
      </c>
      <c r="C7" s="65">
        <f>Started!AZ9</f>
        <v>0</v>
      </c>
      <c r="D7" s="65">
        <f>Started!BA9</f>
        <v>0</v>
      </c>
      <c r="E7" s="64">
        <f t="shared" si="0"/>
        <v>0</v>
      </c>
      <c r="F7" s="2" t="str">
        <f t="shared" si="1"/>
        <v/>
      </c>
    </row>
    <row r="8" spans="1:6" x14ac:dyDescent="0.25">
      <c r="A8" s="2">
        <f>Started!C10</f>
        <v>0</v>
      </c>
      <c r="B8" s="2" t="str">
        <f>Started!D10</f>
        <v/>
      </c>
      <c r="C8" s="65">
        <f>Started!AZ10</f>
        <v>0</v>
      </c>
      <c r="D8" s="65">
        <f>Started!BA10</f>
        <v>0</v>
      </c>
      <c r="E8" s="64">
        <f t="shared" si="0"/>
        <v>0</v>
      </c>
      <c r="F8" s="2" t="str">
        <f t="shared" si="1"/>
        <v/>
      </c>
    </row>
    <row r="9" spans="1:6" x14ac:dyDescent="0.25">
      <c r="A9" s="2">
        <f>Started!C11</f>
        <v>0</v>
      </c>
      <c r="B9" s="2" t="str">
        <f>Started!D11</f>
        <v/>
      </c>
      <c r="C9" s="65">
        <f>Started!AZ11</f>
        <v>0</v>
      </c>
      <c r="D9" s="65">
        <f>Started!BA11</f>
        <v>0</v>
      </c>
      <c r="E9" s="64">
        <f t="shared" si="0"/>
        <v>0</v>
      </c>
      <c r="F9" s="2" t="str">
        <f t="shared" si="1"/>
        <v/>
      </c>
    </row>
    <row r="10" spans="1:6" x14ac:dyDescent="0.25">
      <c r="A10" s="2">
        <f>Started!C12</f>
        <v>0</v>
      </c>
      <c r="B10" s="2" t="str">
        <f>Started!D12</f>
        <v/>
      </c>
      <c r="C10" s="65">
        <f>Started!AZ12</f>
        <v>0</v>
      </c>
      <c r="D10" s="65">
        <f>Started!BA12</f>
        <v>0</v>
      </c>
      <c r="E10" s="64">
        <f t="shared" si="0"/>
        <v>0</v>
      </c>
      <c r="F10" s="2" t="str">
        <f t="shared" si="1"/>
        <v/>
      </c>
    </row>
    <row r="11" spans="1:6" x14ac:dyDescent="0.25">
      <c r="A11" s="2">
        <f>Started!C13</f>
        <v>0</v>
      </c>
      <c r="B11" s="2" t="str">
        <f>Started!D13</f>
        <v/>
      </c>
      <c r="C11" s="65">
        <f>Started!AZ13</f>
        <v>0</v>
      </c>
      <c r="D11" s="65">
        <f>Started!BA13</f>
        <v>0</v>
      </c>
      <c r="E11" s="64">
        <f t="shared" si="0"/>
        <v>0</v>
      </c>
      <c r="F11" s="2" t="str">
        <f t="shared" si="1"/>
        <v/>
      </c>
    </row>
    <row r="12" spans="1:6" x14ac:dyDescent="0.25">
      <c r="A12" s="2">
        <f>Started!C14</f>
        <v>0</v>
      </c>
      <c r="B12" s="2" t="str">
        <f>Started!D14</f>
        <v/>
      </c>
      <c r="C12" s="65">
        <f>Started!AZ14</f>
        <v>0</v>
      </c>
      <c r="D12" s="65">
        <f>Started!BA14</f>
        <v>0</v>
      </c>
      <c r="E12" s="64">
        <f t="shared" si="0"/>
        <v>0</v>
      </c>
      <c r="F12" s="2" t="str">
        <f t="shared" si="1"/>
        <v/>
      </c>
    </row>
    <row r="13" spans="1:6" x14ac:dyDescent="0.25">
      <c r="A13" s="2">
        <f>Started!C15</f>
        <v>0</v>
      </c>
      <c r="B13" s="2" t="str">
        <f>Started!D15</f>
        <v/>
      </c>
      <c r="C13" s="65">
        <f>Started!AZ15</f>
        <v>0</v>
      </c>
      <c r="D13" s="65">
        <f>Started!BA15</f>
        <v>0</v>
      </c>
      <c r="E13" s="64">
        <f t="shared" si="0"/>
        <v>0</v>
      </c>
      <c r="F13" s="2" t="str">
        <f t="shared" si="1"/>
        <v/>
      </c>
    </row>
    <row r="14" spans="1:6" x14ac:dyDescent="0.25">
      <c r="A14" s="2">
        <f>Started!C16</f>
        <v>0</v>
      </c>
      <c r="B14" s="2" t="str">
        <f>Started!D16</f>
        <v/>
      </c>
      <c r="C14" s="65">
        <f>Started!AZ16</f>
        <v>0</v>
      </c>
      <c r="D14" s="65">
        <f>Started!BA16</f>
        <v>0</v>
      </c>
      <c r="E14" s="64">
        <f t="shared" si="0"/>
        <v>0</v>
      </c>
      <c r="F14" s="2" t="str">
        <f t="shared" si="1"/>
        <v/>
      </c>
    </row>
    <row r="15" spans="1:6" x14ac:dyDescent="0.25">
      <c r="A15" s="2">
        <f>Started!C17</f>
        <v>0</v>
      </c>
      <c r="B15" s="2" t="str">
        <f>Started!D17</f>
        <v/>
      </c>
      <c r="C15" s="65">
        <f>Started!AZ17</f>
        <v>0</v>
      </c>
      <c r="D15" s="65">
        <f>Started!BA17</f>
        <v>0</v>
      </c>
      <c r="E15" s="64">
        <f t="shared" si="0"/>
        <v>0</v>
      </c>
      <c r="F15" s="2" t="str">
        <f t="shared" si="1"/>
        <v/>
      </c>
    </row>
    <row r="16" spans="1:6" x14ac:dyDescent="0.25">
      <c r="A16" s="2">
        <f>Started!C18</f>
        <v>0</v>
      </c>
      <c r="B16" s="2" t="str">
        <f>Started!D18</f>
        <v/>
      </c>
      <c r="C16" s="65">
        <f>Started!AZ18</f>
        <v>0</v>
      </c>
      <c r="D16" s="65">
        <f>Started!BA18</f>
        <v>0</v>
      </c>
      <c r="E16" s="64">
        <f t="shared" si="0"/>
        <v>0</v>
      </c>
      <c r="F16" s="2" t="str">
        <f t="shared" si="1"/>
        <v/>
      </c>
    </row>
    <row r="17" spans="1:6" x14ac:dyDescent="0.25">
      <c r="A17" s="2">
        <f>Started!C19</f>
        <v>0</v>
      </c>
      <c r="B17" s="2" t="str">
        <f>Started!D19</f>
        <v/>
      </c>
      <c r="C17" s="65">
        <f>Started!AZ19</f>
        <v>0</v>
      </c>
      <c r="D17" s="65">
        <f>Started!BA19</f>
        <v>0</v>
      </c>
      <c r="E17" s="64">
        <f t="shared" si="0"/>
        <v>0</v>
      </c>
      <c r="F17" s="2" t="str">
        <f t="shared" si="1"/>
        <v/>
      </c>
    </row>
    <row r="18" spans="1:6" x14ac:dyDescent="0.25">
      <c r="A18" s="2">
        <f>Started!C20</f>
        <v>0</v>
      </c>
      <c r="B18" s="2" t="str">
        <f>Started!D20</f>
        <v/>
      </c>
      <c r="C18" s="65">
        <f>Started!AZ20</f>
        <v>0</v>
      </c>
      <c r="D18" s="65">
        <f>Started!BA20</f>
        <v>0</v>
      </c>
      <c r="E18" s="64">
        <f t="shared" si="0"/>
        <v>0</v>
      </c>
      <c r="F18" s="2" t="str">
        <f t="shared" si="1"/>
        <v/>
      </c>
    </row>
    <row r="19" spans="1:6" x14ac:dyDescent="0.25">
      <c r="A19" s="2">
        <f>Started!C21</f>
        <v>0</v>
      </c>
      <c r="B19" s="2" t="str">
        <f>Started!D21</f>
        <v/>
      </c>
      <c r="C19" s="65">
        <f>Started!AZ21</f>
        <v>0</v>
      </c>
      <c r="D19" s="65">
        <f>Started!BA21</f>
        <v>0</v>
      </c>
      <c r="E19" s="64">
        <f t="shared" si="0"/>
        <v>0</v>
      </c>
      <c r="F19" s="2" t="str">
        <f t="shared" si="1"/>
        <v/>
      </c>
    </row>
    <row r="20" spans="1:6" x14ac:dyDescent="0.25">
      <c r="A20" s="2">
        <f>Started!C22</f>
        <v>0</v>
      </c>
      <c r="B20" s="2" t="str">
        <f>Started!D22</f>
        <v/>
      </c>
      <c r="C20" s="65">
        <f>Started!AZ22</f>
        <v>0</v>
      </c>
      <c r="D20" s="65">
        <f>Started!BA22</f>
        <v>0</v>
      </c>
      <c r="E20" s="64">
        <f t="shared" si="0"/>
        <v>0</v>
      </c>
      <c r="F20" s="2" t="str">
        <f t="shared" si="1"/>
        <v/>
      </c>
    </row>
    <row r="21" spans="1:6" x14ac:dyDescent="0.25">
      <c r="A21" s="2">
        <f>Started!C23</f>
        <v>0</v>
      </c>
      <c r="B21" s="2" t="str">
        <f>Started!D23</f>
        <v/>
      </c>
      <c r="C21" s="65">
        <f>Started!AZ23</f>
        <v>0</v>
      </c>
      <c r="D21" s="65">
        <f>Started!BA23</f>
        <v>0</v>
      </c>
      <c r="E21" s="64">
        <f t="shared" si="0"/>
        <v>0</v>
      </c>
      <c r="F21" s="2" t="str">
        <f t="shared" si="1"/>
        <v/>
      </c>
    </row>
    <row r="22" spans="1:6" x14ac:dyDescent="0.25">
      <c r="A22" s="2">
        <f>Started!C24</f>
        <v>0</v>
      </c>
      <c r="B22" s="2" t="str">
        <f>Started!D24</f>
        <v/>
      </c>
      <c r="C22" s="65">
        <f>Started!AZ24</f>
        <v>0</v>
      </c>
      <c r="D22" s="65">
        <f>Started!BA24</f>
        <v>0</v>
      </c>
      <c r="E22" s="64">
        <f t="shared" si="0"/>
        <v>0</v>
      </c>
      <c r="F22" s="2" t="str">
        <f t="shared" si="1"/>
        <v/>
      </c>
    </row>
    <row r="23" spans="1:6" x14ac:dyDescent="0.25">
      <c r="A23" s="2">
        <f>Started!C25</f>
        <v>0</v>
      </c>
      <c r="B23" s="2" t="str">
        <f>Started!D25</f>
        <v/>
      </c>
      <c r="C23" s="65">
        <f>Started!AZ25</f>
        <v>0</v>
      </c>
      <c r="D23" s="65">
        <f>Started!BA25</f>
        <v>0</v>
      </c>
      <c r="E23" s="64">
        <f t="shared" si="0"/>
        <v>0</v>
      </c>
      <c r="F23" s="2" t="str">
        <f t="shared" si="1"/>
        <v/>
      </c>
    </row>
    <row r="24" spans="1:6" x14ac:dyDescent="0.25">
      <c r="A24" s="2">
        <f>Started!C26</f>
        <v>0</v>
      </c>
      <c r="B24" s="2" t="str">
        <f>Started!D26</f>
        <v/>
      </c>
      <c r="C24" s="65">
        <f>Started!AZ26</f>
        <v>0</v>
      </c>
      <c r="D24" s="65">
        <f>Started!BA26</f>
        <v>0</v>
      </c>
      <c r="E24" s="64">
        <f t="shared" si="0"/>
        <v>0</v>
      </c>
      <c r="F24" s="2" t="str">
        <f t="shared" si="1"/>
        <v/>
      </c>
    </row>
    <row r="25" spans="1:6" x14ac:dyDescent="0.25">
      <c r="A25" s="2">
        <f>Started!C27</f>
        <v>0</v>
      </c>
      <c r="B25" s="2" t="str">
        <f>Started!D27</f>
        <v/>
      </c>
      <c r="C25" s="65">
        <f>Started!AZ27</f>
        <v>0</v>
      </c>
      <c r="D25" s="65">
        <f>Started!BA27</f>
        <v>0</v>
      </c>
      <c r="E25" s="64">
        <f t="shared" si="0"/>
        <v>0</v>
      </c>
      <c r="F25" s="2" t="str">
        <f t="shared" si="1"/>
        <v/>
      </c>
    </row>
    <row r="26" spans="1:6" x14ac:dyDescent="0.25">
      <c r="A26" s="2">
        <f>Started!C28</f>
        <v>0</v>
      </c>
      <c r="B26" s="2" t="str">
        <f>Started!D28</f>
        <v/>
      </c>
      <c r="C26" s="65">
        <f>Started!AZ28</f>
        <v>0</v>
      </c>
      <c r="D26" s="65">
        <f>Started!BA28</f>
        <v>0</v>
      </c>
      <c r="E26" s="64">
        <f t="shared" si="0"/>
        <v>0</v>
      </c>
      <c r="F26" s="2" t="str">
        <f t="shared" si="1"/>
        <v/>
      </c>
    </row>
    <row r="27" spans="1:6" x14ac:dyDescent="0.25">
      <c r="A27" s="2">
        <f>Started!C29</f>
        <v>0</v>
      </c>
      <c r="B27" s="2" t="str">
        <f>Started!D29</f>
        <v/>
      </c>
      <c r="C27" s="65">
        <f>Started!AZ29</f>
        <v>0</v>
      </c>
      <c r="D27" s="65">
        <f>Started!BA29</f>
        <v>0</v>
      </c>
      <c r="E27" s="64">
        <f t="shared" si="0"/>
        <v>0</v>
      </c>
      <c r="F27" s="2" t="str">
        <f t="shared" si="1"/>
        <v/>
      </c>
    </row>
    <row r="28" spans="1:6" x14ac:dyDescent="0.25">
      <c r="A28" s="2">
        <f>Started!C30</f>
        <v>0</v>
      </c>
      <c r="B28" s="2" t="str">
        <f>Started!D30</f>
        <v/>
      </c>
      <c r="C28" s="65">
        <f>Started!AZ30</f>
        <v>0</v>
      </c>
      <c r="D28" s="65">
        <f>Started!BA30</f>
        <v>0</v>
      </c>
      <c r="E28" s="64">
        <f t="shared" si="0"/>
        <v>0</v>
      </c>
      <c r="F28" s="2" t="str">
        <f t="shared" si="1"/>
        <v/>
      </c>
    </row>
    <row r="29" spans="1:6" x14ac:dyDescent="0.25">
      <c r="A29" s="2">
        <f>Started!C31</f>
        <v>0</v>
      </c>
      <c r="B29" s="2" t="str">
        <f>Started!D31</f>
        <v/>
      </c>
      <c r="C29" s="65">
        <f>Started!AZ31</f>
        <v>0</v>
      </c>
      <c r="D29" s="65">
        <f>Started!BA31</f>
        <v>0</v>
      </c>
      <c r="E29" s="64">
        <f t="shared" si="0"/>
        <v>0</v>
      </c>
      <c r="F29" s="2" t="str">
        <f t="shared" si="1"/>
        <v/>
      </c>
    </row>
    <row r="30" spans="1:6" x14ac:dyDescent="0.25">
      <c r="A30" s="2">
        <f>Started!C32</f>
        <v>0</v>
      </c>
      <c r="B30" s="2" t="str">
        <f>Started!D32</f>
        <v/>
      </c>
      <c r="C30" s="65">
        <f>Started!AZ32</f>
        <v>0</v>
      </c>
      <c r="D30" s="65">
        <f>Started!BA32</f>
        <v>0</v>
      </c>
      <c r="E30" s="64">
        <f t="shared" si="0"/>
        <v>0</v>
      </c>
      <c r="F30" s="2" t="str">
        <f t="shared" si="1"/>
        <v/>
      </c>
    </row>
    <row r="31" spans="1:6" x14ac:dyDescent="0.25">
      <c r="A31" s="2">
        <f>Started!C33</f>
        <v>0</v>
      </c>
      <c r="B31" s="2" t="str">
        <f>Started!D33</f>
        <v/>
      </c>
      <c r="C31" s="65">
        <f>Started!AZ33</f>
        <v>0</v>
      </c>
      <c r="D31" s="65">
        <f>Started!BA33</f>
        <v>0</v>
      </c>
      <c r="E31" s="64">
        <f t="shared" si="0"/>
        <v>0</v>
      </c>
      <c r="F31" s="2" t="str">
        <f t="shared" si="1"/>
        <v/>
      </c>
    </row>
    <row r="32" spans="1:6" x14ac:dyDescent="0.25">
      <c r="A32" s="2">
        <f>Started!C34</f>
        <v>0</v>
      </c>
      <c r="B32" s="2" t="str">
        <f>Started!D34</f>
        <v/>
      </c>
      <c r="C32" s="65">
        <f>Started!AZ34</f>
        <v>0</v>
      </c>
      <c r="D32" s="65">
        <f>Started!BA34</f>
        <v>0</v>
      </c>
      <c r="E32" s="64">
        <f t="shared" si="0"/>
        <v>0</v>
      </c>
      <c r="F32" s="2" t="str">
        <f t="shared" si="1"/>
        <v/>
      </c>
    </row>
    <row r="33" spans="1:6" x14ac:dyDescent="0.25">
      <c r="A33" s="2">
        <f>Advanced!C5</f>
        <v>0</v>
      </c>
      <c r="B33" s="2" t="str">
        <f>Advanced!D5</f>
        <v/>
      </c>
      <c r="C33" s="65">
        <f>Advanced!AZ5</f>
        <v>0</v>
      </c>
      <c r="D33" s="65">
        <f>Advanced!BA5</f>
        <v>0</v>
      </c>
      <c r="E33" s="64">
        <f t="shared" si="0"/>
        <v>0</v>
      </c>
      <c r="F33" s="2" t="str">
        <f t="shared" si="1"/>
        <v/>
      </c>
    </row>
    <row r="34" spans="1:6" x14ac:dyDescent="0.25">
      <c r="A34" s="2">
        <f>Advanced!C6</f>
        <v>0</v>
      </c>
      <c r="B34" s="2" t="str">
        <f>Advanced!D6</f>
        <v/>
      </c>
      <c r="C34" s="65">
        <f>Advanced!AZ6</f>
        <v>0</v>
      </c>
      <c r="D34" s="65">
        <f>Advanced!BA6</f>
        <v>0</v>
      </c>
      <c r="E34" s="248">
        <f t="shared" ref="E34:E53" si="2">IF(C34=0,0,C34*100 + (1-D34))</f>
        <v>0</v>
      </c>
      <c r="F34" s="2" t="str">
        <f t="shared" ref="F34:F53" si="3">IF(E34=0,"",RANK(E34,$E$3:$E$162))</f>
        <v/>
      </c>
    </row>
    <row r="35" spans="1:6" x14ac:dyDescent="0.25">
      <c r="A35" s="2">
        <f>Advanced!C7</f>
        <v>0</v>
      </c>
      <c r="B35" s="2" t="str">
        <f>Advanced!D7</f>
        <v/>
      </c>
      <c r="C35" s="65">
        <f>Advanced!AZ7</f>
        <v>0</v>
      </c>
      <c r="D35" s="65">
        <f>Advanced!BA7</f>
        <v>0</v>
      </c>
      <c r="E35" s="248">
        <f t="shared" si="2"/>
        <v>0</v>
      </c>
      <c r="F35" s="2" t="str">
        <f t="shared" si="3"/>
        <v/>
      </c>
    </row>
    <row r="36" spans="1:6" x14ac:dyDescent="0.25">
      <c r="A36" s="2">
        <f>Advanced!C8</f>
        <v>0</v>
      </c>
      <c r="B36" s="2" t="str">
        <f>Advanced!D8</f>
        <v/>
      </c>
      <c r="C36" s="65">
        <f>Advanced!AZ8</f>
        <v>0</v>
      </c>
      <c r="D36" s="65">
        <f>Advanced!BA8</f>
        <v>0</v>
      </c>
      <c r="E36" s="248">
        <f t="shared" si="2"/>
        <v>0</v>
      </c>
      <c r="F36" s="2" t="str">
        <f t="shared" si="3"/>
        <v/>
      </c>
    </row>
    <row r="37" spans="1:6" x14ac:dyDescent="0.25">
      <c r="A37" s="2">
        <f>Advanced!C9</f>
        <v>0</v>
      </c>
      <c r="B37" s="2" t="str">
        <f>Advanced!D9</f>
        <v/>
      </c>
      <c r="C37" s="65">
        <f>Advanced!AZ9</f>
        <v>0</v>
      </c>
      <c r="D37" s="65">
        <f>Advanced!BA9</f>
        <v>0</v>
      </c>
      <c r="E37" s="248">
        <f t="shared" si="2"/>
        <v>0</v>
      </c>
      <c r="F37" s="2" t="str">
        <f t="shared" si="3"/>
        <v/>
      </c>
    </row>
    <row r="38" spans="1:6" x14ac:dyDescent="0.25">
      <c r="A38" s="2">
        <f>Advanced!C10</f>
        <v>0</v>
      </c>
      <c r="B38" s="2" t="str">
        <f>Advanced!D10</f>
        <v/>
      </c>
      <c r="C38" s="65">
        <f>Advanced!AZ10</f>
        <v>0</v>
      </c>
      <c r="D38" s="65">
        <f>Advanced!BA10</f>
        <v>0</v>
      </c>
      <c r="E38" s="248">
        <f t="shared" si="2"/>
        <v>0</v>
      </c>
      <c r="F38" s="2" t="str">
        <f t="shared" si="3"/>
        <v/>
      </c>
    </row>
    <row r="39" spans="1:6" x14ac:dyDescent="0.25">
      <c r="A39" s="2">
        <f>Advanced!C11</f>
        <v>0</v>
      </c>
      <c r="B39" s="2" t="str">
        <f>Advanced!D11</f>
        <v/>
      </c>
      <c r="C39" s="65">
        <f>Advanced!AZ11</f>
        <v>0</v>
      </c>
      <c r="D39" s="65">
        <f>Advanced!BA11</f>
        <v>0</v>
      </c>
      <c r="E39" s="248">
        <f t="shared" si="2"/>
        <v>0</v>
      </c>
      <c r="F39" s="2" t="str">
        <f t="shared" si="3"/>
        <v/>
      </c>
    </row>
    <row r="40" spans="1:6" x14ac:dyDescent="0.25">
      <c r="A40" s="2">
        <f>Advanced!C12</f>
        <v>0</v>
      </c>
      <c r="B40" s="2" t="str">
        <f>Advanced!D12</f>
        <v/>
      </c>
      <c r="C40" s="65">
        <f>Advanced!AZ12</f>
        <v>0</v>
      </c>
      <c r="D40" s="65">
        <f>Advanced!BA12</f>
        <v>0</v>
      </c>
      <c r="E40" s="248">
        <f t="shared" si="2"/>
        <v>0</v>
      </c>
      <c r="F40" s="2" t="str">
        <f t="shared" si="3"/>
        <v/>
      </c>
    </row>
    <row r="41" spans="1:6" x14ac:dyDescent="0.25">
      <c r="A41" s="2">
        <f>Advanced!C13</f>
        <v>0</v>
      </c>
      <c r="B41" s="2" t="str">
        <f>Advanced!D13</f>
        <v/>
      </c>
      <c r="C41" s="65">
        <f>Advanced!AZ13</f>
        <v>0</v>
      </c>
      <c r="D41" s="65">
        <f>Advanced!BA13</f>
        <v>0</v>
      </c>
      <c r="E41" s="248">
        <f t="shared" si="2"/>
        <v>0</v>
      </c>
      <c r="F41" s="2" t="str">
        <f t="shared" si="3"/>
        <v/>
      </c>
    </row>
    <row r="42" spans="1:6" x14ac:dyDescent="0.25">
      <c r="A42" s="2">
        <f>Advanced!C14</f>
        <v>0</v>
      </c>
      <c r="B42" s="2" t="str">
        <f>Advanced!D14</f>
        <v/>
      </c>
      <c r="C42" s="65">
        <f>Advanced!AZ14</f>
        <v>0</v>
      </c>
      <c r="D42" s="65">
        <f>Advanced!BA14</f>
        <v>0</v>
      </c>
      <c r="E42" s="248">
        <f t="shared" si="2"/>
        <v>0</v>
      </c>
      <c r="F42" s="2" t="str">
        <f t="shared" si="3"/>
        <v/>
      </c>
    </row>
    <row r="43" spans="1:6" x14ac:dyDescent="0.25">
      <c r="A43" s="2">
        <f>Advanced!C15</f>
        <v>0</v>
      </c>
      <c r="B43" s="2" t="str">
        <f>Advanced!D15</f>
        <v/>
      </c>
      <c r="C43" s="65">
        <f>Advanced!AZ15</f>
        <v>0</v>
      </c>
      <c r="D43" s="65">
        <f>Advanced!BA15</f>
        <v>0</v>
      </c>
      <c r="E43" s="248">
        <f t="shared" si="2"/>
        <v>0</v>
      </c>
      <c r="F43" s="2" t="str">
        <f t="shared" si="3"/>
        <v/>
      </c>
    </row>
    <row r="44" spans="1:6" x14ac:dyDescent="0.25">
      <c r="A44" s="2">
        <f>Advanced!C16</f>
        <v>0</v>
      </c>
      <c r="B44" s="2" t="str">
        <f>Advanced!D16</f>
        <v/>
      </c>
      <c r="C44" s="65">
        <f>Advanced!AZ16</f>
        <v>0</v>
      </c>
      <c r="D44" s="65">
        <f>Advanced!BA16</f>
        <v>0</v>
      </c>
      <c r="E44" s="248">
        <f t="shared" si="2"/>
        <v>0</v>
      </c>
      <c r="F44" s="2" t="str">
        <f t="shared" si="3"/>
        <v/>
      </c>
    </row>
    <row r="45" spans="1:6" x14ac:dyDescent="0.25">
      <c r="A45" s="2">
        <f>Advanced!C17</f>
        <v>0</v>
      </c>
      <c r="B45" s="2" t="str">
        <f>Advanced!D17</f>
        <v/>
      </c>
      <c r="C45" s="65">
        <f>Advanced!AZ17</f>
        <v>0</v>
      </c>
      <c r="D45" s="65">
        <f>Advanced!BA17</f>
        <v>0</v>
      </c>
      <c r="E45" s="248">
        <f t="shared" si="2"/>
        <v>0</v>
      </c>
      <c r="F45" s="2" t="str">
        <f t="shared" si="3"/>
        <v/>
      </c>
    </row>
    <row r="46" spans="1:6" x14ac:dyDescent="0.25">
      <c r="A46" s="2">
        <f>Advanced!C18</f>
        <v>0</v>
      </c>
      <c r="B46" s="2" t="str">
        <f>Advanced!D18</f>
        <v/>
      </c>
      <c r="C46" s="65">
        <f>Advanced!AZ18</f>
        <v>0</v>
      </c>
      <c r="D46" s="65">
        <f>Advanced!BA18</f>
        <v>0</v>
      </c>
      <c r="E46" s="248">
        <f t="shared" si="2"/>
        <v>0</v>
      </c>
      <c r="F46" s="2" t="str">
        <f t="shared" si="3"/>
        <v/>
      </c>
    </row>
    <row r="47" spans="1:6" x14ac:dyDescent="0.25">
      <c r="A47" s="2">
        <f>Advanced!C19</f>
        <v>0</v>
      </c>
      <c r="B47" s="2" t="str">
        <f>Advanced!D19</f>
        <v/>
      </c>
      <c r="C47" s="65">
        <f>Advanced!AZ19</f>
        <v>0</v>
      </c>
      <c r="D47" s="65">
        <f>Advanced!BA19</f>
        <v>0</v>
      </c>
      <c r="E47" s="248">
        <f t="shared" si="2"/>
        <v>0</v>
      </c>
      <c r="F47" s="2" t="str">
        <f t="shared" si="3"/>
        <v/>
      </c>
    </row>
    <row r="48" spans="1:6" x14ac:dyDescent="0.25">
      <c r="A48" s="2">
        <f>Advanced!C20</f>
        <v>0</v>
      </c>
      <c r="B48" s="2" t="str">
        <f>Advanced!D20</f>
        <v/>
      </c>
      <c r="C48" s="65">
        <f>Advanced!AZ20</f>
        <v>0</v>
      </c>
      <c r="D48" s="65">
        <f>Advanced!BA20</f>
        <v>0</v>
      </c>
      <c r="E48" s="248">
        <f t="shared" si="2"/>
        <v>0</v>
      </c>
      <c r="F48" s="2" t="str">
        <f t="shared" si="3"/>
        <v/>
      </c>
    </row>
    <row r="49" spans="1:6" x14ac:dyDescent="0.25">
      <c r="A49" s="2">
        <f>Advanced!C21</f>
        <v>0</v>
      </c>
      <c r="B49" s="2" t="str">
        <f>Advanced!D21</f>
        <v/>
      </c>
      <c r="C49" s="65">
        <f>Advanced!AZ21</f>
        <v>0</v>
      </c>
      <c r="D49" s="65">
        <f>Advanced!BA21</f>
        <v>0</v>
      </c>
      <c r="E49" s="248">
        <f t="shared" si="2"/>
        <v>0</v>
      </c>
      <c r="F49" s="2" t="str">
        <f t="shared" si="3"/>
        <v/>
      </c>
    </row>
    <row r="50" spans="1:6" x14ac:dyDescent="0.25">
      <c r="A50" s="2">
        <f>Advanced!C22</f>
        <v>0</v>
      </c>
      <c r="B50" s="2" t="str">
        <f>Advanced!D22</f>
        <v/>
      </c>
      <c r="C50" s="65">
        <f>Advanced!AZ22</f>
        <v>0</v>
      </c>
      <c r="D50" s="65">
        <f>Advanced!BA22</f>
        <v>0</v>
      </c>
      <c r="E50" s="248">
        <f t="shared" si="2"/>
        <v>0</v>
      </c>
      <c r="F50" s="2" t="str">
        <f t="shared" si="3"/>
        <v/>
      </c>
    </row>
    <row r="51" spans="1:6" x14ac:dyDescent="0.25">
      <c r="A51" s="2">
        <f>Advanced!C23</f>
        <v>0</v>
      </c>
      <c r="B51" s="2" t="str">
        <f>Advanced!D23</f>
        <v/>
      </c>
      <c r="C51" s="65">
        <f>Advanced!AZ23</f>
        <v>0</v>
      </c>
      <c r="D51" s="65">
        <f>Advanced!BA23</f>
        <v>0</v>
      </c>
      <c r="E51" s="248">
        <f t="shared" si="2"/>
        <v>0</v>
      </c>
      <c r="F51" s="2" t="str">
        <f t="shared" si="3"/>
        <v/>
      </c>
    </row>
    <row r="52" spans="1:6" x14ac:dyDescent="0.25">
      <c r="A52" s="2">
        <f>Advanced!C24</f>
        <v>0</v>
      </c>
      <c r="B52" s="2" t="str">
        <f>Advanced!D24</f>
        <v/>
      </c>
      <c r="C52" s="65">
        <f>Advanced!AZ24</f>
        <v>0</v>
      </c>
      <c r="D52" s="65">
        <f>Advanced!BA24</f>
        <v>0</v>
      </c>
      <c r="E52" s="248">
        <f t="shared" si="2"/>
        <v>0</v>
      </c>
      <c r="F52" s="2" t="str">
        <f t="shared" si="3"/>
        <v/>
      </c>
    </row>
    <row r="53" spans="1:6" x14ac:dyDescent="0.25">
      <c r="A53" s="2">
        <f>Advanced!C25</f>
        <v>0</v>
      </c>
      <c r="B53" s="2" t="str">
        <f>Advanced!D25</f>
        <v/>
      </c>
      <c r="C53" s="65">
        <f>Advanced!AZ25</f>
        <v>0</v>
      </c>
      <c r="D53" s="65">
        <f>Advanced!BA25</f>
        <v>0</v>
      </c>
      <c r="E53" s="248">
        <f t="shared" si="2"/>
        <v>0</v>
      </c>
      <c r="F53" s="2" t="str">
        <f t="shared" si="3"/>
        <v/>
      </c>
    </row>
    <row r="54" spans="1:6" x14ac:dyDescent="0.25">
      <c r="A54" s="2">
        <f>Advanced!C26</f>
        <v>0</v>
      </c>
      <c r="B54" s="2" t="str">
        <f>Advanced!D26</f>
        <v/>
      </c>
      <c r="C54" s="65">
        <f>Advanced!AZ26</f>
        <v>0</v>
      </c>
      <c r="D54" s="65">
        <f>Advanced!BA26</f>
        <v>0</v>
      </c>
      <c r="E54" s="64">
        <f t="shared" si="0"/>
        <v>0</v>
      </c>
      <c r="F54" s="2" t="str">
        <f t="shared" si="1"/>
        <v/>
      </c>
    </row>
    <row r="55" spans="1:6" x14ac:dyDescent="0.25">
      <c r="A55" s="2">
        <f>Advanced!C27</f>
        <v>0</v>
      </c>
      <c r="B55" s="2" t="str">
        <f>Advanced!D27</f>
        <v/>
      </c>
      <c r="C55" s="65">
        <f>Advanced!AZ27</f>
        <v>0</v>
      </c>
      <c r="D55" s="65">
        <f>Advanced!BA27</f>
        <v>0</v>
      </c>
      <c r="E55" s="64">
        <f t="shared" ref="E55:E136" si="4">IF(C55=0,0,C55*100 + (1-D55))</f>
        <v>0</v>
      </c>
      <c r="F55" s="2" t="str">
        <f t="shared" ref="F55:F83" si="5">IF(E55=0,"",RANK(E55,$E$3:$E$162))</f>
        <v/>
      </c>
    </row>
    <row r="56" spans="1:6" x14ac:dyDescent="0.25">
      <c r="A56" s="2">
        <f>Advanced!C28</f>
        <v>0</v>
      </c>
      <c r="B56" s="2" t="str">
        <f>Advanced!D28</f>
        <v/>
      </c>
      <c r="C56" s="139">
        <f>Advanced!AZ28</f>
        <v>0</v>
      </c>
      <c r="D56" s="139">
        <f>Advanced!BA28</f>
        <v>0</v>
      </c>
      <c r="E56" s="140">
        <f t="shared" si="4"/>
        <v>0</v>
      </c>
      <c r="F56" s="2" t="str">
        <f t="shared" si="5"/>
        <v/>
      </c>
    </row>
    <row r="57" spans="1:6" x14ac:dyDescent="0.25">
      <c r="A57" s="2">
        <f>Advanced!C29</f>
        <v>0</v>
      </c>
      <c r="B57" s="2" t="str">
        <f>Advanced!D29</f>
        <v/>
      </c>
      <c r="C57" s="65">
        <f>Advanced!AZ29</f>
        <v>0</v>
      </c>
      <c r="D57" s="65">
        <f>Advanced!BA29</f>
        <v>0</v>
      </c>
      <c r="E57" s="64">
        <f t="shared" si="4"/>
        <v>0</v>
      </c>
      <c r="F57" s="2" t="str">
        <f t="shared" si="5"/>
        <v/>
      </c>
    </row>
    <row r="58" spans="1:6" x14ac:dyDescent="0.25">
      <c r="A58" s="2">
        <f>Advanced!C30</f>
        <v>0</v>
      </c>
      <c r="B58" s="2" t="str">
        <f>Advanced!D30</f>
        <v/>
      </c>
      <c r="C58" s="65">
        <f>Advanced!AZ30</f>
        <v>0</v>
      </c>
      <c r="D58" s="65">
        <f>Advanced!BA30</f>
        <v>0</v>
      </c>
      <c r="E58" s="64">
        <f t="shared" si="4"/>
        <v>0</v>
      </c>
      <c r="F58" s="2" t="str">
        <f t="shared" si="5"/>
        <v/>
      </c>
    </row>
    <row r="59" spans="1:6" x14ac:dyDescent="0.25">
      <c r="A59" s="2">
        <f>Advanced!C31</f>
        <v>0</v>
      </c>
      <c r="B59" s="2" t="str">
        <f>Advanced!D31</f>
        <v/>
      </c>
      <c r="C59" s="65">
        <f>Advanced!AZ31</f>
        <v>0</v>
      </c>
      <c r="D59" s="65">
        <f>Advanced!BA31</f>
        <v>0</v>
      </c>
      <c r="E59" s="64">
        <f t="shared" si="4"/>
        <v>0</v>
      </c>
      <c r="F59" s="2" t="str">
        <f t="shared" si="5"/>
        <v/>
      </c>
    </row>
    <row r="60" spans="1:6" x14ac:dyDescent="0.25">
      <c r="A60" s="2">
        <f>Advanced!C32</f>
        <v>0</v>
      </c>
      <c r="B60" s="2" t="str">
        <f>Advanced!D32</f>
        <v/>
      </c>
      <c r="C60" s="65">
        <f>Advanced!AZ32</f>
        <v>0</v>
      </c>
      <c r="D60" s="65">
        <f>Advanced!BA32</f>
        <v>0</v>
      </c>
      <c r="E60" s="64">
        <f t="shared" si="4"/>
        <v>0</v>
      </c>
      <c r="F60" s="2" t="str">
        <f t="shared" si="5"/>
        <v/>
      </c>
    </row>
    <row r="61" spans="1:6" x14ac:dyDescent="0.25">
      <c r="A61" s="2">
        <f>Advanced!C33</f>
        <v>0</v>
      </c>
      <c r="B61" s="2" t="str">
        <f>Advanced!D33</f>
        <v/>
      </c>
      <c r="C61" s="65">
        <f>Advanced!AZ33</f>
        <v>0</v>
      </c>
      <c r="D61" s="65">
        <f>Advanced!BA33</f>
        <v>0</v>
      </c>
      <c r="E61" s="64">
        <f t="shared" si="4"/>
        <v>0</v>
      </c>
      <c r="F61" s="2" t="str">
        <f t="shared" si="5"/>
        <v/>
      </c>
    </row>
    <row r="62" spans="1:6" x14ac:dyDescent="0.25">
      <c r="A62" s="2">
        <f>Advanced!C34</f>
        <v>0</v>
      </c>
      <c r="B62" s="2" t="str">
        <f>Advanced!D34</f>
        <v/>
      </c>
      <c r="C62" s="65">
        <f>Advanced!AZ34</f>
        <v>0</v>
      </c>
      <c r="D62" s="65">
        <f>Advanced!BA34</f>
        <v>0</v>
      </c>
      <c r="E62" s="64">
        <f t="shared" si="4"/>
        <v>0</v>
      </c>
      <c r="F62" s="2" t="str">
        <f t="shared" si="5"/>
        <v/>
      </c>
    </row>
    <row r="63" spans="1:6" x14ac:dyDescent="0.25">
      <c r="A63" s="2">
        <f>Advanced!C35</f>
        <v>0</v>
      </c>
      <c r="B63" s="2" t="str">
        <f>Advanced!D35</f>
        <v/>
      </c>
      <c r="C63" s="65">
        <f>Advanced!AZ35</f>
        <v>0</v>
      </c>
      <c r="D63" s="65">
        <f>Advanced!BA35</f>
        <v>0</v>
      </c>
      <c r="E63" s="64">
        <f t="shared" si="4"/>
        <v>0</v>
      </c>
      <c r="F63" s="2" t="str">
        <f t="shared" si="5"/>
        <v/>
      </c>
    </row>
    <row r="64" spans="1:6" x14ac:dyDescent="0.25">
      <c r="A64" s="2">
        <f>Advanced!C36</f>
        <v>0</v>
      </c>
      <c r="B64" s="2" t="str">
        <f>Advanced!D36</f>
        <v/>
      </c>
      <c r="C64" s="65">
        <f>Advanced!AZ36</f>
        <v>0</v>
      </c>
      <c r="D64" s="65">
        <f>Advanced!BA36</f>
        <v>0</v>
      </c>
      <c r="E64" s="64">
        <f t="shared" si="4"/>
        <v>0</v>
      </c>
      <c r="F64" s="2" t="str">
        <f t="shared" si="5"/>
        <v/>
      </c>
    </row>
    <row r="65" spans="1:6" x14ac:dyDescent="0.25">
      <c r="A65" s="2">
        <f>Advanced!C37</f>
        <v>0</v>
      </c>
      <c r="B65" s="2" t="str">
        <f>Advanced!D37</f>
        <v/>
      </c>
      <c r="C65" s="65">
        <f>Advanced!AZ37</f>
        <v>0</v>
      </c>
      <c r="D65" s="65">
        <f>Advanced!BA37</f>
        <v>0</v>
      </c>
      <c r="E65" s="64">
        <f t="shared" si="4"/>
        <v>0</v>
      </c>
      <c r="F65" s="2" t="str">
        <f t="shared" si="5"/>
        <v/>
      </c>
    </row>
    <row r="66" spans="1:6" x14ac:dyDescent="0.25">
      <c r="A66" s="2">
        <f>Advanced!C38</f>
        <v>0</v>
      </c>
      <c r="B66" s="2" t="str">
        <f>Advanced!D38</f>
        <v/>
      </c>
      <c r="C66" s="65">
        <f>Advanced!AZ38</f>
        <v>0</v>
      </c>
      <c r="D66" s="65">
        <f>Advanced!BA38</f>
        <v>0</v>
      </c>
      <c r="E66" s="64">
        <f t="shared" si="4"/>
        <v>0</v>
      </c>
      <c r="F66" s="2" t="str">
        <f t="shared" si="5"/>
        <v/>
      </c>
    </row>
    <row r="67" spans="1:6" x14ac:dyDescent="0.25">
      <c r="A67" s="2">
        <f>Advanced!C39</f>
        <v>0</v>
      </c>
      <c r="B67" s="2" t="str">
        <f>Advanced!D39</f>
        <v/>
      </c>
      <c r="C67" s="65">
        <f>Advanced!AZ39</f>
        <v>0</v>
      </c>
      <c r="D67" s="65">
        <f>Advanced!BA39</f>
        <v>0</v>
      </c>
      <c r="E67" s="64">
        <f t="shared" si="4"/>
        <v>0</v>
      </c>
      <c r="F67" s="2" t="str">
        <f t="shared" si="5"/>
        <v/>
      </c>
    </row>
    <row r="68" spans="1:6" x14ac:dyDescent="0.25">
      <c r="A68" s="2">
        <f>Advanced!C40</f>
        <v>0</v>
      </c>
      <c r="B68" s="2" t="str">
        <f>Advanced!D40</f>
        <v/>
      </c>
      <c r="C68" s="65">
        <f>Advanced!AZ40</f>
        <v>0</v>
      </c>
      <c r="D68" s="65">
        <f>Advanced!BA40</f>
        <v>0</v>
      </c>
      <c r="E68" s="64">
        <f t="shared" si="4"/>
        <v>0</v>
      </c>
      <c r="F68" s="2" t="str">
        <f t="shared" si="5"/>
        <v/>
      </c>
    </row>
    <row r="69" spans="1:6" x14ac:dyDescent="0.25">
      <c r="A69" s="2">
        <f>Advanced!C41</f>
        <v>0</v>
      </c>
      <c r="B69" s="2" t="str">
        <f>Advanced!D41</f>
        <v/>
      </c>
      <c r="C69" s="65">
        <f>Advanced!AZ41</f>
        <v>0</v>
      </c>
      <c r="D69" s="65">
        <f>Advanced!BA41</f>
        <v>0</v>
      </c>
      <c r="E69" s="64">
        <f t="shared" si="4"/>
        <v>0</v>
      </c>
      <c r="F69" s="2" t="str">
        <f t="shared" si="5"/>
        <v/>
      </c>
    </row>
    <row r="70" spans="1:6" x14ac:dyDescent="0.25">
      <c r="A70" s="2">
        <f>Advanced!C42</f>
        <v>0</v>
      </c>
      <c r="B70" s="2" t="str">
        <f>Advanced!D42</f>
        <v/>
      </c>
      <c r="C70" s="65">
        <f>Advanced!AZ42</f>
        <v>0</v>
      </c>
      <c r="D70" s="65">
        <f>Advanced!BA42</f>
        <v>0</v>
      </c>
      <c r="E70" s="64">
        <f t="shared" si="4"/>
        <v>0</v>
      </c>
      <c r="F70" s="2" t="str">
        <f t="shared" si="5"/>
        <v/>
      </c>
    </row>
    <row r="71" spans="1:6" x14ac:dyDescent="0.25">
      <c r="A71" s="2">
        <f>Advanced!C43</f>
        <v>0</v>
      </c>
      <c r="B71" s="2" t="str">
        <f>Advanced!D43</f>
        <v/>
      </c>
      <c r="C71" s="65">
        <f>Advanced!AZ43</f>
        <v>0</v>
      </c>
      <c r="D71" s="65">
        <f>Advanced!BA43</f>
        <v>0</v>
      </c>
      <c r="E71" s="64">
        <f t="shared" si="4"/>
        <v>0</v>
      </c>
      <c r="F71" s="2" t="str">
        <f t="shared" si="5"/>
        <v/>
      </c>
    </row>
    <row r="72" spans="1:6" x14ac:dyDescent="0.25">
      <c r="A72" s="2">
        <f>Advanced!C44</f>
        <v>0</v>
      </c>
      <c r="B72" s="2" t="str">
        <f>Advanced!D44</f>
        <v/>
      </c>
      <c r="C72" s="65">
        <f>Advanced!AZ44</f>
        <v>0</v>
      </c>
      <c r="D72" s="65">
        <f>Advanced!BA44</f>
        <v>0</v>
      </c>
      <c r="E72" s="64">
        <f t="shared" si="4"/>
        <v>0</v>
      </c>
      <c r="F72" s="2" t="str">
        <f t="shared" si="5"/>
        <v/>
      </c>
    </row>
    <row r="73" spans="1:6" x14ac:dyDescent="0.25">
      <c r="A73" s="2">
        <f>Advanced!C45</f>
        <v>0</v>
      </c>
      <c r="B73" s="2" t="str">
        <f>Advanced!D45</f>
        <v/>
      </c>
      <c r="C73" s="65">
        <f>Advanced!AZ45</f>
        <v>0</v>
      </c>
      <c r="D73" s="65">
        <f>Advanced!BA45</f>
        <v>0</v>
      </c>
      <c r="E73" s="64">
        <f t="shared" si="4"/>
        <v>0</v>
      </c>
      <c r="F73" s="2" t="str">
        <f t="shared" si="5"/>
        <v/>
      </c>
    </row>
    <row r="74" spans="1:6" x14ac:dyDescent="0.25">
      <c r="A74" s="2">
        <f>Advanced!C46</f>
        <v>0</v>
      </c>
      <c r="B74" s="2" t="str">
        <f>Advanced!D46</f>
        <v/>
      </c>
      <c r="C74" s="65">
        <f>Advanced!AZ46</f>
        <v>0</v>
      </c>
      <c r="D74" s="65">
        <f>Advanced!BA46</f>
        <v>0</v>
      </c>
      <c r="E74" s="64">
        <f t="shared" si="4"/>
        <v>0</v>
      </c>
      <c r="F74" s="2" t="str">
        <f t="shared" si="5"/>
        <v/>
      </c>
    </row>
    <row r="75" spans="1:6" x14ac:dyDescent="0.25">
      <c r="A75" s="2">
        <f>Advanced!C47</f>
        <v>0</v>
      </c>
      <c r="B75" s="2" t="str">
        <f>Advanced!D47</f>
        <v/>
      </c>
      <c r="C75" s="65">
        <f>Advanced!AZ47</f>
        <v>0</v>
      </c>
      <c r="D75" s="65">
        <f>Advanced!BA47</f>
        <v>0</v>
      </c>
      <c r="E75" s="64">
        <f t="shared" si="4"/>
        <v>0</v>
      </c>
      <c r="F75" s="2" t="str">
        <f t="shared" si="5"/>
        <v/>
      </c>
    </row>
    <row r="76" spans="1:6" x14ac:dyDescent="0.25">
      <c r="A76" s="2">
        <f>Advanced!C48</f>
        <v>0</v>
      </c>
      <c r="B76" s="2" t="str">
        <f>Advanced!D48</f>
        <v/>
      </c>
      <c r="C76" s="65">
        <f>Advanced!AZ48</f>
        <v>0</v>
      </c>
      <c r="D76" s="65">
        <f>Advanced!BA48</f>
        <v>0</v>
      </c>
      <c r="E76" s="64">
        <f t="shared" si="4"/>
        <v>0</v>
      </c>
      <c r="F76" s="2" t="str">
        <f t="shared" si="5"/>
        <v/>
      </c>
    </row>
    <row r="77" spans="1:6" x14ac:dyDescent="0.25">
      <c r="A77" s="2">
        <f>Advanced!C49</f>
        <v>0</v>
      </c>
      <c r="B77" s="2" t="str">
        <f>Advanced!D49</f>
        <v/>
      </c>
      <c r="C77" s="65">
        <f>Advanced!AZ49</f>
        <v>0</v>
      </c>
      <c r="D77" s="65">
        <f>Advanced!BA49</f>
        <v>0</v>
      </c>
      <c r="E77" s="64">
        <f t="shared" si="4"/>
        <v>0</v>
      </c>
      <c r="F77" s="2" t="str">
        <f t="shared" si="5"/>
        <v/>
      </c>
    </row>
    <row r="78" spans="1:6" x14ac:dyDescent="0.25">
      <c r="A78" s="2">
        <f>Advanced!C50</f>
        <v>0</v>
      </c>
      <c r="B78" s="2" t="str">
        <f>Advanced!D50</f>
        <v/>
      </c>
      <c r="C78" s="65">
        <f>Advanced!AZ50</f>
        <v>0</v>
      </c>
      <c r="D78" s="65">
        <f>Advanced!BA50</f>
        <v>0</v>
      </c>
      <c r="E78" s="64">
        <f t="shared" si="4"/>
        <v>0</v>
      </c>
      <c r="F78" s="2" t="str">
        <f t="shared" si="5"/>
        <v/>
      </c>
    </row>
    <row r="79" spans="1:6" x14ac:dyDescent="0.25">
      <c r="A79" s="2">
        <f>Advanced!C51</f>
        <v>0</v>
      </c>
      <c r="B79" s="2" t="str">
        <f>Advanced!D51</f>
        <v/>
      </c>
      <c r="C79" s="65">
        <f>Advanced!AZ51</f>
        <v>0</v>
      </c>
      <c r="D79" s="65">
        <f>Advanced!BA51</f>
        <v>0</v>
      </c>
      <c r="E79" s="64">
        <f t="shared" si="4"/>
        <v>0</v>
      </c>
      <c r="F79" s="2" t="str">
        <f t="shared" si="5"/>
        <v/>
      </c>
    </row>
    <row r="80" spans="1:6" x14ac:dyDescent="0.25">
      <c r="A80" s="2">
        <f>Advanced!C52</f>
        <v>0</v>
      </c>
      <c r="B80" s="2" t="str">
        <f>Advanced!D52</f>
        <v/>
      </c>
      <c r="C80" s="65">
        <f>Advanced!AZ52</f>
        <v>0</v>
      </c>
      <c r="D80" s="65">
        <f>Advanced!BA52</f>
        <v>0</v>
      </c>
      <c r="E80" s="64">
        <f t="shared" si="4"/>
        <v>0</v>
      </c>
      <c r="F80" s="2" t="str">
        <f t="shared" si="5"/>
        <v/>
      </c>
    </row>
    <row r="81" spans="1:6" x14ac:dyDescent="0.25">
      <c r="A81" s="2">
        <f>Advanced!C53</f>
        <v>0</v>
      </c>
      <c r="B81" s="2" t="str">
        <f>Advanced!D53</f>
        <v/>
      </c>
      <c r="C81" s="65">
        <f>Advanced!AZ53</f>
        <v>0</v>
      </c>
      <c r="D81" s="65">
        <f>Advanced!BA53</f>
        <v>0</v>
      </c>
      <c r="E81" s="64">
        <f t="shared" si="4"/>
        <v>0</v>
      </c>
      <c r="F81" s="2" t="str">
        <f t="shared" si="5"/>
        <v/>
      </c>
    </row>
    <row r="82" spans="1:6" x14ac:dyDescent="0.25">
      <c r="A82" s="2">
        <f>Advanced!C54</f>
        <v>0</v>
      </c>
      <c r="B82" s="2" t="str">
        <f>Advanced!D54</f>
        <v/>
      </c>
      <c r="C82" s="65">
        <f>Advanced!AZ54</f>
        <v>0</v>
      </c>
      <c r="D82" s="65">
        <f>Advanced!BA54</f>
        <v>0</v>
      </c>
      <c r="E82" s="64">
        <f t="shared" si="4"/>
        <v>0</v>
      </c>
      <c r="F82" s="2" t="str">
        <f t="shared" si="5"/>
        <v/>
      </c>
    </row>
    <row r="83" spans="1:6" x14ac:dyDescent="0.25">
      <c r="A83" s="2">
        <f>Excellent!C5</f>
        <v>0</v>
      </c>
      <c r="B83" s="2" t="str">
        <f>Excellent!D5</f>
        <v/>
      </c>
      <c r="C83" s="65">
        <f>Excellent!AZ5</f>
        <v>0</v>
      </c>
      <c r="D83" s="65">
        <f>Excellent!BA5</f>
        <v>0</v>
      </c>
      <c r="E83" s="64">
        <f>IF(C83=0,0,C83*100 + (1-D83))</f>
        <v>0</v>
      </c>
      <c r="F83" s="2" t="str">
        <f t="shared" si="5"/>
        <v/>
      </c>
    </row>
    <row r="84" spans="1:6" x14ac:dyDescent="0.25">
      <c r="A84" s="2">
        <f>Excellent!C6</f>
        <v>0</v>
      </c>
      <c r="B84" s="2" t="str">
        <f>Excellent!D6</f>
        <v/>
      </c>
      <c r="C84" s="65">
        <f>Excellent!AZ6</f>
        <v>0</v>
      </c>
      <c r="D84" s="65">
        <f>Excellent!BA6</f>
        <v>0</v>
      </c>
      <c r="E84" s="64">
        <f t="shared" ref="E84:E103" si="6">IF(C84=0,0,C84*100 + (1-D84))</f>
        <v>0</v>
      </c>
      <c r="F84" s="2" t="str">
        <f t="shared" ref="F84:F103" si="7">IF(E84=0,"",RANK(E84,$E$3:$E$162))</f>
        <v/>
      </c>
    </row>
    <row r="85" spans="1:6" x14ac:dyDescent="0.25">
      <c r="A85" s="2">
        <f>Excellent!C7</f>
        <v>0</v>
      </c>
      <c r="B85" s="2" t="str">
        <f>Excellent!D7</f>
        <v/>
      </c>
      <c r="C85" s="65">
        <f>Excellent!AZ7</f>
        <v>0</v>
      </c>
      <c r="D85" s="65">
        <f>Excellent!BA7</f>
        <v>0</v>
      </c>
      <c r="E85" s="64">
        <f t="shared" si="6"/>
        <v>0</v>
      </c>
      <c r="F85" s="2" t="str">
        <f t="shared" si="7"/>
        <v/>
      </c>
    </row>
    <row r="86" spans="1:6" x14ac:dyDescent="0.25">
      <c r="A86" s="2">
        <f>Excellent!C8</f>
        <v>0</v>
      </c>
      <c r="B86" s="2" t="str">
        <f>Excellent!D8</f>
        <v/>
      </c>
      <c r="C86" s="65">
        <f>Excellent!AZ8</f>
        <v>0</v>
      </c>
      <c r="D86" s="65">
        <f>Excellent!BA8</f>
        <v>0</v>
      </c>
      <c r="E86" s="64">
        <f t="shared" si="6"/>
        <v>0</v>
      </c>
      <c r="F86" s="2" t="str">
        <f t="shared" si="7"/>
        <v/>
      </c>
    </row>
    <row r="87" spans="1:6" x14ac:dyDescent="0.25">
      <c r="A87" s="2">
        <f>Excellent!C9</f>
        <v>0</v>
      </c>
      <c r="B87" s="2" t="str">
        <f>Excellent!D9</f>
        <v/>
      </c>
      <c r="C87" s="65">
        <f>Excellent!AZ9</f>
        <v>0</v>
      </c>
      <c r="D87" s="65">
        <f>Excellent!BA9</f>
        <v>0</v>
      </c>
      <c r="E87" s="64">
        <f t="shared" si="6"/>
        <v>0</v>
      </c>
      <c r="F87" s="2" t="str">
        <f t="shared" si="7"/>
        <v/>
      </c>
    </row>
    <row r="88" spans="1:6" x14ac:dyDescent="0.25">
      <c r="A88" s="2">
        <f>Excellent!C10</f>
        <v>0</v>
      </c>
      <c r="B88" s="2" t="str">
        <f>Excellent!D10</f>
        <v/>
      </c>
      <c r="C88" s="65">
        <f>Excellent!AZ10</f>
        <v>0</v>
      </c>
      <c r="D88" s="65">
        <f>Excellent!BA10</f>
        <v>0</v>
      </c>
      <c r="E88" s="64">
        <f t="shared" si="6"/>
        <v>0</v>
      </c>
      <c r="F88" s="2" t="str">
        <f t="shared" si="7"/>
        <v/>
      </c>
    </row>
    <row r="89" spans="1:6" x14ac:dyDescent="0.25">
      <c r="A89" s="2">
        <f>Excellent!C11</f>
        <v>0</v>
      </c>
      <c r="B89" s="2" t="str">
        <f>Excellent!D11</f>
        <v/>
      </c>
      <c r="C89" s="65">
        <f>Excellent!AZ11</f>
        <v>0</v>
      </c>
      <c r="D89" s="65">
        <f>Excellent!BA11</f>
        <v>0</v>
      </c>
      <c r="E89" s="64">
        <f t="shared" si="6"/>
        <v>0</v>
      </c>
      <c r="F89" s="2" t="str">
        <f t="shared" si="7"/>
        <v/>
      </c>
    </row>
    <row r="90" spans="1:6" x14ac:dyDescent="0.25">
      <c r="A90" s="2">
        <f>Excellent!C12</f>
        <v>0</v>
      </c>
      <c r="B90" s="2" t="str">
        <f>Excellent!D12</f>
        <v/>
      </c>
      <c r="C90" s="65">
        <f>Excellent!AZ12</f>
        <v>0</v>
      </c>
      <c r="D90" s="65">
        <f>Excellent!BA12</f>
        <v>0</v>
      </c>
      <c r="E90" s="64">
        <f t="shared" si="6"/>
        <v>0</v>
      </c>
      <c r="F90" s="2" t="str">
        <f t="shared" si="7"/>
        <v/>
      </c>
    </row>
    <row r="91" spans="1:6" x14ac:dyDescent="0.25">
      <c r="A91" s="2">
        <f>Excellent!C13</f>
        <v>0</v>
      </c>
      <c r="B91" s="2" t="str">
        <f>Excellent!D13</f>
        <v/>
      </c>
      <c r="C91" s="65">
        <f>Excellent!AZ13</f>
        <v>0</v>
      </c>
      <c r="D91" s="65">
        <f>Excellent!BA13</f>
        <v>0</v>
      </c>
      <c r="E91" s="64">
        <f t="shared" si="6"/>
        <v>0</v>
      </c>
      <c r="F91" s="2" t="str">
        <f t="shared" si="7"/>
        <v/>
      </c>
    </row>
    <row r="92" spans="1:6" x14ac:dyDescent="0.25">
      <c r="A92" s="2">
        <f>Excellent!C14</f>
        <v>0</v>
      </c>
      <c r="B92" s="2" t="str">
        <f>Excellent!D14</f>
        <v/>
      </c>
      <c r="C92" s="65">
        <f>Excellent!AZ14</f>
        <v>0</v>
      </c>
      <c r="D92" s="65">
        <f>Excellent!BA14</f>
        <v>0</v>
      </c>
      <c r="E92" s="64">
        <f t="shared" si="6"/>
        <v>0</v>
      </c>
      <c r="F92" s="2" t="str">
        <f t="shared" si="7"/>
        <v/>
      </c>
    </row>
    <row r="93" spans="1:6" x14ac:dyDescent="0.25">
      <c r="A93" s="2">
        <f>Excellent!C15</f>
        <v>0</v>
      </c>
      <c r="B93" s="2" t="str">
        <f>Excellent!D15</f>
        <v/>
      </c>
      <c r="C93" s="65">
        <f>Excellent!AZ15</f>
        <v>0</v>
      </c>
      <c r="D93" s="65">
        <f>Excellent!BA15</f>
        <v>0</v>
      </c>
      <c r="E93" s="64">
        <f t="shared" si="6"/>
        <v>0</v>
      </c>
      <c r="F93" s="2" t="str">
        <f t="shared" si="7"/>
        <v/>
      </c>
    </row>
    <row r="94" spans="1:6" x14ac:dyDescent="0.25">
      <c r="A94" s="2">
        <f>Excellent!C16</f>
        <v>0</v>
      </c>
      <c r="B94" s="2" t="str">
        <f>Excellent!D16</f>
        <v/>
      </c>
      <c r="C94" s="65">
        <f>Excellent!AZ16</f>
        <v>0</v>
      </c>
      <c r="D94" s="65">
        <f>Excellent!BA16</f>
        <v>0</v>
      </c>
      <c r="E94" s="64">
        <f t="shared" si="6"/>
        <v>0</v>
      </c>
      <c r="F94" s="2" t="str">
        <f t="shared" si="7"/>
        <v/>
      </c>
    </row>
    <row r="95" spans="1:6" x14ac:dyDescent="0.25">
      <c r="A95" s="2">
        <f>Excellent!C17</f>
        <v>0</v>
      </c>
      <c r="B95" s="2" t="str">
        <f>Excellent!D17</f>
        <v/>
      </c>
      <c r="C95" s="65">
        <f>Excellent!AZ17</f>
        <v>0</v>
      </c>
      <c r="D95" s="65">
        <f>Excellent!BA17</f>
        <v>0</v>
      </c>
      <c r="E95" s="64">
        <f t="shared" si="6"/>
        <v>0</v>
      </c>
      <c r="F95" s="2" t="str">
        <f t="shared" si="7"/>
        <v/>
      </c>
    </row>
    <row r="96" spans="1:6" x14ac:dyDescent="0.25">
      <c r="A96" s="2">
        <f>Excellent!C18</f>
        <v>0</v>
      </c>
      <c r="B96" s="2" t="str">
        <f>Excellent!D18</f>
        <v/>
      </c>
      <c r="C96" s="65">
        <f>Excellent!AZ18</f>
        <v>0</v>
      </c>
      <c r="D96" s="65">
        <f>Excellent!BA18</f>
        <v>0</v>
      </c>
      <c r="E96" s="64">
        <f t="shared" si="6"/>
        <v>0</v>
      </c>
      <c r="F96" s="2" t="str">
        <f t="shared" si="7"/>
        <v/>
      </c>
    </row>
    <row r="97" spans="1:6" x14ac:dyDescent="0.25">
      <c r="A97" s="2">
        <f>Excellent!C19</f>
        <v>0</v>
      </c>
      <c r="B97" s="2" t="str">
        <f>Excellent!D19</f>
        <v/>
      </c>
      <c r="C97" s="65">
        <f>Excellent!AZ19</f>
        <v>0</v>
      </c>
      <c r="D97" s="65">
        <f>Excellent!BA19</f>
        <v>0</v>
      </c>
      <c r="E97" s="64">
        <f t="shared" si="6"/>
        <v>0</v>
      </c>
      <c r="F97" s="2" t="str">
        <f t="shared" si="7"/>
        <v/>
      </c>
    </row>
    <row r="98" spans="1:6" x14ac:dyDescent="0.25">
      <c r="A98" s="2">
        <f>Excellent!C20</f>
        <v>0</v>
      </c>
      <c r="B98" s="2" t="str">
        <f>Excellent!D20</f>
        <v/>
      </c>
      <c r="C98" s="65">
        <f>Excellent!AZ20</f>
        <v>0</v>
      </c>
      <c r="D98" s="65">
        <f>Excellent!BA20</f>
        <v>0</v>
      </c>
      <c r="E98" s="64">
        <f t="shared" si="6"/>
        <v>0</v>
      </c>
      <c r="F98" s="2" t="str">
        <f t="shared" si="7"/>
        <v/>
      </c>
    </row>
    <row r="99" spans="1:6" x14ac:dyDescent="0.25">
      <c r="A99" s="2">
        <f>Excellent!C21</f>
        <v>0</v>
      </c>
      <c r="B99" s="2" t="str">
        <f>Excellent!D21</f>
        <v/>
      </c>
      <c r="C99" s="65">
        <f>Excellent!AZ21</f>
        <v>0</v>
      </c>
      <c r="D99" s="65">
        <f>Excellent!BA21</f>
        <v>0</v>
      </c>
      <c r="E99" s="64">
        <f t="shared" si="6"/>
        <v>0</v>
      </c>
      <c r="F99" s="2" t="str">
        <f t="shared" si="7"/>
        <v/>
      </c>
    </row>
    <row r="100" spans="1:6" x14ac:dyDescent="0.25">
      <c r="A100" s="2">
        <f>Excellent!C22</f>
        <v>0</v>
      </c>
      <c r="B100" s="2" t="str">
        <f>Excellent!D22</f>
        <v/>
      </c>
      <c r="C100" s="65">
        <f>Excellent!AZ22</f>
        <v>0</v>
      </c>
      <c r="D100" s="65">
        <f>Excellent!BA22</f>
        <v>0</v>
      </c>
      <c r="E100" s="64">
        <f t="shared" si="6"/>
        <v>0</v>
      </c>
      <c r="F100" s="2" t="str">
        <f t="shared" si="7"/>
        <v/>
      </c>
    </row>
    <row r="101" spans="1:6" x14ac:dyDescent="0.25">
      <c r="A101" s="2">
        <f>Excellent!C23</f>
        <v>0</v>
      </c>
      <c r="B101" s="2" t="str">
        <f>Excellent!D23</f>
        <v/>
      </c>
      <c r="C101" s="65">
        <f>Excellent!AZ23</f>
        <v>0</v>
      </c>
      <c r="D101" s="65">
        <f>Excellent!BA23</f>
        <v>0</v>
      </c>
      <c r="E101" s="64">
        <f t="shared" si="6"/>
        <v>0</v>
      </c>
      <c r="F101" s="2" t="str">
        <f t="shared" si="7"/>
        <v/>
      </c>
    </row>
    <row r="102" spans="1:6" x14ac:dyDescent="0.25">
      <c r="A102" s="2">
        <f>Excellent!C24</f>
        <v>0</v>
      </c>
      <c r="B102" s="2" t="str">
        <f>Excellent!D24</f>
        <v/>
      </c>
      <c r="C102" s="65">
        <f>Excellent!AZ24</f>
        <v>0</v>
      </c>
      <c r="D102" s="65">
        <f>Excellent!BA24</f>
        <v>0</v>
      </c>
      <c r="E102" s="64">
        <f t="shared" si="6"/>
        <v>0</v>
      </c>
      <c r="F102" s="2" t="str">
        <f t="shared" si="7"/>
        <v/>
      </c>
    </row>
    <row r="103" spans="1:6" x14ac:dyDescent="0.25">
      <c r="A103" s="2">
        <f>Excellent!C25</f>
        <v>0</v>
      </c>
      <c r="B103" s="2" t="str">
        <f>Excellent!D25</f>
        <v/>
      </c>
      <c r="C103" s="65">
        <f>Excellent!AZ25</f>
        <v>0</v>
      </c>
      <c r="D103" s="65">
        <f>Excellent!BA25</f>
        <v>0</v>
      </c>
      <c r="E103" s="64">
        <f t="shared" si="6"/>
        <v>0</v>
      </c>
      <c r="F103" s="2" t="str">
        <f t="shared" si="7"/>
        <v/>
      </c>
    </row>
    <row r="104" spans="1:6" x14ac:dyDescent="0.25">
      <c r="A104" s="2">
        <f>Excellent!C26</f>
        <v>0</v>
      </c>
      <c r="B104" s="2" t="str">
        <f>Excellent!D26</f>
        <v/>
      </c>
      <c r="C104" s="65">
        <f>Excellent!AZ26</f>
        <v>0</v>
      </c>
      <c r="D104" s="65">
        <f>Excellent!BA26</f>
        <v>0</v>
      </c>
      <c r="E104" s="64">
        <f t="shared" ref="E104:E132" si="8">IF(C104=0,0,C104*100 + (1-D104))</f>
        <v>0</v>
      </c>
      <c r="F104" s="2" t="str">
        <f t="shared" ref="F104:F132" si="9">IF(E104=0,"",RANK(E104,$E$3:$E$162))</f>
        <v/>
      </c>
    </row>
    <row r="105" spans="1:6" x14ac:dyDescent="0.25">
      <c r="A105" s="2">
        <f>Excellent!C27</f>
        <v>0</v>
      </c>
      <c r="B105" s="2" t="str">
        <f>Excellent!D27</f>
        <v/>
      </c>
      <c r="C105" s="65">
        <f>Excellent!AZ27</f>
        <v>0</v>
      </c>
      <c r="D105" s="65">
        <f>Excellent!BA27</f>
        <v>0</v>
      </c>
      <c r="E105" s="64">
        <f t="shared" si="8"/>
        <v>0</v>
      </c>
      <c r="F105" s="2" t="str">
        <f t="shared" si="9"/>
        <v/>
      </c>
    </row>
    <row r="106" spans="1:6" x14ac:dyDescent="0.25">
      <c r="A106" s="2">
        <f>Excellent!C28</f>
        <v>0</v>
      </c>
      <c r="B106" s="2" t="str">
        <f>Excellent!D28</f>
        <v/>
      </c>
      <c r="C106" s="65">
        <f>Excellent!AZ28</f>
        <v>0</v>
      </c>
      <c r="D106" s="65">
        <f>Excellent!BA28</f>
        <v>0</v>
      </c>
      <c r="E106" s="64">
        <f t="shared" si="8"/>
        <v>0</v>
      </c>
      <c r="F106" s="2" t="str">
        <f t="shared" si="9"/>
        <v/>
      </c>
    </row>
    <row r="107" spans="1:6" x14ac:dyDescent="0.25">
      <c r="A107" s="2">
        <f>Excellent!C29</f>
        <v>0</v>
      </c>
      <c r="B107" s="2" t="str">
        <f>Excellent!D29</f>
        <v/>
      </c>
      <c r="C107" s="65">
        <f>Excellent!AZ29</f>
        <v>0</v>
      </c>
      <c r="D107" s="65">
        <f>Excellent!BA29</f>
        <v>0</v>
      </c>
      <c r="E107" s="64">
        <f t="shared" si="8"/>
        <v>0</v>
      </c>
      <c r="F107" s="2" t="str">
        <f t="shared" si="9"/>
        <v/>
      </c>
    </row>
    <row r="108" spans="1:6" x14ac:dyDescent="0.25">
      <c r="A108" s="2">
        <f>Excellent!C30</f>
        <v>0</v>
      </c>
      <c r="B108" s="2" t="str">
        <f>Excellent!D30</f>
        <v/>
      </c>
      <c r="C108" s="65">
        <f>Excellent!AZ30</f>
        <v>0</v>
      </c>
      <c r="D108" s="65">
        <f>Excellent!BA30</f>
        <v>0</v>
      </c>
      <c r="E108" s="64">
        <f t="shared" si="8"/>
        <v>0</v>
      </c>
      <c r="F108" s="2" t="str">
        <f t="shared" si="9"/>
        <v/>
      </c>
    </row>
    <row r="109" spans="1:6" x14ac:dyDescent="0.25">
      <c r="A109" s="2">
        <f>Excellent!C31</f>
        <v>0</v>
      </c>
      <c r="B109" s="2" t="str">
        <f>Excellent!D31</f>
        <v/>
      </c>
      <c r="C109" s="65">
        <f>Excellent!AZ31</f>
        <v>0</v>
      </c>
      <c r="D109" s="65">
        <f>Excellent!BA31</f>
        <v>0</v>
      </c>
      <c r="E109" s="64">
        <f t="shared" si="8"/>
        <v>0</v>
      </c>
      <c r="F109" s="2" t="str">
        <f t="shared" si="9"/>
        <v/>
      </c>
    </row>
    <row r="110" spans="1:6" x14ac:dyDescent="0.25">
      <c r="A110" s="2">
        <f>Excellent!C32</f>
        <v>0</v>
      </c>
      <c r="B110" s="2" t="str">
        <f>Excellent!D32</f>
        <v/>
      </c>
      <c r="C110" s="65">
        <f>Excellent!AZ32</f>
        <v>0</v>
      </c>
      <c r="D110" s="65">
        <f>Excellent!BA32</f>
        <v>0</v>
      </c>
      <c r="E110" s="64">
        <f t="shared" si="8"/>
        <v>0</v>
      </c>
      <c r="F110" s="2" t="str">
        <f t="shared" si="9"/>
        <v/>
      </c>
    </row>
    <row r="111" spans="1:6" x14ac:dyDescent="0.25">
      <c r="A111" s="2">
        <f>Excellent!C33</f>
        <v>0</v>
      </c>
      <c r="B111" s="2" t="str">
        <f>Excellent!D33</f>
        <v/>
      </c>
      <c r="C111" s="65">
        <f>Excellent!AZ33</f>
        <v>0</v>
      </c>
      <c r="D111" s="65">
        <f>Excellent!BA33</f>
        <v>0</v>
      </c>
      <c r="E111" s="64">
        <f t="shared" si="8"/>
        <v>0</v>
      </c>
      <c r="F111" s="2" t="str">
        <f t="shared" si="9"/>
        <v/>
      </c>
    </row>
    <row r="112" spans="1:6" x14ac:dyDescent="0.25">
      <c r="A112" s="2">
        <f>Excellent!C34</f>
        <v>0</v>
      </c>
      <c r="B112" s="2" t="str">
        <f>Excellent!D34</f>
        <v/>
      </c>
      <c r="C112" s="65">
        <f>Excellent!AZ34</f>
        <v>0</v>
      </c>
      <c r="D112" s="65">
        <f>Excellent!BA34</f>
        <v>0</v>
      </c>
      <c r="E112" s="64">
        <f t="shared" si="8"/>
        <v>0</v>
      </c>
      <c r="F112" s="2" t="str">
        <f t="shared" si="9"/>
        <v/>
      </c>
    </row>
    <row r="113" spans="1:6" x14ac:dyDescent="0.25">
      <c r="A113" s="2">
        <f>Excellent!C35</f>
        <v>0</v>
      </c>
      <c r="B113" s="2" t="str">
        <f>Excellent!D35</f>
        <v/>
      </c>
      <c r="C113" s="65">
        <f>Excellent!AZ35</f>
        <v>0</v>
      </c>
      <c r="D113" s="65">
        <f>Excellent!BA35</f>
        <v>0</v>
      </c>
      <c r="E113" s="64">
        <f t="shared" si="8"/>
        <v>0</v>
      </c>
      <c r="F113" s="2" t="str">
        <f t="shared" si="9"/>
        <v/>
      </c>
    </row>
    <row r="114" spans="1:6" x14ac:dyDescent="0.25">
      <c r="A114" s="2">
        <f>Excellent!C36</f>
        <v>0</v>
      </c>
      <c r="B114" s="2" t="str">
        <f>Excellent!D36</f>
        <v/>
      </c>
      <c r="C114" s="65">
        <f>Excellent!AZ36</f>
        <v>0</v>
      </c>
      <c r="D114" s="65">
        <f>Excellent!BA36</f>
        <v>0</v>
      </c>
      <c r="E114" s="64">
        <f t="shared" si="8"/>
        <v>0</v>
      </c>
      <c r="F114" s="2" t="str">
        <f t="shared" si="9"/>
        <v/>
      </c>
    </row>
    <row r="115" spans="1:6" x14ac:dyDescent="0.25">
      <c r="A115" s="2">
        <f>Excellent!C37</f>
        <v>0</v>
      </c>
      <c r="B115" s="2" t="str">
        <f>Excellent!D37</f>
        <v/>
      </c>
      <c r="C115" s="65">
        <f>Excellent!AZ37</f>
        <v>0</v>
      </c>
      <c r="D115" s="65">
        <f>Excellent!BA37</f>
        <v>0</v>
      </c>
      <c r="E115" s="64">
        <f t="shared" si="8"/>
        <v>0</v>
      </c>
      <c r="F115" s="2" t="str">
        <f t="shared" si="9"/>
        <v/>
      </c>
    </row>
    <row r="116" spans="1:6" x14ac:dyDescent="0.25">
      <c r="A116" s="2">
        <f>Excellent!C38</f>
        <v>0</v>
      </c>
      <c r="B116" s="2" t="str">
        <f>Excellent!D38</f>
        <v/>
      </c>
      <c r="C116" s="65">
        <f>Excellent!AZ38</f>
        <v>0</v>
      </c>
      <c r="D116" s="65">
        <f>Excellent!BA38</f>
        <v>0</v>
      </c>
      <c r="E116" s="64">
        <f t="shared" si="8"/>
        <v>0</v>
      </c>
      <c r="F116" s="2" t="str">
        <f t="shared" si="9"/>
        <v/>
      </c>
    </row>
    <row r="117" spans="1:6" x14ac:dyDescent="0.25">
      <c r="A117" s="2">
        <f>Excellent!C39</f>
        <v>0</v>
      </c>
      <c r="B117" s="2" t="str">
        <f>Excellent!D39</f>
        <v/>
      </c>
      <c r="C117" s="65">
        <f>Excellent!AZ39</f>
        <v>0</v>
      </c>
      <c r="D117" s="65">
        <f>Excellent!BA39</f>
        <v>0</v>
      </c>
      <c r="E117" s="64">
        <f t="shared" si="8"/>
        <v>0</v>
      </c>
      <c r="F117" s="2" t="str">
        <f t="shared" si="9"/>
        <v/>
      </c>
    </row>
    <row r="118" spans="1:6" x14ac:dyDescent="0.25">
      <c r="A118" s="2">
        <f>Excellent!C40</f>
        <v>0</v>
      </c>
      <c r="B118" s="2" t="str">
        <f>Excellent!D40</f>
        <v/>
      </c>
      <c r="C118" s="65">
        <f>Excellent!AZ40</f>
        <v>0</v>
      </c>
      <c r="D118" s="65">
        <f>Excellent!BA40</f>
        <v>0</v>
      </c>
      <c r="E118" s="64">
        <f t="shared" si="8"/>
        <v>0</v>
      </c>
      <c r="F118" s="2" t="str">
        <f t="shared" si="9"/>
        <v/>
      </c>
    </row>
    <row r="119" spans="1:6" x14ac:dyDescent="0.25">
      <c r="A119" s="2">
        <f>Excellent!C41</f>
        <v>0</v>
      </c>
      <c r="B119" s="2" t="str">
        <f>Excellent!D41</f>
        <v/>
      </c>
      <c r="C119" s="65">
        <f>Excellent!AZ41</f>
        <v>0</v>
      </c>
      <c r="D119" s="65">
        <f>Excellent!BA41</f>
        <v>0</v>
      </c>
      <c r="E119" s="64">
        <f t="shared" si="8"/>
        <v>0</v>
      </c>
      <c r="F119" s="2" t="str">
        <f t="shared" si="9"/>
        <v/>
      </c>
    </row>
    <row r="120" spans="1:6" x14ac:dyDescent="0.25">
      <c r="A120" s="2">
        <f>Excellent!C42</f>
        <v>0</v>
      </c>
      <c r="B120" s="2" t="str">
        <f>Excellent!D42</f>
        <v/>
      </c>
      <c r="C120" s="65">
        <f>Excellent!AZ42</f>
        <v>0</v>
      </c>
      <c r="D120" s="65">
        <f>Excellent!BA42</f>
        <v>0</v>
      </c>
      <c r="E120" s="64">
        <f t="shared" si="8"/>
        <v>0</v>
      </c>
      <c r="F120" s="2" t="str">
        <f t="shared" si="9"/>
        <v/>
      </c>
    </row>
    <row r="121" spans="1:6" x14ac:dyDescent="0.25">
      <c r="A121" s="2">
        <f>Excellent!C43</f>
        <v>0</v>
      </c>
      <c r="B121" s="2" t="str">
        <f>Excellent!D43</f>
        <v/>
      </c>
      <c r="C121" s="65">
        <f>Excellent!AZ43</f>
        <v>0</v>
      </c>
      <c r="D121" s="65">
        <f>Excellent!BA43</f>
        <v>0</v>
      </c>
      <c r="E121" s="64">
        <f t="shared" si="8"/>
        <v>0</v>
      </c>
      <c r="F121" s="2" t="str">
        <f t="shared" si="9"/>
        <v/>
      </c>
    </row>
    <row r="122" spans="1:6" x14ac:dyDescent="0.25">
      <c r="A122" s="2">
        <f>Excellent!C44</f>
        <v>0</v>
      </c>
      <c r="B122" s="2" t="str">
        <f>Excellent!D44</f>
        <v/>
      </c>
      <c r="C122" s="65">
        <f>Excellent!AZ44</f>
        <v>0</v>
      </c>
      <c r="D122" s="65">
        <f>Excellent!BA44</f>
        <v>0</v>
      </c>
      <c r="E122" s="64">
        <f t="shared" si="8"/>
        <v>0</v>
      </c>
      <c r="F122" s="2" t="str">
        <f t="shared" si="9"/>
        <v/>
      </c>
    </row>
    <row r="123" spans="1:6" x14ac:dyDescent="0.25">
      <c r="A123" s="2">
        <f>Excellent!C45</f>
        <v>0</v>
      </c>
      <c r="B123" s="2" t="str">
        <f>Excellent!D45</f>
        <v/>
      </c>
      <c r="C123" s="65">
        <f>Excellent!AZ45</f>
        <v>0</v>
      </c>
      <c r="D123" s="65">
        <f>Excellent!BA45</f>
        <v>0</v>
      </c>
      <c r="E123" s="64">
        <f t="shared" si="8"/>
        <v>0</v>
      </c>
      <c r="F123" s="2" t="str">
        <f t="shared" si="9"/>
        <v/>
      </c>
    </row>
    <row r="124" spans="1:6" x14ac:dyDescent="0.25">
      <c r="A124" s="2">
        <f>Excellent!C46</f>
        <v>0</v>
      </c>
      <c r="B124" s="2" t="str">
        <f>Excellent!D46</f>
        <v/>
      </c>
      <c r="C124" s="65">
        <f>Excellent!AZ46</f>
        <v>0</v>
      </c>
      <c r="D124" s="65">
        <f>Excellent!BA46</f>
        <v>0</v>
      </c>
      <c r="E124" s="64">
        <f t="shared" si="8"/>
        <v>0</v>
      </c>
      <c r="F124" s="2" t="str">
        <f t="shared" si="9"/>
        <v/>
      </c>
    </row>
    <row r="125" spans="1:6" x14ac:dyDescent="0.25">
      <c r="A125" s="2">
        <f>Excellent!C47</f>
        <v>0</v>
      </c>
      <c r="B125" s="2" t="str">
        <f>Excellent!D47</f>
        <v/>
      </c>
      <c r="C125" s="65">
        <f>Excellent!AZ47</f>
        <v>0</v>
      </c>
      <c r="D125" s="65">
        <f>Excellent!BA47</f>
        <v>0</v>
      </c>
      <c r="E125" s="64">
        <f t="shared" si="8"/>
        <v>0</v>
      </c>
      <c r="F125" s="2" t="str">
        <f t="shared" si="9"/>
        <v/>
      </c>
    </row>
    <row r="126" spans="1:6" x14ac:dyDescent="0.25">
      <c r="A126" s="2">
        <f>Excellent!C48</f>
        <v>0</v>
      </c>
      <c r="B126" s="2" t="str">
        <f>Excellent!D48</f>
        <v/>
      </c>
      <c r="C126" s="65">
        <f>Excellent!AZ48</f>
        <v>0</v>
      </c>
      <c r="D126" s="65">
        <f>Excellent!BA48</f>
        <v>0</v>
      </c>
      <c r="E126" s="64">
        <f t="shared" si="8"/>
        <v>0</v>
      </c>
      <c r="F126" s="2" t="str">
        <f t="shared" si="9"/>
        <v/>
      </c>
    </row>
    <row r="127" spans="1:6" x14ac:dyDescent="0.25">
      <c r="A127" s="2">
        <f>Excellent!C49</f>
        <v>0</v>
      </c>
      <c r="B127" s="2" t="str">
        <f>Excellent!D49</f>
        <v/>
      </c>
      <c r="C127" s="65">
        <f>Excellent!AZ49</f>
        <v>0</v>
      </c>
      <c r="D127" s="65">
        <f>Excellent!BA49</f>
        <v>0</v>
      </c>
      <c r="E127" s="64">
        <f t="shared" si="8"/>
        <v>0</v>
      </c>
      <c r="F127" s="2" t="str">
        <f t="shared" si="9"/>
        <v/>
      </c>
    </row>
    <row r="128" spans="1:6" x14ac:dyDescent="0.25">
      <c r="A128" s="2">
        <f>Excellent!C50</f>
        <v>0</v>
      </c>
      <c r="B128" s="2" t="str">
        <f>Excellent!D50</f>
        <v/>
      </c>
      <c r="C128" s="65">
        <f>Excellent!AZ50</f>
        <v>0</v>
      </c>
      <c r="D128" s="65">
        <f>Excellent!BA50</f>
        <v>0</v>
      </c>
      <c r="E128" s="64">
        <f t="shared" si="8"/>
        <v>0</v>
      </c>
      <c r="F128" s="2" t="str">
        <f t="shared" si="9"/>
        <v/>
      </c>
    </row>
    <row r="129" spans="1:6" x14ac:dyDescent="0.25">
      <c r="A129" s="2">
        <f>Excellent!C51</f>
        <v>0</v>
      </c>
      <c r="B129" s="2" t="str">
        <f>Excellent!D51</f>
        <v/>
      </c>
      <c r="C129" s="65">
        <f>Excellent!AZ51</f>
        <v>0</v>
      </c>
      <c r="D129" s="65">
        <f>Excellent!BA51</f>
        <v>0</v>
      </c>
      <c r="E129" s="64">
        <f t="shared" si="8"/>
        <v>0</v>
      </c>
      <c r="F129" s="2" t="str">
        <f t="shared" si="9"/>
        <v/>
      </c>
    </row>
    <row r="130" spans="1:6" x14ac:dyDescent="0.25">
      <c r="A130" s="2">
        <f>Excellent!C52</f>
        <v>0</v>
      </c>
      <c r="B130" s="2" t="str">
        <f>Excellent!D52</f>
        <v/>
      </c>
      <c r="C130" s="65">
        <f>Excellent!AZ52</f>
        <v>0</v>
      </c>
      <c r="D130" s="65">
        <f>Excellent!BA52</f>
        <v>0</v>
      </c>
      <c r="E130" s="64">
        <f t="shared" si="8"/>
        <v>0</v>
      </c>
      <c r="F130" s="2" t="str">
        <f t="shared" si="9"/>
        <v/>
      </c>
    </row>
    <row r="131" spans="1:6" x14ac:dyDescent="0.25">
      <c r="A131" s="2">
        <f>Excellent!C53</f>
        <v>0</v>
      </c>
      <c r="B131" s="2" t="str">
        <f>Excellent!D53</f>
        <v/>
      </c>
      <c r="C131" s="65">
        <f>Excellent!AZ53</f>
        <v>0</v>
      </c>
      <c r="D131" s="65">
        <f>Excellent!BA53</f>
        <v>0</v>
      </c>
      <c r="E131" s="64">
        <f t="shared" si="8"/>
        <v>0</v>
      </c>
      <c r="F131" s="2" t="str">
        <f t="shared" si="9"/>
        <v/>
      </c>
    </row>
    <row r="132" spans="1:6" x14ac:dyDescent="0.25">
      <c r="A132" s="2">
        <f>Excellent!C54</f>
        <v>0</v>
      </c>
      <c r="B132" s="2" t="str">
        <f>Excellent!D54</f>
        <v/>
      </c>
      <c r="C132" s="65">
        <f>Excellent!AZ54</f>
        <v>0</v>
      </c>
      <c r="D132" s="65">
        <f>Excellent!BA54</f>
        <v>0</v>
      </c>
      <c r="E132" s="64">
        <f t="shared" si="8"/>
        <v>0</v>
      </c>
      <c r="F132" s="2" t="str">
        <f t="shared" si="9"/>
        <v/>
      </c>
    </row>
    <row r="133" spans="1:6" x14ac:dyDescent="0.25">
      <c r="A133" s="2">
        <f>Elite!C5</f>
        <v>0</v>
      </c>
      <c r="B133" s="2" t="str">
        <f>Elite!D5</f>
        <v/>
      </c>
      <c r="C133" s="65">
        <f>Elite!AY5</f>
        <v>0</v>
      </c>
      <c r="D133" s="65">
        <f>Elite!AZ5</f>
        <v>0</v>
      </c>
      <c r="E133" s="64">
        <f t="shared" si="4"/>
        <v>0</v>
      </c>
      <c r="F133" s="2" t="str">
        <f t="shared" ref="F133:F162" si="10">IF(E133=0,"",RANK(E133,$E$3:$E$162))</f>
        <v/>
      </c>
    </row>
    <row r="134" spans="1:6" x14ac:dyDescent="0.25">
      <c r="A134" s="2">
        <f>Elite!C6</f>
        <v>0</v>
      </c>
      <c r="B134" s="2" t="str">
        <f>Elite!D6</f>
        <v/>
      </c>
      <c r="C134" s="65">
        <f>Elite!AY6</f>
        <v>0</v>
      </c>
      <c r="D134" s="65">
        <f>Elite!AZ6</f>
        <v>0</v>
      </c>
      <c r="E134" s="64">
        <f t="shared" si="4"/>
        <v>0</v>
      </c>
      <c r="F134" s="2" t="str">
        <f t="shared" si="10"/>
        <v/>
      </c>
    </row>
    <row r="135" spans="1:6" x14ac:dyDescent="0.25">
      <c r="A135" s="2">
        <f>Elite!C7</f>
        <v>0</v>
      </c>
      <c r="B135" s="2" t="str">
        <f>Elite!D7</f>
        <v/>
      </c>
      <c r="C135" s="65">
        <f>Elite!AY7</f>
        <v>0</v>
      </c>
      <c r="D135" s="65">
        <f>Elite!AZ7</f>
        <v>0</v>
      </c>
      <c r="E135" s="64">
        <f t="shared" si="4"/>
        <v>0</v>
      </c>
      <c r="F135" s="2" t="str">
        <f t="shared" si="10"/>
        <v/>
      </c>
    </row>
    <row r="136" spans="1:6" x14ac:dyDescent="0.25">
      <c r="A136" s="2">
        <f>Elite!C8</f>
        <v>0</v>
      </c>
      <c r="B136" s="2" t="str">
        <f>Elite!D8</f>
        <v/>
      </c>
      <c r="C136" s="65">
        <f>Elite!AY8</f>
        <v>0</v>
      </c>
      <c r="D136" s="65">
        <f>Elite!AZ8</f>
        <v>0</v>
      </c>
      <c r="E136" s="64">
        <f t="shared" si="4"/>
        <v>0</v>
      </c>
      <c r="F136" s="2" t="str">
        <f t="shared" si="10"/>
        <v/>
      </c>
    </row>
    <row r="137" spans="1:6" x14ac:dyDescent="0.25">
      <c r="A137" s="2">
        <f>Elite!C9</f>
        <v>0</v>
      </c>
      <c r="B137" s="2" t="str">
        <f>Elite!D9</f>
        <v/>
      </c>
      <c r="C137" s="65">
        <f>Elite!AY9</f>
        <v>0</v>
      </c>
      <c r="D137" s="65">
        <f>Elite!AZ9</f>
        <v>0</v>
      </c>
      <c r="E137" s="64">
        <f t="shared" ref="E137:E162" si="11">IF(C137=0,0,C137*100 + (1-D137))</f>
        <v>0</v>
      </c>
      <c r="F137" s="2" t="str">
        <f t="shared" si="10"/>
        <v/>
      </c>
    </row>
    <row r="138" spans="1:6" x14ac:dyDescent="0.25">
      <c r="A138" s="2">
        <f>Elite!C10</f>
        <v>0</v>
      </c>
      <c r="B138" s="2" t="str">
        <f>Elite!D10</f>
        <v/>
      </c>
      <c r="C138" s="65">
        <f>Elite!AY10</f>
        <v>0</v>
      </c>
      <c r="D138" s="65">
        <f>Elite!AZ10</f>
        <v>0</v>
      </c>
      <c r="E138" s="64">
        <f t="shared" si="11"/>
        <v>0</v>
      </c>
      <c r="F138" s="2" t="str">
        <f t="shared" si="10"/>
        <v/>
      </c>
    </row>
    <row r="139" spans="1:6" x14ac:dyDescent="0.25">
      <c r="A139" s="2">
        <f>Elite!C11</f>
        <v>0</v>
      </c>
      <c r="B139" s="2" t="str">
        <f>Elite!D11</f>
        <v/>
      </c>
      <c r="C139" s="65">
        <f>Elite!AY11</f>
        <v>0</v>
      </c>
      <c r="D139" s="65">
        <f>Elite!AZ11</f>
        <v>0</v>
      </c>
      <c r="E139" s="64">
        <f t="shared" si="11"/>
        <v>0</v>
      </c>
      <c r="F139" s="2" t="str">
        <f t="shared" si="10"/>
        <v/>
      </c>
    </row>
    <row r="140" spans="1:6" x14ac:dyDescent="0.25">
      <c r="A140" s="2">
        <f>Elite!C12</f>
        <v>0</v>
      </c>
      <c r="B140" s="2" t="str">
        <f>Elite!D12</f>
        <v/>
      </c>
      <c r="C140" s="65">
        <f>Elite!AY12</f>
        <v>0</v>
      </c>
      <c r="D140" s="65">
        <f>Elite!AZ12</f>
        <v>0</v>
      </c>
      <c r="E140" s="64">
        <f t="shared" si="11"/>
        <v>0</v>
      </c>
      <c r="F140" s="2" t="str">
        <f t="shared" si="10"/>
        <v/>
      </c>
    </row>
    <row r="141" spans="1:6" x14ac:dyDescent="0.25">
      <c r="A141" s="2">
        <f>Elite!C13</f>
        <v>0</v>
      </c>
      <c r="B141" s="2" t="str">
        <f>Elite!D13</f>
        <v/>
      </c>
      <c r="C141" s="65">
        <f>Elite!AY13</f>
        <v>0</v>
      </c>
      <c r="D141" s="65">
        <f>Elite!AZ13</f>
        <v>0</v>
      </c>
      <c r="E141" s="64">
        <f t="shared" si="11"/>
        <v>0</v>
      </c>
      <c r="F141" s="2" t="str">
        <f t="shared" si="10"/>
        <v/>
      </c>
    </row>
    <row r="142" spans="1:6" x14ac:dyDescent="0.25">
      <c r="A142" s="2">
        <f>Elite!C14</f>
        <v>0</v>
      </c>
      <c r="B142" s="2" t="str">
        <f>Elite!D14</f>
        <v/>
      </c>
      <c r="C142" s="65">
        <f>Elite!AY14</f>
        <v>0</v>
      </c>
      <c r="D142" s="65">
        <f>Elite!AZ14</f>
        <v>0</v>
      </c>
      <c r="E142" s="64">
        <f t="shared" si="11"/>
        <v>0</v>
      </c>
      <c r="F142" s="2" t="str">
        <f t="shared" si="10"/>
        <v/>
      </c>
    </row>
    <row r="143" spans="1:6" x14ac:dyDescent="0.25">
      <c r="A143" s="2">
        <f>Elite!C15</f>
        <v>0</v>
      </c>
      <c r="B143" s="2" t="str">
        <f>Elite!D15</f>
        <v/>
      </c>
      <c r="C143" s="65">
        <f>Elite!AY15</f>
        <v>0</v>
      </c>
      <c r="D143" s="65">
        <f>Elite!AZ15</f>
        <v>0</v>
      </c>
      <c r="E143" s="64">
        <f t="shared" si="11"/>
        <v>0</v>
      </c>
      <c r="F143" s="2" t="str">
        <f t="shared" si="10"/>
        <v/>
      </c>
    </row>
    <row r="144" spans="1:6" x14ac:dyDescent="0.25">
      <c r="A144" s="2">
        <f>Elite!C16</f>
        <v>0</v>
      </c>
      <c r="B144" s="2" t="str">
        <f>Elite!D16</f>
        <v/>
      </c>
      <c r="C144" s="65">
        <f>Elite!AY16</f>
        <v>0</v>
      </c>
      <c r="D144" s="65">
        <f>Elite!AZ16</f>
        <v>0</v>
      </c>
      <c r="E144" s="64">
        <f t="shared" si="11"/>
        <v>0</v>
      </c>
      <c r="F144" s="2" t="str">
        <f t="shared" si="10"/>
        <v/>
      </c>
    </row>
    <row r="145" spans="1:6" x14ac:dyDescent="0.25">
      <c r="A145" s="2">
        <f>Elite!C17</f>
        <v>0</v>
      </c>
      <c r="B145" s="2" t="str">
        <f>Elite!D17</f>
        <v/>
      </c>
      <c r="C145" s="65">
        <f>Elite!AY17</f>
        <v>0</v>
      </c>
      <c r="D145" s="65">
        <f>Elite!AZ17</f>
        <v>0</v>
      </c>
      <c r="E145" s="64">
        <f t="shared" si="11"/>
        <v>0</v>
      </c>
      <c r="F145" s="2" t="str">
        <f t="shared" si="10"/>
        <v/>
      </c>
    </row>
    <row r="146" spans="1:6" x14ac:dyDescent="0.25">
      <c r="A146" s="2">
        <f>Elite!C18</f>
        <v>0</v>
      </c>
      <c r="B146" s="2" t="str">
        <f>Elite!D18</f>
        <v/>
      </c>
      <c r="C146" s="65">
        <f>Elite!AY18</f>
        <v>0</v>
      </c>
      <c r="D146" s="65">
        <f>Elite!AZ18</f>
        <v>0</v>
      </c>
      <c r="E146" s="64">
        <f t="shared" si="11"/>
        <v>0</v>
      </c>
      <c r="F146" s="2" t="str">
        <f t="shared" si="10"/>
        <v/>
      </c>
    </row>
    <row r="147" spans="1:6" x14ac:dyDescent="0.25">
      <c r="A147" s="2">
        <f>Elite!C19</f>
        <v>0</v>
      </c>
      <c r="B147" s="2" t="str">
        <f>Elite!D19</f>
        <v/>
      </c>
      <c r="C147" s="65">
        <f>Elite!AY19</f>
        <v>0</v>
      </c>
      <c r="D147" s="65">
        <f>Elite!AZ19</f>
        <v>0</v>
      </c>
      <c r="E147" s="64">
        <f t="shared" si="11"/>
        <v>0</v>
      </c>
      <c r="F147" s="2" t="str">
        <f t="shared" si="10"/>
        <v/>
      </c>
    </row>
    <row r="148" spans="1:6" x14ac:dyDescent="0.25">
      <c r="A148" s="2">
        <f>Elite!C20</f>
        <v>0</v>
      </c>
      <c r="B148" s="2" t="str">
        <f>Elite!D20</f>
        <v/>
      </c>
      <c r="C148" s="65">
        <f>Elite!AY20</f>
        <v>0</v>
      </c>
      <c r="D148" s="65">
        <f>Elite!AZ20</f>
        <v>0</v>
      </c>
      <c r="E148" s="64">
        <f t="shared" si="11"/>
        <v>0</v>
      </c>
      <c r="F148" s="2" t="str">
        <f t="shared" si="10"/>
        <v/>
      </c>
    </row>
    <row r="149" spans="1:6" x14ac:dyDescent="0.25">
      <c r="A149" s="2">
        <f>Elite!C21</f>
        <v>0</v>
      </c>
      <c r="B149" s="2" t="str">
        <f>Elite!D21</f>
        <v/>
      </c>
      <c r="C149" s="65">
        <f>Elite!AY21</f>
        <v>0</v>
      </c>
      <c r="D149" s="65">
        <f>Elite!AZ21</f>
        <v>0</v>
      </c>
      <c r="E149" s="64">
        <f t="shared" si="11"/>
        <v>0</v>
      </c>
      <c r="F149" s="2" t="str">
        <f t="shared" si="10"/>
        <v/>
      </c>
    </row>
    <row r="150" spans="1:6" x14ac:dyDescent="0.25">
      <c r="A150" s="2">
        <f>Elite!C22</f>
        <v>0</v>
      </c>
      <c r="B150" s="2" t="str">
        <f>Elite!D22</f>
        <v/>
      </c>
      <c r="C150" s="65">
        <f>Elite!AY22</f>
        <v>0</v>
      </c>
      <c r="D150" s="65">
        <f>Elite!AZ22</f>
        <v>0</v>
      </c>
      <c r="E150" s="64">
        <f t="shared" si="11"/>
        <v>0</v>
      </c>
      <c r="F150" s="2" t="str">
        <f t="shared" si="10"/>
        <v/>
      </c>
    </row>
    <row r="151" spans="1:6" x14ac:dyDescent="0.25">
      <c r="A151" s="2">
        <f>Elite!C23</f>
        <v>0</v>
      </c>
      <c r="B151" s="2" t="str">
        <f>Elite!D23</f>
        <v/>
      </c>
      <c r="C151" s="65">
        <f>Elite!AY23</f>
        <v>0</v>
      </c>
      <c r="D151" s="65">
        <f>Elite!AZ23</f>
        <v>0</v>
      </c>
      <c r="E151" s="64">
        <f t="shared" si="11"/>
        <v>0</v>
      </c>
      <c r="F151" s="2" t="str">
        <f t="shared" si="10"/>
        <v/>
      </c>
    </row>
    <row r="152" spans="1:6" x14ac:dyDescent="0.25">
      <c r="A152" s="2">
        <f>Elite!C24</f>
        <v>0</v>
      </c>
      <c r="B152" s="2" t="str">
        <f>Elite!D24</f>
        <v/>
      </c>
      <c r="C152" s="65">
        <f>Elite!AY24</f>
        <v>0</v>
      </c>
      <c r="D152" s="65">
        <f>Elite!AZ24</f>
        <v>0</v>
      </c>
      <c r="E152" s="64">
        <f t="shared" si="11"/>
        <v>0</v>
      </c>
      <c r="F152" s="2" t="str">
        <f t="shared" si="10"/>
        <v/>
      </c>
    </row>
    <row r="153" spans="1:6" x14ac:dyDescent="0.25">
      <c r="A153" s="2">
        <f>Elite!C25</f>
        <v>0</v>
      </c>
      <c r="B153" s="2" t="str">
        <f>Elite!D25</f>
        <v/>
      </c>
      <c r="C153" s="65">
        <f>Elite!AY25</f>
        <v>0</v>
      </c>
      <c r="D153" s="65">
        <f>Elite!AZ25</f>
        <v>0</v>
      </c>
      <c r="E153" s="64">
        <f t="shared" si="11"/>
        <v>0</v>
      </c>
      <c r="F153" s="2" t="str">
        <f t="shared" si="10"/>
        <v/>
      </c>
    </row>
    <row r="154" spans="1:6" x14ac:dyDescent="0.25">
      <c r="A154" s="2">
        <f>Elite!C26</f>
        <v>0</v>
      </c>
      <c r="B154" s="2" t="str">
        <f>Elite!D26</f>
        <v/>
      </c>
      <c r="C154" s="65">
        <f>Elite!AY26</f>
        <v>0</v>
      </c>
      <c r="D154" s="65">
        <f>Elite!AZ26</f>
        <v>0</v>
      </c>
      <c r="E154" s="64">
        <f t="shared" si="11"/>
        <v>0</v>
      </c>
      <c r="F154" s="2" t="str">
        <f t="shared" si="10"/>
        <v/>
      </c>
    </row>
    <row r="155" spans="1:6" x14ac:dyDescent="0.25">
      <c r="A155" s="2">
        <f>Elite!C27</f>
        <v>0</v>
      </c>
      <c r="B155" s="2" t="str">
        <f>Elite!D27</f>
        <v/>
      </c>
      <c r="C155" s="65">
        <f>Elite!AY27</f>
        <v>0</v>
      </c>
      <c r="D155" s="65">
        <f>Elite!AZ27</f>
        <v>0</v>
      </c>
      <c r="E155" s="64">
        <f t="shared" si="11"/>
        <v>0</v>
      </c>
      <c r="F155" s="2" t="str">
        <f t="shared" si="10"/>
        <v/>
      </c>
    </row>
    <row r="156" spans="1:6" x14ac:dyDescent="0.25">
      <c r="A156" s="2">
        <f>Elite!C28</f>
        <v>0</v>
      </c>
      <c r="B156" s="2" t="str">
        <f>Elite!D28</f>
        <v/>
      </c>
      <c r="C156" s="65">
        <f>Elite!AY28</f>
        <v>0</v>
      </c>
      <c r="D156" s="65">
        <f>Elite!AZ28</f>
        <v>0</v>
      </c>
      <c r="E156" s="64">
        <f t="shared" si="11"/>
        <v>0</v>
      </c>
      <c r="F156" s="2" t="str">
        <f t="shared" si="10"/>
        <v/>
      </c>
    </row>
    <row r="157" spans="1:6" x14ac:dyDescent="0.25">
      <c r="A157" s="2">
        <f>Elite!C29</f>
        <v>0</v>
      </c>
      <c r="B157" s="2" t="str">
        <f>Elite!D29</f>
        <v/>
      </c>
      <c r="C157" s="65">
        <f>Elite!AY29</f>
        <v>0</v>
      </c>
      <c r="D157" s="65">
        <f>Elite!AZ29</f>
        <v>0</v>
      </c>
      <c r="E157" s="64">
        <f t="shared" si="11"/>
        <v>0</v>
      </c>
      <c r="F157" s="2" t="str">
        <f t="shared" si="10"/>
        <v/>
      </c>
    </row>
    <row r="158" spans="1:6" x14ac:dyDescent="0.25">
      <c r="A158" s="2">
        <f>Elite!C30</f>
        <v>0</v>
      </c>
      <c r="B158" s="2" t="str">
        <f>Elite!D30</f>
        <v/>
      </c>
      <c r="C158" s="65">
        <f>Elite!AY30</f>
        <v>0</v>
      </c>
      <c r="D158" s="65">
        <f>Elite!AZ30</f>
        <v>0</v>
      </c>
      <c r="E158" s="64">
        <f t="shared" si="11"/>
        <v>0</v>
      </c>
      <c r="F158" s="2" t="str">
        <f t="shared" si="10"/>
        <v/>
      </c>
    </row>
    <row r="159" spans="1:6" x14ac:dyDescent="0.25">
      <c r="A159" s="2">
        <f>Elite!C31</f>
        <v>0</v>
      </c>
      <c r="B159" s="2" t="str">
        <f>Elite!D31</f>
        <v/>
      </c>
      <c r="C159" s="65">
        <f>Elite!AY31</f>
        <v>0</v>
      </c>
      <c r="D159" s="65">
        <f>Elite!AZ31</f>
        <v>0</v>
      </c>
      <c r="E159" s="64">
        <f t="shared" si="11"/>
        <v>0</v>
      </c>
      <c r="F159" s="2" t="str">
        <f t="shared" si="10"/>
        <v/>
      </c>
    </row>
    <row r="160" spans="1:6" x14ac:dyDescent="0.25">
      <c r="A160" s="2">
        <f>Elite!C32</f>
        <v>0</v>
      </c>
      <c r="B160" s="2" t="str">
        <f>Elite!D32</f>
        <v/>
      </c>
      <c r="C160" s="65">
        <f>Elite!AY32</f>
        <v>0</v>
      </c>
      <c r="D160" s="65">
        <f>Elite!AZ32</f>
        <v>0</v>
      </c>
      <c r="E160" s="64">
        <f t="shared" si="11"/>
        <v>0</v>
      </c>
      <c r="F160" s="2" t="str">
        <f t="shared" si="10"/>
        <v/>
      </c>
    </row>
    <row r="161" spans="1:6" x14ac:dyDescent="0.25">
      <c r="A161" s="2">
        <f>Elite!C33</f>
        <v>0</v>
      </c>
      <c r="B161" s="2" t="str">
        <f>Elite!D33</f>
        <v/>
      </c>
      <c r="C161" s="65">
        <f>Elite!AY33</f>
        <v>0</v>
      </c>
      <c r="D161" s="65">
        <f>Elite!AZ33</f>
        <v>0</v>
      </c>
      <c r="E161" s="64">
        <f t="shared" si="11"/>
        <v>0</v>
      </c>
      <c r="F161" s="2" t="str">
        <f t="shared" si="10"/>
        <v/>
      </c>
    </row>
    <row r="162" spans="1:6" x14ac:dyDescent="0.25">
      <c r="A162" s="2">
        <f>Elite!C34</f>
        <v>0</v>
      </c>
      <c r="B162" s="2" t="str">
        <f>Elite!D34</f>
        <v/>
      </c>
      <c r="C162" s="65">
        <f>Elite!AY34</f>
        <v>0</v>
      </c>
      <c r="D162" s="65">
        <f>Elite!AZ34</f>
        <v>0</v>
      </c>
      <c r="E162" s="64">
        <f t="shared" si="11"/>
        <v>0</v>
      </c>
      <c r="F162" s="2" t="str">
        <f t="shared" si="10"/>
        <v/>
      </c>
    </row>
    <row r="165" spans="1:6" ht="20.25" thickBot="1" x14ac:dyDescent="0.35">
      <c r="A165" s="409" t="s">
        <v>1725</v>
      </c>
      <c r="B165" s="409"/>
      <c r="C165" s="409"/>
      <c r="D165" s="409"/>
      <c r="E165" s="409"/>
      <c r="F165" s="409"/>
    </row>
    <row r="166" spans="1:6" ht="30.75" thickTop="1" x14ac:dyDescent="0.25">
      <c r="A166" s="1" t="s">
        <v>1174</v>
      </c>
      <c r="B166" s="1" t="s">
        <v>2</v>
      </c>
      <c r="C166" s="1" t="s">
        <v>1176</v>
      </c>
      <c r="D166" s="1" t="s">
        <v>1177</v>
      </c>
      <c r="E166" s="1" t="s">
        <v>1178</v>
      </c>
      <c r="F166" s="1" t="s">
        <v>1175</v>
      </c>
    </row>
    <row r="167" spans="1:6" x14ac:dyDescent="0.25">
      <c r="A167" s="2">
        <f>Started!C45</f>
        <v>0</v>
      </c>
      <c r="B167" s="2" t="str">
        <f>Started!D45</f>
        <v/>
      </c>
      <c r="C167" s="65">
        <f>Started!AZ45</f>
        <v>0</v>
      </c>
      <c r="D167" s="65">
        <f>Started!BA45</f>
        <v>0</v>
      </c>
      <c r="E167" s="64">
        <f t="shared" ref="E167:E270" si="12">IF(C167=0,0,C167*100 + (1-D167))</f>
        <v>0</v>
      </c>
      <c r="F167" s="2" t="str">
        <f t="shared" ref="F167:F197" si="13">IF(E167=0,"",RANK(E167,$E$167:$E$326))</f>
        <v/>
      </c>
    </row>
    <row r="168" spans="1:6" x14ac:dyDescent="0.25">
      <c r="A168" s="2">
        <f>Started!C46</f>
        <v>0</v>
      </c>
      <c r="B168" s="2" t="str">
        <f>Started!D46</f>
        <v/>
      </c>
      <c r="C168" s="65">
        <f>Started!AZ46</f>
        <v>0</v>
      </c>
      <c r="D168" s="65">
        <f>Started!BA46</f>
        <v>0</v>
      </c>
      <c r="E168" s="64">
        <f t="shared" si="12"/>
        <v>0</v>
      </c>
      <c r="F168" s="2" t="str">
        <f t="shared" si="13"/>
        <v/>
      </c>
    </row>
    <row r="169" spans="1:6" x14ac:dyDescent="0.25">
      <c r="A169" s="2">
        <f>Started!C47</f>
        <v>0</v>
      </c>
      <c r="B169" s="2" t="str">
        <f>Started!D47</f>
        <v/>
      </c>
      <c r="C169" s="65">
        <f>Started!AZ47</f>
        <v>0</v>
      </c>
      <c r="D169" s="65">
        <f>Started!BA47</f>
        <v>0</v>
      </c>
      <c r="E169" s="64">
        <f t="shared" si="12"/>
        <v>0</v>
      </c>
      <c r="F169" s="2" t="str">
        <f t="shared" si="13"/>
        <v/>
      </c>
    </row>
    <row r="170" spans="1:6" x14ac:dyDescent="0.25">
      <c r="A170" s="2">
        <f>Started!C48</f>
        <v>0</v>
      </c>
      <c r="B170" s="2" t="str">
        <f>Started!D48</f>
        <v/>
      </c>
      <c r="C170" s="65">
        <f>Started!AZ48</f>
        <v>0</v>
      </c>
      <c r="D170" s="65">
        <f>Started!BA48</f>
        <v>0</v>
      </c>
      <c r="E170" s="64">
        <f t="shared" si="12"/>
        <v>0</v>
      </c>
      <c r="F170" s="2" t="str">
        <f t="shared" si="13"/>
        <v/>
      </c>
    </row>
    <row r="171" spans="1:6" x14ac:dyDescent="0.25">
      <c r="A171" s="2">
        <f>Started!C49</f>
        <v>0</v>
      </c>
      <c r="B171" s="2" t="str">
        <f>Started!D49</f>
        <v/>
      </c>
      <c r="C171" s="65">
        <f>Started!AZ49</f>
        <v>0</v>
      </c>
      <c r="D171" s="65">
        <f>Started!BA49</f>
        <v>0</v>
      </c>
      <c r="E171" s="64">
        <f t="shared" si="12"/>
        <v>0</v>
      </c>
      <c r="F171" s="2" t="str">
        <f t="shared" si="13"/>
        <v/>
      </c>
    </row>
    <row r="172" spans="1:6" x14ac:dyDescent="0.25">
      <c r="A172" s="2">
        <f>Started!C50</f>
        <v>0</v>
      </c>
      <c r="B172" s="2" t="str">
        <f>Started!D50</f>
        <v/>
      </c>
      <c r="C172" s="65">
        <f>Started!AZ50</f>
        <v>0</v>
      </c>
      <c r="D172" s="65">
        <f>Started!BA50</f>
        <v>0</v>
      </c>
      <c r="E172" s="64">
        <f t="shared" si="12"/>
        <v>0</v>
      </c>
      <c r="F172" s="2" t="str">
        <f t="shared" si="13"/>
        <v/>
      </c>
    </row>
    <row r="173" spans="1:6" x14ac:dyDescent="0.25">
      <c r="A173" s="2">
        <f>Started!C51</f>
        <v>0</v>
      </c>
      <c r="B173" s="2" t="str">
        <f>Started!D51</f>
        <v/>
      </c>
      <c r="C173" s="65">
        <f>Started!AZ51</f>
        <v>0</v>
      </c>
      <c r="D173" s="65">
        <f>Started!BA51</f>
        <v>0</v>
      </c>
      <c r="E173" s="64">
        <f t="shared" si="12"/>
        <v>0</v>
      </c>
      <c r="F173" s="2" t="str">
        <f t="shared" si="13"/>
        <v/>
      </c>
    </row>
    <row r="174" spans="1:6" x14ac:dyDescent="0.25">
      <c r="A174" s="2">
        <f>Started!C52</f>
        <v>0</v>
      </c>
      <c r="B174" s="2" t="str">
        <f>Started!D52</f>
        <v/>
      </c>
      <c r="C174" s="65">
        <f>Started!AZ52</f>
        <v>0</v>
      </c>
      <c r="D174" s="65">
        <f>Started!BA52</f>
        <v>0</v>
      </c>
      <c r="E174" s="64">
        <f t="shared" si="12"/>
        <v>0</v>
      </c>
      <c r="F174" s="2" t="str">
        <f t="shared" si="13"/>
        <v/>
      </c>
    </row>
    <row r="175" spans="1:6" x14ac:dyDescent="0.25">
      <c r="A175" s="2">
        <f>Started!C53</f>
        <v>0</v>
      </c>
      <c r="B175" s="2" t="str">
        <f>Started!D53</f>
        <v/>
      </c>
      <c r="C175" s="65">
        <f>Started!AZ53</f>
        <v>0</v>
      </c>
      <c r="D175" s="65">
        <f>Started!BA53</f>
        <v>0</v>
      </c>
      <c r="E175" s="64">
        <f t="shared" si="12"/>
        <v>0</v>
      </c>
      <c r="F175" s="2" t="str">
        <f t="shared" si="13"/>
        <v/>
      </c>
    </row>
    <row r="176" spans="1:6" x14ac:dyDescent="0.25">
      <c r="A176" s="2">
        <f>Started!C54</f>
        <v>0</v>
      </c>
      <c r="B176" s="2" t="str">
        <f>Started!D54</f>
        <v/>
      </c>
      <c r="C176" s="65">
        <f>Started!AZ54</f>
        <v>0</v>
      </c>
      <c r="D176" s="65">
        <f>Started!BA54</f>
        <v>0</v>
      </c>
      <c r="E176" s="64">
        <f t="shared" si="12"/>
        <v>0</v>
      </c>
      <c r="F176" s="2" t="str">
        <f t="shared" si="13"/>
        <v/>
      </c>
    </row>
    <row r="177" spans="1:6" x14ac:dyDescent="0.25">
      <c r="A177" s="2">
        <f>Started!C55</f>
        <v>0</v>
      </c>
      <c r="B177" s="2" t="str">
        <f>Started!D55</f>
        <v/>
      </c>
      <c r="C177" s="65">
        <f>Started!AZ55</f>
        <v>0</v>
      </c>
      <c r="D177" s="65">
        <f>Started!BA55</f>
        <v>0</v>
      </c>
      <c r="E177" s="64">
        <f t="shared" si="12"/>
        <v>0</v>
      </c>
      <c r="F177" s="2" t="str">
        <f t="shared" si="13"/>
        <v/>
      </c>
    </row>
    <row r="178" spans="1:6" x14ac:dyDescent="0.25">
      <c r="A178" s="2">
        <f>Started!C56</f>
        <v>0</v>
      </c>
      <c r="B178" s="2" t="str">
        <f>Started!D56</f>
        <v/>
      </c>
      <c r="C178" s="65">
        <f>Started!AZ56</f>
        <v>0</v>
      </c>
      <c r="D178" s="65">
        <f>Started!BA56</f>
        <v>0</v>
      </c>
      <c r="E178" s="64">
        <f t="shared" si="12"/>
        <v>0</v>
      </c>
      <c r="F178" s="2" t="str">
        <f t="shared" si="13"/>
        <v/>
      </c>
    </row>
    <row r="179" spans="1:6" x14ac:dyDescent="0.25">
      <c r="A179" s="2">
        <f>Started!C57</f>
        <v>0</v>
      </c>
      <c r="B179" s="2" t="str">
        <f>Started!D57</f>
        <v/>
      </c>
      <c r="C179" s="65">
        <f>Started!AZ57</f>
        <v>0</v>
      </c>
      <c r="D179" s="65">
        <f>Started!BA57</f>
        <v>0</v>
      </c>
      <c r="E179" s="64">
        <f t="shared" si="12"/>
        <v>0</v>
      </c>
      <c r="F179" s="2" t="str">
        <f t="shared" si="13"/>
        <v/>
      </c>
    </row>
    <row r="180" spans="1:6" x14ac:dyDescent="0.25">
      <c r="A180" s="2">
        <f>Started!C58</f>
        <v>0</v>
      </c>
      <c r="B180" s="2" t="str">
        <f>Started!D58</f>
        <v/>
      </c>
      <c r="C180" s="65">
        <f>Started!AZ58</f>
        <v>0</v>
      </c>
      <c r="D180" s="65">
        <f>Started!BA58</f>
        <v>0</v>
      </c>
      <c r="E180" s="64">
        <f t="shared" si="12"/>
        <v>0</v>
      </c>
      <c r="F180" s="2" t="str">
        <f t="shared" si="13"/>
        <v/>
      </c>
    </row>
    <row r="181" spans="1:6" x14ac:dyDescent="0.25">
      <c r="A181" s="2">
        <f>Started!C59</f>
        <v>0</v>
      </c>
      <c r="B181" s="2" t="str">
        <f>Started!D59</f>
        <v/>
      </c>
      <c r="C181" s="65">
        <f>Started!AZ59</f>
        <v>0</v>
      </c>
      <c r="D181" s="65">
        <f>Started!BA59</f>
        <v>0</v>
      </c>
      <c r="E181" s="64">
        <f t="shared" si="12"/>
        <v>0</v>
      </c>
      <c r="F181" s="2" t="str">
        <f t="shared" si="13"/>
        <v/>
      </c>
    </row>
    <row r="182" spans="1:6" x14ac:dyDescent="0.25">
      <c r="A182" s="2">
        <f>Started!C60</f>
        <v>0</v>
      </c>
      <c r="B182" s="2" t="str">
        <f>Started!D60</f>
        <v/>
      </c>
      <c r="C182" s="65">
        <f>Started!AZ60</f>
        <v>0</v>
      </c>
      <c r="D182" s="65">
        <f>Started!BA60</f>
        <v>0</v>
      </c>
      <c r="E182" s="64">
        <f t="shared" si="12"/>
        <v>0</v>
      </c>
      <c r="F182" s="2" t="str">
        <f t="shared" si="13"/>
        <v/>
      </c>
    </row>
    <row r="183" spans="1:6" x14ac:dyDescent="0.25">
      <c r="A183" s="2">
        <f>Started!C61</f>
        <v>0</v>
      </c>
      <c r="B183" s="2" t="str">
        <f>Started!D61</f>
        <v/>
      </c>
      <c r="C183" s="65">
        <f>Started!AZ61</f>
        <v>0</v>
      </c>
      <c r="D183" s="65">
        <f>Started!BA61</f>
        <v>0</v>
      </c>
      <c r="E183" s="64">
        <f t="shared" si="12"/>
        <v>0</v>
      </c>
      <c r="F183" s="2" t="str">
        <f t="shared" si="13"/>
        <v/>
      </c>
    </row>
    <row r="184" spans="1:6" x14ac:dyDescent="0.25">
      <c r="A184" s="2">
        <f>Started!C62</f>
        <v>0</v>
      </c>
      <c r="B184" s="2" t="str">
        <f>Started!D62</f>
        <v/>
      </c>
      <c r="C184" s="65">
        <f>Started!AZ62</f>
        <v>0</v>
      </c>
      <c r="D184" s="65">
        <f>Started!BA62</f>
        <v>0</v>
      </c>
      <c r="E184" s="64">
        <f t="shared" si="12"/>
        <v>0</v>
      </c>
      <c r="F184" s="2" t="str">
        <f t="shared" si="13"/>
        <v/>
      </c>
    </row>
    <row r="185" spans="1:6" x14ac:dyDescent="0.25">
      <c r="A185" s="2">
        <f>Started!C63</f>
        <v>0</v>
      </c>
      <c r="B185" s="2" t="str">
        <f>Started!D63</f>
        <v/>
      </c>
      <c r="C185" s="65">
        <f>Started!AZ63</f>
        <v>0</v>
      </c>
      <c r="D185" s="65">
        <f>Started!BA63</f>
        <v>0</v>
      </c>
      <c r="E185" s="64">
        <f t="shared" si="12"/>
        <v>0</v>
      </c>
      <c r="F185" s="2" t="str">
        <f t="shared" si="13"/>
        <v/>
      </c>
    </row>
    <row r="186" spans="1:6" x14ac:dyDescent="0.25">
      <c r="A186" s="2">
        <f>Started!C64</f>
        <v>0</v>
      </c>
      <c r="B186" s="2" t="str">
        <f>Started!D64</f>
        <v/>
      </c>
      <c r="C186" s="65">
        <f>Started!AZ64</f>
        <v>0</v>
      </c>
      <c r="D186" s="65">
        <f>Started!BA64</f>
        <v>0</v>
      </c>
      <c r="E186" s="64">
        <f t="shared" si="12"/>
        <v>0</v>
      </c>
      <c r="F186" s="2" t="str">
        <f t="shared" si="13"/>
        <v/>
      </c>
    </row>
    <row r="187" spans="1:6" x14ac:dyDescent="0.25">
      <c r="A187" s="2">
        <f>Started!C65</f>
        <v>0</v>
      </c>
      <c r="B187" s="2" t="str">
        <f>Started!D65</f>
        <v/>
      </c>
      <c r="C187" s="65">
        <f>Started!AZ65</f>
        <v>0</v>
      </c>
      <c r="D187" s="65">
        <f>Started!BA65</f>
        <v>0</v>
      </c>
      <c r="E187" s="64">
        <f t="shared" si="12"/>
        <v>0</v>
      </c>
      <c r="F187" s="2" t="str">
        <f t="shared" si="13"/>
        <v/>
      </c>
    </row>
    <row r="188" spans="1:6" x14ac:dyDescent="0.25">
      <c r="A188" s="2">
        <f>Started!C66</f>
        <v>0</v>
      </c>
      <c r="B188" s="2" t="str">
        <f>Started!D66</f>
        <v/>
      </c>
      <c r="C188" s="65">
        <f>Started!AZ66</f>
        <v>0</v>
      </c>
      <c r="D188" s="65">
        <f>Started!BA66</f>
        <v>0</v>
      </c>
      <c r="E188" s="64">
        <f t="shared" si="12"/>
        <v>0</v>
      </c>
      <c r="F188" s="2" t="str">
        <f t="shared" si="13"/>
        <v/>
      </c>
    </row>
    <row r="189" spans="1:6" x14ac:dyDescent="0.25">
      <c r="A189" s="2">
        <f>Started!C67</f>
        <v>0</v>
      </c>
      <c r="B189" s="2" t="str">
        <f>Started!D67</f>
        <v/>
      </c>
      <c r="C189" s="65">
        <f>Started!AZ67</f>
        <v>0</v>
      </c>
      <c r="D189" s="65">
        <f>Started!BA67</f>
        <v>0</v>
      </c>
      <c r="E189" s="64">
        <f t="shared" si="12"/>
        <v>0</v>
      </c>
      <c r="F189" s="2" t="str">
        <f t="shared" si="13"/>
        <v/>
      </c>
    </row>
    <row r="190" spans="1:6" x14ac:dyDescent="0.25">
      <c r="A190" s="2">
        <f>Started!C68</f>
        <v>0</v>
      </c>
      <c r="B190" s="2" t="str">
        <f>Started!D68</f>
        <v/>
      </c>
      <c r="C190" s="65">
        <f>Started!AZ68</f>
        <v>0</v>
      </c>
      <c r="D190" s="65">
        <f>Started!BA68</f>
        <v>0</v>
      </c>
      <c r="E190" s="64">
        <f t="shared" si="12"/>
        <v>0</v>
      </c>
      <c r="F190" s="2" t="str">
        <f t="shared" si="13"/>
        <v/>
      </c>
    </row>
    <row r="191" spans="1:6" x14ac:dyDescent="0.25">
      <c r="A191" s="2">
        <f>Started!C69</f>
        <v>0</v>
      </c>
      <c r="B191" s="2" t="str">
        <f>Started!D69</f>
        <v/>
      </c>
      <c r="C191" s="65">
        <f>Started!AZ69</f>
        <v>0</v>
      </c>
      <c r="D191" s="65">
        <f>Started!BA69</f>
        <v>0</v>
      </c>
      <c r="E191" s="64">
        <f t="shared" si="12"/>
        <v>0</v>
      </c>
      <c r="F191" s="2" t="str">
        <f t="shared" si="13"/>
        <v/>
      </c>
    </row>
    <row r="192" spans="1:6" x14ac:dyDescent="0.25">
      <c r="A192" s="2">
        <f>Started!C70</f>
        <v>0</v>
      </c>
      <c r="B192" s="2" t="str">
        <f>Started!D70</f>
        <v/>
      </c>
      <c r="C192" s="65">
        <f>Started!AZ70</f>
        <v>0</v>
      </c>
      <c r="D192" s="65">
        <f>Started!BA70</f>
        <v>0</v>
      </c>
      <c r="E192" s="64">
        <f t="shared" si="12"/>
        <v>0</v>
      </c>
      <c r="F192" s="2" t="str">
        <f t="shared" si="13"/>
        <v/>
      </c>
    </row>
    <row r="193" spans="1:6" x14ac:dyDescent="0.25">
      <c r="A193" s="2">
        <f>Started!C71</f>
        <v>0</v>
      </c>
      <c r="B193" s="2" t="str">
        <f>Started!D71</f>
        <v/>
      </c>
      <c r="C193" s="65">
        <f>Started!AZ71</f>
        <v>0</v>
      </c>
      <c r="D193" s="65">
        <f>Started!BA71</f>
        <v>0</v>
      </c>
      <c r="E193" s="64">
        <f t="shared" si="12"/>
        <v>0</v>
      </c>
      <c r="F193" s="2" t="str">
        <f t="shared" si="13"/>
        <v/>
      </c>
    </row>
    <row r="194" spans="1:6" x14ac:dyDescent="0.25">
      <c r="A194" s="2">
        <f>Started!C72</f>
        <v>0</v>
      </c>
      <c r="B194" s="2" t="str">
        <f>Started!D72</f>
        <v/>
      </c>
      <c r="C194" s="65">
        <f>Started!AZ72</f>
        <v>0</v>
      </c>
      <c r="D194" s="65">
        <f>Started!BA72</f>
        <v>0</v>
      </c>
      <c r="E194" s="64">
        <f t="shared" si="12"/>
        <v>0</v>
      </c>
      <c r="F194" s="2" t="str">
        <f t="shared" si="13"/>
        <v/>
      </c>
    </row>
    <row r="195" spans="1:6" x14ac:dyDescent="0.25">
      <c r="A195" s="2">
        <f>Started!C73</f>
        <v>0</v>
      </c>
      <c r="B195" s="2" t="str">
        <f>Started!D73</f>
        <v/>
      </c>
      <c r="C195" s="65">
        <f>Started!AZ73</f>
        <v>0</v>
      </c>
      <c r="D195" s="65">
        <f>Started!BA73</f>
        <v>0</v>
      </c>
      <c r="E195" s="64">
        <f t="shared" si="12"/>
        <v>0</v>
      </c>
      <c r="F195" s="2" t="str">
        <f t="shared" si="13"/>
        <v/>
      </c>
    </row>
    <row r="196" spans="1:6" x14ac:dyDescent="0.25">
      <c r="A196" s="2">
        <f>Started!C74</f>
        <v>0</v>
      </c>
      <c r="B196" s="2" t="str">
        <f>Started!D74</f>
        <v/>
      </c>
      <c r="C196" s="65">
        <f>Started!AZ74</f>
        <v>0</v>
      </c>
      <c r="D196" s="65">
        <f>Started!BA74</f>
        <v>0</v>
      </c>
      <c r="E196" s="64">
        <f t="shared" si="12"/>
        <v>0</v>
      </c>
      <c r="F196" s="2" t="str">
        <f t="shared" si="13"/>
        <v/>
      </c>
    </row>
    <row r="197" spans="1:6" x14ac:dyDescent="0.25">
      <c r="A197" s="2">
        <f>Advanced!C65</f>
        <v>0</v>
      </c>
      <c r="B197" s="2" t="str">
        <f>Advanced!D65</f>
        <v/>
      </c>
      <c r="C197" s="65">
        <f>Advanced!AZ65</f>
        <v>0</v>
      </c>
      <c r="D197" s="65">
        <f>Advanced!BA65</f>
        <v>0</v>
      </c>
      <c r="E197" s="64">
        <f t="shared" si="12"/>
        <v>0</v>
      </c>
      <c r="F197" s="2" t="str">
        <f t="shared" si="13"/>
        <v/>
      </c>
    </row>
    <row r="198" spans="1:6" x14ac:dyDescent="0.25">
      <c r="A198" s="2">
        <f>Advanced!C66</f>
        <v>0</v>
      </c>
      <c r="B198" s="2" t="str">
        <f>Advanced!D66</f>
        <v/>
      </c>
      <c r="C198" s="65">
        <f>Advanced!AZ66</f>
        <v>0</v>
      </c>
      <c r="D198" s="65">
        <f>Advanced!BA66</f>
        <v>0</v>
      </c>
      <c r="E198" s="64">
        <f t="shared" ref="E198:E246" si="14">IF(C198=0,0,C198*100 + (1-D198))</f>
        <v>0</v>
      </c>
      <c r="F198" s="2" t="str">
        <f t="shared" ref="F198:F246" si="15">IF(E198=0,"",RANK(E198,$E$167:$E$326))</f>
        <v/>
      </c>
    </row>
    <row r="199" spans="1:6" x14ac:dyDescent="0.25">
      <c r="A199" s="2">
        <f>Advanced!C67</f>
        <v>0</v>
      </c>
      <c r="B199" s="2" t="str">
        <f>Advanced!D67</f>
        <v/>
      </c>
      <c r="C199" s="65">
        <f>Advanced!AZ67</f>
        <v>0</v>
      </c>
      <c r="D199" s="65">
        <f>Advanced!BA67</f>
        <v>0</v>
      </c>
      <c r="E199" s="64">
        <f t="shared" si="14"/>
        <v>0</v>
      </c>
      <c r="F199" s="2" t="str">
        <f t="shared" si="15"/>
        <v/>
      </c>
    </row>
    <row r="200" spans="1:6" x14ac:dyDescent="0.25">
      <c r="A200" s="2">
        <f>Advanced!C68</f>
        <v>0</v>
      </c>
      <c r="B200" s="2" t="str">
        <f>Advanced!D68</f>
        <v/>
      </c>
      <c r="C200" s="65">
        <f>Advanced!AZ68</f>
        <v>0</v>
      </c>
      <c r="D200" s="65">
        <f>Advanced!BA68</f>
        <v>0</v>
      </c>
      <c r="E200" s="64">
        <f t="shared" si="14"/>
        <v>0</v>
      </c>
      <c r="F200" s="2" t="str">
        <f t="shared" si="15"/>
        <v/>
      </c>
    </row>
    <row r="201" spans="1:6" x14ac:dyDescent="0.25">
      <c r="A201" s="2">
        <f>Advanced!C69</f>
        <v>0</v>
      </c>
      <c r="B201" s="2" t="str">
        <f>Advanced!D69</f>
        <v/>
      </c>
      <c r="C201" s="65">
        <f>Advanced!AZ69</f>
        <v>0</v>
      </c>
      <c r="D201" s="65">
        <f>Advanced!BA69</f>
        <v>0</v>
      </c>
      <c r="E201" s="64">
        <f t="shared" si="14"/>
        <v>0</v>
      </c>
      <c r="F201" s="2" t="str">
        <f t="shared" si="15"/>
        <v/>
      </c>
    </row>
    <row r="202" spans="1:6" x14ac:dyDescent="0.25">
      <c r="A202" s="2">
        <f>Advanced!C70</f>
        <v>0</v>
      </c>
      <c r="B202" s="2" t="str">
        <f>Advanced!D70</f>
        <v/>
      </c>
      <c r="C202" s="65">
        <f>Advanced!AZ70</f>
        <v>0</v>
      </c>
      <c r="D202" s="65">
        <f>Advanced!BA70</f>
        <v>0</v>
      </c>
      <c r="E202" s="64">
        <f t="shared" si="14"/>
        <v>0</v>
      </c>
      <c r="F202" s="2" t="str">
        <f t="shared" si="15"/>
        <v/>
      </c>
    </row>
    <row r="203" spans="1:6" x14ac:dyDescent="0.25">
      <c r="A203" s="2">
        <f>Advanced!C71</f>
        <v>0</v>
      </c>
      <c r="B203" s="2" t="str">
        <f>Advanced!D71</f>
        <v/>
      </c>
      <c r="C203" s="65">
        <f>Advanced!AZ71</f>
        <v>0</v>
      </c>
      <c r="D203" s="65">
        <f>Advanced!BA71</f>
        <v>0</v>
      </c>
      <c r="E203" s="64">
        <f t="shared" si="14"/>
        <v>0</v>
      </c>
      <c r="F203" s="2" t="str">
        <f t="shared" si="15"/>
        <v/>
      </c>
    </row>
    <row r="204" spans="1:6" x14ac:dyDescent="0.25">
      <c r="A204" s="2">
        <f>Advanced!C72</f>
        <v>0</v>
      </c>
      <c r="B204" s="2" t="str">
        <f>Advanced!D72</f>
        <v/>
      </c>
      <c r="C204" s="65">
        <f>Advanced!AZ72</f>
        <v>0</v>
      </c>
      <c r="D204" s="65">
        <f>Advanced!BA72</f>
        <v>0</v>
      </c>
      <c r="E204" s="64">
        <f t="shared" si="14"/>
        <v>0</v>
      </c>
      <c r="F204" s="2" t="str">
        <f t="shared" si="15"/>
        <v/>
      </c>
    </row>
    <row r="205" spans="1:6" x14ac:dyDescent="0.25">
      <c r="A205" s="2">
        <f>Advanced!C73</f>
        <v>0</v>
      </c>
      <c r="B205" s="2" t="str">
        <f>Advanced!D73</f>
        <v/>
      </c>
      <c r="C205" s="65">
        <f>Advanced!AZ73</f>
        <v>0</v>
      </c>
      <c r="D205" s="65">
        <f>Advanced!BA73</f>
        <v>0</v>
      </c>
      <c r="E205" s="64">
        <f t="shared" si="14"/>
        <v>0</v>
      </c>
      <c r="F205" s="2" t="str">
        <f t="shared" si="15"/>
        <v/>
      </c>
    </row>
    <row r="206" spans="1:6" x14ac:dyDescent="0.25">
      <c r="A206" s="2">
        <f>Advanced!C74</f>
        <v>0</v>
      </c>
      <c r="B206" s="2" t="str">
        <f>Advanced!D74</f>
        <v/>
      </c>
      <c r="C206" s="65">
        <f>Advanced!AZ74</f>
        <v>0</v>
      </c>
      <c r="D206" s="65">
        <f>Advanced!BA74</f>
        <v>0</v>
      </c>
      <c r="E206" s="64">
        <f t="shared" si="14"/>
        <v>0</v>
      </c>
      <c r="F206" s="2" t="str">
        <f t="shared" si="15"/>
        <v/>
      </c>
    </row>
    <row r="207" spans="1:6" x14ac:dyDescent="0.25">
      <c r="A207" s="2">
        <f>Advanced!C75</f>
        <v>0</v>
      </c>
      <c r="B207" s="2" t="str">
        <f>Advanced!D75</f>
        <v/>
      </c>
      <c r="C207" s="65">
        <f>Advanced!AZ75</f>
        <v>0</v>
      </c>
      <c r="D207" s="65">
        <f>Advanced!BA75</f>
        <v>0</v>
      </c>
      <c r="E207" s="64">
        <f t="shared" si="14"/>
        <v>0</v>
      </c>
      <c r="F207" s="2" t="str">
        <f t="shared" si="15"/>
        <v/>
      </c>
    </row>
    <row r="208" spans="1:6" x14ac:dyDescent="0.25">
      <c r="A208" s="2">
        <f>Advanced!C76</f>
        <v>0</v>
      </c>
      <c r="B208" s="2" t="str">
        <f>Advanced!D76</f>
        <v/>
      </c>
      <c r="C208" s="65">
        <f>Advanced!AZ76</f>
        <v>0</v>
      </c>
      <c r="D208" s="65">
        <f>Advanced!BA76</f>
        <v>0</v>
      </c>
      <c r="E208" s="64">
        <f t="shared" si="14"/>
        <v>0</v>
      </c>
      <c r="F208" s="2" t="str">
        <f t="shared" si="15"/>
        <v/>
      </c>
    </row>
    <row r="209" spans="1:6" x14ac:dyDescent="0.25">
      <c r="A209" s="2">
        <f>Advanced!C77</f>
        <v>0</v>
      </c>
      <c r="B209" s="2" t="str">
        <f>Advanced!D77</f>
        <v/>
      </c>
      <c r="C209" s="65">
        <f>Advanced!AZ77</f>
        <v>0</v>
      </c>
      <c r="D209" s="65">
        <f>Advanced!BA77</f>
        <v>0</v>
      </c>
      <c r="E209" s="64">
        <f t="shared" si="14"/>
        <v>0</v>
      </c>
      <c r="F209" s="2" t="str">
        <f t="shared" si="15"/>
        <v/>
      </c>
    </row>
    <row r="210" spans="1:6" x14ac:dyDescent="0.25">
      <c r="A210" s="2">
        <f>Advanced!C78</f>
        <v>0</v>
      </c>
      <c r="B210" s="2" t="str">
        <f>Advanced!D78</f>
        <v/>
      </c>
      <c r="C210" s="65">
        <f>Advanced!AZ78</f>
        <v>0</v>
      </c>
      <c r="D210" s="65">
        <f>Advanced!BA78</f>
        <v>0</v>
      </c>
      <c r="E210" s="64">
        <f t="shared" si="14"/>
        <v>0</v>
      </c>
      <c r="F210" s="2" t="str">
        <f t="shared" si="15"/>
        <v/>
      </c>
    </row>
    <row r="211" spans="1:6" x14ac:dyDescent="0.25">
      <c r="A211" s="2">
        <f>Advanced!C79</f>
        <v>0</v>
      </c>
      <c r="B211" s="2" t="str">
        <f>Advanced!D79</f>
        <v/>
      </c>
      <c r="C211" s="65">
        <f>Advanced!AZ79</f>
        <v>0</v>
      </c>
      <c r="D211" s="65">
        <f>Advanced!BA79</f>
        <v>0</v>
      </c>
      <c r="E211" s="64">
        <f t="shared" si="14"/>
        <v>0</v>
      </c>
      <c r="F211" s="2" t="str">
        <f t="shared" si="15"/>
        <v/>
      </c>
    </row>
    <row r="212" spans="1:6" x14ac:dyDescent="0.25">
      <c r="A212" s="2">
        <f>Advanced!C80</f>
        <v>0</v>
      </c>
      <c r="B212" s="2" t="str">
        <f>Advanced!D80</f>
        <v/>
      </c>
      <c r="C212" s="65">
        <f>Advanced!AZ80</f>
        <v>0</v>
      </c>
      <c r="D212" s="65">
        <f>Advanced!BA80</f>
        <v>0</v>
      </c>
      <c r="E212" s="64">
        <f t="shared" si="14"/>
        <v>0</v>
      </c>
      <c r="F212" s="2" t="str">
        <f t="shared" si="15"/>
        <v/>
      </c>
    </row>
    <row r="213" spans="1:6" x14ac:dyDescent="0.25">
      <c r="A213" s="2">
        <f>Advanced!C81</f>
        <v>0</v>
      </c>
      <c r="B213" s="2" t="str">
        <f>Advanced!D81</f>
        <v/>
      </c>
      <c r="C213" s="65">
        <f>Advanced!AZ81</f>
        <v>0</v>
      </c>
      <c r="D213" s="65">
        <f>Advanced!BA81</f>
        <v>0</v>
      </c>
      <c r="E213" s="64">
        <f t="shared" si="14"/>
        <v>0</v>
      </c>
      <c r="F213" s="2" t="str">
        <f t="shared" si="15"/>
        <v/>
      </c>
    </row>
    <row r="214" spans="1:6" x14ac:dyDescent="0.25">
      <c r="A214" s="2">
        <f>Advanced!C82</f>
        <v>0</v>
      </c>
      <c r="B214" s="2" t="str">
        <f>Advanced!D82</f>
        <v/>
      </c>
      <c r="C214" s="65">
        <f>Advanced!AZ82</f>
        <v>0</v>
      </c>
      <c r="D214" s="65">
        <f>Advanced!BA82</f>
        <v>0</v>
      </c>
      <c r="E214" s="64">
        <f t="shared" si="14"/>
        <v>0</v>
      </c>
      <c r="F214" s="2" t="str">
        <f t="shared" si="15"/>
        <v/>
      </c>
    </row>
    <row r="215" spans="1:6" x14ac:dyDescent="0.25">
      <c r="A215" s="2">
        <f>Advanced!C83</f>
        <v>0</v>
      </c>
      <c r="B215" s="2" t="str">
        <f>Advanced!D83</f>
        <v/>
      </c>
      <c r="C215" s="65">
        <f>Advanced!AZ83</f>
        <v>0</v>
      </c>
      <c r="D215" s="65">
        <f>Advanced!BA83</f>
        <v>0</v>
      </c>
      <c r="E215" s="64">
        <f t="shared" si="14"/>
        <v>0</v>
      </c>
      <c r="F215" s="2" t="str">
        <f t="shared" si="15"/>
        <v/>
      </c>
    </row>
    <row r="216" spans="1:6" x14ac:dyDescent="0.25">
      <c r="A216" s="2">
        <f>Advanced!C84</f>
        <v>0</v>
      </c>
      <c r="B216" s="2" t="str">
        <f>Advanced!D84</f>
        <v/>
      </c>
      <c r="C216" s="65">
        <f>Advanced!AZ84</f>
        <v>0</v>
      </c>
      <c r="D216" s="65">
        <f>Advanced!BA84</f>
        <v>0</v>
      </c>
      <c r="E216" s="64">
        <f t="shared" si="14"/>
        <v>0</v>
      </c>
      <c r="F216" s="2" t="str">
        <f t="shared" si="15"/>
        <v/>
      </c>
    </row>
    <row r="217" spans="1:6" x14ac:dyDescent="0.25">
      <c r="A217" s="2">
        <f>Advanced!C85</f>
        <v>0</v>
      </c>
      <c r="B217" s="2" t="str">
        <f>Advanced!D85</f>
        <v/>
      </c>
      <c r="C217" s="65">
        <f>Advanced!AZ85</f>
        <v>0</v>
      </c>
      <c r="D217" s="65">
        <f>Advanced!BA85</f>
        <v>0</v>
      </c>
      <c r="E217" s="64">
        <f t="shared" si="14"/>
        <v>0</v>
      </c>
      <c r="F217" s="2" t="str">
        <f t="shared" si="15"/>
        <v/>
      </c>
    </row>
    <row r="218" spans="1:6" x14ac:dyDescent="0.25">
      <c r="A218" s="2">
        <f>Advanced!C86</f>
        <v>0</v>
      </c>
      <c r="B218" s="2" t="str">
        <f>Advanced!D86</f>
        <v/>
      </c>
      <c r="C218" s="65">
        <f>Advanced!AZ86</f>
        <v>0</v>
      </c>
      <c r="D218" s="65">
        <f>Advanced!BA86</f>
        <v>0</v>
      </c>
      <c r="E218" s="64">
        <f t="shared" si="14"/>
        <v>0</v>
      </c>
      <c r="F218" s="2" t="str">
        <f t="shared" si="15"/>
        <v/>
      </c>
    </row>
    <row r="219" spans="1:6" x14ac:dyDescent="0.25">
      <c r="A219" s="2">
        <f>Advanced!C87</f>
        <v>0</v>
      </c>
      <c r="B219" s="2" t="str">
        <f>Advanced!D87</f>
        <v/>
      </c>
      <c r="C219" s="65">
        <f>Advanced!AZ87</f>
        <v>0</v>
      </c>
      <c r="D219" s="65">
        <f>Advanced!BA87</f>
        <v>0</v>
      </c>
      <c r="E219" s="64">
        <f t="shared" si="14"/>
        <v>0</v>
      </c>
      <c r="F219" s="2" t="str">
        <f t="shared" si="15"/>
        <v/>
      </c>
    </row>
    <row r="220" spans="1:6" x14ac:dyDescent="0.25">
      <c r="A220" s="2">
        <f>Advanced!C88</f>
        <v>0</v>
      </c>
      <c r="B220" s="2" t="str">
        <f>Advanced!D88</f>
        <v/>
      </c>
      <c r="C220" s="65">
        <f>Advanced!AZ88</f>
        <v>0</v>
      </c>
      <c r="D220" s="65">
        <f>Advanced!BA88</f>
        <v>0</v>
      </c>
      <c r="E220" s="64">
        <f t="shared" si="14"/>
        <v>0</v>
      </c>
      <c r="F220" s="2" t="str">
        <f t="shared" si="15"/>
        <v/>
      </c>
    </row>
    <row r="221" spans="1:6" x14ac:dyDescent="0.25">
      <c r="A221" s="2">
        <f>Advanced!C89</f>
        <v>0</v>
      </c>
      <c r="B221" s="2" t="str">
        <f>Advanced!D89</f>
        <v/>
      </c>
      <c r="C221" s="65">
        <f>Advanced!AZ89</f>
        <v>0</v>
      </c>
      <c r="D221" s="65">
        <f>Advanced!BA89</f>
        <v>0</v>
      </c>
      <c r="E221" s="64">
        <f t="shared" si="14"/>
        <v>0</v>
      </c>
      <c r="F221" s="2" t="str">
        <f t="shared" si="15"/>
        <v/>
      </c>
    </row>
    <row r="222" spans="1:6" x14ac:dyDescent="0.25">
      <c r="A222" s="2">
        <f>Advanced!C90</f>
        <v>0</v>
      </c>
      <c r="B222" s="2" t="str">
        <f>Advanced!D90</f>
        <v/>
      </c>
      <c r="C222" s="65">
        <f>Advanced!AZ90</f>
        <v>0</v>
      </c>
      <c r="D222" s="65">
        <f>Advanced!BA90</f>
        <v>0</v>
      </c>
      <c r="E222" s="64">
        <f t="shared" si="14"/>
        <v>0</v>
      </c>
      <c r="F222" s="2" t="str">
        <f t="shared" si="15"/>
        <v/>
      </c>
    </row>
    <row r="223" spans="1:6" x14ac:dyDescent="0.25">
      <c r="A223" s="2">
        <f>Advanced!C91</f>
        <v>0</v>
      </c>
      <c r="B223" s="2" t="str">
        <f>Advanced!D91</f>
        <v/>
      </c>
      <c r="C223" s="65">
        <f>Advanced!AZ91</f>
        <v>0</v>
      </c>
      <c r="D223" s="65">
        <f>Advanced!BA91</f>
        <v>0</v>
      </c>
      <c r="E223" s="64">
        <f t="shared" si="14"/>
        <v>0</v>
      </c>
      <c r="F223" s="2" t="str">
        <f t="shared" si="15"/>
        <v/>
      </c>
    </row>
    <row r="224" spans="1:6" x14ac:dyDescent="0.25">
      <c r="A224" s="2">
        <f>Advanced!C92</f>
        <v>0</v>
      </c>
      <c r="B224" s="2" t="str">
        <f>Advanced!D92</f>
        <v/>
      </c>
      <c r="C224" s="65">
        <f>Advanced!AZ92</f>
        <v>0</v>
      </c>
      <c r="D224" s="65">
        <f>Advanced!BA92</f>
        <v>0</v>
      </c>
      <c r="E224" s="64">
        <f t="shared" si="14"/>
        <v>0</v>
      </c>
      <c r="F224" s="2" t="str">
        <f t="shared" si="15"/>
        <v/>
      </c>
    </row>
    <row r="225" spans="1:6" x14ac:dyDescent="0.25">
      <c r="A225" s="2">
        <f>Advanced!C93</f>
        <v>0</v>
      </c>
      <c r="B225" s="2" t="str">
        <f>Advanced!D93</f>
        <v/>
      </c>
      <c r="C225" s="65">
        <f>Advanced!AZ93</f>
        <v>0</v>
      </c>
      <c r="D225" s="65">
        <f>Advanced!BA93</f>
        <v>0</v>
      </c>
      <c r="E225" s="64">
        <f t="shared" si="14"/>
        <v>0</v>
      </c>
      <c r="F225" s="2" t="str">
        <f t="shared" si="15"/>
        <v/>
      </c>
    </row>
    <row r="226" spans="1:6" x14ac:dyDescent="0.25">
      <c r="A226" s="2">
        <f>Advanced!C94</f>
        <v>0</v>
      </c>
      <c r="B226" s="2" t="str">
        <f>Advanced!D94</f>
        <v/>
      </c>
      <c r="C226" s="65">
        <f>Advanced!AZ94</f>
        <v>0</v>
      </c>
      <c r="D226" s="65">
        <f>Advanced!BA94</f>
        <v>0</v>
      </c>
      <c r="E226" s="64">
        <f t="shared" si="14"/>
        <v>0</v>
      </c>
      <c r="F226" s="2" t="str">
        <f t="shared" si="15"/>
        <v/>
      </c>
    </row>
    <row r="227" spans="1:6" x14ac:dyDescent="0.25">
      <c r="A227" s="2">
        <f>Advanced!C95</f>
        <v>0</v>
      </c>
      <c r="B227" s="2" t="str">
        <f>Advanced!D95</f>
        <v/>
      </c>
      <c r="C227" s="65">
        <f>Advanced!AZ95</f>
        <v>0</v>
      </c>
      <c r="D227" s="65">
        <f>Advanced!BA95</f>
        <v>0</v>
      </c>
      <c r="E227" s="64">
        <f t="shared" si="14"/>
        <v>0</v>
      </c>
      <c r="F227" s="2" t="str">
        <f t="shared" si="15"/>
        <v/>
      </c>
    </row>
    <row r="228" spans="1:6" x14ac:dyDescent="0.25">
      <c r="A228" s="2">
        <f>Advanced!C96</f>
        <v>0</v>
      </c>
      <c r="B228" s="2" t="str">
        <f>Advanced!D96</f>
        <v/>
      </c>
      <c r="C228" s="65">
        <f>Advanced!AZ96</f>
        <v>0</v>
      </c>
      <c r="D228" s="65">
        <f>Advanced!BA96</f>
        <v>0</v>
      </c>
      <c r="E228" s="64">
        <f t="shared" si="14"/>
        <v>0</v>
      </c>
      <c r="F228" s="2" t="str">
        <f t="shared" si="15"/>
        <v/>
      </c>
    </row>
    <row r="229" spans="1:6" x14ac:dyDescent="0.25">
      <c r="A229" s="2">
        <f>Advanced!C97</f>
        <v>0</v>
      </c>
      <c r="B229" s="2" t="str">
        <f>Advanced!D97</f>
        <v/>
      </c>
      <c r="C229" s="65">
        <f>Advanced!AZ97</f>
        <v>0</v>
      </c>
      <c r="D229" s="65">
        <f>Advanced!BA97</f>
        <v>0</v>
      </c>
      <c r="E229" s="64">
        <f t="shared" si="14"/>
        <v>0</v>
      </c>
      <c r="F229" s="2" t="str">
        <f t="shared" si="15"/>
        <v/>
      </c>
    </row>
    <row r="230" spans="1:6" x14ac:dyDescent="0.25">
      <c r="A230" s="2">
        <f>Advanced!C98</f>
        <v>0</v>
      </c>
      <c r="B230" s="2" t="str">
        <f>Advanced!D98</f>
        <v/>
      </c>
      <c r="C230" s="65">
        <f>Advanced!AZ98</f>
        <v>0</v>
      </c>
      <c r="D230" s="65">
        <f>Advanced!BA98</f>
        <v>0</v>
      </c>
      <c r="E230" s="64">
        <f t="shared" si="14"/>
        <v>0</v>
      </c>
      <c r="F230" s="2" t="str">
        <f t="shared" si="15"/>
        <v/>
      </c>
    </row>
    <row r="231" spans="1:6" x14ac:dyDescent="0.25">
      <c r="A231" s="2">
        <f>Advanced!C99</f>
        <v>0</v>
      </c>
      <c r="B231" s="2" t="str">
        <f>Advanced!D99</f>
        <v/>
      </c>
      <c r="C231" s="65">
        <f>Advanced!AZ99</f>
        <v>0</v>
      </c>
      <c r="D231" s="65">
        <f>Advanced!BA99</f>
        <v>0</v>
      </c>
      <c r="E231" s="64">
        <f t="shared" si="14"/>
        <v>0</v>
      </c>
      <c r="F231" s="2" t="str">
        <f t="shared" si="15"/>
        <v/>
      </c>
    </row>
    <row r="232" spans="1:6" x14ac:dyDescent="0.25">
      <c r="A232" s="2">
        <f>Advanced!C100</f>
        <v>0</v>
      </c>
      <c r="B232" s="2" t="str">
        <f>Advanced!D100</f>
        <v/>
      </c>
      <c r="C232" s="65">
        <f>Advanced!AZ100</f>
        <v>0</v>
      </c>
      <c r="D232" s="65">
        <f>Advanced!BA100</f>
        <v>0</v>
      </c>
      <c r="E232" s="64">
        <f t="shared" si="14"/>
        <v>0</v>
      </c>
      <c r="F232" s="2" t="str">
        <f t="shared" si="15"/>
        <v/>
      </c>
    </row>
    <row r="233" spans="1:6" x14ac:dyDescent="0.25">
      <c r="A233" s="2">
        <f>Advanced!C101</f>
        <v>0</v>
      </c>
      <c r="B233" s="2" t="str">
        <f>Advanced!D101</f>
        <v/>
      </c>
      <c r="C233" s="65">
        <f>Advanced!AZ101</f>
        <v>0</v>
      </c>
      <c r="D233" s="65">
        <f>Advanced!BA101</f>
        <v>0</v>
      </c>
      <c r="E233" s="64">
        <f t="shared" si="14"/>
        <v>0</v>
      </c>
      <c r="F233" s="2" t="str">
        <f t="shared" si="15"/>
        <v/>
      </c>
    </row>
    <row r="234" spans="1:6" x14ac:dyDescent="0.25">
      <c r="A234" s="2">
        <f>Advanced!C102</f>
        <v>0</v>
      </c>
      <c r="B234" s="2" t="str">
        <f>Advanced!D102</f>
        <v/>
      </c>
      <c r="C234" s="65">
        <f>Advanced!AZ102</f>
        <v>0</v>
      </c>
      <c r="D234" s="65">
        <f>Advanced!BA102</f>
        <v>0</v>
      </c>
      <c r="E234" s="64">
        <f t="shared" si="14"/>
        <v>0</v>
      </c>
      <c r="F234" s="2" t="str">
        <f t="shared" si="15"/>
        <v/>
      </c>
    </row>
    <row r="235" spans="1:6" x14ac:dyDescent="0.25">
      <c r="A235" s="2">
        <f>Advanced!C103</f>
        <v>0</v>
      </c>
      <c r="B235" s="2" t="str">
        <f>Advanced!D103</f>
        <v/>
      </c>
      <c r="C235" s="65">
        <f>Advanced!AZ103</f>
        <v>0</v>
      </c>
      <c r="D235" s="65">
        <f>Advanced!BA103</f>
        <v>0</v>
      </c>
      <c r="E235" s="64">
        <f t="shared" si="14"/>
        <v>0</v>
      </c>
      <c r="F235" s="2" t="str">
        <f t="shared" si="15"/>
        <v/>
      </c>
    </row>
    <row r="236" spans="1:6" x14ac:dyDescent="0.25">
      <c r="A236" s="2">
        <f>Advanced!C104</f>
        <v>0</v>
      </c>
      <c r="B236" s="2" t="str">
        <f>Advanced!D104</f>
        <v/>
      </c>
      <c r="C236" s="65">
        <f>Advanced!AZ104</f>
        <v>0</v>
      </c>
      <c r="D236" s="65">
        <f>Advanced!BA104</f>
        <v>0</v>
      </c>
      <c r="E236" s="64">
        <f t="shared" si="14"/>
        <v>0</v>
      </c>
      <c r="F236" s="2" t="str">
        <f t="shared" si="15"/>
        <v/>
      </c>
    </row>
    <row r="237" spans="1:6" x14ac:dyDescent="0.25">
      <c r="A237" s="2">
        <f>Advanced!C105</f>
        <v>0</v>
      </c>
      <c r="B237" s="2" t="str">
        <f>Advanced!D105</f>
        <v/>
      </c>
      <c r="C237" s="65">
        <f>Advanced!AZ105</f>
        <v>0</v>
      </c>
      <c r="D237" s="65">
        <f>Advanced!BA105</f>
        <v>0</v>
      </c>
      <c r="E237" s="64">
        <f t="shared" si="14"/>
        <v>0</v>
      </c>
      <c r="F237" s="2" t="str">
        <f t="shared" si="15"/>
        <v/>
      </c>
    </row>
    <row r="238" spans="1:6" x14ac:dyDescent="0.25">
      <c r="A238" s="2">
        <f>Advanced!C106</f>
        <v>0</v>
      </c>
      <c r="B238" s="2" t="str">
        <f>Advanced!D106</f>
        <v/>
      </c>
      <c r="C238" s="65">
        <f>Advanced!AZ106</f>
        <v>0</v>
      </c>
      <c r="D238" s="65">
        <f>Advanced!BA106</f>
        <v>0</v>
      </c>
      <c r="E238" s="64">
        <f t="shared" si="14"/>
        <v>0</v>
      </c>
      <c r="F238" s="2" t="str">
        <f t="shared" si="15"/>
        <v/>
      </c>
    </row>
    <row r="239" spans="1:6" x14ac:dyDescent="0.25">
      <c r="A239" s="2">
        <f>Advanced!C107</f>
        <v>0</v>
      </c>
      <c r="B239" s="2" t="str">
        <f>Advanced!D107</f>
        <v/>
      </c>
      <c r="C239" s="65">
        <f>Advanced!AZ107</f>
        <v>0</v>
      </c>
      <c r="D239" s="65">
        <f>Advanced!BA107</f>
        <v>0</v>
      </c>
      <c r="E239" s="64">
        <f t="shared" si="14"/>
        <v>0</v>
      </c>
      <c r="F239" s="2" t="str">
        <f t="shared" si="15"/>
        <v/>
      </c>
    </row>
    <row r="240" spans="1:6" x14ac:dyDescent="0.25">
      <c r="A240" s="2">
        <f>Advanced!C108</f>
        <v>0</v>
      </c>
      <c r="B240" s="2" t="str">
        <f>Advanced!D108</f>
        <v/>
      </c>
      <c r="C240" s="65">
        <f>Advanced!AZ108</f>
        <v>0</v>
      </c>
      <c r="D240" s="65">
        <f>Advanced!BA108</f>
        <v>0</v>
      </c>
      <c r="E240" s="64">
        <f t="shared" si="14"/>
        <v>0</v>
      </c>
      <c r="F240" s="2" t="str">
        <f t="shared" si="15"/>
        <v/>
      </c>
    </row>
    <row r="241" spans="1:6" x14ac:dyDescent="0.25">
      <c r="A241" s="2">
        <f>Advanced!C109</f>
        <v>0</v>
      </c>
      <c r="B241" s="2" t="str">
        <f>Advanced!D109</f>
        <v/>
      </c>
      <c r="C241" s="65">
        <f>Advanced!AZ109</f>
        <v>0</v>
      </c>
      <c r="D241" s="65">
        <f>Advanced!BA109</f>
        <v>0</v>
      </c>
      <c r="E241" s="64">
        <f t="shared" si="14"/>
        <v>0</v>
      </c>
      <c r="F241" s="2" t="str">
        <f t="shared" si="15"/>
        <v/>
      </c>
    </row>
    <row r="242" spans="1:6" x14ac:dyDescent="0.25">
      <c r="A242" s="2">
        <f>Advanced!C110</f>
        <v>0</v>
      </c>
      <c r="B242" s="2" t="str">
        <f>Advanced!D110</f>
        <v/>
      </c>
      <c r="C242" s="65">
        <f>Advanced!AZ110</f>
        <v>0</v>
      </c>
      <c r="D242" s="65">
        <f>Advanced!BA110</f>
        <v>0</v>
      </c>
      <c r="E242" s="64">
        <f t="shared" si="14"/>
        <v>0</v>
      </c>
      <c r="F242" s="2" t="str">
        <f t="shared" si="15"/>
        <v/>
      </c>
    </row>
    <row r="243" spans="1:6" x14ac:dyDescent="0.25">
      <c r="A243" s="2">
        <f>Advanced!C111</f>
        <v>0</v>
      </c>
      <c r="B243" s="2" t="str">
        <f>Advanced!D111</f>
        <v/>
      </c>
      <c r="C243" s="65">
        <f>Advanced!AZ111</f>
        <v>0</v>
      </c>
      <c r="D243" s="65">
        <f>Advanced!BA111</f>
        <v>0</v>
      </c>
      <c r="E243" s="64">
        <f t="shared" si="14"/>
        <v>0</v>
      </c>
      <c r="F243" s="2" t="str">
        <f t="shared" si="15"/>
        <v/>
      </c>
    </row>
    <row r="244" spans="1:6" x14ac:dyDescent="0.25">
      <c r="A244" s="2">
        <f>Advanced!C112</f>
        <v>0</v>
      </c>
      <c r="B244" s="2" t="str">
        <f>Advanced!D112</f>
        <v/>
      </c>
      <c r="C244" s="65">
        <f>Advanced!AZ112</f>
        <v>0</v>
      </c>
      <c r="D244" s="65">
        <f>Advanced!BA112</f>
        <v>0</v>
      </c>
      <c r="E244" s="64">
        <f t="shared" si="14"/>
        <v>0</v>
      </c>
      <c r="F244" s="2" t="str">
        <f t="shared" si="15"/>
        <v/>
      </c>
    </row>
    <row r="245" spans="1:6" x14ac:dyDescent="0.25">
      <c r="A245" s="2">
        <f>Advanced!C113</f>
        <v>0</v>
      </c>
      <c r="B245" s="2" t="str">
        <f>Advanced!D113</f>
        <v/>
      </c>
      <c r="C245" s="65">
        <f>Advanced!AZ113</f>
        <v>0</v>
      </c>
      <c r="D245" s="65">
        <f>Advanced!BA113</f>
        <v>0</v>
      </c>
      <c r="E245" s="64">
        <f t="shared" si="14"/>
        <v>0</v>
      </c>
      <c r="F245" s="2" t="str">
        <f t="shared" si="15"/>
        <v/>
      </c>
    </row>
    <row r="246" spans="1:6" x14ac:dyDescent="0.25">
      <c r="A246" s="2">
        <f>Advanced!C114</f>
        <v>0</v>
      </c>
      <c r="B246" s="2" t="str">
        <f>Advanced!D114</f>
        <v/>
      </c>
      <c r="C246" s="65">
        <f>Advanced!AZ114</f>
        <v>0</v>
      </c>
      <c r="D246" s="65">
        <f>Advanced!BA114</f>
        <v>0</v>
      </c>
      <c r="E246" s="64">
        <f t="shared" si="14"/>
        <v>0</v>
      </c>
      <c r="F246" s="2" t="str">
        <f t="shared" si="15"/>
        <v/>
      </c>
    </row>
    <row r="247" spans="1:6" x14ac:dyDescent="0.25">
      <c r="A247" s="2">
        <f>Excellent!C65</f>
        <v>0</v>
      </c>
      <c r="B247" s="2" t="str">
        <f>Excellent!D65</f>
        <v/>
      </c>
      <c r="C247" s="65">
        <f>Excellent!AZ65</f>
        <v>0</v>
      </c>
      <c r="D247" s="65">
        <f>Excellent!BA65</f>
        <v>0</v>
      </c>
      <c r="E247" s="64">
        <f t="shared" si="12"/>
        <v>0</v>
      </c>
      <c r="F247" s="2" t="str">
        <f t="shared" ref="F247:F270" si="16">IF(E247=0,"",RANK(E247,$E$167:$E$326))</f>
        <v/>
      </c>
    </row>
    <row r="248" spans="1:6" x14ac:dyDescent="0.25">
      <c r="A248" s="2">
        <f>Excellent!C66</f>
        <v>0</v>
      </c>
      <c r="B248" s="2" t="str">
        <f>Excellent!D66</f>
        <v/>
      </c>
      <c r="C248" s="65">
        <f>Excellent!AZ66</f>
        <v>0</v>
      </c>
      <c r="D248" s="65">
        <f>Excellent!BA66</f>
        <v>0</v>
      </c>
      <c r="E248" s="64">
        <f t="shared" ref="E248:E267" si="17">IF(C248=0,0,C248*100 + (1-D248))</f>
        <v>0</v>
      </c>
      <c r="F248" s="2" t="str">
        <f t="shared" ref="F248:F267" si="18">IF(E248=0,"",RANK(E248,$E$167:$E$326))</f>
        <v/>
      </c>
    </row>
    <row r="249" spans="1:6" x14ac:dyDescent="0.25">
      <c r="A249" s="2">
        <f>Excellent!C67</f>
        <v>0</v>
      </c>
      <c r="B249" s="2" t="str">
        <f>Excellent!D67</f>
        <v/>
      </c>
      <c r="C249" s="65">
        <f>Excellent!AZ67</f>
        <v>0</v>
      </c>
      <c r="D249" s="65">
        <f>Excellent!BA67</f>
        <v>0</v>
      </c>
      <c r="E249" s="64">
        <f t="shared" si="17"/>
        <v>0</v>
      </c>
      <c r="F249" s="2" t="str">
        <f t="shared" si="18"/>
        <v/>
      </c>
    </row>
    <row r="250" spans="1:6" x14ac:dyDescent="0.25">
      <c r="A250" s="2">
        <f>Excellent!C68</f>
        <v>0</v>
      </c>
      <c r="B250" s="2" t="str">
        <f>Excellent!D68</f>
        <v/>
      </c>
      <c r="C250" s="65">
        <f>Excellent!AZ68</f>
        <v>0</v>
      </c>
      <c r="D250" s="65">
        <f>Excellent!BA68</f>
        <v>0</v>
      </c>
      <c r="E250" s="64">
        <f t="shared" si="17"/>
        <v>0</v>
      </c>
      <c r="F250" s="2" t="str">
        <f t="shared" si="18"/>
        <v/>
      </c>
    </row>
    <row r="251" spans="1:6" x14ac:dyDescent="0.25">
      <c r="A251" s="2">
        <f>Excellent!C69</f>
        <v>0</v>
      </c>
      <c r="B251" s="2" t="str">
        <f>Excellent!D69</f>
        <v/>
      </c>
      <c r="C251" s="65">
        <f>Excellent!AZ69</f>
        <v>0</v>
      </c>
      <c r="D251" s="65">
        <f>Excellent!BA69</f>
        <v>0</v>
      </c>
      <c r="E251" s="64">
        <f t="shared" si="17"/>
        <v>0</v>
      </c>
      <c r="F251" s="2" t="str">
        <f t="shared" si="18"/>
        <v/>
      </c>
    </row>
    <row r="252" spans="1:6" x14ac:dyDescent="0.25">
      <c r="A252" s="2">
        <f>Excellent!C70</f>
        <v>0</v>
      </c>
      <c r="B252" s="2" t="str">
        <f>Excellent!D70</f>
        <v/>
      </c>
      <c r="C252" s="65">
        <f>Excellent!AZ70</f>
        <v>0</v>
      </c>
      <c r="D252" s="65">
        <f>Excellent!BA70</f>
        <v>0</v>
      </c>
      <c r="E252" s="64">
        <f t="shared" si="17"/>
        <v>0</v>
      </c>
      <c r="F252" s="2" t="str">
        <f t="shared" si="18"/>
        <v/>
      </c>
    </row>
    <row r="253" spans="1:6" x14ac:dyDescent="0.25">
      <c r="A253" s="2">
        <f>Excellent!C71</f>
        <v>0</v>
      </c>
      <c r="B253" s="2" t="str">
        <f>Excellent!D71</f>
        <v/>
      </c>
      <c r="C253" s="65">
        <f>Excellent!AZ71</f>
        <v>0</v>
      </c>
      <c r="D253" s="65">
        <f>Excellent!BA71</f>
        <v>0</v>
      </c>
      <c r="E253" s="64">
        <f t="shared" si="17"/>
        <v>0</v>
      </c>
      <c r="F253" s="2" t="str">
        <f t="shared" si="18"/>
        <v/>
      </c>
    </row>
    <row r="254" spans="1:6" x14ac:dyDescent="0.25">
      <c r="A254" s="2">
        <f>Excellent!C72</f>
        <v>0</v>
      </c>
      <c r="B254" s="2" t="str">
        <f>Excellent!D72</f>
        <v/>
      </c>
      <c r="C254" s="65">
        <f>Excellent!AZ72</f>
        <v>0</v>
      </c>
      <c r="D254" s="65">
        <f>Excellent!BA72</f>
        <v>0</v>
      </c>
      <c r="E254" s="64">
        <f t="shared" si="17"/>
        <v>0</v>
      </c>
      <c r="F254" s="2" t="str">
        <f t="shared" si="18"/>
        <v/>
      </c>
    </row>
    <row r="255" spans="1:6" x14ac:dyDescent="0.25">
      <c r="A255" s="2">
        <f>Excellent!C73</f>
        <v>0</v>
      </c>
      <c r="B255" s="2" t="str">
        <f>Excellent!D73</f>
        <v/>
      </c>
      <c r="C255" s="65">
        <f>Excellent!AZ73</f>
        <v>0</v>
      </c>
      <c r="D255" s="65">
        <f>Excellent!BA73</f>
        <v>0</v>
      </c>
      <c r="E255" s="64">
        <f t="shared" si="17"/>
        <v>0</v>
      </c>
      <c r="F255" s="2" t="str">
        <f t="shared" si="18"/>
        <v/>
      </c>
    </row>
    <row r="256" spans="1:6" x14ac:dyDescent="0.25">
      <c r="A256" s="2">
        <f>Excellent!C74</f>
        <v>0</v>
      </c>
      <c r="B256" s="2" t="str">
        <f>Excellent!D74</f>
        <v/>
      </c>
      <c r="C256" s="65">
        <f>Excellent!AZ74</f>
        <v>0</v>
      </c>
      <c r="D256" s="65">
        <f>Excellent!BA74</f>
        <v>0</v>
      </c>
      <c r="E256" s="64">
        <f t="shared" si="17"/>
        <v>0</v>
      </c>
      <c r="F256" s="2" t="str">
        <f t="shared" si="18"/>
        <v/>
      </c>
    </row>
    <row r="257" spans="1:6" x14ac:dyDescent="0.25">
      <c r="A257" s="2">
        <f>Excellent!C75</f>
        <v>0</v>
      </c>
      <c r="B257" s="2" t="str">
        <f>Excellent!D75</f>
        <v/>
      </c>
      <c r="C257" s="65">
        <f>Excellent!AZ75</f>
        <v>0</v>
      </c>
      <c r="D257" s="65">
        <f>Excellent!BA75</f>
        <v>0</v>
      </c>
      <c r="E257" s="64">
        <f t="shared" si="17"/>
        <v>0</v>
      </c>
      <c r="F257" s="2" t="str">
        <f t="shared" si="18"/>
        <v/>
      </c>
    </row>
    <row r="258" spans="1:6" x14ac:dyDescent="0.25">
      <c r="A258" s="2">
        <f>Excellent!C76</f>
        <v>0</v>
      </c>
      <c r="B258" s="2" t="str">
        <f>Excellent!D76</f>
        <v/>
      </c>
      <c r="C258" s="65">
        <f>Excellent!AZ76</f>
        <v>0</v>
      </c>
      <c r="D258" s="65">
        <f>Excellent!BA76</f>
        <v>0</v>
      </c>
      <c r="E258" s="64">
        <f t="shared" si="17"/>
        <v>0</v>
      </c>
      <c r="F258" s="2" t="str">
        <f t="shared" si="18"/>
        <v/>
      </c>
    </row>
    <row r="259" spans="1:6" x14ac:dyDescent="0.25">
      <c r="A259" s="2">
        <f>Excellent!C77</f>
        <v>0</v>
      </c>
      <c r="B259" s="2" t="str">
        <f>Excellent!D77</f>
        <v/>
      </c>
      <c r="C259" s="65">
        <f>Excellent!AZ77</f>
        <v>0</v>
      </c>
      <c r="D259" s="65">
        <f>Excellent!BA77</f>
        <v>0</v>
      </c>
      <c r="E259" s="64">
        <f t="shared" si="17"/>
        <v>0</v>
      </c>
      <c r="F259" s="2" t="str">
        <f t="shared" si="18"/>
        <v/>
      </c>
    </row>
    <row r="260" spans="1:6" x14ac:dyDescent="0.25">
      <c r="A260" s="2">
        <f>Excellent!C78</f>
        <v>0</v>
      </c>
      <c r="B260" s="2" t="str">
        <f>Excellent!D78</f>
        <v/>
      </c>
      <c r="C260" s="65">
        <f>Excellent!AZ78</f>
        <v>0</v>
      </c>
      <c r="D260" s="65">
        <f>Excellent!BA78</f>
        <v>0</v>
      </c>
      <c r="E260" s="64">
        <f t="shared" si="17"/>
        <v>0</v>
      </c>
      <c r="F260" s="2" t="str">
        <f t="shared" si="18"/>
        <v/>
      </c>
    </row>
    <row r="261" spans="1:6" x14ac:dyDescent="0.25">
      <c r="A261" s="2">
        <f>Excellent!C79</f>
        <v>0</v>
      </c>
      <c r="B261" s="2" t="str">
        <f>Excellent!D79</f>
        <v/>
      </c>
      <c r="C261" s="65">
        <f>Excellent!AZ79</f>
        <v>0</v>
      </c>
      <c r="D261" s="65">
        <f>Excellent!BA79</f>
        <v>0</v>
      </c>
      <c r="E261" s="64">
        <f t="shared" si="17"/>
        <v>0</v>
      </c>
      <c r="F261" s="2" t="str">
        <f t="shared" si="18"/>
        <v/>
      </c>
    </row>
    <row r="262" spans="1:6" x14ac:dyDescent="0.25">
      <c r="A262" s="2">
        <f>Excellent!C80</f>
        <v>0</v>
      </c>
      <c r="B262" s="2" t="str">
        <f>Excellent!D80</f>
        <v/>
      </c>
      <c r="C262" s="65">
        <f>Excellent!AZ80</f>
        <v>0</v>
      </c>
      <c r="D262" s="65">
        <f>Excellent!BA80</f>
        <v>0</v>
      </c>
      <c r="E262" s="64">
        <f t="shared" si="17"/>
        <v>0</v>
      </c>
      <c r="F262" s="2" t="str">
        <f t="shared" si="18"/>
        <v/>
      </c>
    </row>
    <row r="263" spans="1:6" x14ac:dyDescent="0.25">
      <c r="A263" s="2">
        <f>Excellent!C81</f>
        <v>0</v>
      </c>
      <c r="B263" s="2" t="str">
        <f>Excellent!D81</f>
        <v/>
      </c>
      <c r="C263" s="65">
        <f>Excellent!AZ81</f>
        <v>0</v>
      </c>
      <c r="D263" s="65">
        <f>Excellent!BA81</f>
        <v>0</v>
      </c>
      <c r="E263" s="64">
        <f t="shared" si="17"/>
        <v>0</v>
      </c>
      <c r="F263" s="2" t="str">
        <f t="shared" si="18"/>
        <v/>
      </c>
    </row>
    <row r="264" spans="1:6" x14ac:dyDescent="0.25">
      <c r="A264" s="2">
        <f>Excellent!C82</f>
        <v>0</v>
      </c>
      <c r="B264" s="2" t="str">
        <f>Excellent!D82</f>
        <v/>
      </c>
      <c r="C264" s="65">
        <f>Excellent!AZ82</f>
        <v>0</v>
      </c>
      <c r="D264" s="65">
        <f>Excellent!BA82</f>
        <v>0</v>
      </c>
      <c r="E264" s="64">
        <f t="shared" si="17"/>
        <v>0</v>
      </c>
      <c r="F264" s="2" t="str">
        <f t="shared" si="18"/>
        <v/>
      </c>
    </row>
    <row r="265" spans="1:6" x14ac:dyDescent="0.25">
      <c r="A265" s="2">
        <f>Excellent!C83</f>
        <v>0</v>
      </c>
      <c r="B265" s="2" t="str">
        <f>Excellent!D83</f>
        <v/>
      </c>
      <c r="C265" s="65">
        <f>Excellent!AZ83</f>
        <v>0</v>
      </c>
      <c r="D265" s="65">
        <f>Excellent!BA83</f>
        <v>0</v>
      </c>
      <c r="E265" s="64">
        <f t="shared" si="17"/>
        <v>0</v>
      </c>
      <c r="F265" s="2" t="str">
        <f t="shared" si="18"/>
        <v/>
      </c>
    </row>
    <row r="266" spans="1:6" x14ac:dyDescent="0.25">
      <c r="A266" s="2">
        <f>Excellent!C84</f>
        <v>0</v>
      </c>
      <c r="B266" s="2" t="str">
        <f>Excellent!D84</f>
        <v/>
      </c>
      <c r="C266" s="65">
        <f>Excellent!AZ84</f>
        <v>0</v>
      </c>
      <c r="D266" s="65">
        <f>Excellent!BA84</f>
        <v>0</v>
      </c>
      <c r="E266" s="64">
        <f t="shared" si="17"/>
        <v>0</v>
      </c>
      <c r="F266" s="2" t="str">
        <f t="shared" si="18"/>
        <v/>
      </c>
    </row>
    <row r="267" spans="1:6" x14ac:dyDescent="0.25">
      <c r="A267" s="2">
        <f>Excellent!C85</f>
        <v>0</v>
      </c>
      <c r="B267" s="2" t="str">
        <f>Excellent!D85</f>
        <v/>
      </c>
      <c r="C267" s="65">
        <f>Excellent!AZ85</f>
        <v>0</v>
      </c>
      <c r="D267" s="65">
        <f>Excellent!BA85</f>
        <v>0</v>
      </c>
      <c r="E267" s="64">
        <f t="shared" si="17"/>
        <v>0</v>
      </c>
      <c r="F267" s="2" t="str">
        <f t="shared" si="18"/>
        <v/>
      </c>
    </row>
    <row r="268" spans="1:6" x14ac:dyDescent="0.25">
      <c r="A268" s="2">
        <f>Excellent!C86</f>
        <v>0</v>
      </c>
      <c r="B268" s="2" t="str">
        <f>Excellent!D86</f>
        <v/>
      </c>
      <c r="C268" s="65">
        <f>Excellent!AZ86</f>
        <v>0</v>
      </c>
      <c r="D268" s="65">
        <f>Excellent!BA86</f>
        <v>0</v>
      </c>
      <c r="E268" s="64">
        <f t="shared" si="12"/>
        <v>0</v>
      </c>
      <c r="F268" s="2" t="str">
        <f t="shared" si="16"/>
        <v/>
      </c>
    </row>
    <row r="269" spans="1:6" x14ac:dyDescent="0.25">
      <c r="A269" s="2">
        <f>Excellent!C87</f>
        <v>0</v>
      </c>
      <c r="B269" s="2" t="str">
        <f>Excellent!D87</f>
        <v/>
      </c>
      <c r="C269" s="65">
        <f>Excellent!AZ87</f>
        <v>0</v>
      </c>
      <c r="D269" s="65">
        <f>Excellent!BA87</f>
        <v>0</v>
      </c>
      <c r="E269" s="64">
        <f t="shared" si="12"/>
        <v>0</v>
      </c>
      <c r="F269" s="2" t="str">
        <f t="shared" si="16"/>
        <v/>
      </c>
    </row>
    <row r="270" spans="1:6" x14ac:dyDescent="0.25">
      <c r="A270" s="2">
        <f>Excellent!C88</f>
        <v>0</v>
      </c>
      <c r="B270" s="2" t="str">
        <f>Excellent!D88</f>
        <v/>
      </c>
      <c r="C270" s="65">
        <f>Excellent!AZ88</f>
        <v>0</v>
      </c>
      <c r="D270" s="65">
        <f>Excellent!BA88</f>
        <v>0</v>
      </c>
      <c r="E270" s="64">
        <f t="shared" si="12"/>
        <v>0</v>
      </c>
      <c r="F270" s="2" t="str">
        <f t="shared" si="16"/>
        <v/>
      </c>
    </row>
    <row r="271" spans="1:6" x14ac:dyDescent="0.25">
      <c r="A271" s="2">
        <f>Excellent!C89</f>
        <v>0</v>
      </c>
      <c r="B271" s="2" t="str">
        <f>Excellent!D89</f>
        <v/>
      </c>
      <c r="C271" s="65">
        <f>Excellent!AZ89</f>
        <v>0</v>
      </c>
      <c r="D271" s="65">
        <f>Excellent!BA89</f>
        <v>0</v>
      </c>
      <c r="E271" s="64">
        <f t="shared" ref="E271:E297" si="19">IF(C271=0,0,C271*100 + (1-D271))</f>
        <v>0</v>
      </c>
      <c r="F271" s="2" t="str">
        <f t="shared" ref="F271:F297" si="20">IF(E271=0,"",RANK(E271,$E$167:$E$326))</f>
        <v/>
      </c>
    </row>
    <row r="272" spans="1:6" x14ac:dyDescent="0.25">
      <c r="A272" s="2">
        <f>Excellent!C90</f>
        <v>0</v>
      </c>
      <c r="B272" s="2" t="str">
        <f>Excellent!D90</f>
        <v/>
      </c>
      <c r="C272" s="65">
        <f>Excellent!AZ90</f>
        <v>0</v>
      </c>
      <c r="D272" s="65">
        <f>Excellent!BA90</f>
        <v>0</v>
      </c>
      <c r="E272" s="64">
        <f t="shared" si="19"/>
        <v>0</v>
      </c>
      <c r="F272" s="2" t="str">
        <f t="shared" si="20"/>
        <v/>
      </c>
    </row>
    <row r="273" spans="1:6" x14ac:dyDescent="0.25">
      <c r="A273" s="2">
        <f>Excellent!C91</f>
        <v>0</v>
      </c>
      <c r="B273" s="2" t="str">
        <f>Excellent!D91</f>
        <v/>
      </c>
      <c r="C273" s="65">
        <f>Excellent!AZ91</f>
        <v>0</v>
      </c>
      <c r="D273" s="65">
        <f>Excellent!BA91</f>
        <v>0</v>
      </c>
      <c r="E273" s="64">
        <f t="shared" si="19"/>
        <v>0</v>
      </c>
      <c r="F273" s="2" t="str">
        <f t="shared" si="20"/>
        <v/>
      </c>
    </row>
    <row r="274" spans="1:6" x14ac:dyDescent="0.25">
      <c r="A274" s="2">
        <f>Excellent!C92</f>
        <v>0</v>
      </c>
      <c r="B274" s="2" t="str">
        <f>Excellent!D92</f>
        <v/>
      </c>
      <c r="C274" s="65">
        <f>Excellent!AZ92</f>
        <v>0</v>
      </c>
      <c r="D274" s="65">
        <f>Excellent!BA92</f>
        <v>0</v>
      </c>
      <c r="E274" s="64">
        <f t="shared" si="19"/>
        <v>0</v>
      </c>
      <c r="F274" s="2" t="str">
        <f t="shared" si="20"/>
        <v/>
      </c>
    </row>
    <row r="275" spans="1:6" x14ac:dyDescent="0.25">
      <c r="A275" s="2">
        <f>Excellent!C93</f>
        <v>0</v>
      </c>
      <c r="B275" s="2" t="str">
        <f>Excellent!D93</f>
        <v/>
      </c>
      <c r="C275" s="65">
        <f>Excellent!AZ93</f>
        <v>0</v>
      </c>
      <c r="D275" s="65">
        <f>Excellent!BA93</f>
        <v>0</v>
      </c>
      <c r="E275" s="64">
        <f t="shared" si="19"/>
        <v>0</v>
      </c>
      <c r="F275" s="2" t="str">
        <f t="shared" si="20"/>
        <v/>
      </c>
    </row>
    <row r="276" spans="1:6" x14ac:dyDescent="0.25">
      <c r="A276" s="2">
        <f>Excellent!C94</f>
        <v>0</v>
      </c>
      <c r="B276" s="2" t="str">
        <f>Excellent!D94</f>
        <v/>
      </c>
      <c r="C276" s="65">
        <f>Excellent!AZ94</f>
        <v>0</v>
      </c>
      <c r="D276" s="65">
        <f>Excellent!BA94</f>
        <v>0</v>
      </c>
      <c r="E276" s="64">
        <f t="shared" si="19"/>
        <v>0</v>
      </c>
      <c r="F276" s="2" t="str">
        <f t="shared" si="20"/>
        <v/>
      </c>
    </row>
    <row r="277" spans="1:6" x14ac:dyDescent="0.25">
      <c r="A277" s="2">
        <f>Excellent!C95</f>
        <v>0</v>
      </c>
      <c r="B277" s="2" t="str">
        <f>Excellent!D95</f>
        <v/>
      </c>
      <c r="C277" s="65">
        <f>Excellent!AZ95</f>
        <v>0</v>
      </c>
      <c r="D277" s="65">
        <f>Excellent!BA95</f>
        <v>0</v>
      </c>
      <c r="E277" s="64">
        <f t="shared" si="19"/>
        <v>0</v>
      </c>
      <c r="F277" s="2" t="str">
        <f t="shared" si="20"/>
        <v/>
      </c>
    </row>
    <row r="278" spans="1:6" x14ac:dyDescent="0.25">
      <c r="A278" s="2">
        <f>Excellent!C96</f>
        <v>0</v>
      </c>
      <c r="B278" s="2" t="str">
        <f>Excellent!D96</f>
        <v/>
      </c>
      <c r="C278" s="65">
        <f>Excellent!AZ96</f>
        <v>0</v>
      </c>
      <c r="D278" s="65">
        <f>Excellent!BA96</f>
        <v>0</v>
      </c>
      <c r="E278" s="64">
        <f t="shared" si="19"/>
        <v>0</v>
      </c>
      <c r="F278" s="2" t="str">
        <f t="shared" si="20"/>
        <v/>
      </c>
    </row>
    <row r="279" spans="1:6" x14ac:dyDescent="0.25">
      <c r="A279" s="2">
        <f>Excellent!C97</f>
        <v>0</v>
      </c>
      <c r="B279" s="2" t="str">
        <f>Excellent!D97</f>
        <v/>
      </c>
      <c r="C279" s="65">
        <f>Excellent!AZ97</f>
        <v>0</v>
      </c>
      <c r="D279" s="65">
        <f>Excellent!BA97</f>
        <v>0</v>
      </c>
      <c r="E279" s="64">
        <f t="shared" si="19"/>
        <v>0</v>
      </c>
      <c r="F279" s="2" t="str">
        <f t="shared" si="20"/>
        <v/>
      </c>
    </row>
    <row r="280" spans="1:6" x14ac:dyDescent="0.25">
      <c r="A280" s="2">
        <f>Excellent!C98</f>
        <v>0</v>
      </c>
      <c r="B280" s="2" t="str">
        <f>Excellent!D98</f>
        <v/>
      </c>
      <c r="C280" s="65">
        <f>Excellent!AZ98</f>
        <v>0</v>
      </c>
      <c r="D280" s="65">
        <f>Excellent!BA98</f>
        <v>0</v>
      </c>
      <c r="E280" s="64">
        <f t="shared" si="19"/>
        <v>0</v>
      </c>
      <c r="F280" s="2" t="str">
        <f t="shared" si="20"/>
        <v/>
      </c>
    </row>
    <row r="281" spans="1:6" x14ac:dyDescent="0.25">
      <c r="A281" s="2">
        <f>Excellent!C99</f>
        <v>0</v>
      </c>
      <c r="B281" s="2" t="str">
        <f>Excellent!D99</f>
        <v/>
      </c>
      <c r="C281" s="65">
        <f>Excellent!AZ99</f>
        <v>0</v>
      </c>
      <c r="D281" s="65">
        <f>Excellent!BA99</f>
        <v>0</v>
      </c>
      <c r="E281" s="64">
        <f t="shared" si="19"/>
        <v>0</v>
      </c>
      <c r="F281" s="2" t="str">
        <f t="shared" si="20"/>
        <v/>
      </c>
    </row>
    <row r="282" spans="1:6" x14ac:dyDescent="0.25">
      <c r="A282" s="2">
        <f>Excellent!C100</f>
        <v>0</v>
      </c>
      <c r="B282" s="2" t="str">
        <f>Excellent!D100</f>
        <v/>
      </c>
      <c r="C282" s="65">
        <f>Excellent!AZ100</f>
        <v>0</v>
      </c>
      <c r="D282" s="65">
        <f>Excellent!BA100</f>
        <v>0</v>
      </c>
      <c r="E282" s="64">
        <f t="shared" si="19"/>
        <v>0</v>
      </c>
      <c r="F282" s="2" t="str">
        <f t="shared" si="20"/>
        <v/>
      </c>
    </row>
    <row r="283" spans="1:6" x14ac:dyDescent="0.25">
      <c r="A283" s="2">
        <f>Excellent!C101</f>
        <v>0</v>
      </c>
      <c r="B283" s="2" t="str">
        <f>Excellent!D101</f>
        <v/>
      </c>
      <c r="C283" s="65">
        <f>Excellent!AZ101</f>
        <v>0</v>
      </c>
      <c r="D283" s="65">
        <f>Excellent!BA101</f>
        <v>0</v>
      </c>
      <c r="E283" s="64">
        <f t="shared" si="19"/>
        <v>0</v>
      </c>
      <c r="F283" s="2" t="str">
        <f t="shared" si="20"/>
        <v/>
      </c>
    </row>
    <row r="284" spans="1:6" x14ac:dyDescent="0.25">
      <c r="A284" s="2">
        <f>Excellent!C102</f>
        <v>0</v>
      </c>
      <c r="B284" s="2" t="str">
        <f>Excellent!D102</f>
        <v/>
      </c>
      <c r="C284" s="65">
        <f>Excellent!AZ102</f>
        <v>0</v>
      </c>
      <c r="D284" s="65">
        <f>Excellent!BA102</f>
        <v>0</v>
      </c>
      <c r="E284" s="64">
        <f t="shared" si="19"/>
        <v>0</v>
      </c>
      <c r="F284" s="2" t="str">
        <f t="shared" si="20"/>
        <v/>
      </c>
    </row>
    <row r="285" spans="1:6" x14ac:dyDescent="0.25">
      <c r="A285" s="2">
        <f>Excellent!C103</f>
        <v>0</v>
      </c>
      <c r="B285" s="2" t="str">
        <f>Excellent!D103</f>
        <v/>
      </c>
      <c r="C285" s="65">
        <f>Excellent!AZ103</f>
        <v>0</v>
      </c>
      <c r="D285" s="65">
        <f>Excellent!BA103</f>
        <v>0</v>
      </c>
      <c r="E285" s="64">
        <f t="shared" si="19"/>
        <v>0</v>
      </c>
      <c r="F285" s="2" t="str">
        <f t="shared" si="20"/>
        <v/>
      </c>
    </row>
    <row r="286" spans="1:6" x14ac:dyDescent="0.25">
      <c r="A286" s="2">
        <f>Excellent!C104</f>
        <v>0</v>
      </c>
      <c r="B286" s="2" t="str">
        <f>Excellent!D104</f>
        <v/>
      </c>
      <c r="C286" s="65">
        <f>Excellent!AZ104</f>
        <v>0</v>
      </c>
      <c r="D286" s="65">
        <f>Excellent!BA104</f>
        <v>0</v>
      </c>
      <c r="E286" s="64">
        <f t="shared" si="19"/>
        <v>0</v>
      </c>
      <c r="F286" s="2" t="str">
        <f t="shared" si="20"/>
        <v/>
      </c>
    </row>
    <row r="287" spans="1:6" x14ac:dyDescent="0.25">
      <c r="A287" s="2">
        <f>Excellent!C105</f>
        <v>0</v>
      </c>
      <c r="B287" s="2" t="str">
        <f>Excellent!D105</f>
        <v/>
      </c>
      <c r="C287" s="65">
        <f>Excellent!AZ105</f>
        <v>0</v>
      </c>
      <c r="D287" s="65">
        <f>Excellent!BA105</f>
        <v>0</v>
      </c>
      <c r="E287" s="64">
        <f t="shared" si="19"/>
        <v>0</v>
      </c>
      <c r="F287" s="2" t="str">
        <f t="shared" si="20"/>
        <v/>
      </c>
    </row>
    <row r="288" spans="1:6" x14ac:dyDescent="0.25">
      <c r="A288" s="2">
        <f>Excellent!C106</f>
        <v>0</v>
      </c>
      <c r="B288" s="2" t="str">
        <f>Excellent!D106</f>
        <v/>
      </c>
      <c r="C288" s="65">
        <f>Excellent!AZ106</f>
        <v>0</v>
      </c>
      <c r="D288" s="65">
        <f>Excellent!BA106</f>
        <v>0</v>
      </c>
      <c r="E288" s="64">
        <f t="shared" si="19"/>
        <v>0</v>
      </c>
      <c r="F288" s="2" t="str">
        <f t="shared" si="20"/>
        <v/>
      </c>
    </row>
    <row r="289" spans="1:6" x14ac:dyDescent="0.25">
      <c r="A289" s="2">
        <f>Excellent!C107</f>
        <v>0</v>
      </c>
      <c r="B289" s="2" t="str">
        <f>Excellent!D107</f>
        <v/>
      </c>
      <c r="C289" s="65">
        <f>Excellent!AZ107</f>
        <v>0</v>
      </c>
      <c r="D289" s="65">
        <f>Excellent!BA107</f>
        <v>0</v>
      </c>
      <c r="E289" s="64">
        <f t="shared" si="19"/>
        <v>0</v>
      </c>
      <c r="F289" s="2" t="str">
        <f t="shared" si="20"/>
        <v/>
      </c>
    </row>
    <row r="290" spans="1:6" x14ac:dyDescent="0.25">
      <c r="A290" s="2">
        <f>Excellent!C108</f>
        <v>0</v>
      </c>
      <c r="B290" s="2" t="str">
        <f>Excellent!D108</f>
        <v/>
      </c>
      <c r="C290" s="65">
        <f>Excellent!AZ108</f>
        <v>0</v>
      </c>
      <c r="D290" s="65">
        <f>Excellent!BA108</f>
        <v>0</v>
      </c>
      <c r="E290" s="64">
        <f t="shared" si="19"/>
        <v>0</v>
      </c>
      <c r="F290" s="2" t="str">
        <f t="shared" si="20"/>
        <v/>
      </c>
    </row>
    <row r="291" spans="1:6" x14ac:dyDescent="0.25">
      <c r="A291" s="2">
        <f>Excellent!C109</f>
        <v>0</v>
      </c>
      <c r="B291" s="2" t="str">
        <f>Excellent!D109</f>
        <v/>
      </c>
      <c r="C291" s="65">
        <f>Excellent!AZ109</f>
        <v>0</v>
      </c>
      <c r="D291" s="65">
        <f>Excellent!BA109</f>
        <v>0</v>
      </c>
      <c r="E291" s="64">
        <f t="shared" si="19"/>
        <v>0</v>
      </c>
      <c r="F291" s="2" t="str">
        <f t="shared" si="20"/>
        <v/>
      </c>
    </row>
    <row r="292" spans="1:6" x14ac:dyDescent="0.25">
      <c r="A292" s="2">
        <f>Excellent!C110</f>
        <v>0</v>
      </c>
      <c r="B292" s="2" t="str">
        <f>Excellent!D110</f>
        <v/>
      </c>
      <c r="C292" s="65">
        <f>Excellent!AZ110</f>
        <v>0</v>
      </c>
      <c r="D292" s="65">
        <f>Excellent!BA110</f>
        <v>0</v>
      </c>
      <c r="E292" s="64">
        <f t="shared" si="19"/>
        <v>0</v>
      </c>
      <c r="F292" s="2" t="str">
        <f t="shared" si="20"/>
        <v/>
      </c>
    </row>
    <row r="293" spans="1:6" x14ac:dyDescent="0.25">
      <c r="A293" s="2">
        <f>Excellent!C111</f>
        <v>0</v>
      </c>
      <c r="B293" s="2" t="str">
        <f>Excellent!D111</f>
        <v/>
      </c>
      <c r="C293" s="65">
        <f>Excellent!AZ111</f>
        <v>0</v>
      </c>
      <c r="D293" s="65">
        <f>Excellent!BA111</f>
        <v>0</v>
      </c>
      <c r="E293" s="64">
        <f t="shared" si="19"/>
        <v>0</v>
      </c>
      <c r="F293" s="2" t="str">
        <f t="shared" si="20"/>
        <v/>
      </c>
    </row>
    <row r="294" spans="1:6" x14ac:dyDescent="0.25">
      <c r="A294" s="2">
        <f>Excellent!C112</f>
        <v>0</v>
      </c>
      <c r="B294" s="2" t="str">
        <f>Excellent!D112</f>
        <v/>
      </c>
      <c r="C294" s="65">
        <f>Excellent!AZ112</f>
        <v>0</v>
      </c>
      <c r="D294" s="65">
        <f>Excellent!BA112</f>
        <v>0</v>
      </c>
      <c r="E294" s="64">
        <f t="shared" si="19"/>
        <v>0</v>
      </c>
      <c r="F294" s="2" t="str">
        <f t="shared" si="20"/>
        <v/>
      </c>
    </row>
    <row r="295" spans="1:6" x14ac:dyDescent="0.25">
      <c r="A295" s="2">
        <f>Excellent!C113</f>
        <v>0</v>
      </c>
      <c r="B295" s="2" t="str">
        <f>Excellent!D113</f>
        <v/>
      </c>
      <c r="C295" s="65">
        <f>Excellent!AZ113</f>
        <v>0</v>
      </c>
      <c r="D295" s="65">
        <f>Excellent!BA113</f>
        <v>0</v>
      </c>
      <c r="E295" s="64">
        <f t="shared" si="19"/>
        <v>0</v>
      </c>
      <c r="F295" s="2" t="str">
        <f t="shared" si="20"/>
        <v/>
      </c>
    </row>
    <row r="296" spans="1:6" x14ac:dyDescent="0.25">
      <c r="A296" s="2">
        <f>Excellent!C114</f>
        <v>0</v>
      </c>
      <c r="B296" s="2" t="str">
        <f>Excellent!D114</f>
        <v/>
      </c>
      <c r="C296" s="65">
        <f>Excellent!AZ114</f>
        <v>0</v>
      </c>
      <c r="D296" s="65">
        <f>Excellent!BA114</f>
        <v>0</v>
      </c>
      <c r="E296" s="64">
        <f t="shared" si="19"/>
        <v>0</v>
      </c>
      <c r="F296" s="2" t="str">
        <f t="shared" si="20"/>
        <v/>
      </c>
    </row>
    <row r="297" spans="1:6" x14ac:dyDescent="0.25">
      <c r="A297" s="2">
        <f>Elite!C45</f>
        <v>0</v>
      </c>
      <c r="B297" s="2" t="str">
        <f>Elite!D45</f>
        <v/>
      </c>
      <c r="C297" s="134">
        <f>Elite!AY45</f>
        <v>0</v>
      </c>
      <c r="D297" s="134">
        <f>Elite!AZ45</f>
        <v>0</v>
      </c>
      <c r="E297" s="135">
        <f t="shared" si="19"/>
        <v>0</v>
      </c>
      <c r="F297" s="2" t="str">
        <f t="shared" si="20"/>
        <v/>
      </c>
    </row>
    <row r="298" spans="1:6" x14ac:dyDescent="0.25">
      <c r="A298" s="2">
        <f>Elite!C46</f>
        <v>0</v>
      </c>
      <c r="B298" s="2" t="str">
        <f>Elite!D46</f>
        <v/>
      </c>
      <c r="C298" s="134">
        <f>Elite!AY46</f>
        <v>0</v>
      </c>
      <c r="D298" s="134">
        <f>Elite!AZ46</f>
        <v>0</v>
      </c>
      <c r="E298" s="135">
        <f t="shared" ref="E298:E326" si="21">IF(C298=0,0,C298*100 + (1-D298))</f>
        <v>0</v>
      </c>
      <c r="F298" s="2" t="str">
        <f t="shared" ref="F298:F326" si="22">IF(E298=0,"",RANK(E298,$E$167:$E$326))</f>
        <v/>
      </c>
    </row>
    <row r="299" spans="1:6" x14ac:dyDescent="0.25">
      <c r="A299" s="2">
        <f>Elite!C47</f>
        <v>0</v>
      </c>
      <c r="B299" s="2" t="str">
        <f>Elite!D47</f>
        <v/>
      </c>
      <c r="C299" s="134">
        <f>Elite!AY47</f>
        <v>0</v>
      </c>
      <c r="D299" s="134">
        <f>Elite!AZ47</f>
        <v>0</v>
      </c>
      <c r="E299" s="135">
        <f t="shared" si="21"/>
        <v>0</v>
      </c>
      <c r="F299" s="2" t="str">
        <f t="shared" si="22"/>
        <v/>
      </c>
    </row>
    <row r="300" spans="1:6" x14ac:dyDescent="0.25">
      <c r="A300" s="2">
        <f>Elite!C48</f>
        <v>0</v>
      </c>
      <c r="B300" s="2" t="str">
        <f>Elite!D48</f>
        <v/>
      </c>
      <c r="C300" s="134">
        <f>Elite!AY48</f>
        <v>0</v>
      </c>
      <c r="D300" s="134">
        <f>Elite!AZ48</f>
        <v>0</v>
      </c>
      <c r="E300" s="135">
        <f t="shared" si="21"/>
        <v>0</v>
      </c>
      <c r="F300" s="2" t="str">
        <f t="shared" si="22"/>
        <v/>
      </c>
    </row>
    <row r="301" spans="1:6" x14ac:dyDescent="0.25">
      <c r="A301" s="2">
        <f>Elite!C49</f>
        <v>0</v>
      </c>
      <c r="B301" s="2" t="str">
        <f>Elite!D49</f>
        <v/>
      </c>
      <c r="C301" s="134">
        <f>Elite!AY49</f>
        <v>0</v>
      </c>
      <c r="D301" s="134">
        <f>Elite!AZ49</f>
        <v>0</v>
      </c>
      <c r="E301" s="135">
        <f t="shared" si="21"/>
        <v>0</v>
      </c>
      <c r="F301" s="2" t="str">
        <f t="shared" si="22"/>
        <v/>
      </c>
    </row>
    <row r="302" spans="1:6" x14ac:dyDescent="0.25">
      <c r="A302" s="2">
        <f>Elite!C50</f>
        <v>0</v>
      </c>
      <c r="B302" s="2" t="str">
        <f>Elite!D50</f>
        <v/>
      </c>
      <c r="C302" s="134">
        <f>Elite!AY50</f>
        <v>0</v>
      </c>
      <c r="D302" s="134">
        <f>Elite!AZ50</f>
        <v>0</v>
      </c>
      <c r="E302" s="135">
        <f t="shared" si="21"/>
        <v>0</v>
      </c>
      <c r="F302" s="2" t="str">
        <f t="shared" si="22"/>
        <v/>
      </c>
    </row>
    <row r="303" spans="1:6" x14ac:dyDescent="0.25">
      <c r="A303" s="2">
        <f>Elite!C51</f>
        <v>0</v>
      </c>
      <c r="B303" s="2" t="str">
        <f>Elite!D51</f>
        <v/>
      </c>
      <c r="C303" s="134">
        <f>Elite!AY51</f>
        <v>0</v>
      </c>
      <c r="D303" s="134">
        <f>Elite!AZ51</f>
        <v>0</v>
      </c>
      <c r="E303" s="135">
        <f t="shared" si="21"/>
        <v>0</v>
      </c>
      <c r="F303" s="2" t="str">
        <f t="shared" si="22"/>
        <v/>
      </c>
    </row>
    <row r="304" spans="1:6" x14ac:dyDescent="0.25">
      <c r="A304" s="2">
        <f>Elite!C52</f>
        <v>0</v>
      </c>
      <c r="B304" s="2" t="str">
        <f>Elite!D52</f>
        <v/>
      </c>
      <c r="C304" s="134">
        <f>Elite!AY52</f>
        <v>0</v>
      </c>
      <c r="D304" s="134">
        <f>Elite!AZ52</f>
        <v>0</v>
      </c>
      <c r="E304" s="135">
        <f t="shared" si="21"/>
        <v>0</v>
      </c>
      <c r="F304" s="2" t="str">
        <f t="shared" si="22"/>
        <v/>
      </c>
    </row>
    <row r="305" spans="1:6" x14ac:dyDescent="0.25">
      <c r="A305" s="2">
        <f>Elite!C53</f>
        <v>0</v>
      </c>
      <c r="B305" s="2" t="str">
        <f>Elite!D53</f>
        <v/>
      </c>
      <c r="C305" s="134">
        <f>Elite!AY53</f>
        <v>0</v>
      </c>
      <c r="D305" s="134">
        <f>Elite!AZ53</f>
        <v>0</v>
      </c>
      <c r="E305" s="135">
        <f t="shared" si="21"/>
        <v>0</v>
      </c>
      <c r="F305" s="2" t="str">
        <f t="shared" si="22"/>
        <v/>
      </c>
    </row>
    <row r="306" spans="1:6" x14ac:dyDescent="0.25">
      <c r="A306" s="2">
        <f>Elite!C54</f>
        <v>0</v>
      </c>
      <c r="B306" s="2" t="str">
        <f>Elite!D54</f>
        <v/>
      </c>
      <c r="C306" s="134">
        <f>Elite!AY54</f>
        <v>0</v>
      </c>
      <c r="D306" s="134">
        <f>Elite!AZ54</f>
        <v>0</v>
      </c>
      <c r="E306" s="135">
        <f t="shared" si="21"/>
        <v>0</v>
      </c>
      <c r="F306" s="2" t="str">
        <f t="shared" si="22"/>
        <v/>
      </c>
    </row>
    <row r="307" spans="1:6" x14ac:dyDescent="0.25">
      <c r="A307" s="2">
        <f>Elite!C55</f>
        <v>0</v>
      </c>
      <c r="B307" s="2" t="str">
        <f>Elite!D55</f>
        <v/>
      </c>
      <c r="C307" s="134">
        <f>Elite!AY55</f>
        <v>0</v>
      </c>
      <c r="D307" s="134">
        <f>Elite!AZ55</f>
        <v>0</v>
      </c>
      <c r="E307" s="135">
        <f t="shared" si="21"/>
        <v>0</v>
      </c>
      <c r="F307" s="2" t="str">
        <f t="shared" si="22"/>
        <v/>
      </c>
    </row>
    <row r="308" spans="1:6" x14ac:dyDescent="0.25">
      <c r="A308" s="2">
        <f>Elite!C56</f>
        <v>0</v>
      </c>
      <c r="B308" s="2" t="str">
        <f>Elite!D56</f>
        <v/>
      </c>
      <c r="C308" s="134">
        <f>Elite!AY56</f>
        <v>0</v>
      </c>
      <c r="D308" s="134">
        <f>Elite!AZ56</f>
        <v>0</v>
      </c>
      <c r="E308" s="135">
        <f t="shared" si="21"/>
        <v>0</v>
      </c>
      <c r="F308" s="2" t="str">
        <f t="shared" si="22"/>
        <v/>
      </c>
    </row>
    <row r="309" spans="1:6" x14ac:dyDescent="0.25">
      <c r="A309" s="2">
        <f>Elite!C57</f>
        <v>0</v>
      </c>
      <c r="B309" s="2" t="str">
        <f>Elite!D57</f>
        <v/>
      </c>
      <c r="C309" s="134">
        <f>Elite!AY57</f>
        <v>0</v>
      </c>
      <c r="D309" s="134">
        <f>Elite!AZ57</f>
        <v>0</v>
      </c>
      <c r="E309" s="135">
        <f t="shared" si="21"/>
        <v>0</v>
      </c>
      <c r="F309" s="2" t="str">
        <f t="shared" si="22"/>
        <v/>
      </c>
    </row>
    <row r="310" spans="1:6" x14ac:dyDescent="0.25">
      <c r="A310" s="2">
        <f>Elite!C58</f>
        <v>0</v>
      </c>
      <c r="B310" s="2" t="str">
        <f>Elite!D58</f>
        <v/>
      </c>
      <c r="C310" s="134">
        <f>Elite!AY58</f>
        <v>0</v>
      </c>
      <c r="D310" s="134">
        <f>Elite!AZ58</f>
        <v>0</v>
      </c>
      <c r="E310" s="135">
        <f t="shared" si="21"/>
        <v>0</v>
      </c>
      <c r="F310" s="2" t="str">
        <f t="shared" si="22"/>
        <v/>
      </c>
    </row>
    <row r="311" spans="1:6" x14ac:dyDescent="0.25">
      <c r="A311" s="2">
        <f>Elite!C59</f>
        <v>0</v>
      </c>
      <c r="B311" s="2" t="str">
        <f>Elite!D59</f>
        <v/>
      </c>
      <c r="C311" s="134">
        <f>Elite!AY59</f>
        <v>0</v>
      </c>
      <c r="D311" s="134">
        <f>Elite!AZ59</f>
        <v>0</v>
      </c>
      <c r="E311" s="135">
        <f t="shared" si="21"/>
        <v>0</v>
      </c>
      <c r="F311" s="2" t="str">
        <f t="shared" si="22"/>
        <v/>
      </c>
    </row>
    <row r="312" spans="1:6" x14ac:dyDescent="0.25">
      <c r="A312" s="2">
        <f>Elite!C60</f>
        <v>0</v>
      </c>
      <c r="B312" s="2" t="str">
        <f>Elite!D60</f>
        <v/>
      </c>
      <c r="C312" s="134">
        <f>Elite!AY60</f>
        <v>0</v>
      </c>
      <c r="D312" s="134">
        <f>Elite!AZ60</f>
        <v>0</v>
      </c>
      <c r="E312" s="135">
        <f t="shared" si="21"/>
        <v>0</v>
      </c>
      <c r="F312" s="2" t="str">
        <f t="shared" si="22"/>
        <v/>
      </c>
    </row>
    <row r="313" spans="1:6" x14ac:dyDescent="0.25">
      <c r="A313" s="2">
        <f>Elite!C61</f>
        <v>0</v>
      </c>
      <c r="B313" s="2" t="str">
        <f>Elite!D61</f>
        <v/>
      </c>
      <c r="C313" s="134">
        <f>Elite!AY61</f>
        <v>0</v>
      </c>
      <c r="D313" s="134">
        <f>Elite!AZ61</f>
        <v>0</v>
      </c>
      <c r="E313" s="135">
        <f t="shared" si="21"/>
        <v>0</v>
      </c>
      <c r="F313" s="2" t="str">
        <f t="shared" si="22"/>
        <v/>
      </c>
    </row>
    <row r="314" spans="1:6" x14ac:dyDescent="0.25">
      <c r="A314" s="2">
        <f>Elite!C62</f>
        <v>0</v>
      </c>
      <c r="B314" s="2" t="str">
        <f>Elite!D62</f>
        <v/>
      </c>
      <c r="C314" s="134">
        <f>Elite!AY62</f>
        <v>0</v>
      </c>
      <c r="D314" s="134">
        <f>Elite!AZ62</f>
        <v>0</v>
      </c>
      <c r="E314" s="135">
        <f t="shared" si="21"/>
        <v>0</v>
      </c>
      <c r="F314" s="2" t="str">
        <f t="shared" si="22"/>
        <v/>
      </c>
    </row>
    <row r="315" spans="1:6" x14ac:dyDescent="0.25">
      <c r="A315" s="2">
        <f>Elite!C63</f>
        <v>0</v>
      </c>
      <c r="B315" s="2" t="str">
        <f>Elite!D63</f>
        <v/>
      </c>
      <c r="C315" s="134">
        <f>Elite!AY63</f>
        <v>0</v>
      </c>
      <c r="D315" s="134">
        <f>Elite!AZ63</f>
        <v>0</v>
      </c>
      <c r="E315" s="135">
        <f t="shared" si="21"/>
        <v>0</v>
      </c>
      <c r="F315" s="2" t="str">
        <f t="shared" si="22"/>
        <v/>
      </c>
    </row>
    <row r="316" spans="1:6" x14ac:dyDescent="0.25">
      <c r="A316" s="2">
        <f>Elite!C64</f>
        <v>0</v>
      </c>
      <c r="B316" s="2" t="str">
        <f>Elite!D64</f>
        <v/>
      </c>
      <c r="C316" s="134">
        <f>Elite!AY64</f>
        <v>0</v>
      </c>
      <c r="D316" s="134">
        <f>Elite!AZ64</f>
        <v>0</v>
      </c>
      <c r="E316" s="135">
        <f t="shared" si="21"/>
        <v>0</v>
      </c>
      <c r="F316" s="2" t="str">
        <f t="shared" si="22"/>
        <v/>
      </c>
    </row>
    <row r="317" spans="1:6" x14ac:dyDescent="0.25">
      <c r="A317" s="2">
        <f>Elite!C65</f>
        <v>0</v>
      </c>
      <c r="B317" s="2" t="str">
        <f>Elite!D65</f>
        <v/>
      </c>
      <c r="C317" s="134">
        <f>Elite!AY65</f>
        <v>0</v>
      </c>
      <c r="D317" s="134">
        <f>Elite!AZ65</f>
        <v>0</v>
      </c>
      <c r="E317" s="135">
        <f t="shared" si="21"/>
        <v>0</v>
      </c>
      <c r="F317" s="2" t="str">
        <f t="shared" si="22"/>
        <v/>
      </c>
    </row>
    <row r="318" spans="1:6" x14ac:dyDescent="0.25">
      <c r="A318" s="2">
        <f>Elite!C66</f>
        <v>0</v>
      </c>
      <c r="B318" s="2" t="str">
        <f>Elite!D66</f>
        <v/>
      </c>
      <c r="C318" s="134">
        <f>Elite!AY66</f>
        <v>0</v>
      </c>
      <c r="D318" s="134">
        <f>Elite!AZ66</f>
        <v>0</v>
      </c>
      <c r="E318" s="135">
        <f t="shared" si="21"/>
        <v>0</v>
      </c>
      <c r="F318" s="2" t="str">
        <f t="shared" si="22"/>
        <v/>
      </c>
    </row>
    <row r="319" spans="1:6" x14ac:dyDescent="0.25">
      <c r="A319" s="2">
        <f>Elite!C67</f>
        <v>0</v>
      </c>
      <c r="B319" s="2" t="str">
        <f>Elite!D67</f>
        <v/>
      </c>
      <c r="C319" s="134">
        <f>Elite!AY67</f>
        <v>0</v>
      </c>
      <c r="D319" s="134">
        <f>Elite!AZ67</f>
        <v>0</v>
      </c>
      <c r="E319" s="135">
        <f t="shared" si="21"/>
        <v>0</v>
      </c>
      <c r="F319" s="2" t="str">
        <f t="shared" si="22"/>
        <v/>
      </c>
    </row>
    <row r="320" spans="1:6" x14ac:dyDescent="0.25">
      <c r="A320" s="2">
        <f>Elite!C68</f>
        <v>0</v>
      </c>
      <c r="B320" s="2" t="str">
        <f>Elite!D68</f>
        <v/>
      </c>
      <c r="C320" s="134">
        <f>Elite!AY68</f>
        <v>0</v>
      </c>
      <c r="D320" s="134">
        <f>Elite!AZ68</f>
        <v>0</v>
      </c>
      <c r="E320" s="135">
        <f t="shared" si="21"/>
        <v>0</v>
      </c>
      <c r="F320" s="2" t="str">
        <f t="shared" si="22"/>
        <v/>
      </c>
    </row>
    <row r="321" spans="1:6" x14ac:dyDescent="0.25">
      <c r="A321" s="2">
        <f>Elite!C69</f>
        <v>0</v>
      </c>
      <c r="B321" s="2" t="str">
        <f>Elite!D69</f>
        <v/>
      </c>
      <c r="C321" s="134">
        <f>Elite!AY69</f>
        <v>0</v>
      </c>
      <c r="D321" s="134">
        <f>Elite!AZ69</f>
        <v>0</v>
      </c>
      <c r="E321" s="135">
        <f t="shared" si="21"/>
        <v>0</v>
      </c>
      <c r="F321" s="2" t="str">
        <f t="shared" si="22"/>
        <v/>
      </c>
    </row>
    <row r="322" spans="1:6" x14ac:dyDescent="0.25">
      <c r="A322" s="2">
        <f>Elite!C70</f>
        <v>0</v>
      </c>
      <c r="B322" s="2" t="str">
        <f>Elite!D70</f>
        <v/>
      </c>
      <c r="C322" s="134">
        <f>Elite!AY70</f>
        <v>0</v>
      </c>
      <c r="D322" s="134">
        <f>Elite!AZ70</f>
        <v>0</v>
      </c>
      <c r="E322" s="135">
        <f t="shared" si="21"/>
        <v>0</v>
      </c>
      <c r="F322" s="2" t="str">
        <f t="shared" si="22"/>
        <v/>
      </c>
    </row>
    <row r="323" spans="1:6" x14ac:dyDescent="0.25">
      <c r="A323" s="2">
        <f>Elite!C71</f>
        <v>0</v>
      </c>
      <c r="B323" s="2" t="str">
        <f>Elite!D71</f>
        <v/>
      </c>
      <c r="C323" s="134">
        <f>Elite!AY71</f>
        <v>0</v>
      </c>
      <c r="D323" s="134">
        <f>Elite!AZ71</f>
        <v>0</v>
      </c>
      <c r="E323" s="135">
        <f t="shared" si="21"/>
        <v>0</v>
      </c>
      <c r="F323" s="2" t="str">
        <f t="shared" si="22"/>
        <v/>
      </c>
    </row>
    <row r="324" spans="1:6" x14ac:dyDescent="0.25">
      <c r="A324" s="2">
        <f>Elite!C72</f>
        <v>0</v>
      </c>
      <c r="B324" s="2" t="str">
        <f>Elite!D72</f>
        <v/>
      </c>
      <c r="C324" s="134">
        <f>Elite!AY72</f>
        <v>0</v>
      </c>
      <c r="D324" s="134">
        <f>Elite!AZ72</f>
        <v>0</v>
      </c>
      <c r="E324" s="135">
        <f t="shared" si="21"/>
        <v>0</v>
      </c>
      <c r="F324" s="2" t="str">
        <f t="shared" si="22"/>
        <v/>
      </c>
    </row>
    <row r="325" spans="1:6" x14ac:dyDescent="0.25">
      <c r="A325" s="2">
        <f>Elite!C73</f>
        <v>0</v>
      </c>
      <c r="B325" s="2" t="str">
        <f>Elite!D73</f>
        <v/>
      </c>
      <c r="C325" s="134">
        <f>Elite!AY73</f>
        <v>0</v>
      </c>
      <c r="D325" s="134">
        <f>Elite!AZ73</f>
        <v>0</v>
      </c>
      <c r="E325" s="135">
        <f t="shared" si="21"/>
        <v>0</v>
      </c>
      <c r="F325" s="2" t="str">
        <f t="shared" si="22"/>
        <v/>
      </c>
    </row>
    <row r="326" spans="1:6" x14ac:dyDescent="0.25">
      <c r="A326" s="2">
        <f>Elite!C74</f>
        <v>0</v>
      </c>
      <c r="B326" s="2" t="str">
        <f>Elite!D74</f>
        <v/>
      </c>
      <c r="C326" s="134">
        <f>Elite!AY74</f>
        <v>0</v>
      </c>
      <c r="D326" s="134">
        <f>Elite!AZ74</f>
        <v>0</v>
      </c>
      <c r="E326" s="135">
        <f t="shared" si="21"/>
        <v>0</v>
      </c>
      <c r="F326" s="2" t="str">
        <f t="shared" si="22"/>
        <v/>
      </c>
    </row>
  </sheetData>
  <mergeCells count="2">
    <mergeCell ref="A1:F1"/>
    <mergeCell ref="A165:F165"/>
  </mergeCells>
  <pageMargins left="0.7" right="0.7" top="0.75" bottom="0.75" header="0.3" footer="0.3"/>
  <pageSetup orientation="portrait" verticalDpi="0" r:id="rId1"/>
  <rowBreaks count="1" manualBreakCount="1">
    <brk id="132" max="16383" man="1"/>
  </rowBreaks>
  <tableParts count="2"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71"/>
  <sheetViews>
    <sheetView topLeftCell="G1" workbookViewId="0">
      <selection activeCell="R6" sqref="R6"/>
    </sheetView>
  </sheetViews>
  <sheetFormatPr defaultColWidth="14" defaultRowHeight="15" x14ac:dyDescent="0.25"/>
  <cols>
    <col min="1" max="4" width="14" hidden="1" customWidth="1"/>
    <col min="5" max="5" width="14" style="52" hidden="1" customWidth="1"/>
    <col min="6" max="6" width="14" hidden="1" customWidth="1"/>
    <col min="7" max="7" width="17.28515625" customWidth="1"/>
    <col min="8" max="8" width="13.28515625" customWidth="1"/>
    <col min="9" max="9" width="12.7109375" customWidth="1"/>
    <col min="10" max="10" width="5.5703125" bestFit="1" customWidth="1"/>
    <col min="11" max="11" width="0" hidden="1" customWidth="1"/>
    <col min="12" max="15" width="14" hidden="1" customWidth="1"/>
    <col min="16" max="16" width="14" style="52" hidden="1" customWidth="1"/>
    <col min="17" max="17" width="14" customWidth="1"/>
    <col min="18" max="18" width="17.28515625" customWidth="1"/>
    <col min="19" max="19" width="13.28515625" customWidth="1"/>
    <col min="20" max="20" width="12.7109375" customWidth="1"/>
    <col min="21" max="21" width="5.5703125" bestFit="1" customWidth="1"/>
  </cols>
  <sheetData>
    <row r="1" spans="1:24" ht="19.5" thickBot="1" x14ac:dyDescent="0.35">
      <c r="A1" t="s">
        <v>33</v>
      </c>
      <c r="B1" t="s">
        <v>2</v>
      </c>
      <c r="C1" t="s">
        <v>1148</v>
      </c>
      <c r="D1" t="s">
        <v>1149</v>
      </c>
      <c r="E1" s="52" t="s">
        <v>1147</v>
      </c>
      <c r="G1" s="363" t="s">
        <v>1558</v>
      </c>
      <c r="H1" s="363"/>
      <c r="I1" s="363"/>
      <c r="J1" s="363"/>
      <c r="L1" t="s">
        <v>33</v>
      </c>
      <c r="M1" t="s">
        <v>2</v>
      </c>
      <c r="N1" t="s">
        <v>1148</v>
      </c>
      <c r="O1" t="s">
        <v>1149</v>
      </c>
      <c r="P1" s="52" t="s">
        <v>1147</v>
      </c>
      <c r="R1" s="363" t="s">
        <v>1559</v>
      </c>
      <c r="S1" s="363"/>
      <c r="T1" s="363"/>
      <c r="U1" s="363"/>
    </row>
    <row r="2" spans="1:24" ht="15" customHeight="1" x14ac:dyDescent="0.25">
      <c r="A2" t="s">
        <v>3</v>
      </c>
      <c r="B2" t="str">
        <f>Started!AU5</f>
        <v/>
      </c>
      <c r="C2">
        <f>Started!AV5</f>
        <v>0</v>
      </c>
      <c r="D2">
        <f>Started!AW5</f>
        <v>0</v>
      </c>
      <c r="E2" s="52">
        <f>Started!AX5</f>
        <v>0</v>
      </c>
      <c r="G2" s="53" t="s">
        <v>33</v>
      </c>
      <c r="H2" t="s">
        <v>3199</v>
      </c>
      <c r="L2" t="s">
        <v>3</v>
      </c>
      <c r="M2" t="str">
        <f>Started!AU45</f>
        <v/>
      </c>
      <c r="N2">
        <f>Started!AV45</f>
        <v>0</v>
      </c>
      <c r="O2">
        <f>Started!AW45</f>
        <v>0</v>
      </c>
      <c r="P2" s="52">
        <f>Started!AX45</f>
        <v>0</v>
      </c>
      <c r="R2" s="53" t="s">
        <v>33</v>
      </c>
      <c r="S2" t="s">
        <v>3199</v>
      </c>
      <c r="W2" s="410" t="s">
        <v>3200</v>
      </c>
      <c r="X2" s="411"/>
    </row>
    <row r="3" spans="1:24" x14ac:dyDescent="0.25">
      <c r="A3" t="s">
        <v>3</v>
      </c>
      <c r="B3" t="str">
        <f>Started!AU6</f>
        <v/>
      </c>
      <c r="C3">
        <f>Started!AV6</f>
        <v>0</v>
      </c>
      <c r="D3">
        <f>Started!AW6</f>
        <v>0</v>
      </c>
      <c r="E3" s="52">
        <f>Started!AX6</f>
        <v>0</v>
      </c>
      <c r="L3" t="s">
        <v>3</v>
      </c>
      <c r="M3" t="str">
        <f>Started!AU46</f>
        <v/>
      </c>
      <c r="N3">
        <f>Started!AV46</f>
        <v>0</v>
      </c>
      <c r="O3">
        <f>Started!AW46</f>
        <v>0</v>
      </c>
      <c r="P3" s="52">
        <f>Started!AX46</f>
        <v>0</v>
      </c>
      <c r="W3" s="412"/>
      <c r="X3" s="413"/>
    </row>
    <row r="4" spans="1:24" x14ac:dyDescent="0.25">
      <c r="A4" t="s">
        <v>3</v>
      </c>
      <c r="B4" t="str">
        <f>Started!AU7</f>
        <v/>
      </c>
      <c r="C4">
        <f>Started!AV7</f>
        <v>0</v>
      </c>
      <c r="D4">
        <f>Started!AW7</f>
        <v>0</v>
      </c>
      <c r="E4" s="52">
        <f>Started!AX7</f>
        <v>0</v>
      </c>
      <c r="G4" s="53" t="s">
        <v>1137</v>
      </c>
      <c r="H4" t="s">
        <v>1151</v>
      </c>
      <c r="I4" t="s">
        <v>1152</v>
      </c>
      <c r="J4" t="s">
        <v>1153</v>
      </c>
      <c r="L4" t="s">
        <v>3</v>
      </c>
      <c r="M4" t="str">
        <f>Started!AU47</f>
        <v/>
      </c>
      <c r="N4">
        <f>Started!AV47</f>
        <v>0</v>
      </c>
      <c r="O4">
        <f>Started!AW47</f>
        <v>0</v>
      </c>
      <c r="P4" s="52">
        <f>Started!AX47</f>
        <v>0</v>
      </c>
      <c r="R4" s="53" t="s">
        <v>1137</v>
      </c>
      <c r="S4" t="s">
        <v>1151</v>
      </c>
      <c r="T4" t="s">
        <v>1152</v>
      </c>
      <c r="U4" t="s">
        <v>1153</v>
      </c>
      <c r="W4" s="412"/>
      <c r="X4" s="413"/>
    </row>
    <row r="5" spans="1:24" x14ac:dyDescent="0.25">
      <c r="A5" t="s">
        <v>3</v>
      </c>
      <c r="B5" t="str">
        <f>Started!AU8</f>
        <v/>
      </c>
      <c r="C5">
        <f>Started!AV8</f>
        <v>0</v>
      </c>
      <c r="D5">
        <f>Started!AW8</f>
        <v>0</v>
      </c>
      <c r="E5" s="52">
        <f>Started!AX8</f>
        <v>0</v>
      </c>
      <c r="G5" s="54"/>
      <c r="H5" s="418">
        <v>0</v>
      </c>
      <c r="I5" s="418">
        <v>0</v>
      </c>
      <c r="J5" s="55">
        <v>0</v>
      </c>
      <c r="L5" t="s">
        <v>3</v>
      </c>
      <c r="M5" t="str">
        <f>Started!AU48</f>
        <v/>
      </c>
      <c r="N5">
        <f>Started!AV48</f>
        <v>0</v>
      </c>
      <c r="O5">
        <f>Started!AW48</f>
        <v>0</v>
      </c>
      <c r="P5" s="52">
        <f>Started!AX48</f>
        <v>0</v>
      </c>
      <c r="R5" s="54"/>
      <c r="S5" s="418">
        <v>0</v>
      </c>
      <c r="T5" s="418">
        <v>0</v>
      </c>
      <c r="U5" s="55">
        <v>0</v>
      </c>
      <c r="W5" s="412"/>
      <c r="X5" s="413"/>
    </row>
    <row r="6" spans="1:24" x14ac:dyDescent="0.25">
      <c r="A6" t="s">
        <v>3</v>
      </c>
      <c r="B6" t="str">
        <f>Started!AU9</f>
        <v/>
      </c>
      <c r="C6">
        <f>Started!AV9</f>
        <v>0</v>
      </c>
      <c r="D6">
        <f>Started!AW9</f>
        <v>0</v>
      </c>
      <c r="E6" s="52">
        <f>Started!AX9</f>
        <v>0</v>
      </c>
      <c r="G6" s="54" t="s">
        <v>1150</v>
      </c>
      <c r="H6" s="418">
        <v>0</v>
      </c>
      <c r="I6" s="418">
        <v>0</v>
      </c>
      <c r="J6" s="55">
        <v>0</v>
      </c>
      <c r="L6" t="s">
        <v>3</v>
      </c>
      <c r="M6" t="str">
        <f>Started!AU49</f>
        <v/>
      </c>
      <c r="N6">
        <f>Started!AV49</f>
        <v>0</v>
      </c>
      <c r="O6">
        <f>Started!AW49</f>
        <v>0</v>
      </c>
      <c r="P6" s="52">
        <f>Started!AX49</f>
        <v>0</v>
      </c>
      <c r="R6" s="54" t="s">
        <v>1150</v>
      </c>
      <c r="S6" s="418">
        <v>0</v>
      </c>
      <c r="T6" s="418">
        <v>0</v>
      </c>
      <c r="U6" s="55">
        <v>0</v>
      </c>
      <c r="W6" s="412"/>
      <c r="X6" s="413"/>
    </row>
    <row r="7" spans="1:24" x14ac:dyDescent="0.25">
      <c r="A7" t="s">
        <v>3</v>
      </c>
      <c r="B7" t="str">
        <f>Started!AU10</f>
        <v/>
      </c>
      <c r="C7">
        <f>Started!AV10</f>
        <v>0</v>
      </c>
      <c r="D7">
        <f>Started!AW10</f>
        <v>0</v>
      </c>
      <c r="E7" s="52">
        <f>Started!AX10</f>
        <v>0</v>
      </c>
      <c r="L7" t="s">
        <v>3</v>
      </c>
      <c r="M7" t="str">
        <f>Started!AU50</f>
        <v/>
      </c>
      <c r="N7">
        <f>Started!AV50</f>
        <v>0</v>
      </c>
      <c r="O7">
        <f>Started!AW50</f>
        <v>0</v>
      </c>
      <c r="P7" s="52">
        <f>Started!AX50</f>
        <v>0</v>
      </c>
      <c r="W7" s="412"/>
      <c r="X7" s="413"/>
    </row>
    <row r="8" spans="1:24" x14ac:dyDescent="0.25">
      <c r="A8" t="s">
        <v>3</v>
      </c>
      <c r="B8" t="str">
        <f>Started!AU11</f>
        <v/>
      </c>
      <c r="C8">
        <f>Started!AV11</f>
        <v>0</v>
      </c>
      <c r="D8">
        <f>Started!AW11</f>
        <v>0</v>
      </c>
      <c r="E8" s="52">
        <f>Started!AX11</f>
        <v>0</v>
      </c>
      <c r="L8" t="s">
        <v>3</v>
      </c>
      <c r="M8" t="str">
        <f>Started!AU51</f>
        <v/>
      </c>
      <c r="N8">
        <f>Started!AV51</f>
        <v>0</v>
      </c>
      <c r="O8">
        <f>Started!AW51</f>
        <v>0</v>
      </c>
      <c r="P8" s="52">
        <f>Started!AX51</f>
        <v>0</v>
      </c>
      <c r="W8" s="412"/>
      <c r="X8" s="413"/>
    </row>
    <row r="9" spans="1:24" x14ac:dyDescent="0.25">
      <c r="A9" t="s">
        <v>3</v>
      </c>
      <c r="B9" t="str">
        <f>Started!AU12</f>
        <v/>
      </c>
      <c r="C9">
        <f>Started!AV12</f>
        <v>0</v>
      </c>
      <c r="D9">
        <f>Started!AW12</f>
        <v>0</v>
      </c>
      <c r="E9" s="52">
        <f>Started!AX12</f>
        <v>0</v>
      </c>
      <c r="L9" t="s">
        <v>3</v>
      </c>
      <c r="M9" t="str">
        <f>Started!AU52</f>
        <v/>
      </c>
      <c r="N9">
        <f>Started!AV52</f>
        <v>0</v>
      </c>
      <c r="O9">
        <f>Started!AW52</f>
        <v>0</v>
      </c>
      <c r="P9" s="52">
        <f>Started!AX52</f>
        <v>0</v>
      </c>
      <c r="W9" s="412"/>
      <c r="X9" s="413"/>
    </row>
    <row r="10" spans="1:24" ht="15.75" thickBot="1" x14ac:dyDescent="0.3">
      <c r="A10" t="s">
        <v>3</v>
      </c>
      <c r="B10" t="str">
        <f>Started!AU13</f>
        <v/>
      </c>
      <c r="C10">
        <f>Started!AV13</f>
        <v>0</v>
      </c>
      <c r="D10">
        <f>Started!AW13</f>
        <v>0</v>
      </c>
      <c r="E10" s="52">
        <f>Started!AX13</f>
        <v>0</v>
      </c>
      <c r="L10" t="s">
        <v>3</v>
      </c>
      <c r="M10" t="str">
        <f>Started!AU53</f>
        <v/>
      </c>
      <c r="N10">
        <f>Started!AV53</f>
        <v>0</v>
      </c>
      <c r="O10">
        <f>Started!AW53</f>
        <v>0</v>
      </c>
      <c r="P10" s="52">
        <f>Started!AX53</f>
        <v>0</v>
      </c>
      <c r="W10" s="414"/>
      <c r="X10" s="415"/>
    </row>
    <row r="11" spans="1:24" x14ac:dyDescent="0.25">
      <c r="A11" t="s">
        <v>3</v>
      </c>
      <c r="B11" t="str">
        <f>Started!AU14</f>
        <v/>
      </c>
      <c r="C11">
        <f>Started!AV14</f>
        <v>0</v>
      </c>
      <c r="D11">
        <f>Started!AW14</f>
        <v>0</v>
      </c>
      <c r="E11" s="52">
        <f>Started!AX14</f>
        <v>0</v>
      </c>
      <c r="L11" t="s">
        <v>3</v>
      </c>
      <c r="M11" t="str">
        <f>Started!AU54</f>
        <v/>
      </c>
      <c r="N11">
        <f>Started!AV54</f>
        <v>0</v>
      </c>
      <c r="O11">
        <f>Started!AW54</f>
        <v>0</v>
      </c>
      <c r="P11" s="52">
        <f>Started!AX54</f>
        <v>0</v>
      </c>
      <c r="W11" s="23"/>
      <c r="X11" s="23"/>
    </row>
    <row r="12" spans="1:24" x14ac:dyDescent="0.25">
      <c r="A12" t="s">
        <v>3</v>
      </c>
      <c r="B12" t="str">
        <f>Started!AU15</f>
        <v/>
      </c>
      <c r="C12">
        <f>Started!AV15</f>
        <v>0</v>
      </c>
      <c r="D12">
        <f>Started!AW15</f>
        <v>0</v>
      </c>
      <c r="E12" s="52">
        <f>Started!AX15</f>
        <v>0</v>
      </c>
      <c r="L12" t="s">
        <v>3</v>
      </c>
      <c r="M12" t="str">
        <f>Started!AU55</f>
        <v/>
      </c>
      <c r="N12">
        <f>Started!AV55</f>
        <v>0</v>
      </c>
      <c r="O12">
        <f>Started!AW55</f>
        <v>0</v>
      </c>
      <c r="P12" s="52">
        <f>Started!AX55</f>
        <v>0</v>
      </c>
      <c r="W12" s="23"/>
      <c r="X12" s="23"/>
    </row>
    <row r="13" spans="1:24" x14ac:dyDescent="0.25">
      <c r="A13" t="s">
        <v>3</v>
      </c>
      <c r="B13" t="str">
        <f>Started!AU16</f>
        <v/>
      </c>
      <c r="C13">
        <f>Started!AV16</f>
        <v>0</v>
      </c>
      <c r="D13">
        <f>Started!AW16</f>
        <v>0</v>
      </c>
      <c r="E13" s="52">
        <f>Started!AX16</f>
        <v>0</v>
      </c>
      <c r="L13" t="s">
        <v>3</v>
      </c>
      <c r="M13" t="str">
        <f>Started!AU56</f>
        <v/>
      </c>
      <c r="N13">
        <f>Started!AV56</f>
        <v>0</v>
      </c>
      <c r="O13">
        <f>Started!AW56</f>
        <v>0</v>
      </c>
      <c r="P13" s="52">
        <f>Started!AX56</f>
        <v>0</v>
      </c>
      <c r="W13" s="23"/>
      <c r="X13" s="23"/>
    </row>
    <row r="14" spans="1:24" x14ac:dyDescent="0.25">
      <c r="A14" t="s">
        <v>3</v>
      </c>
      <c r="B14" t="str">
        <f>Started!AU17</f>
        <v/>
      </c>
      <c r="C14">
        <f>Started!AV17</f>
        <v>0</v>
      </c>
      <c r="D14">
        <f>Started!AW17</f>
        <v>0</v>
      </c>
      <c r="E14" s="52">
        <f>Started!AX17</f>
        <v>0</v>
      </c>
      <c r="L14" t="s">
        <v>3</v>
      </c>
      <c r="M14" t="str">
        <f>Started!AU57</f>
        <v/>
      </c>
      <c r="N14">
        <f>Started!AV57</f>
        <v>0</v>
      </c>
      <c r="O14">
        <f>Started!AW57</f>
        <v>0</v>
      </c>
      <c r="P14" s="52">
        <f>Started!AX57</f>
        <v>0</v>
      </c>
      <c r="W14" s="23"/>
      <c r="X14" s="23"/>
    </row>
    <row r="15" spans="1:24" x14ac:dyDescent="0.25">
      <c r="A15" t="s">
        <v>3</v>
      </c>
      <c r="B15" t="str">
        <f>Started!AU18</f>
        <v/>
      </c>
      <c r="C15">
        <f>Started!AV18</f>
        <v>0</v>
      </c>
      <c r="D15">
        <f>Started!AW18</f>
        <v>0</v>
      </c>
      <c r="E15" s="52">
        <f>Started!AX18</f>
        <v>0</v>
      </c>
      <c r="L15" t="s">
        <v>3</v>
      </c>
      <c r="M15" t="str">
        <f>Started!AU58</f>
        <v/>
      </c>
      <c r="N15">
        <f>Started!AV58</f>
        <v>0</v>
      </c>
      <c r="O15">
        <f>Started!AW58</f>
        <v>0</v>
      </c>
      <c r="P15" s="52">
        <f>Started!AX58</f>
        <v>0</v>
      </c>
      <c r="W15" s="23"/>
      <c r="X15" s="23"/>
    </row>
    <row r="16" spans="1:24" x14ac:dyDescent="0.25">
      <c r="A16" t="s">
        <v>3</v>
      </c>
      <c r="B16" t="str">
        <f>Started!AU19</f>
        <v/>
      </c>
      <c r="C16">
        <f>Started!AV19</f>
        <v>0</v>
      </c>
      <c r="D16">
        <f>Started!AW19</f>
        <v>0</v>
      </c>
      <c r="E16" s="52">
        <f>Started!AX19</f>
        <v>0</v>
      </c>
      <c r="L16" t="s">
        <v>3</v>
      </c>
      <c r="M16" t="str">
        <f>Started!AU59</f>
        <v/>
      </c>
      <c r="N16">
        <f>Started!AV59</f>
        <v>0</v>
      </c>
      <c r="O16">
        <f>Started!AW59</f>
        <v>0</v>
      </c>
      <c r="P16" s="52">
        <f>Started!AX59</f>
        <v>0</v>
      </c>
    </row>
    <row r="17" spans="1:16" x14ac:dyDescent="0.25">
      <c r="A17" t="s">
        <v>3</v>
      </c>
      <c r="B17" t="str">
        <f>Started!AU20</f>
        <v/>
      </c>
      <c r="C17">
        <f>Started!AV20</f>
        <v>0</v>
      </c>
      <c r="D17">
        <f>Started!AW20</f>
        <v>0</v>
      </c>
      <c r="E17" s="52">
        <f>Started!AX20</f>
        <v>0</v>
      </c>
      <c r="L17" t="s">
        <v>3</v>
      </c>
      <c r="M17" t="str">
        <f>Started!AU60</f>
        <v/>
      </c>
      <c r="N17">
        <f>Started!AV60</f>
        <v>0</v>
      </c>
      <c r="O17">
        <f>Started!AW60</f>
        <v>0</v>
      </c>
      <c r="P17" s="52">
        <f>Started!AX60</f>
        <v>0</v>
      </c>
    </row>
    <row r="18" spans="1:16" x14ac:dyDescent="0.25">
      <c r="A18" t="s">
        <v>3</v>
      </c>
      <c r="B18" t="str">
        <f>Started!AU21</f>
        <v/>
      </c>
      <c r="C18">
        <f>Started!AV21</f>
        <v>0</v>
      </c>
      <c r="D18">
        <f>Started!AW21</f>
        <v>0</v>
      </c>
      <c r="E18" s="52">
        <f>Started!AX21</f>
        <v>0</v>
      </c>
      <c r="L18" t="s">
        <v>3</v>
      </c>
      <c r="M18" t="str">
        <f>Started!AU61</f>
        <v/>
      </c>
      <c r="N18">
        <f>Started!AV61</f>
        <v>0</v>
      </c>
      <c r="O18">
        <f>Started!AW61</f>
        <v>0</v>
      </c>
      <c r="P18" s="52">
        <f>Started!AX61</f>
        <v>0</v>
      </c>
    </row>
    <row r="19" spans="1:16" x14ac:dyDescent="0.25">
      <c r="A19" t="s">
        <v>3</v>
      </c>
      <c r="B19" t="str">
        <f>Started!AU22</f>
        <v/>
      </c>
      <c r="C19">
        <f>Started!AV22</f>
        <v>0</v>
      </c>
      <c r="D19">
        <f>Started!AW22</f>
        <v>0</v>
      </c>
      <c r="E19" s="52">
        <f>Started!AX22</f>
        <v>0</v>
      </c>
      <c r="L19" t="s">
        <v>3</v>
      </c>
      <c r="M19" t="str">
        <f>Started!AU62</f>
        <v/>
      </c>
      <c r="N19">
        <f>Started!AV62</f>
        <v>0</v>
      </c>
      <c r="O19">
        <f>Started!AW62</f>
        <v>0</v>
      </c>
      <c r="P19" s="52">
        <f>Started!AX62</f>
        <v>0</v>
      </c>
    </row>
    <row r="20" spans="1:16" x14ac:dyDescent="0.25">
      <c r="A20" t="s">
        <v>3</v>
      </c>
      <c r="B20" t="str">
        <f>Started!AU23</f>
        <v/>
      </c>
      <c r="C20">
        <f>Started!AV23</f>
        <v>0</v>
      </c>
      <c r="D20">
        <f>Started!AW23</f>
        <v>0</v>
      </c>
      <c r="E20" s="52">
        <f>Started!AX23</f>
        <v>0</v>
      </c>
      <c r="L20" t="s">
        <v>3</v>
      </c>
      <c r="M20" t="str">
        <f>Started!AU63</f>
        <v/>
      </c>
      <c r="N20">
        <f>Started!AV63</f>
        <v>0</v>
      </c>
      <c r="O20">
        <f>Started!AW63</f>
        <v>0</v>
      </c>
      <c r="P20" s="52">
        <f>Started!AX63</f>
        <v>0</v>
      </c>
    </row>
    <row r="21" spans="1:16" x14ac:dyDescent="0.25">
      <c r="A21" t="s">
        <v>3</v>
      </c>
      <c r="B21" t="str">
        <f>Started!AU24</f>
        <v/>
      </c>
      <c r="C21">
        <f>Started!AV24</f>
        <v>0</v>
      </c>
      <c r="D21">
        <f>Started!AW24</f>
        <v>0</v>
      </c>
      <c r="E21" s="52">
        <f>Started!AX24</f>
        <v>0</v>
      </c>
      <c r="L21" t="s">
        <v>3</v>
      </c>
      <c r="M21" t="str">
        <f>Started!AU64</f>
        <v/>
      </c>
      <c r="N21">
        <f>Started!AV64</f>
        <v>0</v>
      </c>
      <c r="O21">
        <f>Started!AW64</f>
        <v>0</v>
      </c>
      <c r="P21" s="52">
        <f>Started!AX64</f>
        <v>0</v>
      </c>
    </row>
    <row r="22" spans="1:16" x14ac:dyDescent="0.25">
      <c r="A22" t="s">
        <v>3</v>
      </c>
      <c r="B22" t="str">
        <f>Started!AU25</f>
        <v/>
      </c>
      <c r="C22">
        <f>Started!AV25</f>
        <v>0</v>
      </c>
      <c r="D22">
        <f>Started!AW25</f>
        <v>0</v>
      </c>
      <c r="E22" s="52">
        <f>Started!AX25</f>
        <v>0</v>
      </c>
      <c r="L22" t="s">
        <v>3</v>
      </c>
      <c r="M22" t="str">
        <f>Started!AU65</f>
        <v/>
      </c>
      <c r="N22">
        <f>Started!AV65</f>
        <v>0</v>
      </c>
      <c r="O22">
        <f>Started!AW65</f>
        <v>0</v>
      </c>
      <c r="P22" s="52">
        <f>Started!AX65</f>
        <v>0</v>
      </c>
    </row>
    <row r="23" spans="1:16" x14ac:dyDescent="0.25">
      <c r="A23" t="s">
        <v>3</v>
      </c>
      <c r="B23" t="str">
        <f>Started!AU26</f>
        <v/>
      </c>
      <c r="C23">
        <f>Started!AV26</f>
        <v>0</v>
      </c>
      <c r="D23">
        <f>Started!AW26</f>
        <v>0</v>
      </c>
      <c r="E23" s="52">
        <f>Started!AX26</f>
        <v>0</v>
      </c>
      <c r="L23" t="s">
        <v>3</v>
      </c>
      <c r="M23" t="str">
        <f>Started!AU66</f>
        <v/>
      </c>
      <c r="N23">
        <f>Started!AV66</f>
        <v>0</v>
      </c>
      <c r="O23">
        <f>Started!AW66</f>
        <v>0</v>
      </c>
      <c r="P23" s="52">
        <f>Started!AX66</f>
        <v>0</v>
      </c>
    </row>
    <row r="24" spans="1:16" x14ac:dyDescent="0.25">
      <c r="A24" t="s">
        <v>3</v>
      </c>
      <c r="B24" t="str">
        <f>Started!AU27</f>
        <v/>
      </c>
      <c r="C24">
        <f>Started!AV27</f>
        <v>0</v>
      </c>
      <c r="D24">
        <f>Started!AW27</f>
        <v>0</v>
      </c>
      <c r="E24" s="52">
        <f>Started!AX27</f>
        <v>0</v>
      </c>
      <c r="L24" t="s">
        <v>3</v>
      </c>
      <c r="M24" t="str">
        <f>Started!AU67</f>
        <v/>
      </c>
      <c r="N24">
        <f>Started!AV67</f>
        <v>0</v>
      </c>
      <c r="O24">
        <f>Started!AW67</f>
        <v>0</v>
      </c>
      <c r="P24" s="52">
        <f>Started!AX67</f>
        <v>0</v>
      </c>
    </row>
    <row r="25" spans="1:16" x14ac:dyDescent="0.25">
      <c r="A25" t="s">
        <v>3</v>
      </c>
      <c r="B25" t="str">
        <f>Started!AU28</f>
        <v/>
      </c>
      <c r="C25">
        <f>Started!AV28</f>
        <v>0</v>
      </c>
      <c r="D25">
        <f>Started!AW28</f>
        <v>0</v>
      </c>
      <c r="E25" s="52">
        <f>Started!AX28</f>
        <v>0</v>
      </c>
      <c r="L25" t="s">
        <v>3</v>
      </c>
      <c r="M25" t="str">
        <f>Started!AU68</f>
        <v/>
      </c>
      <c r="N25">
        <f>Started!AV68</f>
        <v>0</v>
      </c>
      <c r="O25">
        <f>Started!AW68</f>
        <v>0</v>
      </c>
      <c r="P25" s="52">
        <f>Started!AX68</f>
        <v>0</v>
      </c>
    </row>
    <row r="26" spans="1:16" x14ac:dyDescent="0.25">
      <c r="A26" t="s">
        <v>3</v>
      </c>
      <c r="B26" t="str">
        <f>Started!AU29</f>
        <v/>
      </c>
      <c r="C26">
        <f>Started!AV29</f>
        <v>0</v>
      </c>
      <c r="D26">
        <f>Started!AW29</f>
        <v>0</v>
      </c>
      <c r="E26" s="52">
        <f>Started!AX29</f>
        <v>0</v>
      </c>
      <c r="L26" t="s">
        <v>3</v>
      </c>
      <c r="M26" t="str">
        <f>Started!AU69</f>
        <v/>
      </c>
      <c r="N26">
        <f>Started!AV69</f>
        <v>0</v>
      </c>
      <c r="O26">
        <f>Started!AW69</f>
        <v>0</v>
      </c>
      <c r="P26" s="52">
        <f>Started!AX69</f>
        <v>0</v>
      </c>
    </row>
    <row r="27" spans="1:16" x14ac:dyDescent="0.25">
      <c r="A27" t="s">
        <v>3</v>
      </c>
      <c r="B27" t="str">
        <f>Started!AU30</f>
        <v/>
      </c>
      <c r="C27">
        <f>Started!AV30</f>
        <v>0</v>
      </c>
      <c r="D27">
        <f>Started!AW30</f>
        <v>0</v>
      </c>
      <c r="E27" s="52">
        <f>Started!AX30</f>
        <v>0</v>
      </c>
      <c r="L27" t="s">
        <v>3</v>
      </c>
      <c r="M27" t="str">
        <f>Started!AU70</f>
        <v/>
      </c>
      <c r="N27">
        <f>Started!AV70</f>
        <v>0</v>
      </c>
      <c r="O27">
        <f>Started!AW70</f>
        <v>0</v>
      </c>
      <c r="P27" s="52">
        <f>Started!AX70</f>
        <v>0</v>
      </c>
    </row>
    <row r="28" spans="1:16" x14ac:dyDescent="0.25">
      <c r="A28" t="s">
        <v>3</v>
      </c>
      <c r="B28" t="str">
        <f>Started!AU31</f>
        <v/>
      </c>
      <c r="C28">
        <f>Started!AV31</f>
        <v>0</v>
      </c>
      <c r="D28">
        <f>Started!AW31</f>
        <v>0</v>
      </c>
      <c r="E28" s="52">
        <f>Started!AX31</f>
        <v>0</v>
      </c>
      <c r="L28" t="s">
        <v>3</v>
      </c>
      <c r="M28" t="str">
        <f>Started!AU71</f>
        <v/>
      </c>
      <c r="N28">
        <f>Started!AV71</f>
        <v>0</v>
      </c>
      <c r="O28">
        <f>Started!AW71</f>
        <v>0</v>
      </c>
      <c r="P28" s="52">
        <f>Started!AX71</f>
        <v>0</v>
      </c>
    </row>
    <row r="29" spans="1:16" x14ac:dyDescent="0.25">
      <c r="A29" t="s">
        <v>3</v>
      </c>
      <c r="B29" t="str">
        <f>Started!AU32</f>
        <v/>
      </c>
      <c r="C29">
        <f>Started!AV32</f>
        <v>0</v>
      </c>
      <c r="D29">
        <f>Started!AW32</f>
        <v>0</v>
      </c>
      <c r="E29" s="52">
        <f>Started!AX32</f>
        <v>0</v>
      </c>
      <c r="L29" t="s">
        <v>3</v>
      </c>
      <c r="M29" t="str">
        <f>Started!AU72</f>
        <v/>
      </c>
      <c r="N29">
        <f>Started!AV72</f>
        <v>0</v>
      </c>
      <c r="O29">
        <f>Started!AW72</f>
        <v>0</v>
      </c>
      <c r="P29" s="52">
        <f>Started!AX72</f>
        <v>0</v>
      </c>
    </row>
    <row r="30" spans="1:16" x14ac:dyDescent="0.25">
      <c r="A30" t="s">
        <v>3</v>
      </c>
      <c r="B30" t="str">
        <f>Started!AU33</f>
        <v/>
      </c>
      <c r="C30">
        <f>Started!AV33</f>
        <v>0</v>
      </c>
      <c r="D30">
        <f>Started!AW33</f>
        <v>0</v>
      </c>
      <c r="E30" s="52">
        <f>Started!AX33</f>
        <v>0</v>
      </c>
      <c r="L30" t="s">
        <v>3</v>
      </c>
      <c r="M30" t="str">
        <f>Started!AU73</f>
        <v/>
      </c>
      <c r="N30">
        <f>Started!AV73</f>
        <v>0</v>
      </c>
      <c r="O30">
        <f>Started!AW73</f>
        <v>0</v>
      </c>
      <c r="P30" s="52">
        <f>Started!AX73</f>
        <v>0</v>
      </c>
    </row>
    <row r="31" spans="1:16" x14ac:dyDescent="0.25">
      <c r="A31" t="s">
        <v>3</v>
      </c>
      <c r="B31" t="str">
        <f>Started!AU34</f>
        <v/>
      </c>
      <c r="C31">
        <f>Started!AV34</f>
        <v>0</v>
      </c>
      <c r="D31">
        <f>Started!AW34</f>
        <v>0</v>
      </c>
      <c r="E31" s="52">
        <f>Started!AX34</f>
        <v>0</v>
      </c>
      <c r="L31" t="s">
        <v>3</v>
      </c>
      <c r="M31" t="str">
        <f>Started!AU74</f>
        <v/>
      </c>
      <c r="N31">
        <f>Started!AV74</f>
        <v>0</v>
      </c>
      <c r="O31">
        <f>Started!AW74</f>
        <v>0</v>
      </c>
      <c r="P31" s="52">
        <f>Started!AX74</f>
        <v>0</v>
      </c>
    </row>
    <row r="32" spans="1:16" x14ac:dyDescent="0.25">
      <c r="A32" t="s">
        <v>4</v>
      </c>
      <c r="B32" t="str">
        <f>Advanced!AU5</f>
        <v/>
      </c>
      <c r="C32">
        <f>Advanced!AV5</f>
        <v>0</v>
      </c>
      <c r="D32">
        <f>Advanced!AW5</f>
        <v>0</v>
      </c>
      <c r="E32" s="52">
        <f>Advanced!AX5</f>
        <v>0</v>
      </c>
      <c r="L32" t="s">
        <v>4</v>
      </c>
      <c r="M32" t="str">
        <f>Advanced!AU65</f>
        <v/>
      </c>
      <c r="N32">
        <f>Advanced!AV65</f>
        <v>0</v>
      </c>
      <c r="O32">
        <f>Advanced!AW65</f>
        <v>0</v>
      </c>
      <c r="P32" s="52">
        <f>Advanced!AX65</f>
        <v>0</v>
      </c>
    </row>
    <row r="33" spans="1:16" x14ac:dyDescent="0.25">
      <c r="A33" t="s">
        <v>4</v>
      </c>
      <c r="B33" t="str">
        <f>Advanced!AU26</f>
        <v/>
      </c>
      <c r="C33">
        <f>Advanced!AV26</f>
        <v>0</v>
      </c>
      <c r="D33">
        <f>Advanced!AW26</f>
        <v>0</v>
      </c>
      <c r="E33" s="52">
        <f>Advanced!AX26</f>
        <v>0</v>
      </c>
      <c r="L33" t="s">
        <v>4</v>
      </c>
      <c r="M33" t="str">
        <f>Advanced!AU86</f>
        <v/>
      </c>
      <c r="N33">
        <f>Advanced!AV86</f>
        <v>0</v>
      </c>
      <c r="O33">
        <f>Advanced!AW86</f>
        <v>0</v>
      </c>
      <c r="P33" s="52">
        <f>Advanced!AX86</f>
        <v>0</v>
      </c>
    </row>
    <row r="34" spans="1:16" x14ac:dyDescent="0.25">
      <c r="A34" t="s">
        <v>4</v>
      </c>
      <c r="B34" t="str">
        <f>Advanced!AU27</f>
        <v/>
      </c>
      <c r="C34">
        <f>Advanced!AV27</f>
        <v>0</v>
      </c>
      <c r="D34">
        <f>Advanced!AW27</f>
        <v>0</v>
      </c>
      <c r="E34" s="52">
        <f>Advanced!AX27</f>
        <v>0</v>
      </c>
      <c r="L34" t="s">
        <v>4</v>
      </c>
      <c r="M34" t="str">
        <f>Advanced!AU87</f>
        <v/>
      </c>
      <c r="N34">
        <f>Advanced!AV87</f>
        <v>0</v>
      </c>
      <c r="O34">
        <f>Advanced!AW87</f>
        <v>0</v>
      </c>
      <c r="P34" s="52">
        <f>Advanced!AX87</f>
        <v>0</v>
      </c>
    </row>
    <row r="35" spans="1:16" x14ac:dyDescent="0.25">
      <c r="A35" t="s">
        <v>4</v>
      </c>
      <c r="B35" t="str">
        <f>Advanced!AU28</f>
        <v/>
      </c>
      <c r="C35">
        <f>Advanced!AV28</f>
        <v>0</v>
      </c>
      <c r="D35">
        <f>Advanced!AW28</f>
        <v>0</v>
      </c>
      <c r="E35" s="52">
        <f>Advanced!AX28</f>
        <v>0</v>
      </c>
      <c r="L35" t="s">
        <v>4</v>
      </c>
      <c r="M35" t="str">
        <f>Advanced!AU88</f>
        <v/>
      </c>
      <c r="N35">
        <f>Advanced!AV88</f>
        <v>0</v>
      </c>
      <c r="O35">
        <f>Advanced!AW88</f>
        <v>0</v>
      </c>
      <c r="P35" s="52">
        <f>Advanced!AX88</f>
        <v>0</v>
      </c>
    </row>
    <row r="36" spans="1:16" x14ac:dyDescent="0.25">
      <c r="A36" t="s">
        <v>4</v>
      </c>
      <c r="B36" t="str">
        <f>Advanced!AU29</f>
        <v/>
      </c>
      <c r="C36">
        <f>Advanced!AV29</f>
        <v>0</v>
      </c>
      <c r="D36">
        <f>Advanced!AW29</f>
        <v>0</v>
      </c>
      <c r="E36" s="52">
        <f>Advanced!AX29</f>
        <v>0</v>
      </c>
      <c r="L36" t="s">
        <v>4</v>
      </c>
      <c r="M36" t="str">
        <f>Advanced!AU89</f>
        <v/>
      </c>
      <c r="N36">
        <f>Advanced!AV89</f>
        <v>0</v>
      </c>
      <c r="O36">
        <f>Advanced!AW89</f>
        <v>0</v>
      </c>
      <c r="P36" s="52">
        <f>Advanced!AX89</f>
        <v>0</v>
      </c>
    </row>
    <row r="37" spans="1:16" x14ac:dyDescent="0.25">
      <c r="A37" t="s">
        <v>4</v>
      </c>
      <c r="B37" t="str">
        <f>Advanced!AU30</f>
        <v/>
      </c>
      <c r="C37">
        <f>Advanced!AV30</f>
        <v>0</v>
      </c>
      <c r="D37">
        <f>Advanced!AW30</f>
        <v>0</v>
      </c>
      <c r="E37" s="52">
        <f>Advanced!AX30</f>
        <v>0</v>
      </c>
      <c r="L37" t="s">
        <v>4</v>
      </c>
      <c r="M37" t="str">
        <f>Advanced!AU90</f>
        <v/>
      </c>
      <c r="N37">
        <f>Advanced!AV90</f>
        <v>0</v>
      </c>
      <c r="O37">
        <f>Advanced!AW90</f>
        <v>0</v>
      </c>
      <c r="P37" s="52">
        <f>Advanced!AX90</f>
        <v>0</v>
      </c>
    </row>
    <row r="38" spans="1:16" x14ac:dyDescent="0.25">
      <c r="A38" t="s">
        <v>4</v>
      </c>
      <c r="B38" t="str">
        <f>Advanced!AU31</f>
        <v/>
      </c>
      <c r="C38">
        <f>Advanced!AV31</f>
        <v>0</v>
      </c>
      <c r="D38">
        <f>Advanced!AW31</f>
        <v>0</v>
      </c>
      <c r="E38" s="52">
        <f>Advanced!AX31</f>
        <v>0</v>
      </c>
      <c r="L38" t="s">
        <v>4</v>
      </c>
      <c r="M38" t="str">
        <f>Advanced!AU91</f>
        <v/>
      </c>
      <c r="N38">
        <f>Advanced!AV91</f>
        <v>0</v>
      </c>
      <c r="O38">
        <f>Advanced!AW91</f>
        <v>0</v>
      </c>
      <c r="P38" s="52">
        <f>Advanced!AX91</f>
        <v>0</v>
      </c>
    </row>
    <row r="39" spans="1:16" x14ac:dyDescent="0.25">
      <c r="A39" t="s">
        <v>4</v>
      </c>
      <c r="B39" t="str">
        <f>Advanced!AU32</f>
        <v/>
      </c>
      <c r="C39">
        <f>Advanced!AV32</f>
        <v>0</v>
      </c>
      <c r="D39">
        <f>Advanced!AW32</f>
        <v>0</v>
      </c>
      <c r="E39" s="52">
        <f>Advanced!AX32</f>
        <v>0</v>
      </c>
      <c r="L39" t="s">
        <v>4</v>
      </c>
      <c r="M39" t="str">
        <f>Advanced!AU92</f>
        <v/>
      </c>
      <c r="N39">
        <f>Advanced!AV92</f>
        <v>0</v>
      </c>
      <c r="O39">
        <f>Advanced!AW92</f>
        <v>0</v>
      </c>
      <c r="P39" s="52">
        <f>Advanced!AX92</f>
        <v>0</v>
      </c>
    </row>
    <row r="40" spans="1:16" x14ac:dyDescent="0.25">
      <c r="A40" t="s">
        <v>4</v>
      </c>
      <c r="B40" t="str">
        <f>Advanced!AU33</f>
        <v/>
      </c>
      <c r="C40">
        <f>Advanced!AV33</f>
        <v>0</v>
      </c>
      <c r="D40">
        <f>Advanced!AW33</f>
        <v>0</v>
      </c>
      <c r="E40" s="52">
        <f>Advanced!AX33</f>
        <v>0</v>
      </c>
      <c r="L40" t="s">
        <v>4</v>
      </c>
      <c r="M40" t="str">
        <f>Advanced!AU93</f>
        <v/>
      </c>
      <c r="N40">
        <f>Advanced!AV93</f>
        <v>0</v>
      </c>
      <c r="O40">
        <f>Advanced!AW93</f>
        <v>0</v>
      </c>
      <c r="P40" s="52">
        <f>Advanced!AX93</f>
        <v>0</v>
      </c>
    </row>
    <row r="41" spans="1:16" x14ac:dyDescent="0.25">
      <c r="A41" t="s">
        <v>4</v>
      </c>
      <c r="B41" t="str">
        <f>Advanced!AU34</f>
        <v/>
      </c>
      <c r="C41">
        <f>Advanced!AV34</f>
        <v>0</v>
      </c>
      <c r="D41">
        <f>Advanced!AW34</f>
        <v>0</v>
      </c>
      <c r="E41" s="52">
        <f>Advanced!AX34</f>
        <v>0</v>
      </c>
      <c r="L41" t="s">
        <v>4</v>
      </c>
      <c r="M41" t="str">
        <f>Advanced!AU94</f>
        <v/>
      </c>
      <c r="N41">
        <f>Advanced!AV94</f>
        <v>0</v>
      </c>
      <c r="O41">
        <f>Advanced!AW94</f>
        <v>0</v>
      </c>
      <c r="P41" s="52">
        <f>Advanced!AX94</f>
        <v>0</v>
      </c>
    </row>
    <row r="42" spans="1:16" x14ac:dyDescent="0.25">
      <c r="A42" t="s">
        <v>4</v>
      </c>
      <c r="B42" t="str">
        <f>Advanced!AU35</f>
        <v/>
      </c>
      <c r="C42">
        <f>Advanced!AV35</f>
        <v>0</v>
      </c>
      <c r="D42">
        <f>Advanced!AW35</f>
        <v>0</v>
      </c>
      <c r="E42" s="52">
        <f>Advanced!AX35</f>
        <v>0</v>
      </c>
      <c r="L42" t="s">
        <v>4</v>
      </c>
      <c r="M42" t="str">
        <f>Advanced!AU95</f>
        <v/>
      </c>
      <c r="N42">
        <f>Advanced!AV95</f>
        <v>0</v>
      </c>
      <c r="O42">
        <f>Advanced!AW95</f>
        <v>0</v>
      </c>
      <c r="P42" s="52">
        <f>Advanced!AX95</f>
        <v>0</v>
      </c>
    </row>
    <row r="43" spans="1:16" x14ac:dyDescent="0.25">
      <c r="A43" t="s">
        <v>4</v>
      </c>
      <c r="B43" t="str">
        <f>Advanced!AU36</f>
        <v/>
      </c>
      <c r="C43">
        <f>Advanced!AV36</f>
        <v>0</v>
      </c>
      <c r="D43">
        <f>Advanced!AW36</f>
        <v>0</v>
      </c>
      <c r="E43" s="52">
        <f>Advanced!AX36</f>
        <v>0</v>
      </c>
      <c r="L43" t="s">
        <v>4</v>
      </c>
      <c r="M43" t="str">
        <f>Advanced!AU96</f>
        <v/>
      </c>
      <c r="N43">
        <f>Advanced!AV96</f>
        <v>0</v>
      </c>
      <c r="O43">
        <f>Advanced!AW96</f>
        <v>0</v>
      </c>
      <c r="P43" s="52">
        <f>Advanced!AX96</f>
        <v>0</v>
      </c>
    </row>
    <row r="44" spans="1:16" x14ac:dyDescent="0.25">
      <c r="A44" t="s">
        <v>4</v>
      </c>
      <c r="B44" t="str">
        <f>Advanced!AU37</f>
        <v/>
      </c>
      <c r="C44">
        <f>Advanced!AV37</f>
        <v>0</v>
      </c>
      <c r="D44">
        <f>Advanced!AW37</f>
        <v>0</v>
      </c>
      <c r="E44" s="52">
        <f>Advanced!AX37</f>
        <v>0</v>
      </c>
      <c r="L44" t="s">
        <v>4</v>
      </c>
      <c r="M44" t="str">
        <f>Advanced!AU97</f>
        <v/>
      </c>
      <c r="N44">
        <f>Advanced!AV97</f>
        <v>0</v>
      </c>
      <c r="O44">
        <f>Advanced!AW97</f>
        <v>0</v>
      </c>
      <c r="P44" s="52">
        <f>Advanced!AX97</f>
        <v>0</v>
      </c>
    </row>
    <row r="45" spans="1:16" x14ac:dyDescent="0.25">
      <c r="A45" t="s">
        <v>4</v>
      </c>
      <c r="B45" t="str">
        <f>Advanced!AU38</f>
        <v/>
      </c>
      <c r="C45">
        <f>Advanced!AV38</f>
        <v>0</v>
      </c>
      <c r="D45">
        <f>Advanced!AW38</f>
        <v>0</v>
      </c>
      <c r="E45" s="52">
        <f>Advanced!AX38</f>
        <v>0</v>
      </c>
      <c r="L45" t="s">
        <v>4</v>
      </c>
      <c r="M45" t="str">
        <f>Advanced!AU98</f>
        <v/>
      </c>
      <c r="N45">
        <f>Advanced!AV98</f>
        <v>0</v>
      </c>
      <c r="O45">
        <f>Advanced!AW98</f>
        <v>0</v>
      </c>
      <c r="P45" s="52">
        <f>Advanced!AX98</f>
        <v>0</v>
      </c>
    </row>
    <row r="46" spans="1:16" x14ac:dyDescent="0.25">
      <c r="A46" t="s">
        <v>4</v>
      </c>
      <c r="B46" t="str">
        <f>Advanced!AU39</f>
        <v/>
      </c>
      <c r="C46">
        <f>Advanced!AV39</f>
        <v>0</v>
      </c>
      <c r="D46">
        <f>Advanced!AW39</f>
        <v>0</v>
      </c>
      <c r="E46" s="52">
        <f>Advanced!AX39</f>
        <v>0</v>
      </c>
      <c r="L46" t="s">
        <v>4</v>
      </c>
      <c r="M46" t="str">
        <f>Advanced!AU99</f>
        <v/>
      </c>
      <c r="N46">
        <f>Advanced!AV99</f>
        <v>0</v>
      </c>
      <c r="O46">
        <f>Advanced!AW99</f>
        <v>0</v>
      </c>
      <c r="P46" s="52">
        <f>Advanced!AX99</f>
        <v>0</v>
      </c>
    </row>
    <row r="47" spans="1:16" x14ac:dyDescent="0.25">
      <c r="A47" t="s">
        <v>4</v>
      </c>
      <c r="B47" t="str">
        <f>Advanced!AU40</f>
        <v/>
      </c>
      <c r="C47">
        <f>Advanced!AV40</f>
        <v>0</v>
      </c>
      <c r="D47">
        <f>Advanced!AW40</f>
        <v>0</v>
      </c>
      <c r="E47" s="52">
        <f>Advanced!AX40</f>
        <v>0</v>
      </c>
      <c r="L47" t="s">
        <v>4</v>
      </c>
      <c r="M47" t="str">
        <f>Advanced!AU100</f>
        <v/>
      </c>
      <c r="N47">
        <f>Advanced!AV100</f>
        <v>0</v>
      </c>
      <c r="O47">
        <f>Advanced!AW100</f>
        <v>0</v>
      </c>
      <c r="P47" s="52">
        <f>Advanced!AX100</f>
        <v>0</v>
      </c>
    </row>
    <row r="48" spans="1:16" x14ac:dyDescent="0.25">
      <c r="A48" t="s">
        <v>4</v>
      </c>
      <c r="B48" t="str">
        <f>Advanced!AU41</f>
        <v/>
      </c>
      <c r="C48">
        <f>Advanced!AV41</f>
        <v>0</v>
      </c>
      <c r="D48">
        <f>Advanced!AW41</f>
        <v>0</v>
      </c>
      <c r="E48" s="52">
        <f>Advanced!AX41</f>
        <v>0</v>
      </c>
      <c r="L48" t="s">
        <v>4</v>
      </c>
      <c r="M48" t="str">
        <f>Advanced!AU101</f>
        <v/>
      </c>
      <c r="N48">
        <f>Advanced!AV101</f>
        <v>0</v>
      </c>
      <c r="O48">
        <f>Advanced!AW101</f>
        <v>0</v>
      </c>
      <c r="P48" s="52">
        <f>Advanced!AX101</f>
        <v>0</v>
      </c>
    </row>
    <row r="49" spans="1:16" x14ac:dyDescent="0.25">
      <c r="A49" t="s">
        <v>4</v>
      </c>
      <c r="B49" t="str">
        <f>Advanced!AU42</f>
        <v/>
      </c>
      <c r="C49">
        <f>Advanced!AV42</f>
        <v>0</v>
      </c>
      <c r="D49">
        <f>Advanced!AW42</f>
        <v>0</v>
      </c>
      <c r="E49" s="52">
        <f>Advanced!AX42</f>
        <v>0</v>
      </c>
      <c r="L49" t="s">
        <v>4</v>
      </c>
      <c r="M49" t="str">
        <f>Advanced!AU102</f>
        <v/>
      </c>
      <c r="N49">
        <f>Advanced!AV102</f>
        <v>0</v>
      </c>
      <c r="O49">
        <f>Advanced!AW102</f>
        <v>0</v>
      </c>
      <c r="P49" s="52">
        <f>Advanced!AX102</f>
        <v>0</v>
      </c>
    </row>
    <row r="50" spans="1:16" x14ac:dyDescent="0.25">
      <c r="A50" t="s">
        <v>4</v>
      </c>
      <c r="B50" t="str">
        <f>Advanced!AU43</f>
        <v/>
      </c>
      <c r="C50">
        <f>Advanced!AV43</f>
        <v>0</v>
      </c>
      <c r="D50">
        <f>Advanced!AW43</f>
        <v>0</v>
      </c>
      <c r="E50" s="52">
        <f>Advanced!AX43</f>
        <v>0</v>
      </c>
      <c r="L50" t="s">
        <v>4</v>
      </c>
      <c r="M50" t="str">
        <f>Advanced!AU103</f>
        <v/>
      </c>
      <c r="N50">
        <f>Advanced!AV103</f>
        <v>0</v>
      </c>
      <c r="O50">
        <f>Advanced!AW103</f>
        <v>0</v>
      </c>
      <c r="P50" s="52">
        <f>Advanced!AX103</f>
        <v>0</v>
      </c>
    </row>
    <row r="51" spans="1:16" x14ac:dyDescent="0.25">
      <c r="A51" t="s">
        <v>4</v>
      </c>
      <c r="B51" t="str">
        <f>Advanced!AU44</f>
        <v/>
      </c>
      <c r="C51">
        <f>Advanced!AV44</f>
        <v>0</v>
      </c>
      <c r="D51">
        <f>Advanced!AW44</f>
        <v>0</v>
      </c>
      <c r="E51" s="52">
        <f>Advanced!AX44</f>
        <v>0</v>
      </c>
      <c r="L51" t="s">
        <v>4</v>
      </c>
      <c r="M51" t="str">
        <f>Advanced!AU104</f>
        <v/>
      </c>
      <c r="N51">
        <f>Advanced!AV104</f>
        <v>0</v>
      </c>
      <c r="O51">
        <f>Advanced!AW104</f>
        <v>0</v>
      </c>
      <c r="P51" s="52">
        <f>Advanced!AX104</f>
        <v>0</v>
      </c>
    </row>
    <row r="52" spans="1:16" x14ac:dyDescent="0.25">
      <c r="A52" t="s">
        <v>4</v>
      </c>
      <c r="B52" t="str">
        <f>Advanced!AU45</f>
        <v/>
      </c>
      <c r="C52">
        <f>Advanced!AV45</f>
        <v>0</v>
      </c>
      <c r="D52">
        <f>Advanced!AW45</f>
        <v>0</v>
      </c>
      <c r="E52" s="52">
        <f>Advanced!AX45</f>
        <v>0</v>
      </c>
      <c r="L52" t="s">
        <v>4</v>
      </c>
      <c r="M52" t="str">
        <f>Advanced!AU105</f>
        <v/>
      </c>
      <c r="N52">
        <f>Advanced!AV105</f>
        <v>0</v>
      </c>
      <c r="O52">
        <f>Advanced!AW105</f>
        <v>0</v>
      </c>
      <c r="P52" s="52">
        <f>Advanced!AX105</f>
        <v>0</v>
      </c>
    </row>
    <row r="53" spans="1:16" x14ac:dyDescent="0.25">
      <c r="A53" t="s">
        <v>4</v>
      </c>
      <c r="B53" t="str">
        <f>Advanced!AU46</f>
        <v/>
      </c>
      <c r="C53">
        <f>Advanced!AV46</f>
        <v>0</v>
      </c>
      <c r="D53">
        <f>Advanced!AW46</f>
        <v>0</v>
      </c>
      <c r="E53" s="52">
        <f>Advanced!AX46</f>
        <v>0</v>
      </c>
      <c r="L53" t="s">
        <v>4</v>
      </c>
      <c r="M53" t="str">
        <f>Advanced!AU106</f>
        <v/>
      </c>
      <c r="N53">
        <f>Advanced!AV106</f>
        <v>0</v>
      </c>
      <c r="O53">
        <f>Advanced!AW106</f>
        <v>0</v>
      </c>
      <c r="P53" s="52">
        <f>Advanced!AX106</f>
        <v>0</v>
      </c>
    </row>
    <row r="54" spans="1:16" x14ac:dyDescent="0.25">
      <c r="A54" t="s">
        <v>4</v>
      </c>
      <c r="B54" t="str">
        <f>Advanced!AU47</f>
        <v/>
      </c>
      <c r="C54">
        <f>Advanced!AV47</f>
        <v>0</v>
      </c>
      <c r="D54">
        <f>Advanced!AW47</f>
        <v>0</v>
      </c>
      <c r="E54" s="52">
        <f>Advanced!AX47</f>
        <v>0</v>
      </c>
      <c r="L54" t="s">
        <v>4</v>
      </c>
      <c r="M54" t="str">
        <f>Advanced!AU107</f>
        <v/>
      </c>
      <c r="N54">
        <f>Advanced!AV107</f>
        <v>0</v>
      </c>
      <c r="O54">
        <f>Advanced!AW107</f>
        <v>0</v>
      </c>
      <c r="P54" s="52">
        <f>Advanced!AX107</f>
        <v>0</v>
      </c>
    </row>
    <row r="55" spans="1:16" x14ac:dyDescent="0.25">
      <c r="A55" t="s">
        <v>4</v>
      </c>
      <c r="B55" t="str">
        <f>Advanced!AU48</f>
        <v/>
      </c>
      <c r="C55">
        <f>Advanced!AV48</f>
        <v>0</v>
      </c>
      <c r="D55">
        <f>Advanced!AW48</f>
        <v>0</v>
      </c>
      <c r="E55" s="52">
        <f>Advanced!AX48</f>
        <v>0</v>
      </c>
      <c r="L55" t="s">
        <v>4</v>
      </c>
      <c r="M55" t="str">
        <f>Advanced!AU108</f>
        <v/>
      </c>
      <c r="N55">
        <f>Advanced!AV108</f>
        <v>0</v>
      </c>
      <c r="O55">
        <f>Advanced!AW108</f>
        <v>0</v>
      </c>
      <c r="P55" s="52">
        <f>Advanced!AX108</f>
        <v>0</v>
      </c>
    </row>
    <row r="56" spans="1:16" x14ac:dyDescent="0.25">
      <c r="A56" t="s">
        <v>4</v>
      </c>
      <c r="B56" t="str">
        <f>Advanced!AU49</f>
        <v/>
      </c>
      <c r="C56">
        <f>Advanced!AV49</f>
        <v>0</v>
      </c>
      <c r="D56">
        <f>Advanced!AW49</f>
        <v>0</v>
      </c>
      <c r="E56" s="52">
        <f>Advanced!AX49</f>
        <v>0</v>
      </c>
      <c r="L56" t="s">
        <v>4</v>
      </c>
      <c r="M56" t="str">
        <f>Advanced!AU109</f>
        <v/>
      </c>
      <c r="N56">
        <f>Advanced!AV109</f>
        <v>0</v>
      </c>
      <c r="O56">
        <f>Advanced!AW109</f>
        <v>0</v>
      </c>
      <c r="P56" s="52">
        <f>Advanced!AX109</f>
        <v>0</v>
      </c>
    </row>
    <row r="57" spans="1:16" x14ac:dyDescent="0.25">
      <c r="A57" t="s">
        <v>4</v>
      </c>
      <c r="B57" t="str">
        <f>Advanced!AU50</f>
        <v/>
      </c>
      <c r="C57">
        <f>Advanced!AV50</f>
        <v>0</v>
      </c>
      <c r="D57">
        <f>Advanced!AW50</f>
        <v>0</v>
      </c>
      <c r="E57" s="52">
        <f>Advanced!AX50</f>
        <v>0</v>
      </c>
      <c r="L57" t="s">
        <v>4</v>
      </c>
      <c r="M57" t="str">
        <f>Advanced!AU110</f>
        <v/>
      </c>
      <c r="N57">
        <f>Advanced!AV110</f>
        <v>0</v>
      </c>
      <c r="O57">
        <f>Advanced!AW110</f>
        <v>0</v>
      </c>
      <c r="P57" s="52">
        <f>Advanced!AX110</f>
        <v>0</v>
      </c>
    </row>
    <row r="58" spans="1:16" x14ac:dyDescent="0.25">
      <c r="A58" t="s">
        <v>4</v>
      </c>
      <c r="B58" t="str">
        <f>Advanced!AU51</f>
        <v/>
      </c>
      <c r="C58">
        <f>Advanced!AV51</f>
        <v>0</v>
      </c>
      <c r="D58">
        <f>Advanced!AW51</f>
        <v>0</v>
      </c>
      <c r="E58" s="52">
        <f>Advanced!AX51</f>
        <v>0</v>
      </c>
      <c r="L58" t="s">
        <v>4</v>
      </c>
      <c r="M58" t="str">
        <f>Advanced!AU111</f>
        <v/>
      </c>
      <c r="N58">
        <f>Advanced!AV111</f>
        <v>0</v>
      </c>
      <c r="O58">
        <f>Advanced!AW111</f>
        <v>0</v>
      </c>
      <c r="P58" s="52">
        <f>Advanced!AX111</f>
        <v>0</v>
      </c>
    </row>
    <row r="59" spans="1:16" x14ac:dyDescent="0.25">
      <c r="A59" t="s">
        <v>4</v>
      </c>
      <c r="B59" t="str">
        <f>Advanced!AU52</f>
        <v/>
      </c>
      <c r="C59">
        <f>Advanced!AV52</f>
        <v>0</v>
      </c>
      <c r="D59">
        <f>Advanced!AW52</f>
        <v>0</v>
      </c>
      <c r="E59" s="52">
        <f>Advanced!AX52</f>
        <v>0</v>
      </c>
      <c r="L59" t="s">
        <v>4</v>
      </c>
      <c r="M59" t="str">
        <f>Advanced!AU112</f>
        <v/>
      </c>
      <c r="N59">
        <f>Advanced!AV112</f>
        <v>0</v>
      </c>
      <c r="O59">
        <f>Advanced!AW112</f>
        <v>0</v>
      </c>
      <c r="P59" s="52">
        <f>Advanced!AX112</f>
        <v>0</v>
      </c>
    </row>
    <row r="60" spans="1:16" x14ac:dyDescent="0.25">
      <c r="A60" t="s">
        <v>4</v>
      </c>
      <c r="B60" t="str">
        <f>Advanced!AU53</f>
        <v/>
      </c>
      <c r="C60">
        <f>Advanced!AV53</f>
        <v>0</v>
      </c>
      <c r="D60">
        <f>Advanced!AW53</f>
        <v>0</v>
      </c>
      <c r="E60" s="52">
        <f>Advanced!AX53</f>
        <v>0</v>
      </c>
      <c r="L60" t="s">
        <v>4</v>
      </c>
      <c r="M60" t="str">
        <f>Advanced!AU113</f>
        <v/>
      </c>
      <c r="N60">
        <f>Advanced!AV113</f>
        <v>0</v>
      </c>
      <c r="O60">
        <f>Advanced!AW113</f>
        <v>0</v>
      </c>
      <c r="P60" s="52">
        <f>Advanced!AX113</f>
        <v>0</v>
      </c>
    </row>
    <row r="61" spans="1:16" x14ac:dyDescent="0.25">
      <c r="A61" t="s">
        <v>4</v>
      </c>
      <c r="B61" t="str">
        <f>Advanced!AU54</f>
        <v/>
      </c>
      <c r="C61">
        <f>Advanced!AV54</f>
        <v>0</v>
      </c>
      <c r="D61">
        <f>Advanced!AW54</f>
        <v>0</v>
      </c>
      <c r="E61" s="52">
        <f>Advanced!AX54</f>
        <v>0</v>
      </c>
      <c r="L61" t="s">
        <v>4</v>
      </c>
      <c r="M61" t="str">
        <f>Advanced!AU114</f>
        <v/>
      </c>
      <c r="N61">
        <f>Advanced!AV114</f>
        <v>0</v>
      </c>
      <c r="O61">
        <f>Advanced!AW114</f>
        <v>0</v>
      </c>
      <c r="P61" s="52">
        <f>Advanced!AX114</f>
        <v>0</v>
      </c>
    </row>
    <row r="62" spans="1:16" x14ac:dyDescent="0.25">
      <c r="A62" t="s">
        <v>5</v>
      </c>
      <c r="B62" t="str">
        <f>Excellent!AU5</f>
        <v/>
      </c>
      <c r="C62">
        <f>Excellent!AV5</f>
        <v>0</v>
      </c>
      <c r="D62">
        <f>Excellent!AW5</f>
        <v>0</v>
      </c>
      <c r="E62" s="52">
        <f>Excellent!AX5</f>
        <v>0</v>
      </c>
      <c r="L62" t="s">
        <v>5</v>
      </c>
      <c r="M62" t="str">
        <f>Excellent!AU65</f>
        <v/>
      </c>
      <c r="N62">
        <f>Excellent!AV65</f>
        <v>0</v>
      </c>
      <c r="O62">
        <f>Excellent!AW65</f>
        <v>0</v>
      </c>
      <c r="P62" s="52">
        <f>Excellent!AX65</f>
        <v>0</v>
      </c>
    </row>
    <row r="63" spans="1:16" x14ac:dyDescent="0.25">
      <c r="A63" t="s">
        <v>5</v>
      </c>
      <c r="B63" t="str">
        <f>Excellent!AU26</f>
        <v/>
      </c>
      <c r="C63">
        <f>Excellent!AV26</f>
        <v>0</v>
      </c>
      <c r="D63">
        <f>Excellent!AW26</f>
        <v>0</v>
      </c>
      <c r="E63" s="52">
        <f>Excellent!AX26</f>
        <v>0</v>
      </c>
      <c r="L63" t="s">
        <v>5</v>
      </c>
      <c r="M63" t="str">
        <f>Excellent!AU86</f>
        <v/>
      </c>
      <c r="N63">
        <f>Excellent!AV86</f>
        <v>0</v>
      </c>
      <c r="O63">
        <f>Excellent!AW86</f>
        <v>0</v>
      </c>
      <c r="P63" s="52">
        <f>Excellent!AX86</f>
        <v>0</v>
      </c>
    </row>
    <row r="64" spans="1:16" x14ac:dyDescent="0.25">
      <c r="A64" t="s">
        <v>5</v>
      </c>
      <c r="B64" t="str">
        <f>Excellent!AU27</f>
        <v/>
      </c>
      <c r="C64">
        <f>Excellent!AV27</f>
        <v>0</v>
      </c>
      <c r="D64">
        <f>Excellent!AW27</f>
        <v>0</v>
      </c>
      <c r="E64" s="52">
        <f>Excellent!AX27</f>
        <v>0</v>
      </c>
      <c r="L64" t="s">
        <v>5</v>
      </c>
      <c r="M64" t="str">
        <f>Excellent!AU87</f>
        <v/>
      </c>
      <c r="N64">
        <f>Excellent!AV87</f>
        <v>0</v>
      </c>
      <c r="O64">
        <f>Excellent!AW87</f>
        <v>0</v>
      </c>
      <c r="P64" s="52">
        <f>Excellent!AX87</f>
        <v>0</v>
      </c>
    </row>
    <row r="65" spans="1:16" x14ac:dyDescent="0.25">
      <c r="A65" t="s">
        <v>5</v>
      </c>
      <c r="B65" t="str">
        <f>Excellent!AU28</f>
        <v/>
      </c>
      <c r="C65">
        <f>Excellent!AV28</f>
        <v>0</v>
      </c>
      <c r="D65">
        <f>Excellent!AW28</f>
        <v>0</v>
      </c>
      <c r="E65" s="52">
        <f>Excellent!AX28</f>
        <v>0</v>
      </c>
      <c r="L65" t="s">
        <v>5</v>
      </c>
      <c r="M65" t="str">
        <f>Excellent!AU88</f>
        <v/>
      </c>
      <c r="N65">
        <f>Excellent!AV88</f>
        <v>0</v>
      </c>
      <c r="O65">
        <f>Excellent!AW88</f>
        <v>0</v>
      </c>
      <c r="P65" s="52">
        <f>Excellent!AX88</f>
        <v>0</v>
      </c>
    </row>
    <row r="66" spans="1:16" x14ac:dyDescent="0.25">
      <c r="A66" t="s">
        <v>5</v>
      </c>
      <c r="B66" t="str">
        <f>Excellent!AU29</f>
        <v/>
      </c>
      <c r="C66">
        <f>Excellent!AV29</f>
        <v>0</v>
      </c>
      <c r="D66">
        <f>Excellent!AW29</f>
        <v>0</v>
      </c>
      <c r="E66" s="52">
        <f>Excellent!AX29</f>
        <v>0</v>
      </c>
      <c r="L66" t="s">
        <v>5</v>
      </c>
      <c r="M66" t="str">
        <f>Excellent!AU89</f>
        <v/>
      </c>
      <c r="N66">
        <f>Excellent!AV89</f>
        <v>0</v>
      </c>
      <c r="O66">
        <f>Excellent!AW89</f>
        <v>0</v>
      </c>
      <c r="P66" s="52">
        <f>Excellent!AX89</f>
        <v>0</v>
      </c>
    </row>
    <row r="67" spans="1:16" x14ac:dyDescent="0.25">
      <c r="A67" t="s">
        <v>5</v>
      </c>
      <c r="B67" t="str">
        <f>Excellent!AU30</f>
        <v/>
      </c>
      <c r="C67">
        <f>Excellent!AV30</f>
        <v>0</v>
      </c>
      <c r="D67">
        <f>Excellent!AW30</f>
        <v>0</v>
      </c>
      <c r="E67" s="52">
        <f>Excellent!AX30</f>
        <v>0</v>
      </c>
      <c r="L67" t="s">
        <v>5</v>
      </c>
      <c r="M67" t="str">
        <f>Excellent!AU90</f>
        <v/>
      </c>
      <c r="N67">
        <f>Excellent!AV90</f>
        <v>0</v>
      </c>
      <c r="O67">
        <f>Excellent!AW90</f>
        <v>0</v>
      </c>
      <c r="P67" s="52">
        <f>Excellent!AX90</f>
        <v>0</v>
      </c>
    </row>
    <row r="68" spans="1:16" x14ac:dyDescent="0.25">
      <c r="A68" t="s">
        <v>5</v>
      </c>
      <c r="B68" t="str">
        <f>Excellent!AU31</f>
        <v/>
      </c>
      <c r="C68">
        <f>Excellent!AV31</f>
        <v>0</v>
      </c>
      <c r="D68">
        <f>Excellent!AW31</f>
        <v>0</v>
      </c>
      <c r="E68" s="52">
        <f>Excellent!AX31</f>
        <v>0</v>
      </c>
      <c r="L68" t="s">
        <v>5</v>
      </c>
      <c r="M68" t="str">
        <f>Excellent!AU91</f>
        <v/>
      </c>
      <c r="N68">
        <f>Excellent!AV91</f>
        <v>0</v>
      </c>
      <c r="O68">
        <f>Excellent!AW91</f>
        <v>0</v>
      </c>
      <c r="P68" s="52">
        <f>Excellent!AX91</f>
        <v>0</v>
      </c>
    </row>
    <row r="69" spans="1:16" x14ac:dyDescent="0.25">
      <c r="A69" t="s">
        <v>5</v>
      </c>
      <c r="B69" t="str">
        <f>Excellent!AU32</f>
        <v/>
      </c>
      <c r="C69">
        <f>Excellent!AV32</f>
        <v>0</v>
      </c>
      <c r="D69">
        <f>Excellent!AW32</f>
        <v>0</v>
      </c>
      <c r="E69" s="52">
        <f>Excellent!AX32</f>
        <v>0</v>
      </c>
      <c r="L69" t="s">
        <v>5</v>
      </c>
      <c r="M69" t="str">
        <f>Excellent!AU92</f>
        <v/>
      </c>
      <c r="N69">
        <f>Excellent!AV92</f>
        <v>0</v>
      </c>
      <c r="O69">
        <f>Excellent!AW92</f>
        <v>0</v>
      </c>
      <c r="P69" s="52">
        <f>Excellent!AX92</f>
        <v>0</v>
      </c>
    </row>
    <row r="70" spans="1:16" x14ac:dyDescent="0.25">
      <c r="A70" t="s">
        <v>5</v>
      </c>
      <c r="B70" t="str">
        <f>Excellent!AU33</f>
        <v/>
      </c>
      <c r="C70">
        <f>Excellent!AV33</f>
        <v>0</v>
      </c>
      <c r="D70">
        <f>Excellent!AW33</f>
        <v>0</v>
      </c>
      <c r="E70" s="52">
        <f>Excellent!AX33</f>
        <v>0</v>
      </c>
      <c r="L70" t="s">
        <v>5</v>
      </c>
      <c r="M70" t="str">
        <f>Excellent!AU93</f>
        <v/>
      </c>
      <c r="N70">
        <f>Excellent!AV93</f>
        <v>0</v>
      </c>
      <c r="O70">
        <f>Excellent!AW93</f>
        <v>0</v>
      </c>
      <c r="P70" s="52">
        <f>Excellent!AX93</f>
        <v>0</v>
      </c>
    </row>
    <row r="71" spans="1:16" x14ac:dyDescent="0.25">
      <c r="A71" t="s">
        <v>5</v>
      </c>
      <c r="B71" t="str">
        <f>Excellent!AU34</f>
        <v/>
      </c>
      <c r="C71">
        <f>Excellent!AV34</f>
        <v>0</v>
      </c>
      <c r="D71">
        <f>Excellent!AW34</f>
        <v>0</v>
      </c>
      <c r="E71" s="52">
        <f>Excellent!AX34</f>
        <v>0</v>
      </c>
      <c r="L71" t="s">
        <v>5</v>
      </c>
      <c r="M71" t="str">
        <f>Excellent!AU94</f>
        <v/>
      </c>
      <c r="N71">
        <f>Excellent!AV94</f>
        <v>0</v>
      </c>
      <c r="O71">
        <f>Excellent!AW94</f>
        <v>0</v>
      </c>
      <c r="P71" s="52">
        <f>Excellent!AX94</f>
        <v>0</v>
      </c>
    </row>
    <row r="72" spans="1:16" x14ac:dyDescent="0.25">
      <c r="A72" t="s">
        <v>5</v>
      </c>
      <c r="B72" t="str">
        <f>Excellent!AU35</f>
        <v/>
      </c>
      <c r="C72">
        <f>Excellent!AV35</f>
        <v>0</v>
      </c>
      <c r="D72">
        <f>Excellent!AW35</f>
        <v>0</v>
      </c>
      <c r="E72" s="52">
        <f>Excellent!AX35</f>
        <v>0</v>
      </c>
      <c r="L72" t="s">
        <v>5</v>
      </c>
      <c r="M72" t="str">
        <f>Excellent!AU95</f>
        <v/>
      </c>
      <c r="N72">
        <f>Excellent!AV95</f>
        <v>0</v>
      </c>
      <c r="O72">
        <f>Excellent!AW95</f>
        <v>0</v>
      </c>
      <c r="P72" s="52">
        <f>Excellent!AX95</f>
        <v>0</v>
      </c>
    </row>
    <row r="73" spans="1:16" x14ac:dyDescent="0.25">
      <c r="A73" t="s">
        <v>5</v>
      </c>
      <c r="B73" t="str">
        <f>Excellent!AU36</f>
        <v/>
      </c>
      <c r="C73">
        <f>Excellent!AV36</f>
        <v>0</v>
      </c>
      <c r="D73">
        <f>Excellent!AW36</f>
        <v>0</v>
      </c>
      <c r="E73" s="52">
        <f>Excellent!AX36</f>
        <v>0</v>
      </c>
      <c r="L73" t="s">
        <v>5</v>
      </c>
      <c r="M73" t="str">
        <f>Excellent!AU96</f>
        <v/>
      </c>
      <c r="N73">
        <f>Excellent!AV96</f>
        <v>0</v>
      </c>
      <c r="O73">
        <f>Excellent!AW96</f>
        <v>0</v>
      </c>
      <c r="P73" s="52">
        <f>Excellent!AX96</f>
        <v>0</v>
      </c>
    </row>
    <row r="74" spans="1:16" x14ac:dyDescent="0.25">
      <c r="A74" t="s">
        <v>5</v>
      </c>
      <c r="B74" t="str">
        <f>Excellent!AU37</f>
        <v/>
      </c>
      <c r="C74">
        <f>Excellent!AV37</f>
        <v>0</v>
      </c>
      <c r="D74">
        <f>Excellent!AW37</f>
        <v>0</v>
      </c>
      <c r="E74" s="52">
        <f>Excellent!AX37</f>
        <v>0</v>
      </c>
      <c r="L74" t="s">
        <v>5</v>
      </c>
      <c r="M74" t="str">
        <f>Excellent!AU97</f>
        <v/>
      </c>
      <c r="N74">
        <f>Excellent!AV97</f>
        <v>0</v>
      </c>
      <c r="O74">
        <f>Excellent!AW97</f>
        <v>0</v>
      </c>
      <c r="P74" s="52">
        <f>Excellent!AX97</f>
        <v>0</v>
      </c>
    </row>
    <row r="75" spans="1:16" x14ac:dyDescent="0.25">
      <c r="A75" t="s">
        <v>5</v>
      </c>
      <c r="B75" t="str">
        <f>Excellent!AU38</f>
        <v/>
      </c>
      <c r="C75">
        <f>Excellent!AV38</f>
        <v>0</v>
      </c>
      <c r="D75">
        <f>Excellent!AW38</f>
        <v>0</v>
      </c>
      <c r="E75" s="52">
        <f>Excellent!AX38</f>
        <v>0</v>
      </c>
      <c r="L75" t="s">
        <v>5</v>
      </c>
      <c r="M75" t="str">
        <f>Excellent!AU98</f>
        <v/>
      </c>
      <c r="N75">
        <f>Excellent!AV98</f>
        <v>0</v>
      </c>
      <c r="O75">
        <f>Excellent!AW98</f>
        <v>0</v>
      </c>
      <c r="P75" s="52">
        <f>Excellent!AX98</f>
        <v>0</v>
      </c>
    </row>
    <row r="76" spans="1:16" x14ac:dyDescent="0.25">
      <c r="A76" t="s">
        <v>5</v>
      </c>
      <c r="B76" t="str">
        <f>Excellent!AU39</f>
        <v/>
      </c>
      <c r="C76">
        <f>Excellent!AV39</f>
        <v>0</v>
      </c>
      <c r="D76">
        <f>Excellent!AW39</f>
        <v>0</v>
      </c>
      <c r="E76" s="52">
        <f>Excellent!AX39</f>
        <v>0</v>
      </c>
      <c r="L76" t="s">
        <v>5</v>
      </c>
      <c r="M76" t="str">
        <f>Excellent!AU99</f>
        <v/>
      </c>
      <c r="N76">
        <f>Excellent!AV99</f>
        <v>0</v>
      </c>
      <c r="O76">
        <f>Excellent!AW99</f>
        <v>0</v>
      </c>
      <c r="P76" s="52">
        <f>Excellent!AX99</f>
        <v>0</v>
      </c>
    </row>
    <row r="77" spans="1:16" x14ac:dyDescent="0.25">
      <c r="A77" t="s">
        <v>5</v>
      </c>
      <c r="B77" t="str">
        <f>Excellent!AU40</f>
        <v/>
      </c>
      <c r="C77">
        <f>Excellent!AV40</f>
        <v>0</v>
      </c>
      <c r="D77">
        <f>Excellent!AW40</f>
        <v>0</v>
      </c>
      <c r="E77" s="52">
        <f>Excellent!AX40</f>
        <v>0</v>
      </c>
      <c r="L77" t="s">
        <v>5</v>
      </c>
      <c r="M77" t="str">
        <f>Excellent!AU100</f>
        <v/>
      </c>
      <c r="N77">
        <f>Excellent!AV100</f>
        <v>0</v>
      </c>
      <c r="O77">
        <f>Excellent!AW100</f>
        <v>0</v>
      </c>
      <c r="P77" s="52">
        <f>Excellent!AX100</f>
        <v>0</v>
      </c>
    </row>
    <row r="78" spans="1:16" x14ac:dyDescent="0.25">
      <c r="A78" t="s">
        <v>5</v>
      </c>
      <c r="B78" t="str">
        <f>Excellent!AU41</f>
        <v/>
      </c>
      <c r="C78">
        <f>Excellent!AV41</f>
        <v>0</v>
      </c>
      <c r="D78">
        <f>Excellent!AW41</f>
        <v>0</v>
      </c>
      <c r="E78" s="52">
        <f>Excellent!AX41</f>
        <v>0</v>
      </c>
      <c r="L78" t="s">
        <v>5</v>
      </c>
      <c r="M78" t="str">
        <f>Excellent!AU101</f>
        <v/>
      </c>
      <c r="N78">
        <f>Excellent!AV101</f>
        <v>0</v>
      </c>
      <c r="O78">
        <f>Excellent!AW101</f>
        <v>0</v>
      </c>
      <c r="P78" s="52">
        <f>Excellent!AX101</f>
        <v>0</v>
      </c>
    </row>
    <row r="79" spans="1:16" x14ac:dyDescent="0.25">
      <c r="A79" t="s">
        <v>5</v>
      </c>
      <c r="B79" t="str">
        <f>Excellent!AU42</f>
        <v/>
      </c>
      <c r="C79">
        <f>Excellent!AV42</f>
        <v>0</v>
      </c>
      <c r="D79">
        <f>Excellent!AW42</f>
        <v>0</v>
      </c>
      <c r="E79" s="52">
        <f>Excellent!AX42</f>
        <v>0</v>
      </c>
      <c r="L79" t="s">
        <v>5</v>
      </c>
      <c r="M79" t="str">
        <f>Excellent!AU102</f>
        <v/>
      </c>
      <c r="N79">
        <f>Excellent!AV102</f>
        <v>0</v>
      </c>
      <c r="O79">
        <f>Excellent!AW102</f>
        <v>0</v>
      </c>
      <c r="P79" s="52">
        <f>Excellent!AX102</f>
        <v>0</v>
      </c>
    </row>
    <row r="80" spans="1:16" x14ac:dyDescent="0.25">
      <c r="A80" t="s">
        <v>5</v>
      </c>
      <c r="B80" t="str">
        <f>Excellent!AU43</f>
        <v/>
      </c>
      <c r="C80">
        <f>Excellent!AV43</f>
        <v>0</v>
      </c>
      <c r="D80">
        <f>Excellent!AW43</f>
        <v>0</v>
      </c>
      <c r="E80" s="52">
        <f>Excellent!AX43</f>
        <v>0</v>
      </c>
      <c r="L80" t="s">
        <v>5</v>
      </c>
      <c r="M80" t="str">
        <f>Excellent!AU103</f>
        <v/>
      </c>
      <c r="N80">
        <f>Excellent!AV103</f>
        <v>0</v>
      </c>
      <c r="O80">
        <f>Excellent!AW103</f>
        <v>0</v>
      </c>
      <c r="P80" s="52">
        <f>Excellent!AX103</f>
        <v>0</v>
      </c>
    </row>
    <row r="81" spans="1:16" x14ac:dyDescent="0.25">
      <c r="A81" t="s">
        <v>5</v>
      </c>
      <c r="B81" t="str">
        <f>Excellent!AU44</f>
        <v/>
      </c>
      <c r="C81">
        <f>Excellent!AV44</f>
        <v>0</v>
      </c>
      <c r="D81">
        <f>Excellent!AW44</f>
        <v>0</v>
      </c>
      <c r="E81" s="52">
        <f>Excellent!AX44</f>
        <v>0</v>
      </c>
      <c r="L81" t="s">
        <v>5</v>
      </c>
      <c r="M81" t="str">
        <f>Excellent!AU104</f>
        <v/>
      </c>
      <c r="N81">
        <f>Excellent!AV104</f>
        <v>0</v>
      </c>
      <c r="O81">
        <f>Excellent!AW104</f>
        <v>0</v>
      </c>
      <c r="P81" s="52">
        <f>Excellent!AX104</f>
        <v>0</v>
      </c>
    </row>
    <row r="82" spans="1:16" x14ac:dyDescent="0.25">
      <c r="A82" t="s">
        <v>5</v>
      </c>
      <c r="B82" t="str">
        <f>Excellent!AU45</f>
        <v/>
      </c>
      <c r="C82">
        <f>Excellent!AV45</f>
        <v>0</v>
      </c>
      <c r="D82">
        <f>Excellent!AW45</f>
        <v>0</v>
      </c>
      <c r="E82" s="52">
        <f>Excellent!AX45</f>
        <v>0</v>
      </c>
      <c r="L82" t="s">
        <v>5</v>
      </c>
      <c r="M82" t="str">
        <f>Excellent!AU105</f>
        <v/>
      </c>
      <c r="N82">
        <f>Excellent!AV105</f>
        <v>0</v>
      </c>
      <c r="O82">
        <f>Excellent!AW105</f>
        <v>0</v>
      </c>
      <c r="P82" s="52">
        <f>Excellent!AX105</f>
        <v>0</v>
      </c>
    </row>
    <row r="83" spans="1:16" x14ac:dyDescent="0.25">
      <c r="A83" t="s">
        <v>5</v>
      </c>
      <c r="B83" t="str">
        <f>Excellent!AU46</f>
        <v/>
      </c>
      <c r="C83">
        <f>Excellent!AV46</f>
        <v>0</v>
      </c>
      <c r="D83">
        <f>Excellent!AW46</f>
        <v>0</v>
      </c>
      <c r="E83" s="52">
        <f>Excellent!AX46</f>
        <v>0</v>
      </c>
      <c r="L83" t="s">
        <v>5</v>
      </c>
      <c r="M83" t="str">
        <f>Excellent!AU106</f>
        <v/>
      </c>
      <c r="N83">
        <f>Excellent!AV106</f>
        <v>0</v>
      </c>
      <c r="O83">
        <f>Excellent!AW106</f>
        <v>0</v>
      </c>
      <c r="P83" s="52">
        <f>Excellent!AX106</f>
        <v>0</v>
      </c>
    </row>
    <row r="84" spans="1:16" x14ac:dyDescent="0.25">
      <c r="A84" t="s">
        <v>5</v>
      </c>
      <c r="B84" t="str">
        <f>Excellent!AU47</f>
        <v/>
      </c>
      <c r="C84">
        <f>Excellent!AV47</f>
        <v>0</v>
      </c>
      <c r="D84">
        <f>Excellent!AW47</f>
        <v>0</v>
      </c>
      <c r="E84" s="52">
        <f>Excellent!AX47</f>
        <v>0</v>
      </c>
      <c r="L84" t="s">
        <v>5</v>
      </c>
      <c r="M84" t="str">
        <f>Excellent!AU107</f>
        <v/>
      </c>
      <c r="N84">
        <f>Excellent!AV107</f>
        <v>0</v>
      </c>
      <c r="O84">
        <f>Excellent!AW107</f>
        <v>0</v>
      </c>
      <c r="P84" s="52">
        <f>Excellent!AX107</f>
        <v>0</v>
      </c>
    </row>
    <row r="85" spans="1:16" x14ac:dyDescent="0.25">
      <c r="A85" t="s">
        <v>5</v>
      </c>
      <c r="B85" t="str">
        <f>Excellent!AU48</f>
        <v/>
      </c>
      <c r="C85">
        <f>Excellent!AV48</f>
        <v>0</v>
      </c>
      <c r="D85">
        <f>Excellent!AW48</f>
        <v>0</v>
      </c>
      <c r="E85" s="52">
        <f>Excellent!AX48</f>
        <v>0</v>
      </c>
      <c r="L85" t="s">
        <v>5</v>
      </c>
      <c r="M85" t="str">
        <f>Excellent!AU108</f>
        <v/>
      </c>
      <c r="N85">
        <f>Excellent!AV108</f>
        <v>0</v>
      </c>
      <c r="O85">
        <f>Excellent!AW108</f>
        <v>0</v>
      </c>
      <c r="P85" s="52">
        <f>Excellent!AX108</f>
        <v>0</v>
      </c>
    </row>
    <row r="86" spans="1:16" x14ac:dyDescent="0.25">
      <c r="A86" t="s">
        <v>5</v>
      </c>
      <c r="B86" t="str">
        <f>Excellent!AU49</f>
        <v/>
      </c>
      <c r="C86">
        <f>Excellent!AV49</f>
        <v>0</v>
      </c>
      <c r="D86">
        <f>Excellent!AW49</f>
        <v>0</v>
      </c>
      <c r="E86" s="52">
        <f>Excellent!AX49</f>
        <v>0</v>
      </c>
      <c r="L86" t="s">
        <v>5</v>
      </c>
      <c r="M86" t="str">
        <f>Excellent!AU109</f>
        <v/>
      </c>
      <c r="N86">
        <f>Excellent!AV109</f>
        <v>0</v>
      </c>
      <c r="O86">
        <f>Excellent!AW109</f>
        <v>0</v>
      </c>
      <c r="P86" s="52">
        <f>Excellent!AX109</f>
        <v>0</v>
      </c>
    </row>
    <row r="87" spans="1:16" x14ac:dyDescent="0.25">
      <c r="A87" t="s">
        <v>5</v>
      </c>
      <c r="B87" t="str">
        <f>Excellent!AU50</f>
        <v/>
      </c>
      <c r="C87">
        <f>Excellent!AV50</f>
        <v>0</v>
      </c>
      <c r="D87">
        <f>Excellent!AW50</f>
        <v>0</v>
      </c>
      <c r="E87" s="52">
        <f>Excellent!AX50</f>
        <v>0</v>
      </c>
      <c r="L87" t="s">
        <v>5</v>
      </c>
      <c r="M87" t="str">
        <f>Excellent!AU110</f>
        <v/>
      </c>
      <c r="N87">
        <f>Excellent!AV110</f>
        <v>0</v>
      </c>
      <c r="O87">
        <f>Excellent!AW110</f>
        <v>0</v>
      </c>
      <c r="P87" s="52">
        <f>Excellent!AX110</f>
        <v>0</v>
      </c>
    </row>
    <row r="88" spans="1:16" x14ac:dyDescent="0.25">
      <c r="A88" t="s">
        <v>5</v>
      </c>
      <c r="B88" t="str">
        <f>Excellent!AU51</f>
        <v/>
      </c>
      <c r="C88">
        <f>Excellent!AV51</f>
        <v>0</v>
      </c>
      <c r="D88">
        <f>Excellent!AW51</f>
        <v>0</v>
      </c>
      <c r="E88" s="52">
        <f>Excellent!AX51</f>
        <v>0</v>
      </c>
      <c r="L88" t="s">
        <v>5</v>
      </c>
      <c r="M88" t="str">
        <f>Excellent!AU111</f>
        <v/>
      </c>
      <c r="N88">
        <f>Excellent!AV111</f>
        <v>0</v>
      </c>
      <c r="O88">
        <f>Excellent!AW111</f>
        <v>0</v>
      </c>
      <c r="P88" s="52">
        <f>Excellent!AX111</f>
        <v>0</v>
      </c>
    </row>
    <row r="89" spans="1:16" x14ac:dyDescent="0.25">
      <c r="A89" t="s">
        <v>5</v>
      </c>
      <c r="B89" t="str">
        <f>Excellent!AU52</f>
        <v/>
      </c>
      <c r="C89">
        <f>Excellent!AV52</f>
        <v>0</v>
      </c>
      <c r="D89">
        <f>Excellent!AW52</f>
        <v>0</v>
      </c>
      <c r="E89" s="52">
        <f>Excellent!AX52</f>
        <v>0</v>
      </c>
      <c r="L89" t="s">
        <v>5</v>
      </c>
      <c r="M89" t="str">
        <f>Excellent!AU112</f>
        <v/>
      </c>
      <c r="N89">
        <f>Excellent!AV112</f>
        <v>0</v>
      </c>
      <c r="O89">
        <f>Excellent!AW112</f>
        <v>0</v>
      </c>
      <c r="P89" s="52">
        <f>Excellent!AX112</f>
        <v>0</v>
      </c>
    </row>
    <row r="90" spans="1:16" x14ac:dyDescent="0.25">
      <c r="A90" t="s">
        <v>5</v>
      </c>
      <c r="B90" t="str">
        <f>Excellent!AU53</f>
        <v/>
      </c>
      <c r="C90">
        <f>Excellent!AV53</f>
        <v>0</v>
      </c>
      <c r="D90">
        <f>Excellent!AW53</f>
        <v>0</v>
      </c>
      <c r="E90" s="52">
        <f>Excellent!AX53</f>
        <v>0</v>
      </c>
      <c r="L90" t="s">
        <v>5</v>
      </c>
      <c r="M90" t="str">
        <f>Excellent!AU113</f>
        <v/>
      </c>
      <c r="N90">
        <f>Excellent!AV113</f>
        <v>0</v>
      </c>
      <c r="O90">
        <f>Excellent!AW113</f>
        <v>0</v>
      </c>
      <c r="P90" s="52">
        <f>Excellent!AX113</f>
        <v>0</v>
      </c>
    </row>
    <row r="91" spans="1:16" x14ac:dyDescent="0.25">
      <c r="A91" t="s">
        <v>5</v>
      </c>
      <c r="B91" t="str">
        <f>Excellent!AU54</f>
        <v/>
      </c>
      <c r="C91">
        <f>Excellent!AV54</f>
        <v>0</v>
      </c>
      <c r="D91">
        <f>Excellent!AW54</f>
        <v>0</v>
      </c>
      <c r="E91" s="52">
        <f>Excellent!AX54</f>
        <v>0</v>
      </c>
      <c r="L91" t="s">
        <v>5</v>
      </c>
      <c r="M91" t="str">
        <f>Excellent!AU114</f>
        <v/>
      </c>
      <c r="N91">
        <f>Excellent!AV114</f>
        <v>0</v>
      </c>
      <c r="O91">
        <f>Excellent!AW114</f>
        <v>0</v>
      </c>
      <c r="P91" s="52">
        <f>Excellent!AX114</f>
        <v>0</v>
      </c>
    </row>
    <row r="92" spans="1:16" x14ac:dyDescent="0.25">
      <c r="A92" t="s">
        <v>2034</v>
      </c>
      <c r="B92" t="str">
        <f>Elite!AT5</f>
        <v/>
      </c>
      <c r="C92">
        <f>Elite!AU5</f>
        <v>0</v>
      </c>
      <c r="D92">
        <f>Elite!AV5</f>
        <v>0</v>
      </c>
      <c r="E92" s="52">
        <f>Elite!AW5</f>
        <v>0</v>
      </c>
      <c r="L92" t="s">
        <v>2034</v>
      </c>
      <c r="M92" t="str">
        <f>Elite!AT45</f>
        <v/>
      </c>
      <c r="N92">
        <f>Elite!AU45</f>
        <v>0</v>
      </c>
      <c r="O92">
        <f>Elite!AV45</f>
        <v>0</v>
      </c>
      <c r="P92" s="52">
        <f>Elite!AW45</f>
        <v>0</v>
      </c>
    </row>
    <row r="93" spans="1:16" x14ac:dyDescent="0.25">
      <c r="A93" t="s">
        <v>2034</v>
      </c>
      <c r="B93" t="str">
        <f>Elite!AT6</f>
        <v/>
      </c>
      <c r="C93">
        <f>Elite!AU6</f>
        <v>0</v>
      </c>
      <c r="D93">
        <f>Elite!AV6</f>
        <v>0</v>
      </c>
      <c r="E93" s="52">
        <f>Elite!AW6</f>
        <v>0</v>
      </c>
      <c r="L93" t="s">
        <v>2034</v>
      </c>
      <c r="M93" t="str">
        <f>Elite!AT46</f>
        <v/>
      </c>
      <c r="N93">
        <f>Elite!AU46</f>
        <v>0</v>
      </c>
      <c r="O93">
        <f>Elite!AV46</f>
        <v>0</v>
      </c>
      <c r="P93" s="52">
        <f>Elite!AW46</f>
        <v>0</v>
      </c>
    </row>
    <row r="94" spans="1:16" x14ac:dyDescent="0.25">
      <c r="A94" t="s">
        <v>2034</v>
      </c>
      <c r="B94" t="str">
        <f>Elite!AT7</f>
        <v/>
      </c>
      <c r="C94">
        <f>Elite!AU7</f>
        <v>0</v>
      </c>
      <c r="D94">
        <f>Elite!AV7</f>
        <v>0</v>
      </c>
      <c r="E94" s="52">
        <f>Elite!AW7</f>
        <v>0</v>
      </c>
      <c r="L94" t="s">
        <v>2034</v>
      </c>
      <c r="M94" t="str">
        <f>Elite!AT47</f>
        <v/>
      </c>
      <c r="N94">
        <f>Elite!AU47</f>
        <v>0</v>
      </c>
      <c r="O94">
        <f>Elite!AV47</f>
        <v>0</v>
      </c>
      <c r="P94" s="52">
        <f>Elite!AW47</f>
        <v>0</v>
      </c>
    </row>
    <row r="95" spans="1:16" x14ac:dyDescent="0.25">
      <c r="A95" t="s">
        <v>2034</v>
      </c>
      <c r="B95" t="str">
        <f>Elite!AT8</f>
        <v/>
      </c>
      <c r="C95">
        <f>Elite!AU8</f>
        <v>0</v>
      </c>
      <c r="D95">
        <f>Elite!AV8</f>
        <v>0</v>
      </c>
      <c r="E95" s="52">
        <f>Elite!AW8</f>
        <v>0</v>
      </c>
      <c r="L95" t="s">
        <v>2034</v>
      </c>
      <c r="M95" t="str">
        <f>Elite!AT48</f>
        <v/>
      </c>
      <c r="N95">
        <f>Elite!AU48</f>
        <v>0</v>
      </c>
      <c r="O95">
        <f>Elite!AV48</f>
        <v>0</v>
      </c>
      <c r="P95" s="52">
        <f>Elite!AW48</f>
        <v>0</v>
      </c>
    </row>
    <row r="96" spans="1:16" x14ac:dyDescent="0.25">
      <c r="A96" t="s">
        <v>2034</v>
      </c>
      <c r="B96" t="str">
        <f>Elite!AT9</f>
        <v/>
      </c>
      <c r="C96">
        <f>Elite!AU9</f>
        <v>0</v>
      </c>
      <c r="D96">
        <f>Elite!AV9</f>
        <v>0</v>
      </c>
      <c r="E96" s="52">
        <f>Elite!AW9</f>
        <v>0</v>
      </c>
      <c r="L96" t="s">
        <v>2034</v>
      </c>
      <c r="M96" t="str">
        <f>Elite!AT49</f>
        <v/>
      </c>
      <c r="N96">
        <f>Elite!AU49</f>
        <v>0</v>
      </c>
      <c r="O96">
        <f>Elite!AV49</f>
        <v>0</v>
      </c>
      <c r="P96" s="52">
        <f>Elite!AW49</f>
        <v>0</v>
      </c>
    </row>
    <row r="97" spans="1:16" x14ac:dyDescent="0.25">
      <c r="A97" t="s">
        <v>2034</v>
      </c>
      <c r="B97" t="str">
        <f>Elite!AT10</f>
        <v/>
      </c>
      <c r="C97">
        <f>Elite!AU10</f>
        <v>0</v>
      </c>
      <c r="D97">
        <f>Elite!AV10</f>
        <v>0</v>
      </c>
      <c r="E97" s="52">
        <f>Elite!AW10</f>
        <v>0</v>
      </c>
      <c r="L97" t="s">
        <v>2034</v>
      </c>
      <c r="M97" t="str">
        <f>Elite!AT50</f>
        <v/>
      </c>
      <c r="N97">
        <f>Elite!AU50</f>
        <v>0</v>
      </c>
      <c r="O97">
        <f>Elite!AV50</f>
        <v>0</v>
      </c>
      <c r="P97" s="52">
        <f>Elite!AW50</f>
        <v>0</v>
      </c>
    </row>
    <row r="98" spans="1:16" x14ac:dyDescent="0.25">
      <c r="A98" t="s">
        <v>2034</v>
      </c>
      <c r="B98" t="str">
        <f>Elite!AT11</f>
        <v/>
      </c>
      <c r="C98">
        <f>Elite!AU11</f>
        <v>0</v>
      </c>
      <c r="D98">
        <f>Elite!AV11</f>
        <v>0</v>
      </c>
      <c r="E98" s="52">
        <f>Elite!AW11</f>
        <v>0</v>
      </c>
      <c r="L98" t="s">
        <v>2034</v>
      </c>
      <c r="M98" t="str">
        <f>Elite!AT51</f>
        <v/>
      </c>
      <c r="N98">
        <f>Elite!AU51</f>
        <v>0</v>
      </c>
      <c r="O98">
        <f>Elite!AV51</f>
        <v>0</v>
      </c>
      <c r="P98" s="52">
        <f>Elite!AW51</f>
        <v>0</v>
      </c>
    </row>
    <row r="99" spans="1:16" x14ac:dyDescent="0.25">
      <c r="A99" t="s">
        <v>2034</v>
      </c>
      <c r="B99" t="str">
        <f>Elite!AT12</f>
        <v/>
      </c>
      <c r="C99">
        <f>Elite!AU12</f>
        <v>0</v>
      </c>
      <c r="D99">
        <f>Elite!AV12</f>
        <v>0</v>
      </c>
      <c r="E99" s="52">
        <f>Elite!AW12</f>
        <v>0</v>
      </c>
      <c r="L99" t="s">
        <v>2034</v>
      </c>
      <c r="M99" t="str">
        <f>Elite!AT52</f>
        <v/>
      </c>
      <c r="N99">
        <f>Elite!AU52</f>
        <v>0</v>
      </c>
      <c r="O99">
        <f>Elite!AV52</f>
        <v>0</v>
      </c>
      <c r="P99" s="52">
        <f>Elite!AW52</f>
        <v>0</v>
      </c>
    </row>
    <row r="100" spans="1:16" x14ac:dyDescent="0.25">
      <c r="A100" t="s">
        <v>2034</v>
      </c>
      <c r="B100" t="str">
        <f>Elite!AT13</f>
        <v/>
      </c>
      <c r="C100">
        <f>Elite!AU13</f>
        <v>0</v>
      </c>
      <c r="D100">
        <f>Elite!AV13</f>
        <v>0</v>
      </c>
      <c r="E100" s="52">
        <f>Elite!AW13</f>
        <v>0</v>
      </c>
      <c r="L100" t="s">
        <v>2034</v>
      </c>
      <c r="M100" t="str">
        <f>Elite!AT53</f>
        <v/>
      </c>
      <c r="N100">
        <f>Elite!AU53</f>
        <v>0</v>
      </c>
      <c r="O100">
        <f>Elite!AV53</f>
        <v>0</v>
      </c>
      <c r="P100" s="52">
        <f>Elite!AW53</f>
        <v>0</v>
      </c>
    </row>
    <row r="101" spans="1:16" x14ac:dyDescent="0.25">
      <c r="A101" t="s">
        <v>2034</v>
      </c>
      <c r="B101" t="str">
        <f>Elite!AT14</f>
        <v/>
      </c>
      <c r="C101">
        <f>Elite!AU14</f>
        <v>0</v>
      </c>
      <c r="D101">
        <f>Elite!AV14</f>
        <v>0</v>
      </c>
      <c r="E101" s="52">
        <f>Elite!AW14</f>
        <v>0</v>
      </c>
      <c r="L101" t="s">
        <v>2034</v>
      </c>
      <c r="M101" t="str">
        <f>Elite!AT54</f>
        <v/>
      </c>
      <c r="N101">
        <f>Elite!AU54</f>
        <v>0</v>
      </c>
      <c r="O101">
        <f>Elite!AV54</f>
        <v>0</v>
      </c>
      <c r="P101" s="52">
        <f>Elite!AW54</f>
        <v>0</v>
      </c>
    </row>
    <row r="102" spans="1:16" x14ac:dyDescent="0.25">
      <c r="A102" t="s">
        <v>2034</v>
      </c>
      <c r="B102" t="str">
        <f>Elite!AT15</f>
        <v/>
      </c>
      <c r="C102">
        <f>Elite!AU15</f>
        <v>0</v>
      </c>
      <c r="D102">
        <f>Elite!AV15</f>
        <v>0</v>
      </c>
      <c r="E102" s="52">
        <f>Elite!AW15</f>
        <v>0</v>
      </c>
      <c r="L102" t="s">
        <v>2034</v>
      </c>
      <c r="M102" t="str">
        <f>Elite!AT55</f>
        <v/>
      </c>
      <c r="N102">
        <f>Elite!AU55</f>
        <v>0</v>
      </c>
      <c r="O102">
        <f>Elite!AV55</f>
        <v>0</v>
      </c>
      <c r="P102" s="52">
        <f>Elite!AW55</f>
        <v>0</v>
      </c>
    </row>
    <row r="103" spans="1:16" x14ac:dyDescent="0.25">
      <c r="A103" t="s">
        <v>2034</v>
      </c>
      <c r="B103" t="str">
        <f>Elite!AT16</f>
        <v/>
      </c>
      <c r="C103">
        <f>Elite!AU16</f>
        <v>0</v>
      </c>
      <c r="D103">
        <f>Elite!AV16</f>
        <v>0</v>
      </c>
      <c r="E103" s="52">
        <f>Elite!AW16</f>
        <v>0</v>
      </c>
      <c r="L103" t="s">
        <v>2034</v>
      </c>
      <c r="M103" t="str">
        <f>Elite!AT56</f>
        <v/>
      </c>
      <c r="N103">
        <f>Elite!AU56</f>
        <v>0</v>
      </c>
      <c r="O103">
        <f>Elite!AV56</f>
        <v>0</v>
      </c>
      <c r="P103" s="52">
        <f>Elite!AW56</f>
        <v>0</v>
      </c>
    </row>
    <row r="104" spans="1:16" x14ac:dyDescent="0.25">
      <c r="A104" t="s">
        <v>2034</v>
      </c>
      <c r="B104" t="str">
        <f>Elite!AT17</f>
        <v/>
      </c>
      <c r="C104">
        <f>Elite!AU17</f>
        <v>0</v>
      </c>
      <c r="D104">
        <f>Elite!AV17</f>
        <v>0</v>
      </c>
      <c r="E104" s="52">
        <f>Elite!AW17</f>
        <v>0</v>
      </c>
      <c r="L104" t="s">
        <v>2034</v>
      </c>
      <c r="M104" t="str">
        <f>Elite!AT57</f>
        <v/>
      </c>
      <c r="N104">
        <f>Elite!AU57</f>
        <v>0</v>
      </c>
      <c r="O104">
        <f>Elite!AV57</f>
        <v>0</v>
      </c>
      <c r="P104" s="52">
        <f>Elite!AW57</f>
        <v>0</v>
      </c>
    </row>
    <row r="105" spans="1:16" x14ac:dyDescent="0.25">
      <c r="A105" t="s">
        <v>2034</v>
      </c>
      <c r="B105" t="str">
        <f>Elite!AT18</f>
        <v/>
      </c>
      <c r="C105">
        <f>Elite!AU18</f>
        <v>0</v>
      </c>
      <c r="D105">
        <f>Elite!AV18</f>
        <v>0</v>
      </c>
      <c r="E105" s="52">
        <f>Elite!AW18</f>
        <v>0</v>
      </c>
      <c r="L105" t="s">
        <v>2034</v>
      </c>
      <c r="M105" t="str">
        <f>Elite!AT58</f>
        <v/>
      </c>
      <c r="N105">
        <f>Elite!AU58</f>
        <v>0</v>
      </c>
      <c r="O105">
        <f>Elite!AV58</f>
        <v>0</v>
      </c>
      <c r="P105" s="52">
        <f>Elite!AW58</f>
        <v>0</v>
      </c>
    </row>
    <row r="106" spans="1:16" x14ac:dyDescent="0.25">
      <c r="A106" t="s">
        <v>2034</v>
      </c>
      <c r="B106" t="str">
        <f>Elite!AT19</f>
        <v/>
      </c>
      <c r="C106">
        <f>Elite!AU19</f>
        <v>0</v>
      </c>
      <c r="D106">
        <f>Elite!AV19</f>
        <v>0</v>
      </c>
      <c r="E106" s="52">
        <f>Elite!AW19</f>
        <v>0</v>
      </c>
      <c r="L106" t="s">
        <v>2034</v>
      </c>
      <c r="M106" t="str">
        <f>Elite!AT59</f>
        <v/>
      </c>
      <c r="N106">
        <f>Elite!AU59</f>
        <v>0</v>
      </c>
      <c r="O106">
        <f>Elite!AV59</f>
        <v>0</v>
      </c>
      <c r="P106" s="52">
        <f>Elite!AW59</f>
        <v>0</v>
      </c>
    </row>
    <row r="107" spans="1:16" x14ac:dyDescent="0.25">
      <c r="A107" t="s">
        <v>2034</v>
      </c>
      <c r="B107" t="str">
        <f>Elite!AT20</f>
        <v/>
      </c>
      <c r="C107">
        <f>Elite!AU20</f>
        <v>0</v>
      </c>
      <c r="D107">
        <f>Elite!AV20</f>
        <v>0</v>
      </c>
      <c r="E107" s="52">
        <f>Elite!AW20</f>
        <v>0</v>
      </c>
      <c r="L107" t="s">
        <v>2034</v>
      </c>
      <c r="M107" t="str">
        <f>Elite!AT60</f>
        <v/>
      </c>
      <c r="N107">
        <f>Elite!AU60</f>
        <v>0</v>
      </c>
      <c r="O107">
        <f>Elite!AV60</f>
        <v>0</v>
      </c>
      <c r="P107" s="52">
        <f>Elite!AW60</f>
        <v>0</v>
      </c>
    </row>
    <row r="108" spans="1:16" x14ac:dyDescent="0.25">
      <c r="A108" t="s">
        <v>2034</v>
      </c>
      <c r="B108" t="str">
        <f>Elite!AT21</f>
        <v/>
      </c>
      <c r="C108">
        <f>Elite!AU21</f>
        <v>0</v>
      </c>
      <c r="D108">
        <f>Elite!AV21</f>
        <v>0</v>
      </c>
      <c r="E108" s="52">
        <f>Elite!AW21</f>
        <v>0</v>
      </c>
      <c r="L108" t="s">
        <v>2034</v>
      </c>
      <c r="M108" t="str">
        <f>Elite!AT61</f>
        <v/>
      </c>
      <c r="N108">
        <f>Elite!AU61</f>
        <v>0</v>
      </c>
      <c r="O108">
        <f>Elite!AV61</f>
        <v>0</v>
      </c>
      <c r="P108" s="52">
        <f>Elite!AW61</f>
        <v>0</v>
      </c>
    </row>
    <row r="109" spans="1:16" x14ac:dyDescent="0.25">
      <c r="A109" t="s">
        <v>2034</v>
      </c>
      <c r="B109" t="str">
        <f>Elite!AT22</f>
        <v/>
      </c>
      <c r="C109">
        <f>Elite!AU22</f>
        <v>0</v>
      </c>
      <c r="D109">
        <f>Elite!AV22</f>
        <v>0</v>
      </c>
      <c r="E109" s="52">
        <f>Elite!AW22</f>
        <v>0</v>
      </c>
      <c r="L109" t="s">
        <v>2034</v>
      </c>
      <c r="M109" t="str">
        <f>Elite!AT62</f>
        <v/>
      </c>
      <c r="N109">
        <f>Elite!AU62</f>
        <v>0</v>
      </c>
      <c r="O109">
        <f>Elite!AV62</f>
        <v>0</v>
      </c>
      <c r="P109" s="52">
        <f>Elite!AW62</f>
        <v>0</v>
      </c>
    </row>
    <row r="110" spans="1:16" x14ac:dyDescent="0.25">
      <c r="A110" t="s">
        <v>2034</v>
      </c>
      <c r="B110" t="str">
        <f>Elite!AT23</f>
        <v/>
      </c>
      <c r="C110">
        <f>Elite!AU23</f>
        <v>0</v>
      </c>
      <c r="D110">
        <f>Elite!AV23</f>
        <v>0</v>
      </c>
      <c r="E110" s="52">
        <f>Elite!AW23</f>
        <v>0</v>
      </c>
      <c r="L110" t="s">
        <v>2034</v>
      </c>
      <c r="M110" t="str">
        <f>Elite!AT63</f>
        <v/>
      </c>
      <c r="N110">
        <f>Elite!AU63</f>
        <v>0</v>
      </c>
      <c r="O110">
        <f>Elite!AV63</f>
        <v>0</v>
      </c>
      <c r="P110" s="52">
        <f>Elite!AW63</f>
        <v>0</v>
      </c>
    </row>
    <row r="111" spans="1:16" x14ac:dyDescent="0.25">
      <c r="A111" t="s">
        <v>2034</v>
      </c>
      <c r="B111" t="str">
        <f>Elite!AT24</f>
        <v/>
      </c>
      <c r="C111">
        <f>Elite!AU24</f>
        <v>0</v>
      </c>
      <c r="D111">
        <f>Elite!AV24</f>
        <v>0</v>
      </c>
      <c r="E111" s="52">
        <f>Elite!AW24</f>
        <v>0</v>
      </c>
      <c r="L111" t="s">
        <v>2034</v>
      </c>
      <c r="M111" t="str">
        <f>Elite!AT64</f>
        <v/>
      </c>
      <c r="N111">
        <f>Elite!AU64</f>
        <v>0</v>
      </c>
      <c r="O111">
        <f>Elite!AV64</f>
        <v>0</v>
      </c>
      <c r="P111" s="52">
        <f>Elite!AW64</f>
        <v>0</v>
      </c>
    </row>
    <row r="112" spans="1:16" x14ac:dyDescent="0.25">
      <c r="A112" t="s">
        <v>2034</v>
      </c>
      <c r="B112" t="str">
        <f>Elite!AT25</f>
        <v/>
      </c>
      <c r="C112">
        <f>Elite!AU25</f>
        <v>0</v>
      </c>
      <c r="D112">
        <f>Elite!AV25</f>
        <v>0</v>
      </c>
      <c r="E112" s="52">
        <f>Elite!AW25</f>
        <v>0</v>
      </c>
      <c r="L112" t="s">
        <v>2034</v>
      </c>
      <c r="M112" t="str">
        <f>Elite!AT65</f>
        <v/>
      </c>
      <c r="N112">
        <f>Elite!AU65</f>
        <v>0</v>
      </c>
      <c r="O112">
        <f>Elite!AV65</f>
        <v>0</v>
      </c>
      <c r="P112" s="52">
        <f>Elite!AW65</f>
        <v>0</v>
      </c>
    </row>
    <row r="113" spans="1:16" x14ac:dyDescent="0.25">
      <c r="A113" t="s">
        <v>2034</v>
      </c>
      <c r="B113" t="str">
        <f>Elite!AT26</f>
        <v/>
      </c>
      <c r="C113">
        <f>Elite!AU26</f>
        <v>0</v>
      </c>
      <c r="D113">
        <f>Elite!AV26</f>
        <v>0</v>
      </c>
      <c r="E113" s="52">
        <f>Elite!AW26</f>
        <v>0</v>
      </c>
      <c r="L113" t="s">
        <v>2034</v>
      </c>
      <c r="M113" t="str">
        <f>Elite!AT66</f>
        <v/>
      </c>
      <c r="N113">
        <f>Elite!AU66</f>
        <v>0</v>
      </c>
      <c r="O113">
        <f>Elite!AV66</f>
        <v>0</v>
      </c>
      <c r="P113" s="52">
        <f>Elite!AW66</f>
        <v>0</v>
      </c>
    </row>
    <row r="114" spans="1:16" x14ac:dyDescent="0.25">
      <c r="A114" t="s">
        <v>2034</v>
      </c>
      <c r="B114" t="str">
        <f>Elite!AT27</f>
        <v/>
      </c>
      <c r="C114">
        <f>Elite!AU27</f>
        <v>0</v>
      </c>
      <c r="D114">
        <f>Elite!AV27</f>
        <v>0</v>
      </c>
      <c r="E114" s="52">
        <f>Elite!AW27</f>
        <v>0</v>
      </c>
      <c r="L114" t="s">
        <v>2034</v>
      </c>
      <c r="M114" t="str">
        <f>Elite!AT67</f>
        <v/>
      </c>
      <c r="N114">
        <f>Elite!AU67</f>
        <v>0</v>
      </c>
      <c r="O114">
        <f>Elite!AV67</f>
        <v>0</v>
      </c>
      <c r="P114" s="52">
        <f>Elite!AW67</f>
        <v>0</v>
      </c>
    </row>
    <row r="115" spans="1:16" x14ac:dyDescent="0.25">
      <c r="A115" t="s">
        <v>2034</v>
      </c>
      <c r="B115" t="str">
        <f>Elite!AT28</f>
        <v/>
      </c>
      <c r="C115">
        <f>Elite!AU28</f>
        <v>0</v>
      </c>
      <c r="D115">
        <f>Elite!AV28</f>
        <v>0</v>
      </c>
      <c r="E115" s="52">
        <f>Elite!AW28</f>
        <v>0</v>
      </c>
      <c r="L115" t="s">
        <v>2034</v>
      </c>
      <c r="M115" t="str">
        <f>Elite!AT68</f>
        <v/>
      </c>
      <c r="N115">
        <f>Elite!AU68</f>
        <v>0</v>
      </c>
      <c r="O115">
        <f>Elite!AV68</f>
        <v>0</v>
      </c>
      <c r="P115" s="52">
        <f>Elite!AW68</f>
        <v>0</v>
      </c>
    </row>
    <row r="116" spans="1:16" x14ac:dyDescent="0.25">
      <c r="A116" t="s">
        <v>2034</v>
      </c>
      <c r="B116" t="str">
        <f>Elite!AT29</f>
        <v/>
      </c>
      <c r="C116">
        <f>Elite!AU29</f>
        <v>0</v>
      </c>
      <c r="D116">
        <f>Elite!AV29</f>
        <v>0</v>
      </c>
      <c r="E116" s="52">
        <f>Elite!AW29</f>
        <v>0</v>
      </c>
      <c r="L116" t="s">
        <v>2034</v>
      </c>
      <c r="M116" t="str">
        <f>Elite!AT69</f>
        <v/>
      </c>
      <c r="N116">
        <f>Elite!AU69</f>
        <v>0</v>
      </c>
      <c r="O116">
        <f>Elite!AV69</f>
        <v>0</v>
      </c>
      <c r="P116" s="52">
        <f>Elite!AW69</f>
        <v>0</v>
      </c>
    </row>
    <row r="117" spans="1:16" x14ac:dyDescent="0.25">
      <c r="A117" t="s">
        <v>2034</v>
      </c>
      <c r="B117" t="str">
        <f>Elite!AT30</f>
        <v/>
      </c>
      <c r="C117">
        <f>Elite!AU30</f>
        <v>0</v>
      </c>
      <c r="D117">
        <f>Elite!AV30</f>
        <v>0</v>
      </c>
      <c r="E117" s="52">
        <f>Elite!AW30</f>
        <v>0</v>
      </c>
      <c r="L117" t="s">
        <v>2034</v>
      </c>
      <c r="M117" t="str">
        <f>Elite!AT70</f>
        <v/>
      </c>
      <c r="N117">
        <f>Elite!AU70</f>
        <v>0</v>
      </c>
      <c r="O117">
        <f>Elite!AV70</f>
        <v>0</v>
      </c>
      <c r="P117" s="52">
        <f>Elite!AW70</f>
        <v>0</v>
      </c>
    </row>
    <row r="118" spans="1:16" x14ac:dyDescent="0.25">
      <c r="A118" t="s">
        <v>2034</v>
      </c>
      <c r="B118" t="str">
        <f>Elite!AT31</f>
        <v/>
      </c>
      <c r="C118">
        <f>Elite!AU31</f>
        <v>0</v>
      </c>
      <c r="D118">
        <f>Elite!AV31</f>
        <v>0</v>
      </c>
      <c r="E118" s="52">
        <f>Elite!AW31</f>
        <v>0</v>
      </c>
      <c r="L118" t="s">
        <v>2034</v>
      </c>
      <c r="M118" t="str">
        <f>Elite!AT71</f>
        <v/>
      </c>
      <c r="N118">
        <f>Elite!AU71</f>
        <v>0</v>
      </c>
      <c r="O118">
        <f>Elite!AV71</f>
        <v>0</v>
      </c>
      <c r="P118" s="52">
        <f>Elite!AW71</f>
        <v>0</v>
      </c>
    </row>
    <row r="119" spans="1:16" x14ac:dyDescent="0.25">
      <c r="A119" t="s">
        <v>2034</v>
      </c>
      <c r="B119" t="str">
        <f>Elite!AT32</f>
        <v/>
      </c>
      <c r="C119">
        <f>Elite!AU32</f>
        <v>0</v>
      </c>
      <c r="D119">
        <f>Elite!AV32</f>
        <v>0</v>
      </c>
      <c r="E119" s="52">
        <f>Elite!AW32</f>
        <v>0</v>
      </c>
      <c r="L119" t="s">
        <v>2034</v>
      </c>
      <c r="M119" t="str">
        <f>Elite!AT72</f>
        <v/>
      </c>
      <c r="N119">
        <f>Elite!AU72</f>
        <v>0</v>
      </c>
      <c r="O119">
        <f>Elite!AV72</f>
        <v>0</v>
      </c>
      <c r="P119" s="52">
        <f>Elite!AW72</f>
        <v>0</v>
      </c>
    </row>
    <row r="120" spans="1:16" x14ac:dyDescent="0.25">
      <c r="A120" t="s">
        <v>2034</v>
      </c>
      <c r="B120" t="str">
        <f>Elite!AT33</f>
        <v/>
      </c>
      <c r="C120">
        <f>Elite!AU33</f>
        <v>0</v>
      </c>
      <c r="D120">
        <f>Elite!AV33</f>
        <v>0</v>
      </c>
      <c r="E120" s="52">
        <f>Elite!AW33</f>
        <v>0</v>
      </c>
      <c r="L120" t="s">
        <v>2034</v>
      </c>
      <c r="M120" t="str">
        <f>Elite!AT73</f>
        <v/>
      </c>
      <c r="N120">
        <f>Elite!AU73</f>
        <v>0</v>
      </c>
      <c r="O120">
        <f>Elite!AV73</f>
        <v>0</v>
      </c>
      <c r="P120" s="52">
        <f>Elite!AW73</f>
        <v>0</v>
      </c>
    </row>
    <row r="121" spans="1:16" x14ac:dyDescent="0.25">
      <c r="A121" t="s">
        <v>2034</v>
      </c>
      <c r="B121" t="str">
        <f>Elite!AT34</f>
        <v/>
      </c>
      <c r="C121">
        <f>Elite!AU34</f>
        <v>0</v>
      </c>
      <c r="D121">
        <f>Elite!AV34</f>
        <v>0</v>
      </c>
      <c r="E121" s="52">
        <f>Elite!AW34</f>
        <v>0</v>
      </c>
      <c r="L121" t="s">
        <v>2034</v>
      </c>
      <c r="M121" t="str">
        <f>Elite!AT74</f>
        <v/>
      </c>
      <c r="N121">
        <f>Elite!AU74</f>
        <v>0</v>
      </c>
      <c r="O121">
        <f>Elite!AV74</f>
        <v>0</v>
      </c>
      <c r="P121" s="52">
        <f>Elite!AW74</f>
        <v>0</v>
      </c>
    </row>
    <row r="122" spans="1:16" x14ac:dyDescent="0.25">
      <c r="A122" t="s">
        <v>3754</v>
      </c>
      <c r="B122" t="str">
        <f>Games!G7</f>
        <v/>
      </c>
      <c r="C122">
        <f>Games!AO7</f>
        <v>0</v>
      </c>
      <c r="D122">
        <f>Games!AP7</f>
        <v>0</v>
      </c>
      <c r="E122" s="52">
        <f>Games!AQ7</f>
        <v>0</v>
      </c>
      <c r="L122" t="s">
        <v>3754</v>
      </c>
      <c r="M122" t="str">
        <f>Games!G66</f>
        <v/>
      </c>
      <c r="N122">
        <f>Games!AO66</f>
        <v>0</v>
      </c>
      <c r="O122">
        <f>Games!AP66</f>
        <v>0</v>
      </c>
      <c r="P122" s="52">
        <f>Games!AQ66</f>
        <v>0</v>
      </c>
    </row>
    <row r="123" spans="1:16" x14ac:dyDescent="0.25">
      <c r="A123" t="s">
        <v>3754</v>
      </c>
      <c r="B123" t="str">
        <f>Games!G8</f>
        <v/>
      </c>
      <c r="C123">
        <f>Games!AO8</f>
        <v>0</v>
      </c>
      <c r="D123">
        <f>Games!AP8</f>
        <v>0</v>
      </c>
      <c r="E123" s="52">
        <f>Games!AQ8</f>
        <v>0</v>
      </c>
      <c r="L123" t="s">
        <v>3754</v>
      </c>
      <c r="M123" t="str">
        <f>Games!G67</f>
        <v/>
      </c>
      <c r="N123">
        <f>Games!AO67</f>
        <v>0</v>
      </c>
      <c r="O123">
        <f>Games!AP67</f>
        <v>0</v>
      </c>
      <c r="P123" s="52">
        <f>Games!AQ67</f>
        <v>0</v>
      </c>
    </row>
    <row r="124" spans="1:16" x14ac:dyDescent="0.25">
      <c r="A124" t="s">
        <v>3754</v>
      </c>
      <c r="B124" t="str">
        <f>Games!G9</f>
        <v/>
      </c>
      <c r="C124">
        <f>Games!AO9</f>
        <v>0</v>
      </c>
      <c r="D124">
        <f>Games!AP9</f>
        <v>0</v>
      </c>
      <c r="E124" s="52">
        <f>Games!AQ9</f>
        <v>0</v>
      </c>
      <c r="L124" t="s">
        <v>3754</v>
      </c>
      <c r="M124" t="str">
        <f>Games!G68</f>
        <v/>
      </c>
      <c r="N124">
        <f>Games!AO68</f>
        <v>0</v>
      </c>
      <c r="O124">
        <f>Games!AP68</f>
        <v>0</v>
      </c>
      <c r="P124" s="52">
        <f>Games!AQ68</f>
        <v>0</v>
      </c>
    </row>
    <row r="125" spans="1:16" x14ac:dyDescent="0.25">
      <c r="A125" t="s">
        <v>3754</v>
      </c>
      <c r="B125" t="str">
        <f>Games!G10</f>
        <v/>
      </c>
      <c r="C125">
        <f>Games!AO10</f>
        <v>0</v>
      </c>
      <c r="D125">
        <f>Games!AP10</f>
        <v>0</v>
      </c>
      <c r="E125" s="52">
        <f>Games!AQ10</f>
        <v>0</v>
      </c>
      <c r="L125" t="s">
        <v>3754</v>
      </c>
      <c r="M125" t="str">
        <f>Games!G69</f>
        <v/>
      </c>
      <c r="N125">
        <f>Games!AO69</f>
        <v>0</v>
      </c>
      <c r="O125">
        <f>Games!AP69</f>
        <v>0</v>
      </c>
      <c r="P125" s="52">
        <f>Games!AQ69</f>
        <v>0</v>
      </c>
    </row>
    <row r="126" spans="1:16" x14ac:dyDescent="0.25">
      <c r="A126" t="s">
        <v>3754</v>
      </c>
      <c r="B126" t="str">
        <f>Games!G11</f>
        <v/>
      </c>
      <c r="C126">
        <f>Games!AO11</f>
        <v>0</v>
      </c>
      <c r="D126">
        <f>Games!AP11</f>
        <v>0</v>
      </c>
      <c r="E126" s="52">
        <f>Games!AQ11</f>
        <v>0</v>
      </c>
      <c r="L126" t="s">
        <v>3754</v>
      </c>
      <c r="M126" t="str">
        <f>Games!G70</f>
        <v/>
      </c>
      <c r="N126">
        <f>Games!AO70</f>
        <v>0</v>
      </c>
      <c r="O126">
        <f>Games!AP70</f>
        <v>0</v>
      </c>
      <c r="P126" s="52">
        <f>Games!AQ70</f>
        <v>0</v>
      </c>
    </row>
    <row r="127" spans="1:16" x14ac:dyDescent="0.25">
      <c r="A127" t="s">
        <v>3754</v>
      </c>
      <c r="B127" t="str">
        <f>Games!G12</f>
        <v/>
      </c>
      <c r="C127">
        <f>Games!AO12</f>
        <v>0</v>
      </c>
      <c r="D127">
        <f>Games!AP12</f>
        <v>0</v>
      </c>
      <c r="E127" s="52">
        <f>Games!AQ12</f>
        <v>0</v>
      </c>
      <c r="L127" t="s">
        <v>3754</v>
      </c>
      <c r="M127" t="str">
        <f>Games!G71</f>
        <v/>
      </c>
      <c r="N127">
        <f>Games!AO71</f>
        <v>0</v>
      </c>
      <c r="O127">
        <f>Games!AP71</f>
        <v>0</v>
      </c>
      <c r="P127" s="52">
        <f>Games!AQ71</f>
        <v>0</v>
      </c>
    </row>
    <row r="128" spans="1:16" x14ac:dyDescent="0.25">
      <c r="A128" t="s">
        <v>3754</v>
      </c>
      <c r="B128" t="str">
        <f>Games!G13</f>
        <v/>
      </c>
      <c r="C128">
        <f>Games!AO13</f>
        <v>0</v>
      </c>
      <c r="D128">
        <f>Games!AP13</f>
        <v>0</v>
      </c>
      <c r="E128" s="52">
        <f>Games!AQ13</f>
        <v>0</v>
      </c>
      <c r="L128" t="s">
        <v>3754</v>
      </c>
      <c r="M128" t="str">
        <f>Games!G72</f>
        <v/>
      </c>
      <c r="N128">
        <f>Games!AO72</f>
        <v>0</v>
      </c>
      <c r="O128">
        <f>Games!AP72</f>
        <v>0</v>
      </c>
      <c r="P128" s="52">
        <f>Games!AQ72</f>
        <v>0</v>
      </c>
    </row>
    <row r="129" spans="1:16" x14ac:dyDescent="0.25">
      <c r="A129" t="s">
        <v>3754</v>
      </c>
      <c r="B129" t="str">
        <f>Games!G14</f>
        <v/>
      </c>
      <c r="C129">
        <f>Games!AO14</f>
        <v>0</v>
      </c>
      <c r="D129">
        <f>Games!AP14</f>
        <v>0</v>
      </c>
      <c r="E129" s="52">
        <f>Games!AQ14</f>
        <v>0</v>
      </c>
      <c r="L129" t="s">
        <v>3754</v>
      </c>
      <c r="M129" t="str">
        <f>Games!G73</f>
        <v/>
      </c>
      <c r="N129">
        <f>Games!AO73</f>
        <v>0</v>
      </c>
      <c r="O129">
        <f>Games!AP73</f>
        <v>0</v>
      </c>
      <c r="P129" s="52">
        <f>Games!AQ73</f>
        <v>0</v>
      </c>
    </row>
    <row r="130" spans="1:16" x14ac:dyDescent="0.25">
      <c r="A130" t="s">
        <v>3754</v>
      </c>
      <c r="B130" t="str">
        <f>Games!G15</f>
        <v/>
      </c>
      <c r="C130">
        <f>Games!AO15</f>
        <v>0</v>
      </c>
      <c r="D130">
        <f>Games!AP15</f>
        <v>0</v>
      </c>
      <c r="E130" s="52">
        <f>Games!AQ15</f>
        <v>0</v>
      </c>
      <c r="L130" t="s">
        <v>3754</v>
      </c>
      <c r="M130" t="str">
        <f>Games!G74</f>
        <v/>
      </c>
      <c r="N130">
        <f>Games!AO74</f>
        <v>0</v>
      </c>
      <c r="O130">
        <f>Games!AP74</f>
        <v>0</v>
      </c>
      <c r="P130" s="52">
        <f>Games!AQ74</f>
        <v>0</v>
      </c>
    </row>
    <row r="131" spans="1:16" x14ac:dyDescent="0.25">
      <c r="A131" t="s">
        <v>3754</v>
      </c>
      <c r="B131" t="str">
        <f>Games!G16</f>
        <v/>
      </c>
      <c r="C131">
        <f>Games!AO16</f>
        <v>0</v>
      </c>
      <c r="D131">
        <f>Games!AP16</f>
        <v>0</v>
      </c>
      <c r="E131" s="52">
        <f>Games!AQ16</f>
        <v>0</v>
      </c>
      <c r="L131" t="s">
        <v>3754</v>
      </c>
      <c r="M131" t="str">
        <f>Games!G75</f>
        <v/>
      </c>
      <c r="N131">
        <f>Games!AO75</f>
        <v>0</v>
      </c>
      <c r="O131">
        <f>Games!AP75</f>
        <v>0</v>
      </c>
      <c r="P131" s="52">
        <f>Games!AQ75</f>
        <v>0</v>
      </c>
    </row>
    <row r="132" spans="1:16" x14ac:dyDescent="0.25">
      <c r="A132" t="s">
        <v>3754</v>
      </c>
      <c r="B132" t="str">
        <f>Games!G17</f>
        <v/>
      </c>
      <c r="C132">
        <f>Games!AO17</f>
        <v>0</v>
      </c>
      <c r="D132">
        <f>Games!AP17</f>
        <v>0</v>
      </c>
      <c r="E132" s="52">
        <f>Games!AQ17</f>
        <v>0</v>
      </c>
      <c r="L132" t="s">
        <v>3754</v>
      </c>
      <c r="M132" t="str">
        <f>Games!G76</f>
        <v/>
      </c>
      <c r="N132">
        <f>Games!AO76</f>
        <v>0</v>
      </c>
      <c r="O132">
        <f>Games!AP76</f>
        <v>0</v>
      </c>
      <c r="P132" s="52">
        <f>Games!AQ76</f>
        <v>0</v>
      </c>
    </row>
    <row r="133" spans="1:16" x14ac:dyDescent="0.25">
      <c r="A133" t="s">
        <v>3754</v>
      </c>
      <c r="B133" t="str">
        <f>Games!G18</f>
        <v/>
      </c>
      <c r="C133">
        <f>Games!AO18</f>
        <v>0</v>
      </c>
      <c r="D133">
        <f>Games!AP18</f>
        <v>0</v>
      </c>
      <c r="E133" s="52">
        <f>Games!AQ18</f>
        <v>0</v>
      </c>
      <c r="L133" t="s">
        <v>3754</v>
      </c>
      <c r="M133" t="str">
        <f>Games!G77</f>
        <v/>
      </c>
      <c r="N133">
        <f>Games!AO77</f>
        <v>0</v>
      </c>
      <c r="O133">
        <f>Games!AP77</f>
        <v>0</v>
      </c>
      <c r="P133" s="52">
        <f>Games!AQ77</f>
        <v>0</v>
      </c>
    </row>
    <row r="134" spans="1:16" x14ac:dyDescent="0.25">
      <c r="A134" t="s">
        <v>3754</v>
      </c>
      <c r="B134" t="str">
        <f>Games!G19</f>
        <v/>
      </c>
      <c r="C134">
        <f>Games!AO19</f>
        <v>0</v>
      </c>
      <c r="D134">
        <f>Games!AP19</f>
        <v>0</v>
      </c>
      <c r="E134" s="52">
        <f>Games!AQ19</f>
        <v>0</v>
      </c>
      <c r="L134" t="s">
        <v>3754</v>
      </c>
      <c r="M134" t="str">
        <f>Games!G78</f>
        <v/>
      </c>
      <c r="N134">
        <f>Games!AO78</f>
        <v>0</v>
      </c>
      <c r="O134">
        <f>Games!AP78</f>
        <v>0</v>
      </c>
      <c r="P134" s="52">
        <f>Games!AQ78</f>
        <v>0</v>
      </c>
    </row>
    <row r="135" spans="1:16" x14ac:dyDescent="0.25">
      <c r="A135" t="s">
        <v>3754</v>
      </c>
      <c r="B135" t="str">
        <f>Games!G20</f>
        <v/>
      </c>
      <c r="C135">
        <f>Games!AO20</f>
        <v>0</v>
      </c>
      <c r="D135">
        <f>Games!AP20</f>
        <v>0</v>
      </c>
      <c r="E135" s="52">
        <f>Games!AQ20</f>
        <v>0</v>
      </c>
      <c r="L135" t="s">
        <v>3754</v>
      </c>
      <c r="M135" t="str">
        <f>Games!G79</f>
        <v/>
      </c>
      <c r="N135">
        <f>Games!AO79</f>
        <v>0</v>
      </c>
      <c r="O135">
        <f>Games!AP79</f>
        <v>0</v>
      </c>
      <c r="P135" s="52">
        <f>Games!AQ79</f>
        <v>0</v>
      </c>
    </row>
    <row r="136" spans="1:16" x14ac:dyDescent="0.25">
      <c r="A136" t="s">
        <v>3754</v>
      </c>
      <c r="B136" t="str">
        <f>Games!G21</f>
        <v/>
      </c>
      <c r="C136">
        <f>Games!AO21</f>
        <v>0</v>
      </c>
      <c r="D136">
        <f>Games!AP21</f>
        <v>0</v>
      </c>
      <c r="E136" s="52">
        <f>Games!AQ21</f>
        <v>0</v>
      </c>
      <c r="L136" t="s">
        <v>3754</v>
      </c>
      <c r="M136" t="str">
        <f>Games!G80</f>
        <v/>
      </c>
      <c r="N136">
        <f>Games!AO80</f>
        <v>0</v>
      </c>
      <c r="O136">
        <f>Games!AP80</f>
        <v>0</v>
      </c>
      <c r="P136" s="52">
        <f>Games!AQ80</f>
        <v>0</v>
      </c>
    </row>
    <row r="137" spans="1:16" x14ac:dyDescent="0.25">
      <c r="A137" t="s">
        <v>3754</v>
      </c>
      <c r="B137" t="str">
        <f>Games!G22</f>
        <v/>
      </c>
      <c r="C137">
        <f>Games!AO22</f>
        <v>0</v>
      </c>
      <c r="D137">
        <f>Games!AP22</f>
        <v>0</v>
      </c>
      <c r="E137" s="52">
        <f>Games!AQ22</f>
        <v>0</v>
      </c>
      <c r="L137" t="s">
        <v>3754</v>
      </c>
      <c r="M137" t="str">
        <f>Games!G81</f>
        <v/>
      </c>
      <c r="N137">
        <f>Games!AO81</f>
        <v>0</v>
      </c>
      <c r="O137">
        <f>Games!AP81</f>
        <v>0</v>
      </c>
      <c r="P137" s="52">
        <f>Games!AQ81</f>
        <v>0</v>
      </c>
    </row>
    <row r="138" spans="1:16" x14ac:dyDescent="0.25">
      <c r="A138" t="s">
        <v>3754</v>
      </c>
      <c r="B138" t="str">
        <f>Games!G23</f>
        <v/>
      </c>
      <c r="C138">
        <f>Games!AO23</f>
        <v>0</v>
      </c>
      <c r="D138">
        <f>Games!AP23</f>
        <v>0</v>
      </c>
      <c r="E138" s="52">
        <f>Games!AQ23</f>
        <v>0</v>
      </c>
      <c r="L138" t="s">
        <v>3754</v>
      </c>
      <c r="M138" t="str">
        <f>Games!G82</f>
        <v/>
      </c>
      <c r="N138">
        <f>Games!AO82</f>
        <v>0</v>
      </c>
      <c r="O138">
        <f>Games!AP82</f>
        <v>0</v>
      </c>
      <c r="P138" s="52">
        <f>Games!AQ82</f>
        <v>0</v>
      </c>
    </row>
    <row r="139" spans="1:16" x14ac:dyDescent="0.25">
      <c r="A139" t="s">
        <v>3754</v>
      </c>
      <c r="B139" t="str">
        <f>Games!G24</f>
        <v/>
      </c>
      <c r="C139">
        <f>Games!AO24</f>
        <v>0</v>
      </c>
      <c r="D139">
        <f>Games!AP24</f>
        <v>0</v>
      </c>
      <c r="E139" s="52">
        <f>Games!AQ24</f>
        <v>0</v>
      </c>
      <c r="L139" t="s">
        <v>3754</v>
      </c>
      <c r="M139" t="str">
        <f>Games!G83</f>
        <v/>
      </c>
      <c r="N139">
        <f>Games!AO83</f>
        <v>0</v>
      </c>
      <c r="O139">
        <f>Games!AP83</f>
        <v>0</v>
      </c>
      <c r="P139" s="52">
        <f>Games!AQ83</f>
        <v>0</v>
      </c>
    </row>
    <row r="140" spans="1:16" x14ac:dyDescent="0.25">
      <c r="A140" t="s">
        <v>3754</v>
      </c>
      <c r="B140" t="str">
        <f>Games!G25</f>
        <v/>
      </c>
      <c r="C140">
        <f>Games!AO25</f>
        <v>0</v>
      </c>
      <c r="D140">
        <f>Games!AP25</f>
        <v>0</v>
      </c>
      <c r="E140" s="52">
        <f>Games!AQ25</f>
        <v>0</v>
      </c>
      <c r="L140" t="s">
        <v>3754</v>
      </c>
      <c r="M140" t="str">
        <f>Games!G84</f>
        <v/>
      </c>
      <c r="N140">
        <f>Games!AO84</f>
        <v>0</v>
      </c>
      <c r="O140">
        <f>Games!AP84</f>
        <v>0</v>
      </c>
      <c r="P140" s="52">
        <f>Games!AQ84</f>
        <v>0</v>
      </c>
    </row>
    <row r="141" spans="1:16" x14ac:dyDescent="0.25">
      <c r="A141" t="s">
        <v>3754</v>
      </c>
      <c r="B141" t="str">
        <f>Games!G26</f>
        <v/>
      </c>
      <c r="C141">
        <f>Games!AO26</f>
        <v>0</v>
      </c>
      <c r="D141">
        <f>Games!AP26</f>
        <v>0</v>
      </c>
      <c r="E141" s="52">
        <f>Games!AQ26</f>
        <v>0</v>
      </c>
      <c r="L141" t="s">
        <v>3754</v>
      </c>
      <c r="M141" t="str">
        <f>Games!G85</f>
        <v/>
      </c>
      <c r="N141">
        <f>Games!AO85</f>
        <v>0</v>
      </c>
      <c r="O141">
        <f>Games!AP85</f>
        <v>0</v>
      </c>
      <c r="P141" s="52">
        <f>Games!AQ85</f>
        <v>0</v>
      </c>
    </row>
    <row r="142" spans="1:16" x14ac:dyDescent="0.25">
      <c r="A142" t="s">
        <v>3754</v>
      </c>
      <c r="B142" t="str">
        <f>Games!G27</f>
        <v/>
      </c>
      <c r="C142">
        <f>Games!AO27</f>
        <v>0</v>
      </c>
      <c r="D142">
        <f>Games!AP27</f>
        <v>0</v>
      </c>
      <c r="E142" s="52">
        <f>Games!AQ27</f>
        <v>0</v>
      </c>
      <c r="L142" t="s">
        <v>3754</v>
      </c>
      <c r="M142" t="str">
        <f>Games!G86</f>
        <v/>
      </c>
      <c r="N142">
        <f>Games!AO86</f>
        <v>0</v>
      </c>
      <c r="O142">
        <f>Games!AP86</f>
        <v>0</v>
      </c>
      <c r="P142" s="52">
        <f>Games!AQ86</f>
        <v>0</v>
      </c>
    </row>
    <row r="143" spans="1:16" x14ac:dyDescent="0.25">
      <c r="A143" t="s">
        <v>3754</v>
      </c>
      <c r="B143" t="str">
        <f>Games!G28</f>
        <v/>
      </c>
      <c r="C143">
        <f>Games!AO28</f>
        <v>0</v>
      </c>
      <c r="D143">
        <f>Games!AP28</f>
        <v>0</v>
      </c>
      <c r="E143" s="52">
        <f>Games!AQ28</f>
        <v>0</v>
      </c>
      <c r="L143" t="s">
        <v>3754</v>
      </c>
      <c r="M143" t="str">
        <f>Games!G87</f>
        <v/>
      </c>
      <c r="N143">
        <f>Games!AO87</f>
        <v>0</v>
      </c>
      <c r="O143">
        <f>Games!AP87</f>
        <v>0</v>
      </c>
      <c r="P143" s="52">
        <f>Games!AQ87</f>
        <v>0</v>
      </c>
    </row>
    <row r="144" spans="1:16" x14ac:dyDescent="0.25">
      <c r="A144" t="s">
        <v>3754</v>
      </c>
      <c r="B144" t="str">
        <f>Games!G29</f>
        <v/>
      </c>
      <c r="C144">
        <f>Games!AO29</f>
        <v>0</v>
      </c>
      <c r="D144">
        <f>Games!AP29</f>
        <v>0</v>
      </c>
      <c r="E144" s="52">
        <f>Games!AQ29</f>
        <v>0</v>
      </c>
      <c r="L144" t="s">
        <v>3754</v>
      </c>
      <c r="M144" t="str">
        <f>Games!G88</f>
        <v/>
      </c>
      <c r="N144">
        <f>Games!AO88</f>
        <v>0</v>
      </c>
      <c r="O144">
        <f>Games!AP88</f>
        <v>0</v>
      </c>
      <c r="P144" s="52">
        <f>Games!AQ88</f>
        <v>0</v>
      </c>
    </row>
    <row r="145" spans="1:16" x14ac:dyDescent="0.25">
      <c r="A145" t="s">
        <v>3754</v>
      </c>
      <c r="B145" t="str">
        <f>Games!G30</f>
        <v/>
      </c>
      <c r="C145">
        <f>Games!AO30</f>
        <v>0</v>
      </c>
      <c r="D145">
        <f>Games!AP30</f>
        <v>0</v>
      </c>
      <c r="E145" s="52">
        <f>Games!AQ30</f>
        <v>0</v>
      </c>
      <c r="L145" t="s">
        <v>3754</v>
      </c>
      <c r="M145" t="str">
        <f>Games!G89</f>
        <v/>
      </c>
      <c r="N145">
        <f>Games!AO89</f>
        <v>0</v>
      </c>
      <c r="O145">
        <f>Games!AP89</f>
        <v>0</v>
      </c>
      <c r="P145" s="52">
        <f>Games!AQ89</f>
        <v>0</v>
      </c>
    </row>
    <row r="146" spans="1:16" x14ac:dyDescent="0.25">
      <c r="A146" t="s">
        <v>3754</v>
      </c>
      <c r="B146" t="str">
        <f>Games!G31</f>
        <v/>
      </c>
      <c r="C146">
        <f>Games!AO31</f>
        <v>0</v>
      </c>
      <c r="D146">
        <f>Games!AP31</f>
        <v>0</v>
      </c>
      <c r="E146" s="52">
        <f>Games!AQ31</f>
        <v>0</v>
      </c>
      <c r="L146" t="s">
        <v>3754</v>
      </c>
      <c r="M146" t="str">
        <f>Games!G90</f>
        <v/>
      </c>
      <c r="N146">
        <f>Games!AO90</f>
        <v>0</v>
      </c>
      <c r="O146">
        <f>Games!AP90</f>
        <v>0</v>
      </c>
      <c r="P146" s="52">
        <f>Games!AQ90</f>
        <v>0</v>
      </c>
    </row>
    <row r="147" spans="1:16" x14ac:dyDescent="0.25">
      <c r="A147" t="s">
        <v>3754</v>
      </c>
      <c r="B147" t="str">
        <f>Games!G32</f>
        <v/>
      </c>
      <c r="C147">
        <f>Games!AO32</f>
        <v>0</v>
      </c>
      <c r="D147">
        <f>Games!AP32</f>
        <v>0</v>
      </c>
      <c r="E147" s="52">
        <f>Games!AQ32</f>
        <v>0</v>
      </c>
      <c r="L147" t="s">
        <v>3754</v>
      </c>
      <c r="M147" t="str">
        <f>Games!G91</f>
        <v/>
      </c>
      <c r="N147">
        <f>Games!AO91</f>
        <v>0</v>
      </c>
      <c r="O147">
        <f>Games!AP91</f>
        <v>0</v>
      </c>
      <c r="P147" s="52">
        <f>Games!AQ91</f>
        <v>0</v>
      </c>
    </row>
    <row r="148" spans="1:16" x14ac:dyDescent="0.25">
      <c r="A148" t="s">
        <v>3754</v>
      </c>
      <c r="B148" t="str">
        <f>Games!G33</f>
        <v/>
      </c>
      <c r="C148">
        <f>Games!AO33</f>
        <v>0</v>
      </c>
      <c r="D148">
        <f>Games!AP33</f>
        <v>0</v>
      </c>
      <c r="E148" s="52">
        <f>Games!AQ33</f>
        <v>0</v>
      </c>
      <c r="L148" t="s">
        <v>3754</v>
      </c>
      <c r="M148" t="str">
        <f>Games!G92</f>
        <v/>
      </c>
      <c r="N148">
        <f>Games!AO92</f>
        <v>0</v>
      </c>
      <c r="O148">
        <f>Games!AP92</f>
        <v>0</v>
      </c>
      <c r="P148" s="52">
        <f>Games!AQ92</f>
        <v>0</v>
      </c>
    </row>
    <row r="149" spans="1:16" x14ac:dyDescent="0.25">
      <c r="A149" t="s">
        <v>3754</v>
      </c>
      <c r="B149" t="str">
        <f>Games!G34</f>
        <v/>
      </c>
      <c r="C149">
        <f>Games!AO34</f>
        <v>0</v>
      </c>
      <c r="D149">
        <f>Games!AP34</f>
        <v>0</v>
      </c>
      <c r="E149" s="52">
        <f>Games!AQ34</f>
        <v>0</v>
      </c>
      <c r="L149" t="s">
        <v>3754</v>
      </c>
      <c r="M149" t="str">
        <f>Games!G93</f>
        <v/>
      </c>
      <c r="N149">
        <f>Games!AO93</f>
        <v>0</v>
      </c>
      <c r="O149">
        <f>Games!AP93</f>
        <v>0</v>
      </c>
      <c r="P149" s="52">
        <f>Games!AQ93</f>
        <v>0</v>
      </c>
    </row>
    <row r="150" spans="1:16" x14ac:dyDescent="0.25">
      <c r="A150" t="s">
        <v>3754</v>
      </c>
      <c r="B150" t="str">
        <f>Games!G35</f>
        <v/>
      </c>
      <c r="C150">
        <f>Games!AO35</f>
        <v>0</v>
      </c>
      <c r="D150">
        <f>Games!AP35</f>
        <v>0</v>
      </c>
      <c r="E150" s="52">
        <f>Games!AQ35</f>
        <v>0</v>
      </c>
      <c r="L150" t="s">
        <v>3754</v>
      </c>
      <c r="M150" t="str">
        <f>Games!G94</f>
        <v/>
      </c>
      <c r="N150">
        <f>Games!AO94</f>
        <v>0</v>
      </c>
      <c r="O150">
        <f>Games!AP94</f>
        <v>0</v>
      </c>
      <c r="P150" s="52">
        <f>Games!AQ94</f>
        <v>0</v>
      </c>
    </row>
    <row r="151" spans="1:16" x14ac:dyDescent="0.25">
      <c r="A151" t="s">
        <v>3754</v>
      </c>
      <c r="B151" t="str">
        <f>Games!G36</f>
        <v/>
      </c>
      <c r="C151">
        <f>Games!AO36</f>
        <v>0</v>
      </c>
      <c r="D151">
        <f>Games!AP36</f>
        <v>0</v>
      </c>
      <c r="E151" s="52">
        <f>Games!AQ36</f>
        <v>0</v>
      </c>
      <c r="L151" t="s">
        <v>3754</v>
      </c>
      <c r="M151" t="str">
        <f>Games!G95</f>
        <v/>
      </c>
      <c r="N151">
        <f>Games!AO95</f>
        <v>0</v>
      </c>
      <c r="O151">
        <f>Games!AP95</f>
        <v>0</v>
      </c>
      <c r="P151" s="52">
        <f>Games!AQ95</f>
        <v>0</v>
      </c>
    </row>
    <row r="152" spans="1:16" x14ac:dyDescent="0.25">
      <c r="A152" t="s">
        <v>3754</v>
      </c>
      <c r="B152" t="str">
        <f>Games!G37</f>
        <v/>
      </c>
      <c r="C152">
        <f>Games!AO37</f>
        <v>0</v>
      </c>
      <c r="D152">
        <f>Games!AP37</f>
        <v>0</v>
      </c>
      <c r="E152" s="52">
        <f>Games!AQ37</f>
        <v>0</v>
      </c>
      <c r="L152" t="s">
        <v>3754</v>
      </c>
      <c r="M152" t="str">
        <f>Games!G96</f>
        <v/>
      </c>
      <c r="N152">
        <f>Games!AO96</f>
        <v>0</v>
      </c>
      <c r="O152">
        <f>Games!AP96</f>
        <v>0</v>
      </c>
      <c r="P152" s="52">
        <f>Games!AQ96</f>
        <v>0</v>
      </c>
    </row>
    <row r="153" spans="1:16" x14ac:dyDescent="0.25">
      <c r="A153" t="s">
        <v>3754</v>
      </c>
      <c r="B153" t="str">
        <f>Games!G38</f>
        <v/>
      </c>
      <c r="C153">
        <f>Games!AO38</f>
        <v>0</v>
      </c>
      <c r="D153">
        <f>Games!AP38</f>
        <v>0</v>
      </c>
      <c r="E153" s="52">
        <f>Games!AQ38</f>
        <v>0</v>
      </c>
      <c r="L153" t="s">
        <v>3754</v>
      </c>
      <c r="M153" t="str">
        <f>Games!G97</f>
        <v/>
      </c>
      <c r="N153">
        <f>Games!AO97</f>
        <v>0</v>
      </c>
      <c r="O153">
        <f>Games!AP97</f>
        <v>0</v>
      </c>
      <c r="P153" s="52">
        <f>Games!AQ97</f>
        <v>0</v>
      </c>
    </row>
    <row r="154" spans="1:16" x14ac:dyDescent="0.25">
      <c r="A154" t="s">
        <v>3754</v>
      </c>
      <c r="B154" t="str">
        <f>Games!G39</f>
        <v/>
      </c>
      <c r="C154">
        <f>Games!AO39</f>
        <v>0</v>
      </c>
      <c r="D154">
        <f>Games!AP39</f>
        <v>0</v>
      </c>
      <c r="E154" s="52">
        <f>Games!AQ39</f>
        <v>0</v>
      </c>
      <c r="L154" t="s">
        <v>3754</v>
      </c>
      <c r="M154" t="str">
        <f>Games!G98</f>
        <v/>
      </c>
      <c r="N154">
        <f>Games!AO98</f>
        <v>0</v>
      </c>
      <c r="O154">
        <f>Games!AP98</f>
        <v>0</v>
      </c>
      <c r="P154" s="52">
        <f>Games!AQ98</f>
        <v>0</v>
      </c>
    </row>
    <row r="155" spans="1:16" x14ac:dyDescent="0.25">
      <c r="A155" t="s">
        <v>3754</v>
      </c>
      <c r="B155" t="str">
        <f>Games!G40</f>
        <v/>
      </c>
      <c r="C155">
        <f>Games!AO40</f>
        <v>0</v>
      </c>
      <c r="D155">
        <f>Games!AP40</f>
        <v>0</v>
      </c>
      <c r="E155" s="52">
        <f>Games!AQ40</f>
        <v>0</v>
      </c>
      <c r="L155" t="s">
        <v>3754</v>
      </c>
      <c r="M155" t="str">
        <f>Games!G99</f>
        <v/>
      </c>
      <c r="N155">
        <f>Games!AO99</f>
        <v>0</v>
      </c>
      <c r="O155">
        <f>Games!AP99</f>
        <v>0</v>
      </c>
      <c r="P155" s="52">
        <f>Games!AQ99</f>
        <v>0</v>
      </c>
    </row>
    <row r="156" spans="1:16" x14ac:dyDescent="0.25">
      <c r="A156" t="s">
        <v>3754</v>
      </c>
      <c r="B156" t="str">
        <f>Games!G41</f>
        <v/>
      </c>
      <c r="C156">
        <f>Games!AO41</f>
        <v>0</v>
      </c>
      <c r="D156">
        <f>Games!AP41</f>
        <v>0</v>
      </c>
      <c r="E156" s="52">
        <f>Games!AQ41</f>
        <v>0</v>
      </c>
      <c r="L156" t="s">
        <v>3754</v>
      </c>
      <c r="M156" t="str">
        <f>Games!G100</f>
        <v/>
      </c>
      <c r="N156">
        <f>Games!AO100</f>
        <v>0</v>
      </c>
      <c r="O156">
        <f>Games!AP100</f>
        <v>0</v>
      </c>
      <c r="P156" s="52">
        <f>Games!AQ100</f>
        <v>0</v>
      </c>
    </row>
    <row r="157" spans="1:16" x14ac:dyDescent="0.25">
      <c r="A157" t="s">
        <v>3754</v>
      </c>
      <c r="B157" t="str">
        <f>Games!G42</f>
        <v/>
      </c>
      <c r="C157">
        <f>Games!AO42</f>
        <v>0</v>
      </c>
      <c r="D157">
        <f>Games!AP42</f>
        <v>0</v>
      </c>
      <c r="E157" s="52">
        <f>Games!AQ42</f>
        <v>0</v>
      </c>
      <c r="L157" t="s">
        <v>3754</v>
      </c>
      <c r="M157" t="str">
        <f>Games!G101</f>
        <v/>
      </c>
      <c r="N157">
        <f>Games!AO101</f>
        <v>0</v>
      </c>
      <c r="O157">
        <f>Games!AP101</f>
        <v>0</v>
      </c>
      <c r="P157" s="52">
        <f>Games!AQ101</f>
        <v>0</v>
      </c>
    </row>
    <row r="158" spans="1:16" x14ac:dyDescent="0.25">
      <c r="A158" t="s">
        <v>3754</v>
      </c>
      <c r="B158" t="str">
        <f>Games!G43</f>
        <v/>
      </c>
      <c r="C158">
        <f>Games!AO43</f>
        <v>0</v>
      </c>
      <c r="D158">
        <f>Games!AP43</f>
        <v>0</v>
      </c>
      <c r="E158" s="52">
        <f>Games!AQ43</f>
        <v>0</v>
      </c>
      <c r="L158" t="s">
        <v>3754</v>
      </c>
      <c r="M158" t="str">
        <f>Games!G102</f>
        <v/>
      </c>
      <c r="N158">
        <f>Games!AO102</f>
        <v>0</v>
      </c>
      <c r="O158">
        <f>Games!AP102</f>
        <v>0</v>
      </c>
      <c r="P158" s="52">
        <f>Games!AQ102</f>
        <v>0</v>
      </c>
    </row>
    <row r="159" spans="1:16" x14ac:dyDescent="0.25">
      <c r="A159" t="s">
        <v>3754</v>
      </c>
      <c r="B159" t="str">
        <f>Games!G44</f>
        <v/>
      </c>
      <c r="C159">
        <f>Games!AO44</f>
        <v>0</v>
      </c>
      <c r="D159">
        <f>Games!AP44</f>
        <v>0</v>
      </c>
      <c r="E159" s="52">
        <f>Games!AQ44</f>
        <v>0</v>
      </c>
      <c r="L159" t="s">
        <v>3754</v>
      </c>
      <c r="M159" t="str">
        <f>Games!G103</f>
        <v/>
      </c>
      <c r="N159">
        <f>Games!AO103</f>
        <v>0</v>
      </c>
      <c r="O159">
        <f>Games!AP103</f>
        <v>0</v>
      </c>
      <c r="P159" s="52">
        <f>Games!AQ103</f>
        <v>0</v>
      </c>
    </row>
    <row r="160" spans="1:16" x14ac:dyDescent="0.25">
      <c r="A160" t="s">
        <v>3754</v>
      </c>
      <c r="B160" t="str">
        <f>Games!G45</f>
        <v/>
      </c>
      <c r="C160">
        <f>Games!AO45</f>
        <v>0</v>
      </c>
      <c r="D160">
        <f>Games!AP45</f>
        <v>0</v>
      </c>
      <c r="E160" s="52">
        <f>Games!AQ45</f>
        <v>0</v>
      </c>
      <c r="L160" t="s">
        <v>3754</v>
      </c>
      <c r="M160" t="str">
        <f>Games!G104</f>
        <v/>
      </c>
      <c r="N160">
        <f>Games!AO104</f>
        <v>0</v>
      </c>
      <c r="O160">
        <f>Games!AP104</f>
        <v>0</v>
      </c>
      <c r="P160" s="52">
        <f>Games!AQ104</f>
        <v>0</v>
      </c>
    </row>
    <row r="161" spans="1:16" x14ac:dyDescent="0.25">
      <c r="A161" t="s">
        <v>3754</v>
      </c>
      <c r="B161" t="str">
        <f>Games!G46</f>
        <v/>
      </c>
      <c r="C161">
        <f>Games!AO46</f>
        <v>0</v>
      </c>
      <c r="D161">
        <f>Games!AP46</f>
        <v>0</v>
      </c>
      <c r="E161" s="52">
        <f>Games!AQ46</f>
        <v>0</v>
      </c>
      <c r="L161" t="s">
        <v>3754</v>
      </c>
      <c r="M161" t="str">
        <f>Games!G105</f>
        <v/>
      </c>
      <c r="N161">
        <f>Games!AO105</f>
        <v>0</v>
      </c>
      <c r="O161">
        <f>Games!AP105</f>
        <v>0</v>
      </c>
      <c r="P161" s="52">
        <f>Games!AQ105</f>
        <v>0</v>
      </c>
    </row>
    <row r="162" spans="1:16" x14ac:dyDescent="0.25">
      <c r="A162" t="s">
        <v>3754</v>
      </c>
      <c r="B162" t="str">
        <f>Games!G47</f>
        <v/>
      </c>
      <c r="C162">
        <f>Games!AO47</f>
        <v>0</v>
      </c>
      <c r="D162">
        <f>Games!AP47</f>
        <v>0</v>
      </c>
      <c r="E162" s="52">
        <f>Games!AQ47</f>
        <v>0</v>
      </c>
      <c r="L162" t="s">
        <v>3754</v>
      </c>
      <c r="M162" t="str">
        <f>Games!G106</f>
        <v/>
      </c>
      <c r="N162">
        <f>Games!AO106</f>
        <v>0</v>
      </c>
      <c r="O162">
        <f>Games!AP106</f>
        <v>0</v>
      </c>
      <c r="P162" s="52">
        <f>Games!AQ106</f>
        <v>0</v>
      </c>
    </row>
    <row r="163" spans="1:16" x14ac:dyDescent="0.25">
      <c r="A163" t="s">
        <v>3754</v>
      </c>
      <c r="B163" t="str">
        <f>Games!G48</f>
        <v/>
      </c>
      <c r="C163">
        <f>Games!AO48</f>
        <v>0</v>
      </c>
      <c r="D163">
        <f>Games!AP48</f>
        <v>0</v>
      </c>
      <c r="E163" s="52">
        <f>Games!AQ48</f>
        <v>0</v>
      </c>
      <c r="L163" t="s">
        <v>3754</v>
      </c>
      <c r="M163" t="str">
        <f>Games!G107</f>
        <v/>
      </c>
      <c r="N163">
        <f>Games!AO107</f>
        <v>0</v>
      </c>
      <c r="O163">
        <f>Games!AP107</f>
        <v>0</v>
      </c>
      <c r="P163" s="52">
        <f>Games!AQ107</f>
        <v>0</v>
      </c>
    </row>
    <row r="164" spans="1:16" x14ac:dyDescent="0.25">
      <c r="A164" t="s">
        <v>3754</v>
      </c>
      <c r="B164" t="str">
        <f>Games!G49</f>
        <v/>
      </c>
      <c r="C164">
        <f>Games!AO49</f>
        <v>0</v>
      </c>
      <c r="D164">
        <f>Games!AP49</f>
        <v>0</v>
      </c>
      <c r="E164" s="52">
        <f>Games!AQ49</f>
        <v>0</v>
      </c>
      <c r="L164" t="s">
        <v>3754</v>
      </c>
      <c r="M164" t="str">
        <f>Games!G108</f>
        <v/>
      </c>
      <c r="N164">
        <f>Games!AO108</f>
        <v>0</v>
      </c>
      <c r="O164">
        <f>Games!AP108</f>
        <v>0</v>
      </c>
      <c r="P164" s="52">
        <f>Games!AQ108</f>
        <v>0</v>
      </c>
    </row>
    <row r="165" spans="1:16" x14ac:dyDescent="0.25">
      <c r="A165" t="s">
        <v>3754</v>
      </c>
      <c r="B165" t="str">
        <f>Games!G50</f>
        <v/>
      </c>
      <c r="C165">
        <f>Games!AO50</f>
        <v>0</v>
      </c>
      <c r="D165">
        <f>Games!AP50</f>
        <v>0</v>
      </c>
      <c r="E165" s="52">
        <f>Games!AQ50</f>
        <v>0</v>
      </c>
      <c r="L165" t="s">
        <v>3754</v>
      </c>
      <c r="M165" t="str">
        <f>Games!G109</f>
        <v/>
      </c>
      <c r="N165">
        <f>Games!AO109</f>
        <v>0</v>
      </c>
      <c r="O165">
        <f>Games!AP109</f>
        <v>0</v>
      </c>
      <c r="P165" s="52">
        <f>Games!AQ109</f>
        <v>0</v>
      </c>
    </row>
    <row r="166" spans="1:16" x14ac:dyDescent="0.25">
      <c r="A166" t="s">
        <v>3754</v>
      </c>
      <c r="B166" t="str">
        <f>Games!G51</f>
        <v/>
      </c>
      <c r="C166">
        <f>Games!AO51</f>
        <v>0</v>
      </c>
      <c r="D166">
        <f>Games!AP51</f>
        <v>0</v>
      </c>
      <c r="E166" s="52">
        <f>Games!AQ51</f>
        <v>0</v>
      </c>
      <c r="L166" t="s">
        <v>3754</v>
      </c>
      <c r="M166" t="str">
        <f>Games!G110</f>
        <v/>
      </c>
      <c r="N166">
        <f>Games!AO110</f>
        <v>0</v>
      </c>
      <c r="O166">
        <f>Games!AP110</f>
        <v>0</v>
      </c>
      <c r="P166" s="52">
        <f>Games!AQ110</f>
        <v>0</v>
      </c>
    </row>
    <row r="167" spans="1:16" x14ac:dyDescent="0.25">
      <c r="A167" t="s">
        <v>3754</v>
      </c>
      <c r="B167" t="str">
        <f>Games!G52</f>
        <v/>
      </c>
      <c r="C167">
        <f>Games!AO52</f>
        <v>0</v>
      </c>
      <c r="D167">
        <f>Games!AP52</f>
        <v>0</v>
      </c>
      <c r="E167" s="52">
        <f>Games!AQ52</f>
        <v>0</v>
      </c>
      <c r="L167" t="s">
        <v>3754</v>
      </c>
      <c r="M167" t="str">
        <f>Games!G111</f>
        <v/>
      </c>
      <c r="N167">
        <f>Games!AO111</f>
        <v>0</v>
      </c>
      <c r="O167">
        <f>Games!AP111</f>
        <v>0</v>
      </c>
      <c r="P167" s="52">
        <f>Games!AQ111</f>
        <v>0</v>
      </c>
    </row>
    <row r="168" spans="1:16" x14ac:dyDescent="0.25">
      <c r="A168" t="s">
        <v>3754</v>
      </c>
      <c r="B168" t="str">
        <f>Games!G53</f>
        <v/>
      </c>
      <c r="C168">
        <f>Games!AO53</f>
        <v>0</v>
      </c>
      <c r="D168">
        <f>Games!AP53</f>
        <v>0</v>
      </c>
      <c r="E168" s="52">
        <f>Games!AQ53</f>
        <v>0</v>
      </c>
      <c r="L168" t="s">
        <v>3754</v>
      </c>
      <c r="M168" t="str">
        <f>Games!G112</f>
        <v/>
      </c>
      <c r="N168">
        <f>Games!AO112</f>
        <v>0</v>
      </c>
      <c r="O168">
        <f>Games!AP112</f>
        <v>0</v>
      </c>
      <c r="P168" s="52">
        <f>Games!AQ112</f>
        <v>0</v>
      </c>
    </row>
    <row r="169" spans="1:16" x14ac:dyDescent="0.25">
      <c r="A169" t="s">
        <v>3754</v>
      </c>
      <c r="B169" t="str">
        <f>Games!G54</f>
        <v/>
      </c>
      <c r="C169">
        <f>Games!AO54</f>
        <v>0</v>
      </c>
      <c r="D169">
        <f>Games!AP54</f>
        <v>0</v>
      </c>
      <c r="E169" s="52">
        <f>Games!AQ54</f>
        <v>0</v>
      </c>
      <c r="L169" t="s">
        <v>3754</v>
      </c>
      <c r="M169" t="str">
        <f>Games!G113</f>
        <v/>
      </c>
      <c r="N169">
        <f>Games!AO113</f>
        <v>0</v>
      </c>
      <c r="O169">
        <f>Games!AP113</f>
        <v>0</v>
      </c>
      <c r="P169" s="52">
        <f>Games!AQ113</f>
        <v>0</v>
      </c>
    </row>
    <row r="170" spans="1:16" x14ac:dyDescent="0.25">
      <c r="A170" t="s">
        <v>3754</v>
      </c>
      <c r="B170" t="str">
        <f>Games!G55</f>
        <v/>
      </c>
      <c r="C170">
        <f>Games!AO55</f>
        <v>0</v>
      </c>
      <c r="D170">
        <f>Games!AP55</f>
        <v>0</v>
      </c>
      <c r="E170" s="52">
        <f>Games!AQ55</f>
        <v>0</v>
      </c>
      <c r="L170" t="s">
        <v>3754</v>
      </c>
      <c r="M170" t="str">
        <f>Games!G114</f>
        <v/>
      </c>
      <c r="N170">
        <f>Games!AO114</f>
        <v>0</v>
      </c>
      <c r="O170">
        <f>Games!AP114</f>
        <v>0</v>
      </c>
      <c r="P170" s="52">
        <f>Games!AQ114</f>
        <v>0</v>
      </c>
    </row>
    <row r="171" spans="1:16" x14ac:dyDescent="0.25">
      <c r="A171" t="s">
        <v>3754</v>
      </c>
      <c r="B171" t="str">
        <f>Games!G56</f>
        <v/>
      </c>
      <c r="C171">
        <f>Games!AO56</f>
        <v>0</v>
      </c>
      <c r="D171">
        <f>Games!AP56</f>
        <v>0</v>
      </c>
      <c r="E171" s="52">
        <f>Games!AQ56</f>
        <v>0</v>
      </c>
      <c r="L171" t="s">
        <v>3754</v>
      </c>
      <c r="M171" t="str">
        <f>Games!G115</f>
        <v/>
      </c>
      <c r="N171">
        <f>Games!AO115</f>
        <v>0</v>
      </c>
      <c r="O171">
        <f>Games!AP115</f>
        <v>0</v>
      </c>
      <c r="P171" s="52">
        <f>Games!AQ115</f>
        <v>0</v>
      </c>
    </row>
  </sheetData>
  <mergeCells count="3">
    <mergeCell ref="G1:J1"/>
    <mergeCell ref="R1:U1"/>
    <mergeCell ref="W2:X10"/>
  </mergeCells>
  <printOptions horizontalCentered="1" gridLines="1"/>
  <pageMargins left="0.7" right="0.7" top="0.75" bottom="0.75" header="0.3" footer="0.3"/>
  <pageSetup orientation="portrait" r:id="rId3"/>
  <headerFooter>
    <oddHeader>&amp;CTrial Fees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721"/>
  <sheetViews>
    <sheetView workbookViewId="0">
      <pane ySplit="1" topLeftCell="A1898" activePane="bottomLeft" state="frozen"/>
      <selection pane="bottomLeft" activeCell="A1918" sqref="A1918:XFD1921"/>
    </sheetView>
  </sheetViews>
  <sheetFormatPr defaultColWidth="10.7109375" defaultRowHeight="15" x14ac:dyDescent="0.25"/>
  <cols>
    <col min="1" max="1" width="10.7109375" style="2"/>
    <col min="2" max="2" width="18.42578125" style="2" bestFit="1" customWidth="1"/>
    <col min="3" max="3" width="15.42578125" style="2" bestFit="1" customWidth="1"/>
    <col min="4" max="4" width="11.28515625" style="2" bestFit="1" customWidth="1"/>
    <col min="5" max="5" width="11.85546875" style="2" bestFit="1" customWidth="1"/>
    <col min="6" max="6" width="19.140625" style="2" bestFit="1" customWidth="1"/>
    <col min="7" max="7" width="12.5703125" style="2" bestFit="1" customWidth="1"/>
    <col min="8" max="8" width="14.7109375" style="2" bestFit="1" customWidth="1"/>
    <col min="9" max="9" width="19.28515625" style="2" bestFit="1" customWidth="1"/>
    <col min="10" max="10" width="13.5703125" style="2" bestFit="1" customWidth="1"/>
    <col min="11" max="12" width="11.42578125" style="2" bestFit="1" customWidth="1"/>
    <col min="13" max="13" width="14" style="180" bestFit="1" customWidth="1"/>
    <col min="14" max="14" width="15.7109375" style="2" bestFit="1" customWidth="1"/>
    <col min="15" max="15" width="17.28515625" style="2" bestFit="1" customWidth="1"/>
  </cols>
  <sheetData>
    <row r="1" spans="1:15" x14ac:dyDescent="0.25">
      <c r="A1" s="321" t="s">
        <v>3284</v>
      </c>
      <c r="B1" s="321" t="s">
        <v>1732</v>
      </c>
      <c r="C1" s="321" t="s">
        <v>1733</v>
      </c>
      <c r="D1" s="321" t="s">
        <v>1136</v>
      </c>
      <c r="E1" s="321" t="s">
        <v>1734</v>
      </c>
      <c r="F1" s="321" t="s">
        <v>1729</v>
      </c>
      <c r="G1" s="321" t="s">
        <v>1141</v>
      </c>
      <c r="H1" s="321" t="s">
        <v>0</v>
      </c>
      <c r="I1" s="321" t="s">
        <v>1</v>
      </c>
      <c r="J1" s="321" t="s">
        <v>1726</v>
      </c>
      <c r="K1" s="321" t="s">
        <v>1727</v>
      </c>
      <c r="L1" s="321" t="s">
        <v>1728</v>
      </c>
      <c r="M1" s="322" t="s">
        <v>7</v>
      </c>
      <c r="N1" s="321" t="s">
        <v>8</v>
      </c>
      <c r="O1" s="321" t="s">
        <v>1735</v>
      </c>
    </row>
    <row r="2" spans="1:15" s="149" customFormat="1" x14ac:dyDescent="0.25">
      <c r="A2" s="323">
        <v>1</v>
      </c>
      <c r="B2" s="323">
        <f>TrialNumber</f>
        <v>0</v>
      </c>
      <c r="C2" s="323" t="s">
        <v>15</v>
      </c>
      <c r="D2" s="323">
        <f>Started!C5</f>
        <v>0</v>
      </c>
      <c r="E2" s="323" t="str">
        <f>IF(Started!B5="W","W","A")</f>
        <v>A</v>
      </c>
      <c r="F2" s="323" t="s">
        <v>1731</v>
      </c>
      <c r="G2" s="323" t="str">
        <f>IF(Started!G5="e","Y","")</f>
        <v/>
      </c>
      <c r="H2" s="323" t="str">
        <f>IFERROR(VLOOKUP($D2,'SDDA Dogs'!$A:$AE,2,FALSE),"")</f>
        <v/>
      </c>
      <c r="I2" s="323" t="str">
        <f>IFERROR(VLOOKUP($D2,'SDDA Dogs'!$A:$AE,3,FALSE),"")</f>
        <v/>
      </c>
      <c r="J2" s="323" t="str">
        <f>IFERROR(VLOOKUP($D2,'SDDA Dogs'!$A:$AE,6,FALSE),"")</f>
        <v/>
      </c>
      <c r="K2" s="323"/>
      <c r="L2" s="323"/>
      <c r="M2" s="324" t="str">
        <f>TrialDate</f>
        <v/>
      </c>
      <c r="N2" s="323" t="str">
        <f>TrialCityDay1</f>
        <v/>
      </c>
      <c r="O2" s="323">
        <f>JudgeD1CSS</f>
        <v>0</v>
      </c>
    </row>
    <row r="3" spans="1:15" x14ac:dyDescent="0.25">
      <c r="A3" s="2">
        <v>2</v>
      </c>
      <c r="B3" s="2">
        <f>B2</f>
        <v>0</v>
      </c>
      <c r="C3" s="2" t="str">
        <f>C2</f>
        <v>CSS</v>
      </c>
      <c r="D3" s="2">
        <f>D2</f>
        <v>0</v>
      </c>
      <c r="E3" s="2" t="str">
        <f>E2</f>
        <v>A</v>
      </c>
      <c r="F3" s="2" t="str">
        <f t="shared" ref="F3:O3" si="0">F2</f>
        <v>Container Started</v>
      </c>
      <c r="G3" s="2" t="str">
        <f t="shared" si="0"/>
        <v/>
      </c>
      <c r="H3" s="2" t="str">
        <f t="shared" si="0"/>
        <v/>
      </c>
      <c r="I3" s="2" t="str">
        <f t="shared" si="0"/>
        <v/>
      </c>
      <c r="J3" s="2" t="str">
        <f t="shared" si="0"/>
        <v/>
      </c>
      <c r="M3" s="180" t="str">
        <f t="shared" si="0"/>
        <v/>
      </c>
      <c r="N3" s="2" t="str">
        <f t="shared" si="0"/>
        <v/>
      </c>
      <c r="O3" s="2">
        <f t="shared" si="0"/>
        <v>0</v>
      </c>
    </row>
    <row r="4" spans="1:15" x14ac:dyDescent="0.25">
      <c r="A4" s="325">
        <v>1</v>
      </c>
      <c r="B4" s="325">
        <f>TrialNumber</f>
        <v>0</v>
      </c>
      <c r="C4" s="325" t="s">
        <v>15</v>
      </c>
      <c r="D4" s="325">
        <f>Started!C6</f>
        <v>0</v>
      </c>
      <c r="E4" s="325" t="str">
        <f>IF(Started!B6="W","W","A")</f>
        <v>A</v>
      </c>
      <c r="F4" s="325" t="s">
        <v>1731</v>
      </c>
      <c r="G4" s="325" t="str">
        <f>IF(Started!G6="e","Y","")</f>
        <v/>
      </c>
      <c r="H4" s="325" t="str">
        <f>IFERROR(VLOOKUP($D4,'SDDA Dogs'!$A:$AE,2,FALSE),"")</f>
        <v/>
      </c>
      <c r="I4" s="325" t="str">
        <f>IFERROR(VLOOKUP($D4,'SDDA Dogs'!$A:$AE,3,FALSE),"")</f>
        <v/>
      </c>
      <c r="J4" s="325" t="str">
        <f>IFERROR(VLOOKUP($D4,'SDDA Dogs'!$A:$AE,6,FALSE),"")</f>
        <v/>
      </c>
      <c r="K4" s="325"/>
      <c r="L4" s="325"/>
      <c r="M4" s="326" t="str">
        <f>TrialDate</f>
        <v/>
      </c>
      <c r="N4" s="325" t="str">
        <f t="shared" ref="N4" si="1">N3</f>
        <v/>
      </c>
      <c r="O4" s="325">
        <f>JudgeD1CSS</f>
        <v>0</v>
      </c>
    </row>
    <row r="5" spans="1:15" x14ac:dyDescent="0.25">
      <c r="A5" s="2">
        <v>2</v>
      </c>
      <c r="B5" s="2">
        <f t="shared" ref="B5:J5" si="2">B4</f>
        <v>0</v>
      </c>
      <c r="C5" s="2" t="str">
        <f t="shared" si="2"/>
        <v>CSS</v>
      </c>
      <c r="D5" s="2">
        <f t="shared" si="2"/>
        <v>0</v>
      </c>
      <c r="E5" s="2" t="str">
        <f t="shared" si="2"/>
        <v>A</v>
      </c>
      <c r="F5" s="2" t="str">
        <f t="shared" si="2"/>
        <v>Container Started</v>
      </c>
      <c r="G5" s="2" t="str">
        <f t="shared" si="2"/>
        <v/>
      </c>
      <c r="H5" s="2" t="str">
        <f t="shared" si="2"/>
        <v/>
      </c>
      <c r="I5" s="2" t="str">
        <f t="shared" si="2"/>
        <v/>
      </c>
      <c r="J5" s="2" t="str">
        <f t="shared" si="2"/>
        <v/>
      </c>
      <c r="M5" s="180" t="str">
        <f>M4</f>
        <v/>
      </c>
      <c r="N5" s="2" t="str">
        <f t="shared" ref="N5" si="3">N4</f>
        <v/>
      </c>
      <c r="O5" s="2">
        <f>O4</f>
        <v>0</v>
      </c>
    </row>
    <row r="6" spans="1:15" x14ac:dyDescent="0.25">
      <c r="A6" s="325">
        <v>1</v>
      </c>
      <c r="B6" s="325">
        <f>TrialNumber</f>
        <v>0</v>
      </c>
      <c r="C6" s="325" t="s">
        <v>15</v>
      </c>
      <c r="D6" s="325">
        <f>Started!C7</f>
        <v>0</v>
      </c>
      <c r="E6" s="325" t="str">
        <f>IF(Started!B7="W","W","A")</f>
        <v>A</v>
      </c>
      <c r="F6" s="325" t="s">
        <v>1731</v>
      </c>
      <c r="G6" s="325" t="str">
        <f>IF(Started!G7="e","Y","")</f>
        <v/>
      </c>
      <c r="H6" s="325" t="str">
        <f>IFERROR(VLOOKUP($D6,'SDDA Dogs'!$A:$AE,2,FALSE),"")</f>
        <v/>
      </c>
      <c r="I6" s="325" t="str">
        <f>IFERROR(VLOOKUP($D6,'SDDA Dogs'!$A:$AE,3,FALSE),"")</f>
        <v/>
      </c>
      <c r="J6" s="325" t="str">
        <f>IFERROR(VLOOKUP($D6,'SDDA Dogs'!$A:$AE,6,FALSE),"")</f>
        <v/>
      </c>
      <c r="K6" s="325"/>
      <c r="L6" s="325"/>
      <c r="M6" s="326" t="str">
        <f>TrialDate</f>
        <v/>
      </c>
      <c r="N6" s="325" t="str">
        <f t="shared" ref="N6" si="4">N5</f>
        <v/>
      </c>
      <c r="O6" s="325">
        <f>JudgeD1CSS</f>
        <v>0</v>
      </c>
    </row>
    <row r="7" spans="1:15" x14ac:dyDescent="0.25">
      <c r="A7" s="2">
        <v>2</v>
      </c>
      <c r="B7" s="2">
        <f t="shared" ref="B7:J7" si="5">B6</f>
        <v>0</v>
      </c>
      <c r="C7" s="2" t="str">
        <f t="shared" si="5"/>
        <v>CSS</v>
      </c>
      <c r="D7" s="2">
        <f t="shared" si="5"/>
        <v>0</v>
      </c>
      <c r="E7" s="2" t="str">
        <f t="shared" si="5"/>
        <v>A</v>
      </c>
      <c r="F7" s="2" t="str">
        <f t="shared" si="5"/>
        <v>Container Started</v>
      </c>
      <c r="G7" s="2" t="str">
        <f t="shared" si="5"/>
        <v/>
      </c>
      <c r="H7" s="2" t="str">
        <f t="shared" si="5"/>
        <v/>
      </c>
      <c r="I7" s="2" t="str">
        <f t="shared" si="5"/>
        <v/>
      </c>
      <c r="J7" s="2" t="str">
        <f t="shared" si="5"/>
        <v/>
      </c>
      <c r="M7" s="180" t="str">
        <f>M6</f>
        <v/>
      </c>
      <c r="N7" s="2" t="str">
        <f t="shared" ref="N7" si="6">N6</f>
        <v/>
      </c>
      <c r="O7" s="2">
        <f>O6</f>
        <v>0</v>
      </c>
    </row>
    <row r="8" spans="1:15" x14ac:dyDescent="0.25">
      <c r="A8" s="325">
        <v>1</v>
      </c>
      <c r="B8" s="325">
        <f>TrialNumber</f>
        <v>0</v>
      </c>
      <c r="C8" s="325" t="s">
        <v>15</v>
      </c>
      <c r="D8" s="325">
        <f>Started!C8</f>
        <v>0</v>
      </c>
      <c r="E8" s="325" t="str">
        <f>IF(Started!B8="W","W","A")</f>
        <v>A</v>
      </c>
      <c r="F8" s="325" t="s">
        <v>1731</v>
      </c>
      <c r="G8" s="325" t="str">
        <f>IF(Started!G8="e","Y","")</f>
        <v/>
      </c>
      <c r="H8" s="325" t="str">
        <f>IFERROR(VLOOKUP($D8,'SDDA Dogs'!$A:$AE,2,FALSE),"")</f>
        <v/>
      </c>
      <c r="I8" s="325" t="str">
        <f>IFERROR(VLOOKUP($D8,'SDDA Dogs'!$A:$AE,3,FALSE),"")</f>
        <v/>
      </c>
      <c r="J8" s="325" t="str">
        <f>IFERROR(VLOOKUP($D8,'SDDA Dogs'!$A:$AE,6,FALSE),"")</f>
        <v/>
      </c>
      <c r="K8" s="325"/>
      <c r="L8" s="325"/>
      <c r="M8" s="326" t="str">
        <f>TrialDate</f>
        <v/>
      </c>
      <c r="N8" s="325" t="str">
        <f t="shared" ref="N8" si="7">N7</f>
        <v/>
      </c>
      <c r="O8" s="325">
        <f>JudgeD1CSS</f>
        <v>0</v>
      </c>
    </row>
    <row r="9" spans="1:15" x14ac:dyDescent="0.25">
      <c r="A9" s="2">
        <v>2</v>
      </c>
      <c r="B9" s="2">
        <f t="shared" ref="B9:J9" si="8">B8</f>
        <v>0</v>
      </c>
      <c r="C9" s="2" t="str">
        <f t="shared" si="8"/>
        <v>CSS</v>
      </c>
      <c r="D9" s="2">
        <f t="shared" si="8"/>
        <v>0</v>
      </c>
      <c r="E9" s="2" t="str">
        <f t="shared" si="8"/>
        <v>A</v>
      </c>
      <c r="F9" s="2" t="str">
        <f t="shared" si="8"/>
        <v>Container Started</v>
      </c>
      <c r="G9" s="2" t="str">
        <f t="shared" si="8"/>
        <v/>
      </c>
      <c r="H9" s="2" t="str">
        <f t="shared" si="8"/>
        <v/>
      </c>
      <c r="I9" s="2" t="str">
        <f t="shared" si="8"/>
        <v/>
      </c>
      <c r="J9" s="2" t="str">
        <f t="shared" si="8"/>
        <v/>
      </c>
      <c r="M9" s="180" t="str">
        <f>M8</f>
        <v/>
      </c>
      <c r="N9" s="2" t="str">
        <f t="shared" ref="N9" si="9">N8</f>
        <v/>
      </c>
      <c r="O9" s="2">
        <f>O8</f>
        <v>0</v>
      </c>
    </row>
    <row r="10" spans="1:15" x14ac:dyDescent="0.25">
      <c r="A10" s="325">
        <v>1</v>
      </c>
      <c r="B10" s="325">
        <f>TrialNumber</f>
        <v>0</v>
      </c>
      <c r="C10" s="325" t="s">
        <v>15</v>
      </c>
      <c r="D10" s="325">
        <f>Started!C9</f>
        <v>0</v>
      </c>
      <c r="E10" s="325" t="str">
        <f>IF(Started!B9="W","W","A")</f>
        <v>A</v>
      </c>
      <c r="F10" s="325" t="s">
        <v>1731</v>
      </c>
      <c r="G10" s="325" t="str">
        <f>IF(Started!G9="e","Y","")</f>
        <v/>
      </c>
      <c r="H10" s="325" t="str">
        <f>IFERROR(VLOOKUP($D10,'SDDA Dogs'!$A:$AE,2,FALSE),"")</f>
        <v/>
      </c>
      <c r="I10" s="325" t="str">
        <f>IFERROR(VLOOKUP($D10,'SDDA Dogs'!$A:$AE,3,FALSE),"")</f>
        <v/>
      </c>
      <c r="J10" s="325" t="str">
        <f>IFERROR(VLOOKUP($D10,'SDDA Dogs'!$A:$AE,6,FALSE),"")</f>
        <v/>
      </c>
      <c r="K10" s="325"/>
      <c r="L10" s="325"/>
      <c r="M10" s="326" t="str">
        <f>TrialDate</f>
        <v/>
      </c>
      <c r="N10" s="325" t="str">
        <f t="shared" ref="N10" si="10">N9</f>
        <v/>
      </c>
      <c r="O10" s="325">
        <f>JudgeD1CSS</f>
        <v>0</v>
      </c>
    </row>
    <row r="11" spans="1:15" x14ac:dyDescent="0.25">
      <c r="A11" s="2">
        <v>2</v>
      </c>
      <c r="B11" s="2">
        <f t="shared" ref="B11:J11" si="11">B10</f>
        <v>0</v>
      </c>
      <c r="C11" s="2" t="str">
        <f t="shared" si="11"/>
        <v>CSS</v>
      </c>
      <c r="D11" s="2">
        <f t="shared" si="11"/>
        <v>0</v>
      </c>
      <c r="E11" s="2" t="str">
        <f t="shared" si="11"/>
        <v>A</v>
      </c>
      <c r="F11" s="2" t="str">
        <f t="shared" si="11"/>
        <v>Container Started</v>
      </c>
      <c r="G11" s="2" t="str">
        <f t="shared" si="11"/>
        <v/>
      </c>
      <c r="H11" s="2" t="str">
        <f t="shared" si="11"/>
        <v/>
      </c>
      <c r="I11" s="2" t="str">
        <f t="shared" si="11"/>
        <v/>
      </c>
      <c r="J11" s="2" t="str">
        <f t="shared" si="11"/>
        <v/>
      </c>
      <c r="M11" s="180" t="str">
        <f>M10</f>
        <v/>
      </c>
      <c r="N11" s="2" t="str">
        <f t="shared" ref="N11" si="12">N10</f>
        <v/>
      </c>
      <c r="O11" s="2">
        <f>O10</f>
        <v>0</v>
      </c>
    </row>
    <row r="12" spans="1:15" x14ac:dyDescent="0.25">
      <c r="A12" s="325">
        <v>1</v>
      </c>
      <c r="B12" s="325">
        <f>TrialNumber</f>
        <v>0</v>
      </c>
      <c r="C12" s="325" t="s">
        <v>15</v>
      </c>
      <c r="D12" s="325">
        <f>Started!C10</f>
        <v>0</v>
      </c>
      <c r="E12" s="325" t="str">
        <f>IF(Started!B10="W","W","A")</f>
        <v>A</v>
      </c>
      <c r="F12" s="325" t="s">
        <v>1731</v>
      </c>
      <c r="G12" s="325" t="str">
        <f>IF(Started!G10="e","Y","")</f>
        <v/>
      </c>
      <c r="H12" s="325" t="str">
        <f>IFERROR(VLOOKUP($D12,'SDDA Dogs'!$A:$AE,2,FALSE),"")</f>
        <v/>
      </c>
      <c r="I12" s="325" t="str">
        <f>IFERROR(VLOOKUP($D12,'SDDA Dogs'!$A:$AE,3,FALSE),"")</f>
        <v/>
      </c>
      <c r="J12" s="325" t="str">
        <f>IFERROR(VLOOKUP($D12,'SDDA Dogs'!$A:$AE,6,FALSE),"")</f>
        <v/>
      </c>
      <c r="K12" s="325"/>
      <c r="L12" s="325"/>
      <c r="M12" s="326" t="str">
        <f>TrialDate</f>
        <v/>
      </c>
      <c r="N12" s="325" t="str">
        <f t="shared" ref="N12" si="13">N11</f>
        <v/>
      </c>
      <c r="O12" s="325">
        <f>JudgeD1CSS</f>
        <v>0</v>
      </c>
    </row>
    <row r="13" spans="1:15" x14ac:dyDescent="0.25">
      <c r="A13" s="2">
        <v>2</v>
      </c>
      <c r="B13" s="2">
        <f t="shared" ref="B13:J13" si="14">B12</f>
        <v>0</v>
      </c>
      <c r="C13" s="2" t="str">
        <f t="shared" si="14"/>
        <v>CSS</v>
      </c>
      <c r="D13" s="2">
        <f t="shared" si="14"/>
        <v>0</v>
      </c>
      <c r="E13" s="2" t="str">
        <f t="shared" si="14"/>
        <v>A</v>
      </c>
      <c r="F13" s="2" t="str">
        <f t="shared" si="14"/>
        <v>Container Started</v>
      </c>
      <c r="G13" s="2" t="str">
        <f t="shared" si="14"/>
        <v/>
      </c>
      <c r="H13" s="2" t="str">
        <f t="shared" si="14"/>
        <v/>
      </c>
      <c r="I13" s="2" t="str">
        <f t="shared" si="14"/>
        <v/>
      </c>
      <c r="J13" s="2" t="str">
        <f t="shared" si="14"/>
        <v/>
      </c>
      <c r="M13" s="180" t="str">
        <f>M12</f>
        <v/>
      </c>
      <c r="N13" s="2" t="str">
        <f t="shared" ref="N13" si="15">N12</f>
        <v/>
      </c>
      <c r="O13" s="2">
        <f>O12</f>
        <v>0</v>
      </c>
    </row>
    <row r="14" spans="1:15" x14ac:dyDescent="0.25">
      <c r="A14" s="325">
        <v>1</v>
      </c>
      <c r="B14" s="325">
        <f>TrialNumber</f>
        <v>0</v>
      </c>
      <c r="C14" s="325" t="s">
        <v>15</v>
      </c>
      <c r="D14" s="325">
        <f>Started!C11</f>
        <v>0</v>
      </c>
      <c r="E14" s="325" t="str">
        <f>IF(Started!B11="W","W","A")</f>
        <v>A</v>
      </c>
      <c r="F14" s="325" t="s">
        <v>1731</v>
      </c>
      <c r="G14" s="325" t="str">
        <f>IF(Started!G11="e","Y","")</f>
        <v/>
      </c>
      <c r="H14" s="325" t="str">
        <f>IFERROR(VLOOKUP($D14,'SDDA Dogs'!$A:$AE,2,FALSE),"")</f>
        <v/>
      </c>
      <c r="I14" s="325" t="str">
        <f>IFERROR(VLOOKUP($D14,'SDDA Dogs'!$A:$AE,3,FALSE),"")</f>
        <v/>
      </c>
      <c r="J14" s="325" t="str">
        <f>IFERROR(VLOOKUP($D14,'SDDA Dogs'!$A:$AE,6,FALSE),"")</f>
        <v/>
      </c>
      <c r="K14" s="325"/>
      <c r="L14" s="325"/>
      <c r="M14" s="326" t="str">
        <f>TrialDate</f>
        <v/>
      </c>
      <c r="N14" s="325" t="str">
        <f t="shared" ref="N14" si="16">N13</f>
        <v/>
      </c>
      <c r="O14" s="325">
        <f>JudgeD1CSS</f>
        <v>0</v>
      </c>
    </row>
    <row r="15" spans="1:15" x14ac:dyDescent="0.25">
      <c r="A15" s="2">
        <v>2</v>
      </c>
      <c r="B15" s="2">
        <f t="shared" ref="B15:J15" si="17">B14</f>
        <v>0</v>
      </c>
      <c r="C15" s="2" t="str">
        <f t="shared" si="17"/>
        <v>CSS</v>
      </c>
      <c r="D15" s="2">
        <f t="shared" si="17"/>
        <v>0</v>
      </c>
      <c r="E15" s="2" t="str">
        <f t="shared" si="17"/>
        <v>A</v>
      </c>
      <c r="F15" s="2" t="str">
        <f t="shared" si="17"/>
        <v>Container Started</v>
      </c>
      <c r="G15" s="2" t="str">
        <f t="shared" si="17"/>
        <v/>
      </c>
      <c r="H15" s="2" t="str">
        <f t="shared" si="17"/>
        <v/>
      </c>
      <c r="I15" s="2" t="str">
        <f t="shared" si="17"/>
        <v/>
      </c>
      <c r="J15" s="2" t="str">
        <f t="shared" si="17"/>
        <v/>
      </c>
      <c r="M15" s="180" t="str">
        <f>M14</f>
        <v/>
      </c>
      <c r="N15" s="2" t="str">
        <f t="shared" ref="N15" si="18">N14</f>
        <v/>
      </c>
      <c r="O15" s="2">
        <f>O14</f>
        <v>0</v>
      </c>
    </row>
    <row r="16" spans="1:15" x14ac:dyDescent="0.25">
      <c r="A16" s="325">
        <v>1</v>
      </c>
      <c r="B16" s="325">
        <f>TrialNumber</f>
        <v>0</v>
      </c>
      <c r="C16" s="325" t="s">
        <v>15</v>
      </c>
      <c r="D16" s="325">
        <f>Started!C12</f>
        <v>0</v>
      </c>
      <c r="E16" s="325" t="str">
        <f>IF(Started!B12="W","W","A")</f>
        <v>A</v>
      </c>
      <c r="F16" s="325" t="s">
        <v>1731</v>
      </c>
      <c r="G16" s="325" t="str">
        <f>IF(Started!G12="e","Y","")</f>
        <v/>
      </c>
      <c r="H16" s="325" t="str">
        <f>IFERROR(VLOOKUP($D16,'SDDA Dogs'!$A:$AE,2,FALSE),"")</f>
        <v/>
      </c>
      <c r="I16" s="325" t="str">
        <f>IFERROR(VLOOKUP($D16,'SDDA Dogs'!$A:$AE,3,FALSE),"")</f>
        <v/>
      </c>
      <c r="J16" s="325" t="str">
        <f>IFERROR(VLOOKUP($D16,'SDDA Dogs'!$A:$AE,6,FALSE),"")</f>
        <v/>
      </c>
      <c r="K16" s="325"/>
      <c r="L16" s="325"/>
      <c r="M16" s="326" t="str">
        <f>TrialDate</f>
        <v/>
      </c>
      <c r="N16" s="325" t="str">
        <f t="shared" ref="N16" si="19">N15</f>
        <v/>
      </c>
      <c r="O16" s="325">
        <f>JudgeD1CSS</f>
        <v>0</v>
      </c>
    </row>
    <row r="17" spans="1:15" x14ac:dyDescent="0.25">
      <c r="A17" s="2">
        <v>2</v>
      </c>
      <c r="B17" s="2">
        <f t="shared" ref="B17:J17" si="20">B16</f>
        <v>0</v>
      </c>
      <c r="C17" s="2" t="str">
        <f t="shared" si="20"/>
        <v>CSS</v>
      </c>
      <c r="D17" s="2">
        <f t="shared" si="20"/>
        <v>0</v>
      </c>
      <c r="E17" s="2" t="str">
        <f t="shared" si="20"/>
        <v>A</v>
      </c>
      <c r="F17" s="2" t="str">
        <f t="shared" si="20"/>
        <v>Container Started</v>
      </c>
      <c r="G17" s="2" t="str">
        <f t="shared" si="20"/>
        <v/>
      </c>
      <c r="H17" s="2" t="str">
        <f t="shared" si="20"/>
        <v/>
      </c>
      <c r="I17" s="2" t="str">
        <f t="shared" si="20"/>
        <v/>
      </c>
      <c r="J17" s="2" t="str">
        <f t="shared" si="20"/>
        <v/>
      </c>
      <c r="M17" s="180" t="str">
        <f>M16</f>
        <v/>
      </c>
      <c r="N17" s="2" t="str">
        <f t="shared" ref="N17" si="21">N16</f>
        <v/>
      </c>
      <c r="O17" s="2">
        <f>O16</f>
        <v>0</v>
      </c>
    </row>
    <row r="18" spans="1:15" x14ac:dyDescent="0.25">
      <c r="A18" s="325">
        <v>1</v>
      </c>
      <c r="B18" s="325">
        <f>TrialNumber</f>
        <v>0</v>
      </c>
      <c r="C18" s="325" t="s">
        <v>15</v>
      </c>
      <c r="D18" s="325">
        <f>Started!C13</f>
        <v>0</v>
      </c>
      <c r="E18" s="325" t="str">
        <f>IF(Started!B13="W","W","A")</f>
        <v>A</v>
      </c>
      <c r="F18" s="325" t="s">
        <v>1731</v>
      </c>
      <c r="G18" s="325" t="str">
        <f>IF(Started!G13="e","Y","")</f>
        <v/>
      </c>
      <c r="H18" s="325" t="str">
        <f>IFERROR(VLOOKUP($D18,'SDDA Dogs'!$A:$AE,2,FALSE),"")</f>
        <v/>
      </c>
      <c r="I18" s="325" t="str">
        <f>IFERROR(VLOOKUP($D18,'SDDA Dogs'!$A:$AE,3,FALSE),"")</f>
        <v/>
      </c>
      <c r="J18" s="325" t="str">
        <f>IFERROR(VLOOKUP($D18,'SDDA Dogs'!$A:$AE,6,FALSE),"")</f>
        <v/>
      </c>
      <c r="K18" s="325"/>
      <c r="L18" s="325"/>
      <c r="M18" s="326" t="str">
        <f>TrialDate</f>
        <v/>
      </c>
      <c r="N18" s="325" t="str">
        <f t="shared" ref="N18" si="22">N17</f>
        <v/>
      </c>
      <c r="O18" s="325">
        <f>JudgeD1CSS</f>
        <v>0</v>
      </c>
    </row>
    <row r="19" spans="1:15" x14ac:dyDescent="0.25">
      <c r="A19" s="2">
        <v>2</v>
      </c>
      <c r="B19" s="2">
        <f t="shared" ref="B19:J19" si="23">B18</f>
        <v>0</v>
      </c>
      <c r="C19" s="2" t="str">
        <f t="shared" si="23"/>
        <v>CSS</v>
      </c>
      <c r="D19" s="2">
        <f t="shared" si="23"/>
        <v>0</v>
      </c>
      <c r="E19" s="2" t="str">
        <f t="shared" si="23"/>
        <v>A</v>
      </c>
      <c r="F19" s="2" t="str">
        <f t="shared" si="23"/>
        <v>Container Started</v>
      </c>
      <c r="G19" s="2" t="str">
        <f t="shared" si="23"/>
        <v/>
      </c>
      <c r="H19" s="2" t="str">
        <f t="shared" si="23"/>
        <v/>
      </c>
      <c r="I19" s="2" t="str">
        <f t="shared" si="23"/>
        <v/>
      </c>
      <c r="J19" s="2" t="str">
        <f t="shared" si="23"/>
        <v/>
      </c>
      <c r="M19" s="180" t="str">
        <f>M18</f>
        <v/>
      </c>
      <c r="N19" s="2" t="str">
        <f t="shared" ref="N19" si="24">N18</f>
        <v/>
      </c>
      <c r="O19" s="2">
        <f>O18</f>
        <v>0</v>
      </c>
    </row>
    <row r="20" spans="1:15" x14ac:dyDescent="0.25">
      <c r="A20" s="325">
        <v>1</v>
      </c>
      <c r="B20" s="325">
        <f>TrialNumber</f>
        <v>0</v>
      </c>
      <c r="C20" s="325" t="s">
        <v>15</v>
      </c>
      <c r="D20" s="325">
        <f>Started!C14</f>
        <v>0</v>
      </c>
      <c r="E20" s="325" t="str">
        <f>IF(Started!B14="W","W","A")</f>
        <v>A</v>
      </c>
      <c r="F20" s="325" t="s">
        <v>1731</v>
      </c>
      <c r="G20" s="325" t="str">
        <f>IF(Started!G14="e","Y","")</f>
        <v/>
      </c>
      <c r="H20" s="325" t="str">
        <f>IFERROR(VLOOKUP($D20,'SDDA Dogs'!$A:$AE,2,FALSE),"")</f>
        <v/>
      </c>
      <c r="I20" s="325" t="str">
        <f>IFERROR(VLOOKUP($D20,'SDDA Dogs'!$A:$AE,3,FALSE),"")</f>
        <v/>
      </c>
      <c r="J20" s="325" t="str">
        <f>IFERROR(VLOOKUP($D20,'SDDA Dogs'!$A:$AE,6,FALSE),"")</f>
        <v/>
      </c>
      <c r="K20" s="325"/>
      <c r="L20" s="325"/>
      <c r="M20" s="326" t="str">
        <f>TrialDate</f>
        <v/>
      </c>
      <c r="N20" s="325" t="str">
        <f t="shared" ref="N20" si="25">N19</f>
        <v/>
      </c>
      <c r="O20" s="325">
        <f>JudgeD1CSS</f>
        <v>0</v>
      </c>
    </row>
    <row r="21" spans="1:15" x14ac:dyDescent="0.25">
      <c r="A21" s="2">
        <v>2</v>
      </c>
      <c r="B21" s="2">
        <f t="shared" ref="B21:J21" si="26">B20</f>
        <v>0</v>
      </c>
      <c r="C21" s="2" t="str">
        <f t="shared" si="26"/>
        <v>CSS</v>
      </c>
      <c r="D21" s="2">
        <f t="shared" si="26"/>
        <v>0</v>
      </c>
      <c r="E21" s="2" t="str">
        <f t="shared" si="26"/>
        <v>A</v>
      </c>
      <c r="F21" s="2" t="str">
        <f t="shared" si="26"/>
        <v>Container Started</v>
      </c>
      <c r="G21" s="2" t="str">
        <f t="shared" si="26"/>
        <v/>
      </c>
      <c r="H21" s="2" t="str">
        <f t="shared" si="26"/>
        <v/>
      </c>
      <c r="I21" s="2" t="str">
        <f t="shared" si="26"/>
        <v/>
      </c>
      <c r="J21" s="2" t="str">
        <f t="shared" si="26"/>
        <v/>
      </c>
      <c r="M21" s="180" t="str">
        <f>M20</f>
        <v/>
      </c>
      <c r="N21" s="2" t="str">
        <f t="shared" ref="N21" si="27">N20</f>
        <v/>
      </c>
      <c r="O21" s="2">
        <f>O20</f>
        <v>0</v>
      </c>
    </row>
    <row r="22" spans="1:15" x14ac:dyDescent="0.25">
      <c r="A22" s="325">
        <v>1</v>
      </c>
      <c r="B22" s="325">
        <f>TrialNumber</f>
        <v>0</v>
      </c>
      <c r="C22" s="325" t="s">
        <v>15</v>
      </c>
      <c r="D22" s="325">
        <f>Started!C15</f>
        <v>0</v>
      </c>
      <c r="E22" s="325" t="str">
        <f>IF(Started!B15="W","W","A")</f>
        <v>A</v>
      </c>
      <c r="F22" s="325" t="s">
        <v>1731</v>
      </c>
      <c r="G22" s="325" t="str">
        <f>IF(Started!G15="e","Y","")</f>
        <v/>
      </c>
      <c r="H22" s="325" t="str">
        <f>IFERROR(VLOOKUP($D22,'SDDA Dogs'!$A:$AE,2,FALSE),"")</f>
        <v/>
      </c>
      <c r="I22" s="325" t="str">
        <f>IFERROR(VLOOKUP($D22,'SDDA Dogs'!$A:$AE,3,FALSE),"")</f>
        <v/>
      </c>
      <c r="J22" s="325" t="str">
        <f>IFERROR(VLOOKUP($D22,'SDDA Dogs'!$A:$AE,6,FALSE),"")</f>
        <v/>
      </c>
      <c r="K22" s="325"/>
      <c r="L22" s="325"/>
      <c r="M22" s="326" t="str">
        <f>TrialDate</f>
        <v/>
      </c>
      <c r="N22" s="325" t="str">
        <f t="shared" ref="N22" si="28">N21</f>
        <v/>
      </c>
      <c r="O22" s="325">
        <f>JudgeD1CSS</f>
        <v>0</v>
      </c>
    </row>
    <row r="23" spans="1:15" x14ac:dyDescent="0.25">
      <c r="A23" s="2">
        <v>2</v>
      </c>
      <c r="B23" s="2">
        <f t="shared" ref="B23:J23" si="29">B22</f>
        <v>0</v>
      </c>
      <c r="C23" s="2" t="str">
        <f t="shared" si="29"/>
        <v>CSS</v>
      </c>
      <c r="D23" s="2">
        <f t="shared" si="29"/>
        <v>0</v>
      </c>
      <c r="E23" s="2" t="str">
        <f t="shared" si="29"/>
        <v>A</v>
      </c>
      <c r="F23" s="2" t="str">
        <f t="shared" si="29"/>
        <v>Container Started</v>
      </c>
      <c r="G23" s="2" t="str">
        <f t="shared" si="29"/>
        <v/>
      </c>
      <c r="H23" s="2" t="str">
        <f t="shared" si="29"/>
        <v/>
      </c>
      <c r="I23" s="2" t="str">
        <f t="shared" si="29"/>
        <v/>
      </c>
      <c r="J23" s="2" t="str">
        <f t="shared" si="29"/>
        <v/>
      </c>
      <c r="M23" s="180" t="str">
        <f>M22</f>
        <v/>
      </c>
      <c r="N23" s="2" t="str">
        <f t="shared" ref="N23" si="30">N22</f>
        <v/>
      </c>
      <c r="O23" s="2">
        <f>O22</f>
        <v>0</v>
      </c>
    </row>
    <row r="24" spans="1:15" x14ac:dyDescent="0.25">
      <c r="A24" s="325">
        <v>1</v>
      </c>
      <c r="B24" s="325">
        <f>TrialNumber</f>
        <v>0</v>
      </c>
      <c r="C24" s="325" t="s">
        <v>15</v>
      </c>
      <c r="D24" s="325">
        <f>Started!C16</f>
        <v>0</v>
      </c>
      <c r="E24" s="325" t="str">
        <f>IF(Started!B16="W","W","A")</f>
        <v>A</v>
      </c>
      <c r="F24" s="325" t="s">
        <v>1731</v>
      </c>
      <c r="G24" s="325" t="str">
        <f>IF(Started!G16="e","Y","")</f>
        <v/>
      </c>
      <c r="H24" s="325" t="str">
        <f>IFERROR(VLOOKUP($D24,'SDDA Dogs'!$A:$AE,2,FALSE),"")</f>
        <v/>
      </c>
      <c r="I24" s="325" t="str">
        <f>IFERROR(VLOOKUP($D24,'SDDA Dogs'!$A:$AE,3,FALSE),"")</f>
        <v/>
      </c>
      <c r="J24" s="325" t="str">
        <f>IFERROR(VLOOKUP($D24,'SDDA Dogs'!$A:$AE,6,FALSE),"")</f>
        <v/>
      </c>
      <c r="K24" s="325"/>
      <c r="L24" s="325"/>
      <c r="M24" s="326" t="str">
        <f>TrialDate</f>
        <v/>
      </c>
      <c r="N24" s="325" t="str">
        <f t="shared" ref="N24" si="31">N23</f>
        <v/>
      </c>
      <c r="O24" s="325">
        <f>JudgeD1CSS</f>
        <v>0</v>
      </c>
    </row>
    <row r="25" spans="1:15" x14ac:dyDescent="0.25">
      <c r="A25" s="2">
        <v>2</v>
      </c>
      <c r="B25" s="2">
        <f t="shared" ref="B25:J25" si="32">B24</f>
        <v>0</v>
      </c>
      <c r="C25" s="2" t="str">
        <f t="shared" si="32"/>
        <v>CSS</v>
      </c>
      <c r="D25" s="2">
        <f t="shared" si="32"/>
        <v>0</v>
      </c>
      <c r="E25" s="2" t="str">
        <f t="shared" si="32"/>
        <v>A</v>
      </c>
      <c r="F25" s="2" t="str">
        <f t="shared" si="32"/>
        <v>Container Started</v>
      </c>
      <c r="G25" s="2" t="str">
        <f t="shared" si="32"/>
        <v/>
      </c>
      <c r="H25" s="2" t="str">
        <f t="shared" si="32"/>
        <v/>
      </c>
      <c r="I25" s="2" t="str">
        <f t="shared" si="32"/>
        <v/>
      </c>
      <c r="J25" s="2" t="str">
        <f t="shared" si="32"/>
        <v/>
      </c>
      <c r="M25" s="180" t="str">
        <f>M24</f>
        <v/>
      </c>
      <c r="N25" s="2" t="str">
        <f t="shared" ref="N25" si="33">N24</f>
        <v/>
      </c>
      <c r="O25" s="2">
        <f>O24</f>
        <v>0</v>
      </c>
    </row>
    <row r="26" spans="1:15" x14ac:dyDescent="0.25">
      <c r="A26" s="325">
        <v>1</v>
      </c>
      <c r="B26" s="325">
        <f>TrialNumber</f>
        <v>0</v>
      </c>
      <c r="C26" s="325" t="s">
        <v>15</v>
      </c>
      <c r="D26" s="325">
        <f>Started!C17</f>
        <v>0</v>
      </c>
      <c r="E26" s="325" t="str">
        <f>IF(Started!B17="W","W","A")</f>
        <v>A</v>
      </c>
      <c r="F26" s="325" t="s">
        <v>1731</v>
      </c>
      <c r="G26" s="325" t="str">
        <f>IF(Started!G17="e","Y","")</f>
        <v/>
      </c>
      <c r="H26" s="325" t="str">
        <f>IFERROR(VLOOKUP($D26,'SDDA Dogs'!$A:$AE,2,FALSE),"")</f>
        <v/>
      </c>
      <c r="I26" s="325" t="str">
        <f>IFERROR(VLOOKUP($D26,'SDDA Dogs'!$A:$AE,3,FALSE),"")</f>
        <v/>
      </c>
      <c r="J26" s="325" t="str">
        <f>IFERROR(VLOOKUP($D26,'SDDA Dogs'!$A:$AE,6,FALSE),"")</f>
        <v/>
      </c>
      <c r="K26" s="325"/>
      <c r="L26" s="325"/>
      <c r="M26" s="326" t="str">
        <f>TrialDate</f>
        <v/>
      </c>
      <c r="N26" s="325" t="str">
        <f t="shared" ref="N26" si="34">N25</f>
        <v/>
      </c>
      <c r="O26" s="325">
        <f>JudgeD1CSS</f>
        <v>0</v>
      </c>
    </row>
    <row r="27" spans="1:15" x14ac:dyDescent="0.25">
      <c r="A27" s="2">
        <v>2</v>
      </c>
      <c r="B27" s="2">
        <f t="shared" ref="B27:J27" si="35">B26</f>
        <v>0</v>
      </c>
      <c r="C27" s="2" t="str">
        <f t="shared" si="35"/>
        <v>CSS</v>
      </c>
      <c r="D27" s="2">
        <f t="shared" si="35"/>
        <v>0</v>
      </c>
      <c r="E27" s="2" t="str">
        <f t="shared" si="35"/>
        <v>A</v>
      </c>
      <c r="F27" s="2" t="str">
        <f t="shared" si="35"/>
        <v>Container Started</v>
      </c>
      <c r="G27" s="2" t="str">
        <f t="shared" si="35"/>
        <v/>
      </c>
      <c r="H27" s="2" t="str">
        <f t="shared" si="35"/>
        <v/>
      </c>
      <c r="I27" s="2" t="str">
        <f t="shared" si="35"/>
        <v/>
      </c>
      <c r="J27" s="2" t="str">
        <f t="shared" si="35"/>
        <v/>
      </c>
      <c r="M27" s="180" t="str">
        <f>M26</f>
        <v/>
      </c>
      <c r="N27" s="2" t="str">
        <f t="shared" ref="N27" si="36">N26</f>
        <v/>
      </c>
      <c r="O27" s="2">
        <f>O26</f>
        <v>0</v>
      </c>
    </row>
    <row r="28" spans="1:15" x14ac:dyDescent="0.25">
      <c r="A28" s="325">
        <v>1</v>
      </c>
      <c r="B28" s="325">
        <f>TrialNumber</f>
        <v>0</v>
      </c>
      <c r="C28" s="325" t="s">
        <v>15</v>
      </c>
      <c r="D28" s="325">
        <f>Started!C18</f>
        <v>0</v>
      </c>
      <c r="E28" s="325" t="str">
        <f>IF(Started!B18="W","W","A")</f>
        <v>A</v>
      </c>
      <c r="F28" s="325" t="s">
        <v>1731</v>
      </c>
      <c r="G28" s="325" t="str">
        <f>IF(Started!G18="e","Y","")</f>
        <v/>
      </c>
      <c r="H28" s="325" t="str">
        <f>IFERROR(VLOOKUP($D28,'SDDA Dogs'!$A:$AE,2,FALSE),"")</f>
        <v/>
      </c>
      <c r="I28" s="325" t="str">
        <f>IFERROR(VLOOKUP($D28,'SDDA Dogs'!$A:$AE,3,FALSE),"")</f>
        <v/>
      </c>
      <c r="J28" s="325" t="str">
        <f>IFERROR(VLOOKUP($D28,'SDDA Dogs'!$A:$AE,6,FALSE),"")</f>
        <v/>
      </c>
      <c r="K28" s="325"/>
      <c r="L28" s="325"/>
      <c r="M28" s="326" t="str">
        <f>TrialDate</f>
        <v/>
      </c>
      <c r="N28" s="325" t="str">
        <f t="shared" ref="N28" si="37">N27</f>
        <v/>
      </c>
      <c r="O28" s="325">
        <f>JudgeD1CSS</f>
        <v>0</v>
      </c>
    </row>
    <row r="29" spans="1:15" x14ac:dyDescent="0.25">
      <c r="A29" s="2">
        <v>2</v>
      </c>
      <c r="B29" s="2">
        <f t="shared" ref="B29:J29" si="38">B28</f>
        <v>0</v>
      </c>
      <c r="C29" s="2" t="str">
        <f t="shared" si="38"/>
        <v>CSS</v>
      </c>
      <c r="D29" s="2">
        <f t="shared" si="38"/>
        <v>0</v>
      </c>
      <c r="E29" s="2" t="str">
        <f t="shared" si="38"/>
        <v>A</v>
      </c>
      <c r="F29" s="2" t="str">
        <f t="shared" si="38"/>
        <v>Container Started</v>
      </c>
      <c r="G29" s="2" t="str">
        <f t="shared" si="38"/>
        <v/>
      </c>
      <c r="H29" s="2" t="str">
        <f t="shared" si="38"/>
        <v/>
      </c>
      <c r="I29" s="2" t="str">
        <f t="shared" si="38"/>
        <v/>
      </c>
      <c r="J29" s="2" t="str">
        <f t="shared" si="38"/>
        <v/>
      </c>
      <c r="M29" s="180" t="str">
        <f>M28</f>
        <v/>
      </c>
      <c r="N29" s="2" t="str">
        <f t="shared" ref="N29" si="39">N28</f>
        <v/>
      </c>
      <c r="O29" s="2">
        <f>O28</f>
        <v>0</v>
      </c>
    </row>
    <row r="30" spans="1:15" x14ac:dyDescent="0.25">
      <c r="A30" s="325">
        <v>1</v>
      </c>
      <c r="B30" s="325">
        <f>TrialNumber</f>
        <v>0</v>
      </c>
      <c r="C30" s="325" t="s">
        <v>15</v>
      </c>
      <c r="D30" s="325">
        <f>Started!C19</f>
        <v>0</v>
      </c>
      <c r="E30" s="325" t="str">
        <f>IF(Started!B19="W","W","A")</f>
        <v>A</v>
      </c>
      <c r="F30" s="325" t="s">
        <v>1731</v>
      </c>
      <c r="G30" s="325" t="str">
        <f>IF(Started!G19="e","Y","")</f>
        <v/>
      </c>
      <c r="H30" s="325" t="str">
        <f>IFERROR(VLOOKUP($D30,'SDDA Dogs'!$A:$AE,2,FALSE),"")</f>
        <v/>
      </c>
      <c r="I30" s="325" t="str">
        <f>IFERROR(VLOOKUP($D30,'SDDA Dogs'!$A:$AE,3,FALSE),"")</f>
        <v/>
      </c>
      <c r="J30" s="325" t="str">
        <f>IFERROR(VLOOKUP($D30,'SDDA Dogs'!$A:$AE,6,FALSE),"")</f>
        <v/>
      </c>
      <c r="K30" s="325"/>
      <c r="L30" s="325"/>
      <c r="M30" s="326" t="str">
        <f>TrialDate</f>
        <v/>
      </c>
      <c r="N30" s="325" t="str">
        <f t="shared" ref="N30" si="40">N29</f>
        <v/>
      </c>
      <c r="O30" s="325">
        <f>JudgeD1CSS</f>
        <v>0</v>
      </c>
    </row>
    <row r="31" spans="1:15" x14ac:dyDescent="0.25">
      <c r="A31" s="2">
        <v>2</v>
      </c>
      <c r="B31" s="2">
        <f t="shared" ref="B31:J31" si="41">B30</f>
        <v>0</v>
      </c>
      <c r="C31" s="2" t="str">
        <f t="shared" si="41"/>
        <v>CSS</v>
      </c>
      <c r="D31" s="2">
        <f t="shared" si="41"/>
        <v>0</v>
      </c>
      <c r="E31" s="2" t="str">
        <f t="shared" si="41"/>
        <v>A</v>
      </c>
      <c r="F31" s="2" t="str">
        <f t="shared" si="41"/>
        <v>Container Started</v>
      </c>
      <c r="G31" s="2" t="str">
        <f t="shared" si="41"/>
        <v/>
      </c>
      <c r="H31" s="2" t="str">
        <f t="shared" si="41"/>
        <v/>
      </c>
      <c r="I31" s="2" t="str">
        <f t="shared" si="41"/>
        <v/>
      </c>
      <c r="J31" s="2" t="str">
        <f t="shared" si="41"/>
        <v/>
      </c>
      <c r="M31" s="180" t="str">
        <f>M30</f>
        <v/>
      </c>
      <c r="N31" s="2" t="str">
        <f t="shared" ref="N31" si="42">N30</f>
        <v/>
      </c>
      <c r="O31" s="2">
        <f>O30</f>
        <v>0</v>
      </c>
    </row>
    <row r="32" spans="1:15" x14ac:dyDescent="0.25">
      <c r="A32" s="325">
        <v>1</v>
      </c>
      <c r="B32" s="325">
        <f>TrialNumber</f>
        <v>0</v>
      </c>
      <c r="C32" s="325" t="s">
        <v>15</v>
      </c>
      <c r="D32" s="325">
        <f>Started!C20</f>
        <v>0</v>
      </c>
      <c r="E32" s="325" t="str">
        <f>IF(Started!B20="W","W","A")</f>
        <v>A</v>
      </c>
      <c r="F32" s="325" t="s">
        <v>1731</v>
      </c>
      <c r="G32" s="325" t="str">
        <f>IF(Started!G20="e","Y","")</f>
        <v/>
      </c>
      <c r="H32" s="325" t="str">
        <f>IFERROR(VLOOKUP($D32,'SDDA Dogs'!$A:$AE,2,FALSE),"")</f>
        <v/>
      </c>
      <c r="I32" s="325" t="str">
        <f>IFERROR(VLOOKUP($D32,'SDDA Dogs'!$A:$AE,3,FALSE),"")</f>
        <v/>
      </c>
      <c r="J32" s="325" t="str">
        <f>IFERROR(VLOOKUP($D32,'SDDA Dogs'!$A:$AE,6,FALSE),"")</f>
        <v/>
      </c>
      <c r="K32" s="325"/>
      <c r="L32" s="325"/>
      <c r="M32" s="326" t="str">
        <f>TrialDate</f>
        <v/>
      </c>
      <c r="N32" s="325" t="str">
        <f t="shared" ref="N32" si="43">N31</f>
        <v/>
      </c>
      <c r="O32" s="325">
        <f>JudgeD1CSS</f>
        <v>0</v>
      </c>
    </row>
    <row r="33" spans="1:15" x14ac:dyDescent="0.25">
      <c r="A33" s="2">
        <v>2</v>
      </c>
      <c r="B33" s="2">
        <f t="shared" ref="B33:J33" si="44">B32</f>
        <v>0</v>
      </c>
      <c r="C33" s="2" t="str">
        <f t="shared" si="44"/>
        <v>CSS</v>
      </c>
      <c r="D33" s="2">
        <f t="shared" si="44"/>
        <v>0</v>
      </c>
      <c r="E33" s="2" t="str">
        <f t="shared" si="44"/>
        <v>A</v>
      </c>
      <c r="F33" s="2" t="str">
        <f t="shared" si="44"/>
        <v>Container Started</v>
      </c>
      <c r="G33" s="2" t="str">
        <f t="shared" si="44"/>
        <v/>
      </c>
      <c r="H33" s="2" t="str">
        <f t="shared" si="44"/>
        <v/>
      </c>
      <c r="I33" s="2" t="str">
        <f t="shared" si="44"/>
        <v/>
      </c>
      <c r="J33" s="2" t="str">
        <f t="shared" si="44"/>
        <v/>
      </c>
      <c r="M33" s="180" t="str">
        <f>M32</f>
        <v/>
      </c>
      <c r="N33" s="2" t="str">
        <f t="shared" ref="N33" si="45">N32</f>
        <v/>
      </c>
      <c r="O33" s="2">
        <f>O32</f>
        <v>0</v>
      </c>
    </row>
    <row r="34" spans="1:15" x14ac:dyDescent="0.25">
      <c r="A34" s="325">
        <v>1</v>
      </c>
      <c r="B34" s="325">
        <f>TrialNumber</f>
        <v>0</v>
      </c>
      <c r="C34" s="325" t="s">
        <v>15</v>
      </c>
      <c r="D34" s="325">
        <f>Started!C21</f>
        <v>0</v>
      </c>
      <c r="E34" s="325" t="str">
        <f>IF(Started!B21="W","W","A")</f>
        <v>A</v>
      </c>
      <c r="F34" s="325" t="s">
        <v>1731</v>
      </c>
      <c r="G34" s="325" t="str">
        <f>IF(Started!G21="e","Y","")</f>
        <v/>
      </c>
      <c r="H34" s="325" t="str">
        <f>IFERROR(VLOOKUP($D34,'SDDA Dogs'!$A:$AE,2,FALSE),"")</f>
        <v/>
      </c>
      <c r="I34" s="325" t="str">
        <f>IFERROR(VLOOKUP($D34,'SDDA Dogs'!$A:$AE,3,FALSE),"")</f>
        <v/>
      </c>
      <c r="J34" s="325" t="str">
        <f>IFERROR(VLOOKUP($D34,'SDDA Dogs'!$A:$AE,6,FALSE),"")</f>
        <v/>
      </c>
      <c r="K34" s="325"/>
      <c r="L34" s="325"/>
      <c r="M34" s="326" t="str">
        <f>TrialDate</f>
        <v/>
      </c>
      <c r="N34" s="325" t="str">
        <f t="shared" ref="N34" si="46">N33</f>
        <v/>
      </c>
      <c r="O34" s="325">
        <f>JudgeD1CSS</f>
        <v>0</v>
      </c>
    </row>
    <row r="35" spans="1:15" x14ac:dyDescent="0.25">
      <c r="A35" s="2">
        <v>2</v>
      </c>
      <c r="B35" s="2">
        <f t="shared" ref="B35:J35" si="47">B34</f>
        <v>0</v>
      </c>
      <c r="C35" s="2" t="str">
        <f t="shared" si="47"/>
        <v>CSS</v>
      </c>
      <c r="D35" s="2">
        <f t="shared" si="47"/>
        <v>0</v>
      </c>
      <c r="E35" s="2" t="str">
        <f t="shared" si="47"/>
        <v>A</v>
      </c>
      <c r="F35" s="2" t="str">
        <f t="shared" si="47"/>
        <v>Container Started</v>
      </c>
      <c r="G35" s="2" t="str">
        <f t="shared" si="47"/>
        <v/>
      </c>
      <c r="H35" s="2" t="str">
        <f t="shared" si="47"/>
        <v/>
      </c>
      <c r="I35" s="2" t="str">
        <f t="shared" si="47"/>
        <v/>
      </c>
      <c r="J35" s="2" t="str">
        <f t="shared" si="47"/>
        <v/>
      </c>
      <c r="M35" s="180" t="str">
        <f>M34</f>
        <v/>
      </c>
      <c r="N35" s="2" t="str">
        <f t="shared" ref="N35" si="48">N34</f>
        <v/>
      </c>
      <c r="O35" s="2">
        <f>O34</f>
        <v>0</v>
      </c>
    </row>
    <row r="36" spans="1:15" x14ac:dyDescent="0.25">
      <c r="A36" s="325">
        <v>1</v>
      </c>
      <c r="B36" s="325">
        <f>TrialNumber</f>
        <v>0</v>
      </c>
      <c r="C36" s="325" t="s">
        <v>15</v>
      </c>
      <c r="D36" s="325">
        <f>Started!C22</f>
        <v>0</v>
      </c>
      <c r="E36" s="325" t="str">
        <f>IF(Started!B22="W","W","A")</f>
        <v>A</v>
      </c>
      <c r="F36" s="325" t="s">
        <v>1731</v>
      </c>
      <c r="G36" s="325" t="str">
        <f>IF(Started!G22="e","Y","")</f>
        <v/>
      </c>
      <c r="H36" s="325" t="str">
        <f>IFERROR(VLOOKUP($D36,'SDDA Dogs'!$A:$AE,2,FALSE),"")</f>
        <v/>
      </c>
      <c r="I36" s="325" t="str">
        <f>IFERROR(VLOOKUP($D36,'SDDA Dogs'!$A:$AE,3,FALSE),"")</f>
        <v/>
      </c>
      <c r="J36" s="325" t="str">
        <f>IFERROR(VLOOKUP($D36,'SDDA Dogs'!$A:$AE,6,FALSE),"")</f>
        <v/>
      </c>
      <c r="K36" s="325"/>
      <c r="L36" s="325"/>
      <c r="M36" s="326" t="str">
        <f>TrialDate</f>
        <v/>
      </c>
      <c r="N36" s="325" t="str">
        <f t="shared" ref="N36" si="49">N35</f>
        <v/>
      </c>
      <c r="O36" s="325">
        <f>JudgeD1CSS</f>
        <v>0</v>
      </c>
    </row>
    <row r="37" spans="1:15" x14ac:dyDescent="0.25">
      <c r="A37" s="2">
        <v>2</v>
      </c>
      <c r="B37" s="2">
        <f t="shared" ref="B37:J37" si="50">B36</f>
        <v>0</v>
      </c>
      <c r="C37" s="2" t="str">
        <f t="shared" si="50"/>
        <v>CSS</v>
      </c>
      <c r="D37" s="2">
        <f t="shared" si="50"/>
        <v>0</v>
      </c>
      <c r="E37" s="2" t="str">
        <f t="shared" si="50"/>
        <v>A</v>
      </c>
      <c r="F37" s="2" t="str">
        <f t="shared" si="50"/>
        <v>Container Started</v>
      </c>
      <c r="G37" s="2" t="str">
        <f t="shared" si="50"/>
        <v/>
      </c>
      <c r="H37" s="2" t="str">
        <f t="shared" si="50"/>
        <v/>
      </c>
      <c r="I37" s="2" t="str">
        <f t="shared" si="50"/>
        <v/>
      </c>
      <c r="J37" s="2" t="str">
        <f t="shared" si="50"/>
        <v/>
      </c>
      <c r="M37" s="180" t="str">
        <f>M36</f>
        <v/>
      </c>
      <c r="N37" s="2" t="str">
        <f t="shared" ref="N37" si="51">N36</f>
        <v/>
      </c>
      <c r="O37" s="2">
        <f>O36</f>
        <v>0</v>
      </c>
    </row>
    <row r="38" spans="1:15" x14ac:dyDescent="0.25">
      <c r="A38" s="325">
        <v>1</v>
      </c>
      <c r="B38" s="325">
        <f>TrialNumber</f>
        <v>0</v>
      </c>
      <c r="C38" s="325" t="s">
        <v>15</v>
      </c>
      <c r="D38" s="325">
        <f>Started!C23</f>
        <v>0</v>
      </c>
      <c r="E38" s="325" t="str">
        <f>IF(Started!B23="W","W","A")</f>
        <v>A</v>
      </c>
      <c r="F38" s="325" t="s">
        <v>1731</v>
      </c>
      <c r="G38" s="325" t="str">
        <f>IF(Started!G23="e","Y","")</f>
        <v/>
      </c>
      <c r="H38" s="325" t="str">
        <f>IFERROR(VLOOKUP($D38,'SDDA Dogs'!$A:$AE,2,FALSE),"")</f>
        <v/>
      </c>
      <c r="I38" s="325" t="str">
        <f>IFERROR(VLOOKUP($D38,'SDDA Dogs'!$A:$AE,3,FALSE),"")</f>
        <v/>
      </c>
      <c r="J38" s="325" t="str">
        <f>IFERROR(VLOOKUP($D38,'SDDA Dogs'!$A:$AE,6,FALSE),"")</f>
        <v/>
      </c>
      <c r="K38" s="325"/>
      <c r="L38" s="325"/>
      <c r="M38" s="326" t="str">
        <f>TrialDate</f>
        <v/>
      </c>
      <c r="N38" s="325" t="str">
        <f t="shared" ref="N38" si="52">N37</f>
        <v/>
      </c>
      <c r="O38" s="325">
        <f>JudgeD1CSS</f>
        <v>0</v>
      </c>
    </row>
    <row r="39" spans="1:15" x14ac:dyDescent="0.25">
      <c r="A39" s="2">
        <v>2</v>
      </c>
      <c r="B39" s="2">
        <f t="shared" ref="B39:J39" si="53">B38</f>
        <v>0</v>
      </c>
      <c r="C39" s="2" t="str">
        <f t="shared" si="53"/>
        <v>CSS</v>
      </c>
      <c r="D39" s="2">
        <f t="shared" si="53"/>
        <v>0</v>
      </c>
      <c r="E39" s="2" t="str">
        <f t="shared" si="53"/>
        <v>A</v>
      </c>
      <c r="F39" s="2" t="str">
        <f t="shared" si="53"/>
        <v>Container Started</v>
      </c>
      <c r="G39" s="2" t="str">
        <f t="shared" si="53"/>
        <v/>
      </c>
      <c r="H39" s="2" t="str">
        <f t="shared" si="53"/>
        <v/>
      </c>
      <c r="I39" s="2" t="str">
        <f t="shared" si="53"/>
        <v/>
      </c>
      <c r="J39" s="2" t="str">
        <f t="shared" si="53"/>
        <v/>
      </c>
      <c r="M39" s="180" t="str">
        <f>M38</f>
        <v/>
      </c>
      <c r="N39" s="2" t="str">
        <f t="shared" ref="N39" si="54">N38</f>
        <v/>
      </c>
      <c r="O39" s="2">
        <f>O38</f>
        <v>0</v>
      </c>
    </row>
    <row r="40" spans="1:15" x14ac:dyDescent="0.25">
      <c r="A40" s="325">
        <v>1</v>
      </c>
      <c r="B40" s="325">
        <f>TrialNumber</f>
        <v>0</v>
      </c>
      <c r="C40" s="325" t="s">
        <v>15</v>
      </c>
      <c r="D40" s="325">
        <f>Started!C24</f>
        <v>0</v>
      </c>
      <c r="E40" s="325" t="str">
        <f>IF(Started!B24="W","W","A")</f>
        <v>A</v>
      </c>
      <c r="F40" s="325" t="s">
        <v>1731</v>
      </c>
      <c r="G40" s="325" t="str">
        <f>IF(Started!G24="e","Y","")</f>
        <v/>
      </c>
      <c r="H40" s="325" t="str">
        <f>IFERROR(VLOOKUP($D40,'SDDA Dogs'!$A:$AE,2,FALSE),"")</f>
        <v/>
      </c>
      <c r="I40" s="325" t="str">
        <f>IFERROR(VLOOKUP($D40,'SDDA Dogs'!$A:$AE,3,FALSE),"")</f>
        <v/>
      </c>
      <c r="J40" s="325" t="str">
        <f>IFERROR(VLOOKUP($D40,'SDDA Dogs'!$A:$AE,6,FALSE),"")</f>
        <v/>
      </c>
      <c r="K40" s="325"/>
      <c r="L40" s="325"/>
      <c r="M40" s="326" t="str">
        <f>TrialDate</f>
        <v/>
      </c>
      <c r="N40" s="325" t="str">
        <f t="shared" ref="N40" si="55">N39</f>
        <v/>
      </c>
      <c r="O40" s="325">
        <f>JudgeD1CSS</f>
        <v>0</v>
      </c>
    </row>
    <row r="41" spans="1:15" x14ac:dyDescent="0.25">
      <c r="A41" s="2">
        <v>2</v>
      </c>
      <c r="B41" s="2">
        <f t="shared" ref="B41:J41" si="56">B40</f>
        <v>0</v>
      </c>
      <c r="C41" s="2" t="str">
        <f t="shared" si="56"/>
        <v>CSS</v>
      </c>
      <c r="D41" s="2">
        <f t="shared" si="56"/>
        <v>0</v>
      </c>
      <c r="E41" s="2" t="str">
        <f t="shared" si="56"/>
        <v>A</v>
      </c>
      <c r="F41" s="2" t="str">
        <f t="shared" si="56"/>
        <v>Container Started</v>
      </c>
      <c r="G41" s="2" t="str">
        <f t="shared" si="56"/>
        <v/>
      </c>
      <c r="H41" s="2" t="str">
        <f t="shared" si="56"/>
        <v/>
      </c>
      <c r="I41" s="2" t="str">
        <f t="shared" si="56"/>
        <v/>
      </c>
      <c r="J41" s="2" t="str">
        <f t="shared" si="56"/>
        <v/>
      </c>
      <c r="M41" s="180" t="str">
        <f>M40</f>
        <v/>
      </c>
      <c r="N41" s="2" t="str">
        <f t="shared" ref="N41" si="57">N40</f>
        <v/>
      </c>
      <c r="O41" s="2">
        <f>O40</f>
        <v>0</v>
      </c>
    </row>
    <row r="42" spans="1:15" x14ac:dyDescent="0.25">
      <c r="A42" s="325">
        <v>1</v>
      </c>
      <c r="B42" s="325">
        <f>TrialNumber</f>
        <v>0</v>
      </c>
      <c r="C42" s="325" t="s">
        <v>15</v>
      </c>
      <c r="D42" s="325">
        <f>Started!C25</f>
        <v>0</v>
      </c>
      <c r="E42" s="325" t="str">
        <f>IF(Started!B25="W","W","A")</f>
        <v>A</v>
      </c>
      <c r="F42" s="325" t="s">
        <v>1731</v>
      </c>
      <c r="G42" s="325" t="str">
        <f>IF(Started!G25="e","Y","")</f>
        <v/>
      </c>
      <c r="H42" s="325" t="str">
        <f>IFERROR(VLOOKUP($D42,'SDDA Dogs'!$A:$AE,2,FALSE),"")</f>
        <v/>
      </c>
      <c r="I42" s="325" t="str">
        <f>IFERROR(VLOOKUP($D42,'SDDA Dogs'!$A:$AE,3,FALSE),"")</f>
        <v/>
      </c>
      <c r="J42" s="325" t="str">
        <f>IFERROR(VLOOKUP($D42,'SDDA Dogs'!$A:$AE,6,FALSE),"")</f>
        <v/>
      </c>
      <c r="K42" s="325"/>
      <c r="L42" s="325"/>
      <c r="M42" s="326" t="str">
        <f>TrialDate</f>
        <v/>
      </c>
      <c r="N42" s="325" t="str">
        <f t="shared" ref="N42" si="58">N41</f>
        <v/>
      </c>
      <c r="O42" s="325">
        <f>JudgeD1CSS</f>
        <v>0</v>
      </c>
    </row>
    <row r="43" spans="1:15" x14ac:dyDescent="0.25">
      <c r="A43" s="2">
        <v>2</v>
      </c>
      <c r="B43" s="2">
        <f t="shared" ref="B43:J43" si="59">B42</f>
        <v>0</v>
      </c>
      <c r="C43" s="2" t="str">
        <f t="shared" si="59"/>
        <v>CSS</v>
      </c>
      <c r="D43" s="2">
        <f t="shared" si="59"/>
        <v>0</v>
      </c>
      <c r="E43" s="2" t="str">
        <f t="shared" si="59"/>
        <v>A</v>
      </c>
      <c r="F43" s="2" t="str">
        <f t="shared" si="59"/>
        <v>Container Started</v>
      </c>
      <c r="G43" s="2" t="str">
        <f t="shared" si="59"/>
        <v/>
      </c>
      <c r="H43" s="2" t="str">
        <f t="shared" si="59"/>
        <v/>
      </c>
      <c r="I43" s="2" t="str">
        <f t="shared" si="59"/>
        <v/>
      </c>
      <c r="J43" s="2" t="str">
        <f t="shared" si="59"/>
        <v/>
      </c>
      <c r="M43" s="180" t="str">
        <f>M42</f>
        <v/>
      </c>
      <c r="N43" s="2" t="str">
        <f t="shared" ref="N43" si="60">N42</f>
        <v/>
      </c>
      <c r="O43" s="2">
        <f>O42</f>
        <v>0</v>
      </c>
    </row>
    <row r="44" spans="1:15" x14ac:dyDescent="0.25">
      <c r="A44" s="325">
        <v>1</v>
      </c>
      <c r="B44" s="325">
        <f>TrialNumber</f>
        <v>0</v>
      </c>
      <c r="C44" s="325" t="s">
        <v>15</v>
      </c>
      <c r="D44" s="325">
        <f>Started!C26</f>
        <v>0</v>
      </c>
      <c r="E44" s="325" t="str">
        <f>IF(Started!B26="W","W","A")</f>
        <v>A</v>
      </c>
      <c r="F44" s="325" t="s">
        <v>1731</v>
      </c>
      <c r="G44" s="325" t="str">
        <f>IF(Started!G26="e","Y","")</f>
        <v/>
      </c>
      <c r="H44" s="325" t="str">
        <f>IFERROR(VLOOKUP($D44,'SDDA Dogs'!$A:$AE,2,FALSE),"")</f>
        <v/>
      </c>
      <c r="I44" s="325" t="str">
        <f>IFERROR(VLOOKUP($D44,'SDDA Dogs'!$A:$AE,3,FALSE),"")</f>
        <v/>
      </c>
      <c r="J44" s="325" t="str">
        <f>IFERROR(VLOOKUP($D44,'SDDA Dogs'!$A:$AE,6,FALSE),"")</f>
        <v/>
      </c>
      <c r="K44" s="325"/>
      <c r="L44" s="325"/>
      <c r="M44" s="326" t="str">
        <f>TrialDate</f>
        <v/>
      </c>
      <c r="N44" s="325" t="str">
        <f t="shared" ref="N44" si="61">N43</f>
        <v/>
      </c>
      <c r="O44" s="325">
        <f>JudgeD1CSS</f>
        <v>0</v>
      </c>
    </row>
    <row r="45" spans="1:15" x14ac:dyDescent="0.25">
      <c r="A45" s="2">
        <v>2</v>
      </c>
      <c r="B45" s="2">
        <f t="shared" ref="B45:J45" si="62">B44</f>
        <v>0</v>
      </c>
      <c r="C45" s="2" t="str">
        <f t="shared" si="62"/>
        <v>CSS</v>
      </c>
      <c r="D45" s="2">
        <f t="shared" si="62"/>
        <v>0</v>
      </c>
      <c r="E45" s="2" t="str">
        <f t="shared" si="62"/>
        <v>A</v>
      </c>
      <c r="F45" s="2" t="str">
        <f t="shared" si="62"/>
        <v>Container Started</v>
      </c>
      <c r="G45" s="2" t="str">
        <f t="shared" si="62"/>
        <v/>
      </c>
      <c r="H45" s="2" t="str">
        <f t="shared" si="62"/>
        <v/>
      </c>
      <c r="I45" s="2" t="str">
        <f t="shared" si="62"/>
        <v/>
      </c>
      <c r="J45" s="2" t="str">
        <f t="shared" si="62"/>
        <v/>
      </c>
      <c r="M45" s="180" t="str">
        <f>M44</f>
        <v/>
      </c>
      <c r="N45" s="2" t="str">
        <f t="shared" ref="N45" si="63">N44</f>
        <v/>
      </c>
      <c r="O45" s="2">
        <f>O44</f>
        <v>0</v>
      </c>
    </row>
    <row r="46" spans="1:15" x14ac:dyDescent="0.25">
      <c r="A46" s="325">
        <v>1</v>
      </c>
      <c r="B46" s="325">
        <f>TrialNumber</f>
        <v>0</v>
      </c>
      <c r="C46" s="325" t="s">
        <v>15</v>
      </c>
      <c r="D46" s="325">
        <f>Started!C27</f>
        <v>0</v>
      </c>
      <c r="E46" s="325" t="str">
        <f>IF(Started!B27="W","W","A")</f>
        <v>A</v>
      </c>
      <c r="F46" s="325" t="s">
        <v>1731</v>
      </c>
      <c r="G46" s="325" t="str">
        <f>IF(Started!G27="e","Y","")</f>
        <v/>
      </c>
      <c r="H46" s="325" t="str">
        <f>IFERROR(VLOOKUP($D46,'SDDA Dogs'!$A:$AE,2,FALSE),"")</f>
        <v/>
      </c>
      <c r="I46" s="325" t="str">
        <f>IFERROR(VLOOKUP($D46,'SDDA Dogs'!$A:$AE,3,FALSE),"")</f>
        <v/>
      </c>
      <c r="J46" s="325" t="str">
        <f>IFERROR(VLOOKUP($D46,'SDDA Dogs'!$A:$AE,6,FALSE),"")</f>
        <v/>
      </c>
      <c r="K46" s="325"/>
      <c r="L46" s="325"/>
      <c r="M46" s="326" t="str">
        <f>TrialDate</f>
        <v/>
      </c>
      <c r="N46" s="325" t="str">
        <f t="shared" ref="N46" si="64">N45</f>
        <v/>
      </c>
      <c r="O46" s="325">
        <f>JudgeD1CSS</f>
        <v>0</v>
      </c>
    </row>
    <row r="47" spans="1:15" x14ac:dyDescent="0.25">
      <c r="A47" s="2">
        <v>2</v>
      </c>
      <c r="B47" s="2">
        <f t="shared" ref="B47:J47" si="65">B46</f>
        <v>0</v>
      </c>
      <c r="C47" s="2" t="str">
        <f t="shared" si="65"/>
        <v>CSS</v>
      </c>
      <c r="D47" s="2">
        <f t="shared" si="65"/>
        <v>0</v>
      </c>
      <c r="E47" s="2" t="str">
        <f t="shared" si="65"/>
        <v>A</v>
      </c>
      <c r="F47" s="2" t="str">
        <f t="shared" si="65"/>
        <v>Container Started</v>
      </c>
      <c r="G47" s="2" t="str">
        <f t="shared" si="65"/>
        <v/>
      </c>
      <c r="H47" s="2" t="str">
        <f t="shared" si="65"/>
        <v/>
      </c>
      <c r="I47" s="2" t="str">
        <f t="shared" si="65"/>
        <v/>
      </c>
      <c r="J47" s="2" t="str">
        <f t="shared" si="65"/>
        <v/>
      </c>
      <c r="M47" s="180" t="str">
        <f>M46</f>
        <v/>
      </c>
      <c r="N47" s="2" t="str">
        <f t="shared" ref="N47" si="66">N46</f>
        <v/>
      </c>
      <c r="O47" s="2">
        <f>O46</f>
        <v>0</v>
      </c>
    </row>
    <row r="48" spans="1:15" x14ac:dyDescent="0.25">
      <c r="A48" s="325">
        <v>1</v>
      </c>
      <c r="B48" s="325">
        <f>TrialNumber</f>
        <v>0</v>
      </c>
      <c r="C48" s="325" t="s">
        <v>15</v>
      </c>
      <c r="D48" s="325">
        <f>Started!C28</f>
        <v>0</v>
      </c>
      <c r="E48" s="325" t="str">
        <f>IF(Started!B28="W","W","A")</f>
        <v>A</v>
      </c>
      <c r="F48" s="325" t="s">
        <v>1731</v>
      </c>
      <c r="G48" s="325" t="str">
        <f>IF(Started!G28="e","Y","")</f>
        <v/>
      </c>
      <c r="H48" s="325" t="str">
        <f>IFERROR(VLOOKUP($D48,'SDDA Dogs'!$A:$AE,2,FALSE),"")</f>
        <v/>
      </c>
      <c r="I48" s="325" t="str">
        <f>IFERROR(VLOOKUP($D48,'SDDA Dogs'!$A:$AE,3,FALSE),"")</f>
        <v/>
      </c>
      <c r="J48" s="325" t="str">
        <f>IFERROR(VLOOKUP($D48,'SDDA Dogs'!$A:$AE,6,FALSE),"")</f>
        <v/>
      </c>
      <c r="K48" s="325"/>
      <c r="L48" s="325"/>
      <c r="M48" s="326" t="str">
        <f>TrialDate</f>
        <v/>
      </c>
      <c r="N48" s="325" t="str">
        <f t="shared" ref="N48" si="67">N47</f>
        <v/>
      </c>
      <c r="O48" s="325">
        <f>JudgeD1CSS</f>
        <v>0</v>
      </c>
    </row>
    <row r="49" spans="1:15" x14ac:dyDescent="0.25">
      <c r="A49" s="2">
        <v>2</v>
      </c>
      <c r="B49" s="2">
        <f t="shared" ref="B49:J49" si="68">B48</f>
        <v>0</v>
      </c>
      <c r="C49" s="2" t="str">
        <f t="shared" si="68"/>
        <v>CSS</v>
      </c>
      <c r="D49" s="2">
        <f t="shared" si="68"/>
        <v>0</v>
      </c>
      <c r="E49" s="2" t="str">
        <f t="shared" si="68"/>
        <v>A</v>
      </c>
      <c r="F49" s="2" t="str">
        <f t="shared" si="68"/>
        <v>Container Started</v>
      </c>
      <c r="G49" s="2" t="str">
        <f t="shared" si="68"/>
        <v/>
      </c>
      <c r="H49" s="2" t="str">
        <f t="shared" si="68"/>
        <v/>
      </c>
      <c r="I49" s="2" t="str">
        <f t="shared" si="68"/>
        <v/>
      </c>
      <c r="J49" s="2" t="str">
        <f t="shared" si="68"/>
        <v/>
      </c>
      <c r="M49" s="180" t="str">
        <f>M48</f>
        <v/>
      </c>
      <c r="N49" s="2" t="str">
        <f t="shared" ref="N49" si="69">N48</f>
        <v/>
      </c>
      <c r="O49" s="2">
        <f>O48</f>
        <v>0</v>
      </c>
    </row>
    <row r="50" spans="1:15" x14ac:dyDescent="0.25">
      <c r="A50" s="325">
        <v>1</v>
      </c>
      <c r="B50" s="325">
        <f>TrialNumber</f>
        <v>0</v>
      </c>
      <c r="C50" s="325" t="s">
        <v>15</v>
      </c>
      <c r="D50" s="325">
        <f>Started!C29</f>
        <v>0</v>
      </c>
      <c r="E50" s="325" t="str">
        <f>IF(Started!B29="W","W","A")</f>
        <v>A</v>
      </c>
      <c r="F50" s="325" t="s">
        <v>1731</v>
      </c>
      <c r="G50" s="325" t="str">
        <f>IF(Started!G29="e","Y","")</f>
        <v/>
      </c>
      <c r="H50" s="325" t="str">
        <f>IFERROR(VLOOKUP($D50,'SDDA Dogs'!$A:$AE,2,FALSE),"")</f>
        <v/>
      </c>
      <c r="I50" s="325" t="str">
        <f>IFERROR(VLOOKUP($D50,'SDDA Dogs'!$A:$AE,3,FALSE),"")</f>
        <v/>
      </c>
      <c r="J50" s="325" t="str">
        <f>IFERROR(VLOOKUP($D50,'SDDA Dogs'!$A:$AE,6,FALSE),"")</f>
        <v/>
      </c>
      <c r="K50" s="325"/>
      <c r="L50" s="325"/>
      <c r="M50" s="326" t="str">
        <f>TrialDate</f>
        <v/>
      </c>
      <c r="N50" s="325" t="str">
        <f t="shared" ref="N50" si="70">N49</f>
        <v/>
      </c>
      <c r="O50" s="325">
        <f>JudgeD1CSS</f>
        <v>0</v>
      </c>
    </row>
    <row r="51" spans="1:15" x14ac:dyDescent="0.25">
      <c r="A51" s="2">
        <v>2</v>
      </c>
      <c r="B51" s="2">
        <f t="shared" ref="B51:J51" si="71">B50</f>
        <v>0</v>
      </c>
      <c r="C51" s="2" t="str">
        <f t="shared" si="71"/>
        <v>CSS</v>
      </c>
      <c r="D51" s="2">
        <f t="shared" si="71"/>
        <v>0</v>
      </c>
      <c r="E51" s="2" t="str">
        <f t="shared" si="71"/>
        <v>A</v>
      </c>
      <c r="F51" s="2" t="str">
        <f t="shared" si="71"/>
        <v>Container Started</v>
      </c>
      <c r="G51" s="2" t="str">
        <f t="shared" si="71"/>
        <v/>
      </c>
      <c r="H51" s="2" t="str">
        <f t="shared" si="71"/>
        <v/>
      </c>
      <c r="I51" s="2" t="str">
        <f t="shared" si="71"/>
        <v/>
      </c>
      <c r="J51" s="2" t="str">
        <f t="shared" si="71"/>
        <v/>
      </c>
      <c r="M51" s="180" t="str">
        <f>M50</f>
        <v/>
      </c>
      <c r="N51" s="2" t="str">
        <f t="shared" ref="N51" si="72">N50</f>
        <v/>
      </c>
      <c r="O51" s="2">
        <f>O50</f>
        <v>0</v>
      </c>
    </row>
    <row r="52" spans="1:15" x14ac:dyDescent="0.25">
      <c r="A52" s="325">
        <v>1</v>
      </c>
      <c r="B52" s="325">
        <f>TrialNumber</f>
        <v>0</v>
      </c>
      <c r="C52" s="325" t="s">
        <v>15</v>
      </c>
      <c r="D52" s="325">
        <f>Started!C30</f>
        <v>0</v>
      </c>
      <c r="E52" s="325" t="str">
        <f>IF(Started!B30="W","W","A")</f>
        <v>A</v>
      </c>
      <c r="F52" s="325" t="s">
        <v>1731</v>
      </c>
      <c r="G52" s="325" t="str">
        <f>IF(Started!G30="e","Y","")</f>
        <v/>
      </c>
      <c r="H52" s="325" t="str">
        <f>IFERROR(VLOOKUP($D52,'SDDA Dogs'!$A:$AE,2,FALSE),"")</f>
        <v/>
      </c>
      <c r="I52" s="325" t="str">
        <f>IFERROR(VLOOKUP($D52,'SDDA Dogs'!$A:$AE,3,FALSE),"")</f>
        <v/>
      </c>
      <c r="J52" s="325" t="str">
        <f>IFERROR(VLOOKUP($D52,'SDDA Dogs'!$A:$AE,6,FALSE),"")</f>
        <v/>
      </c>
      <c r="K52" s="325"/>
      <c r="L52" s="325"/>
      <c r="M52" s="326" t="str">
        <f>TrialDate</f>
        <v/>
      </c>
      <c r="N52" s="325" t="str">
        <f t="shared" ref="N52" si="73">N51</f>
        <v/>
      </c>
      <c r="O52" s="325">
        <f>JudgeD1CSS</f>
        <v>0</v>
      </c>
    </row>
    <row r="53" spans="1:15" x14ac:dyDescent="0.25">
      <c r="A53" s="2">
        <v>2</v>
      </c>
      <c r="B53" s="2">
        <f t="shared" ref="B53:J53" si="74">B52</f>
        <v>0</v>
      </c>
      <c r="C53" s="2" t="str">
        <f t="shared" si="74"/>
        <v>CSS</v>
      </c>
      <c r="D53" s="2">
        <f t="shared" si="74"/>
        <v>0</v>
      </c>
      <c r="E53" s="2" t="str">
        <f t="shared" si="74"/>
        <v>A</v>
      </c>
      <c r="F53" s="2" t="str">
        <f t="shared" si="74"/>
        <v>Container Started</v>
      </c>
      <c r="G53" s="2" t="str">
        <f t="shared" si="74"/>
        <v/>
      </c>
      <c r="H53" s="2" t="str">
        <f t="shared" si="74"/>
        <v/>
      </c>
      <c r="I53" s="2" t="str">
        <f t="shared" si="74"/>
        <v/>
      </c>
      <c r="J53" s="2" t="str">
        <f t="shared" si="74"/>
        <v/>
      </c>
      <c r="M53" s="180" t="str">
        <f>M52</f>
        <v/>
      </c>
      <c r="N53" s="2" t="str">
        <f t="shared" ref="N53" si="75">N52</f>
        <v/>
      </c>
      <c r="O53" s="2">
        <f>O52</f>
        <v>0</v>
      </c>
    </row>
    <row r="54" spans="1:15" x14ac:dyDescent="0.25">
      <c r="A54" s="325">
        <v>1</v>
      </c>
      <c r="B54" s="325">
        <f>TrialNumber</f>
        <v>0</v>
      </c>
      <c r="C54" s="325" t="s">
        <v>15</v>
      </c>
      <c r="D54" s="325">
        <f>Started!C31</f>
        <v>0</v>
      </c>
      <c r="E54" s="325" t="str">
        <f>IF(Started!B31="W","W","A")</f>
        <v>A</v>
      </c>
      <c r="F54" s="325" t="s">
        <v>1731</v>
      </c>
      <c r="G54" s="325" t="str">
        <f>IF(Started!G31="e","Y","")</f>
        <v/>
      </c>
      <c r="H54" s="325" t="str">
        <f>IFERROR(VLOOKUP($D54,'SDDA Dogs'!$A:$AE,2,FALSE),"")</f>
        <v/>
      </c>
      <c r="I54" s="325" t="str">
        <f>IFERROR(VLOOKUP($D54,'SDDA Dogs'!$A:$AE,3,FALSE),"")</f>
        <v/>
      </c>
      <c r="J54" s="325" t="str">
        <f>IFERROR(VLOOKUP($D54,'SDDA Dogs'!$A:$AE,6,FALSE),"")</f>
        <v/>
      </c>
      <c r="K54" s="325"/>
      <c r="L54" s="325"/>
      <c r="M54" s="326" t="str">
        <f>TrialDate</f>
        <v/>
      </c>
      <c r="N54" s="325" t="str">
        <f t="shared" ref="N54" si="76">N53</f>
        <v/>
      </c>
      <c r="O54" s="325">
        <f>JudgeD1CSS</f>
        <v>0</v>
      </c>
    </row>
    <row r="55" spans="1:15" x14ac:dyDescent="0.25">
      <c r="A55" s="2">
        <v>2</v>
      </c>
      <c r="B55" s="2">
        <f t="shared" ref="B55:J55" si="77">B54</f>
        <v>0</v>
      </c>
      <c r="C55" s="2" t="str">
        <f t="shared" si="77"/>
        <v>CSS</v>
      </c>
      <c r="D55" s="2">
        <f t="shared" si="77"/>
        <v>0</v>
      </c>
      <c r="E55" s="2" t="str">
        <f t="shared" si="77"/>
        <v>A</v>
      </c>
      <c r="F55" s="2" t="str">
        <f t="shared" si="77"/>
        <v>Container Started</v>
      </c>
      <c r="G55" s="2" t="str">
        <f t="shared" si="77"/>
        <v/>
      </c>
      <c r="H55" s="2" t="str">
        <f t="shared" si="77"/>
        <v/>
      </c>
      <c r="I55" s="2" t="str">
        <f t="shared" si="77"/>
        <v/>
      </c>
      <c r="J55" s="2" t="str">
        <f t="shared" si="77"/>
        <v/>
      </c>
      <c r="M55" s="180" t="str">
        <f>M54</f>
        <v/>
      </c>
      <c r="N55" s="2" t="str">
        <f t="shared" ref="N55" si="78">N54</f>
        <v/>
      </c>
      <c r="O55" s="2">
        <f>O54</f>
        <v>0</v>
      </c>
    </row>
    <row r="56" spans="1:15" x14ac:dyDescent="0.25">
      <c r="A56" s="325">
        <v>1</v>
      </c>
      <c r="B56" s="325">
        <f>TrialNumber</f>
        <v>0</v>
      </c>
      <c r="C56" s="325" t="s">
        <v>15</v>
      </c>
      <c r="D56" s="325">
        <f>Started!C32</f>
        <v>0</v>
      </c>
      <c r="E56" s="325" t="str">
        <f>IF(Started!B32="W","W","A")</f>
        <v>A</v>
      </c>
      <c r="F56" s="325" t="s">
        <v>1731</v>
      </c>
      <c r="G56" s="325" t="str">
        <f>IF(Started!G32="e","Y","")</f>
        <v/>
      </c>
      <c r="H56" s="325" t="str">
        <f>IFERROR(VLOOKUP($D56,'SDDA Dogs'!$A:$AE,2,FALSE),"")</f>
        <v/>
      </c>
      <c r="I56" s="325" t="str">
        <f>IFERROR(VLOOKUP($D56,'SDDA Dogs'!$A:$AE,3,FALSE),"")</f>
        <v/>
      </c>
      <c r="J56" s="325" t="str">
        <f>IFERROR(VLOOKUP($D56,'SDDA Dogs'!$A:$AE,6,FALSE),"")</f>
        <v/>
      </c>
      <c r="K56" s="325"/>
      <c r="L56" s="325"/>
      <c r="M56" s="326" t="str">
        <f>TrialDate</f>
        <v/>
      </c>
      <c r="N56" s="325" t="str">
        <f t="shared" ref="N56" si="79">N55</f>
        <v/>
      </c>
      <c r="O56" s="325">
        <f>JudgeD1CSS</f>
        <v>0</v>
      </c>
    </row>
    <row r="57" spans="1:15" x14ac:dyDescent="0.25">
      <c r="A57" s="2">
        <v>2</v>
      </c>
      <c r="B57" s="2">
        <f t="shared" ref="B57:J57" si="80">B56</f>
        <v>0</v>
      </c>
      <c r="C57" s="2" t="str">
        <f t="shared" si="80"/>
        <v>CSS</v>
      </c>
      <c r="D57" s="2">
        <f t="shared" si="80"/>
        <v>0</v>
      </c>
      <c r="E57" s="2" t="str">
        <f t="shared" si="80"/>
        <v>A</v>
      </c>
      <c r="F57" s="2" t="str">
        <f t="shared" si="80"/>
        <v>Container Started</v>
      </c>
      <c r="G57" s="2" t="str">
        <f t="shared" si="80"/>
        <v/>
      </c>
      <c r="H57" s="2" t="str">
        <f t="shared" si="80"/>
        <v/>
      </c>
      <c r="I57" s="2" t="str">
        <f t="shared" si="80"/>
        <v/>
      </c>
      <c r="J57" s="2" t="str">
        <f t="shared" si="80"/>
        <v/>
      </c>
      <c r="M57" s="180" t="str">
        <f>M56</f>
        <v/>
      </c>
      <c r="N57" s="2" t="str">
        <f t="shared" ref="N57" si="81">N56</f>
        <v/>
      </c>
      <c r="O57" s="2">
        <f>O56</f>
        <v>0</v>
      </c>
    </row>
    <row r="58" spans="1:15" x14ac:dyDescent="0.25">
      <c r="A58" s="325">
        <v>1</v>
      </c>
      <c r="B58" s="325">
        <f>TrialNumber</f>
        <v>0</v>
      </c>
      <c r="C58" s="325" t="s">
        <v>15</v>
      </c>
      <c r="D58" s="325">
        <f>Started!C33</f>
        <v>0</v>
      </c>
      <c r="E58" s="325" t="str">
        <f>IF(Started!B33="W","W","A")</f>
        <v>A</v>
      </c>
      <c r="F58" s="325" t="s">
        <v>1731</v>
      </c>
      <c r="G58" s="325" t="str">
        <f>IF(Started!G33="e","Y","")</f>
        <v/>
      </c>
      <c r="H58" s="325" t="str">
        <f>IFERROR(VLOOKUP($D58,'SDDA Dogs'!$A:$AE,2,FALSE),"")</f>
        <v/>
      </c>
      <c r="I58" s="325" t="str">
        <f>IFERROR(VLOOKUP($D58,'SDDA Dogs'!$A:$AE,3,FALSE),"")</f>
        <v/>
      </c>
      <c r="J58" s="325" t="str">
        <f>IFERROR(VLOOKUP($D58,'SDDA Dogs'!$A:$AE,6,FALSE),"")</f>
        <v/>
      </c>
      <c r="K58" s="325"/>
      <c r="L58" s="325"/>
      <c r="M58" s="326" t="str">
        <f>TrialDate</f>
        <v/>
      </c>
      <c r="N58" s="325" t="str">
        <f t="shared" ref="N58" si="82">N57</f>
        <v/>
      </c>
      <c r="O58" s="325">
        <f>JudgeD1CSS</f>
        <v>0</v>
      </c>
    </row>
    <row r="59" spans="1:15" x14ac:dyDescent="0.25">
      <c r="A59" s="2">
        <v>2</v>
      </c>
      <c r="B59" s="2">
        <f t="shared" ref="B59:J59" si="83">B58</f>
        <v>0</v>
      </c>
      <c r="C59" s="2" t="str">
        <f t="shared" si="83"/>
        <v>CSS</v>
      </c>
      <c r="D59" s="2">
        <f t="shared" si="83"/>
        <v>0</v>
      </c>
      <c r="E59" s="2" t="str">
        <f t="shared" si="83"/>
        <v>A</v>
      </c>
      <c r="F59" s="2" t="str">
        <f t="shared" si="83"/>
        <v>Container Started</v>
      </c>
      <c r="G59" s="2" t="str">
        <f t="shared" si="83"/>
        <v/>
      </c>
      <c r="H59" s="2" t="str">
        <f t="shared" si="83"/>
        <v/>
      </c>
      <c r="I59" s="2" t="str">
        <f t="shared" si="83"/>
        <v/>
      </c>
      <c r="J59" s="2" t="str">
        <f t="shared" si="83"/>
        <v/>
      </c>
      <c r="M59" s="180" t="str">
        <f>M58</f>
        <v/>
      </c>
      <c r="N59" s="2" t="str">
        <f t="shared" ref="N59" si="84">N58</f>
        <v/>
      </c>
      <c r="O59" s="2">
        <f>O58</f>
        <v>0</v>
      </c>
    </row>
    <row r="60" spans="1:15" x14ac:dyDescent="0.25">
      <c r="A60" s="325">
        <v>1</v>
      </c>
      <c r="B60" s="325">
        <f>TrialNumber</f>
        <v>0</v>
      </c>
      <c r="C60" s="325" t="s">
        <v>15</v>
      </c>
      <c r="D60" s="325">
        <f>Started!C34</f>
        <v>0</v>
      </c>
      <c r="E60" s="325" t="str">
        <f>IF(Started!B34="W","W","A")</f>
        <v>A</v>
      </c>
      <c r="F60" s="325" t="s">
        <v>1731</v>
      </c>
      <c r="G60" s="325" t="str">
        <f>IF(Started!G34="e","Y","")</f>
        <v/>
      </c>
      <c r="H60" s="325" t="str">
        <f>IFERROR(VLOOKUP($D60,'SDDA Dogs'!$A:$AE,2,FALSE),"")</f>
        <v/>
      </c>
      <c r="I60" s="325" t="str">
        <f>IFERROR(VLOOKUP($D60,'SDDA Dogs'!$A:$AE,3,FALSE),"")</f>
        <v/>
      </c>
      <c r="J60" s="325" t="str">
        <f>IFERROR(VLOOKUP($D60,'SDDA Dogs'!$A:$AE,6,FALSE),"")</f>
        <v/>
      </c>
      <c r="K60" s="325"/>
      <c r="L60" s="325"/>
      <c r="M60" s="326" t="str">
        <f>TrialDate</f>
        <v/>
      </c>
      <c r="N60" s="325" t="str">
        <f t="shared" ref="N60" si="85">N59</f>
        <v/>
      </c>
      <c r="O60" s="325">
        <f>JudgeD1CSS</f>
        <v>0</v>
      </c>
    </row>
    <row r="61" spans="1:15" x14ac:dyDescent="0.25">
      <c r="A61" s="2">
        <v>2</v>
      </c>
      <c r="B61" s="2">
        <f t="shared" ref="B61:J61" si="86">B60</f>
        <v>0</v>
      </c>
      <c r="C61" s="2" t="str">
        <f t="shared" si="86"/>
        <v>CSS</v>
      </c>
      <c r="D61" s="2">
        <f t="shared" si="86"/>
        <v>0</v>
      </c>
      <c r="E61" s="2" t="str">
        <f t="shared" si="86"/>
        <v>A</v>
      </c>
      <c r="F61" s="2" t="str">
        <f t="shared" si="86"/>
        <v>Container Started</v>
      </c>
      <c r="G61" s="2" t="str">
        <f t="shared" si="86"/>
        <v/>
      </c>
      <c r="H61" s="2" t="str">
        <f t="shared" si="86"/>
        <v/>
      </c>
      <c r="I61" s="2" t="str">
        <f t="shared" si="86"/>
        <v/>
      </c>
      <c r="J61" s="2" t="str">
        <f t="shared" si="86"/>
        <v/>
      </c>
      <c r="M61" s="180" t="str">
        <f>M60</f>
        <v/>
      </c>
      <c r="N61" s="2" t="str">
        <f t="shared" ref="N61" si="87">N60</f>
        <v/>
      </c>
      <c r="O61" s="2">
        <f>O60</f>
        <v>0</v>
      </c>
    </row>
    <row r="62" spans="1:15" s="149" customFormat="1" x14ac:dyDescent="0.25">
      <c r="A62" s="327">
        <v>1</v>
      </c>
      <c r="B62" s="327">
        <f>TrialNumber</f>
        <v>0</v>
      </c>
      <c r="C62" s="327" t="s">
        <v>16</v>
      </c>
      <c r="D62" s="327">
        <f>Started!C5</f>
        <v>0</v>
      </c>
      <c r="E62" s="327" t="str">
        <f>IF(Started!B5="W","W","A")</f>
        <v>A</v>
      </c>
      <c r="F62" s="327" t="s">
        <v>1730</v>
      </c>
      <c r="G62" s="327" t="str">
        <f>IF(Started!O5="e","Y","")</f>
        <v/>
      </c>
      <c r="H62" s="327" t="str">
        <f>IFERROR(VLOOKUP($D62,'SDDA Dogs'!$A:$AE,2,FALSE),"")</f>
        <v/>
      </c>
      <c r="I62" s="327" t="str">
        <f>IFERROR(VLOOKUP($D62,'SDDA Dogs'!$A:$AE,3,FALSE),"")</f>
        <v/>
      </c>
      <c r="J62" s="327" t="str">
        <f>IFERROR(VLOOKUP($D62,'SDDA Dogs'!$A:$AE,6,FALSE),"")</f>
        <v/>
      </c>
      <c r="K62" s="327"/>
      <c r="L62" s="327"/>
      <c r="M62" s="328" t="str">
        <f>TrialDate</f>
        <v/>
      </c>
      <c r="N62" s="325" t="str">
        <f t="shared" ref="N62" si="88">N61</f>
        <v/>
      </c>
      <c r="O62" s="327">
        <f>JudgeD1ISS</f>
        <v>0</v>
      </c>
    </row>
    <row r="63" spans="1:15" x14ac:dyDescent="0.25">
      <c r="A63" s="2">
        <v>2</v>
      </c>
      <c r="B63" s="2">
        <f t="shared" ref="B63:J63" si="89">B62</f>
        <v>0</v>
      </c>
      <c r="C63" s="2" t="str">
        <f t="shared" si="89"/>
        <v>ISS</v>
      </c>
      <c r="D63" s="2">
        <f t="shared" si="89"/>
        <v>0</v>
      </c>
      <c r="E63" s="2" t="str">
        <f t="shared" si="89"/>
        <v>A</v>
      </c>
      <c r="F63" s="2" t="str">
        <f t="shared" si="89"/>
        <v>Interior Started</v>
      </c>
      <c r="G63" s="2" t="str">
        <f t="shared" si="89"/>
        <v/>
      </c>
      <c r="H63" s="2" t="str">
        <f t="shared" si="89"/>
        <v/>
      </c>
      <c r="I63" s="2" t="str">
        <f t="shared" si="89"/>
        <v/>
      </c>
      <c r="J63" s="2" t="str">
        <f t="shared" si="89"/>
        <v/>
      </c>
      <c r="M63" s="180" t="str">
        <f>M62</f>
        <v/>
      </c>
      <c r="N63" s="2" t="str">
        <f t="shared" ref="N63" si="90">N62</f>
        <v/>
      </c>
      <c r="O63" s="2">
        <f>O62</f>
        <v>0</v>
      </c>
    </row>
    <row r="64" spans="1:15" x14ac:dyDescent="0.25">
      <c r="A64" s="325">
        <v>1</v>
      </c>
      <c r="B64" s="325">
        <f>TrialNumber</f>
        <v>0</v>
      </c>
      <c r="C64" s="325" t="s">
        <v>16</v>
      </c>
      <c r="D64" s="325">
        <f>Started!C6</f>
        <v>0</v>
      </c>
      <c r="E64" s="325" t="str">
        <f>IF(Started!B6="W","W","A")</f>
        <v>A</v>
      </c>
      <c r="F64" s="325" t="s">
        <v>1730</v>
      </c>
      <c r="G64" s="325" t="str">
        <f>IF(Started!O6="e","Y","")</f>
        <v/>
      </c>
      <c r="H64" s="325" t="str">
        <f>IFERROR(VLOOKUP($D64,'SDDA Dogs'!$A:$AE,2,FALSE),"")</f>
        <v/>
      </c>
      <c r="I64" s="325" t="str">
        <f>IFERROR(VLOOKUP($D64,'SDDA Dogs'!$A:$AE,3,FALSE),"")</f>
        <v/>
      </c>
      <c r="J64" s="325" t="str">
        <f>IFERROR(VLOOKUP($D64,'SDDA Dogs'!$A:$AE,6,FALSE),"")</f>
        <v/>
      </c>
      <c r="K64" s="325"/>
      <c r="L64" s="325"/>
      <c r="M64" s="326" t="str">
        <f>TrialDate</f>
        <v/>
      </c>
      <c r="N64" s="325" t="str">
        <f t="shared" ref="N64" si="91">N63</f>
        <v/>
      </c>
      <c r="O64" s="325">
        <f>JudgeD1ISS</f>
        <v>0</v>
      </c>
    </row>
    <row r="65" spans="1:15" x14ac:dyDescent="0.25">
      <c r="A65" s="2">
        <v>2</v>
      </c>
      <c r="B65" s="2">
        <f t="shared" ref="B65:J65" si="92">B64</f>
        <v>0</v>
      </c>
      <c r="C65" s="2" t="str">
        <f t="shared" si="92"/>
        <v>ISS</v>
      </c>
      <c r="D65" s="2">
        <f t="shared" si="92"/>
        <v>0</v>
      </c>
      <c r="E65" s="2" t="str">
        <f t="shared" si="92"/>
        <v>A</v>
      </c>
      <c r="F65" s="2" t="str">
        <f t="shared" si="92"/>
        <v>Interior Started</v>
      </c>
      <c r="G65" s="2" t="str">
        <f t="shared" si="92"/>
        <v/>
      </c>
      <c r="H65" s="2" t="str">
        <f t="shared" si="92"/>
        <v/>
      </c>
      <c r="I65" s="2" t="str">
        <f t="shared" si="92"/>
        <v/>
      </c>
      <c r="J65" s="2" t="str">
        <f t="shared" si="92"/>
        <v/>
      </c>
      <c r="M65" s="180" t="str">
        <f>M64</f>
        <v/>
      </c>
      <c r="N65" s="2" t="str">
        <f t="shared" ref="N65" si="93">N64</f>
        <v/>
      </c>
      <c r="O65" s="2">
        <f>O64</f>
        <v>0</v>
      </c>
    </row>
    <row r="66" spans="1:15" x14ac:dyDescent="0.25">
      <c r="A66" s="325">
        <v>1</v>
      </c>
      <c r="B66" s="325">
        <f>TrialNumber</f>
        <v>0</v>
      </c>
      <c r="C66" s="325" t="s">
        <v>16</v>
      </c>
      <c r="D66" s="325">
        <f>Started!C7</f>
        <v>0</v>
      </c>
      <c r="E66" s="325" t="str">
        <f>IF(Started!B7="W","W","A")</f>
        <v>A</v>
      </c>
      <c r="F66" s="325" t="s">
        <v>1730</v>
      </c>
      <c r="G66" s="325" t="str">
        <f>IF(Started!O7="e","Y","")</f>
        <v/>
      </c>
      <c r="H66" s="325" t="str">
        <f>IFERROR(VLOOKUP($D66,'SDDA Dogs'!$A:$AE,2,FALSE),"")</f>
        <v/>
      </c>
      <c r="I66" s="325" t="str">
        <f>IFERROR(VLOOKUP($D66,'SDDA Dogs'!$A:$AE,3,FALSE),"")</f>
        <v/>
      </c>
      <c r="J66" s="325" t="str">
        <f>IFERROR(VLOOKUP($D66,'SDDA Dogs'!$A:$AE,6,FALSE),"")</f>
        <v/>
      </c>
      <c r="K66" s="325"/>
      <c r="L66" s="325"/>
      <c r="M66" s="326" t="str">
        <f>TrialDate</f>
        <v/>
      </c>
      <c r="N66" s="325" t="str">
        <f t="shared" ref="N66" si="94">N65</f>
        <v/>
      </c>
      <c r="O66" s="325">
        <f>JudgeD1ISS</f>
        <v>0</v>
      </c>
    </row>
    <row r="67" spans="1:15" x14ac:dyDescent="0.25">
      <c r="A67" s="2">
        <v>2</v>
      </c>
      <c r="B67" s="2">
        <f t="shared" ref="B67:J67" si="95">B66</f>
        <v>0</v>
      </c>
      <c r="C67" s="2" t="str">
        <f t="shared" si="95"/>
        <v>ISS</v>
      </c>
      <c r="D67" s="2">
        <f t="shared" si="95"/>
        <v>0</v>
      </c>
      <c r="E67" s="2" t="str">
        <f t="shared" si="95"/>
        <v>A</v>
      </c>
      <c r="F67" s="2" t="str">
        <f t="shared" si="95"/>
        <v>Interior Started</v>
      </c>
      <c r="G67" s="2" t="str">
        <f t="shared" si="95"/>
        <v/>
      </c>
      <c r="H67" s="2" t="str">
        <f t="shared" si="95"/>
        <v/>
      </c>
      <c r="I67" s="2" t="str">
        <f t="shared" si="95"/>
        <v/>
      </c>
      <c r="J67" s="2" t="str">
        <f t="shared" si="95"/>
        <v/>
      </c>
      <c r="M67" s="180" t="str">
        <f>M66</f>
        <v/>
      </c>
      <c r="N67" s="2" t="str">
        <f t="shared" ref="N67" si="96">N66</f>
        <v/>
      </c>
      <c r="O67" s="2">
        <f>O66</f>
        <v>0</v>
      </c>
    </row>
    <row r="68" spans="1:15" x14ac:dyDescent="0.25">
      <c r="A68" s="325">
        <v>1</v>
      </c>
      <c r="B68" s="325">
        <f>TrialNumber</f>
        <v>0</v>
      </c>
      <c r="C68" s="325" t="s">
        <v>16</v>
      </c>
      <c r="D68" s="325">
        <f>Started!C8</f>
        <v>0</v>
      </c>
      <c r="E68" s="325" t="str">
        <f>IF(Started!B8="W","W","A")</f>
        <v>A</v>
      </c>
      <c r="F68" s="325" t="s">
        <v>1730</v>
      </c>
      <c r="G68" s="325" t="str">
        <f>IF(Started!O8="e","Y","")</f>
        <v/>
      </c>
      <c r="H68" s="325" t="str">
        <f>IFERROR(VLOOKUP($D68,'SDDA Dogs'!$A:$AE,2,FALSE),"")</f>
        <v/>
      </c>
      <c r="I68" s="325" t="str">
        <f>IFERROR(VLOOKUP($D68,'SDDA Dogs'!$A:$AE,3,FALSE),"")</f>
        <v/>
      </c>
      <c r="J68" s="325" t="str">
        <f>IFERROR(VLOOKUP($D68,'SDDA Dogs'!$A:$AE,6,FALSE),"")</f>
        <v/>
      </c>
      <c r="K68" s="325"/>
      <c r="L68" s="325"/>
      <c r="M68" s="326" t="str">
        <f>TrialDate</f>
        <v/>
      </c>
      <c r="N68" s="325" t="str">
        <f t="shared" ref="N68" si="97">N67</f>
        <v/>
      </c>
      <c r="O68" s="325">
        <f>JudgeD1ISS</f>
        <v>0</v>
      </c>
    </row>
    <row r="69" spans="1:15" x14ac:dyDescent="0.25">
      <c r="A69" s="2">
        <v>2</v>
      </c>
      <c r="B69" s="2">
        <f t="shared" ref="B69:J69" si="98">B68</f>
        <v>0</v>
      </c>
      <c r="C69" s="2" t="str">
        <f t="shared" si="98"/>
        <v>ISS</v>
      </c>
      <c r="D69" s="2">
        <f t="shared" si="98"/>
        <v>0</v>
      </c>
      <c r="E69" s="2" t="str">
        <f t="shared" si="98"/>
        <v>A</v>
      </c>
      <c r="F69" s="2" t="str">
        <f t="shared" si="98"/>
        <v>Interior Started</v>
      </c>
      <c r="G69" s="2" t="str">
        <f t="shared" si="98"/>
        <v/>
      </c>
      <c r="H69" s="2" t="str">
        <f t="shared" si="98"/>
        <v/>
      </c>
      <c r="I69" s="2" t="str">
        <f t="shared" si="98"/>
        <v/>
      </c>
      <c r="J69" s="2" t="str">
        <f t="shared" si="98"/>
        <v/>
      </c>
      <c r="M69" s="180" t="str">
        <f>M68</f>
        <v/>
      </c>
      <c r="N69" s="2" t="str">
        <f t="shared" ref="N69" si="99">N68</f>
        <v/>
      </c>
      <c r="O69" s="2">
        <f>O68</f>
        <v>0</v>
      </c>
    </row>
    <row r="70" spans="1:15" x14ac:dyDescent="0.25">
      <c r="A70" s="325">
        <v>1</v>
      </c>
      <c r="B70" s="325">
        <f>TrialNumber</f>
        <v>0</v>
      </c>
      <c r="C70" s="325" t="s">
        <v>16</v>
      </c>
      <c r="D70" s="325">
        <f>Started!C9</f>
        <v>0</v>
      </c>
      <c r="E70" s="325" t="str">
        <f>IF(Started!B9="W","W","A")</f>
        <v>A</v>
      </c>
      <c r="F70" s="325" t="s">
        <v>1730</v>
      </c>
      <c r="G70" s="325" t="str">
        <f>IF(Started!O9="e","Y","")</f>
        <v/>
      </c>
      <c r="H70" s="325" t="str">
        <f>IFERROR(VLOOKUP($D70,'SDDA Dogs'!$A:$AE,2,FALSE),"")</f>
        <v/>
      </c>
      <c r="I70" s="325" t="str">
        <f>IFERROR(VLOOKUP($D70,'SDDA Dogs'!$A:$AE,3,FALSE),"")</f>
        <v/>
      </c>
      <c r="J70" s="325" t="str">
        <f>IFERROR(VLOOKUP($D70,'SDDA Dogs'!$A:$AE,6,FALSE),"")</f>
        <v/>
      </c>
      <c r="K70" s="325"/>
      <c r="L70" s="325"/>
      <c r="M70" s="326" t="str">
        <f>TrialDate</f>
        <v/>
      </c>
      <c r="N70" s="325" t="str">
        <f t="shared" ref="N70" si="100">N69</f>
        <v/>
      </c>
      <c r="O70" s="325">
        <f>JudgeD1ISS</f>
        <v>0</v>
      </c>
    </row>
    <row r="71" spans="1:15" x14ac:dyDescent="0.25">
      <c r="A71" s="2">
        <v>2</v>
      </c>
      <c r="B71" s="2">
        <f t="shared" ref="B71:J71" si="101">B70</f>
        <v>0</v>
      </c>
      <c r="C71" s="2" t="str">
        <f t="shared" si="101"/>
        <v>ISS</v>
      </c>
      <c r="D71" s="2">
        <f t="shared" si="101"/>
        <v>0</v>
      </c>
      <c r="E71" s="2" t="str">
        <f t="shared" si="101"/>
        <v>A</v>
      </c>
      <c r="F71" s="2" t="str">
        <f t="shared" si="101"/>
        <v>Interior Started</v>
      </c>
      <c r="G71" s="2" t="str">
        <f t="shared" si="101"/>
        <v/>
      </c>
      <c r="H71" s="2" t="str">
        <f t="shared" si="101"/>
        <v/>
      </c>
      <c r="I71" s="2" t="str">
        <f t="shared" si="101"/>
        <v/>
      </c>
      <c r="J71" s="2" t="str">
        <f t="shared" si="101"/>
        <v/>
      </c>
      <c r="M71" s="180" t="str">
        <f>M70</f>
        <v/>
      </c>
      <c r="N71" s="2" t="str">
        <f t="shared" ref="N71" si="102">N70</f>
        <v/>
      </c>
      <c r="O71" s="2">
        <f>O70</f>
        <v>0</v>
      </c>
    </row>
    <row r="72" spans="1:15" x14ac:dyDescent="0.25">
      <c r="A72" s="325">
        <v>1</v>
      </c>
      <c r="B72" s="325">
        <f>TrialNumber</f>
        <v>0</v>
      </c>
      <c r="C72" s="325" t="s">
        <v>16</v>
      </c>
      <c r="D72" s="325">
        <f>Started!C10</f>
        <v>0</v>
      </c>
      <c r="E72" s="325" t="str">
        <f>IF(Started!B10="W","W","A")</f>
        <v>A</v>
      </c>
      <c r="F72" s="325" t="s">
        <v>1730</v>
      </c>
      <c r="G72" s="325" t="str">
        <f>IF(Started!O10="e","Y","")</f>
        <v/>
      </c>
      <c r="H72" s="325" t="str">
        <f>IFERROR(VLOOKUP($D72,'SDDA Dogs'!$A:$AE,2,FALSE),"")</f>
        <v/>
      </c>
      <c r="I72" s="325" t="str">
        <f>IFERROR(VLOOKUP($D72,'SDDA Dogs'!$A:$AE,3,FALSE),"")</f>
        <v/>
      </c>
      <c r="J72" s="325" t="str">
        <f>IFERROR(VLOOKUP($D72,'SDDA Dogs'!$A:$AE,6,FALSE),"")</f>
        <v/>
      </c>
      <c r="K72" s="325"/>
      <c r="L72" s="325"/>
      <c r="M72" s="326" t="str">
        <f>TrialDate</f>
        <v/>
      </c>
      <c r="N72" s="325" t="str">
        <f t="shared" ref="N72" si="103">N71</f>
        <v/>
      </c>
      <c r="O72" s="325">
        <f>JudgeD1ISS</f>
        <v>0</v>
      </c>
    </row>
    <row r="73" spans="1:15" x14ac:dyDescent="0.25">
      <c r="A73" s="2">
        <v>2</v>
      </c>
      <c r="B73" s="2">
        <f t="shared" ref="B73:J73" si="104">B72</f>
        <v>0</v>
      </c>
      <c r="C73" s="2" t="str">
        <f t="shared" si="104"/>
        <v>ISS</v>
      </c>
      <c r="D73" s="2">
        <f t="shared" si="104"/>
        <v>0</v>
      </c>
      <c r="E73" s="2" t="str">
        <f t="shared" si="104"/>
        <v>A</v>
      </c>
      <c r="F73" s="2" t="str">
        <f t="shared" si="104"/>
        <v>Interior Started</v>
      </c>
      <c r="G73" s="2" t="str">
        <f t="shared" si="104"/>
        <v/>
      </c>
      <c r="H73" s="2" t="str">
        <f t="shared" si="104"/>
        <v/>
      </c>
      <c r="I73" s="2" t="str">
        <f t="shared" si="104"/>
        <v/>
      </c>
      <c r="J73" s="2" t="str">
        <f t="shared" si="104"/>
        <v/>
      </c>
      <c r="M73" s="180" t="str">
        <f>M72</f>
        <v/>
      </c>
      <c r="N73" s="2" t="str">
        <f t="shared" ref="N73" si="105">N72</f>
        <v/>
      </c>
      <c r="O73" s="2">
        <f>O72</f>
        <v>0</v>
      </c>
    </row>
    <row r="74" spans="1:15" x14ac:dyDescent="0.25">
      <c r="A74" s="325">
        <v>1</v>
      </c>
      <c r="B74" s="325">
        <f>TrialNumber</f>
        <v>0</v>
      </c>
      <c r="C74" s="325" t="s">
        <v>16</v>
      </c>
      <c r="D74" s="325">
        <f>Started!C11</f>
        <v>0</v>
      </c>
      <c r="E74" s="325" t="str">
        <f>IF(Started!B11="W","W","A")</f>
        <v>A</v>
      </c>
      <c r="F74" s="325" t="s">
        <v>1730</v>
      </c>
      <c r="G74" s="325" t="str">
        <f>IF(Started!O11="e","Y","")</f>
        <v/>
      </c>
      <c r="H74" s="325" t="str">
        <f>IFERROR(VLOOKUP($D74,'SDDA Dogs'!$A:$AE,2,FALSE),"")</f>
        <v/>
      </c>
      <c r="I74" s="325" t="str">
        <f>IFERROR(VLOOKUP($D74,'SDDA Dogs'!$A:$AE,3,FALSE),"")</f>
        <v/>
      </c>
      <c r="J74" s="325" t="str">
        <f>IFERROR(VLOOKUP($D74,'SDDA Dogs'!$A:$AE,6,FALSE),"")</f>
        <v/>
      </c>
      <c r="K74" s="325"/>
      <c r="L74" s="325"/>
      <c r="M74" s="326" t="str">
        <f>TrialDate</f>
        <v/>
      </c>
      <c r="N74" s="325" t="str">
        <f t="shared" ref="N74" si="106">N73</f>
        <v/>
      </c>
      <c r="O74" s="325">
        <f>JudgeD1ISS</f>
        <v>0</v>
      </c>
    </row>
    <row r="75" spans="1:15" x14ac:dyDescent="0.25">
      <c r="A75" s="2">
        <v>2</v>
      </c>
      <c r="B75" s="2">
        <f t="shared" ref="B75:J75" si="107">B74</f>
        <v>0</v>
      </c>
      <c r="C75" s="2" t="str">
        <f t="shared" si="107"/>
        <v>ISS</v>
      </c>
      <c r="D75" s="2">
        <f t="shared" si="107"/>
        <v>0</v>
      </c>
      <c r="E75" s="2" t="str">
        <f t="shared" si="107"/>
        <v>A</v>
      </c>
      <c r="F75" s="2" t="str">
        <f t="shared" si="107"/>
        <v>Interior Started</v>
      </c>
      <c r="G75" s="2" t="str">
        <f t="shared" si="107"/>
        <v/>
      </c>
      <c r="H75" s="2" t="str">
        <f t="shared" si="107"/>
        <v/>
      </c>
      <c r="I75" s="2" t="str">
        <f t="shared" si="107"/>
        <v/>
      </c>
      <c r="J75" s="2" t="str">
        <f t="shared" si="107"/>
        <v/>
      </c>
      <c r="M75" s="180" t="str">
        <f>M74</f>
        <v/>
      </c>
      <c r="N75" s="2" t="str">
        <f t="shared" ref="N75" si="108">N74</f>
        <v/>
      </c>
      <c r="O75" s="2">
        <f>O74</f>
        <v>0</v>
      </c>
    </row>
    <row r="76" spans="1:15" x14ac:dyDescent="0.25">
      <c r="A76" s="325">
        <v>1</v>
      </c>
      <c r="B76" s="325">
        <f>TrialNumber</f>
        <v>0</v>
      </c>
      <c r="C76" s="325" t="s">
        <v>16</v>
      </c>
      <c r="D76" s="325">
        <f>Started!C12</f>
        <v>0</v>
      </c>
      <c r="E76" s="325" t="str">
        <f>IF(Started!B12="W","W","A")</f>
        <v>A</v>
      </c>
      <c r="F76" s="325" t="s">
        <v>1730</v>
      </c>
      <c r="G76" s="325" t="str">
        <f>IF(Started!O12="e","Y","")</f>
        <v/>
      </c>
      <c r="H76" s="325" t="str">
        <f>IFERROR(VLOOKUP($D76,'SDDA Dogs'!$A:$AE,2,FALSE),"")</f>
        <v/>
      </c>
      <c r="I76" s="325" t="str">
        <f>IFERROR(VLOOKUP($D76,'SDDA Dogs'!$A:$AE,3,FALSE),"")</f>
        <v/>
      </c>
      <c r="J76" s="325" t="str">
        <f>IFERROR(VLOOKUP($D76,'SDDA Dogs'!$A:$AE,6,FALSE),"")</f>
        <v/>
      </c>
      <c r="K76" s="325"/>
      <c r="L76" s="325"/>
      <c r="M76" s="326" t="str">
        <f>TrialDate</f>
        <v/>
      </c>
      <c r="N76" s="325" t="str">
        <f t="shared" ref="N76" si="109">N75</f>
        <v/>
      </c>
      <c r="O76" s="325">
        <f>JudgeD1ISS</f>
        <v>0</v>
      </c>
    </row>
    <row r="77" spans="1:15" x14ac:dyDescent="0.25">
      <c r="A77" s="2">
        <v>2</v>
      </c>
      <c r="B77" s="2">
        <f t="shared" ref="B77:J77" si="110">B76</f>
        <v>0</v>
      </c>
      <c r="C77" s="2" t="str">
        <f t="shared" si="110"/>
        <v>ISS</v>
      </c>
      <c r="D77" s="2">
        <f t="shared" si="110"/>
        <v>0</v>
      </c>
      <c r="E77" s="2" t="str">
        <f t="shared" si="110"/>
        <v>A</v>
      </c>
      <c r="F77" s="2" t="str">
        <f t="shared" si="110"/>
        <v>Interior Started</v>
      </c>
      <c r="G77" s="2" t="str">
        <f t="shared" si="110"/>
        <v/>
      </c>
      <c r="H77" s="2" t="str">
        <f t="shared" si="110"/>
        <v/>
      </c>
      <c r="I77" s="2" t="str">
        <f t="shared" si="110"/>
        <v/>
      </c>
      <c r="J77" s="2" t="str">
        <f t="shared" si="110"/>
        <v/>
      </c>
      <c r="M77" s="180" t="str">
        <f>M76</f>
        <v/>
      </c>
      <c r="N77" s="2" t="str">
        <f t="shared" ref="N77" si="111">N76</f>
        <v/>
      </c>
      <c r="O77" s="2">
        <f>O76</f>
        <v>0</v>
      </c>
    </row>
    <row r="78" spans="1:15" x14ac:dyDescent="0.25">
      <c r="A78" s="325">
        <v>1</v>
      </c>
      <c r="B78" s="325">
        <f>TrialNumber</f>
        <v>0</v>
      </c>
      <c r="C78" s="325" t="s">
        <v>16</v>
      </c>
      <c r="D78" s="325">
        <f>Started!C13</f>
        <v>0</v>
      </c>
      <c r="E78" s="325" t="str">
        <f>IF(Started!B13="W","W","A")</f>
        <v>A</v>
      </c>
      <c r="F78" s="325" t="s">
        <v>1730</v>
      </c>
      <c r="G78" s="325" t="str">
        <f>IF(Started!O13="e","Y","")</f>
        <v/>
      </c>
      <c r="H78" s="325" t="str">
        <f>IFERROR(VLOOKUP($D78,'SDDA Dogs'!$A:$AE,2,FALSE),"")</f>
        <v/>
      </c>
      <c r="I78" s="325" t="str">
        <f>IFERROR(VLOOKUP($D78,'SDDA Dogs'!$A:$AE,3,FALSE),"")</f>
        <v/>
      </c>
      <c r="J78" s="325" t="str">
        <f>IFERROR(VLOOKUP($D78,'SDDA Dogs'!$A:$AE,6,FALSE),"")</f>
        <v/>
      </c>
      <c r="K78" s="325"/>
      <c r="L78" s="325"/>
      <c r="M78" s="326" t="str">
        <f>TrialDate</f>
        <v/>
      </c>
      <c r="N78" s="325" t="str">
        <f t="shared" ref="N78" si="112">N77</f>
        <v/>
      </c>
      <c r="O78" s="325">
        <f>JudgeD1ISS</f>
        <v>0</v>
      </c>
    </row>
    <row r="79" spans="1:15" x14ac:dyDescent="0.25">
      <c r="A79" s="2">
        <v>2</v>
      </c>
      <c r="B79" s="2">
        <f t="shared" ref="B79:J79" si="113">B78</f>
        <v>0</v>
      </c>
      <c r="C79" s="2" t="str">
        <f t="shared" si="113"/>
        <v>ISS</v>
      </c>
      <c r="D79" s="2">
        <f t="shared" si="113"/>
        <v>0</v>
      </c>
      <c r="E79" s="2" t="str">
        <f t="shared" si="113"/>
        <v>A</v>
      </c>
      <c r="F79" s="2" t="str">
        <f t="shared" si="113"/>
        <v>Interior Started</v>
      </c>
      <c r="G79" s="2" t="str">
        <f t="shared" si="113"/>
        <v/>
      </c>
      <c r="H79" s="2" t="str">
        <f t="shared" si="113"/>
        <v/>
      </c>
      <c r="I79" s="2" t="str">
        <f t="shared" si="113"/>
        <v/>
      </c>
      <c r="J79" s="2" t="str">
        <f t="shared" si="113"/>
        <v/>
      </c>
      <c r="M79" s="180" t="str">
        <f>M78</f>
        <v/>
      </c>
      <c r="N79" s="2" t="str">
        <f t="shared" ref="N79" si="114">N78</f>
        <v/>
      </c>
      <c r="O79" s="2">
        <f>O78</f>
        <v>0</v>
      </c>
    </row>
    <row r="80" spans="1:15" x14ac:dyDescent="0.25">
      <c r="A80" s="325">
        <v>1</v>
      </c>
      <c r="B80" s="325">
        <f>TrialNumber</f>
        <v>0</v>
      </c>
      <c r="C80" s="325" t="s">
        <v>16</v>
      </c>
      <c r="D80" s="325">
        <f>Started!C14</f>
        <v>0</v>
      </c>
      <c r="E80" s="325" t="str">
        <f>IF(Started!B14="W","W","A")</f>
        <v>A</v>
      </c>
      <c r="F80" s="325" t="s">
        <v>1730</v>
      </c>
      <c r="G80" s="325" t="str">
        <f>IF(Started!O14="e","Y","")</f>
        <v/>
      </c>
      <c r="H80" s="325" t="str">
        <f>IFERROR(VLOOKUP($D80,'SDDA Dogs'!$A:$AE,2,FALSE),"")</f>
        <v/>
      </c>
      <c r="I80" s="325" t="str">
        <f>IFERROR(VLOOKUP($D80,'SDDA Dogs'!$A:$AE,3,FALSE),"")</f>
        <v/>
      </c>
      <c r="J80" s="325" t="str">
        <f>IFERROR(VLOOKUP($D80,'SDDA Dogs'!$A:$AE,6,FALSE),"")</f>
        <v/>
      </c>
      <c r="K80" s="325"/>
      <c r="L80" s="325"/>
      <c r="M80" s="326" t="str">
        <f>TrialDate</f>
        <v/>
      </c>
      <c r="N80" s="325" t="str">
        <f t="shared" ref="N80" si="115">N79</f>
        <v/>
      </c>
      <c r="O80" s="325">
        <f>JudgeD1ISS</f>
        <v>0</v>
      </c>
    </row>
    <row r="81" spans="1:15" x14ac:dyDescent="0.25">
      <c r="A81" s="2">
        <v>2</v>
      </c>
      <c r="B81" s="2">
        <f t="shared" ref="B81:J81" si="116">B80</f>
        <v>0</v>
      </c>
      <c r="C81" s="2" t="str">
        <f t="shared" si="116"/>
        <v>ISS</v>
      </c>
      <c r="D81" s="2">
        <f t="shared" si="116"/>
        <v>0</v>
      </c>
      <c r="E81" s="2" t="str">
        <f t="shared" si="116"/>
        <v>A</v>
      </c>
      <c r="F81" s="2" t="str">
        <f t="shared" si="116"/>
        <v>Interior Started</v>
      </c>
      <c r="G81" s="2" t="str">
        <f t="shared" si="116"/>
        <v/>
      </c>
      <c r="H81" s="2" t="str">
        <f t="shared" si="116"/>
        <v/>
      </c>
      <c r="I81" s="2" t="str">
        <f t="shared" si="116"/>
        <v/>
      </c>
      <c r="J81" s="2" t="str">
        <f t="shared" si="116"/>
        <v/>
      </c>
      <c r="M81" s="180" t="str">
        <f>M80</f>
        <v/>
      </c>
      <c r="N81" s="2" t="str">
        <f t="shared" ref="N81" si="117">N80</f>
        <v/>
      </c>
      <c r="O81" s="2">
        <f>O80</f>
        <v>0</v>
      </c>
    </row>
    <row r="82" spans="1:15" x14ac:dyDescent="0.25">
      <c r="A82" s="325">
        <v>1</v>
      </c>
      <c r="B82" s="325">
        <f>TrialNumber</f>
        <v>0</v>
      </c>
      <c r="C82" s="325" t="s">
        <v>16</v>
      </c>
      <c r="D82" s="325">
        <f>Started!C15</f>
        <v>0</v>
      </c>
      <c r="E82" s="325" t="str">
        <f>IF(Started!B15="W","W","A")</f>
        <v>A</v>
      </c>
      <c r="F82" s="325" t="s">
        <v>1730</v>
      </c>
      <c r="G82" s="325" t="str">
        <f>IF(Started!O15="e","Y","")</f>
        <v/>
      </c>
      <c r="H82" s="325" t="str">
        <f>IFERROR(VLOOKUP($D82,'SDDA Dogs'!$A:$AE,2,FALSE),"")</f>
        <v/>
      </c>
      <c r="I82" s="325" t="str">
        <f>IFERROR(VLOOKUP($D82,'SDDA Dogs'!$A:$AE,3,FALSE),"")</f>
        <v/>
      </c>
      <c r="J82" s="325" t="str">
        <f>IFERROR(VLOOKUP($D82,'SDDA Dogs'!$A:$AE,6,FALSE),"")</f>
        <v/>
      </c>
      <c r="K82" s="325"/>
      <c r="L82" s="325"/>
      <c r="M82" s="326" t="str">
        <f>TrialDate</f>
        <v/>
      </c>
      <c r="N82" s="325" t="str">
        <f t="shared" ref="N82" si="118">N81</f>
        <v/>
      </c>
      <c r="O82" s="325">
        <f>JudgeD1ISS</f>
        <v>0</v>
      </c>
    </row>
    <row r="83" spans="1:15" x14ac:dyDescent="0.25">
      <c r="A83" s="2">
        <v>2</v>
      </c>
      <c r="B83" s="2">
        <f t="shared" ref="B83:J83" si="119">B82</f>
        <v>0</v>
      </c>
      <c r="C83" s="2" t="str">
        <f t="shared" si="119"/>
        <v>ISS</v>
      </c>
      <c r="D83" s="2">
        <f t="shared" si="119"/>
        <v>0</v>
      </c>
      <c r="E83" s="2" t="str">
        <f t="shared" si="119"/>
        <v>A</v>
      </c>
      <c r="F83" s="2" t="str">
        <f t="shared" si="119"/>
        <v>Interior Started</v>
      </c>
      <c r="G83" s="2" t="str">
        <f t="shared" si="119"/>
        <v/>
      </c>
      <c r="H83" s="2" t="str">
        <f t="shared" si="119"/>
        <v/>
      </c>
      <c r="I83" s="2" t="str">
        <f t="shared" si="119"/>
        <v/>
      </c>
      <c r="J83" s="2" t="str">
        <f t="shared" si="119"/>
        <v/>
      </c>
      <c r="M83" s="180" t="str">
        <f>M82</f>
        <v/>
      </c>
      <c r="N83" s="2" t="str">
        <f t="shared" ref="N83" si="120">N82</f>
        <v/>
      </c>
      <c r="O83" s="2">
        <f>O82</f>
        <v>0</v>
      </c>
    </row>
    <row r="84" spans="1:15" x14ac:dyDescent="0.25">
      <c r="A84" s="325">
        <v>1</v>
      </c>
      <c r="B84" s="325">
        <f>TrialNumber</f>
        <v>0</v>
      </c>
      <c r="C84" s="325" t="s">
        <v>16</v>
      </c>
      <c r="D84" s="325">
        <f>Started!C16</f>
        <v>0</v>
      </c>
      <c r="E84" s="325" t="str">
        <f>IF(Started!B16="W","W","A")</f>
        <v>A</v>
      </c>
      <c r="F84" s="325" t="s">
        <v>1730</v>
      </c>
      <c r="G84" s="325" t="str">
        <f>IF(Started!O16="e","Y","")</f>
        <v/>
      </c>
      <c r="H84" s="325" t="str">
        <f>IFERROR(VLOOKUP($D84,'SDDA Dogs'!$A:$AE,2,FALSE),"")</f>
        <v/>
      </c>
      <c r="I84" s="325" t="str">
        <f>IFERROR(VLOOKUP($D84,'SDDA Dogs'!$A:$AE,3,FALSE),"")</f>
        <v/>
      </c>
      <c r="J84" s="325" t="str">
        <f>IFERROR(VLOOKUP($D84,'SDDA Dogs'!$A:$AE,6,FALSE),"")</f>
        <v/>
      </c>
      <c r="K84" s="325"/>
      <c r="L84" s="325"/>
      <c r="M84" s="326" t="str">
        <f>TrialDate</f>
        <v/>
      </c>
      <c r="N84" s="325" t="str">
        <f t="shared" ref="N84" si="121">N83</f>
        <v/>
      </c>
      <c r="O84" s="325">
        <f>JudgeD1ISS</f>
        <v>0</v>
      </c>
    </row>
    <row r="85" spans="1:15" x14ac:dyDescent="0.25">
      <c r="A85" s="2">
        <v>2</v>
      </c>
      <c r="B85" s="2">
        <f t="shared" ref="B85:J85" si="122">B84</f>
        <v>0</v>
      </c>
      <c r="C85" s="2" t="str">
        <f t="shared" si="122"/>
        <v>ISS</v>
      </c>
      <c r="D85" s="2">
        <f t="shared" si="122"/>
        <v>0</v>
      </c>
      <c r="E85" s="2" t="str">
        <f t="shared" si="122"/>
        <v>A</v>
      </c>
      <c r="F85" s="2" t="str">
        <f t="shared" si="122"/>
        <v>Interior Started</v>
      </c>
      <c r="G85" s="2" t="str">
        <f t="shared" si="122"/>
        <v/>
      </c>
      <c r="H85" s="2" t="str">
        <f t="shared" si="122"/>
        <v/>
      </c>
      <c r="I85" s="2" t="str">
        <f t="shared" si="122"/>
        <v/>
      </c>
      <c r="J85" s="2" t="str">
        <f t="shared" si="122"/>
        <v/>
      </c>
      <c r="M85" s="180" t="str">
        <f>M84</f>
        <v/>
      </c>
      <c r="N85" s="2" t="str">
        <f t="shared" ref="N85" si="123">N84</f>
        <v/>
      </c>
      <c r="O85" s="2">
        <f>O84</f>
        <v>0</v>
      </c>
    </row>
    <row r="86" spans="1:15" x14ac:dyDescent="0.25">
      <c r="A86" s="325">
        <v>1</v>
      </c>
      <c r="B86" s="325">
        <f>TrialNumber</f>
        <v>0</v>
      </c>
      <c r="C86" s="325" t="s">
        <v>16</v>
      </c>
      <c r="D86" s="325">
        <f>Started!C17</f>
        <v>0</v>
      </c>
      <c r="E86" s="325" t="str">
        <f>IF(Started!B17="W","W","A")</f>
        <v>A</v>
      </c>
      <c r="F86" s="325" t="s">
        <v>1730</v>
      </c>
      <c r="G86" s="325" t="str">
        <f>IF(Started!O17="e","Y","")</f>
        <v/>
      </c>
      <c r="H86" s="325" t="str">
        <f>IFERROR(VLOOKUP($D86,'SDDA Dogs'!$A:$AE,2,FALSE),"")</f>
        <v/>
      </c>
      <c r="I86" s="325" t="str">
        <f>IFERROR(VLOOKUP($D86,'SDDA Dogs'!$A:$AE,3,FALSE),"")</f>
        <v/>
      </c>
      <c r="J86" s="325" t="str">
        <f>IFERROR(VLOOKUP($D86,'SDDA Dogs'!$A:$AE,6,FALSE),"")</f>
        <v/>
      </c>
      <c r="K86" s="325"/>
      <c r="L86" s="325"/>
      <c r="M86" s="326" t="str">
        <f>TrialDate</f>
        <v/>
      </c>
      <c r="N86" s="325" t="str">
        <f t="shared" ref="N86" si="124">N85</f>
        <v/>
      </c>
      <c r="O86" s="325">
        <f>JudgeD1ISS</f>
        <v>0</v>
      </c>
    </row>
    <row r="87" spans="1:15" x14ac:dyDescent="0.25">
      <c r="A87" s="2">
        <v>2</v>
      </c>
      <c r="B87" s="2">
        <f t="shared" ref="B87:J87" si="125">B86</f>
        <v>0</v>
      </c>
      <c r="C87" s="2" t="str">
        <f t="shared" si="125"/>
        <v>ISS</v>
      </c>
      <c r="D87" s="2">
        <f t="shared" si="125"/>
        <v>0</v>
      </c>
      <c r="E87" s="2" t="str">
        <f t="shared" si="125"/>
        <v>A</v>
      </c>
      <c r="F87" s="2" t="str">
        <f t="shared" si="125"/>
        <v>Interior Started</v>
      </c>
      <c r="G87" s="2" t="str">
        <f t="shared" si="125"/>
        <v/>
      </c>
      <c r="H87" s="2" t="str">
        <f t="shared" si="125"/>
        <v/>
      </c>
      <c r="I87" s="2" t="str">
        <f t="shared" si="125"/>
        <v/>
      </c>
      <c r="J87" s="2" t="str">
        <f t="shared" si="125"/>
        <v/>
      </c>
      <c r="M87" s="180" t="str">
        <f>M86</f>
        <v/>
      </c>
      <c r="N87" s="2" t="str">
        <f t="shared" ref="N87" si="126">N86</f>
        <v/>
      </c>
      <c r="O87" s="2">
        <f>O86</f>
        <v>0</v>
      </c>
    </row>
    <row r="88" spans="1:15" x14ac:dyDescent="0.25">
      <c r="A88" s="325">
        <v>1</v>
      </c>
      <c r="B88" s="325">
        <f>TrialNumber</f>
        <v>0</v>
      </c>
      <c r="C88" s="325" t="s">
        <v>16</v>
      </c>
      <c r="D88" s="325">
        <f>Started!C18</f>
        <v>0</v>
      </c>
      <c r="E88" s="325" t="str">
        <f>IF(Started!B18="W","W","A")</f>
        <v>A</v>
      </c>
      <c r="F88" s="325" t="s">
        <v>1730</v>
      </c>
      <c r="G88" s="325" t="str">
        <f>IF(Started!O18="e","Y","")</f>
        <v/>
      </c>
      <c r="H88" s="325" t="str">
        <f>IFERROR(VLOOKUP($D88,'SDDA Dogs'!$A:$AE,2,FALSE),"")</f>
        <v/>
      </c>
      <c r="I88" s="325" t="str">
        <f>IFERROR(VLOOKUP($D88,'SDDA Dogs'!$A:$AE,3,FALSE),"")</f>
        <v/>
      </c>
      <c r="J88" s="325" t="str">
        <f>IFERROR(VLOOKUP($D88,'SDDA Dogs'!$A:$AE,6,FALSE),"")</f>
        <v/>
      </c>
      <c r="K88" s="325"/>
      <c r="L88" s="325"/>
      <c r="M88" s="326" t="str">
        <f>TrialDate</f>
        <v/>
      </c>
      <c r="N88" s="325" t="str">
        <f t="shared" ref="N88" si="127">N87</f>
        <v/>
      </c>
      <c r="O88" s="325">
        <f>JudgeD1ISS</f>
        <v>0</v>
      </c>
    </row>
    <row r="89" spans="1:15" x14ac:dyDescent="0.25">
      <c r="A89" s="2">
        <v>2</v>
      </c>
      <c r="B89" s="2">
        <f t="shared" ref="B89:J89" si="128">B88</f>
        <v>0</v>
      </c>
      <c r="C89" s="2" t="str">
        <f t="shared" si="128"/>
        <v>ISS</v>
      </c>
      <c r="D89" s="2">
        <f t="shared" si="128"/>
        <v>0</v>
      </c>
      <c r="E89" s="2" t="str">
        <f t="shared" si="128"/>
        <v>A</v>
      </c>
      <c r="F89" s="2" t="str">
        <f t="shared" si="128"/>
        <v>Interior Started</v>
      </c>
      <c r="G89" s="2" t="str">
        <f t="shared" si="128"/>
        <v/>
      </c>
      <c r="H89" s="2" t="str">
        <f t="shared" si="128"/>
        <v/>
      </c>
      <c r="I89" s="2" t="str">
        <f t="shared" si="128"/>
        <v/>
      </c>
      <c r="J89" s="2" t="str">
        <f t="shared" si="128"/>
        <v/>
      </c>
      <c r="M89" s="180" t="str">
        <f>M88</f>
        <v/>
      </c>
      <c r="N89" s="2" t="str">
        <f t="shared" ref="N89" si="129">N88</f>
        <v/>
      </c>
      <c r="O89" s="2">
        <f>O88</f>
        <v>0</v>
      </c>
    </row>
    <row r="90" spans="1:15" x14ac:dyDescent="0.25">
      <c r="A90" s="325">
        <v>1</v>
      </c>
      <c r="B90" s="325">
        <f>TrialNumber</f>
        <v>0</v>
      </c>
      <c r="C90" s="325" t="s">
        <v>16</v>
      </c>
      <c r="D90" s="325">
        <f>Started!C19</f>
        <v>0</v>
      </c>
      <c r="E90" s="325" t="str">
        <f>IF(Started!B19="W","W","A")</f>
        <v>A</v>
      </c>
      <c r="F90" s="325" t="s">
        <v>1730</v>
      </c>
      <c r="G90" s="325" t="str">
        <f>IF(Started!O19="e","Y","")</f>
        <v/>
      </c>
      <c r="H90" s="325" t="str">
        <f>IFERROR(VLOOKUP($D90,'SDDA Dogs'!$A:$AE,2,FALSE),"")</f>
        <v/>
      </c>
      <c r="I90" s="325" t="str">
        <f>IFERROR(VLOOKUP($D90,'SDDA Dogs'!$A:$AE,3,FALSE),"")</f>
        <v/>
      </c>
      <c r="J90" s="325" t="str">
        <f>IFERROR(VLOOKUP($D90,'SDDA Dogs'!$A:$AE,6,FALSE),"")</f>
        <v/>
      </c>
      <c r="K90" s="325"/>
      <c r="L90" s="325"/>
      <c r="M90" s="326" t="str">
        <f>TrialDate</f>
        <v/>
      </c>
      <c r="N90" s="325" t="str">
        <f t="shared" ref="N90" si="130">N89</f>
        <v/>
      </c>
      <c r="O90" s="325">
        <f>JudgeD1ISS</f>
        <v>0</v>
      </c>
    </row>
    <row r="91" spans="1:15" x14ac:dyDescent="0.25">
      <c r="A91" s="2">
        <v>2</v>
      </c>
      <c r="B91" s="2">
        <f t="shared" ref="B91:J91" si="131">B90</f>
        <v>0</v>
      </c>
      <c r="C91" s="2" t="str">
        <f t="shared" si="131"/>
        <v>ISS</v>
      </c>
      <c r="D91" s="2">
        <f t="shared" si="131"/>
        <v>0</v>
      </c>
      <c r="E91" s="2" t="str">
        <f t="shared" si="131"/>
        <v>A</v>
      </c>
      <c r="F91" s="2" t="str">
        <f t="shared" si="131"/>
        <v>Interior Started</v>
      </c>
      <c r="G91" s="2" t="str">
        <f t="shared" si="131"/>
        <v/>
      </c>
      <c r="H91" s="2" t="str">
        <f t="shared" si="131"/>
        <v/>
      </c>
      <c r="I91" s="2" t="str">
        <f t="shared" si="131"/>
        <v/>
      </c>
      <c r="J91" s="2" t="str">
        <f t="shared" si="131"/>
        <v/>
      </c>
      <c r="M91" s="180" t="str">
        <f>M90</f>
        <v/>
      </c>
      <c r="N91" s="2" t="str">
        <f t="shared" ref="N91" si="132">N90</f>
        <v/>
      </c>
      <c r="O91" s="2">
        <f>O90</f>
        <v>0</v>
      </c>
    </row>
    <row r="92" spans="1:15" x14ac:dyDescent="0.25">
      <c r="A92" s="325">
        <v>1</v>
      </c>
      <c r="B92" s="325">
        <f>TrialNumber</f>
        <v>0</v>
      </c>
      <c r="C92" s="325" t="s">
        <v>16</v>
      </c>
      <c r="D92" s="325">
        <f>Started!C20</f>
        <v>0</v>
      </c>
      <c r="E92" s="325" t="str">
        <f>IF(Started!B20="W","W","A")</f>
        <v>A</v>
      </c>
      <c r="F92" s="325" t="s">
        <v>1730</v>
      </c>
      <c r="G92" s="325" t="str">
        <f>IF(Started!O20="e","Y","")</f>
        <v/>
      </c>
      <c r="H92" s="325" t="str">
        <f>IFERROR(VLOOKUP($D92,'SDDA Dogs'!$A:$AE,2,FALSE),"")</f>
        <v/>
      </c>
      <c r="I92" s="325" t="str">
        <f>IFERROR(VLOOKUP($D92,'SDDA Dogs'!$A:$AE,3,FALSE),"")</f>
        <v/>
      </c>
      <c r="J92" s="325" t="str">
        <f>IFERROR(VLOOKUP($D92,'SDDA Dogs'!$A:$AE,6,FALSE),"")</f>
        <v/>
      </c>
      <c r="K92" s="325"/>
      <c r="L92" s="325"/>
      <c r="M92" s="326" t="str">
        <f>TrialDate</f>
        <v/>
      </c>
      <c r="N92" s="325" t="str">
        <f t="shared" ref="N92" si="133">N91</f>
        <v/>
      </c>
      <c r="O92" s="325">
        <f>JudgeD1ISS</f>
        <v>0</v>
      </c>
    </row>
    <row r="93" spans="1:15" x14ac:dyDescent="0.25">
      <c r="A93" s="2">
        <v>2</v>
      </c>
      <c r="B93" s="2">
        <f t="shared" ref="B93:J93" si="134">B92</f>
        <v>0</v>
      </c>
      <c r="C93" s="2" t="str">
        <f t="shared" si="134"/>
        <v>ISS</v>
      </c>
      <c r="D93" s="2">
        <f t="shared" si="134"/>
        <v>0</v>
      </c>
      <c r="E93" s="2" t="str">
        <f t="shared" si="134"/>
        <v>A</v>
      </c>
      <c r="F93" s="2" t="str">
        <f t="shared" si="134"/>
        <v>Interior Started</v>
      </c>
      <c r="G93" s="2" t="str">
        <f t="shared" si="134"/>
        <v/>
      </c>
      <c r="H93" s="2" t="str">
        <f t="shared" si="134"/>
        <v/>
      </c>
      <c r="I93" s="2" t="str">
        <f t="shared" si="134"/>
        <v/>
      </c>
      <c r="J93" s="2" t="str">
        <f t="shared" si="134"/>
        <v/>
      </c>
      <c r="M93" s="180" t="str">
        <f>M92</f>
        <v/>
      </c>
      <c r="N93" s="2" t="str">
        <f t="shared" ref="N93" si="135">N92</f>
        <v/>
      </c>
      <c r="O93" s="2">
        <f>O92</f>
        <v>0</v>
      </c>
    </row>
    <row r="94" spans="1:15" x14ac:dyDescent="0.25">
      <c r="A94" s="325">
        <v>1</v>
      </c>
      <c r="B94" s="325">
        <f>TrialNumber</f>
        <v>0</v>
      </c>
      <c r="C94" s="325" t="s">
        <v>16</v>
      </c>
      <c r="D94" s="325">
        <f>Started!C21</f>
        <v>0</v>
      </c>
      <c r="E94" s="325" t="str">
        <f>IF(Started!B21="W","W","A")</f>
        <v>A</v>
      </c>
      <c r="F94" s="325" t="s">
        <v>1730</v>
      </c>
      <c r="G94" s="325" t="str">
        <f>IF(Started!O21="e","Y","")</f>
        <v/>
      </c>
      <c r="H94" s="325" t="str">
        <f>IFERROR(VLOOKUP($D94,'SDDA Dogs'!$A:$AE,2,FALSE),"")</f>
        <v/>
      </c>
      <c r="I94" s="325" t="str">
        <f>IFERROR(VLOOKUP($D94,'SDDA Dogs'!$A:$AE,3,FALSE),"")</f>
        <v/>
      </c>
      <c r="J94" s="325" t="str">
        <f>IFERROR(VLOOKUP($D94,'SDDA Dogs'!$A:$AE,6,FALSE),"")</f>
        <v/>
      </c>
      <c r="K94" s="325"/>
      <c r="L94" s="325"/>
      <c r="M94" s="326" t="str">
        <f>TrialDate</f>
        <v/>
      </c>
      <c r="N94" s="325" t="str">
        <f t="shared" ref="N94" si="136">N93</f>
        <v/>
      </c>
      <c r="O94" s="325">
        <f>JudgeD1ISS</f>
        <v>0</v>
      </c>
    </row>
    <row r="95" spans="1:15" x14ac:dyDescent="0.25">
      <c r="A95" s="2">
        <v>2</v>
      </c>
      <c r="B95" s="2">
        <f t="shared" ref="B95:J95" si="137">B94</f>
        <v>0</v>
      </c>
      <c r="C95" s="2" t="str">
        <f t="shared" si="137"/>
        <v>ISS</v>
      </c>
      <c r="D95" s="2">
        <f t="shared" si="137"/>
        <v>0</v>
      </c>
      <c r="E95" s="2" t="str">
        <f t="shared" si="137"/>
        <v>A</v>
      </c>
      <c r="F95" s="2" t="str">
        <f t="shared" si="137"/>
        <v>Interior Started</v>
      </c>
      <c r="G95" s="2" t="str">
        <f t="shared" si="137"/>
        <v/>
      </c>
      <c r="H95" s="2" t="str">
        <f t="shared" si="137"/>
        <v/>
      </c>
      <c r="I95" s="2" t="str">
        <f t="shared" si="137"/>
        <v/>
      </c>
      <c r="J95" s="2" t="str">
        <f t="shared" si="137"/>
        <v/>
      </c>
      <c r="M95" s="180" t="str">
        <f>M94</f>
        <v/>
      </c>
      <c r="N95" s="2" t="str">
        <f t="shared" ref="N95" si="138">N94</f>
        <v/>
      </c>
      <c r="O95" s="2">
        <f>O94</f>
        <v>0</v>
      </c>
    </row>
    <row r="96" spans="1:15" x14ac:dyDescent="0.25">
      <c r="A96" s="325">
        <v>1</v>
      </c>
      <c r="B96" s="325">
        <f>TrialNumber</f>
        <v>0</v>
      </c>
      <c r="C96" s="325" t="s">
        <v>16</v>
      </c>
      <c r="D96" s="325">
        <f>Started!C22</f>
        <v>0</v>
      </c>
      <c r="E96" s="325" t="str">
        <f>IF(Started!B22="W","W","A")</f>
        <v>A</v>
      </c>
      <c r="F96" s="325" t="s">
        <v>1730</v>
      </c>
      <c r="G96" s="325" t="str">
        <f>IF(Started!O22="e","Y","")</f>
        <v/>
      </c>
      <c r="H96" s="325" t="str">
        <f>IFERROR(VLOOKUP($D96,'SDDA Dogs'!$A:$AE,2,FALSE),"")</f>
        <v/>
      </c>
      <c r="I96" s="325" t="str">
        <f>IFERROR(VLOOKUP($D96,'SDDA Dogs'!$A:$AE,3,FALSE),"")</f>
        <v/>
      </c>
      <c r="J96" s="325" t="str">
        <f>IFERROR(VLOOKUP($D96,'SDDA Dogs'!$A:$AE,6,FALSE),"")</f>
        <v/>
      </c>
      <c r="K96" s="325"/>
      <c r="L96" s="325"/>
      <c r="M96" s="326" t="str">
        <f>TrialDate</f>
        <v/>
      </c>
      <c r="N96" s="325" t="str">
        <f t="shared" ref="N96" si="139">N95</f>
        <v/>
      </c>
      <c r="O96" s="325">
        <f>JudgeD1ISS</f>
        <v>0</v>
      </c>
    </row>
    <row r="97" spans="1:15" x14ac:dyDescent="0.25">
      <c r="A97" s="2">
        <v>2</v>
      </c>
      <c r="B97" s="2">
        <f t="shared" ref="B97:J97" si="140">B96</f>
        <v>0</v>
      </c>
      <c r="C97" s="2" t="str">
        <f t="shared" si="140"/>
        <v>ISS</v>
      </c>
      <c r="D97" s="2">
        <f t="shared" si="140"/>
        <v>0</v>
      </c>
      <c r="E97" s="2" t="str">
        <f t="shared" si="140"/>
        <v>A</v>
      </c>
      <c r="F97" s="2" t="str">
        <f t="shared" si="140"/>
        <v>Interior Started</v>
      </c>
      <c r="G97" s="2" t="str">
        <f t="shared" si="140"/>
        <v/>
      </c>
      <c r="H97" s="2" t="str">
        <f t="shared" si="140"/>
        <v/>
      </c>
      <c r="I97" s="2" t="str">
        <f t="shared" si="140"/>
        <v/>
      </c>
      <c r="J97" s="2" t="str">
        <f t="shared" si="140"/>
        <v/>
      </c>
      <c r="M97" s="180" t="str">
        <f>M96</f>
        <v/>
      </c>
      <c r="N97" s="2" t="str">
        <f t="shared" ref="N97" si="141">N96</f>
        <v/>
      </c>
      <c r="O97" s="2">
        <f>O96</f>
        <v>0</v>
      </c>
    </row>
    <row r="98" spans="1:15" x14ac:dyDescent="0.25">
      <c r="A98" s="325">
        <v>1</v>
      </c>
      <c r="B98" s="325">
        <f>TrialNumber</f>
        <v>0</v>
      </c>
      <c r="C98" s="325" t="s">
        <v>16</v>
      </c>
      <c r="D98" s="325">
        <f>Started!C23</f>
        <v>0</v>
      </c>
      <c r="E98" s="325" t="str">
        <f>IF(Started!B23="W","W","A")</f>
        <v>A</v>
      </c>
      <c r="F98" s="325" t="s">
        <v>1730</v>
      </c>
      <c r="G98" s="325" t="str">
        <f>IF(Started!O23="e","Y","")</f>
        <v/>
      </c>
      <c r="H98" s="325" t="str">
        <f>IFERROR(VLOOKUP($D98,'SDDA Dogs'!$A:$AE,2,FALSE),"")</f>
        <v/>
      </c>
      <c r="I98" s="325" t="str">
        <f>IFERROR(VLOOKUP($D98,'SDDA Dogs'!$A:$AE,3,FALSE),"")</f>
        <v/>
      </c>
      <c r="J98" s="325" t="str">
        <f>IFERROR(VLOOKUP($D98,'SDDA Dogs'!$A:$AE,6,FALSE),"")</f>
        <v/>
      </c>
      <c r="K98" s="325"/>
      <c r="L98" s="325"/>
      <c r="M98" s="326" t="str">
        <f>TrialDate</f>
        <v/>
      </c>
      <c r="N98" s="325" t="str">
        <f t="shared" ref="N98" si="142">N97</f>
        <v/>
      </c>
      <c r="O98" s="325">
        <f>JudgeD1ISS</f>
        <v>0</v>
      </c>
    </row>
    <row r="99" spans="1:15" x14ac:dyDescent="0.25">
      <c r="A99" s="2">
        <v>2</v>
      </c>
      <c r="B99" s="2">
        <f t="shared" ref="B99:J99" si="143">B98</f>
        <v>0</v>
      </c>
      <c r="C99" s="2" t="str">
        <f t="shared" si="143"/>
        <v>ISS</v>
      </c>
      <c r="D99" s="2">
        <f t="shared" si="143"/>
        <v>0</v>
      </c>
      <c r="E99" s="2" t="str">
        <f t="shared" si="143"/>
        <v>A</v>
      </c>
      <c r="F99" s="2" t="str">
        <f t="shared" si="143"/>
        <v>Interior Started</v>
      </c>
      <c r="G99" s="2" t="str">
        <f t="shared" si="143"/>
        <v/>
      </c>
      <c r="H99" s="2" t="str">
        <f t="shared" si="143"/>
        <v/>
      </c>
      <c r="I99" s="2" t="str">
        <f t="shared" si="143"/>
        <v/>
      </c>
      <c r="J99" s="2" t="str">
        <f t="shared" si="143"/>
        <v/>
      </c>
      <c r="M99" s="180" t="str">
        <f>M98</f>
        <v/>
      </c>
      <c r="N99" s="2" t="str">
        <f t="shared" ref="N99" si="144">N98</f>
        <v/>
      </c>
      <c r="O99" s="2">
        <f>O98</f>
        <v>0</v>
      </c>
    </row>
    <row r="100" spans="1:15" x14ac:dyDescent="0.25">
      <c r="A100" s="325">
        <v>1</v>
      </c>
      <c r="B100" s="325">
        <f>TrialNumber</f>
        <v>0</v>
      </c>
      <c r="C100" s="325" t="s">
        <v>16</v>
      </c>
      <c r="D100" s="325">
        <f>Started!C24</f>
        <v>0</v>
      </c>
      <c r="E100" s="325" t="str">
        <f>IF(Started!B24="W","W","A")</f>
        <v>A</v>
      </c>
      <c r="F100" s="325" t="s">
        <v>1730</v>
      </c>
      <c r="G100" s="325" t="str">
        <f>IF(Started!O24="e","Y","")</f>
        <v/>
      </c>
      <c r="H100" s="325" t="str">
        <f>IFERROR(VLOOKUP($D100,'SDDA Dogs'!$A:$AE,2,FALSE),"")</f>
        <v/>
      </c>
      <c r="I100" s="325" t="str">
        <f>IFERROR(VLOOKUP($D100,'SDDA Dogs'!$A:$AE,3,FALSE),"")</f>
        <v/>
      </c>
      <c r="J100" s="325" t="str">
        <f>IFERROR(VLOOKUP($D100,'SDDA Dogs'!$A:$AE,6,FALSE),"")</f>
        <v/>
      </c>
      <c r="K100" s="325"/>
      <c r="L100" s="325"/>
      <c r="M100" s="326" t="str">
        <f>TrialDate</f>
        <v/>
      </c>
      <c r="N100" s="325" t="str">
        <f t="shared" ref="N100" si="145">N99</f>
        <v/>
      </c>
      <c r="O100" s="325">
        <f>JudgeD1ISS</f>
        <v>0</v>
      </c>
    </row>
    <row r="101" spans="1:15" x14ac:dyDescent="0.25">
      <c r="A101" s="2">
        <v>2</v>
      </c>
      <c r="B101" s="2">
        <f t="shared" ref="B101:J101" si="146">B100</f>
        <v>0</v>
      </c>
      <c r="C101" s="2" t="str">
        <f t="shared" si="146"/>
        <v>ISS</v>
      </c>
      <c r="D101" s="2">
        <f t="shared" si="146"/>
        <v>0</v>
      </c>
      <c r="E101" s="2" t="str">
        <f t="shared" si="146"/>
        <v>A</v>
      </c>
      <c r="F101" s="2" t="str">
        <f t="shared" si="146"/>
        <v>Interior Started</v>
      </c>
      <c r="G101" s="2" t="str">
        <f t="shared" si="146"/>
        <v/>
      </c>
      <c r="H101" s="2" t="str">
        <f t="shared" si="146"/>
        <v/>
      </c>
      <c r="I101" s="2" t="str">
        <f t="shared" si="146"/>
        <v/>
      </c>
      <c r="J101" s="2" t="str">
        <f t="shared" si="146"/>
        <v/>
      </c>
      <c r="M101" s="180" t="str">
        <f>M100</f>
        <v/>
      </c>
      <c r="N101" s="2" t="str">
        <f t="shared" ref="N101" si="147">N100</f>
        <v/>
      </c>
      <c r="O101" s="2">
        <f>O100</f>
        <v>0</v>
      </c>
    </row>
    <row r="102" spans="1:15" x14ac:dyDescent="0.25">
      <c r="A102" s="325">
        <v>1</v>
      </c>
      <c r="B102" s="325">
        <f>TrialNumber</f>
        <v>0</v>
      </c>
      <c r="C102" s="325" t="s">
        <v>16</v>
      </c>
      <c r="D102" s="325">
        <f>Started!C25</f>
        <v>0</v>
      </c>
      <c r="E102" s="325" t="str">
        <f>IF(Started!B25="W","W","A")</f>
        <v>A</v>
      </c>
      <c r="F102" s="325" t="s">
        <v>1730</v>
      </c>
      <c r="G102" s="325" t="str">
        <f>IF(Started!O25="e","Y","")</f>
        <v/>
      </c>
      <c r="H102" s="325" t="str">
        <f>IFERROR(VLOOKUP($D102,'SDDA Dogs'!$A:$AE,2,FALSE),"")</f>
        <v/>
      </c>
      <c r="I102" s="325" t="str">
        <f>IFERROR(VLOOKUP($D102,'SDDA Dogs'!$A:$AE,3,FALSE),"")</f>
        <v/>
      </c>
      <c r="J102" s="325" t="str">
        <f>IFERROR(VLOOKUP($D102,'SDDA Dogs'!$A:$AE,6,FALSE),"")</f>
        <v/>
      </c>
      <c r="K102" s="325"/>
      <c r="L102" s="325"/>
      <c r="M102" s="326" t="str">
        <f>TrialDate</f>
        <v/>
      </c>
      <c r="N102" s="325" t="str">
        <f t="shared" ref="N102" si="148">N101</f>
        <v/>
      </c>
      <c r="O102" s="325">
        <f>JudgeD1ISS</f>
        <v>0</v>
      </c>
    </row>
    <row r="103" spans="1:15" x14ac:dyDescent="0.25">
      <c r="A103" s="2">
        <v>2</v>
      </c>
      <c r="B103" s="2">
        <f t="shared" ref="B103:J103" si="149">B102</f>
        <v>0</v>
      </c>
      <c r="C103" s="2" t="str">
        <f t="shared" si="149"/>
        <v>ISS</v>
      </c>
      <c r="D103" s="2">
        <f t="shared" si="149"/>
        <v>0</v>
      </c>
      <c r="E103" s="2" t="str">
        <f t="shared" si="149"/>
        <v>A</v>
      </c>
      <c r="F103" s="2" t="str">
        <f t="shared" si="149"/>
        <v>Interior Started</v>
      </c>
      <c r="G103" s="2" t="str">
        <f t="shared" si="149"/>
        <v/>
      </c>
      <c r="H103" s="2" t="str">
        <f t="shared" si="149"/>
        <v/>
      </c>
      <c r="I103" s="2" t="str">
        <f t="shared" si="149"/>
        <v/>
      </c>
      <c r="J103" s="2" t="str">
        <f t="shared" si="149"/>
        <v/>
      </c>
      <c r="M103" s="180" t="str">
        <f>M102</f>
        <v/>
      </c>
      <c r="N103" s="2" t="str">
        <f t="shared" ref="N103" si="150">N102</f>
        <v/>
      </c>
      <c r="O103" s="2">
        <f>O102</f>
        <v>0</v>
      </c>
    </row>
    <row r="104" spans="1:15" x14ac:dyDescent="0.25">
      <c r="A104" s="325">
        <v>1</v>
      </c>
      <c r="B104" s="325">
        <f>TrialNumber</f>
        <v>0</v>
      </c>
      <c r="C104" s="325" t="s">
        <v>16</v>
      </c>
      <c r="D104" s="325">
        <f>Started!C26</f>
        <v>0</v>
      </c>
      <c r="E104" s="325" t="str">
        <f>IF(Started!B26="W","W","A")</f>
        <v>A</v>
      </c>
      <c r="F104" s="325" t="s">
        <v>1730</v>
      </c>
      <c r="G104" s="325" t="str">
        <f>IF(Started!O26="e","Y","")</f>
        <v/>
      </c>
      <c r="H104" s="325" t="str">
        <f>IFERROR(VLOOKUP($D104,'SDDA Dogs'!$A:$AE,2,FALSE),"")</f>
        <v/>
      </c>
      <c r="I104" s="325" t="str">
        <f>IFERROR(VLOOKUP($D104,'SDDA Dogs'!$A:$AE,3,FALSE),"")</f>
        <v/>
      </c>
      <c r="J104" s="325" t="str">
        <f>IFERROR(VLOOKUP($D104,'SDDA Dogs'!$A:$AE,6,FALSE),"")</f>
        <v/>
      </c>
      <c r="K104" s="325"/>
      <c r="L104" s="325"/>
      <c r="M104" s="326" t="str">
        <f>TrialDate</f>
        <v/>
      </c>
      <c r="N104" s="325" t="str">
        <f t="shared" ref="N104" si="151">N103</f>
        <v/>
      </c>
      <c r="O104" s="325">
        <f>JudgeD1ISS</f>
        <v>0</v>
      </c>
    </row>
    <row r="105" spans="1:15" x14ac:dyDescent="0.25">
      <c r="A105" s="2">
        <v>2</v>
      </c>
      <c r="B105" s="2">
        <f t="shared" ref="B105:J105" si="152">B104</f>
        <v>0</v>
      </c>
      <c r="C105" s="2" t="str">
        <f t="shared" si="152"/>
        <v>ISS</v>
      </c>
      <c r="D105" s="2">
        <f t="shared" si="152"/>
        <v>0</v>
      </c>
      <c r="E105" s="2" t="str">
        <f t="shared" si="152"/>
        <v>A</v>
      </c>
      <c r="F105" s="2" t="str">
        <f t="shared" si="152"/>
        <v>Interior Started</v>
      </c>
      <c r="G105" s="2" t="str">
        <f t="shared" si="152"/>
        <v/>
      </c>
      <c r="H105" s="2" t="str">
        <f t="shared" si="152"/>
        <v/>
      </c>
      <c r="I105" s="2" t="str">
        <f t="shared" si="152"/>
        <v/>
      </c>
      <c r="J105" s="2" t="str">
        <f t="shared" si="152"/>
        <v/>
      </c>
      <c r="M105" s="180" t="str">
        <f>M104</f>
        <v/>
      </c>
      <c r="N105" s="2" t="str">
        <f t="shared" ref="N105" si="153">N104</f>
        <v/>
      </c>
      <c r="O105" s="2">
        <f>O104</f>
        <v>0</v>
      </c>
    </row>
    <row r="106" spans="1:15" x14ac:dyDescent="0.25">
      <c r="A106" s="325">
        <v>1</v>
      </c>
      <c r="B106" s="325">
        <f>TrialNumber</f>
        <v>0</v>
      </c>
      <c r="C106" s="325" t="s">
        <v>16</v>
      </c>
      <c r="D106" s="325">
        <f>Started!C27</f>
        <v>0</v>
      </c>
      <c r="E106" s="325" t="str">
        <f>IF(Started!B27="W","W","A")</f>
        <v>A</v>
      </c>
      <c r="F106" s="325" t="s">
        <v>1730</v>
      </c>
      <c r="G106" s="325" t="str">
        <f>IF(Started!O27="e","Y","")</f>
        <v/>
      </c>
      <c r="H106" s="325" t="str">
        <f>IFERROR(VLOOKUP($D106,'SDDA Dogs'!$A:$AE,2,FALSE),"")</f>
        <v/>
      </c>
      <c r="I106" s="325" t="str">
        <f>IFERROR(VLOOKUP($D106,'SDDA Dogs'!$A:$AE,3,FALSE),"")</f>
        <v/>
      </c>
      <c r="J106" s="325" t="str">
        <f>IFERROR(VLOOKUP($D106,'SDDA Dogs'!$A:$AE,6,FALSE),"")</f>
        <v/>
      </c>
      <c r="K106" s="325"/>
      <c r="L106" s="325"/>
      <c r="M106" s="326" t="str">
        <f>TrialDate</f>
        <v/>
      </c>
      <c r="N106" s="325" t="str">
        <f t="shared" ref="N106" si="154">N105</f>
        <v/>
      </c>
      <c r="O106" s="325">
        <f>JudgeD1ISS</f>
        <v>0</v>
      </c>
    </row>
    <row r="107" spans="1:15" x14ac:dyDescent="0.25">
      <c r="A107" s="2">
        <v>2</v>
      </c>
      <c r="B107" s="2">
        <f t="shared" ref="B107:J107" si="155">B106</f>
        <v>0</v>
      </c>
      <c r="C107" s="2" t="str">
        <f t="shared" si="155"/>
        <v>ISS</v>
      </c>
      <c r="D107" s="2">
        <f t="shared" si="155"/>
        <v>0</v>
      </c>
      <c r="E107" s="2" t="str">
        <f t="shared" si="155"/>
        <v>A</v>
      </c>
      <c r="F107" s="2" t="str">
        <f t="shared" si="155"/>
        <v>Interior Started</v>
      </c>
      <c r="G107" s="2" t="str">
        <f t="shared" si="155"/>
        <v/>
      </c>
      <c r="H107" s="2" t="str">
        <f t="shared" si="155"/>
        <v/>
      </c>
      <c r="I107" s="2" t="str">
        <f t="shared" si="155"/>
        <v/>
      </c>
      <c r="J107" s="2" t="str">
        <f t="shared" si="155"/>
        <v/>
      </c>
      <c r="M107" s="180" t="str">
        <f>M106</f>
        <v/>
      </c>
      <c r="N107" s="2" t="str">
        <f t="shared" ref="N107" si="156">N106</f>
        <v/>
      </c>
      <c r="O107" s="2">
        <f>O106</f>
        <v>0</v>
      </c>
    </row>
    <row r="108" spans="1:15" x14ac:dyDescent="0.25">
      <c r="A108" s="325">
        <v>1</v>
      </c>
      <c r="B108" s="325">
        <f>TrialNumber</f>
        <v>0</v>
      </c>
      <c r="C108" s="325" t="s">
        <v>16</v>
      </c>
      <c r="D108" s="325">
        <f>Started!C28</f>
        <v>0</v>
      </c>
      <c r="E108" s="325" t="str">
        <f>IF(Started!B28="W","W","A")</f>
        <v>A</v>
      </c>
      <c r="F108" s="325" t="s">
        <v>1730</v>
      </c>
      <c r="G108" s="325" t="str">
        <f>IF(Started!O28="e","Y","")</f>
        <v/>
      </c>
      <c r="H108" s="325" t="str">
        <f>IFERROR(VLOOKUP($D108,'SDDA Dogs'!$A:$AE,2,FALSE),"")</f>
        <v/>
      </c>
      <c r="I108" s="325" t="str">
        <f>IFERROR(VLOOKUP($D108,'SDDA Dogs'!$A:$AE,3,FALSE),"")</f>
        <v/>
      </c>
      <c r="J108" s="325" t="str">
        <f>IFERROR(VLOOKUP($D108,'SDDA Dogs'!$A:$AE,6,FALSE),"")</f>
        <v/>
      </c>
      <c r="K108" s="325"/>
      <c r="L108" s="325"/>
      <c r="M108" s="326" t="str">
        <f>TrialDate</f>
        <v/>
      </c>
      <c r="N108" s="325" t="str">
        <f t="shared" ref="N108" si="157">N107</f>
        <v/>
      </c>
      <c r="O108" s="325">
        <f>JudgeD1ISS</f>
        <v>0</v>
      </c>
    </row>
    <row r="109" spans="1:15" x14ac:dyDescent="0.25">
      <c r="A109" s="2">
        <v>2</v>
      </c>
      <c r="B109" s="2">
        <f t="shared" ref="B109:J109" si="158">B108</f>
        <v>0</v>
      </c>
      <c r="C109" s="2" t="str">
        <f t="shared" si="158"/>
        <v>ISS</v>
      </c>
      <c r="D109" s="2">
        <f t="shared" si="158"/>
        <v>0</v>
      </c>
      <c r="E109" s="2" t="str">
        <f t="shared" si="158"/>
        <v>A</v>
      </c>
      <c r="F109" s="2" t="str">
        <f t="shared" si="158"/>
        <v>Interior Started</v>
      </c>
      <c r="G109" s="2" t="str">
        <f t="shared" si="158"/>
        <v/>
      </c>
      <c r="H109" s="2" t="str">
        <f t="shared" si="158"/>
        <v/>
      </c>
      <c r="I109" s="2" t="str">
        <f t="shared" si="158"/>
        <v/>
      </c>
      <c r="J109" s="2" t="str">
        <f t="shared" si="158"/>
        <v/>
      </c>
      <c r="M109" s="180" t="str">
        <f>M108</f>
        <v/>
      </c>
      <c r="N109" s="2" t="str">
        <f t="shared" ref="N109" si="159">N108</f>
        <v/>
      </c>
      <c r="O109" s="2">
        <f>O108</f>
        <v>0</v>
      </c>
    </row>
    <row r="110" spans="1:15" x14ac:dyDescent="0.25">
      <c r="A110" s="325">
        <v>1</v>
      </c>
      <c r="B110" s="325">
        <f>TrialNumber</f>
        <v>0</v>
      </c>
      <c r="C110" s="325" t="s">
        <v>16</v>
      </c>
      <c r="D110" s="325">
        <f>Started!C29</f>
        <v>0</v>
      </c>
      <c r="E110" s="325" t="str">
        <f>IF(Started!B29="W","W","A")</f>
        <v>A</v>
      </c>
      <c r="F110" s="325" t="s">
        <v>1730</v>
      </c>
      <c r="G110" s="325" t="str">
        <f>IF(Started!O29="e","Y","")</f>
        <v/>
      </c>
      <c r="H110" s="325" t="str">
        <f>IFERROR(VLOOKUP($D110,'SDDA Dogs'!$A:$AE,2,FALSE),"")</f>
        <v/>
      </c>
      <c r="I110" s="325" t="str">
        <f>IFERROR(VLOOKUP($D110,'SDDA Dogs'!$A:$AE,3,FALSE),"")</f>
        <v/>
      </c>
      <c r="J110" s="325" t="str">
        <f>IFERROR(VLOOKUP($D110,'SDDA Dogs'!$A:$AE,6,FALSE),"")</f>
        <v/>
      </c>
      <c r="K110" s="325"/>
      <c r="L110" s="325"/>
      <c r="M110" s="326" t="str">
        <f>TrialDate</f>
        <v/>
      </c>
      <c r="N110" s="325" t="str">
        <f t="shared" ref="N110" si="160">N109</f>
        <v/>
      </c>
      <c r="O110" s="325">
        <f>JudgeD1ISS</f>
        <v>0</v>
      </c>
    </row>
    <row r="111" spans="1:15" x14ac:dyDescent="0.25">
      <c r="A111" s="2">
        <v>2</v>
      </c>
      <c r="B111" s="2">
        <f t="shared" ref="B111:J111" si="161">B110</f>
        <v>0</v>
      </c>
      <c r="C111" s="2" t="str">
        <f t="shared" si="161"/>
        <v>ISS</v>
      </c>
      <c r="D111" s="2">
        <f t="shared" si="161"/>
        <v>0</v>
      </c>
      <c r="E111" s="2" t="str">
        <f t="shared" si="161"/>
        <v>A</v>
      </c>
      <c r="F111" s="2" t="str">
        <f t="shared" si="161"/>
        <v>Interior Started</v>
      </c>
      <c r="G111" s="2" t="str">
        <f t="shared" si="161"/>
        <v/>
      </c>
      <c r="H111" s="2" t="str">
        <f t="shared" si="161"/>
        <v/>
      </c>
      <c r="I111" s="2" t="str">
        <f t="shared" si="161"/>
        <v/>
      </c>
      <c r="J111" s="2" t="str">
        <f t="shared" si="161"/>
        <v/>
      </c>
      <c r="M111" s="180" t="str">
        <f>M110</f>
        <v/>
      </c>
      <c r="N111" s="2" t="str">
        <f t="shared" ref="N111" si="162">N110</f>
        <v/>
      </c>
      <c r="O111" s="2">
        <f>O110</f>
        <v>0</v>
      </c>
    </row>
    <row r="112" spans="1:15" x14ac:dyDescent="0.25">
      <c r="A112" s="325">
        <v>1</v>
      </c>
      <c r="B112" s="325">
        <f>TrialNumber</f>
        <v>0</v>
      </c>
      <c r="C112" s="325" t="s">
        <v>16</v>
      </c>
      <c r="D112" s="325">
        <f>Started!C30</f>
        <v>0</v>
      </c>
      <c r="E112" s="325" t="str">
        <f>IF(Started!B30="W","W","A")</f>
        <v>A</v>
      </c>
      <c r="F112" s="325" t="s">
        <v>1730</v>
      </c>
      <c r="G112" s="325" t="str">
        <f>IF(Started!O30="e","Y","")</f>
        <v/>
      </c>
      <c r="H112" s="325" t="str">
        <f>IFERROR(VLOOKUP($D112,'SDDA Dogs'!$A:$AE,2,FALSE),"")</f>
        <v/>
      </c>
      <c r="I112" s="325" t="str">
        <f>IFERROR(VLOOKUP($D112,'SDDA Dogs'!$A:$AE,3,FALSE),"")</f>
        <v/>
      </c>
      <c r="J112" s="325" t="str">
        <f>IFERROR(VLOOKUP($D112,'SDDA Dogs'!$A:$AE,6,FALSE),"")</f>
        <v/>
      </c>
      <c r="K112" s="325"/>
      <c r="L112" s="325"/>
      <c r="M112" s="326" t="str">
        <f>TrialDate</f>
        <v/>
      </c>
      <c r="N112" s="325" t="str">
        <f t="shared" ref="N112" si="163">N111</f>
        <v/>
      </c>
      <c r="O112" s="325">
        <f>JudgeD1ISS</f>
        <v>0</v>
      </c>
    </row>
    <row r="113" spans="1:15" x14ac:dyDescent="0.25">
      <c r="A113" s="2">
        <v>2</v>
      </c>
      <c r="B113" s="2">
        <f t="shared" ref="B113:J113" si="164">B112</f>
        <v>0</v>
      </c>
      <c r="C113" s="2" t="str">
        <f t="shared" si="164"/>
        <v>ISS</v>
      </c>
      <c r="D113" s="2">
        <f t="shared" si="164"/>
        <v>0</v>
      </c>
      <c r="E113" s="2" t="str">
        <f t="shared" si="164"/>
        <v>A</v>
      </c>
      <c r="F113" s="2" t="str">
        <f t="shared" si="164"/>
        <v>Interior Started</v>
      </c>
      <c r="G113" s="2" t="str">
        <f t="shared" si="164"/>
        <v/>
      </c>
      <c r="H113" s="2" t="str">
        <f t="shared" si="164"/>
        <v/>
      </c>
      <c r="I113" s="2" t="str">
        <f t="shared" si="164"/>
        <v/>
      </c>
      <c r="J113" s="2" t="str">
        <f t="shared" si="164"/>
        <v/>
      </c>
      <c r="M113" s="180" t="str">
        <f>M112</f>
        <v/>
      </c>
      <c r="N113" s="2" t="str">
        <f t="shared" ref="N113" si="165">N112</f>
        <v/>
      </c>
      <c r="O113" s="2">
        <f>O112</f>
        <v>0</v>
      </c>
    </row>
    <row r="114" spans="1:15" x14ac:dyDescent="0.25">
      <c r="A114" s="325">
        <v>1</v>
      </c>
      <c r="B114" s="325">
        <f>TrialNumber</f>
        <v>0</v>
      </c>
      <c r="C114" s="325" t="s">
        <v>16</v>
      </c>
      <c r="D114" s="325">
        <f>Started!C31</f>
        <v>0</v>
      </c>
      <c r="E114" s="325" t="str">
        <f>IF(Started!B31="W","W","A")</f>
        <v>A</v>
      </c>
      <c r="F114" s="325" t="s">
        <v>1730</v>
      </c>
      <c r="G114" s="325" t="str">
        <f>IF(Started!O31="e","Y","")</f>
        <v/>
      </c>
      <c r="H114" s="325" t="str">
        <f>IFERROR(VLOOKUP($D114,'SDDA Dogs'!$A:$AE,2,FALSE),"")</f>
        <v/>
      </c>
      <c r="I114" s="325" t="str">
        <f>IFERROR(VLOOKUP($D114,'SDDA Dogs'!$A:$AE,3,FALSE),"")</f>
        <v/>
      </c>
      <c r="J114" s="325" t="str">
        <f>IFERROR(VLOOKUP($D114,'SDDA Dogs'!$A:$AE,6,FALSE),"")</f>
        <v/>
      </c>
      <c r="K114" s="325"/>
      <c r="L114" s="325"/>
      <c r="M114" s="326" t="str">
        <f>TrialDate</f>
        <v/>
      </c>
      <c r="N114" s="325" t="str">
        <f t="shared" ref="N114" si="166">N113</f>
        <v/>
      </c>
      <c r="O114" s="325">
        <f>JudgeD1ISS</f>
        <v>0</v>
      </c>
    </row>
    <row r="115" spans="1:15" x14ac:dyDescent="0.25">
      <c r="A115" s="2">
        <v>2</v>
      </c>
      <c r="B115" s="2">
        <f t="shared" ref="B115:J115" si="167">B114</f>
        <v>0</v>
      </c>
      <c r="C115" s="2" t="str">
        <f t="shared" si="167"/>
        <v>ISS</v>
      </c>
      <c r="D115" s="2">
        <f t="shared" si="167"/>
        <v>0</v>
      </c>
      <c r="E115" s="2" t="str">
        <f t="shared" si="167"/>
        <v>A</v>
      </c>
      <c r="F115" s="2" t="str">
        <f t="shared" si="167"/>
        <v>Interior Started</v>
      </c>
      <c r="G115" s="2" t="str">
        <f t="shared" si="167"/>
        <v/>
      </c>
      <c r="H115" s="2" t="str">
        <f t="shared" si="167"/>
        <v/>
      </c>
      <c r="I115" s="2" t="str">
        <f t="shared" si="167"/>
        <v/>
      </c>
      <c r="J115" s="2" t="str">
        <f t="shared" si="167"/>
        <v/>
      </c>
      <c r="M115" s="180" t="str">
        <f>M114</f>
        <v/>
      </c>
      <c r="N115" s="2" t="str">
        <f t="shared" ref="N115" si="168">N114</f>
        <v/>
      </c>
      <c r="O115" s="2">
        <f>O114</f>
        <v>0</v>
      </c>
    </row>
    <row r="116" spans="1:15" x14ac:dyDescent="0.25">
      <c r="A116" s="325">
        <v>1</v>
      </c>
      <c r="B116" s="325">
        <f>TrialNumber</f>
        <v>0</v>
      </c>
      <c r="C116" s="325" t="s">
        <v>16</v>
      </c>
      <c r="D116" s="325">
        <f>Started!C32</f>
        <v>0</v>
      </c>
      <c r="E116" s="325" t="str">
        <f>IF(Started!B32="W","W","A")</f>
        <v>A</v>
      </c>
      <c r="F116" s="325" t="s">
        <v>1730</v>
      </c>
      <c r="G116" s="325" t="str">
        <f>IF(Started!O32="e","Y","")</f>
        <v/>
      </c>
      <c r="H116" s="325" t="str">
        <f>IFERROR(VLOOKUP($D116,'SDDA Dogs'!$A:$AE,2,FALSE),"")</f>
        <v/>
      </c>
      <c r="I116" s="325" t="str">
        <f>IFERROR(VLOOKUP($D116,'SDDA Dogs'!$A:$AE,3,FALSE),"")</f>
        <v/>
      </c>
      <c r="J116" s="325" t="str">
        <f>IFERROR(VLOOKUP($D116,'SDDA Dogs'!$A:$AE,6,FALSE),"")</f>
        <v/>
      </c>
      <c r="K116" s="325"/>
      <c r="L116" s="325"/>
      <c r="M116" s="326" t="str">
        <f>TrialDate</f>
        <v/>
      </c>
      <c r="N116" s="325" t="str">
        <f t="shared" ref="N116" si="169">N115</f>
        <v/>
      </c>
      <c r="O116" s="325">
        <f>JudgeD1ISS</f>
        <v>0</v>
      </c>
    </row>
    <row r="117" spans="1:15" x14ac:dyDescent="0.25">
      <c r="A117" s="2">
        <v>2</v>
      </c>
      <c r="B117" s="2">
        <f t="shared" ref="B117:J117" si="170">B116</f>
        <v>0</v>
      </c>
      <c r="C117" s="2" t="str">
        <f t="shared" si="170"/>
        <v>ISS</v>
      </c>
      <c r="D117" s="2">
        <f t="shared" si="170"/>
        <v>0</v>
      </c>
      <c r="E117" s="2" t="str">
        <f t="shared" si="170"/>
        <v>A</v>
      </c>
      <c r="F117" s="2" t="str">
        <f t="shared" si="170"/>
        <v>Interior Started</v>
      </c>
      <c r="G117" s="2" t="str">
        <f t="shared" si="170"/>
        <v/>
      </c>
      <c r="H117" s="2" t="str">
        <f t="shared" si="170"/>
        <v/>
      </c>
      <c r="I117" s="2" t="str">
        <f t="shared" si="170"/>
        <v/>
      </c>
      <c r="J117" s="2" t="str">
        <f t="shared" si="170"/>
        <v/>
      </c>
      <c r="M117" s="180" t="str">
        <f>M116</f>
        <v/>
      </c>
      <c r="N117" s="2" t="str">
        <f t="shared" ref="N117" si="171">N116</f>
        <v/>
      </c>
      <c r="O117" s="2">
        <f>O116</f>
        <v>0</v>
      </c>
    </row>
    <row r="118" spans="1:15" x14ac:dyDescent="0.25">
      <c r="A118" s="325">
        <v>1</v>
      </c>
      <c r="B118" s="325">
        <f>TrialNumber</f>
        <v>0</v>
      </c>
      <c r="C118" s="325" t="s">
        <v>16</v>
      </c>
      <c r="D118" s="325">
        <f>Started!C33</f>
        <v>0</v>
      </c>
      <c r="E118" s="325" t="str">
        <f>IF(Started!B33="W","W","A")</f>
        <v>A</v>
      </c>
      <c r="F118" s="325" t="s">
        <v>1730</v>
      </c>
      <c r="G118" s="325" t="str">
        <f>IF(Started!O33="e","Y","")</f>
        <v/>
      </c>
      <c r="H118" s="325" t="str">
        <f>IFERROR(VLOOKUP($D118,'SDDA Dogs'!$A:$AE,2,FALSE),"")</f>
        <v/>
      </c>
      <c r="I118" s="325" t="str">
        <f>IFERROR(VLOOKUP($D118,'SDDA Dogs'!$A:$AE,3,FALSE),"")</f>
        <v/>
      </c>
      <c r="J118" s="325" t="str">
        <f>IFERROR(VLOOKUP($D118,'SDDA Dogs'!$A:$AE,6,FALSE),"")</f>
        <v/>
      </c>
      <c r="K118" s="325"/>
      <c r="L118" s="325"/>
      <c r="M118" s="326" t="str">
        <f>TrialDate</f>
        <v/>
      </c>
      <c r="N118" s="325" t="str">
        <f t="shared" ref="N118" si="172">N117</f>
        <v/>
      </c>
      <c r="O118" s="325">
        <f>JudgeD1ISS</f>
        <v>0</v>
      </c>
    </row>
    <row r="119" spans="1:15" x14ac:dyDescent="0.25">
      <c r="A119" s="2">
        <v>2</v>
      </c>
      <c r="B119" s="2">
        <f t="shared" ref="B119:J119" si="173">B118</f>
        <v>0</v>
      </c>
      <c r="C119" s="2" t="str">
        <f t="shared" si="173"/>
        <v>ISS</v>
      </c>
      <c r="D119" s="2">
        <f t="shared" si="173"/>
        <v>0</v>
      </c>
      <c r="E119" s="2" t="str">
        <f t="shared" si="173"/>
        <v>A</v>
      </c>
      <c r="F119" s="2" t="str">
        <f t="shared" si="173"/>
        <v>Interior Started</v>
      </c>
      <c r="G119" s="2" t="str">
        <f t="shared" si="173"/>
        <v/>
      </c>
      <c r="H119" s="2" t="str">
        <f t="shared" si="173"/>
        <v/>
      </c>
      <c r="I119" s="2" t="str">
        <f t="shared" si="173"/>
        <v/>
      </c>
      <c r="J119" s="2" t="str">
        <f t="shared" si="173"/>
        <v/>
      </c>
      <c r="M119" s="180" t="str">
        <f>M118</f>
        <v/>
      </c>
      <c r="N119" s="2" t="str">
        <f t="shared" ref="N119" si="174">N118</f>
        <v/>
      </c>
      <c r="O119" s="2">
        <f>O118</f>
        <v>0</v>
      </c>
    </row>
    <row r="120" spans="1:15" x14ac:dyDescent="0.25">
      <c r="A120" s="325">
        <v>1</v>
      </c>
      <c r="B120" s="325">
        <f>TrialNumber</f>
        <v>0</v>
      </c>
      <c r="C120" s="325" t="s">
        <v>16</v>
      </c>
      <c r="D120" s="325">
        <f>Started!C34</f>
        <v>0</v>
      </c>
      <c r="E120" s="325" t="str">
        <f>IF(Started!B34="W","W","A")</f>
        <v>A</v>
      </c>
      <c r="F120" s="325" t="s">
        <v>1730</v>
      </c>
      <c r="G120" s="325" t="str">
        <f>IF(Started!O34="e","Y","")</f>
        <v/>
      </c>
      <c r="H120" s="325" t="str">
        <f>IFERROR(VLOOKUP($D120,'SDDA Dogs'!$A:$AE,2,FALSE),"")</f>
        <v/>
      </c>
      <c r="I120" s="325" t="str">
        <f>IFERROR(VLOOKUP($D120,'SDDA Dogs'!$A:$AE,3,FALSE),"")</f>
        <v/>
      </c>
      <c r="J120" s="325" t="str">
        <f>IFERROR(VLOOKUP($D120,'SDDA Dogs'!$A:$AE,6,FALSE),"")</f>
        <v/>
      </c>
      <c r="K120" s="325"/>
      <c r="L120" s="325"/>
      <c r="M120" s="326" t="str">
        <f>TrialDate</f>
        <v/>
      </c>
      <c r="N120" s="325" t="str">
        <f t="shared" ref="N120" si="175">N119</f>
        <v/>
      </c>
      <c r="O120" s="325">
        <f>JudgeD1ISS</f>
        <v>0</v>
      </c>
    </row>
    <row r="121" spans="1:15" x14ac:dyDescent="0.25">
      <c r="A121" s="2">
        <v>2</v>
      </c>
      <c r="B121" s="2">
        <f t="shared" ref="B121:J121" si="176">B120</f>
        <v>0</v>
      </c>
      <c r="C121" s="2" t="str">
        <f t="shared" si="176"/>
        <v>ISS</v>
      </c>
      <c r="D121" s="2">
        <f t="shared" si="176"/>
        <v>0</v>
      </c>
      <c r="E121" s="2" t="str">
        <f t="shared" si="176"/>
        <v>A</v>
      </c>
      <c r="F121" s="2" t="str">
        <f t="shared" si="176"/>
        <v>Interior Started</v>
      </c>
      <c r="G121" s="2" t="str">
        <f t="shared" si="176"/>
        <v/>
      </c>
      <c r="H121" s="2" t="str">
        <f t="shared" si="176"/>
        <v/>
      </c>
      <c r="I121" s="2" t="str">
        <f t="shared" si="176"/>
        <v/>
      </c>
      <c r="J121" s="2" t="str">
        <f t="shared" si="176"/>
        <v/>
      </c>
      <c r="M121" s="180" t="str">
        <f>M120</f>
        <v/>
      </c>
      <c r="N121" s="2" t="str">
        <f t="shared" ref="N121" si="177">N120</f>
        <v/>
      </c>
      <c r="O121" s="2">
        <f>O120</f>
        <v>0</v>
      </c>
    </row>
    <row r="122" spans="1:15" s="149" customFormat="1" x14ac:dyDescent="0.25">
      <c r="A122" s="327">
        <v>1</v>
      </c>
      <c r="B122" s="327">
        <f>TrialNumber</f>
        <v>0</v>
      </c>
      <c r="C122" s="327" t="s">
        <v>17</v>
      </c>
      <c r="D122" s="327">
        <f>Started!C5</f>
        <v>0</v>
      </c>
      <c r="E122" s="327" t="str">
        <f>IF(Started!B5="W","W","A")</f>
        <v>A</v>
      </c>
      <c r="F122" s="327" t="s">
        <v>1736</v>
      </c>
      <c r="G122" s="327" t="str">
        <f>IF(Started!W5="e","Y","")</f>
        <v/>
      </c>
      <c r="H122" s="327" t="str">
        <f>IFERROR(VLOOKUP($D122,'SDDA Dogs'!$A:$AE,2,FALSE),"")</f>
        <v/>
      </c>
      <c r="I122" s="327" t="str">
        <f>IFERROR(VLOOKUP($D122,'SDDA Dogs'!$A:$AE,3,FALSE),"")</f>
        <v/>
      </c>
      <c r="J122" s="327" t="str">
        <f>IFERROR(VLOOKUP($D122,'SDDA Dogs'!$A:$AE,6,FALSE),"")</f>
        <v/>
      </c>
      <c r="K122" s="327"/>
      <c r="L122" s="327"/>
      <c r="M122" s="328" t="str">
        <f>TrialDate</f>
        <v/>
      </c>
      <c r="N122" s="325" t="str">
        <f t="shared" ref="N122" si="178">N121</f>
        <v/>
      </c>
      <c r="O122" s="327">
        <f>JudgeD1ESS</f>
        <v>0</v>
      </c>
    </row>
    <row r="123" spans="1:15" x14ac:dyDescent="0.25">
      <c r="A123" s="2">
        <v>2</v>
      </c>
      <c r="B123" s="2">
        <f t="shared" ref="B123:J123" si="179">B122</f>
        <v>0</v>
      </c>
      <c r="C123" s="2" t="str">
        <f t="shared" si="179"/>
        <v>ESS</v>
      </c>
      <c r="D123" s="2">
        <f t="shared" si="179"/>
        <v>0</v>
      </c>
      <c r="E123" s="2" t="str">
        <f t="shared" si="179"/>
        <v>A</v>
      </c>
      <c r="F123" s="2" t="str">
        <f t="shared" si="179"/>
        <v>Exterior Started</v>
      </c>
      <c r="G123" s="2" t="str">
        <f t="shared" si="179"/>
        <v/>
      </c>
      <c r="H123" s="2" t="str">
        <f t="shared" si="179"/>
        <v/>
      </c>
      <c r="I123" s="2" t="str">
        <f t="shared" si="179"/>
        <v/>
      </c>
      <c r="J123" s="2" t="str">
        <f t="shared" si="179"/>
        <v/>
      </c>
      <c r="M123" s="180" t="str">
        <f>M122</f>
        <v/>
      </c>
      <c r="N123" s="2" t="str">
        <f t="shared" ref="N123" si="180">N122</f>
        <v/>
      </c>
      <c r="O123" s="2">
        <f>O122</f>
        <v>0</v>
      </c>
    </row>
    <row r="124" spans="1:15" x14ac:dyDescent="0.25">
      <c r="A124" s="325">
        <v>1</v>
      </c>
      <c r="B124" s="325">
        <f>TrialNumber</f>
        <v>0</v>
      </c>
      <c r="C124" s="325" t="s">
        <v>17</v>
      </c>
      <c r="D124" s="325">
        <f>Started!C6</f>
        <v>0</v>
      </c>
      <c r="E124" s="325" t="str">
        <f>IF(Started!B6="W","W","A")</f>
        <v>A</v>
      </c>
      <c r="F124" s="325" t="s">
        <v>1736</v>
      </c>
      <c r="G124" s="325" t="str">
        <f>IF(Started!W6="e","Y","")</f>
        <v/>
      </c>
      <c r="H124" s="325" t="str">
        <f>IFERROR(VLOOKUP($D124,'SDDA Dogs'!$A:$AE,2,FALSE),"")</f>
        <v/>
      </c>
      <c r="I124" s="325" t="str">
        <f>IFERROR(VLOOKUP($D124,'SDDA Dogs'!$A:$AE,3,FALSE),"")</f>
        <v/>
      </c>
      <c r="J124" s="325" t="str">
        <f>IFERROR(VLOOKUP($D124,'SDDA Dogs'!$A:$AE,6,FALSE),"")</f>
        <v/>
      </c>
      <c r="K124" s="325"/>
      <c r="L124" s="325"/>
      <c r="M124" s="326" t="str">
        <f>TrialDate</f>
        <v/>
      </c>
      <c r="N124" s="325" t="str">
        <f t="shared" ref="N124" si="181">N123</f>
        <v/>
      </c>
      <c r="O124" s="325">
        <f>JudgeD1ESS</f>
        <v>0</v>
      </c>
    </row>
    <row r="125" spans="1:15" x14ac:dyDescent="0.25">
      <c r="A125" s="2">
        <v>2</v>
      </c>
      <c r="B125" s="2">
        <f t="shared" ref="B125:J125" si="182">B124</f>
        <v>0</v>
      </c>
      <c r="C125" s="2" t="str">
        <f t="shared" si="182"/>
        <v>ESS</v>
      </c>
      <c r="D125" s="2">
        <f t="shared" si="182"/>
        <v>0</v>
      </c>
      <c r="E125" s="2" t="str">
        <f t="shared" si="182"/>
        <v>A</v>
      </c>
      <c r="F125" s="2" t="str">
        <f t="shared" si="182"/>
        <v>Exterior Started</v>
      </c>
      <c r="G125" s="2" t="str">
        <f t="shared" si="182"/>
        <v/>
      </c>
      <c r="H125" s="2" t="str">
        <f t="shared" si="182"/>
        <v/>
      </c>
      <c r="I125" s="2" t="str">
        <f t="shared" si="182"/>
        <v/>
      </c>
      <c r="J125" s="2" t="str">
        <f t="shared" si="182"/>
        <v/>
      </c>
      <c r="M125" s="180" t="str">
        <f>M124</f>
        <v/>
      </c>
      <c r="N125" s="2" t="str">
        <f t="shared" ref="N125" si="183">N124</f>
        <v/>
      </c>
      <c r="O125" s="2">
        <f>O124</f>
        <v>0</v>
      </c>
    </row>
    <row r="126" spans="1:15" x14ac:dyDescent="0.25">
      <c r="A126" s="325">
        <v>1</v>
      </c>
      <c r="B126" s="325">
        <f>TrialNumber</f>
        <v>0</v>
      </c>
      <c r="C126" s="325" t="s">
        <v>17</v>
      </c>
      <c r="D126" s="325">
        <f>Started!C7</f>
        <v>0</v>
      </c>
      <c r="E126" s="325" t="str">
        <f>IF(Started!B7="W","W","A")</f>
        <v>A</v>
      </c>
      <c r="F126" s="325" t="s">
        <v>1736</v>
      </c>
      <c r="G126" s="325" t="str">
        <f>IF(Started!W7="e","Y","")</f>
        <v/>
      </c>
      <c r="H126" s="325" t="str">
        <f>IFERROR(VLOOKUP($D126,'SDDA Dogs'!$A:$AE,2,FALSE),"")</f>
        <v/>
      </c>
      <c r="I126" s="325" t="str">
        <f>IFERROR(VLOOKUP($D126,'SDDA Dogs'!$A:$AE,3,FALSE),"")</f>
        <v/>
      </c>
      <c r="J126" s="325" t="str">
        <f>IFERROR(VLOOKUP($D126,'SDDA Dogs'!$A:$AE,6,FALSE),"")</f>
        <v/>
      </c>
      <c r="K126" s="325"/>
      <c r="L126" s="325"/>
      <c r="M126" s="326" t="str">
        <f>TrialDate</f>
        <v/>
      </c>
      <c r="N126" s="325" t="str">
        <f t="shared" ref="N126" si="184">N125</f>
        <v/>
      </c>
      <c r="O126" s="325">
        <f>JudgeD1ESS</f>
        <v>0</v>
      </c>
    </row>
    <row r="127" spans="1:15" x14ac:dyDescent="0.25">
      <c r="A127" s="2">
        <v>2</v>
      </c>
      <c r="B127" s="2">
        <f t="shared" ref="B127:J127" si="185">B126</f>
        <v>0</v>
      </c>
      <c r="C127" s="2" t="str">
        <f t="shared" si="185"/>
        <v>ESS</v>
      </c>
      <c r="D127" s="2">
        <f t="shared" si="185"/>
        <v>0</v>
      </c>
      <c r="E127" s="2" t="str">
        <f t="shared" si="185"/>
        <v>A</v>
      </c>
      <c r="F127" s="2" t="str">
        <f t="shared" si="185"/>
        <v>Exterior Started</v>
      </c>
      <c r="G127" s="2" t="str">
        <f t="shared" si="185"/>
        <v/>
      </c>
      <c r="H127" s="2" t="str">
        <f t="shared" si="185"/>
        <v/>
      </c>
      <c r="I127" s="2" t="str">
        <f t="shared" si="185"/>
        <v/>
      </c>
      <c r="J127" s="2" t="str">
        <f t="shared" si="185"/>
        <v/>
      </c>
      <c r="M127" s="180" t="str">
        <f>M126</f>
        <v/>
      </c>
      <c r="N127" s="2" t="str">
        <f t="shared" ref="N127" si="186">N126</f>
        <v/>
      </c>
      <c r="O127" s="2">
        <f>O126</f>
        <v>0</v>
      </c>
    </row>
    <row r="128" spans="1:15" x14ac:dyDescent="0.25">
      <c r="A128" s="325">
        <v>1</v>
      </c>
      <c r="B128" s="325">
        <f>TrialNumber</f>
        <v>0</v>
      </c>
      <c r="C128" s="325" t="s">
        <v>17</v>
      </c>
      <c r="D128" s="325">
        <f>Started!C8</f>
        <v>0</v>
      </c>
      <c r="E128" s="325" t="str">
        <f>IF(Started!B8="W","W","A")</f>
        <v>A</v>
      </c>
      <c r="F128" s="325" t="s">
        <v>1736</v>
      </c>
      <c r="G128" s="325" t="str">
        <f>IF(Started!W8="e","Y","")</f>
        <v/>
      </c>
      <c r="H128" s="325" t="str">
        <f>IFERROR(VLOOKUP($D128,'SDDA Dogs'!$A:$AE,2,FALSE),"")</f>
        <v/>
      </c>
      <c r="I128" s="325" t="str">
        <f>IFERROR(VLOOKUP($D128,'SDDA Dogs'!$A:$AE,3,FALSE),"")</f>
        <v/>
      </c>
      <c r="J128" s="325" t="str">
        <f>IFERROR(VLOOKUP($D128,'SDDA Dogs'!$A:$AE,6,FALSE),"")</f>
        <v/>
      </c>
      <c r="K128" s="325"/>
      <c r="L128" s="325"/>
      <c r="M128" s="326" t="str">
        <f>TrialDate</f>
        <v/>
      </c>
      <c r="N128" s="325" t="str">
        <f t="shared" ref="N128" si="187">N127</f>
        <v/>
      </c>
      <c r="O128" s="325">
        <f>JudgeD1ESS</f>
        <v>0</v>
      </c>
    </row>
    <row r="129" spans="1:15" x14ac:dyDescent="0.25">
      <c r="A129" s="2">
        <v>2</v>
      </c>
      <c r="B129" s="2">
        <f t="shared" ref="B129:J129" si="188">B128</f>
        <v>0</v>
      </c>
      <c r="C129" s="2" t="str">
        <f t="shared" si="188"/>
        <v>ESS</v>
      </c>
      <c r="D129" s="2">
        <f t="shared" si="188"/>
        <v>0</v>
      </c>
      <c r="E129" s="2" t="str">
        <f t="shared" si="188"/>
        <v>A</v>
      </c>
      <c r="F129" s="2" t="str">
        <f t="shared" si="188"/>
        <v>Exterior Started</v>
      </c>
      <c r="G129" s="2" t="str">
        <f t="shared" si="188"/>
        <v/>
      </c>
      <c r="H129" s="2" t="str">
        <f t="shared" si="188"/>
        <v/>
      </c>
      <c r="I129" s="2" t="str">
        <f t="shared" si="188"/>
        <v/>
      </c>
      <c r="J129" s="2" t="str">
        <f t="shared" si="188"/>
        <v/>
      </c>
      <c r="M129" s="180" t="str">
        <f>M128</f>
        <v/>
      </c>
      <c r="N129" s="2" t="str">
        <f t="shared" ref="N129" si="189">N128</f>
        <v/>
      </c>
      <c r="O129" s="2">
        <f>O128</f>
        <v>0</v>
      </c>
    </row>
    <row r="130" spans="1:15" x14ac:dyDescent="0.25">
      <c r="A130" s="325">
        <v>1</v>
      </c>
      <c r="B130" s="325">
        <f>TrialNumber</f>
        <v>0</v>
      </c>
      <c r="C130" s="325" t="s">
        <v>17</v>
      </c>
      <c r="D130" s="325">
        <f>Started!C9</f>
        <v>0</v>
      </c>
      <c r="E130" s="325" t="str">
        <f>IF(Started!B9="W","W","A")</f>
        <v>A</v>
      </c>
      <c r="F130" s="325" t="s">
        <v>1736</v>
      </c>
      <c r="G130" s="325" t="str">
        <f>IF(Started!W9="e","Y","")</f>
        <v/>
      </c>
      <c r="H130" s="325" t="str">
        <f>IFERROR(VLOOKUP($D130,'SDDA Dogs'!$A:$AE,2,FALSE),"")</f>
        <v/>
      </c>
      <c r="I130" s="325" t="str">
        <f>IFERROR(VLOOKUP($D130,'SDDA Dogs'!$A:$AE,3,FALSE),"")</f>
        <v/>
      </c>
      <c r="J130" s="325" t="str">
        <f>IFERROR(VLOOKUP($D130,'SDDA Dogs'!$A:$AE,6,FALSE),"")</f>
        <v/>
      </c>
      <c r="K130" s="325"/>
      <c r="L130" s="325"/>
      <c r="M130" s="326" t="str">
        <f>TrialDate</f>
        <v/>
      </c>
      <c r="N130" s="325" t="str">
        <f t="shared" ref="N130" si="190">N129</f>
        <v/>
      </c>
      <c r="O130" s="325">
        <f>JudgeD1ESS</f>
        <v>0</v>
      </c>
    </row>
    <row r="131" spans="1:15" x14ac:dyDescent="0.25">
      <c r="A131" s="2">
        <v>2</v>
      </c>
      <c r="B131" s="2">
        <f t="shared" ref="B131:J131" si="191">B130</f>
        <v>0</v>
      </c>
      <c r="C131" s="2" t="str">
        <f t="shared" si="191"/>
        <v>ESS</v>
      </c>
      <c r="D131" s="2">
        <f t="shared" si="191"/>
        <v>0</v>
      </c>
      <c r="E131" s="2" t="str">
        <f t="shared" si="191"/>
        <v>A</v>
      </c>
      <c r="F131" s="2" t="str">
        <f t="shared" si="191"/>
        <v>Exterior Started</v>
      </c>
      <c r="G131" s="2" t="str">
        <f t="shared" si="191"/>
        <v/>
      </c>
      <c r="H131" s="2" t="str">
        <f t="shared" si="191"/>
        <v/>
      </c>
      <c r="I131" s="2" t="str">
        <f t="shared" si="191"/>
        <v/>
      </c>
      <c r="J131" s="2" t="str">
        <f t="shared" si="191"/>
        <v/>
      </c>
      <c r="M131" s="180" t="str">
        <f>M130</f>
        <v/>
      </c>
      <c r="N131" s="2" t="str">
        <f t="shared" ref="N131" si="192">N130</f>
        <v/>
      </c>
      <c r="O131" s="2">
        <f>O130</f>
        <v>0</v>
      </c>
    </row>
    <row r="132" spans="1:15" x14ac:dyDescent="0.25">
      <c r="A132" s="325">
        <v>1</v>
      </c>
      <c r="B132" s="325">
        <f>TrialNumber</f>
        <v>0</v>
      </c>
      <c r="C132" s="325" t="s">
        <v>17</v>
      </c>
      <c r="D132" s="325">
        <f>Started!C10</f>
        <v>0</v>
      </c>
      <c r="E132" s="325" t="str">
        <f>IF(Started!B10="W","W","A")</f>
        <v>A</v>
      </c>
      <c r="F132" s="325" t="s">
        <v>1736</v>
      </c>
      <c r="G132" s="325" t="str">
        <f>IF(Started!W10="e","Y","")</f>
        <v/>
      </c>
      <c r="H132" s="325" t="str">
        <f>IFERROR(VLOOKUP($D132,'SDDA Dogs'!$A:$AE,2,FALSE),"")</f>
        <v/>
      </c>
      <c r="I132" s="325" t="str">
        <f>IFERROR(VLOOKUP($D132,'SDDA Dogs'!$A:$AE,3,FALSE),"")</f>
        <v/>
      </c>
      <c r="J132" s="325" t="str">
        <f>IFERROR(VLOOKUP($D132,'SDDA Dogs'!$A:$AE,6,FALSE),"")</f>
        <v/>
      </c>
      <c r="K132" s="325"/>
      <c r="L132" s="325"/>
      <c r="M132" s="326" t="str">
        <f>TrialDate</f>
        <v/>
      </c>
      <c r="N132" s="325" t="str">
        <f t="shared" ref="N132" si="193">N131</f>
        <v/>
      </c>
      <c r="O132" s="325">
        <f>JudgeD1ESS</f>
        <v>0</v>
      </c>
    </row>
    <row r="133" spans="1:15" x14ac:dyDescent="0.25">
      <c r="A133" s="2">
        <v>2</v>
      </c>
      <c r="B133" s="2">
        <f t="shared" ref="B133:J133" si="194">B132</f>
        <v>0</v>
      </c>
      <c r="C133" s="2" t="str">
        <f t="shared" si="194"/>
        <v>ESS</v>
      </c>
      <c r="D133" s="2">
        <f t="shared" si="194"/>
        <v>0</v>
      </c>
      <c r="E133" s="2" t="str">
        <f t="shared" si="194"/>
        <v>A</v>
      </c>
      <c r="F133" s="2" t="str">
        <f t="shared" si="194"/>
        <v>Exterior Started</v>
      </c>
      <c r="G133" s="2" t="str">
        <f t="shared" si="194"/>
        <v/>
      </c>
      <c r="H133" s="2" t="str">
        <f t="shared" si="194"/>
        <v/>
      </c>
      <c r="I133" s="2" t="str">
        <f t="shared" si="194"/>
        <v/>
      </c>
      <c r="J133" s="2" t="str">
        <f t="shared" si="194"/>
        <v/>
      </c>
      <c r="M133" s="180" t="str">
        <f>M132</f>
        <v/>
      </c>
      <c r="N133" s="2" t="str">
        <f t="shared" ref="N133" si="195">N132</f>
        <v/>
      </c>
      <c r="O133" s="2">
        <f>O132</f>
        <v>0</v>
      </c>
    </row>
    <row r="134" spans="1:15" x14ac:dyDescent="0.25">
      <c r="A134" s="325">
        <v>1</v>
      </c>
      <c r="B134" s="325">
        <f>TrialNumber</f>
        <v>0</v>
      </c>
      <c r="C134" s="325" t="s">
        <v>17</v>
      </c>
      <c r="D134" s="325">
        <f>Started!C11</f>
        <v>0</v>
      </c>
      <c r="E134" s="325" t="str">
        <f>IF(Started!B11="W","W","A")</f>
        <v>A</v>
      </c>
      <c r="F134" s="325" t="s">
        <v>1736</v>
      </c>
      <c r="G134" s="325" t="str">
        <f>IF(Started!W11="e","Y","")</f>
        <v/>
      </c>
      <c r="H134" s="325" t="str">
        <f>IFERROR(VLOOKUP($D134,'SDDA Dogs'!$A:$AE,2,FALSE),"")</f>
        <v/>
      </c>
      <c r="I134" s="325" t="str">
        <f>IFERROR(VLOOKUP($D134,'SDDA Dogs'!$A:$AE,3,FALSE),"")</f>
        <v/>
      </c>
      <c r="J134" s="325" t="str">
        <f>IFERROR(VLOOKUP($D134,'SDDA Dogs'!$A:$AE,6,FALSE),"")</f>
        <v/>
      </c>
      <c r="K134" s="325"/>
      <c r="L134" s="325"/>
      <c r="M134" s="326" t="str">
        <f>TrialDate</f>
        <v/>
      </c>
      <c r="N134" s="325" t="str">
        <f t="shared" ref="N134" si="196">N133</f>
        <v/>
      </c>
      <c r="O134" s="325">
        <f>JudgeD1ESS</f>
        <v>0</v>
      </c>
    </row>
    <row r="135" spans="1:15" x14ac:dyDescent="0.25">
      <c r="A135" s="2">
        <v>2</v>
      </c>
      <c r="B135" s="2">
        <f t="shared" ref="B135:J135" si="197">B134</f>
        <v>0</v>
      </c>
      <c r="C135" s="2" t="str">
        <f t="shared" si="197"/>
        <v>ESS</v>
      </c>
      <c r="D135" s="2">
        <f t="shared" si="197"/>
        <v>0</v>
      </c>
      <c r="E135" s="2" t="str">
        <f t="shared" si="197"/>
        <v>A</v>
      </c>
      <c r="F135" s="2" t="str">
        <f t="shared" si="197"/>
        <v>Exterior Started</v>
      </c>
      <c r="G135" s="2" t="str">
        <f t="shared" si="197"/>
        <v/>
      </c>
      <c r="H135" s="2" t="str">
        <f t="shared" si="197"/>
        <v/>
      </c>
      <c r="I135" s="2" t="str">
        <f t="shared" si="197"/>
        <v/>
      </c>
      <c r="J135" s="2" t="str">
        <f t="shared" si="197"/>
        <v/>
      </c>
      <c r="M135" s="180" t="str">
        <f>M134</f>
        <v/>
      </c>
      <c r="N135" s="2" t="str">
        <f t="shared" ref="N135" si="198">N134</f>
        <v/>
      </c>
      <c r="O135" s="2">
        <f>O134</f>
        <v>0</v>
      </c>
    </row>
    <row r="136" spans="1:15" x14ac:dyDescent="0.25">
      <c r="A136" s="325">
        <v>1</v>
      </c>
      <c r="B136" s="325">
        <f>TrialNumber</f>
        <v>0</v>
      </c>
      <c r="C136" s="325" t="s">
        <v>17</v>
      </c>
      <c r="D136" s="325">
        <f>Started!C12</f>
        <v>0</v>
      </c>
      <c r="E136" s="325" t="str">
        <f>IF(Started!B12="W","W","A")</f>
        <v>A</v>
      </c>
      <c r="F136" s="325" t="s">
        <v>1736</v>
      </c>
      <c r="G136" s="325" t="str">
        <f>IF(Started!W12="e","Y","")</f>
        <v/>
      </c>
      <c r="H136" s="325" t="str">
        <f>IFERROR(VLOOKUP($D136,'SDDA Dogs'!$A:$AE,2,FALSE),"")</f>
        <v/>
      </c>
      <c r="I136" s="325" t="str">
        <f>IFERROR(VLOOKUP($D136,'SDDA Dogs'!$A:$AE,3,FALSE),"")</f>
        <v/>
      </c>
      <c r="J136" s="325" t="str">
        <f>IFERROR(VLOOKUP($D136,'SDDA Dogs'!$A:$AE,6,FALSE),"")</f>
        <v/>
      </c>
      <c r="K136" s="325"/>
      <c r="L136" s="325"/>
      <c r="M136" s="326" t="str">
        <f>TrialDate</f>
        <v/>
      </c>
      <c r="N136" s="325" t="str">
        <f t="shared" ref="N136" si="199">N135</f>
        <v/>
      </c>
      <c r="O136" s="325">
        <f>JudgeD1ESS</f>
        <v>0</v>
      </c>
    </row>
    <row r="137" spans="1:15" x14ac:dyDescent="0.25">
      <c r="A137" s="2">
        <v>2</v>
      </c>
      <c r="B137" s="2">
        <f t="shared" ref="B137:J137" si="200">B136</f>
        <v>0</v>
      </c>
      <c r="C137" s="2" t="str">
        <f t="shared" si="200"/>
        <v>ESS</v>
      </c>
      <c r="D137" s="2">
        <f t="shared" si="200"/>
        <v>0</v>
      </c>
      <c r="E137" s="2" t="str">
        <f t="shared" si="200"/>
        <v>A</v>
      </c>
      <c r="F137" s="2" t="str">
        <f t="shared" si="200"/>
        <v>Exterior Started</v>
      </c>
      <c r="G137" s="2" t="str">
        <f t="shared" si="200"/>
        <v/>
      </c>
      <c r="H137" s="2" t="str">
        <f t="shared" si="200"/>
        <v/>
      </c>
      <c r="I137" s="2" t="str">
        <f t="shared" si="200"/>
        <v/>
      </c>
      <c r="J137" s="2" t="str">
        <f t="shared" si="200"/>
        <v/>
      </c>
      <c r="M137" s="180" t="str">
        <f>M136</f>
        <v/>
      </c>
      <c r="N137" s="2" t="str">
        <f t="shared" ref="N137" si="201">N136</f>
        <v/>
      </c>
      <c r="O137" s="2">
        <f>O136</f>
        <v>0</v>
      </c>
    </row>
    <row r="138" spans="1:15" x14ac:dyDescent="0.25">
      <c r="A138" s="325">
        <v>1</v>
      </c>
      <c r="B138" s="325">
        <f>TrialNumber</f>
        <v>0</v>
      </c>
      <c r="C138" s="325" t="s">
        <v>17</v>
      </c>
      <c r="D138" s="325">
        <f>Started!C13</f>
        <v>0</v>
      </c>
      <c r="E138" s="325" t="str">
        <f>IF(Started!B13="W","W","A")</f>
        <v>A</v>
      </c>
      <c r="F138" s="325" t="s">
        <v>1736</v>
      </c>
      <c r="G138" s="325" t="str">
        <f>IF(Started!W13="e","Y","")</f>
        <v/>
      </c>
      <c r="H138" s="325" t="str">
        <f>IFERROR(VLOOKUP($D138,'SDDA Dogs'!$A:$AE,2,FALSE),"")</f>
        <v/>
      </c>
      <c r="I138" s="325" t="str">
        <f>IFERROR(VLOOKUP($D138,'SDDA Dogs'!$A:$AE,3,FALSE),"")</f>
        <v/>
      </c>
      <c r="J138" s="325" t="str">
        <f>IFERROR(VLOOKUP($D138,'SDDA Dogs'!$A:$AE,6,FALSE),"")</f>
        <v/>
      </c>
      <c r="K138" s="325"/>
      <c r="L138" s="325"/>
      <c r="M138" s="326" t="str">
        <f>TrialDate</f>
        <v/>
      </c>
      <c r="N138" s="325" t="str">
        <f t="shared" ref="N138" si="202">N137</f>
        <v/>
      </c>
      <c r="O138" s="325">
        <f>JudgeD1ESS</f>
        <v>0</v>
      </c>
    </row>
    <row r="139" spans="1:15" x14ac:dyDescent="0.25">
      <c r="A139" s="2">
        <v>2</v>
      </c>
      <c r="B139" s="2">
        <f t="shared" ref="B139:J139" si="203">B138</f>
        <v>0</v>
      </c>
      <c r="C139" s="2" t="str">
        <f t="shared" si="203"/>
        <v>ESS</v>
      </c>
      <c r="D139" s="2">
        <f t="shared" si="203"/>
        <v>0</v>
      </c>
      <c r="E139" s="2" t="str">
        <f t="shared" si="203"/>
        <v>A</v>
      </c>
      <c r="F139" s="2" t="str">
        <f t="shared" si="203"/>
        <v>Exterior Started</v>
      </c>
      <c r="G139" s="2" t="str">
        <f t="shared" si="203"/>
        <v/>
      </c>
      <c r="H139" s="2" t="str">
        <f t="shared" si="203"/>
        <v/>
      </c>
      <c r="I139" s="2" t="str">
        <f t="shared" si="203"/>
        <v/>
      </c>
      <c r="J139" s="2" t="str">
        <f t="shared" si="203"/>
        <v/>
      </c>
      <c r="M139" s="180" t="str">
        <f>M138</f>
        <v/>
      </c>
      <c r="N139" s="2" t="str">
        <f t="shared" ref="N139" si="204">N138</f>
        <v/>
      </c>
      <c r="O139" s="2">
        <f>O138</f>
        <v>0</v>
      </c>
    </row>
    <row r="140" spans="1:15" x14ac:dyDescent="0.25">
      <c r="A140" s="325">
        <v>1</v>
      </c>
      <c r="B140" s="325">
        <f>TrialNumber</f>
        <v>0</v>
      </c>
      <c r="C140" s="325" t="s">
        <v>17</v>
      </c>
      <c r="D140" s="325">
        <f>Started!C14</f>
        <v>0</v>
      </c>
      <c r="E140" s="325" t="str">
        <f>IF(Started!B14="W","W","A")</f>
        <v>A</v>
      </c>
      <c r="F140" s="325" t="s">
        <v>1736</v>
      </c>
      <c r="G140" s="325" t="str">
        <f>IF(Started!W14="e","Y","")</f>
        <v/>
      </c>
      <c r="H140" s="325" t="str">
        <f>IFERROR(VLOOKUP($D140,'SDDA Dogs'!$A:$AE,2,FALSE),"")</f>
        <v/>
      </c>
      <c r="I140" s="325" t="str">
        <f>IFERROR(VLOOKUP($D140,'SDDA Dogs'!$A:$AE,3,FALSE),"")</f>
        <v/>
      </c>
      <c r="J140" s="325" t="str">
        <f>IFERROR(VLOOKUP($D140,'SDDA Dogs'!$A:$AE,6,FALSE),"")</f>
        <v/>
      </c>
      <c r="K140" s="325"/>
      <c r="L140" s="325"/>
      <c r="M140" s="326" t="str">
        <f>TrialDate</f>
        <v/>
      </c>
      <c r="N140" s="325" t="str">
        <f t="shared" ref="N140" si="205">N139</f>
        <v/>
      </c>
      <c r="O140" s="325">
        <f>JudgeD1ESS</f>
        <v>0</v>
      </c>
    </row>
    <row r="141" spans="1:15" x14ac:dyDescent="0.25">
      <c r="A141" s="2">
        <v>2</v>
      </c>
      <c r="B141" s="2">
        <f t="shared" ref="B141:J141" si="206">B140</f>
        <v>0</v>
      </c>
      <c r="C141" s="2" t="str">
        <f t="shared" si="206"/>
        <v>ESS</v>
      </c>
      <c r="D141" s="2">
        <f t="shared" si="206"/>
        <v>0</v>
      </c>
      <c r="E141" s="2" t="str">
        <f t="shared" si="206"/>
        <v>A</v>
      </c>
      <c r="F141" s="2" t="str">
        <f t="shared" si="206"/>
        <v>Exterior Started</v>
      </c>
      <c r="G141" s="2" t="str">
        <f t="shared" si="206"/>
        <v/>
      </c>
      <c r="H141" s="2" t="str">
        <f t="shared" si="206"/>
        <v/>
      </c>
      <c r="I141" s="2" t="str">
        <f t="shared" si="206"/>
        <v/>
      </c>
      <c r="J141" s="2" t="str">
        <f t="shared" si="206"/>
        <v/>
      </c>
      <c r="M141" s="180" t="str">
        <f>M140</f>
        <v/>
      </c>
      <c r="N141" s="2" t="str">
        <f t="shared" ref="N141" si="207">N140</f>
        <v/>
      </c>
      <c r="O141" s="2">
        <f>O140</f>
        <v>0</v>
      </c>
    </row>
    <row r="142" spans="1:15" x14ac:dyDescent="0.25">
      <c r="A142" s="325">
        <v>1</v>
      </c>
      <c r="B142" s="325">
        <f>TrialNumber</f>
        <v>0</v>
      </c>
      <c r="C142" s="325" t="s">
        <v>17</v>
      </c>
      <c r="D142" s="325">
        <f>Started!C15</f>
        <v>0</v>
      </c>
      <c r="E142" s="325" t="str">
        <f>IF(Started!B15="W","W","A")</f>
        <v>A</v>
      </c>
      <c r="F142" s="325" t="s">
        <v>1736</v>
      </c>
      <c r="G142" s="325" t="str">
        <f>IF(Started!W15="e","Y","")</f>
        <v/>
      </c>
      <c r="H142" s="325" t="str">
        <f>IFERROR(VLOOKUP($D142,'SDDA Dogs'!$A:$AE,2,FALSE),"")</f>
        <v/>
      </c>
      <c r="I142" s="325" t="str">
        <f>IFERROR(VLOOKUP($D142,'SDDA Dogs'!$A:$AE,3,FALSE),"")</f>
        <v/>
      </c>
      <c r="J142" s="325" t="str">
        <f>IFERROR(VLOOKUP($D142,'SDDA Dogs'!$A:$AE,6,FALSE),"")</f>
        <v/>
      </c>
      <c r="K142" s="325"/>
      <c r="L142" s="325"/>
      <c r="M142" s="326" t="str">
        <f>TrialDate</f>
        <v/>
      </c>
      <c r="N142" s="325" t="str">
        <f t="shared" ref="N142" si="208">N141</f>
        <v/>
      </c>
      <c r="O142" s="325">
        <f>JudgeD1ESS</f>
        <v>0</v>
      </c>
    </row>
    <row r="143" spans="1:15" x14ac:dyDescent="0.25">
      <c r="A143" s="2">
        <v>2</v>
      </c>
      <c r="B143" s="2">
        <f t="shared" ref="B143:J143" si="209">B142</f>
        <v>0</v>
      </c>
      <c r="C143" s="2" t="str">
        <f t="shared" si="209"/>
        <v>ESS</v>
      </c>
      <c r="D143" s="2">
        <f t="shared" si="209"/>
        <v>0</v>
      </c>
      <c r="E143" s="2" t="str">
        <f t="shared" si="209"/>
        <v>A</v>
      </c>
      <c r="F143" s="2" t="str">
        <f t="shared" si="209"/>
        <v>Exterior Started</v>
      </c>
      <c r="G143" s="2" t="str">
        <f t="shared" si="209"/>
        <v/>
      </c>
      <c r="H143" s="2" t="str">
        <f t="shared" si="209"/>
        <v/>
      </c>
      <c r="I143" s="2" t="str">
        <f t="shared" si="209"/>
        <v/>
      </c>
      <c r="J143" s="2" t="str">
        <f t="shared" si="209"/>
        <v/>
      </c>
      <c r="M143" s="180" t="str">
        <f>M142</f>
        <v/>
      </c>
      <c r="N143" s="2" t="str">
        <f t="shared" ref="N143" si="210">N142</f>
        <v/>
      </c>
      <c r="O143" s="2">
        <f>O142</f>
        <v>0</v>
      </c>
    </row>
    <row r="144" spans="1:15" x14ac:dyDescent="0.25">
      <c r="A144" s="325">
        <v>1</v>
      </c>
      <c r="B144" s="325">
        <f>TrialNumber</f>
        <v>0</v>
      </c>
      <c r="C144" s="325" t="s">
        <v>17</v>
      </c>
      <c r="D144" s="325">
        <f>Started!C16</f>
        <v>0</v>
      </c>
      <c r="E144" s="325" t="str">
        <f>IF(Started!B16="W","W","A")</f>
        <v>A</v>
      </c>
      <c r="F144" s="325" t="s">
        <v>1736</v>
      </c>
      <c r="G144" s="325" t="str">
        <f>IF(Started!W16="e","Y","")</f>
        <v/>
      </c>
      <c r="H144" s="325" t="str">
        <f>IFERROR(VLOOKUP($D144,'SDDA Dogs'!$A:$AE,2,FALSE),"")</f>
        <v/>
      </c>
      <c r="I144" s="325" t="str">
        <f>IFERROR(VLOOKUP($D144,'SDDA Dogs'!$A:$AE,3,FALSE),"")</f>
        <v/>
      </c>
      <c r="J144" s="325" t="str">
        <f>IFERROR(VLOOKUP($D144,'SDDA Dogs'!$A:$AE,6,FALSE),"")</f>
        <v/>
      </c>
      <c r="K144" s="325"/>
      <c r="L144" s="325"/>
      <c r="M144" s="326" t="str">
        <f>TrialDate</f>
        <v/>
      </c>
      <c r="N144" s="325" t="str">
        <f t="shared" ref="N144" si="211">N143</f>
        <v/>
      </c>
      <c r="O144" s="325">
        <f>JudgeD1ESS</f>
        <v>0</v>
      </c>
    </row>
    <row r="145" spans="1:15" x14ac:dyDescent="0.25">
      <c r="A145" s="2">
        <v>2</v>
      </c>
      <c r="B145" s="2">
        <f t="shared" ref="B145:J145" si="212">B144</f>
        <v>0</v>
      </c>
      <c r="C145" s="2" t="str">
        <f t="shared" si="212"/>
        <v>ESS</v>
      </c>
      <c r="D145" s="2">
        <f t="shared" si="212"/>
        <v>0</v>
      </c>
      <c r="E145" s="2" t="str">
        <f t="shared" si="212"/>
        <v>A</v>
      </c>
      <c r="F145" s="2" t="str">
        <f t="shared" si="212"/>
        <v>Exterior Started</v>
      </c>
      <c r="G145" s="2" t="str">
        <f t="shared" si="212"/>
        <v/>
      </c>
      <c r="H145" s="2" t="str">
        <f t="shared" si="212"/>
        <v/>
      </c>
      <c r="I145" s="2" t="str">
        <f t="shared" si="212"/>
        <v/>
      </c>
      <c r="J145" s="2" t="str">
        <f t="shared" si="212"/>
        <v/>
      </c>
      <c r="M145" s="180" t="str">
        <f>M144</f>
        <v/>
      </c>
      <c r="N145" s="2" t="str">
        <f t="shared" ref="N145" si="213">N144</f>
        <v/>
      </c>
      <c r="O145" s="2">
        <f>O144</f>
        <v>0</v>
      </c>
    </row>
    <row r="146" spans="1:15" x14ac:dyDescent="0.25">
      <c r="A146" s="325">
        <v>1</v>
      </c>
      <c r="B146" s="325">
        <f>TrialNumber</f>
        <v>0</v>
      </c>
      <c r="C146" s="325" t="s">
        <v>17</v>
      </c>
      <c r="D146" s="325">
        <f>Started!C17</f>
        <v>0</v>
      </c>
      <c r="E146" s="325" t="str">
        <f>IF(Started!B17="W","W","A")</f>
        <v>A</v>
      </c>
      <c r="F146" s="325" t="s">
        <v>1736</v>
      </c>
      <c r="G146" s="325" t="str">
        <f>IF(Started!W17="e","Y","")</f>
        <v/>
      </c>
      <c r="H146" s="325" t="str">
        <f>IFERROR(VLOOKUP($D146,'SDDA Dogs'!$A:$AE,2,FALSE),"")</f>
        <v/>
      </c>
      <c r="I146" s="325" t="str">
        <f>IFERROR(VLOOKUP($D146,'SDDA Dogs'!$A:$AE,3,FALSE),"")</f>
        <v/>
      </c>
      <c r="J146" s="325" t="str">
        <f>IFERROR(VLOOKUP($D146,'SDDA Dogs'!$A:$AE,6,FALSE),"")</f>
        <v/>
      </c>
      <c r="K146" s="325"/>
      <c r="L146" s="325"/>
      <c r="M146" s="326" t="str">
        <f>TrialDate</f>
        <v/>
      </c>
      <c r="N146" s="325" t="str">
        <f t="shared" ref="N146" si="214">N145</f>
        <v/>
      </c>
      <c r="O146" s="325">
        <f>JudgeD1ESS</f>
        <v>0</v>
      </c>
    </row>
    <row r="147" spans="1:15" x14ac:dyDescent="0.25">
      <c r="A147" s="2">
        <v>2</v>
      </c>
      <c r="B147" s="2">
        <f t="shared" ref="B147:J147" si="215">B146</f>
        <v>0</v>
      </c>
      <c r="C147" s="2" t="str">
        <f t="shared" si="215"/>
        <v>ESS</v>
      </c>
      <c r="D147" s="2">
        <f t="shared" si="215"/>
        <v>0</v>
      </c>
      <c r="E147" s="2" t="str">
        <f t="shared" si="215"/>
        <v>A</v>
      </c>
      <c r="F147" s="2" t="str">
        <f t="shared" si="215"/>
        <v>Exterior Started</v>
      </c>
      <c r="G147" s="2" t="str">
        <f t="shared" si="215"/>
        <v/>
      </c>
      <c r="H147" s="2" t="str">
        <f t="shared" si="215"/>
        <v/>
      </c>
      <c r="I147" s="2" t="str">
        <f t="shared" si="215"/>
        <v/>
      </c>
      <c r="J147" s="2" t="str">
        <f t="shared" si="215"/>
        <v/>
      </c>
      <c r="M147" s="180" t="str">
        <f>M146</f>
        <v/>
      </c>
      <c r="N147" s="2" t="str">
        <f t="shared" ref="N147" si="216">N146</f>
        <v/>
      </c>
      <c r="O147" s="2">
        <f>O146</f>
        <v>0</v>
      </c>
    </row>
    <row r="148" spans="1:15" x14ac:dyDescent="0.25">
      <c r="A148" s="325">
        <v>1</v>
      </c>
      <c r="B148" s="325">
        <f>TrialNumber</f>
        <v>0</v>
      </c>
      <c r="C148" s="325" t="s">
        <v>17</v>
      </c>
      <c r="D148" s="325">
        <f>Started!C18</f>
        <v>0</v>
      </c>
      <c r="E148" s="325" t="str">
        <f>IF(Started!B18="W","W","A")</f>
        <v>A</v>
      </c>
      <c r="F148" s="325" t="s">
        <v>1736</v>
      </c>
      <c r="G148" s="325" t="str">
        <f>IF(Started!W18="e","Y","")</f>
        <v/>
      </c>
      <c r="H148" s="325" t="str">
        <f>IFERROR(VLOOKUP($D148,'SDDA Dogs'!$A:$AE,2,FALSE),"")</f>
        <v/>
      </c>
      <c r="I148" s="325" t="str">
        <f>IFERROR(VLOOKUP($D148,'SDDA Dogs'!$A:$AE,3,FALSE),"")</f>
        <v/>
      </c>
      <c r="J148" s="325" t="str">
        <f>IFERROR(VLOOKUP($D148,'SDDA Dogs'!$A:$AE,6,FALSE),"")</f>
        <v/>
      </c>
      <c r="K148" s="325"/>
      <c r="L148" s="325"/>
      <c r="M148" s="326" t="str">
        <f>TrialDate</f>
        <v/>
      </c>
      <c r="N148" s="325" t="str">
        <f t="shared" ref="N148" si="217">N147</f>
        <v/>
      </c>
      <c r="O148" s="325">
        <f>JudgeD1ESS</f>
        <v>0</v>
      </c>
    </row>
    <row r="149" spans="1:15" x14ac:dyDescent="0.25">
      <c r="A149" s="2">
        <v>2</v>
      </c>
      <c r="B149" s="2">
        <f t="shared" ref="B149:J149" si="218">B148</f>
        <v>0</v>
      </c>
      <c r="C149" s="2" t="str">
        <f t="shared" si="218"/>
        <v>ESS</v>
      </c>
      <c r="D149" s="2">
        <f t="shared" si="218"/>
        <v>0</v>
      </c>
      <c r="E149" s="2" t="str">
        <f t="shared" si="218"/>
        <v>A</v>
      </c>
      <c r="F149" s="2" t="str">
        <f t="shared" si="218"/>
        <v>Exterior Started</v>
      </c>
      <c r="G149" s="2" t="str">
        <f t="shared" si="218"/>
        <v/>
      </c>
      <c r="H149" s="2" t="str">
        <f t="shared" si="218"/>
        <v/>
      </c>
      <c r="I149" s="2" t="str">
        <f t="shared" si="218"/>
        <v/>
      </c>
      <c r="J149" s="2" t="str">
        <f t="shared" si="218"/>
        <v/>
      </c>
      <c r="M149" s="180" t="str">
        <f>M148</f>
        <v/>
      </c>
      <c r="N149" s="2" t="str">
        <f t="shared" ref="N149" si="219">N148</f>
        <v/>
      </c>
      <c r="O149" s="2">
        <f>O148</f>
        <v>0</v>
      </c>
    </row>
    <row r="150" spans="1:15" x14ac:dyDescent="0.25">
      <c r="A150" s="325">
        <v>1</v>
      </c>
      <c r="B150" s="325">
        <f>TrialNumber</f>
        <v>0</v>
      </c>
      <c r="C150" s="325" t="s">
        <v>17</v>
      </c>
      <c r="D150" s="325">
        <f>Started!C19</f>
        <v>0</v>
      </c>
      <c r="E150" s="325" t="str">
        <f>IF(Started!B19="W","W","A")</f>
        <v>A</v>
      </c>
      <c r="F150" s="325" t="s">
        <v>1736</v>
      </c>
      <c r="G150" s="325" t="str">
        <f>IF(Started!W19="e","Y","")</f>
        <v/>
      </c>
      <c r="H150" s="325" t="str">
        <f>IFERROR(VLOOKUP($D150,'SDDA Dogs'!$A:$AE,2,FALSE),"")</f>
        <v/>
      </c>
      <c r="I150" s="325" t="str">
        <f>IFERROR(VLOOKUP($D150,'SDDA Dogs'!$A:$AE,3,FALSE),"")</f>
        <v/>
      </c>
      <c r="J150" s="325" t="str">
        <f>IFERROR(VLOOKUP($D150,'SDDA Dogs'!$A:$AE,6,FALSE),"")</f>
        <v/>
      </c>
      <c r="K150" s="325"/>
      <c r="L150" s="325"/>
      <c r="M150" s="326" t="str">
        <f>TrialDate</f>
        <v/>
      </c>
      <c r="N150" s="325" t="str">
        <f t="shared" ref="N150" si="220">N149</f>
        <v/>
      </c>
      <c r="O150" s="325">
        <f>JudgeD1ESS</f>
        <v>0</v>
      </c>
    </row>
    <row r="151" spans="1:15" x14ac:dyDescent="0.25">
      <c r="A151" s="2">
        <v>2</v>
      </c>
      <c r="B151" s="2">
        <f t="shared" ref="B151:J151" si="221">B150</f>
        <v>0</v>
      </c>
      <c r="C151" s="2" t="str">
        <f t="shared" si="221"/>
        <v>ESS</v>
      </c>
      <c r="D151" s="2">
        <f t="shared" si="221"/>
        <v>0</v>
      </c>
      <c r="E151" s="2" t="str">
        <f t="shared" si="221"/>
        <v>A</v>
      </c>
      <c r="F151" s="2" t="str">
        <f t="shared" si="221"/>
        <v>Exterior Started</v>
      </c>
      <c r="G151" s="2" t="str">
        <f t="shared" si="221"/>
        <v/>
      </c>
      <c r="H151" s="2" t="str">
        <f t="shared" si="221"/>
        <v/>
      </c>
      <c r="I151" s="2" t="str">
        <f t="shared" si="221"/>
        <v/>
      </c>
      <c r="J151" s="2" t="str">
        <f t="shared" si="221"/>
        <v/>
      </c>
      <c r="M151" s="180" t="str">
        <f>M150</f>
        <v/>
      </c>
      <c r="N151" s="2" t="str">
        <f t="shared" ref="N151" si="222">N150</f>
        <v/>
      </c>
      <c r="O151" s="2">
        <f>O150</f>
        <v>0</v>
      </c>
    </row>
    <row r="152" spans="1:15" x14ac:dyDescent="0.25">
      <c r="A152" s="325">
        <v>1</v>
      </c>
      <c r="B152" s="325">
        <f>TrialNumber</f>
        <v>0</v>
      </c>
      <c r="C152" s="325" t="s">
        <v>17</v>
      </c>
      <c r="D152" s="325">
        <f>Started!C20</f>
        <v>0</v>
      </c>
      <c r="E152" s="325" t="str">
        <f>IF(Started!B20="W","W","A")</f>
        <v>A</v>
      </c>
      <c r="F152" s="325" t="s">
        <v>1736</v>
      </c>
      <c r="G152" s="325" t="str">
        <f>IF(Started!W20="e","Y","")</f>
        <v/>
      </c>
      <c r="H152" s="325" t="str">
        <f>IFERROR(VLOOKUP($D152,'SDDA Dogs'!$A:$AE,2,FALSE),"")</f>
        <v/>
      </c>
      <c r="I152" s="325" t="str">
        <f>IFERROR(VLOOKUP($D152,'SDDA Dogs'!$A:$AE,3,FALSE),"")</f>
        <v/>
      </c>
      <c r="J152" s="325" t="str">
        <f>IFERROR(VLOOKUP($D152,'SDDA Dogs'!$A:$AE,6,FALSE),"")</f>
        <v/>
      </c>
      <c r="K152" s="325"/>
      <c r="L152" s="325"/>
      <c r="M152" s="326" t="str">
        <f>TrialDate</f>
        <v/>
      </c>
      <c r="N152" s="325" t="str">
        <f t="shared" ref="N152" si="223">N151</f>
        <v/>
      </c>
      <c r="O152" s="325">
        <f>JudgeD1ESS</f>
        <v>0</v>
      </c>
    </row>
    <row r="153" spans="1:15" x14ac:dyDescent="0.25">
      <c r="A153" s="2">
        <v>2</v>
      </c>
      <c r="B153" s="2">
        <f t="shared" ref="B153:J153" si="224">B152</f>
        <v>0</v>
      </c>
      <c r="C153" s="2" t="str">
        <f t="shared" si="224"/>
        <v>ESS</v>
      </c>
      <c r="D153" s="2">
        <f t="shared" si="224"/>
        <v>0</v>
      </c>
      <c r="E153" s="2" t="str">
        <f t="shared" si="224"/>
        <v>A</v>
      </c>
      <c r="F153" s="2" t="str">
        <f t="shared" si="224"/>
        <v>Exterior Started</v>
      </c>
      <c r="G153" s="2" t="str">
        <f t="shared" si="224"/>
        <v/>
      </c>
      <c r="H153" s="2" t="str">
        <f t="shared" si="224"/>
        <v/>
      </c>
      <c r="I153" s="2" t="str">
        <f t="shared" si="224"/>
        <v/>
      </c>
      <c r="J153" s="2" t="str">
        <f t="shared" si="224"/>
        <v/>
      </c>
      <c r="M153" s="180" t="str">
        <f>M152</f>
        <v/>
      </c>
      <c r="N153" s="2" t="str">
        <f t="shared" ref="N153" si="225">N152</f>
        <v/>
      </c>
      <c r="O153" s="2">
        <f>O152</f>
        <v>0</v>
      </c>
    </row>
    <row r="154" spans="1:15" x14ac:dyDescent="0.25">
      <c r="A154" s="325">
        <v>1</v>
      </c>
      <c r="B154" s="325">
        <f>TrialNumber</f>
        <v>0</v>
      </c>
      <c r="C154" s="325" t="s">
        <v>17</v>
      </c>
      <c r="D154" s="325">
        <f>Started!C21</f>
        <v>0</v>
      </c>
      <c r="E154" s="325" t="str">
        <f>IF(Started!B21="W","W","A")</f>
        <v>A</v>
      </c>
      <c r="F154" s="325" t="s">
        <v>1736</v>
      </c>
      <c r="G154" s="325" t="str">
        <f>IF(Started!W21="e","Y","")</f>
        <v/>
      </c>
      <c r="H154" s="325" t="str">
        <f>IFERROR(VLOOKUP($D154,'SDDA Dogs'!$A:$AE,2,FALSE),"")</f>
        <v/>
      </c>
      <c r="I154" s="325" t="str">
        <f>IFERROR(VLOOKUP($D154,'SDDA Dogs'!$A:$AE,3,FALSE),"")</f>
        <v/>
      </c>
      <c r="J154" s="325" t="str">
        <f>IFERROR(VLOOKUP($D154,'SDDA Dogs'!$A:$AE,6,FALSE),"")</f>
        <v/>
      </c>
      <c r="K154" s="325"/>
      <c r="L154" s="325"/>
      <c r="M154" s="326" t="str">
        <f>TrialDate</f>
        <v/>
      </c>
      <c r="N154" s="325" t="str">
        <f t="shared" ref="N154" si="226">N153</f>
        <v/>
      </c>
      <c r="O154" s="325">
        <f>JudgeD1ESS</f>
        <v>0</v>
      </c>
    </row>
    <row r="155" spans="1:15" x14ac:dyDescent="0.25">
      <c r="A155" s="2">
        <v>2</v>
      </c>
      <c r="B155" s="2">
        <f t="shared" ref="B155:J155" si="227">B154</f>
        <v>0</v>
      </c>
      <c r="C155" s="2" t="str">
        <f t="shared" si="227"/>
        <v>ESS</v>
      </c>
      <c r="D155" s="2">
        <f t="shared" si="227"/>
        <v>0</v>
      </c>
      <c r="E155" s="2" t="str">
        <f t="shared" si="227"/>
        <v>A</v>
      </c>
      <c r="F155" s="2" t="str">
        <f t="shared" si="227"/>
        <v>Exterior Started</v>
      </c>
      <c r="G155" s="2" t="str">
        <f t="shared" si="227"/>
        <v/>
      </c>
      <c r="H155" s="2" t="str">
        <f t="shared" si="227"/>
        <v/>
      </c>
      <c r="I155" s="2" t="str">
        <f t="shared" si="227"/>
        <v/>
      </c>
      <c r="J155" s="2" t="str">
        <f t="shared" si="227"/>
        <v/>
      </c>
      <c r="M155" s="180" t="str">
        <f>M154</f>
        <v/>
      </c>
      <c r="N155" s="2" t="str">
        <f t="shared" ref="N155" si="228">N154</f>
        <v/>
      </c>
      <c r="O155" s="2">
        <f>O154</f>
        <v>0</v>
      </c>
    </row>
    <row r="156" spans="1:15" x14ac:dyDescent="0.25">
      <c r="A156" s="325">
        <v>1</v>
      </c>
      <c r="B156" s="325">
        <f>TrialNumber</f>
        <v>0</v>
      </c>
      <c r="C156" s="325" t="s">
        <v>17</v>
      </c>
      <c r="D156" s="325">
        <f>Started!C22</f>
        <v>0</v>
      </c>
      <c r="E156" s="325" t="str">
        <f>IF(Started!B22="W","W","A")</f>
        <v>A</v>
      </c>
      <c r="F156" s="325" t="s">
        <v>1736</v>
      </c>
      <c r="G156" s="325" t="str">
        <f>IF(Started!W22="e","Y","")</f>
        <v/>
      </c>
      <c r="H156" s="325" t="str">
        <f>IFERROR(VLOOKUP($D156,'SDDA Dogs'!$A:$AE,2,FALSE),"")</f>
        <v/>
      </c>
      <c r="I156" s="325" t="str">
        <f>IFERROR(VLOOKUP($D156,'SDDA Dogs'!$A:$AE,3,FALSE),"")</f>
        <v/>
      </c>
      <c r="J156" s="325" t="str">
        <f>IFERROR(VLOOKUP($D156,'SDDA Dogs'!$A:$AE,6,FALSE),"")</f>
        <v/>
      </c>
      <c r="K156" s="325"/>
      <c r="L156" s="325"/>
      <c r="M156" s="326" t="str">
        <f>TrialDate</f>
        <v/>
      </c>
      <c r="N156" s="325" t="str">
        <f t="shared" ref="N156" si="229">N155</f>
        <v/>
      </c>
      <c r="O156" s="325">
        <f>JudgeD1ESS</f>
        <v>0</v>
      </c>
    </row>
    <row r="157" spans="1:15" x14ac:dyDescent="0.25">
      <c r="A157" s="2">
        <v>2</v>
      </c>
      <c r="B157" s="2">
        <f t="shared" ref="B157:J157" si="230">B156</f>
        <v>0</v>
      </c>
      <c r="C157" s="2" t="str">
        <f t="shared" si="230"/>
        <v>ESS</v>
      </c>
      <c r="D157" s="2">
        <f t="shared" si="230"/>
        <v>0</v>
      </c>
      <c r="E157" s="2" t="str">
        <f t="shared" si="230"/>
        <v>A</v>
      </c>
      <c r="F157" s="2" t="str">
        <f t="shared" si="230"/>
        <v>Exterior Started</v>
      </c>
      <c r="G157" s="2" t="str">
        <f t="shared" si="230"/>
        <v/>
      </c>
      <c r="H157" s="2" t="str">
        <f t="shared" si="230"/>
        <v/>
      </c>
      <c r="I157" s="2" t="str">
        <f t="shared" si="230"/>
        <v/>
      </c>
      <c r="J157" s="2" t="str">
        <f t="shared" si="230"/>
        <v/>
      </c>
      <c r="M157" s="180" t="str">
        <f>M156</f>
        <v/>
      </c>
      <c r="N157" s="2" t="str">
        <f t="shared" ref="N157" si="231">N156</f>
        <v/>
      </c>
      <c r="O157" s="2">
        <f>O156</f>
        <v>0</v>
      </c>
    </row>
    <row r="158" spans="1:15" x14ac:dyDescent="0.25">
      <c r="A158" s="325">
        <v>1</v>
      </c>
      <c r="B158" s="325">
        <f>TrialNumber</f>
        <v>0</v>
      </c>
      <c r="C158" s="325" t="s">
        <v>17</v>
      </c>
      <c r="D158" s="325">
        <f>Started!C23</f>
        <v>0</v>
      </c>
      <c r="E158" s="325" t="str">
        <f>IF(Started!B23="W","W","A")</f>
        <v>A</v>
      </c>
      <c r="F158" s="325" t="s">
        <v>1736</v>
      </c>
      <c r="G158" s="325" t="str">
        <f>IF(Started!W23="e","Y","")</f>
        <v/>
      </c>
      <c r="H158" s="325" t="str">
        <f>IFERROR(VLOOKUP($D158,'SDDA Dogs'!$A:$AE,2,FALSE),"")</f>
        <v/>
      </c>
      <c r="I158" s="325" t="str">
        <f>IFERROR(VLOOKUP($D158,'SDDA Dogs'!$A:$AE,3,FALSE),"")</f>
        <v/>
      </c>
      <c r="J158" s="325" t="str">
        <f>IFERROR(VLOOKUP($D158,'SDDA Dogs'!$A:$AE,6,FALSE),"")</f>
        <v/>
      </c>
      <c r="K158" s="325"/>
      <c r="L158" s="325"/>
      <c r="M158" s="326" t="str">
        <f>TrialDate</f>
        <v/>
      </c>
      <c r="N158" s="325" t="str">
        <f t="shared" ref="N158" si="232">N157</f>
        <v/>
      </c>
      <c r="O158" s="325">
        <f>JudgeD1ESS</f>
        <v>0</v>
      </c>
    </row>
    <row r="159" spans="1:15" x14ac:dyDescent="0.25">
      <c r="A159" s="2">
        <v>2</v>
      </c>
      <c r="B159" s="2">
        <f t="shared" ref="B159:J159" si="233">B158</f>
        <v>0</v>
      </c>
      <c r="C159" s="2" t="str">
        <f t="shared" si="233"/>
        <v>ESS</v>
      </c>
      <c r="D159" s="2">
        <f t="shared" si="233"/>
        <v>0</v>
      </c>
      <c r="E159" s="2" t="str">
        <f t="shared" si="233"/>
        <v>A</v>
      </c>
      <c r="F159" s="2" t="str">
        <f t="shared" si="233"/>
        <v>Exterior Started</v>
      </c>
      <c r="G159" s="2" t="str">
        <f t="shared" si="233"/>
        <v/>
      </c>
      <c r="H159" s="2" t="str">
        <f t="shared" si="233"/>
        <v/>
      </c>
      <c r="I159" s="2" t="str">
        <f t="shared" si="233"/>
        <v/>
      </c>
      <c r="J159" s="2" t="str">
        <f t="shared" si="233"/>
        <v/>
      </c>
      <c r="M159" s="180" t="str">
        <f>M158</f>
        <v/>
      </c>
      <c r="N159" s="2" t="str">
        <f t="shared" ref="N159" si="234">N158</f>
        <v/>
      </c>
      <c r="O159" s="2">
        <f>O158</f>
        <v>0</v>
      </c>
    </row>
    <row r="160" spans="1:15" x14ac:dyDescent="0.25">
      <c r="A160" s="325">
        <v>1</v>
      </c>
      <c r="B160" s="325">
        <f>TrialNumber</f>
        <v>0</v>
      </c>
      <c r="C160" s="325" t="s">
        <v>17</v>
      </c>
      <c r="D160" s="325">
        <f>Started!C24</f>
        <v>0</v>
      </c>
      <c r="E160" s="325" t="str">
        <f>IF(Started!B24="W","W","A")</f>
        <v>A</v>
      </c>
      <c r="F160" s="325" t="s">
        <v>1736</v>
      </c>
      <c r="G160" s="325" t="str">
        <f>IF(Started!W24="e","Y","")</f>
        <v/>
      </c>
      <c r="H160" s="325" t="str">
        <f>IFERROR(VLOOKUP($D160,'SDDA Dogs'!$A:$AE,2,FALSE),"")</f>
        <v/>
      </c>
      <c r="I160" s="325" t="str">
        <f>IFERROR(VLOOKUP($D160,'SDDA Dogs'!$A:$AE,3,FALSE),"")</f>
        <v/>
      </c>
      <c r="J160" s="325" t="str">
        <f>IFERROR(VLOOKUP($D160,'SDDA Dogs'!$A:$AE,6,FALSE),"")</f>
        <v/>
      </c>
      <c r="K160" s="325"/>
      <c r="L160" s="325"/>
      <c r="M160" s="326" t="str">
        <f>TrialDate</f>
        <v/>
      </c>
      <c r="N160" s="325" t="str">
        <f t="shared" ref="N160" si="235">N159</f>
        <v/>
      </c>
      <c r="O160" s="325">
        <f>JudgeD1ESS</f>
        <v>0</v>
      </c>
    </row>
    <row r="161" spans="1:15" x14ac:dyDescent="0.25">
      <c r="A161" s="2">
        <v>2</v>
      </c>
      <c r="B161" s="2">
        <f t="shared" ref="B161:J161" si="236">B160</f>
        <v>0</v>
      </c>
      <c r="C161" s="2" t="str">
        <f t="shared" si="236"/>
        <v>ESS</v>
      </c>
      <c r="D161" s="2">
        <f t="shared" si="236"/>
        <v>0</v>
      </c>
      <c r="E161" s="2" t="str">
        <f t="shared" si="236"/>
        <v>A</v>
      </c>
      <c r="F161" s="2" t="str">
        <f t="shared" si="236"/>
        <v>Exterior Started</v>
      </c>
      <c r="G161" s="2" t="str">
        <f t="shared" si="236"/>
        <v/>
      </c>
      <c r="H161" s="2" t="str">
        <f t="shared" si="236"/>
        <v/>
      </c>
      <c r="I161" s="2" t="str">
        <f t="shared" si="236"/>
        <v/>
      </c>
      <c r="J161" s="2" t="str">
        <f t="shared" si="236"/>
        <v/>
      </c>
      <c r="M161" s="180" t="str">
        <f>M160</f>
        <v/>
      </c>
      <c r="N161" s="2" t="str">
        <f t="shared" ref="N161" si="237">N160</f>
        <v/>
      </c>
      <c r="O161" s="2">
        <f>O160</f>
        <v>0</v>
      </c>
    </row>
    <row r="162" spans="1:15" x14ac:dyDescent="0.25">
      <c r="A162" s="325">
        <v>1</v>
      </c>
      <c r="B162" s="325">
        <f>TrialNumber</f>
        <v>0</v>
      </c>
      <c r="C162" s="325" t="s">
        <v>17</v>
      </c>
      <c r="D162" s="325">
        <f>Started!C25</f>
        <v>0</v>
      </c>
      <c r="E162" s="325" t="str">
        <f>IF(Started!B25="W","W","A")</f>
        <v>A</v>
      </c>
      <c r="F162" s="325" t="s">
        <v>1736</v>
      </c>
      <c r="G162" s="325" t="str">
        <f>IF(Started!W25="e","Y","")</f>
        <v/>
      </c>
      <c r="H162" s="325" t="str">
        <f>IFERROR(VLOOKUP($D162,'SDDA Dogs'!$A:$AE,2,FALSE),"")</f>
        <v/>
      </c>
      <c r="I162" s="325" t="str">
        <f>IFERROR(VLOOKUP($D162,'SDDA Dogs'!$A:$AE,3,FALSE),"")</f>
        <v/>
      </c>
      <c r="J162" s="325" t="str">
        <f>IFERROR(VLOOKUP($D162,'SDDA Dogs'!$A:$AE,6,FALSE),"")</f>
        <v/>
      </c>
      <c r="K162" s="325"/>
      <c r="L162" s="325"/>
      <c r="M162" s="326" t="str">
        <f>TrialDate</f>
        <v/>
      </c>
      <c r="N162" s="325" t="str">
        <f t="shared" ref="N162" si="238">N161</f>
        <v/>
      </c>
      <c r="O162" s="325">
        <f>JudgeD1ESS</f>
        <v>0</v>
      </c>
    </row>
    <row r="163" spans="1:15" x14ac:dyDescent="0.25">
      <c r="A163" s="2">
        <v>2</v>
      </c>
      <c r="B163" s="2">
        <f t="shared" ref="B163:J163" si="239">B162</f>
        <v>0</v>
      </c>
      <c r="C163" s="2" t="str">
        <f t="shared" si="239"/>
        <v>ESS</v>
      </c>
      <c r="D163" s="2">
        <f t="shared" si="239"/>
        <v>0</v>
      </c>
      <c r="E163" s="2" t="str">
        <f t="shared" si="239"/>
        <v>A</v>
      </c>
      <c r="F163" s="2" t="str">
        <f t="shared" si="239"/>
        <v>Exterior Started</v>
      </c>
      <c r="G163" s="2" t="str">
        <f t="shared" si="239"/>
        <v/>
      </c>
      <c r="H163" s="2" t="str">
        <f t="shared" si="239"/>
        <v/>
      </c>
      <c r="I163" s="2" t="str">
        <f t="shared" si="239"/>
        <v/>
      </c>
      <c r="J163" s="2" t="str">
        <f t="shared" si="239"/>
        <v/>
      </c>
      <c r="M163" s="180" t="str">
        <f>M162</f>
        <v/>
      </c>
      <c r="N163" s="2" t="str">
        <f t="shared" ref="N163" si="240">N162</f>
        <v/>
      </c>
      <c r="O163" s="2">
        <f>O162</f>
        <v>0</v>
      </c>
    </row>
    <row r="164" spans="1:15" x14ac:dyDescent="0.25">
      <c r="A164" s="325">
        <v>1</v>
      </c>
      <c r="B164" s="325">
        <f>TrialNumber</f>
        <v>0</v>
      </c>
      <c r="C164" s="325" t="s">
        <v>17</v>
      </c>
      <c r="D164" s="325">
        <f>Started!C26</f>
        <v>0</v>
      </c>
      <c r="E164" s="325" t="str">
        <f>IF(Started!B26="W","W","A")</f>
        <v>A</v>
      </c>
      <c r="F164" s="325" t="s">
        <v>1736</v>
      </c>
      <c r="G164" s="325" t="str">
        <f>IF(Started!W26="e","Y","")</f>
        <v/>
      </c>
      <c r="H164" s="325" t="str">
        <f>IFERROR(VLOOKUP($D164,'SDDA Dogs'!$A:$AE,2,FALSE),"")</f>
        <v/>
      </c>
      <c r="I164" s="325" t="str">
        <f>IFERROR(VLOOKUP($D164,'SDDA Dogs'!$A:$AE,3,FALSE),"")</f>
        <v/>
      </c>
      <c r="J164" s="325" t="str">
        <f>IFERROR(VLOOKUP($D164,'SDDA Dogs'!$A:$AE,6,FALSE),"")</f>
        <v/>
      </c>
      <c r="K164" s="325"/>
      <c r="L164" s="325"/>
      <c r="M164" s="326" t="str">
        <f>TrialDate</f>
        <v/>
      </c>
      <c r="N164" s="325" t="str">
        <f t="shared" ref="N164" si="241">N163</f>
        <v/>
      </c>
      <c r="O164" s="325">
        <f>JudgeD1ESS</f>
        <v>0</v>
      </c>
    </row>
    <row r="165" spans="1:15" x14ac:dyDescent="0.25">
      <c r="A165" s="2">
        <v>2</v>
      </c>
      <c r="B165" s="2">
        <f t="shared" ref="B165:J165" si="242">B164</f>
        <v>0</v>
      </c>
      <c r="C165" s="2" t="str">
        <f t="shared" si="242"/>
        <v>ESS</v>
      </c>
      <c r="D165" s="2">
        <f t="shared" si="242"/>
        <v>0</v>
      </c>
      <c r="E165" s="2" t="str">
        <f t="shared" si="242"/>
        <v>A</v>
      </c>
      <c r="F165" s="2" t="str">
        <f t="shared" si="242"/>
        <v>Exterior Started</v>
      </c>
      <c r="G165" s="2" t="str">
        <f t="shared" si="242"/>
        <v/>
      </c>
      <c r="H165" s="2" t="str">
        <f t="shared" si="242"/>
        <v/>
      </c>
      <c r="I165" s="2" t="str">
        <f t="shared" si="242"/>
        <v/>
      </c>
      <c r="J165" s="2" t="str">
        <f t="shared" si="242"/>
        <v/>
      </c>
      <c r="M165" s="180" t="str">
        <f>M164</f>
        <v/>
      </c>
      <c r="N165" s="2" t="str">
        <f t="shared" ref="N165" si="243">N164</f>
        <v/>
      </c>
      <c r="O165" s="2">
        <f>O164</f>
        <v>0</v>
      </c>
    </row>
    <row r="166" spans="1:15" x14ac:dyDescent="0.25">
      <c r="A166" s="325">
        <v>1</v>
      </c>
      <c r="B166" s="325">
        <f>TrialNumber</f>
        <v>0</v>
      </c>
      <c r="C166" s="325" t="s">
        <v>17</v>
      </c>
      <c r="D166" s="325">
        <f>Started!C27</f>
        <v>0</v>
      </c>
      <c r="E166" s="325" t="str">
        <f>IF(Started!B27="W","W","A")</f>
        <v>A</v>
      </c>
      <c r="F166" s="325" t="s">
        <v>1736</v>
      </c>
      <c r="G166" s="325" t="str">
        <f>IF(Started!W27="e","Y","")</f>
        <v/>
      </c>
      <c r="H166" s="325" t="str">
        <f>IFERROR(VLOOKUP($D166,'SDDA Dogs'!$A:$AE,2,FALSE),"")</f>
        <v/>
      </c>
      <c r="I166" s="325" t="str">
        <f>IFERROR(VLOOKUP($D166,'SDDA Dogs'!$A:$AE,3,FALSE),"")</f>
        <v/>
      </c>
      <c r="J166" s="325" t="str">
        <f>IFERROR(VLOOKUP($D166,'SDDA Dogs'!$A:$AE,6,FALSE),"")</f>
        <v/>
      </c>
      <c r="K166" s="325"/>
      <c r="L166" s="325"/>
      <c r="M166" s="326" t="str">
        <f>TrialDate</f>
        <v/>
      </c>
      <c r="N166" s="325" t="str">
        <f t="shared" ref="N166" si="244">N165</f>
        <v/>
      </c>
      <c r="O166" s="325">
        <f>JudgeD1ESS</f>
        <v>0</v>
      </c>
    </row>
    <row r="167" spans="1:15" x14ac:dyDescent="0.25">
      <c r="A167" s="2">
        <v>2</v>
      </c>
      <c r="B167" s="2">
        <f t="shared" ref="B167:J167" si="245">B166</f>
        <v>0</v>
      </c>
      <c r="C167" s="2" t="str">
        <f t="shared" si="245"/>
        <v>ESS</v>
      </c>
      <c r="D167" s="2">
        <f t="shared" si="245"/>
        <v>0</v>
      </c>
      <c r="E167" s="2" t="str">
        <f t="shared" si="245"/>
        <v>A</v>
      </c>
      <c r="F167" s="2" t="str">
        <f t="shared" si="245"/>
        <v>Exterior Started</v>
      </c>
      <c r="G167" s="2" t="str">
        <f t="shared" si="245"/>
        <v/>
      </c>
      <c r="H167" s="2" t="str">
        <f t="shared" si="245"/>
        <v/>
      </c>
      <c r="I167" s="2" t="str">
        <f t="shared" si="245"/>
        <v/>
      </c>
      <c r="J167" s="2" t="str">
        <f t="shared" si="245"/>
        <v/>
      </c>
      <c r="M167" s="180" t="str">
        <f>M166</f>
        <v/>
      </c>
      <c r="N167" s="2" t="str">
        <f t="shared" ref="N167" si="246">N166</f>
        <v/>
      </c>
      <c r="O167" s="2">
        <f>O166</f>
        <v>0</v>
      </c>
    </row>
    <row r="168" spans="1:15" x14ac:dyDescent="0.25">
      <c r="A168" s="325">
        <v>1</v>
      </c>
      <c r="B168" s="325">
        <f>TrialNumber</f>
        <v>0</v>
      </c>
      <c r="C168" s="325" t="s">
        <v>17</v>
      </c>
      <c r="D168" s="325">
        <f>Started!C28</f>
        <v>0</v>
      </c>
      <c r="E168" s="325" t="str">
        <f>IF(Started!B28="W","W","A")</f>
        <v>A</v>
      </c>
      <c r="F168" s="325" t="s">
        <v>1736</v>
      </c>
      <c r="G168" s="325" t="str">
        <f>IF(Started!W28="e","Y","")</f>
        <v/>
      </c>
      <c r="H168" s="325" t="str">
        <f>IFERROR(VLOOKUP($D168,'SDDA Dogs'!$A:$AE,2,FALSE),"")</f>
        <v/>
      </c>
      <c r="I168" s="325" t="str">
        <f>IFERROR(VLOOKUP($D168,'SDDA Dogs'!$A:$AE,3,FALSE),"")</f>
        <v/>
      </c>
      <c r="J168" s="325" t="str">
        <f>IFERROR(VLOOKUP($D168,'SDDA Dogs'!$A:$AE,6,FALSE),"")</f>
        <v/>
      </c>
      <c r="K168" s="325"/>
      <c r="L168" s="325"/>
      <c r="M168" s="326" t="str">
        <f>TrialDate</f>
        <v/>
      </c>
      <c r="N168" s="325" t="str">
        <f t="shared" ref="N168" si="247">N167</f>
        <v/>
      </c>
      <c r="O168" s="325">
        <f>JudgeD1ESS</f>
        <v>0</v>
      </c>
    </row>
    <row r="169" spans="1:15" x14ac:dyDescent="0.25">
      <c r="A169" s="2">
        <v>2</v>
      </c>
      <c r="B169" s="2">
        <f t="shared" ref="B169:J169" si="248">B168</f>
        <v>0</v>
      </c>
      <c r="C169" s="2" t="str">
        <f t="shared" si="248"/>
        <v>ESS</v>
      </c>
      <c r="D169" s="2">
        <f t="shared" si="248"/>
        <v>0</v>
      </c>
      <c r="E169" s="2" t="str">
        <f t="shared" si="248"/>
        <v>A</v>
      </c>
      <c r="F169" s="2" t="str">
        <f t="shared" si="248"/>
        <v>Exterior Started</v>
      </c>
      <c r="G169" s="2" t="str">
        <f t="shared" si="248"/>
        <v/>
      </c>
      <c r="H169" s="2" t="str">
        <f t="shared" si="248"/>
        <v/>
      </c>
      <c r="I169" s="2" t="str">
        <f t="shared" si="248"/>
        <v/>
      </c>
      <c r="J169" s="2" t="str">
        <f t="shared" si="248"/>
        <v/>
      </c>
      <c r="M169" s="180" t="str">
        <f>M168</f>
        <v/>
      </c>
      <c r="N169" s="2" t="str">
        <f t="shared" ref="N169" si="249">N168</f>
        <v/>
      </c>
      <c r="O169" s="2">
        <f>O168</f>
        <v>0</v>
      </c>
    </row>
    <row r="170" spans="1:15" x14ac:dyDescent="0.25">
      <c r="A170" s="325">
        <v>1</v>
      </c>
      <c r="B170" s="325">
        <f>TrialNumber</f>
        <v>0</v>
      </c>
      <c r="C170" s="325" t="s">
        <v>17</v>
      </c>
      <c r="D170" s="325">
        <f>Started!C29</f>
        <v>0</v>
      </c>
      <c r="E170" s="325" t="str">
        <f>IF(Started!B29="W","W","A")</f>
        <v>A</v>
      </c>
      <c r="F170" s="325" t="s">
        <v>1736</v>
      </c>
      <c r="G170" s="325" t="str">
        <f>IF(Started!W29="e","Y","")</f>
        <v/>
      </c>
      <c r="H170" s="325" t="str">
        <f>IFERROR(VLOOKUP($D170,'SDDA Dogs'!$A:$AE,2,FALSE),"")</f>
        <v/>
      </c>
      <c r="I170" s="325" t="str">
        <f>IFERROR(VLOOKUP($D170,'SDDA Dogs'!$A:$AE,3,FALSE),"")</f>
        <v/>
      </c>
      <c r="J170" s="325" t="str">
        <f>IFERROR(VLOOKUP($D170,'SDDA Dogs'!$A:$AE,6,FALSE),"")</f>
        <v/>
      </c>
      <c r="K170" s="325"/>
      <c r="L170" s="325"/>
      <c r="M170" s="326" t="str">
        <f>TrialDate</f>
        <v/>
      </c>
      <c r="N170" s="325" t="str">
        <f t="shared" ref="N170" si="250">N169</f>
        <v/>
      </c>
      <c r="O170" s="325">
        <f>JudgeD1ESS</f>
        <v>0</v>
      </c>
    </row>
    <row r="171" spans="1:15" x14ac:dyDescent="0.25">
      <c r="A171" s="2">
        <v>2</v>
      </c>
      <c r="B171" s="2">
        <f t="shared" ref="B171:J171" si="251">B170</f>
        <v>0</v>
      </c>
      <c r="C171" s="2" t="str">
        <f t="shared" si="251"/>
        <v>ESS</v>
      </c>
      <c r="D171" s="2">
        <f t="shared" si="251"/>
        <v>0</v>
      </c>
      <c r="E171" s="2" t="str">
        <f t="shared" si="251"/>
        <v>A</v>
      </c>
      <c r="F171" s="2" t="str">
        <f t="shared" si="251"/>
        <v>Exterior Started</v>
      </c>
      <c r="G171" s="2" t="str">
        <f t="shared" si="251"/>
        <v/>
      </c>
      <c r="H171" s="2" t="str">
        <f t="shared" si="251"/>
        <v/>
      </c>
      <c r="I171" s="2" t="str">
        <f t="shared" si="251"/>
        <v/>
      </c>
      <c r="J171" s="2" t="str">
        <f t="shared" si="251"/>
        <v/>
      </c>
      <c r="M171" s="180" t="str">
        <f>M170</f>
        <v/>
      </c>
      <c r="N171" s="2" t="str">
        <f t="shared" ref="N171" si="252">N170</f>
        <v/>
      </c>
      <c r="O171" s="2">
        <f>O170</f>
        <v>0</v>
      </c>
    </row>
    <row r="172" spans="1:15" x14ac:dyDescent="0.25">
      <c r="A172" s="325">
        <v>1</v>
      </c>
      <c r="B172" s="325">
        <f>TrialNumber</f>
        <v>0</v>
      </c>
      <c r="C172" s="325" t="s">
        <v>17</v>
      </c>
      <c r="D172" s="325">
        <f>Started!C30</f>
        <v>0</v>
      </c>
      <c r="E172" s="325" t="str">
        <f>IF(Started!B30="W","W","A")</f>
        <v>A</v>
      </c>
      <c r="F172" s="325" t="s">
        <v>1736</v>
      </c>
      <c r="G172" s="325" t="str">
        <f>IF(Started!W30="e","Y","")</f>
        <v/>
      </c>
      <c r="H172" s="325" t="str">
        <f>IFERROR(VLOOKUP($D172,'SDDA Dogs'!$A:$AE,2,FALSE),"")</f>
        <v/>
      </c>
      <c r="I172" s="325" t="str">
        <f>IFERROR(VLOOKUP($D172,'SDDA Dogs'!$A:$AE,3,FALSE),"")</f>
        <v/>
      </c>
      <c r="J172" s="325" t="str">
        <f>IFERROR(VLOOKUP($D172,'SDDA Dogs'!$A:$AE,6,FALSE),"")</f>
        <v/>
      </c>
      <c r="K172" s="325"/>
      <c r="L172" s="325"/>
      <c r="M172" s="326" t="str">
        <f>TrialDate</f>
        <v/>
      </c>
      <c r="N172" s="325" t="str">
        <f t="shared" ref="N172" si="253">N171</f>
        <v/>
      </c>
      <c r="O172" s="325">
        <f>JudgeD1ESS</f>
        <v>0</v>
      </c>
    </row>
    <row r="173" spans="1:15" x14ac:dyDescent="0.25">
      <c r="A173" s="2">
        <v>2</v>
      </c>
      <c r="B173" s="2">
        <f t="shared" ref="B173:J173" si="254">B172</f>
        <v>0</v>
      </c>
      <c r="C173" s="2" t="str">
        <f t="shared" si="254"/>
        <v>ESS</v>
      </c>
      <c r="D173" s="2">
        <f t="shared" si="254"/>
        <v>0</v>
      </c>
      <c r="E173" s="2" t="str">
        <f t="shared" si="254"/>
        <v>A</v>
      </c>
      <c r="F173" s="2" t="str">
        <f t="shared" si="254"/>
        <v>Exterior Started</v>
      </c>
      <c r="G173" s="2" t="str">
        <f t="shared" si="254"/>
        <v/>
      </c>
      <c r="H173" s="2" t="str">
        <f t="shared" si="254"/>
        <v/>
      </c>
      <c r="I173" s="2" t="str">
        <f t="shared" si="254"/>
        <v/>
      </c>
      <c r="J173" s="2" t="str">
        <f t="shared" si="254"/>
        <v/>
      </c>
      <c r="M173" s="180" t="str">
        <f>M172</f>
        <v/>
      </c>
      <c r="N173" s="2" t="str">
        <f t="shared" ref="N173" si="255">N172</f>
        <v/>
      </c>
      <c r="O173" s="2">
        <f>O172</f>
        <v>0</v>
      </c>
    </row>
    <row r="174" spans="1:15" x14ac:dyDescent="0.25">
      <c r="A174" s="325">
        <v>1</v>
      </c>
      <c r="B174" s="325">
        <f>TrialNumber</f>
        <v>0</v>
      </c>
      <c r="C174" s="325" t="s">
        <v>17</v>
      </c>
      <c r="D174" s="325">
        <f>Started!C31</f>
        <v>0</v>
      </c>
      <c r="E174" s="325" t="str">
        <f>IF(Started!B31="W","W","A")</f>
        <v>A</v>
      </c>
      <c r="F174" s="325" t="s">
        <v>1736</v>
      </c>
      <c r="G174" s="325" t="str">
        <f>IF(Started!W31="e","Y","")</f>
        <v/>
      </c>
      <c r="H174" s="325" t="str">
        <f>IFERROR(VLOOKUP($D174,'SDDA Dogs'!$A:$AE,2,FALSE),"")</f>
        <v/>
      </c>
      <c r="I174" s="325" t="str">
        <f>IFERROR(VLOOKUP($D174,'SDDA Dogs'!$A:$AE,3,FALSE),"")</f>
        <v/>
      </c>
      <c r="J174" s="325" t="str">
        <f>IFERROR(VLOOKUP($D174,'SDDA Dogs'!$A:$AE,6,FALSE),"")</f>
        <v/>
      </c>
      <c r="K174" s="325"/>
      <c r="L174" s="325"/>
      <c r="M174" s="326" t="str">
        <f>TrialDate</f>
        <v/>
      </c>
      <c r="N174" s="325" t="str">
        <f t="shared" ref="N174" si="256">N173</f>
        <v/>
      </c>
      <c r="O174" s="325">
        <f>JudgeD1ESS</f>
        <v>0</v>
      </c>
    </row>
    <row r="175" spans="1:15" x14ac:dyDescent="0.25">
      <c r="A175" s="2">
        <v>2</v>
      </c>
      <c r="B175" s="2">
        <f t="shared" ref="B175:J175" si="257">B174</f>
        <v>0</v>
      </c>
      <c r="C175" s="2" t="str">
        <f t="shared" si="257"/>
        <v>ESS</v>
      </c>
      <c r="D175" s="2">
        <f t="shared" si="257"/>
        <v>0</v>
      </c>
      <c r="E175" s="2" t="str">
        <f t="shared" si="257"/>
        <v>A</v>
      </c>
      <c r="F175" s="2" t="str">
        <f t="shared" si="257"/>
        <v>Exterior Started</v>
      </c>
      <c r="G175" s="2" t="str">
        <f t="shared" si="257"/>
        <v/>
      </c>
      <c r="H175" s="2" t="str">
        <f t="shared" si="257"/>
        <v/>
      </c>
      <c r="I175" s="2" t="str">
        <f t="shared" si="257"/>
        <v/>
      </c>
      <c r="J175" s="2" t="str">
        <f t="shared" si="257"/>
        <v/>
      </c>
      <c r="M175" s="180" t="str">
        <f>M174</f>
        <v/>
      </c>
      <c r="N175" s="2" t="str">
        <f t="shared" ref="N175" si="258">N174</f>
        <v/>
      </c>
      <c r="O175" s="2">
        <f>O174</f>
        <v>0</v>
      </c>
    </row>
    <row r="176" spans="1:15" x14ac:dyDescent="0.25">
      <c r="A176" s="325">
        <v>1</v>
      </c>
      <c r="B176" s="325">
        <f>TrialNumber</f>
        <v>0</v>
      </c>
      <c r="C176" s="325" t="s">
        <v>17</v>
      </c>
      <c r="D176" s="325">
        <f>Started!C32</f>
        <v>0</v>
      </c>
      <c r="E176" s="325" t="str">
        <f>IF(Started!B32="W","W","A")</f>
        <v>A</v>
      </c>
      <c r="F176" s="325" t="s">
        <v>1736</v>
      </c>
      <c r="G176" s="325" t="str">
        <f>IF(Started!W32="e","Y","")</f>
        <v/>
      </c>
      <c r="H176" s="325" t="str">
        <f>IFERROR(VLOOKUP($D176,'SDDA Dogs'!$A:$AE,2,FALSE),"")</f>
        <v/>
      </c>
      <c r="I176" s="325" t="str">
        <f>IFERROR(VLOOKUP($D176,'SDDA Dogs'!$A:$AE,3,FALSE),"")</f>
        <v/>
      </c>
      <c r="J176" s="325" t="str">
        <f>IFERROR(VLOOKUP($D176,'SDDA Dogs'!$A:$AE,6,FALSE),"")</f>
        <v/>
      </c>
      <c r="K176" s="325"/>
      <c r="L176" s="325"/>
      <c r="M176" s="326" t="str">
        <f>TrialDate</f>
        <v/>
      </c>
      <c r="N176" s="325" t="str">
        <f t="shared" ref="N176" si="259">N175</f>
        <v/>
      </c>
      <c r="O176" s="325">
        <f>JudgeD1ESS</f>
        <v>0</v>
      </c>
    </row>
    <row r="177" spans="1:15" x14ac:dyDescent="0.25">
      <c r="A177" s="2">
        <v>2</v>
      </c>
      <c r="B177" s="2">
        <f t="shared" ref="B177:J177" si="260">B176</f>
        <v>0</v>
      </c>
      <c r="C177" s="2" t="str">
        <f t="shared" si="260"/>
        <v>ESS</v>
      </c>
      <c r="D177" s="2">
        <f t="shared" si="260"/>
        <v>0</v>
      </c>
      <c r="E177" s="2" t="str">
        <f t="shared" si="260"/>
        <v>A</v>
      </c>
      <c r="F177" s="2" t="str">
        <f t="shared" si="260"/>
        <v>Exterior Started</v>
      </c>
      <c r="G177" s="2" t="str">
        <f t="shared" si="260"/>
        <v/>
      </c>
      <c r="H177" s="2" t="str">
        <f t="shared" si="260"/>
        <v/>
      </c>
      <c r="I177" s="2" t="str">
        <f t="shared" si="260"/>
        <v/>
      </c>
      <c r="J177" s="2" t="str">
        <f t="shared" si="260"/>
        <v/>
      </c>
      <c r="M177" s="180" t="str">
        <f>M176</f>
        <v/>
      </c>
      <c r="N177" s="2" t="str">
        <f t="shared" ref="N177" si="261">N176</f>
        <v/>
      </c>
      <c r="O177" s="2">
        <f>O176</f>
        <v>0</v>
      </c>
    </row>
    <row r="178" spans="1:15" x14ac:dyDescent="0.25">
      <c r="A178" s="325">
        <v>1</v>
      </c>
      <c r="B178" s="325">
        <f>TrialNumber</f>
        <v>0</v>
      </c>
      <c r="C178" s="325" t="s">
        <v>17</v>
      </c>
      <c r="D178" s="325">
        <f>Started!C33</f>
        <v>0</v>
      </c>
      <c r="E178" s="325" t="str">
        <f>IF(Started!B33="W","W","A")</f>
        <v>A</v>
      </c>
      <c r="F178" s="325" t="s">
        <v>1736</v>
      </c>
      <c r="G178" s="325" t="str">
        <f>IF(Started!W33="e","Y","")</f>
        <v/>
      </c>
      <c r="H178" s="325" t="str">
        <f>IFERROR(VLOOKUP($D178,'SDDA Dogs'!$A:$AE,2,FALSE),"")</f>
        <v/>
      </c>
      <c r="I178" s="325" t="str">
        <f>IFERROR(VLOOKUP($D178,'SDDA Dogs'!$A:$AE,3,FALSE),"")</f>
        <v/>
      </c>
      <c r="J178" s="325" t="str">
        <f>IFERROR(VLOOKUP($D178,'SDDA Dogs'!$A:$AE,6,FALSE),"")</f>
        <v/>
      </c>
      <c r="K178" s="325"/>
      <c r="L178" s="325"/>
      <c r="M178" s="326" t="str">
        <f>TrialDate</f>
        <v/>
      </c>
      <c r="N178" s="325" t="str">
        <f t="shared" ref="N178" si="262">N177</f>
        <v/>
      </c>
      <c r="O178" s="325">
        <f>JudgeD1ESS</f>
        <v>0</v>
      </c>
    </row>
    <row r="179" spans="1:15" x14ac:dyDescent="0.25">
      <c r="A179" s="2">
        <v>2</v>
      </c>
      <c r="B179" s="2">
        <f t="shared" ref="B179:J179" si="263">B178</f>
        <v>0</v>
      </c>
      <c r="C179" s="2" t="str">
        <f t="shared" si="263"/>
        <v>ESS</v>
      </c>
      <c r="D179" s="2">
        <f t="shared" si="263"/>
        <v>0</v>
      </c>
      <c r="E179" s="2" t="str">
        <f t="shared" si="263"/>
        <v>A</v>
      </c>
      <c r="F179" s="2" t="str">
        <f t="shared" si="263"/>
        <v>Exterior Started</v>
      </c>
      <c r="G179" s="2" t="str">
        <f t="shared" si="263"/>
        <v/>
      </c>
      <c r="H179" s="2" t="str">
        <f t="shared" si="263"/>
        <v/>
      </c>
      <c r="I179" s="2" t="str">
        <f t="shared" si="263"/>
        <v/>
      </c>
      <c r="J179" s="2" t="str">
        <f t="shared" si="263"/>
        <v/>
      </c>
      <c r="M179" s="180" t="str">
        <f>M178</f>
        <v/>
      </c>
      <c r="N179" s="2" t="str">
        <f t="shared" ref="N179" si="264">N178</f>
        <v/>
      </c>
      <c r="O179" s="2">
        <f>O178</f>
        <v>0</v>
      </c>
    </row>
    <row r="180" spans="1:15" x14ac:dyDescent="0.25">
      <c r="A180" s="325">
        <v>1</v>
      </c>
      <c r="B180" s="325">
        <f>TrialNumber</f>
        <v>0</v>
      </c>
      <c r="C180" s="325" t="s">
        <v>17</v>
      </c>
      <c r="D180" s="325">
        <f>Started!C34</f>
        <v>0</v>
      </c>
      <c r="E180" s="325" t="str">
        <f>IF(Started!B34="W","W","A")</f>
        <v>A</v>
      </c>
      <c r="F180" s="325" t="s">
        <v>1736</v>
      </c>
      <c r="G180" s="325" t="str">
        <f>IF(Started!W34="e","Y","")</f>
        <v/>
      </c>
      <c r="H180" s="325" t="str">
        <f>IFERROR(VLOOKUP($D180,'SDDA Dogs'!$A:$AE,2,FALSE),"")</f>
        <v/>
      </c>
      <c r="I180" s="325" t="str">
        <f>IFERROR(VLOOKUP($D180,'SDDA Dogs'!$A:$AE,3,FALSE),"")</f>
        <v/>
      </c>
      <c r="J180" s="325" t="str">
        <f>IFERROR(VLOOKUP($D180,'SDDA Dogs'!$A:$AE,6,FALSE),"")</f>
        <v/>
      </c>
      <c r="K180" s="325"/>
      <c r="L180" s="325"/>
      <c r="M180" s="326" t="str">
        <f>TrialDate</f>
        <v/>
      </c>
      <c r="N180" s="325" t="str">
        <f t="shared" ref="N180" si="265">N179</f>
        <v/>
      </c>
      <c r="O180" s="325">
        <f>JudgeD1ESS</f>
        <v>0</v>
      </c>
    </row>
    <row r="181" spans="1:15" x14ac:dyDescent="0.25">
      <c r="A181" s="2">
        <v>2</v>
      </c>
      <c r="B181" s="2">
        <f t="shared" ref="B181:J181" si="266">B180</f>
        <v>0</v>
      </c>
      <c r="C181" s="2" t="str">
        <f t="shared" si="266"/>
        <v>ESS</v>
      </c>
      <c r="D181" s="2">
        <f t="shared" si="266"/>
        <v>0</v>
      </c>
      <c r="E181" s="2" t="str">
        <f t="shared" si="266"/>
        <v>A</v>
      </c>
      <c r="F181" s="2" t="str">
        <f t="shared" si="266"/>
        <v>Exterior Started</v>
      </c>
      <c r="G181" s="2" t="str">
        <f t="shared" si="266"/>
        <v/>
      </c>
      <c r="H181" s="2" t="str">
        <f t="shared" si="266"/>
        <v/>
      </c>
      <c r="I181" s="2" t="str">
        <f t="shared" si="266"/>
        <v/>
      </c>
      <c r="J181" s="2" t="str">
        <f t="shared" si="266"/>
        <v/>
      </c>
      <c r="M181" s="180" t="str">
        <f>M180</f>
        <v/>
      </c>
      <c r="N181" s="2" t="str">
        <f t="shared" ref="N181" si="267">N180</f>
        <v/>
      </c>
      <c r="O181" s="2">
        <f>O180</f>
        <v>0</v>
      </c>
    </row>
    <row r="182" spans="1:15" x14ac:dyDescent="0.25">
      <c r="A182" s="329">
        <v>1</v>
      </c>
      <c r="B182" s="329">
        <f>TrialNumber</f>
        <v>0</v>
      </c>
      <c r="C182" s="329" t="s">
        <v>18</v>
      </c>
      <c r="D182" s="329">
        <f>Advanced!C5</f>
        <v>0</v>
      </c>
      <c r="E182" s="329" t="str">
        <f>IF(Advanced!B5="W","W","A")</f>
        <v>A</v>
      </c>
      <c r="F182" s="329" t="s">
        <v>1737</v>
      </c>
      <c r="G182" s="329" t="str">
        <f>IF(Advanced!G5="e","Y","")</f>
        <v/>
      </c>
      <c r="H182" s="329" t="str">
        <f>IFERROR(VLOOKUP($D182,'SDDA Dogs'!$A:$AE,2,FALSE),"")</f>
        <v/>
      </c>
      <c r="I182" s="329" t="str">
        <f>IFERROR(VLOOKUP($D182,'SDDA Dogs'!$A:$AE,3,FALSE),"")</f>
        <v/>
      </c>
      <c r="J182" s="329" t="str">
        <f>IFERROR(VLOOKUP($D182,'SDDA Dogs'!$A:$AE,6,FALSE),"")</f>
        <v/>
      </c>
      <c r="K182" s="329" t="str">
        <f>IF(Advanced!AS5="","",Advanced!AS5)</f>
        <v/>
      </c>
      <c r="L182" s="329" t="str">
        <f>IF(Advanced!AT5="","",Advanced!AT5)</f>
        <v/>
      </c>
      <c r="M182" s="330" t="str">
        <f>TrialDate</f>
        <v/>
      </c>
      <c r="N182" s="325" t="str">
        <f t="shared" ref="N182" si="268">N181</f>
        <v/>
      </c>
      <c r="O182" s="329">
        <f>JudgeD1CSA</f>
        <v>0</v>
      </c>
    </row>
    <row r="183" spans="1:15" x14ac:dyDescent="0.25">
      <c r="A183" s="2">
        <v>2</v>
      </c>
      <c r="B183" s="2">
        <f t="shared" ref="B183:O217" si="269">B182</f>
        <v>0</v>
      </c>
      <c r="C183" s="2" t="str">
        <f t="shared" si="269"/>
        <v>CSA</v>
      </c>
      <c r="D183" s="2">
        <f t="shared" si="269"/>
        <v>0</v>
      </c>
      <c r="E183" s="2" t="str">
        <f t="shared" si="269"/>
        <v>A</v>
      </c>
      <c r="F183" s="2" t="str">
        <f t="shared" si="269"/>
        <v>Container Advanced</v>
      </c>
      <c r="G183" s="2" t="str">
        <f t="shared" si="269"/>
        <v/>
      </c>
      <c r="H183" s="2" t="str">
        <f t="shared" si="269"/>
        <v/>
      </c>
      <c r="I183" s="2" t="str">
        <f t="shared" si="269"/>
        <v/>
      </c>
      <c r="J183" s="2" t="str">
        <f t="shared" si="269"/>
        <v/>
      </c>
      <c r="K183" s="2" t="str">
        <f t="shared" si="269"/>
        <v/>
      </c>
      <c r="L183" s="2" t="str">
        <f t="shared" si="269"/>
        <v/>
      </c>
      <c r="M183" s="180" t="str">
        <f t="shared" si="269"/>
        <v/>
      </c>
      <c r="N183" s="2" t="str">
        <f t="shared" si="269"/>
        <v/>
      </c>
      <c r="O183" s="2">
        <f t="shared" si="269"/>
        <v>0</v>
      </c>
    </row>
    <row r="184" spans="1:15" x14ac:dyDescent="0.25">
      <c r="A184" s="325">
        <v>1</v>
      </c>
      <c r="B184" s="325">
        <f>TrialNumber</f>
        <v>0</v>
      </c>
      <c r="C184" s="325" t="s">
        <v>18</v>
      </c>
      <c r="D184" s="325">
        <f>Advanced!C6</f>
        <v>0</v>
      </c>
      <c r="E184" s="325" t="str">
        <f>IF(Advanced!B6="W","W","A")</f>
        <v>A</v>
      </c>
      <c r="F184" s="325" t="s">
        <v>1737</v>
      </c>
      <c r="G184" s="325" t="str">
        <f>IF(Advanced!G6="e","Y","")</f>
        <v/>
      </c>
      <c r="H184" s="325" t="str">
        <f>IFERROR(VLOOKUP($D184,'SDDA Dogs'!$A:$AE,2,FALSE),"")</f>
        <v/>
      </c>
      <c r="I184" s="325" t="str">
        <f>IFERROR(VLOOKUP($D184,'SDDA Dogs'!$A:$AE,3,FALSE),"")</f>
        <v/>
      </c>
      <c r="J184" s="325" t="str">
        <f>IFERROR(VLOOKUP($D184,'SDDA Dogs'!$A:$AE,6,FALSE),"")</f>
        <v/>
      </c>
      <c r="K184" s="325" t="str">
        <f>IF(Advanced!AS6="","",Advanced!AS6)</f>
        <v/>
      </c>
      <c r="L184" s="325" t="str">
        <f>IF(Advanced!AT6="","",Advanced!AT6)</f>
        <v/>
      </c>
      <c r="M184" s="326" t="str">
        <f>TrialDate</f>
        <v/>
      </c>
      <c r="N184" s="325" t="str">
        <f t="shared" ref="N184" si="270">N183</f>
        <v/>
      </c>
      <c r="O184" s="325">
        <f>JudgeD1CSA</f>
        <v>0</v>
      </c>
    </row>
    <row r="185" spans="1:15" x14ac:dyDescent="0.25">
      <c r="A185" s="2">
        <v>2</v>
      </c>
      <c r="B185" s="2">
        <f t="shared" si="269"/>
        <v>0</v>
      </c>
      <c r="C185" s="2" t="str">
        <f t="shared" si="269"/>
        <v>CSA</v>
      </c>
      <c r="D185" s="2">
        <f t="shared" si="269"/>
        <v>0</v>
      </c>
      <c r="E185" s="2" t="str">
        <f t="shared" si="269"/>
        <v>A</v>
      </c>
      <c r="F185" s="2" t="str">
        <f t="shared" si="269"/>
        <v>Container Advanced</v>
      </c>
      <c r="G185" s="2" t="str">
        <f t="shared" si="269"/>
        <v/>
      </c>
      <c r="H185" s="2" t="str">
        <f t="shared" si="269"/>
        <v/>
      </c>
      <c r="I185" s="2" t="str">
        <f t="shared" si="269"/>
        <v/>
      </c>
      <c r="J185" s="2" t="str">
        <f t="shared" si="269"/>
        <v/>
      </c>
      <c r="K185" s="2" t="str">
        <f t="shared" si="269"/>
        <v/>
      </c>
      <c r="L185" s="2" t="str">
        <f t="shared" si="269"/>
        <v/>
      </c>
      <c r="M185" s="180" t="str">
        <f t="shared" si="269"/>
        <v/>
      </c>
      <c r="N185" s="2" t="str">
        <f t="shared" si="269"/>
        <v/>
      </c>
      <c r="O185" s="2">
        <f t="shared" si="269"/>
        <v>0</v>
      </c>
    </row>
    <row r="186" spans="1:15" x14ac:dyDescent="0.25">
      <c r="A186" s="325">
        <v>1</v>
      </c>
      <c r="B186" s="325">
        <f>TrialNumber</f>
        <v>0</v>
      </c>
      <c r="C186" s="325" t="s">
        <v>18</v>
      </c>
      <c r="D186" s="325">
        <f>Advanced!C7</f>
        <v>0</v>
      </c>
      <c r="E186" s="325" t="str">
        <f>IF(Advanced!B7="W","W","A")</f>
        <v>A</v>
      </c>
      <c r="F186" s="325" t="s">
        <v>1737</v>
      </c>
      <c r="G186" s="325" t="str">
        <f>IF(Advanced!G7="e","Y","")</f>
        <v/>
      </c>
      <c r="H186" s="325" t="str">
        <f>IFERROR(VLOOKUP($D186,'SDDA Dogs'!$A:$AE,2,FALSE),"")</f>
        <v/>
      </c>
      <c r="I186" s="325" t="str">
        <f>IFERROR(VLOOKUP($D186,'SDDA Dogs'!$A:$AE,3,FALSE),"")</f>
        <v/>
      </c>
      <c r="J186" s="325" t="str">
        <f>IFERROR(VLOOKUP($D186,'SDDA Dogs'!$A:$AE,6,FALSE),"")</f>
        <v/>
      </c>
      <c r="K186" s="325" t="str">
        <f>IF(Advanced!AS7="","",Advanced!AS7)</f>
        <v/>
      </c>
      <c r="L186" s="325" t="str">
        <f>IF(Advanced!AT7="","",Advanced!AT7)</f>
        <v/>
      </c>
      <c r="M186" s="326" t="str">
        <f>TrialDate</f>
        <v/>
      </c>
      <c r="N186" s="325" t="str">
        <f t="shared" ref="N186" si="271">N185</f>
        <v/>
      </c>
      <c r="O186" s="325">
        <f>JudgeD1CSA</f>
        <v>0</v>
      </c>
    </row>
    <row r="187" spans="1:15" x14ac:dyDescent="0.25">
      <c r="A187" s="2">
        <v>2</v>
      </c>
      <c r="B187" s="2">
        <f t="shared" si="269"/>
        <v>0</v>
      </c>
      <c r="C187" s="2" t="str">
        <f t="shared" si="269"/>
        <v>CSA</v>
      </c>
      <c r="D187" s="2">
        <f t="shared" si="269"/>
        <v>0</v>
      </c>
      <c r="E187" s="2" t="str">
        <f t="shared" si="269"/>
        <v>A</v>
      </c>
      <c r="F187" s="2" t="str">
        <f t="shared" si="269"/>
        <v>Container Advanced</v>
      </c>
      <c r="G187" s="2" t="str">
        <f t="shared" si="269"/>
        <v/>
      </c>
      <c r="H187" s="2" t="str">
        <f t="shared" si="269"/>
        <v/>
      </c>
      <c r="I187" s="2" t="str">
        <f t="shared" si="269"/>
        <v/>
      </c>
      <c r="J187" s="2" t="str">
        <f t="shared" si="269"/>
        <v/>
      </c>
      <c r="K187" s="2" t="str">
        <f t="shared" si="269"/>
        <v/>
      </c>
      <c r="L187" s="2" t="str">
        <f t="shared" si="269"/>
        <v/>
      </c>
      <c r="M187" s="180" t="str">
        <f t="shared" si="269"/>
        <v/>
      </c>
      <c r="N187" s="2" t="str">
        <f t="shared" si="269"/>
        <v/>
      </c>
      <c r="O187" s="2">
        <f t="shared" si="269"/>
        <v>0</v>
      </c>
    </row>
    <row r="188" spans="1:15" x14ac:dyDescent="0.25">
      <c r="A188" s="325">
        <v>1</v>
      </c>
      <c r="B188" s="325">
        <f>TrialNumber</f>
        <v>0</v>
      </c>
      <c r="C188" s="325" t="s">
        <v>18</v>
      </c>
      <c r="D188" s="325">
        <f>Advanced!C8</f>
        <v>0</v>
      </c>
      <c r="E188" s="325" t="str">
        <f>IF(Advanced!B8="W","W","A")</f>
        <v>A</v>
      </c>
      <c r="F188" s="325" t="s">
        <v>1737</v>
      </c>
      <c r="G188" s="325" t="str">
        <f>IF(Advanced!G8="e","Y","")</f>
        <v/>
      </c>
      <c r="H188" s="325" t="str">
        <f>IFERROR(VLOOKUP($D188,'SDDA Dogs'!$A:$AE,2,FALSE),"")</f>
        <v/>
      </c>
      <c r="I188" s="325" t="str">
        <f>IFERROR(VLOOKUP($D188,'SDDA Dogs'!$A:$AE,3,FALSE),"")</f>
        <v/>
      </c>
      <c r="J188" s="325" t="str">
        <f>IFERROR(VLOOKUP($D188,'SDDA Dogs'!$A:$AE,6,FALSE),"")</f>
        <v/>
      </c>
      <c r="K188" s="325" t="str">
        <f>IF(Advanced!AS8="","",Advanced!AS8)</f>
        <v/>
      </c>
      <c r="L188" s="325" t="str">
        <f>IF(Advanced!AT8="","",Advanced!AT8)</f>
        <v/>
      </c>
      <c r="M188" s="326" t="str">
        <f>TrialDate</f>
        <v/>
      </c>
      <c r="N188" s="325" t="str">
        <f t="shared" ref="N188" si="272">N187</f>
        <v/>
      </c>
      <c r="O188" s="325">
        <f>JudgeD1CSA</f>
        <v>0</v>
      </c>
    </row>
    <row r="189" spans="1:15" x14ac:dyDescent="0.25">
      <c r="A189" s="2">
        <v>2</v>
      </c>
      <c r="B189" s="2">
        <f t="shared" si="269"/>
        <v>0</v>
      </c>
      <c r="C189" s="2" t="str">
        <f t="shared" si="269"/>
        <v>CSA</v>
      </c>
      <c r="D189" s="2">
        <f t="shared" si="269"/>
        <v>0</v>
      </c>
      <c r="E189" s="2" t="str">
        <f t="shared" si="269"/>
        <v>A</v>
      </c>
      <c r="F189" s="2" t="str">
        <f t="shared" si="269"/>
        <v>Container Advanced</v>
      </c>
      <c r="G189" s="2" t="str">
        <f t="shared" si="269"/>
        <v/>
      </c>
      <c r="H189" s="2" t="str">
        <f t="shared" si="269"/>
        <v/>
      </c>
      <c r="I189" s="2" t="str">
        <f t="shared" si="269"/>
        <v/>
      </c>
      <c r="J189" s="2" t="str">
        <f t="shared" si="269"/>
        <v/>
      </c>
      <c r="K189" s="2" t="str">
        <f t="shared" si="269"/>
        <v/>
      </c>
      <c r="L189" s="2" t="str">
        <f t="shared" si="269"/>
        <v/>
      </c>
      <c r="M189" s="180" t="str">
        <f t="shared" si="269"/>
        <v/>
      </c>
      <c r="N189" s="2" t="str">
        <f t="shared" ref="N189" si="273">N188</f>
        <v/>
      </c>
      <c r="O189" s="2">
        <f t="shared" si="269"/>
        <v>0</v>
      </c>
    </row>
    <row r="190" spans="1:15" x14ac:dyDescent="0.25">
      <c r="A190" s="325">
        <v>1</v>
      </c>
      <c r="B190" s="325">
        <f>TrialNumber</f>
        <v>0</v>
      </c>
      <c r="C190" s="325" t="s">
        <v>18</v>
      </c>
      <c r="D190" s="325">
        <f>Advanced!C9</f>
        <v>0</v>
      </c>
      <c r="E190" s="325" t="str">
        <f>IF(Advanced!B9="W","W","A")</f>
        <v>A</v>
      </c>
      <c r="F190" s="325" t="s">
        <v>1737</v>
      </c>
      <c r="G190" s="325" t="str">
        <f>IF(Advanced!G9="e","Y","")</f>
        <v/>
      </c>
      <c r="H190" s="325" t="str">
        <f>IFERROR(VLOOKUP($D190,'SDDA Dogs'!$A:$AE,2,FALSE),"")</f>
        <v/>
      </c>
      <c r="I190" s="325" t="str">
        <f>IFERROR(VLOOKUP($D190,'SDDA Dogs'!$A:$AE,3,FALSE),"")</f>
        <v/>
      </c>
      <c r="J190" s="325" t="str">
        <f>IFERROR(VLOOKUP($D190,'SDDA Dogs'!$A:$AE,6,FALSE),"")</f>
        <v/>
      </c>
      <c r="K190" s="325" t="str">
        <f>IF(Advanced!AS9="","",Advanced!AS9)</f>
        <v/>
      </c>
      <c r="L190" s="325" t="str">
        <f>IF(Advanced!AT9="","",Advanced!AT9)</f>
        <v/>
      </c>
      <c r="M190" s="326" t="str">
        <f>TrialDate</f>
        <v/>
      </c>
      <c r="N190" s="325" t="str">
        <f t="shared" ref="N190" si="274">N189</f>
        <v/>
      </c>
      <c r="O190" s="325">
        <f>JudgeD1CSA</f>
        <v>0</v>
      </c>
    </row>
    <row r="191" spans="1:15" x14ac:dyDescent="0.25">
      <c r="A191" s="2">
        <v>2</v>
      </c>
      <c r="B191" s="2">
        <f t="shared" si="269"/>
        <v>0</v>
      </c>
      <c r="C191" s="2" t="str">
        <f t="shared" si="269"/>
        <v>CSA</v>
      </c>
      <c r="D191" s="2">
        <f t="shared" si="269"/>
        <v>0</v>
      </c>
      <c r="E191" s="2" t="str">
        <f t="shared" si="269"/>
        <v>A</v>
      </c>
      <c r="F191" s="2" t="str">
        <f t="shared" si="269"/>
        <v>Container Advanced</v>
      </c>
      <c r="G191" s="2" t="str">
        <f t="shared" si="269"/>
        <v/>
      </c>
      <c r="H191" s="2" t="str">
        <f t="shared" si="269"/>
        <v/>
      </c>
      <c r="I191" s="2" t="str">
        <f t="shared" si="269"/>
        <v/>
      </c>
      <c r="J191" s="2" t="str">
        <f t="shared" si="269"/>
        <v/>
      </c>
      <c r="K191" s="2" t="str">
        <f t="shared" si="269"/>
        <v/>
      </c>
      <c r="L191" s="2" t="str">
        <f t="shared" si="269"/>
        <v/>
      </c>
      <c r="M191" s="180" t="str">
        <f t="shared" si="269"/>
        <v/>
      </c>
      <c r="N191" s="2" t="str">
        <f t="shared" ref="N191" si="275">N190</f>
        <v/>
      </c>
      <c r="O191" s="2">
        <f t="shared" si="269"/>
        <v>0</v>
      </c>
    </row>
    <row r="192" spans="1:15" x14ac:dyDescent="0.25">
      <c r="A192" s="325">
        <v>1</v>
      </c>
      <c r="B192" s="325">
        <f>TrialNumber</f>
        <v>0</v>
      </c>
      <c r="C192" s="325" t="s">
        <v>18</v>
      </c>
      <c r="D192" s="325">
        <f>Advanced!C10</f>
        <v>0</v>
      </c>
      <c r="E192" s="325" t="str">
        <f>IF(Advanced!B10="W","W","A")</f>
        <v>A</v>
      </c>
      <c r="F192" s="325" t="s">
        <v>1737</v>
      </c>
      <c r="G192" s="325" t="str">
        <f>IF(Advanced!G10="e","Y","")</f>
        <v/>
      </c>
      <c r="H192" s="325" t="str">
        <f>IFERROR(VLOOKUP($D192,'SDDA Dogs'!$A:$AE,2,FALSE),"")</f>
        <v/>
      </c>
      <c r="I192" s="325" t="str">
        <f>IFERROR(VLOOKUP($D192,'SDDA Dogs'!$A:$AE,3,FALSE),"")</f>
        <v/>
      </c>
      <c r="J192" s="325" t="str">
        <f>IFERROR(VLOOKUP($D192,'SDDA Dogs'!$A:$AE,6,FALSE),"")</f>
        <v/>
      </c>
      <c r="K192" s="325" t="str">
        <f>IF(Advanced!AS10="","",Advanced!AS10)</f>
        <v/>
      </c>
      <c r="L192" s="325" t="str">
        <f>IF(Advanced!AT10="","",Advanced!AT10)</f>
        <v/>
      </c>
      <c r="M192" s="326" t="str">
        <f>TrialDate</f>
        <v/>
      </c>
      <c r="N192" s="325" t="str">
        <f t="shared" ref="N192" si="276">N191</f>
        <v/>
      </c>
      <c r="O192" s="325">
        <f>JudgeD1CSA</f>
        <v>0</v>
      </c>
    </row>
    <row r="193" spans="1:15" x14ac:dyDescent="0.25">
      <c r="A193" s="2">
        <v>2</v>
      </c>
      <c r="B193" s="2">
        <f t="shared" si="269"/>
        <v>0</v>
      </c>
      <c r="C193" s="2" t="str">
        <f t="shared" si="269"/>
        <v>CSA</v>
      </c>
      <c r="D193" s="2">
        <f t="shared" si="269"/>
        <v>0</v>
      </c>
      <c r="E193" s="2" t="str">
        <f t="shared" si="269"/>
        <v>A</v>
      </c>
      <c r="F193" s="2" t="str">
        <f t="shared" si="269"/>
        <v>Container Advanced</v>
      </c>
      <c r="G193" s="2" t="str">
        <f t="shared" si="269"/>
        <v/>
      </c>
      <c r="H193" s="2" t="str">
        <f t="shared" si="269"/>
        <v/>
      </c>
      <c r="I193" s="2" t="str">
        <f t="shared" si="269"/>
        <v/>
      </c>
      <c r="J193" s="2" t="str">
        <f t="shared" si="269"/>
        <v/>
      </c>
      <c r="K193" s="2" t="str">
        <f t="shared" si="269"/>
        <v/>
      </c>
      <c r="L193" s="2" t="str">
        <f t="shared" si="269"/>
        <v/>
      </c>
      <c r="M193" s="180" t="str">
        <f t="shared" si="269"/>
        <v/>
      </c>
      <c r="N193" s="2" t="str">
        <f t="shared" ref="N193" si="277">N192</f>
        <v/>
      </c>
      <c r="O193" s="2">
        <f t="shared" si="269"/>
        <v>0</v>
      </c>
    </row>
    <row r="194" spans="1:15" x14ac:dyDescent="0.25">
      <c r="A194" s="325">
        <v>1</v>
      </c>
      <c r="B194" s="325">
        <f>TrialNumber</f>
        <v>0</v>
      </c>
      <c r="C194" s="325" t="s">
        <v>18</v>
      </c>
      <c r="D194" s="325">
        <f>Advanced!C11</f>
        <v>0</v>
      </c>
      <c r="E194" s="325" t="str">
        <f>IF(Advanced!B11="W","W","A")</f>
        <v>A</v>
      </c>
      <c r="F194" s="325" t="s">
        <v>1737</v>
      </c>
      <c r="G194" s="325" t="str">
        <f>IF(Advanced!G11="e","Y","")</f>
        <v/>
      </c>
      <c r="H194" s="325" t="str">
        <f>IFERROR(VLOOKUP($D194,'SDDA Dogs'!$A:$AE,2,FALSE),"")</f>
        <v/>
      </c>
      <c r="I194" s="325" t="str">
        <f>IFERROR(VLOOKUP($D194,'SDDA Dogs'!$A:$AE,3,FALSE),"")</f>
        <v/>
      </c>
      <c r="J194" s="325" t="str">
        <f>IFERROR(VLOOKUP($D194,'SDDA Dogs'!$A:$AE,6,FALSE),"")</f>
        <v/>
      </c>
      <c r="K194" s="325" t="str">
        <f>IF(Advanced!AS11="","",Advanced!AS11)</f>
        <v/>
      </c>
      <c r="L194" s="325" t="str">
        <f>IF(Advanced!AT11="","",Advanced!AT11)</f>
        <v/>
      </c>
      <c r="M194" s="326" t="str">
        <f>TrialDate</f>
        <v/>
      </c>
      <c r="N194" s="325" t="str">
        <f t="shared" ref="N194" si="278">N193</f>
        <v/>
      </c>
      <c r="O194" s="325">
        <f>JudgeD1CSA</f>
        <v>0</v>
      </c>
    </row>
    <row r="195" spans="1:15" x14ac:dyDescent="0.25">
      <c r="A195" s="2">
        <v>2</v>
      </c>
      <c r="B195" s="2">
        <f t="shared" si="269"/>
        <v>0</v>
      </c>
      <c r="C195" s="2" t="str">
        <f t="shared" si="269"/>
        <v>CSA</v>
      </c>
      <c r="D195" s="2">
        <f t="shared" si="269"/>
        <v>0</v>
      </c>
      <c r="E195" s="2" t="str">
        <f t="shared" si="269"/>
        <v>A</v>
      </c>
      <c r="F195" s="2" t="str">
        <f t="shared" si="269"/>
        <v>Container Advanced</v>
      </c>
      <c r="G195" s="2" t="str">
        <f t="shared" si="269"/>
        <v/>
      </c>
      <c r="H195" s="2" t="str">
        <f t="shared" si="269"/>
        <v/>
      </c>
      <c r="I195" s="2" t="str">
        <f t="shared" si="269"/>
        <v/>
      </c>
      <c r="J195" s="2" t="str">
        <f t="shared" si="269"/>
        <v/>
      </c>
      <c r="K195" s="2" t="str">
        <f t="shared" si="269"/>
        <v/>
      </c>
      <c r="L195" s="2" t="str">
        <f t="shared" si="269"/>
        <v/>
      </c>
      <c r="M195" s="180" t="str">
        <f t="shared" si="269"/>
        <v/>
      </c>
      <c r="N195" s="2" t="str">
        <f t="shared" ref="N195" si="279">N194</f>
        <v/>
      </c>
      <c r="O195" s="2">
        <f t="shared" si="269"/>
        <v>0</v>
      </c>
    </row>
    <row r="196" spans="1:15" x14ac:dyDescent="0.25">
      <c r="A196" s="325">
        <v>1</v>
      </c>
      <c r="B196" s="325">
        <f>TrialNumber</f>
        <v>0</v>
      </c>
      <c r="C196" s="325" t="s">
        <v>18</v>
      </c>
      <c r="D196" s="325">
        <f>Advanced!C12</f>
        <v>0</v>
      </c>
      <c r="E196" s="325" t="str">
        <f>IF(Advanced!B12="W","W","A")</f>
        <v>A</v>
      </c>
      <c r="F196" s="325" t="s">
        <v>1737</v>
      </c>
      <c r="G196" s="325" t="str">
        <f>IF(Advanced!G12="e","Y","")</f>
        <v/>
      </c>
      <c r="H196" s="325" t="str">
        <f>IFERROR(VLOOKUP($D196,'SDDA Dogs'!$A:$AE,2,FALSE),"")</f>
        <v/>
      </c>
      <c r="I196" s="325" t="str">
        <f>IFERROR(VLOOKUP($D196,'SDDA Dogs'!$A:$AE,3,FALSE),"")</f>
        <v/>
      </c>
      <c r="J196" s="325" t="str">
        <f>IFERROR(VLOOKUP($D196,'SDDA Dogs'!$A:$AE,6,FALSE),"")</f>
        <v/>
      </c>
      <c r="K196" s="325" t="str">
        <f>IF(Advanced!AS12="","",Advanced!AS12)</f>
        <v/>
      </c>
      <c r="L196" s="325" t="str">
        <f>IF(Advanced!AT12="","",Advanced!AT12)</f>
        <v/>
      </c>
      <c r="M196" s="326" t="str">
        <f>TrialDate</f>
        <v/>
      </c>
      <c r="N196" s="325" t="str">
        <f t="shared" ref="N196" si="280">N195</f>
        <v/>
      </c>
      <c r="O196" s="325">
        <f>JudgeD1CSA</f>
        <v>0</v>
      </c>
    </row>
    <row r="197" spans="1:15" x14ac:dyDescent="0.25">
      <c r="A197" s="2">
        <v>2</v>
      </c>
      <c r="B197" s="2">
        <f t="shared" si="269"/>
        <v>0</v>
      </c>
      <c r="C197" s="2" t="str">
        <f t="shared" si="269"/>
        <v>CSA</v>
      </c>
      <c r="D197" s="2">
        <f t="shared" si="269"/>
        <v>0</v>
      </c>
      <c r="E197" s="2" t="str">
        <f t="shared" si="269"/>
        <v>A</v>
      </c>
      <c r="F197" s="2" t="str">
        <f t="shared" si="269"/>
        <v>Container Advanced</v>
      </c>
      <c r="G197" s="2" t="str">
        <f t="shared" si="269"/>
        <v/>
      </c>
      <c r="H197" s="2" t="str">
        <f t="shared" si="269"/>
        <v/>
      </c>
      <c r="I197" s="2" t="str">
        <f t="shared" si="269"/>
        <v/>
      </c>
      <c r="J197" s="2" t="str">
        <f t="shared" si="269"/>
        <v/>
      </c>
      <c r="K197" s="2" t="str">
        <f t="shared" si="269"/>
        <v/>
      </c>
      <c r="L197" s="2" t="str">
        <f t="shared" si="269"/>
        <v/>
      </c>
      <c r="M197" s="180" t="str">
        <f t="shared" si="269"/>
        <v/>
      </c>
      <c r="N197" s="2" t="str">
        <f t="shared" ref="N197" si="281">N196</f>
        <v/>
      </c>
      <c r="O197" s="2">
        <f t="shared" si="269"/>
        <v>0</v>
      </c>
    </row>
    <row r="198" spans="1:15" x14ac:dyDescent="0.25">
      <c r="A198" s="325">
        <v>1</v>
      </c>
      <c r="B198" s="325">
        <f>TrialNumber</f>
        <v>0</v>
      </c>
      <c r="C198" s="325" t="s">
        <v>18</v>
      </c>
      <c r="D198" s="325">
        <f>Advanced!C13</f>
        <v>0</v>
      </c>
      <c r="E198" s="325" t="str">
        <f>IF(Advanced!B13="W","W","A")</f>
        <v>A</v>
      </c>
      <c r="F198" s="325" t="s">
        <v>1737</v>
      </c>
      <c r="G198" s="325" t="str">
        <f>IF(Advanced!G13="e","Y","")</f>
        <v/>
      </c>
      <c r="H198" s="325" t="str">
        <f>IFERROR(VLOOKUP($D198,'SDDA Dogs'!$A:$AE,2,FALSE),"")</f>
        <v/>
      </c>
      <c r="I198" s="325" t="str">
        <f>IFERROR(VLOOKUP($D198,'SDDA Dogs'!$A:$AE,3,FALSE),"")</f>
        <v/>
      </c>
      <c r="J198" s="325" t="str">
        <f>IFERROR(VLOOKUP($D198,'SDDA Dogs'!$A:$AE,6,FALSE),"")</f>
        <v/>
      </c>
      <c r="K198" s="325" t="str">
        <f>IF(Advanced!AS13="","",Advanced!AS13)</f>
        <v/>
      </c>
      <c r="L198" s="325" t="str">
        <f>IF(Advanced!AT13="","",Advanced!AT13)</f>
        <v/>
      </c>
      <c r="M198" s="326" t="str">
        <f>TrialDate</f>
        <v/>
      </c>
      <c r="N198" s="325" t="str">
        <f t="shared" ref="N198" si="282">N197</f>
        <v/>
      </c>
      <c r="O198" s="325">
        <f>JudgeD1CSA</f>
        <v>0</v>
      </c>
    </row>
    <row r="199" spans="1:15" x14ac:dyDescent="0.25">
      <c r="A199" s="2">
        <v>2</v>
      </c>
      <c r="B199" s="2">
        <f t="shared" si="269"/>
        <v>0</v>
      </c>
      <c r="C199" s="2" t="str">
        <f t="shared" si="269"/>
        <v>CSA</v>
      </c>
      <c r="D199" s="2">
        <f t="shared" si="269"/>
        <v>0</v>
      </c>
      <c r="E199" s="2" t="str">
        <f t="shared" si="269"/>
        <v>A</v>
      </c>
      <c r="F199" s="2" t="str">
        <f t="shared" si="269"/>
        <v>Container Advanced</v>
      </c>
      <c r="G199" s="2" t="str">
        <f t="shared" si="269"/>
        <v/>
      </c>
      <c r="H199" s="2" t="str">
        <f t="shared" si="269"/>
        <v/>
      </c>
      <c r="I199" s="2" t="str">
        <f t="shared" si="269"/>
        <v/>
      </c>
      <c r="J199" s="2" t="str">
        <f t="shared" si="269"/>
        <v/>
      </c>
      <c r="K199" s="2" t="str">
        <f t="shared" si="269"/>
        <v/>
      </c>
      <c r="L199" s="2" t="str">
        <f t="shared" si="269"/>
        <v/>
      </c>
      <c r="M199" s="180" t="str">
        <f t="shared" si="269"/>
        <v/>
      </c>
      <c r="N199" s="2" t="str">
        <f t="shared" ref="N199" si="283">N198</f>
        <v/>
      </c>
      <c r="O199" s="2">
        <f t="shared" si="269"/>
        <v>0</v>
      </c>
    </row>
    <row r="200" spans="1:15" x14ac:dyDescent="0.25">
      <c r="A200" s="325">
        <v>1</v>
      </c>
      <c r="B200" s="325">
        <f>TrialNumber</f>
        <v>0</v>
      </c>
      <c r="C200" s="325" t="s">
        <v>18</v>
      </c>
      <c r="D200" s="325">
        <f>Advanced!C14</f>
        <v>0</v>
      </c>
      <c r="E200" s="325" t="str">
        <f>IF(Advanced!B14="W","W","A")</f>
        <v>A</v>
      </c>
      <c r="F200" s="325" t="s">
        <v>1737</v>
      </c>
      <c r="G200" s="325" t="str">
        <f>IF(Advanced!G14="e","Y","")</f>
        <v/>
      </c>
      <c r="H200" s="325" t="str">
        <f>IFERROR(VLOOKUP($D200,'SDDA Dogs'!$A:$AE,2,FALSE),"")</f>
        <v/>
      </c>
      <c r="I200" s="325" t="str">
        <f>IFERROR(VLOOKUP($D200,'SDDA Dogs'!$A:$AE,3,FALSE),"")</f>
        <v/>
      </c>
      <c r="J200" s="325" t="str">
        <f>IFERROR(VLOOKUP($D200,'SDDA Dogs'!$A:$AE,6,FALSE),"")</f>
        <v/>
      </c>
      <c r="K200" s="325" t="str">
        <f>IF(Advanced!AS14="","",Advanced!AS14)</f>
        <v/>
      </c>
      <c r="L200" s="325" t="str">
        <f>IF(Advanced!AT14="","",Advanced!AT14)</f>
        <v/>
      </c>
      <c r="M200" s="326" t="str">
        <f>TrialDate</f>
        <v/>
      </c>
      <c r="N200" s="325" t="str">
        <f t="shared" ref="N200" si="284">N199</f>
        <v/>
      </c>
      <c r="O200" s="325">
        <f>JudgeD1CSA</f>
        <v>0</v>
      </c>
    </row>
    <row r="201" spans="1:15" x14ac:dyDescent="0.25">
      <c r="A201" s="2">
        <v>2</v>
      </c>
      <c r="B201" s="2">
        <f t="shared" si="269"/>
        <v>0</v>
      </c>
      <c r="C201" s="2" t="str">
        <f t="shared" si="269"/>
        <v>CSA</v>
      </c>
      <c r="D201" s="2">
        <f t="shared" si="269"/>
        <v>0</v>
      </c>
      <c r="E201" s="2" t="str">
        <f t="shared" si="269"/>
        <v>A</v>
      </c>
      <c r="F201" s="2" t="str">
        <f t="shared" si="269"/>
        <v>Container Advanced</v>
      </c>
      <c r="G201" s="2" t="str">
        <f t="shared" si="269"/>
        <v/>
      </c>
      <c r="H201" s="2" t="str">
        <f t="shared" si="269"/>
        <v/>
      </c>
      <c r="I201" s="2" t="str">
        <f t="shared" si="269"/>
        <v/>
      </c>
      <c r="J201" s="2" t="str">
        <f t="shared" si="269"/>
        <v/>
      </c>
      <c r="K201" s="2" t="str">
        <f t="shared" si="269"/>
        <v/>
      </c>
      <c r="L201" s="2" t="str">
        <f t="shared" si="269"/>
        <v/>
      </c>
      <c r="M201" s="180" t="str">
        <f t="shared" si="269"/>
        <v/>
      </c>
      <c r="N201" s="2" t="str">
        <f t="shared" ref="N201" si="285">N200</f>
        <v/>
      </c>
      <c r="O201" s="2">
        <f t="shared" si="269"/>
        <v>0</v>
      </c>
    </row>
    <row r="202" spans="1:15" x14ac:dyDescent="0.25">
      <c r="A202" s="325">
        <v>1</v>
      </c>
      <c r="B202" s="325">
        <f>TrialNumber</f>
        <v>0</v>
      </c>
      <c r="C202" s="325" t="s">
        <v>18</v>
      </c>
      <c r="D202" s="325">
        <f>Advanced!C15</f>
        <v>0</v>
      </c>
      <c r="E202" s="325" t="str">
        <f>IF(Advanced!B15="W","W","A")</f>
        <v>A</v>
      </c>
      <c r="F202" s="325" t="s">
        <v>1737</v>
      </c>
      <c r="G202" s="325" t="str">
        <f>IF(Advanced!G15="e","Y","")</f>
        <v/>
      </c>
      <c r="H202" s="325" t="str">
        <f>IFERROR(VLOOKUP($D202,'SDDA Dogs'!$A:$AE,2,FALSE),"")</f>
        <v/>
      </c>
      <c r="I202" s="325" t="str">
        <f>IFERROR(VLOOKUP($D202,'SDDA Dogs'!$A:$AE,3,FALSE),"")</f>
        <v/>
      </c>
      <c r="J202" s="325" t="str">
        <f>IFERROR(VLOOKUP($D202,'SDDA Dogs'!$A:$AE,6,FALSE),"")</f>
        <v/>
      </c>
      <c r="K202" s="325" t="str">
        <f>IF(Advanced!AS15="","",Advanced!AS15)</f>
        <v/>
      </c>
      <c r="L202" s="325" t="str">
        <f>IF(Advanced!AT15="","",Advanced!AT15)</f>
        <v/>
      </c>
      <c r="M202" s="326" t="str">
        <f>TrialDate</f>
        <v/>
      </c>
      <c r="N202" s="325" t="str">
        <f t="shared" ref="N202" si="286">N201</f>
        <v/>
      </c>
      <c r="O202" s="325">
        <f>JudgeD1CSA</f>
        <v>0</v>
      </c>
    </row>
    <row r="203" spans="1:15" x14ac:dyDescent="0.25">
      <c r="A203" s="2">
        <v>2</v>
      </c>
      <c r="B203" s="2">
        <f t="shared" si="269"/>
        <v>0</v>
      </c>
      <c r="C203" s="2" t="str">
        <f t="shared" si="269"/>
        <v>CSA</v>
      </c>
      <c r="D203" s="2">
        <f t="shared" si="269"/>
        <v>0</v>
      </c>
      <c r="E203" s="2" t="str">
        <f t="shared" si="269"/>
        <v>A</v>
      </c>
      <c r="F203" s="2" t="str">
        <f t="shared" si="269"/>
        <v>Container Advanced</v>
      </c>
      <c r="G203" s="2" t="str">
        <f t="shared" si="269"/>
        <v/>
      </c>
      <c r="H203" s="2" t="str">
        <f t="shared" si="269"/>
        <v/>
      </c>
      <c r="I203" s="2" t="str">
        <f t="shared" si="269"/>
        <v/>
      </c>
      <c r="J203" s="2" t="str">
        <f t="shared" si="269"/>
        <v/>
      </c>
      <c r="K203" s="2" t="str">
        <f t="shared" si="269"/>
        <v/>
      </c>
      <c r="L203" s="2" t="str">
        <f t="shared" si="269"/>
        <v/>
      </c>
      <c r="M203" s="180" t="str">
        <f t="shared" si="269"/>
        <v/>
      </c>
      <c r="N203" s="2" t="str">
        <f t="shared" ref="N203" si="287">N202</f>
        <v/>
      </c>
      <c r="O203" s="2">
        <f t="shared" si="269"/>
        <v>0</v>
      </c>
    </row>
    <row r="204" spans="1:15" x14ac:dyDescent="0.25">
      <c r="A204" s="325">
        <v>1</v>
      </c>
      <c r="B204" s="325">
        <f>TrialNumber</f>
        <v>0</v>
      </c>
      <c r="C204" s="325" t="s">
        <v>18</v>
      </c>
      <c r="D204" s="325">
        <f>Advanced!C16</f>
        <v>0</v>
      </c>
      <c r="E204" s="325" t="str">
        <f>IF(Advanced!B16="W","W","A")</f>
        <v>A</v>
      </c>
      <c r="F204" s="325" t="s">
        <v>1737</v>
      </c>
      <c r="G204" s="325" t="str">
        <f>IF(Advanced!G16="e","Y","")</f>
        <v/>
      </c>
      <c r="H204" s="325" t="str">
        <f>IFERROR(VLOOKUP($D204,'SDDA Dogs'!$A:$AE,2,FALSE),"")</f>
        <v/>
      </c>
      <c r="I204" s="325" t="str">
        <f>IFERROR(VLOOKUP($D204,'SDDA Dogs'!$A:$AE,3,FALSE),"")</f>
        <v/>
      </c>
      <c r="J204" s="325" t="str">
        <f>IFERROR(VLOOKUP($D204,'SDDA Dogs'!$A:$AE,6,FALSE),"")</f>
        <v/>
      </c>
      <c r="K204" s="325" t="str">
        <f>IF(Advanced!AS16="","",Advanced!AS16)</f>
        <v/>
      </c>
      <c r="L204" s="325" t="str">
        <f>IF(Advanced!AT16="","",Advanced!AT16)</f>
        <v/>
      </c>
      <c r="M204" s="326" t="str">
        <f>TrialDate</f>
        <v/>
      </c>
      <c r="N204" s="325" t="str">
        <f t="shared" ref="N204" si="288">N203</f>
        <v/>
      </c>
      <c r="O204" s="325">
        <f>JudgeD1CSA</f>
        <v>0</v>
      </c>
    </row>
    <row r="205" spans="1:15" x14ac:dyDescent="0.25">
      <c r="A205" s="2">
        <v>2</v>
      </c>
      <c r="B205" s="2">
        <f t="shared" si="269"/>
        <v>0</v>
      </c>
      <c r="C205" s="2" t="str">
        <f t="shared" si="269"/>
        <v>CSA</v>
      </c>
      <c r="D205" s="2">
        <f t="shared" si="269"/>
        <v>0</v>
      </c>
      <c r="E205" s="2" t="str">
        <f t="shared" si="269"/>
        <v>A</v>
      </c>
      <c r="F205" s="2" t="str">
        <f t="shared" si="269"/>
        <v>Container Advanced</v>
      </c>
      <c r="G205" s="2" t="str">
        <f t="shared" si="269"/>
        <v/>
      </c>
      <c r="H205" s="2" t="str">
        <f t="shared" si="269"/>
        <v/>
      </c>
      <c r="I205" s="2" t="str">
        <f t="shared" si="269"/>
        <v/>
      </c>
      <c r="J205" s="2" t="str">
        <f t="shared" si="269"/>
        <v/>
      </c>
      <c r="K205" s="2" t="str">
        <f t="shared" si="269"/>
        <v/>
      </c>
      <c r="L205" s="2" t="str">
        <f t="shared" si="269"/>
        <v/>
      </c>
      <c r="M205" s="180" t="str">
        <f t="shared" si="269"/>
        <v/>
      </c>
      <c r="N205" s="2" t="str">
        <f t="shared" ref="N205" si="289">N204</f>
        <v/>
      </c>
      <c r="O205" s="2">
        <f t="shared" si="269"/>
        <v>0</v>
      </c>
    </row>
    <row r="206" spans="1:15" x14ac:dyDescent="0.25">
      <c r="A206" s="325">
        <v>1</v>
      </c>
      <c r="B206" s="325">
        <f>TrialNumber</f>
        <v>0</v>
      </c>
      <c r="C206" s="325" t="s">
        <v>18</v>
      </c>
      <c r="D206" s="325">
        <f>Advanced!C17</f>
        <v>0</v>
      </c>
      <c r="E206" s="325" t="str">
        <f>IF(Advanced!B17="W","W","A")</f>
        <v>A</v>
      </c>
      <c r="F206" s="325" t="s">
        <v>1737</v>
      </c>
      <c r="G206" s="325" t="str">
        <f>IF(Advanced!G17="e","Y","")</f>
        <v/>
      </c>
      <c r="H206" s="325" t="str">
        <f>IFERROR(VLOOKUP($D206,'SDDA Dogs'!$A:$AE,2,FALSE),"")</f>
        <v/>
      </c>
      <c r="I206" s="325" t="str">
        <f>IFERROR(VLOOKUP($D206,'SDDA Dogs'!$A:$AE,3,FALSE),"")</f>
        <v/>
      </c>
      <c r="J206" s="325" t="str">
        <f>IFERROR(VLOOKUP($D206,'SDDA Dogs'!$A:$AE,6,FALSE),"")</f>
        <v/>
      </c>
      <c r="K206" s="325" t="str">
        <f>IF(Advanced!AS17="","",Advanced!AS17)</f>
        <v/>
      </c>
      <c r="L206" s="325" t="str">
        <f>IF(Advanced!AT17="","",Advanced!AT17)</f>
        <v/>
      </c>
      <c r="M206" s="326" t="str">
        <f>TrialDate</f>
        <v/>
      </c>
      <c r="N206" s="325" t="str">
        <f t="shared" ref="N206" si="290">N205</f>
        <v/>
      </c>
      <c r="O206" s="325">
        <f>JudgeD1CSA</f>
        <v>0</v>
      </c>
    </row>
    <row r="207" spans="1:15" x14ac:dyDescent="0.25">
      <c r="A207" s="2">
        <v>2</v>
      </c>
      <c r="B207" s="2">
        <f t="shared" si="269"/>
        <v>0</v>
      </c>
      <c r="C207" s="2" t="str">
        <f t="shared" si="269"/>
        <v>CSA</v>
      </c>
      <c r="D207" s="2">
        <f t="shared" si="269"/>
        <v>0</v>
      </c>
      <c r="E207" s="2" t="str">
        <f t="shared" si="269"/>
        <v>A</v>
      </c>
      <c r="F207" s="2" t="str">
        <f t="shared" si="269"/>
        <v>Container Advanced</v>
      </c>
      <c r="G207" s="2" t="str">
        <f t="shared" si="269"/>
        <v/>
      </c>
      <c r="H207" s="2" t="str">
        <f t="shared" si="269"/>
        <v/>
      </c>
      <c r="I207" s="2" t="str">
        <f t="shared" si="269"/>
        <v/>
      </c>
      <c r="J207" s="2" t="str">
        <f t="shared" si="269"/>
        <v/>
      </c>
      <c r="K207" s="2" t="str">
        <f t="shared" si="269"/>
        <v/>
      </c>
      <c r="L207" s="2" t="str">
        <f t="shared" si="269"/>
        <v/>
      </c>
      <c r="M207" s="180" t="str">
        <f t="shared" si="269"/>
        <v/>
      </c>
      <c r="N207" s="2" t="str">
        <f t="shared" ref="N207" si="291">N206</f>
        <v/>
      </c>
      <c r="O207" s="2">
        <f t="shared" si="269"/>
        <v>0</v>
      </c>
    </row>
    <row r="208" spans="1:15" x14ac:dyDescent="0.25">
      <c r="A208" s="325">
        <v>1</v>
      </c>
      <c r="B208" s="325">
        <f>TrialNumber</f>
        <v>0</v>
      </c>
      <c r="C208" s="325" t="s">
        <v>18</v>
      </c>
      <c r="D208" s="325">
        <f>Advanced!C18</f>
        <v>0</v>
      </c>
      <c r="E208" s="325" t="str">
        <f>IF(Advanced!B18="W","W","A")</f>
        <v>A</v>
      </c>
      <c r="F208" s="325" t="s">
        <v>1737</v>
      </c>
      <c r="G208" s="325" t="str">
        <f>IF(Advanced!G18="e","Y","")</f>
        <v/>
      </c>
      <c r="H208" s="325" t="str">
        <f>IFERROR(VLOOKUP($D208,'SDDA Dogs'!$A:$AE,2,FALSE),"")</f>
        <v/>
      </c>
      <c r="I208" s="325" t="str">
        <f>IFERROR(VLOOKUP($D208,'SDDA Dogs'!$A:$AE,3,FALSE),"")</f>
        <v/>
      </c>
      <c r="J208" s="325" t="str">
        <f>IFERROR(VLOOKUP($D208,'SDDA Dogs'!$A:$AE,6,FALSE),"")</f>
        <v/>
      </c>
      <c r="K208" s="325" t="str">
        <f>IF(Advanced!AS18="","",Advanced!AS18)</f>
        <v/>
      </c>
      <c r="L208" s="325" t="str">
        <f>IF(Advanced!AT18="","",Advanced!AT18)</f>
        <v/>
      </c>
      <c r="M208" s="326" t="str">
        <f>TrialDate</f>
        <v/>
      </c>
      <c r="N208" s="325" t="str">
        <f t="shared" ref="N208" si="292">N207</f>
        <v/>
      </c>
      <c r="O208" s="325">
        <f>JudgeD1CSA</f>
        <v>0</v>
      </c>
    </row>
    <row r="209" spans="1:15" x14ac:dyDescent="0.25">
      <c r="A209" s="2">
        <v>2</v>
      </c>
      <c r="B209" s="2">
        <f t="shared" si="269"/>
        <v>0</v>
      </c>
      <c r="C209" s="2" t="str">
        <f t="shared" si="269"/>
        <v>CSA</v>
      </c>
      <c r="D209" s="2">
        <f t="shared" si="269"/>
        <v>0</v>
      </c>
      <c r="E209" s="2" t="str">
        <f t="shared" si="269"/>
        <v>A</v>
      </c>
      <c r="F209" s="2" t="str">
        <f t="shared" si="269"/>
        <v>Container Advanced</v>
      </c>
      <c r="G209" s="2" t="str">
        <f t="shared" si="269"/>
        <v/>
      </c>
      <c r="H209" s="2" t="str">
        <f t="shared" si="269"/>
        <v/>
      </c>
      <c r="I209" s="2" t="str">
        <f t="shared" si="269"/>
        <v/>
      </c>
      <c r="J209" s="2" t="str">
        <f t="shared" si="269"/>
        <v/>
      </c>
      <c r="K209" s="2" t="str">
        <f t="shared" si="269"/>
        <v/>
      </c>
      <c r="L209" s="2" t="str">
        <f t="shared" si="269"/>
        <v/>
      </c>
      <c r="M209" s="180" t="str">
        <f t="shared" si="269"/>
        <v/>
      </c>
      <c r="N209" s="2" t="str">
        <f t="shared" ref="N209" si="293">N208</f>
        <v/>
      </c>
      <c r="O209" s="2">
        <f t="shared" si="269"/>
        <v>0</v>
      </c>
    </row>
    <row r="210" spans="1:15" x14ac:dyDescent="0.25">
      <c r="A210" s="325">
        <v>1</v>
      </c>
      <c r="B210" s="325">
        <f>TrialNumber</f>
        <v>0</v>
      </c>
      <c r="C210" s="325" t="s">
        <v>18</v>
      </c>
      <c r="D210" s="325">
        <f>Advanced!C19</f>
        <v>0</v>
      </c>
      <c r="E210" s="325" t="str">
        <f>IF(Advanced!B19="W","W","A")</f>
        <v>A</v>
      </c>
      <c r="F210" s="325" t="s">
        <v>1737</v>
      </c>
      <c r="G210" s="325" t="str">
        <f>IF(Advanced!G19="e","Y","")</f>
        <v/>
      </c>
      <c r="H210" s="325" t="str">
        <f>IFERROR(VLOOKUP($D210,'SDDA Dogs'!$A:$AE,2,FALSE),"")</f>
        <v/>
      </c>
      <c r="I210" s="325" t="str">
        <f>IFERROR(VLOOKUP($D210,'SDDA Dogs'!$A:$AE,3,FALSE),"")</f>
        <v/>
      </c>
      <c r="J210" s="325" t="str">
        <f>IFERROR(VLOOKUP($D210,'SDDA Dogs'!$A:$AE,6,FALSE),"")</f>
        <v/>
      </c>
      <c r="K210" s="325" t="str">
        <f>IF(Advanced!AS19="","",Advanced!AS19)</f>
        <v/>
      </c>
      <c r="L210" s="325" t="str">
        <f>IF(Advanced!AT19="","",Advanced!AT19)</f>
        <v/>
      </c>
      <c r="M210" s="326" t="str">
        <f>TrialDate</f>
        <v/>
      </c>
      <c r="N210" s="325" t="str">
        <f t="shared" ref="N210" si="294">N209</f>
        <v/>
      </c>
      <c r="O210" s="325">
        <f>JudgeD1CSA</f>
        <v>0</v>
      </c>
    </row>
    <row r="211" spans="1:15" x14ac:dyDescent="0.25">
      <c r="A211" s="2">
        <v>2</v>
      </c>
      <c r="B211" s="2">
        <f t="shared" si="269"/>
        <v>0</v>
      </c>
      <c r="C211" s="2" t="str">
        <f t="shared" si="269"/>
        <v>CSA</v>
      </c>
      <c r="D211" s="2">
        <f t="shared" si="269"/>
        <v>0</v>
      </c>
      <c r="E211" s="2" t="str">
        <f t="shared" si="269"/>
        <v>A</v>
      </c>
      <c r="F211" s="2" t="str">
        <f t="shared" si="269"/>
        <v>Container Advanced</v>
      </c>
      <c r="G211" s="2" t="str">
        <f t="shared" si="269"/>
        <v/>
      </c>
      <c r="H211" s="2" t="str">
        <f t="shared" si="269"/>
        <v/>
      </c>
      <c r="I211" s="2" t="str">
        <f t="shared" si="269"/>
        <v/>
      </c>
      <c r="J211" s="2" t="str">
        <f t="shared" si="269"/>
        <v/>
      </c>
      <c r="K211" s="2" t="str">
        <f t="shared" si="269"/>
        <v/>
      </c>
      <c r="L211" s="2" t="str">
        <f t="shared" si="269"/>
        <v/>
      </c>
      <c r="M211" s="180" t="str">
        <f t="shared" si="269"/>
        <v/>
      </c>
      <c r="N211" s="2" t="str">
        <f t="shared" ref="N211" si="295">N210</f>
        <v/>
      </c>
      <c r="O211" s="2">
        <f t="shared" si="269"/>
        <v>0</v>
      </c>
    </row>
    <row r="212" spans="1:15" x14ac:dyDescent="0.25">
      <c r="A212" s="325">
        <v>1</v>
      </c>
      <c r="B212" s="325">
        <f>TrialNumber</f>
        <v>0</v>
      </c>
      <c r="C212" s="325" t="s">
        <v>18</v>
      </c>
      <c r="D212" s="325">
        <f>Advanced!C20</f>
        <v>0</v>
      </c>
      <c r="E212" s="325" t="str">
        <f>IF(Advanced!B20="W","W","A")</f>
        <v>A</v>
      </c>
      <c r="F212" s="325" t="s">
        <v>1737</v>
      </c>
      <c r="G212" s="325" t="str">
        <f>IF(Advanced!G20="e","Y","")</f>
        <v/>
      </c>
      <c r="H212" s="325" t="str">
        <f>IFERROR(VLOOKUP($D212,'SDDA Dogs'!$A:$AE,2,FALSE),"")</f>
        <v/>
      </c>
      <c r="I212" s="325" t="str">
        <f>IFERROR(VLOOKUP($D212,'SDDA Dogs'!$A:$AE,3,FALSE),"")</f>
        <v/>
      </c>
      <c r="J212" s="325" t="str">
        <f>IFERROR(VLOOKUP($D212,'SDDA Dogs'!$A:$AE,6,FALSE),"")</f>
        <v/>
      </c>
      <c r="K212" s="325" t="str">
        <f>IF(Advanced!AS20="","",Advanced!AS20)</f>
        <v/>
      </c>
      <c r="L212" s="325" t="str">
        <f>IF(Advanced!AT20="","",Advanced!AT20)</f>
        <v/>
      </c>
      <c r="M212" s="326" t="str">
        <f>TrialDate</f>
        <v/>
      </c>
      <c r="N212" s="325" t="str">
        <f t="shared" ref="N212" si="296">N211</f>
        <v/>
      </c>
      <c r="O212" s="325">
        <f>JudgeD1CSA</f>
        <v>0</v>
      </c>
    </row>
    <row r="213" spans="1:15" x14ac:dyDescent="0.25">
      <c r="A213" s="2">
        <v>2</v>
      </c>
      <c r="B213" s="2">
        <f t="shared" si="269"/>
        <v>0</v>
      </c>
      <c r="C213" s="2" t="str">
        <f t="shared" si="269"/>
        <v>CSA</v>
      </c>
      <c r="D213" s="2">
        <f t="shared" si="269"/>
        <v>0</v>
      </c>
      <c r="E213" s="2" t="str">
        <f t="shared" si="269"/>
        <v>A</v>
      </c>
      <c r="F213" s="2" t="str">
        <f t="shared" si="269"/>
        <v>Container Advanced</v>
      </c>
      <c r="G213" s="2" t="str">
        <f t="shared" si="269"/>
        <v/>
      </c>
      <c r="H213" s="2" t="str">
        <f t="shared" si="269"/>
        <v/>
      </c>
      <c r="I213" s="2" t="str">
        <f t="shared" si="269"/>
        <v/>
      </c>
      <c r="J213" s="2" t="str">
        <f t="shared" si="269"/>
        <v/>
      </c>
      <c r="K213" s="2" t="str">
        <f t="shared" si="269"/>
        <v/>
      </c>
      <c r="L213" s="2" t="str">
        <f t="shared" si="269"/>
        <v/>
      </c>
      <c r="M213" s="180" t="str">
        <f t="shared" si="269"/>
        <v/>
      </c>
      <c r="N213" s="2" t="str">
        <f t="shared" ref="N213" si="297">N212</f>
        <v/>
      </c>
      <c r="O213" s="2">
        <f t="shared" si="269"/>
        <v>0</v>
      </c>
    </row>
    <row r="214" spans="1:15" x14ac:dyDescent="0.25">
      <c r="A214" s="325">
        <v>1</v>
      </c>
      <c r="B214" s="325">
        <f>TrialNumber</f>
        <v>0</v>
      </c>
      <c r="C214" s="325" t="s">
        <v>18</v>
      </c>
      <c r="D214" s="325">
        <f>Advanced!C21</f>
        <v>0</v>
      </c>
      <c r="E214" s="325" t="str">
        <f>IF(Advanced!B21="W","W","A")</f>
        <v>A</v>
      </c>
      <c r="F214" s="325" t="s">
        <v>1737</v>
      </c>
      <c r="G214" s="325" t="str">
        <f>IF(Advanced!G21="e","Y","")</f>
        <v/>
      </c>
      <c r="H214" s="325" t="str">
        <f>IFERROR(VLOOKUP($D214,'SDDA Dogs'!$A:$AE,2,FALSE),"")</f>
        <v/>
      </c>
      <c r="I214" s="325" t="str">
        <f>IFERROR(VLOOKUP($D214,'SDDA Dogs'!$A:$AE,3,FALSE),"")</f>
        <v/>
      </c>
      <c r="J214" s="325" t="str">
        <f>IFERROR(VLOOKUP($D214,'SDDA Dogs'!$A:$AE,6,FALSE),"")</f>
        <v/>
      </c>
      <c r="K214" s="325" t="str">
        <f>IF(Advanced!AS21="","",Advanced!AS21)</f>
        <v/>
      </c>
      <c r="L214" s="325" t="str">
        <f>IF(Advanced!AT21="","",Advanced!AT21)</f>
        <v/>
      </c>
      <c r="M214" s="326" t="str">
        <f>TrialDate</f>
        <v/>
      </c>
      <c r="N214" s="325" t="str">
        <f t="shared" ref="N214" si="298">N213</f>
        <v/>
      </c>
      <c r="O214" s="325">
        <f>JudgeD1CSA</f>
        <v>0</v>
      </c>
    </row>
    <row r="215" spans="1:15" x14ac:dyDescent="0.25">
      <c r="A215" s="2">
        <v>2</v>
      </c>
      <c r="B215" s="2">
        <f t="shared" si="269"/>
        <v>0</v>
      </c>
      <c r="C215" s="2" t="str">
        <f t="shared" si="269"/>
        <v>CSA</v>
      </c>
      <c r="D215" s="2">
        <f t="shared" si="269"/>
        <v>0</v>
      </c>
      <c r="E215" s="2" t="str">
        <f t="shared" si="269"/>
        <v>A</v>
      </c>
      <c r="F215" s="2" t="str">
        <f t="shared" si="269"/>
        <v>Container Advanced</v>
      </c>
      <c r="G215" s="2" t="str">
        <f t="shared" si="269"/>
        <v/>
      </c>
      <c r="H215" s="2" t="str">
        <f t="shared" si="269"/>
        <v/>
      </c>
      <c r="I215" s="2" t="str">
        <f t="shared" si="269"/>
        <v/>
      </c>
      <c r="J215" s="2" t="str">
        <f t="shared" si="269"/>
        <v/>
      </c>
      <c r="K215" s="2" t="str">
        <f t="shared" si="269"/>
        <v/>
      </c>
      <c r="L215" s="2" t="str">
        <f t="shared" si="269"/>
        <v/>
      </c>
      <c r="M215" s="180" t="str">
        <f t="shared" si="269"/>
        <v/>
      </c>
      <c r="N215" s="2" t="str">
        <f t="shared" ref="N215" si="299">N214</f>
        <v/>
      </c>
      <c r="O215" s="2">
        <f t="shared" si="269"/>
        <v>0</v>
      </c>
    </row>
    <row r="216" spans="1:15" x14ac:dyDescent="0.25">
      <c r="A216" s="325">
        <v>1</v>
      </c>
      <c r="B216" s="325">
        <f>TrialNumber</f>
        <v>0</v>
      </c>
      <c r="C216" s="325" t="s">
        <v>18</v>
      </c>
      <c r="D216" s="325">
        <f>Advanced!C22</f>
        <v>0</v>
      </c>
      <c r="E216" s="325" t="str">
        <f>IF(Advanced!B22="W","W","A")</f>
        <v>A</v>
      </c>
      <c r="F216" s="325" t="s">
        <v>1737</v>
      </c>
      <c r="G216" s="325" t="str">
        <f>IF(Advanced!G22="e","Y","")</f>
        <v/>
      </c>
      <c r="H216" s="325" t="str">
        <f>IFERROR(VLOOKUP($D216,'SDDA Dogs'!$A:$AE,2,FALSE),"")</f>
        <v/>
      </c>
      <c r="I216" s="325" t="str">
        <f>IFERROR(VLOOKUP($D216,'SDDA Dogs'!$A:$AE,3,FALSE),"")</f>
        <v/>
      </c>
      <c r="J216" s="325" t="str">
        <f>IFERROR(VLOOKUP($D216,'SDDA Dogs'!$A:$AE,6,FALSE),"")</f>
        <v/>
      </c>
      <c r="K216" s="325" t="str">
        <f>IF(Advanced!AS22="","",Advanced!AS22)</f>
        <v/>
      </c>
      <c r="L216" s="325" t="str">
        <f>IF(Advanced!AT22="","",Advanced!AT22)</f>
        <v/>
      </c>
      <c r="M216" s="326" t="str">
        <f>TrialDate</f>
        <v/>
      </c>
      <c r="N216" s="325" t="str">
        <f t="shared" ref="N216" si="300">N215</f>
        <v/>
      </c>
      <c r="O216" s="325">
        <f>JudgeD1CSA</f>
        <v>0</v>
      </c>
    </row>
    <row r="217" spans="1:15" x14ac:dyDescent="0.25">
      <c r="A217" s="2">
        <v>2</v>
      </c>
      <c r="B217" s="2">
        <f t="shared" si="269"/>
        <v>0</v>
      </c>
      <c r="C217" s="2" t="str">
        <f t="shared" si="269"/>
        <v>CSA</v>
      </c>
      <c r="D217" s="2">
        <f t="shared" si="269"/>
        <v>0</v>
      </c>
      <c r="E217" s="2" t="str">
        <f t="shared" si="269"/>
        <v>A</v>
      </c>
      <c r="F217" s="2" t="str">
        <f t="shared" si="269"/>
        <v>Container Advanced</v>
      </c>
      <c r="G217" s="2" t="str">
        <f t="shared" si="269"/>
        <v/>
      </c>
      <c r="H217" s="2" t="str">
        <f t="shared" si="269"/>
        <v/>
      </c>
      <c r="I217" s="2" t="str">
        <f t="shared" si="269"/>
        <v/>
      </c>
      <c r="J217" s="2" t="str">
        <f t="shared" si="269"/>
        <v/>
      </c>
      <c r="K217" s="2" t="str">
        <f t="shared" si="269"/>
        <v/>
      </c>
      <c r="L217" s="2" t="str">
        <f t="shared" si="269"/>
        <v/>
      </c>
      <c r="M217" s="180" t="str">
        <f t="shared" si="269"/>
        <v/>
      </c>
      <c r="N217" s="2" t="str">
        <f t="shared" ref="N217" si="301">N216</f>
        <v/>
      </c>
      <c r="O217" s="2">
        <f t="shared" si="269"/>
        <v>0</v>
      </c>
    </row>
    <row r="218" spans="1:15" x14ac:dyDescent="0.25">
      <c r="A218" s="325">
        <v>1</v>
      </c>
      <c r="B218" s="325">
        <f>TrialNumber</f>
        <v>0</v>
      </c>
      <c r="C218" s="325" t="s">
        <v>18</v>
      </c>
      <c r="D218" s="325">
        <f>Advanced!C23</f>
        <v>0</v>
      </c>
      <c r="E218" s="325" t="str">
        <f>IF(Advanced!B23="W","W","A")</f>
        <v>A</v>
      </c>
      <c r="F218" s="325" t="s">
        <v>1737</v>
      </c>
      <c r="G218" s="325" t="str">
        <f>IF(Advanced!G23="e","Y","")</f>
        <v/>
      </c>
      <c r="H218" s="325" t="str">
        <f>IFERROR(VLOOKUP($D218,'SDDA Dogs'!$A:$AE,2,FALSE),"")</f>
        <v/>
      </c>
      <c r="I218" s="325" t="str">
        <f>IFERROR(VLOOKUP($D218,'SDDA Dogs'!$A:$AE,3,FALSE),"")</f>
        <v/>
      </c>
      <c r="J218" s="325" t="str">
        <f>IFERROR(VLOOKUP($D218,'SDDA Dogs'!$A:$AE,6,FALSE),"")</f>
        <v/>
      </c>
      <c r="K218" s="325" t="str">
        <f>IF(Advanced!AS23="","",Advanced!AS23)</f>
        <v/>
      </c>
      <c r="L218" s="325" t="str">
        <f>IF(Advanced!AT23="","",Advanced!AT23)</f>
        <v/>
      </c>
      <c r="M218" s="326" t="str">
        <f>TrialDate</f>
        <v/>
      </c>
      <c r="N218" s="325" t="str">
        <f t="shared" ref="N218" si="302">N217</f>
        <v/>
      </c>
      <c r="O218" s="325">
        <f>JudgeD1CSA</f>
        <v>0</v>
      </c>
    </row>
    <row r="219" spans="1:15" x14ac:dyDescent="0.25">
      <c r="A219" s="2">
        <v>2</v>
      </c>
      <c r="B219" s="2">
        <f t="shared" ref="B219:O223" si="303">B218</f>
        <v>0</v>
      </c>
      <c r="C219" s="2" t="str">
        <f t="shared" si="303"/>
        <v>CSA</v>
      </c>
      <c r="D219" s="2">
        <f t="shared" si="303"/>
        <v>0</v>
      </c>
      <c r="E219" s="2" t="str">
        <f t="shared" si="303"/>
        <v>A</v>
      </c>
      <c r="F219" s="2" t="str">
        <f t="shared" si="303"/>
        <v>Container Advanced</v>
      </c>
      <c r="G219" s="2" t="str">
        <f t="shared" si="303"/>
        <v/>
      </c>
      <c r="H219" s="2" t="str">
        <f t="shared" si="303"/>
        <v/>
      </c>
      <c r="I219" s="2" t="str">
        <f t="shared" si="303"/>
        <v/>
      </c>
      <c r="J219" s="2" t="str">
        <f t="shared" si="303"/>
        <v/>
      </c>
      <c r="K219" s="2" t="str">
        <f t="shared" si="303"/>
        <v/>
      </c>
      <c r="L219" s="2" t="str">
        <f t="shared" si="303"/>
        <v/>
      </c>
      <c r="M219" s="180" t="str">
        <f t="shared" si="303"/>
        <v/>
      </c>
      <c r="N219" s="2" t="str">
        <f t="shared" si="303"/>
        <v/>
      </c>
      <c r="O219" s="2">
        <f t="shared" si="303"/>
        <v>0</v>
      </c>
    </row>
    <row r="220" spans="1:15" x14ac:dyDescent="0.25">
      <c r="A220" s="325">
        <v>1</v>
      </c>
      <c r="B220" s="325">
        <f>TrialNumber</f>
        <v>0</v>
      </c>
      <c r="C220" s="325" t="s">
        <v>18</v>
      </c>
      <c r="D220" s="325">
        <f>Advanced!C24</f>
        <v>0</v>
      </c>
      <c r="E220" s="325" t="str">
        <f>IF(Advanced!B24="W","W","A")</f>
        <v>A</v>
      </c>
      <c r="F220" s="325" t="s">
        <v>1737</v>
      </c>
      <c r="G220" s="325" t="str">
        <f>IF(Advanced!G24="e","Y","")</f>
        <v/>
      </c>
      <c r="H220" s="325" t="str">
        <f>IFERROR(VLOOKUP($D220,'SDDA Dogs'!$A:$AE,2,FALSE),"")</f>
        <v/>
      </c>
      <c r="I220" s="325" t="str">
        <f>IFERROR(VLOOKUP($D220,'SDDA Dogs'!$A:$AE,3,FALSE),"")</f>
        <v/>
      </c>
      <c r="J220" s="325" t="str">
        <f>IFERROR(VLOOKUP($D220,'SDDA Dogs'!$A:$AE,6,FALSE),"")</f>
        <v/>
      </c>
      <c r="K220" s="325" t="str">
        <f>IF(Advanced!AS24="","",Advanced!AS24)</f>
        <v/>
      </c>
      <c r="L220" s="325" t="str">
        <f>IF(Advanced!AT24="","",Advanced!AT24)</f>
        <v/>
      </c>
      <c r="M220" s="326" t="str">
        <f>TrialDate</f>
        <v/>
      </c>
      <c r="N220" s="325" t="str">
        <f t="shared" ref="N220" si="304">N219</f>
        <v/>
      </c>
      <c r="O220" s="325">
        <f>JudgeD1CSA</f>
        <v>0</v>
      </c>
    </row>
    <row r="221" spans="1:15" x14ac:dyDescent="0.25">
      <c r="A221" s="2">
        <v>2</v>
      </c>
      <c r="B221" s="2">
        <f t="shared" si="303"/>
        <v>0</v>
      </c>
      <c r="C221" s="2" t="str">
        <f t="shared" si="303"/>
        <v>CSA</v>
      </c>
      <c r="D221" s="2">
        <f t="shared" si="303"/>
        <v>0</v>
      </c>
      <c r="E221" s="2" t="str">
        <f t="shared" si="303"/>
        <v>A</v>
      </c>
      <c r="F221" s="2" t="str">
        <f t="shared" si="303"/>
        <v>Container Advanced</v>
      </c>
      <c r="G221" s="2" t="str">
        <f t="shared" si="303"/>
        <v/>
      </c>
      <c r="H221" s="2" t="str">
        <f t="shared" si="303"/>
        <v/>
      </c>
      <c r="I221" s="2" t="str">
        <f t="shared" si="303"/>
        <v/>
      </c>
      <c r="J221" s="2" t="str">
        <f t="shared" si="303"/>
        <v/>
      </c>
      <c r="K221" s="2" t="str">
        <f t="shared" si="303"/>
        <v/>
      </c>
      <c r="L221" s="2" t="str">
        <f t="shared" si="303"/>
        <v/>
      </c>
      <c r="M221" s="180" t="str">
        <f t="shared" si="303"/>
        <v/>
      </c>
      <c r="N221" s="2" t="str">
        <f t="shared" si="303"/>
        <v/>
      </c>
      <c r="O221" s="2">
        <f t="shared" si="303"/>
        <v>0</v>
      </c>
    </row>
    <row r="222" spans="1:15" x14ac:dyDescent="0.25">
      <c r="A222" s="325">
        <v>1</v>
      </c>
      <c r="B222" s="325">
        <f>TrialNumber</f>
        <v>0</v>
      </c>
      <c r="C222" s="325" t="s">
        <v>18</v>
      </c>
      <c r="D222" s="325">
        <f>Advanced!C25</f>
        <v>0</v>
      </c>
      <c r="E222" s="325" t="str">
        <f>IF(Advanced!B25="W","W","A")</f>
        <v>A</v>
      </c>
      <c r="F222" s="325" t="s">
        <v>1737</v>
      </c>
      <c r="G222" s="325" t="str">
        <f>IF(Advanced!G25="e","Y","")</f>
        <v/>
      </c>
      <c r="H222" s="325" t="str">
        <f>IFERROR(VLOOKUP($D222,'SDDA Dogs'!$A:$AE,2,FALSE),"")</f>
        <v/>
      </c>
      <c r="I222" s="325" t="str">
        <f>IFERROR(VLOOKUP($D222,'SDDA Dogs'!$A:$AE,3,FALSE),"")</f>
        <v/>
      </c>
      <c r="J222" s="325" t="str">
        <f>IFERROR(VLOOKUP($D222,'SDDA Dogs'!$A:$AE,6,FALSE),"")</f>
        <v/>
      </c>
      <c r="K222" s="325" t="str">
        <f>IF(Advanced!AS25="","",Advanced!AS25)</f>
        <v/>
      </c>
      <c r="L222" s="325" t="str">
        <f>IF(Advanced!AT25="","",Advanced!AT25)</f>
        <v/>
      </c>
      <c r="M222" s="326" t="str">
        <f>TrialDate</f>
        <v/>
      </c>
      <c r="N222" s="325" t="str">
        <f t="shared" ref="N222" si="305">N221</f>
        <v/>
      </c>
      <c r="O222" s="325">
        <f>JudgeD1CSA</f>
        <v>0</v>
      </c>
    </row>
    <row r="223" spans="1:15" x14ac:dyDescent="0.25">
      <c r="A223" s="2">
        <v>2</v>
      </c>
      <c r="B223" s="2">
        <f t="shared" si="303"/>
        <v>0</v>
      </c>
      <c r="C223" s="2" t="str">
        <f t="shared" si="303"/>
        <v>CSA</v>
      </c>
      <c r="D223" s="2">
        <f t="shared" si="303"/>
        <v>0</v>
      </c>
      <c r="E223" s="2" t="str">
        <f t="shared" si="303"/>
        <v>A</v>
      </c>
      <c r="F223" s="2" t="str">
        <f t="shared" si="303"/>
        <v>Container Advanced</v>
      </c>
      <c r="G223" s="2" t="str">
        <f t="shared" si="303"/>
        <v/>
      </c>
      <c r="H223" s="2" t="str">
        <f t="shared" si="303"/>
        <v/>
      </c>
      <c r="I223" s="2" t="str">
        <f t="shared" si="303"/>
        <v/>
      </c>
      <c r="J223" s="2" t="str">
        <f t="shared" si="303"/>
        <v/>
      </c>
      <c r="K223" s="2" t="str">
        <f t="shared" si="303"/>
        <v/>
      </c>
      <c r="L223" s="2" t="str">
        <f t="shared" si="303"/>
        <v/>
      </c>
      <c r="M223" s="180" t="str">
        <f t="shared" si="303"/>
        <v/>
      </c>
      <c r="N223" s="2" t="str">
        <f t="shared" si="303"/>
        <v/>
      </c>
      <c r="O223" s="2">
        <f t="shared" si="303"/>
        <v>0</v>
      </c>
    </row>
    <row r="224" spans="1:15" x14ac:dyDescent="0.25">
      <c r="A224" s="325">
        <v>1</v>
      </c>
      <c r="B224" s="325">
        <f>TrialNumber</f>
        <v>0</v>
      </c>
      <c r="C224" s="325" t="s">
        <v>18</v>
      </c>
      <c r="D224" s="325">
        <f>Advanced!C26</f>
        <v>0</v>
      </c>
      <c r="E224" s="325" t="str">
        <f>IF(Advanced!B26="W","W","A")</f>
        <v>A</v>
      </c>
      <c r="F224" s="325" t="s">
        <v>1737</v>
      </c>
      <c r="G224" s="325" t="str">
        <f>IF(Advanced!G26="e","Y","")</f>
        <v/>
      </c>
      <c r="H224" s="325" t="str">
        <f>IFERROR(VLOOKUP($D224,'SDDA Dogs'!$A:$AE,2,FALSE),"")</f>
        <v/>
      </c>
      <c r="I224" s="325" t="str">
        <f>IFERROR(VLOOKUP($D224,'SDDA Dogs'!$A:$AE,3,FALSE),"")</f>
        <v/>
      </c>
      <c r="J224" s="325" t="str">
        <f>IFERROR(VLOOKUP($D224,'SDDA Dogs'!$A:$AE,6,FALSE),"")</f>
        <v/>
      </c>
      <c r="K224" s="325" t="str">
        <f>IF(Advanced!AS26="","",Advanced!AS26)</f>
        <v/>
      </c>
      <c r="L224" s="325" t="str">
        <f>IF(Advanced!AT26="","",Advanced!AT26)</f>
        <v/>
      </c>
      <c r="M224" s="326" t="str">
        <f>TrialDate</f>
        <v/>
      </c>
      <c r="N224" s="325" t="str">
        <f t="shared" ref="N224" si="306">N223</f>
        <v/>
      </c>
      <c r="O224" s="325">
        <f>JudgeD1CSA</f>
        <v>0</v>
      </c>
    </row>
    <row r="225" spans="1:15" x14ac:dyDescent="0.25">
      <c r="A225" s="2">
        <v>2</v>
      </c>
      <c r="B225" s="2">
        <f t="shared" ref="B225:O225" si="307">B224</f>
        <v>0</v>
      </c>
      <c r="C225" s="2" t="str">
        <f t="shared" si="307"/>
        <v>CSA</v>
      </c>
      <c r="D225" s="2">
        <f t="shared" si="307"/>
        <v>0</v>
      </c>
      <c r="E225" s="2" t="str">
        <f t="shared" si="307"/>
        <v>A</v>
      </c>
      <c r="F225" s="2" t="str">
        <f t="shared" si="307"/>
        <v>Container Advanced</v>
      </c>
      <c r="G225" s="2" t="str">
        <f t="shared" si="307"/>
        <v/>
      </c>
      <c r="H225" s="2" t="str">
        <f t="shared" si="307"/>
        <v/>
      </c>
      <c r="I225" s="2" t="str">
        <f t="shared" si="307"/>
        <v/>
      </c>
      <c r="J225" s="2" t="str">
        <f t="shared" si="307"/>
        <v/>
      </c>
      <c r="K225" s="2" t="str">
        <f t="shared" si="307"/>
        <v/>
      </c>
      <c r="L225" s="2" t="str">
        <f t="shared" si="307"/>
        <v/>
      </c>
      <c r="M225" s="180" t="str">
        <f t="shared" si="307"/>
        <v/>
      </c>
      <c r="N225" s="2" t="str">
        <f t="shared" si="307"/>
        <v/>
      </c>
      <c r="O225" s="2">
        <f t="shared" si="307"/>
        <v>0</v>
      </c>
    </row>
    <row r="226" spans="1:15" x14ac:dyDescent="0.25">
      <c r="A226" s="325">
        <v>1</v>
      </c>
      <c r="B226" s="325">
        <f>TrialNumber</f>
        <v>0</v>
      </c>
      <c r="C226" s="325" t="s">
        <v>18</v>
      </c>
      <c r="D226" s="325">
        <f>Advanced!C27</f>
        <v>0</v>
      </c>
      <c r="E226" s="325" t="str">
        <f>IF(Advanced!B27="W","W","A")</f>
        <v>A</v>
      </c>
      <c r="F226" s="325" t="s">
        <v>1737</v>
      </c>
      <c r="G226" s="325" t="str">
        <f>IF(Advanced!G27="e","Y","")</f>
        <v/>
      </c>
      <c r="H226" s="325" t="str">
        <f>IFERROR(VLOOKUP($D226,'SDDA Dogs'!$A:$AE,2,FALSE),"")</f>
        <v/>
      </c>
      <c r="I226" s="325" t="str">
        <f>IFERROR(VLOOKUP($D226,'SDDA Dogs'!$A:$AE,3,FALSE),"")</f>
        <v/>
      </c>
      <c r="J226" s="325" t="str">
        <f>IFERROR(VLOOKUP($D226,'SDDA Dogs'!$A:$AE,6,FALSE),"")</f>
        <v/>
      </c>
      <c r="K226" s="325" t="str">
        <f>IF(Advanced!AS27="","",Advanced!AS27)</f>
        <v/>
      </c>
      <c r="L226" s="325" t="str">
        <f>IF(Advanced!AT27="","",Advanced!AT27)</f>
        <v/>
      </c>
      <c r="M226" s="326" t="str">
        <f>TrialDate</f>
        <v/>
      </c>
      <c r="N226" s="325" t="str">
        <f t="shared" ref="N226" si="308">N225</f>
        <v/>
      </c>
      <c r="O226" s="325">
        <f>JudgeD1CSA</f>
        <v>0</v>
      </c>
    </row>
    <row r="227" spans="1:15" x14ac:dyDescent="0.25">
      <c r="A227" s="2">
        <v>2</v>
      </c>
      <c r="B227" s="2">
        <f t="shared" ref="B227:O227" si="309">B226</f>
        <v>0</v>
      </c>
      <c r="C227" s="2" t="str">
        <f t="shared" si="309"/>
        <v>CSA</v>
      </c>
      <c r="D227" s="2">
        <f t="shared" si="309"/>
        <v>0</v>
      </c>
      <c r="E227" s="2" t="str">
        <f t="shared" si="309"/>
        <v>A</v>
      </c>
      <c r="F227" s="2" t="str">
        <f t="shared" si="309"/>
        <v>Container Advanced</v>
      </c>
      <c r="G227" s="2" t="str">
        <f t="shared" si="309"/>
        <v/>
      </c>
      <c r="H227" s="2" t="str">
        <f t="shared" si="309"/>
        <v/>
      </c>
      <c r="I227" s="2" t="str">
        <f t="shared" si="309"/>
        <v/>
      </c>
      <c r="J227" s="2" t="str">
        <f t="shared" si="309"/>
        <v/>
      </c>
      <c r="K227" s="2" t="str">
        <f t="shared" si="309"/>
        <v/>
      </c>
      <c r="L227" s="2" t="str">
        <f t="shared" si="309"/>
        <v/>
      </c>
      <c r="M227" s="180" t="str">
        <f t="shared" si="309"/>
        <v/>
      </c>
      <c r="N227" s="2" t="str">
        <f t="shared" si="309"/>
        <v/>
      </c>
      <c r="O227" s="2">
        <f t="shared" si="309"/>
        <v>0</v>
      </c>
    </row>
    <row r="228" spans="1:15" x14ac:dyDescent="0.25">
      <c r="A228" s="325">
        <v>1</v>
      </c>
      <c r="B228" s="325">
        <f>TrialNumber</f>
        <v>0</v>
      </c>
      <c r="C228" s="325" t="s">
        <v>18</v>
      </c>
      <c r="D228" s="325">
        <f>Advanced!C28</f>
        <v>0</v>
      </c>
      <c r="E228" s="325" t="str">
        <f>IF(Advanced!B28="W","W","A")</f>
        <v>A</v>
      </c>
      <c r="F228" s="325" t="s">
        <v>1737</v>
      </c>
      <c r="G228" s="325" t="str">
        <f>IF(Advanced!G28="e","Y","")</f>
        <v/>
      </c>
      <c r="H228" s="325" t="str">
        <f>IFERROR(VLOOKUP($D228,'SDDA Dogs'!$A:$AE,2,FALSE),"")</f>
        <v/>
      </c>
      <c r="I228" s="325" t="str">
        <f>IFERROR(VLOOKUP($D228,'SDDA Dogs'!$A:$AE,3,FALSE),"")</f>
        <v/>
      </c>
      <c r="J228" s="325" t="str">
        <f>IFERROR(VLOOKUP($D228,'SDDA Dogs'!$A:$AE,6,FALSE),"")</f>
        <v/>
      </c>
      <c r="K228" s="325" t="str">
        <f>IF(Advanced!AS28="","",Advanced!AS28)</f>
        <v/>
      </c>
      <c r="L228" s="325" t="str">
        <f>IF(Advanced!AT28="","",Advanced!AT28)</f>
        <v/>
      </c>
      <c r="M228" s="326" t="str">
        <f>TrialDate</f>
        <v/>
      </c>
      <c r="N228" s="325" t="str">
        <f t="shared" ref="N228" si="310">N227</f>
        <v/>
      </c>
      <c r="O228" s="325">
        <f>JudgeD1CSA</f>
        <v>0</v>
      </c>
    </row>
    <row r="229" spans="1:15" x14ac:dyDescent="0.25">
      <c r="A229" s="2">
        <v>2</v>
      </c>
      <c r="B229" s="2">
        <f t="shared" ref="B229:O229" si="311">B228</f>
        <v>0</v>
      </c>
      <c r="C229" s="2" t="str">
        <f t="shared" si="311"/>
        <v>CSA</v>
      </c>
      <c r="D229" s="2">
        <f t="shared" si="311"/>
        <v>0</v>
      </c>
      <c r="E229" s="2" t="str">
        <f t="shared" si="311"/>
        <v>A</v>
      </c>
      <c r="F229" s="2" t="str">
        <f t="shared" si="311"/>
        <v>Container Advanced</v>
      </c>
      <c r="G229" s="2" t="str">
        <f t="shared" si="311"/>
        <v/>
      </c>
      <c r="H229" s="2" t="str">
        <f t="shared" si="311"/>
        <v/>
      </c>
      <c r="I229" s="2" t="str">
        <f t="shared" si="311"/>
        <v/>
      </c>
      <c r="J229" s="2" t="str">
        <f t="shared" si="311"/>
        <v/>
      </c>
      <c r="K229" s="2" t="str">
        <f t="shared" si="311"/>
        <v/>
      </c>
      <c r="L229" s="2" t="str">
        <f t="shared" si="311"/>
        <v/>
      </c>
      <c r="M229" s="180" t="str">
        <f t="shared" si="311"/>
        <v/>
      </c>
      <c r="N229" s="2" t="str">
        <f t="shared" si="311"/>
        <v/>
      </c>
      <c r="O229" s="2">
        <f t="shared" si="311"/>
        <v>0</v>
      </c>
    </row>
    <row r="230" spans="1:15" x14ac:dyDescent="0.25">
      <c r="A230" s="325">
        <v>1</v>
      </c>
      <c r="B230" s="325">
        <f>TrialNumber</f>
        <v>0</v>
      </c>
      <c r="C230" s="325" t="s">
        <v>18</v>
      </c>
      <c r="D230" s="325">
        <f>Advanced!C29</f>
        <v>0</v>
      </c>
      <c r="E230" s="325" t="str">
        <f>IF(Advanced!B29="W","W","A")</f>
        <v>A</v>
      </c>
      <c r="F230" s="325" t="s">
        <v>1737</v>
      </c>
      <c r="G230" s="325" t="str">
        <f>IF(Advanced!G29="e","Y","")</f>
        <v/>
      </c>
      <c r="H230" s="325" t="str">
        <f>IFERROR(VLOOKUP($D230,'SDDA Dogs'!$A:$AE,2,FALSE),"")</f>
        <v/>
      </c>
      <c r="I230" s="325" t="str">
        <f>IFERROR(VLOOKUP($D230,'SDDA Dogs'!$A:$AE,3,FALSE),"")</f>
        <v/>
      </c>
      <c r="J230" s="325" t="str">
        <f>IFERROR(VLOOKUP($D230,'SDDA Dogs'!$A:$AE,6,FALSE),"")</f>
        <v/>
      </c>
      <c r="K230" s="325" t="str">
        <f>IF(Advanced!AS29="","",Advanced!AS29)</f>
        <v/>
      </c>
      <c r="L230" s="325" t="str">
        <f>IF(Advanced!AT29="","",Advanced!AT29)</f>
        <v/>
      </c>
      <c r="M230" s="326" t="str">
        <f>TrialDate</f>
        <v/>
      </c>
      <c r="N230" s="325" t="str">
        <f t="shared" ref="N230" si="312">N229</f>
        <v/>
      </c>
      <c r="O230" s="325">
        <f>JudgeD1CSA</f>
        <v>0</v>
      </c>
    </row>
    <row r="231" spans="1:15" x14ac:dyDescent="0.25">
      <c r="A231" s="2">
        <v>2</v>
      </c>
      <c r="B231" s="2">
        <f t="shared" ref="B231:O231" si="313">B230</f>
        <v>0</v>
      </c>
      <c r="C231" s="2" t="str">
        <f t="shared" si="313"/>
        <v>CSA</v>
      </c>
      <c r="D231" s="2">
        <f t="shared" si="313"/>
        <v>0</v>
      </c>
      <c r="E231" s="2" t="str">
        <f t="shared" si="313"/>
        <v>A</v>
      </c>
      <c r="F231" s="2" t="str">
        <f t="shared" si="313"/>
        <v>Container Advanced</v>
      </c>
      <c r="G231" s="2" t="str">
        <f t="shared" si="313"/>
        <v/>
      </c>
      <c r="H231" s="2" t="str">
        <f t="shared" si="313"/>
        <v/>
      </c>
      <c r="I231" s="2" t="str">
        <f t="shared" si="313"/>
        <v/>
      </c>
      <c r="J231" s="2" t="str">
        <f t="shared" si="313"/>
        <v/>
      </c>
      <c r="K231" s="2" t="str">
        <f t="shared" si="313"/>
        <v/>
      </c>
      <c r="L231" s="2" t="str">
        <f t="shared" si="313"/>
        <v/>
      </c>
      <c r="M231" s="180" t="str">
        <f t="shared" si="313"/>
        <v/>
      </c>
      <c r="N231" s="2" t="str">
        <f t="shared" si="313"/>
        <v/>
      </c>
      <c r="O231" s="2">
        <f t="shared" si="313"/>
        <v>0</v>
      </c>
    </row>
    <row r="232" spans="1:15" x14ac:dyDescent="0.25">
      <c r="A232" s="325">
        <v>1</v>
      </c>
      <c r="B232" s="325">
        <f>TrialNumber</f>
        <v>0</v>
      </c>
      <c r="C232" s="325" t="s">
        <v>18</v>
      </c>
      <c r="D232" s="325">
        <f>Advanced!C30</f>
        <v>0</v>
      </c>
      <c r="E232" s="325" t="str">
        <f>IF(Advanced!B30="W","W","A")</f>
        <v>A</v>
      </c>
      <c r="F232" s="325" t="s">
        <v>1737</v>
      </c>
      <c r="G232" s="325" t="str">
        <f>IF(Advanced!G30="e","Y","")</f>
        <v/>
      </c>
      <c r="H232" s="325" t="str">
        <f>IFERROR(VLOOKUP($D232,'SDDA Dogs'!$A:$AE,2,FALSE),"")</f>
        <v/>
      </c>
      <c r="I232" s="325" t="str">
        <f>IFERROR(VLOOKUP($D232,'SDDA Dogs'!$A:$AE,3,FALSE),"")</f>
        <v/>
      </c>
      <c r="J232" s="325" t="str">
        <f>IFERROR(VLOOKUP($D232,'SDDA Dogs'!$A:$AE,6,FALSE),"")</f>
        <v/>
      </c>
      <c r="K232" s="325" t="str">
        <f>IF(Advanced!AS30="","",Advanced!AS30)</f>
        <v/>
      </c>
      <c r="L232" s="325" t="str">
        <f>IF(Advanced!AT30="","",Advanced!AT30)</f>
        <v/>
      </c>
      <c r="M232" s="326" t="str">
        <f>TrialDate</f>
        <v/>
      </c>
      <c r="N232" s="325" t="str">
        <f t="shared" ref="N232" si="314">N231</f>
        <v/>
      </c>
      <c r="O232" s="325">
        <f>JudgeD1CSA</f>
        <v>0</v>
      </c>
    </row>
    <row r="233" spans="1:15" x14ac:dyDescent="0.25">
      <c r="A233" s="2">
        <v>2</v>
      </c>
      <c r="B233" s="2">
        <f t="shared" ref="B233:O233" si="315">B232</f>
        <v>0</v>
      </c>
      <c r="C233" s="2" t="str">
        <f t="shared" si="315"/>
        <v>CSA</v>
      </c>
      <c r="D233" s="2">
        <f t="shared" si="315"/>
        <v>0</v>
      </c>
      <c r="E233" s="2" t="str">
        <f t="shared" si="315"/>
        <v>A</v>
      </c>
      <c r="F233" s="2" t="str">
        <f t="shared" si="315"/>
        <v>Container Advanced</v>
      </c>
      <c r="G233" s="2" t="str">
        <f t="shared" si="315"/>
        <v/>
      </c>
      <c r="H233" s="2" t="str">
        <f t="shared" si="315"/>
        <v/>
      </c>
      <c r="I233" s="2" t="str">
        <f t="shared" si="315"/>
        <v/>
      </c>
      <c r="J233" s="2" t="str">
        <f t="shared" si="315"/>
        <v/>
      </c>
      <c r="K233" s="2" t="str">
        <f t="shared" si="315"/>
        <v/>
      </c>
      <c r="L233" s="2" t="str">
        <f t="shared" si="315"/>
        <v/>
      </c>
      <c r="M233" s="180" t="str">
        <f t="shared" si="315"/>
        <v/>
      </c>
      <c r="N233" s="2" t="str">
        <f t="shared" si="315"/>
        <v/>
      </c>
      <c r="O233" s="2">
        <f t="shared" si="315"/>
        <v>0</v>
      </c>
    </row>
    <row r="234" spans="1:15" x14ac:dyDescent="0.25">
      <c r="A234" s="325">
        <v>1</v>
      </c>
      <c r="B234" s="325">
        <f>TrialNumber</f>
        <v>0</v>
      </c>
      <c r="C234" s="325" t="s">
        <v>18</v>
      </c>
      <c r="D234" s="325">
        <f>Advanced!C31</f>
        <v>0</v>
      </c>
      <c r="E234" s="325" t="str">
        <f>IF(Advanced!B31="W","W","A")</f>
        <v>A</v>
      </c>
      <c r="F234" s="325" t="s">
        <v>1737</v>
      </c>
      <c r="G234" s="325" t="str">
        <f>IF(Advanced!G31="e","Y","")</f>
        <v/>
      </c>
      <c r="H234" s="325" t="str">
        <f>IFERROR(VLOOKUP($D234,'SDDA Dogs'!$A:$AE,2,FALSE),"")</f>
        <v/>
      </c>
      <c r="I234" s="325" t="str">
        <f>IFERROR(VLOOKUP($D234,'SDDA Dogs'!$A:$AE,3,FALSE),"")</f>
        <v/>
      </c>
      <c r="J234" s="325" t="str">
        <f>IFERROR(VLOOKUP($D234,'SDDA Dogs'!$A:$AE,6,FALSE),"")</f>
        <v/>
      </c>
      <c r="K234" s="325" t="str">
        <f>IF(Advanced!AS31="","",Advanced!AS31)</f>
        <v/>
      </c>
      <c r="L234" s="325" t="str">
        <f>IF(Advanced!AT31="","",Advanced!AT31)</f>
        <v/>
      </c>
      <c r="M234" s="326" t="str">
        <f>TrialDate</f>
        <v/>
      </c>
      <c r="N234" s="325" t="str">
        <f t="shared" ref="N234" si="316">N233</f>
        <v/>
      </c>
      <c r="O234" s="325">
        <f>JudgeD1CSA</f>
        <v>0</v>
      </c>
    </row>
    <row r="235" spans="1:15" x14ac:dyDescent="0.25">
      <c r="A235" s="2">
        <v>2</v>
      </c>
      <c r="B235" s="2">
        <f t="shared" ref="B235:O235" si="317">B234</f>
        <v>0</v>
      </c>
      <c r="C235" s="2" t="str">
        <f t="shared" si="317"/>
        <v>CSA</v>
      </c>
      <c r="D235" s="2">
        <f t="shared" si="317"/>
        <v>0</v>
      </c>
      <c r="E235" s="2" t="str">
        <f t="shared" si="317"/>
        <v>A</v>
      </c>
      <c r="F235" s="2" t="str">
        <f t="shared" si="317"/>
        <v>Container Advanced</v>
      </c>
      <c r="G235" s="2" t="str">
        <f t="shared" si="317"/>
        <v/>
      </c>
      <c r="H235" s="2" t="str">
        <f t="shared" si="317"/>
        <v/>
      </c>
      <c r="I235" s="2" t="str">
        <f t="shared" si="317"/>
        <v/>
      </c>
      <c r="J235" s="2" t="str">
        <f t="shared" si="317"/>
        <v/>
      </c>
      <c r="K235" s="2" t="str">
        <f t="shared" si="317"/>
        <v/>
      </c>
      <c r="L235" s="2" t="str">
        <f t="shared" si="317"/>
        <v/>
      </c>
      <c r="M235" s="180" t="str">
        <f t="shared" si="317"/>
        <v/>
      </c>
      <c r="N235" s="2" t="str">
        <f t="shared" si="317"/>
        <v/>
      </c>
      <c r="O235" s="2">
        <f t="shared" si="317"/>
        <v>0</v>
      </c>
    </row>
    <row r="236" spans="1:15" x14ac:dyDescent="0.25">
      <c r="A236" s="325">
        <v>1</v>
      </c>
      <c r="B236" s="325">
        <f>TrialNumber</f>
        <v>0</v>
      </c>
      <c r="C236" s="325" t="s">
        <v>18</v>
      </c>
      <c r="D236" s="325">
        <f>Advanced!C32</f>
        <v>0</v>
      </c>
      <c r="E236" s="325" t="str">
        <f>IF(Advanced!B32="W","W","A")</f>
        <v>A</v>
      </c>
      <c r="F236" s="325" t="s">
        <v>1737</v>
      </c>
      <c r="G236" s="325" t="str">
        <f>IF(Advanced!G32="e","Y","")</f>
        <v/>
      </c>
      <c r="H236" s="325" t="str">
        <f>IFERROR(VLOOKUP($D236,'SDDA Dogs'!$A:$AE,2,FALSE),"")</f>
        <v/>
      </c>
      <c r="I236" s="325" t="str">
        <f>IFERROR(VLOOKUP($D236,'SDDA Dogs'!$A:$AE,3,FALSE),"")</f>
        <v/>
      </c>
      <c r="J236" s="325" t="str">
        <f>IFERROR(VLOOKUP($D236,'SDDA Dogs'!$A:$AE,6,FALSE),"")</f>
        <v/>
      </c>
      <c r="K236" s="325" t="str">
        <f>IF(Advanced!AS32="","",Advanced!AS32)</f>
        <v/>
      </c>
      <c r="L236" s="325" t="str">
        <f>IF(Advanced!AT32="","",Advanced!AT32)</f>
        <v/>
      </c>
      <c r="M236" s="326" t="str">
        <f>TrialDate</f>
        <v/>
      </c>
      <c r="N236" s="325" t="str">
        <f t="shared" ref="N236" si="318">N235</f>
        <v/>
      </c>
      <c r="O236" s="325">
        <f>JudgeD1CSA</f>
        <v>0</v>
      </c>
    </row>
    <row r="237" spans="1:15" x14ac:dyDescent="0.25">
      <c r="A237" s="2">
        <v>2</v>
      </c>
      <c r="B237" s="2">
        <f t="shared" ref="B237:O237" si="319">B236</f>
        <v>0</v>
      </c>
      <c r="C237" s="2" t="str">
        <f t="shared" si="319"/>
        <v>CSA</v>
      </c>
      <c r="D237" s="2">
        <f t="shared" si="319"/>
        <v>0</v>
      </c>
      <c r="E237" s="2" t="str">
        <f t="shared" si="319"/>
        <v>A</v>
      </c>
      <c r="F237" s="2" t="str">
        <f t="shared" si="319"/>
        <v>Container Advanced</v>
      </c>
      <c r="G237" s="2" t="str">
        <f t="shared" si="319"/>
        <v/>
      </c>
      <c r="H237" s="2" t="str">
        <f t="shared" si="319"/>
        <v/>
      </c>
      <c r="I237" s="2" t="str">
        <f t="shared" si="319"/>
        <v/>
      </c>
      <c r="J237" s="2" t="str">
        <f t="shared" si="319"/>
        <v/>
      </c>
      <c r="K237" s="2" t="str">
        <f t="shared" si="319"/>
        <v/>
      </c>
      <c r="L237" s="2" t="str">
        <f t="shared" si="319"/>
        <v/>
      </c>
      <c r="M237" s="180" t="str">
        <f t="shared" si="319"/>
        <v/>
      </c>
      <c r="N237" s="2" t="str">
        <f t="shared" si="319"/>
        <v/>
      </c>
      <c r="O237" s="2">
        <f t="shared" si="319"/>
        <v>0</v>
      </c>
    </row>
    <row r="238" spans="1:15" x14ac:dyDescent="0.25">
      <c r="A238" s="325">
        <v>1</v>
      </c>
      <c r="B238" s="325">
        <f>TrialNumber</f>
        <v>0</v>
      </c>
      <c r="C238" s="325" t="s">
        <v>18</v>
      </c>
      <c r="D238" s="325">
        <f>Advanced!C33</f>
        <v>0</v>
      </c>
      <c r="E238" s="325" t="str">
        <f>IF(Advanced!B33="W","W","A")</f>
        <v>A</v>
      </c>
      <c r="F238" s="325" t="s">
        <v>1737</v>
      </c>
      <c r="G238" s="325" t="str">
        <f>IF(Advanced!G33="e","Y","")</f>
        <v/>
      </c>
      <c r="H238" s="325" t="str">
        <f>IFERROR(VLOOKUP($D238,'SDDA Dogs'!$A:$AE,2,FALSE),"")</f>
        <v/>
      </c>
      <c r="I238" s="325" t="str">
        <f>IFERROR(VLOOKUP($D238,'SDDA Dogs'!$A:$AE,3,FALSE),"")</f>
        <v/>
      </c>
      <c r="J238" s="325" t="str">
        <f>IFERROR(VLOOKUP($D238,'SDDA Dogs'!$A:$AE,6,FALSE),"")</f>
        <v/>
      </c>
      <c r="K238" s="325" t="str">
        <f>IF(Advanced!AS33="","",Advanced!AS33)</f>
        <v/>
      </c>
      <c r="L238" s="325" t="str">
        <f>IF(Advanced!AT33="","",Advanced!AT33)</f>
        <v/>
      </c>
      <c r="M238" s="326" t="str">
        <f>TrialDate</f>
        <v/>
      </c>
      <c r="N238" s="325" t="str">
        <f t="shared" ref="N238" si="320">N237</f>
        <v/>
      </c>
      <c r="O238" s="325">
        <f>JudgeD1CSA</f>
        <v>0</v>
      </c>
    </row>
    <row r="239" spans="1:15" x14ac:dyDescent="0.25">
      <c r="A239" s="2">
        <v>2</v>
      </c>
      <c r="B239" s="2">
        <f t="shared" ref="B239:O239" si="321">B238</f>
        <v>0</v>
      </c>
      <c r="C239" s="2" t="str">
        <f t="shared" si="321"/>
        <v>CSA</v>
      </c>
      <c r="D239" s="2">
        <f t="shared" si="321"/>
        <v>0</v>
      </c>
      <c r="E239" s="2" t="str">
        <f t="shared" si="321"/>
        <v>A</v>
      </c>
      <c r="F239" s="2" t="str">
        <f t="shared" si="321"/>
        <v>Container Advanced</v>
      </c>
      <c r="G239" s="2" t="str">
        <f t="shared" si="321"/>
        <v/>
      </c>
      <c r="H239" s="2" t="str">
        <f t="shared" si="321"/>
        <v/>
      </c>
      <c r="I239" s="2" t="str">
        <f t="shared" si="321"/>
        <v/>
      </c>
      <c r="J239" s="2" t="str">
        <f t="shared" si="321"/>
        <v/>
      </c>
      <c r="K239" s="2" t="str">
        <f t="shared" si="321"/>
        <v/>
      </c>
      <c r="L239" s="2" t="str">
        <f t="shared" si="321"/>
        <v/>
      </c>
      <c r="M239" s="180" t="str">
        <f t="shared" si="321"/>
        <v/>
      </c>
      <c r="N239" s="2" t="str">
        <f t="shared" si="321"/>
        <v/>
      </c>
      <c r="O239" s="2">
        <f t="shared" si="321"/>
        <v>0</v>
      </c>
    </row>
    <row r="240" spans="1:15" x14ac:dyDescent="0.25">
      <c r="A240" s="325">
        <v>1</v>
      </c>
      <c r="B240" s="325">
        <f>TrialNumber</f>
        <v>0</v>
      </c>
      <c r="C240" s="325" t="s">
        <v>18</v>
      </c>
      <c r="D240" s="325">
        <f>Advanced!C34</f>
        <v>0</v>
      </c>
      <c r="E240" s="325" t="str">
        <f>IF(Advanced!B34="W","W","A")</f>
        <v>A</v>
      </c>
      <c r="F240" s="325" t="s">
        <v>1737</v>
      </c>
      <c r="G240" s="325" t="str">
        <f>IF(Advanced!G34="e","Y","")</f>
        <v/>
      </c>
      <c r="H240" s="325" t="str">
        <f>IFERROR(VLOOKUP($D240,'SDDA Dogs'!$A:$AE,2,FALSE),"")</f>
        <v/>
      </c>
      <c r="I240" s="325" t="str">
        <f>IFERROR(VLOOKUP($D240,'SDDA Dogs'!$A:$AE,3,FALSE),"")</f>
        <v/>
      </c>
      <c r="J240" s="325" t="str">
        <f>IFERROR(VLOOKUP($D240,'SDDA Dogs'!$A:$AE,6,FALSE),"")</f>
        <v/>
      </c>
      <c r="K240" s="325" t="str">
        <f>IF(Advanced!AS34="","",Advanced!AS34)</f>
        <v/>
      </c>
      <c r="L240" s="325" t="str">
        <f>IF(Advanced!AT34="","",Advanced!AT34)</f>
        <v/>
      </c>
      <c r="M240" s="326" t="str">
        <f>TrialDate</f>
        <v/>
      </c>
      <c r="N240" s="325" t="str">
        <f t="shared" ref="N240" si="322">N239</f>
        <v/>
      </c>
      <c r="O240" s="325">
        <f>JudgeD1CSA</f>
        <v>0</v>
      </c>
    </row>
    <row r="241" spans="1:15" x14ac:dyDescent="0.25">
      <c r="A241" s="2">
        <v>2</v>
      </c>
      <c r="B241" s="2">
        <f t="shared" ref="B241:O241" si="323">B240</f>
        <v>0</v>
      </c>
      <c r="C241" s="2" t="str">
        <f t="shared" si="323"/>
        <v>CSA</v>
      </c>
      <c r="D241" s="2">
        <f t="shared" si="323"/>
        <v>0</v>
      </c>
      <c r="E241" s="2" t="str">
        <f t="shared" si="323"/>
        <v>A</v>
      </c>
      <c r="F241" s="2" t="str">
        <f t="shared" si="323"/>
        <v>Container Advanced</v>
      </c>
      <c r="G241" s="2" t="str">
        <f t="shared" si="323"/>
        <v/>
      </c>
      <c r="H241" s="2" t="str">
        <f t="shared" si="323"/>
        <v/>
      </c>
      <c r="I241" s="2" t="str">
        <f t="shared" si="323"/>
        <v/>
      </c>
      <c r="J241" s="2" t="str">
        <f t="shared" si="323"/>
        <v/>
      </c>
      <c r="K241" s="2" t="str">
        <f t="shared" si="323"/>
        <v/>
      </c>
      <c r="L241" s="2" t="str">
        <f t="shared" si="323"/>
        <v/>
      </c>
      <c r="M241" s="180" t="str">
        <f t="shared" si="323"/>
        <v/>
      </c>
      <c r="N241" s="2" t="str">
        <f t="shared" si="323"/>
        <v/>
      </c>
      <c r="O241" s="2">
        <f t="shared" si="323"/>
        <v>0</v>
      </c>
    </row>
    <row r="242" spans="1:15" x14ac:dyDescent="0.25">
      <c r="A242" s="325">
        <v>1</v>
      </c>
      <c r="B242" s="325">
        <f>TrialNumber</f>
        <v>0</v>
      </c>
      <c r="C242" s="325" t="s">
        <v>18</v>
      </c>
      <c r="D242" s="325">
        <f>Advanced!C35</f>
        <v>0</v>
      </c>
      <c r="E242" s="325" t="str">
        <f>IF(Advanced!B35="W","W","A")</f>
        <v>A</v>
      </c>
      <c r="F242" s="325" t="s">
        <v>1737</v>
      </c>
      <c r="G242" s="325" t="str">
        <f>IF(Advanced!G35="e","Y","")</f>
        <v/>
      </c>
      <c r="H242" s="325" t="str">
        <f>IFERROR(VLOOKUP($D242,'SDDA Dogs'!$A:$AE,2,FALSE),"")</f>
        <v/>
      </c>
      <c r="I242" s="325" t="str">
        <f>IFERROR(VLOOKUP($D242,'SDDA Dogs'!$A:$AE,3,FALSE),"")</f>
        <v/>
      </c>
      <c r="J242" s="325" t="str">
        <f>IFERROR(VLOOKUP($D242,'SDDA Dogs'!$A:$AE,6,FALSE),"")</f>
        <v/>
      </c>
      <c r="K242" s="325" t="str">
        <f>IF(Advanced!AS35="","",Advanced!AS35)</f>
        <v/>
      </c>
      <c r="L242" s="325" t="str">
        <f>IF(Advanced!AT35="","",Advanced!AT35)</f>
        <v/>
      </c>
      <c r="M242" s="326" t="str">
        <f>TrialDate</f>
        <v/>
      </c>
      <c r="N242" s="325" t="str">
        <f t="shared" ref="N242" si="324">N241</f>
        <v/>
      </c>
      <c r="O242" s="325">
        <f>JudgeD1CSA</f>
        <v>0</v>
      </c>
    </row>
    <row r="243" spans="1:15" x14ac:dyDescent="0.25">
      <c r="A243" s="2">
        <v>2</v>
      </c>
      <c r="B243" s="2">
        <f t="shared" ref="B243:O243" si="325">B242</f>
        <v>0</v>
      </c>
      <c r="C243" s="2" t="str">
        <f t="shared" si="325"/>
        <v>CSA</v>
      </c>
      <c r="D243" s="2">
        <f t="shared" si="325"/>
        <v>0</v>
      </c>
      <c r="E243" s="2" t="str">
        <f t="shared" si="325"/>
        <v>A</v>
      </c>
      <c r="F243" s="2" t="str">
        <f t="shared" si="325"/>
        <v>Container Advanced</v>
      </c>
      <c r="G243" s="2" t="str">
        <f t="shared" si="325"/>
        <v/>
      </c>
      <c r="H243" s="2" t="str">
        <f t="shared" si="325"/>
        <v/>
      </c>
      <c r="I243" s="2" t="str">
        <f t="shared" si="325"/>
        <v/>
      </c>
      <c r="J243" s="2" t="str">
        <f t="shared" si="325"/>
        <v/>
      </c>
      <c r="K243" s="2" t="str">
        <f t="shared" si="325"/>
        <v/>
      </c>
      <c r="L243" s="2" t="str">
        <f t="shared" si="325"/>
        <v/>
      </c>
      <c r="M243" s="180" t="str">
        <f t="shared" si="325"/>
        <v/>
      </c>
      <c r="N243" s="2" t="str">
        <f t="shared" si="325"/>
        <v/>
      </c>
      <c r="O243" s="2">
        <f t="shared" si="325"/>
        <v>0</v>
      </c>
    </row>
    <row r="244" spans="1:15" x14ac:dyDescent="0.25">
      <c r="A244" s="325">
        <v>1</v>
      </c>
      <c r="B244" s="325">
        <f>TrialNumber</f>
        <v>0</v>
      </c>
      <c r="C244" s="325" t="s">
        <v>18</v>
      </c>
      <c r="D244" s="325">
        <f>Advanced!C36</f>
        <v>0</v>
      </c>
      <c r="E244" s="325" t="str">
        <f>IF(Advanced!B36="W","W","A")</f>
        <v>A</v>
      </c>
      <c r="F244" s="325" t="s">
        <v>1737</v>
      </c>
      <c r="G244" s="325" t="str">
        <f>IF(Advanced!G36="e","Y","")</f>
        <v/>
      </c>
      <c r="H244" s="325" t="str">
        <f>IFERROR(VLOOKUP($D244,'SDDA Dogs'!$A:$AE,2,FALSE),"")</f>
        <v/>
      </c>
      <c r="I244" s="325" t="str">
        <f>IFERROR(VLOOKUP($D244,'SDDA Dogs'!$A:$AE,3,FALSE),"")</f>
        <v/>
      </c>
      <c r="J244" s="325" t="str">
        <f>IFERROR(VLOOKUP($D244,'SDDA Dogs'!$A:$AE,6,FALSE),"")</f>
        <v/>
      </c>
      <c r="K244" s="325" t="str">
        <f>IF(Advanced!AS36="","",Advanced!AS36)</f>
        <v/>
      </c>
      <c r="L244" s="325" t="str">
        <f>IF(Advanced!AT36="","",Advanced!AT36)</f>
        <v/>
      </c>
      <c r="M244" s="326" t="str">
        <f>TrialDate</f>
        <v/>
      </c>
      <c r="N244" s="325" t="str">
        <f t="shared" ref="N244" si="326">N243</f>
        <v/>
      </c>
      <c r="O244" s="325">
        <f>JudgeD1CSA</f>
        <v>0</v>
      </c>
    </row>
    <row r="245" spans="1:15" x14ac:dyDescent="0.25">
      <c r="A245" s="2">
        <v>2</v>
      </c>
      <c r="B245" s="2">
        <f t="shared" ref="B245:O245" si="327">B244</f>
        <v>0</v>
      </c>
      <c r="C245" s="2" t="str">
        <f t="shared" si="327"/>
        <v>CSA</v>
      </c>
      <c r="D245" s="2">
        <f t="shared" si="327"/>
        <v>0</v>
      </c>
      <c r="E245" s="2" t="str">
        <f t="shared" si="327"/>
        <v>A</v>
      </c>
      <c r="F245" s="2" t="str">
        <f t="shared" si="327"/>
        <v>Container Advanced</v>
      </c>
      <c r="G245" s="2" t="str">
        <f t="shared" si="327"/>
        <v/>
      </c>
      <c r="H245" s="2" t="str">
        <f t="shared" si="327"/>
        <v/>
      </c>
      <c r="I245" s="2" t="str">
        <f t="shared" si="327"/>
        <v/>
      </c>
      <c r="J245" s="2" t="str">
        <f t="shared" si="327"/>
        <v/>
      </c>
      <c r="K245" s="2" t="str">
        <f t="shared" si="327"/>
        <v/>
      </c>
      <c r="L245" s="2" t="str">
        <f t="shared" si="327"/>
        <v/>
      </c>
      <c r="M245" s="180" t="str">
        <f t="shared" si="327"/>
        <v/>
      </c>
      <c r="N245" s="2" t="str">
        <f t="shared" si="327"/>
        <v/>
      </c>
      <c r="O245" s="2">
        <f t="shared" si="327"/>
        <v>0</v>
      </c>
    </row>
    <row r="246" spans="1:15" x14ac:dyDescent="0.25">
      <c r="A246" s="325">
        <v>1</v>
      </c>
      <c r="B246" s="325">
        <f>TrialNumber</f>
        <v>0</v>
      </c>
      <c r="C246" s="325" t="s">
        <v>18</v>
      </c>
      <c r="D246" s="325">
        <f>Advanced!C37</f>
        <v>0</v>
      </c>
      <c r="E246" s="325" t="str">
        <f>IF(Advanced!B37="W","W","A")</f>
        <v>A</v>
      </c>
      <c r="F246" s="325" t="s">
        <v>1737</v>
      </c>
      <c r="G246" s="325" t="str">
        <f>IF(Advanced!G37="e","Y","")</f>
        <v/>
      </c>
      <c r="H246" s="325" t="str">
        <f>IFERROR(VLOOKUP($D246,'SDDA Dogs'!$A:$AE,2,FALSE),"")</f>
        <v/>
      </c>
      <c r="I246" s="325" t="str">
        <f>IFERROR(VLOOKUP($D246,'SDDA Dogs'!$A:$AE,3,FALSE),"")</f>
        <v/>
      </c>
      <c r="J246" s="325" t="str">
        <f>IFERROR(VLOOKUP($D246,'SDDA Dogs'!$A:$AE,6,FALSE),"")</f>
        <v/>
      </c>
      <c r="K246" s="325" t="str">
        <f>IF(Advanced!AS37="","",Advanced!AS37)</f>
        <v/>
      </c>
      <c r="L246" s="325" t="str">
        <f>IF(Advanced!AT37="","",Advanced!AT37)</f>
        <v/>
      </c>
      <c r="M246" s="326" t="str">
        <f>TrialDate</f>
        <v/>
      </c>
      <c r="N246" s="325" t="str">
        <f t="shared" ref="N246" si="328">N245</f>
        <v/>
      </c>
      <c r="O246" s="325">
        <f>JudgeD1CSA</f>
        <v>0</v>
      </c>
    </row>
    <row r="247" spans="1:15" x14ac:dyDescent="0.25">
      <c r="A247" s="2">
        <v>2</v>
      </c>
      <c r="B247" s="2">
        <f t="shared" ref="B247:O247" si="329">B246</f>
        <v>0</v>
      </c>
      <c r="C247" s="2" t="str">
        <f t="shared" si="329"/>
        <v>CSA</v>
      </c>
      <c r="D247" s="2">
        <f t="shared" si="329"/>
        <v>0</v>
      </c>
      <c r="E247" s="2" t="str">
        <f t="shared" si="329"/>
        <v>A</v>
      </c>
      <c r="F247" s="2" t="str">
        <f t="shared" si="329"/>
        <v>Container Advanced</v>
      </c>
      <c r="G247" s="2" t="str">
        <f t="shared" si="329"/>
        <v/>
      </c>
      <c r="H247" s="2" t="str">
        <f t="shared" si="329"/>
        <v/>
      </c>
      <c r="I247" s="2" t="str">
        <f t="shared" si="329"/>
        <v/>
      </c>
      <c r="J247" s="2" t="str">
        <f t="shared" si="329"/>
        <v/>
      </c>
      <c r="K247" s="2" t="str">
        <f t="shared" si="329"/>
        <v/>
      </c>
      <c r="L247" s="2" t="str">
        <f t="shared" si="329"/>
        <v/>
      </c>
      <c r="M247" s="180" t="str">
        <f t="shared" si="329"/>
        <v/>
      </c>
      <c r="N247" s="2" t="str">
        <f t="shared" si="329"/>
        <v/>
      </c>
      <c r="O247" s="2">
        <f t="shared" si="329"/>
        <v>0</v>
      </c>
    </row>
    <row r="248" spans="1:15" x14ac:dyDescent="0.25">
      <c r="A248" s="325">
        <v>1</v>
      </c>
      <c r="B248" s="325">
        <f>TrialNumber</f>
        <v>0</v>
      </c>
      <c r="C248" s="325" t="s">
        <v>18</v>
      </c>
      <c r="D248" s="325">
        <f>Advanced!C38</f>
        <v>0</v>
      </c>
      <c r="E248" s="325" t="str">
        <f>IF(Advanced!B38="W","W","A")</f>
        <v>A</v>
      </c>
      <c r="F248" s="325" t="s">
        <v>1737</v>
      </c>
      <c r="G248" s="325" t="str">
        <f>IF(Advanced!G38="e","Y","")</f>
        <v/>
      </c>
      <c r="H248" s="325" t="str">
        <f>IFERROR(VLOOKUP($D248,'SDDA Dogs'!$A:$AE,2,FALSE),"")</f>
        <v/>
      </c>
      <c r="I248" s="325" t="str">
        <f>IFERROR(VLOOKUP($D248,'SDDA Dogs'!$A:$AE,3,FALSE),"")</f>
        <v/>
      </c>
      <c r="J248" s="325" t="str">
        <f>IFERROR(VLOOKUP($D248,'SDDA Dogs'!$A:$AE,6,FALSE),"")</f>
        <v/>
      </c>
      <c r="K248" s="325" t="str">
        <f>IF(Advanced!AS38="","",Advanced!AS38)</f>
        <v/>
      </c>
      <c r="L248" s="325" t="str">
        <f>IF(Advanced!AT38="","",Advanced!AT38)</f>
        <v/>
      </c>
      <c r="M248" s="326" t="str">
        <f>TrialDate</f>
        <v/>
      </c>
      <c r="N248" s="325" t="str">
        <f t="shared" ref="N248" si="330">N247</f>
        <v/>
      </c>
      <c r="O248" s="325">
        <f>JudgeD1CSA</f>
        <v>0</v>
      </c>
    </row>
    <row r="249" spans="1:15" x14ac:dyDescent="0.25">
      <c r="A249" s="2">
        <v>2</v>
      </c>
      <c r="B249" s="2">
        <f t="shared" ref="B249:O249" si="331">B248</f>
        <v>0</v>
      </c>
      <c r="C249" s="2" t="str">
        <f t="shared" si="331"/>
        <v>CSA</v>
      </c>
      <c r="D249" s="2">
        <f t="shared" si="331"/>
        <v>0</v>
      </c>
      <c r="E249" s="2" t="str">
        <f t="shared" si="331"/>
        <v>A</v>
      </c>
      <c r="F249" s="2" t="str">
        <f t="shared" si="331"/>
        <v>Container Advanced</v>
      </c>
      <c r="G249" s="2" t="str">
        <f t="shared" si="331"/>
        <v/>
      </c>
      <c r="H249" s="2" t="str">
        <f t="shared" si="331"/>
        <v/>
      </c>
      <c r="I249" s="2" t="str">
        <f t="shared" si="331"/>
        <v/>
      </c>
      <c r="J249" s="2" t="str">
        <f t="shared" si="331"/>
        <v/>
      </c>
      <c r="K249" s="2" t="str">
        <f t="shared" si="331"/>
        <v/>
      </c>
      <c r="L249" s="2" t="str">
        <f t="shared" si="331"/>
        <v/>
      </c>
      <c r="M249" s="180" t="str">
        <f t="shared" si="331"/>
        <v/>
      </c>
      <c r="N249" s="2" t="str">
        <f t="shared" si="331"/>
        <v/>
      </c>
      <c r="O249" s="2">
        <f t="shared" si="331"/>
        <v>0</v>
      </c>
    </row>
    <row r="250" spans="1:15" x14ac:dyDescent="0.25">
      <c r="A250" s="325">
        <v>1</v>
      </c>
      <c r="B250" s="325">
        <f>TrialNumber</f>
        <v>0</v>
      </c>
      <c r="C250" s="325" t="s">
        <v>18</v>
      </c>
      <c r="D250" s="325">
        <f>Advanced!C39</f>
        <v>0</v>
      </c>
      <c r="E250" s="325" t="str">
        <f>IF(Advanced!B39="W","W","A")</f>
        <v>A</v>
      </c>
      <c r="F250" s="325" t="s">
        <v>1737</v>
      </c>
      <c r="G250" s="325" t="str">
        <f>IF(Advanced!G39="e","Y","")</f>
        <v/>
      </c>
      <c r="H250" s="325" t="str">
        <f>IFERROR(VLOOKUP($D250,'SDDA Dogs'!$A:$AE,2,FALSE),"")</f>
        <v/>
      </c>
      <c r="I250" s="325" t="str">
        <f>IFERROR(VLOOKUP($D250,'SDDA Dogs'!$A:$AE,3,FALSE),"")</f>
        <v/>
      </c>
      <c r="J250" s="325" t="str">
        <f>IFERROR(VLOOKUP($D250,'SDDA Dogs'!$A:$AE,6,FALSE),"")</f>
        <v/>
      </c>
      <c r="K250" s="325" t="str">
        <f>IF(Advanced!AS39="","",Advanced!AS39)</f>
        <v/>
      </c>
      <c r="L250" s="325" t="str">
        <f>IF(Advanced!AT39="","",Advanced!AT39)</f>
        <v/>
      </c>
      <c r="M250" s="326" t="str">
        <f>TrialDate</f>
        <v/>
      </c>
      <c r="N250" s="325" t="str">
        <f t="shared" ref="N250" si="332">N249</f>
        <v/>
      </c>
      <c r="O250" s="325">
        <f>JudgeD1CSA</f>
        <v>0</v>
      </c>
    </row>
    <row r="251" spans="1:15" x14ac:dyDescent="0.25">
      <c r="A251" s="2">
        <v>2</v>
      </c>
      <c r="B251" s="2">
        <f t="shared" ref="B251:O251" si="333">B250</f>
        <v>0</v>
      </c>
      <c r="C251" s="2" t="str">
        <f t="shared" si="333"/>
        <v>CSA</v>
      </c>
      <c r="D251" s="2">
        <f t="shared" si="333"/>
        <v>0</v>
      </c>
      <c r="E251" s="2" t="str">
        <f t="shared" si="333"/>
        <v>A</v>
      </c>
      <c r="F251" s="2" t="str">
        <f t="shared" si="333"/>
        <v>Container Advanced</v>
      </c>
      <c r="G251" s="2" t="str">
        <f t="shared" si="333"/>
        <v/>
      </c>
      <c r="H251" s="2" t="str">
        <f t="shared" si="333"/>
        <v/>
      </c>
      <c r="I251" s="2" t="str">
        <f t="shared" si="333"/>
        <v/>
      </c>
      <c r="J251" s="2" t="str">
        <f t="shared" si="333"/>
        <v/>
      </c>
      <c r="K251" s="2" t="str">
        <f t="shared" si="333"/>
        <v/>
      </c>
      <c r="L251" s="2" t="str">
        <f t="shared" si="333"/>
        <v/>
      </c>
      <c r="M251" s="180" t="str">
        <f t="shared" si="333"/>
        <v/>
      </c>
      <c r="N251" s="2" t="str">
        <f t="shared" si="333"/>
        <v/>
      </c>
      <c r="O251" s="2">
        <f t="shared" si="333"/>
        <v>0</v>
      </c>
    </row>
    <row r="252" spans="1:15" x14ac:dyDescent="0.25">
      <c r="A252" s="325">
        <v>1</v>
      </c>
      <c r="B252" s="325">
        <f>TrialNumber</f>
        <v>0</v>
      </c>
      <c r="C252" s="325" t="s">
        <v>18</v>
      </c>
      <c r="D252" s="325">
        <f>Advanced!C40</f>
        <v>0</v>
      </c>
      <c r="E252" s="325" t="str">
        <f>IF(Advanced!B40="W","W","A")</f>
        <v>A</v>
      </c>
      <c r="F252" s="325" t="s">
        <v>1737</v>
      </c>
      <c r="G252" s="325" t="str">
        <f>IF(Advanced!G40="e","Y","")</f>
        <v/>
      </c>
      <c r="H252" s="325" t="str">
        <f>IFERROR(VLOOKUP($D252,'SDDA Dogs'!$A:$AE,2,FALSE),"")</f>
        <v/>
      </c>
      <c r="I252" s="325" t="str">
        <f>IFERROR(VLOOKUP($D252,'SDDA Dogs'!$A:$AE,3,FALSE),"")</f>
        <v/>
      </c>
      <c r="J252" s="325" t="str">
        <f>IFERROR(VLOOKUP($D252,'SDDA Dogs'!$A:$AE,6,FALSE),"")</f>
        <v/>
      </c>
      <c r="K252" s="325" t="str">
        <f>IF(Advanced!AS40="","",Advanced!AS40)</f>
        <v/>
      </c>
      <c r="L252" s="325" t="str">
        <f>IF(Advanced!AT40="","",Advanced!AT40)</f>
        <v/>
      </c>
      <c r="M252" s="326" t="str">
        <f>TrialDate</f>
        <v/>
      </c>
      <c r="N252" s="325" t="str">
        <f t="shared" ref="N252" si="334">N251</f>
        <v/>
      </c>
      <c r="O252" s="325">
        <f>JudgeD1CSA</f>
        <v>0</v>
      </c>
    </row>
    <row r="253" spans="1:15" x14ac:dyDescent="0.25">
      <c r="A253" s="2">
        <v>2</v>
      </c>
      <c r="B253" s="2">
        <f t="shared" ref="B253:O253" si="335">B252</f>
        <v>0</v>
      </c>
      <c r="C253" s="2" t="str">
        <f t="shared" si="335"/>
        <v>CSA</v>
      </c>
      <c r="D253" s="2">
        <f t="shared" si="335"/>
        <v>0</v>
      </c>
      <c r="E253" s="2" t="str">
        <f t="shared" si="335"/>
        <v>A</v>
      </c>
      <c r="F253" s="2" t="str">
        <f t="shared" si="335"/>
        <v>Container Advanced</v>
      </c>
      <c r="G253" s="2" t="str">
        <f t="shared" si="335"/>
        <v/>
      </c>
      <c r="H253" s="2" t="str">
        <f t="shared" si="335"/>
        <v/>
      </c>
      <c r="I253" s="2" t="str">
        <f t="shared" si="335"/>
        <v/>
      </c>
      <c r="J253" s="2" t="str">
        <f t="shared" si="335"/>
        <v/>
      </c>
      <c r="K253" s="2" t="str">
        <f t="shared" si="335"/>
        <v/>
      </c>
      <c r="L253" s="2" t="str">
        <f t="shared" si="335"/>
        <v/>
      </c>
      <c r="M253" s="180" t="str">
        <f t="shared" si="335"/>
        <v/>
      </c>
      <c r="N253" s="2" t="str">
        <f t="shared" si="335"/>
        <v/>
      </c>
      <c r="O253" s="2">
        <f t="shared" si="335"/>
        <v>0</v>
      </c>
    </row>
    <row r="254" spans="1:15" x14ac:dyDescent="0.25">
      <c r="A254" s="325">
        <v>1</v>
      </c>
      <c r="B254" s="325">
        <f>TrialNumber</f>
        <v>0</v>
      </c>
      <c r="C254" s="325" t="s">
        <v>18</v>
      </c>
      <c r="D254" s="325">
        <f>Advanced!C41</f>
        <v>0</v>
      </c>
      <c r="E254" s="325" t="str">
        <f>IF(Advanced!B41="W","W","A")</f>
        <v>A</v>
      </c>
      <c r="F254" s="325" t="s">
        <v>1737</v>
      </c>
      <c r="G254" s="325" t="str">
        <f>IF(Advanced!G41="e","Y","")</f>
        <v/>
      </c>
      <c r="H254" s="325" t="str">
        <f>IFERROR(VLOOKUP($D254,'SDDA Dogs'!$A:$AE,2,FALSE),"")</f>
        <v/>
      </c>
      <c r="I254" s="325" t="str">
        <f>IFERROR(VLOOKUP($D254,'SDDA Dogs'!$A:$AE,3,FALSE),"")</f>
        <v/>
      </c>
      <c r="J254" s="325" t="str">
        <f>IFERROR(VLOOKUP($D254,'SDDA Dogs'!$A:$AE,6,FALSE),"")</f>
        <v/>
      </c>
      <c r="K254" s="325" t="str">
        <f>IF(Advanced!AS41="","",Advanced!AS41)</f>
        <v/>
      </c>
      <c r="L254" s="325" t="str">
        <f>IF(Advanced!AT41="","",Advanced!AT41)</f>
        <v/>
      </c>
      <c r="M254" s="326" t="str">
        <f>TrialDate</f>
        <v/>
      </c>
      <c r="N254" s="325" t="str">
        <f t="shared" ref="N254" si="336">N253</f>
        <v/>
      </c>
      <c r="O254" s="325">
        <f>JudgeD1CSA</f>
        <v>0</v>
      </c>
    </row>
    <row r="255" spans="1:15" x14ac:dyDescent="0.25">
      <c r="A255" s="2">
        <v>2</v>
      </c>
      <c r="B255" s="2">
        <f t="shared" ref="B255:O255" si="337">B254</f>
        <v>0</v>
      </c>
      <c r="C255" s="2" t="str">
        <f t="shared" si="337"/>
        <v>CSA</v>
      </c>
      <c r="D255" s="2">
        <f t="shared" si="337"/>
        <v>0</v>
      </c>
      <c r="E255" s="2" t="str">
        <f t="shared" si="337"/>
        <v>A</v>
      </c>
      <c r="F255" s="2" t="str">
        <f t="shared" si="337"/>
        <v>Container Advanced</v>
      </c>
      <c r="G255" s="2" t="str">
        <f t="shared" si="337"/>
        <v/>
      </c>
      <c r="H255" s="2" t="str">
        <f t="shared" si="337"/>
        <v/>
      </c>
      <c r="I255" s="2" t="str">
        <f t="shared" si="337"/>
        <v/>
      </c>
      <c r="J255" s="2" t="str">
        <f t="shared" si="337"/>
        <v/>
      </c>
      <c r="K255" s="2" t="str">
        <f t="shared" si="337"/>
        <v/>
      </c>
      <c r="L255" s="2" t="str">
        <f t="shared" si="337"/>
        <v/>
      </c>
      <c r="M255" s="180" t="str">
        <f t="shared" si="337"/>
        <v/>
      </c>
      <c r="N255" s="2" t="str">
        <f t="shared" si="337"/>
        <v/>
      </c>
      <c r="O255" s="2">
        <f t="shared" si="337"/>
        <v>0</v>
      </c>
    </row>
    <row r="256" spans="1:15" x14ac:dyDescent="0.25">
      <c r="A256" s="325">
        <v>1</v>
      </c>
      <c r="B256" s="325">
        <f>TrialNumber</f>
        <v>0</v>
      </c>
      <c r="C256" s="325" t="s">
        <v>18</v>
      </c>
      <c r="D256" s="325">
        <f>Advanced!C42</f>
        <v>0</v>
      </c>
      <c r="E256" s="325" t="str">
        <f>IF(Advanced!B42="W","W","A")</f>
        <v>A</v>
      </c>
      <c r="F256" s="325" t="s">
        <v>1737</v>
      </c>
      <c r="G256" s="325" t="str">
        <f>IF(Advanced!G42="e","Y","")</f>
        <v/>
      </c>
      <c r="H256" s="325" t="str">
        <f>IFERROR(VLOOKUP($D256,'SDDA Dogs'!$A:$AE,2,FALSE),"")</f>
        <v/>
      </c>
      <c r="I256" s="325" t="str">
        <f>IFERROR(VLOOKUP($D256,'SDDA Dogs'!$A:$AE,3,FALSE),"")</f>
        <v/>
      </c>
      <c r="J256" s="325" t="str">
        <f>IFERROR(VLOOKUP($D256,'SDDA Dogs'!$A:$AE,6,FALSE),"")</f>
        <v/>
      </c>
      <c r="K256" s="325" t="str">
        <f>IF(Advanced!AS42="","",Advanced!AS42)</f>
        <v/>
      </c>
      <c r="L256" s="325" t="str">
        <f>IF(Advanced!AT42="","",Advanced!AT42)</f>
        <v/>
      </c>
      <c r="M256" s="326" t="str">
        <f>TrialDate</f>
        <v/>
      </c>
      <c r="N256" s="325" t="str">
        <f t="shared" ref="N256" si="338">N255</f>
        <v/>
      </c>
      <c r="O256" s="325">
        <f>JudgeD1CSA</f>
        <v>0</v>
      </c>
    </row>
    <row r="257" spans="1:15" x14ac:dyDescent="0.25">
      <c r="A257" s="2">
        <v>2</v>
      </c>
      <c r="B257" s="2">
        <f t="shared" ref="B257:O257" si="339">B256</f>
        <v>0</v>
      </c>
      <c r="C257" s="2" t="str">
        <f t="shared" si="339"/>
        <v>CSA</v>
      </c>
      <c r="D257" s="2">
        <f t="shared" si="339"/>
        <v>0</v>
      </c>
      <c r="E257" s="2" t="str">
        <f t="shared" si="339"/>
        <v>A</v>
      </c>
      <c r="F257" s="2" t="str">
        <f t="shared" si="339"/>
        <v>Container Advanced</v>
      </c>
      <c r="G257" s="2" t="str">
        <f t="shared" si="339"/>
        <v/>
      </c>
      <c r="H257" s="2" t="str">
        <f t="shared" si="339"/>
        <v/>
      </c>
      <c r="I257" s="2" t="str">
        <f t="shared" si="339"/>
        <v/>
      </c>
      <c r="J257" s="2" t="str">
        <f t="shared" si="339"/>
        <v/>
      </c>
      <c r="K257" s="2" t="str">
        <f t="shared" si="339"/>
        <v/>
      </c>
      <c r="L257" s="2" t="str">
        <f t="shared" si="339"/>
        <v/>
      </c>
      <c r="M257" s="180" t="str">
        <f t="shared" si="339"/>
        <v/>
      </c>
      <c r="N257" s="2" t="str">
        <f t="shared" si="339"/>
        <v/>
      </c>
      <c r="O257" s="2">
        <f t="shared" si="339"/>
        <v>0</v>
      </c>
    </row>
    <row r="258" spans="1:15" x14ac:dyDescent="0.25">
      <c r="A258" s="325">
        <v>1</v>
      </c>
      <c r="B258" s="325">
        <f>TrialNumber</f>
        <v>0</v>
      </c>
      <c r="C258" s="325" t="s">
        <v>18</v>
      </c>
      <c r="D258" s="325">
        <f>Advanced!C43</f>
        <v>0</v>
      </c>
      <c r="E258" s="325" t="str">
        <f>IF(Advanced!B43="W","W","A")</f>
        <v>A</v>
      </c>
      <c r="F258" s="325" t="s">
        <v>1737</v>
      </c>
      <c r="G258" s="325" t="str">
        <f>IF(Advanced!G43="e","Y","")</f>
        <v/>
      </c>
      <c r="H258" s="325" t="str">
        <f>IFERROR(VLOOKUP($D258,'SDDA Dogs'!$A:$AE,2,FALSE),"")</f>
        <v/>
      </c>
      <c r="I258" s="325" t="str">
        <f>IFERROR(VLOOKUP($D258,'SDDA Dogs'!$A:$AE,3,FALSE),"")</f>
        <v/>
      </c>
      <c r="J258" s="325" t="str">
        <f>IFERROR(VLOOKUP($D258,'SDDA Dogs'!$A:$AE,6,FALSE),"")</f>
        <v/>
      </c>
      <c r="K258" s="325" t="str">
        <f>IF(Advanced!AS43="","",Advanced!AS43)</f>
        <v/>
      </c>
      <c r="L258" s="325" t="str">
        <f>IF(Advanced!AT43="","",Advanced!AT43)</f>
        <v/>
      </c>
      <c r="M258" s="326" t="str">
        <f>TrialDate</f>
        <v/>
      </c>
      <c r="N258" s="325" t="str">
        <f t="shared" ref="N258" si="340">N257</f>
        <v/>
      </c>
      <c r="O258" s="325">
        <f>JudgeD1CSA</f>
        <v>0</v>
      </c>
    </row>
    <row r="259" spans="1:15" x14ac:dyDescent="0.25">
      <c r="A259" s="2">
        <v>2</v>
      </c>
      <c r="B259" s="2">
        <f t="shared" ref="B259:O259" si="341">B258</f>
        <v>0</v>
      </c>
      <c r="C259" s="2" t="str">
        <f t="shared" si="341"/>
        <v>CSA</v>
      </c>
      <c r="D259" s="2">
        <f t="shared" si="341"/>
        <v>0</v>
      </c>
      <c r="E259" s="2" t="str">
        <f t="shared" si="341"/>
        <v>A</v>
      </c>
      <c r="F259" s="2" t="str">
        <f t="shared" si="341"/>
        <v>Container Advanced</v>
      </c>
      <c r="G259" s="2" t="str">
        <f t="shared" si="341"/>
        <v/>
      </c>
      <c r="H259" s="2" t="str">
        <f t="shared" si="341"/>
        <v/>
      </c>
      <c r="I259" s="2" t="str">
        <f t="shared" si="341"/>
        <v/>
      </c>
      <c r="J259" s="2" t="str">
        <f t="shared" si="341"/>
        <v/>
      </c>
      <c r="K259" s="2" t="str">
        <f t="shared" si="341"/>
        <v/>
      </c>
      <c r="L259" s="2" t="str">
        <f t="shared" si="341"/>
        <v/>
      </c>
      <c r="M259" s="180" t="str">
        <f t="shared" si="341"/>
        <v/>
      </c>
      <c r="N259" s="2" t="str">
        <f t="shared" si="341"/>
        <v/>
      </c>
      <c r="O259" s="2">
        <f t="shared" si="341"/>
        <v>0</v>
      </c>
    </row>
    <row r="260" spans="1:15" x14ac:dyDescent="0.25">
      <c r="A260" s="325">
        <v>1</v>
      </c>
      <c r="B260" s="325">
        <f>TrialNumber</f>
        <v>0</v>
      </c>
      <c r="C260" s="325" t="s">
        <v>18</v>
      </c>
      <c r="D260" s="325">
        <f>Advanced!C44</f>
        <v>0</v>
      </c>
      <c r="E260" s="325" t="str">
        <f>IF(Advanced!B44="W","W","A")</f>
        <v>A</v>
      </c>
      <c r="F260" s="325" t="s">
        <v>1737</v>
      </c>
      <c r="G260" s="325" t="str">
        <f>IF(Advanced!G44="e","Y","")</f>
        <v/>
      </c>
      <c r="H260" s="325" t="str">
        <f>IFERROR(VLOOKUP($D260,'SDDA Dogs'!$A:$AE,2,FALSE),"")</f>
        <v/>
      </c>
      <c r="I260" s="325" t="str">
        <f>IFERROR(VLOOKUP($D260,'SDDA Dogs'!$A:$AE,3,FALSE),"")</f>
        <v/>
      </c>
      <c r="J260" s="325" t="str">
        <f>IFERROR(VLOOKUP($D260,'SDDA Dogs'!$A:$AE,6,FALSE),"")</f>
        <v/>
      </c>
      <c r="K260" s="325" t="str">
        <f>IF(Advanced!AS44="","",Advanced!AS44)</f>
        <v/>
      </c>
      <c r="L260" s="325" t="str">
        <f>IF(Advanced!AT44="","",Advanced!AT44)</f>
        <v/>
      </c>
      <c r="M260" s="326" t="str">
        <f>TrialDate</f>
        <v/>
      </c>
      <c r="N260" s="325" t="str">
        <f t="shared" ref="N260" si="342">N259</f>
        <v/>
      </c>
      <c r="O260" s="325">
        <f>JudgeD1CSA</f>
        <v>0</v>
      </c>
    </row>
    <row r="261" spans="1:15" x14ac:dyDescent="0.25">
      <c r="A261" s="2">
        <v>2</v>
      </c>
      <c r="B261" s="2">
        <f t="shared" ref="B261:O261" si="343">B260</f>
        <v>0</v>
      </c>
      <c r="C261" s="2" t="str">
        <f t="shared" si="343"/>
        <v>CSA</v>
      </c>
      <c r="D261" s="2">
        <f t="shared" si="343"/>
        <v>0</v>
      </c>
      <c r="E261" s="2" t="str">
        <f t="shared" si="343"/>
        <v>A</v>
      </c>
      <c r="F261" s="2" t="str">
        <f t="shared" si="343"/>
        <v>Container Advanced</v>
      </c>
      <c r="G261" s="2" t="str">
        <f t="shared" si="343"/>
        <v/>
      </c>
      <c r="H261" s="2" t="str">
        <f t="shared" si="343"/>
        <v/>
      </c>
      <c r="I261" s="2" t="str">
        <f t="shared" si="343"/>
        <v/>
      </c>
      <c r="J261" s="2" t="str">
        <f t="shared" si="343"/>
        <v/>
      </c>
      <c r="K261" s="2" t="str">
        <f t="shared" si="343"/>
        <v/>
      </c>
      <c r="L261" s="2" t="str">
        <f t="shared" si="343"/>
        <v/>
      </c>
      <c r="M261" s="180" t="str">
        <f t="shared" si="343"/>
        <v/>
      </c>
      <c r="N261" s="2" t="str">
        <f t="shared" si="343"/>
        <v/>
      </c>
      <c r="O261" s="2">
        <f t="shared" si="343"/>
        <v>0</v>
      </c>
    </row>
    <row r="262" spans="1:15" x14ac:dyDescent="0.25">
      <c r="A262" s="325">
        <v>1</v>
      </c>
      <c r="B262" s="325">
        <f>TrialNumber</f>
        <v>0</v>
      </c>
      <c r="C262" s="325" t="s">
        <v>18</v>
      </c>
      <c r="D262" s="325">
        <f>Advanced!C45</f>
        <v>0</v>
      </c>
      <c r="E262" s="325" t="str">
        <f>IF(Advanced!B45="W","W","A")</f>
        <v>A</v>
      </c>
      <c r="F262" s="325" t="s">
        <v>1737</v>
      </c>
      <c r="G262" s="325" t="str">
        <f>IF(Advanced!G45="e","Y","")</f>
        <v/>
      </c>
      <c r="H262" s="325" t="str">
        <f>IFERROR(VLOOKUP($D262,'SDDA Dogs'!$A:$AE,2,FALSE),"")</f>
        <v/>
      </c>
      <c r="I262" s="325" t="str">
        <f>IFERROR(VLOOKUP($D262,'SDDA Dogs'!$A:$AE,3,FALSE),"")</f>
        <v/>
      </c>
      <c r="J262" s="325" t="str">
        <f>IFERROR(VLOOKUP($D262,'SDDA Dogs'!$A:$AE,6,FALSE),"")</f>
        <v/>
      </c>
      <c r="K262" s="325" t="str">
        <f>IF(Advanced!AS45="","",Advanced!AS45)</f>
        <v/>
      </c>
      <c r="L262" s="325" t="str">
        <f>IF(Advanced!AT45="","",Advanced!AT45)</f>
        <v/>
      </c>
      <c r="M262" s="326" t="str">
        <f>TrialDate</f>
        <v/>
      </c>
      <c r="N262" s="325" t="str">
        <f t="shared" ref="N262" si="344">N261</f>
        <v/>
      </c>
      <c r="O262" s="325">
        <f>JudgeD1CSA</f>
        <v>0</v>
      </c>
    </row>
    <row r="263" spans="1:15" x14ac:dyDescent="0.25">
      <c r="A263" s="2">
        <v>2</v>
      </c>
      <c r="B263" s="2">
        <f t="shared" ref="B263:O263" si="345">B262</f>
        <v>0</v>
      </c>
      <c r="C263" s="2" t="str">
        <f t="shared" si="345"/>
        <v>CSA</v>
      </c>
      <c r="D263" s="2">
        <f t="shared" si="345"/>
        <v>0</v>
      </c>
      <c r="E263" s="2" t="str">
        <f t="shared" si="345"/>
        <v>A</v>
      </c>
      <c r="F263" s="2" t="str">
        <f t="shared" si="345"/>
        <v>Container Advanced</v>
      </c>
      <c r="G263" s="2" t="str">
        <f t="shared" si="345"/>
        <v/>
      </c>
      <c r="H263" s="2" t="str">
        <f t="shared" si="345"/>
        <v/>
      </c>
      <c r="I263" s="2" t="str">
        <f t="shared" si="345"/>
        <v/>
      </c>
      <c r="J263" s="2" t="str">
        <f t="shared" si="345"/>
        <v/>
      </c>
      <c r="K263" s="2" t="str">
        <f t="shared" si="345"/>
        <v/>
      </c>
      <c r="L263" s="2" t="str">
        <f t="shared" si="345"/>
        <v/>
      </c>
      <c r="M263" s="180" t="str">
        <f t="shared" si="345"/>
        <v/>
      </c>
      <c r="N263" s="2" t="str">
        <f t="shared" si="345"/>
        <v/>
      </c>
      <c r="O263" s="2">
        <f t="shared" si="345"/>
        <v>0</v>
      </c>
    </row>
    <row r="264" spans="1:15" x14ac:dyDescent="0.25">
      <c r="A264" s="325">
        <v>1</v>
      </c>
      <c r="B264" s="325">
        <f>TrialNumber</f>
        <v>0</v>
      </c>
      <c r="C264" s="325" t="s">
        <v>18</v>
      </c>
      <c r="D264" s="325">
        <f>Advanced!C46</f>
        <v>0</v>
      </c>
      <c r="E264" s="325" t="str">
        <f>IF(Advanced!B46="W","W","A")</f>
        <v>A</v>
      </c>
      <c r="F264" s="325" t="s">
        <v>1737</v>
      </c>
      <c r="G264" s="325" t="str">
        <f>IF(Advanced!G46="e","Y","")</f>
        <v/>
      </c>
      <c r="H264" s="325" t="str">
        <f>IFERROR(VLOOKUP($D264,'SDDA Dogs'!$A:$AE,2,FALSE),"")</f>
        <v/>
      </c>
      <c r="I264" s="325" t="str">
        <f>IFERROR(VLOOKUP($D264,'SDDA Dogs'!$A:$AE,3,FALSE),"")</f>
        <v/>
      </c>
      <c r="J264" s="325" t="str">
        <f>IFERROR(VLOOKUP($D264,'SDDA Dogs'!$A:$AE,6,FALSE),"")</f>
        <v/>
      </c>
      <c r="K264" s="325" t="str">
        <f>IF(Advanced!AS46="","",Advanced!AS46)</f>
        <v/>
      </c>
      <c r="L264" s="325" t="str">
        <f>IF(Advanced!AT46="","",Advanced!AT46)</f>
        <v/>
      </c>
      <c r="M264" s="326" t="str">
        <f>TrialDate</f>
        <v/>
      </c>
      <c r="N264" s="325" t="str">
        <f t="shared" ref="N264" si="346">N263</f>
        <v/>
      </c>
      <c r="O264" s="325">
        <f>JudgeD1CSA</f>
        <v>0</v>
      </c>
    </row>
    <row r="265" spans="1:15" x14ac:dyDescent="0.25">
      <c r="A265" s="2">
        <v>2</v>
      </c>
      <c r="B265" s="2">
        <f t="shared" ref="B265:O265" si="347">B264</f>
        <v>0</v>
      </c>
      <c r="C265" s="2" t="str">
        <f t="shared" si="347"/>
        <v>CSA</v>
      </c>
      <c r="D265" s="2">
        <f t="shared" si="347"/>
        <v>0</v>
      </c>
      <c r="E265" s="2" t="str">
        <f t="shared" si="347"/>
        <v>A</v>
      </c>
      <c r="F265" s="2" t="str">
        <f t="shared" si="347"/>
        <v>Container Advanced</v>
      </c>
      <c r="G265" s="2" t="str">
        <f t="shared" si="347"/>
        <v/>
      </c>
      <c r="H265" s="2" t="str">
        <f t="shared" si="347"/>
        <v/>
      </c>
      <c r="I265" s="2" t="str">
        <f t="shared" si="347"/>
        <v/>
      </c>
      <c r="J265" s="2" t="str">
        <f t="shared" si="347"/>
        <v/>
      </c>
      <c r="K265" s="2" t="str">
        <f t="shared" si="347"/>
        <v/>
      </c>
      <c r="L265" s="2" t="str">
        <f t="shared" si="347"/>
        <v/>
      </c>
      <c r="M265" s="180" t="str">
        <f t="shared" si="347"/>
        <v/>
      </c>
      <c r="N265" s="2" t="str">
        <f t="shared" si="347"/>
        <v/>
      </c>
      <c r="O265" s="2">
        <f t="shared" si="347"/>
        <v>0</v>
      </c>
    </row>
    <row r="266" spans="1:15" x14ac:dyDescent="0.25">
      <c r="A266" s="325">
        <v>1</v>
      </c>
      <c r="B266" s="325">
        <f>TrialNumber</f>
        <v>0</v>
      </c>
      <c r="C266" s="325" t="s">
        <v>18</v>
      </c>
      <c r="D266" s="325">
        <f>Advanced!C47</f>
        <v>0</v>
      </c>
      <c r="E266" s="325" t="str">
        <f>IF(Advanced!B47="W","W","A")</f>
        <v>A</v>
      </c>
      <c r="F266" s="325" t="s">
        <v>1737</v>
      </c>
      <c r="G266" s="325" t="str">
        <f>IF(Advanced!G47="e","Y","")</f>
        <v/>
      </c>
      <c r="H266" s="325" t="str">
        <f>IFERROR(VLOOKUP($D266,'SDDA Dogs'!$A:$AE,2,FALSE),"")</f>
        <v/>
      </c>
      <c r="I266" s="325" t="str">
        <f>IFERROR(VLOOKUP($D266,'SDDA Dogs'!$A:$AE,3,FALSE),"")</f>
        <v/>
      </c>
      <c r="J266" s="325" t="str">
        <f>IFERROR(VLOOKUP($D266,'SDDA Dogs'!$A:$AE,6,FALSE),"")</f>
        <v/>
      </c>
      <c r="K266" s="325" t="str">
        <f>IF(Advanced!AS47="","",Advanced!AS47)</f>
        <v/>
      </c>
      <c r="L266" s="325" t="str">
        <f>IF(Advanced!AT47="","",Advanced!AT47)</f>
        <v/>
      </c>
      <c r="M266" s="326" t="str">
        <f>TrialDate</f>
        <v/>
      </c>
      <c r="N266" s="325" t="str">
        <f t="shared" ref="N266" si="348">N265</f>
        <v/>
      </c>
      <c r="O266" s="325">
        <f>JudgeD1CSA</f>
        <v>0</v>
      </c>
    </row>
    <row r="267" spans="1:15" x14ac:dyDescent="0.25">
      <c r="A267" s="2">
        <v>2</v>
      </c>
      <c r="B267" s="2">
        <f t="shared" ref="B267:O267" si="349">B266</f>
        <v>0</v>
      </c>
      <c r="C267" s="2" t="str">
        <f t="shared" si="349"/>
        <v>CSA</v>
      </c>
      <c r="D267" s="2">
        <f t="shared" si="349"/>
        <v>0</v>
      </c>
      <c r="E267" s="2" t="str">
        <f t="shared" si="349"/>
        <v>A</v>
      </c>
      <c r="F267" s="2" t="str">
        <f t="shared" si="349"/>
        <v>Container Advanced</v>
      </c>
      <c r="G267" s="2" t="str">
        <f t="shared" si="349"/>
        <v/>
      </c>
      <c r="H267" s="2" t="str">
        <f t="shared" si="349"/>
        <v/>
      </c>
      <c r="I267" s="2" t="str">
        <f t="shared" si="349"/>
        <v/>
      </c>
      <c r="J267" s="2" t="str">
        <f t="shared" si="349"/>
        <v/>
      </c>
      <c r="K267" s="2" t="str">
        <f t="shared" si="349"/>
        <v/>
      </c>
      <c r="L267" s="2" t="str">
        <f t="shared" si="349"/>
        <v/>
      </c>
      <c r="M267" s="180" t="str">
        <f t="shared" si="349"/>
        <v/>
      </c>
      <c r="N267" s="2" t="str">
        <f t="shared" si="349"/>
        <v/>
      </c>
      <c r="O267" s="2">
        <f t="shared" si="349"/>
        <v>0</v>
      </c>
    </row>
    <row r="268" spans="1:15" x14ac:dyDescent="0.25">
      <c r="A268" s="325">
        <v>1</v>
      </c>
      <c r="B268" s="325">
        <f>TrialNumber</f>
        <v>0</v>
      </c>
      <c r="C268" s="325" t="s">
        <v>18</v>
      </c>
      <c r="D268" s="325">
        <f>Advanced!C48</f>
        <v>0</v>
      </c>
      <c r="E268" s="325" t="str">
        <f>IF(Advanced!B48="W","W","A")</f>
        <v>A</v>
      </c>
      <c r="F268" s="325" t="s">
        <v>1737</v>
      </c>
      <c r="G268" s="325" t="str">
        <f>IF(Advanced!G48="e","Y","")</f>
        <v/>
      </c>
      <c r="H268" s="325" t="str">
        <f>IFERROR(VLOOKUP($D268,'SDDA Dogs'!$A:$AE,2,FALSE),"")</f>
        <v/>
      </c>
      <c r="I268" s="325" t="str">
        <f>IFERROR(VLOOKUP($D268,'SDDA Dogs'!$A:$AE,3,FALSE),"")</f>
        <v/>
      </c>
      <c r="J268" s="325" t="str">
        <f>IFERROR(VLOOKUP($D268,'SDDA Dogs'!$A:$AE,6,FALSE),"")</f>
        <v/>
      </c>
      <c r="K268" s="325" t="str">
        <f>IF(Advanced!AS48="","",Advanced!AS48)</f>
        <v/>
      </c>
      <c r="L268" s="325" t="str">
        <f>IF(Advanced!AT48="","",Advanced!AT48)</f>
        <v/>
      </c>
      <c r="M268" s="326" t="str">
        <f>TrialDate</f>
        <v/>
      </c>
      <c r="N268" s="325" t="str">
        <f t="shared" ref="N268" si="350">N267</f>
        <v/>
      </c>
      <c r="O268" s="325">
        <f>JudgeD1CSA</f>
        <v>0</v>
      </c>
    </row>
    <row r="269" spans="1:15" x14ac:dyDescent="0.25">
      <c r="A269" s="2">
        <v>2</v>
      </c>
      <c r="B269" s="2">
        <f t="shared" ref="B269:O269" si="351">B268</f>
        <v>0</v>
      </c>
      <c r="C269" s="2" t="str">
        <f t="shared" si="351"/>
        <v>CSA</v>
      </c>
      <c r="D269" s="2">
        <f t="shared" si="351"/>
        <v>0</v>
      </c>
      <c r="E269" s="2" t="str">
        <f t="shared" si="351"/>
        <v>A</v>
      </c>
      <c r="F269" s="2" t="str">
        <f t="shared" si="351"/>
        <v>Container Advanced</v>
      </c>
      <c r="G269" s="2" t="str">
        <f t="shared" si="351"/>
        <v/>
      </c>
      <c r="H269" s="2" t="str">
        <f t="shared" si="351"/>
        <v/>
      </c>
      <c r="I269" s="2" t="str">
        <f t="shared" si="351"/>
        <v/>
      </c>
      <c r="J269" s="2" t="str">
        <f t="shared" si="351"/>
        <v/>
      </c>
      <c r="K269" s="2" t="str">
        <f t="shared" si="351"/>
        <v/>
      </c>
      <c r="L269" s="2" t="str">
        <f t="shared" si="351"/>
        <v/>
      </c>
      <c r="M269" s="180" t="str">
        <f t="shared" si="351"/>
        <v/>
      </c>
      <c r="N269" s="2" t="str">
        <f t="shared" si="351"/>
        <v/>
      </c>
      <c r="O269" s="2">
        <f t="shared" si="351"/>
        <v>0</v>
      </c>
    </row>
    <row r="270" spans="1:15" x14ac:dyDescent="0.25">
      <c r="A270" s="325">
        <v>1</v>
      </c>
      <c r="B270" s="325">
        <f>TrialNumber</f>
        <v>0</v>
      </c>
      <c r="C270" s="325" t="s">
        <v>18</v>
      </c>
      <c r="D270" s="325">
        <f>Advanced!C49</f>
        <v>0</v>
      </c>
      <c r="E270" s="325" t="str">
        <f>IF(Advanced!B49="W","W","A")</f>
        <v>A</v>
      </c>
      <c r="F270" s="325" t="s">
        <v>1737</v>
      </c>
      <c r="G270" s="325" t="str">
        <f>IF(Advanced!G49="e","Y","")</f>
        <v/>
      </c>
      <c r="H270" s="325" t="str">
        <f>IFERROR(VLOOKUP($D270,'SDDA Dogs'!$A:$AE,2,FALSE),"")</f>
        <v/>
      </c>
      <c r="I270" s="325" t="str">
        <f>IFERROR(VLOOKUP($D270,'SDDA Dogs'!$A:$AE,3,FALSE),"")</f>
        <v/>
      </c>
      <c r="J270" s="325" t="str">
        <f>IFERROR(VLOOKUP($D270,'SDDA Dogs'!$A:$AE,6,FALSE),"")</f>
        <v/>
      </c>
      <c r="K270" s="325" t="str">
        <f>IF(Advanced!AS49="","",Advanced!AS49)</f>
        <v/>
      </c>
      <c r="L270" s="325" t="str">
        <f>IF(Advanced!AT49="","",Advanced!AT49)</f>
        <v/>
      </c>
      <c r="M270" s="326" t="str">
        <f>TrialDate</f>
        <v/>
      </c>
      <c r="N270" s="325" t="str">
        <f t="shared" ref="N270" si="352">N269</f>
        <v/>
      </c>
      <c r="O270" s="325">
        <f>JudgeD1CSA</f>
        <v>0</v>
      </c>
    </row>
    <row r="271" spans="1:15" x14ac:dyDescent="0.25">
      <c r="A271" s="2">
        <v>2</v>
      </c>
      <c r="B271" s="2">
        <f t="shared" ref="B271:O271" si="353">B270</f>
        <v>0</v>
      </c>
      <c r="C271" s="2" t="str">
        <f t="shared" si="353"/>
        <v>CSA</v>
      </c>
      <c r="D271" s="2">
        <f t="shared" si="353"/>
        <v>0</v>
      </c>
      <c r="E271" s="2" t="str">
        <f t="shared" si="353"/>
        <v>A</v>
      </c>
      <c r="F271" s="2" t="str">
        <f t="shared" si="353"/>
        <v>Container Advanced</v>
      </c>
      <c r="G271" s="2" t="str">
        <f t="shared" si="353"/>
        <v/>
      </c>
      <c r="H271" s="2" t="str">
        <f t="shared" si="353"/>
        <v/>
      </c>
      <c r="I271" s="2" t="str">
        <f t="shared" si="353"/>
        <v/>
      </c>
      <c r="J271" s="2" t="str">
        <f t="shared" si="353"/>
        <v/>
      </c>
      <c r="K271" s="2" t="str">
        <f t="shared" si="353"/>
        <v/>
      </c>
      <c r="L271" s="2" t="str">
        <f t="shared" si="353"/>
        <v/>
      </c>
      <c r="M271" s="180" t="str">
        <f t="shared" si="353"/>
        <v/>
      </c>
      <c r="N271" s="2" t="str">
        <f t="shared" si="353"/>
        <v/>
      </c>
      <c r="O271" s="2">
        <f t="shared" si="353"/>
        <v>0</v>
      </c>
    </row>
    <row r="272" spans="1:15" x14ac:dyDescent="0.25">
      <c r="A272" s="325">
        <v>1</v>
      </c>
      <c r="B272" s="325">
        <f>TrialNumber</f>
        <v>0</v>
      </c>
      <c r="C272" s="325" t="s">
        <v>18</v>
      </c>
      <c r="D272" s="325">
        <f>Advanced!C50</f>
        <v>0</v>
      </c>
      <c r="E272" s="325" t="str">
        <f>IF(Advanced!B50="W","W","A")</f>
        <v>A</v>
      </c>
      <c r="F272" s="325" t="s">
        <v>1737</v>
      </c>
      <c r="G272" s="325" t="str">
        <f>IF(Advanced!G50="e","Y","")</f>
        <v/>
      </c>
      <c r="H272" s="325" t="str">
        <f>IFERROR(VLOOKUP($D272,'SDDA Dogs'!$A:$AE,2,FALSE),"")</f>
        <v/>
      </c>
      <c r="I272" s="325" t="str">
        <f>IFERROR(VLOOKUP($D272,'SDDA Dogs'!$A:$AE,3,FALSE),"")</f>
        <v/>
      </c>
      <c r="J272" s="325" t="str">
        <f>IFERROR(VLOOKUP($D272,'SDDA Dogs'!$A:$AE,6,FALSE),"")</f>
        <v/>
      </c>
      <c r="K272" s="325" t="str">
        <f>IF(Advanced!AS50="","",Advanced!AS50)</f>
        <v/>
      </c>
      <c r="L272" s="325" t="str">
        <f>IF(Advanced!AT50="","",Advanced!AT50)</f>
        <v/>
      </c>
      <c r="M272" s="326" t="str">
        <f>TrialDate</f>
        <v/>
      </c>
      <c r="N272" s="325" t="str">
        <f t="shared" ref="N272" si="354">N271</f>
        <v/>
      </c>
      <c r="O272" s="325">
        <f>JudgeD1CSA</f>
        <v>0</v>
      </c>
    </row>
    <row r="273" spans="1:15" x14ac:dyDescent="0.25">
      <c r="A273" s="2">
        <v>2</v>
      </c>
      <c r="B273" s="2">
        <f t="shared" ref="B273:O273" si="355">B272</f>
        <v>0</v>
      </c>
      <c r="C273" s="2" t="str">
        <f t="shared" si="355"/>
        <v>CSA</v>
      </c>
      <c r="D273" s="2">
        <f t="shared" si="355"/>
        <v>0</v>
      </c>
      <c r="E273" s="2" t="str">
        <f t="shared" si="355"/>
        <v>A</v>
      </c>
      <c r="F273" s="2" t="str">
        <f t="shared" si="355"/>
        <v>Container Advanced</v>
      </c>
      <c r="G273" s="2" t="str">
        <f t="shared" si="355"/>
        <v/>
      </c>
      <c r="H273" s="2" t="str">
        <f t="shared" si="355"/>
        <v/>
      </c>
      <c r="I273" s="2" t="str">
        <f t="shared" si="355"/>
        <v/>
      </c>
      <c r="J273" s="2" t="str">
        <f t="shared" si="355"/>
        <v/>
      </c>
      <c r="K273" s="2" t="str">
        <f t="shared" si="355"/>
        <v/>
      </c>
      <c r="L273" s="2" t="str">
        <f t="shared" si="355"/>
        <v/>
      </c>
      <c r="M273" s="180" t="str">
        <f t="shared" si="355"/>
        <v/>
      </c>
      <c r="N273" s="2" t="str">
        <f t="shared" si="355"/>
        <v/>
      </c>
      <c r="O273" s="2">
        <f t="shared" si="355"/>
        <v>0</v>
      </c>
    </row>
    <row r="274" spans="1:15" x14ac:dyDescent="0.25">
      <c r="A274" s="325">
        <v>1</v>
      </c>
      <c r="B274" s="325">
        <f>TrialNumber</f>
        <v>0</v>
      </c>
      <c r="C274" s="325" t="s">
        <v>18</v>
      </c>
      <c r="D274" s="325">
        <f>Advanced!C51</f>
        <v>0</v>
      </c>
      <c r="E274" s="325" t="str">
        <f>IF(Advanced!B51="W","W","A")</f>
        <v>A</v>
      </c>
      <c r="F274" s="325" t="s">
        <v>1737</v>
      </c>
      <c r="G274" s="325" t="str">
        <f>IF(Advanced!G51="e","Y","")</f>
        <v/>
      </c>
      <c r="H274" s="325" t="str">
        <f>IFERROR(VLOOKUP($D274,'SDDA Dogs'!$A:$AE,2,FALSE),"")</f>
        <v/>
      </c>
      <c r="I274" s="325" t="str">
        <f>IFERROR(VLOOKUP($D274,'SDDA Dogs'!$A:$AE,3,FALSE),"")</f>
        <v/>
      </c>
      <c r="J274" s="325" t="str">
        <f>IFERROR(VLOOKUP($D274,'SDDA Dogs'!$A:$AE,6,FALSE),"")</f>
        <v/>
      </c>
      <c r="K274" s="325" t="str">
        <f>IF(Advanced!AS51="","",Advanced!AS51)</f>
        <v/>
      </c>
      <c r="L274" s="325" t="str">
        <f>IF(Advanced!AT51="","",Advanced!AT51)</f>
        <v/>
      </c>
      <c r="M274" s="326" t="str">
        <f>TrialDate</f>
        <v/>
      </c>
      <c r="N274" s="325" t="str">
        <f t="shared" ref="N274" si="356">N273</f>
        <v/>
      </c>
      <c r="O274" s="325">
        <f>JudgeD1CSA</f>
        <v>0</v>
      </c>
    </row>
    <row r="275" spans="1:15" x14ac:dyDescent="0.25">
      <c r="A275" s="2">
        <v>2</v>
      </c>
      <c r="B275" s="2">
        <f t="shared" ref="B275:O275" si="357">B274</f>
        <v>0</v>
      </c>
      <c r="C275" s="2" t="str">
        <f t="shared" si="357"/>
        <v>CSA</v>
      </c>
      <c r="D275" s="2">
        <f t="shared" si="357"/>
        <v>0</v>
      </c>
      <c r="E275" s="2" t="str">
        <f t="shared" si="357"/>
        <v>A</v>
      </c>
      <c r="F275" s="2" t="str">
        <f t="shared" si="357"/>
        <v>Container Advanced</v>
      </c>
      <c r="G275" s="2" t="str">
        <f t="shared" si="357"/>
        <v/>
      </c>
      <c r="H275" s="2" t="str">
        <f t="shared" si="357"/>
        <v/>
      </c>
      <c r="I275" s="2" t="str">
        <f t="shared" si="357"/>
        <v/>
      </c>
      <c r="J275" s="2" t="str">
        <f t="shared" si="357"/>
        <v/>
      </c>
      <c r="K275" s="2" t="str">
        <f t="shared" si="357"/>
        <v/>
      </c>
      <c r="L275" s="2" t="str">
        <f t="shared" si="357"/>
        <v/>
      </c>
      <c r="M275" s="180" t="str">
        <f t="shared" si="357"/>
        <v/>
      </c>
      <c r="N275" s="2" t="str">
        <f t="shared" si="357"/>
        <v/>
      </c>
      <c r="O275" s="2">
        <f t="shared" si="357"/>
        <v>0</v>
      </c>
    </row>
    <row r="276" spans="1:15" x14ac:dyDescent="0.25">
      <c r="A276" s="325">
        <v>1</v>
      </c>
      <c r="B276" s="325">
        <f>TrialNumber</f>
        <v>0</v>
      </c>
      <c r="C276" s="325" t="s">
        <v>18</v>
      </c>
      <c r="D276" s="325">
        <f>Advanced!C52</f>
        <v>0</v>
      </c>
      <c r="E276" s="325" t="str">
        <f>IF(Advanced!B52="W","W","A")</f>
        <v>A</v>
      </c>
      <c r="F276" s="325" t="s">
        <v>1737</v>
      </c>
      <c r="G276" s="325" t="str">
        <f>IF(Advanced!G52="e","Y","")</f>
        <v/>
      </c>
      <c r="H276" s="325" t="str">
        <f>IFERROR(VLOOKUP($D276,'SDDA Dogs'!$A:$AE,2,FALSE),"")</f>
        <v/>
      </c>
      <c r="I276" s="325" t="str">
        <f>IFERROR(VLOOKUP($D276,'SDDA Dogs'!$A:$AE,3,FALSE),"")</f>
        <v/>
      </c>
      <c r="J276" s="325" t="str">
        <f>IFERROR(VLOOKUP($D276,'SDDA Dogs'!$A:$AE,6,FALSE),"")</f>
        <v/>
      </c>
      <c r="K276" s="325" t="str">
        <f>IF(Advanced!AS52="","",Advanced!AS52)</f>
        <v/>
      </c>
      <c r="L276" s="325" t="str">
        <f>IF(Advanced!AT52="","",Advanced!AT52)</f>
        <v/>
      </c>
      <c r="M276" s="326" t="str">
        <f>TrialDate</f>
        <v/>
      </c>
      <c r="N276" s="325" t="str">
        <f t="shared" ref="N276" si="358">N275</f>
        <v/>
      </c>
      <c r="O276" s="325">
        <f>JudgeD1CSA</f>
        <v>0</v>
      </c>
    </row>
    <row r="277" spans="1:15" x14ac:dyDescent="0.25">
      <c r="A277" s="2">
        <v>2</v>
      </c>
      <c r="B277" s="2">
        <f t="shared" ref="B277:O277" si="359">B276</f>
        <v>0</v>
      </c>
      <c r="C277" s="2" t="str">
        <f t="shared" si="359"/>
        <v>CSA</v>
      </c>
      <c r="D277" s="2">
        <f t="shared" si="359"/>
        <v>0</v>
      </c>
      <c r="E277" s="2" t="str">
        <f t="shared" si="359"/>
        <v>A</v>
      </c>
      <c r="F277" s="2" t="str">
        <f t="shared" si="359"/>
        <v>Container Advanced</v>
      </c>
      <c r="G277" s="2" t="str">
        <f t="shared" si="359"/>
        <v/>
      </c>
      <c r="H277" s="2" t="str">
        <f t="shared" si="359"/>
        <v/>
      </c>
      <c r="I277" s="2" t="str">
        <f t="shared" si="359"/>
        <v/>
      </c>
      <c r="J277" s="2" t="str">
        <f t="shared" si="359"/>
        <v/>
      </c>
      <c r="K277" s="2" t="str">
        <f t="shared" si="359"/>
        <v/>
      </c>
      <c r="L277" s="2" t="str">
        <f t="shared" si="359"/>
        <v/>
      </c>
      <c r="M277" s="180" t="str">
        <f t="shared" si="359"/>
        <v/>
      </c>
      <c r="N277" s="2" t="str">
        <f t="shared" si="359"/>
        <v/>
      </c>
      <c r="O277" s="2">
        <f t="shared" si="359"/>
        <v>0</v>
      </c>
    </row>
    <row r="278" spans="1:15" x14ac:dyDescent="0.25">
      <c r="A278" s="325">
        <v>1</v>
      </c>
      <c r="B278" s="325">
        <f>TrialNumber</f>
        <v>0</v>
      </c>
      <c r="C278" s="325" t="s">
        <v>18</v>
      </c>
      <c r="D278" s="325">
        <f>Advanced!C53</f>
        <v>0</v>
      </c>
      <c r="E278" s="325" t="str">
        <f>IF(Advanced!B53="W","W","A")</f>
        <v>A</v>
      </c>
      <c r="F278" s="325" t="s">
        <v>1737</v>
      </c>
      <c r="G278" s="325" t="str">
        <f>IF(Advanced!G53="e","Y","")</f>
        <v/>
      </c>
      <c r="H278" s="325" t="str">
        <f>IFERROR(VLOOKUP($D278,'SDDA Dogs'!$A:$AE,2,FALSE),"")</f>
        <v/>
      </c>
      <c r="I278" s="325" t="str">
        <f>IFERROR(VLOOKUP($D278,'SDDA Dogs'!$A:$AE,3,FALSE),"")</f>
        <v/>
      </c>
      <c r="J278" s="325" t="str">
        <f>IFERROR(VLOOKUP($D278,'SDDA Dogs'!$A:$AE,6,FALSE),"")</f>
        <v/>
      </c>
      <c r="K278" s="325" t="str">
        <f>IF(Advanced!AS53="","",Advanced!AS53)</f>
        <v/>
      </c>
      <c r="L278" s="325" t="str">
        <f>IF(Advanced!AT53="","",Advanced!AT53)</f>
        <v/>
      </c>
      <c r="M278" s="326" t="str">
        <f>TrialDate</f>
        <v/>
      </c>
      <c r="N278" s="325" t="str">
        <f t="shared" ref="N278" si="360">N277</f>
        <v/>
      </c>
      <c r="O278" s="325">
        <f>JudgeD1CSA</f>
        <v>0</v>
      </c>
    </row>
    <row r="279" spans="1:15" x14ac:dyDescent="0.25">
      <c r="A279" s="2">
        <v>2</v>
      </c>
      <c r="B279" s="2">
        <f t="shared" ref="B279:O279" si="361">B278</f>
        <v>0</v>
      </c>
      <c r="C279" s="2" t="str">
        <f t="shared" si="361"/>
        <v>CSA</v>
      </c>
      <c r="D279" s="2">
        <f t="shared" si="361"/>
        <v>0</v>
      </c>
      <c r="E279" s="2" t="str">
        <f t="shared" si="361"/>
        <v>A</v>
      </c>
      <c r="F279" s="2" t="str">
        <f t="shared" si="361"/>
        <v>Container Advanced</v>
      </c>
      <c r="G279" s="2" t="str">
        <f t="shared" si="361"/>
        <v/>
      </c>
      <c r="H279" s="2" t="str">
        <f t="shared" si="361"/>
        <v/>
      </c>
      <c r="I279" s="2" t="str">
        <f t="shared" si="361"/>
        <v/>
      </c>
      <c r="J279" s="2" t="str">
        <f t="shared" si="361"/>
        <v/>
      </c>
      <c r="K279" s="2" t="str">
        <f t="shared" si="361"/>
        <v/>
      </c>
      <c r="L279" s="2" t="str">
        <f t="shared" si="361"/>
        <v/>
      </c>
      <c r="M279" s="180" t="str">
        <f t="shared" si="361"/>
        <v/>
      </c>
      <c r="N279" s="2" t="str">
        <f t="shared" si="361"/>
        <v/>
      </c>
      <c r="O279" s="2">
        <f t="shared" si="361"/>
        <v>0</v>
      </c>
    </row>
    <row r="280" spans="1:15" x14ac:dyDescent="0.25">
      <c r="A280" s="325">
        <v>1</v>
      </c>
      <c r="B280" s="325">
        <f>TrialNumber</f>
        <v>0</v>
      </c>
      <c r="C280" s="325" t="s">
        <v>18</v>
      </c>
      <c r="D280" s="325">
        <f>Advanced!C54</f>
        <v>0</v>
      </c>
      <c r="E280" s="325" t="str">
        <f>IF(Advanced!B54="W","W","A")</f>
        <v>A</v>
      </c>
      <c r="F280" s="325" t="s">
        <v>1737</v>
      </c>
      <c r="G280" s="325" t="str">
        <f>IF(Advanced!G54="e","Y","")</f>
        <v/>
      </c>
      <c r="H280" s="325" t="str">
        <f>IFERROR(VLOOKUP($D280,'SDDA Dogs'!$A:$AE,2,FALSE),"")</f>
        <v/>
      </c>
      <c r="I280" s="325" t="str">
        <f>IFERROR(VLOOKUP($D280,'SDDA Dogs'!$A:$AE,3,FALSE),"")</f>
        <v/>
      </c>
      <c r="J280" s="325" t="str">
        <f>IFERROR(VLOOKUP($D280,'SDDA Dogs'!$A:$AE,6,FALSE),"")</f>
        <v/>
      </c>
      <c r="K280" s="325" t="str">
        <f>IF(Advanced!AS54="","",Advanced!AS54)</f>
        <v/>
      </c>
      <c r="L280" s="325" t="str">
        <f>IF(Advanced!AT54="","",Advanced!AT54)</f>
        <v/>
      </c>
      <c r="M280" s="326" t="str">
        <f>TrialDate</f>
        <v/>
      </c>
      <c r="N280" s="325" t="str">
        <f t="shared" ref="N280" si="362">N279</f>
        <v/>
      </c>
      <c r="O280" s="325">
        <f>JudgeD1CSA</f>
        <v>0</v>
      </c>
    </row>
    <row r="281" spans="1:15" x14ac:dyDescent="0.25">
      <c r="A281" s="2">
        <v>2</v>
      </c>
      <c r="B281" s="2">
        <f t="shared" ref="B281:O281" si="363">B280</f>
        <v>0</v>
      </c>
      <c r="C281" s="2" t="str">
        <f t="shared" si="363"/>
        <v>CSA</v>
      </c>
      <c r="D281" s="2">
        <f t="shared" si="363"/>
        <v>0</v>
      </c>
      <c r="E281" s="2" t="str">
        <f t="shared" si="363"/>
        <v>A</v>
      </c>
      <c r="F281" s="2" t="str">
        <f t="shared" si="363"/>
        <v>Container Advanced</v>
      </c>
      <c r="G281" s="2" t="str">
        <f t="shared" si="363"/>
        <v/>
      </c>
      <c r="H281" s="2" t="str">
        <f t="shared" si="363"/>
        <v/>
      </c>
      <c r="I281" s="2" t="str">
        <f t="shared" si="363"/>
        <v/>
      </c>
      <c r="J281" s="2" t="str">
        <f t="shared" si="363"/>
        <v/>
      </c>
      <c r="K281" s="2" t="str">
        <f t="shared" si="363"/>
        <v/>
      </c>
      <c r="L281" s="2" t="str">
        <f t="shared" si="363"/>
        <v/>
      </c>
      <c r="M281" s="180" t="str">
        <f t="shared" si="363"/>
        <v/>
      </c>
      <c r="N281" s="2" t="str">
        <f t="shared" si="363"/>
        <v/>
      </c>
      <c r="O281" s="2">
        <f t="shared" si="363"/>
        <v>0</v>
      </c>
    </row>
    <row r="282" spans="1:15" x14ac:dyDescent="0.25">
      <c r="A282" s="329">
        <v>1</v>
      </c>
      <c r="B282" s="329">
        <f>TrialNumber</f>
        <v>0</v>
      </c>
      <c r="C282" s="329" t="s">
        <v>19</v>
      </c>
      <c r="D282" s="329">
        <f>Advanced!C5</f>
        <v>0</v>
      </c>
      <c r="E282" s="329" t="str">
        <f>IF(Advanced!B5="W","W","A")</f>
        <v>A</v>
      </c>
      <c r="F282" s="329" t="s">
        <v>1738</v>
      </c>
      <c r="G282" s="329" t="str">
        <f>IF(Advanced!O5="e","Y","")</f>
        <v/>
      </c>
      <c r="H282" s="329" t="str">
        <f>IFERROR(VLOOKUP($D282,'SDDA Dogs'!$A:$AE,2,FALSE),"")</f>
        <v/>
      </c>
      <c r="I282" s="329" t="str">
        <f>IFERROR(VLOOKUP($D282,'SDDA Dogs'!$A:$AE,3,FALSE),"")</f>
        <v/>
      </c>
      <c r="J282" s="329" t="str">
        <f>IFERROR(VLOOKUP($D282,'SDDA Dogs'!$A:$AE,6,FALSE),"")</f>
        <v/>
      </c>
      <c r="K282" s="329" t="str">
        <f>IF(Advanced!AS5="","",Advanced!AS5)</f>
        <v/>
      </c>
      <c r="L282" s="329" t="str">
        <f>IF(Advanced!AT5="","",Advanced!AT5)</f>
        <v/>
      </c>
      <c r="M282" s="330" t="str">
        <f>TrialDate</f>
        <v/>
      </c>
      <c r="N282" s="325" t="str">
        <f t="shared" ref="N282" si="364">N281</f>
        <v/>
      </c>
      <c r="O282" s="329">
        <f>JudgeD1ISA</f>
        <v>0</v>
      </c>
    </row>
    <row r="283" spans="1:15" x14ac:dyDescent="0.25">
      <c r="A283" s="2">
        <v>2</v>
      </c>
      <c r="B283" s="2">
        <f t="shared" ref="B283:O319" si="365">B282</f>
        <v>0</v>
      </c>
      <c r="C283" s="2" t="str">
        <f t="shared" si="365"/>
        <v>ISA</v>
      </c>
      <c r="D283" s="2">
        <f t="shared" si="365"/>
        <v>0</v>
      </c>
      <c r="E283" s="2" t="str">
        <f t="shared" si="365"/>
        <v>A</v>
      </c>
      <c r="F283" s="2" t="str">
        <f t="shared" si="365"/>
        <v>Interior Advanced</v>
      </c>
      <c r="G283" s="2" t="str">
        <f t="shared" si="365"/>
        <v/>
      </c>
      <c r="H283" s="2" t="str">
        <f t="shared" si="365"/>
        <v/>
      </c>
      <c r="I283" s="2" t="str">
        <f t="shared" si="365"/>
        <v/>
      </c>
      <c r="J283" s="2" t="str">
        <f t="shared" si="365"/>
        <v/>
      </c>
      <c r="K283" s="2" t="str">
        <f t="shared" si="365"/>
        <v/>
      </c>
      <c r="L283" s="2" t="str">
        <f t="shared" si="365"/>
        <v/>
      </c>
      <c r="M283" s="180" t="str">
        <f t="shared" si="365"/>
        <v/>
      </c>
      <c r="N283" s="2" t="str">
        <f t="shared" ref="N283" si="366">N282</f>
        <v/>
      </c>
      <c r="O283" s="2">
        <f t="shared" si="365"/>
        <v>0</v>
      </c>
    </row>
    <row r="284" spans="1:15" x14ac:dyDescent="0.25">
      <c r="A284" s="325">
        <v>1</v>
      </c>
      <c r="B284" s="325">
        <f>TrialNumber</f>
        <v>0</v>
      </c>
      <c r="C284" s="325" t="s">
        <v>19</v>
      </c>
      <c r="D284" s="325">
        <f>Advanced!C6</f>
        <v>0</v>
      </c>
      <c r="E284" s="325" t="str">
        <f>IF(Advanced!B6="W","W","A")</f>
        <v>A</v>
      </c>
      <c r="F284" s="325" t="s">
        <v>1738</v>
      </c>
      <c r="G284" s="325" t="str">
        <f>IF(Advanced!O6="e","Y","")</f>
        <v/>
      </c>
      <c r="H284" s="325" t="str">
        <f>IFERROR(VLOOKUP($D284,'SDDA Dogs'!$A:$AE,2,FALSE),"")</f>
        <v/>
      </c>
      <c r="I284" s="325" t="str">
        <f>IFERROR(VLOOKUP($D284,'SDDA Dogs'!$A:$AE,3,FALSE),"")</f>
        <v/>
      </c>
      <c r="J284" s="325" t="str">
        <f>IFERROR(VLOOKUP($D284,'SDDA Dogs'!$A:$AE,6,FALSE),"")</f>
        <v/>
      </c>
      <c r="K284" s="325" t="str">
        <f>IF(Advanced!AS6="","",Advanced!AS6)</f>
        <v/>
      </c>
      <c r="L284" s="325" t="str">
        <f>IF(Advanced!AT6="","",Advanced!AT6)</f>
        <v/>
      </c>
      <c r="M284" s="326" t="str">
        <f>TrialDate</f>
        <v/>
      </c>
      <c r="N284" s="325" t="str">
        <f t="shared" ref="N284" si="367">N283</f>
        <v/>
      </c>
      <c r="O284" s="325">
        <f>JudgeD1ISA</f>
        <v>0</v>
      </c>
    </row>
    <row r="285" spans="1:15" x14ac:dyDescent="0.25">
      <c r="A285" s="2">
        <v>2</v>
      </c>
      <c r="B285" s="2">
        <f t="shared" si="365"/>
        <v>0</v>
      </c>
      <c r="C285" s="2" t="str">
        <f t="shared" si="365"/>
        <v>ISA</v>
      </c>
      <c r="D285" s="2">
        <f t="shared" si="365"/>
        <v>0</v>
      </c>
      <c r="E285" s="2" t="str">
        <f t="shared" si="365"/>
        <v>A</v>
      </c>
      <c r="F285" s="2" t="str">
        <f t="shared" si="365"/>
        <v>Interior Advanced</v>
      </c>
      <c r="G285" s="2" t="str">
        <f t="shared" si="365"/>
        <v/>
      </c>
      <c r="H285" s="2" t="str">
        <f t="shared" si="365"/>
        <v/>
      </c>
      <c r="I285" s="2" t="str">
        <f t="shared" si="365"/>
        <v/>
      </c>
      <c r="J285" s="2" t="str">
        <f t="shared" si="365"/>
        <v/>
      </c>
      <c r="K285" s="2" t="str">
        <f t="shared" si="365"/>
        <v/>
      </c>
      <c r="L285" s="2" t="str">
        <f t="shared" si="365"/>
        <v/>
      </c>
      <c r="M285" s="180" t="str">
        <f t="shared" si="365"/>
        <v/>
      </c>
      <c r="N285" s="2" t="str">
        <f t="shared" ref="N285" si="368">N284</f>
        <v/>
      </c>
      <c r="O285" s="2">
        <f t="shared" si="365"/>
        <v>0</v>
      </c>
    </row>
    <row r="286" spans="1:15" x14ac:dyDescent="0.25">
      <c r="A286" s="325">
        <v>1</v>
      </c>
      <c r="B286" s="325">
        <f>TrialNumber</f>
        <v>0</v>
      </c>
      <c r="C286" s="325" t="s">
        <v>19</v>
      </c>
      <c r="D286" s="325">
        <f>Advanced!C7</f>
        <v>0</v>
      </c>
      <c r="E286" s="325" t="str">
        <f>IF(Advanced!B7="W","W","A")</f>
        <v>A</v>
      </c>
      <c r="F286" s="325" t="s">
        <v>1738</v>
      </c>
      <c r="G286" s="325" t="str">
        <f>IF(Advanced!O7="e","Y","")</f>
        <v/>
      </c>
      <c r="H286" s="325" t="str">
        <f>IFERROR(VLOOKUP($D286,'SDDA Dogs'!$A:$AE,2,FALSE),"")</f>
        <v/>
      </c>
      <c r="I286" s="325" t="str">
        <f>IFERROR(VLOOKUP($D286,'SDDA Dogs'!$A:$AE,3,FALSE),"")</f>
        <v/>
      </c>
      <c r="J286" s="325" t="str">
        <f>IFERROR(VLOOKUP($D286,'SDDA Dogs'!$A:$AE,6,FALSE),"")</f>
        <v/>
      </c>
      <c r="K286" s="325" t="str">
        <f>IF(Advanced!AS7="","",Advanced!AS7)</f>
        <v/>
      </c>
      <c r="L286" s="325" t="str">
        <f>IF(Advanced!AT7="","",Advanced!AT7)</f>
        <v/>
      </c>
      <c r="M286" s="326" t="str">
        <f>TrialDate</f>
        <v/>
      </c>
      <c r="N286" s="325" t="str">
        <f t="shared" ref="N286" si="369">N285</f>
        <v/>
      </c>
      <c r="O286" s="325">
        <f>JudgeD1ISA</f>
        <v>0</v>
      </c>
    </row>
    <row r="287" spans="1:15" x14ac:dyDescent="0.25">
      <c r="A287" s="2">
        <v>2</v>
      </c>
      <c r="B287" s="2">
        <f t="shared" si="365"/>
        <v>0</v>
      </c>
      <c r="C287" s="2" t="str">
        <f t="shared" si="365"/>
        <v>ISA</v>
      </c>
      <c r="D287" s="2">
        <f t="shared" si="365"/>
        <v>0</v>
      </c>
      <c r="E287" s="2" t="str">
        <f t="shared" si="365"/>
        <v>A</v>
      </c>
      <c r="F287" s="2" t="str">
        <f t="shared" si="365"/>
        <v>Interior Advanced</v>
      </c>
      <c r="G287" s="2" t="str">
        <f t="shared" si="365"/>
        <v/>
      </c>
      <c r="H287" s="2" t="str">
        <f t="shared" si="365"/>
        <v/>
      </c>
      <c r="I287" s="2" t="str">
        <f t="shared" si="365"/>
        <v/>
      </c>
      <c r="J287" s="2" t="str">
        <f t="shared" si="365"/>
        <v/>
      </c>
      <c r="K287" s="2" t="str">
        <f t="shared" si="365"/>
        <v/>
      </c>
      <c r="L287" s="2" t="str">
        <f t="shared" si="365"/>
        <v/>
      </c>
      <c r="M287" s="180" t="str">
        <f t="shared" si="365"/>
        <v/>
      </c>
      <c r="N287" s="2" t="str">
        <f t="shared" ref="N287" si="370">N286</f>
        <v/>
      </c>
      <c r="O287" s="2">
        <f t="shared" si="365"/>
        <v>0</v>
      </c>
    </row>
    <row r="288" spans="1:15" x14ac:dyDescent="0.25">
      <c r="A288" s="325">
        <v>1</v>
      </c>
      <c r="B288" s="325">
        <f>TrialNumber</f>
        <v>0</v>
      </c>
      <c r="C288" s="325" t="s">
        <v>19</v>
      </c>
      <c r="D288" s="325">
        <f>Advanced!C8</f>
        <v>0</v>
      </c>
      <c r="E288" s="325" t="str">
        <f>IF(Advanced!B8="W","W","A")</f>
        <v>A</v>
      </c>
      <c r="F288" s="325" t="s">
        <v>1738</v>
      </c>
      <c r="G288" s="325" t="str">
        <f>IF(Advanced!O8="e","Y","")</f>
        <v/>
      </c>
      <c r="H288" s="325" t="str">
        <f>IFERROR(VLOOKUP($D288,'SDDA Dogs'!$A:$AE,2,FALSE),"")</f>
        <v/>
      </c>
      <c r="I288" s="325" t="str">
        <f>IFERROR(VLOOKUP($D288,'SDDA Dogs'!$A:$AE,3,FALSE),"")</f>
        <v/>
      </c>
      <c r="J288" s="325" t="str">
        <f>IFERROR(VLOOKUP($D288,'SDDA Dogs'!$A:$AE,6,FALSE),"")</f>
        <v/>
      </c>
      <c r="K288" s="325" t="str">
        <f>IF(Advanced!AS8="","",Advanced!AS8)</f>
        <v/>
      </c>
      <c r="L288" s="325" t="str">
        <f>IF(Advanced!AT8="","",Advanced!AT8)</f>
        <v/>
      </c>
      <c r="M288" s="326" t="str">
        <f>TrialDate</f>
        <v/>
      </c>
      <c r="N288" s="325" t="str">
        <f t="shared" ref="N288" si="371">N287</f>
        <v/>
      </c>
      <c r="O288" s="325">
        <f>JudgeD1ISA</f>
        <v>0</v>
      </c>
    </row>
    <row r="289" spans="1:15" x14ac:dyDescent="0.25">
      <c r="A289" s="2">
        <v>2</v>
      </c>
      <c r="B289" s="2">
        <f t="shared" si="365"/>
        <v>0</v>
      </c>
      <c r="C289" s="2" t="str">
        <f t="shared" si="365"/>
        <v>ISA</v>
      </c>
      <c r="D289" s="2">
        <f t="shared" si="365"/>
        <v>0</v>
      </c>
      <c r="E289" s="2" t="str">
        <f t="shared" si="365"/>
        <v>A</v>
      </c>
      <c r="F289" s="2" t="str">
        <f t="shared" si="365"/>
        <v>Interior Advanced</v>
      </c>
      <c r="G289" s="2" t="str">
        <f t="shared" si="365"/>
        <v/>
      </c>
      <c r="H289" s="2" t="str">
        <f t="shared" si="365"/>
        <v/>
      </c>
      <c r="I289" s="2" t="str">
        <f t="shared" si="365"/>
        <v/>
      </c>
      <c r="J289" s="2" t="str">
        <f t="shared" si="365"/>
        <v/>
      </c>
      <c r="K289" s="2" t="str">
        <f t="shared" si="365"/>
        <v/>
      </c>
      <c r="L289" s="2" t="str">
        <f t="shared" si="365"/>
        <v/>
      </c>
      <c r="M289" s="180" t="str">
        <f t="shared" si="365"/>
        <v/>
      </c>
      <c r="N289" s="2" t="str">
        <f t="shared" ref="N289" si="372">N288</f>
        <v/>
      </c>
      <c r="O289" s="2">
        <f t="shared" si="365"/>
        <v>0</v>
      </c>
    </row>
    <row r="290" spans="1:15" x14ac:dyDescent="0.25">
      <c r="A290" s="325">
        <v>1</v>
      </c>
      <c r="B290" s="325">
        <f>TrialNumber</f>
        <v>0</v>
      </c>
      <c r="C290" s="325" t="s">
        <v>19</v>
      </c>
      <c r="D290" s="325">
        <f>Advanced!C9</f>
        <v>0</v>
      </c>
      <c r="E290" s="325" t="str">
        <f>IF(Advanced!B9="W","W","A")</f>
        <v>A</v>
      </c>
      <c r="F290" s="325" t="s">
        <v>1738</v>
      </c>
      <c r="G290" s="325" t="str">
        <f>IF(Advanced!O9="e","Y","")</f>
        <v/>
      </c>
      <c r="H290" s="325" t="str">
        <f>IFERROR(VLOOKUP($D290,'SDDA Dogs'!$A:$AE,2,FALSE),"")</f>
        <v/>
      </c>
      <c r="I290" s="325" t="str">
        <f>IFERROR(VLOOKUP($D290,'SDDA Dogs'!$A:$AE,3,FALSE),"")</f>
        <v/>
      </c>
      <c r="J290" s="325" t="str">
        <f>IFERROR(VLOOKUP($D290,'SDDA Dogs'!$A:$AE,6,FALSE),"")</f>
        <v/>
      </c>
      <c r="K290" s="325" t="str">
        <f>IF(Advanced!AS9="","",Advanced!AS9)</f>
        <v/>
      </c>
      <c r="L290" s="325" t="str">
        <f>IF(Advanced!AT9="","",Advanced!AT9)</f>
        <v/>
      </c>
      <c r="M290" s="326" t="str">
        <f>TrialDate</f>
        <v/>
      </c>
      <c r="N290" s="325" t="str">
        <f t="shared" ref="N290" si="373">N289</f>
        <v/>
      </c>
      <c r="O290" s="325">
        <f>JudgeD1ISA</f>
        <v>0</v>
      </c>
    </row>
    <row r="291" spans="1:15" x14ac:dyDescent="0.25">
      <c r="A291" s="2">
        <v>2</v>
      </c>
      <c r="B291" s="2">
        <f t="shared" si="365"/>
        <v>0</v>
      </c>
      <c r="C291" s="2" t="str">
        <f t="shared" si="365"/>
        <v>ISA</v>
      </c>
      <c r="D291" s="2">
        <f t="shared" si="365"/>
        <v>0</v>
      </c>
      <c r="E291" s="2" t="str">
        <f t="shared" si="365"/>
        <v>A</v>
      </c>
      <c r="F291" s="2" t="str">
        <f t="shared" si="365"/>
        <v>Interior Advanced</v>
      </c>
      <c r="G291" s="2" t="str">
        <f t="shared" si="365"/>
        <v/>
      </c>
      <c r="H291" s="2" t="str">
        <f t="shared" si="365"/>
        <v/>
      </c>
      <c r="I291" s="2" t="str">
        <f t="shared" si="365"/>
        <v/>
      </c>
      <c r="J291" s="2" t="str">
        <f t="shared" si="365"/>
        <v/>
      </c>
      <c r="K291" s="2" t="str">
        <f t="shared" si="365"/>
        <v/>
      </c>
      <c r="L291" s="2" t="str">
        <f t="shared" si="365"/>
        <v/>
      </c>
      <c r="M291" s="180" t="str">
        <f t="shared" si="365"/>
        <v/>
      </c>
      <c r="N291" s="2" t="str">
        <f t="shared" ref="N291" si="374">N290</f>
        <v/>
      </c>
      <c r="O291" s="2">
        <f t="shared" si="365"/>
        <v>0</v>
      </c>
    </row>
    <row r="292" spans="1:15" x14ac:dyDescent="0.25">
      <c r="A292" s="325">
        <v>1</v>
      </c>
      <c r="B292" s="325">
        <f>TrialNumber</f>
        <v>0</v>
      </c>
      <c r="C292" s="325" t="s">
        <v>19</v>
      </c>
      <c r="D292" s="325">
        <f>Advanced!C10</f>
        <v>0</v>
      </c>
      <c r="E292" s="325" t="str">
        <f>IF(Advanced!B10="W","W","A")</f>
        <v>A</v>
      </c>
      <c r="F292" s="325" t="s">
        <v>1738</v>
      </c>
      <c r="G292" s="325" t="str">
        <f>IF(Advanced!O10="e","Y","")</f>
        <v/>
      </c>
      <c r="H292" s="325" t="str">
        <f>IFERROR(VLOOKUP($D292,'SDDA Dogs'!$A:$AE,2,FALSE),"")</f>
        <v/>
      </c>
      <c r="I292" s="325" t="str">
        <f>IFERROR(VLOOKUP($D292,'SDDA Dogs'!$A:$AE,3,FALSE),"")</f>
        <v/>
      </c>
      <c r="J292" s="325" t="str">
        <f>IFERROR(VLOOKUP($D292,'SDDA Dogs'!$A:$AE,6,FALSE),"")</f>
        <v/>
      </c>
      <c r="K292" s="325" t="str">
        <f>IF(Advanced!AS10="","",Advanced!AS10)</f>
        <v/>
      </c>
      <c r="L292" s="325" t="str">
        <f>IF(Advanced!AT10="","",Advanced!AT10)</f>
        <v/>
      </c>
      <c r="M292" s="326" t="str">
        <f>TrialDate</f>
        <v/>
      </c>
      <c r="N292" s="325" t="str">
        <f t="shared" ref="N292" si="375">N291</f>
        <v/>
      </c>
      <c r="O292" s="325">
        <f>JudgeD1ISA</f>
        <v>0</v>
      </c>
    </row>
    <row r="293" spans="1:15" x14ac:dyDescent="0.25">
      <c r="A293" s="2">
        <v>2</v>
      </c>
      <c r="B293" s="2">
        <f t="shared" si="365"/>
        <v>0</v>
      </c>
      <c r="C293" s="2" t="str">
        <f t="shared" si="365"/>
        <v>ISA</v>
      </c>
      <c r="D293" s="2">
        <f t="shared" si="365"/>
        <v>0</v>
      </c>
      <c r="E293" s="2" t="str">
        <f t="shared" si="365"/>
        <v>A</v>
      </c>
      <c r="F293" s="2" t="str">
        <f t="shared" si="365"/>
        <v>Interior Advanced</v>
      </c>
      <c r="G293" s="2" t="str">
        <f t="shared" si="365"/>
        <v/>
      </c>
      <c r="H293" s="2" t="str">
        <f t="shared" si="365"/>
        <v/>
      </c>
      <c r="I293" s="2" t="str">
        <f t="shared" si="365"/>
        <v/>
      </c>
      <c r="J293" s="2" t="str">
        <f t="shared" si="365"/>
        <v/>
      </c>
      <c r="K293" s="2" t="str">
        <f t="shared" si="365"/>
        <v/>
      </c>
      <c r="L293" s="2" t="str">
        <f t="shared" si="365"/>
        <v/>
      </c>
      <c r="M293" s="180" t="str">
        <f t="shared" si="365"/>
        <v/>
      </c>
      <c r="N293" s="2" t="str">
        <f t="shared" ref="N293" si="376">N292</f>
        <v/>
      </c>
      <c r="O293" s="2">
        <f t="shared" si="365"/>
        <v>0</v>
      </c>
    </row>
    <row r="294" spans="1:15" x14ac:dyDescent="0.25">
      <c r="A294" s="325">
        <v>1</v>
      </c>
      <c r="B294" s="325">
        <f>TrialNumber</f>
        <v>0</v>
      </c>
      <c r="C294" s="325" t="s">
        <v>19</v>
      </c>
      <c r="D294" s="325">
        <f>Advanced!C11</f>
        <v>0</v>
      </c>
      <c r="E294" s="325" t="str">
        <f>IF(Advanced!B11="W","W","A")</f>
        <v>A</v>
      </c>
      <c r="F294" s="325" t="s">
        <v>1738</v>
      </c>
      <c r="G294" s="325" t="str">
        <f>IF(Advanced!O11="e","Y","")</f>
        <v/>
      </c>
      <c r="H294" s="325" t="str">
        <f>IFERROR(VLOOKUP($D294,'SDDA Dogs'!$A:$AE,2,FALSE),"")</f>
        <v/>
      </c>
      <c r="I294" s="325" t="str">
        <f>IFERROR(VLOOKUP($D294,'SDDA Dogs'!$A:$AE,3,FALSE),"")</f>
        <v/>
      </c>
      <c r="J294" s="325" t="str">
        <f>IFERROR(VLOOKUP($D294,'SDDA Dogs'!$A:$AE,6,FALSE),"")</f>
        <v/>
      </c>
      <c r="K294" s="325" t="str">
        <f>IF(Advanced!AS11="","",Advanced!AS11)</f>
        <v/>
      </c>
      <c r="L294" s="325" t="str">
        <f>IF(Advanced!AT11="","",Advanced!AT11)</f>
        <v/>
      </c>
      <c r="M294" s="326" t="str">
        <f>TrialDate</f>
        <v/>
      </c>
      <c r="N294" s="325" t="str">
        <f t="shared" ref="N294" si="377">N293</f>
        <v/>
      </c>
      <c r="O294" s="325">
        <f>JudgeD1ISA</f>
        <v>0</v>
      </c>
    </row>
    <row r="295" spans="1:15" x14ac:dyDescent="0.25">
      <c r="A295" s="2">
        <v>2</v>
      </c>
      <c r="B295" s="2">
        <f t="shared" si="365"/>
        <v>0</v>
      </c>
      <c r="C295" s="2" t="str">
        <f t="shared" si="365"/>
        <v>ISA</v>
      </c>
      <c r="D295" s="2">
        <f t="shared" si="365"/>
        <v>0</v>
      </c>
      <c r="E295" s="2" t="str">
        <f t="shared" si="365"/>
        <v>A</v>
      </c>
      <c r="F295" s="2" t="str">
        <f t="shared" si="365"/>
        <v>Interior Advanced</v>
      </c>
      <c r="G295" s="2" t="str">
        <f t="shared" si="365"/>
        <v/>
      </c>
      <c r="H295" s="2" t="str">
        <f t="shared" si="365"/>
        <v/>
      </c>
      <c r="I295" s="2" t="str">
        <f t="shared" si="365"/>
        <v/>
      </c>
      <c r="J295" s="2" t="str">
        <f t="shared" si="365"/>
        <v/>
      </c>
      <c r="K295" s="2" t="str">
        <f t="shared" si="365"/>
        <v/>
      </c>
      <c r="L295" s="2" t="str">
        <f t="shared" si="365"/>
        <v/>
      </c>
      <c r="M295" s="180" t="str">
        <f t="shared" si="365"/>
        <v/>
      </c>
      <c r="N295" s="2" t="str">
        <f t="shared" ref="N295" si="378">N294</f>
        <v/>
      </c>
      <c r="O295" s="2">
        <f t="shared" si="365"/>
        <v>0</v>
      </c>
    </row>
    <row r="296" spans="1:15" x14ac:dyDescent="0.25">
      <c r="A296" s="325">
        <v>1</v>
      </c>
      <c r="B296" s="325">
        <f>TrialNumber</f>
        <v>0</v>
      </c>
      <c r="C296" s="325" t="s">
        <v>19</v>
      </c>
      <c r="D296" s="325">
        <f>Advanced!C12</f>
        <v>0</v>
      </c>
      <c r="E296" s="325" t="str">
        <f>IF(Advanced!B12="W","W","A")</f>
        <v>A</v>
      </c>
      <c r="F296" s="325" t="s">
        <v>1738</v>
      </c>
      <c r="G296" s="325" t="str">
        <f>IF(Advanced!O12="e","Y","")</f>
        <v/>
      </c>
      <c r="H296" s="325" t="str">
        <f>IFERROR(VLOOKUP($D296,'SDDA Dogs'!$A:$AE,2,FALSE),"")</f>
        <v/>
      </c>
      <c r="I296" s="325" t="str">
        <f>IFERROR(VLOOKUP($D296,'SDDA Dogs'!$A:$AE,3,FALSE),"")</f>
        <v/>
      </c>
      <c r="J296" s="325" t="str">
        <f>IFERROR(VLOOKUP($D296,'SDDA Dogs'!$A:$AE,6,FALSE),"")</f>
        <v/>
      </c>
      <c r="K296" s="325" t="str">
        <f>IF(Advanced!AS12="","",Advanced!AS12)</f>
        <v/>
      </c>
      <c r="L296" s="325" t="str">
        <f>IF(Advanced!AT12="","",Advanced!AT12)</f>
        <v/>
      </c>
      <c r="M296" s="326" t="str">
        <f>TrialDate</f>
        <v/>
      </c>
      <c r="N296" s="325" t="str">
        <f t="shared" ref="N296" si="379">N295</f>
        <v/>
      </c>
      <c r="O296" s="325">
        <f>JudgeD1ISA</f>
        <v>0</v>
      </c>
    </row>
    <row r="297" spans="1:15" x14ac:dyDescent="0.25">
      <c r="A297" s="2">
        <v>2</v>
      </c>
      <c r="B297" s="2">
        <f t="shared" si="365"/>
        <v>0</v>
      </c>
      <c r="C297" s="2" t="str">
        <f t="shared" si="365"/>
        <v>ISA</v>
      </c>
      <c r="D297" s="2">
        <f t="shared" si="365"/>
        <v>0</v>
      </c>
      <c r="E297" s="2" t="str">
        <f t="shared" si="365"/>
        <v>A</v>
      </c>
      <c r="F297" s="2" t="str">
        <f t="shared" si="365"/>
        <v>Interior Advanced</v>
      </c>
      <c r="G297" s="2" t="str">
        <f t="shared" si="365"/>
        <v/>
      </c>
      <c r="H297" s="2" t="str">
        <f t="shared" si="365"/>
        <v/>
      </c>
      <c r="I297" s="2" t="str">
        <f t="shared" si="365"/>
        <v/>
      </c>
      <c r="J297" s="2" t="str">
        <f t="shared" si="365"/>
        <v/>
      </c>
      <c r="K297" s="2" t="str">
        <f t="shared" si="365"/>
        <v/>
      </c>
      <c r="L297" s="2" t="str">
        <f t="shared" si="365"/>
        <v/>
      </c>
      <c r="M297" s="180" t="str">
        <f t="shared" si="365"/>
        <v/>
      </c>
      <c r="N297" s="2" t="str">
        <f t="shared" ref="N297" si="380">N296</f>
        <v/>
      </c>
      <c r="O297" s="2">
        <f t="shared" si="365"/>
        <v>0</v>
      </c>
    </row>
    <row r="298" spans="1:15" x14ac:dyDescent="0.25">
      <c r="A298" s="325">
        <v>1</v>
      </c>
      <c r="B298" s="325">
        <f>TrialNumber</f>
        <v>0</v>
      </c>
      <c r="C298" s="325" t="s">
        <v>19</v>
      </c>
      <c r="D298" s="325">
        <f>Advanced!C13</f>
        <v>0</v>
      </c>
      <c r="E298" s="325" t="str">
        <f>IF(Advanced!B13="W","W","A")</f>
        <v>A</v>
      </c>
      <c r="F298" s="325" t="s">
        <v>1738</v>
      </c>
      <c r="G298" s="325" t="str">
        <f>IF(Advanced!O13="e","Y","")</f>
        <v/>
      </c>
      <c r="H298" s="325" t="str">
        <f>IFERROR(VLOOKUP($D298,'SDDA Dogs'!$A:$AE,2,FALSE),"")</f>
        <v/>
      </c>
      <c r="I298" s="325" t="str">
        <f>IFERROR(VLOOKUP($D298,'SDDA Dogs'!$A:$AE,3,FALSE),"")</f>
        <v/>
      </c>
      <c r="J298" s="325" t="str">
        <f>IFERROR(VLOOKUP($D298,'SDDA Dogs'!$A:$AE,6,FALSE),"")</f>
        <v/>
      </c>
      <c r="K298" s="325" t="str">
        <f>IF(Advanced!AS13="","",Advanced!AS13)</f>
        <v/>
      </c>
      <c r="L298" s="325" t="str">
        <f>IF(Advanced!AT13="","",Advanced!AT13)</f>
        <v/>
      </c>
      <c r="M298" s="326" t="str">
        <f>TrialDate</f>
        <v/>
      </c>
      <c r="N298" s="325" t="str">
        <f t="shared" ref="N298" si="381">N297</f>
        <v/>
      </c>
      <c r="O298" s="325">
        <f>JudgeD1ISA</f>
        <v>0</v>
      </c>
    </row>
    <row r="299" spans="1:15" x14ac:dyDescent="0.25">
      <c r="A299" s="2">
        <v>2</v>
      </c>
      <c r="B299" s="2">
        <f t="shared" si="365"/>
        <v>0</v>
      </c>
      <c r="C299" s="2" t="str">
        <f t="shared" si="365"/>
        <v>ISA</v>
      </c>
      <c r="D299" s="2">
        <f t="shared" si="365"/>
        <v>0</v>
      </c>
      <c r="E299" s="2" t="str">
        <f t="shared" si="365"/>
        <v>A</v>
      </c>
      <c r="F299" s="2" t="str">
        <f t="shared" si="365"/>
        <v>Interior Advanced</v>
      </c>
      <c r="G299" s="2" t="str">
        <f t="shared" si="365"/>
        <v/>
      </c>
      <c r="H299" s="2" t="str">
        <f t="shared" si="365"/>
        <v/>
      </c>
      <c r="I299" s="2" t="str">
        <f t="shared" si="365"/>
        <v/>
      </c>
      <c r="J299" s="2" t="str">
        <f t="shared" si="365"/>
        <v/>
      </c>
      <c r="K299" s="2" t="str">
        <f t="shared" si="365"/>
        <v/>
      </c>
      <c r="L299" s="2" t="str">
        <f t="shared" si="365"/>
        <v/>
      </c>
      <c r="M299" s="180" t="str">
        <f t="shared" si="365"/>
        <v/>
      </c>
      <c r="N299" s="2" t="str">
        <f t="shared" ref="N299" si="382">N298</f>
        <v/>
      </c>
      <c r="O299" s="2">
        <f t="shared" si="365"/>
        <v>0</v>
      </c>
    </row>
    <row r="300" spans="1:15" x14ac:dyDescent="0.25">
      <c r="A300" s="325">
        <v>1</v>
      </c>
      <c r="B300" s="325">
        <f>TrialNumber</f>
        <v>0</v>
      </c>
      <c r="C300" s="325" t="s">
        <v>19</v>
      </c>
      <c r="D300" s="325">
        <f>Advanced!C14</f>
        <v>0</v>
      </c>
      <c r="E300" s="325" t="str">
        <f>IF(Advanced!B14="W","W","A")</f>
        <v>A</v>
      </c>
      <c r="F300" s="325" t="s">
        <v>1738</v>
      </c>
      <c r="G300" s="325" t="str">
        <f>IF(Advanced!O14="e","Y","")</f>
        <v/>
      </c>
      <c r="H300" s="325" t="str">
        <f>IFERROR(VLOOKUP($D300,'SDDA Dogs'!$A:$AE,2,FALSE),"")</f>
        <v/>
      </c>
      <c r="I300" s="325" t="str">
        <f>IFERROR(VLOOKUP($D300,'SDDA Dogs'!$A:$AE,3,FALSE),"")</f>
        <v/>
      </c>
      <c r="J300" s="325" t="str">
        <f>IFERROR(VLOOKUP($D300,'SDDA Dogs'!$A:$AE,6,FALSE),"")</f>
        <v/>
      </c>
      <c r="K300" s="325" t="str">
        <f>IF(Advanced!AS14="","",Advanced!AS14)</f>
        <v/>
      </c>
      <c r="L300" s="325" t="str">
        <f>IF(Advanced!AT14="","",Advanced!AT14)</f>
        <v/>
      </c>
      <c r="M300" s="326" t="str">
        <f>TrialDate</f>
        <v/>
      </c>
      <c r="N300" s="325" t="str">
        <f t="shared" ref="N300" si="383">N299</f>
        <v/>
      </c>
      <c r="O300" s="325">
        <f>JudgeD1ISA</f>
        <v>0</v>
      </c>
    </row>
    <row r="301" spans="1:15" x14ac:dyDescent="0.25">
      <c r="A301" s="2">
        <v>2</v>
      </c>
      <c r="B301" s="2">
        <f t="shared" si="365"/>
        <v>0</v>
      </c>
      <c r="C301" s="2" t="str">
        <f t="shared" si="365"/>
        <v>ISA</v>
      </c>
      <c r="D301" s="2">
        <f t="shared" si="365"/>
        <v>0</v>
      </c>
      <c r="E301" s="2" t="str">
        <f t="shared" si="365"/>
        <v>A</v>
      </c>
      <c r="F301" s="2" t="str">
        <f t="shared" si="365"/>
        <v>Interior Advanced</v>
      </c>
      <c r="G301" s="2" t="str">
        <f t="shared" si="365"/>
        <v/>
      </c>
      <c r="H301" s="2" t="str">
        <f t="shared" si="365"/>
        <v/>
      </c>
      <c r="I301" s="2" t="str">
        <f t="shared" si="365"/>
        <v/>
      </c>
      <c r="J301" s="2" t="str">
        <f t="shared" si="365"/>
        <v/>
      </c>
      <c r="K301" s="2" t="str">
        <f t="shared" si="365"/>
        <v/>
      </c>
      <c r="L301" s="2" t="str">
        <f t="shared" si="365"/>
        <v/>
      </c>
      <c r="M301" s="180" t="str">
        <f t="shared" si="365"/>
        <v/>
      </c>
      <c r="N301" s="2" t="str">
        <f t="shared" ref="N301" si="384">N300</f>
        <v/>
      </c>
      <c r="O301" s="2">
        <f t="shared" si="365"/>
        <v>0</v>
      </c>
    </row>
    <row r="302" spans="1:15" x14ac:dyDescent="0.25">
      <c r="A302" s="325">
        <v>1</v>
      </c>
      <c r="B302" s="325">
        <f>TrialNumber</f>
        <v>0</v>
      </c>
      <c r="C302" s="325" t="s">
        <v>19</v>
      </c>
      <c r="D302" s="325">
        <f>Advanced!C15</f>
        <v>0</v>
      </c>
      <c r="E302" s="325" t="str">
        <f>IF(Advanced!B15="W","W","A")</f>
        <v>A</v>
      </c>
      <c r="F302" s="325" t="s">
        <v>1738</v>
      </c>
      <c r="G302" s="325" t="str">
        <f>IF(Advanced!O15="e","Y","")</f>
        <v/>
      </c>
      <c r="H302" s="325" t="str">
        <f>IFERROR(VLOOKUP($D302,'SDDA Dogs'!$A:$AE,2,FALSE),"")</f>
        <v/>
      </c>
      <c r="I302" s="325" t="str">
        <f>IFERROR(VLOOKUP($D302,'SDDA Dogs'!$A:$AE,3,FALSE),"")</f>
        <v/>
      </c>
      <c r="J302" s="325" t="str">
        <f>IFERROR(VLOOKUP($D302,'SDDA Dogs'!$A:$AE,6,FALSE),"")</f>
        <v/>
      </c>
      <c r="K302" s="325" t="str">
        <f>IF(Advanced!AS15="","",Advanced!AS15)</f>
        <v/>
      </c>
      <c r="L302" s="325" t="str">
        <f>IF(Advanced!AT15="","",Advanced!AT15)</f>
        <v/>
      </c>
      <c r="M302" s="326" t="str">
        <f>TrialDate</f>
        <v/>
      </c>
      <c r="N302" s="325" t="str">
        <f t="shared" ref="N302" si="385">N301</f>
        <v/>
      </c>
      <c r="O302" s="325">
        <f>JudgeD1ISA</f>
        <v>0</v>
      </c>
    </row>
    <row r="303" spans="1:15" x14ac:dyDescent="0.25">
      <c r="A303" s="2">
        <v>2</v>
      </c>
      <c r="B303" s="2">
        <f t="shared" si="365"/>
        <v>0</v>
      </c>
      <c r="C303" s="2" t="str">
        <f t="shared" si="365"/>
        <v>ISA</v>
      </c>
      <c r="D303" s="2">
        <f t="shared" si="365"/>
        <v>0</v>
      </c>
      <c r="E303" s="2" t="str">
        <f t="shared" si="365"/>
        <v>A</v>
      </c>
      <c r="F303" s="2" t="str">
        <f t="shared" si="365"/>
        <v>Interior Advanced</v>
      </c>
      <c r="G303" s="2" t="str">
        <f t="shared" si="365"/>
        <v/>
      </c>
      <c r="H303" s="2" t="str">
        <f t="shared" si="365"/>
        <v/>
      </c>
      <c r="I303" s="2" t="str">
        <f t="shared" si="365"/>
        <v/>
      </c>
      <c r="J303" s="2" t="str">
        <f t="shared" si="365"/>
        <v/>
      </c>
      <c r="K303" s="2" t="str">
        <f t="shared" si="365"/>
        <v/>
      </c>
      <c r="L303" s="2" t="str">
        <f t="shared" si="365"/>
        <v/>
      </c>
      <c r="M303" s="180" t="str">
        <f t="shared" si="365"/>
        <v/>
      </c>
      <c r="N303" s="2" t="str">
        <f t="shared" ref="N303" si="386">N302</f>
        <v/>
      </c>
      <c r="O303" s="2">
        <f t="shared" si="365"/>
        <v>0</v>
      </c>
    </row>
    <row r="304" spans="1:15" x14ac:dyDescent="0.25">
      <c r="A304" s="325">
        <v>1</v>
      </c>
      <c r="B304" s="325">
        <f>TrialNumber</f>
        <v>0</v>
      </c>
      <c r="C304" s="325" t="s">
        <v>19</v>
      </c>
      <c r="D304" s="325">
        <f>Advanced!C16</f>
        <v>0</v>
      </c>
      <c r="E304" s="325" t="str">
        <f>IF(Advanced!B16="W","W","A")</f>
        <v>A</v>
      </c>
      <c r="F304" s="325" t="s">
        <v>1738</v>
      </c>
      <c r="G304" s="325" t="str">
        <f>IF(Advanced!O16="e","Y","")</f>
        <v/>
      </c>
      <c r="H304" s="325" t="str">
        <f>IFERROR(VLOOKUP($D304,'SDDA Dogs'!$A:$AE,2,FALSE),"")</f>
        <v/>
      </c>
      <c r="I304" s="325" t="str">
        <f>IFERROR(VLOOKUP($D304,'SDDA Dogs'!$A:$AE,3,FALSE),"")</f>
        <v/>
      </c>
      <c r="J304" s="325" t="str">
        <f>IFERROR(VLOOKUP($D304,'SDDA Dogs'!$A:$AE,6,FALSE),"")</f>
        <v/>
      </c>
      <c r="K304" s="325" t="str">
        <f>IF(Advanced!AS16="","",Advanced!AS16)</f>
        <v/>
      </c>
      <c r="L304" s="325" t="str">
        <f>IF(Advanced!AT16="","",Advanced!AT16)</f>
        <v/>
      </c>
      <c r="M304" s="326" t="str">
        <f>TrialDate</f>
        <v/>
      </c>
      <c r="N304" s="325" t="str">
        <f t="shared" ref="N304" si="387">N303</f>
        <v/>
      </c>
      <c r="O304" s="325">
        <f>JudgeD1ISA</f>
        <v>0</v>
      </c>
    </row>
    <row r="305" spans="1:15" x14ac:dyDescent="0.25">
      <c r="A305" s="2">
        <v>2</v>
      </c>
      <c r="B305" s="2">
        <f t="shared" si="365"/>
        <v>0</v>
      </c>
      <c r="C305" s="2" t="str">
        <f t="shared" si="365"/>
        <v>ISA</v>
      </c>
      <c r="D305" s="2">
        <f t="shared" si="365"/>
        <v>0</v>
      </c>
      <c r="E305" s="2" t="str">
        <f t="shared" si="365"/>
        <v>A</v>
      </c>
      <c r="F305" s="2" t="str">
        <f t="shared" si="365"/>
        <v>Interior Advanced</v>
      </c>
      <c r="G305" s="2" t="str">
        <f t="shared" si="365"/>
        <v/>
      </c>
      <c r="H305" s="2" t="str">
        <f t="shared" si="365"/>
        <v/>
      </c>
      <c r="I305" s="2" t="str">
        <f t="shared" si="365"/>
        <v/>
      </c>
      <c r="J305" s="2" t="str">
        <f t="shared" si="365"/>
        <v/>
      </c>
      <c r="K305" s="2" t="str">
        <f t="shared" si="365"/>
        <v/>
      </c>
      <c r="L305" s="2" t="str">
        <f t="shared" si="365"/>
        <v/>
      </c>
      <c r="M305" s="180" t="str">
        <f t="shared" si="365"/>
        <v/>
      </c>
      <c r="N305" s="2" t="str">
        <f t="shared" ref="N305" si="388">N304</f>
        <v/>
      </c>
      <c r="O305" s="2">
        <f t="shared" si="365"/>
        <v>0</v>
      </c>
    </row>
    <row r="306" spans="1:15" x14ac:dyDescent="0.25">
      <c r="A306" s="325">
        <v>1</v>
      </c>
      <c r="B306" s="325">
        <f>TrialNumber</f>
        <v>0</v>
      </c>
      <c r="C306" s="325" t="s">
        <v>19</v>
      </c>
      <c r="D306" s="325">
        <f>Advanced!C17</f>
        <v>0</v>
      </c>
      <c r="E306" s="325" t="str">
        <f>IF(Advanced!B17="W","W","A")</f>
        <v>A</v>
      </c>
      <c r="F306" s="325" t="s">
        <v>1738</v>
      </c>
      <c r="G306" s="325" t="str">
        <f>IF(Advanced!O17="e","Y","")</f>
        <v/>
      </c>
      <c r="H306" s="325" t="str">
        <f>IFERROR(VLOOKUP($D306,'SDDA Dogs'!$A:$AE,2,FALSE),"")</f>
        <v/>
      </c>
      <c r="I306" s="325" t="str">
        <f>IFERROR(VLOOKUP($D306,'SDDA Dogs'!$A:$AE,3,FALSE),"")</f>
        <v/>
      </c>
      <c r="J306" s="325" t="str">
        <f>IFERROR(VLOOKUP($D306,'SDDA Dogs'!$A:$AE,6,FALSE),"")</f>
        <v/>
      </c>
      <c r="K306" s="325" t="str">
        <f>IF(Advanced!AS17="","",Advanced!AS17)</f>
        <v/>
      </c>
      <c r="L306" s="325" t="str">
        <f>IF(Advanced!AT17="","",Advanced!AT17)</f>
        <v/>
      </c>
      <c r="M306" s="326" t="str">
        <f>TrialDate</f>
        <v/>
      </c>
      <c r="N306" s="325" t="str">
        <f t="shared" ref="N306" si="389">N305</f>
        <v/>
      </c>
      <c r="O306" s="325">
        <f>JudgeD1ISA</f>
        <v>0</v>
      </c>
    </row>
    <row r="307" spans="1:15" x14ac:dyDescent="0.25">
      <c r="A307" s="2">
        <v>2</v>
      </c>
      <c r="B307" s="2">
        <f t="shared" si="365"/>
        <v>0</v>
      </c>
      <c r="C307" s="2" t="str">
        <f t="shared" si="365"/>
        <v>ISA</v>
      </c>
      <c r="D307" s="2">
        <f t="shared" si="365"/>
        <v>0</v>
      </c>
      <c r="E307" s="2" t="str">
        <f t="shared" si="365"/>
        <v>A</v>
      </c>
      <c r="F307" s="2" t="str">
        <f t="shared" si="365"/>
        <v>Interior Advanced</v>
      </c>
      <c r="G307" s="2" t="str">
        <f t="shared" si="365"/>
        <v/>
      </c>
      <c r="H307" s="2" t="str">
        <f t="shared" si="365"/>
        <v/>
      </c>
      <c r="I307" s="2" t="str">
        <f t="shared" si="365"/>
        <v/>
      </c>
      <c r="J307" s="2" t="str">
        <f t="shared" si="365"/>
        <v/>
      </c>
      <c r="K307" s="2" t="str">
        <f t="shared" si="365"/>
        <v/>
      </c>
      <c r="L307" s="2" t="str">
        <f t="shared" si="365"/>
        <v/>
      </c>
      <c r="M307" s="180" t="str">
        <f t="shared" si="365"/>
        <v/>
      </c>
      <c r="N307" s="2" t="str">
        <f t="shared" ref="N307" si="390">N306</f>
        <v/>
      </c>
      <c r="O307" s="2">
        <f t="shared" si="365"/>
        <v>0</v>
      </c>
    </row>
    <row r="308" spans="1:15" x14ac:dyDescent="0.25">
      <c r="A308" s="325">
        <v>1</v>
      </c>
      <c r="B308" s="325">
        <f>TrialNumber</f>
        <v>0</v>
      </c>
      <c r="C308" s="325" t="s">
        <v>19</v>
      </c>
      <c r="D308" s="325">
        <f>Advanced!C18</f>
        <v>0</v>
      </c>
      <c r="E308" s="325" t="str">
        <f>IF(Advanced!B18="W","W","A")</f>
        <v>A</v>
      </c>
      <c r="F308" s="325" t="s">
        <v>1738</v>
      </c>
      <c r="G308" s="325" t="str">
        <f>IF(Advanced!O18="e","Y","")</f>
        <v/>
      </c>
      <c r="H308" s="325" t="str">
        <f>IFERROR(VLOOKUP($D308,'SDDA Dogs'!$A:$AE,2,FALSE),"")</f>
        <v/>
      </c>
      <c r="I308" s="325" t="str">
        <f>IFERROR(VLOOKUP($D308,'SDDA Dogs'!$A:$AE,3,FALSE),"")</f>
        <v/>
      </c>
      <c r="J308" s="325" t="str">
        <f>IFERROR(VLOOKUP($D308,'SDDA Dogs'!$A:$AE,6,FALSE),"")</f>
        <v/>
      </c>
      <c r="K308" s="325" t="str">
        <f>IF(Advanced!AS18="","",Advanced!AS18)</f>
        <v/>
      </c>
      <c r="L308" s="325" t="str">
        <f>IF(Advanced!AT18="","",Advanced!AT18)</f>
        <v/>
      </c>
      <c r="M308" s="326" t="str">
        <f>TrialDate</f>
        <v/>
      </c>
      <c r="N308" s="325" t="str">
        <f t="shared" ref="N308" si="391">N307</f>
        <v/>
      </c>
      <c r="O308" s="325">
        <f>JudgeD1ISA</f>
        <v>0</v>
      </c>
    </row>
    <row r="309" spans="1:15" x14ac:dyDescent="0.25">
      <c r="A309" s="2">
        <v>2</v>
      </c>
      <c r="B309" s="2">
        <f t="shared" si="365"/>
        <v>0</v>
      </c>
      <c r="C309" s="2" t="str">
        <f t="shared" si="365"/>
        <v>ISA</v>
      </c>
      <c r="D309" s="2">
        <f t="shared" si="365"/>
        <v>0</v>
      </c>
      <c r="E309" s="2" t="str">
        <f t="shared" si="365"/>
        <v>A</v>
      </c>
      <c r="F309" s="2" t="str">
        <f t="shared" si="365"/>
        <v>Interior Advanced</v>
      </c>
      <c r="G309" s="2" t="str">
        <f t="shared" si="365"/>
        <v/>
      </c>
      <c r="H309" s="2" t="str">
        <f t="shared" si="365"/>
        <v/>
      </c>
      <c r="I309" s="2" t="str">
        <f t="shared" si="365"/>
        <v/>
      </c>
      <c r="J309" s="2" t="str">
        <f t="shared" si="365"/>
        <v/>
      </c>
      <c r="K309" s="2" t="str">
        <f t="shared" si="365"/>
        <v/>
      </c>
      <c r="L309" s="2" t="str">
        <f t="shared" si="365"/>
        <v/>
      </c>
      <c r="M309" s="180" t="str">
        <f t="shared" si="365"/>
        <v/>
      </c>
      <c r="N309" s="2" t="str">
        <f t="shared" ref="N309" si="392">N308</f>
        <v/>
      </c>
      <c r="O309" s="2">
        <f t="shared" si="365"/>
        <v>0</v>
      </c>
    </row>
    <row r="310" spans="1:15" x14ac:dyDescent="0.25">
      <c r="A310" s="325">
        <v>1</v>
      </c>
      <c r="B310" s="325">
        <f>TrialNumber</f>
        <v>0</v>
      </c>
      <c r="C310" s="325" t="s">
        <v>19</v>
      </c>
      <c r="D310" s="325">
        <f>Advanced!C19</f>
        <v>0</v>
      </c>
      <c r="E310" s="325" t="str">
        <f>IF(Advanced!B19="W","W","A")</f>
        <v>A</v>
      </c>
      <c r="F310" s="325" t="s">
        <v>1738</v>
      </c>
      <c r="G310" s="325" t="str">
        <f>IF(Advanced!O19="e","Y","")</f>
        <v/>
      </c>
      <c r="H310" s="325" t="str">
        <f>IFERROR(VLOOKUP($D310,'SDDA Dogs'!$A:$AE,2,FALSE),"")</f>
        <v/>
      </c>
      <c r="I310" s="325" t="str">
        <f>IFERROR(VLOOKUP($D310,'SDDA Dogs'!$A:$AE,3,FALSE),"")</f>
        <v/>
      </c>
      <c r="J310" s="325" t="str">
        <f>IFERROR(VLOOKUP($D310,'SDDA Dogs'!$A:$AE,6,FALSE),"")</f>
        <v/>
      </c>
      <c r="K310" s="325" t="str">
        <f>IF(Advanced!AS19="","",Advanced!AS19)</f>
        <v/>
      </c>
      <c r="L310" s="325" t="str">
        <f>IF(Advanced!AT19="","",Advanced!AT19)</f>
        <v/>
      </c>
      <c r="M310" s="326" t="str">
        <f>TrialDate</f>
        <v/>
      </c>
      <c r="N310" s="325" t="str">
        <f t="shared" ref="N310" si="393">N309</f>
        <v/>
      </c>
      <c r="O310" s="325">
        <f>JudgeD1ISA</f>
        <v>0</v>
      </c>
    </row>
    <row r="311" spans="1:15" x14ac:dyDescent="0.25">
      <c r="A311" s="2">
        <v>2</v>
      </c>
      <c r="B311" s="2">
        <f t="shared" si="365"/>
        <v>0</v>
      </c>
      <c r="C311" s="2" t="str">
        <f t="shared" si="365"/>
        <v>ISA</v>
      </c>
      <c r="D311" s="2">
        <f t="shared" si="365"/>
        <v>0</v>
      </c>
      <c r="E311" s="2" t="str">
        <f t="shared" si="365"/>
        <v>A</v>
      </c>
      <c r="F311" s="2" t="str">
        <f t="shared" si="365"/>
        <v>Interior Advanced</v>
      </c>
      <c r="G311" s="2" t="str">
        <f t="shared" si="365"/>
        <v/>
      </c>
      <c r="H311" s="2" t="str">
        <f t="shared" si="365"/>
        <v/>
      </c>
      <c r="I311" s="2" t="str">
        <f t="shared" si="365"/>
        <v/>
      </c>
      <c r="J311" s="2" t="str">
        <f t="shared" si="365"/>
        <v/>
      </c>
      <c r="K311" s="2" t="str">
        <f t="shared" si="365"/>
        <v/>
      </c>
      <c r="L311" s="2" t="str">
        <f t="shared" si="365"/>
        <v/>
      </c>
      <c r="M311" s="180" t="str">
        <f t="shared" si="365"/>
        <v/>
      </c>
      <c r="N311" s="2" t="str">
        <f t="shared" ref="N311" si="394">N310</f>
        <v/>
      </c>
      <c r="O311" s="2">
        <f t="shared" si="365"/>
        <v>0</v>
      </c>
    </row>
    <row r="312" spans="1:15" x14ac:dyDescent="0.25">
      <c r="A312" s="325">
        <v>1</v>
      </c>
      <c r="B312" s="325">
        <f>TrialNumber</f>
        <v>0</v>
      </c>
      <c r="C312" s="325" t="s">
        <v>19</v>
      </c>
      <c r="D312" s="325">
        <f>Advanced!C20</f>
        <v>0</v>
      </c>
      <c r="E312" s="325" t="str">
        <f>IF(Advanced!B20="W","W","A")</f>
        <v>A</v>
      </c>
      <c r="F312" s="325" t="s">
        <v>1738</v>
      </c>
      <c r="G312" s="325" t="str">
        <f>IF(Advanced!O20="e","Y","")</f>
        <v/>
      </c>
      <c r="H312" s="325" t="str">
        <f>IFERROR(VLOOKUP($D312,'SDDA Dogs'!$A:$AE,2,FALSE),"")</f>
        <v/>
      </c>
      <c r="I312" s="325" t="str">
        <f>IFERROR(VLOOKUP($D312,'SDDA Dogs'!$A:$AE,3,FALSE),"")</f>
        <v/>
      </c>
      <c r="J312" s="325" t="str">
        <f>IFERROR(VLOOKUP($D312,'SDDA Dogs'!$A:$AE,6,FALSE),"")</f>
        <v/>
      </c>
      <c r="K312" s="325" t="str">
        <f>IF(Advanced!AS20="","",Advanced!AS20)</f>
        <v/>
      </c>
      <c r="L312" s="325" t="str">
        <f>IF(Advanced!AT20="","",Advanced!AT20)</f>
        <v/>
      </c>
      <c r="M312" s="326" t="str">
        <f>TrialDate</f>
        <v/>
      </c>
      <c r="N312" s="325" t="str">
        <f t="shared" ref="N312" si="395">N311</f>
        <v/>
      </c>
      <c r="O312" s="325">
        <f>JudgeD1ISA</f>
        <v>0</v>
      </c>
    </row>
    <row r="313" spans="1:15" x14ac:dyDescent="0.25">
      <c r="A313" s="2">
        <v>2</v>
      </c>
      <c r="B313" s="2">
        <f t="shared" si="365"/>
        <v>0</v>
      </c>
      <c r="C313" s="2" t="str">
        <f t="shared" si="365"/>
        <v>ISA</v>
      </c>
      <c r="D313" s="2">
        <f t="shared" si="365"/>
        <v>0</v>
      </c>
      <c r="E313" s="2" t="str">
        <f t="shared" si="365"/>
        <v>A</v>
      </c>
      <c r="F313" s="2" t="str">
        <f t="shared" si="365"/>
        <v>Interior Advanced</v>
      </c>
      <c r="G313" s="2" t="str">
        <f t="shared" si="365"/>
        <v/>
      </c>
      <c r="H313" s="2" t="str">
        <f t="shared" si="365"/>
        <v/>
      </c>
      <c r="I313" s="2" t="str">
        <f t="shared" si="365"/>
        <v/>
      </c>
      <c r="J313" s="2" t="str">
        <f t="shared" si="365"/>
        <v/>
      </c>
      <c r="K313" s="2" t="str">
        <f t="shared" si="365"/>
        <v/>
      </c>
      <c r="L313" s="2" t="str">
        <f t="shared" si="365"/>
        <v/>
      </c>
      <c r="M313" s="180" t="str">
        <f t="shared" si="365"/>
        <v/>
      </c>
      <c r="N313" s="2" t="str">
        <f t="shared" ref="N313" si="396">N312</f>
        <v/>
      </c>
      <c r="O313" s="2">
        <f t="shared" si="365"/>
        <v>0</v>
      </c>
    </row>
    <row r="314" spans="1:15" x14ac:dyDescent="0.25">
      <c r="A314" s="325">
        <v>1</v>
      </c>
      <c r="B314" s="325">
        <f>TrialNumber</f>
        <v>0</v>
      </c>
      <c r="C314" s="325" t="s">
        <v>19</v>
      </c>
      <c r="D314" s="325">
        <f>Advanced!C21</f>
        <v>0</v>
      </c>
      <c r="E314" s="325" t="str">
        <f>IF(Advanced!B21="W","W","A")</f>
        <v>A</v>
      </c>
      <c r="F314" s="325" t="s">
        <v>1738</v>
      </c>
      <c r="G314" s="325" t="str">
        <f>IF(Advanced!O21="e","Y","")</f>
        <v/>
      </c>
      <c r="H314" s="325" t="str">
        <f>IFERROR(VLOOKUP($D314,'SDDA Dogs'!$A:$AE,2,FALSE),"")</f>
        <v/>
      </c>
      <c r="I314" s="325" t="str">
        <f>IFERROR(VLOOKUP($D314,'SDDA Dogs'!$A:$AE,3,FALSE),"")</f>
        <v/>
      </c>
      <c r="J314" s="325" t="str">
        <f>IFERROR(VLOOKUP($D314,'SDDA Dogs'!$A:$AE,6,FALSE),"")</f>
        <v/>
      </c>
      <c r="K314" s="325" t="str">
        <f>IF(Advanced!AS21="","",Advanced!AS21)</f>
        <v/>
      </c>
      <c r="L314" s="325" t="str">
        <f>IF(Advanced!AT21="","",Advanced!AT21)</f>
        <v/>
      </c>
      <c r="M314" s="326" t="str">
        <f>TrialDate</f>
        <v/>
      </c>
      <c r="N314" s="325" t="str">
        <f t="shared" ref="N314" si="397">N313</f>
        <v/>
      </c>
      <c r="O314" s="325">
        <f>JudgeD1ISA</f>
        <v>0</v>
      </c>
    </row>
    <row r="315" spans="1:15" x14ac:dyDescent="0.25">
      <c r="A315" s="2">
        <v>2</v>
      </c>
      <c r="B315" s="2">
        <f t="shared" si="365"/>
        <v>0</v>
      </c>
      <c r="C315" s="2" t="str">
        <f t="shared" si="365"/>
        <v>ISA</v>
      </c>
      <c r="D315" s="2">
        <f t="shared" si="365"/>
        <v>0</v>
      </c>
      <c r="E315" s="2" t="str">
        <f t="shared" si="365"/>
        <v>A</v>
      </c>
      <c r="F315" s="2" t="str">
        <f t="shared" si="365"/>
        <v>Interior Advanced</v>
      </c>
      <c r="G315" s="2" t="str">
        <f t="shared" si="365"/>
        <v/>
      </c>
      <c r="H315" s="2" t="str">
        <f t="shared" si="365"/>
        <v/>
      </c>
      <c r="I315" s="2" t="str">
        <f t="shared" si="365"/>
        <v/>
      </c>
      <c r="J315" s="2" t="str">
        <f t="shared" si="365"/>
        <v/>
      </c>
      <c r="K315" s="2" t="str">
        <f t="shared" si="365"/>
        <v/>
      </c>
      <c r="L315" s="2" t="str">
        <f t="shared" si="365"/>
        <v/>
      </c>
      <c r="M315" s="180" t="str">
        <f t="shared" si="365"/>
        <v/>
      </c>
      <c r="N315" s="2" t="str">
        <f t="shared" ref="N315" si="398">N314</f>
        <v/>
      </c>
      <c r="O315" s="2">
        <f t="shared" si="365"/>
        <v>0</v>
      </c>
    </row>
    <row r="316" spans="1:15" x14ac:dyDescent="0.25">
      <c r="A316" s="325">
        <v>1</v>
      </c>
      <c r="B316" s="325">
        <f>TrialNumber</f>
        <v>0</v>
      </c>
      <c r="C316" s="325" t="s">
        <v>19</v>
      </c>
      <c r="D316" s="325">
        <f>Advanced!C22</f>
        <v>0</v>
      </c>
      <c r="E316" s="325" t="str">
        <f>IF(Advanced!B22="W","W","A")</f>
        <v>A</v>
      </c>
      <c r="F316" s="325" t="s">
        <v>1738</v>
      </c>
      <c r="G316" s="325" t="str">
        <f>IF(Advanced!O22="e","Y","")</f>
        <v/>
      </c>
      <c r="H316" s="325" t="str">
        <f>IFERROR(VLOOKUP($D316,'SDDA Dogs'!$A:$AE,2,FALSE),"")</f>
        <v/>
      </c>
      <c r="I316" s="325" t="str">
        <f>IFERROR(VLOOKUP($D316,'SDDA Dogs'!$A:$AE,3,FALSE),"")</f>
        <v/>
      </c>
      <c r="J316" s="325" t="str">
        <f>IFERROR(VLOOKUP($D316,'SDDA Dogs'!$A:$AE,6,FALSE),"")</f>
        <v/>
      </c>
      <c r="K316" s="325" t="str">
        <f>IF(Advanced!AS22="","",Advanced!AS22)</f>
        <v/>
      </c>
      <c r="L316" s="325" t="str">
        <f>IF(Advanced!AT22="","",Advanced!AT22)</f>
        <v/>
      </c>
      <c r="M316" s="326" t="str">
        <f>TrialDate</f>
        <v/>
      </c>
      <c r="N316" s="325" t="str">
        <f t="shared" ref="N316" si="399">N315</f>
        <v/>
      </c>
      <c r="O316" s="325">
        <f>JudgeD1ISA</f>
        <v>0</v>
      </c>
    </row>
    <row r="317" spans="1:15" x14ac:dyDescent="0.25">
      <c r="A317" s="2">
        <v>2</v>
      </c>
      <c r="B317" s="2">
        <f t="shared" si="365"/>
        <v>0</v>
      </c>
      <c r="C317" s="2" t="str">
        <f t="shared" si="365"/>
        <v>ISA</v>
      </c>
      <c r="D317" s="2">
        <f t="shared" si="365"/>
        <v>0</v>
      </c>
      <c r="E317" s="2" t="str">
        <f t="shared" si="365"/>
        <v>A</v>
      </c>
      <c r="F317" s="2" t="str">
        <f t="shared" si="365"/>
        <v>Interior Advanced</v>
      </c>
      <c r="G317" s="2" t="str">
        <f t="shared" si="365"/>
        <v/>
      </c>
      <c r="H317" s="2" t="str">
        <f t="shared" si="365"/>
        <v/>
      </c>
      <c r="I317" s="2" t="str">
        <f t="shared" si="365"/>
        <v/>
      </c>
      <c r="J317" s="2" t="str">
        <f t="shared" si="365"/>
        <v/>
      </c>
      <c r="K317" s="2" t="str">
        <f t="shared" si="365"/>
        <v/>
      </c>
      <c r="L317" s="2" t="str">
        <f t="shared" si="365"/>
        <v/>
      </c>
      <c r="M317" s="180" t="str">
        <f t="shared" si="365"/>
        <v/>
      </c>
      <c r="N317" s="2" t="str">
        <f t="shared" ref="N317" si="400">N316</f>
        <v/>
      </c>
      <c r="O317" s="2">
        <f t="shared" si="365"/>
        <v>0</v>
      </c>
    </row>
    <row r="318" spans="1:15" x14ac:dyDescent="0.25">
      <c r="A318" s="325">
        <v>1</v>
      </c>
      <c r="B318" s="325">
        <f>TrialNumber</f>
        <v>0</v>
      </c>
      <c r="C318" s="325" t="s">
        <v>19</v>
      </c>
      <c r="D318" s="325">
        <f>Advanced!C23</f>
        <v>0</v>
      </c>
      <c r="E318" s="325" t="str">
        <f>IF(Advanced!B23="W","W","A")</f>
        <v>A</v>
      </c>
      <c r="F318" s="325" t="s">
        <v>1738</v>
      </c>
      <c r="G318" s="325" t="str">
        <f>IF(Advanced!O23="e","Y","")</f>
        <v/>
      </c>
      <c r="H318" s="325" t="str">
        <f>IFERROR(VLOOKUP($D318,'SDDA Dogs'!$A:$AE,2,FALSE),"")</f>
        <v/>
      </c>
      <c r="I318" s="325" t="str">
        <f>IFERROR(VLOOKUP($D318,'SDDA Dogs'!$A:$AE,3,FALSE),"")</f>
        <v/>
      </c>
      <c r="J318" s="325" t="str">
        <f>IFERROR(VLOOKUP($D318,'SDDA Dogs'!$A:$AE,6,FALSE),"")</f>
        <v/>
      </c>
      <c r="K318" s="325" t="str">
        <f>IF(Advanced!AS23="","",Advanced!AS23)</f>
        <v/>
      </c>
      <c r="L318" s="325" t="str">
        <f>IF(Advanced!AT23="","",Advanced!AT23)</f>
        <v/>
      </c>
      <c r="M318" s="326" t="str">
        <f>TrialDate</f>
        <v/>
      </c>
      <c r="N318" s="325" t="str">
        <f t="shared" ref="N318" si="401">N317</f>
        <v/>
      </c>
      <c r="O318" s="325">
        <f>JudgeD1ISA</f>
        <v>0</v>
      </c>
    </row>
    <row r="319" spans="1:15" x14ac:dyDescent="0.25">
      <c r="A319" s="2">
        <v>2</v>
      </c>
      <c r="B319" s="2">
        <f t="shared" si="365"/>
        <v>0</v>
      </c>
      <c r="C319" s="2" t="str">
        <f t="shared" si="365"/>
        <v>ISA</v>
      </c>
      <c r="D319" s="2">
        <f t="shared" si="365"/>
        <v>0</v>
      </c>
      <c r="E319" s="2" t="str">
        <f t="shared" ref="E319:O323" si="402">E318</f>
        <v>A</v>
      </c>
      <c r="F319" s="2" t="str">
        <f t="shared" si="402"/>
        <v>Interior Advanced</v>
      </c>
      <c r="G319" s="2" t="str">
        <f t="shared" si="402"/>
        <v/>
      </c>
      <c r="H319" s="2" t="str">
        <f t="shared" si="402"/>
        <v/>
      </c>
      <c r="I319" s="2" t="str">
        <f t="shared" si="402"/>
        <v/>
      </c>
      <c r="J319" s="2" t="str">
        <f t="shared" si="402"/>
        <v/>
      </c>
      <c r="K319" s="2" t="str">
        <f t="shared" si="402"/>
        <v/>
      </c>
      <c r="L319" s="2" t="str">
        <f t="shared" si="402"/>
        <v/>
      </c>
      <c r="M319" s="180" t="str">
        <f t="shared" si="402"/>
        <v/>
      </c>
      <c r="N319" s="2" t="str">
        <f t="shared" si="402"/>
        <v/>
      </c>
      <c r="O319" s="2">
        <f t="shared" si="402"/>
        <v>0</v>
      </c>
    </row>
    <row r="320" spans="1:15" x14ac:dyDescent="0.25">
      <c r="A320" s="325">
        <v>1</v>
      </c>
      <c r="B320" s="325">
        <f>TrialNumber</f>
        <v>0</v>
      </c>
      <c r="C320" s="325" t="s">
        <v>19</v>
      </c>
      <c r="D320" s="325">
        <f>Advanced!C24</f>
        <v>0</v>
      </c>
      <c r="E320" s="325" t="str">
        <f>IF(Advanced!B24="W","W","A")</f>
        <v>A</v>
      </c>
      <c r="F320" s="325" t="s">
        <v>1738</v>
      </c>
      <c r="G320" s="325" t="str">
        <f>IF(Advanced!O24="e","Y","")</f>
        <v/>
      </c>
      <c r="H320" s="325" t="str">
        <f>IFERROR(VLOOKUP($D320,'SDDA Dogs'!$A:$AE,2,FALSE),"")</f>
        <v/>
      </c>
      <c r="I320" s="325" t="str">
        <f>IFERROR(VLOOKUP($D320,'SDDA Dogs'!$A:$AE,3,FALSE),"")</f>
        <v/>
      </c>
      <c r="J320" s="325" t="str">
        <f>IFERROR(VLOOKUP($D320,'SDDA Dogs'!$A:$AE,6,FALSE),"")</f>
        <v/>
      </c>
      <c r="K320" s="325" t="str">
        <f>IF(Advanced!AS24="","",Advanced!AS24)</f>
        <v/>
      </c>
      <c r="L320" s="325" t="str">
        <f>IF(Advanced!AT24="","",Advanced!AT24)</f>
        <v/>
      </c>
      <c r="M320" s="326" t="str">
        <f>TrialDate</f>
        <v/>
      </c>
      <c r="N320" s="325" t="str">
        <f t="shared" ref="N320" si="403">N319</f>
        <v/>
      </c>
      <c r="O320" s="325">
        <f>JudgeD1ISA</f>
        <v>0</v>
      </c>
    </row>
    <row r="321" spans="1:15" x14ac:dyDescent="0.25">
      <c r="A321" s="2">
        <v>2</v>
      </c>
      <c r="B321" s="2">
        <f t="shared" ref="B321:D323" si="404">B320</f>
        <v>0</v>
      </c>
      <c r="C321" s="2" t="str">
        <f t="shared" si="404"/>
        <v>ISA</v>
      </c>
      <c r="D321" s="2">
        <f t="shared" si="404"/>
        <v>0</v>
      </c>
      <c r="E321" s="2" t="str">
        <f t="shared" si="402"/>
        <v>A</v>
      </c>
      <c r="F321" s="2" t="str">
        <f t="shared" si="402"/>
        <v>Interior Advanced</v>
      </c>
      <c r="G321" s="2" t="str">
        <f t="shared" si="402"/>
        <v/>
      </c>
      <c r="H321" s="2" t="str">
        <f t="shared" si="402"/>
        <v/>
      </c>
      <c r="I321" s="2" t="str">
        <f t="shared" si="402"/>
        <v/>
      </c>
      <c r="J321" s="2" t="str">
        <f t="shared" si="402"/>
        <v/>
      </c>
      <c r="K321" s="2" t="str">
        <f t="shared" si="402"/>
        <v/>
      </c>
      <c r="L321" s="2" t="str">
        <f t="shared" si="402"/>
        <v/>
      </c>
      <c r="M321" s="180" t="str">
        <f t="shared" si="402"/>
        <v/>
      </c>
      <c r="N321" s="2" t="str">
        <f t="shared" si="402"/>
        <v/>
      </c>
      <c r="O321" s="2">
        <f t="shared" si="402"/>
        <v>0</v>
      </c>
    </row>
    <row r="322" spans="1:15" x14ac:dyDescent="0.25">
      <c r="A322" s="325">
        <v>1</v>
      </c>
      <c r="B322" s="325">
        <f>TrialNumber</f>
        <v>0</v>
      </c>
      <c r="C322" s="325" t="s">
        <v>19</v>
      </c>
      <c r="D322" s="325">
        <f>Advanced!C25</f>
        <v>0</v>
      </c>
      <c r="E322" s="325" t="str">
        <f>IF(Advanced!B25="W","W","A")</f>
        <v>A</v>
      </c>
      <c r="F322" s="325" t="s">
        <v>1738</v>
      </c>
      <c r="G322" s="325" t="str">
        <f>IF(Advanced!O25="e","Y","")</f>
        <v/>
      </c>
      <c r="H322" s="325" t="str">
        <f>IFERROR(VLOOKUP($D322,'SDDA Dogs'!$A:$AE,2,FALSE),"")</f>
        <v/>
      </c>
      <c r="I322" s="325" t="str">
        <f>IFERROR(VLOOKUP($D322,'SDDA Dogs'!$A:$AE,3,FALSE),"")</f>
        <v/>
      </c>
      <c r="J322" s="325" t="str">
        <f>IFERROR(VLOOKUP($D322,'SDDA Dogs'!$A:$AE,6,FALSE),"")</f>
        <v/>
      </c>
      <c r="K322" s="325" t="str">
        <f>IF(Advanced!AS25="","",Advanced!AS25)</f>
        <v/>
      </c>
      <c r="L322" s="325" t="str">
        <f>IF(Advanced!AT25="","",Advanced!AT25)</f>
        <v/>
      </c>
      <c r="M322" s="326" t="str">
        <f>TrialDate</f>
        <v/>
      </c>
      <c r="N322" s="325" t="str">
        <f t="shared" ref="N322" si="405">N321</f>
        <v/>
      </c>
      <c r="O322" s="325">
        <f>JudgeD1ISA</f>
        <v>0</v>
      </c>
    </row>
    <row r="323" spans="1:15" x14ac:dyDescent="0.25">
      <c r="A323" s="2">
        <v>2</v>
      </c>
      <c r="B323" s="2">
        <f t="shared" si="404"/>
        <v>0</v>
      </c>
      <c r="C323" s="2" t="str">
        <f t="shared" si="404"/>
        <v>ISA</v>
      </c>
      <c r="D323" s="2">
        <f t="shared" si="404"/>
        <v>0</v>
      </c>
      <c r="E323" s="2" t="str">
        <f t="shared" si="402"/>
        <v>A</v>
      </c>
      <c r="F323" s="2" t="str">
        <f t="shared" si="402"/>
        <v>Interior Advanced</v>
      </c>
      <c r="G323" s="2" t="str">
        <f t="shared" si="402"/>
        <v/>
      </c>
      <c r="H323" s="2" t="str">
        <f t="shared" si="402"/>
        <v/>
      </c>
      <c r="I323" s="2" t="str">
        <f t="shared" si="402"/>
        <v/>
      </c>
      <c r="J323" s="2" t="str">
        <f t="shared" si="402"/>
        <v/>
      </c>
      <c r="K323" s="2" t="str">
        <f t="shared" si="402"/>
        <v/>
      </c>
      <c r="L323" s="2" t="str">
        <f t="shared" si="402"/>
        <v/>
      </c>
      <c r="M323" s="180" t="str">
        <f t="shared" si="402"/>
        <v/>
      </c>
      <c r="N323" s="2" t="str">
        <f t="shared" si="402"/>
        <v/>
      </c>
      <c r="O323" s="2">
        <f t="shared" si="402"/>
        <v>0</v>
      </c>
    </row>
    <row r="324" spans="1:15" x14ac:dyDescent="0.25">
      <c r="A324" s="325">
        <v>1</v>
      </c>
      <c r="B324" s="325">
        <f>TrialNumber</f>
        <v>0</v>
      </c>
      <c r="C324" s="325" t="s">
        <v>19</v>
      </c>
      <c r="D324" s="325">
        <f>Advanced!C26</f>
        <v>0</v>
      </c>
      <c r="E324" s="325" t="str">
        <f>IF(Advanced!B26="W","W","A")</f>
        <v>A</v>
      </c>
      <c r="F324" s="325" t="s">
        <v>1738</v>
      </c>
      <c r="G324" s="325" t="str">
        <f>IF(Advanced!O26="e","Y","")</f>
        <v/>
      </c>
      <c r="H324" s="325" t="str">
        <f>IFERROR(VLOOKUP($D324,'SDDA Dogs'!$A:$AE,2,FALSE),"")</f>
        <v/>
      </c>
      <c r="I324" s="325" t="str">
        <f>IFERROR(VLOOKUP($D324,'SDDA Dogs'!$A:$AE,3,FALSE),"")</f>
        <v/>
      </c>
      <c r="J324" s="325" t="str">
        <f>IFERROR(VLOOKUP($D324,'SDDA Dogs'!$A:$AE,6,FALSE),"")</f>
        <v/>
      </c>
      <c r="K324" s="325" t="str">
        <f>IF(Advanced!AS26="","",Advanced!AS26)</f>
        <v/>
      </c>
      <c r="L324" s="325" t="str">
        <f>IF(Advanced!AT26="","",Advanced!AT26)</f>
        <v/>
      </c>
      <c r="M324" s="326" t="str">
        <f>TrialDate</f>
        <v/>
      </c>
      <c r="N324" s="325" t="str">
        <f t="shared" ref="N324" si="406">N323</f>
        <v/>
      </c>
      <c r="O324" s="325">
        <f>JudgeD1ISA</f>
        <v>0</v>
      </c>
    </row>
    <row r="325" spans="1:15" x14ac:dyDescent="0.25">
      <c r="A325" s="2">
        <v>2</v>
      </c>
      <c r="B325" s="2">
        <f t="shared" ref="B325:O325" si="407">B324</f>
        <v>0</v>
      </c>
      <c r="C325" s="2" t="str">
        <f t="shared" si="407"/>
        <v>ISA</v>
      </c>
      <c r="D325" s="2">
        <f t="shared" si="407"/>
        <v>0</v>
      </c>
      <c r="E325" s="2" t="str">
        <f t="shared" si="407"/>
        <v>A</v>
      </c>
      <c r="F325" s="2" t="str">
        <f t="shared" si="407"/>
        <v>Interior Advanced</v>
      </c>
      <c r="G325" s="2" t="str">
        <f t="shared" si="407"/>
        <v/>
      </c>
      <c r="H325" s="2" t="str">
        <f t="shared" si="407"/>
        <v/>
      </c>
      <c r="I325" s="2" t="str">
        <f t="shared" si="407"/>
        <v/>
      </c>
      <c r="J325" s="2" t="str">
        <f t="shared" si="407"/>
        <v/>
      </c>
      <c r="K325" s="2" t="str">
        <f t="shared" si="407"/>
        <v/>
      </c>
      <c r="L325" s="2" t="str">
        <f t="shared" si="407"/>
        <v/>
      </c>
      <c r="M325" s="180" t="str">
        <f t="shared" si="407"/>
        <v/>
      </c>
      <c r="N325" s="2" t="str">
        <f t="shared" si="407"/>
        <v/>
      </c>
      <c r="O325" s="2">
        <f t="shared" si="407"/>
        <v>0</v>
      </c>
    </row>
    <row r="326" spans="1:15" x14ac:dyDescent="0.25">
      <c r="A326" s="325">
        <v>1</v>
      </c>
      <c r="B326" s="325">
        <f>TrialNumber</f>
        <v>0</v>
      </c>
      <c r="C326" s="325" t="s">
        <v>19</v>
      </c>
      <c r="D326" s="325">
        <f>Advanced!C27</f>
        <v>0</v>
      </c>
      <c r="E326" s="325" t="str">
        <f>IF(Advanced!B27="W","W","A")</f>
        <v>A</v>
      </c>
      <c r="F326" s="325" t="s">
        <v>1738</v>
      </c>
      <c r="G326" s="325" t="str">
        <f>IF(Advanced!O27="e","Y","")</f>
        <v/>
      </c>
      <c r="H326" s="325" t="str">
        <f>IFERROR(VLOOKUP($D326,'SDDA Dogs'!$A:$AE,2,FALSE),"")</f>
        <v/>
      </c>
      <c r="I326" s="325" t="str">
        <f>IFERROR(VLOOKUP($D326,'SDDA Dogs'!$A:$AE,3,FALSE),"")</f>
        <v/>
      </c>
      <c r="J326" s="325" t="str">
        <f>IFERROR(VLOOKUP($D326,'SDDA Dogs'!$A:$AE,6,FALSE),"")</f>
        <v/>
      </c>
      <c r="K326" s="325" t="str">
        <f>IF(Advanced!AS27="","",Advanced!AS27)</f>
        <v/>
      </c>
      <c r="L326" s="325" t="str">
        <f>IF(Advanced!AT27="","",Advanced!AT27)</f>
        <v/>
      </c>
      <c r="M326" s="326" t="str">
        <f>TrialDate</f>
        <v/>
      </c>
      <c r="N326" s="325" t="str">
        <f t="shared" ref="N326" si="408">N325</f>
        <v/>
      </c>
      <c r="O326" s="325">
        <f>JudgeD1ISA</f>
        <v>0</v>
      </c>
    </row>
    <row r="327" spans="1:15" x14ac:dyDescent="0.25">
      <c r="A327" s="2">
        <v>2</v>
      </c>
      <c r="B327" s="2">
        <f t="shared" ref="B327:O327" si="409">B326</f>
        <v>0</v>
      </c>
      <c r="C327" s="2" t="str">
        <f t="shared" si="409"/>
        <v>ISA</v>
      </c>
      <c r="D327" s="2">
        <f t="shared" si="409"/>
        <v>0</v>
      </c>
      <c r="E327" s="2" t="str">
        <f t="shared" si="409"/>
        <v>A</v>
      </c>
      <c r="F327" s="2" t="str">
        <f t="shared" si="409"/>
        <v>Interior Advanced</v>
      </c>
      <c r="G327" s="2" t="str">
        <f t="shared" si="409"/>
        <v/>
      </c>
      <c r="H327" s="2" t="str">
        <f t="shared" si="409"/>
        <v/>
      </c>
      <c r="I327" s="2" t="str">
        <f t="shared" si="409"/>
        <v/>
      </c>
      <c r="J327" s="2" t="str">
        <f t="shared" si="409"/>
        <v/>
      </c>
      <c r="K327" s="2" t="str">
        <f t="shared" si="409"/>
        <v/>
      </c>
      <c r="L327" s="2" t="str">
        <f t="shared" si="409"/>
        <v/>
      </c>
      <c r="M327" s="180" t="str">
        <f t="shared" si="409"/>
        <v/>
      </c>
      <c r="N327" s="2" t="str">
        <f t="shared" si="409"/>
        <v/>
      </c>
      <c r="O327" s="2">
        <f t="shared" si="409"/>
        <v>0</v>
      </c>
    </row>
    <row r="328" spans="1:15" x14ac:dyDescent="0.25">
      <c r="A328" s="325">
        <v>1</v>
      </c>
      <c r="B328" s="325">
        <f>TrialNumber</f>
        <v>0</v>
      </c>
      <c r="C328" s="325" t="s">
        <v>19</v>
      </c>
      <c r="D328" s="325">
        <f>Advanced!C28</f>
        <v>0</v>
      </c>
      <c r="E328" s="325" t="str">
        <f>IF(Advanced!B28="W","W","A")</f>
        <v>A</v>
      </c>
      <c r="F328" s="325" t="s">
        <v>1738</v>
      </c>
      <c r="G328" s="325" t="str">
        <f>IF(Advanced!O28="e","Y","")</f>
        <v/>
      </c>
      <c r="H328" s="325" t="str">
        <f>IFERROR(VLOOKUP($D328,'SDDA Dogs'!$A:$AE,2,FALSE),"")</f>
        <v/>
      </c>
      <c r="I328" s="325" t="str">
        <f>IFERROR(VLOOKUP($D328,'SDDA Dogs'!$A:$AE,3,FALSE),"")</f>
        <v/>
      </c>
      <c r="J328" s="325" t="str">
        <f>IFERROR(VLOOKUP($D328,'SDDA Dogs'!$A:$AE,6,FALSE),"")</f>
        <v/>
      </c>
      <c r="K328" s="325" t="str">
        <f>IF(Advanced!AS28="","",Advanced!AS28)</f>
        <v/>
      </c>
      <c r="L328" s="325" t="str">
        <f>IF(Advanced!AT28="","",Advanced!AT28)</f>
        <v/>
      </c>
      <c r="M328" s="326" t="str">
        <f>TrialDate</f>
        <v/>
      </c>
      <c r="N328" s="325" t="str">
        <f t="shared" ref="N328" si="410">N327</f>
        <v/>
      </c>
      <c r="O328" s="325">
        <f>JudgeD1ISA</f>
        <v>0</v>
      </c>
    </row>
    <row r="329" spans="1:15" x14ac:dyDescent="0.25">
      <c r="A329" s="2">
        <v>2</v>
      </c>
      <c r="B329" s="2">
        <f t="shared" ref="B329:O329" si="411">B328</f>
        <v>0</v>
      </c>
      <c r="C329" s="2" t="str">
        <f t="shared" si="411"/>
        <v>ISA</v>
      </c>
      <c r="D329" s="2">
        <f t="shared" si="411"/>
        <v>0</v>
      </c>
      <c r="E329" s="2" t="str">
        <f t="shared" si="411"/>
        <v>A</v>
      </c>
      <c r="F329" s="2" t="str">
        <f t="shared" si="411"/>
        <v>Interior Advanced</v>
      </c>
      <c r="G329" s="2" t="str">
        <f t="shared" si="411"/>
        <v/>
      </c>
      <c r="H329" s="2" t="str">
        <f t="shared" si="411"/>
        <v/>
      </c>
      <c r="I329" s="2" t="str">
        <f t="shared" si="411"/>
        <v/>
      </c>
      <c r="J329" s="2" t="str">
        <f t="shared" si="411"/>
        <v/>
      </c>
      <c r="K329" s="2" t="str">
        <f t="shared" si="411"/>
        <v/>
      </c>
      <c r="L329" s="2" t="str">
        <f t="shared" si="411"/>
        <v/>
      </c>
      <c r="M329" s="180" t="str">
        <f t="shared" si="411"/>
        <v/>
      </c>
      <c r="N329" s="2" t="str">
        <f t="shared" si="411"/>
        <v/>
      </c>
      <c r="O329" s="2">
        <f t="shared" si="411"/>
        <v>0</v>
      </c>
    </row>
    <row r="330" spans="1:15" x14ac:dyDescent="0.25">
      <c r="A330" s="325">
        <v>1</v>
      </c>
      <c r="B330" s="325">
        <f>TrialNumber</f>
        <v>0</v>
      </c>
      <c r="C330" s="325" t="s">
        <v>19</v>
      </c>
      <c r="D330" s="325">
        <f>Advanced!C29</f>
        <v>0</v>
      </c>
      <c r="E330" s="325" t="str">
        <f>IF(Advanced!B29="W","W","A")</f>
        <v>A</v>
      </c>
      <c r="F330" s="325" t="s">
        <v>1738</v>
      </c>
      <c r="G330" s="325" t="str">
        <f>IF(Advanced!O29="e","Y","")</f>
        <v/>
      </c>
      <c r="H330" s="325" t="str">
        <f>IFERROR(VLOOKUP($D330,'SDDA Dogs'!$A:$AE,2,FALSE),"")</f>
        <v/>
      </c>
      <c r="I330" s="325" t="str">
        <f>IFERROR(VLOOKUP($D330,'SDDA Dogs'!$A:$AE,3,FALSE),"")</f>
        <v/>
      </c>
      <c r="J330" s="325" t="str">
        <f>IFERROR(VLOOKUP($D330,'SDDA Dogs'!$A:$AE,6,FALSE),"")</f>
        <v/>
      </c>
      <c r="K330" s="325" t="str">
        <f>IF(Advanced!AS29="","",Advanced!AS29)</f>
        <v/>
      </c>
      <c r="L330" s="325" t="str">
        <f>IF(Advanced!AT29="","",Advanced!AT29)</f>
        <v/>
      </c>
      <c r="M330" s="326" t="str">
        <f>TrialDate</f>
        <v/>
      </c>
      <c r="N330" s="325" t="str">
        <f t="shared" ref="N330" si="412">N329</f>
        <v/>
      </c>
      <c r="O330" s="325">
        <f>JudgeD1ISA</f>
        <v>0</v>
      </c>
    </row>
    <row r="331" spans="1:15" x14ac:dyDescent="0.25">
      <c r="A331" s="2">
        <v>2</v>
      </c>
      <c r="B331" s="2">
        <f t="shared" ref="B331:O331" si="413">B330</f>
        <v>0</v>
      </c>
      <c r="C331" s="2" t="str">
        <f t="shared" si="413"/>
        <v>ISA</v>
      </c>
      <c r="D331" s="2">
        <f t="shared" si="413"/>
        <v>0</v>
      </c>
      <c r="E331" s="2" t="str">
        <f t="shared" si="413"/>
        <v>A</v>
      </c>
      <c r="F331" s="2" t="str">
        <f t="shared" si="413"/>
        <v>Interior Advanced</v>
      </c>
      <c r="G331" s="2" t="str">
        <f t="shared" si="413"/>
        <v/>
      </c>
      <c r="H331" s="2" t="str">
        <f t="shared" si="413"/>
        <v/>
      </c>
      <c r="I331" s="2" t="str">
        <f t="shared" si="413"/>
        <v/>
      </c>
      <c r="J331" s="2" t="str">
        <f t="shared" si="413"/>
        <v/>
      </c>
      <c r="K331" s="2" t="str">
        <f t="shared" si="413"/>
        <v/>
      </c>
      <c r="L331" s="2" t="str">
        <f t="shared" si="413"/>
        <v/>
      </c>
      <c r="M331" s="180" t="str">
        <f t="shared" si="413"/>
        <v/>
      </c>
      <c r="N331" s="2" t="str">
        <f t="shared" si="413"/>
        <v/>
      </c>
      <c r="O331" s="2">
        <f t="shared" si="413"/>
        <v>0</v>
      </c>
    </row>
    <row r="332" spans="1:15" x14ac:dyDescent="0.25">
      <c r="A332" s="325">
        <v>1</v>
      </c>
      <c r="B332" s="325">
        <f>TrialNumber</f>
        <v>0</v>
      </c>
      <c r="C332" s="325" t="s">
        <v>19</v>
      </c>
      <c r="D332" s="325">
        <f>Advanced!C30</f>
        <v>0</v>
      </c>
      <c r="E332" s="325" t="str">
        <f>IF(Advanced!B30="W","W","A")</f>
        <v>A</v>
      </c>
      <c r="F332" s="325" t="s">
        <v>1738</v>
      </c>
      <c r="G332" s="325" t="str">
        <f>IF(Advanced!O30="e","Y","")</f>
        <v/>
      </c>
      <c r="H332" s="325" t="str">
        <f>IFERROR(VLOOKUP($D332,'SDDA Dogs'!$A:$AE,2,FALSE),"")</f>
        <v/>
      </c>
      <c r="I332" s="325" t="str">
        <f>IFERROR(VLOOKUP($D332,'SDDA Dogs'!$A:$AE,3,FALSE),"")</f>
        <v/>
      </c>
      <c r="J332" s="325" t="str">
        <f>IFERROR(VLOOKUP($D332,'SDDA Dogs'!$A:$AE,6,FALSE),"")</f>
        <v/>
      </c>
      <c r="K332" s="325" t="str">
        <f>IF(Advanced!AS30="","",Advanced!AS30)</f>
        <v/>
      </c>
      <c r="L332" s="325" t="str">
        <f>IF(Advanced!AT30="","",Advanced!AT30)</f>
        <v/>
      </c>
      <c r="M332" s="326" t="str">
        <f>TrialDate</f>
        <v/>
      </c>
      <c r="N332" s="325" t="str">
        <f t="shared" ref="N332" si="414">N331</f>
        <v/>
      </c>
      <c r="O332" s="325">
        <f>JudgeD1ISA</f>
        <v>0</v>
      </c>
    </row>
    <row r="333" spans="1:15" x14ac:dyDescent="0.25">
      <c r="A333" s="2">
        <v>2</v>
      </c>
      <c r="B333" s="2">
        <f t="shared" ref="B333:O333" si="415">B332</f>
        <v>0</v>
      </c>
      <c r="C333" s="2" t="str">
        <f t="shared" si="415"/>
        <v>ISA</v>
      </c>
      <c r="D333" s="2">
        <f t="shared" si="415"/>
        <v>0</v>
      </c>
      <c r="E333" s="2" t="str">
        <f t="shared" si="415"/>
        <v>A</v>
      </c>
      <c r="F333" s="2" t="str">
        <f t="shared" si="415"/>
        <v>Interior Advanced</v>
      </c>
      <c r="G333" s="2" t="str">
        <f t="shared" si="415"/>
        <v/>
      </c>
      <c r="H333" s="2" t="str">
        <f t="shared" si="415"/>
        <v/>
      </c>
      <c r="I333" s="2" t="str">
        <f t="shared" si="415"/>
        <v/>
      </c>
      <c r="J333" s="2" t="str">
        <f t="shared" si="415"/>
        <v/>
      </c>
      <c r="K333" s="2" t="str">
        <f t="shared" si="415"/>
        <v/>
      </c>
      <c r="L333" s="2" t="str">
        <f t="shared" si="415"/>
        <v/>
      </c>
      <c r="M333" s="180" t="str">
        <f t="shared" si="415"/>
        <v/>
      </c>
      <c r="N333" s="2" t="str">
        <f t="shared" si="415"/>
        <v/>
      </c>
      <c r="O333" s="2">
        <f t="shared" si="415"/>
        <v>0</v>
      </c>
    </row>
    <row r="334" spans="1:15" x14ac:dyDescent="0.25">
      <c r="A334" s="325">
        <v>1</v>
      </c>
      <c r="B334" s="325">
        <f>TrialNumber</f>
        <v>0</v>
      </c>
      <c r="C334" s="325" t="s">
        <v>19</v>
      </c>
      <c r="D334" s="325">
        <f>Advanced!C31</f>
        <v>0</v>
      </c>
      <c r="E334" s="325" t="str">
        <f>IF(Advanced!B31="W","W","A")</f>
        <v>A</v>
      </c>
      <c r="F334" s="325" t="s">
        <v>1738</v>
      </c>
      <c r="G334" s="325" t="str">
        <f>IF(Advanced!O31="e","Y","")</f>
        <v/>
      </c>
      <c r="H334" s="325" t="str">
        <f>IFERROR(VLOOKUP($D334,'SDDA Dogs'!$A:$AE,2,FALSE),"")</f>
        <v/>
      </c>
      <c r="I334" s="325" t="str">
        <f>IFERROR(VLOOKUP($D334,'SDDA Dogs'!$A:$AE,3,FALSE),"")</f>
        <v/>
      </c>
      <c r="J334" s="325" t="str">
        <f>IFERROR(VLOOKUP($D334,'SDDA Dogs'!$A:$AE,6,FALSE),"")</f>
        <v/>
      </c>
      <c r="K334" s="325" t="str">
        <f>IF(Advanced!AS31="","",Advanced!AS31)</f>
        <v/>
      </c>
      <c r="L334" s="325" t="str">
        <f>IF(Advanced!AT31="","",Advanced!AT31)</f>
        <v/>
      </c>
      <c r="M334" s="326" t="str">
        <f>TrialDate</f>
        <v/>
      </c>
      <c r="N334" s="325" t="str">
        <f t="shared" ref="N334" si="416">N333</f>
        <v/>
      </c>
      <c r="O334" s="325">
        <f>JudgeD1ISA</f>
        <v>0</v>
      </c>
    </row>
    <row r="335" spans="1:15" x14ac:dyDescent="0.25">
      <c r="A335" s="2">
        <v>2</v>
      </c>
      <c r="B335" s="2">
        <f t="shared" ref="B335:O335" si="417">B334</f>
        <v>0</v>
      </c>
      <c r="C335" s="2" t="str">
        <f t="shared" si="417"/>
        <v>ISA</v>
      </c>
      <c r="D335" s="2">
        <f t="shared" si="417"/>
        <v>0</v>
      </c>
      <c r="E335" s="2" t="str">
        <f t="shared" si="417"/>
        <v>A</v>
      </c>
      <c r="F335" s="2" t="str">
        <f t="shared" si="417"/>
        <v>Interior Advanced</v>
      </c>
      <c r="G335" s="2" t="str">
        <f t="shared" si="417"/>
        <v/>
      </c>
      <c r="H335" s="2" t="str">
        <f t="shared" si="417"/>
        <v/>
      </c>
      <c r="I335" s="2" t="str">
        <f t="shared" si="417"/>
        <v/>
      </c>
      <c r="J335" s="2" t="str">
        <f t="shared" si="417"/>
        <v/>
      </c>
      <c r="K335" s="2" t="str">
        <f t="shared" si="417"/>
        <v/>
      </c>
      <c r="L335" s="2" t="str">
        <f t="shared" si="417"/>
        <v/>
      </c>
      <c r="M335" s="180" t="str">
        <f t="shared" si="417"/>
        <v/>
      </c>
      <c r="N335" s="2" t="str">
        <f t="shared" si="417"/>
        <v/>
      </c>
      <c r="O335" s="2">
        <f t="shared" si="417"/>
        <v>0</v>
      </c>
    </row>
    <row r="336" spans="1:15" x14ac:dyDescent="0.25">
      <c r="A336" s="325">
        <v>1</v>
      </c>
      <c r="B336" s="325">
        <f>TrialNumber</f>
        <v>0</v>
      </c>
      <c r="C336" s="325" t="s">
        <v>19</v>
      </c>
      <c r="D336" s="325">
        <f>Advanced!C32</f>
        <v>0</v>
      </c>
      <c r="E336" s="325" t="str">
        <f>IF(Advanced!B32="W","W","A")</f>
        <v>A</v>
      </c>
      <c r="F336" s="325" t="s">
        <v>1738</v>
      </c>
      <c r="G336" s="325" t="str">
        <f>IF(Advanced!O32="e","Y","")</f>
        <v/>
      </c>
      <c r="H336" s="325" t="str">
        <f>IFERROR(VLOOKUP($D336,'SDDA Dogs'!$A:$AE,2,FALSE),"")</f>
        <v/>
      </c>
      <c r="I336" s="325" t="str">
        <f>IFERROR(VLOOKUP($D336,'SDDA Dogs'!$A:$AE,3,FALSE),"")</f>
        <v/>
      </c>
      <c r="J336" s="325" t="str">
        <f>IFERROR(VLOOKUP($D336,'SDDA Dogs'!$A:$AE,6,FALSE),"")</f>
        <v/>
      </c>
      <c r="K336" s="325" t="str">
        <f>IF(Advanced!AS32="","",Advanced!AS32)</f>
        <v/>
      </c>
      <c r="L336" s="325" t="str">
        <f>IF(Advanced!AT32="","",Advanced!AT32)</f>
        <v/>
      </c>
      <c r="M336" s="326" t="str">
        <f>TrialDate</f>
        <v/>
      </c>
      <c r="N336" s="325" t="str">
        <f t="shared" ref="N336" si="418">N335</f>
        <v/>
      </c>
      <c r="O336" s="325">
        <f>JudgeD1ISA</f>
        <v>0</v>
      </c>
    </row>
    <row r="337" spans="1:15" x14ac:dyDescent="0.25">
      <c r="A337" s="2">
        <v>2</v>
      </c>
      <c r="B337" s="2">
        <f t="shared" ref="B337:O337" si="419">B336</f>
        <v>0</v>
      </c>
      <c r="C337" s="2" t="str">
        <f t="shared" si="419"/>
        <v>ISA</v>
      </c>
      <c r="D337" s="2">
        <f t="shared" si="419"/>
        <v>0</v>
      </c>
      <c r="E337" s="2" t="str">
        <f t="shared" si="419"/>
        <v>A</v>
      </c>
      <c r="F337" s="2" t="str">
        <f t="shared" si="419"/>
        <v>Interior Advanced</v>
      </c>
      <c r="G337" s="2" t="str">
        <f t="shared" si="419"/>
        <v/>
      </c>
      <c r="H337" s="2" t="str">
        <f t="shared" si="419"/>
        <v/>
      </c>
      <c r="I337" s="2" t="str">
        <f t="shared" si="419"/>
        <v/>
      </c>
      <c r="J337" s="2" t="str">
        <f t="shared" si="419"/>
        <v/>
      </c>
      <c r="K337" s="2" t="str">
        <f t="shared" si="419"/>
        <v/>
      </c>
      <c r="L337" s="2" t="str">
        <f t="shared" si="419"/>
        <v/>
      </c>
      <c r="M337" s="180" t="str">
        <f t="shared" si="419"/>
        <v/>
      </c>
      <c r="N337" s="2" t="str">
        <f t="shared" si="419"/>
        <v/>
      </c>
      <c r="O337" s="2">
        <f t="shared" si="419"/>
        <v>0</v>
      </c>
    </row>
    <row r="338" spans="1:15" x14ac:dyDescent="0.25">
      <c r="A338" s="325">
        <v>1</v>
      </c>
      <c r="B338" s="325">
        <f>TrialNumber</f>
        <v>0</v>
      </c>
      <c r="C338" s="325" t="s">
        <v>19</v>
      </c>
      <c r="D338" s="325">
        <f>Advanced!C33</f>
        <v>0</v>
      </c>
      <c r="E338" s="325" t="str">
        <f>IF(Advanced!B33="W","W","A")</f>
        <v>A</v>
      </c>
      <c r="F338" s="325" t="s">
        <v>1738</v>
      </c>
      <c r="G338" s="325" t="str">
        <f>IF(Advanced!O33="e","Y","")</f>
        <v/>
      </c>
      <c r="H338" s="325" t="str">
        <f>IFERROR(VLOOKUP($D338,'SDDA Dogs'!$A:$AE,2,FALSE),"")</f>
        <v/>
      </c>
      <c r="I338" s="325" t="str">
        <f>IFERROR(VLOOKUP($D338,'SDDA Dogs'!$A:$AE,3,FALSE),"")</f>
        <v/>
      </c>
      <c r="J338" s="325" t="str">
        <f>IFERROR(VLOOKUP($D338,'SDDA Dogs'!$A:$AE,6,FALSE),"")</f>
        <v/>
      </c>
      <c r="K338" s="325" t="str">
        <f>IF(Advanced!AS33="","",Advanced!AS33)</f>
        <v/>
      </c>
      <c r="L338" s="325" t="str">
        <f>IF(Advanced!AT33="","",Advanced!AT33)</f>
        <v/>
      </c>
      <c r="M338" s="326" t="str">
        <f>TrialDate</f>
        <v/>
      </c>
      <c r="N338" s="325" t="str">
        <f t="shared" ref="N338" si="420">N337</f>
        <v/>
      </c>
      <c r="O338" s="325">
        <f>JudgeD1ISA</f>
        <v>0</v>
      </c>
    </row>
    <row r="339" spans="1:15" x14ac:dyDescent="0.25">
      <c r="A339" s="2">
        <v>2</v>
      </c>
      <c r="B339" s="2">
        <f t="shared" ref="B339:O339" si="421">B338</f>
        <v>0</v>
      </c>
      <c r="C339" s="2" t="str">
        <f t="shared" si="421"/>
        <v>ISA</v>
      </c>
      <c r="D339" s="2">
        <f t="shared" si="421"/>
        <v>0</v>
      </c>
      <c r="E339" s="2" t="str">
        <f t="shared" si="421"/>
        <v>A</v>
      </c>
      <c r="F339" s="2" t="str">
        <f t="shared" si="421"/>
        <v>Interior Advanced</v>
      </c>
      <c r="G339" s="2" t="str">
        <f t="shared" si="421"/>
        <v/>
      </c>
      <c r="H339" s="2" t="str">
        <f t="shared" si="421"/>
        <v/>
      </c>
      <c r="I339" s="2" t="str">
        <f t="shared" si="421"/>
        <v/>
      </c>
      <c r="J339" s="2" t="str">
        <f t="shared" si="421"/>
        <v/>
      </c>
      <c r="K339" s="2" t="str">
        <f t="shared" si="421"/>
        <v/>
      </c>
      <c r="L339" s="2" t="str">
        <f t="shared" si="421"/>
        <v/>
      </c>
      <c r="M339" s="180" t="str">
        <f t="shared" si="421"/>
        <v/>
      </c>
      <c r="N339" s="2" t="str">
        <f t="shared" si="421"/>
        <v/>
      </c>
      <c r="O339" s="2">
        <f t="shared" si="421"/>
        <v>0</v>
      </c>
    </row>
    <row r="340" spans="1:15" x14ac:dyDescent="0.25">
      <c r="A340" s="325">
        <v>1</v>
      </c>
      <c r="B340" s="325">
        <f>TrialNumber</f>
        <v>0</v>
      </c>
      <c r="C340" s="325" t="s">
        <v>19</v>
      </c>
      <c r="D340" s="325">
        <f>Advanced!C34</f>
        <v>0</v>
      </c>
      <c r="E340" s="325" t="str">
        <f>IF(Advanced!B34="W","W","A")</f>
        <v>A</v>
      </c>
      <c r="F340" s="325" t="s">
        <v>1738</v>
      </c>
      <c r="G340" s="325" t="str">
        <f>IF(Advanced!O34="e","Y","")</f>
        <v/>
      </c>
      <c r="H340" s="325" t="str">
        <f>IFERROR(VLOOKUP($D340,'SDDA Dogs'!$A:$AE,2,FALSE),"")</f>
        <v/>
      </c>
      <c r="I340" s="325" t="str">
        <f>IFERROR(VLOOKUP($D340,'SDDA Dogs'!$A:$AE,3,FALSE),"")</f>
        <v/>
      </c>
      <c r="J340" s="325" t="str">
        <f>IFERROR(VLOOKUP($D340,'SDDA Dogs'!$A:$AE,6,FALSE),"")</f>
        <v/>
      </c>
      <c r="K340" s="325" t="str">
        <f>IF(Advanced!AS34="","",Advanced!AS34)</f>
        <v/>
      </c>
      <c r="L340" s="325" t="str">
        <f>IF(Advanced!AT34="","",Advanced!AT34)</f>
        <v/>
      </c>
      <c r="M340" s="326" t="str">
        <f>TrialDate</f>
        <v/>
      </c>
      <c r="N340" s="325" t="str">
        <f t="shared" ref="N340" si="422">N339</f>
        <v/>
      </c>
      <c r="O340" s="325">
        <f>JudgeD1ISA</f>
        <v>0</v>
      </c>
    </row>
    <row r="341" spans="1:15" x14ac:dyDescent="0.25">
      <c r="A341" s="2">
        <v>2</v>
      </c>
      <c r="B341" s="2">
        <f t="shared" ref="B341:O341" si="423">B340</f>
        <v>0</v>
      </c>
      <c r="C341" s="2" t="str">
        <f t="shared" si="423"/>
        <v>ISA</v>
      </c>
      <c r="D341" s="2">
        <f t="shared" si="423"/>
        <v>0</v>
      </c>
      <c r="E341" s="2" t="str">
        <f t="shared" si="423"/>
        <v>A</v>
      </c>
      <c r="F341" s="2" t="str">
        <f t="shared" si="423"/>
        <v>Interior Advanced</v>
      </c>
      <c r="G341" s="2" t="str">
        <f t="shared" si="423"/>
        <v/>
      </c>
      <c r="H341" s="2" t="str">
        <f t="shared" si="423"/>
        <v/>
      </c>
      <c r="I341" s="2" t="str">
        <f t="shared" si="423"/>
        <v/>
      </c>
      <c r="J341" s="2" t="str">
        <f t="shared" si="423"/>
        <v/>
      </c>
      <c r="K341" s="2" t="str">
        <f t="shared" si="423"/>
        <v/>
      </c>
      <c r="L341" s="2" t="str">
        <f t="shared" si="423"/>
        <v/>
      </c>
      <c r="M341" s="180" t="str">
        <f t="shared" si="423"/>
        <v/>
      </c>
      <c r="N341" s="2" t="str">
        <f t="shared" si="423"/>
        <v/>
      </c>
      <c r="O341" s="2">
        <f t="shared" si="423"/>
        <v>0</v>
      </c>
    </row>
    <row r="342" spans="1:15" x14ac:dyDescent="0.25">
      <c r="A342" s="325">
        <v>1</v>
      </c>
      <c r="B342" s="325">
        <f>TrialNumber</f>
        <v>0</v>
      </c>
      <c r="C342" s="325" t="s">
        <v>19</v>
      </c>
      <c r="D342" s="325">
        <f>Advanced!C35</f>
        <v>0</v>
      </c>
      <c r="E342" s="325" t="str">
        <f>IF(Advanced!B35="W","W","A")</f>
        <v>A</v>
      </c>
      <c r="F342" s="325" t="s">
        <v>1738</v>
      </c>
      <c r="G342" s="325" t="str">
        <f>IF(Advanced!O35="e","Y","")</f>
        <v/>
      </c>
      <c r="H342" s="325" t="str">
        <f>IFERROR(VLOOKUP($D342,'SDDA Dogs'!$A:$AE,2,FALSE),"")</f>
        <v/>
      </c>
      <c r="I342" s="325" t="str">
        <f>IFERROR(VLOOKUP($D342,'SDDA Dogs'!$A:$AE,3,FALSE),"")</f>
        <v/>
      </c>
      <c r="J342" s="325" t="str">
        <f>IFERROR(VLOOKUP($D342,'SDDA Dogs'!$A:$AE,6,FALSE),"")</f>
        <v/>
      </c>
      <c r="K342" s="325" t="str">
        <f>IF(Advanced!AS35="","",Advanced!AS35)</f>
        <v/>
      </c>
      <c r="L342" s="325" t="str">
        <f>IF(Advanced!AT35="","",Advanced!AT35)</f>
        <v/>
      </c>
      <c r="M342" s="326" t="str">
        <f>TrialDate</f>
        <v/>
      </c>
      <c r="N342" s="325" t="str">
        <f t="shared" ref="N342" si="424">N341</f>
        <v/>
      </c>
      <c r="O342" s="325">
        <f>JudgeD1ISA</f>
        <v>0</v>
      </c>
    </row>
    <row r="343" spans="1:15" x14ac:dyDescent="0.25">
      <c r="A343" s="2">
        <v>2</v>
      </c>
      <c r="B343" s="2">
        <f t="shared" ref="B343:O343" si="425">B342</f>
        <v>0</v>
      </c>
      <c r="C343" s="2" t="str">
        <f t="shared" si="425"/>
        <v>ISA</v>
      </c>
      <c r="D343" s="2">
        <f t="shared" si="425"/>
        <v>0</v>
      </c>
      <c r="E343" s="2" t="str">
        <f t="shared" si="425"/>
        <v>A</v>
      </c>
      <c r="F343" s="2" t="str">
        <f t="shared" si="425"/>
        <v>Interior Advanced</v>
      </c>
      <c r="G343" s="2" t="str">
        <f t="shared" si="425"/>
        <v/>
      </c>
      <c r="H343" s="2" t="str">
        <f t="shared" si="425"/>
        <v/>
      </c>
      <c r="I343" s="2" t="str">
        <f t="shared" si="425"/>
        <v/>
      </c>
      <c r="J343" s="2" t="str">
        <f t="shared" si="425"/>
        <v/>
      </c>
      <c r="K343" s="2" t="str">
        <f t="shared" si="425"/>
        <v/>
      </c>
      <c r="L343" s="2" t="str">
        <f t="shared" si="425"/>
        <v/>
      </c>
      <c r="M343" s="180" t="str">
        <f t="shared" si="425"/>
        <v/>
      </c>
      <c r="N343" s="2" t="str">
        <f t="shared" si="425"/>
        <v/>
      </c>
      <c r="O343" s="2">
        <f t="shared" si="425"/>
        <v>0</v>
      </c>
    </row>
    <row r="344" spans="1:15" x14ac:dyDescent="0.25">
      <c r="A344" s="325">
        <v>1</v>
      </c>
      <c r="B344" s="325">
        <f>TrialNumber</f>
        <v>0</v>
      </c>
      <c r="C344" s="325" t="s">
        <v>19</v>
      </c>
      <c r="D344" s="325">
        <f>Advanced!C36</f>
        <v>0</v>
      </c>
      <c r="E344" s="325" t="str">
        <f>IF(Advanced!B36="W","W","A")</f>
        <v>A</v>
      </c>
      <c r="F344" s="325" t="s">
        <v>1738</v>
      </c>
      <c r="G344" s="325" t="str">
        <f>IF(Advanced!O36="e","Y","")</f>
        <v/>
      </c>
      <c r="H344" s="325" t="str">
        <f>IFERROR(VLOOKUP($D344,'SDDA Dogs'!$A:$AE,2,FALSE),"")</f>
        <v/>
      </c>
      <c r="I344" s="325" t="str">
        <f>IFERROR(VLOOKUP($D344,'SDDA Dogs'!$A:$AE,3,FALSE),"")</f>
        <v/>
      </c>
      <c r="J344" s="325" t="str">
        <f>IFERROR(VLOOKUP($D344,'SDDA Dogs'!$A:$AE,6,FALSE),"")</f>
        <v/>
      </c>
      <c r="K344" s="325" t="str">
        <f>IF(Advanced!AS36="","",Advanced!AS36)</f>
        <v/>
      </c>
      <c r="L344" s="325" t="str">
        <f>IF(Advanced!AT36="","",Advanced!AT36)</f>
        <v/>
      </c>
      <c r="M344" s="326" t="str">
        <f>TrialDate</f>
        <v/>
      </c>
      <c r="N344" s="325" t="str">
        <f t="shared" ref="N344" si="426">N343</f>
        <v/>
      </c>
      <c r="O344" s="325">
        <f>JudgeD1ISA</f>
        <v>0</v>
      </c>
    </row>
    <row r="345" spans="1:15" x14ac:dyDescent="0.25">
      <c r="A345" s="2">
        <v>2</v>
      </c>
      <c r="B345" s="2">
        <f t="shared" ref="B345:O345" si="427">B344</f>
        <v>0</v>
      </c>
      <c r="C345" s="2" t="str">
        <f t="shared" si="427"/>
        <v>ISA</v>
      </c>
      <c r="D345" s="2">
        <f t="shared" si="427"/>
        <v>0</v>
      </c>
      <c r="E345" s="2" t="str">
        <f t="shared" si="427"/>
        <v>A</v>
      </c>
      <c r="F345" s="2" t="str">
        <f t="shared" si="427"/>
        <v>Interior Advanced</v>
      </c>
      <c r="G345" s="2" t="str">
        <f t="shared" si="427"/>
        <v/>
      </c>
      <c r="H345" s="2" t="str">
        <f t="shared" si="427"/>
        <v/>
      </c>
      <c r="I345" s="2" t="str">
        <f t="shared" si="427"/>
        <v/>
      </c>
      <c r="J345" s="2" t="str">
        <f t="shared" si="427"/>
        <v/>
      </c>
      <c r="K345" s="2" t="str">
        <f t="shared" si="427"/>
        <v/>
      </c>
      <c r="L345" s="2" t="str">
        <f t="shared" si="427"/>
        <v/>
      </c>
      <c r="M345" s="180" t="str">
        <f t="shared" si="427"/>
        <v/>
      </c>
      <c r="N345" s="2" t="str">
        <f t="shared" si="427"/>
        <v/>
      </c>
      <c r="O345" s="2">
        <f t="shared" si="427"/>
        <v>0</v>
      </c>
    </row>
    <row r="346" spans="1:15" x14ac:dyDescent="0.25">
      <c r="A346" s="325">
        <v>1</v>
      </c>
      <c r="B346" s="325">
        <f>TrialNumber</f>
        <v>0</v>
      </c>
      <c r="C346" s="325" t="s">
        <v>19</v>
      </c>
      <c r="D346" s="325">
        <f>Advanced!C37</f>
        <v>0</v>
      </c>
      <c r="E346" s="325" t="str">
        <f>IF(Advanced!B37="W","W","A")</f>
        <v>A</v>
      </c>
      <c r="F346" s="325" t="s">
        <v>1738</v>
      </c>
      <c r="G346" s="325" t="str">
        <f>IF(Advanced!O37="e","Y","")</f>
        <v/>
      </c>
      <c r="H346" s="325" t="str">
        <f>IFERROR(VLOOKUP($D346,'SDDA Dogs'!$A:$AE,2,FALSE),"")</f>
        <v/>
      </c>
      <c r="I346" s="325" t="str">
        <f>IFERROR(VLOOKUP($D346,'SDDA Dogs'!$A:$AE,3,FALSE),"")</f>
        <v/>
      </c>
      <c r="J346" s="325" t="str">
        <f>IFERROR(VLOOKUP($D346,'SDDA Dogs'!$A:$AE,6,FALSE),"")</f>
        <v/>
      </c>
      <c r="K346" s="325" t="str">
        <f>IF(Advanced!AS37="","",Advanced!AS37)</f>
        <v/>
      </c>
      <c r="L346" s="325" t="str">
        <f>IF(Advanced!AT37="","",Advanced!AT37)</f>
        <v/>
      </c>
      <c r="M346" s="326" t="str">
        <f>TrialDate</f>
        <v/>
      </c>
      <c r="N346" s="325" t="str">
        <f t="shared" ref="N346" si="428">N345</f>
        <v/>
      </c>
      <c r="O346" s="325">
        <f>JudgeD1ISA</f>
        <v>0</v>
      </c>
    </row>
    <row r="347" spans="1:15" x14ac:dyDescent="0.25">
      <c r="A347" s="2">
        <v>2</v>
      </c>
      <c r="B347" s="2">
        <f t="shared" ref="B347:O347" si="429">B346</f>
        <v>0</v>
      </c>
      <c r="C347" s="2" t="str">
        <f t="shared" si="429"/>
        <v>ISA</v>
      </c>
      <c r="D347" s="2">
        <f t="shared" si="429"/>
        <v>0</v>
      </c>
      <c r="E347" s="2" t="str">
        <f t="shared" si="429"/>
        <v>A</v>
      </c>
      <c r="F347" s="2" t="str">
        <f t="shared" si="429"/>
        <v>Interior Advanced</v>
      </c>
      <c r="G347" s="2" t="str">
        <f t="shared" si="429"/>
        <v/>
      </c>
      <c r="H347" s="2" t="str">
        <f t="shared" si="429"/>
        <v/>
      </c>
      <c r="I347" s="2" t="str">
        <f t="shared" si="429"/>
        <v/>
      </c>
      <c r="J347" s="2" t="str">
        <f t="shared" si="429"/>
        <v/>
      </c>
      <c r="K347" s="2" t="str">
        <f t="shared" si="429"/>
        <v/>
      </c>
      <c r="L347" s="2" t="str">
        <f t="shared" si="429"/>
        <v/>
      </c>
      <c r="M347" s="180" t="str">
        <f t="shared" si="429"/>
        <v/>
      </c>
      <c r="N347" s="2" t="str">
        <f t="shared" si="429"/>
        <v/>
      </c>
      <c r="O347" s="2">
        <f t="shared" si="429"/>
        <v>0</v>
      </c>
    </row>
    <row r="348" spans="1:15" x14ac:dyDescent="0.25">
      <c r="A348" s="325">
        <v>1</v>
      </c>
      <c r="B348" s="325">
        <f>TrialNumber</f>
        <v>0</v>
      </c>
      <c r="C348" s="325" t="s">
        <v>19</v>
      </c>
      <c r="D348" s="325">
        <f>Advanced!C38</f>
        <v>0</v>
      </c>
      <c r="E348" s="325" t="str">
        <f>IF(Advanced!B38="W","W","A")</f>
        <v>A</v>
      </c>
      <c r="F348" s="325" t="s">
        <v>1738</v>
      </c>
      <c r="G348" s="325" t="str">
        <f>IF(Advanced!O38="e","Y","")</f>
        <v/>
      </c>
      <c r="H348" s="325" t="str">
        <f>IFERROR(VLOOKUP($D348,'SDDA Dogs'!$A:$AE,2,FALSE),"")</f>
        <v/>
      </c>
      <c r="I348" s="325" t="str">
        <f>IFERROR(VLOOKUP($D348,'SDDA Dogs'!$A:$AE,3,FALSE),"")</f>
        <v/>
      </c>
      <c r="J348" s="325" t="str">
        <f>IFERROR(VLOOKUP($D348,'SDDA Dogs'!$A:$AE,6,FALSE),"")</f>
        <v/>
      </c>
      <c r="K348" s="325" t="str">
        <f>IF(Advanced!AS38="","",Advanced!AS38)</f>
        <v/>
      </c>
      <c r="L348" s="325" t="str">
        <f>IF(Advanced!AT38="","",Advanced!AT38)</f>
        <v/>
      </c>
      <c r="M348" s="326" t="str">
        <f>TrialDate</f>
        <v/>
      </c>
      <c r="N348" s="325" t="str">
        <f t="shared" ref="N348" si="430">N347</f>
        <v/>
      </c>
      <c r="O348" s="325">
        <f>JudgeD1ISA</f>
        <v>0</v>
      </c>
    </row>
    <row r="349" spans="1:15" x14ac:dyDescent="0.25">
      <c r="A349" s="2">
        <v>2</v>
      </c>
      <c r="B349" s="2">
        <f t="shared" ref="B349:O349" si="431">B348</f>
        <v>0</v>
      </c>
      <c r="C349" s="2" t="str">
        <f t="shared" si="431"/>
        <v>ISA</v>
      </c>
      <c r="D349" s="2">
        <f t="shared" si="431"/>
        <v>0</v>
      </c>
      <c r="E349" s="2" t="str">
        <f t="shared" si="431"/>
        <v>A</v>
      </c>
      <c r="F349" s="2" t="str">
        <f t="shared" si="431"/>
        <v>Interior Advanced</v>
      </c>
      <c r="G349" s="2" t="str">
        <f t="shared" si="431"/>
        <v/>
      </c>
      <c r="H349" s="2" t="str">
        <f t="shared" si="431"/>
        <v/>
      </c>
      <c r="I349" s="2" t="str">
        <f t="shared" si="431"/>
        <v/>
      </c>
      <c r="J349" s="2" t="str">
        <f t="shared" si="431"/>
        <v/>
      </c>
      <c r="K349" s="2" t="str">
        <f t="shared" si="431"/>
        <v/>
      </c>
      <c r="L349" s="2" t="str">
        <f t="shared" si="431"/>
        <v/>
      </c>
      <c r="M349" s="180" t="str">
        <f t="shared" si="431"/>
        <v/>
      </c>
      <c r="N349" s="2" t="str">
        <f t="shared" si="431"/>
        <v/>
      </c>
      <c r="O349" s="2">
        <f t="shared" si="431"/>
        <v>0</v>
      </c>
    </row>
    <row r="350" spans="1:15" x14ac:dyDescent="0.25">
      <c r="A350" s="325">
        <v>1</v>
      </c>
      <c r="B350" s="325">
        <f>TrialNumber</f>
        <v>0</v>
      </c>
      <c r="C350" s="325" t="s">
        <v>19</v>
      </c>
      <c r="D350" s="325">
        <f>Advanced!C39</f>
        <v>0</v>
      </c>
      <c r="E350" s="325" t="str">
        <f>IF(Advanced!B39="W","W","A")</f>
        <v>A</v>
      </c>
      <c r="F350" s="325" t="s">
        <v>1738</v>
      </c>
      <c r="G350" s="325" t="str">
        <f>IF(Advanced!O39="e","Y","")</f>
        <v/>
      </c>
      <c r="H350" s="325" t="str">
        <f>IFERROR(VLOOKUP($D350,'SDDA Dogs'!$A:$AE,2,FALSE),"")</f>
        <v/>
      </c>
      <c r="I350" s="325" t="str">
        <f>IFERROR(VLOOKUP($D350,'SDDA Dogs'!$A:$AE,3,FALSE),"")</f>
        <v/>
      </c>
      <c r="J350" s="325" t="str">
        <f>IFERROR(VLOOKUP($D350,'SDDA Dogs'!$A:$AE,6,FALSE),"")</f>
        <v/>
      </c>
      <c r="K350" s="325" t="str">
        <f>IF(Advanced!AS39="","",Advanced!AS39)</f>
        <v/>
      </c>
      <c r="L350" s="325" t="str">
        <f>IF(Advanced!AT39="","",Advanced!AT39)</f>
        <v/>
      </c>
      <c r="M350" s="326" t="str">
        <f>TrialDate</f>
        <v/>
      </c>
      <c r="N350" s="325" t="str">
        <f t="shared" ref="N350" si="432">N349</f>
        <v/>
      </c>
      <c r="O350" s="325">
        <f>JudgeD1ISA</f>
        <v>0</v>
      </c>
    </row>
    <row r="351" spans="1:15" x14ac:dyDescent="0.25">
      <c r="A351" s="2">
        <v>2</v>
      </c>
      <c r="B351" s="2">
        <f t="shared" ref="B351:O351" si="433">B350</f>
        <v>0</v>
      </c>
      <c r="C351" s="2" t="str">
        <f t="shared" si="433"/>
        <v>ISA</v>
      </c>
      <c r="D351" s="2">
        <f t="shared" si="433"/>
        <v>0</v>
      </c>
      <c r="E351" s="2" t="str">
        <f t="shared" si="433"/>
        <v>A</v>
      </c>
      <c r="F351" s="2" t="str">
        <f t="shared" si="433"/>
        <v>Interior Advanced</v>
      </c>
      <c r="G351" s="2" t="str">
        <f t="shared" si="433"/>
        <v/>
      </c>
      <c r="H351" s="2" t="str">
        <f t="shared" si="433"/>
        <v/>
      </c>
      <c r="I351" s="2" t="str">
        <f t="shared" si="433"/>
        <v/>
      </c>
      <c r="J351" s="2" t="str">
        <f t="shared" si="433"/>
        <v/>
      </c>
      <c r="K351" s="2" t="str">
        <f t="shared" si="433"/>
        <v/>
      </c>
      <c r="L351" s="2" t="str">
        <f t="shared" si="433"/>
        <v/>
      </c>
      <c r="M351" s="180" t="str">
        <f t="shared" si="433"/>
        <v/>
      </c>
      <c r="N351" s="2" t="str">
        <f t="shared" si="433"/>
        <v/>
      </c>
      <c r="O351" s="2">
        <f t="shared" si="433"/>
        <v>0</v>
      </c>
    </row>
    <row r="352" spans="1:15" x14ac:dyDescent="0.25">
      <c r="A352" s="325">
        <v>1</v>
      </c>
      <c r="B352" s="325">
        <f>TrialNumber</f>
        <v>0</v>
      </c>
      <c r="C352" s="325" t="s">
        <v>19</v>
      </c>
      <c r="D352" s="325">
        <f>Advanced!C40</f>
        <v>0</v>
      </c>
      <c r="E352" s="325" t="str">
        <f>IF(Advanced!B40="W","W","A")</f>
        <v>A</v>
      </c>
      <c r="F352" s="325" t="s">
        <v>1738</v>
      </c>
      <c r="G352" s="325" t="str">
        <f>IF(Advanced!O40="e","Y","")</f>
        <v/>
      </c>
      <c r="H352" s="325" t="str">
        <f>IFERROR(VLOOKUP($D352,'SDDA Dogs'!$A:$AE,2,FALSE),"")</f>
        <v/>
      </c>
      <c r="I352" s="325" t="str">
        <f>IFERROR(VLOOKUP($D352,'SDDA Dogs'!$A:$AE,3,FALSE),"")</f>
        <v/>
      </c>
      <c r="J352" s="325" t="str">
        <f>IFERROR(VLOOKUP($D352,'SDDA Dogs'!$A:$AE,6,FALSE),"")</f>
        <v/>
      </c>
      <c r="K352" s="325" t="str">
        <f>IF(Advanced!AS40="","",Advanced!AS40)</f>
        <v/>
      </c>
      <c r="L352" s="325" t="str">
        <f>IF(Advanced!AT40="","",Advanced!AT40)</f>
        <v/>
      </c>
      <c r="M352" s="326" t="str">
        <f>TrialDate</f>
        <v/>
      </c>
      <c r="N352" s="325" t="str">
        <f t="shared" ref="N352" si="434">N351</f>
        <v/>
      </c>
      <c r="O352" s="325">
        <f>JudgeD1ISA</f>
        <v>0</v>
      </c>
    </row>
    <row r="353" spans="1:15" x14ac:dyDescent="0.25">
      <c r="A353" s="2">
        <v>2</v>
      </c>
      <c r="B353" s="2">
        <f t="shared" ref="B353:O353" si="435">B352</f>
        <v>0</v>
      </c>
      <c r="C353" s="2" t="str">
        <f t="shared" si="435"/>
        <v>ISA</v>
      </c>
      <c r="D353" s="2">
        <f t="shared" si="435"/>
        <v>0</v>
      </c>
      <c r="E353" s="2" t="str">
        <f t="shared" si="435"/>
        <v>A</v>
      </c>
      <c r="F353" s="2" t="str">
        <f t="shared" si="435"/>
        <v>Interior Advanced</v>
      </c>
      <c r="G353" s="2" t="str">
        <f t="shared" si="435"/>
        <v/>
      </c>
      <c r="H353" s="2" t="str">
        <f t="shared" si="435"/>
        <v/>
      </c>
      <c r="I353" s="2" t="str">
        <f t="shared" si="435"/>
        <v/>
      </c>
      <c r="J353" s="2" t="str">
        <f t="shared" si="435"/>
        <v/>
      </c>
      <c r="K353" s="2" t="str">
        <f t="shared" si="435"/>
        <v/>
      </c>
      <c r="L353" s="2" t="str">
        <f t="shared" si="435"/>
        <v/>
      </c>
      <c r="M353" s="180" t="str">
        <f t="shared" si="435"/>
        <v/>
      </c>
      <c r="N353" s="2" t="str">
        <f t="shared" si="435"/>
        <v/>
      </c>
      <c r="O353" s="2">
        <f t="shared" si="435"/>
        <v>0</v>
      </c>
    </row>
    <row r="354" spans="1:15" x14ac:dyDescent="0.25">
      <c r="A354" s="325">
        <v>1</v>
      </c>
      <c r="B354" s="325">
        <f>TrialNumber</f>
        <v>0</v>
      </c>
      <c r="C354" s="325" t="s">
        <v>19</v>
      </c>
      <c r="D354" s="325">
        <f>Advanced!C41</f>
        <v>0</v>
      </c>
      <c r="E354" s="325" t="str">
        <f>IF(Advanced!B41="W","W","A")</f>
        <v>A</v>
      </c>
      <c r="F354" s="325" t="s">
        <v>1738</v>
      </c>
      <c r="G354" s="325" t="str">
        <f>IF(Advanced!O41="e","Y","")</f>
        <v/>
      </c>
      <c r="H354" s="325" t="str">
        <f>IFERROR(VLOOKUP($D354,'SDDA Dogs'!$A:$AE,2,FALSE),"")</f>
        <v/>
      </c>
      <c r="I354" s="325" t="str">
        <f>IFERROR(VLOOKUP($D354,'SDDA Dogs'!$A:$AE,3,FALSE),"")</f>
        <v/>
      </c>
      <c r="J354" s="325" t="str">
        <f>IFERROR(VLOOKUP($D354,'SDDA Dogs'!$A:$AE,6,FALSE),"")</f>
        <v/>
      </c>
      <c r="K354" s="325" t="str">
        <f>IF(Advanced!AS41="","",Advanced!AS41)</f>
        <v/>
      </c>
      <c r="L354" s="325" t="str">
        <f>IF(Advanced!AT41="","",Advanced!AT41)</f>
        <v/>
      </c>
      <c r="M354" s="326" t="str">
        <f>TrialDate</f>
        <v/>
      </c>
      <c r="N354" s="325" t="str">
        <f t="shared" ref="N354" si="436">N353</f>
        <v/>
      </c>
      <c r="O354" s="325">
        <f>JudgeD1ISA</f>
        <v>0</v>
      </c>
    </row>
    <row r="355" spans="1:15" x14ac:dyDescent="0.25">
      <c r="A355" s="2">
        <v>2</v>
      </c>
      <c r="B355" s="2">
        <f t="shared" ref="B355:O355" si="437">B354</f>
        <v>0</v>
      </c>
      <c r="C355" s="2" t="str">
        <f t="shared" si="437"/>
        <v>ISA</v>
      </c>
      <c r="D355" s="2">
        <f t="shared" si="437"/>
        <v>0</v>
      </c>
      <c r="E355" s="2" t="str">
        <f t="shared" si="437"/>
        <v>A</v>
      </c>
      <c r="F355" s="2" t="str">
        <f t="shared" si="437"/>
        <v>Interior Advanced</v>
      </c>
      <c r="G355" s="2" t="str">
        <f t="shared" si="437"/>
        <v/>
      </c>
      <c r="H355" s="2" t="str">
        <f t="shared" si="437"/>
        <v/>
      </c>
      <c r="I355" s="2" t="str">
        <f t="shared" si="437"/>
        <v/>
      </c>
      <c r="J355" s="2" t="str">
        <f t="shared" si="437"/>
        <v/>
      </c>
      <c r="K355" s="2" t="str">
        <f t="shared" si="437"/>
        <v/>
      </c>
      <c r="L355" s="2" t="str">
        <f t="shared" si="437"/>
        <v/>
      </c>
      <c r="M355" s="180" t="str">
        <f t="shared" si="437"/>
        <v/>
      </c>
      <c r="N355" s="2" t="str">
        <f t="shared" si="437"/>
        <v/>
      </c>
      <c r="O355" s="2">
        <f t="shared" si="437"/>
        <v>0</v>
      </c>
    </row>
    <row r="356" spans="1:15" x14ac:dyDescent="0.25">
      <c r="A356" s="325">
        <v>1</v>
      </c>
      <c r="B356" s="325">
        <f>TrialNumber</f>
        <v>0</v>
      </c>
      <c r="C356" s="325" t="s">
        <v>19</v>
      </c>
      <c r="D356" s="325">
        <f>Advanced!C42</f>
        <v>0</v>
      </c>
      <c r="E356" s="325" t="str">
        <f>IF(Advanced!B42="W","W","A")</f>
        <v>A</v>
      </c>
      <c r="F356" s="325" t="s">
        <v>1738</v>
      </c>
      <c r="G356" s="325" t="str">
        <f>IF(Advanced!O42="e","Y","")</f>
        <v/>
      </c>
      <c r="H356" s="325" t="str">
        <f>IFERROR(VLOOKUP($D356,'SDDA Dogs'!$A:$AE,2,FALSE),"")</f>
        <v/>
      </c>
      <c r="I356" s="325" t="str">
        <f>IFERROR(VLOOKUP($D356,'SDDA Dogs'!$A:$AE,3,FALSE),"")</f>
        <v/>
      </c>
      <c r="J356" s="325" t="str">
        <f>IFERROR(VLOOKUP($D356,'SDDA Dogs'!$A:$AE,6,FALSE),"")</f>
        <v/>
      </c>
      <c r="K356" s="325" t="str">
        <f>IF(Advanced!AS42="","",Advanced!AS42)</f>
        <v/>
      </c>
      <c r="L356" s="325" t="str">
        <f>IF(Advanced!AT42="","",Advanced!AT42)</f>
        <v/>
      </c>
      <c r="M356" s="326" t="str">
        <f>TrialDate</f>
        <v/>
      </c>
      <c r="N356" s="325" t="str">
        <f t="shared" ref="N356" si="438">N355</f>
        <v/>
      </c>
      <c r="O356" s="325">
        <f>JudgeD1ISA</f>
        <v>0</v>
      </c>
    </row>
    <row r="357" spans="1:15" x14ac:dyDescent="0.25">
      <c r="A357" s="2">
        <v>2</v>
      </c>
      <c r="B357" s="2">
        <f t="shared" ref="B357:O357" si="439">B356</f>
        <v>0</v>
      </c>
      <c r="C357" s="2" t="str">
        <f t="shared" si="439"/>
        <v>ISA</v>
      </c>
      <c r="D357" s="2">
        <f t="shared" si="439"/>
        <v>0</v>
      </c>
      <c r="E357" s="2" t="str">
        <f t="shared" si="439"/>
        <v>A</v>
      </c>
      <c r="F357" s="2" t="str">
        <f t="shared" si="439"/>
        <v>Interior Advanced</v>
      </c>
      <c r="G357" s="2" t="str">
        <f t="shared" si="439"/>
        <v/>
      </c>
      <c r="H357" s="2" t="str">
        <f t="shared" si="439"/>
        <v/>
      </c>
      <c r="I357" s="2" t="str">
        <f t="shared" si="439"/>
        <v/>
      </c>
      <c r="J357" s="2" t="str">
        <f t="shared" si="439"/>
        <v/>
      </c>
      <c r="K357" s="2" t="str">
        <f t="shared" si="439"/>
        <v/>
      </c>
      <c r="L357" s="2" t="str">
        <f t="shared" si="439"/>
        <v/>
      </c>
      <c r="M357" s="180" t="str">
        <f t="shared" si="439"/>
        <v/>
      </c>
      <c r="N357" s="2" t="str">
        <f t="shared" si="439"/>
        <v/>
      </c>
      <c r="O357" s="2">
        <f t="shared" si="439"/>
        <v>0</v>
      </c>
    </row>
    <row r="358" spans="1:15" x14ac:dyDescent="0.25">
      <c r="A358" s="325">
        <v>1</v>
      </c>
      <c r="B358" s="325">
        <f>TrialNumber</f>
        <v>0</v>
      </c>
      <c r="C358" s="325" t="s">
        <v>19</v>
      </c>
      <c r="D358" s="325">
        <f>Advanced!C43</f>
        <v>0</v>
      </c>
      <c r="E358" s="325" t="str">
        <f>IF(Advanced!B43="W","W","A")</f>
        <v>A</v>
      </c>
      <c r="F358" s="325" t="s">
        <v>1738</v>
      </c>
      <c r="G358" s="325" t="str">
        <f>IF(Advanced!O43="e","Y","")</f>
        <v/>
      </c>
      <c r="H358" s="325" t="str">
        <f>IFERROR(VLOOKUP($D358,'SDDA Dogs'!$A:$AE,2,FALSE),"")</f>
        <v/>
      </c>
      <c r="I358" s="325" t="str">
        <f>IFERROR(VLOOKUP($D358,'SDDA Dogs'!$A:$AE,3,FALSE),"")</f>
        <v/>
      </c>
      <c r="J358" s="325" t="str">
        <f>IFERROR(VLOOKUP($D358,'SDDA Dogs'!$A:$AE,6,FALSE),"")</f>
        <v/>
      </c>
      <c r="K358" s="325" t="str">
        <f>IF(Advanced!AS43="","",Advanced!AS43)</f>
        <v/>
      </c>
      <c r="L358" s="325" t="str">
        <f>IF(Advanced!AT43="","",Advanced!AT43)</f>
        <v/>
      </c>
      <c r="M358" s="326" t="str">
        <f>TrialDate</f>
        <v/>
      </c>
      <c r="N358" s="325" t="str">
        <f t="shared" ref="N358" si="440">N357</f>
        <v/>
      </c>
      <c r="O358" s="325">
        <f>JudgeD1ISA</f>
        <v>0</v>
      </c>
    </row>
    <row r="359" spans="1:15" x14ac:dyDescent="0.25">
      <c r="A359" s="2">
        <v>2</v>
      </c>
      <c r="B359" s="2">
        <f t="shared" ref="B359:O359" si="441">B358</f>
        <v>0</v>
      </c>
      <c r="C359" s="2" t="str">
        <f t="shared" si="441"/>
        <v>ISA</v>
      </c>
      <c r="D359" s="2">
        <f t="shared" si="441"/>
        <v>0</v>
      </c>
      <c r="E359" s="2" t="str">
        <f t="shared" si="441"/>
        <v>A</v>
      </c>
      <c r="F359" s="2" t="str">
        <f t="shared" si="441"/>
        <v>Interior Advanced</v>
      </c>
      <c r="G359" s="2" t="str">
        <f t="shared" si="441"/>
        <v/>
      </c>
      <c r="H359" s="2" t="str">
        <f t="shared" si="441"/>
        <v/>
      </c>
      <c r="I359" s="2" t="str">
        <f t="shared" si="441"/>
        <v/>
      </c>
      <c r="J359" s="2" t="str">
        <f t="shared" si="441"/>
        <v/>
      </c>
      <c r="K359" s="2" t="str">
        <f t="shared" si="441"/>
        <v/>
      </c>
      <c r="L359" s="2" t="str">
        <f t="shared" si="441"/>
        <v/>
      </c>
      <c r="M359" s="180" t="str">
        <f t="shared" si="441"/>
        <v/>
      </c>
      <c r="N359" s="2" t="str">
        <f t="shared" si="441"/>
        <v/>
      </c>
      <c r="O359" s="2">
        <f t="shared" si="441"/>
        <v>0</v>
      </c>
    </row>
    <row r="360" spans="1:15" x14ac:dyDescent="0.25">
      <c r="A360" s="325">
        <v>1</v>
      </c>
      <c r="B360" s="325">
        <f>TrialNumber</f>
        <v>0</v>
      </c>
      <c r="C360" s="325" t="s">
        <v>19</v>
      </c>
      <c r="D360" s="325">
        <f>Advanced!C44</f>
        <v>0</v>
      </c>
      <c r="E360" s="325" t="str">
        <f>IF(Advanced!B44="W","W","A")</f>
        <v>A</v>
      </c>
      <c r="F360" s="325" t="s">
        <v>1738</v>
      </c>
      <c r="G360" s="325" t="str">
        <f>IF(Advanced!O44="e","Y","")</f>
        <v/>
      </c>
      <c r="H360" s="325" t="str">
        <f>IFERROR(VLOOKUP($D360,'SDDA Dogs'!$A:$AE,2,FALSE),"")</f>
        <v/>
      </c>
      <c r="I360" s="325" t="str">
        <f>IFERROR(VLOOKUP($D360,'SDDA Dogs'!$A:$AE,3,FALSE),"")</f>
        <v/>
      </c>
      <c r="J360" s="325" t="str">
        <f>IFERROR(VLOOKUP($D360,'SDDA Dogs'!$A:$AE,6,FALSE),"")</f>
        <v/>
      </c>
      <c r="K360" s="325" t="str">
        <f>IF(Advanced!AS44="","",Advanced!AS44)</f>
        <v/>
      </c>
      <c r="L360" s="325" t="str">
        <f>IF(Advanced!AT44="","",Advanced!AT44)</f>
        <v/>
      </c>
      <c r="M360" s="326" t="str">
        <f>TrialDate</f>
        <v/>
      </c>
      <c r="N360" s="325" t="str">
        <f t="shared" ref="N360" si="442">N359</f>
        <v/>
      </c>
      <c r="O360" s="325">
        <f>JudgeD1ISA</f>
        <v>0</v>
      </c>
    </row>
    <row r="361" spans="1:15" x14ac:dyDescent="0.25">
      <c r="A361" s="2">
        <v>2</v>
      </c>
      <c r="B361" s="2">
        <f t="shared" ref="B361:O361" si="443">B360</f>
        <v>0</v>
      </c>
      <c r="C361" s="2" t="str">
        <f t="shared" si="443"/>
        <v>ISA</v>
      </c>
      <c r="D361" s="2">
        <f t="shared" si="443"/>
        <v>0</v>
      </c>
      <c r="E361" s="2" t="str">
        <f t="shared" si="443"/>
        <v>A</v>
      </c>
      <c r="F361" s="2" t="str">
        <f t="shared" si="443"/>
        <v>Interior Advanced</v>
      </c>
      <c r="G361" s="2" t="str">
        <f t="shared" si="443"/>
        <v/>
      </c>
      <c r="H361" s="2" t="str">
        <f t="shared" si="443"/>
        <v/>
      </c>
      <c r="I361" s="2" t="str">
        <f t="shared" si="443"/>
        <v/>
      </c>
      <c r="J361" s="2" t="str">
        <f t="shared" si="443"/>
        <v/>
      </c>
      <c r="K361" s="2" t="str">
        <f t="shared" si="443"/>
        <v/>
      </c>
      <c r="L361" s="2" t="str">
        <f t="shared" si="443"/>
        <v/>
      </c>
      <c r="M361" s="180" t="str">
        <f t="shared" si="443"/>
        <v/>
      </c>
      <c r="N361" s="2" t="str">
        <f t="shared" si="443"/>
        <v/>
      </c>
      <c r="O361" s="2">
        <f t="shared" si="443"/>
        <v>0</v>
      </c>
    </row>
    <row r="362" spans="1:15" x14ac:dyDescent="0.25">
      <c r="A362" s="325">
        <v>1</v>
      </c>
      <c r="B362" s="325">
        <f>TrialNumber</f>
        <v>0</v>
      </c>
      <c r="C362" s="325" t="s">
        <v>19</v>
      </c>
      <c r="D362" s="325">
        <f>Advanced!C45</f>
        <v>0</v>
      </c>
      <c r="E362" s="325" t="str">
        <f>IF(Advanced!B45="W","W","A")</f>
        <v>A</v>
      </c>
      <c r="F362" s="325" t="s">
        <v>1738</v>
      </c>
      <c r="G362" s="325" t="str">
        <f>IF(Advanced!O45="e","Y","")</f>
        <v/>
      </c>
      <c r="H362" s="325" t="str">
        <f>IFERROR(VLOOKUP($D362,'SDDA Dogs'!$A:$AE,2,FALSE),"")</f>
        <v/>
      </c>
      <c r="I362" s="325" t="str">
        <f>IFERROR(VLOOKUP($D362,'SDDA Dogs'!$A:$AE,3,FALSE),"")</f>
        <v/>
      </c>
      <c r="J362" s="325" t="str">
        <f>IFERROR(VLOOKUP($D362,'SDDA Dogs'!$A:$AE,6,FALSE),"")</f>
        <v/>
      </c>
      <c r="K362" s="325" t="str">
        <f>IF(Advanced!AS45="","",Advanced!AS45)</f>
        <v/>
      </c>
      <c r="L362" s="325" t="str">
        <f>IF(Advanced!AT45="","",Advanced!AT45)</f>
        <v/>
      </c>
      <c r="M362" s="326" t="str">
        <f>TrialDate</f>
        <v/>
      </c>
      <c r="N362" s="325" t="str">
        <f t="shared" ref="N362" si="444">N361</f>
        <v/>
      </c>
      <c r="O362" s="325">
        <f>JudgeD1ISA</f>
        <v>0</v>
      </c>
    </row>
    <row r="363" spans="1:15" x14ac:dyDescent="0.25">
      <c r="A363" s="2">
        <v>2</v>
      </c>
      <c r="B363" s="2">
        <f t="shared" ref="B363:O363" si="445">B362</f>
        <v>0</v>
      </c>
      <c r="C363" s="2" t="str">
        <f t="shared" si="445"/>
        <v>ISA</v>
      </c>
      <c r="D363" s="2">
        <f t="shared" si="445"/>
        <v>0</v>
      </c>
      <c r="E363" s="2" t="str">
        <f t="shared" si="445"/>
        <v>A</v>
      </c>
      <c r="F363" s="2" t="str">
        <f t="shared" si="445"/>
        <v>Interior Advanced</v>
      </c>
      <c r="G363" s="2" t="str">
        <f t="shared" si="445"/>
        <v/>
      </c>
      <c r="H363" s="2" t="str">
        <f t="shared" si="445"/>
        <v/>
      </c>
      <c r="I363" s="2" t="str">
        <f t="shared" si="445"/>
        <v/>
      </c>
      <c r="J363" s="2" t="str">
        <f t="shared" si="445"/>
        <v/>
      </c>
      <c r="K363" s="2" t="str">
        <f t="shared" si="445"/>
        <v/>
      </c>
      <c r="L363" s="2" t="str">
        <f t="shared" si="445"/>
        <v/>
      </c>
      <c r="M363" s="180" t="str">
        <f t="shared" si="445"/>
        <v/>
      </c>
      <c r="N363" s="2" t="str">
        <f t="shared" si="445"/>
        <v/>
      </c>
      <c r="O363" s="2">
        <f t="shared" si="445"/>
        <v>0</v>
      </c>
    </row>
    <row r="364" spans="1:15" x14ac:dyDescent="0.25">
      <c r="A364" s="325">
        <v>1</v>
      </c>
      <c r="B364" s="325">
        <f>TrialNumber</f>
        <v>0</v>
      </c>
      <c r="C364" s="325" t="s">
        <v>19</v>
      </c>
      <c r="D364" s="325">
        <f>Advanced!C46</f>
        <v>0</v>
      </c>
      <c r="E364" s="325" t="str">
        <f>IF(Advanced!B46="W","W","A")</f>
        <v>A</v>
      </c>
      <c r="F364" s="325" t="s">
        <v>1738</v>
      </c>
      <c r="G364" s="325" t="str">
        <f>IF(Advanced!O46="e","Y","")</f>
        <v/>
      </c>
      <c r="H364" s="325" t="str">
        <f>IFERROR(VLOOKUP($D364,'SDDA Dogs'!$A:$AE,2,FALSE),"")</f>
        <v/>
      </c>
      <c r="I364" s="325" t="str">
        <f>IFERROR(VLOOKUP($D364,'SDDA Dogs'!$A:$AE,3,FALSE),"")</f>
        <v/>
      </c>
      <c r="J364" s="325" t="str">
        <f>IFERROR(VLOOKUP($D364,'SDDA Dogs'!$A:$AE,6,FALSE),"")</f>
        <v/>
      </c>
      <c r="K364" s="325" t="str">
        <f>IF(Advanced!AS46="","",Advanced!AS46)</f>
        <v/>
      </c>
      <c r="L364" s="325" t="str">
        <f>IF(Advanced!AT46="","",Advanced!AT46)</f>
        <v/>
      </c>
      <c r="M364" s="326" t="str">
        <f>TrialDate</f>
        <v/>
      </c>
      <c r="N364" s="325" t="str">
        <f t="shared" ref="N364" si="446">N363</f>
        <v/>
      </c>
      <c r="O364" s="325">
        <f>JudgeD1ISA</f>
        <v>0</v>
      </c>
    </row>
    <row r="365" spans="1:15" x14ac:dyDescent="0.25">
      <c r="A365" s="2">
        <v>2</v>
      </c>
      <c r="B365" s="2">
        <f t="shared" ref="B365:O365" si="447">B364</f>
        <v>0</v>
      </c>
      <c r="C365" s="2" t="str">
        <f t="shared" si="447"/>
        <v>ISA</v>
      </c>
      <c r="D365" s="2">
        <f t="shared" si="447"/>
        <v>0</v>
      </c>
      <c r="E365" s="2" t="str">
        <f t="shared" si="447"/>
        <v>A</v>
      </c>
      <c r="F365" s="2" t="str">
        <f t="shared" si="447"/>
        <v>Interior Advanced</v>
      </c>
      <c r="G365" s="2" t="str">
        <f t="shared" si="447"/>
        <v/>
      </c>
      <c r="H365" s="2" t="str">
        <f t="shared" si="447"/>
        <v/>
      </c>
      <c r="I365" s="2" t="str">
        <f t="shared" si="447"/>
        <v/>
      </c>
      <c r="J365" s="2" t="str">
        <f t="shared" si="447"/>
        <v/>
      </c>
      <c r="K365" s="2" t="str">
        <f t="shared" si="447"/>
        <v/>
      </c>
      <c r="L365" s="2" t="str">
        <f t="shared" si="447"/>
        <v/>
      </c>
      <c r="M365" s="180" t="str">
        <f t="shared" si="447"/>
        <v/>
      </c>
      <c r="N365" s="2" t="str">
        <f t="shared" si="447"/>
        <v/>
      </c>
      <c r="O365" s="2">
        <f t="shared" si="447"/>
        <v>0</v>
      </c>
    </row>
    <row r="366" spans="1:15" x14ac:dyDescent="0.25">
      <c r="A366" s="325">
        <v>1</v>
      </c>
      <c r="B366" s="325">
        <f>TrialNumber</f>
        <v>0</v>
      </c>
      <c r="C366" s="325" t="s">
        <v>19</v>
      </c>
      <c r="D366" s="325">
        <f>Advanced!C47</f>
        <v>0</v>
      </c>
      <c r="E366" s="325" t="str">
        <f>IF(Advanced!B47="W","W","A")</f>
        <v>A</v>
      </c>
      <c r="F366" s="325" t="s">
        <v>1738</v>
      </c>
      <c r="G366" s="325" t="str">
        <f>IF(Advanced!O47="e","Y","")</f>
        <v/>
      </c>
      <c r="H366" s="325" t="str">
        <f>IFERROR(VLOOKUP($D366,'SDDA Dogs'!$A:$AE,2,FALSE),"")</f>
        <v/>
      </c>
      <c r="I366" s="325" t="str">
        <f>IFERROR(VLOOKUP($D366,'SDDA Dogs'!$A:$AE,3,FALSE),"")</f>
        <v/>
      </c>
      <c r="J366" s="325" t="str">
        <f>IFERROR(VLOOKUP($D366,'SDDA Dogs'!$A:$AE,6,FALSE),"")</f>
        <v/>
      </c>
      <c r="K366" s="325" t="str">
        <f>IF(Advanced!AS47="","",Advanced!AS47)</f>
        <v/>
      </c>
      <c r="L366" s="325" t="str">
        <f>IF(Advanced!AT47="","",Advanced!AT47)</f>
        <v/>
      </c>
      <c r="M366" s="326" t="str">
        <f>TrialDate</f>
        <v/>
      </c>
      <c r="N366" s="325" t="str">
        <f t="shared" ref="N366" si="448">N365</f>
        <v/>
      </c>
      <c r="O366" s="325">
        <f>JudgeD1ISA</f>
        <v>0</v>
      </c>
    </row>
    <row r="367" spans="1:15" x14ac:dyDescent="0.25">
      <c r="A367" s="2">
        <v>2</v>
      </c>
      <c r="B367" s="2">
        <f t="shared" ref="B367:O367" si="449">B366</f>
        <v>0</v>
      </c>
      <c r="C367" s="2" t="str">
        <f t="shared" si="449"/>
        <v>ISA</v>
      </c>
      <c r="D367" s="2">
        <f t="shared" si="449"/>
        <v>0</v>
      </c>
      <c r="E367" s="2" t="str">
        <f t="shared" si="449"/>
        <v>A</v>
      </c>
      <c r="F367" s="2" t="str">
        <f t="shared" si="449"/>
        <v>Interior Advanced</v>
      </c>
      <c r="G367" s="2" t="str">
        <f t="shared" si="449"/>
        <v/>
      </c>
      <c r="H367" s="2" t="str">
        <f t="shared" si="449"/>
        <v/>
      </c>
      <c r="I367" s="2" t="str">
        <f t="shared" si="449"/>
        <v/>
      </c>
      <c r="J367" s="2" t="str">
        <f t="shared" si="449"/>
        <v/>
      </c>
      <c r="K367" s="2" t="str">
        <f t="shared" si="449"/>
        <v/>
      </c>
      <c r="L367" s="2" t="str">
        <f t="shared" si="449"/>
        <v/>
      </c>
      <c r="M367" s="180" t="str">
        <f t="shared" si="449"/>
        <v/>
      </c>
      <c r="N367" s="2" t="str">
        <f t="shared" si="449"/>
        <v/>
      </c>
      <c r="O367" s="2">
        <f t="shared" si="449"/>
        <v>0</v>
      </c>
    </row>
    <row r="368" spans="1:15" x14ac:dyDescent="0.25">
      <c r="A368" s="325">
        <v>1</v>
      </c>
      <c r="B368" s="325">
        <f>TrialNumber</f>
        <v>0</v>
      </c>
      <c r="C368" s="325" t="s">
        <v>19</v>
      </c>
      <c r="D368" s="325">
        <f>Advanced!C48</f>
        <v>0</v>
      </c>
      <c r="E368" s="325" t="str">
        <f>IF(Advanced!B48="W","W","A")</f>
        <v>A</v>
      </c>
      <c r="F368" s="325" t="s">
        <v>1738</v>
      </c>
      <c r="G368" s="325" t="str">
        <f>IF(Advanced!O48="e","Y","")</f>
        <v/>
      </c>
      <c r="H368" s="325" t="str">
        <f>IFERROR(VLOOKUP($D368,'SDDA Dogs'!$A:$AE,2,FALSE),"")</f>
        <v/>
      </c>
      <c r="I368" s="325" t="str">
        <f>IFERROR(VLOOKUP($D368,'SDDA Dogs'!$A:$AE,3,FALSE),"")</f>
        <v/>
      </c>
      <c r="J368" s="325" t="str">
        <f>IFERROR(VLOOKUP($D368,'SDDA Dogs'!$A:$AE,6,FALSE),"")</f>
        <v/>
      </c>
      <c r="K368" s="325" t="str">
        <f>IF(Advanced!AS48="","",Advanced!AS48)</f>
        <v/>
      </c>
      <c r="L368" s="325" t="str">
        <f>IF(Advanced!AT48="","",Advanced!AT48)</f>
        <v/>
      </c>
      <c r="M368" s="326" t="str">
        <f>TrialDate</f>
        <v/>
      </c>
      <c r="N368" s="325" t="str">
        <f t="shared" ref="N368" si="450">N367</f>
        <v/>
      </c>
      <c r="O368" s="325">
        <f>JudgeD1ISA</f>
        <v>0</v>
      </c>
    </row>
    <row r="369" spans="1:15" x14ac:dyDescent="0.25">
      <c r="A369" s="2">
        <v>2</v>
      </c>
      <c r="B369" s="2">
        <f t="shared" ref="B369:O369" si="451">B368</f>
        <v>0</v>
      </c>
      <c r="C369" s="2" t="str">
        <f t="shared" si="451"/>
        <v>ISA</v>
      </c>
      <c r="D369" s="2">
        <f t="shared" si="451"/>
        <v>0</v>
      </c>
      <c r="E369" s="2" t="str">
        <f t="shared" si="451"/>
        <v>A</v>
      </c>
      <c r="F369" s="2" t="str">
        <f t="shared" si="451"/>
        <v>Interior Advanced</v>
      </c>
      <c r="G369" s="2" t="str">
        <f t="shared" si="451"/>
        <v/>
      </c>
      <c r="H369" s="2" t="str">
        <f t="shared" si="451"/>
        <v/>
      </c>
      <c r="I369" s="2" t="str">
        <f t="shared" si="451"/>
        <v/>
      </c>
      <c r="J369" s="2" t="str">
        <f t="shared" si="451"/>
        <v/>
      </c>
      <c r="K369" s="2" t="str">
        <f t="shared" si="451"/>
        <v/>
      </c>
      <c r="L369" s="2" t="str">
        <f t="shared" si="451"/>
        <v/>
      </c>
      <c r="M369" s="180" t="str">
        <f t="shared" si="451"/>
        <v/>
      </c>
      <c r="N369" s="2" t="str">
        <f t="shared" si="451"/>
        <v/>
      </c>
      <c r="O369" s="2">
        <f t="shared" si="451"/>
        <v>0</v>
      </c>
    </row>
    <row r="370" spans="1:15" x14ac:dyDescent="0.25">
      <c r="A370" s="325">
        <v>1</v>
      </c>
      <c r="B370" s="325">
        <f>TrialNumber</f>
        <v>0</v>
      </c>
      <c r="C370" s="325" t="s">
        <v>19</v>
      </c>
      <c r="D370" s="325">
        <f>Advanced!C49</f>
        <v>0</v>
      </c>
      <c r="E370" s="325" t="str">
        <f>IF(Advanced!B49="W","W","A")</f>
        <v>A</v>
      </c>
      <c r="F370" s="325" t="s">
        <v>1738</v>
      </c>
      <c r="G370" s="325" t="str">
        <f>IF(Advanced!O49="e","Y","")</f>
        <v/>
      </c>
      <c r="H370" s="325" t="str">
        <f>IFERROR(VLOOKUP($D370,'SDDA Dogs'!$A:$AE,2,FALSE),"")</f>
        <v/>
      </c>
      <c r="I370" s="325" t="str">
        <f>IFERROR(VLOOKUP($D370,'SDDA Dogs'!$A:$AE,3,FALSE),"")</f>
        <v/>
      </c>
      <c r="J370" s="325" t="str">
        <f>IFERROR(VLOOKUP($D370,'SDDA Dogs'!$A:$AE,6,FALSE),"")</f>
        <v/>
      </c>
      <c r="K370" s="325" t="str">
        <f>IF(Advanced!AS49="","",Advanced!AS49)</f>
        <v/>
      </c>
      <c r="L370" s="325" t="str">
        <f>IF(Advanced!AT49="","",Advanced!AT49)</f>
        <v/>
      </c>
      <c r="M370" s="326" t="str">
        <f>TrialDate</f>
        <v/>
      </c>
      <c r="N370" s="325" t="str">
        <f t="shared" ref="N370" si="452">N369</f>
        <v/>
      </c>
      <c r="O370" s="325">
        <f>JudgeD1ISA</f>
        <v>0</v>
      </c>
    </row>
    <row r="371" spans="1:15" x14ac:dyDescent="0.25">
      <c r="A371" s="2">
        <v>2</v>
      </c>
      <c r="B371" s="2">
        <f t="shared" ref="B371:O371" si="453">B370</f>
        <v>0</v>
      </c>
      <c r="C371" s="2" t="str">
        <f t="shared" si="453"/>
        <v>ISA</v>
      </c>
      <c r="D371" s="2">
        <f t="shared" si="453"/>
        <v>0</v>
      </c>
      <c r="E371" s="2" t="str">
        <f t="shared" si="453"/>
        <v>A</v>
      </c>
      <c r="F371" s="2" t="str">
        <f t="shared" si="453"/>
        <v>Interior Advanced</v>
      </c>
      <c r="G371" s="2" t="str">
        <f t="shared" si="453"/>
        <v/>
      </c>
      <c r="H371" s="2" t="str">
        <f t="shared" si="453"/>
        <v/>
      </c>
      <c r="I371" s="2" t="str">
        <f t="shared" si="453"/>
        <v/>
      </c>
      <c r="J371" s="2" t="str">
        <f t="shared" si="453"/>
        <v/>
      </c>
      <c r="K371" s="2" t="str">
        <f t="shared" si="453"/>
        <v/>
      </c>
      <c r="L371" s="2" t="str">
        <f t="shared" si="453"/>
        <v/>
      </c>
      <c r="M371" s="180" t="str">
        <f t="shared" si="453"/>
        <v/>
      </c>
      <c r="N371" s="2" t="str">
        <f t="shared" si="453"/>
        <v/>
      </c>
      <c r="O371" s="2">
        <f t="shared" si="453"/>
        <v>0</v>
      </c>
    </row>
    <row r="372" spans="1:15" x14ac:dyDescent="0.25">
      <c r="A372" s="325">
        <v>1</v>
      </c>
      <c r="B372" s="325">
        <f>TrialNumber</f>
        <v>0</v>
      </c>
      <c r="C372" s="325" t="s">
        <v>19</v>
      </c>
      <c r="D372" s="325">
        <f>Advanced!C50</f>
        <v>0</v>
      </c>
      <c r="E372" s="325" t="str">
        <f>IF(Advanced!B50="W","W","A")</f>
        <v>A</v>
      </c>
      <c r="F372" s="325" t="s">
        <v>1738</v>
      </c>
      <c r="G372" s="325" t="str">
        <f>IF(Advanced!O50="e","Y","")</f>
        <v/>
      </c>
      <c r="H372" s="325" t="str">
        <f>IFERROR(VLOOKUP($D372,'SDDA Dogs'!$A:$AE,2,FALSE),"")</f>
        <v/>
      </c>
      <c r="I372" s="325" t="str">
        <f>IFERROR(VLOOKUP($D372,'SDDA Dogs'!$A:$AE,3,FALSE),"")</f>
        <v/>
      </c>
      <c r="J372" s="325" t="str">
        <f>IFERROR(VLOOKUP($D372,'SDDA Dogs'!$A:$AE,6,FALSE),"")</f>
        <v/>
      </c>
      <c r="K372" s="325" t="str">
        <f>IF(Advanced!AS50="","",Advanced!AS50)</f>
        <v/>
      </c>
      <c r="L372" s="325" t="str">
        <f>IF(Advanced!AT50="","",Advanced!AT50)</f>
        <v/>
      </c>
      <c r="M372" s="326" t="str">
        <f>TrialDate</f>
        <v/>
      </c>
      <c r="N372" s="325" t="str">
        <f t="shared" ref="N372" si="454">N371</f>
        <v/>
      </c>
      <c r="O372" s="325">
        <f>JudgeD1ISA</f>
        <v>0</v>
      </c>
    </row>
    <row r="373" spans="1:15" x14ac:dyDescent="0.25">
      <c r="A373" s="2">
        <v>2</v>
      </c>
      <c r="B373" s="2">
        <f t="shared" ref="B373:O373" si="455">B372</f>
        <v>0</v>
      </c>
      <c r="C373" s="2" t="str">
        <f t="shared" si="455"/>
        <v>ISA</v>
      </c>
      <c r="D373" s="2">
        <f t="shared" si="455"/>
        <v>0</v>
      </c>
      <c r="E373" s="2" t="str">
        <f t="shared" si="455"/>
        <v>A</v>
      </c>
      <c r="F373" s="2" t="str">
        <f t="shared" si="455"/>
        <v>Interior Advanced</v>
      </c>
      <c r="G373" s="2" t="str">
        <f t="shared" si="455"/>
        <v/>
      </c>
      <c r="H373" s="2" t="str">
        <f t="shared" si="455"/>
        <v/>
      </c>
      <c r="I373" s="2" t="str">
        <f t="shared" si="455"/>
        <v/>
      </c>
      <c r="J373" s="2" t="str">
        <f t="shared" si="455"/>
        <v/>
      </c>
      <c r="K373" s="2" t="str">
        <f t="shared" si="455"/>
        <v/>
      </c>
      <c r="L373" s="2" t="str">
        <f t="shared" si="455"/>
        <v/>
      </c>
      <c r="M373" s="180" t="str">
        <f t="shared" si="455"/>
        <v/>
      </c>
      <c r="N373" s="2" t="str">
        <f t="shared" si="455"/>
        <v/>
      </c>
      <c r="O373" s="2">
        <f t="shared" si="455"/>
        <v>0</v>
      </c>
    </row>
    <row r="374" spans="1:15" x14ac:dyDescent="0.25">
      <c r="A374" s="325">
        <v>1</v>
      </c>
      <c r="B374" s="325">
        <f>TrialNumber</f>
        <v>0</v>
      </c>
      <c r="C374" s="325" t="s">
        <v>19</v>
      </c>
      <c r="D374" s="325">
        <f>Advanced!C51</f>
        <v>0</v>
      </c>
      <c r="E374" s="325" t="str">
        <f>IF(Advanced!B51="W","W","A")</f>
        <v>A</v>
      </c>
      <c r="F374" s="325" t="s">
        <v>1738</v>
      </c>
      <c r="G374" s="325" t="str">
        <f>IF(Advanced!O51="e","Y","")</f>
        <v/>
      </c>
      <c r="H374" s="325" t="str">
        <f>IFERROR(VLOOKUP($D374,'SDDA Dogs'!$A:$AE,2,FALSE),"")</f>
        <v/>
      </c>
      <c r="I374" s="325" t="str">
        <f>IFERROR(VLOOKUP($D374,'SDDA Dogs'!$A:$AE,3,FALSE),"")</f>
        <v/>
      </c>
      <c r="J374" s="325" t="str">
        <f>IFERROR(VLOOKUP($D374,'SDDA Dogs'!$A:$AE,6,FALSE),"")</f>
        <v/>
      </c>
      <c r="K374" s="325" t="str">
        <f>IF(Advanced!AS51="","",Advanced!AS51)</f>
        <v/>
      </c>
      <c r="L374" s="325" t="str">
        <f>IF(Advanced!AT51="","",Advanced!AT51)</f>
        <v/>
      </c>
      <c r="M374" s="326" t="str">
        <f>TrialDate</f>
        <v/>
      </c>
      <c r="N374" s="325" t="str">
        <f t="shared" ref="N374" si="456">N373</f>
        <v/>
      </c>
      <c r="O374" s="325">
        <f>JudgeD1ISA</f>
        <v>0</v>
      </c>
    </row>
    <row r="375" spans="1:15" x14ac:dyDescent="0.25">
      <c r="A375" s="2">
        <v>2</v>
      </c>
      <c r="B375" s="2">
        <f t="shared" ref="B375:O375" si="457">B374</f>
        <v>0</v>
      </c>
      <c r="C375" s="2" t="str">
        <f t="shared" si="457"/>
        <v>ISA</v>
      </c>
      <c r="D375" s="2">
        <f t="shared" si="457"/>
        <v>0</v>
      </c>
      <c r="E375" s="2" t="str">
        <f t="shared" si="457"/>
        <v>A</v>
      </c>
      <c r="F375" s="2" t="str">
        <f t="shared" si="457"/>
        <v>Interior Advanced</v>
      </c>
      <c r="G375" s="2" t="str">
        <f t="shared" si="457"/>
        <v/>
      </c>
      <c r="H375" s="2" t="str">
        <f t="shared" si="457"/>
        <v/>
      </c>
      <c r="I375" s="2" t="str">
        <f t="shared" si="457"/>
        <v/>
      </c>
      <c r="J375" s="2" t="str">
        <f t="shared" si="457"/>
        <v/>
      </c>
      <c r="K375" s="2" t="str">
        <f t="shared" si="457"/>
        <v/>
      </c>
      <c r="L375" s="2" t="str">
        <f t="shared" si="457"/>
        <v/>
      </c>
      <c r="M375" s="180" t="str">
        <f t="shared" si="457"/>
        <v/>
      </c>
      <c r="N375" s="2" t="str">
        <f t="shared" si="457"/>
        <v/>
      </c>
      <c r="O375" s="2">
        <f t="shared" si="457"/>
        <v>0</v>
      </c>
    </row>
    <row r="376" spans="1:15" x14ac:dyDescent="0.25">
      <c r="A376" s="325">
        <v>1</v>
      </c>
      <c r="B376" s="325">
        <f>TrialNumber</f>
        <v>0</v>
      </c>
      <c r="C376" s="325" t="s">
        <v>19</v>
      </c>
      <c r="D376" s="325">
        <f>Advanced!C52</f>
        <v>0</v>
      </c>
      <c r="E376" s="325" t="str">
        <f>IF(Advanced!B52="W","W","A")</f>
        <v>A</v>
      </c>
      <c r="F376" s="325" t="s">
        <v>1738</v>
      </c>
      <c r="G376" s="325" t="str">
        <f>IF(Advanced!O52="e","Y","")</f>
        <v/>
      </c>
      <c r="H376" s="325" t="str">
        <f>IFERROR(VLOOKUP($D376,'SDDA Dogs'!$A:$AE,2,FALSE),"")</f>
        <v/>
      </c>
      <c r="I376" s="325" t="str">
        <f>IFERROR(VLOOKUP($D376,'SDDA Dogs'!$A:$AE,3,FALSE),"")</f>
        <v/>
      </c>
      <c r="J376" s="325" t="str">
        <f>IFERROR(VLOOKUP($D376,'SDDA Dogs'!$A:$AE,6,FALSE),"")</f>
        <v/>
      </c>
      <c r="K376" s="325" t="str">
        <f>IF(Advanced!AS52="","",Advanced!AS52)</f>
        <v/>
      </c>
      <c r="L376" s="325" t="str">
        <f>IF(Advanced!AT52="","",Advanced!AT52)</f>
        <v/>
      </c>
      <c r="M376" s="326" t="str">
        <f>TrialDate</f>
        <v/>
      </c>
      <c r="N376" s="325" t="str">
        <f t="shared" ref="N376" si="458">N375</f>
        <v/>
      </c>
      <c r="O376" s="325">
        <f>JudgeD1ISA</f>
        <v>0</v>
      </c>
    </row>
    <row r="377" spans="1:15" x14ac:dyDescent="0.25">
      <c r="A377" s="2">
        <v>2</v>
      </c>
      <c r="B377" s="2">
        <f t="shared" ref="B377:O377" si="459">B376</f>
        <v>0</v>
      </c>
      <c r="C377" s="2" t="str">
        <f t="shared" si="459"/>
        <v>ISA</v>
      </c>
      <c r="D377" s="2">
        <f t="shared" si="459"/>
        <v>0</v>
      </c>
      <c r="E377" s="2" t="str">
        <f t="shared" si="459"/>
        <v>A</v>
      </c>
      <c r="F377" s="2" t="str">
        <f t="shared" si="459"/>
        <v>Interior Advanced</v>
      </c>
      <c r="G377" s="2" t="str">
        <f t="shared" si="459"/>
        <v/>
      </c>
      <c r="H377" s="2" t="str">
        <f t="shared" si="459"/>
        <v/>
      </c>
      <c r="I377" s="2" t="str">
        <f t="shared" si="459"/>
        <v/>
      </c>
      <c r="J377" s="2" t="str">
        <f t="shared" si="459"/>
        <v/>
      </c>
      <c r="K377" s="2" t="str">
        <f t="shared" si="459"/>
        <v/>
      </c>
      <c r="L377" s="2" t="str">
        <f t="shared" si="459"/>
        <v/>
      </c>
      <c r="M377" s="180" t="str">
        <f t="shared" si="459"/>
        <v/>
      </c>
      <c r="N377" s="2" t="str">
        <f t="shared" si="459"/>
        <v/>
      </c>
      <c r="O377" s="2">
        <f t="shared" si="459"/>
        <v>0</v>
      </c>
    </row>
    <row r="378" spans="1:15" x14ac:dyDescent="0.25">
      <c r="A378" s="325">
        <v>1</v>
      </c>
      <c r="B378" s="325">
        <f>TrialNumber</f>
        <v>0</v>
      </c>
      <c r="C378" s="325" t="s">
        <v>19</v>
      </c>
      <c r="D378" s="325">
        <f>Advanced!C53</f>
        <v>0</v>
      </c>
      <c r="E378" s="325" t="str">
        <f>IF(Advanced!B53="W","W","A")</f>
        <v>A</v>
      </c>
      <c r="F378" s="325" t="s">
        <v>1738</v>
      </c>
      <c r="G378" s="325" t="str">
        <f>IF(Advanced!O53="e","Y","")</f>
        <v/>
      </c>
      <c r="H378" s="325" t="str">
        <f>IFERROR(VLOOKUP($D378,'SDDA Dogs'!$A:$AE,2,FALSE),"")</f>
        <v/>
      </c>
      <c r="I378" s="325" t="str">
        <f>IFERROR(VLOOKUP($D378,'SDDA Dogs'!$A:$AE,3,FALSE),"")</f>
        <v/>
      </c>
      <c r="J378" s="325" t="str">
        <f>IFERROR(VLOOKUP($D378,'SDDA Dogs'!$A:$AE,6,FALSE),"")</f>
        <v/>
      </c>
      <c r="K378" s="325" t="str">
        <f>IF(Advanced!AS53="","",Advanced!AS53)</f>
        <v/>
      </c>
      <c r="L378" s="325" t="str">
        <f>IF(Advanced!AT53="","",Advanced!AT53)</f>
        <v/>
      </c>
      <c r="M378" s="326" t="str">
        <f>TrialDate</f>
        <v/>
      </c>
      <c r="N378" s="325" t="str">
        <f t="shared" ref="N378" si="460">N377</f>
        <v/>
      </c>
      <c r="O378" s="325">
        <f>JudgeD1ISA</f>
        <v>0</v>
      </c>
    </row>
    <row r="379" spans="1:15" x14ac:dyDescent="0.25">
      <c r="A379" s="2">
        <v>2</v>
      </c>
      <c r="B379" s="2">
        <f t="shared" ref="B379:O379" si="461">B378</f>
        <v>0</v>
      </c>
      <c r="C379" s="2" t="str">
        <f t="shared" si="461"/>
        <v>ISA</v>
      </c>
      <c r="D379" s="2">
        <f t="shared" si="461"/>
        <v>0</v>
      </c>
      <c r="E379" s="2" t="str">
        <f t="shared" si="461"/>
        <v>A</v>
      </c>
      <c r="F379" s="2" t="str">
        <f t="shared" si="461"/>
        <v>Interior Advanced</v>
      </c>
      <c r="G379" s="2" t="str">
        <f t="shared" si="461"/>
        <v/>
      </c>
      <c r="H379" s="2" t="str">
        <f t="shared" si="461"/>
        <v/>
      </c>
      <c r="I379" s="2" t="str">
        <f t="shared" si="461"/>
        <v/>
      </c>
      <c r="J379" s="2" t="str">
        <f t="shared" si="461"/>
        <v/>
      </c>
      <c r="K379" s="2" t="str">
        <f t="shared" si="461"/>
        <v/>
      </c>
      <c r="L379" s="2" t="str">
        <f t="shared" si="461"/>
        <v/>
      </c>
      <c r="M379" s="180" t="str">
        <f t="shared" si="461"/>
        <v/>
      </c>
      <c r="N379" s="2" t="str">
        <f t="shared" si="461"/>
        <v/>
      </c>
      <c r="O379" s="2">
        <f t="shared" si="461"/>
        <v>0</v>
      </c>
    </row>
    <row r="380" spans="1:15" x14ac:dyDescent="0.25">
      <c r="A380" s="325">
        <v>1</v>
      </c>
      <c r="B380" s="325">
        <f>TrialNumber</f>
        <v>0</v>
      </c>
      <c r="C380" s="325" t="s">
        <v>19</v>
      </c>
      <c r="D380" s="325">
        <f>Advanced!C54</f>
        <v>0</v>
      </c>
      <c r="E380" s="325" t="str">
        <f>IF(Advanced!B54="W","W","A")</f>
        <v>A</v>
      </c>
      <c r="F380" s="325" t="s">
        <v>1738</v>
      </c>
      <c r="G380" s="325" t="str">
        <f>IF(Advanced!O54="e","Y","")</f>
        <v/>
      </c>
      <c r="H380" s="325" t="str">
        <f>IFERROR(VLOOKUP($D380,'SDDA Dogs'!$A:$AE,2,FALSE),"")</f>
        <v/>
      </c>
      <c r="I380" s="325" t="str">
        <f>IFERROR(VLOOKUP($D380,'SDDA Dogs'!$A:$AE,3,FALSE),"")</f>
        <v/>
      </c>
      <c r="J380" s="325" t="str">
        <f>IFERROR(VLOOKUP($D380,'SDDA Dogs'!$A:$AE,6,FALSE),"")</f>
        <v/>
      </c>
      <c r="K380" s="325" t="str">
        <f>IF(Advanced!AS54="","",Advanced!AS54)</f>
        <v/>
      </c>
      <c r="L380" s="325" t="str">
        <f>IF(Advanced!AT54="","",Advanced!AT54)</f>
        <v/>
      </c>
      <c r="M380" s="326" t="str">
        <f>TrialDate</f>
        <v/>
      </c>
      <c r="N380" s="325" t="str">
        <f t="shared" ref="N380" si="462">N379</f>
        <v/>
      </c>
      <c r="O380" s="325">
        <f>JudgeD1ISA</f>
        <v>0</v>
      </c>
    </row>
    <row r="381" spans="1:15" x14ac:dyDescent="0.25">
      <c r="A381" s="2">
        <v>2</v>
      </c>
      <c r="B381" s="2">
        <f t="shared" ref="B381:O381" si="463">B380</f>
        <v>0</v>
      </c>
      <c r="C381" s="2" t="str">
        <f t="shared" si="463"/>
        <v>ISA</v>
      </c>
      <c r="D381" s="2">
        <f t="shared" si="463"/>
        <v>0</v>
      </c>
      <c r="E381" s="2" t="str">
        <f t="shared" si="463"/>
        <v>A</v>
      </c>
      <c r="F381" s="2" t="str">
        <f t="shared" si="463"/>
        <v>Interior Advanced</v>
      </c>
      <c r="G381" s="2" t="str">
        <f t="shared" si="463"/>
        <v/>
      </c>
      <c r="H381" s="2" t="str">
        <f t="shared" si="463"/>
        <v/>
      </c>
      <c r="I381" s="2" t="str">
        <f t="shared" si="463"/>
        <v/>
      </c>
      <c r="J381" s="2" t="str">
        <f t="shared" si="463"/>
        <v/>
      </c>
      <c r="K381" s="2" t="str">
        <f t="shared" si="463"/>
        <v/>
      </c>
      <c r="L381" s="2" t="str">
        <f t="shared" si="463"/>
        <v/>
      </c>
      <c r="M381" s="180" t="str">
        <f t="shared" si="463"/>
        <v/>
      </c>
      <c r="N381" s="2" t="str">
        <f t="shared" si="463"/>
        <v/>
      </c>
      <c r="O381" s="2">
        <f t="shared" si="463"/>
        <v>0</v>
      </c>
    </row>
    <row r="382" spans="1:15" x14ac:dyDescent="0.25">
      <c r="A382" s="329">
        <v>1</v>
      </c>
      <c r="B382" s="329">
        <f>TrialNumber</f>
        <v>0</v>
      </c>
      <c r="C382" s="329" t="s">
        <v>20</v>
      </c>
      <c r="D382" s="329">
        <f>Advanced!C5</f>
        <v>0</v>
      </c>
      <c r="E382" s="329" t="str">
        <f>IF(Advanced!B5="W","W","A")</f>
        <v>A</v>
      </c>
      <c r="F382" s="329" t="s">
        <v>1739</v>
      </c>
      <c r="G382" s="329" t="str">
        <f>IF(Advanced!W5="e","Y","")</f>
        <v/>
      </c>
      <c r="H382" s="329" t="str">
        <f>IFERROR(VLOOKUP($D382,'SDDA Dogs'!$A:$AE,2,FALSE),"")</f>
        <v/>
      </c>
      <c r="I382" s="329" t="str">
        <f>IFERROR(VLOOKUP($D382,'SDDA Dogs'!$A:$AE,3,FALSE),"")</f>
        <v/>
      </c>
      <c r="J382" s="329" t="str">
        <f>IFERROR(VLOOKUP($D382,'SDDA Dogs'!$A:$AE,6,FALSE),"")</f>
        <v/>
      </c>
      <c r="K382" s="329" t="str">
        <f>IF(Advanced!AS5="","",Advanced!AS5)</f>
        <v/>
      </c>
      <c r="L382" s="329" t="str">
        <f>IF(Advanced!AT5="","",Advanced!AT5)</f>
        <v/>
      </c>
      <c r="M382" s="330" t="str">
        <f>TrialDate</f>
        <v/>
      </c>
      <c r="N382" s="325" t="str">
        <f t="shared" ref="N382" si="464">N381</f>
        <v/>
      </c>
      <c r="O382" s="329">
        <f>JudgeD1ESA</f>
        <v>0</v>
      </c>
    </row>
    <row r="383" spans="1:15" x14ac:dyDescent="0.25">
      <c r="A383" s="2">
        <v>2</v>
      </c>
      <c r="B383" s="2">
        <f t="shared" ref="B383:O419" si="465">B382</f>
        <v>0</v>
      </c>
      <c r="C383" s="2" t="str">
        <f t="shared" si="465"/>
        <v>ESA</v>
      </c>
      <c r="D383" s="2">
        <f t="shared" si="465"/>
        <v>0</v>
      </c>
      <c r="E383" s="2" t="str">
        <f t="shared" si="465"/>
        <v>A</v>
      </c>
      <c r="F383" s="2" t="str">
        <f t="shared" si="465"/>
        <v>Exterior Advanced</v>
      </c>
      <c r="G383" s="2" t="str">
        <f t="shared" si="465"/>
        <v/>
      </c>
      <c r="H383" s="2" t="str">
        <f t="shared" si="465"/>
        <v/>
      </c>
      <c r="I383" s="2" t="str">
        <f t="shared" si="465"/>
        <v/>
      </c>
      <c r="J383" s="2" t="str">
        <f t="shared" si="465"/>
        <v/>
      </c>
      <c r="K383" s="2" t="str">
        <f t="shared" si="465"/>
        <v/>
      </c>
      <c r="L383" s="2" t="str">
        <f t="shared" si="465"/>
        <v/>
      </c>
      <c r="M383" s="180" t="str">
        <f t="shared" si="465"/>
        <v/>
      </c>
      <c r="N383" s="2" t="str">
        <f t="shared" ref="N383" si="466">N382</f>
        <v/>
      </c>
      <c r="O383" s="2">
        <f t="shared" si="465"/>
        <v>0</v>
      </c>
    </row>
    <row r="384" spans="1:15" x14ac:dyDescent="0.25">
      <c r="A384" s="325">
        <v>1</v>
      </c>
      <c r="B384" s="325">
        <f>TrialNumber</f>
        <v>0</v>
      </c>
      <c r="C384" s="325" t="s">
        <v>20</v>
      </c>
      <c r="D384" s="325">
        <f>Advanced!C6</f>
        <v>0</v>
      </c>
      <c r="E384" s="325" t="str">
        <f>IF(Advanced!B6="W","W","A")</f>
        <v>A</v>
      </c>
      <c r="F384" s="325" t="s">
        <v>1739</v>
      </c>
      <c r="G384" s="325" t="str">
        <f>IF(Advanced!W6="e","Y","")</f>
        <v/>
      </c>
      <c r="H384" s="325" t="str">
        <f>IFERROR(VLOOKUP($D384,'SDDA Dogs'!$A:$AE,2,FALSE),"")</f>
        <v/>
      </c>
      <c r="I384" s="325" t="str">
        <f>IFERROR(VLOOKUP($D384,'SDDA Dogs'!$A:$AE,3,FALSE),"")</f>
        <v/>
      </c>
      <c r="J384" s="325" t="str">
        <f>IFERROR(VLOOKUP($D384,'SDDA Dogs'!$A:$AE,6,FALSE),"")</f>
        <v/>
      </c>
      <c r="K384" s="325" t="str">
        <f>IF(Advanced!AS6="","",Advanced!AS6)</f>
        <v/>
      </c>
      <c r="L384" s="325" t="str">
        <f>IF(Advanced!AT6="","",Advanced!AT6)</f>
        <v/>
      </c>
      <c r="M384" s="326" t="str">
        <f>TrialDate</f>
        <v/>
      </c>
      <c r="N384" s="325" t="str">
        <f t="shared" ref="N384" si="467">N383</f>
        <v/>
      </c>
      <c r="O384" s="325">
        <f>JudgeD1ESA</f>
        <v>0</v>
      </c>
    </row>
    <row r="385" spans="1:15" x14ac:dyDescent="0.25">
      <c r="A385" s="2">
        <v>2</v>
      </c>
      <c r="B385" s="2">
        <f t="shared" si="465"/>
        <v>0</v>
      </c>
      <c r="C385" s="2" t="str">
        <f t="shared" si="465"/>
        <v>ESA</v>
      </c>
      <c r="D385" s="2">
        <f t="shared" si="465"/>
        <v>0</v>
      </c>
      <c r="E385" s="2" t="str">
        <f t="shared" si="465"/>
        <v>A</v>
      </c>
      <c r="F385" s="2" t="str">
        <f t="shared" si="465"/>
        <v>Exterior Advanced</v>
      </c>
      <c r="G385" s="2" t="str">
        <f t="shared" si="465"/>
        <v/>
      </c>
      <c r="H385" s="2" t="str">
        <f t="shared" si="465"/>
        <v/>
      </c>
      <c r="I385" s="2" t="str">
        <f t="shared" si="465"/>
        <v/>
      </c>
      <c r="J385" s="2" t="str">
        <f t="shared" si="465"/>
        <v/>
      </c>
      <c r="K385" s="2" t="str">
        <f t="shared" si="465"/>
        <v/>
      </c>
      <c r="L385" s="2" t="str">
        <f t="shared" si="465"/>
        <v/>
      </c>
      <c r="M385" s="180" t="str">
        <f t="shared" si="465"/>
        <v/>
      </c>
      <c r="N385" s="2" t="str">
        <f t="shared" ref="N385" si="468">N384</f>
        <v/>
      </c>
      <c r="O385" s="2">
        <f t="shared" si="465"/>
        <v>0</v>
      </c>
    </row>
    <row r="386" spans="1:15" x14ac:dyDescent="0.25">
      <c r="A386" s="325">
        <v>1</v>
      </c>
      <c r="B386" s="325">
        <f>TrialNumber</f>
        <v>0</v>
      </c>
      <c r="C386" s="325" t="s">
        <v>20</v>
      </c>
      <c r="D386" s="325">
        <f>Advanced!C7</f>
        <v>0</v>
      </c>
      <c r="E386" s="325" t="str">
        <f>IF(Advanced!B7="W","W","A")</f>
        <v>A</v>
      </c>
      <c r="F386" s="325" t="s">
        <v>1739</v>
      </c>
      <c r="G386" s="325" t="str">
        <f>IF(Advanced!W7="e","Y","")</f>
        <v/>
      </c>
      <c r="H386" s="325" t="str">
        <f>IFERROR(VLOOKUP($D386,'SDDA Dogs'!$A:$AE,2,FALSE),"")</f>
        <v/>
      </c>
      <c r="I386" s="325" t="str">
        <f>IFERROR(VLOOKUP($D386,'SDDA Dogs'!$A:$AE,3,FALSE),"")</f>
        <v/>
      </c>
      <c r="J386" s="325" t="str">
        <f>IFERROR(VLOOKUP($D386,'SDDA Dogs'!$A:$AE,6,FALSE),"")</f>
        <v/>
      </c>
      <c r="K386" s="325" t="str">
        <f>IF(Advanced!AS7="","",Advanced!AS7)</f>
        <v/>
      </c>
      <c r="L386" s="325" t="str">
        <f>IF(Advanced!AT7="","",Advanced!AT7)</f>
        <v/>
      </c>
      <c r="M386" s="326" t="str">
        <f>TrialDate</f>
        <v/>
      </c>
      <c r="N386" s="325" t="str">
        <f t="shared" ref="N386" si="469">N385</f>
        <v/>
      </c>
      <c r="O386" s="325">
        <f>JudgeD1ESA</f>
        <v>0</v>
      </c>
    </row>
    <row r="387" spans="1:15" x14ac:dyDescent="0.25">
      <c r="A387" s="2">
        <v>2</v>
      </c>
      <c r="B387" s="2">
        <f t="shared" si="465"/>
        <v>0</v>
      </c>
      <c r="C387" s="2" t="str">
        <f t="shared" si="465"/>
        <v>ESA</v>
      </c>
      <c r="D387" s="2">
        <f t="shared" si="465"/>
        <v>0</v>
      </c>
      <c r="E387" s="2" t="str">
        <f t="shared" si="465"/>
        <v>A</v>
      </c>
      <c r="F387" s="2" t="str">
        <f t="shared" si="465"/>
        <v>Exterior Advanced</v>
      </c>
      <c r="G387" s="2" t="str">
        <f t="shared" si="465"/>
        <v/>
      </c>
      <c r="H387" s="2" t="str">
        <f t="shared" si="465"/>
        <v/>
      </c>
      <c r="I387" s="2" t="str">
        <f t="shared" si="465"/>
        <v/>
      </c>
      <c r="J387" s="2" t="str">
        <f t="shared" si="465"/>
        <v/>
      </c>
      <c r="K387" s="2" t="str">
        <f t="shared" si="465"/>
        <v/>
      </c>
      <c r="L387" s="2" t="str">
        <f t="shared" si="465"/>
        <v/>
      </c>
      <c r="M387" s="180" t="str">
        <f t="shared" si="465"/>
        <v/>
      </c>
      <c r="N387" s="2" t="str">
        <f t="shared" ref="N387" si="470">N386</f>
        <v/>
      </c>
      <c r="O387" s="2">
        <f t="shared" si="465"/>
        <v>0</v>
      </c>
    </row>
    <row r="388" spans="1:15" x14ac:dyDescent="0.25">
      <c r="A388" s="325">
        <v>1</v>
      </c>
      <c r="B388" s="325">
        <f>TrialNumber</f>
        <v>0</v>
      </c>
      <c r="C388" s="325" t="s">
        <v>20</v>
      </c>
      <c r="D388" s="325">
        <f>Advanced!C8</f>
        <v>0</v>
      </c>
      <c r="E388" s="325" t="str">
        <f>IF(Advanced!B8="W","W","A")</f>
        <v>A</v>
      </c>
      <c r="F388" s="325" t="s">
        <v>1739</v>
      </c>
      <c r="G388" s="325" t="str">
        <f>IF(Advanced!W8="e","Y","")</f>
        <v/>
      </c>
      <c r="H388" s="325" t="str">
        <f>IFERROR(VLOOKUP($D388,'SDDA Dogs'!$A:$AE,2,FALSE),"")</f>
        <v/>
      </c>
      <c r="I388" s="325" t="str">
        <f>IFERROR(VLOOKUP($D388,'SDDA Dogs'!$A:$AE,3,FALSE),"")</f>
        <v/>
      </c>
      <c r="J388" s="325" t="str">
        <f>IFERROR(VLOOKUP($D388,'SDDA Dogs'!$A:$AE,6,FALSE),"")</f>
        <v/>
      </c>
      <c r="K388" s="325" t="str">
        <f>IF(Advanced!AS8="","",Advanced!AS8)</f>
        <v/>
      </c>
      <c r="L388" s="325" t="str">
        <f>IF(Advanced!AT8="","",Advanced!AT8)</f>
        <v/>
      </c>
      <c r="M388" s="326" t="str">
        <f>TrialDate</f>
        <v/>
      </c>
      <c r="N388" s="325" t="str">
        <f t="shared" ref="N388" si="471">N387</f>
        <v/>
      </c>
      <c r="O388" s="325">
        <f>JudgeD1ESA</f>
        <v>0</v>
      </c>
    </row>
    <row r="389" spans="1:15" x14ac:dyDescent="0.25">
      <c r="A389" s="2">
        <v>2</v>
      </c>
      <c r="B389" s="2">
        <f t="shared" si="465"/>
        <v>0</v>
      </c>
      <c r="C389" s="2" t="str">
        <f t="shared" si="465"/>
        <v>ESA</v>
      </c>
      <c r="D389" s="2">
        <f t="shared" si="465"/>
        <v>0</v>
      </c>
      <c r="E389" s="2" t="str">
        <f t="shared" si="465"/>
        <v>A</v>
      </c>
      <c r="F389" s="2" t="str">
        <f t="shared" si="465"/>
        <v>Exterior Advanced</v>
      </c>
      <c r="G389" s="2" t="str">
        <f t="shared" si="465"/>
        <v/>
      </c>
      <c r="H389" s="2" t="str">
        <f t="shared" si="465"/>
        <v/>
      </c>
      <c r="I389" s="2" t="str">
        <f t="shared" si="465"/>
        <v/>
      </c>
      <c r="J389" s="2" t="str">
        <f t="shared" si="465"/>
        <v/>
      </c>
      <c r="K389" s="2" t="str">
        <f t="shared" si="465"/>
        <v/>
      </c>
      <c r="L389" s="2" t="str">
        <f t="shared" si="465"/>
        <v/>
      </c>
      <c r="M389" s="180" t="str">
        <f t="shared" si="465"/>
        <v/>
      </c>
      <c r="N389" s="2" t="str">
        <f t="shared" ref="N389" si="472">N388</f>
        <v/>
      </c>
      <c r="O389" s="2">
        <f t="shared" si="465"/>
        <v>0</v>
      </c>
    </row>
    <row r="390" spans="1:15" x14ac:dyDescent="0.25">
      <c r="A390" s="325">
        <v>1</v>
      </c>
      <c r="B390" s="325">
        <f>TrialNumber</f>
        <v>0</v>
      </c>
      <c r="C390" s="325" t="s">
        <v>20</v>
      </c>
      <c r="D390" s="325">
        <f>Advanced!C9</f>
        <v>0</v>
      </c>
      <c r="E390" s="325" t="str">
        <f>IF(Advanced!B9="W","W","A")</f>
        <v>A</v>
      </c>
      <c r="F390" s="325" t="s">
        <v>1739</v>
      </c>
      <c r="G390" s="325" t="str">
        <f>IF(Advanced!W9="e","Y","")</f>
        <v/>
      </c>
      <c r="H390" s="325" t="str">
        <f>IFERROR(VLOOKUP($D390,'SDDA Dogs'!$A:$AE,2,FALSE),"")</f>
        <v/>
      </c>
      <c r="I390" s="325" t="str">
        <f>IFERROR(VLOOKUP($D390,'SDDA Dogs'!$A:$AE,3,FALSE),"")</f>
        <v/>
      </c>
      <c r="J390" s="325" t="str">
        <f>IFERROR(VLOOKUP($D390,'SDDA Dogs'!$A:$AE,6,FALSE),"")</f>
        <v/>
      </c>
      <c r="K390" s="325" t="str">
        <f>IF(Advanced!AS9="","",Advanced!AS9)</f>
        <v/>
      </c>
      <c r="L390" s="325" t="str">
        <f>IF(Advanced!AT9="","",Advanced!AT9)</f>
        <v/>
      </c>
      <c r="M390" s="326" t="str">
        <f>TrialDate</f>
        <v/>
      </c>
      <c r="N390" s="325" t="str">
        <f t="shared" ref="N390" si="473">N389</f>
        <v/>
      </c>
      <c r="O390" s="325">
        <f>JudgeD1ESA</f>
        <v>0</v>
      </c>
    </row>
    <row r="391" spans="1:15" x14ac:dyDescent="0.25">
      <c r="A391" s="2">
        <v>2</v>
      </c>
      <c r="B391" s="2">
        <f t="shared" si="465"/>
        <v>0</v>
      </c>
      <c r="C391" s="2" t="str">
        <f t="shared" si="465"/>
        <v>ESA</v>
      </c>
      <c r="D391" s="2">
        <f t="shared" si="465"/>
        <v>0</v>
      </c>
      <c r="E391" s="2" t="str">
        <f t="shared" si="465"/>
        <v>A</v>
      </c>
      <c r="F391" s="2" t="str">
        <f t="shared" si="465"/>
        <v>Exterior Advanced</v>
      </c>
      <c r="G391" s="2" t="str">
        <f t="shared" si="465"/>
        <v/>
      </c>
      <c r="H391" s="2" t="str">
        <f t="shared" si="465"/>
        <v/>
      </c>
      <c r="I391" s="2" t="str">
        <f t="shared" si="465"/>
        <v/>
      </c>
      <c r="J391" s="2" t="str">
        <f t="shared" si="465"/>
        <v/>
      </c>
      <c r="K391" s="2" t="str">
        <f t="shared" si="465"/>
        <v/>
      </c>
      <c r="L391" s="2" t="str">
        <f t="shared" si="465"/>
        <v/>
      </c>
      <c r="M391" s="180" t="str">
        <f t="shared" si="465"/>
        <v/>
      </c>
      <c r="N391" s="2" t="str">
        <f t="shared" ref="N391" si="474">N390</f>
        <v/>
      </c>
      <c r="O391" s="2">
        <f t="shared" si="465"/>
        <v>0</v>
      </c>
    </row>
    <row r="392" spans="1:15" x14ac:dyDescent="0.25">
      <c r="A392" s="325">
        <v>1</v>
      </c>
      <c r="B392" s="325">
        <f>TrialNumber</f>
        <v>0</v>
      </c>
      <c r="C392" s="325" t="s">
        <v>20</v>
      </c>
      <c r="D392" s="325">
        <f>Advanced!C10</f>
        <v>0</v>
      </c>
      <c r="E392" s="325" t="str">
        <f>IF(Advanced!B10="W","W","A")</f>
        <v>A</v>
      </c>
      <c r="F392" s="325" t="s">
        <v>1739</v>
      </c>
      <c r="G392" s="325" t="str">
        <f>IF(Advanced!W10="e","Y","")</f>
        <v/>
      </c>
      <c r="H392" s="325" t="str">
        <f>IFERROR(VLOOKUP($D392,'SDDA Dogs'!$A:$AE,2,FALSE),"")</f>
        <v/>
      </c>
      <c r="I392" s="325" t="str">
        <f>IFERROR(VLOOKUP($D392,'SDDA Dogs'!$A:$AE,3,FALSE),"")</f>
        <v/>
      </c>
      <c r="J392" s="325" t="str">
        <f>IFERROR(VLOOKUP($D392,'SDDA Dogs'!$A:$AE,6,FALSE),"")</f>
        <v/>
      </c>
      <c r="K392" s="325" t="str">
        <f>IF(Advanced!AS10="","",Advanced!AS10)</f>
        <v/>
      </c>
      <c r="L392" s="325" t="str">
        <f>IF(Advanced!AT10="","",Advanced!AT10)</f>
        <v/>
      </c>
      <c r="M392" s="326" t="str">
        <f>TrialDate</f>
        <v/>
      </c>
      <c r="N392" s="325" t="str">
        <f t="shared" ref="N392" si="475">N391</f>
        <v/>
      </c>
      <c r="O392" s="325">
        <f>JudgeD1ESA</f>
        <v>0</v>
      </c>
    </row>
    <row r="393" spans="1:15" x14ac:dyDescent="0.25">
      <c r="A393" s="2">
        <v>2</v>
      </c>
      <c r="B393" s="2">
        <f t="shared" si="465"/>
        <v>0</v>
      </c>
      <c r="C393" s="2" t="str">
        <f t="shared" si="465"/>
        <v>ESA</v>
      </c>
      <c r="D393" s="2">
        <f t="shared" si="465"/>
        <v>0</v>
      </c>
      <c r="E393" s="2" t="str">
        <f t="shared" si="465"/>
        <v>A</v>
      </c>
      <c r="F393" s="2" t="str">
        <f t="shared" si="465"/>
        <v>Exterior Advanced</v>
      </c>
      <c r="G393" s="2" t="str">
        <f t="shared" si="465"/>
        <v/>
      </c>
      <c r="H393" s="2" t="str">
        <f t="shared" si="465"/>
        <v/>
      </c>
      <c r="I393" s="2" t="str">
        <f t="shared" si="465"/>
        <v/>
      </c>
      <c r="J393" s="2" t="str">
        <f t="shared" si="465"/>
        <v/>
      </c>
      <c r="K393" s="2" t="str">
        <f t="shared" si="465"/>
        <v/>
      </c>
      <c r="L393" s="2" t="str">
        <f t="shared" si="465"/>
        <v/>
      </c>
      <c r="M393" s="180" t="str">
        <f t="shared" si="465"/>
        <v/>
      </c>
      <c r="N393" s="2" t="str">
        <f t="shared" ref="N393" si="476">N392</f>
        <v/>
      </c>
      <c r="O393" s="2">
        <f t="shared" si="465"/>
        <v>0</v>
      </c>
    </row>
    <row r="394" spans="1:15" x14ac:dyDescent="0.25">
      <c r="A394" s="325">
        <v>1</v>
      </c>
      <c r="B394" s="325">
        <f>TrialNumber</f>
        <v>0</v>
      </c>
      <c r="C394" s="325" t="s">
        <v>20</v>
      </c>
      <c r="D394" s="325">
        <f>Advanced!C11</f>
        <v>0</v>
      </c>
      <c r="E394" s="325" t="str">
        <f>IF(Advanced!B11="W","W","A")</f>
        <v>A</v>
      </c>
      <c r="F394" s="325" t="s">
        <v>1739</v>
      </c>
      <c r="G394" s="325" t="str">
        <f>IF(Advanced!W11="e","Y","")</f>
        <v/>
      </c>
      <c r="H394" s="325" t="str">
        <f>IFERROR(VLOOKUP($D394,'SDDA Dogs'!$A:$AE,2,FALSE),"")</f>
        <v/>
      </c>
      <c r="I394" s="325" t="str">
        <f>IFERROR(VLOOKUP($D394,'SDDA Dogs'!$A:$AE,3,FALSE),"")</f>
        <v/>
      </c>
      <c r="J394" s="325" t="str">
        <f>IFERROR(VLOOKUP($D394,'SDDA Dogs'!$A:$AE,6,FALSE),"")</f>
        <v/>
      </c>
      <c r="K394" s="325" t="str">
        <f>IF(Advanced!AS11="","",Advanced!AS11)</f>
        <v/>
      </c>
      <c r="L394" s="325" t="str">
        <f>IF(Advanced!AT11="","",Advanced!AT11)</f>
        <v/>
      </c>
      <c r="M394" s="326" t="str">
        <f>TrialDate</f>
        <v/>
      </c>
      <c r="N394" s="325" t="str">
        <f t="shared" ref="N394" si="477">N393</f>
        <v/>
      </c>
      <c r="O394" s="325">
        <f>JudgeD1ESA</f>
        <v>0</v>
      </c>
    </row>
    <row r="395" spans="1:15" x14ac:dyDescent="0.25">
      <c r="A395" s="2">
        <v>2</v>
      </c>
      <c r="B395" s="2">
        <f t="shared" si="465"/>
        <v>0</v>
      </c>
      <c r="C395" s="2" t="str">
        <f t="shared" si="465"/>
        <v>ESA</v>
      </c>
      <c r="D395" s="2">
        <f t="shared" si="465"/>
        <v>0</v>
      </c>
      <c r="E395" s="2" t="str">
        <f t="shared" si="465"/>
        <v>A</v>
      </c>
      <c r="F395" s="2" t="str">
        <f t="shared" si="465"/>
        <v>Exterior Advanced</v>
      </c>
      <c r="G395" s="2" t="str">
        <f t="shared" si="465"/>
        <v/>
      </c>
      <c r="H395" s="2" t="str">
        <f t="shared" si="465"/>
        <v/>
      </c>
      <c r="I395" s="2" t="str">
        <f t="shared" si="465"/>
        <v/>
      </c>
      <c r="J395" s="2" t="str">
        <f t="shared" si="465"/>
        <v/>
      </c>
      <c r="K395" s="2" t="str">
        <f t="shared" si="465"/>
        <v/>
      </c>
      <c r="L395" s="2" t="str">
        <f t="shared" si="465"/>
        <v/>
      </c>
      <c r="M395" s="180" t="str">
        <f t="shared" si="465"/>
        <v/>
      </c>
      <c r="N395" s="2" t="str">
        <f t="shared" ref="N395" si="478">N394</f>
        <v/>
      </c>
      <c r="O395" s="2">
        <f t="shared" si="465"/>
        <v>0</v>
      </c>
    </row>
    <row r="396" spans="1:15" x14ac:dyDescent="0.25">
      <c r="A396" s="325">
        <v>1</v>
      </c>
      <c r="B396" s="325">
        <f>TrialNumber</f>
        <v>0</v>
      </c>
      <c r="C396" s="325" t="s">
        <v>20</v>
      </c>
      <c r="D396" s="325">
        <f>Advanced!C12</f>
        <v>0</v>
      </c>
      <c r="E396" s="325" t="str">
        <f>IF(Advanced!B12="W","W","A")</f>
        <v>A</v>
      </c>
      <c r="F396" s="325" t="s">
        <v>1739</v>
      </c>
      <c r="G396" s="325" t="str">
        <f>IF(Advanced!W12="e","Y","")</f>
        <v/>
      </c>
      <c r="H396" s="325" t="str">
        <f>IFERROR(VLOOKUP($D396,'SDDA Dogs'!$A:$AE,2,FALSE),"")</f>
        <v/>
      </c>
      <c r="I396" s="325" t="str">
        <f>IFERROR(VLOOKUP($D396,'SDDA Dogs'!$A:$AE,3,FALSE),"")</f>
        <v/>
      </c>
      <c r="J396" s="325" t="str">
        <f>IFERROR(VLOOKUP($D396,'SDDA Dogs'!$A:$AE,6,FALSE),"")</f>
        <v/>
      </c>
      <c r="K396" s="325" t="str">
        <f>IF(Advanced!AS12="","",Advanced!AS12)</f>
        <v/>
      </c>
      <c r="L396" s="325" t="str">
        <f>IF(Advanced!AT12="","",Advanced!AT12)</f>
        <v/>
      </c>
      <c r="M396" s="326" t="str">
        <f>TrialDate</f>
        <v/>
      </c>
      <c r="N396" s="325" t="str">
        <f t="shared" ref="N396" si="479">N395</f>
        <v/>
      </c>
      <c r="O396" s="325">
        <f>JudgeD1ESA</f>
        <v>0</v>
      </c>
    </row>
    <row r="397" spans="1:15" x14ac:dyDescent="0.25">
      <c r="A397" s="2">
        <v>2</v>
      </c>
      <c r="B397" s="2">
        <f t="shared" si="465"/>
        <v>0</v>
      </c>
      <c r="C397" s="2" t="str">
        <f t="shared" si="465"/>
        <v>ESA</v>
      </c>
      <c r="D397" s="2">
        <f t="shared" si="465"/>
        <v>0</v>
      </c>
      <c r="E397" s="2" t="str">
        <f t="shared" si="465"/>
        <v>A</v>
      </c>
      <c r="F397" s="2" t="str">
        <f t="shared" si="465"/>
        <v>Exterior Advanced</v>
      </c>
      <c r="G397" s="2" t="str">
        <f t="shared" si="465"/>
        <v/>
      </c>
      <c r="H397" s="2" t="str">
        <f t="shared" si="465"/>
        <v/>
      </c>
      <c r="I397" s="2" t="str">
        <f t="shared" si="465"/>
        <v/>
      </c>
      <c r="J397" s="2" t="str">
        <f t="shared" si="465"/>
        <v/>
      </c>
      <c r="K397" s="2" t="str">
        <f t="shared" si="465"/>
        <v/>
      </c>
      <c r="L397" s="2" t="str">
        <f t="shared" si="465"/>
        <v/>
      </c>
      <c r="M397" s="180" t="str">
        <f t="shared" si="465"/>
        <v/>
      </c>
      <c r="N397" s="2" t="str">
        <f t="shared" ref="N397" si="480">N396</f>
        <v/>
      </c>
      <c r="O397" s="2">
        <f t="shared" si="465"/>
        <v>0</v>
      </c>
    </row>
    <row r="398" spans="1:15" x14ac:dyDescent="0.25">
      <c r="A398" s="325">
        <v>1</v>
      </c>
      <c r="B398" s="325">
        <f>TrialNumber</f>
        <v>0</v>
      </c>
      <c r="C398" s="325" t="s">
        <v>20</v>
      </c>
      <c r="D398" s="325">
        <f>Advanced!C13</f>
        <v>0</v>
      </c>
      <c r="E398" s="325" t="str">
        <f>IF(Advanced!B13="W","W","A")</f>
        <v>A</v>
      </c>
      <c r="F398" s="325" t="s">
        <v>1739</v>
      </c>
      <c r="G398" s="325" t="str">
        <f>IF(Advanced!W13="e","Y","")</f>
        <v/>
      </c>
      <c r="H398" s="325" t="str">
        <f>IFERROR(VLOOKUP($D398,'SDDA Dogs'!$A:$AE,2,FALSE),"")</f>
        <v/>
      </c>
      <c r="I398" s="325" t="str">
        <f>IFERROR(VLOOKUP($D398,'SDDA Dogs'!$A:$AE,3,FALSE),"")</f>
        <v/>
      </c>
      <c r="J398" s="325" t="str">
        <f>IFERROR(VLOOKUP($D398,'SDDA Dogs'!$A:$AE,6,FALSE),"")</f>
        <v/>
      </c>
      <c r="K398" s="325" t="str">
        <f>IF(Advanced!AS13="","",Advanced!AS13)</f>
        <v/>
      </c>
      <c r="L398" s="325" t="str">
        <f>IF(Advanced!AT13="","",Advanced!AT13)</f>
        <v/>
      </c>
      <c r="M398" s="326" t="str">
        <f>TrialDate</f>
        <v/>
      </c>
      <c r="N398" s="325" t="str">
        <f t="shared" ref="N398" si="481">N397</f>
        <v/>
      </c>
      <c r="O398" s="325">
        <f>JudgeD1ESA</f>
        <v>0</v>
      </c>
    </row>
    <row r="399" spans="1:15" x14ac:dyDescent="0.25">
      <c r="A399" s="2">
        <v>2</v>
      </c>
      <c r="B399" s="2">
        <f t="shared" si="465"/>
        <v>0</v>
      </c>
      <c r="C399" s="2" t="str">
        <f t="shared" si="465"/>
        <v>ESA</v>
      </c>
      <c r="D399" s="2">
        <f t="shared" si="465"/>
        <v>0</v>
      </c>
      <c r="E399" s="2" t="str">
        <f t="shared" si="465"/>
        <v>A</v>
      </c>
      <c r="F399" s="2" t="str">
        <f t="shared" si="465"/>
        <v>Exterior Advanced</v>
      </c>
      <c r="G399" s="2" t="str">
        <f t="shared" si="465"/>
        <v/>
      </c>
      <c r="H399" s="2" t="str">
        <f t="shared" si="465"/>
        <v/>
      </c>
      <c r="I399" s="2" t="str">
        <f t="shared" si="465"/>
        <v/>
      </c>
      <c r="J399" s="2" t="str">
        <f t="shared" si="465"/>
        <v/>
      </c>
      <c r="K399" s="2" t="str">
        <f t="shared" si="465"/>
        <v/>
      </c>
      <c r="L399" s="2" t="str">
        <f t="shared" si="465"/>
        <v/>
      </c>
      <c r="M399" s="180" t="str">
        <f t="shared" si="465"/>
        <v/>
      </c>
      <c r="N399" s="2" t="str">
        <f t="shared" ref="N399" si="482">N398</f>
        <v/>
      </c>
      <c r="O399" s="2">
        <f t="shared" si="465"/>
        <v>0</v>
      </c>
    </row>
    <row r="400" spans="1:15" x14ac:dyDescent="0.25">
      <c r="A400" s="325">
        <v>1</v>
      </c>
      <c r="B400" s="325">
        <f>TrialNumber</f>
        <v>0</v>
      </c>
      <c r="C400" s="325" t="s">
        <v>20</v>
      </c>
      <c r="D400" s="325">
        <f>Advanced!C14</f>
        <v>0</v>
      </c>
      <c r="E400" s="325" t="str">
        <f>IF(Advanced!B14="W","W","A")</f>
        <v>A</v>
      </c>
      <c r="F400" s="325" t="s">
        <v>1739</v>
      </c>
      <c r="G400" s="325" t="str">
        <f>IF(Advanced!W14="e","Y","")</f>
        <v/>
      </c>
      <c r="H400" s="325" t="str">
        <f>IFERROR(VLOOKUP($D400,'SDDA Dogs'!$A:$AE,2,FALSE),"")</f>
        <v/>
      </c>
      <c r="I400" s="325" t="str">
        <f>IFERROR(VLOOKUP($D400,'SDDA Dogs'!$A:$AE,3,FALSE),"")</f>
        <v/>
      </c>
      <c r="J400" s="325" t="str">
        <f>IFERROR(VLOOKUP($D400,'SDDA Dogs'!$A:$AE,6,FALSE),"")</f>
        <v/>
      </c>
      <c r="K400" s="325" t="str">
        <f>IF(Advanced!AS14="","",Advanced!AS14)</f>
        <v/>
      </c>
      <c r="L400" s="325" t="str">
        <f>IF(Advanced!AT14="","",Advanced!AT14)</f>
        <v/>
      </c>
      <c r="M400" s="326" t="str">
        <f>TrialDate</f>
        <v/>
      </c>
      <c r="N400" s="325" t="str">
        <f t="shared" ref="N400" si="483">N399</f>
        <v/>
      </c>
      <c r="O400" s="325">
        <f>JudgeD1ESA</f>
        <v>0</v>
      </c>
    </row>
    <row r="401" spans="1:15" x14ac:dyDescent="0.25">
      <c r="A401" s="2">
        <v>2</v>
      </c>
      <c r="B401" s="2">
        <f t="shared" si="465"/>
        <v>0</v>
      </c>
      <c r="C401" s="2" t="str">
        <f t="shared" si="465"/>
        <v>ESA</v>
      </c>
      <c r="D401" s="2">
        <f t="shared" si="465"/>
        <v>0</v>
      </c>
      <c r="E401" s="2" t="str">
        <f t="shared" si="465"/>
        <v>A</v>
      </c>
      <c r="F401" s="2" t="str">
        <f t="shared" si="465"/>
        <v>Exterior Advanced</v>
      </c>
      <c r="G401" s="2" t="str">
        <f t="shared" si="465"/>
        <v/>
      </c>
      <c r="H401" s="2" t="str">
        <f t="shared" si="465"/>
        <v/>
      </c>
      <c r="I401" s="2" t="str">
        <f t="shared" si="465"/>
        <v/>
      </c>
      <c r="J401" s="2" t="str">
        <f t="shared" si="465"/>
        <v/>
      </c>
      <c r="K401" s="2" t="str">
        <f t="shared" si="465"/>
        <v/>
      </c>
      <c r="L401" s="2" t="str">
        <f t="shared" si="465"/>
        <v/>
      </c>
      <c r="M401" s="180" t="str">
        <f t="shared" si="465"/>
        <v/>
      </c>
      <c r="N401" s="2" t="str">
        <f t="shared" ref="N401" si="484">N400</f>
        <v/>
      </c>
      <c r="O401" s="2">
        <f t="shared" si="465"/>
        <v>0</v>
      </c>
    </row>
    <row r="402" spans="1:15" x14ac:dyDescent="0.25">
      <c r="A402" s="325">
        <v>1</v>
      </c>
      <c r="B402" s="325">
        <f>TrialNumber</f>
        <v>0</v>
      </c>
      <c r="C402" s="325" t="s">
        <v>20</v>
      </c>
      <c r="D402" s="325">
        <f>Advanced!C15</f>
        <v>0</v>
      </c>
      <c r="E402" s="325" t="str">
        <f>IF(Advanced!B15="W","W","A")</f>
        <v>A</v>
      </c>
      <c r="F402" s="325" t="s">
        <v>1739</v>
      </c>
      <c r="G402" s="325" t="str">
        <f>IF(Advanced!W15="e","Y","")</f>
        <v/>
      </c>
      <c r="H402" s="325" t="str">
        <f>IFERROR(VLOOKUP($D402,'SDDA Dogs'!$A:$AE,2,FALSE),"")</f>
        <v/>
      </c>
      <c r="I402" s="325" t="str">
        <f>IFERROR(VLOOKUP($D402,'SDDA Dogs'!$A:$AE,3,FALSE),"")</f>
        <v/>
      </c>
      <c r="J402" s="325" t="str">
        <f>IFERROR(VLOOKUP($D402,'SDDA Dogs'!$A:$AE,6,FALSE),"")</f>
        <v/>
      </c>
      <c r="K402" s="325" t="str">
        <f>IF(Advanced!AS15="","",Advanced!AS15)</f>
        <v/>
      </c>
      <c r="L402" s="325" t="str">
        <f>IF(Advanced!AT15="","",Advanced!AT15)</f>
        <v/>
      </c>
      <c r="M402" s="326" t="str">
        <f>TrialDate</f>
        <v/>
      </c>
      <c r="N402" s="325" t="str">
        <f t="shared" ref="N402" si="485">N401</f>
        <v/>
      </c>
      <c r="O402" s="325">
        <f>JudgeD1ESA</f>
        <v>0</v>
      </c>
    </row>
    <row r="403" spans="1:15" x14ac:dyDescent="0.25">
      <c r="A403" s="2">
        <v>2</v>
      </c>
      <c r="B403" s="2">
        <f t="shared" si="465"/>
        <v>0</v>
      </c>
      <c r="C403" s="2" t="str">
        <f t="shared" si="465"/>
        <v>ESA</v>
      </c>
      <c r="D403" s="2">
        <f t="shared" si="465"/>
        <v>0</v>
      </c>
      <c r="E403" s="2" t="str">
        <f t="shared" si="465"/>
        <v>A</v>
      </c>
      <c r="F403" s="2" t="str">
        <f t="shared" si="465"/>
        <v>Exterior Advanced</v>
      </c>
      <c r="G403" s="2" t="str">
        <f t="shared" si="465"/>
        <v/>
      </c>
      <c r="H403" s="2" t="str">
        <f t="shared" si="465"/>
        <v/>
      </c>
      <c r="I403" s="2" t="str">
        <f t="shared" si="465"/>
        <v/>
      </c>
      <c r="J403" s="2" t="str">
        <f t="shared" si="465"/>
        <v/>
      </c>
      <c r="K403" s="2" t="str">
        <f t="shared" si="465"/>
        <v/>
      </c>
      <c r="L403" s="2" t="str">
        <f t="shared" si="465"/>
        <v/>
      </c>
      <c r="M403" s="180" t="str">
        <f t="shared" si="465"/>
        <v/>
      </c>
      <c r="N403" s="2" t="str">
        <f t="shared" ref="N403" si="486">N402</f>
        <v/>
      </c>
      <c r="O403" s="2">
        <f t="shared" si="465"/>
        <v>0</v>
      </c>
    </row>
    <row r="404" spans="1:15" x14ac:dyDescent="0.25">
      <c r="A404" s="325">
        <v>1</v>
      </c>
      <c r="B404" s="325">
        <f>TrialNumber</f>
        <v>0</v>
      </c>
      <c r="C404" s="325" t="s">
        <v>20</v>
      </c>
      <c r="D404" s="325">
        <f>Advanced!C16</f>
        <v>0</v>
      </c>
      <c r="E404" s="325" t="str">
        <f>IF(Advanced!B16="W","W","A")</f>
        <v>A</v>
      </c>
      <c r="F404" s="325" t="s">
        <v>1739</v>
      </c>
      <c r="G404" s="325" t="str">
        <f>IF(Advanced!W16="e","Y","")</f>
        <v/>
      </c>
      <c r="H404" s="325" t="str">
        <f>IFERROR(VLOOKUP($D404,'SDDA Dogs'!$A:$AE,2,FALSE),"")</f>
        <v/>
      </c>
      <c r="I404" s="325" t="str">
        <f>IFERROR(VLOOKUP($D404,'SDDA Dogs'!$A:$AE,3,FALSE),"")</f>
        <v/>
      </c>
      <c r="J404" s="325" t="str">
        <f>IFERROR(VLOOKUP($D404,'SDDA Dogs'!$A:$AE,6,FALSE),"")</f>
        <v/>
      </c>
      <c r="K404" s="325" t="str">
        <f>IF(Advanced!AS16="","",Advanced!AS16)</f>
        <v/>
      </c>
      <c r="L404" s="325" t="str">
        <f>IF(Advanced!AT16="","",Advanced!AT16)</f>
        <v/>
      </c>
      <c r="M404" s="326" t="str">
        <f>TrialDate</f>
        <v/>
      </c>
      <c r="N404" s="325" t="str">
        <f t="shared" ref="N404" si="487">N403</f>
        <v/>
      </c>
      <c r="O404" s="325">
        <f>JudgeD1ESA</f>
        <v>0</v>
      </c>
    </row>
    <row r="405" spans="1:15" x14ac:dyDescent="0.25">
      <c r="A405" s="2">
        <v>2</v>
      </c>
      <c r="B405" s="2">
        <f t="shared" si="465"/>
        <v>0</v>
      </c>
      <c r="C405" s="2" t="str">
        <f t="shared" si="465"/>
        <v>ESA</v>
      </c>
      <c r="D405" s="2">
        <f t="shared" si="465"/>
        <v>0</v>
      </c>
      <c r="E405" s="2" t="str">
        <f t="shared" si="465"/>
        <v>A</v>
      </c>
      <c r="F405" s="2" t="str">
        <f t="shared" si="465"/>
        <v>Exterior Advanced</v>
      </c>
      <c r="G405" s="2" t="str">
        <f t="shared" si="465"/>
        <v/>
      </c>
      <c r="H405" s="2" t="str">
        <f t="shared" si="465"/>
        <v/>
      </c>
      <c r="I405" s="2" t="str">
        <f t="shared" si="465"/>
        <v/>
      </c>
      <c r="J405" s="2" t="str">
        <f t="shared" si="465"/>
        <v/>
      </c>
      <c r="K405" s="2" t="str">
        <f t="shared" si="465"/>
        <v/>
      </c>
      <c r="L405" s="2" t="str">
        <f t="shared" si="465"/>
        <v/>
      </c>
      <c r="M405" s="180" t="str">
        <f t="shared" si="465"/>
        <v/>
      </c>
      <c r="N405" s="2" t="str">
        <f t="shared" ref="N405" si="488">N404</f>
        <v/>
      </c>
      <c r="O405" s="2">
        <f t="shared" si="465"/>
        <v>0</v>
      </c>
    </row>
    <row r="406" spans="1:15" x14ac:dyDescent="0.25">
      <c r="A406" s="325">
        <v>1</v>
      </c>
      <c r="B406" s="325">
        <f>TrialNumber</f>
        <v>0</v>
      </c>
      <c r="C406" s="325" t="s">
        <v>20</v>
      </c>
      <c r="D406" s="325">
        <f>Advanced!C17</f>
        <v>0</v>
      </c>
      <c r="E406" s="325" t="str">
        <f>IF(Advanced!B17="W","W","A")</f>
        <v>A</v>
      </c>
      <c r="F406" s="325" t="s">
        <v>1739</v>
      </c>
      <c r="G406" s="325" t="str">
        <f>IF(Advanced!W17="e","Y","")</f>
        <v/>
      </c>
      <c r="H406" s="325" t="str">
        <f>IFERROR(VLOOKUP($D406,'SDDA Dogs'!$A:$AE,2,FALSE),"")</f>
        <v/>
      </c>
      <c r="I406" s="325" t="str">
        <f>IFERROR(VLOOKUP($D406,'SDDA Dogs'!$A:$AE,3,FALSE),"")</f>
        <v/>
      </c>
      <c r="J406" s="325" t="str">
        <f>IFERROR(VLOOKUP($D406,'SDDA Dogs'!$A:$AE,6,FALSE),"")</f>
        <v/>
      </c>
      <c r="K406" s="325" t="str">
        <f>IF(Advanced!AS17="","",Advanced!AS17)</f>
        <v/>
      </c>
      <c r="L406" s="325" t="str">
        <f>IF(Advanced!AT17="","",Advanced!AT17)</f>
        <v/>
      </c>
      <c r="M406" s="326" t="str">
        <f>TrialDate</f>
        <v/>
      </c>
      <c r="N406" s="325" t="str">
        <f t="shared" ref="N406" si="489">N405</f>
        <v/>
      </c>
      <c r="O406" s="325">
        <f>JudgeD1ESA</f>
        <v>0</v>
      </c>
    </row>
    <row r="407" spans="1:15" x14ac:dyDescent="0.25">
      <c r="A407" s="2">
        <v>2</v>
      </c>
      <c r="B407" s="2">
        <f t="shared" si="465"/>
        <v>0</v>
      </c>
      <c r="C407" s="2" t="str">
        <f t="shared" si="465"/>
        <v>ESA</v>
      </c>
      <c r="D407" s="2">
        <f t="shared" si="465"/>
        <v>0</v>
      </c>
      <c r="E407" s="2" t="str">
        <f t="shared" si="465"/>
        <v>A</v>
      </c>
      <c r="F407" s="2" t="str">
        <f t="shared" si="465"/>
        <v>Exterior Advanced</v>
      </c>
      <c r="G407" s="2" t="str">
        <f t="shared" si="465"/>
        <v/>
      </c>
      <c r="H407" s="2" t="str">
        <f t="shared" si="465"/>
        <v/>
      </c>
      <c r="I407" s="2" t="str">
        <f t="shared" si="465"/>
        <v/>
      </c>
      <c r="J407" s="2" t="str">
        <f t="shared" si="465"/>
        <v/>
      </c>
      <c r="K407" s="2" t="str">
        <f t="shared" si="465"/>
        <v/>
      </c>
      <c r="L407" s="2" t="str">
        <f t="shared" si="465"/>
        <v/>
      </c>
      <c r="M407" s="180" t="str">
        <f t="shared" si="465"/>
        <v/>
      </c>
      <c r="N407" s="2" t="str">
        <f t="shared" ref="N407" si="490">N406</f>
        <v/>
      </c>
      <c r="O407" s="2">
        <f t="shared" si="465"/>
        <v>0</v>
      </c>
    </row>
    <row r="408" spans="1:15" x14ac:dyDescent="0.25">
      <c r="A408" s="325">
        <v>1</v>
      </c>
      <c r="B408" s="325">
        <f>TrialNumber</f>
        <v>0</v>
      </c>
      <c r="C408" s="325" t="s">
        <v>20</v>
      </c>
      <c r="D408" s="325">
        <f>Advanced!C18</f>
        <v>0</v>
      </c>
      <c r="E408" s="325" t="str">
        <f>IF(Advanced!B18="W","W","A")</f>
        <v>A</v>
      </c>
      <c r="F408" s="325" t="s">
        <v>1739</v>
      </c>
      <c r="G408" s="325" t="str">
        <f>IF(Advanced!W18="e","Y","")</f>
        <v/>
      </c>
      <c r="H408" s="325" t="str">
        <f>IFERROR(VLOOKUP($D408,'SDDA Dogs'!$A:$AE,2,FALSE),"")</f>
        <v/>
      </c>
      <c r="I408" s="325" t="str">
        <f>IFERROR(VLOOKUP($D408,'SDDA Dogs'!$A:$AE,3,FALSE),"")</f>
        <v/>
      </c>
      <c r="J408" s="325" t="str">
        <f>IFERROR(VLOOKUP($D408,'SDDA Dogs'!$A:$AE,6,FALSE),"")</f>
        <v/>
      </c>
      <c r="K408" s="325" t="str">
        <f>IF(Advanced!AS18="","",Advanced!AS18)</f>
        <v/>
      </c>
      <c r="L408" s="325" t="str">
        <f>IF(Advanced!AT18="","",Advanced!AT18)</f>
        <v/>
      </c>
      <c r="M408" s="326" t="str">
        <f>TrialDate</f>
        <v/>
      </c>
      <c r="N408" s="325" t="str">
        <f t="shared" ref="N408" si="491">N407</f>
        <v/>
      </c>
      <c r="O408" s="325">
        <f>JudgeD1ESA</f>
        <v>0</v>
      </c>
    </row>
    <row r="409" spans="1:15" x14ac:dyDescent="0.25">
      <c r="A409" s="2">
        <v>2</v>
      </c>
      <c r="B409" s="2">
        <f t="shared" si="465"/>
        <v>0</v>
      </c>
      <c r="C409" s="2" t="str">
        <f t="shared" si="465"/>
        <v>ESA</v>
      </c>
      <c r="D409" s="2">
        <f t="shared" si="465"/>
        <v>0</v>
      </c>
      <c r="E409" s="2" t="str">
        <f t="shared" si="465"/>
        <v>A</v>
      </c>
      <c r="F409" s="2" t="str">
        <f t="shared" si="465"/>
        <v>Exterior Advanced</v>
      </c>
      <c r="G409" s="2" t="str">
        <f t="shared" si="465"/>
        <v/>
      </c>
      <c r="H409" s="2" t="str">
        <f t="shared" si="465"/>
        <v/>
      </c>
      <c r="I409" s="2" t="str">
        <f t="shared" si="465"/>
        <v/>
      </c>
      <c r="J409" s="2" t="str">
        <f t="shared" si="465"/>
        <v/>
      </c>
      <c r="K409" s="2" t="str">
        <f t="shared" si="465"/>
        <v/>
      </c>
      <c r="L409" s="2" t="str">
        <f t="shared" si="465"/>
        <v/>
      </c>
      <c r="M409" s="180" t="str">
        <f t="shared" si="465"/>
        <v/>
      </c>
      <c r="N409" s="2" t="str">
        <f t="shared" ref="N409" si="492">N408</f>
        <v/>
      </c>
      <c r="O409" s="2">
        <f t="shared" si="465"/>
        <v>0</v>
      </c>
    </row>
    <row r="410" spans="1:15" x14ac:dyDescent="0.25">
      <c r="A410" s="325">
        <v>1</v>
      </c>
      <c r="B410" s="325">
        <f>TrialNumber</f>
        <v>0</v>
      </c>
      <c r="C410" s="325" t="s">
        <v>20</v>
      </c>
      <c r="D410" s="325">
        <f>Advanced!C19</f>
        <v>0</v>
      </c>
      <c r="E410" s="325" t="str">
        <f>IF(Advanced!B19="W","W","A")</f>
        <v>A</v>
      </c>
      <c r="F410" s="325" t="s">
        <v>1739</v>
      </c>
      <c r="G410" s="325" t="str">
        <f>IF(Advanced!W19="e","Y","")</f>
        <v/>
      </c>
      <c r="H410" s="325" t="str">
        <f>IFERROR(VLOOKUP($D410,'SDDA Dogs'!$A:$AE,2,FALSE),"")</f>
        <v/>
      </c>
      <c r="I410" s="325" t="str">
        <f>IFERROR(VLOOKUP($D410,'SDDA Dogs'!$A:$AE,3,FALSE),"")</f>
        <v/>
      </c>
      <c r="J410" s="325" t="str">
        <f>IFERROR(VLOOKUP($D410,'SDDA Dogs'!$A:$AE,6,FALSE),"")</f>
        <v/>
      </c>
      <c r="K410" s="325" t="str">
        <f>IF(Advanced!AS19="","",Advanced!AS19)</f>
        <v/>
      </c>
      <c r="L410" s="325" t="str">
        <f>IF(Advanced!AT19="","",Advanced!AT19)</f>
        <v/>
      </c>
      <c r="M410" s="326" t="str">
        <f>TrialDate</f>
        <v/>
      </c>
      <c r="N410" s="325" t="str">
        <f t="shared" ref="N410" si="493">N409</f>
        <v/>
      </c>
      <c r="O410" s="325">
        <f>JudgeD1ESA</f>
        <v>0</v>
      </c>
    </row>
    <row r="411" spans="1:15" x14ac:dyDescent="0.25">
      <c r="A411" s="2">
        <v>2</v>
      </c>
      <c r="B411" s="2">
        <f t="shared" si="465"/>
        <v>0</v>
      </c>
      <c r="C411" s="2" t="str">
        <f t="shared" si="465"/>
        <v>ESA</v>
      </c>
      <c r="D411" s="2">
        <f t="shared" si="465"/>
        <v>0</v>
      </c>
      <c r="E411" s="2" t="str">
        <f t="shared" si="465"/>
        <v>A</v>
      </c>
      <c r="F411" s="2" t="str">
        <f t="shared" si="465"/>
        <v>Exterior Advanced</v>
      </c>
      <c r="G411" s="2" t="str">
        <f t="shared" si="465"/>
        <v/>
      </c>
      <c r="H411" s="2" t="str">
        <f t="shared" si="465"/>
        <v/>
      </c>
      <c r="I411" s="2" t="str">
        <f t="shared" si="465"/>
        <v/>
      </c>
      <c r="J411" s="2" t="str">
        <f t="shared" si="465"/>
        <v/>
      </c>
      <c r="K411" s="2" t="str">
        <f t="shared" si="465"/>
        <v/>
      </c>
      <c r="L411" s="2" t="str">
        <f t="shared" si="465"/>
        <v/>
      </c>
      <c r="M411" s="180" t="str">
        <f t="shared" si="465"/>
        <v/>
      </c>
      <c r="N411" s="2" t="str">
        <f t="shared" ref="N411" si="494">N410</f>
        <v/>
      </c>
      <c r="O411" s="2">
        <f t="shared" si="465"/>
        <v>0</v>
      </c>
    </row>
    <row r="412" spans="1:15" x14ac:dyDescent="0.25">
      <c r="A412" s="325">
        <v>1</v>
      </c>
      <c r="B412" s="325">
        <f>TrialNumber</f>
        <v>0</v>
      </c>
      <c r="C412" s="325" t="s">
        <v>20</v>
      </c>
      <c r="D412" s="325">
        <f>Advanced!C20</f>
        <v>0</v>
      </c>
      <c r="E412" s="325" t="str">
        <f>IF(Advanced!B20="W","W","A")</f>
        <v>A</v>
      </c>
      <c r="F412" s="325" t="s">
        <v>1739</v>
      </c>
      <c r="G412" s="325" t="str">
        <f>IF(Advanced!W20="e","Y","")</f>
        <v/>
      </c>
      <c r="H412" s="325" t="str">
        <f>IFERROR(VLOOKUP($D412,'SDDA Dogs'!$A:$AE,2,FALSE),"")</f>
        <v/>
      </c>
      <c r="I412" s="325" t="str">
        <f>IFERROR(VLOOKUP($D412,'SDDA Dogs'!$A:$AE,3,FALSE),"")</f>
        <v/>
      </c>
      <c r="J412" s="325" t="str">
        <f>IFERROR(VLOOKUP($D412,'SDDA Dogs'!$A:$AE,6,FALSE),"")</f>
        <v/>
      </c>
      <c r="K412" s="325" t="str">
        <f>IF(Advanced!AS20="","",Advanced!AS20)</f>
        <v/>
      </c>
      <c r="L412" s="325" t="str">
        <f>IF(Advanced!AT20="","",Advanced!AT20)</f>
        <v/>
      </c>
      <c r="M412" s="326" t="str">
        <f>TrialDate</f>
        <v/>
      </c>
      <c r="N412" s="325" t="str">
        <f t="shared" ref="N412" si="495">N411</f>
        <v/>
      </c>
      <c r="O412" s="325">
        <f>JudgeD1ESA</f>
        <v>0</v>
      </c>
    </row>
    <row r="413" spans="1:15" x14ac:dyDescent="0.25">
      <c r="A413" s="2">
        <v>2</v>
      </c>
      <c r="B413" s="2">
        <f t="shared" si="465"/>
        <v>0</v>
      </c>
      <c r="C413" s="2" t="str">
        <f t="shared" si="465"/>
        <v>ESA</v>
      </c>
      <c r="D413" s="2">
        <f t="shared" si="465"/>
        <v>0</v>
      </c>
      <c r="E413" s="2" t="str">
        <f t="shared" si="465"/>
        <v>A</v>
      </c>
      <c r="F413" s="2" t="str">
        <f t="shared" si="465"/>
        <v>Exterior Advanced</v>
      </c>
      <c r="G413" s="2" t="str">
        <f t="shared" si="465"/>
        <v/>
      </c>
      <c r="H413" s="2" t="str">
        <f t="shared" si="465"/>
        <v/>
      </c>
      <c r="I413" s="2" t="str">
        <f t="shared" si="465"/>
        <v/>
      </c>
      <c r="J413" s="2" t="str">
        <f t="shared" si="465"/>
        <v/>
      </c>
      <c r="K413" s="2" t="str">
        <f t="shared" si="465"/>
        <v/>
      </c>
      <c r="L413" s="2" t="str">
        <f t="shared" si="465"/>
        <v/>
      </c>
      <c r="M413" s="180" t="str">
        <f t="shared" si="465"/>
        <v/>
      </c>
      <c r="N413" s="2" t="str">
        <f t="shared" ref="N413" si="496">N412</f>
        <v/>
      </c>
      <c r="O413" s="2">
        <f t="shared" si="465"/>
        <v>0</v>
      </c>
    </row>
    <row r="414" spans="1:15" x14ac:dyDescent="0.25">
      <c r="A414" s="325">
        <v>1</v>
      </c>
      <c r="B414" s="325">
        <f>TrialNumber</f>
        <v>0</v>
      </c>
      <c r="C414" s="325" t="s">
        <v>20</v>
      </c>
      <c r="D414" s="325">
        <f>Advanced!C21</f>
        <v>0</v>
      </c>
      <c r="E414" s="325" t="str">
        <f>IF(Advanced!B21="W","W","A")</f>
        <v>A</v>
      </c>
      <c r="F414" s="325" t="s">
        <v>1739</v>
      </c>
      <c r="G414" s="325" t="str">
        <f>IF(Advanced!W21="e","Y","")</f>
        <v/>
      </c>
      <c r="H414" s="325" t="str">
        <f>IFERROR(VLOOKUP($D414,'SDDA Dogs'!$A:$AE,2,FALSE),"")</f>
        <v/>
      </c>
      <c r="I414" s="325" t="str">
        <f>IFERROR(VLOOKUP($D414,'SDDA Dogs'!$A:$AE,3,FALSE),"")</f>
        <v/>
      </c>
      <c r="J414" s="325" t="str">
        <f>IFERROR(VLOOKUP($D414,'SDDA Dogs'!$A:$AE,6,FALSE),"")</f>
        <v/>
      </c>
      <c r="K414" s="325" t="str">
        <f>IF(Advanced!AS21="","",Advanced!AS21)</f>
        <v/>
      </c>
      <c r="L414" s="325" t="str">
        <f>IF(Advanced!AT21="","",Advanced!AT21)</f>
        <v/>
      </c>
      <c r="M414" s="326" t="str">
        <f>TrialDate</f>
        <v/>
      </c>
      <c r="N414" s="325" t="str">
        <f t="shared" ref="N414" si="497">N413</f>
        <v/>
      </c>
      <c r="O414" s="325">
        <f>JudgeD1ESA</f>
        <v>0</v>
      </c>
    </row>
    <row r="415" spans="1:15" x14ac:dyDescent="0.25">
      <c r="A415" s="2">
        <v>2</v>
      </c>
      <c r="B415" s="2">
        <f t="shared" si="465"/>
        <v>0</v>
      </c>
      <c r="C415" s="2" t="str">
        <f t="shared" si="465"/>
        <v>ESA</v>
      </c>
      <c r="D415" s="2">
        <f t="shared" si="465"/>
        <v>0</v>
      </c>
      <c r="E415" s="2" t="str">
        <f t="shared" si="465"/>
        <v>A</v>
      </c>
      <c r="F415" s="2" t="str">
        <f t="shared" si="465"/>
        <v>Exterior Advanced</v>
      </c>
      <c r="G415" s="2" t="str">
        <f t="shared" si="465"/>
        <v/>
      </c>
      <c r="H415" s="2" t="str">
        <f t="shared" si="465"/>
        <v/>
      </c>
      <c r="I415" s="2" t="str">
        <f t="shared" si="465"/>
        <v/>
      </c>
      <c r="J415" s="2" t="str">
        <f t="shared" si="465"/>
        <v/>
      </c>
      <c r="K415" s="2" t="str">
        <f t="shared" si="465"/>
        <v/>
      </c>
      <c r="L415" s="2" t="str">
        <f t="shared" si="465"/>
        <v/>
      </c>
      <c r="M415" s="180" t="str">
        <f t="shared" si="465"/>
        <v/>
      </c>
      <c r="N415" s="2" t="str">
        <f t="shared" ref="N415" si="498">N414</f>
        <v/>
      </c>
      <c r="O415" s="2">
        <f t="shared" si="465"/>
        <v>0</v>
      </c>
    </row>
    <row r="416" spans="1:15" x14ac:dyDescent="0.25">
      <c r="A416" s="325">
        <v>1</v>
      </c>
      <c r="B416" s="325">
        <f>TrialNumber</f>
        <v>0</v>
      </c>
      <c r="C416" s="325" t="s">
        <v>20</v>
      </c>
      <c r="D416" s="325">
        <f>Advanced!C22</f>
        <v>0</v>
      </c>
      <c r="E416" s="325" t="str">
        <f>IF(Advanced!B22="W","W","A")</f>
        <v>A</v>
      </c>
      <c r="F416" s="325" t="s">
        <v>1739</v>
      </c>
      <c r="G416" s="325" t="str">
        <f>IF(Advanced!W22="e","Y","")</f>
        <v/>
      </c>
      <c r="H416" s="325" t="str">
        <f>IFERROR(VLOOKUP($D416,'SDDA Dogs'!$A:$AE,2,FALSE),"")</f>
        <v/>
      </c>
      <c r="I416" s="325" t="str">
        <f>IFERROR(VLOOKUP($D416,'SDDA Dogs'!$A:$AE,3,FALSE),"")</f>
        <v/>
      </c>
      <c r="J416" s="325" t="str">
        <f>IFERROR(VLOOKUP($D416,'SDDA Dogs'!$A:$AE,6,FALSE),"")</f>
        <v/>
      </c>
      <c r="K416" s="325" t="str">
        <f>IF(Advanced!AS22="","",Advanced!AS22)</f>
        <v/>
      </c>
      <c r="L416" s="325" t="str">
        <f>IF(Advanced!AT22="","",Advanced!AT22)</f>
        <v/>
      </c>
      <c r="M416" s="326" t="str">
        <f>TrialDate</f>
        <v/>
      </c>
      <c r="N416" s="325" t="str">
        <f t="shared" ref="N416" si="499">N415</f>
        <v/>
      </c>
      <c r="O416" s="325">
        <f>JudgeD1ESA</f>
        <v>0</v>
      </c>
    </row>
    <row r="417" spans="1:15" x14ac:dyDescent="0.25">
      <c r="A417" s="2">
        <v>2</v>
      </c>
      <c r="B417" s="2">
        <f t="shared" si="465"/>
        <v>0</v>
      </c>
      <c r="C417" s="2" t="str">
        <f t="shared" si="465"/>
        <v>ESA</v>
      </c>
      <c r="D417" s="2">
        <f t="shared" si="465"/>
        <v>0</v>
      </c>
      <c r="E417" s="2" t="str">
        <f t="shared" si="465"/>
        <v>A</v>
      </c>
      <c r="F417" s="2" t="str">
        <f t="shared" si="465"/>
        <v>Exterior Advanced</v>
      </c>
      <c r="G417" s="2" t="str">
        <f t="shared" si="465"/>
        <v/>
      </c>
      <c r="H417" s="2" t="str">
        <f t="shared" si="465"/>
        <v/>
      </c>
      <c r="I417" s="2" t="str">
        <f t="shared" si="465"/>
        <v/>
      </c>
      <c r="J417" s="2" t="str">
        <f t="shared" si="465"/>
        <v/>
      </c>
      <c r="K417" s="2" t="str">
        <f t="shared" si="465"/>
        <v/>
      </c>
      <c r="L417" s="2" t="str">
        <f t="shared" si="465"/>
        <v/>
      </c>
      <c r="M417" s="180" t="str">
        <f t="shared" si="465"/>
        <v/>
      </c>
      <c r="N417" s="2" t="str">
        <f t="shared" ref="N417" si="500">N416</f>
        <v/>
      </c>
      <c r="O417" s="2">
        <f t="shared" si="465"/>
        <v>0</v>
      </c>
    </row>
    <row r="418" spans="1:15" x14ac:dyDescent="0.25">
      <c r="A418" s="325">
        <v>1</v>
      </c>
      <c r="B418" s="325">
        <f>TrialNumber</f>
        <v>0</v>
      </c>
      <c r="C418" s="325" t="s">
        <v>20</v>
      </c>
      <c r="D418" s="325">
        <f>Advanced!C23</f>
        <v>0</v>
      </c>
      <c r="E418" s="325" t="str">
        <f>IF(Advanced!B23="W","W","A")</f>
        <v>A</v>
      </c>
      <c r="F418" s="325" t="s">
        <v>1739</v>
      </c>
      <c r="G418" s="325" t="str">
        <f>IF(Advanced!W23="e","Y","")</f>
        <v/>
      </c>
      <c r="H418" s="325" t="str">
        <f>IFERROR(VLOOKUP($D418,'SDDA Dogs'!$A:$AE,2,FALSE),"")</f>
        <v/>
      </c>
      <c r="I418" s="325" t="str">
        <f>IFERROR(VLOOKUP($D418,'SDDA Dogs'!$A:$AE,3,FALSE),"")</f>
        <v/>
      </c>
      <c r="J418" s="325" t="str">
        <f>IFERROR(VLOOKUP($D418,'SDDA Dogs'!$A:$AE,6,FALSE),"")</f>
        <v/>
      </c>
      <c r="K418" s="325" t="str">
        <f>IF(Advanced!AS23="","",Advanced!AS23)</f>
        <v/>
      </c>
      <c r="L418" s="325" t="str">
        <f>IF(Advanced!AT23="","",Advanced!AT23)</f>
        <v/>
      </c>
      <c r="M418" s="326" t="str">
        <f>TrialDate</f>
        <v/>
      </c>
      <c r="N418" s="325" t="str">
        <f t="shared" ref="N418" si="501">N417</f>
        <v/>
      </c>
      <c r="O418" s="325">
        <f>JudgeD1ESA</f>
        <v>0</v>
      </c>
    </row>
    <row r="419" spans="1:15" x14ac:dyDescent="0.25">
      <c r="A419" s="2">
        <v>2</v>
      </c>
      <c r="B419" s="2">
        <f t="shared" si="465"/>
        <v>0</v>
      </c>
      <c r="C419" s="2" t="str">
        <f t="shared" si="465"/>
        <v>ESA</v>
      </c>
      <c r="D419" s="2">
        <f t="shared" si="465"/>
        <v>0</v>
      </c>
      <c r="E419" s="2" t="str">
        <f t="shared" ref="E419:O423" si="502">E418</f>
        <v>A</v>
      </c>
      <c r="F419" s="2" t="str">
        <f t="shared" si="502"/>
        <v>Exterior Advanced</v>
      </c>
      <c r="G419" s="2" t="str">
        <f t="shared" si="502"/>
        <v/>
      </c>
      <c r="H419" s="2" t="str">
        <f t="shared" si="502"/>
        <v/>
      </c>
      <c r="I419" s="2" t="str">
        <f t="shared" si="502"/>
        <v/>
      </c>
      <c r="J419" s="2" t="str">
        <f t="shared" si="502"/>
        <v/>
      </c>
      <c r="K419" s="2" t="str">
        <f t="shared" si="502"/>
        <v/>
      </c>
      <c r="L419" s="2" t="str">
        <f t="shared" si="502"/>
        <v/>
      </c>
      <c r="M419" s="180" t="str">
        <f t="shared" si="502"/>
        <v/>
      </c>
      <c r="N419" s="2" t="str">
        <f t="shared" si="502"/>
        <v/>
      </c>
      <c r="O419" s="2">
        <f t="shared" si="502"/>
        <v>0</v>
      </c>
    </row>
    <row r="420" spans="1:15" x14ac:dyDescent="0.25">
      <c r="A420" s="325">
        <v>1</v>
      </c>
      <c r="B420" s="325">
        <f>TrialNumber</f>
        <v>0</v>
      </c>
      <c r="C420" s="325" t="s">
        <v>20</v>
      </c>
      <c r="D420" s="325">
        <f>Advanced!C24</f>
        <v>0</v>
      </c>
      <c r="E420" s="325" t="str">
        <f>IF(Advanced!B24="W","W","A")</f>
        <v>A</v>
      </c>
      <c r="F420" s="325" t="s">
        <v>1739</v>
      </c>
      <c r="G420" s="325" t="str">
        <f>IF(Advanced!W24="e","Y","")</f>
        <v/>
      </c>
      <c r="H420" s="325" t="str">
        <f>IFERROR(VLOOKUP($D420,'SDDA Dogs'!$A:$AE,2,FALSE),"")</f>
        <v/>
      </c>
      <c r="I420" s="325" t="str">
        <f>IFERROR(VLOOKUP($D420,'SDDA Dogs'!$A:$AE,3,FALSE),"")</f>
        <v/>
      </c>
      <c r="J420" s="325" t="str">
        <f>IFERROR(VLOOKUP($D420,'SDDA Dogs'!$A:$AE,6,FALSE),"")</f>
        <v/>
      </c>
      <c r="K420" s="325" t="str">
        <f>IF(Advanced!AS24="","",Advanced!AS24)</f>
        <v/>
      </c>
      <c r="L420" s="325" t="str">
        <f>IF(Advanced!AT24="","",Advanced!AT24)</f>
        <v/>
      </c>
      <c r="M420" s="326" t="str">
        <f>TrialDate</f>
        <v/>
      </c>
      <c r="N420" s="325" t="str">
        <f t="shared" ref="N420" si="503">N419</f>
        <v/>
      </c>
      <c r="O420" s="325">
        <f>JudgeD1ESA</f>
        <v>0</v>
      </c>
    </row>
    <row r="421" spans="1:15" x14ac:dyDescent="0.25">
      <c r="A421" s="2">
        <v>2</v>
      </c>
      <c r="B421" s="2">
        <f t="shared" ref="B421:D423" si="504">B420</f>
        <v>0</v>
      </c>
      <c r="C421" s="2" t="str">
        <f t="shared" si="504"/>
        <v>ESA</v>
      </c>
      <c r="D421" s="2">
        <f t="shared" si="504"/>
        <v>0</v>
      </c>
      <c r="E421" s="2" t="str">
        <f t="shared" si="502"/>
        <v>A</v>
      </c>
      <c r="F421" s="2" t="str">
        <f t="shared" si="502"/>
        <v>Exterior Advanced</v>
      </c>
      <c r="G421" s="2" t="str">
        <f t="shared" si="502"/>
        <v/>
      </c>
      <c r="H421" s="2" t="str">
        <f t="shared" si="502"/>
        <v/>
      </c>
      <c r="I421" s="2" t="str">
        <f t="shared" si="502"/>
        <v/>
      </c>
      <c r="J421" s="2" t="str">
        <f t="shared" si="502"/>
        <v/>
      </c>
      <c r="K421" s="2" t="str">
        <f t="shared" si="502"/>
        <v/>
      </c>
      <c r="L421" s="2" t="str">
        <f t="shared" si="502"/>
        <v/>
      </c>
      <c r="M421" s="180" t="str">
        <f t="shared" si="502"/>
        <v/>
      </c>
      <c r="N421" s="2" t="str">
        <f t="shared" si="502"/>
        <v/>
      </c>
      <c r="O421" s="2">
        <f t="shared" si="502"/>
        <v>0</v>
      </c>
    </row>
    <row r="422" spans="1:15" x14ac:dyDescent="0.25">
      <c r="A422" s="325">
        <v>1</v>
      </c>
      <c r="B422" s="325">
        <f>TrialNumber</f>
        <v>0</v>
      </c>
      <c r="C422" s="325" t="s">
        <v>20</v>
      </c>
      <c r="D422" s="325">
        <f>Advanced!C25</f>
        <v>0</v>
      </c>
      <c r="E422" s="325" t="str">
        <f>IF(Advanced!B25="W","W","A")</f>
        <v>A</v>
      </c>
      <c r="F422" s="325" t="s">
        <v>1739</v>
      </c>
      <c r="G422" s="325" t="str">
        <f>IF(Advanced!W25="e","Y","")</f>
        <v/>
      </c>
      <c r="H422" s="325" t="str">
        <f>IFERROR(VLOOKUP($D422,'SDDA Dogs'!$A:$AE,2,FALSE),"")</f>
        <v/>
      </c>
      <c r="I422" s="325" t="str">
        <f>IFERROR(VLOOKUP($D422,'SDDA Dogs'!$A:$AE,3,FALSE),"")</f>
        <v/>
      </c>
      <c r="J422" s="325" t="str">
        <f>IFERROR(VLOOKUP($D422,'SDDA Dogs'!$A:$AE,6,FALSE),"")</f>
        <v/>
      </c>
      <c r="K422" s="325" t="str">
        <f>IF(Advanced!AS25="","",Advanced!AS25)</f>
        <v/>
      </c>
      <c r="L422" s="325" t="str">
        <f>IF(Advanced!AT25="","",Advanced!AT25)</f>
        <v/>
      </c>
      <c r="M422" s="326" t="str">
        <f>TrialDate</f>
        <v/>
      </c>
      <c r="N422" s="325" t="str">
        <f t="shared" ref="N422" si="505">N421</f>
        <v/>
      </c>
      <c r="O422" s="325">
        <f>JudgeD1ESA</f>
        <v>0</v>
      </c>
    </row>
    <row r="423" spans="1:15" x14ac:dyDescent="0.25">
      <c r="A423" s="2">
        <v>2</v>
      </c>
      <c r="B423" s="2">
        <f t="shared" si="504"/>
        <v>0</v>
      </c>
      <c r="C423" s="2" t="str">
        <f t="shared" si="504"/>
        <v>ESA</v>
      </c>
      <c r="D423" s="2">
        <f t="shared" si="504"/>
        <v>0</v>
      </c>
      <c r="E423" s="2" t="str">
        <f t="shared" si="502"/>
        <v>A</v>
      </c>
      <c r="F423" s="2" t="str">
        <f t="shared" si="502"/>
        <v>Exterior Advanced</v>
      </c>
      <c r="G423" s="2" t="str">
        <f t="shared" si="502"/>
        <v/>
      </c>
      <c r="H423" s="2" t="str">
        <f t="shared" si="502"/>
        <v/>
      </c>
      <c r="I423" s="2" t="str">
        <f t="shared" si="502"/>
        <v/>
      </c>
      <c r="J423" s="2" t="str">
        <f t="shared" si="502"/>
        <v/>
      </c>
      <c r="K423" s="2" t="str">
        <f t="shared" si="502"/>
        <v/>
      </c>
      <c r="L423" s="2" t="str">
        <f t="shared" si="502"/>
        <v/>
      </c>
      <c r="M423" s="180" t="str">
        <f t="shared" si="502"/>
        <v/>
      </c>
      <c r="N423" s="2" t="str">
        <f t="shared" si="502"/>
        <v/>
      </c>
      <c r="O423" s="2">
        <f t="shared" si="502"/>
        <v>0</v>
      </c>
    </row>
    <row r="424" spans="1:15" x14ac:dyDescent="0.25">
      <c r="A424" s="325">
        <v>1</v>
      </c>
      <c r="B424" s="325">
        <f>TrialNumber</f>
        <v>0</v>
      </c>
      <c r="C424" s="325" t="s">
        <v>20</v>
      </c>
      <c r="D424" s="325">
        <f>Advanced!C26</f>
        <v>0</v>
      </c>
      <c r="E424" s="325" t="str">
        <f>IF(Advanced!B26="W","W","A")</f>
        <v>A</v>
      </c>
      <c r="F424" s="325" t="s">
        <v>1739</v>
      </c>
      <c r="G424" s="325" t="str">
        <f>IF(Advanced!W26="e","Y","")</f>
        <v/>
      </c>
      <c r="H424" s="325" t="str">
        <f>IFERROR(VLOOKUP($D424,'SDDA Dogs'!$A:$AE,2,FALSE),"")</f>
        <v/>
      </c>
      <c r="I424" s="325" t="str">
        <f>IFERROR(VLOOKUP($D424,'SDDA Dogs'!$A:$AE,3,FALSE),"")</f>
        <v/>
      </c>
      <c r="J424" s="325" t="str">
        <f>IFERROR(VLOOKUP($D424,'SDDA Dogs'!$A:$AE,6,FALSE),"")</f>
        <v/>
      </c>
      <c r="K424" s="325" t="str">
        <f>IF(Advanced!AS26="","",Advanced!AS26)</f>
        <v/>
      </c>
      <c r="L424" s="325" t="str">
        <f>IF(Advanced!AT26="","",Advanced!AT26)</f>
        <v/>
      </c>
      <c r="M424" s="326" t="str">
        <f>TrialDate</f>
        <v/>
      </c>
      <c r="N424" s="325" t="str">
        <f t="shared" ref="N424" si="506">N423</f>
        <v/>
      </c>
      <c r="O424" s="325">
        <f>JudgeD1ESA</f>
        <v>0</v>
      </c>
    </row>
    <row r="425" spans="1:15" x14ac:dyDescent="0.25">
      <c r="A425" s="2">
        <v>2</v>
      </c>
      <c r="B425" s="2">
        <f t="shared" ref="B425:O425" si="507">B424</f>
        <v>0</v>
      </c>
      <c r="C425" s="2" t="str">
        <f t="shared" si="507"/>
        <v>ESA</v>
      </c>
      <c r="D425" s="2">
        <f t="shared" si="507"/>
        <v>0</v>
      </c>
      <c r="E425" s="2" t="str">
        <f t="shared" si="507"/>
        <v>A</v>
      </c>
      <c r="F425" s="2" t="str">
        <f t="shared" si="507"/>
        <v>Exterior Advanced</v>
      </c>
      <c r="G425" s="2" t="str">
        <f t="shared" si="507"/>
        <v/>
      </c>
      <c r="H425" s="2" t="str">
        <f t="shared" si="507"/>
        <v/>
      </c>
      <c r="I425" s="2" t="str">
        <f t="shared" si="507"/>
        <v/>
      </c>
      <c r="J425" s="2" t="str">
        <f t="shared" si="507"/>
        <v/>
      </c>
      <c r="K425" s="2" t="str">
        <f t="shared" si="507"/>
        <v/>
      </c>
      <c r="L425" s="2" t="str">
        <f t="shared" si="507"/>
        <v/>
      </c>
      <c r="M425" s="180" t="str">
        <f t="shared" si="507"/>
        <v/>
      </c>
      <c r="N425" s="2" t="str">
        <f t="shared" si="507"/>
        <v/>
      </c>
      <c r="O425" s="2">
        <f t="shared" si="507"/>
        <v>0</v>
      </c>
    </row>
    <row r="426" spans="1:15" x14ac:dyDescent="0.25">
      <c r="A426" s="325">
        <v>1</v>
      </c>
      <c r="B426" s="325">
        <f>TrialNumber</f>
        <v>0</v>
      </c>
      <c r="C426" s="325" t="s">
        <v>20</v>
      </c>
      <c r="D426" s="325">
        <f>Advanced!C27</f>
        <v>0</v>
      </c>
      <c r="E426" s="325" t="str">
        <f>IF(Advanced!B27="W","W","A")</f>
        <v>A</v>
      </c>
      <c r="F426" s="325" t="s">
        <v>1739</v>
      </c>
      <c r="G426" s="325" t="str">
        <f>IF(Advanced!W27="e","Y","")</f>
        <v/>
      </c>
      <c r="H426" s="325" t="str">
        <f>IFERROR(VLOOKUP($D426,'SDDA Dogs'!$A:$AE,2,FALSE),"")</f>
        <v/>
      </c>
      <c r="I426" s="325" t="str">
        <f>IFERROR(VLOOKUP($D426,'SDDA Dogs'!$A:$AE,3,FALSE),"")</f>
        <v/>
      </c>
      <c r="J426" s="325" t="str">
        <f>IFERROR(VLOOKUP($D426,'SDDA Dogs'!$A:$AE,6,FALSE),"")</f>
        <v/>
      </c>
      <c r="K426" s="325" t="str">
        <f>IF(Advanced!AS27="","",Advanced!AS27)</f>
        <v/>
      </c>
      <c r="L426" s="325" t="str">
        <f>IF(Advanced!AT27="","",Advanced!AT27)</f>
        <v/>
      </c>
      <c r="M426" s="326" t="str">
        <f>TrialDate</f>
        <v/>
      </c>
      <c r="N426" s="325" t="str">
        <f t="shared" ref="N426" si="508">N425</f>
        <v/>
      </c>
      <c r="O426" s="325">
        <f>JudgeD1ESA</f>
        <v>0</v>
      </c>
    </row>
    <row r="427" spans="1:15" x14ac:dyDescent="0.25">
      <c r="A427" s="2">
        <v>2</v>
      </c>
      <c r="B427" s="2">
        <f t="shared" ref="B427:O427" si="509">B426</f>
        <v>0</v>
      </c>
      <c r="C427" s="2" t="str">
        <f t="shared" si="509"/>
        <v>ESA</v>
      </c>
      <c r="D427" s="2">
        <f t="shared" si="509"/>
        <v>0</v>
      </c>
      <c r="E427" s="2" t="str">
        <f t="shared" si="509"/>
        <v>A</v>
      </c>
      <c r="F427" s="2" t="str">
        <f t="shared" si="509"/>
        <v>Exterior Advanced</v>
      </c>
      <c r="G427" s="2" t="str">
        <f t="shared" si="509"/>
        <v/>
      </c>
      <c r="H427" s="2" t="str">
        <f t="shared" si="509"/>
        <v/>
      </c>
      <c r="I427" s="2" t="str">
        <f t="shared" si="509"/>
        <v/>
      </c>
      <c r="J427" s="2" t="str">
        <f t="shared" si="509"/>
        <v/>
      </c>
      <c r="K427" s="2" t="str">
        <f t="shared" si="509"/>
        <v/>
      </c>
      <c r="L427" s="2" t="str">
        <f t="shared" si="509"/>
        <v/>
      </c>
      <c r="M427" s="180" t="str">
        <f t="shared" si="509"/>
        <v/>
      </c>
      <c r="N427" s="2" t="str">
        <f t="shared" si="509"/>
        <v/>
      </c>
      <c r="O427" s="2">
        <f t="shared" si="509"/>
        <v>0</v>
      </c>
    </row>
    <row r="428" spans="1:15" x14ac:dyDescent="0.25">
      <c r="A428" s="325">
        <v>1</v>
      </c>
      <c r="B428" s="325">
        <f>TrialNumber</f>
        <v>0</v>
      </c>
      <c r="C428" s="325" t="s">
        <v>20</v>
      </c>
      <c r="D428" s="325">
        <f>Advanced!C28</f>
        <v>0</v>
      </c>
      <c r="E428" s="325" t="str">
        <f>IF(Advanced!B28="W","W","A")</f>
        <v>A</v>
      </c>
      <c r="F428" s="325" t="s">
        <v>1739</v>
      </c>
      <c r="G428" s="325" t="str">
        <f>IF(Advanced!W28="e","Y","")</f>
        <v/>
      </c>
      <c r="H428" s="325" t="str">
        <f>IFERROR(VLOOKUP($D428,'SDDA Dogs'!$A:$AE,2,FALSE),"")</f>
        <v/>
      </c>
      <c r="I428" s="325" t="str">
        <f>IFERROR(VLOOKUP($D428,'SDDA Dogs'!$A:$AE,3,FALSE),"")</f>
        <v/>
      </c>
      <c r="J428" s="325" t="str">
        <f>IFERROR(VLOOKUP($D428,'SDDA Dogs'!$A:$AE,6,FALSE),"")</f>
        <v/>
      </c>
      <c r="K428" s="325" t="str">
        <f>IF(Advanced!AS28="","",Advanced!AS28)</f>
        <v/>
      </c>
      <c r="L428" s="325" t="str">
        <f>IF(Advanced!AT28="","",Advanced!AT28)</f>
        <v/>
      </c>
      <c r="M428" s="326" t="str">
        <f>TrialDate</f>
        <v/>
      </c>
      <c r="N428" s="325" t="str">
        <f t="shared" ref="N428" si="510">N427</f>
        <v/>
      </c>
      <c r="O428" s="325">
        <f>JudgeD1ESA</f>
        <v>0</v>
      </c>
    </row>
    <row r="429" spans="1:15" x14ac:dyDescent="0.25">
      <c r="A429" s="2">
        <v>2</v>
      </c>
      <c r="B429" s="2">
        <f t="shared" ref="B429:O429" si="511">B428</f>
        <v>0</v>
      </c>
      <c r="C429" s="2" t="str">
        <f t="shared" si="511"/>
        <v>ESA</v>
      </c>
      <c r="D429" s="2">
        <f t="shared" si="511"/>
        <v>0</v>
      </c>
      <c r="E429" s="2" t="str">
        <f t="shared" si="511"/>
        <v>A</v>
      </c>
      <c r="F429" s="2" t="str">
        <f t="shared" si="511"/>
        <v>Exterior Advanced</v>
      </c>
      <c r="G429" s="2" t="str">
        <f t="shared" si="511"/>
        <v/>
      </c>
      <c r="H429" s="2" t="str">
        <f t="shared" si="511"/>
        <v/>
      </c>
      <c r="I429" s="2" t="str">
        <f t="shared" si="511"/>
        <v/>
      </c>
      <c r="J429" s="2" t="str">
        <f t="shared" si="511"/>
        <v/>
      </c>
      <c r="K429" s="2" t="str">
        <f t="shared" si="511"/>
        <v/>
      </c>
      <c r="L429" s="2" t="str">
        <f t="shared" si="511"/>
        <v/>
      </c>
      <c r="M429" s="180" t="str">
        <f t="shared" si="511"/>
        <v/>
      </c>
      <c r="N429" s="2" t="str">
        <f t="shared" si="511"/>
        <v/>
      </c>
      <c r="O429" s="2">
        <f t="shared" si="511"/>
        <v>0</v>
      </c>
    </row>
    <row r="430" spans="1:15" x14ac:dyDescent="0.25">
      <c r="A430" s="325">
        <v>1</v>
      </c>
      <c r="B430" s="325">
        <f>TrialNumber</f>
        <v>0</v>
      </c>
      <c r="C430" s="325" t="s">
        <v>20</v>
      </c>
      <c r="D430" s="325">
        <f>Advanced!C29</f>
        <v>0</v>
      </c>
      <c r="E430" s="325" t="str">
        <f>IF(Advanced!B29="W","W","A")</f>
        <v>A</v>
      </c>
      <c r="F430" s="325" t="s">
        <v>1739</v>
      </c>
      <c r="G430" s="325" t="str">
        <f>IF(Advanced!W29="e","Y","")</f>
        <v/>
      </c>
      <c r="H430" s="325" t="str">
        <f>IFERROR(VLOOKUP($D430,'SDDA Dogs'!$A:$AE,2,FALSE),"")</f>
        <v/>
      </c>
      <c r="I430" s="325" t="str">
        <f>IFERROR(VLOOKUP($D430,'SDDA Dogs'!$A:$AE,3,FALSE),"")</f>
        <v/>
      </c>
      <c r="J430" s="325" t="str">
        <f>IFERROR(VLOOKUP($D430,'SDDA Dogs'!$A:$AE,6,FALSE),"")</f>
        <v/>
      </c>
      <c r="K430" s="325" t="str">
        <f>IF(Advanced!AS29="","",Advanced!AS29)</f>
        <v/>
      </c>
      <c r="L430" s="325" t="str">
        <f>IF(Advanced!AT29="","",Advanced!AT29)</f>
        <v/>
      </c>
      <c r="M430" s="326" t="str">
        <f>TrialDate</f>
        <v/>
      </c>
      <c r="N430" s="325" t="str">
        <f t="shared" ref="N430" si="512">N429</f>
        <v/>
      </c>
      <c r="O430" s="325">
        <f>JudgeD1ESA</f>
        <v>0</v>
      </c>
    </row>
    <row r="431" spans="1:15" x14ac:dyDescent="0.25">
      <c r="A431" s="2">
        <v>2</v>
      </c>
      <c r="B431" s="2">
        <f t="shared" ref="B431:O431" si="513">B430</f>
        <v>0</v>
      </c>
      <c r="C431" s="2" t="str">
        <f t="shared" si="513"/>
        <v>ESA</v>
      </c>
      <c r="D431" s="2">
        <f t="shared" si="513"/>
        <v>0</v>
      </c>
      <c r="E431" s="2" t="str">
        <f t="shared" si="513"/>
        <v>A</v>
      </c>
      <c r="F431" s="2" t="str">
        <f t="shared" si="513"/>
        <v>Exterior Advanced</v>
      </c>
      <c r="G431" s="2" t="str">
        <f t="shared" si="513"/>
        <v/>
      </c>
      <c r="H431" s="2" t="str">
        <f t="shared" si="513"/>
        <v/>
      </c>
      <c r="I431" s="2" t="str">
        <f t="shared" si="513"/>
        <v/>
      </c>
      <c r="J431" s="2" t="str">
        <f t="shared" si="513"/>
        <v/>
      </c>
      <c r="K431" s="2" t="str">
        <f t="shared" si="513"/>
        <v/>
      </c>
      <c r="L431" s="2" t="str">
        <f t="shared" si="513"/>
        <v/>
      </c>
      <c r="M431" s="180" t="str">
        <f t="shared" si="513"/>
        <v/>
      </c>
      <c r="N431" s="2" t="str">
        <f t="shared" si="513"/>
        <v/>
      </c>
      <c r="O431" s="2">
        <f t="shared" si="513"/>
        <v>0</v>
      </c>
    </row>
    <row r="432" spans="1:15" x14ac:dyDescent="0.25">
      <c r="A432" s="325">
        <v>1</v>
      </c>
      <c r="B432" s="325">
        <f>TrialNumber</f>
        <v>0</v>
      </c>
      <c r="C432" s="325" t="s">
        <v>20</v>
      </c>
      <c r="D432" s="325">
        <f>Advanced!C30</f>
        <v>0</v>
      </c>
      <c r="E432" s="325" t="str">
        <f>IF(Advanced!B30="W","W","A")</f>
        <v>A</v>
      </c>
      <c r="F432" s="325" t="s">
        <v>1739</v>
      </c>
      <c r="G432" s="325" t="str">
        <f>IF(Advanced!W30="e","Y","")</f>
        <v/>
      </c>
      <c r="H432" s="325" t="str">
        <f>IFERROR(VLOOKUP($D432,'SDDA Dogs'!$A:$AE,2,FALSE),"")</f>
        <v/>
      </c>
      <c r="I432" s="325" t="str">
        <f>IFERROR(VLOOKUP($D432,'SDDA Dogs'!$A:$AE,3,FALSE),"")</f>
        <v/>
      </c>
      <c r="J432" s="325" t="str">
        <f>IFERROR(VLOOKUP($D432,'SDDA Dogs'!$A:$AE,6,FALSE),"")</f>
        <v/>
      </c>
      <c r="K432" s="325" t="str">
        <f>IF(Advanced!AS30="","",Advanced!AS30)</f>
        <v/>
      </c>
      <c r="L432" s="325" t="str">
        <f>IF(Advanced!AT30="","",Advanced!AT30)</f>
        <v/>
      </c>
      <c r="M432" s="326" t="str">
        <f>TrialDate</f>
        <v/>
      </c>
      <c r="N432" s="325" t="str">
        <f t="shared" ref="N432" si="514">N431</f>
        <v/>
      </c>
      <c r="O432" s="325">
        <f>JudgeD1ESA</f>
        <v>0</v>
      </c>
    </row>
    <row r="433" spans="1:15" x14ac:dyDescent="0.25">
      <c r="A433" s="2">
        <v>2</v>
      </c>
      <c r="B433" s="2">
        <f t="shared" ref="B433:O433" si="515">B432</f>
        <v>0</v>
      </c>
      <c r="C433" s="2" t="str">
        <f t="shared" si="515"/>
        <v>ESA</v>
      </c>
      <c r="D433" s="2">
        <f t="shared" si="515"/>
        <v>0</v>
      </c>
      <c r="E433" s="2" t="str">
        <f t="shared" si="515"/>
        <v>A</v>
      </c>
      <c r="F433" s="2" t="str">
        <f t="shared" si="515"/>
        <v>Exterior Advanced</v>
      </c>
      <c r="G433" s="2" t="str">
        <f t="shared" si="515"/>
        <v/>
      </c>
      <c r="H433" s="2" t="str">
        <f t="shared" si="515"/>
        <v/>
      </c>
      <c r="I433" s="2" t="str">
        <f t="shared" si="515"/>
        <v/>
      </c>
      <c r="J433" s="2" t="str">
        <f t="shared" si="515"/>
        <v/>
      </c>
      <c r="K433" s="2" t="str">
        <f t="shared" si="515"/>
        <v/>
      </c>
      <c r="L433" s="2" t="str">
        <f t="shared" si="515"/>
        <v/>
      </c>
      <c r="M433" s="180" t="str">
        <f t="shared" si="515"/>
        <v/>
      </c>
      <c r="N433" s="2" t="str">
        <f t="shared" si="515"/>
        <v/>
      </c>
      <c r="O433" s="2">
        <f t="shared" si="515"/>
        <v>0</v>
      </c>
    </row>
    <row r="434" spans="1:15" x14ac:dyDescent="0.25">
      <c r="A434" s="325">
        <v>1</v>
      </c>
      <c r="B434" s="325">
        <f>TrialNumber</f>
        <v>0</v>
      </c>
      <c r="C434" s="325" t="s">
        <v>20</v>
      </c>
      <c r="D434" s="325">
        <f>Advanced!C31</f>
        <v>0</v>
      </c>
      <c r="E434" s="325" t="str">
        <f>IF(Advanced!B31="W","W","A")</f>
        <v>A</v>
      </c>
      <c r="F434" s="325" t="s">
        <v>1739</v>
      </c>
      <c r="G434" s="325" t="str">
        <f>IF(Advanced!W31="e","Y","")</f>
        <v/>
      </c>
      <c r="H434" s="325" t="str">
        <f>IFERROR(VLOOKUP($D434,'SDDA Dogs'!$A:$AE,2,FALSE),"")</f>
        <v/>
      </c>
      <c r="I434" s="325" t="str">
        <f>IFERROR(VLOOKUP($D434,'SDDA Dogs'!$A:$AE,3,FALSE),"")</f>
        <v/>
      </c>
      <c r="J434" s="325" t="str">
        <f>IFERROR(VLOOKUP($D434,'SDDA Dogs'!$A:$AE,6,FALSE),"")</f>
        <v/>
      </c>
      <c r="K434" s="325" t="str">
        <f>IF(Advanced!AS31="","",Advanced!AS31)</f>
        <v/>
      </c>
      <c r="L434" s="325" t="str">
        <f>IF(Advanced!AT31="","",Advanced!AT31)</f>
        <v/>
      </c>
      <c r="M434" s="326" t="str">
        <f>TrialDate</f>
        <v/>
      </c>
      <c r="N434" s="325" t="str">
        <f t="shared" ref="N434" si="516">N433</f>
        <v/>
      </c>
      <c r="O434" s="325">
        <f>JudgeD1ESA</f>
        <v>0</v>
      </c>
    </row>
    <row r="435" spans="1:15" x14ac:dyDescent="0.25">
      <c r="A435" s="2">
        <v>2</v>
      </c>
      <c r="B435" s="2">
        <f t="shared" ref="B435:O435" si="517">B434</f>
        <v>0</v>
      </c>
      <c r="C435" s="2" t="str">
        <f t="shared" si="517"/>
        <v>ESA</v>
      </c>
      <c r="D435" s="2">
        <f t="shared" si="517"/>
        <v>0</v>
      </c>
      <c r="E435" s="2" t="str">
        <f t="shared" si="517"/>
        <v>A</v>
      </c>
      <c r="F435" s="2" t="str">
        <f t="shared" si="517"/>
        <v>Exterior Advanced</v>
      </c>
      <c r="G435" s="2" t="str">
        <f t="shared" si="517"/>
        <v/>
      </c>
      <c r="H435" s="2" t="str">
        <f t="shared" si="517"/>
        <v/>
      </c>
      <c r="I435" s="2" t="str">
        <f t="shared" si="517"/>
        <v/>
      </c>
      <c r="J435" s="2" t="str">
        <f t="shared" si="517"/>
        <v/>
      </c>
      <c r="K435" s="2" t="str">
        <f t="shared" si="517"/>
        <v/>
      </c>
      <c r="L435" s="2" t="str">
        <f t="shared" si="517"/>
        <v/>
      </c>
      <c r="M435" s="180" t="str">
        <f t="shared" si="517"/>
        <v/>
      </c>
      <c r="N435" s="2" t="str">
        <f t="shared" si="517"/>
        <v/>
      </c>
      <c r="O435" s="2">
        <f t="shared" si="517"/>
        <v>0</v>
      </c>
    </row>
    <row r="436" spans="1:15" x14ac:dyDescent="0.25">
      <c r="A436" s="325">
        <v>1</v>
      </c>
      <c r="B436" s="325">
        <f>TrialNumber</f>
        <v>0</v>
      </c>
      <c r="C436" s="325" t="s">
        <v>20</v>
      </c>
      <c r="D436" s="325">
        <f>Advanced!C32</f>
        <v>0</v>
      </c>
      <c r="E436" s="325" t="str">
        <f>IF(Advanced!B32="W","W","A")</f>
        <v>A</v>
      </c>
      <c r="F436" s="325" t="s">
        <v>1739</v>
      </c>
      <c r="G436" s="325" t="str">
        <f>IF(Advanced!W32="e","Y","")</f>
        <v/>
      </c>
      <c r="H436" s="325" t="str">
        <f>IFERROR(VLOOKUP($D436,'SDDA Dogs'!$A:$AE,2,FALSE),"")</f>
        <v/>
      </c>
      <c r="I436" s="325" t="str">
        <f>IFERROR(VLOOKUP($D436,'SDDA Dogs'!$A:$AE,3,FALSE),"")</f>
        <v/>
      </c>
      <c r="J436" s="325" t="str">
        <f>IFERROR(VLOOKUP($D436,'SDDA Dogs'!$A:$AE,6,FALSE),"")</f>
        <v/>
      </c>
      <c r="K436" s="325" t="str">
        <f>IF(Advanced!AS32="","",Advanced!AS32)</f>
        <v/>
      </c>
      <c r="L436" s="325" t="str">
        <f>IF(Advanced!AT32="","",Advanced!AT32)</f>
        <v/>
      </c>
      <c r="M436" s="326" t="str">
        <f>TrialDate</f>
        <v/>
      </c>
      <c r="N436" s="325" t="str">
        <f t="shared" ref="N436" si="518">N435</f>
        <v/>
      </c>
      <c r="O436" s="325">
        <f>JudgeD1ESA</f>
        <v>0</v>
      </c>
    </row>
    <row r="437" spans="1:15" x14ac:dyDescent="0.25">
      <c r="A437" s="2">
        <v>2</v>
      </c>
      <c r="B437" s="2">
        <f t="shared" ref="B437:O437" si="519">B436</f>
        <v>0</v>
      </c>
      <c r="C437" s="2" t="str">
        <f t="shared" si="519"/>
        <v>ESA</v>
      </c>
      <c r="D437" s="2">
        <f t="shared" si="519"/>
        <v>0</v>
      </c>
      <c r="E437" s="2" t="str">
        <f t="shared" si="519"/>
        <v>A</v>
      </c>
      <c r="F437" s="2" t="str">
        <f t="shared" si="519"/>
        <v>Exterior Advanced</v>
      </c>
      <c r="G437" s="2" t="str">
        <f t="shared" si="519"/>
        <v/>
      </c>
      <c r="H437" s="2" t="str">
        <f t="shared" si="519"/>
        <v/>
      </c>
      <c r="I437" s="2" t="str">
        <f t="shared" si="519"/>
        <v/>
      </c>
      <c r="J437" s="2" t="str">
        <f t="shared" si="519"/>
        <v/>
      </c>
      <c r="K437" s="2" t="str">
        <f t="shared" si="519"/>
        <v/>
      </c>
      <c r="L437" s="2" t="str">
        <f t="shared" si="519"/>
        <v/>
      </c>
      <c r="M437" s="180" t="str">
        <f t="shared" si="519"/>
        <v/>
      </c>
      <c r="N437" s="2" t="str">
        <f t="shared" si="519"/>
        <v/>
      </c>
      <c r="O437" s="2">
        <f t="shared" si="519"/>
        <v>0</v>
      </c>
    </row>
    <row r="438" spans="1:15" x14ac:dyDescent="0.25">
      <c r="A438" s="325">
        <v>1</v>
      </c>
      <c r="B438" s="325">
        <f>TrialNumber</f>
        <v>0</v>
      </c>
      <c r="C438" s="325" t="s">
        <v>20</v>
      </c>
      <c r="D438" s="325">
        <f>Advanced!C33</f>
        <v>0</v>
      </c>
      <c r="E438" s="325" t="str">
        <f>IF(Advanced!B33="W","W","A")</f>
        <v>A</v>
      </c>
      <c r="F438" s="325" t="s">
        <v>1739</v>
      </c>
      <c r="G438" s="325" t="str">
        <f>IF(Advanced!W33="e","Y","")</f>
        <v/>
      </c>
      <c r="H438" s="325" t="str">
        <f>IFERROR(VLOOKUP($D438,'SDDA Dogs'!$A:$AE,2,FALSE),"")</f>
        <v/>
      </c>
      <c r="I438" s="325" t="str">
        <f>IFERROR(VLOOKUP($D438,'SDDA Dogs'!$A:$AE,3,FALSE),"")</f>
        <v/>
      </c>
      <c r="J438" s="325" t="str">
        <f>IFERROR(VLOOKUP($D438,'SDDA Dogs'!$A:$AE,6,FALSE),"")</f>
        <v/>
      </c>
      <c r="K438" s="325" t="str">
        <f>IF(Advanced!AS33="","",Advanced!AS33)</f>
        <v/>
      </c>
      <c r="L438" s="325" t="str">
        <f>IF(Advanced!AT33="","",Advanced!AT33)</f>
        <v/>
      </c>
      <c r="M438" s="326" t="str">
        <f>TrialDate</f>
        <v/>
      </c>
      <c r="N438" s="325" t="str">
        <f t="shared" ref="N438" si="520">N437</f>
        <v/>
      </c>
      <c r="O438" s="325">
        <f>JudgeD1ESA</f>
        <v>0</v>
      </c>
    </row>
    <row r="439" spans="1:15" x14ac:dyDescent="0.25">
      <c r="A439" s="2">
        <v>2</v>
      </c>
      <c r="B439" s="2">
        <f t="shared" ref="B439:O439" si="521">B438</f>
        <v>0</v>
      </c>
      <c r="C439" s="2" t="str">
        <f t="shared" si="521"/>
        <v>ESA</v>
      </c>
      <c r="D439" s="2">
        <f t="shared" si="521"/>
        <v>0</v>
      </c>
      <c r="E439" s="2" t="str">
        <f t="shared" si="521"/>
        <v>A</v>
      </c>
      <c r="F439" s="2" t="str">
        <f t="shared" si="521"/>
        <v>Exterior Advanced</v>
      </c>
      <c r="G439" s="2" t="str">
        <f t="shared" si="521"/>
        <v/>
      </c>
      <c r="H439" s="2" t="str">
        <f t="shared" si="521"/>
        <v/>
      </c>
      <c r="I439" s="2" t="str">
        <f t="shared" si="521"/>
        <v/>
      </c>
      <c r="J439" s="2" t="str">
        <f t="shared" si="521"/>
        <v/>
      </c>
      <c r="K439" s="2" t="str">
        <f t="shared" si="521"/>
        <v/>
      </c>
      <c r="L439" s="2" t="str">
        <f t="shared" si="521"/>
        <v/>
      </c>
      <c r="M439" s="180" t="str">
        <f t="shared" si="521"/>
        <v/>
      </c>
      <c r="N439" s="2" t="str">
        <f t="shared" si="521"/>
        <v/>
      </c>
      <c r="O439" s="2">
        <f t="shared" si="521"/>
        <v>0</v>
      </c>
    </row>
    <row r="440" spans="1:15" x14ac:dyDescent="0.25">
      <c r="A440" s="325">
        <v>1</v>
      </c>
      <c r="B440" s="325">
        <f>TrialNumber</f>
        <v>0</v>
      </c>
      <c r="C440" s="325" t="s">
        <v>20</v>
      </c>
      <c r="D440" s="325">
        <f>Advanced!C34</f>
        <v>0</v>
      </c>
      <c r="E440" s="325" t="str">
        <f>IF(Advanced!B34="W","W","A")</f>
        <v>A</v>
      </c>
      <c r="F440" s="325" t="s">
        <v>1739</v>
      </c>
      <c r="G440" s="325" t="str">
        <f>IF(Advanced!W34="e","Y","")</f>
        <v/>
      </c>
      <c r="H440" s="325" t="str">
        <f>IFERROR(VLOOKUP($D440,'SDDA Dogs'!$A:$AE,2,FALSE),"")</f>
        <v/>
      </c>
      <c r="I440" s="325" t="str">
        <f>IFERROR(VLOOKUP($D440,'SDDA Dogs'!$A:$AE,3,FALSE),"")</f>
        <v/>
      </c>
      <c r="J440" s="325" t="str">
        <f>IFERROR(VLOOKUP($D440,'SDDA Dogs'!$A:$AE,6,FALSE),"")</f>
        <v/>
      </c>
      <c r="K440" s="325" t="str">
        <f>IF(Advanced!AS34="","",Advanced!AS34)</f>
        <v/>
      </c>
      <c r="L440" s="325" t="str">
        <f>IF(Advanced!AT34="","",Advanced!AT34)</f>
        <v/>
      </c>
      <c r="M440" s="326" t="str">
        <f>TrialDate</f>
        <v/>
      </c>
      <c r="N440" s="325" t="str">
        <f t="shared" ref="N440" si="522">N439</f>
        <v/>
      </c>
      <c r="O440" s="325">
        <f>JudgeD1ESA</f>
        <v>0</v>
      </c>
    </row>
    <row r="441" spans="1:15" x14ac:dyDescent="0.25">
      <c r="A441" s="2">
        <v>2</v>
      </c>
      <c r="B441" s="2">
        <f t="shared" ref="B441:O441" si="523">B440</f>
        <v>0</v>
      </c>
      <c r="C441" s="2" t="str">
        <f t="shared" si="523"/>
        <v>ESA</v>
      </c>
      <c r="D441" s="2">
        <f t="shared" si="523"/>
        <v>0</v>
      </c>
      <c r="E441" s="2" t="str">
        <f t="shared" si="523"/>
        <v>A</v>
      </c>
      <c r="F441" s="2" t="str">
        <f t="shared" si="523"/>
        <v>Exterior Advanced</v>
      </c>
      <c r="G441" s="2" t="str">
        <f t="shared" si="523"/>
        <v/>
      </c>
      <c r="H441" s="2" t="str">
        <f t="shared" si="523"/>
        <v/>
      </c>
      <c r="I441" s="2" t="str">
        <f t="shared" si="523"/>
        <v/>
      </c>
      <c r="J441" s="2" t="str">
        <f t="shared" si="523"/>
        <v/>
      </c>
      <c r="K441" s="2" t="str">
        <f t="shared" si="523"/>
        <v/>
      </c>
      <c r="L441" s="2" t="str">
        <f t="shared" si="523"/>
        <v/>
      </c>
      <c r="M441" s="180" t="str">
        <f t="shared" si="523"/>
        <v/>
      </c>
      <c r="N441" s="2" t="str">
        <f t="shared" si="523"/>
        <v/>
      </c>
      <c r="O441" s="2">
        <f t="shared" si="523"/>
        <v>0</v>
      </c>
    </row>
    <row r="442" spans="1:15" x14ac:dyDescent="0.25">
      <c r="A442" s="325">
        <v>1</v>
      </c>
      <c r="B442" s="325">
        <f>TrialNumber</f>
        <v>0</v>
      </c>
      <c r="C442" s="325" t="s">
        <v>20</v>
      </c>
      <c r="D442" s="325">
        <f>Advanced!C35</f>
        <v>0</v>
      </c>
      <c r="E442" s="325" t="str">
        <f>IF(Advanced!B35="W","W","A")</f>
        <v>A</v>
      </c>
      <c r="F442" s="325" t="s">
        <v>1739</v>
      </c>
      <c r="G442" s="325" t="str">
        <f>IF(Advanced!W35="e","Y","")</f>
        <v/>
      </c>
      <c r="H442" s="325" t="str">
        <f>IFERROR(VLOOKUP($D442,'SDDA Dogs'!$A:$AE,2,FALSE),"")</f>
        <v/>
      </c>
      <c r="I442" s="325" t="str">
        <f>IFERROR(VLOOKUP($D442,'SDDA Dogs'!$A:$AE,3,FALSE),"")</f>
        <v/>
      </c>
      <c r="J442" s="325" t="str">
        <f>IFERROR(VLOOKUP($D442,'SDDA Dogs'!$A:$AE,6,FALSE),"")</f>
        <v/>
      </c>
      <c r="K442" s="325" t="str">
        <f>IF(Advanced!AS35="","",Advanced!AS35)</f>
        <v/>
      </c>
      <c r="L442" s="325" t="str">
        <f>IF(Advanced!AT35="","",Advanced!AT35)</f>
        <v/>
      </c>
      <c r="M442" s="326" t="str">
        <f>TrialDate</f>
        <v/>
      </c>
      <c r="N442" s="325" t="str">
        <f t="shared" ref="N442" si="524">N441</f>
        <v/>
      </c>
      <c r="O442" s="325">
        <f>JudgeD1ESA</f>
        <v>0</v>
      </c>
    </row>
    <row r="443" spans="1:15" x14ac:dyDescent="0.25">
      <c r="A443" s="2">
        <v>2</v>
      </c>
      <c r="B443" s="2">
        <f t="shared" ref="B443:O443" si="525">B442</f>
        <v>0</v>
      </c>
      <c r="C443" s="2" t="str">
        <f t="shared" si="525"/>
        <v>ESA</v>
      </c>
      <c r="D443" s="2">
        <f t="shared" si="525"/>
        <v>0</v>
      </c>
      <c r="E443" s="2" t="str">
        <f t="shared" si="525"/>
        <v>A</v>
      </c>
      <c r="F443" s="2" t="str">
        <f t="shared" si="525"/>
        <v>Exterior Advanced</v>
      </c>
      <c r="G443" s="2" t="str">
        <f t="shared" si="525"/>
        <v/>
      </c>
      <c r="H443" s="2" t="str">
        <f t="shared" si="525"/>
        <v/>
      </c>
      <c r="I443" s="2" t="str">
        <f t="shared" si="525"/>
        <v/>
      </c>
      <c r="J443" s="2" t="str">
        <f t="shared" si="525"/>
        <v/>
      </c>
      <c r="K443" s="2" t="str">
        <f t="shared" si="525"/>
        <v/>
      </c>
      <c r="L443" s="2" t="str">
        <f t="shared" si="525"/>
        <v/>
      </c>
      <c r="M443" s="180" t="str">
        <f t="shared" si="525"/>
        <v/>
      </c>
      <c r="N443" s="2" t="str">
        <f t="shared" si="525"/>
        <v/>
      </c>
      <c r="O443" s="2">
        <f t="shared" si="525"/>
        <v>0</v>
      </c>
    </row>
    <row r="444" spans="1:15" x14ac:dyDescent="0.25">
      <c r="A444" s="325">
        <v>1</v>
      </c>
      <c r="B444" s="325">
        <f>TrialNumber</f>
        <v>0</v>
      </c>
      <c r="C444" s="325" t="s">
        <v>20</v>
      </c>
      <c r="D444" s="325">
        <f>Advanced!C36</f>
        <v>0</v>
      </c>
      <c r="E444" s="325" t="str">
        <f>IF(Advanced!B36="W","W","A")</f>
        <v>A</v>
      </c>
      <c r="F444" s="325" t="s">
        <v>1739</v>
      </c>
      <c r="G444" s="325" t="str">
        <f>IF(Advanced!W36="e","Y","")</f>
        <v/>
      </c>
      <c r="H444" s="325" t="str">
        <f>IFERROR(VLOOKUP($D444,'SDDA Dogs'!$A:$AE,2,FALSE),"")</f>
        <v/>
      </c>
      <c r="I444" s="325" t="str">
        <f>IFERROR(VLOOKUP($D444,'SDDA Dogs'!$A:$AE,3,FALSE),"")</f>
        <v/>
      </c>
      <c r="J444" s="325" t="str">
        <f>IFERROR(VLOOKUP($D444,'SDDA Dogs'!$A:$AE,6,FALSE),"")</f>
        <v/>
      </c>
      <c r="K444" s="325" t="str">
        <f>IF(Advanced!AS36="","",Advanced!AS36)</f>
        <v/>
      </c>
      <c r="L444" s="325" t="str">
        <f>IF(Advanced!AT36="","",Advanced!AT36)</f>
        <v/>
      </c>
      <c r="M444" s="326" t="str">
        <f>TrialDate</f>
        <v/>
      </c>
      <c r="N444" s="325" t="str">
        <f t="shared" ref="N444" si="526">N443</f>
        <v/>
      </c>
      <c r="O444" s="325">
        <f>JudgeD1ESA</f>
        <v>0</v>
      </c>
    </row>
    <row r="445" spans="1:15" x14ac:dyDescent="0.25">
      <c r="A445" s="2">
        <v>2</v>
      </c>
      <c r="B445" s="2">
        <f t="shared" ref="B445:O445" si="527">B444</f>
        <v>0</v>
      </c>
      <c r="C445" s="2" t="str">
        <f t="shared" si="527"/>
        <v>ESA</v>
      </c>
      <c r="D445" s="2">
        <f t="shared" si="527"/>
        <v>0</v>
      </c>
      <c r="E445" s="2" t="str">
        <f t="shared" si="527"/>
        <v>A</v>
      </c>
      <c r="F445" s="2" t="str">
        <f t="shared" si="527"/>
        <v>Exterior Advanced</v>
      </c>
      <c r="G445" s="2" t="str">
        <f t="shared" si="527"/>
        <v/>
      </c>
      <c r="H445" s="2" t="str">
        <f t="shared" si="527"/>
        <v/>
      </c>
      <c r="I445" s="2" t="str">
        <f t="shared" si="527"/>
        <v/>
      </c>
      <c r="J445" s="2" t="str">
        <f t="shared" si="527"/>
        <v/>
      </c>
      <c r="K445" s="2" t="str">
        <f t="shared" si="527"/>
        <v/>
      </c>
      <c r="L445" s="2" t="str">
        <f t="shared" si="527"/>
        <v/>
      </c>
      <c r="M445" s="180" t="str">
        <f t="shared" si="527"/>
        <v/>
      </c>
      <c r="N445" s="2" t="str">
        <f t="shared" si="527"/>
        <v/>
      </c>
      <c r="O445" s="2">
        <f t="shared" si="527"/>
        <v>0</v>
      </c>
    </row>
    <row r="446" spans="1:15" x14ac:dyDescent="0.25">
      <c r="A446" s="325">
        <v>1</v>
      </c>
      <c r="B446" s="325">
        <f>TrialNumber</f>
        <v>0</v>
      </c>
      <c r="C446" s="325" t="s">
        <v>20</v>
      </c>
      <c r="D446" s="325">
        <f>Advanced!C37</f>
        <v>0</v>
      </c>
      <c r="E446" s="325" t="str">
        <f>IF(Advanced!B37="W","W","A")</f>
        <v>A</v>
      </c>
      <c r="F446" s="325" t="s">
        <v>1739</v>
      </c>
      <c r="G446" s="325" t="str">
        <f>IF(Advanced!W37="e","Y","")</f>
        <v/>
      </c>
      <c r="H446" s="325" t="str">
        <f>IFERROR(VLOOKUP($D446,'SDDA Dogs'!$A:$AE,2,FALSE),"")</f>
        <v/>
      </c>
      <c r="I446" s="325" t="str">
        <f>IFERROR(VLOOKUP($D446,'SDDA Dogs'!$A:$AE,3,FALSE),"")</f>
        <v/>
      </c>
      <c r="J446" s="325" t="str">
        <f>IFERROR(VLOOKUP($D446,'SDDA Dogs'!$A:$AE,6,FALSE),"")</f>
        <v/>
      </c>
      <c r="K446" s="325" t="str">
        <f>IF(Advanced!AS37="","",Advanced!AS37)</f>
        <v/>
      </c>
      <c r="L446" s="325" t="str">
        <f>IF(Advanced!AT37="","",Advanced!AT37)</f>
        <v/>
      </c>
      <c r="M446" s="326" t="str">
        <f>TrialDate</f>
        <v/>
      </c>
      <c r="N446" s="325" t="str">
        <f t="shared" ref="N446" si="528">N445</f>
        <v/>
      </c>
      <c r="O446" s="325">
        <f>JudgeD1ESA</f>
        <v>0</v>
      </c>
    </row>
    <row r="447" spans="1:15" x14ac:dyDescent="0.25">
      <c r="A447" s="2">
        <v>2</v>
      </c>
      <c r="B447" s="2">
        <f t="shared" ref="B447:O447" si="529">B446</f>
        <v>0</v>
      </c>
      <c r="C447" s="2" t="str">
        <f t="shared" si="529"/>
        <v>ESA</v>
      </c>
      <c r="D447" s="2">
        <f t="shared" si="529"/>
        <v>0</v>
      </c>
      <c r="E447" s="2" t="str">
        <f t="shared" si="529"/>
        <v>A</v>
      </c>
      <c r="F447" s="2" t="str">
        <f t="shared" si="529"/>
        <v>Exterior Advanced</v>
      </c>
      <c r="G447" s="2" t="str">
        <f t="shared" si="529"/>
        <v/>
      </c>
      <c r="H447" s="2" t="str">
        <f t="shared" si="529"/>
        <v/>
      </c>
      <c r="I447" s="2" t="str">
        <f t="shared" si="529"/>
        <v/>
      </c>
      <c r="J447" s="2" t="str">
        <f t="shared" si="529"/>
        <v/>
      </c>
      <c r="K447" s="2" t="str">
        <f t="shared" si="529"/>
        <v/>
      </c>
      <c r="L447" s="2" t="str">
        <f t="shared" si="529"/>
        <v/>
      </c>
      <c r="M447" s="180" t="str">
        <f t="shared" si="529"/>
        <v/>
      </c>
      <c r="N447" s="2" t="str">
        <f t="shared" si="529"/>
        <v/>
      </c>
      <c r="O447" s="2">
        <f t="shared" si="529"/>
        <v>0</v>
      </c>
    </row>
    <row r="448" spans="1:15" x14ac:dyDescent="0.25">
      <c r="A448" s="325">
        <v>1</v>
      </c>
      <c r="B448" s="325">
        <f>TrialNumber</f>
        <v>0</v>
      </c>
      <c r="C448" s="325" t="s">
        <v>20</v>
      </c>
      <c r="D448" s="325">
        <f>Advanced!C38</f>
        <v>0</v>
      </c>
      <c r="E448" s="325" t="str">
        <f>IF(Advanced!B38="W","W","A")</f>
        <v>A</v>
      </c>
      <c r="F448" s="325" t="s">
        <v>1739</v>
      </c>
      <c r="G448" s="325" t="str">
        <f>IF(Advanced!W38="e","Y","")</f>
        <v/>
      </c>
      <c r="H448" s="325" t="str">
        <f>IFERROR(VLOOKUP($D448,'SDDA Dogs'!$A:$AE,2,FALSE),"")</f>
        <v/>
      </c>
      <c r="I448" s="325" t="str">
        <f>IFERROR(VLOOKUP($D448,'SDDA Dogs'!$A:$AE,3,FALSE),"")</f>
        <v/>
      </c>
      <c r="J448" s="325" t="str">
        <f>IFERROR(VLOOKUP($D448,'SDDA Dogs'!$A:$AE,6,FALSE),"")</f>
        <v/>
      </c>
      <c r="K448" s="325" t="str">
        <f>IF(Advanced!AS38="","",Advanced!AS38)</f>
        <v/>
      </c>
      <c r="L448" s="325" t="str">
        <f>IF(Advanced!AT38="","",Advanced!AT38)</f>
        <v/>
      </c>
      <c r="M448" s="326" t="str">
        <f>TrialDate</f>
        <v/>
      </c>
      <c r="N448" s="325" t="str">
        <f t="shared" ref="N448" si="530">N447</f>
        <v/>
      </c>
      <c r="O448" s="325">
        <f>JudgeD1ESA</f>
        <v>0</v>
      </c>
    </row>
    <row r="449" spans="1:15" x14ac:dyDescent="0.25">
      <c r="A449" s="2">
        <v>2</v>
      </c>
      <c r="B449" s="2">
        <f t="shared" ref="B449:O449" si="531">B448</f>
        <v>0</v>
      </c>
      <c r="C449" s="2" t="str">
        <f t="shared" si="531"/>
        <v>ESA</v>
      </c>
      <c r="D449" s="2">
        <f t="shared" si="531"/>
        <v>0</v>
      </c>
      <c r="E449" s="2" t="str">
        <f t="shared" si="531"/>
        <v>A</v>
      </c>
      <c r="F449" s="2" t="str">
        <f t="shared" si="531"/>
        <v>Exterior Advanced</v>
      </c>
      <c r="G449" s="2" t="str">
        <f t="shared" si="531"/>
        <v/>
      </c>
      <c r="H449" s="2" t="str">
        <f t="shared" si="531"/>
        <v/>
      </c>
      <c r="I449" s="2" t="str">
        <f t="shared" si="531"/>
        <v/>
      </c>
      <c r="J449" s="2" t="str">
        <f t="shared" si="531"/>
        <v/>
      </c>
      <c r="K449" s="2" t="str">
        <f t="shared" si="531"/>
        <v/>
      </c>
      <c r="L449" s="2" t="str">
        <f t="shared" si="531"/>
        <v/>
      </c>
      <c r="M449" s="180" t="str">
        <f t="shared" si="531"/>
        <v/>
      </c>
      <c r="N449" s="2" t="str">
        <f t="shared" si="531"/>
        <v/>
      </c>
      <c r="O449" s="2">
        <f t="shared" si="531"/>
        <v>0</v>
      </c>
    </row>
    <row r="450" spans="1:15" x14ac:dyDescent="0.25">
      <c r="A450" s="325">
        <v>1</v>
      </c>
      <c r="B450" s="325">
        <f>TrialNumber</f>
        <v>0</v>
      </c>
      <c r="C450" s="325" t="s">
        <v>20</v>
      </c>
      <c r="D450" s="325">
        <f>Advanced!C39</f>
        <v>0</v>
      </c>
      <c r="E450" s="325" t="str">
        <f>IF(Advanced!B39="W","W","A")</f>
        <v>A</v>
      </c>
      <c r="F450" s="325" t="s">
        <v>1739</v>
      </c>
      <c r="G450" s="325" t="str">
        <f>IF(Advanced!W39="e","Y","")</f>
        <v/>
      </c>
      <c r="H450" s="325" t="str">
        <f>IFERROR(VLOOKUP($D450,'SDDA Dogs'!$A:$AE,2,FALSE),"")</f>
        <v/>
      </c>
      <c r="I450" s="325" t="str">
        <f>IFERROR(VLOOKUP($D450,'SDDA Dogs'!$A:$AE,3,FALSE),"")</f>
        <v/>
      </c>
      <c r="J450" s="325" t="str">
        <f>IFERROR(VLOOKUP($D450,'SDDA Dogs'!$A:$AE,6,FALSE),"")</f>
        <v/>
      </c>
      <c r="K450" s="325" t="str">
        <f>IF(Advanced!AS39="","",Advanced!AS39)</f>
        <v/>
      </c>
      <c r="L450" s="325" t="str">
        <f>IF(Advanced!AT39="","",Advanced!AT39)</f>
        <v/>
      </c>
      <c r="M450" s="326" t="str">
        <f>TrialDate</f>
        <v/>
      </c>
      <c r="N450" s="325" t="str">
        <f t="shared" ref="N450" si="532">N449</f>
        <v/>
      </c>
      <c r="O450" s="325">
        <f>JudgeD1ESA</f>
        <v>0</v>
      </c>
    </row>
    <row r="451" spans="1:15" x14ac:dyDescent="0.25">
      <c r="A451" s="2">
        <v>2</v>
      </c>
      <c r="B451" s="2">
        <f t="shared" ref="B451:O451" si="533">B450</f>
        <v>0</v>
      </c>
      <c r="C451" s="2" t="str">
        <f t="shared" si="533"/>
        <v>ESA</v>
      </c>
      <c r="D451" s="2">
        <f t="shared" si="533"/>
        <v>0</v>
      </c>
      <c r="E451" s="2" t="str">
        <f t="shared" si="533"/>
        <v>A</v>
      </c>
      <c r="F451" s="2" t="str">
        <f t="shared" si="533"/>
        <v>Exterior Advanced</v>
      </c>
      <c r="G451" s="2" t="str">
        <f t="shared" si="533"/>
        <v/>
      </c>
      <c r="H451" s="2" t="str">
        <f t="shared" si="533"/>
        <v/>
      </c>
      <c r="I451" s="2" t="str">
        <f t="shared" si="533"/>
        <v/>
      </c>
      <c r="J451" s="2" t="str">
        <f t="shared" si="533"/>
        <v/>
      </c>
      <c r="K451" s="2" t="str">
        <f t="shared" si="533"/>
        <v/>
      </c>
      <c r="L451" s="2" t="str">
        <f t="shared" si="533"/>
        <v/>
      </c>
      <c r="M451" s="180" t="str">
        <f t="shared" si="533"/>
        <v/>
      </c>
      <c r="N451" s="2" t="str">
        <f t="shared" si="533"/>
        <v/>
      </c>
      <c r="O451" s="2">
        <f t="shared" si="533"/>
        <v>0</v>
      </c>
    </row>
    <row r="452" spans="1:15" x14ac:dyDescent="0.25">
      <c r="A452" s="325">
        <v>1</v>
      </c>
      <c r="B452" s="325">
        <f>TrialNumber</f>
        <v>0</v>
      </c>
      <c r="C452" s="325" t="s">
        <v>20</v>
      </c>
      <c r="D452" s="325">
        <f>Advanced!C40</f>
        <v>0</v>
      </c>
      <c r="E452" s="325" t="str">
        <f>IF(Advanced!B40="W","W","A")</f>
        <v>A</v>
      </c>
      <c r="F452" s="325" t="s">
        <v>1739</v>
      </c>
      <c r="G452" s="325" t="str">
        <f>IF(Advanced!W40="e","Y","")</f>
        <v/>
      </c>
      <c r="H452" s="325" t="str">
        <f>IFERROR(VLOOKUP($D452,'SDDA Dogs'!$A:$AE,2,FALSE),"")</f>
        <v/>
      </c>
      <c r="I452" s="325" t="str">
        <f>IFERROR(VLOOKUP($D452,'SDDA Dogs'!$A:$AE,3,FALSE),"")</f>
        <v/>
      </c>
      <c r="J452" s="325" t="str">
        <f>IFERROR(VLOOKUP($D452,'SDDA Dogs'!$A:$AE,6,FALSE),"")</f>
        <v/>
      </c>
      <c r="K452" s="325" t="str">
        <f>IF(Advanced!AS40="","",Advanced!AS40)</f>
        <v/>
      </c>
      <c r="L452" s="325" t="str">
        <f>IF(Advanced!AT40="","",Advanced!AT40)</f>
        <v/>
      </c>
      <c r="M452" s="326" t="str">
        <f>TrialDate</f>
        <v/>
      </c>
      <c r="N452" s="325" t="str">
        <f t="shared" ref="N452" si="534">N451</f>
        <v/>
      </c>
      <c r="O452" s="325">
        <f>JudgeD1ESA</f>
        <v>0</v>
      </c>
    </row>
    <row r="453" spans="1:15" x14ac:dyDescent="0.25">
      <c r="A453" s="2">
        <v>2</v>
      </c>
      <c r="B453" s="2">
        <f t="shared" ref="B453:O453" si="535">B452</f>
        <v>0</v>
      </c>
      <c r="C453" s="2" t="str">
        <f t="shared" si="535"/>
        <v>ESA</v>
      </c>
      <c r="D453" s="2">
        <f t="shared" si="535"/>
        <v>0</v>
      </c>
      <c r="E453" s="2" t="str">
        <f t="shared" si="535"/>
        <v>A</v>
      </c>
      <c r="F453" s="2" t="str">
        <f t="shared" si="535"/>
        <v>Exterior Advanced</v>
      </c>
      <c r="G453" s="2" t="str">
        <f t="shared" si="535"/>
        <v/>
      </c>
      <c r="H453" s="2" t="str">
        <f t="shared" si="535"/>
        <v/>
      </c>
      <c r="I453" s="2" t="str">
        <f t="shared" si="535"/>
        <v/>
      </c>
      <c r="J453" s="2" t="str">
        <f t="shared" si="535"/>
        <v/>
      </c>
      <c r="K453" s="2" t="str">
        <f t="shared" si="535"/>
        <v/>
      </c>
      <c r="L453" s="2" t="str">
        <f t="shared" si="535"/>
        <v/>
      </c>
      <c r="M453" s="180" t="str">
        <f t="shared" si="535"/>
        <v/>
      </c>
      <c r="N453" s="2" t="str">
        <f t="shared" si="535"/>
        <v/>
      </c>
      <c r="O453" s="2">
        <f t="shared" si="535"/>
        <v>0</v>
      </c>
    </row>
    <row r="454" spans="1:15" x14ac:dyDescent="0.25">
      <c r="A454" s="325">
        <v>1</v>
      </c>
      <c r="B454" s="325">
        <f>TrialNumber</f>
        <v>0</v>
      </c>
      <c r="C454" s="325" t="s">
        <v>20</v>
      </c>
      <c r="D454" s="325">
        <f>Advanced!C41</f>
        <v>0</v>
      </c>
      <c r="E454" s="325" t="str">
        <f>IF(Advanced!B41="W","W","A")</f>
        <v>A</v>
      </c>
      <c r="F454" s="325" t="s">
        <v>1739</v>
      </c>
      <c r="G454" s="325" t="str">
        <f>IF(Advanced!W41="e","Y","")</f>
        <v/>
      </c>
      <c r="H454" s="325" t="str">
        <f>IFERROR(VLOOKUP($D454,'SDDA Dogs'!$A:$AE,2,FALSE),"")</f>
        <v/>
      </c>
      <c r="I454" s="325" t="str">
        <f>IFERROR(VLOOKUP($D454,'SDDA Dogs'!$A:$AE,3,FALSE),"")</f>
        <v/>
      </c>
      <c r="J454" s="325" t="str">
        <f>IFERROR(VLOOKUP($D454,'SDDA Dogs'!$A:$AE,6,FALSE),"")</f>
        <v/>
      </c>
      <c r="K454" s="325" t="str">
        <f>IF(Advanced!AS41="","",Advanced!AS41)</f>
        <v/>
      </c>
      <c r="L454" s="325" t="str">
        <f>IF(Advanced!AT41="","",Advanced!AT41)</f>
        <v/>
      </c>
      <c r="M454" s="326" t="str">
        <f>TrialDate</f>
        <v/>
      </c>
      <c r="N454" s="325" t="str">
        <f t="shared" ref="N454" si="536">N453</f>
        <v/>
      </c>
      <c r="O454" s="325">
        <f>JudgeD1ESA</f>
        <v>0</v>
      </c>
    </row>
    <row r="455" spans="1:15" x14ac:dyDescent="0.25">
      <c r="A455" s="2">
        <v>2</v>
      </c>
      <c r="B455" s="2">
        <f t="shared" ref="B455:O455" si="537">B454</f>
        <v>0</v>
      </c>
      <c r="C455" s="2" t="str">
        <f t="shared" si="537"/>
        <v>ESA</v>
      </c>
      <c r="D455" s="2">
        <f t="shared" si="537"/>
        <v>0</v>
      </c>
      <c r="E455" s="2" t="str">
        <f t="shared" si="537"/>
        <v>A</v>
      </c>
      <c r="F455" s="2" t="str">
        <f t="shared" si="537"/>
        <v>Exterior Advanced</v>
      </c>
      <c r="G455" s="2" t="str">
        <f t="shared" si="537"/>
        <v/>
      </c>
      <c r="H455" s="2" t="str">
        <f t="shared" si="537"/>
        <v/>
      </c>
      <c r="I455" s="2" t="str">
        <f t="shared" si="537"/>
        <v/>
      </c>
      <c r="J455" s="2" t="str">
        <f t="shared" si="537"/>
        <v/>
      </c>
      <c r="K455" s="2" t="str">
        <f t="shared" si="537"/>
        <v/>
      </c>
      <c r="L455" s="2" t="str">
        <f t="shared" si="537"/>
        <v/>
      </c>
      <c r="M455" s="180" t="str">
        <f t="shared" si="537"/>
        <v/>
      </c>
      <c r="N455" s="2" t="str">
        <f t="shared" si="537"/>
        <v/>
      </c>
      <c r="O455" s="2">
        <f t="shared" si="537"/>
        <v>0</v>
      </c>
    </row>
    <row r="456" spans="1:15" x14ac:dyDescent="0.25">
      <c r="A456" s="325">
        <v>1</v>
      </c>
      <c r="B456" s="325">
        <f>TrialNumber</f>
        <v>0</v>
      </c>
      <c r="C456" s="325" t="s">
        <v>20</v>
      </c>
      <c r="D456" s="325">
        <f>Advanced!C42</f>
        <v>0</v>
      </c>
      <c r="E456" s="325" t="str">
        <f>IF(Advanced!B42="W","W","A")</f>
        <v>A</v>
      </c>
      <c r="F456" s="325" t="s">
        <v>1739</v>
      </c>
      <c r="G456" s="325" t="str">
        <f>IF(Advanced!W42="e","Y","")</f>
        <v/>
      </c>
      <c r="H456" s="325" t="str">
        <f>IFERROR(VLOOKUP($D456,'SDDA Dogs'!$A:$AE,2,FALSE),"")</f>
        <v/>
      </c>
      <c r="I456" s="325" t="str">
        <f>IFERROR(VLOOKUP($D456,'SDDA Dogs'!$A:$AE,3,FALSE),"")</f>
        <v/>
      </c>
      <c r="J456" s="325" t="str">
        <f>IFERROR(VLOOKUP($D456,'SDDA Dogs'!$A:$AE,6,FALSE),"")</f>
        <v/>
      </c>
      <c r="K456" s="325" t="str">
        <f>IF(Advanced!AS42="","",Advanced!AS42)</f>
        <v/>
      </c>
      <c r="L456" s="325" t="str">
        <f>IF(Advanced!AT42="","",Advanced!AT42)</f>
        <v/>
      </c>
      <c r="M456" s="326" t="str">
        <f>TrialDate</f>
        <v/>
      </c>
      <c r="N456" s="325" t="str">
        <f t="shared" ref="N456" si="538">N455</f>
        <v/>
      </c>
      <c r="O456" s="325">
        <f>JudgeD1ESA</f>
        <v>0</v>
      </c>
    </row>
    <row r="457" spans="1:15" x14ac:dyDescent="0.25">
      <c r="A457" s="2">
        <v>2</v>
      </c>
      <c r="B457" s="2">
        <f t="shared" ref="B457:O457" si="539">B456</f>
        <v>0</v>
      </c>
      <c r="C457" s="2" t="str">
        <f t="shared" si="539"/>
        <v>ESA</v>
      </c>
      <c r="D457" s="2">
        <f t="shared" si="539"/>
        <v>0</v>
      </c>
      <c r="E457" s="2" t="str">
        <f t="shared" si="539"/>
        <v>A</v>
      </c>
      <c r="F457" s="2" t="str">
        <f t="shared" si="539"/>
        <v>Exterior Advanced</v>
      </c>
      <c r="G457" s="2" t="str">
        <f t="shared" si="539"/>
        <v/>
      </c>
      <c r="H457" s="2" t="str">
        <f t="shared" si="539"/>
        <v/>
      </c>
      <c r="I457" s="2" t="str">
        <f t="shared" si="539"/>
        <v/>
      </c>
      <c r="J457" s="2" t="str">
        <f t="shared" si="539"/>
        <v/>
      </c>
      <c r="K457" s="2" t="str">
        <f t="shared" si="539"/>
        <v/>
      </c>
      <c r="L457" s="2" t="str">
        <f t="shared" si="539"/>
        <v/>
      </c>
      <c r="M457" s="180" t="str">
        <f t="shared" si="539"/>
        <v/>
      </c>
      <c r="N457" s="2" t="str">
        <f t="shared" si="539"/>
        <v/>
      </c>
      <c r="O457" s="2">
        <f t="shared" si="539"/>
        <v>0</v>
      </c>
    </row>
    <row r="458" spans="1:15" x14ac:dyDescent="0.25">
      <c r="A458" s="325">
        <v>1</v>
      </c>
      <c r="B458" s="325">
        <f>TrialNumber</f>
        <v>0</v>
      </c>
      <c r="C458" s="325" t="s">
        <v>20</v>
      </c>
      <c r="D458" s="325">
        <f>Advanced!C43</f>
        <v>0</v>
      </c>
      <c r="E458" s="325" t="str">
        <f>IF(Advanced!B43="W","W","A")</f>
        <v>A</v>
      </c>
      <c r="F458" s="325" t="s">
        <v>1739</v>
      </c>
      <c r="G458" s="325" t="str">
        <f>IF(Advanced!W43="e","Y","")</f>
        <v/>
      </c>
      <c r="H458" s="325" t="str">
        <f>IFERROR(VLOOKUP($D458,'SDDA Dogs'!$A:$AE,2,FALSE),"")</f>
        <v/>
      </c>
      <c r="I458" s="325" t="str">
        <f>IFERROR(VLOOKUP($D458,'SDDA Dogs'!$A:$AE,3,FALSE),"")</f>
        <v/>
      </c>
      <c r="J458" s="325" t="str">
        <f>IFERROR(VLOOKUP($D458,'SDDA Dogs'!$A:$AE,6,FALSE),"")</f>
        <v/>
      </c>
      <c r="K458" s="325" t="str">
        <f>IF(Advanced!AS43="","",Advanced!AS43)</f>
        <v/>
      </c>
      <c r="L458" s="325" t="str">
        <f>IF(Advanced!AT43="","",Advanced!AT43)</f>
        <v/>
      </c>
      <c r="M458" s="326" t="str">
        <f>TrialDate</f>
        <v/>
      </c>
      <c r="N458" s="325" t="str">
        <f t="shared" ref="N458" si="540">N457</f>
        <v/>
      </c>
      <c r="O458" s="325">
        <f>JudgeD1ESA</f>
        <v>0</v>
      </c>
    </row>
    <row r="459" spans="1:15" x14ac:dyDescent="0.25">
      <c r="A459" s="2">
        <v>2</v>
      </c>
      <c r="B459" s="2">
        <f t="shared" ref="B459:O459" si="541">B458</f>
        <v>0</v>
      </c>
      <c r="C459" s="2" t="str">
        <f t="shared" si="541"/>
        <v>ESA</v>
      </c>
      <c r="D459" s="2">
        <f t="shared" si="541"/>
        <v>0</v>
      </c>
      <c r="E459" s="2" t="str">
        <f t="shared" si="541"/>
        <v>A</v>
      </c>
      <c r="F459" s="2" t="str">
        <f t="shared" si="541"/>
        <v>Exterior Advanced</v>
      </c>
      <c r="G459" s="2" t="str">
        <f t="shared" si="541"/>
        <v/>
      </c>
      <c r="H459" s="2" t="str">
        <f t="shared" si="541"/>
        <v/>
      </c>
      <c r="I459" s="2" t="str">
        <f t="shared" si="541"/>
        <v/>
      </c>
      <c r="J459" s="2" t="str">
        <f t="shared" si="541"/>
        <v/>
      </c>
      <c r="K459" s="2" t="str">
        <f t="shared" si="541"/>
        <v/>
      </c>
      <c r="L459" s="2" t="str">
        <f t="shared" si="541"/>
        <v/>
      </c>
      <c r="M459" s="180" t="str">
        <f t="shared" si="541"/>
        <v/>
      </c>
      <c r="N459" s="2" t="str">
        <f t="shared" si="541"/>
        <v/>
      </c>
      <c r="O459" s="2">
        <f t="shared" si="541"/>
        <v>0</v>
      </c>
    </row>
    <row r="460" spans="1:15" x14ac:dyDescent="0.25">
      <c r="A460" s="325">
        <v>1</v>
      </c>
      <c r="B460" s="325">
        <f>TrialNumber</f>
        <v>0</v>
      </c>
      <c r="C460" s="325" t="s">
        <v>20</v>
      </c>
      <c r="D460" s="325">
        <f>Advanced!C44</f>
        <v>0</v>
      </c>
      <c r="E460" s="325" t="str">
        <f>IF(Advanced!B44="W","W","A")</f>
        <v>A</v>
      </c>
      <c r="F460" s="325" t="s">
        <v>1739</v>
      </c>
      <c r="G460" s="325" t="str">
        <f>IF(Advanced!W44="e","Y","")</f>
        <v/>
      </c>
      <c r="H460" s="325" t="str">
        <f>IFERROR(VLOOKUP($D460,'SDDA Dogs'!$A:$AE,2,FALSE),"")</f>
        <v/>
      </c>
      <c r="I460" s="325" t="str">
        <f>IFERROR(VLOOKUP($D460,'SDDA Dogs'!$A:$AE,3,FALSE),"")</f>
        <v/>
      </c>
      <c r="J460" s="325" t="str">
        <f>IFERROR(VLOOKUP($D460,'SDDA Dogs'!$A:$AE,6,FALSE),"")</f>
        <v/>
      </c>
      <c r="K460" s="325" t="str">
        <f>IF(Advanced!AS44="","",Advanced!AS44)</f>
        <v/>
      </c>
      <c r="L460" s="325" t="str">
        <f>IF(Advanced!AT44="","",Advanced!AT44)</f>
        <v/>
      </c>
      <c r="M460" s="326" t="str">
        <f>TrialDate</f>
        <v/>
      </c>
      <c r="N460" s="325" t="str">
        <f t="shared" ref="N460" si="542">N459</f>
        <v/>
      </c>
      <c r="O460" s="325">
        <f>JudgeD1ESA</f>
        <v>0</v>
      </c>
    </row>
    <row r="461" spans="1:15" x14ac:dyDescent="0.25">
      <c r="A461" s="2">
        <v>2</v>
      </c>
      <c r="B461" s="2">
        <f t="shared" ref="B461:O461" si="543">B460</f>
        <v>0</v>
      </c>
      <c r="C461" s="2" t="str">
        <f t="shared" si="543"/>
        <v>ESA</v>
      </c>
      <c r="D461" s="2">
        <f t="shared" si="543"/>
        <v>0</v>
      </c>
      <c r="E461" s="2" t="str">
        <f t="shared" si="543"/>
        <v>A</v>
      </c>
      <c r="F461" s="2" t="str">
        <f t="shared" si="543"/>
        <v>Exterior Advanced</v>
      </c>
      <c r="G461" s="2" t="str">
        <f t="shared" si="543"/>
        <v/>
      </c>
      <c r="H461" s="2" t="str">
        <f t="shared" si="543"/>
        <v/>
      </c>
      <c r="I461" s="2" t="str">
        <f t="shared" si="543"/>
        <v/>
      </c>
      <c r="J461" s="2" t="str">
        <f t="shared" si="543"/>
        <v/>
      </c>
      <c r="K461" s="2" t="str">
        <f t="shared" si="543"/>
        <v/>
      </c>
      <c r="L461" s="2" t="str">
        <f t="shared" si="543"/>
        <v/>
      </c>
      <c r="M461" s="180" t="str">
        <f t="shared" si="543"/>
        <v/>
      </c>
      <c r="N461" s="2" t="str">
        <f t="shared" si="543"/>
        <v/>
      </c>
      <c r="O461" s="2">
        <f t="shared" si="543"/>
        <v>0</v>
      </c>
    </row>
    <row r="462" spans="1:15" x14ac:dyDescent="0.25">
      <c r="A462" s="325">
        <v>1</v>
      </c>
      <c r="B462" s="325">
        <f>TrialNumber</f>
        <v>0</v>
      </c>
      <c r="C462" s="325" t="s">
        <v>20</v>
      </c>
      <c r="D462" s="325">
        <f>Advanced!C45</f>
        <v>0</v>
      </c>
      <c r="E462" s="325" t="str">
        <f>IF(Advanced!B45="W","W","A")</f>
        <v>A</v>
      </c>
      <c r="F462" s="325" t="s">
        <v>1739</v>
      </c>
      <c r="G462" s="325" t="str">
        <f>IF(Advanced!W45="e","Y","")</f>
        <v/>
      </c>
      <c r="H462" s="325" t="str">
        <f>IFERROR(VLOOKUP($D462,'SDDA Dogs'!$A:$AE,2,FALSE),"")</f>
        <v/>
      </c>
      <c r="I462" s="325" t="str">
        <f>IFERROR(VLOOKUP($D462,'SDDA Dogs'!$A:$AE,3,FALSE),"")</f>
        <v/>
      </c>
      <c r="J462" s="325" t="str">
        <f>IFERROR(VLOOKUP($D462,'SDDA Dogs'!$A:$AE,6,FALSE),"")</f>
        <v/>
      </c>
      <c r="K462" s="325" t="str">
        <f>IF(Advanced!AS45="","",Advanced!AS45)</f>
        <v/>
      </c>
      <c r="L462" s="325" t="str">
        <f>IF(Advanced!AT45="","",Advanced!AT45)</f>
        <v/>
      </c>
      <c r="M462" s="326" t="str">
        <f>TrialDate</f>
        <v/>
      </c>
      <c r="N462" s="325" t="str">
        <f t="shared" ref="N462" si="544">N461</f>
        <v/>
      </c>
      <c r="O462" s="325">
        <f>JudgeD1ESA</f>
        <v>0</v>
      </c>
    </row>
    <row r="463" spans="1:15" x14ac:dyDescent="0.25">
      <c r="A463" s="2">
        <v>2</v>
      </c>
      <c r="B463" s="2">
        <f t="shared" ref="B463:O463" si="545">B462</f>
        <v>0</v>
      </c>
      <c r="C463" s="2" t="str">
        <f t="shared" si="545"/>
        <v>ESA</v>
      </c>
      <c r="D463" s="2">
        <f t="shared" si="545"/>
        <v>0</v>
      </c>
      <c r="E463" s="2" t="str">
        <f t="shared" si="545"/>
        <v>A</v>
      </c>
      <c r="F463" s="2" t="str">
        <f t="shared" si="545"/>
        <v>Exterior Advanced</v>
      </c>
      <c r="G463" s="2" t="str">
        <f t="shared" si="545"/>
        <v/>
      </c>
      <c r="H463" s="2" t="str">
        <f t="shared" si="545"/>
        <v/>
      </c>
      <c r="I463" s="2" t="str">
        <f t="shared" si="545"/>
        <v/>
      </c>
      <c r="J463" s="2" t="str">
        <f t="shared" si="545"/>
        <v/>
      </c>
      <c r="K463" s="2" t="str">
        <f t="shared" si="545"/>
        <v/>
      </c>
      <c r="L463" s="2" t="str">
        <f t="shared" si="545"/>
        <v/>
      </c>
      <c r="M463" s="180" t="str">
        <f t="shared" si="545"/>
        <v/>
      </c>
      <c r="N463" s="2" t="str">
        <f t="shared" si="545"/>
        <v/>
      </c>
      <c r="O463" s="2">
        <f t="shared" si="545"/>
        <v>0</v>
      </c>
    </row>
    <row r="464" spans="1:15" x14ac:dyDescent="0.25">
      <c r="A464" s="325">
        <v>1</v>
      </c>
      <c r="B464" s="325">
        <f>TrialNumber</f>
        <v>0</v>
      </c>
      <c r="C464" s="325" t="s">
        <v>20</v>
      </c>
      <c r="D464" s="325">
        <f>Advanced!C46</f>
        <v>0</v>
      </c>
      <c r="E464" s="325" t="str">
        <f>IF(Advanced!B46="W","W","A")</f>
        <v>A</v>
      </c>
      <c r="F464" s="325" t="s">
        <v>1739</v>
      </c>
      <c r="G464" s="325" t="str">
        <f>IF(Advanced!W46="e","Y","")</f>
        <v/>
      </c>
      <c r="H464" s="325" t="str">
        <f>IFERROR(VLOOKUP($D464,'SDDA Dogs'!$A:$AE,2,FALSE),"")</f>
        <v/>
      </c>
      <c r="I464" s="325" t="str">
        <f>IFERROR(VLOOKUP($D464,'SDDA Dogs'!$A:$AE,3,FALSE),"")</f>
        <v/>
      </c>
      <c r="J464" s="325" t="str">
        <f>IFERROR(VLOOKUP($D464,'SDDA Dogs'!$A:$AE,6,FALSE),"")</f>
        <v/>
      </c>
      <c r="K464" s="325" t="str">
        <f>IF(Advanced!AS46="","",Advanced!AS46)</f>
        <v/>
      </c>
      <c r="L464" s="325" t="str">
        <f>IF(Advanced!AT46="","",Advanced!AT46)</f>
        <v/>
      </c>
      <c r="M464" s="326" t="str">
        <f>TrialDate</f>
        <v/>
      </c>
      <c r="N464" s="325" t="str">
        <f t="shared" ref="N464" si="546">N463</f>
        <v/>
      </c>
      <c r="O464" s="325">
        <f>JudgeD1ESA</f>
        <v>0</v>
      </c>
    </row>
    <row r="465" spans="1:15" x14ac:dyDescent="0.25">
      <c r="A465" s="2">
        <v>2</v>
      </c>
      <c r="B465" s="2">
        <f t="shared" ref="B465:O465" si="547">B464</f>
        <v>0</v>
      </c>
      <c r="C465" s="2" t="str">
        <f t="shared" si="547"/>
        <v>ESA</v>
      </c>
      <c r="D465" s="2">
        <f t="shared" si="547"/>
        <v>0</v>
      </c>
      <c r="E465" s="2" t="str">
        <f t="shared" si="547"/>
        <v>A</v>
      </c>
      <c r="F465" s="2" t="str">
        <f t="shared" si="547"/>
        <v>Exterior Advanced</v>
      </c>
      <c r="G465" s="2" t="str">
        <f t="shared" si="547"/>
        <v/>
      </c>
      <c r="H465" s="2" t="str">
        <f t="shared" si="547"/>
        <v/>
      </c>
      <c r="I465" s="2" t="str">
        <f t="shared" si="547"/>
        <v/>
      </c>
      <c r="J465" s="2" t="str">
        <f t="shared" si="547"/>
        <v/>
      </c>
      <c r="K465" s="2" t="str">
        <f t="shared" si="547"/>
        <v/>
      </c>
      <c r="L465" s="2" t="str">
        <f t="shared" si="547"/>
        <v/>
      </c>
      <c r="M465" s="180" t="str">
        <f t="shared" si="547"/>
        <v/>
      </c>
      <c r="N465" s="2" t="str">
        <f t="shared" si="547"/>
        <v/>
      </c>
      <c r="O465" s="2">
        <f t="shared" si="547"/>
        <v>0</v>
      </c>
    </row>
    <row r="466" spans="1:15" x14ac:dyDescent="0.25">
      <c r="A466" s="325">
        <v>1</v>
      </c>
      <c r="B466" s="325">
        <f>TrialNumber</f>
        <v>0</v>
      </c>
      <c r="C466" s="325" t="s">
        <v>20</v>
      </c>
      <c r="D466" s="325">
        <f>Advanced!C47</f>
        <v>0</v>
      </c>
      <c r="E466" s="325" t="str">
        <f>IF(Advanced!B47="W","W","A")</f>
        <v>A</v>
      </c>
      <c r="F466" s="325" t="s">
        <v>1739</v>
      </c>
      <c r="G466" s="325" t="str">
        <f>IF(Advanced!W47="e","Y","")</f>
        <v/>
      </c>
      <c r="H466" s="325" t="str">
        <f>IFERROR(VLOOKUP($D466,'SDDA Dogs'!$A:$AE,2,FALSE),"")</f>
        <v/>
      </c>
      <c r="I466" s="325" t="str">
        <f>IFERROR(VLOOKUP($D466,'SDDA Dogs'!$A:$AE,3,FALSE),"")</f>
        <v/>
      </c>
      <c r="J466" s="325" t="str">
        <f>IFERROR(VLOOKUP($D466,'SDDA Dogs'!$A:$AE,6,FALSE),"")</f>
        <v/>
      </c>
      <c r="K466" s="325" t="str">
        <f>IF(Advanced!AS47="","",Advanced!AS47)</f>
        <v/>
      </c>
      <c r="L466" s="325" t="str">
        <f>IF(Advanced!AT47="","",Advanced!AT47)</f>
        <v/>
      </c>
      <c r="M466" s="326" t="str">
        <f>TrialDate</f>
        <v/>
      </c>
      <c r="N466" s="325" t="str">
        <f t="shared" ref="N466" si="548">N465</f>
        <v/>
      </c>
      <c r="O466" s="325">
        <f>JudgeD1ESA</f>
        <v>0</v>
      </c>
    </row>
    <row r="467" spans="1:15" x14ac:dyDescent="0.25">
      <c r="A467" s="2">
        <v>2</v>
      </c>
      <c r="B467" s="2">
        <f t="shared" ref="B467:O467" si="549">B466</f>
        <v>0</v>
      </c>
      <c r="C467" s="2" t="str">
        <f t="shared" si="549"/>
        <v>ESA</v>
      </c>
      <c r="D467" s="2">
        <f t="shared" si="549"/>
        <v>0</v>
      </c>
      <c r="E467" s="2" t="str">
        <f t="shared" si="549"/>
        <v>A</v>
      </c>
      <c r="F467" s="2" t="str">
        <f t="shared" si="549"/>
        <v>Exterior Advanced</v>
      </c>
      <c r="G467" s="2" t="str">
        <f t="shared" si="549"/>
        <v/>
      </c>
      <c r="H467" s="2" t="str">
        <f t="shared" si="549"/>
        <v/>
      </c>
      <c r="I467" s="2" t="str">
        <f t="shared" si="549"/>
        <v/>
      </c>
      <c r="J467" s="2" t="str">
        <f t="shared" si="549"/>
        <v/>
      </c>
      <c r="K467" s="2" t="str">
        <f t="shared" si="549"/>
        <v/>
      </c>
      <c r="L467" s="2" t="str">
        <f t="shared" si="549"/>
        <v/>
      </c>
      <c r="M467" s="180" t="str">
        <f t="shared" si="549"/>
        <v/>
      </c>
      <c r="N467" s="2" t="str">
        <f t="shared" si="549"/>
        <v/>
      </c>
      <c r="O467" s="2">
        <f t="shared" si="549"/>
        <v>0</v>
      </c>
    </row>
    <row r="468" spans="1:15" x14ac:dyDescent="0.25">
      <c r="A468" s="325">
        <v>1</v>
      </c>
      <c r="B468" s="325">
        <f>TrialNumber</f>
        <v>0</v>
      </c>
      <c r="C468" s="325" t="s">
        <v>20</v>
      </c>
      <c r="D468" s="325">
        <f>Advanced!C48</f>
        <v>0</v>
      </c>
      <c r="E468" s="325" t="str">
        <f>IF(Advanced!B48="W","W","A")</f>
        <v>A</v>
      </c>
      <c r="F468" s="325" t="s">
        <v>1739</v>
      </c>
      <c r="G468" s="325" t="str">
        <f>IF(Advanced!W48="e","Y","")</f>
        <v/>
      </c>
      <c r="H468" s="325" t="str">
        <f>IFERROR(VLOOKUP($D468,'SDDA Dogs'!$A:$AE,2,FALSE),"")</f>
        <v/>
      </c>
      <c r="I468" s="325" t="str">
        <f>IFERROR(VLOOKUP($D468,'SDDA Dogs'!$A:$AE,3,FALSE),"")</f>
        <v/>
      </c>
      <c r="J468" s="325" t="str">
        <f>IFERROR(VLOOKUP($D468,'SDDA Dogs'!$A:$AE,6,FALSE),"")</f>
        <v/>
      </c>
      <c r="K468" s="325" t="str">
        <f>IF(Advanced!AS48="","",Advanced!AS48)</f>
        <v/>
      </c>
      <c r="L468" s="325" t="str">
        <f>IF(Advanced!AT48="","",Advanced!AT48)</f>
        <v/>
      </c>
      <c r="M468" s="326" t="str">
        <f>TrialDate</f>
        <v/>
      </c>
      <c r="N468" s="325" t="str">
        <f t="shared" ref="N468" si="550">N467</f>
        <v/>
      </c>
      <c r="O468" s="325">
        <f>JudgeD1ESA</f>
        <v>0</v>
      </c>
    </row>
    <row r="469" spans="1:15" x14ac:dyDescent="0.25">
      <c r="A469" s="2">
        <v>2</v>
      </c>
      <c r="B469" s="2">
        <f t="shared" ref="B469:O469" si="551">B468</f>
        <v>0</v>
      </c>
      <c r="C469" s="2" t="str">
        <f t="shared" si="551"/>
        <v>ESA</v>
      </c>
      <c r="D469" s="2">
        <f t="shared" si="551"/>
        <v>0</v>
      </c>
      <c r="E469" s="2" t="str">
        <f t="shared" si="551"/>
        <v>A</v>
      </c>
      <c r="F469" s="2" t="str">
        <f t="shared" si="551"/>
        <v>Exterior Advanced</v>
      </c>
      <c r="G469" s="2" t="str">
        <f t="shared" si="551"/>
        <v/>
      </c>
      <c r="H469" s="2" t="str">
        <f t="shared" si="551"/>
        <v/>
      </c>
      <c r="I469" s="2" t="str">
        <f t="shared" si="551"/>
        <v/>
      </c>
      <c r="J469" s="2" t="str">
        <f t="shared" si="551"/>
        <v/>
      </c>
      <c r="K469" s="2" t="str">
        <f t="shared" si="551"/>
        <v/>
      </c>
      <c r="L469" s="2" t="str">
        <f t="shared" si="551"/>
        <v/>
      </c>
      <c r="M469" s="180" t="str">
        <f t="shared" si="551"/>
        <v/>
      </c>
      <c r="N469" s="2" t="str">
        <f t="shared" si="551"/>
        <v/>
      </c>
      <c r="O469" s="2">
        <f t="shared" si="551"/>
        <v>0</v>
      </c>
    </row>
    <row r="470" spans="1:15" x14ac:dyDescent="0.25">
      <c r="A470" s="325">
        <v>1</v>
      </c>
      <c r="B470" s="325">
        <f>TrialNumber</f>
        <v>0</v>
      </c>
      <c r="C470" s="325" t="s">
        <v>20</v>
      </c>
      <c r="D470" s="325">
        <f>Advanced!C49</f>
        <v>0</v>
      </c>
      <c r="E470" s="325" t="str">
        <f>IF(Advanced!B49="W","W","A")</f>
        <v>A</v>
      </c>
      <c r="F470" s="325" t="s">
        <v>1739</v>
      </c>
      <c r="G470" s="325" t="str">
        <f>IF(Advanced!W49="e","Y","")</f>
        <v/>
      </c>
      <c r="H470" s="325" t="str">
        <f>IFERROR(VLOOKUP($D470,'SDDA Dogs'!$A:$AE,2,FALSE),"")</f>
        <v/>
      </c>
      <c r="I470" s="325" t="str">
        <f>IFERROR(VLOOKUP($D470,'SDDA Dogs'!$A:$AE,3,FALSE),"")</f>
        <v/>
      </c>
      <c r="J470" s="325" t="str">
        <f>IFERROR(VLOOKUP($D470,'SDDA Dogs'!$A:$AE,6,FALSE),"")</f>
        <v/>
      </c>
      <c r="K470" s="325" t="str">
        <f>IF(Advanced!AS49="","",Advanced!AS49)</f>
        <v/>
      </c>
      <c r="L470" s="325" t="str">
        <f>IF(Advanced!AT49="","",Advanced!AT49)</f>
        <v/>
      </c>
      <c r="M470" s="326" t="str">
        <f>TrialDate</f>
        <v/>
      </c>
      <c r="N470" s="325" t="str">
        <f t="shared" ref="N470" si="552">N469</f>
        <v/>
      </c>
      <c r="O470" s="325">
        <f>JudgeD1ESA</f>
        <v>0</v>
      </c>
    </row>
    <row r="471" spans="1:15" x14ac:dyDescent="0.25">
      <c r="A471" s="2">
        <v>2</v>
      </c>
      <c r="B471" s="2">
        <f t="shared" ref="B471:O471" si="553">B470</f>
        <v>0</v>
      </c>
      <c r="C471" s="2" t="str">
        <f t="shared" si="553"/>
        <v>ESA</v>
      </c>
      <c r="D471" s="2">
        <f t="shared" si="553"/>
        <v>0</v>
      </c>
      <c r="E471" s="2" t="str">
        <f t="shared" si="553"/>
        <v>A</v>
      </c>
      <c r="F471" s="2" t="str">
        <f t="shared" si="553"/>
        <v>Exterior Advanced</v>
      </c>
      <c r="G471" s="2" t="str">
        <f t="shared" si="553"/>
        <v/>
      </c>
      <c r="H471" s="2" t="str">
        <f t="shared" si="553"/>
        <v/>
      </c>
      <c r="I471" s="2" t="str">
        <f t="shared" si="553"/>
        <v/>
      </c>
      <c r="J471" s="2" t="str">
        <f t="shared" si="553"/>
        <v/>
      </c>
      <c r="K471" s="2" t="str">
        <f t="shared" si="553"/>
        <v/>
      </c>
      <c r="L471" s="2" t="str">
        <f t="shared" si="553"/>
        <v/>
      </c>
      <c r="M471" s="180" t="str">
        <f t="shared" si="553"/>
        <v/>
      </c>
      <c r="N471" s="2" t="str">
        <f t="shared" si="553"/>
        <v/>
      </c>
      <c r="O471" s="2">
        <f t="shared" si="553"/>
        <v>0</v>
      </c>
    </row>
    <row r="472" spans="1:15" x14ac:dyDescent="0.25">
      <c r="A472" s="325">
        <v>1</v>
      </c>
      <c r="B472" s="325">
        <f>TrialNumber</f>
        <v>0</v>
      </c>
      <c r="C472" s="325" t="s">
        <v>20</v>
      </c>
      <c r="D472" s="325">
        <f>Advanced!C50</f>
        <v>0</v>
      </c>
      <c r="E472" s="325" t="str">
        <f>IF(Advanced!B50="W","W","A")</f>
        <v>A</v>
      </c>
      <c r="F472" s="325" t="s">
        <v>1739</v>
      </c>
      <c r="G472" s="325" t="str">
        <f>IF(Advanced!W50="e","Y","")</f>
        <v/>
      </c>
      <c r="H472" s="325" t="str">
        <f>IFERROR(VLOOKUP($D472,'SDDA Dogs'!$A:$AE,2,FALSE),"")</f>
        <v/>
      </c>
      <c r="I472" s="325" t="str">
        <f>IFERROR(VLOOKUP($D472,'SDDA Dogs'!$A:$AE,3,FALSE),"")</f>
        <v/>
      </c>
      <c r="J472" s="325" t="str">
        <f>IFERROR(VLOOKUP($D472,'SDDA Dogs'!$A:$AE,6,FALSE),"")</f>
        <v/>
      </c>
      <c r="K472" s="325" t="str">
        <f>IF(Advanced!AS50="","",Advanced!AS50)</f>
        <v/>
      </c>
      <c r="L472" s="325" t="str">
        <f>IF(Advanced!AT50="","",Advanced!AT50)</f>
        <v/>
      </c>
      <c r="M472" s="326" t="str">
        <f>TrialDate</f>
        <v/>
      </c>
      <c r="N472" s="325" t="str">
        <f t="shared" ref="N472" si="554">N471</f>
        <v/>
      </c>
      <c r="O472" s="325">
        <f>JudgeD1ESA</f>
        <v>0</v>
      </c>
    </row>
    <row r="473" spans="1:15" x14ac:dyDescent="0.25">
      <c r="A473" s="2">
        <v>2</v>
      </c>
      <c r="B473" s="2">
        <f t="shared" ref="B473:O473" si="555">B472</f>
        <v>0</v>
      </c>
      <c r="C473" s="2" t="str">
        <f t="shared" si="555"/>
        <v>ESA</v>
      </c>
      <c r="D473" s="2">
        <f t="shared" si="555"/>
        <v>0</v>
      </c>
      <c r="E473" s="2" t="str">
        <f t="shared" si="555"/>
        <v>A</v>
      </c>
      <c r="F473" s="2" t="str">
        <f t="shared" si="555"/>
        <v>Exterior Advanced</v>
      </c>
      <c r="G473" s="2" t="str">
        <f t="shared" si="555"/>
        <v/>
      </c>
      <c r="H473" s="2" t="str">
        <f t="shared" si="555"/>
        <v/>
      </c>
      <c r="I473" s="2" t="str">
        <f t="shared" si="555"/>
        <v/>
      </c>
      <c r="J473" s="2" t="str">
        <f t="shared" si="555"/>
        <v/>
      </c>
      <c r="K473" s="2" t="str">
        <f t="shared" si="555"/>
        <v/>
      </c>
      <c r="L473" s="2" t="str">
        <f t="shared" si="555"/>
        <v/>
      </c>
      <c r="M473" s="180" t="str">
        <f t="shared" si="555"/>
        <v/>
      </c>
      <c r="N473" s="2" t="str">
        <f t="shared" si="555"/>
        <v/>
      </c>
      <c r="O473" s="2">
        <f t="shared" si="555"/>
        <v>0</v>
      </c>
    </row>
    <row r="474" spans="1:15" x14ac:dyDescent="0.25">
      <c r="A474" s="325">
        <v>1</v>
      </c>
      <c r="B474" s="325">
        <f>TrialNumber</f>
        <v>0</v>
      </c>
      <c r="C474" s="325" t="s">
        <v>20</v>
      </c>
      <c r="D474" s="325">
        <f>Advanced!C51</f>
        <v>0</v>
      </c>
      <c r="E474" s="325" t="str">
        <f>IF(Advanced!B51="W","W","A")</f>
        <v>A</v>
      </c>
      <c r="F474" s="325" t="s">
        <v>1739</v>
      </c>
      <c r="G474" s="325" t="str">
        <f>IF(Advanced!W51="e","Y","")</f>
        <v/>
      </c>
      <c r="H474" s="325" t="str">
        <f>IFERROR(VLOOKUP($D474,'SDDA Dogs'!$A:$AE,2,FALSE),"")</f>
        <v/>
      </c>
      <c r="I474" s="325" t="str">
        <f>IFERROR(VLOOKUP($D474,'SDDA Dogs'!$A:$AE,3,FALSE),"")</f>
        <v/>
      </c>
      <c r="J474" s="325" t="str">
        <f>IFERROR(VLOOKUP($D474,'SDDA Dogs'!$A:$AE,6,FALSE),"")</f>
        <v/>
      </c>
      <c r="K474" s="325" t="str">
        <f>IF(Advanced!AS51="","",Advanced!AS51)</f>
        <v/>
      </c>
      <c r="L474" s="325" t="str">
        <f>IF(Advanced!AT51="","",Advanced!AT51)</f>
        <v/>
      </c>
      <c r="M474" s="326" t="str">
        <f>TrialDate</f>
        <v/>
      </c>
      <c r="N474" s="325" t="str">
        <f t="shared" ref="N474" si="556">N473</f>
        <v/>
      </c>
      <c r="O474" s="325">
        <f>JudgeD1ESA</f>
        <v>0</v>
      </c>
    </row>
    <row r="475" spans="1:15" x14ac:dyDescent="0.25">
      <c r="A475" s="2">
        <v>2</v>
      </c>
      <c r="B475" s="2">
        <f t="shared" ref="B475:O475" si="557">B474</f>
        <v>0</v>
      </c>
      <c r="C475" s="2" t="str">
        <f t="shared" si="557"/>
        <v>ESA</v>
      </c>
      <c r="D475" s="2">
        <f t="shared" si="557"/>
        <v>0</v>
      </c>
      <c r="E475" s="2" t="str">
        <f t="shared" si="557"/>
        <v>A</v>
      </c>
      <c r="F475" s="2" t="str">
        <f t="shared" si="557"/>
        <v>Exterior Advanced</v>
      </c>
      <c r="G475" s="2" t="str">
        <f t="shared" si="557"/>
        <v/>
      </c>
      <c r="H475" s="2" t="str">
        <f t="shared" si="557"/>
        <v/>
      </c>
      <c r="I475" s="2" t="str">
        <f t="shared" si="557"/>
        <v/>
      </c>
      <c r="J475" s="2" t="str">
        <f t="shared" si="557"/>
        <v/>
      </c>
      <c r="K475" s="2" t="str">
        <f t="shared" si="557"/>
        <v/>
      </c>
      <c r="L475" s="2" t="str">
        <f t="shared" si="557"/>
        <v/>
      </c>
      <c r="M475" s="180" t="str">
        <f t="shared" si="557"/>
        <v/>
      </c>
      <c r="N475" s="2" t="str">
        <f t="shared" si="557"/>
        <v/>
      </c>
      <c r="O475" s="2">
        <f t="shared" si="557"/>
        <v>0</v>
      </c>
    </row>
    <row r="476" spans="1:15" x14ac:dyDescent="0.25">
      <c r="A476" s="325">
        <v>1</v>
      </c>
      <c r="B476" s="325">
        <f>TrialNumber</f>
        <v>0</v>
      </c>
      <c r="C476" s="325" t="s">
        <v>20</v>
      </c>
      <c r="D476" s="325">
        <f>Advanced!C52</f>
        <v>0</v>
      </c>
      <c r="E476" s="325" t="str">
        <f>IF(Advanced!B52="W","W","A")</f>
        <v>A</v>
      </c>
      <c r="F476" s="325" t="s">
        <v>1739</v>
      </c>
      <c r="G476" s="325" t="str">
        <f>IF(Advanced!W52="e","Y","")</f>
        <v/>
      </c>
      <c r="H476" s="325" t="str">
        <f>IFERROR(VLOOKUP($D476,'SDDA Dogs'!$A:$AE,2,FALSE),"")</f>
        <v/>
      </c>
      <c r="I476" s="325" t="str">
        <f>IFERROR(VLOOKUP($D476,'SDDA Dogs'!$A:$AE,3,FALSE),"")</f>
        <v/>
      </c>
      <c r="J476" s="325" t="str">
        <f>IFERROR(VLOOKUP($D476,'SDDA Dogs'!$A:$AE,6,FALSE),"")</f>
        <v/>
      </c>
      <c r="K476" s="325" t="str">
        <f>IF(Advanced!AS52="","",Advanced!AS52)</f>
        <v/>
      </c>
      <c r="L476" s="325" t="str">
        <f>IF(Advanced!AT52="","",Advanced!AT52)</f>
        <v/>
      </c>
      <c r="M476" s="326" t="str">
        <f>TrialDate</f>
        <v/>
      </c>
      <c r="N476" s="325" t="str">
        <f t="shared" ref="N476" si="558">N475</f>
        <v/>
      </c>
      <c r="O476" s="325">
        <f>JudgeD1ESA</f>
        <v>0</v>
      </c>
    </row>
    <row r="477" spans="1:15" x14ac:dyDescent="0.25">
      <c r="A477" s="2">
        <v>2</v>
      </c>
      <c r="B477" s="2">
        <f t="shared" ref="B477:O477" si="559">B476</f>
        <v>0</v>
      </c>
      <c r="C477" s="2" t="str">
        <f t="shared" si="559"/>
        <v>ESA</v>
      </c>
      <c r="D477" s="2">
        <f t="shared" si="559"/>
        <v>0</v>
      </c>
      <c r="E477" s="2" t="str">
        <f t="shared" si="559"/>
        <v>A</v>
      </c>
      <c r="F477" s="2" t="str">
        <f t="shared" si="559"/>
        <v>Exterior Advanced</v>
      </c>
      <c r="G477" s="2" t="str">
        <f t="shared" si="559"/>
        <v/>
      </c>
      <c r="H477" s="2" t="str">
        <f t="shared" si="559"/>
        <v/>
      </c>
      <c r="I477" s="2" t="str">
        <f t="shared" si="559"/>
        <v/>
      </c>
      <c r="J477" s="2" t="str">
        <f t="shared" si="559"/>
        <v/>
      </c>
      <c r="K477" s="2" t="str">
        <f t="shared" si="559"/>
        <v/>
      </c>
      <c r="L477" s="2" t="str">
        <f t="shared" si="559"/>
        <v/>
      </c>
      <c r="M477" s="180" t="str">
        <f t="shared" si="559"/>
        <v/>
      </c>
      <c r="N477" s="2" t="str">
        <f t="shared" si="559"/>
        <v/>
      </c>
      <c r="O477" s="2">
        <f t="shared" si="559"/>
        <v>0</v>
      </c>
    </row>
    <row r="478" spans="1:15" x14ac:dyDescent="0.25">
      <c r="A478" s="325">
        <v>1</v>
      </c>
      <c r="B478" s="325">
        <f>TrialNumber</f>
        <v>0</v>
      </c>
      <c r="C478" s="325" t="s">
        <v>20</v>
      </c>
      <c r="D478" s="325">
        <f>Advanced!C53</f>
        <v>0</v>
      </c>
      <c r="E478" s="325" t="str">
        <f>IF(Advanced!B53="W","W","A")</f>
        <v>A</v>
      </c>
      <c r="F478" s="325" t="s">
        <v>1739</v>
      </c>
      <c r="G478" s="325" t="str">
        <f>IF(Advanced!W53="e","Y","")</f>
        <v/>
      </c>
      <c r="H478" s="325" t="str">
        <f>IFERROR(VLOOKUP($D478,'SDDA Dogs'!$A:$AE,2,FALSE),"")</f>
        <v/>
      </c>
      <c r="I478" s="325" t="str">
        <f>IFERROR(VLOOKUP($D478,'SDDA Dogs'!$A:$AE,3,FALSE),"")</f>
        <v/>
      </c>
      <c r="J478" s="325" t="str">
        <f>IFERROR(VLOOKUP($D478,'SDDA Dogs'!$A:$AE,6,FALSE),"")</f>
        <v/>
      </c>
      <c r="K478" s="325" t="str">
        <f>IF(Advanced!AS53="","",Advanced!AS53)</f>
        <v/>
      </c>
      <c r="L478" s="325" t="str">
        <f>IF(Advanced!AT53="","",Advanced!AT53)</f>
        <v/>
      </c>
      <c r="M478" s="326" t="str">
        <f>TrialDate</f>
        <v/>
      </c>
      <c r="N478" s="325" t="str">
        <f t="shared" ref="N478" si="560">N477</f>
        <v/>
      </c>
      <c r="O478" s="325">
        <f>JudgeD1ESA</f>
        <v>0</v>
      </c>
    </row>
    <row r="479" spans="1:15" x14ac:dyDescent="0.25">
      <c r="A479" s="2">
        <v>2</v>
      </c>
      <c r="B479" s="2">
        <f t="shared" ref="B479:O479" si="561">B478</f>
        <v>0</v>
      </c>
      <c r="C479" s="2" t="str">
        <f t="shared" si="561"/>
        <v>ESA</v>
      </c>
      <c r="D479" s="2">
        <f t="shared" si="561"/>
        <v>0</v>
      </c>
      <c r="E479" s="2" t="str">
        <f t="shared" si="561"/>
        <v>A</v>
      </c>
      <c r="F479" s="2" t="str">
        <f t="shared" si="561"/>
        <v>Exterior Advanced</v>
      </c>
      <c r="G479" s="2" t="str">
        <f t="shared" si="561"/>
        <v/>
      </c>
      <c r="H479" s="2" t="str">
        <f t="shared" si="561"/>
        <v/>
      </c>
      <c r="I479" s="2" t="str">
        <f t="shared" si="561"/>
        <v/>
      </c>
      <c r="J479" s="2" t="str">
        <f t="shared" si="561"/>
        <v/>
      </c>
      <c r="K479" s="2" t="str">
        <f t="shared" si="561"/>
        <v/>
      </c>
      <c r="L479" s="2" t="str">
        <f t="shared" si="561"/>
        <v/>
      </c>
      <c r="M479" s="180" t="str">
        <f t="shared" si="561"/>
        <v/>
      </c>
      <c r="N479" s="2" t="str">
        <f t="shared" si="561"/>
        <v/>
      </c>
      <c r="O479" s="2">
        <f t="shared" si="561"/>
        <v>0</v>
      </c>
    </row>
    <row r="480" spans="1:15" x14ac:dyDescent="0.25">
      <c r="A480" s="325">
        <v>1</v>
      </c>
      <c r="B480" s="325">
        <f>TrialNumber</f>
        <v>0</v>
      </c>
      <c r="C480" s="325" t="s">
        <v>20</v>
      </c>
      <c r="D480" s="325">
        <f>Advanced!C54</f>
        <v>0</v>
      </c>
      <c r="E480" s="325" t="str">
        <f>IF(Advanced!B54="W","W","A")</f>
        <v>A</v>
      </c>
      <c r="F480" s="325" t="s">
        <v>1739</v>
      </c>
      <c r="G480" s="325" t="str">
        <f>IF(Advanced!W54="e","Y","")</f>
        <v/>
      </c>
      <c r="H480" s="325" t="str">
        <f>IFERROR(VLOOKUP($D480,'SDDA Dogs'!$A:$AE,2,FALSE),"")</f>
        <v/>
      </c>
      <c r="I480" s="325" t="str">
        <f>IFERROR(VLOOKUP($D480,'SDDA Dogs'!$A:$AE,3,FALSE),"")</f>
        <v/>
      </c>
      <c r="J480" s="325" t="str">
        <f>IFERROR(VLOOKUP($D480,'SDDA Dogs'!$A:$AE,6,FALSE),"")</f>
        <v/>
      </c>
      <c r="K480" s="325" t="str">
        <f>IF(Advanced!AS54="","",Advanced!AS54)</f>
        <v/>
      </c>
      <c r="L480" s="325" t="str">
        <f>IF(Advanced!AT54="","",Advanced!AT54)</f>
        <v/>
      </c>
      <c r="M480" s="326" t="str">
        <f>TrialDate</f>
        <v/>
      </c>
      <c r="N480" s="325" t="str">
        <f t="shared" ref="N480" si="562">N479</f>
        <v/>
      </c>
      <c r="O480" s="325">
        <f>JudgeD1ESA</f>
        <v>0</v>
      </c>
    </row>
    <row r="481" spans="1:15" x14ac:dyDescent="0.25">
      <c r="A481" s="2">
        <v>2</v>
      </c>
      <c r="B481" s="2">
        <f t="shared" ref="B481:O517" si="563">B480</f>
        <v>0</v>
      </c>
      <c r="C481" s="2" t="str">
        <f t="shared" si="563"/>
        <v>ESA</v>
      </c>
      <c r="D481" s="2">
        <f t="shared" si="563"/>
        <v>0</v>
      </c>
      <c r="E481" s="2" t="str">
        <f t="shared" si="563"/>
        <v>A</v>
      </c>
      <c r="F481" s="2" t="str">
        <f t="shared" si="563"/>
        <v>Exterior Advanced</v>
      </c>
      <c r="G481" s="2" t="str">
        <f t="shared" si="563"/>
        <v/>
      </c>
      <c r="H481" s="2" t="str">
        <f t="shared" si="563"/>
        <v/>
      </c>
      <c r="I481" s="2" t="str">
        <f t="shared" si="563"/>
        <v/>
      </c>
      <c r="J481" s="2" t="str">
        <f t="shared" si="563"/>
        <v/>
      </c>
      <c r="K481" s="2" t="str">
        <f t="shared" si="563"/>
        <v/>
      </c>
      <c r="L481" s="2" t="str">
        <f t="shared" si="563"/>
        <v/>
      </c>
      <c r="M481" s="180" t="str">
        <f t="shared" si="563"/>
        <v/>
      </c>
      <c r="N481" s="2" t="str">
        <f t="shared" ref="N481" si="564">N480</f>
        <v/>
      </c>
      <c r="O481" s="2">
        <f t="shared" si="563"/>
        <v>0</v>
      </c>
    </row>
    <row r="482" spans="1:15" s="149" customFormat="1" x14ac:dyDescent="0.25">
      <c r="A482" s="327">
        <v>1</v>
      </c>
      <c r="B482" s="327">
        <f>TrialNumber</f>
        <v>0</v>
      </c>
      <c r="C482" s="327" t="s">
        <v>21</v>
      </c>
      <c r="D482" s="327">
        <f>Excellent!C5</f>
        <v>0</v>
      </c>
      <c r="E482" s="327" t="str">
        <f>IF(Excellent!B5="W","W","A")</f>
        <v>A</v>
      </c>
      <c r="F482" s="327" t="s">
        <v>1740</v>
      </c>
      <c r="G482" s="327" t="str">
        <f>IF(Excellent!G5="e","Y","")</f>
        <v/>
      </c>
      <c r="H482" s="327" t="str">
        <f>IFERROR(VLOOKUP($D482,'SDDA Dogs'!$A:$AE,2,FALSE),"")</f>
        <v/>
      </c>
      <c r="I482" s="327" t="str">
        <f>IFERROR(VLOOKUP($D482,'SDDA Dogs'!$A:$AE,3,FALSE),"")</f>
        <v/>
      </c>
      <c r="J482" s="327" t="str">
        <f>IFERROR(VLOOKUP($D482,'SDDA Dogs'!$A:$AE,6,FALSE),"")</f>
        <v/>
      </c>
      <c r="K482" s="327" t="str">
        <f>IF(Excellent!AS5="","",Excellent!AS5)</f>
        <v/>
      </c>
      <c r="L482" s="327" t="str">
        <f>IF(Excellent!AT5="","",Excellent!AT5)</f>
        <v/>
      </c>
      <c r="M482" s="328" t="str">
        <f>TrialDate</f>
        <v/>
      </c>
      <c r="N482" s="325" t="str">
        <f t="shared" ref="N482" si="565">N481</f>
        <v/>
      </c>
      <c r="O482" s="327">
        <f>JudgeD1CSE</f>
        <v>0</v>
      </c>
    </row>
    <row r="483" spans="1:15" x14ac:dyDescent="0.25">
      <c r="A483" s="2">
        <v>2</v>
      </c>
      <c r="B483" s="2">
        <f t="shared" si="563"/>
        <v>0</v>
      </c>
      <c r="C483" s="2" t="str">
        <f t="shared" si="563"/>
        <v>CSE</v>
      </c>
      <c r="D483" s="2">
        <f t="shared" si="563"/>
        <v>0</v>
      </c>
      <c r="E483" s="2" t="str">
        <f t="shared" si="563"/>
        <v>A</v>
      </c>
      <c r="F483" s="2" t="str">
        <f t="shared" si="563"/>
        <v>Container Excellent</v>
      </c>
      <c r="G483" s="2" t="str">
        <f t="shared" si="563"/>
        <v/>
      </c>
      <c r="H483" s="2" t="str">
        <f t="shared" si="563"/>
        <v/>
      </c>
      <c r="I483" s="2" t="str">
        <f t="shared" si="563"/>
        <v/>
      </c>
      <c r="J483" s="2" t="str">
        <f t="shared" si="563"/>
        <v/>
      </c>
      <c r="K483" s="2" t="str">
        <f t="shared" si="563"/>
        <v/>
      </c>
      <c r="L483" s="2" t="str">
        <f t="shared" si="563"/>
        <v/>
      </c>
      <c r="M483" s="180" t="str">
        <f t="shared" si="563"/>
        <v/>
      </c>
      <c r="N483" s="2" t="str">
        <f t="shared" ref="N483" si="566">N482</f>
        <v/>
      </c>
      <c r="O483" s="2">
        <f t="shared" si="563"/>
        <v>0</v>
      </c>
    </row>
    <row r="484" spans="1:15" x14ac:dyDescent="0.25">
      <c r="A484" s="325">
        <v>1</v>
      </c>
      <c r="B484" s="325">
        <f>TrialNumber</f>
        <v>0</v>
      </c>
      <c r="C484" s="325" t="s">
        <v>21</v>
      </c>
      <c r="D484" s="325">
        <f>Excellent!C6</f>
        <v>0</v>
      </c>
      <c r="E484" s="325" t="str">
        <f>IF(Excellent!B6="W","W","A")</f>
        <v>A</v>
      </c>
      <c r="F484" s="325" t="s">
        <v>1740</v>
      </c>
      <c r="G484" s="325" t="str">
        <f>IF(Excellent!G6="e","Y","")</f>
        <v/>
      </c>
      <c r="H484" s="325" t="str">
        <f>IFERROR(VLOOKUP($D484,'SDDA Dogs'!$A:$AE,2,FALSE),"")</f>
        <v/>
      </c>
      <c r="I484" s="325" t="str">
        <f>IFERROR(VLOOKUP($D484,'SDDA Dogs'!$A:$AE,3,FALSE),"")</f>
        <v/>
      </c>
      <c r="J484" s="325" t="str">
        <f>IFERROR(VLOOKUP($D484,'SDDA Dogs'!$A:$AE,6,FALSE),"")</f>
        <v/>
      </c>
      <c r="K484" s="325" t="str">
        <f>IF(Excellent!AS6="","",Excellent!AS6)</f>
        <v/>
      </c>
      <c r="L484" s="325" t="str">
        <f>IF(Excellent!AT6="","",Excellent!AT6)</f>
        <v/>
      </c>
      <c r="M484" s="326" t="str">
        <f>TrialDate</f>
        <v/>
      </c>
      <c r="N484" s="325" t="str">
        <f t="shared" ref="N484" si="567">N483</f>
        <v/>
      </c>
      <c r="O484" s="325">
        <f>JudgeD1CSE</f>
        <v>0</v>
      </c>
    </row>
    <row r="485" spans="1:15" x14ac:dyDescent="0.25">
      <c r="A485" s="2">
        <v>2</v>
      </c>
      <c r="B485" s="2">
        <f t="shared" si="563"/>
        <v>0</v>
      </c>
      <c r="C485" s="2" t="str">
        <f t="shared" si="563"/>
        <v>CSE</v>
      </c>
      <c r="D485" s="2">
        <f t="shared" si="563"/>
        <v>0</v>
      </c>
      <c r="E485" s="2" t="str">
        <f t="shared" si="563"/>
        <v>A</v>
      </c>
      <c r="F485" s="2" t="str">
        <f t="shared" si="563"/>
        <v>Container Excellent</v>
      </c>
      <c r="G485" s="2" t="str">
        <f t="shared" si="563"/>
        <v/>
      </c>
      <c r="H485" s="2" t="str">
        <f t="shared" si="563"/>
        <v/>
      </c>
      <c r="I485" s="2" t="str">
        <f t="shared" si="563"/>
        <v/>
      </c>
      <c r="J485" s="2" t="str">
        <f t="shared" si="563"/>
        <v/>
      </c>
      <c r="K485" s="2" t="str">
        <f t="shared" si="563"/>
        <v/>
      </c>
      <c r="L485" s="2" t="str">
        <f t="shared" si="563"/>
        <v/>
      </c>
      <c r="M485" s="180" t="str">
        <f t="shared" si="563"/>
        <v/>
      </c>
      <c r="N485" s="2" t="str">
        <f t="shared" ref="N485" si="568">N484</f>
        <v/>
      </c>
      <c r="O485" s="2">
        <f t="shared" si="563"/>
        <v>0</v>
      </c>
    </row>
    <row r="486" spans="1:15" x14ac:dyDescent="0.25">
      <c r="A486" s="325">
        <v>1</v>
      </c>
      <c r="B486" s="325">
        <f>TrialNumber</f>
        <v>0</v>
      </c>
      <c r="C486" s="325" t="s">
        <v>21</v>
      </c>
      <c r="D486" s="325">
        <f>Excellent!C7</f>
        <v>0</v>
      </c>
      <c r="E486" s="325" t="str">
        <f>IF(Excellent!B7="W","W","A")</f>
        <v>A</v>
      </c>
      <c r="F486" s="325" t="s">
        <v>1740</v>
      </c>
      <c r="G486" s="325" t="str">
        <f>IF(Excellent!G7="e","Y","")</f>
        <v/>
      </c>
      <c r="H486" s="325" t="str">
        <f>IFERROR(VLOOKUP($D486,'SDDA Dogs'!$A:$AE,2,FALSE),"")</f>
        <v/>
      </c>
      <c r="I486" s="325" t="str">
        <f>IFERROR(VLOOKUP($D486,'SDDA Dogs'!$A:$AE,3,FALSE),"")</f>
        <v/>
      </c>
      <c r="J486" s="325" t="str">
        <f>IFERROR(VLOOKUP($D486,'SDDA Dogs'!$A:$AE,6,FALSE),"")</f>
        <v/>
      </c>
      <c r="K486" s="325" t="str">
        <f>IF(Excellent!AS7="","",Excellent!AS7)</f>
        <v/>
      </c>
      <c r="L486" s="325" t="str">
        <f>IF(Excellent!AT7="","",Excellent!AT7)</f>
        <v/>
      </c>
      <c r="M486" s="326" t="str">
        <f>TrialDate</f>
        <v/>
      </c>
      <c r="N486" s="325" t="str">
        <f t="shared" ref="N486" si="569">N485</f>
        <v/>
      </c>
      <c r="O486" s="325">
        <f>JudgeD1CSE</f>
        <v>0</v>
      </c>
    </row>
    <row r="487" spans="1:15" x14ac:dyDescent="0.25">
      <c r="A487" s="2">
        <v>2</v>
      </c>
      <c r="B487" s="2">
        <f t="shared" si="563"/>
        <v>0</v>
      </c>
      <c r="C487" s="2" t="str">
        <f t="shared" si="563"/>
        <v>CSE</v>
      </c>
      <c r="D487" s="2">
        <f t="shared" si="563"/>
        <v>0</v>
      </c>
      <c r="E487" s="2" t="str">
        <f t="shared" si="563"/>
        <v>A</v>
      </c>
      <c r="F487" s="2" t="str">
        <f t="shared" si="563"/>
        <v>Container Excellent</v>
      </c>
      <c r="G487" s="2" t="str">
        <f t="shared" si="563"/>
        <v/>
      </c>
      <c r="H487" s="2" t="str">
        <f t="shared" si="563"/>
        <v/>
      </c>
      <c r="I487" s="2" t="str">
        <f t="shared" si="563"/>
        <v/>
      </c>
      <c r="J487" s="2" t="str">
        <f t="shared" si="563"/>
        <v/>
      </c>
      <c r="K487" s="2" t="str">
        <f t="shared" si="563"/>
        <v/>
      </c>
      <c r="L487" s="2" t="str">
        <f t="shared" si="563"/>
        <v/>
      </c>
      <c r="M487" s="180" t="str">
        <f t="shared" si="563"/>
        <v/>
      </c>
      <c r="N487" s="2" t="str">
        <f t="shared" ref="N487" si="570">N486</f>
        <v/>
      </c>
      <c r="O487" s="2">
        <f t="shared" si="563"/>
        <v>0</v>
      </c>
    </row>
    <row r="488" spans="1:15" x14ac:dyDescent="0.25">
      <c r="A488" s="325">
        <v>1</v>
      </c>
      <c r="B488" s="325">
        <f>TrialNumber</f>
        <v>0</v>
      </c>
      <c r="C488" s="325" t="s">
        <v>21</v>
      </c>
      <c r="D488" s="325">
        <f>Excellent!C8</f>
        <v>0</v>
      </c>
      <c r="E488" s="325" t="str">
        <f>IF(Excellent!B8="W","W","A")</f>
        <v>A</v>
      </c>
      <c r="F488" s="325" t="s">
        <v>1740</v>
      </c>
      <c r="G488" s="325" t="str">
        <f>IF(Excellent!G8="e","Y","")</f>
        <v/>
      </c>
      <c r="H488" s="325" t="str">
        <f>IFERROR(VLOOKUP($D488,'SDDA Dogs'!$A:$AE,2,FALSE),"")</f>
        <v/>
      </c>
      <c r="I488" s="325" t="str">
        <f>IFERROR(VLOOKUP($D488,'SDDA Dogs'!$A:$AE,3,FALSE),"")</f>
        <v/>
      </c>
      <c r="J488" s="325" t="str">
        <f>IFERROR(VLOOKUP($D488,'SDDA Dogs'!$A:$AE,6,FALSE),"")</f>
        <v/>
      </c>
      <c r="K488" s="325" t="str">
        <f>IF(Excellent!AS8="","",Excellent!AS8)</f>
        <v/>
      </c>
      <c r="L488" s="325" t="str">
        <f>IF(Excellent!AT8="","",Excellent!AT8)</f>
        <v/>
      </c>
      <c r="M488" s="326" t="str">
        <f>TrialDate</f>
        <v/>
      </c>
      <c r="N488" s="325" t="str">
        <f t="shared" ref="N488" si="571">N487</f>
        <v/>
      </c>
      <c r="O488" s="325">
        <f>JudgeD1CSE</f>
        <v>0</v>
      </c>
    </row>
    <row r="489" spans="1:15" x14ac:dyDescent="0.25">
      <c r="A489" s="2">
        <v>2</v>
      </c>
      <c r="B489" s="2">
        <f t="shared" si="563"/>
        <v>0</v>
      </c>
      <c r="C489" s="2" t="str">
        <f t="shared" si="563"/>
        <v>CSE</v>
      </c>
      <c r="D489" s="2">
        <f t="shared" si="563"/>
        <v>0</v>
      </c>
      <c r="E489" s="2" t="str">
        <f t="shared" si="563"/>
        <v>A</v>
      </c>
      <c r="F489" s="2" t="str">
        <f t="shared" si="563"/>
        <v>Container Excellent</v>
      </c>
      <c r="G489" s="2" t="str">
        <f t="shared" si="563"/>
        <v/>
      </c>
      <c r="H489" s="2" t="str">
        <f t="shared" si="563"/>
        <v/>
      </c>
      <c r="I489" s="2" t="str">
        <f t="shared" si="563"/>
        <v/>
      </c>
      <c r="J489" s="2" t="str">
        <f t="shared" si="563"/>
        <v/>
      </c>
      <c r="K489" s="2" t="str">
        <f t="shared" si="563"/>
        <v/>
      </c>
      <c r="L489" s="2" t="str">
        <f t="shared" si="563"/>
        <v/>
      </c>
      <c r="M489" s="180" t="str">
        <f t="shared" si="563"/>
        <v/>
      </c>
      <c r="N489" s="2" t="str">
        <f t="shared" ref="N489" si="572">N488</f>
        <v/>
      </c>
      <c r="O489" s="2">
        <f t="shared" si="563"/>
        <v>0</v>
      </c>
    </row>
    <row r="490" spans="1:15" x14ac:dyDescent="0.25">
      <c r="A490" s="325">
        <v>1</v>
      </c>
      <c r="B490" s="325">
        <f>TrialNumber</f>
        <v>0</v>
      </c>
      <c r="C490" s="325" t="s">
        <v>21</v>
      </c>
      <c r="D490" s="325">
        <f>Excellent!C9</f>
        <v>0</v>
      </c>
      <c r="E490" s="325" t="str">
        <f>IF(Excellent!B9="W","W","A")</f>
        <v>A</v>
      </c>
      <c r="F490" s="325" t="s">
        <v>1740</v>
      </c>
      <c r="G490" s="325" t="str">
        <f>IF(Excellent!G9="e","Y","")</f>
        <v/>
      </c>
      <c r="H490" s="325" t="str">
        <f>IFERROR(VLOOKUP($D490,'SDDA Dogs'!$A:$AE,2,FALSE),"")</f>
        <v/>
      </c>
      <c r="I490" s="325" t="str">
        <f>IFERROR(VLOOKUP($D490,'SDDA Dogs'!$A:$AE,3,FALSE),"")</f>
        <v/>
      </c>
      <c r="J490" s="325" t="str">
        <f>IFERROR(VLOOKUP($D490,'SDDA Dogs'!$A:$AE,6,FALSE),"")</f>
        <v/>
      </c>
      <c r="K490" s="325" t="str">
        <f>IF(Excellent!AS9="","",Excellent!AS9)</f>
        <v/>
      </c>
      <c r="L490" s="325" t="str">
        <f>IF(Excellent!AT9="","",Excellent!AT9)</f>
        <v/>
      </c>
      <c r="M490" s="326" t="str">
        <f>TrialDate</f>
        <v/>
      </c>
      <c r="N490" s="325" t="str">
        <f t="shared" ref="N490" si="573">N489</f>
        <v/>
      </c>
      <c r="O490" s="325">
        <f>JudgeD1CSE</f>
        <v>0</v>
      </c>
    </row>
    <row r="491" spans="1:15" x14ac:dyDescent="0.25">
      <c r="A491" s="2">
        <v>2</v>
      </c>
      <c r="B491" s="2">
        <f t="shared" si="563"/>
        <v>0</v>
      </c>
      <c r="C491" s="2" t="str">
        <f t="shared" si="563"/>
        <v>CSE</v>
      </c>
      <c r="D491" s="2">
        <f t="shared" si="563"/>
        <v>0</v>
      </c>
      <c r="E491" s="2" t="str">
        <f t="shared" si="563"/>
        <v>A</v>
      </c>
      <c r="F491" s="2" t="str">
        <f t="shared" si="563"/>
        <v>Container Excellent</v>
      </c>
      <c r="G491" s="2" t="str">
        <f t="shared" si="563"/>
        <v/>
      </c>
      <c r="H491" s="2" t="str">
        <f t="shared" si="563"/>
        <v/>
      </c>
      <c r="I491" s="2" t="str">
        <f t="shared" si="563"/>
        <v/>
      </c>
      <c r="J491" s="2" t="str">
        <f t="shared" si="563"/>
        <v/>
      </c>
      <c r="K491" s="2" t="str">
        <f t="shared" si="563"/>
        <v/>
      </c>
      <c r="L491" s="2" t="str">
        <f t="shared" si="563"/>
        <v/>
      </c>
      <c r="M491" s="180" t="str">
        <f t="shared" si="563"/>
        <v/>
      </c>
      <c r="N491" s="2" t="str">
        <f t="shared" ref="N491" si="574">N490</f>
        <v/>
      </c>
      <c r="O491" s="2">
        <f t="shared" si="563"/>
        <v>0</v>
      </c>
    </row>
    <row r="492" spans="1:15" x14ac:dyDescent="0.25">
      <c r="A492" s="325">
        <v>1</v>
      </c>
      <c r="B492" s="325">
        <f>TrialNumber</f>
        <v>0</v>
      </c>
      <c r="C492" s="325" t="s">
        <v>21</v>
      </c>
      <c r="D492" s="325">
        <f>Excellent!C10</f>
        <v>0</v>
      </c>
      <c r="E492" s="325" t="str">
        <f>IF(Excellent!B10="W","W","A")</f>
        <v>A</v>
      </c>
      <c r="F492" s="325" t="s">
        <v>1740</v>
      </c>
      <c r="G492" s="325" t="str">
        <f>IF(Excellent!G10="e","Y","")</f>
        <v/>
      </c>
      <c r="H492" s="325" t="str">
        <f>IFERROR(VLOOKUP($D492,'SDDA Dogs'!$A:$AE,2,FALSE),"")</f>
        <v/>
      </c>
      <c r="I492" s="325" t="str">
        <f>IFERROR(VLOOKUP($D492,'SDDA Dogs'!$A:$AE,3,FALSE),"")</f>
        <v/>
      </c>
      <c r="J492" s="325" t="str">
        <f>IFERROR(VLOOKUP($D492,'SDDA Dogs'!$A:$AE,6,FALSE),"")</f>
        <v/>
      </c>
      <c r="K492" s="325" t="str">
        <f>IF(Excellent!AS10="","",Excellent!AS10)</f>
        <v/>
      </c>
      <c r="L492" s="325" t="str">
        <f>IF(Excellent!AT10="","",Excellent!AT10)</f>
        <v/>
      </c>
      <c r="M492" s="326" t="str">
        <f>TrialDate</f>
        <v/>
      </c>
      <c r="N492" s="325" t="str">
        <f t="shared" ref="N492" si="575">N491</f>
        <v/>
      </c>
      <c r="O492" s="325">
        <f>JudgeD1CSE</f>
        <v>0</v>
      </c>
    </row>
    <row r="493" spans="1:15" x14ac:dyDescent="0.25">
      <c r="A493" s="2">
        <v>2</v>
      </c>
      <c r="B493" s="2">
        <f t="shared" si="563"/>
        <v>0</v>
      </c>
      <c r="C493" s="2" t="str">
        <f t="shared" si="563"/>
        <v>CSE</v>
      </c>
      <c r="D493" s="2">
        <f t="shared" si="563"/>
        <v>0</v>
      </c>
      <c r="E493" s="2" t="str">
        <f t="shared" si="563"/>
        <v>A</v>
      </c>
      <c r="F493" s="2" t="str">
        <f t="shared" si="563"/>
        <v>Container Excellent</v>
      </c>
      <c r="G493" s="2" t="str">
        <f t="shared" si="563"/>
        <v/>
      </c>
      <c r="H493" s="2" t="str">
        <f t="shared" si="563"/>
        <v/>
      </c>
      <c r="I493" s="2" t="str">
        <f t="shared" si="563"/>
        <v/>
      </c>
      <c r="J493" s="2" t="str">
        <f t="shared" si="563"/>
        <v/>
      </c>
      <c r="K493" s="2" t="str">
        <f t="shared" si="563"/>
        <v/>
      </c>
      <c r="L493" s="2" t="str">
        <f t="shared" si="563"/>
        <v/>
      </c>
      <c r="M493" s="180" t="str">
        <f t="shared" si="563"/>
        <v/>
      </c>
      <c r="N493" s="2" t="str">
        <f t="shared" ref="N493" si="576">N492</f>
        <v/>
      </c>
      <c r="O493" s="2">
        <f t="shared" si="563"/>
        <v>0</v>
      </c>
    </row>
    <row r="494" spans="1:15" x14ac:dyDescent="0.25">
      <c r="A494" s="325">
        <v>1</v>
      </c>
      <c r="B494" s="325">
        <f>TrialNumber</f>
        <v>0</v>
      </c>
      <c r="C494" s="325" t="s">
        <v>21</v>
      </c>
      <c r="D494" s="325">
        <f>Excellent!C11</f>
        <v>0</v>
      </c>
      <c r="E494" s="325" t="str">
        <f>IF(Excellent!B11="W","W","A")</f>
        <v>A</v>
      </c>
      <c r="F494" s="325" t="s">
        <v>1740</v>
      </c>
      <c r="G494" s="325" t="str">
        <f>IF(Excellent!G11="e","Y","")</f>
        <v/>
      </c>
      <c r="H494" s="325" t="str">
        <f>IFERROR(VLOOKUP($D494,'SDDA Dogs'!$A:$AE,2,FALSE),"")</f>
        <v/>
      </c>
      <c r="I494" s="325" t="str">
        <f>IFERROR(VLOOKUP($D494,'SDDA Dogs'!$A:$AE,3,FALSE),"")</f>
        <v/>
      </c>
      <c r="J494" s="325" t="str">
        <f>IFERROR(VLOOKUP($D494,'SDDA Dogs'!$A:$AE,6,FALSE),"")</f>
        <v/>
      </c>
      <c r="K494" s="325" t="str">
        <f>IF(Excellent!AS11="","",Excellent!AS11)</f>
        <v/>
      </c>
      <c r="L494" s="325" t="str">
        <f>IF(Excellent!AT11="","",Excellent!AT11)</f>
        <v/>
      </c>
      <c r="M494" s="326" t="str">
        <f>TrialDate</f>
        <v/>
      </c>
      <c r="N494" s="325" t="str">
        <f t="shared" ref="N494" si="577">N493</f>
        <v/>
      </c>
      <c r="O494" s="325">
        <f>JudgeD1CSE</f>
        <v>0</v>
      </c>
    </row>
    <row r="495" spans="1:15" x14ac:dyDescent="0.25">
      <c r="A495" s="2">
        <v>2</v>
      </c>
      <c r="B495" s="2">
        <f t="shared" si="563"/>
        <v>0</v>
      </c>
      <c r="C495" s="2" t="str">
        <f t="shared" si="563"/>
        <v>CSE</v>
      </c>
      <c r="D495" s="2">
        <f t="shared" si="563"/>
        <v>0</v>
      </c>
      <c r="E495" s="2" t="str">
        <f t="shared" si="563"/>
        <v>A</v>
      </c>
      <c r="F495" s="2" t="str">
        <f t="shared" si="563"/>
        <v>Container Excellent</v>
      </c>
      <c r="G495" s="2" t="str">
        <f t="shared" si="563"/>
        <v/>
      </c>
      <c r="H495" s="2" t="str">
        <f t="shared" si="563"/>
        <v/>
      </c>
      <c r="I495" s="2" t="str">
        <f t="shared" si="563"/>
        <v/>
      </c>
      <c r="J495" s="2" t="str">
        <f t="shared" si="563"/>
        <v/>
      </c>
      <c r="K495" s="2" t="str">
        <f t="shared" si="563"/>
        <v/>
      </c>
      <c r="L495" s="2" t="str">
        <f t="shared" si="563"/>
        <v/>
      </c>
      <c r="M495" s="180" t="str">
        <f t="shared" si="563"/>
        <v/>
      </c>
      <c r="N495" s="2" t="str">
        <f t="shared" ref="N495" si="578">N494</f>
        <v/>
      </c>
      <c r="O495" s="2">
        <f t="shared" si="563"/>
        <v>0</v>
      </c>
    </row>
    <row r="496" spans="1:15" x14ac:dyDescent="0.25">
      <c r="A496" s="325">
        <v>1</v>
      </c>
      <c r="B496" s="325">
        <f>TrialNumber</f>
        <v>0</v>
      </c>
      <c r="C496" s="325" t="s">
        <v>21</v>
      </c>
      <c r="D496" s="325">
        <f>Excellent!C12</f>
        <v>0</v>
      </c>
      <c r="E496" s="325" t="str">
        <f>IF(Excellent!B12="W","W","A")</f>
        <v>A</v>
      </c>
      <c r="F496" s="325" t="s">
        <v>1740</v>
      </c>
      <c r="G496" s="325" t="str">
        <f>IF(Excellent!G12="e","Y","")</f>
        <v/>
      </c>
      <c r="H496" s="325" t="str">
        <f>IFERROR(VLOOKUP($D496,'SDDA Dogs'!$A:$AE,2,FALSE),"")</f>
        <v/>
      </c>
      <c r="I496" s="325" t="str">
        <f>IFERROR(VLOOKUP($D496,'SDDA Dogs'!$A:$AE,3,FALSE),"")</f>
        <v/>
      </c>
      <c r="J496" s="325" t="str">
        <f>IFERROR(VLOOKUP($D496,'SDDA Dogs'!$A:$AE,6,FALSE),"")</f>
        <v/>
      </c>
      <c r="K496" s="325" t="str">
        <f>IF(Excellent!AS12="","",Excellent!AS12)</f>
        <v/>
      </c>
      <c r="L496" s="325" t="str">
        <f>IF(Excellent!AT12="","",Excellent!AT12)</f>
        <v/>
      </c>
      <c r="M496" s="326" t="str">
        <f>TrialDate</f>
        <v/>
      </c>
      <c r="N496" s="325" t="str">
        <f t="shared" ref="N496" si="579">N495</f>
        <v/>
      </c>
      <c r="O496" s="325">
        <f>JudgeD1CSE</f>
        <v>0</v>
      </c>
    </row>
    <row r="497" spans="1:15" x14ac:dyDescent="0.25">
      <c r="A497" s="2">
        <v>2</v>
      </c>
      <c r="B497" s="2">
        <f t="shared" si="563"/>
        <v>0</v>
      </c>
      <c r="C497" s="2" t="str">
        <f t="shared" si="563"/>
        <v>CSE</v>
      </c>
      <c r="D497" s="2">
        <f t="shared" si="563"/>
        <v>0</v>
      </c>
      <c r="E497" s="2" t="str">
        <f t="shared" si="563"/>
        <v>A</v>
      </c>
      <c r="F497" s="2" t="str">
        <f t="shared" si="563"/>
        <v>Container Excellent</v>
      </c>
      <c r="G497" s="2" t="str">
        <f t="shared" si="563"/>
        <v/>
      </c>
      <c r="H497" s="2" t="str">
        <f t="shared" si="563"/>
        <v/>
      </c>
      <c r="I497" s="2" t="str">
        <f t="shared" si="563"/>
        <v/>
      </c>
      <c r="J497" s="2" t="str">
        <f t="shared" si="563"/>
        <v/>
      </c>
      <c r="K497" s="2" t="str">
        <f t="shared" si="563"/>
        <v/>
      </c>
      <c r="L497" s="2" t="str">
        <f t="shared" si="563"/>
        <v/>
      </c>
      <c r="M497" s="180" t="str">
        <f t="shared" si="563"/>
        <v/>
      </c>
      <c r="N497" s="2" t="str">
        <f t="shared" ref="N497" si="580">N496</f>
        <v/>
      </c>
      <c r="O497" s="2">
        <f t="shared" si="563"/>
        <v>0</v>
      </c>
    </row>
    <row r="498" spans="1:15" x14ac:dyDescent="0.25">
      <c r="A498" s="325">
        <v>1</v>
      </c>
      <c r="B498" s="325">
        <f>TrialNumber</f>
        <v>0</v>
      </c>
      <c r="C498" s="325" t="s">
        <v>21</v>
      </c>
      <c r="D498" s="325">
        <f>Excellent!C13</f>
        <v>0</v>
      </c>
      <c r="E498" s="325" t="str">
        <f>IF(Excellent!B13="W","W","A")</f>
        <v>A</v>
      </c>
      <c r="F498" s="325" t="s">
        <v>1740</v>
      </c>
      <c r="G498" s="325" t="str">
        <f>IF(Excellent!G13="e","Y","")</f>
        <v/>
      </c>
      <c r="H498" s="325" t="str">
        <f>IFERROR(VLOOKUP($D498,'SDDA Dogs'!$A:$AE,2,FALSE),"")</f>
        <v/>
      </c>
      <c r="I498" s="325" t="str">
        <f>IFERROR(VLOOKUP($D498,'SDDA Dogs'!$A:$AE,3,FALSE),"")</f>
        <v/>
      </c>
      <c r="J498" s="325" t="str">
        <f>IFERROR(VLOOKUP($D498,'SDDA Dogs'!$A:$AE,6,FALSE),"")</f>
        <v/>
      </c>
      <c r="K498" s="325" t="str">
        <f>IF(Excellent!AS13="","",Excellent!AS13)</f>
        <v/>
      </c>
      <c r="L498" s="325" t="str">
        <f>IF(Excellent!AT13="","",Excellent!AT13)</f>
        <v/>
      </c>
      <c r="M498" s="326" t="str">
        <f>TrialDate</f>
        <v/>
      </c>
      <c r="N498" s="325" t="str">
        <f t="shared" ref="N498" si="581">N497</f>
        <v/>
      </c>
      <c r="O498" s="325">
        <f>JudgeD1CSE</f>
        <v>0</v>
      </c>
    </row>
    <row r="499" spans="1:15" x14ac:dyDescent="0.25">
      <c r="A499" s="2">
        <v>2</v>
      </c>
      <c r="B499" s="2">
        <f t="shared" si="563"/>
        <v>0</v>
      </c>
      <c r="C499" s="2" t="str">
        <f t="shared" si="563"/>
        <v>CSE</v>
      </c>
      <c r="D499" s="2">
        <f t="shared" si="563"/>
        <v>0</v>
      </c>
      <c r="E499" s="2" t="str">
        <f t="shared" si="563"/>
        <v>A</v>
      </c>
      <c r="F499" s="2" t="str">
        <f t="shared" si="563"/>
        <v>Container Excellent</v>
      </c>
      <c r="G499" s="2" t="str">
        <f t="shared" si="563"/>
        <v/>
      </c>
      <c r="H499" s="2" t="str">
        <f t="shared" si="563"/>
        <v/>
      </c>
      <c r="I499" s="2" t="str">
        <f t="shared" si="563"/>
        <v/>
      </c>
      <c r="J499" s="2" t="str">
        <f t="shared" si="563"/>
        <v/>
      </c>
      <c r="K499" s="2" t="str">
        <f t="shared" si="563"/>
        <v/>
      </c>
      <c r="L499" s="2" t="str">
        <f t="shared" si="563"/>
        <v/>
      </c>
      <c r="M499" s="180" t="str">
        <f t="shared" si="563"/>
        <v/>
      </c>
      <c r="N499" s="2" t="str">
        <f t="shared" ref="N499" si="582">N498</f>
        <v/>
      </c>
      <c r="O499" s="2">
        <f t="shared" si="563"/>
        <v>0</v>
      </c>
    </row>
    <row r="500" spans="1:15" x14ac:dyDescent="0.25">
      <c r="A500" s="325">
        <v>1</v>
      </c>
      <c r="B500" s="325">
        <f>TrialNumber</f>
        <v>0</v>
      </c>
      <c r="C500" s="325" t="s">
        <v>21</v>
      </c>
      <c r="D500" s="325">
        <f>Excellent!C14</f>
        <v>0</v>
      </c>
      <c r="E500" s="325" t="str">
        <f>IF(Excellent!B14="W","W","A")</f>
        <v>A</v>
      </c>
      <c r="F500" s="325" t="s">
        <v>1740</v>
      </c>
      <c r="G500" s="325" t="str">
        <f>IF(Excellent!G14="e","Y","")</f>
        <v/>
      </c>
      <c r="H500" s="325" t="str">
        <f>IFERROR(VLOOKUP($D500,'SDDA Dogs'!$A:$AE,2,FALSE),"")</f>
        <v/>
      </c>
      <c r="I500" s="325" t="str">
        <f>IFERROR(VLOOKUP($D500,'SDDA Dogs'!$A:$AE,3,FALSE),"")</f>
        <v/>
      </c>
      <c r="J500" s="325" t="str">
        <f>IFERROR(VLOOKUP($D500,'SDDA Dogs'!$A:$AE,6,FALSE),"")</f>
        <v/>
      </c>
      <c r="K500" s="325" t="str">
        <f>IF(Excellent!AS14="","",Excellent!AS14)</f>
        <v/>
      </c>
      <c r="L500" s="325" t="str">
        <f>IF(Excellent!AT14="","",Excellent!AT14)</f>
        <v/>
      </c>
      <c r="M500" s="326" t="str">
        <f>TrialDate</f>
        <v/>
      </c>
      <c r="N500" s="325" t="str">
        <f t="shared" ref="N500" si="583">N499</f>
        <v/>
      </c>
      <c r="O500" s="325">
        <f>JudgeD1CSE</f>
        <v>0</v>
      </c>
    </row>
    <row r="501" spans="1:15" x14ac:dyDescent="0.25">
      <c r="A501" s="2">
        <v>2</v>
      </c>
      <c r="B501" s="2">
        <f t="shared" si="563"/>
        <v>0</v>
      </c>
      <c r="C501" s="2" t="str">
        <f t="shared" si="563"/>
        <v>CSE</v>
      </c>
      <c r="D501" s="2">
        <f t="shared" si="563"/>
        <v>0</v>
      </c>
      <c r="E501" s="2" t="str">
        <f t="shared" si="563"/>
        <v>A</v>
      </c>
      <c r="F501" s="2" t="str">
        <f t="shared" si="563"/>
        <v>Container Excellent</v>
      </c>
      <c r="G501" s="2" t="str">
        <f t="shared" si="563"/>
        <v/>
      </c>
      <c r="H501" s="2" t="str">
        <f t="shared" si="563"/>
        <v/>
      </c>
      <c r="I501" s="2" t="str">
        <f t="shared" si="563"/>
        <v/>
      </c>
      <c r="J501" s="2" t="str">
        <f t="shared" si="563"/>
        <v/>
      </c>
      <c r="K501" s="2" t="str">
        <f t="shared" si="563"/>
        <v/>
      </c>
      <c r="L501" s="2" t="str">
        <f t="shared" si="563"/>
        <v/>
      </c>
      <c r="M501" s="180" t="str">
        <f t="shared" si="563"/>
        <v/>
      </c>
      <c r="N501" s="2" t="str">
        <f t="shared" ref="N501" si="584">N500</f>
        <v/>
      </c>
      <c r="O501" s="2">
        <f t="shared" si="563"/>
        <v>0</v>
      </c>
    </row>
    <row r="502" spans="1:15" x14ac:dyDescent="0.25">
      <c r="A502" s="325">
        <v>1</v>
      </c>
      <c r="B502" s="325">
        <f>TrialNumber</f>
        <v>0</v>
      </c>
      <c r="C502" s="325" t="s">
        <v>21</v>
      </c>
      <c r="D502" s="325">
        <f>Excellent!C15</f>
        <v>0</v>
      </c>
      <c r="E502" s="325" t="str">
        <f>IF(Excellent!B15="W","W","A")</f>
        <v>A</v>
      </c>
      <c r="F502" s="325" t="s">
        <v>1740</v>
      </c>
      <c r="G502" s="325" t="str">
        <f>IF(Excellent!G15="e","Y","")</f>
        <v/>
      </c>
      <c r="H502" s="325" t="str">
        <f>IFERROR(VLOOKUP($D502,'SDDA Dogs'!$A:$AE,2,FALSE),"")</f>
        <v/>
      </c>
      <c r="I502" s="325" t="str">
        <f>IFERROR(VLOOKUP($D502,'SDDA Dogs'!$A:$AE,3,FALSE),"")</f>
        <v/>
      </c>
      <c r="J502" s="325" t="str">
        <f>IFERROR(VLOOKUP($D502,'SDDA Dogs'!$A:$AE,6,FALSE),"")</f>
        <v/>
      </c>
      <c r="K502" s="325" t="str">
        <f>IF(Excellent!AS15="","",Excellent!AS15)</f>
        <v/>
      </c>
      <c r="L502" s="325" t="str">
        <f>IF(Excellent!AT15="","",Excellent!AT15)</f>
        <v/>
      </c>
      <c r="M502" s="326" t="str">
        <f>TrialDate</f>
        <v/>
      </c>
      <c r="N502" s="325" t="str">
        <f t="shared" ref="N502" si="585">N501</f>
        <v/>
      </c>
      <c r="O502" s="325">
        <f>JudgeD1CSE</f>
        <v>0</v>
      </c>
    </row>
    <row r="503" spans="1:15" x14ac:dyDescent="0.25">
      <c r="A503" s="2">
        <v>2</v>
      </c>
      <c r="B503" s="2">
        <f t="shared" si="563"/>
        <v>0</v>
      </c>
      <c r="C503" s="2" t="str">
        <f t="shared" si="563"/>
        <v>CSE</v>
      </c>
      <c r="D503" s="2">
        <f t="shared" si="563"/>
        <v>0</v>
      </c>
      <c r="E503" s="2" t="str">
        <f t="shared" si="563"/>
        <v>A</v>
      </c>
      <c r="F503" s="2" t="str">
        <f t="shared" si="563"/>
        <v>Container Excellent</v>
      </c>
      <c r="G503" s="2" t="str">
        <f t="shared" si="563"/>
        <v/>
      </c>
      <c r="H503" s="2" t="str">
        <f t="shared" si="563"/>
        <v/>
      </c>
      <c r="I503" s="2" t="str">
        <f t="shared" si="563"/>
        <v/>
      </c>
      <c r="J503" s="2" t="str">
        <f t="shared" si="563"/>
        <v/>
      </c>
      <c r="K503" s="2" t="str">
        <f t="shared" si="563"/>
        <v/>
      </c>
      <c r="L503" s="2" t="str">
        <f t="shared" si="563"/>
        <v/>
      </c>
      <c r="M503" s="180" t="str">
        <f t="shared" si="563"/>
        <v/>
      </c>
      <c r="N503" s="2" t="str">
        <f t="shared" ref="N503" si="586">N502</f>
        <v/>
      </c>
      <c r="O503" s="2">
        <f t="shared" si="563"/>
        <v>0</v>
      </c>
    </row>
    <row r="504" spans="1:15" x14ac:dyDescent="0.25">
      <c r="A504" s="325">
        <v>1</v>
      </c>
      <c r="B504" s="325">
        <f>TrialNumber</f>
        <v>0</v>
      </c>
      <c r="C504" s="325" t="s">
        <v>21</v>
      </c>
      <c r="D504" s="325">
        <f>Excellent!C16</f>
        <v>0</v>
      </c>
      <c r="E504" s="325" t="str">
        <f>IF(Excellent!B16="W","W","A")</f>
        <v>A</v>
      </c>
      <c r="F504" s="325" t="s">
        <v>1740</v>
      </c>
      <c r="G504" s="325" t="str">
        <f>IF(Excellent!G16="e","Y","")</f>
        <v/>
      </c>
      <c r="H504" s="325" t="str">
        <f>IFERROR(VLOOKUP($D504,'SDDA Dogs'!$A:$AE,2,FALSE),"")</f>
        <v/>
      </c>
      <c r="I504" s="325" t="str">
        <f>IFERROR(VLOOKUP($D504,'SDDA Dogs'!$A:$AE,3,FALSE),"")</f>
        <v/>
      </c>
      <c r="J504" s="325" t="str">
        <f>IFERROR(VLOOKUP($D504,'SDDA Dogs'!$A:$AE,6,FALSE),"")</f>
        <v/>
      </c>
      <c r="K504" s="325" t="str">
        <f>IF(Excellent!AS16="","",Excellent!AS16)</f>
        <v/>
      </c>
      <c r="L504" s="325" t="str">
        <f>IF(Excellent!AT16="","",Excellent!AT16)</f>
        <v/>
      </c>
      <c r="M504" s="326" t="str">
        <f>TrialDate</f>
        <v/>
      </c>
      <c r="N504" s="325" t="str">
        <f t="shared" ref="N504" si="587">N503</f>
        <v/>
      </c>
      <c r="O504" s="325">
        <f>JudgeD1CSE</f>
        <v>0</v>
      </c>
    </row>
    <row r="505" spans="1:15" x14ac:dyDescent="0.25">
      <c r="A505" s="2">
        <v>2</v>
      </c>
      <c r="B505" s="2">
        <f t="shared" si="563"/>
        <v>0</v>
      </c>
      <c r="C505" s="2" t="str">
        <f t="shared" si="563"/>
        <v>CSE</v>
      </c>
      <c r="D505" s="2">
        <f t="shared" si="563"/>
        <v>0</v>
      </c>
      <c r="E505" s="2" t="str">
        <f t="shared" si="563"/>
        <v>A</v>
      </c>
      <c r="F505" s="2" t="str">
        <f t="shared" si="563"/>
        <v>Container Excellent</v>
      </c>
      <c r="G505" s="2" t="str">
        <f t="shared" si="563"/>
        <v/>
      </c>
      <c r="H505" s="2" t="str">
        <f t="shared" si="563"/>
        <v/>
      </c>
      <c r="I505" s="2" t="str">
        <f t="shared" si="563"/>
        <v/>
      </c>
      <c r="J505" s="2" t="str">
        <f t="shared" si="563"/>
        <v/>
      </c>
      <c r="K505" s="2" t="str">
        <f t="shared" si="563"/>
        <v/>
      </c>
      <c r="L505" s="2" t="str">
        <f t="shared" si="563"/>
        <v/>
      </c>
      <c r="M505" s="180" t="str">
        <f t="shared" si="563"/>
        <v/>
      </c>
      <c r="N505" s="2" t="str">
        <f t="shared" ref="N505" si="588">N504</f>
        <v/>
      </c>
      <c r="O505" s="2">
        <f t="shared" si="563"/>
        <v>0</v>
      </c>
    </row>
    <row r="506" spans="1:15" x14ac:dyDescent="0.25">
      <c r="A506" s="325">
        <v>1</v>
      </c>
      <c r="B506" s="325">
        <f>TrialNumber</f>
        <v>0</v>
      </c>
      <c r="C506" s="325" t="s">
        <v>21</v>
      </c>
      <c r="D506" s="325">
        <f>Excellent!C17</f>
        <v>0</v>
      </c>
      <c r="E506" s="325" t="str">
        <f>IF(Excellent!B17="W","W","A")</f>
        <v>A</v>
      </c>
      <c r="F506" s="325" t="s">
        <v>1740</v>
      </c>
      <c r="G506" s="325" t="str">
        <f>IF(Excellent!G17="e","Y","")</f>
        <v/>
      </c>
      <c r="H506" s="325" t="str">
        <f>IFERROR(VLOOKUP($D506,'SDDA Dogs'!$A:$AE,2,FALSE),"")</f>
        <v/>
      </c>
      <c r="I506" s="325" t="str">
        <f>IFERROR(VLOOKUP($D506,'SDDA Dogs'!$A:$AE,3,FALSE),"")</f>
        <v/>
      </c>
      <c r="J506" s="325" t="str">
        <f>IFERROR(VLOOKUP($D506,'SDDA Dogs'!$A:$AE,6,FALSE),"")</f>
        <v/>
      </c>
      <c r="K506" s="325" t="str">
        <f>IF(Excellent!AS17="","",Excellent!AS17)</f>
        <v/>
      </c>
      <c r="L506" s="325" t="str">
        <f>IF(Excellent!AT17="","",Excellent!AT17)</f>
        <v/>
      </c>
      <c r="M506" s="326" t="str">
        <f>TrialDate</f>
        <v/>
      </c>
      <c r="N506" s="325" t="str">
        <f t="shared" ref="N506" si="589">N505</f>
        <v/>
      </c>
      <c r="O506" s="325">
        <f>JudgeD1CSE</f>
        <v>0</v>
      </c>
    </row>
    <row r="507" spans="1:15" x14ac:dyDescent="0.25">
      <c r="A507" s="2">
        <v>2</v>
      </c>
      <c r="B507" s="2">
        <f t="shared" si="563"/>
        <v>0</v>
      </c>
      <c r="C507" s="2" t="str">
        <f t="shared" si="563"/>
        <v>CSE</v>
      </c>
      <c r="D507" s="2">
        <f t="shared" si="563"/>
        <v>0</v>
      </c>
      <c r="E507" s="2" t="str">
        <f t="shared" si="563"/>
        <v>A</v>
      </c>
      <c r="F507" s="2" t="str">
        <f t="shared" si="563"/>
        <v>Container Excellent</v>
      </c>
      <c r="G507" s="2" t="str">
        <f t="shared" si="563"/>
        <v/>
      </c>
      <c r="H507" s="2" t="str">
        <f t="shared" si="563"/>
        <v/>
      </c>
      <c r="I507" s="2" t="str">
        <f t="shared" si="563"/>
        <v/>
      </c>
      <c r="J507" s="2" t="str">
        <f t="shared" si="563"/>
        <v/>
      </c>
      <c r="K507" s="2" t="str">
        <f t="shared" si="563"/>
        <v/>
      </c>
      <c r="L507" s="2" t="str">
        <f t="shared" si="563"/>
        <v/>
      </c>
      <c r="M507" s="180" t="str">
        <f t="shared" si="563"/>
        <v/>
      </c>
      <c r="N507" s="2" t="str">
        <f t="shared" ref="N507" si="590">N506</f>
        <v/>
      </c>
      <c r="O507" s="2">
        <f t="shared" si="563"/>
        <v>0</v>
      </c>
    </row>
    <row r="508" spans="1:15" x14ac:dyDescent="0.25">
      <c r="A508" s="325">
        <v>1</v>
      </c>
      <c r="B508" s="325">
        <f>TrialNumber</f>
        <v>0</v>
      </c>
      <c r="C508" s="325" t="s">
        <v>21</v>
      </c>
      <c r="D508" s="325">
        <f>Excellent!C18</f>
        <v>0</v>
      </c>
      <c r="E508" s="325" t="str">
        <f>IF(Excellent!B18="W","W","A")</f>
        <v>A</v>
      </c>
      <c r="F508" s="325" t="s">
        <v>1740</v>
      </c>
      <c r="G508" s="325" t="str">
        <f>IF(Excellent!G18="e","Y","")</f>
        <v/>
      </c>
      <c r="H508" s="325" t="str">
        <f>IFERROR(VLOOKUP($D508,'SDDA Dogs'!$A:$AE,2,FALSE),"")</f>
        <v/>
      </c>
      <c r="I508" s="325" t="str">
        <f>IFERROR(VLOOKUP($D508,'SDDA Dogs'!$A:$AE,3,FALSE),"")</f>
        <v/>
      </c>
      <c r="J508" s="325" t="str">
        <f>IFERROR(VLOOKUP($D508,'SDDA Dogs'!$A:$AE,6,FALSE),"")</f>
        <v/>
      </c>
      <c r="K508" s="325" t="str">
        <f>IF(Excellent!AS18="","",Excellent!AS18)</f>
        <v/>
      </c>
      <c r="L508" s="325" t="str">
        <f>IF(Excellent!AT18="","",Excellent!AT18)</f>
        <v/>
      </c>
      <c r="M508" s="326" t="str">
        <f>TrialDate</f>
        <v/>
      </c>
      <c r="N508" s="325" t="str">
        <f t="shared" ref="N508" si="591">N507</f>
        <v/>
      </c>
      <c r="O508" s="325">
        <f>JudgeD1CSE</f>
        <v>0</v>
      </c>
    </row>
    <row r="509" spans="1:15" x14ac:dyDescent="0.25">
      <c r="A509" s="2">
        <v>2</v>
      </c>
      <c r="B509" s="2">
        <f t="shared" si="563"/>
        <v>0</v>
      </c>
      <c r="C509" s="2" t="str">
        <f t="shared" si="563"/>
        <v>CSE</v>
      </c>
      <c r="D509" s="2">
        <f t="shared" si="563"/>
        <v>0</v>
      </c>
      <c r="E509" s="2" t="str">
        <f t="shared" si="563"/>
        <v>A</v>
      </c>
      <c r="F509" s="2" t="str">
        <f t="shared" si="563"/>
        <v>Container Excellent</v>
      </c>
      <c r="G509" s="2" t="str">
        <f t="shared" si="563"/>
        <v/>
      </c>
      <c r="H509" s="2" t="str">
        <f t="shared" si="563"/>
        <v/>
      </c>
      <c r="I509" s="2" t="str">
        <f t="shared" si="563"/>
        <v/>
      </c>
      <c r="J509" s="2" t="str">
        <f t="shared" si="563"/>
        <v/>
      </c>
      <c r="K509" s="2" t="str">
        <f t="shared" si="563"/>
        <v/>
      </c>
      <c r="L509" s="2" t="str">
        <f t="shared" si="563"/>
        <v/>
      </c>
      <c r="M509" s="180" t="str">
        <f t="shared" si="563"/>
        <v/>
      </c>
      <c r="N509" s="2" t="str">
        <f t="shared" ref="N509" si="592">N508</f>
        <v/>
      </c>
      <c r="O509" s="2">
        <f t="shared" si="563"/>
        <v>0</v>
      </c>
    </row>
    <row r="510" spans="1:15" x14ac:dyDescent="0.25">
      <c r="A510" s="325">
        <v>1</v>
      </c>
      <c r="B510" s="325">
        <f>TrialNumber</f>
        <v>0</v>
      </c>
      <c r="C510" s="325" t="s">
        <v>21</v>
      </c>
      <c r="D510" s="325">
        <f>Excellent!C19</f>
        <v>0</v>
      </c>
      <c r="E510" s="325" t="str">
        <f>IF(Excellent!B19="W","W","A")</f>
        <v>A</v>
      </c>
      <c r="F510" s="325" t="s">
        <v>1740</v>
      </c>
      <c r="G510" s="325" t="str">
        <f>IF(Excellent!G19="e","Y","")</f>
        <v/>
      </c>
      <c r="H510" s="325" t="str">
        <f>IFERROR(VLOOKUP($D510,'SDDA Dogs'!$A:$AE,2,FALSE),"")</f>
        <v/>
      </c>
      <c r="I510" s="325" t="str">
        <f>IFERROR(VLOOKUP($D510,'SDDA Dogs'!$A:$AE,3,FALSE),"")</f>
        <v/>
      </c>
      <c r="J510" s="325" t="str">
        <f>IFERROR(VLOOKUP($D510,'SDDA Dogs'!$A:$AE,6,FALSE),"")</f>
        <v/>
      </c>
      <c r="K510" s="325" t="str">
        <f>IF(Excellent!AS19="","",Excellent!AS19)</f>
        <v/>
      </c>
      <c r="L510" s="325" t="str">
        <f>IF(Excellent!AT19="","",Excellent!AT19)</f>
        <v/>
      </c>
      <c r="M510" s="326" t="str">
        <f>TrialDate</f>
        <v/>
      </c>
      <c r="N510" s="325" t="str">
        <f t="shared" ref="N510" si="593">N509</f>
        <v/>
      </c>
      <c r="O510" s="325">
        <f>JudgeD1CSE</f>
        <v>0</v>
      </c>
    </row>
    <row r="511" spans="1:15" x14ac:dyDescent="0.25">
      <c r="A511" s="2">
        <v>2</v>
      </c>
      <c r="B511" s="2">
        <f t="shared" si="563"/>
        <v>0</v>
      </c>
      <c r="C511" s="2" t="str">
        <f t="shared" si="563"/>
        <v>CSE</v>
      </c>
      <c r="D511" s="2">
        <f t="shared" si="563"/>
        <v>0</v>
      </c>
      <c r="E511" s="2" t="str">
        <f t="shared" si="563"/>
        <v>A</v>
      </c>
      <c r="F511" s="2" t="str">
        <f t="shared" si="563"/>
        <v>Container Excellent</v>
      </c>
      <c r="G511" s="2" t="str">
        <f t="shared" si="563"/>
        <v/>
      </c>
      <c r="H511" s="2" t="str">
        <f t="shared" si="563"/>
        <v/>
      </c>
      <c r="I511" s="2" t="str">
        <f t="shared" si="563"/>
        <v/>
      </c>
      <c r="J511" s="2" t="str">
        <f t="shared" si="563"/>
        <v/>
      </c>
      <c r="K511" s="2" t="str">
        <f t="shared" si="563"/>
        <v/>
      </c>
      <c r="L511" s="2" t="str">
        <f t="shared" si="563"/>
        <v/>
      </c>
      <c r="M511" s="180" t="str">
        <f t="shared" si="563"/>
        <v/>
      </c>
      <c r="N511" s="2" t="str">
        <f t="shared" ref="N511" si="594">N510</f>
        <v/>
      </c>
      <c r="O511" s="2">
        <f t="shared" si="563"/>
        <v>0</v>
      </c>
    </row>
    <row r="512" spans="1:15" x14ac:dyDescent="0.25">
      <c r="A512" s="325">
        <v>1</v>
      </c>
      <c r="B512" s="325">
        <f>TrialNumber</f>
        <v>0</v>
      </c>
      <c r="C512" s="325" t="s">
        <v>21</v>
      </c>
      <c r="D512" s="325">
        <f>Excellent!C20</f>
        <v>0</v>
      </c>
      <c r="E512" s="325" t="str">
        <f>IF(Excellent!B20="W","W","A")</f>
        <v>A</v>
      </c>
      <c r="F512" s="325" t="s">
        <v>1740</v>
      </c>
      <c r="G512" s="325" t="str">
        <f>IF(Excellent!G20="e","Y","")</f>
        <v/>
      </c>
      <c r="H512" s="325" t="str">
        <f>IFERROR(VLOOKUP($D512,'SDDA Dogs'!$A:$AE,2,FALSE),"")</f>
        <v/>
      </c>
      <c r="I512" s="325" t="str">
        <f>IFERROR(VLOOKUP($D512,'SDDA Dogs'!$A:$AE,3,FALSE),"")</f>
        <v/>
      </c>
      <c r="J512" s="325" t="str">
        <f>IFERROR(VLOOKUP($D512,'SDDA Dogs'!$A:$AE,6,FALSE),"")</f>
        <v/>
      </c>
      <c r="K512" s="325" t="str">
        <f>IF(Excellent!AS20="","",Excellent!AS20)</f>
        <v/>
      </c>
      <c r="L512" s="325" t="str">
        <f>IF(Excellent!AT20="","",Excellent!AT20)</f>
        <v/>
      </c>
      <c r="M512" s="326" t="str">
        <f>TrialDate</f>
        <v/>
      </c>
      <c r="N512" s="325" t="str">
        <f t="shared" ref="N512" si="595">N511</f>
        <v/>
      </c>
      <c r="O512" s="325">
        <f>JudgeD1CSE</f>
        <v>0</v>
      </c>
    </row>
    <row r="513" spans="1:15" x14ac:dyDescent="0.25">
      <c r="A513" s="2">
        <v>2</v>
      </c>
      <c r="B513" s="2">
        <f t="shared" si="563"/>
        <v>0</v>
      </c>
      <c r="C513" s="2" t="str">
        <f t="shared" si="563"/>
        <v>CSE</v>
      </c>
      <c r="D513" s="2">
        <f t="shared" si="563"/>
        <v>0</v>
      </c>
      <c r="E513" s="2" t="str">
        <f t="shared" si="563"/>
        <v>A</v>
      </c>
      <c r="F513" s="2" t="str">
        <f t="shared" si="563"/>
        <v>Container Excellent</v>
      </c>
      <c r="G513" s="2" t="str">
        <f t="shared" si="563"/>
        <v/>
      </c>
      <c r="H513" s="2" t="str">
        <f t="shared" si="563"/>
        <v/>
      </c>
      <c r="I513" s="2" t="str">
        <f t="shared" si="563"/>
        <v/>
      </c>
      <c r="J513" s="2" t="str">
        <f t="shared" si="563"/>
        <v/>
      </c>
      <c r="K513" s="2" t="str">
        <f t="shared" si="563"/>
        <v/>
      </c>
      <c r="L513" s="2" t="str">
        <f t="shared" si="563"/>
        <v/>
      </c>
      <c r="M513" s="180" t="str">
        <f t="shared" si="563"/>
        <v/>
      </c>
      <c r="N513" s="2" t="str">
        <f t="shared" ref="N513" si="596">N512</f>
        <v/>
      </c>
      <c r="O513" s="2">
        <f t="shared" si="563"/>
        <v>0</v>
      </c>
    </row>
    <row r="514" spans="1:15" x14ac:dyDescent="0.25">
      <c r="A514" s="325">
        <v>1</v>
      </c>
      <c r="B514" s="325">
        <f>TrialNumber</f>
        <v>0</v>
      </c>
      <c r="C514" s="325" t="s">
        <v>21</v>
      </c>
      <c r="D514" s="325">
        <f>Excellent!C21</f>
        <v>0</v>
      </c>
      <c r="E514" s="325" t="str">
        <f>IF(Excellent!B21="W","W","A")</f>
        <v>A</v>
      </c>
      <c r="F514" s="325" t="s">
        <v>1740</v>
      </c>
      <c r="G514" s="325" t="str">
        <f>IF(Excellent!G21="e","Y","")</f>
        <v/>
      </c>
      <c r="H514" s="325" t="str">
        <f>IFERROR(VLOOKUP($D514,'SDDA Dogs'!$A:$AE,2,FALSE),"")</f>
        <v/>
      </c>
      <c r="I514" s="325" t="str">
        <f>IFERROR(VLOOKUP($D514,'SDDA Dogs'!$A:$AE,3,FALSE),"")</f>
        <v/>
      </c>
      <c r="J514" s="325" t="str">
        <f>IFERROR(VLOOKUP($D514,'SDDA Dogs'!$A:$AE,6,FALSE),"")</f>
        <v/>
      </c>
      <c r="K514" s="325" t="str">
        <f>IF(Excellent!AS21="","",Excellent!AS21)</f>
        <v/>
      </c>
      <c r="L514" s="325" t="str">
        <f>IF(Excellent!AT21="","",Excellent!AT21)</f>
        <v/>
      </c>
      <c r="M514" s="326" t="str">
        <f>TrialDate</f>
        <v/>
      </c>
      <c r="N514" s="325" t="str">
        <f t="shared" ref="N514" si="597">N513</f>
        <v/>
      </c>
      <c r="O514" s="325">
        <f>JudgeD1CSE</f>
        <v>0</v>
      </c>
    </row>
    <row r="515" spans="1:15" x14ac:dyDescent="0.25">
      <c r="A515" s="2">
        <v>2</v>
      </c>
      <c r="B515" s="2">
        <f t="shared" si="563"/>
        <v>0</v>
      </c>
      <c r="C515" s="2" t="str">
        <f t="shared" si="563"/>
        <v>CSE</v>
      </c>
      <c r="D515" s="2">
        <f t="shared" si="563"/>
        <v>0</v>
      </c>
      <c r="E515" s="2" t="str">
        <f t="shared" si="563"/>
        <v>A</v>
      </c>
      <c r="F515" s="2" t="str">
        <f t="shared" si="563"/>
        <v>Container Excellent</v>
      </c>
      <c r="G515" s="2" t="str">
        <f t="shared" si="563"/>
        <v/>
      </c>
      <c r="H515" s="2" t="str">
        <f t="shared" si="563"/>
        <v/>
      </c>
      <c r="I515" s="2" t="str">
        <f t="shared" si="563"/>
        <v/>
      </c>
      <c r="J515" s="2" t="str">
        <f t="shared" si="563"/>
        <v/>
      </c>
      <c r="K515" s="2" t="str">
        <f t="shared" si="563"/>
        <v/>
      </c>
      <c r="L515" s="2" t="str">
        <f t="shared" si="563"/>
        <v/>
      </c>
      <c r="M515" s="180" t="str">
        <f t="shared" si="563"/>
        <v/>
      </c>
      <c r="N515" s="2" t="str">
        <f t="shared" ref="N515" si="598">N514</f>
        <v/>
      </c>
      <c r="O515" s="2">
        <f t="shared" si="563"/>
        <v>0</v>
      </c>
    </row>
    <row r="516" spans="1:15" x14ac:dyDescent="0.25">
      <c r="A516" s="325">
        <v>1</v>
      </c>
      <c r="B516" s="325">
        <f>TrialNumber</f>
        <v>0</v>
      </c>
      <c r="C516" s="325" t="s">
        <v>21</v>
      </c>
      <c r="D516" s="325">
        <f>Excellent!C22</f>
        <v>0</v>
      </c>
      <c r="E516" s="325" t="str">
        <f>IF(Excellent!B22="W","W","A")</f>
        <v>A</v>
      </c>
      <c r="F516" s="325" t="s">
        <v>1740</v>
      </c>
      <c r="G516" s="325" t="str">
        <f>IF(Excellent!G22="e","Y","")</f>
        <v/>
      </c>
      <c r="H516" s="325" t="str">
        <f>IFERROR(VLOOKUP($D516,'SDDA Dogs'!$A:$AE,2,FALSE),"")</f>
        <v/>
      </c>
      <c r="I516" s="325" t="str">
        <f>IFERROR(VLOOKUP($D516,'SDDA Dogs'!$A:$AE,3,FALSE),"")</f>
        <v/>
      </c>
      <c r="J516" s="325" t="str">
        <f>IFERROR(VLOOKUP($D516,'SDDA Dogs'!$A:$AE,6,FALSE),"")</f>
        <v/>
      </c>
      <c r="K516" s="325" t="str">
        <f>IF(Excellent!AS22="","",Excellent!AS22)</f>
        <v/>
      </c>
      <c r="L516" s="325" t="str">
        <f>IF(Excellent!AT22="","",Excellent!AT22)</f>
        <v/>
      </c>
      <c r="M516" s="326" t="str">
        <f>TrialDate</f>
        <v/>
      </c>
      <c r="N516" s="325" t="str">
        <f t="shared" ref="N516" si="599">N515</f>
        <v/>
      </c>
      <c r="O516" s="325">
        <f>JudgeD1CSE</f>
        <v>0</v>
      </c>
    </row>
    <row r="517" spans="1:15" x14ac:dyDescent="0.25">
      <c r="A517" s="2">
        <v>2</v>
      </c>
      <c r="B517" s="2">
        <f t="shared" si="563"/>
        <v>0</v>
      </c>
      <c r="C517" s="2" t="str">
        <f t="shared" si="563"/>
        <v>CSE</v>
      </c>
      <c r="D517" s="2">
        <f t="shared" si="563"/>
        <v>0</v>
      </c>
      <c r="E517" s="2" t="str">
        <f t="shared" ref="E517:O523" si="600">E516</f>
        <v>A</v>
      </c>
      <c r="F517" s="2" t="str">
        <f t="shared" si="600"/>
        <v>Container Excellent</v>
      </c>
      <c r="G517" s="2" t="str">
        <f t="shared" si="600"/>
        <v/>
      </c>
      <c r="H517" s="2" t="str">
        <f t="shared" si="600"/>
        <v/>
      </c>
      <c r="I517" s="2" t="str">
        <f t="shared" si="600"/>
        <v/>
      </c>
      <c r="J517" s="2" t="str">
        <f t="shared" si="600"/>
        <v/>
      </c>
      <c r="K517" s="2" t="str">
        <f t="shared" si="600"/>
        <v/>
      </c>
      <c r="L517" s="2" t="str">
        <f t="shared" si="600"/>
        <v/>
      </c>
      <c r="M517" s="180" t="str">
        <f t="shared" si="600"/>
        <v/>
      </c>
      <c r="N517" s="2" t="str">
        <f t="shared" si="600"/>
        <v/>
      </c>
      <c r="O517" s="2">
        <f t="shared" si="600"/>
        <v>0</v>
      </c>
    </row>
    <row r="518" spans="1:15" x14ac:dyDescent="0.25">
      <c r="A518" s="325">
        <v>1</v>
      </c>
      <c r="B518" s="325">
        <f>TrialNumber</f>
        <v>0</v>
      </c>
      <c r="C518" s="325" t="s">
        <v>21</v>
      </c>
      <c r="D518" s="325">
        <f>Excellent!C23</f>
        <v>0</v>
      </c>
      <c r="E518" s="325" t="str">
        <f>IF(Excellent!B23="W","W","A")</f>
        <v>A</v>
      </c>
      <c r="F518" s="325" t="s">
        <v>1740</v>
      </c>
      <c r="G518" s="325" t="str">
        <f>IF(Excellent!G23="e","Y","")</f>
        <v/>
      </c>
      <c r="H518" s="325" t="str">
        <f>IFERROR(VLOOKUP($D518,'SDDA Dogs'!$A:$AE,2,FALSE),"")</f>
        <v/>
      </c>
      <c r="I518" s="325" t="str">
        <f>IFERROR(VLOOKUP($D518,'SDDA Dogs'!$A:$AE,3,FALSE),"")</f>
        <v/>
      </c>
      <c r="J518" s="325" t="str">
        <f>IFERROR(VLOOKUP($D518,'SDDA Dogs'!$A:$AE,6,FALSE),"")</f>
        <v/>
      </c>
      <c r="K518" s="325" t="str">
        <f>IF(Excellent!AS23="","",Excellent!AS23)</f>
        <v/>
      </c>
      <c r="L518" s="325" t="str">
        <f>IF(Excellent!AT23="","",Excellent!AT23)</f>
        <v/>
      </c>
      <c r="M518" s="326" t="str">
        <f>TrialDate</f>
        <v/>
      </c>
      <c r="N518" s="325" t="str">
        <f t="shared" ref="N518" si="601">N517</f>
        <v/>
      </c>
      <c r="O518" s="325">
        <f>JudgeD1CSE</f>
        <v>0</v>
      </c>
    </row>
    <row r="519" spans="1:15" x14ac:dyDescent="0.25">
      <c r="A519" s="2">
        <v>2</v>
      </c>
      <c r="B519" s="2">
        <f t="shared" ref="B519:D523" si="602">B518</f>
        <v>0</v>
      </c>
      <c r="C519" s="2" t="str">
        <f t="shared" si="602"/>
        <v>CSE</v>
      </c>
      <c r="D519" s="2">
        <f t="shared" si="602"/>
        <v>0</v>
      </c>
      <c r="E519" s="2" t="str">
        <f t="shared" si="600"/>
        <v>A</v>
      </c>
      <c r="F519" s="2" t="str">
        <f t="shared" si="600"/>
        <v>Container Excellent</v>
      </c>
      <c r="G519" s="2" t="str">
        <f t="shared" si="600"/>
        <v/>
      </c>
      <c r="H519" s="2" t="str">
        <f t="shared" si="600"/>
        <v/>
      </c>
      <c r="I519" s="2" t="str">
        <f t="shared" si="600"/>
        <v/>
      </c>
      <c r="J519" s="2" t="str">
        <f t="shared" si="600"/>
        <v/>
      </c>
      <c r="K519" s="2" t="str">
        <f t="shared" si="600"/>
        <v/>
      </c>
      <c r="L519" s="2" t="str">
        <f t="shared" si="600"/>
        <v/>
      </c>
      <c r="M519" s="180" t="str">
        <f t="shared" si="600"/>
        <v/>
      </c>
      <c r="N519" s="2" t="str">
        <f t="shared" si="600"/>
        <v/>
      </c>
      <c r="O519" s="2">
        <f t="shared" si="600"/>
        <v>0</v>
      </c>
    </row>
    <row r="520" spans="1:15" x14ac:dyDescent="0.25">
      <c r="A520" s="325">
        <v>1</v>
      </c>
      <c r="B520" s="325">
        <f>TrialNumber</f>
        <v>0</v>
      </c>
      <c r="C520" s="325" t="s">
        <v>21</v>
      </c>
      <c r="D520" s="325">
        <f>Excellent!C24</f>
        <v>0</v>
      </c>
      <c r="E520" s="325" t="str">
        <f>IF(Excellent!B24="W","W","A")</f>
        <v>A</v>
      </c>
      <c r="F520" s="325" t="s">
        <v>1740</v>
      </c>
      <c r="G520" s="325" t="str">
        <f>IF(Excellent!G24="e","Y","")</f>
        <v/>
      </c>
      <c r="H520" s="325" t="str">
        <f>IFERROR(VLOOKUP($D520,'SDDA Dogs'!$A:$AE,2,FALSE),"")</f>
        <v/>
      </c>
      <c r="I520" s="325" t="str">
        <f>IFERROR(VLOOKUP($D520,'SDDA Dogs'!$A:$AE,3,FALSE),"")</f>
        <v/>
      </c>
      <c r="J520" s="325" t="str">
        <f>IFERROR(VLOOKUP($D520,'SDDA Dogs'!$A:$AE,6,FALSE),"")</f>
        <v/>
      </c>
      <c r="K520" s="325" t="str">
        <f>IF(Excellent!AS24="","",Excellent!AS24)</f>
        <v/>
      </c>
      <c r="L520" s="325" t="str">
        <f>IF(Excellent!AT24="","",Excellent!AT24)</f>
        <v/>
      </c>
      <c r="M520" s="326" t="str">
        <f>TrialDate</f>
        <v/>
      </c>
      <c r="N520" s="325" t="str">
        <f t="shared" ref="N520" si="603">N519</f>
        <v/>
      </c>
      <c r="O520" s="325">
        <f>JudgeD1CSE</f>
        <v>0</v>
      </c>
    </row>
    <row r="521" spans="1:15" x14ac:dyDescent="0.25">
      <c r="A521" s="2">
        <v>2</v>
      </c>
      <c r="B521" s="2">
        <f t="shared" si="602"/>
        <v>0</v>
      </c>
      <c r="C521" s="2" t="str">
        <f t="shared" si="602"/>
        <v>CSE</v>
      </c>
      <c r="D521" s="2">
        <f t="shared" si="602"/>
        <v>0</v>
      </c>
      <c r="E521" s="2" t="str">
        <f t="shared" si="600"/>
        <v>A</v>
      </c>
      <c r="F521" s="2" t="str">
        <f t="shared" si="600"/>
        <v>Container Excellent</v>
      </c>
      <c r="G521" s="2" t="str">
        <f t="shared" si="600"/>
        <v/>
      </c>
      <c r="H521" s="2" t="str">
        <f t="shared" si="600"/>
        <v/>
      </c>
      <c r="I521" s="2" t="str">
        <f t="shared" si="600"/>
        <v/>
      </c>
      <c r="J521" s="2" t="str">
        <f t="shared" si="600"/>
        <v/>
      </c>
      <c r="K521" s="2" t="str">
        <f t="shared" si="600"/>
        <v/>
      </c>
      <c r="L521" s="2" t="str">
        <f t="shared" si="600"/>
        <v/>
      </c>
      <c r="M521" s="180" t="str">
        <f t="shared" si="600"/>
        <v/>
      </c>
      <c r="N521" s="2" t="str">
        <f t="shared" si="600"/>
        <v/>
      </c>
      <c r="O521" s="2">
        <f t="shared" si="600"/>
        <v>0</v>
      </c>
    </row>
    <row r="522" spans="1:15" x14ac:dyDescent="0.25">
      <c r="A522" s="325">
        <v>1</v>
      </c>
      <c r="B522" s="325">
        <f>TrialNumber</f>
        <v>0</v>
      </c>
      <c r="C522" s="325" t="s">
        <v>21</v>
      </c>
      <c r="D522" s="325">
        <f>Excellent!C25</f>
        <v>0</v>
      </c>
      <c r="E522" s="325" t="str">
        <f>IF(Excellent!B25="W","W","A")</f>
        <v>A</v>
      </c>
      <c r="F522" s="325" t="s">
        <v>1740</v>
      </c>
      <c r="G522" s="325" t="str">
        <f>IF(Excellent!G25="e","Y","")</f>
        <v/>
      </c>
      <c r="H522" s="325" t="str">
        <f>IFERROR(VLOOKUP($D522,'SDDA Dogs'!$A:$AE,2,FALSE),"")</f>
        <v/>
      </c>
      <c r="I522" s="325" t="str">
        <f>IFERROR(VLOOKUP($D522,'SDDA Dogs'!$A:$AE,3,FALSE),"")</f>
        <v/>
      </c>
      <c r="J522" s="325" t="str">
        <f>IFERROR(VLOOKUP($D522,'SDDA Dogs'!$A:$AE,6,FALSE),"")</f>
        <v/>
      </c>
      <c r="K522" s="325" t="str">
        <f>IF(Excellent!AS25="","",Excellent!AS25)</f>
        <v/>
      </c>
      <c r="L522" s="325" t="str">
        <f>IF(Excellent!AT25="","",Excellent!AT25)</f>
        <v/>
      </c>
      <c r="M522" s="326" t="str">
        <f>TrialDate</f>
        <v/>
      </c>
      <c r="N522" s="325" t="str">
        <f t="shared" ref="N522" si="604">N521</f>
        <v/>
      </c>
      <c r="O522" s="325">
        <f>JudgeD1CSE</f>
        <v>0</v>
      </c>
    </row>
    <row r="523" spans="1:15" x14ac:dyDescent="0.25">
      <c r="A523" s="2">
        <v>2</v>
      </c>
      <c r="B523" s="2">
        <f t="shared" si="602"/>
        <v>0</v>
      </c>
      <c r="C523" s="2" t="str">
        <f t="shared" si="602"/>
        <v>CSE</v>
      </c>
      <c r="D523" s="2">
        <f t="shared" si="602"/>
        <v>0</v>
      </c>
      <c r="E523" s="2" t="str">
        <f t="shared" si="600"/>
        <v>A</v>
      </c>
      <c r="F523" s="2" t="str">
        <f t="shared" si="600"/>
        <v>Container Excellent</v>
      </c>
      <c r="G523" s="2" t="str">
        <f t="shared" si="600"/>
        <v/>
      </c>
      <c r="H523" s="2" t="str">
        <f t="shared" si="600"/>
        <v/>
      </c>
      <c r="I523" s="2" t="str">
        <f t="shared" si="600"/>
        <v/>
      </c>
      <c r="J523" s="2" t="str">
        <f t="shared" si="600"/>
        <v/>
      </c>
      <c r="K523" s="2" t="str">
        <f t="shared" si="600"/>
        <v/>
      </c>
      <c r="L523" s="2" t="str">
        <f t="shared" si="600"/>
        <v/>
      </c>
      <c r="M523" s="180" t="str">
        <f t="shared" si="600"/>
        <v/>
      </c>
      <c r="N523" s="2" t="str">
        <f t="shared" si="600"/>
        <v/>
      </c>
      <c r="O523" s="2">
        <f t="shared" si="600"/>
        <v>0</v>
      </c>
    </row>
    <row r="524" spans="1:15" x14ac:dyDescent="0.25">
      <c r="A524" s="325">
        <v>1</v>
      </c>
      <c r="B524" s="325">
        <f>TrialNumber</f>
        <v>0</v>
      </c>
      <c r="C524" s="325" t="s">
        <v>21</v>
      </c>
      <c r="D524" s="325">
        <f>Excellent!C26</f>
        <v>0</v>
      </c>
      <c r="E524" s="325" t="str">
        <f>IF(Excellent!B26="W","W","A")</f>
        <v>A</v>
      </c>
      <c r="F524" s="325" t="s">
        <v>1740</v>
      </c>
      <c r="G524" s="325" t="str">
        <f>IF(Excellent!G26="e","Y","")</f>
        <v/>
      </c>
      <c r="H524" s="325" t="str">
        <f>IFERROR(VLOOKUP($D524,'SDDA Dogs'!$A:$AE,2,FALSE),"")</f>
        <v/>
      </c>
      <c r="I524" s="325" t="str">
        <f>IFERROR(VLOOKUP($D524,'SDDA Dogs'!$A:$AE,3,FALSE),"")</f>
        <v/>
      </c>
      <c r="J524" s="325" t="str">
        <f>IFERROR(VLOOKUP($D524,'SDDA Dogs'!$A:$AE,6,FALSE),"")</f>
        <v/>
      </c>
      <c r="K524" s="325" t="str">
        <f>IF(Excellent!AS26="","",Excellent!AS26)</f>
        <v/>
      </c>
      <c r="L524" s="325" t="str">
        <f>IF(Excellent!AT26="","",Excellent!AT26)</f>
        <v/>
      </c>
      <c r="M524" s="326" t="str">
        <f>TrialDate</f>
        <v/>
      </c>
      <c r="N524" s="325" t="str">
        <f t="shared" ref="N524" si="605">N523</f>
        <v/>
      </c>
      <c r="O524" s="325">
        <f>JudgeD1CSE</f>
        <v>0</v>
      </c>
    </row>
    <row r="525" spans="1:15" x14ac:dyDescent="0.25">
      <c r="A525" s="2">
        <v>2</v>
      </c>
      <c r="B525" s="2">
        <f t="shared" ref="B525:O525" si="606">B524</f>
        <v>0</v>
      </c>
      <c r="C525" s="2" t="str">
        <f t="shared" si="606"/>
        <v>CSE</v>
      </c>
      <c r="D525" s="2">
        <f t="shared" si="606"/>
        <v>0</v>
      </c>
      <c r="E525" s="2" t="str">
        <f t="shared" si="606"/>
        <v>A</v>
      </c>
      <c r="F525" s="2" t="str">
        <f t="shared" si="606"/>
        <v>Container Excellent</v>
      </c>
      <c r="G525" s="2" t="str">
        <f t="shared" si="606"/>
        <v/>
      </c>
      <c r="H525" s="2" t="str">
        <f t="shared" si="606"/>
        <v/>
      </c>
      <c r="I525" s="2" t="str">
        <f t="shared" si="606"/>
        <v/>
      </c>
      <c r="J525" s="2" t="str">
        <f t="shared" si="606"/>
        <v/>
      </c>
      <c r="K525" s="2" t="str">
        <f t="shared" si="606"/>
        <v/>
      </c>
      <c r="L525" s="2" t="str">
        <f t="shared" si="606"/>
        <v/>
      </c>
      <c r="M525" s="180" t="str">
        <f t="shared" si="606"/>
        <v/>
      </c>
      <c r="N525" s="2" t="str">
        <f t="shared" si="606"/>
        <v/>
      </c>
      <c r="O525" s="2">
        <f t="shared" si="606"/>
        <v>0</v>
      </c>
    </row>
    <row r="526" spans="1:15" x14ac:dyDescent="0.25">
      <c r="A526" s="325">
        <v>1</v>
      </c>
      <c r="B526" s="325">
        <f>TrialNumber</f>
        <v>0</v>
      </c>
      <c r="C526" s="325" t="s">
        <v>21</v>
      </c>
      <c r="D526" s="325">
        <f>Excellent!C27</f>
        <v>0</v>
      </c>
      <c r="E526" s="325" t="str">
        <f>IF(Excellent!B27="W","W","A")</f>
        <v>A</v>
      </c>
      <c r="F526" s="325" t="s">
        <v>1740</v>
      </c>
      <c r="G526" s="325" t="str">
        <f>IF(Excellent!G27="e","Y","")</f>
        <v/>
      </c>
      <c r="H526" s="325" t="str">
        <f>IFERROR(VLOOKUP($D526,'SDDA Dogs'!$A:$AE,2,FALSE),"")</f>
        <v/>
      </c>
      <c r="I526" s="325" t="str">
        <f>IFERROR(VLOOKUP($D526,'SDDA Dogs'!$A:$AE,3,FALSE),"")</f>
        <v/>
      </c>
      <c r="J526" s="325" t="str">
        <f>IFERROR(VLOOKUP($D526,'SDDA Dogs'!$A:$AE,6,FALSE),"")</f>
        <v/>
      </c>
      <c r="K526" s="325" t="str">
        <f>IF(Excellent!AS27="","",Excellent!AS27)</f>
        <v/>
      </c>
      <c r="L526" s="325" t="str">
        <f>IF(Excellent!AT27="","",Excellent!AT27)</f>
        <v/>
      </c>
      <c r="M526" s="326" t="str">
        <f>TrialDate</f>
        <v/>
      </c>
      <c r="N526" s="325" t="str">
        <f t="shared" ref="N526" si="607">N525</f>
        <v/>
      </c>
      <c r="O526" s="325">
        <f>JudgeD1CSE</f>
        <v>0</v>
      </c>
    </row>
    <row r="527" spans="1:15" x14ac:dyDescent="0.25">
      <c r="A527" s="2">
        <v>2</v>
      </c>
      <c r="B527" s="2">
        <f t="shared" ref="B527:O527" si="608">B526</f>
        <v>0</v>
      </c>
      <c r="C527" s="2" t="str">
        <f t="shared" si="608"/>
        <v>CSE</v>
      </c>
      <c r="D527" s="2">
        <f t="shared" si="608"/>
        <v>0</v>
      </c>
      <c r="E527" s="2" t="str">
        <f t="shared" si="608"/>
        <v>A</v>
      </c>
      <c r="F527" s="2" t="str">
        <f t="shared" si="608"/>
        <v>Container Excellent</v>
      </c>
      <c r="G527" s="2" t="str">
        <f t="shared" si="608"/>
        <v/>
      </c>
      <c r="H527" s="2" t="str">
        <f t="shared" si="608"/>
        <v/>
      </c>
      <c r="I527" s="2" t="str">
        <f t="shared" si="608"/>
        <v/>
      </c>
      <c r="J527" s="2" t="str">
        <f t="shared" si="608"/>
        <v/>
      </c>
      <c r="K527" s="2" t="str">
        <f t="shared" si="608"/>
        <v/>
      </c>
      <c r="L527" s="2" t="str">
        <f t="shared" si="608"/>
        <v/>
      </c>
      <c r="M527" s="180" t="str">
        <f t="shared" si="608"/>
        <v/>
      </c>
      <c r="N527" s="2" t="str">
        <f t="shared" si="608"/>
        <v/>
      </c>
      <c r="O527" s="2">
        <f t="shared" si="608"/>
        <v>0</v>
      </c>
    </row>
    <row r="528" spans="1:15" x14ac:dyDescent="0.25">
      <c r="A528" s="325">
        <v>1</v>
      </c>
      <c r="B528" s="325">
        <f>TrialNumber</f>
        <v>0</v>
      </c>
      <c r="C528" s="325" t="s">
        <v>21</v>
      </c>
      <c r="D528" s="325">
        <f>Excellent!C28</f>
        <v>0</v>
      </c>
      <c r="E528" s="325" t="str">
        <f>IF(Excellent!B28="W","W","A")</f>
        <v>A</v>
      </c>
      <c r="F528" s="325" t="s">
        <v>1740</v>
      </c>
      <c r="G528" s="325" t="str">
        <f>IF(Excellent!G28="e","Y","")</f>
        <v/>
      </c>
      <c r="H528" s="325" t="str">
        <f>IFERROR(VLOOKUP($D528,'SDDA Dogs'!$A:$AE,2,FALSE),"")</f>
        <v/>
      </c>
      <c r="I528" s="325" t="str">
        <f>IFERROR(VLOOKUP($D528,'SDDA Dogs'!$A:$AE,3,FALSE),"")</f>
        <v/>
      </c>
      <c r="J528" s="325" t="str">
        <f>IFERROR(VLOOKUP($D528,'SDDA Dogs'!$A:$AE,6,FALSE),"")</f>
        <v/>
      </c>
      <c r="K528" s="325" t="str">
        <f>IF(Excellent!AS28="","",Excellent!AS28)</f>
        <v/>
      </c>
      <c r="L528" s="325" t="str">
        <f>IF(Excellent!AT28="","",Excellent!AT28)</f>
        <v/>
      </c>
      <c r="M528" s="326" t="str">
        <f>TrialDate</f>
        <v/>
      </c>
      <c r="N528" s="325" t="str">
        <f t="shared" ref="N528" si="609">N527</f>
        <v/>
      </c>
      <c r="O528" s="325">
        <f>JudgeD1CSE</f>
        <v>0</v>
      </c>
    </row>
    <row r="529" spans="1:15" x14ac:dyDescent="0.25">
      <c r="A529" s="2">
        <v>2</v>
      </c>
      <c r="B529" s="2">
        <f t="shared" ref="B529:O529" si="610">B528</f>
        <v>0</v>
      </c>
      <c r="C529" s="2" t="str">
        <f t="shared" si="610"/>
        <v>CSE</v>
      </c>
      <c r="D529" s="2">
        <f t="shared" si="610"/>
        <v>0</v>
      </c>
      <c r="E529" s="2" t="str">
        <f t="shared" si="610"/>
        <v>A</v>
      </c>
      <c r="F529" s="2" t="str">
        <f t="shared" si="610"/>
        <v>Container Excellent</v>
      </c>
      <c r="G529" s="2" t="str">
        <f t="shared" si="610"/>
        <v/>
      </c>
      <c r="H529" s="2" t="str">
        <f t="shared" si="610"/>
        <v/>
      </c>
      <c r="I529" s="2" t="str">
        <f t="shared" si="610"/>
        <v/>
      </c>
      <c r="J529" s="2" t="str">
        <f t="shared" si="610"/>
        <v/>
      </c>
      <c r="K529" s="2" t="str">
        <f t="shared" si="610"/>
        <v/>
      </c>
      <c r="L529" s="2" t="str">
        <f t="shared" si="610"/>
        <v/>
      </c>
      <c r="M529" s="180" t="str">
        <f t="shared" si="610"/>
        <v/>
      </c>
      <c r="N529" s="2" t="str">
        <f t="shared" si="610"/>
        <v/>
      </c>
      <c r="O529" s="2">
        <f t="shared" si="610"/>
        <v>0</v>
      </c>
    </row>
    <row r="530" spans="1:15" x14ac:dyDescent="0.25">
      <c r="A530" s="325">
        <v>1</v>
      </c>
      <c r="B530" s="325">
        <f>TrialNumber</f>
        <v>0</v>
      </c>
      <c r="C530" s="325" t="s">
        <v>21</v>
      </c>
      <c r="D530" s="325">
        <f>Excellent!C29</f>
        <v>0</v>
      </c>
      <c r="E530" s="325" t="str">
        <f>IF(Excellent!B29="W","W","A")</f>
        <v>A</v>
      </c>
      <c r="F530" s="325" t="s">
        <v>1740</v>
      </c>
      <c r="G530" s="325" t="str">
        <f>IF(Excellent!G29="e","Y","")</f>
        <v/>
      </c>
      <c r="H530" s="325" t="str">
        <f>IFERROR(VLOOKUP($D530,'SDDA Dogs'!$A:$AE,2,FALSE),"")</f>
        <v/>
      </c>
      <c r="I530" s="325" t="str">
        <f>IFERROR(VLOOKUP($D530,'SDDA Dogs'!$A:$AE,3,FALSE),"")</f>
        <v/>
      </c>
      <c r="J530" s="325" t="str">
        <f>IFERROR(VLOOKUP($D530,'SDDA Dogs'!$A:$AE,6,FALSE),"")</f>
        <v/>
      </c>
      <c r="K530" s="325" t="str">
        <f>IF(Excellent!AS29="","",Excellent!AS29)</f>
        <v/>
      </c>
      <c r="L530" s="325" t="str">
        <f>IF(Excellent!AT29="","",Excellent!AT29)</f>
        <v/>
      </c>
      <c r="M530" s="326" t="str">
        <f>TrialDate</f>
        <v/>
      </c>
      <c r="N530" s="325" t="str">
        <f t="shared" ref="N530" si="611">N529</f>
        <v/>
      </c>
      <c r="O530" s="325">
        <f>JudgeD1CSE</f>
        <v>0</v>
      </c>
    </row>
    <row r="531" spans="1:15" x14ac:dyDescent="0.25">
      <c r="A531" s="2">
        <v>2</v>
      </c>
      <c r="B531" s="2">
        <f t="shared" ref="B531:O531" si="612">B530</f>
        <v>0</v>
      </c>
      <c r="C531" s="2" t="str">
        <f t="shared" si="612"/>
        <v>CSE</v>
      </c>
      <c r="D531" s="2">
        <f t="shared" si="612"/>
        <v>0</v>
      </c>
      <c r="E531" s="2" t="str">
        <f t="shared" si="612"/>
        <v>A</v>
      </c>
      <c r="F531" s="2" t="str">
        <f t="shared" si="612"/>
        <v>Container Excellent</v>
      </c>
      <c r="G531" s="2" t="str">
        <f t="shared" si="612"/>
        <v/>
      </c>
      <c r="H531" s="2" t="str">
        <f t="shared" si="612"/>
        <v/>
      </c>
      <c r="I531" s="2" t="str">
        <f t="shared" si="612"/>
        <v/>
      </c>
      <c r="J531" s="2" t="str">
        <f t="shared" si="612"/>
        <v/>
      </c>
      <c r="K531" s="2" t="str">
        <f t="shared" si="612"/>
        <v/>
      </c>
      <c r="L531" s="2" t="str">
        <f t="shared" si="612"/>
        <v/>
      </c>
      <c r="M531" s="180" t="str">
        <f t="shared" si="612"/>
        <v/>
      </c>
      <c r="N531" s="2" t="str">
        <f t="shared" si="612"/>
        <v/>
      </c>
      <c r="O531" s="2">
        <f t="shared" si="612"/>
        <v>0</v>
      </c>
    </row>
    <row r="532" spans="1:15" x14ac:dyDescent="0.25">
      <c r="A532" s="325">
        <v>1</v>
      </c>
      <c r="B532" s="325">
        <f>TrialNumber</f>
        <v>0</v>
      </c>
      <c r="C532" s="325" t="s">
        <v>21</v>
      </c>
      <c r="D532" s="325">
        <f>Excellent!C30</f>
        <v>0</v>
      </c>
      <c r="E532" s="325" t="str">
        <f>IF(Excellent!B30="W","W","A")</f>
        <v>A</v>
      </c>
      <c r="F532" s="325" t="s">
        <v>1740</v>
      </c>
      <c r="G532" s="325" t="str">
        <f>IF(Excellent!G30="e","Y","")</f>
        <v/>
      </c>
      <c r="H532" s="325" t="str">
        <f>IFERROR(VLOOKUP($D532,'SDDA Dogs'!$A:$AE,2,FALSE),"")</f>
        <v/>
      </c>
      <c r="I532" s="325" t="str">
        <f>IFERROR(VLOOKUP($D532,'SDDA Dogs'!$A:$AE,3,FALSE),"")</f>
        <v/>
      </c>
      <c r="J532" s="325" t="str">
        <f>IFERROR(VLOOKUP($D532,'SDDA Dogs'!$A:$AE,6,FALSE),"")</f>
        <v/>
      </c>
      <c r="K532" s="325" t="str">
        <f>IF(Excellent!AS30="","",Excellent!AS30)</f>
        <v/>
      </c>
      <c r="L532" s="325" t="str">
        <f>IF(Excellent!AT30="","",Excellent!AT30)</f>
        <v/>
      </c>
      <c r="M532" s="326" t="str">
        <f>TrialDate</f>
        <v/>
      </c>
      <c r="N532" s="325" t="str">
        <f t="shared" ref="N532" si="613">N531</f>
        <v/>
      </c>
      <c r="O532" s="325">
        <f>JudgeD1CSE</f>
        <v>0</v>
      </c>
    </row>
    <row r="533" spans="1:15" x14ac:dyDescent="0.25">
      <c r="A533" s="2">
        <v>2</v>
      </c>
      <c r="B533" s="2">
        <f t="shared" ref="B533:O533" si="614">B532</f>
        <v>0</v>
      </c>
      <c r="C533" s="2" t="str">
        <f t="shared" si="614"/>
        <v>CSE</v>
      </c>
      <c r="D533" s="2">
        <f t="shared" si="614"/>
        <v>0</v>
      </c>
      <c r="E533" s="2" t="str">
        <f t="shared" si="614"/>
        <v>A</v>
      </c>
      <c r="F533" s="2" t="str">
        <f t="shared" si="614"/>
        <v>Container Excellent</v>
      </c>
      <c r="G533" s="2" t="str">
        <f t="shared" si="614"/>
        <v/>
      </c>
      <c r="H533" s="2" t="str">
        <f t="shared" si="614"/>
        <v/>
      </c>
      <c r="I533" s="2" t="str">
        <f t="shared" si="614"/>
        <v/>
      </c>
      <c r="J533" s="2" t="str">
        <f t="shared" si="614"/>
        <v/>
      </c>
      <c r="K533" s="2" t="str">
        <f t="shared" si="614"/>
        <v/>
      </c>
      <c r="L533" s="2" t="str">
        <f t="shared" si="614"/>
        <v/>
      </c>
      <c r="M533" s="180" t="str">
        <f t="shared" si="614"/>
        <v/>
      </c>
      <c r="N533" s="2" t="str">
        <f t="shared" si="614"/>
        <v/>
      </c>
      <c r="O533" s="2">
        <f t="shared" si="614"/>
        <v>0</v>
      </c>
    </row>
    <row r="534" spans="1:15" x14ac:dyDescent="0.25">
      <c r="A534" s="325">
        <v>1</v>
      </c>
      <c r="B534" s="325">
        <f>TrialNumber</f>
        <v>0</v>
      </c>
      <c r="C534" s="325" t="s">
        <v>21</v>
      </c>
      <c r="D534" s="325">
        <f>Excellent!C31</f>
        <v>0</v>
      </c>
      <c r="E534" s="325" t="str">
        <f>IF(Excellent!B31="W","W","A")</f>
        <v>A</v>
      </c>
      <c r="F534" s="325" t="s">
        <v>1740</v>
      </c>
      <c r="G534" s="325" t="str">
        <f>IF(Excellent!G31="e","Y","")</f>
        <v/>
      </c>
      <c r="H534" s="325" t="str">
        <f>IFERROR(VLOOKUP($D534,'SDDA Dogs'!$A:$AE,2,FALSE),"")</f>
        <v/>
      </c>
      <c r="I534" s="325" t="str">
        <f>IFERROR(VLOOKUP($D534,'SDDA Dogs'!$A:$AE,3,FALSE),"")</f>
        <v/>
      </c>
      <c r="J534" s="325" t="str">
        <f>IFERROR(VLOOKUP($D534,'SDDA Dogs'!$A:$AE,6,FALSE),"")</f>
        <v/>
      </c>
      <c r="K534" s="325" t="str">
        <f>IF(Excellent!AS31="","",Excellent!AS31)</f>
        <v/>
      </c>
      <c r="L534" s="325" t="str">
        <f>IF(Excellent!AT31="","",Excellent!AT31)</f>
        <v/>
      </c>
      <c r="M534" s="326" t="str">
        <f>TrialDate</f>
        <v/>
      </c>
      <c r="N534" s="325" t="str">
        <f t="shared" ref="N534" si="615">N533</f>
        <v/>
      </c>
      <c r="O534" s="325">
        <f>JudgeD1CSE</f>
        <v>0</v>
      </c>
    </row>
    <row r="535" spans="1:15" x14ac:dyDescent="0.25">
      <c r="A535" s="2">
        <v>2</v>
      </c>
      <c r="B535" s="2">
        <f t="shared" ref="B535:O535" si="616">B534</f>
        <v>0</v>
      </c>
      <c r="C535" s="2" t="str">
        <f t="shared" si="616"/>
        <v>CSE</v>
      </c>
      <c r="D535" s="2">
        <f t="shared" si="616"/>
        <v>0</v>
      </c>
      <c r="E535" s="2" t="str">
        <f t="shared" si="616"/>
        <v>A</v>
      </c>
      <c r="F535" s="2" t="str">
        <f t="shared" si="616"/>
        <v>Container Excellent</v>
      </c>
      <c r="G535" s="2" t="str">
        <f t="shared" si="616"/>
        <v/>
      </c>
      <c r="H535" s="2" t="str">
        <f t="shared" si="616"/>
        <v/>
      </c>
      <c r="I535" s="2" t="str">
        <f t="shared" si="616"/>
        <v/>
      </c>
      <c r="J535" s="2" t="str">
        <f t="shared" si="616"/>
        <v/>
      </c>
      <c r="K535" s="2" t="str">
        <f t="shared" si="616"/>
        <v/>
      </c>
      <c r="L535" s="2" t="str">
        <f t="shared" si="616"/>
        <v/>
      </c>
      <c r="M535" s="180" t="str">
        <f t="shared" si="616"/>
        <v/>
      </c>
      <c r="N535" s="2" t="str">
        <f t="shared" si="616"/>
        <v/>
      </c>
      <c r="O535" s="2">
        <f t="shared" si="616"/>
        <v>0</v>
      </c>
    </row>
    <row r="536" spans="1:15" x14ac:dyDescent="0.25">
      <c r="A536" s="325">
        <v>1</v>
      </c>
      <c r="B536" s="325">
        <f>TrialNumber</f>
        <v>0</v>
      </c>
      <c r="C536" s="325" t="s">
        <v>21</v>
      </c>
      <c r="D536" s="325">
        <f>Excellent!C32</f>
        <v>0</v>
      </c>
      <c r="E536" s="325" t="str">
        <f>IF(Excellent!B32="W","W","A")</f>
        <v>A</v>
      </c>
      <c r="F536" s="325" t="s">
        <v>1740</v>
      </c>
      <c r="G536" s="325" t="str">
        <f>IF(Excellent!G32="e","Y","")</f>
        <v/>
      </c>
      <c r="H536" s="325" t="str">
        <f>IFERROR(VLOOKUP($D536,'SDDA Dogs'!$A:$AE,2,FALSE),"")</f>
        <v/>
      </c>
      <c r="I536" s="325" t="str">
        <f>IFERROR(VLOOKUP($D536,'SDDA Dogs'!$A:$AE,3,FALSE),"")</f>
        <v/>
      </c>
      <c r="J536" s="325" t="str">
        <f>IFERROR(VLOOKUP($D536,'SDDA Dogs'!$A:$AE,6,FALSE),"")</f>
        <v/>
      </c>
      <c r="K536" s="325" t="str">
        <f>IF(Excellent!AS32="","",Excellent!AS32)</f>
        <v/>
      </c>
      <c r="L536" s="325" t="str">
        <f>IF(Excellent!AT32="","",Excellent!AT32)</f>
        <v/>
      </c>
      <c r="M536" s="326" t="str">
        <f>TrialDate</f>
        <v/>
      </c>
      <c r="N536" s="325" t="str">
        <f t="shared" ref="N536" si="617">N535</f>
        <v/>
      </c>
      <c r="O536" s="325">
        <f>JudgeD1CSE</f>
        <v>0</v>
      </c>
    </row>
    <row r="537" spans="1:15" x14ac:dyDescent="0.25">
      <c r="A537" s="2">
        <v>2</v>
      </c>
      <c r="B537" s="2">
        <f t="shared" ref="B537:O537" si="618">B536</f>
        <v>0</v>
      </c>
      <c r="C537" s="2" t="str">
        <f t="shared" si="618"/>
        <v>CSE</v>
      </c>
      <c r="D537" s="2">
        <f t="shared" si="618"/>
        <v>0</v>
      </c>
      <c r="E537" s="2" t="str">
        <f t="shared" si="618"/>
        <v>A</v>
      </c>
      <c r="F537" s="2" t="str">
        <f t="shared" si="618"/>
        <v>Container Excellent</v>
      </c>
      <c r="G537" s="2" t="str">
        <f t="shared" si="618"/>
        <v/>
      </c>
      <c r="H537" s="2" t="str">
        <f t="shared" si="618"/>
        <v/>
      </c>
      <c r="I537" s="2" t="str">
        <f t="shared" si="618"/>
        <v/>
      </c>
      <c r="J537" s="2" t="str">
        <f t="shared" si="618"/>
        <v/>
      </c>
      <c r="K537" s="2" t="str">
        <f t="shared" si="618"/>
        <v/>
      </c>
      <c r="L537" s="2" t="str">
        <f t="shared" si="618"/>
        <v/>
      </c>
      <c r="M537" s="180" t="str">
        <f t="shared" si="618"/>
        <v/>
      </c>
      <c r="N537" s="2" t="str">
        <f t="shared" si="618"/>
        <v/>
      </c>
      <c r="O537" s="2">
        <f t="shared" si="618"/>
        <v>0</v>
      </c>
    </row>
    <row r="538" spans="1:15" x14ac:dyDescent="0.25">
      <c r="A538" s="325">
        <v>1</v>
      </c>
      <c r="B538" s="325">
        <f>TrialNumber</f>
        <v>0</v>
      </c>
      <c r="C538" s="325" t="s">
        <v>21</v>
      </c>
      <c r="D538" s="325">
        <f>Excellent!C33</f>
        <v>0</v>
      </c>
      <c r="E538" s="325" t="str">
        <f>IF(Excellent!B33="W","W","A")</f>
        <v>A</v>
      </c>
      <c r="F538" s="325" t="s">
        <v>1740</v>
      </c>
      <c r="G538" s="325" t="str">
        <f>IF(Excellent!G33="e","Y","")</f>
        <v/>
      </c>
      <c r="H538" s="325" t="str">
        <f>IFERROR(VLOOKUP($D538,'SDDA Dogs'!$A:$AE,2,FALSE),"")</f>
        <v/>
      </c>
      <c r="I538" s="325" t="str">
        <f>IFERROR(VLOOKUP($D538,'SDDA Dogs'!$A:$AE,3,FALSE),"")</f>
        <v/>
      </c>
      <c r="J538" s="325" t="str">
        <f>IFERROR(VLOOKUP($D538,'SDDA Dogs'!$A:$AE,6,FALSE),"")</f>
        <v/>
      </c>
      <c r="K538" s="325" t="str">
        <f>IF(Excellent!AS33="","",Excellent!AS33)</f>
        <v/>
      </c>
      <c r="L538" s="325" t="str">
        <f>IF(Excellent!AT33="","",Excellent!AT33)</f>
        <v/>
      </c>
      <c r="M538" s="326" t="str">
        <f>TrialDate</f>
        <v/>
      </c>
      <c r="N538" s="325" t="str">
        <f t="shared" ref="N538" si="619">N537</f>
        <v/>
      </c>
      <c r="O538" s="325">
        <f>JudgeD1CSE</f>
        <v>0</v>
      </c>
    </row>
    <row r="539" spans="1:15" x14ac:dyDescent="0.25">
      <c r="A539" s="2">
        <v>2</v>
      </c>
      <c r="B539" s="2">
        <f t="shared" ref="B539:O539" si="620">B538</f>
        <v>0</v>
      </c>
      <c r="C539" s="2" t="str">
        <f t="shared" si="620"/>
        <v>CSE</v>
      </c>
      <c r="D539" s="2">
        <f t="shared" si="620"/>
        <v>0</v>
      </c>
      <c r="E539" s="2" t="str">
        <f t="shared" si="620"/>
        <v>A</v>
      </c>
      <c r="F539" s="2" t="str">
        <f t="shared" si="620"/>
        <v>Container Excellent</v>
      </c>
      <c r="G539" s="2" t="str">
        <f t="shared" si="620"/>
        <v/>
      </c>
      <c r="H539" s="2" t="str">
        <f t="shared" si="620"/>
        <v/>
      </c>
      <c r="I539" s="2" t="str">
        <f t="shared" si="620"/>
        <v/>
      </c>
      <c r="J539" s="2" t="str">
        <f t="shared" si="620"/>
        <v/>
      </c>
      <c r="K539" s="2" t="str">
        <f t="shared" si="620"/>
        <v/>
      </c>
      <c r="L539" s="2" t="str">
        <f t="shared" si="620"/>
        <v/>
      </c>
      <c r="M539" s="180" t="str">
        <f t="shared" si="620"/>
        <v/>
      </c>
      <c r="N539" s="2" t="str">
        <f t="shared" si="620"/>
        <v/>
      </c>
      <c r="O539" s="2">
        <f t="shared" si="620"/>
        <v>0</v>
      </c>
    </row>
    <row r="540" spans="1:15" x14ac:dyDescent="0.25">
      <c r="A540" s="325">
        <v>1</v>
      </c>
      <c r="B540" s="325">
        <f>TrialNumber</f>
        <v>0</v>
      </c>
      <c r="C540" s="325" t="s">
        <v>21</v>
      </c>
      <c r="D540" s="325">
        <f>Excellent!C34</f>
        <v>0</v>
      </c>
      <c r="E540" s="325" t="str">
        <f>IF(Excellent!B34="W","W","A")</f>
        <v>A</v>
      </c>
      <c r="F540" s="325" t="s">
        <v>1740</v>
      </c>
      <c r="G540" s="325" t="str">
        <f>IF(Excellent!G34="e","Y","")</f>
        <v/>
      </c>
      <c r="H540" s="325" t="str">
        <f>IFERROR(VLOOKUP($D540,'SDDA Dogs'!$A:$AE,2,FALSE),"")</f>
        <v/>
      </c>
      <c r="I540" s="325" t="str">
        <f>IFERROR(VLOOKUP($D540,'SDDA Dogs'!$A:$AE,3,FALSE),"")</f>
        <v/>
      </c>
      <c r="J540" s="325" t="str">
        <f>IFERROR(VLOOKUP($D540,'SDDA Dogs'!$A:$AE,6,FALSE),"")</f>
        <v/>
      </c>
      <c r="K540" s="325" t="str">
        <f>IF(Excellent!AS34="","",Excellent!AS34)</f>
        <v/>
      </c>
      <c r="L540" s="325" t="str">
        <f>IF(Excellent!AT34="","",Excellent!AT34)</f>
        <v/>
      </c>
      <c r="M540" s="326" t="str">
        <f>TrialDate</f>
        <v/>
      </c>
      <c r="N540" s="325" t="str">
        <f t="shared" ref="N540" si="621">N539</f>
        <v/>
      </c>
      <c r="O540" s="325">
        <f>JudgeD1CSE</f>
        <v>0</v>
      </c>
    </row>
    <row r="541" spans="1:15" x14ac:dyDescent="0.25">
      <c r="A541" s="2">
        <v>2</v>
      </c>
      <c r="B541" s="2">
        <f t="shared" ref="B541:O541" si="622">B540</f>
        <v>0</v>
      </c>
      <c r="C541" s="2" t="str">
        <f t="shared" si="622"/>
        <v>CSE</v>
      </c>
      <c r="D541" s="2">
        <f t="shared" si="622"/>
        <v>0</v>
      </c>
      <c r="E541" s="2" t="str">
        <f t="shared" si="622"/>
        <v>A</v>
      </c>
      <c r="F541" s="2" t="str">
        <f t="shared" si="622"/>
        <v>Container Excellent</v>
      </c>
      <c r="G541" s="2" t="str">
        <f t="shared" si="622"/>
        <v/>
      </c>
      <c r="H541" s="2" t="str">
        <f t="shared" si="622"/>
        <v/>
      </c>
      <c r="I541" s="2" t="str">
        <f t="shared" si="622"/>
        <v/>
      </c>
      <c r="J541" s="2" t="str">
        <f t="shared" si="622"/>
        <v/>
      </c>
      <c r="K541" s="2" t="str">
        <f t="shared" si="622"/>
        <v/>
      </c>
      <c r="L541" s="2" t="str">
        <f t="shared" si="622"/>
        <v/>
      </c>
      <c r="M541" s="180" t="str">
        <f t="shared" si="622"/>
        <v/>
      </c>
      <c r="N541" s="2" t="str">
        <f t="shared" si="622"/>
        <v/>
      </c>
      <c r="O541" s="2">
        <f t="shared" si="622"/>
        <v>0</v>
      </c>
    </row>
    <row r="542" spans="1:15" x14ac:dyDescent="0.25">
      <c r="A542" s="325">
        <v>1</v>
      </c>
      <c r="B542" s="325">
        <f>TrialNumber</f>
        <v>0</v>
      </c>
      <c r="C542" s="325" t="s">
        <v>21</v>
      </c>
      <c r="D542" s="325">
        <f>Excellent!C35</f>
        <v>0</v>
      </c>
      <c r="E542" s="325" t="str">
        <f>IF(Excellent!B35="W","W","A")</f>
        <v>A</v>
      </c>
      <c r="F542" s="325" t="s">
        <v>1740</v>
      </c>
      <c r="G542" s="325" t="str">
        <f>IF(Excellent!G35="e","Y","")</f>
        <v/>
      </c>
      <c r="H542" s="325" t="str">
        <f>IFERROR(VLOOKUP($D542,'SDDA Dogs'!$A:$AE,2,FALSE),"")</f>
        <v/>
      </c>
      <c r="I542" s="325" t="str">
        <f>IFERROR(VLOOKUP($D542,'SDDA Dogs'!$A:$AE,3,FALSE),"")</f>
        <v/>
      </c>
      <c r="J542" s="325" t="str">
        <f>IFERROR(VLOOKUP($D542,'SDDA Dogs'!$A:$AE,6,FALSE),"")</f>
        <v/>
      </c>
      <c r="K542" s="325" t="str">
        <f>IF(Excellent!AS35="","",Excellent!AS35)</f>
        <v/>
      </c>
      <c r="L542" s="325" t="str">
        <f>IF(Excellent!AT35="","",Excellent!AT35)</f>
        <v/>
      </c>
      <c r="M542" s="326" t="str">
        <f>TrialDate</f>
        <v/>
      </c>
      <c r="N542" s="325" t="str">
        <f t="shared" ref="N542" si="623">N541</f>
        <v/>
      </c>
      <c r="O542" s="325">
        <f>JudgeD1CSE</f>
        <v>0</v>
      </c>
    </row>
    <row r="543" spans="1:15" x14ac:dyDescent="0.25">
      <c r="A543" s="2">
        <v>2</v>
      </c>
      <c r="B543" s="2">
        <f t="shared" ref="B543:O543" si="624">B542</f>
        <v>0</v>
      </c>
      <c r="C543" s="2" t="str">
        <f t="shared" si="624"/>
        <v>CSE</v>
      </c>
      <c r="D543" s="2">
        <f t="shared" si="624"/>
        <v>0</v>
      </c>
      <c r="E543" s="2" t="str">
        <f t="shared" si="624"/>
        <v>A</v>
      </c>
      <c r="F543" s="2" t="str">
        <f t="shared" si="624"/>
        <v>Container Excellent</v>
      </c>
      <c r="G543" s="2" t="str">
        <f t="shared" si="624"/>
        <v/>
      </c>
      <c r="H543" s="2" t="str">
        <f t="shared" si="624"/>
        <v/>
      </c>
      <c r="I543" s="2" t="str">
        <f t="shared" si="624"/>
        <v/>
      </c>
      <c r="J543" s="2" t="str">
        <f t="shared" si="624"/>
        <v/>
      </c>
      <c r="K543" s="2" t="str">
        <f t="shared" si="624"/>
        <v/>
      </c>
      <c r="L543" s="2" t="str">
        <f t="shared" si="624"/>
        <v/>
      </c>
      <c r="M543" s="180" t="str">
        <f t="shared" si="624"/>
        <v/>
      </c>
      <c r="N543" s="2" t="str">
        <f t="shared" si="624"/>
        <v/>
      </c>
      <c r="O543" s="2">
        <f t="shared" si="624"/>
        <v>0</v>
      </c>
    </row>
    <row r="544" spans="1:15" x14ac:dyDescent="0.25">
      <c r="A544" s="325">
        <v>1</v>
      </c>
      <c r="B544" s="325">
        <f>TrialNumber</f>
        <v>0</v>
      </c>
      <c r="C544" s="325" t="s">
        <v>21</v>
      </c>
      <c r="D544" s="325">
        <f>Excellent!C36</f>
        <v>0</v>
      </c>
      <c r="E544" s="325" t="str">
        <f>IF(Excellent!B36="W","W","A")</f>
        <v>A</v>
      </c>
      <c r="F544" s="325" t="s">
        <v>1740</v>
      </c>
      <c r="G544" s="325" t="str">
        <f>IF(Excellent!G36="e","Y","")</f>
        <v/>
      </c>
      <c r="H544" s="325" t="str">
        <f>IFERROR(VLOOKUP($D544,'SDDA Dogs'!$A:$AE,2,FALSE),"")</f>
        <v/>
      </c>
      <c r="I544" s="325" t="str">
        <f>IFERROR(VLOOKUP($D544,'SDDA Dogs'!$A:$AE,3,FALSE),"")</f>
        <v/>
      </c>
      <c r="J544" s="325" t="str">
        <f>IFERROR(VLOOKUP($D544,'SDDA Dogs'!$A:$AE,6,FALSE),"")</f>
        <v/>
      </c>
      <c r="K544" s="325" t="str">
        <f>IF(Excellent!AS36="","",Excellent!AS36)</f>
        <v/>
      </c>
      <c r="L544" s="325" t="str">
        <f>IF(Excellent!AT36="","",Excellent!AT36)</f>
        <v/>
      </c>
      <c r="M544" s="326" t="str">
        <f>TrialDate</f>
        <v/>
      </c>
      <c r="N544" s="325" t="str">
        <f t="shared" ref="N544" si="625">N543</f>
        <v/>
      </c>
      <c r="O544" s="325">
        <f>JudgeD1CSE</f>
        <v>0</v>
      </c>
    </row>
    <row r="545" spans="1:15" x14ac:dyDescent="0.25">
      <c r="A545" s="2">
        <v>2</v>
      </c>
      <c r="B545" s="2">
        <f t="shared" ref="B545:O545" si="626">B544</f>
        <v>0</v>
      </c>
      <c r="C545" s="2" t="str">
        <f t="shared" si="626"/>
        <v>CSE</v>
      </c>
      <c r="D545" s="2">
        <f t="shared" si="626"/>
        <v>0</v>
      </c>
      <c r="E545" s="2" t="str">
        <f t="shared" si="626"/>
        <v>A</v>
      </c>
      <c r="F545" s="2" t="str">
        <f t="shared" si="626"/>
        <v>Container Excellent</v>
      </c>
      <c r="G545" s="2" t="str">
        <f t="shared" si="626"/>
        <v/>
      </c>
      <c r="H545" s="2" t="str">
        <f t="shared" si="626"/>
        <v/>
      </c>
      <c r="I545" s="2" t="str">
        <f t="shared" si="626"/>
        <v/>
      </c>
      <c r="J545" s="2" t="str">
        <f t="shared" si="626"/>
        <v/>
      </c>
      <c r="K545" s="2" t="str">
        <f t="shared" si="626"/>
        <v/>
      </c>
      <c r="L545" s="2" t="str">
        <f t="shared" si="626"/>
        <v/>
      </c>
      <c r="M545" s="180" t="str">
        <f t="shared" si="626"/>
        <v/>
      </c>
      <c r="N545" s="2" t="str">
        <f t="shared" si="626"/>
        <v/>
      </c>
      <c r="O545" s="2">
        <f t="shared" si="626"/>
        <v>0</v>
      </c>
    </row>
    <row r="546" spans="1:15" x14ac:dyDescent="0.25">
      <c r="A546" s="325">
        <v>1</v>
      </c>
      <c r="B546" s="325">
        <f>TrialNumber</f>
        <v>0</v>
      </c>
      <c r="C546" s="325" t="s">
        <v>21</v>
      </c>
      <c r="D546" s="325">
        <f>Excellent!C37</f>
        <v>0</v>
      </c>
      <c r="E546" s="325" t="str">
        <f>IF(Excellent!B37="W","W","A")</f>
        <v>A</v>
      </c>
      <c r="F546" s="325" t="s">
        <v>1740</v>
      </c>
      <c r="G546" s="325" t="str">
        <f>IF(Excellent!G37="e","Y","")</f>
        <v/>
      </c>
      <c r="H546" s="325" t="str">
        <f>IFERROR(VLOOKUP($D546,'SDDA Dogs'!$A:$AE,2,FALSE),"")</f>
        <v/>
      </c>
      <c r="I546" s="325" t="str">
        <f>IFERROR(VLOOKUP($D546,'SDDA Dogs'!$A:$AE,3,FALSE),"")</f>
        <v/>
      </c>
      <c r="J546" s="325" t="str">
        <f>IFERROR(VLOOKUP($D546,'SDDA Dogs'!$A:$AE,6,FALSE),"")</f>
        <v/>
      </c>
      <c r="K546" s="325" t="str">
        <f>IF(Excellent!AS37="","",Excellent!AS37)</f>
        <v/>
      </c>
      <c r="L546" s="325" t="str">
        <f>IF(Excellent!AT37="","",Excellent!AT37)</f>
        <v/>
      </c>
      <c r="M546" s="326" t="str">
        <f>TrialDate</f>
        <v/>
      </c>
      <c r="N546" s="325" t="str">
        <f t="shared" ref="N546" si="627">N545</f>
        <v/>
      </c>
      <c r="O546" s="325">
        <f>JudgeD1CSE</f>
        <v>0</v>
      </c>
    </row>
    <row r="547" spans="1:15" x14ac:dyDescent="0.25">
      <c r="A547" s="2">
        <v>2</v>
      </c>
      <c r="B547" s="2">
        <f t="shared" ref="B547:O547" si="628">B546</f>
        <v>0</v>
      </c>
      <c r="C547" s="2" t="str">
        <f t="shared" si="628"/>
        <v>CSE</v>
      </c>
      <c r="D547" s="2">
        <f t="shared" si="628"/>
        <v>0</v>
      </c>
      <c r="E547" s="2" t="str">
        <f t="shared" si="628"/>
        <v>A</v>
      </c>
      <c r="F547" s="2" t="str">
        <f t="shared" si="628"/>
        <v>Container Excellent</v>
      </c>
      <c r="G547" s="2" t="str">
        <f t="shared" si="628"/>
        <v/>
      </c>
      <c r="H547" s="2" t="str">
        <f t="shared" si="628"/>
        <v/>
      </c>
      <c r="I547" s="2" t="str">
        <f t="shared" si="628"/>
        <v/>
      </c>
      <c r="J547" s="2" t="str">
        <f t="shared" si="628"/>
        <v/>
      </c>
      <c r="K547" s="2" t="str">
        <f t="shared" si="628"/>
        <v/>
      </c>
      <c r="L547" s="2" t="str">
        <f t="shared" si="628"/>
        <v/>
      </c>
      <c r="M547" s="180" t="str">
        <f t="shared" si="628"/>
        <v/>
      </c>
      <c r="N547" s="2" t="str">
        <f t="shared" si="628"/>
        <v/>
      </c>
      <c r="O547" s="2">
        <f t="shared" si="628"/>
        <v>0</v>
      </c>
    </row>
    <row r="548" spans="1:15" x14ac:dyDescent="0.25">
      <c r="A548" s="325">
        <v>1</v>
      </c>
      <c r="B548" s="325">
        <f>TrialNumber</f>
        <v>0</v>
      </c>
      <c r="C548" s="325" t="s">
        <v>21</v>
      </c>
      <c r="D548" s="325">
        <f>Excellent!C38</f>
        <v>0</v>
      </c>
      <c r="E548" s="325" t="str">
        <f>IF(Excellent!B38="W","W","A")</f>
        <v>A</v>
      </c>
      <c r="F548" s="325" t="s">
        <v>1740</v>
      </c>
      <c r="G548" s="325" t="str">
        <f>IF(Excellent!G38="e","Y","")</f>
        <v/>
      </c>
      <c r="H548" s="325" t="str">
        <f>IFERROR(VLOOKUP($D548,'SDDA Dogs'!$A:$AE,2,FALSE),"")</f>
        <v/>
      </c>
      <c r="I548" s="325" t="str">
        <f>IFERROR(VLOOKUP($D548,'SDDA Dogs'!$A:$AE,3,FALSE),"")</f>
        <v/>
      </c>
      <c r="J548" s="325" t="str">
        <f>IFERROR(VLOOKUP($D548,'SDDA Dogs'!$A:$AE,6,FALSE),"")</f>
        <v/>
      </c>
      <c r="K548" s="325" t="str">
        <f>IF(Excellent!AS38="","",Excellent!AS38)</f>
        <v/>
      </c>
      <c r="L548" s="325" t="str">
        <f>IF(Excellent!AT38="","",Excellent!AT38)</f>
        <v/>
      </c>
      <c r="M548" s="326" t="str">
        <f>TrialDate</f>
        <v/>
      </c>
      <c r="N548" s="325" t="str">
        <f t="shared" ref="N548" si="629">N547</f>
        <v/>
      </c>
      <c r="O548" s="325">
        <f>JudgeD1CSE</f>
        <v>0</v>
      </c>
    </row>
    <row r="549" spans="1:15" x14ac:dyDescent="0.25">
      <c r="A549" s="2">
        <v>2</v>
      </c>
      <c r="B549" s="2">
        <f t="shared" ref="B549:O549" si="630">B548</f>
        <v>0</v>
      </c>
      <c r="C549" s="2" t="str">
        <f t="shared" si="630"/>
        <v>CSE</v>
      </c>
      <c r="D549" s="2">
        <f t="shared" si="630"/>
        <v>0</v>
      </c>
      <c r="E549" s="2" t="str">
        <f t="shared" si="630"/>
        <v>A</v>
      </c>
      <c r="F549" s="2" t="str">
        <f t="shared" si="630"/>
        <v>Container Excellent</v>
      </c>
      <c r="G549" s="2" t="str">
        <f t="shared" si="630"/>
        <v/>
      </c>
      <c r="H549" s="2" t="str">
        <f t="shared" si="630"/>
        <v/>
      </c>
      <c r="I549" s="2" t="str">
        <f t="shared" si="630"/>
        <v/>
      </c>
      <c r="J549" s="2" t="str">
        <f t="shared" si="630"/>
        <v/>
      </c>
      <c r="K549" s="2" t="str">
        <f t="shared" si="630"/>
        <v/>
      </c>
      <c r="L549" s="2" t="str">
        <f t="shared" si="630"/>
        <v/>
      </c>
      <c r="M549" s="180" t="str">
        <f t="shared" si="630"/>
        <v/>
      </c>
      <c r="N549" s="2" t="str">
        <f t="shared" si="630"/>
        <v/>
      </c>
      <c r="O549" s="2">
        <f t="shared" si="630"/>
        <v>0</v>
      </c>
    </row>
    <row r="550" spans="1:15" x14ac:dyDescent="0.25">
      <c r="A550" s="325">
        <v>1</v>
      </c>
      <c r="B550" s="325">
        <f>TrialNumber</f>
        <v>0</v>
      </c>
      <c r="C550" s="325" t="s">
        <v>21</v>
      </c>
      <c r="D550" s="325">
        <f>Excellent!C39</f>
        <v>0</v>
      </c>
      <c r="E550" s="325" t="str">
        <f>IF(Excellent!B39="W","W","A")</f>
        <v>A</v>
      </c>
      <c r="F550" s="325" t="s">
        <v>1740</v>
      </c>
      <c r="G550" s="325" t="str">
        <f>IF(Excellent!G39="e","Y","")</f>
        <v/>
      </c>
      <c r="H550" s="325" t="str">
        <f>IFERROR(VLOOKUP($D550,'SDDA Dogs'!$A:$AE,2,FALSE),"")</f>
        <v/>
      </c>
      <c r="I550" s="325" t="str">
        <f>IFERROR(VLOOKUP($D550,'SDDA Dogs'!$A:$AE,3,FALSE),"")</f>
        <v/>
      </c>
      <c r="J550" s="325" t="str">
        <f>IFERROR(VLOOKUP($D550,'SDDA Dogs'!$A:$AE,6,FALSE),"")</f>
        <v/>
      </c>
      <c r="K550" s="325" t="str">
        <f>IF(Excellent!AS39="","",Excellent!AS39)</f>
        <v/>
      </c>
      <c r="L550" s="325" t="str">
        <f>IF(Excellent!AT39="","",Excellent!AT39)</f>
        <v/>
      </c>
      <c r="M550" s="326" t="str">
        <f>TrialDate</f>
        <v/>
      </c>
      <c r="N550" s="325" t="str">
        <f t="shared" ref="N550" si="631">N549</f>
        <v/>
      </c>
      <c r="O550" s="325">
        <f>JudgeD1CSE</f>
        <v>0</v>
      </c>
    </row>
    <row r="551" spans="1:15" x14ac:dyDescent="0.25">
      <c r="A551" s="2">
        <v>2</v>
      </c>
      <c r="B551" s="2">
        <f t="shared" ref="B551:O551" si="632">B550</f>
        <v>0</v>
      </c>
      <c r="C551" s="2" t="str">
        <f t="shared" si="632"/>
        <v>CSE</v>
      </c>
      <c r="D551" s="2">
        <f t="shared" si="632"/>
        <v>0</v>
      </c>
      <c r="E551" s="2" t="str">
        <f t="shared" si="632"/>
        <v>A</v>
      </c>
      <c r="F551" s="2" t="str">
        <f t="shared" si="632"/>
        <v>Container Excellent</v>
      </c>
      <c r="G551" s="2" t="str">
        <f t="shared" si="632"/>
        <v/>
      </c>
      <c r="H551" s="2" t="str">
        <f t="shared" si="632"/>
        <v/>
      </c>
      <c r="I551" s="2" t="str">
        <f t="shared" si="632"/>
        <v/>
      </c>
      <c r="J551" s="2" t="str">
        <f t="shared" si="632"/>
        <v/>
      </c>
      <c r="K551" s="2" t="str">
        <f t="shared" si="632"/>
        <v/>
      </c>
      <c r="L551" s="2" t="str">
        <f t="shared" si="632"/>
        <v/>
      </c>
      <c r="M551" s="180" t="str">
        <f t="shared" si="632"/>
        <v/>
      </c>
      <c r="N551" s="2" t="str">
        <f t="shared" si="632"/>
        <v/>
      </c>
      <c r="O551" s="2">
        <f t="shared" si="632"/>
        <v>0</v>
      </c>
    </row>
    <row r="552" spans="1:15" x14ac:dyDescent="0.25">
      <c r="A552" s="325">
        <v>1</v>
      </c>
      <c r="B552" s="325">
        <f>TrialNumber</f>
        <v>0</v>
      </c>
      <c r="C552" s="325" t="s">
        <v>21</v>
      </c>
      <c r="D552" s="325">
        <f>Excellent!C40</f>
        <v>0</v>
      </c>
      <c r="E552" s="325" t="str">
        <f>IF(Excellent!B40="W","W","A")</f>
        <v>A</v>
      </c>
      <c r="F552" s="325" t="s">
        <v>1740</v>
      </c>
      <c r="G552" s="325" t="str">
        <f>IF(Excellent!G40="e","Y","")</f>
        <v/>
      </c>
      <c r="H552" s="325" t="str">
        <f>IFERROR(VLOOKUP($D552,'SDDA Dogs'!$A:$AE,2,FALSE),"")</f>
        <v/>
      </c>
      <c r="I552" s="325" t="str">
        <f>IFERROR(VLOOKUP($D552,'SDDA Dogs'!$A:$AE,3,FALSE),"")</f>
        <v/>
      </c>
      <c r="J552" s="325" t="str">
        <f>IFERROR(VLOOKUP($D552,'SDDA Dogs'!$A:$AE,6,FALSE),"")</f>
        <v/>
      </c>
      <c r="K552" s="325" t="str">
        <f>IF(Excellent!AS40="","",Excellent!AS40)</f>
        <v/>
      </c>
      <c r="L552" s="325" t="str">
        <f>IF(Excellent!AT40="","",Excellent!AT40)</f>
        <v/>
      </c>
      <c r="M552" s="326" t="str">
        <f>TrialDate</f>
        <v/>
      </c>
      <c r="N552" s="325" t="str">
        <f t="shared" ref="N552" si="633">N551</f>
        <v/>
      </c>
      <c r="O552" s="325">
        <f>JudgeD1CSE</f>
        <v>0</v>
      </c>
    </row>
    <row r="553" spans="1:15" x14ac:dyDescent="0.25">
      <c r="A553" s="2">
        <v>2</v>
      </c>
      <c r="B553" s="2">
        <f t="shared" ref="B553:O553" si="634">B552</f>
        <v>0</v>
      </c>
      <c r="C553" s="2" t="str">
        <f t="shared" si="634"/>
        <v>CSE</v>
      </c>
      <c r="D553" s="2">
        <f t="shared" si="634"/>
        <v>0</v>
      </c>
      <c r="E553" s="2" t="str">
        <f t="shared" si="634"/>
        <v>A</v>
      </c>
      <c r="F553" s="2" t="str">
        <f t="shared" si="634"/>
        <v>Container Excellent</v>
      </c>
      <c r="G553" s="2" t="str">
        <f t="shared" si="634"/>
        <v/>
      </c>
      <c r="H553" s="2" t="str">
        <f t="shared" si="634"/>
        <v/>
      </c>
      <c r="I553" s="2" t="str">
        <f t="shared" si="634"/>
        <v/>
      </c>
      <c r="J553" s="2" t="str">
        <f t="shared" si="634"/>
        <v/>
      </c>
      <c r="K553" s="2" t="str">
        <f t="shared" si="634"/>
        <v/>
      </c>
      <c r="L553" s="2" t="str">
        <f t="shared" si="634"/>
        <v/>
      </c>
      <c r="M553" s="180" t="str">
        <f t="shared" si="634"/>
        <v/>
      </c>
      <c r="N553" s="2" t="str">
        <f t="shared" si="634"/>
        <v/>
      </c>
      <c r="O553" s="2">
        <f t="shared" si="634"/>
        <v>0</v>
      </c>
    </row>
    <row r="554" spans="1:15" x14ac:dyDescent="0.25">
      <c r="A554" s="325">
        <v>1</v>
      </c>
      <c r="B554" s="325">
        <f>TrialNumber</f>
        <v>0</v>
      </c>
      <c r="C554" s="325" t="s">
        <v>21</v>
      </c>
      <c r="D554" s="325">
        <f>Excellent!C41</f>
        <v>0</v>
      </c>
      <c r="E554" s="325" t="str">
        <f>IF(Excellent!B41="W","W","A")</f>
        <v>A</v>
      </c>
      <c r="F554" s="325" t="s">
        <v>1740</v>
      </c>
      <c r="G554" s="325" t="str">
        <f>IF(Excellent!G41="e","Y","")</f>
        <v/>
      </c>
      <c r="H554" s="325" t="str">
        <f>IFERROR(VLOOKUP($D554,'SDDA Dogs'!$A:$AE,2,FALSE),"")</f>
        <v/>
      </c>
      <c r="I554" s="325" t="str">
        <f>IFERROR(VLOOKUP($D554,'SDDA Dogs'!$A:$AE,3,FALSE),"")</f>
        <v/>
      </c>
      <c r="J554" s="325" t="str">
        <f>IFERROR(VLOOKUP($D554,'SDDA Dogs'!$A:$AE,6,FALSE),"")</f>
        <v/>
      </c>
      <c r="K554" s="325" t="str">
        <f>IF(Excellent!AS41="","",Excellent!AS41)</f>
        <v/>
      </c>
      <c r="L554" s="325" t="str">
        <f>IF(Excellent!AT41="","",Excellent!AT41)</f>
        <v/>
      </c>
      <c r="M554" s="326" t="str">
        <f>TrialDate</f>
        <v/>
      </c>
      <c r="N554" s="325" t="str">
        <f t="shared" ref="N554" si="635">N553</f>
        <v/>
      </c>
      <c r="O554" s="325">
        <f>JudgeD1CSE</f>
        <v>0</v>
      </c>
    </row>
    <row r="555" spans="1:15" x14ac:dyDescent="0.25">
      <c r="A555" s="2">
        <v>2</v>
      </c>
      <c r="B555" s="2">
        <f t="shared" ref="B555:O555" si="636">B554</f>
        <v>0</v>
      </c>
      <c r="C555" s="2" t="str">
        <f t="shared" si="636"/>
        <v>CSE</v>
      </c>
      <c r="D555" s="2">
        <f t="shared" si="636"/>
        <v>0</v>
      </c>
      <c r="E555" s="2" t="str">
        <f t="shared" si="636"/>
        <v>A</v>
      </c>
      <c r="F555" s="2" t="str">
        <f t="shared" si="636"/>
        <v>Container Excellent</v>
      </c>
      <c r="G555" s="2" t="str">
        <f t="shared" si="636"/>
        <v/>
      </c>
      <c r="H555" s="2" t="str">
        <f t="shared" si="636"/>
        <v/>
      </c>
      <c r="I555" s="2" t="str">
        <f t="shared" si="636"/>
        <v/>
      </c>
      <c r="J555" s="2" t="str">
        <f t="shared" si="636"/>
        <v/>
      </c>
      <c r="K555" s="2" t="str">
        <f t="shared" si="636"/>
        <v/>
      </c>
      <c r="L555" s="2" t="str">
        <f t="shared" si="636"/>
        <v/>
      </c>
      <c r="M555" s="180" t="str">
        <f t="shared" si="636"/>
        <v/>
      </c>
      <c r="N555" s="2" t="str">
        <f t="shared" si="636"/>
        <v/>
      </c>
      <c r="O555" s="2">
        <f t="shared" si="636"/>
        <v>0</v>
      </c>
    </row>
    <row r="556" spans="1:15" x14ac:dyDescent="0.25">
      <c r="A556" s="325">
        <v>1</v>
      </c>
      <c r="B556" s="325">
        <f>TrialNumber</f>
        <v>0</v>
      </c>
      <c r="C556" s="325" t="s">
        <v>21</v>
      </c>
      <c r="D556" s="325">
        <f>Excellent!C42</f>
        <v>0</v>
      </c>
      <c r="E556" s="325" t="str">
        <f>IF(Excellent!B42="W","W","A")</f>
        <v>A</v>
      </c>
      <c r="F556" s="325" t="s">
        <v>1740</v>
      </c>
      <c r="G556" s="325" t="str">
        <f>IF(Excellent!G42="e","Y","")</f>
        <v/>
      </c>
      <c r="H556" s="325" t="str">
        <f>IFERROR(VLOOKUP($D556,'SDDA Dogs'!$A:$AE,2,FALSE),"")</f>
        <v/>
      </c>
      <c r="I556" s="325" t="str">
        <f>IFERROR(VLOOKUP($D556,'SDDA Dogs'!$A:$AE,3,FALSE),"")</f>
        <v/>
      </c>
      <c r="J556" s="325" t="str">
        <f>IFERROR(VLOOKUP($D556,'SDDA Dogs'!$A:$AE,6,FALSE),"")</f>
        <v/>
      </c>
      <c r="K556" s="325" t="str">
        <f>IF(Excellent!AS42="","",Excellent!AS42)</f>
        <v/>
      </c>
      <c r="L556" s="325" t="str">
        <f>IF(Excellent!AT42="","",Excellent!AT42)</f>
        <v/>
      </c>
      <c r="M556" s="326" t="str">
        <f>TrialDate</f>
        <v/>
      </c>
      <c r="N556" s="325" t="str">
        <f t="shared" ref="N556" si="637">N555</f>
        <v/>
      </c>
      <c r="O556" s="325">
        <f>JudgeD1CSE</f>
        <v>0</v>
      </c>
    </row>
    <row r="557" spans="1:15" x14ac:dyDescent="0.25">
      <c r="A557" s="2">
        <v>2</v>
      </c>
      <c r="B557" s="2">
        <f t="shared" ref="B557:O557" si="638">B556</f>
        <v>0</v>
      </c>
      <c r="C557" s="2" t="str">
        <f t="shared" si="638"/>
        <v>CSE</v>
      </c>
      <c r="D557" s="2">
        <f t="shared" si="638"/>
        <v>0</v>
      </c>
      <c r="E557" s="2" t="str">
        <f t="shared" si="638"/>
        <v>A</v>
      </c>
      <c r="F557" s="2" t="str">
        <f t="shared" si="638"/>
        <v>Container Excellent</v>
      </c>
      <c r="G557" s="2" t="str">
        <f t="shared" si="638"/>
        <v/>
      </c>
      <c r="H557" s="2" t="str">
        <f t="shared" si="638"/>
        <v/>
      </c>
      <c r="I557" s="2" t="str">
        <f t="shared" si="638"/>
        <v/>
      </c>
      <c r="J557" s="2" t="str">
        <f t="shared" si="638"/>
        <v/>
      </c>
      <c r="K557" s="2" t="str">
        <f t="shared" si="638"/>
        <v/>
      </c>
      <c r="L557" s="2" t="str">
        <f t="shared" si="638"/>
        <v/>
      </c>
      <c r="M557" s="180" t="str">
        <f t="shared" si="638"/>
        <v/>
      </c>
      <c r="N557" s="2" t="str">
        <f t="shared" si="638"/>
        <v/>
      </c>
      <c r="O557" s="2">
        <f t="shared" si="638"/>
        <v>0</v>
      </c>
    </row>
    <row r="558" spans="1:15" x14ac:dyDescent="0.25">
      <c r="A558" s="325">
        <v>1</v>
      </c>
      <c r="B558" s="325">
        <f>TrialNumber</f>
        <v>0</v>
      </c>
      <c r="C558" s="325" t="s">
        <v>21</v>
      </c>
      <c r="D558" s="325">
        <f>Excellent!C43</f>
        <v>0</v>
      </c>
      <c r="E558" s="325" t="str">
        <f>IF(Excellent!B43="W","W","A")</f>
        <v>A</v>
      </c>
      <c r="F558" s="325" t="s">
        <v>1740</v>
      </c>
      <c r="G558" s="325" t="str">
        <f>IF(Excellent!G43="e","Y","")</f>
        <v/>
      </c>
      <c r="H558" s="325" t="str">
        <f>IFERROR(VLOOKUP($D558,'SDDA Dogs'!$A:$AE,2,FALSE),"")</f>
        <v/>
      </c>
      <c r="I558" s="325" t="str">
        <f>IFERROR(VLOOKUP($D558,'SDDA Dogs'!$A:$AE,3,FALSE),"")</f>
        <v/>
      </c>
      <c r="J558" s="325" t="str">
        <f>IFERROR(VLOOKUP($D558,'SDDA Dogs'!$A:$AE,6,FALSE),"")</f>
        <v/>
      </c>
      <c r="K558" s="325" t="str">
        <f>IF(Excellent!AS43="","",Excellent!AS43)</f>
        <v/>
      </c>
      <c r="L558" s="325" t="str">
        <f>IF(Excellent!AT43="","",Excellent!AT43)</f>
        <v/>
      </c>
      <c r="M558" s="326" t="str">
        <f>TrialDate</f>
        <v/>
      </c>
      <c r="N558" s="325" t="str">
        <f t="shared" ref="N558" si="639">N557</f>
        <v/>
      </c>
      <c r="O558" s="325">
        <f>JudgeD1CSE</f>
        <v>0</v>
      </c>
    </row>
    <row r="559" spans="1:15" x14ac:dyDescent="0.25">
      <c r="A559" s="2">
        <v>2</v>
      </c>
      <c r="B559" s="2">
        <f t="shared" ref="B559:O559" si="640">B558</f>
        <v>0</v>
      </c>
      <c r="C559" s="2" t="str">
        <f t="shared" si="640"/>
        <v>CSE</v>
      </c>
      <c r="D559" s="2">
        <f t="shared" si="640"/>
        <v>0</v>
      </c>
      <c r="E559" s="2" t="str">
        <f t="shared" si="640"/>
        <v>A</v>
      </c>
      <c r="F559" s="2" t="str">
        <f t="shared" si="640"/>
        <v>Container Excellent</v>
      </c>
      <c r="G559" s="2" t="str">
        <f t="shared" si="640"/>
        <v/>
      </c>
      <c r="H559" s="2" t="str">
        <f t="shared" si="640"/>
        <v/>
      </c>
      <c r="I559" s="2" t="str">
        <f t="shared" si="640"/>
        <v/>
      </c>
      <c r="J559" s="2" t="str">
        <f t="shared" si="640"/>
        <v/>
      </c>
      <c r="K559" s="2" t="str">
        <f t="shared" si="640"/>
        <v/>
      </c>
      <c r="L559" s="2" t="str">
        <f t="shared" si="640"/>
        <v/>
      </c>
      <c r="M559" s="180" t="str">
        <f t="shared" si="640"/>
        <v/>
      </c>
      <c r="N559" s="2" t="str">
        <f t="shared" si="640"/>
        <v/>
      </c>
      <c r="O559" s="2">
        <f t="shared" si="640"/>
        <v>0</v>
      </c>
    </row>
    <row r="560" spans="1:15" x14ac:dyDescent="0.25">
      <c r="A560" s="325">
        <v>1</v>
      </c>
      <c r="B560" s="325">
        <f>TrialNumber</f>
        <v>0</v>
      </c>
      <c r="C560" s="325" t="s">
        <v>21</v>
      </c>
      <c r="D560" s="325">
        <f>Excellent!C44</f>
        <v>0</v>
      </c>
      <c r="E560" s="325" t="str">
        <f>IF(Excellent!B44="W","W","A")</f>
        <v>A</v>
      </c>
      <c r="F560" s="325" t="s">
        <v>1740</v>
      </c>
      <c r="G560" s="325" t="str">
        <f>IF(Excellent!G44="e","Y","")</f>
        <v/>
      </c>
      <c r="H560" s="325" t="str">
        <f>IFERROR(VLOOKUP($D560,'SDDA Dogs'!$A:$AE,2,FALSE),"")</f>
        <v/>
      </c>
      <c r="I560" s="325" t="str">
        <f>IFERROR(VLOOKUP($D560,'SDDA Dogs'!$A:$AE,3,FALSE),"")</f>
        <v/>
      </c>
      <c r="J560" s="325" t="str">
        <f>IFERROR(VLOOKUP($D560,'SDDA Dogs'!$A:$AE,6,FALSE),"")</f>
        <v/>
      </c>
      <c r="K560" s="325" t="str">
        <f>IF(Excellent!AS44="","",Excellent!AS44)</f>
        <v/>
      </c>
      <c r="L560" s="325" t="str">
        <f>IF(Excellent!AT44="","",Excellent!AT44)</f>
        <v/>
      </c>
      <c r="M560" s="326" t="str">
        <f>TrialDate</f>
        <v/>
      </c>
      <c r="N560" s="325" t="str">
        <f t="shared" ref="N560" si="641">N559</f>
        <v/>
      </c>
      <c r="O560" s="325">
        <f>JudgeD1CSE</f>
        <v>0</v>
      </c>
    </row>
    <row r="561" spans="1:15" x14ac:dyDescent="0.25">
      <c r="A561" s="2">
        <v>2</v>
      </c>
      <c r="B561" s="2">
        <f t="shared" ref="B561:O561" si="642">B560</f>
        <v>0</v>
      </c>
      <c r="C561" s="2" t="str">
        <f t="shared" si="642"/>
        <v>CSE</v>
      </c>
      <c r="D561" s="2">
        <f t="shared" si="642"/>
        <v>0</v>
      </c>
      <c r="E561" s="2" t="str">
        <f t="shared" si="642"/>
        <v>A</v>
      </c>
      <c r="F561" s="2" t="str">
        <f t="shared" si="642"/>
        <v>Container Excellent</v>
      </c>
      <c r="G561" s="2" t="str">
        <f t="shared" si="642"/>
        <v/>
      </c>
      <c r="H561" s="2" t="str">
        <f t="shared" si="642"/>
        <v/>
      </c>
      <c r="I561" s="2" t="str">
        <f t="shared" si="642"/>
        <v/>
      </c>
      <c r="J561" s="2" t="str">
        <f t="shared" si="642"/>
        <v/>
      </c>
      <c r="K561" s="2" t="str">
        <f t="shared" si="642"/>
        <v/>
      </c>
      <c r="L561" s="2" t="str">
        <f t="shared" si="642"/>
        <v/>
      </c>
      <c r="M561" s="180" t="str">
        <f t="shared" si="642"/>
        <v/>
      </c>
      <c r="N561" s="2" t="str">
        <f t="shared" si="642"/>
        <v/>
      </c>
      <c r="O561" s="2">
        <f t="shared" si="642"/>
        <v>0</v>
      </c>
    </row>
    <row r="562" spans="1:15" x14ac:dyDescent="0.25">
      <c r="A562" s="325">
        <v>1</v>
      </c>
      <c r="B562" s="325">
        <f>TrialNumber</f>
        <v>0</v>
      </c>
      <c r="C562" s="325" t="s">
        <v>21</v>
      </c>
      <c r="D562" s="325">
        <f>Excellent!C45</f>
        <v>0</v>
      </c>
      <c r="E562" s="325" t="str">
        <f>IF(Excellent!B45="W","W","A")</f>
        <v>A</v>
      </c>
      <c r="F562" s="325" t="s">
        <v>1740</v>
      </c>
      <c r="G562" s="325" t="str">
        <f>IF(Excellent!G45="e","Y","")</f>
        <v/>
      </c>
      <c r="H562" s="325" t="str">
        <f>IFERROR(VLOOKUP($D562,'SDDA Dogs'!$A:$AE,2,FALSE),"")</f>
        <v/>
      </c>
      <c r="I562" s="325" t="str">
        <f>IFERROR(VLOOKUP($D562,'SDDA Dogs'!$A:$AE,3,FALSE),"")</f>
        <v/>
      </c>
      <c r="J562" s="325" t="str">
        <f>IFERROR(VLOOKUP($D562,'SDDA Dogs'!$A:$AE,6,FALSE),"")</f>
        <v/>
      </c>
      <c r="K562" s="325" t="str">
        <f>IF(Excellent!AS45="","",Excellent!AS45)</f>
        <v/>
      </c>
      <c r="L562" s="325" t="str">
        <f>IF(Excellent!AT45="","",Excellent!AT45)</f>
        <v/>
      </c>
      <c r="M562" s="326" t="str">
        <f>TrialDate</f>
        <v/>
      </c>
      <c r="N562" s="325" t="str">
        <f t="shared" ref="N562" si="643">N561</f>
        <v/>
      </c>
      <c r="O562" s="325">
        <f>JudgeD1CSE</f>
        <v>0</v>
      </c>
    </row>
    <row r="563" spans="1:15" x14ac:dyDescent="0.25">
      <c r="A563" s="2">
        <v>2</v>
      </c>
      <c r="B563" s="2">
        <f t="shared" ref="B563:O563" si="644">B562</f>
        <v>0</v>
      </c>
      <c r="C563" s="2" t="str">
        <f t="shared" si="644"/>
        <v>CSE</v>
      </c>
      <c r="D563" s="2">
        <f t="shared" si="644"/>
        <v>0</v>
      </c>
      <c r="E563" s="2" t="str">
        <f t="shared" si="644"/>
        <v>A</v>
      </c>
      <c r="F563" s="2" t="str">
        <f t="shared" si="644"/>
        <v>Container Excellent</v>
      </c>
      <c r="G563" s="2" t="str">
        <f t="shared" si="644"/>
        <v/>
      </c>
      <c r="H563" s="2" t="str">
        <f t="shared" si="644"/>
        <v/>
      </c>
      <c r="I563" s="2" t="str">
        <f t="shared" si="644"/>
        <v/>
      </c>
      <c r="J563" s="2" t="str">
        <f t="shared" si="644"/>
        <v/>
      </c>
      <c r="K563" s="2" t="str">
        <f t="shared" si="644"/>
        <v/>
      </c>
      <c r="L563" s="2" t="str">
        <f t="shared" si="644"/>
        <v/>
      </c>
      <c r="M563" s="180" t="str">
        <f t="shared" si="644"/>
        <v/>
      </c>
      <c r="N563" s="2" t="str">
        <f t="shared" si="644"/>
        <v/>
      </c>
      <c r="O563" s="2">
        <f t="shared" si="644"/>
        <v>0</v>
      </c>
    </row>
    <row r="564" spans="1:15" x14ac:dyDescent="0.25">
      <c r="A564" s="325">
        <v>1</v>
      </c>
      <c r="B564" s="325">
        <f>TrialNumber</f>
        <v>0</v>
      </c>
      <c r="C564" s="325" t="s">
        <v>21</v>
      </c>
      <c r="D564" s="325">
        <f>Excellent!C46</f>
        <v>0</v>
      </c>
      <c r="E564" s="325" t="str">
        <f>IF(Excellent!B46="W","W","A")</f>
        <v>A</v>
      </c>
      <c r="F564" s="325" t="s">
        <v>1740</v>
      </c>
      <c r="G564" s="325" t="str">
        <f>IF(Excellent!G46="e","Y","")</f>
        <v/>
      </c>
      <c r="H564" s="325" t="str">
        <f>IFERROR(VLOOKUP($D564,'SDDA Dogs'!$A:$AE,2,FALSE),"")</f>
        <v/>
      </c>
      <c r="I564" s="325" t="str">
        <f>IFERROR(VLOOKUP($D564,'SDDA Dogs'!$A:$AE,3,FALSE),"")</f>
        <v/>
      </c>
      <c r="J564" s="325" t="str">
        <f>IFERROR(VLOOKUP($D564,'SDDA Dogs'!$A:$AE,6,FALSE),"")</f>
        <v/>
      </c>
      <c r="K564" s="325" t="str">
        <f>IF(Excellent!AS46="","",Excellent!AS46)</f>
        <v/>
      </c>
      <c r="L564" s="325" t="str">
        <f>IF(Excellent!AT46="","",Excellent!AT46)</f>
        <v/>
      </c>
      <c r="M564" s="326" t="str">
        <f>TrialDate</f>
        <v/>
      </c>
      <c r="N564" s="325" t="str">
        <f t="shared" ref="N564" si="645">N563</f>
        <v/>
      </c>
      <c r="O564" s="325">
        <f>JudgeD1CSE</f>
        <v>0</v>
      </c>
    </row>
    <row r="565" spans="1:15" x14ac:dyDescent="0.25">
      <c r="A565" s="2">
        <v>2</v>
      </c>
      <c r="B565" s="2">
        <f t="shared" ref="B565:O565" si="646">B564</f>
        <v>0</v>
      </c>
      <c r="C565" s="2" t="str">
        <f t="shared" si="646"/>
        <v>CSE</v>
      </c>
      <c r="D565" s="2">
        <f t="shared" si="646"/>
        <v>0</v>
      </c>
      <c r="E565" s="2" t="str">
        <f t="shared" si="646"/>
        <v>A</v>
      </c>
      <c r="F565" s="2" t="str">
        <f t="shared" si="646"/>
        <v>Container Excellent</v>
      </c>
      <c r="G565" s="2" t="str">
        <f t="shared" si="646"/>
        <v/>
      </c>
      <c r="H565" s="2" t="str">
        <f t="shared" si="646"/>
        <v/>
      </c>
      <c r="I565" s="2" t="str">
        <f t="shared" si="646"/>
        <v/>
      </c>
      <c r="J565" s="2" t="str">
        <f t="shared" si="646"/>
        <v/>
      </c>
      <c r="K565" s="2" t="str">
        <f t="shared" si="646"/>
        <v/>
      </c>
      <c r="L565" s="2" t="str">
        <f t="shared" si="646"/>
        <v/>
      </c>
      <c r="M565" s="180" t="str">
        <f t="shared" si="646"/>
        <v/>
      </c>
      <c r="N565" s="2" t="str">
        <f t="shared" si="646"/>
        <v/>
      </c>
      <c r="O565" s="2">
        <f t="shared" si="646"/>
        <v>0</v>
      </c>
    </row>
    <row r="566" spans="1:15" x14ac:dyDescent="0.25">
      <c r="A566" s="325">
        <v>1</v>
      </c>
      <c r="B566" s="325">
        <f>TrialNumber</f>
        <v>0</v>
      </c>
      <c r="C566" s="325" t="s">
        <v>21</v>
      </c>
      <c r="D566" s="325">
        <f>Excellent!C47</f>
        <v>0</v>
      </c>
      <c r="E566" s="325" t="str">
        <f>IF(Excellent!B47="W","W","A")</f>
        <v>A</v>
      </c>
      <c r="F566" s="325" t="s">
        <v>1740</v>
      </c>
      <c r="G566" s="325" t="str">
        <f>IF(Excellent!G47="e","Y","")</f>
        <v/>
      </c>
      <c r="H566" s="325" t="str">
        <f>IFERROR(VLOOKUP($D566,'SDDA Dogs'!$A:$AE,2,FALSE),"")</f>
        <v/>
      </c>
      <c r="I566" s="325" t="str">
        <f>IFERROR(VLOOKUP($D566,'SDDA Dogs'!$A:$AE,3,FALSE),"")</f>
        <v/>
      </c>
      <c r="J566" s="325" t="str">
        <f>IFERROR(VLOOKUP($D566,'SDDA Dogs'!$A:$AE,6,FALSE),"")</f>
        <v/>
      </c>
      <c r="K566" s="325" t="str">
        <f>IF(Excellent!AS47="","",Excellent!AS47)</f>
        <v/>
      </c>
      <c r="L566" s="325" t="str">
        <f>IF(Excellent!AT47="","",Excellent!AT47)</f>
        <v/>
      </c>
      <c r="M566" s="326" t="str">
        <f>TrialDate</f>
        <v/>
      </c>
      <c r="N566" s="325" t="str">
        <f t="shared" ref="N566" si="647">N565</f>
        <v/>
      </c>
      <c r="O566" s="325">
        <f>JudgeD1CSE</f>
        <v>0</v>
      </c>
    </row>
    <row r="567" spans="1:15" x14ac:dyDescent="0.25">
      <c r="A567" s="2">
        <v>2</v>
      </c>
      <c r="B567" s="2">
        <f t="shared" ref="B567:O567" si="648">B566</f>
        <v>0</v>
      </c>
      <c r="C567" s="2" t="str">
        <f t="shared" si="648"/>
        <v>CSE</v>
      </c>
      <c r="D567" s="2">
        <f t="shared" si="648"/>
        <v>0</v>
      </c>
      <c r="E567" s="2" t="str">
        <f t="shared" si="648"/>
        <v>A</v>
      </c>
      <c r="F567" s="2" t="str">
        <f t="shared" si="648"/>
        <v>Container Excellent</v>
      </c>
      <c r="G567" s="2" t="str">
        <f t="shared" si="648"/>
        <v/>
      </c>
      <c r="H567" s="2" t="str">
        <f t="shared" si="648"/>
        <v/>
      </c>
      <c r="I567" s="2" t="str">
        <f t="shared" si="648"/>
        <v/>
      </c>
      <c r="J567" s="2" t="str">
        <f t="shared" si="648"/>
        <v/>
      </c>
      <c r="K567" s="2" t="str">
        <f t="shared" si="648"/>
        <v/>
      </c>
      <c r="L567" s="2" t="str">
        <f t="shared" si="648"/>
        <v/>
      </c>
      <c r="M567" s="180" t="str">
        <f t="shared" si="648"/>
        <v/>
      </c>
      <c r="N567" s="2" t="str">
        <f t="shared" si="648"/>
        <v/>
      </c>
      <c r="O567" s="2">
        <f t="shared" si="648"/>
        <v>0</v>
      </c>
    </row>
    <row r="568" spans="1:15" x14ac:dyDescent="0.25">
      <c r="A568" s="325">
        <v>1</v>
      </c>
      <c r="B568" s="325">
        <f>TrialNumber</f>
        <v>0</v>
      </c>
      <c r="C568" s="325" t="s">
        <v>21</v>
      </c>
      <c r="D568" s="325">
        <f>Excellent!C48</f>
        <v>0</v>
      </c>
      <c r="E568" s="325" t="str">
        <f>IF(Excellent!B48="W","W","A")</f>
        <v>A</v>
      </c>
      <c r="F568" s="325" t="s">
        <v>1740</v>
      </c>
      <c r="G568" s="325" t="str">
        <f>IF(Excellent!G48="e","Y","")</f>
        <v/>
      </c>
      <c r="H568" s="325" t="str">
        <f>IFERROR(VLOOKUP($D568,'SDDA Dogs'!$A:$AE,2,FALSE),"")</f>
        <v/>
      </c>
      <c r="I568" s="325" t="str">
        <f>IFERROR(VLOOKUP($D568,'SDDA Dogs'!$A:$AE,3,FALSE),"")</f>
        <v/>
      </c>
      <c r="J568" s="325" t="str">
        <f>IFERROR(VLOOKUP($D568,'SDDA Dogs'!$A:$AE,6,FALSE),"")</f>
        <v/>
      </c>
      <c r="K568" s="325" t="str">
        <f>IF(Excellent!AS48="","",Excellent!AS48)</f>
        <v/>
      </c>
      <c r="L568" s="325" t="str">
        <f>IF(Excellent!AT48="","",Excellent!AT48)</f>
        <v/>
      </c>
      <c r="M568" s="326" t="str">
        <f>TrialDate</f>
        <v/>
      </c>
      <c r="N568" s="325" t="str">
        <f t="shared" ref="N568" si="649">N567</f>
        <v/>
      </c>
      <c r="O568" s="325">
        <f>JudgeD1CSE</f>
        <v>0</v>
      </c>
    </row>
    <row r="569" spans="1:15" x14ac:dyDescent="0.25">
      <c r="A569" s="2">
        <v>2</v>
      </c>
      <c r="B569" s="2">
        <f t="shared" ref="B569:O569" si="650">B568</f>
        <v>0</v>
      </c>
      <c r="C569" s="2" t="str">
        <f t="shared" si="650"/>
        <v>CSE</v>
      </c>
      <c r="D569" s="2">
        <f t="shared" si="650"/>
        <v>0</v>
      </c>
      <c r="E569" s="2" t="str">
        <f t="shared" si="650"/>
        <v>A</v>
      </c>
      <c r="F569" s="2" t="str">
        <f t="shared" si="650"/>
        <v>Container Excellent</v>
      </c>
      <c r="G569" s="2" t="str">
        <f t="shared" si="650"/>
        <v/>
      </c>
      <c r="H569" s="2" t="str">
        <f t="shared" si="650"/>
        <v/>
      </c>
      <c r="I569" s="2" t="str">
        <f t="shared" si="650"/>
        <v/>
      </c>
      <c r="J569" s="2" t="str">
        <f t="shared" si="650"/>
        <v/>
      </c>
      <c r="K569" s="2" t="str">
        <f t="shared" si="650"/>
        <v/>
      </c>
      <c r="L569" s="2" t="str">
        <f t="shared" si="650"/>
        <v/>
      </c>
      <c r="M569" s="180" t="str">
        <f t="shared" si="650"/>
        <v/>
      </c>
      <c r="N569" s="2" t="str">
        <f t="shared" si="650"/>
        <v/>
      </c>
      <c r="O569" s="2">
        <f t="shared" si="650"/>
        <v>0</v>
      </c>
    </row>
    <row r="570" spans="1:15" x14ac:dyDescent="0.25">
      <c r="A570" s="325">
        <v>1</v>
      </c>
      <c r="B570" s="325">
        <f>TrialNumber</f>
        <v>0</v>
      </c>
      <c r="C570" s="325" t="s">
        <v>21</v>
      </c>
      <c r="D570" s="325">
        <f>Excellent!C49</f>
        <v>0</v>
      </c>
      <c r="E570" s="325" t="str">
        <f>IF(Excellent!B49="W","W","A")</f>
        <v>A</v>
      </c>
      <c r="F570" s="325" t="s">
        <v>1740</v>
      </c>
      <c r="G570" s="325" t="str">
        <f>IF(Excellent!G49="e","Y","")</f>
        <v/>
      </c>
      <c r="H570" s="325" t="str">
        <f>IFERROR(VLOOKUP($D570,'SDDA Dogs'!$A:$AE,2,FALSE),"")</f>
        <v/>
      </c>
      <c r="I570" s="325" t="str">
        <f>IFERROR(VLOOKUP($D570,'SDDA Dogs'!$A:$AE,3,FALSE),"")</f>
        <v/>
      </c>
      <c r="J570" s="325" t="str">
        <f>IFERROR(VLOOKUP($D570,'SDDA Dogs'!$A:$AE,6,FALSE),"")</f>
        <v/>
      </c>
      <c r="K570" s="325" t="str">
        <f>IF(Excellent!AS49="","",Excellent!AS49)</f>
        <v/>
      </c>
      <c r="L570" s="325" t="str">
        <f>IF(Excellent!AT49="","",Excellent!AT49)</f>
        <v/>
      </c>
      <c r="M570" s="326" t="str">
        <f>TrialDate</f>
        <v/>
      </c>
      <c r="N570" s="325" t="str">
        <f t="shared" ref="N570" si="651">N569</f>
        <v/>
      </c>
      <c r="O570" s="325">
        <f>JudgeD1CSE</f>
        <v>0</v>
      </c>
    </row>
    <row r="571" spans="1:15" x14ac:dyDescent="0.25">
      <c r="A571" s="2">
        <v>2</v>
      </c>
      <c r="B571" s="2">
        <f t="shared" ref="B571:O571" si="652">B570</f>
        <v>0</v>
      </c>
      <c r="C571" s="2" t="str">
        <f t="shared" si="652"/>
        <v>CSE</v>
      </c>
      <c r="D571" s="2">
        <f t="shared" si="652"/>
        <v>0</v>
      </c>
      <c r="E571" s="2" t="str">
        <f t="shared" si="652"/>
        <v>A</v>
      </c>
      <c r="F571" s="2" t="str">
        <f t="shared" si="652"/>
        <v>Container Excellent</v>
      </c>
      <c r="G571" s="2" t="str">
        <f t="shared" si="652"/>
        <v/>
      </c>
      <c r="H571" s="2" t="str">
        <f t="shared" si="652"/>
        <v/>
      </c>
      <c r="I571" s="2" t="str">
        <f t="shared" si="652"/>
        <v/>
      </c>
      <c r="J571" s="2" t="str">
        <f t="shared" si="652"/>
        <v/>
      </c>
      <c r="K571" s="2" t="str">
        <f t="shared" si="652"/>
        <v/>
      </c>
      <c r="L571" s="2" t="str">
        <f t="shared" si="652"/>
        <v/>
      </c>
      <c r="M571" s="180" t="str">
        <f t="shared" si="652"/>
        <v/>
      </c>
      <c r="N571" s="2" t="str">
        <f t="shared" si="652"/>
        <v/>
      </c>
      <c r="O571" s="2">
        <f t="shared" si="652"/>
        <v>0</v>
      </c>
    </row>
    <row r="572" spans="1:15" x14ac:dyDescent="0.25">
      <c r="A572" s="325">
        <v>1</v>
      </c>
      <c r="B572" s="325">
        <f>TrialNumber</f>
        <v>0</v>
      </c>
      <c r="C572" s="325" t="s">
        <v>21</v>
      </c>
      <c r="D572" s="325">
        <f>Excellent!C50</f>
        <v>0</v>
      </c>
      <c r="E572" s="325" t="str">
        <f>IF(Excellent!B50="W","W","A")</f>
        <v>A</v>
      </c>
      <c r="F572" s="325" t="s">
        <v>1740</v>
      </c>
      <c r="G572" s="325" t="str">
        <f>IF(Excellent!G50="e","Y","")</f>
        <v/>
      </c>
      <c r="H572" s="325" t="str">
        <f>IFERROR(VLOOKUP($D572,'SDDA Dogs'!$A:$AE,2,FALSE),"")</f>
        <v/>
      </c>
      <c r="I572" s="325" t="str">
        <f>IFERROR(VLOOKUP($D572,'SDDA Dogs'!$A:$AE,3,FALSE),"")</f>
        <v/>
      </c>
      <c r="J572" s="325" t="str">
        <f>IFERROR(VLOOKUP($D572,'SDDA Dogs'!$A:$AE,6,FALSE),"")</f>
        <v/>
      </c>
      <c r="K572" s="325" t="str">
        <f>IF(Excellent!AS50="","",Excellent!AS50)</f>
        <v/>
      </c>
      <c r="L572" s="325" t="str">
        <f>IF(Excellent!AT50="","",Excellent!AT50)</f>
        <v/>
      </c>
      <c r="M572" s="326" t="str">
        <f>TrialDate</f>
        <v/>
      </c>
      <c r="N572" s="325" t="str">
        <f t="shared" ref="N572" si="653">N571</f>
        <v/>
      </c>
      <c r="O572" s="325">
        <f>JudgeD1CSE</f>
        <v>0</v>
      </c>
    </row>
    <row r="573" spans="1:15" x14ac:dyDescent="0.25">
      <c r="A573" s="2">
        <v>2</v>
      </c>
      <c r="B573" s="2">
        <f t="shared" ref="B573:O573" si="654">B572</f>
        <v>0</v>
      </c>
      <c r="C573" s="2" t="str">
        <f t="shared" si="654"/>
        <v>CSE</v>
      </c>
      <c r="D573" s="2">
        <f t="shared" si="654"/>
        <v>0</v>
      </c>
      <c r="E573" s="2" t="str">
        <f t="shared" si="654"/>
        <v>A</v>
      </c>
      <c r="F573" s="2" t="str">
        <f t="shared" si="654"/>
        <v>Container Excellent</v>
      </c>
      <c r="G573" s="2" t="str">
        <f t="shared" si="654"/>
        <v/>
      </c>
      <c r="H573" s="2" t="str">
        <f t="shared" si="654"/>
        <v/>
      </c>
      <c r="I573" s="2" t="str">
        <f t="shared" si="654"/>
        <v/>
      </c>
      <c r="J573" s="2" t="str">
        <f t="shared" si="654"/>
        <v/>
      </c>
      <c r="K573" s="2" t="str">
        <f t="shared" si="654"/>
        <v/>
      </c>
      <c r="L573" s="2" t="str">
        <f t="shared" si="654"/>
        <v/>
      </c>
      <c r="M573" s="180" t="str">
        <f t="shared" si="654"/>
        <v/>
      </c>
      <c r="N573" s="2" t="str">
        <f t="shared" si="654"/>
        <v/>
      </c>
      <c r="O573" s="2">
        <f t="shared" si="654"/>
        <v>0</v>
      </c>
    </row>
    <row r="574" spans="1:15" x14ac:dyDescent="0.25">
      <c r="A574" s="325">
        <v>1</v>
      </c>
      <c r="B574" s="325">
        <f>TrialNumber</f>
        <v>0</v>
      </c>
      <c r="C574" s="325" t="s">
        <v>21</v>
      </c>
      <c r="D574" s="325">
        <f>Excellent!C51</f>
        <v>0</v>
      </c>
      <c r="E574" s="325" t="str">
        <f>IF(Excellent!B51="W","W","A")</f>
        <v>A</v>
      </c>
      <c r="F574" s="325" t="s">
        <v>1740</v>
      </c>
      <c r="G574" s="325" t="str">
        <f>IF(Excellent!G51="e","Y","")</f>
        <v/>
      </c>
      <c r="H574" s="325" t="str">
        <f>IFERROR(VLOOKUP($D574,'SDDA Dogs'!$A:$AE,2,FALSE),"")</f>
        <v/>
      </c>
      <c r="I574" s="325" t="str">
        <f>IFERROR(VLOOKUP($D574,'SDDA Dogs'!$A:$AE,3,FALSE),"")</f>
        <v/>
      </c>
      <c r="J574" s="325" t="str">
        <f>IFERROR(VLOOKUP($D574,'SDDA Dogs'!$A:$AE,6,FALSE),"")</f>
        <v/>
      </c>
      <c r="K574" s="325" t="str">
        <f>IF(Excellent!AS51="","",Excellent!AS51)</f>
        <v/>
      </c>
      <c r="L574" s="325" t="str">
        <f>IF(Excellent!AT51="","",Excellent!AT51)</f>
        <v/>
      </c>
      <c r="M574" s="326" t="str">
        <f>TrialDate</f>
        <v/>
      </c>
      <c r="N574" s="325" t="str">
        <f t="shared" ref="N574" si="655">N573</f>
        <v/>
      </c>
      <c r="O574" s="325">
        <f>JudgeD1CSE</f>
        <v>0</v>
      </c>
    </row>
    <row r="575" spans="1:15" x14ac:dyDescent="0.25">
      <c r="A575" s="2">
        <v>2</v>
      </c>
      <c r="B575" s="2">
        <f t="shared" ref="B575:O575" si="656">B574</f>
        <v>0</v>
      </c>
      <c r="C575" s="2" t="str">
        <f t="shared" si="656"/>
        <v>CSE</v>
      </c>
      <c r="D575" s="2">
        <f t="shared" si="656"/>
        <v>0</v>
      </c>
      <c r="E575" s="2" t="str">
        <f t="shared" si="656"/>
        <v>A</v>
      </c>
      <c r="F575" s="2" t="str">
        <f t="shared" si="656"/>
        <v>Container Excellent</v>
      </c>
      <c r="G575" s="2" t="str">
        <f t="shared" si="656"/>
        <v/>
      </c>
      <c r="H575" s="2" t="str">
        <f t="shared" si="656"/>
        <v/>
      </c>
      <c r="I575" s="2" t="str">
        <f t="shared" si="656"/>
        <v/>
      </c>
      <c r="J575" s="2" t="str">
        <f t="shared" si="656"/>
        <v/>
      </c>
      <c r="K575" s="2" t="str">
        <f t="shared" si="656"/>
        <v/>
      </c>
      <c r="L575" s="2" t="str">
        <f t="shared" si="656"/>
        <v/>
      </c>
      <c r="M575" s="180" t="str">
        <f t="shared" si="656"/>
        <v/>
      </c>
      <c r="N575" s="2" t="str">
        <f t="shared" si="656"/>
        <v/>
      </c>
      <c r="O575" s="2">
        <f t="shared" si="656"/>
        <v>0</v>
      </c>
    </row>
    <row r="576" spans="1:15" x14ac:dyDescent="0.25">
      <c r="A576" s="325">
        <v>1</v>
      </c>
      <c r="B576" s="325">
        <f>TrialNumber</f>
        <v>0</v>
      </c>
      <c r="C576" s="325" t="s">
        <v>21</v>
      </c>
      <c r="D576" s="325">
        <f>Excellent!C52</f>
        <v>0</v>
      </c>
      <c r="E576" s="325" t="str">
        <f>IF(Excellent!B52="W","W","A")</f>
        <v>A</v>
      </c>
      <c r="F576" s="325" t="s">
        <v>1740</v>
      </c>
      <c r="G576" s="325" t="str">
        <f>IF(Excellent!G52="e","Y","")</f>
        <v/>
      </c>
      <c r="H576" s="325" t="str">
        <f>IFERROR(VLOOKUP($D576,'SDDA Dogs'!$A:$AE,2,FALSE),"")</f>
        <v/>
      </c>
      <c r="I576" s="325" t="str">
        <f>IFERROR(VLOOKUP($D576,'SDDA Dogs'!$A:$AE,3,FALSE),"")</f>
        <v/>
      </c>
      <c r="J576" s="325" t="str">
        <f>IFERROR(VLOOKUP($D576,'SDDA Dogs'!$A:$AE,6,FALSE),"")</f>
        <v/>
      </c>
      <c r="K576" s="325" t="str">
        <f>IF(Excellent!AS52="","",Excellent!AS52)</f>
        <v/>
      </c>
      <c r="L576" s="325" t="str">
        <f>IF(Excellent!AT52="","",Excellent!AT52)</f>
        <v/>
      </c>
      <c r="M576" s="326" t="str">
        <f>TrialDate</f>
        <v/>
      </c>
      <c r="N576" s="325" t="str">
        <f t="shared" ref="N576" si="657">N575</f>
        <v/>
      </c>
      <c r="O576" s="325">
        <f>JudgeD1CSE</f>
        <v>0</v>
      </c>
    </row>
    <row r="577" spans="1:15" x14ac:dyDescent="0.25">
      <c r="A577" s="2">
        <v>2</v>
      </c>
      <c r="B577" s="2">
        <f t="shared" ref="B577:O577" si="658">B576</f>
        <v>0</v>
      </c>
      <c r="C577" s="2" t="str">
        <f t="shared" si="658"/>
        <v>CSE</v>
      </c>
      <c r="D577" s="2">
        <f t="shared" si="658"/>
        <v>0</v>
      </c>
      <c r="E577" s="2" t="str">
        <f t="shared" si="658"/>
        <v>A</v>
      </c>
      <c r="F577" s="2" t="str">
        <f t="shared" si="658"/>
        <v>Container Excellent</v>
      </c>
      <c r="G577" s="2" t="str">
        <f t="shared" si="658"/>
        <v/>
      </c>
      <c r="H577" s="2" t="str">
        <f t="shared" si="658"/>
        <v/>
      </c>
      <c r="I577" s="2" t="str">
        <f t="shared" si="658"/>
        <v/>
      </c>
      <c r="J577" s="2" t="str">
        <f t="shared" si="658"/>
        <v/>
      </c>
      <c r="K577" s="2" t="str">
        <f t="shared" si="658"/>
        <v/>
      </c>
      <c r="L577" s="2" t="str">
        <f t="shared" si="658"/>
        <v/>
      </c>
      <c r="M577" s="180" t="str">
        <f t="shared" si="658"/>
        <v/>
      </c>
      <c r="N577" s="2" t="str">
        <f t="shared" si="658"/>
        <v/>
      </c>
      <c r="O577" s="2">
        <f t="shared" si="658"/>
        <v>0</v>
      </c>
    </row>
    <row r="578" spans="1:15" x14ac:dyDescent="0.25">
      <c r="A578" s="325">
        <v>1</v>
      </c>
      <c r="B578" s="325">
        <f>TrialNumber</f>
        <v>0</v>
      </c>
      <c r="C578" s="325" t="s">
        <v>21</v>
      </c>
      <c r="D578" s="325">
        <f>Excellent!C53</f>
        <v>0</v>
      </c>
      <c r="E578" s="325" t="str">
        <f>IF(Excellent!B53="W","W","A")</f>
        <v>A</v>
      </c>
      <c r="F578" s="325" t="s">
        <v>1740</v>
      </c>
      <c r="G578" s="325" t="str">
        <f>IF(Excellent!G53="e","Y","")</f>
        <v/>
      </c>
      <c r="H578" s="325" t="str">
        <f>IFERROR(VLOOKUP($D578,'SDDA Dogs'!$A:$AE,2,FALSE),"")</f>
        <v/>
      </c>
      <c r="I578" s="325" t="str">
        <f>IFERROR(VLOOKUP($D578,'SDDA Dogs'!$A:$AE,3,FALSE),"")</f>
        <v/>
      </c>
      <c r="J578" s="325" t="str">
        <f>IFERROR(VLOOKUP($D578,'SDDA Dogs'!$A:$AE,6,FALSE),"")</f>
        <v/>
      </c>
      <c r="K578" s="325" t="str">
        <f>IF(Excellent!AS53="","",Excellent!AS53)</f>
        <v/>
      </c>
      <c r="L578" s="325" t="str">
        <f>IF(Excellent!AT53="","",Excellent!AT53)</f>
        <v/>
      </c>
      <c r="M578" s="326" t="str">
        <f>TrialDate</f>
        <v/>
      </c>
      <c r="N578" s="325" t="str">
        <f t="shared" ref="N578" si="659">N577</f>
        <v/>
      </c>
      <c r="O578" s="325">
        <f>JudgeD1CSE</f>
        <v>0</v>
      </c>
    </row>
    <row r="579" spans="1:15" x14ac:dyDescent="0.25">
      <c r="A579" s="2">
        <v>2</v>
      </c>
      <c r="B579" s="2">
        <f t="shared" ref="B579:O579" si="660">B578</f>
        <v>0</v>
      </c>
      <c r="C579" s="2" t="str">
        <f t="shared" si="660"/>
        <v>CSE</v>
      </c>
      <c r="D579" s="2">
        <f t="shared" si="660"/>
        <v>0</v>
      </c>
      <c r="E579" s="2" t="str">
        <f t="shared" si="660"/>
        <v>A</v>
      </c>
      <c r="F579" s="2" t="str">
        <f t="shared" si="660"/>
        <v>Container Excellent</v>
      </c>
      <c r="G579" s="2" t="str">
        <f t="shared" si="660"/>
        <v/>
      </c>
      <c r="H579" s="2" t="str">
        <f t="shared" si="660"/>
        <v/>
      </c>
      <c r="I579" s="2" t="str">
        <f t="shared" si="660"/>
        <v/>
      </c>
      <c r="J579" s="2" t="str">
        <f t="shared" si="660"/>
        <v/>
      </c>
      <c r="K579" s="2" t="str">
        <f t="shared" si="660"/>
        <v/>
      </c>
      <c r="L579" s="2" t="str">
        <f t="shared" si="660"/>
        <v/>
      </c>
      <c r="M579" s="180" t="str">
        <f t="shared" si="660"/>
        <v/>
      </c>
      <c r="N579" s="2" t="str">
        <f t="shared" si="660"/>
        <v/>
      </c>
      <c r="O579" s="2">
        <f t="shared" si="660"/>
        <v>0</v>
      </c>
    </row>
    <row r="580" spans="1:15" x14ac:dyDescent="0.25">
      <c r="A580" s="325">
        <v>1</v>
      </c>
      <c r="B580" s="325">
        <f>TrialNumber</f>
        <v>0</v>
      </c>
      <c r="C580" s="325" t="s">
        <v>21</v>
      </c>
      <c r="D580" s="325">
        <f>Excellent!C54</f>
        <v>0</v>
      </c>
      <c r="E580" s="325" t="str">
        <f>IF(Excellent!B54="W","W","A")</f>
        <v>A</v>
      </c>
      <c r="F580" s="325" t="s">
        <v>1740</v>
      </c>
      <c r="G580" s="325" t="str">
        <f>IF(Excellent!G54="e","Y","")</f>
        <v/>
      </c>
      <c r="H580" s="325" t="str">
        <f>IFERROR(VLOOKUP($D580,'SDDA Dogs'!$A:$AE,2,FALSE),"")</f>
        <v/>
      </c>
      <c r="I580" s="325" t="str">
        <f>IFERROR(VLOOKUP($D580,'SDDA Dogs'!$A:$AE,3,FALSE),"")</f>
        <v/>
      </c>
      <c r="J580" s="325" t="str">
        <f>IFERROR(VLOOKUP($D580,'SDDA Dogs'!$A:$AE,6,FALSE),"")</f>
        <v/>
      </c>
      <c r="K580" s="325" t="str">
        <f>IF(Excellent!AS54="","",Excellent!AS54)</f>
        <v/>
      </c>
      <c r="L580" s="325" t="str">
        <f>IF(Excellent!AT54="","",Excellent!AT54)</f>
        <v/>
      </c>
      <c r="M580" s="326" t="str">
        <f>TrialDate</f>
        <v/>
      </c>
      <c r="N580" s="325" t="str">
        <f t="shared" ref="N580" si="661">N579</f>
        <v/>
      </c>
      <c r="O580" s="325">
        <f>JudgeD1CSE</f>
        <v>0</v>
      </c>
    </row>
    <row r="581" spans="1:15" x14ac:dyDescent="0.25">
      <c r="A581" s="2">
        <v>2</v>
      </c>
      <c r="B581" s="2">
        <f t="shared" ref="B581:O617" si="662">B580</f>
        <v>0</v>
      </c>
      <c r="C581" s="2" t="str">
        <f t="shared" si="662"/>
        <v>CSE</v>
      </c>
      <c r="D581" s="2">
        <f t="shared" si="662"/>
        <v>0</v>
      </c>
      <c r="E581" s="2" t="str">
        <f t="shared" si="662"/>
        <v>A</v>
      </c>
      <c r="F581" s="2" t="str">
        <f t="shared" si="662"/>
        <v>Container Excellent</v>
      </c>
      <c r="G581" s="2" t="str">
        <f t="shared" si="662"/>
        <v/>
      </c>
      <c r="H581" s="2" t="str">
        <f t="shared" si="662"/>
        <v/>
      </c>
      <c r="I581" s="2" t="str">
        <f t="shared" si="662"/>
        <v/>
      </c>
      <c r="J581" s="2" t="str">
        <f t="shared" si="662"/>
        <v/>
      </c>
      <c r="K581" s="2" t="str">
        <f t="shared" si="662"/>
        <v/>
      </c>
      <c r="L581" s="2" t="str">
        <f t="shared" si="662"/>
        <v/>
      </c>
      <c r="M581" s="180" t="str">
        <f t="shared" si="662"/>
        <v/>
      </c>
      <c r="N581" s="2" t="str">
        <f t="shared" ref="N581" si="663">N580</f>
        <v/>
      </c>
      <c r="O581" s="2">
        <f t="shared" si="662"/>
        <v>0</v>
      </c>
    </row>
    <row r="582" spans="1:15" s="149" customFormat="1" x14ac:dyDescent="0.25">
      <c r="A582" s="327">
        <v>1</v>
      </c>
      <c r="B582" s="327">
        <f>TrialNumber</f>
        <v>0</v>
      </c>
      <c r="C582" s="327" t="s">
        <v>22</v>
      </c>
      <c r="D582" s="327">
        <f>Excellent!C5</f>
        <v>0</v>
      </c>
      <c r="E582" s="327" t="str">
        <f>IF(Excellent!B5="W","W","A")</f>
        <v>A</v>
      </c>
      <c r="F582" s="327" t="s">
        <v>1741</v>
      </c>
      <c r="G582" s="327" t="str">
        <f>IF(Excellent!O5="e","Y","")</f>
        <v/>
      </c>
      <c r="H582" s="327" t="str">
        <f>IFERROR(VLOOKUP($D582,'SDDA Dogs'!$A:$AE,2,FALSE),"")</f>
        <v/>
      </c>
      <c r="I582" s="327" t="str">
        <f>IFERROR(VLOOKUP($D582,'SDDA Dogs'!$A:$AE,3,FALSE),"")</f>
        <v/>
      </c>
      <c r="J582" s="327" t="str">
        <f>IFERROR(VLOOKUP($D582,'SDDA Dogs'!$A:$AE,6,FALSE),"")</f>
        <v/>
      </c>
      <c r="K582" s="327" t="str">
        <f>IF(Excellent!AS5="","",Excellent!AS5)</f>
        <v/>
      </c>
      <c r="L582" s="327" t="str">
        <f>IF(Excellent!AT5="","",Excellent!AT5)</f>
        <v/>
      </c>
      <c r="M582" s="328" t="str">
        <f>TrialDate</f>
        <v/>
      </c>
      <c r="N582" s="325" t="str">
        <f t="shared" ref="N582" si="664">N581</f>
        <v/>
      </c>
      <c r="O582" s="327">
        <f>JudgeD1ISE</f>
        <v>0</v>
      </c>
    </row>
    <row r="583" spans="1:15" x14ac:dyDescent="0.25">
      <c r="A583" s="2">
        <v>2</v>
      </c>
      <c r="B583" s="2">
        <f t="shared" si="662"/>
        <v>0</v>
      </c>
      <c r="C583" s="2" t="str">
        <f t="shared" si="662"/>
        <v>ISE</v>
      </c>
      <c r="D583" s="2">
        <f t="shared" si="662"/>
        <v>0</v>
      </c>
      <c r="E583" s="2" t="str">
        <f t="shared" si="662"/>
        <v>A</v>
      </c>
      <c r="F583" s="2" t="str">
        <f t="shared" si="662"/>
        <v>Interior Excellent</v>
      </c>
      <c r="G583" s="2" t="str">
        <f t="shared" si="662"/>
        <v/>
      </c>
      <c r="H583" s="2" t="str">
        <f t="shared" si="662"/>
        <v/>
      </c>
      <c r="I583" s="2" t="str">
        <f t="shared" si="662"/>
        <v/>
      </c>
      <c r="J583" s="2" t="str">
        <f t="shared" si="662"/>
        <v/>
      </c>
      <c r="K583" s="2" t="str">
        <f t="shared" si="662"/>
        <v/>
      </c>
      <c r="L583" s="2" t="str">
        <f t="shared" si="662"/>
        <v/>
      </c>
      <c r="M583" s="180" t="str">
        <f t="shared" si="662"/>
        <v/>
      </c>
      <c r="N583" s="2" t="str">
        <f t="shared" ref="N583" si="665">N582</f>
        <v/>
      </c>
      <c r="O583" s="2">
        <f t="shared" si="662"/>
        <v>0</v>
      </c>
    </row>
    <row r="584" spans="1:15" x14ac:dyDescent="0.25">
      <c r="A584" s="325">
        <v>1</v>
      </c>
      <c r="B584" s="325">
        <f>TrialNumber</f>
        <v>0</v>
      </c>
      <c r="C584" s="325" t="s">
        <v>22</v>
      </c>
      <c r="D584" s="325">
        <f>Excellent!C6</f>
        <v>0</v>
      </c>
      <c r="E584" s="325" t="str">
        <f>IF(Excellent!B6="W","W","A")</f>
        <v>A</v>
      </c>
      <c r="F584" s="325" t="s">
        <v>1741</v>
      </c>
      <c r="G584" s="325" t="str">
        <f>IF(Excellent!O6="e","Y","")</f>
        <v/>
      </c>
      <c r="H584" s="325" t="str">
        <f>IFERROR(VLOOKUP($D584,'SDDA Dogs'!$A:$AE,2,FALSE),"")</f>
        <v/>
      </c>
      <c r="I584" s="325" t="str">
        <f>IFERROR(VLOOKUP($D584,'SDDA Dogs'!$A:$AE,3,FALSE),"")</f>
        <v/>
      </c>
      <c r="J584" s="325" t="str">
        <f>IFERROR(VLOOKUP($D584,'SDDA Dogs'!$A:$AE,6,FALSE),"")</f>
        <v/>
      </c>
      <c r="K584" s="325" t="str">
        <f>IF(Excellent!AS6="","",Excellent!AS6)</f>
        <v/>
      </c>
      <c r="L584" s="325" t="str">
        <f>IF(Excellent!AT6="","",Excellent!AT6)</f>
        <v/>
      </c>
      <c r="M584" s="326" t="str">
        <f>TrialDate</f>
        <v/>
      </c>
      <c r="N584" s="325" t="str">
        <f t="shared" ref="N584" si="666">N583</f>
        <v/>
      </c>
      <c r="O584" s="325">
        <f>JudgeD1ISE</f>
        <v>0</v>
      </c>
    </row>
    <row r="585" spans="1:15" x14ac:dyDescent="0.25">
      <c r="A585" s="2">
        <v>2</v>
      </c>
      <c r="B585" s="2">
        <f t="shared" si="662"/>
        <v>0</v>
      </c>
      <c r="C585" s="2" t="str">
        <f t="shared" si="662"/>
        <v>ISE</v>
      </c>
      <c r="D585" s="2">
        <f t="shared" si="662"/>
        <v>0</v>
      </c>
      <c r="E585" s="2" t="str">
        <f t="shared" si="662"/>
        <v>A</v>
      </c>
      <c r="F585" s="2" t="str">
        <f t="shared" si="662"/>
        <v>Interior Excellent</v>
      </c>
      <c r="G585" s="2" t="str">
        <f t="shared" si="662"/>
        <v/>
      </c>
      <c r="H585" s="2" t="str">
        <f t="shared" si="662"/>
        <v/>
      </c>
      <c r="I585" s="2" t="str">
        <f t="shared" si="662"/>
        <v/>
      </c>
      <c r="J585" s="2" t="str">
        <f t="shared" si="662"/>
        <v/>
      </c>
      <c r="K585" s="2" t="str">
        <f t="shared" si="662"/>
        <v/>
      </c>
      <c r="L585" s="2" t="str">
        <f t="shared" si="662"/>
        <v/>
      </c>
      <c r="M585" s="180" t="str">
        <f t="shared" si="662"/>
        <v/>
      </c>
      <c r="N585" s="2" t="str">
        <f t="shared" ref="N585" si="667">N584</f>
        <v/>
      </c>
      <c r="O585" s="2">
        <f t="shared" si="662"/>
        <v>0</v>
      </c>
    </row>
    <row r="586" spans="1:15" x14ac:dyDescent="0.25">
      <c r="A586" s="325">
        <v>1</v>
      </c>
      <c r="B586" s="325">
        <f>TrialNumber</f>
        <v>0</v>
      </c>
      <c r="C586" s="325" t="s">
        <v>22</v>
      </c>
      <c r="D586" s="325">
        <f>Excellent!C7</f>
        <v>0</v>
      </c>
      <c r="E586" s="325" t="str">
        <f>IF(Excellent!B7="W","W","A")</f>
        <v>A</v>
      </c>
      <c r="F586" s="325" t="s">
        <v>1741</v>
      </c>
      <c r="G586" s="325" t="str">
        <f>IF(Excellent!O7="e","Y","")</f>
        <v/>
      </c>
      <c r="H586" s="325" t="str">
        <f>IFERROR(VLOOKUP($D586,'SDDA Dogs'!$A:$AE,2,FALSE),"")</f>
        <v/>
      </c>
      <c r="I586" s="325" t="str">
        <f>IFERROR(VLOOKUP($D586,'SDDA Dogs'!$A:$AE,3,FALSE),"")</f>
        <v/>
      </c>
      <c r="J586" s="325" t="str">
        <f>IFERROR(VLOOKUP($D586,'SDDA Dogs'!$A:$AE,6,FALSE),"")</f>
        <v/>
      </c>
      <c r="K586" s="325" t="str">
        <f>IF(Excellent!AS7="","",Excellent!AS7)</f>
        <v/>
      </c>
      <c r="L586" s="325" t="str">
        <f>IF(Excellent!AT7="","",Excellent!AT7)</f>
        <v/>
      </c>
      <c r="M586" s="326" t="str">
        <f>TrialDate</f>
        <v/>
      </c>
      <c r="N586" s="325" t="str">
        <f t="shared" ref="N586" si="668">N585</f>
        <v/>
      </c>
      <c r="O586" s="325">
        <f>JudgeD1ISE</f>
        <v>0</v>
      </c>
    </row>
    <row r="587" spans="1:15" x14ac:dyDescent="0.25">
      <c r="A587" s="2">
        <v>2</v>
      </c>
      <c r="B587" s="2">
        <f t="shared" si="662"/>
        <v>0</v>
      </c>
      <c r="C587" s="2" t="str">
        <f t="shared" si="662"/>
        <v>ISE</v>
      </c>
      <c r="D587" s="2">
        <f t="shared" si="662"/>
        <v>0</v>
      </c>
      <c r="E587" s="2" t="str">
        <f t="shared" si="662"/>
        <v>A</v>
      </c>
      <c r="F587" s="2" t="str">
        <f t="shared" si="662"/>
        <v>Interior Excellent</v>
      </c>
      <c r="G587" s="2" t="str">
        <f t="shared" si="662"/>
        <v/>
      </c>
      <c r="H587" s="2" t="str">
        <f t="shared" si="662"/>
        <v/>
      </c>
      <c r="I587" s="2" t="str">
        <f t="shared" si="662"/>
        <v/>
      </c>
      <c r="J587" s="2" t="str">
        <f t="shared" si="662"/>
        <v/>
      </c>
      <c r="K587" s="2" t="str">
        <f t="shared" si="662"/>
        <v/>
      </c>
      <c r="L587" s="2" t="str">
        <f t="shared" si="662"/>
        <v/>
      </c>
      <c r="M587" s="180" t="str">
        <f t="shared" si="662"/>
        <v/>
      </c>
      <c r="N587" s="2" t="str">
        <f t="shared" ref="N587" si="669">N586</f>
        <v/>
      </c>
      <c r="O587" s="2">
        <f t="shared" si="662"/>
        <v>0</v>
      </c>
    </row>
    <row r="588" spans="1:15" x14ac:dyDescent="0.25">
      <c r="A588" s="325">
        <v>1</v>
      </c>
      <c r="B588" s="325">
        <f>TrialNumber</f>
        <v>0</v>
      </c>
      <c r="C588" s="325" t="s">
        <v>22</v>
      </c>
      <c r="D588" s="325">
        <f>Excellent!C8</f>
        <v>0</v>
      </c>
      <c r="E588" s="325" t="str">
        <f>IF(Excellent!B8="W","W","A")</f>
        <v>A</v>
      </c>
      <c r="F588" s="325" t="s">
        <v>1741</v>
      </c>
      <c r="G588" s="325" t="str">
        <f>IF(Excellent!O8="e","Y","")</f>
        <v/>
      </c>
      <c r="H588" s="325" t="str">
        <f>IFERROR(VLOOKUP($D588,'SDDA Dogs'!$A:$AE,2,FALSE),"")</f>
        <v/>
      </c>
      <c r="I588" s="325" t="str">
        <f>IFERROR(VLOOKUP($D588,'SDDA Dogs'!$A:$AE,3,FALSE),"")</f>
        <v/>
      </c>
      <c r="J588" s="325" t="str">
        <f>IFERROR(VLOOKUP($D588,'SDDA Dogs'!$A:$AE,6,FALSE),"")</f>
        <v/>
      </c>
      <c r="K588" s="325" t="str">
        <f>IF(Excellent!AS8="","",Excellent!AS8)</f>
        <v/>
      </c>
      <c r="L588" s="325" t="str">
        <f>IF(Excellent!AT8="","",Excellent!AT8)</f>
        <v/>
      </c>
      <c r="M588" s="326" t="str">
        <f>TrialDate</f>
        <v/>
      </c>
      <c r="N588" s="325" t="str">
        <f t="shared" ref="N588" si="670">N587</f>
        <v/>
      </c>
      <c r="O588" s="325">
        <f>JudgeD1ISE</f>
        <v>0</v>
      </c>
    </row>
    <row r="589" spans="1:15" x14ac:dyDescent="0.25">
      <c r="A589" s="2">
        <v>2</v>
      </c>
      <c r="B589" s="2">
        <f t="shared" si="662"/>
        <v>0</v>
      </c>
      <c r="C589" s="2" t="str">
        <f t="shared" si="662"/>
        <v>ISE</v>
      </c>
      <c r="D589" s="2">
        <f t="shared" si="662"/>
        <v>0</v>
      </c>
      <c r="E589" s="2" t="str">
        <f t="shared" si="662"/>
        <v>A</v>
      </c>
      <c r="F589" s="2" t="str">
        <f t="shared" si="662"/>
        <v>Interior Excellent</v>
      </c>
      <c r="G589" s="2" t="str">
        <f t="shared" si="662"/>
        <v/>
      </c>
      <c r="H589" s="2" t="str">
        <f t="shared" si="662"/>
        <v/>
      </c>
      <c r="I589" s="2" t="str">
        <f t="shared" si="662"/>
        <v/>
      </c>
      <c r="J589" s="2" t="str">
        <f t="shared" si="662"/>
        <v/>
      </c>
      <c r="K589" s="2" t="str">
        <f t="shared" si="662"/>
        <v/>
      </c>
      <c r="L589" s="2" t="str">
        <f t="shared" si="662"/>
        <v/>
      </c>
      <c r="M589" s="180" t="str">
        <f t="shared" si="662"/>
        <v/>
      </c>
      <c r="N589" s="2" t="str">
        <f t="shared" ref="N589" si="671">N588</f>
        <v/>
      </c>
      <c r="O589" s="2">
        <f t="shared" si="662"/>
        <v>0</v>
      </c>
    </row>
    <row r="590" spans="1:15" x14ac:dyDescent="0.25">
      <c r="A590" s="325">
        <v>1</v>
      </c>
      <c r="B590" s="325">
        <f>TrialNumber</f>
        <v>0</v>
      </c>
      <c r="C590" s="325" t="s">
        <v>22</v>
      </c>
      <c r="D590" s="325">
        <f>Excellent!C9</f>
        <v>0</v>
      </c>
      <c r="E590" s="325" t="str">
        <f>IF(Excellent!B9="W","W","A")</f>
        <v>A</v>
      </c>
      <c r="F590" s="325" t="s">
        <v>1741</v>
      </c>
      <c r="G590" s="325" t="str">
        <f>IF(Excellent!O9="e","Y","")</f>
        <v/>
      </c>
      <c r="H590" s="325" t="str">
        <f>IFERROR(VLOOKUP($D590,'SDDA Dogs'!$A:$AE,2,FALSE),"")</f>
        <v/>
      </c>
      <c r="I590" s="325" t="str">
        <f>IFERROR(VLOOKUP($D590,'SDDA Dogs'!$A:$AE,3,FALSE),"")</f>
        <v/>
      </c>
      <c r="J590" s="325" t="str">
        <f>IFERROR(VLOOKUP($D590,'SDDA Dogs'!$A:$AE,6,FALSE),"")</f>
        <v/>
      </c>
      <c r="K590" s="325" t="str">
        <f>IF(Excellent!AS9="","",Excellent!AS9)</f>
        <v/>
      </c>
      <c r="L590" s="325" t="str">
        <f>IF(Excellent!AT9="","",Excellent!AT9)</f>
        <v/>
      </c>
      <c r="M590" s="326" t="str">
        <f>TrialDate</f>
        <v/>
      </c>
      <c r="N590" s="325" t="str">
        <f t="shared" ref="N590" si="672">N589</f>
        <v/>
      </c>
      <c r="O590" s="325">
        <f>JudgeD1ISE</f>
        <v>0</v>
      </c>
    </row>
    <row r="591" spans="1:15" x14ac:dyDescent="0.25">
      <c r="A591" s="2">
        <v>2</v>
      </c>
      <c r="B591" s="2">
        <f t="shared" si="662"/>
        <v>0</v>
      </c>
      <c r="C591" s="2" t="str">
        <f t="shared" si="662"/>
        <v>ISE</v>
      </c>
      <c r="D591" s="2">
        <f t="shared" si="662"/>
        <v>0</v>
      </c>
      <c r="E591" s="2" t="str">
        <f t="shared" si="662"/>
        <v>A</v>
      </c>
      <c r="F591" s="2" t="str">
        <f t="shared" si="662"/>
        <v>Interior Excellent</v>
      </c>
      <c r="G591" s="2" t="str">
        <f t="shared" si="662"/>
        <v/>
      </c>
      <c r="H591" s="2" t="str">
        <f t="shared" si="662"/>
        <v/>
      </c>
      <c r="I591" s="2" t="str">
        <f t="shared" si="662"/>
        <v/>
      </c>
      <c r="J591" s="2" t="str">
        <f t="shared" si="662"/>
        <v/>
      </c>
      <c r="K591" s="2" t="str">
        <f t="shared" si="662"/>
        <v/>
      </c>
      <c r="L591" s="2" t="str">
        <f t="shared" si="662"/>
        <v/>
      </c>
      <c r="M591" s="180" t="str">
        <f t="shared" si="662"/>
        <v/>
      </c>
      <c r="N591" s="2" t="str">
        <f t="shared" ref="N591" si="673">N590</f>
        <v/>
      </c>
      <c r="O591" s="2">
        <f t="shared" si="662"/>
        <v>0</v>
      </c>
    </row>
    <row r="592" spans="1:15" x14ac:dyDescent="0.25">
      <c r="A592" s="325">
        <v>1</v>
      </c>
      <c r="B592" s="325">
        <f>TrialNumber</f>
        <v>0</v>
      </c>
      <c r="C592" s="325" t="s">
        <v>22</v>
      </c>
      <c r="D592" s="325">
        <f>Excellent!C10</f>
        <v>0</v>
      </c>
      <c r="E592" s="325" t="str">
        <f>IF(Excellent!B10="W","W","A")</f>
        <v>A</v>
      </c>
      <c r="F592" s="325" t="s">
        <v>1741</v>
      </c>
      <c r="G592" s="325" t="str">
        <f>IF(Excellent!O10="e","Y","")</f>
        <v/>
      </c>
      <c r="H592" s="325" t="str">
        <f>IFERROR(VLOOKUP($D592,'SDDA Dogs'!$A:$AE,2,FALSE),"")</f>
        <v/>
      </c>
      <c r="I592" s="325" t="str">
        <f>IFERROR(VLOOKUP($D592,'SDDA Dogs'!$A:$AE,3,FALSE),"")</f>
        <v/>
      </c>
      <c r="J592" s="325" t="str">
        <f>IFERROR(VLOOKUP($D592,'SDDA Dogs'!$A:$AE,6,FALSE),"")</f>
        <v/>
      </c>
      <c r="K592" s="325" t="str">
        <f>IF(Excellent!AS10="","",Excellent!AS10)</f>
        <v/>
      </c>
      <c r="L592" s="325" t="str">
        <f>IF(Excellent!AT10="","",Excellent!AT10)</f>
        <v/>
      </c>
      <c r="M592" s="326" t="str">
        <f>TrialDate</f>
        <v/>
      </c>
      <c r="N592" s="325" t="str">
        <f t="shared" ref="N592" si="674">N591</f>
        <v/>
      </c>
      <c r="O592" s="325">
        <f>JudgeD1ISE</f>
        <v>0</v>
      </c>
    </row>
    <row r="593" spans="1:15" x14ac:dyDescent="0.25">
      <c r="A593" s="2">
        <v>2</v>
      </c>
      <c r="B593" s="2">
        <f t="shared" si="662"/>
        <v>0</v>
      </c>
      <c r="C593" s="2" t="str">
        <f t="shared" si="662"/>
        <v>ISE</v>
      </c>
      <c r="D593" s="2">
        <f t="shared" si="662"/>
        <v>0</v>
      </c>
      <c r="E593" s="2" t="str">
        <f t="shared" si="662"/>
        <v>A</v>
      </c>
      <c r="F593" s="2" t="str">
        <f t="shared" si="662"/>
        <v>Interior Excellent</v>
      </c>
      <c r="G593" s="2" t="str">
        <f t="shared" si="662"/>
        <v/>
      </c>
      <c r="H593" s="2" t="str">
        <f t="shared" si="662"/>
        <v/>
      </c>
      <c r="I593" s="2" t="str">
        <f t="shared" si="662"/>
        <v/>
      </c>
      <c r="J593" s="2" t="str">
        <f t="shared" si="662"/>
        <v/>
      </c>
      <c r="K593" s="2" t="str">
        <f t="shared" si="662"/>
        <v/>
      </c>
      <c r="L593" s="2" t="str">
        <f t="shared" si="662"/>
        <v/>
      </c>
      <c r="M593" s="180" t="str">
        <f t="shared" si="662"/>
        <v/>
      </c>
      <c r="N593" s="2" t="str">
        <f t="shared" ref="N593" si="675">N592</f>
        <v/>
      </c>
      <c r="O593" s="2">
        <f t="shared" si="662"/>
        <v>0</v>
      </c>
    </row>
    <row r="594" spans="1:15" x14ac:dyDescent="0.25">
      <c r="A594" s="325">
        <v>1</v>
      </c>
      <c r="B594" s="325">
        <f>TrialNumber</f>
        <v>0</v>
      </c>
      <c r="C594" s="325" t="s">
        <v>22</v>
      </c>
      <c r="D594" s="325">
        <f>Excellent!C11</f>
        <v>0</v>
      </c>
      <c r="E594" s="325" t="str">
        <f>IF(Excellent!B11="W","W","A")</f>
        <v>A</v>
      </c>
      <c r="F594" s="325" t="s">
        <v>1741</v>
      </c>
      <c r="G594" s="325" t="str">
        <f>IF(Excellent!O11="e","Y","")</f>
        <v/>
      </c>
      <c r="H594" s="325" t="str">
        <f>IFERROR(VLOOKUP($D594,'SDDA Dogs'!$A:$AE,2,FALSE),"")</f>
        <v/>
      </c>
      <c r="I594" s="325" t="str">
        <f>IFERROR(VLOOKUP($D594,'SDDA Dogs'!$A:$AE,3,FALSE),"")</f>
        <v/>
      </c>
      <c r="J594" s="325" t="str">
        <f>IFERROR(VLOOKUP($D594,'SDDA Dogs'!$A:$AE,6,FALSE),"")</f>
        <v/>
      </c>
      <c r="K594" s="325" t="str">
        <f>IF(Excellent!AS11="","",Excellent!AS11)</f>
        <v/>
      </c>
      <c r="L594" s="325" t="str">
        <f>IF(Excellent!AT11="","",Excellent!AT11)</f>
        <v/>
      </c>
      <c r="M594" s="326" t="str">
        <f>TrialDate</f>
        <v/>
      </c>
      <c r="N594" s="325" t="str">
        <f t="shared" ref="N594" si="676">N593</f>
        <v/>
      </c>
      <c r="O594" s="325">
        <f>JudgeD1ISE</f>
        <v>0</v>
      </c>
    </row>
    <row r="595" spans="1:15" x14ac:dyDescent="0.25">
      <c r="A595" s="2">
        <v>2</v>
      </c>
      <c r="B595" s="2">
        <f t="shared" si="662"/>
        <v>0</v>
      </c>
      <c r="C595" s="2" t="str">
        <f t="shared" si="662"/>
        <v>ISE</v>
      </c>
      <c r="D595" s="2">
        <f t="shared" si="662"/>
        <v>0</v>
      </c>
      <c r="E595" s="2" t="str">
        <f t="shared" si="662"/>
        <v>A</v>
      </c>
      <c r="F595" s="2" t="str">
        <f t="shared" si="662"/>
        <v>Interior Excellent</v>
      </c>
      <c r="G595" s="2" t="str">
        <f t="shared" si="662"/>
        <v/>
      </c>
      <c r="H595" s="2" t="str">
        <f t="shared" si="662"/>
        <v/>
      </c>
      <c r="I595" s="2" t="str">
        <f t="shared" si="662"/>
        <v/>
      </c>
      <c r="J595" s="2" t="str">
        <f t="shared" si="662"/>
        <v/>
      </c>
      <c r="K595" s="2" t="str">
        <f t="shared" si="662"/>
        <v/>
      </c>
      <c r="L595" s="2" t="str">
        <f t="shared" si="662"/>
        <v/>
      </c>
      <c r="M595" s="180" t="str">
        <f t="shared" si="662"/>
        <v/>
      </c>
      <c r="N595" s="2" t="str">
        <f t="shared" ref="N595" si="677">N594</f>
        <v/>
      </c>
      <c r="O595" s="2">
        <f t="shared" si="662"/>
        <v>0</v>
      </c>
    </row>
    <row r="596" spans="1:15" x14ac:dyDescent="0.25">
      <c r="A596" s="325">
        <v>1</v>
      </c>
      <c r="B596" s="325">
        <f>TrialNumber</f>
        <v>0</v>
      </c>
      <c r="C596" s="325" t="s">
        <v>22</v>
      </c>
      <c r="D596" s="325">
        <f>Excellent!C12</f>
        <v>0</v>
      </c>
      <c r="E596" s="325" t="str">
        <f>IF(Excellent!B12="W","W","A")</f>
        <v>A</v>
      </c>
      <c r="F596" s="325" t="s">
        <v>1741</v>
      </c>
      <c r="G596" s="325" t="str">
        <f>IF(Excellent!O12="e","Y","")</f>
        <v/>
      </c>
      <c r="H596" s="325" t="str">
        <f>IFERROR(VLOOKUP($D596,'SDDA Dogs'!$A:$AE,2,FALSE),"")</f>
        <v/>
      </c>
      <c r="I596" s="325" t="str">
        <f>IFERROR(VLOOKUP($D596,'SDDA Dogs'!$A:$AE,3,FALSE),"")</f>
        <v/>
      </c>
      <c r="J596" s="325" t="str">
        <f>IFERROR(VLOOKUP($D596,'SDDA Dogs'!$A:$AE,6,FALSE),"")</f>
        <v/>
      </c>
      <c r="K596" s="325" t="str">
        <f>IF(Excellent!AS12="","",Excellent!AS12)</f>
        <v/>
      </c>
      <c r="L596" s="325" t="str">
        <f>IF(Excellent!AT12="","",Excellent!AT12)</f>
        <v/>
      </c>
      <c r="M596" s="326" t="str">
        <f>TrialDate</f>
        <v/>
      </c>
      <c r="N596" s="325" t="str">
        <f t="shared" ref="N596" si="678">N595</f>
        <v/>
      </c>
      <c r="O596" s="325">
        <f>JudgeD1ISE</f>
        <v>0</v>
      </c>
    </row>
    <row r="597" spans="1:15" x14ac:dyDescent="0.25">
      <c r="A597" s="2">
        <v>2</v>
      </c>
      <c r="B597" s="2">
        <f t="shared" si="662"/>
        <v>0</v>
      </c>
      <c r="C597" s="2" t="str">
        <f t="shared" si="662"/>
        <v>ISE</v>
      </c>
      <c r="D597" s="2">
        <f t="shared" si="662"/>
        <v>0</v>
      </c>
      <c r="E597" s="2" t="str">
        <f t="shared" si="662"/>
        <v>A</v>
      </c>
      <c r="F597" s="2" t="str">
        <f t="shared" si="662"/>
        <v>Interior Excellent</v>
      </c>
      <c r="G597" s="2" t="str">
        <f t="shared" si="662"/>
        <v/>
      </c>
      <c r="H597" s="2" t="str">
        <f t="shared" si="662"/>
        <v/>
      </c>
      <c r="I597" s="2" t="str">
        <f t="shared" si="662"/>
        <v/>
      </c>
      <c r="J597" s="2" t="str">
        <f t="shared" si="662"/>
        <v/>
      </c>
      <c r="K597" s="2" t="str">
        <f t="shared" si="662"/>
        <v/>
      </c>
      <c r="L597" s="2" t="str">
        <f t="shared" si="662"/>
        <v/>
      </c>
      <c r="M597" s="180" t="str">
        <f t="shared" si="662"/>
        <v/>
      </c>
      <c r="N597" s="2" t="str">
        <f t="shared" ref="N597" si="679">N596</f>
        <v/>
      </c>
      <c r="O597" s="2">
        <f t="shared" si="662"/>
        <v>0</v>
      </c>
    </row>
    <row r="598" spans="1:15" x14ac:dyDescent="0.25">
      <c r="A598" s="325">
        <v>1</v>
      </c>
      <c r="B598" s="325">
        <f>TrialNumber</f>
        <v>0</v>
      </c>
      <c r="C598" s="325" t="s">
        <v>22</v>
      </c>
      <c r="D598" s="325">
        <f>Excellent!C13</f>
        <v>0</v>
      </c>
      <c r="E598" s="325" t="str">
        <f>IF(Excellent!B13="W","W","A")</f>
        <v>A</v>
      </c>
      <c r="F598" s="325" t="s">
        <v>1741</v>
      </c>
      <c r="G598" s="325" t="str">
        <f>IF(Excellent!O13="e","Y","")</f>
        <v/>
      </c>
      <c r="H598" s="325" t="str">
        <f>IFERROR(VLOOKUP($D598,'SDDA Dogs'!$A:$AE,2,FALSE),"")</f>
        <v/>
      </c>
      <c r="I598" s="325" t="str">
        <f>IFERROR(VLOOKUP($D598,'SDDA Dogs'!$A:$AE,3,FALSE),"")</f>
        <v/>
      </c>
      <c r="J598" s="325" t="str">
        <f>IFERROR(VLOOKUP($D598,'SDDA Dogs'!$A:$AE,6,FALSE),"")</f>
        <v/>
      </c>
      <c r="K598" s="325" t="str">
        <f>IF(Excellent!AS13="","",Excellent!AS13)</f>
        <v/>
      </c>
      <c r="L598" s="325" t="str">
        <f>IF(Excellent!AT13="","",Excellent!AT13)</f>
        <v/>
      </c>
      <c r="M598" s="326" t="str">
        <f>TrialDate</f>
        <v/>
      </c>
      <c r="N598" s="325" t="str">
        <f t="shared" ref="N598" si="680">N597</f>
        <v/>
      </c>
      <c r="O598" s="325">
        <f>JudgeD1ISE</f>
        <v>0</v>
      </c>
    </row>
    <row r="599" spans="1:15" x14ac:dyDescent="0.25">
      <c r="A599" s="2">
        <v>2</v>
      </c>
      <c r="B599" s="2">
        <f t="shared" si="662"/>
        <v>0</v>
      </c>
      <c r="C599" s="2" t="str">
        <f t="shared" si="662"/>
        <v>ISE</v>
      </c>
      <c r="D599" s="2">
        <f t="shared" si="662"/>
        <v>0</v>
      </c>
      <c r="E599" s="2" t="str">
        <f t="shared" si="662"/>
        <v>A</v>
      </c>
      <c r="F599" s="2" t="str">
        <f t="shared" si="662"/>
        <v>Interior Excellent</v>
      </c>
      <c r="G599" s="2" t="str">
        <f t="shared" si="662"/>
        <v/>
      </c>
      <c r="H599" s="2" t="str">
        <f t="shared" si="662"/>
        <v/>
      </c>
      <c r="I599" s="2" t="str">
        <f t="shared" si="662"/>
        <v/>
      </c>
      <c r="J599" s="2" t="str">
        <f t="shared" si="662"/>
        <v/>
      </c>
      <c r="K599" s="2" t="str">
        <f t="shared" si="662"/>
        <v/>
      </c>
      <c r="L599" s="2" t="str">
        <f t="shared" si="662"/>
        <v/>
      </c>
      <c r="M599" s="180" t="str">
        <f t="shared" si="662"/>
        <v/>
      </c>
      <c r="N599" s="2" t="str">
        <f t="shared" ref="N599" si="681">N598</f>
        <v/>
      </c>
      <c r="O599" s="2">
        <f t="shared" si="662"/>
        <v>0</v>
      </c>
    </row>
    <row r="600" spans="1:15" x14ac:dyDescent="0.25">
      <c r="A600" s="325">
        <v>1</v>
      </c>
      <c r="B600" s="325">
        <f>TrialNumber</f>
        <v>0</v>
      </c>
      <c r="C600" s="325" t="s">
        <v>22</v>
      </c>
      <c r="D600" s="325">
        <f>Excellent!C14</f>
        <v>0</v>
      </c>
      <c r="E600" s="325" t="str">
        <f>IF(Excellent!B14="W","W","A")</f>
        <v>A</v>
      </c>
      <c r="F600" s="325" t="s">
        <v>1741</v>
      </c>
      <c r="G600" s="325" t="str">
        <f>IF(Excellent!O14="e","Y","")</f>
        <v/>
      </c>
      <c r="H600" s="325" t="str">
        <f>IFERROR(VLOOKUP($D600,'SDDA Dogs'!$A:$AE,2,FALSE),"")</f>
        <v/>
      </c>
      <c r="I600" s="325" t="str">
        <f>IFERROR(VLOOKUP($D600,'SDDA Dogs'!$A:$AE,3,FALSE),"")</f>
        <v/>
      </c>
      <c r="J600" s="325" t="str">
        <f>IFERROR(VLOOKUP($D600,'SDDA Dogs'!$A:$AE,6,FALSE),"")</f>
        <v/>
      </c>
      <c r="K600" s="325" t="str">
        <f>IF(Excellent!AS14="","",Excellent!AS14)</f>
        <v/>
      </c>
      <c r="L600" s="325" t="str">
        <f>IF(Excellent!AT14="","",Excellent!AT14)</f>
        <v/>
      </c>
      <c r="M600" s="326" t="str">
        <f>TrialDate</f>
        <v/>
      </c>
      <c r="N600" s="325" t="str">
        <f t="shared" ref="N600" si="682">N599</f>
        <v/>
      </c>
      <c r="O600" s="325">
        <f>JudgeD1ISE</f>
        <v>0</v>
      </c>
    </row>
    <row r="601" spans="1:15" x14ac:dyDescent="0.25">
      <c r="A601" s="2">
        <v>2</v>
      </c>
      <c r="B601" s="2">
        <f t="shared" si="662"/>
        <v>0</v>
      </c>
      <c r="C601" s="2" t="str">
        <f t="shared" si="662"/>
        <v>ISE</v>
      </c>
      <c r="D601" s="2">
        <f t="shared" si="662"/>
        <v>0</v>
      </c>
      <c r="E601" s="2" t="str">
        <f t="shared" si="662"/>
        <v>A</v>
      </c>
      <c r="F601" s="2" t="str">
        <f t="shared" si="662"/>
        <v>Interior Excellent</v>
      </c>
      <c r="G601" s="2" t="str">
        <f t="shared" si="662"/>
        <v/>
      </c>
      <c r="H601" s="2" t="str">
        <f t="shared" si="662"/>
        <v/>
      </c>
      <c r="I601" s="2" t="str">
        <f t="shared" si="662"/>
        <v/>
      </c>
      <c r="J601" s="2" t="str">
        <f t="shared" si="662"/>
        <v/>
      </c>
      <c r="K601" s="2" t="str">
        <f t="shared" si="662"/>
        <v/>
      </c>
      <c r="L601" s="2" t="str">
        <f t="shared" si="662"/>
        <v/>
      </c>
      <c r="M601" s="180" t="str">
        <f t="shared" si="662"/>
        <v/>
      </c>
      <c r="N601" s="2" t="str">
        <f t="shared" ref="N601" si="683">N600</f>
        <v/>
      </c>
      <c r="O601" s="2">
        <f t="shared" si="662"/>
        <v>0</v>
      </c>
    </row>
    <row r="602" spans="1:15" x14ac:dyDescent="0.25">
      <c r="A602" s="325">
        <v>1</v>
      </c>
      <c r="B602" s="325">
        <f>TrialNumber</f>
        <v>0</v>
      </c>
      <c r="C602" s="325" t="s">
        <v>22</v>
      </c>
      <c r="D602" s="325">
        <f>Excellent!C15</f>
        <v>0</v>
      </c>
      <c r="E602" s="325" t="str">
        <f>IF(Excellent!B15="W","W","A")</f>
        <v>A</v>
      </c>
      <c r="F602" s="325" t="s">
        <v>1741</v>
      </c>
      <c r="G602" s="325" t="str">
        <f>IF(Excellent!O15="e","Y","")</f>
        <v/>
      </c>
      <c r="H602" s="325" t="str">
        <f>IFERROR(VLOOKUP($D602,'SDDA Dogs'!$A:$AE,2,FALSE),"")</f>
        <v/>
      </c>
      <c r="I602" s="325" t="str">
        <f>IFERROR(VLOOKUP($D602,'SDDA Dogs'!$A:$AE,3,FALSE),"")</f>
        <v/>
      </c>
      <c r="J602" s="325" t="str">
        <f>IFERROR(VLOOKUP($D602,'SDDA Dogs'!$A:$AE,6,FALSE),"")</f>
        <v/>
      </c>
      <c r="K602" s="325" t="str">
        <f>IF(Excellent!AS15="","",Excellent!AS15)</f>
        <v/>
      </c>
      <c r="L602" s="325" t="str">
        <f>IF(Excellent!AT15="","",Excellent!AT15)</f>
        <v/>
      </c>
      <c r="M602" s="326" t="str">
        <f>TrialDate</f>
        <v/>
      </c>
      <c r="N602" s="325" t="str">
        <f t="shared" ref="N602" si="684">N601</f>
        <v/>
      </c>
      <c r="O602" s="325">
        <f>JudgeD1ISE</f>
        <v>0</v>
      </c>
    </row>
    <row r="603" spans="1:15" x14ac:dyDescent="0.25">
      <c r="A603" s="2">
        <v>2</v>
      </c>
      <c r="B603" s="2">
        <f t="shared" si="662"/>
        <v>0</v>
      </c>
      <c r="C603" s="2" t="str">
        <f t="shared" si="662"/>
        <v>ISE</v>
      </c>
      <c r="D603" s="2">
        <f t="shared" si="662"/>
        <v>0</v>
      </c>
      <c r="E603" s="2" t="str">
        <f t="shared" si="662"/>
        <v>A</v>
      </c>
      <c r="F603" s="2" t="str">
        <f t="shared" si="662"/>
        <v>Interior Excellent</v>
      </c>
      <c r="G603" s="2" t="str">
        <f t="shared" si="662"/>
        <v/>
      </c>
      <c r="H603" s="2" t="str">
        <f t="shared" si="662"/>
        <v/>
      </c>
      <c r="I603" s="2" t="str">
        <f t="shared" si="662"/>
        <v/>
      </c>
      <c r="J603" s="2" t="str">
        <f t="shared" si="662"/>
        <v/>
      </c>
      <c r="K603" s="2" t="str">
        <f t="shared" si="662"/>
        <v/>
      </c>
      <c r="L603" s="2" t="str">
        <f t="shared" si="662"/>
        <v/>
      </c>
      <c r="M603" s="180" t="str">
        <f t="shared" si="662"/>
        <v/>
      </c>
      <c r="N603" s="2" t="str">
        <f t="shared" ref="N603" si="685">N602</f>
        <v/>
      </c>
      <c r="O603" s="2">
        <f t="shared" si="662"/>
        <v>0</v>
      </c>
    </row>
    <row r="604" spans="1:15" x14ac:dyDescent="0.25">
      <c r="A604" s="325">
        <v>1</v>
      </c>
      <c r="B604" s="325">
        <f>TrialNumber</f>
        <v>0</v>
      </c>
      <c r="C604" s="325" t="s">
        <v>22</v>
      </c>
      <c r="D604" s="325">
        <f>Excellent!C16</f>
        <v>0</v>
      </c>
      <c r="E604" s="325" t="str">
        <f>IF(Excellent!B16="W","W","A")</f>
        <v>A</v>
      </c>
      <c r="F604" s="325" t="s">
        <v>1741</v>
      </c>
      <c r="G604" s="325" t="str">
        <f>IF(Excellent!O16="e","Y","")</f>
        <v/>
      </c>
      <c r="H604" s="325" t="str">
        <f>IFERROR(VLOOKUP($D604,'SDDA Dogs'!$A:$AE,2,FALSE),"")</f>
        <v/>
      </c>
      <c r="I604" s="325" t="str">
        <f>IFERROR(VLOOKUP($D604,'SDDA Dogs'!$A:$AE,3,FALSE),"")</f>
        <v/>
      </c>
      <c r="J604" s="325" t="str">
        <f>IFERROR(VLOOKUP($D604,'SDDA Dogs'!$A:$AE,6,FALSE),"")</f>
        <v/>
      </c>
      <c r="K604" s="325" t="str">
        <f>IF(Excellent!AS16="","",Excellent!AS16)</f>
        <v/>
      </c>
      <c r="L604" s="325" t="str">
        <f>IF(Excellent!AT16="","",Excellent!AT16)</f>
        <v/>
      </c>
      <c r="M604" s="326" t="str">
        <f>TrialDate</f>
        <v/>
      </c>
      <c r="N604" s="325" t="str">
        <f t="shared" ref="N604" si="686">N603</f>
        <v/>
      </c>
      <c r="O604" s="325">
        <f>JudgeD1ISE</f>
        <v>0</v>
      </c>
    </row>
    <row r="605" spans="1:15" x14ac:dyDescent="0.25">
      <c r="A605" s="2">
        <v>2</v>
      </c>
      <c r="B605" s="2">
        <f t="shared" si="662"/>
        <v>0</v>
      </c>
      <c r="C605" s="2" t="str">
        <f t="shared" si="662"/>
        <v>ISE</v>
      </c>
      <c r="D605" s="2">
        <f t="shared" si="662"/>
        <v>0</v>
      </c>
      <c r="E605" s="2" t="str">
        <f t="shared" si="662"/>
        <v>A</v>
      </c>
      <c r="F605" s="2" t="str">
        <f t="shared" si="662"/>
        <v>Interior Excellent</v>
      </c>
      <c r="G605" s="2" t="str">
        <f t="shared" si="662"/>
        <v/>
      </c>
      <c r="H605" s="2" t="str">
        <f t="shared" si="662"/>
        <v/>
      </c>
      <c r="I605" s="2" t="str">
        <f t="shared" si="662"/>
        <v/>
      </c>
      <c r="J605" s="2" t="str">
        <f t="shared" si="662"/>
        <v/>
      </c>
      <c r="K605" s="2" t="str">
        <f t="shared" si="662"/>
        <v/>
      </c>
      <c r="L605" s="2" t="str">
        <f t="shared" si="662"/>
        <v/>
      </c>
      <c r="M605" s="180" t="str">
        <f t="shared" si="662"/>
        <v/>
      </c>
      <c r="N605" s="2" t="str">
        <f t="shared" ref="N605" si="687">N604</f>
        <v/>
      </c>
      <c r="O605" s="2">
        <f t="shared" si="662"/>
        <v>0</v>
      </c>
    </row>
    <row r="606" spans="1:15" x14ac:dyDescent="0.25">
      <c r="A606" s="325">
        <v>1</v>
      </c>
      <c r="B606" s="325">
        <f>TrialNumber</f>
        <v>0</v>
      </c>
      <c r="C606" s="325" t="s">
        <v>22</v>
      </c>
      <c r="D606" s="325">
        <f>Excellent!C17</f>
        <v>0</v>
      </c>
      <c r="E606" s="325" t="str">
        <f>IF(Excellent!B17="W","W","A")</f>
        <v>A</v>
      </c>
      <c r="F606" s="325" t="s">
        <v>1741</v>
      </c>
      <c r="G606" s="325" t="str">
        <f>IF(Excellent!O17="e","Y","")</f>
        <v/>
      </c>
      <c r="H606" s="325" t="str">
        <f>IFERROR(VLOOKUP($D606,'SDDA Dogs'!$A:$AE,2,FALSE),"")</f>
        <v/>
      </c>
      <c r="I606" s="325" t="str">
        <f>IFERROR(VLOOKUP($D606,'SDDA Dogs'!$A:$AE,3,FALSE),"")</f>
        <v/>
      </c>
      <c r="J606" s="325" t="str">
        <f>IFERROR(VLOOKUP($D606,'SDDA Dogs'!$A:$AE,6,FALSE),"")</f>
        <v/>
      </c>
      <c r="K606" s="325" t="str">
        <f>IF(Excellent!AS17="","",Excellent!AS17)</f>
        <v/>
      </c>
      <c r="L606" s="325" t="str">
        <f>IF(Excellent!AT17="","",Excellent!AT17)</f>
        <v/>
      </c>
      <c r="M606" s="326" t="str">
        <f>TrialDate</f>
        <v/>
      </c>
      <c r="N606" s="325" t="str">
        <f t="shared" ref="N606" si="688">N605</f>
        <v/>
      </c>
      <c r="O606" s="325">
        <f>JudgeD1ISE</f>
        <v>0</v>
      </c>
    </row>
    <row r="607" spans="1:15" x14ac:dyDescent="0.25">
      <c r="A607" s="2">
        <v>2</v>
      </c>
      <c r="B607" s="2">
        <f t="shared" si="662"/>
        <v>0</v>
      </c>
      <c r="C607" s="2" t="str">
        <f t="shared" si="662"/>
        <v>ISE</v>
      </c>
      <c r="D607" s="2">
        <f t="shared" si="662"/>
        <v>0</v>
      </c>
      <c r="E607" s="2" t="str">
        <f t="shared" si="662"/>
        <v>A</v>
      </c>
      <c r="F607" s="2" t="str">
        <f t="shared" si="662"/>
        <v>Interior Excellent</v>
      </c>
      <c r="G607" s="2" t="str">
        <f t="shared" si="662"/>
        <v/>
      </c>
      <c r="H607" s="2" t="str">
        <f t="shared" si="662"/>
        <v/>
      </c>
      <c r="I607" s="2" t="str">
        <f t="shared" si="662"/>
        <v/>
      </c>
      <c r="J607" s="2" t="str">
        <f t="shared" si="662"/>
        <v/>
      </c>
      <c r="K607" s="2" t="str">
        <f t="shared" si="662"/>
        <v/>
      </c>
      <c r="L607" s="2" t="str">
        <f t="shared" si="662"/>
        <v/>
      </c>
      <c r="M607" s="180" t="str">
        <f t="shared" si="662"/>
        <v/>
      </c>
      <c r="N607" s="2" t="str">
        <f t="shared" ref="N607" si="689">N606</f>
        <v/>
      </c>
      <c r="O607" s="2">
        <f t="shared" si="662"/>
        <v>0</v>
      </c>
    </row>
    <row r="608" spans="1:15" x14ac:dyDescent="0.25">
      <c r="A608" s="325">
        <v>1</v>
      </c>
      <c r="B608" s="325">
        <f>TrialNumber</f>
        <v>0</v>
      </c>
      <c r="C608" s="325" t="s">
        <v>22</v>
      </c>
      <c r="D608" s="325">
        <f>Excellent!C18</f>
        <v>0</v>
      </c>
      <c r="E608" s="325" t="str">
        <f>IF(Excellent!B18="W","W","A")</f>
        <v>A</v>
      </c>
      <c r="F608" s="325" t="s">
        <v>1741</v>
      </c>
      <c r="G608" s="325" t="str">
        <f>IF(Excellent!O18="e","Y","")</f>
        <v/>
      </c>
      <c r="H608" s="325" t="str">
        <f>IFERROR(VLOOKUP($D608,'SDDA Dogs'!$A:$AE,2,FALSE),"")</f>
        <v/>
      </c>
      <c r="I608" s="325" t="str">
        <f>IFERROR(VLOOKUP($D608,'SDDA Dogs'!$A:$AE,3,FALSE),"")</f>
        <v/>
      </c>
      <c r="J608" s="325" t="str">
        <f>IFERROR(VLOOKUP($D608,'SDDA Dogs'!$A:$AE,6,FALSE),"")</f>
        <v/>
      </c>
      <c r="K608" s="325" t="str">
        <f>IF(Excellent!AS18="","",Excellent!AS18)</f>
        <v/>
      </c>
      <c r="L608" s="325" t="str">
        <f>IF(Excellent!AT18="","",Excellent!AT18)</f>
        <v/>
      </c>
      <c r="M608" s="326" t="str">
        <f>TrialDate</f>
        <v/>
      </c>
      <c r="N608" s="325" t="str">
        <f t="shared" ref="N608" si="690">N607</f>
        <v/>
      </c>
      <c r="O608" s="325">
        <f>JudgeD1ISE</f>
        <v>0</v>
      </c>
    </row>
    <row r="609" spans="1:15" x14ac:dyDescent="0.25">
      <c r="A609" s="2">
        <v>2</v>
      </c>
      <c r="B609" s="2">
        <f t="shared" si="662"/>
        <v>0</v>
      </c>
      <c r="C609" s="2" t="str">
        <f t="shared" si="662"/>
        <v>ISE</v>
      </c>
      <c r="D609" s="2">
        <f t="shared" si="662"/>
        <v>0</v>
      </c>
      <c r="E609" s="2" t="str">
        <f t="shared" si="662"/>
        <v>A</v>
      </c>
      <c r="F609" s="2" t="str">
        <f t="shared" si="662"/>
        <v>Interior Excellent</v>
      </c>
      <c r="G609" s="2" t="str">
        <f t="shared" si="662"/>
        <v/>
      </c>
      <c r="H609" s="2" t="str">
        <f t="shared" si="662"/>
        <v/>
      </c>
      <c r="I609" s="2" t="str">
        <f t="shared" si="662"/>
        <v/>
      </c>
      <c r="J609" s="2" t="str">
        <f t="shared" si="662"/>
        <v/>
      </c>
      <c r="K609" s="2" t="str">
        <f t="shared" si="662"/>
        <v/>
      </c>
      <c r="L609" s="2" t="str">
        <f t="shared" si="662"/>
        <v/>
      </c>
      <c r="M609" s="180" t="str">
        <f t="shared" si="662"/>
        <v/>
      </c>
      <c r="N609" s="2" t="str">
        <f t="shared" ref="N609" si="691">N608</f>
        <v/>
      </c>
      <c r="O609" s="2">
        <f t="shared" si="662"/>
        <v>0</v>
      </c>
    </row>
    <row r="610" spans="1:15" x14ac:dyDescent="0.25">
      <c r="A610" s="325">
        <v>1</v>
      </c>
      <c r="B610" s="325">
        <f>TrialNumber</f>
        <v>0</v>
      </c>
      <c r="C610" s="325" t="s">
        <v>22</v>
      </c>
      <c r="D610" s="325">
        <f>Excellent!C19</f>
        <v>0</v>
      </c>
      <c r="E610" s="325" t="str">
        <f>IF(Excellent!B19="W","W","A")</f>
        <v>A</v>
      </c>
      <c r="F610" s="325" t="s">
        <v>1741</v>
      </c>
      <c r="G610" s="325" t="str">
        <f>IF(Excellent!O19="e","Y","")</f>
        <v/>
      </c>
      <c r="H610" s="325" t="str">
        <f>IFERROR(VLOOKUP($D610,'SDDA Dogs'!$A:$AE,2,FALSE),"")</f>
        <v/>
      </c>
      <c r="I610" s="325" t="str">
        <f>IFERROR(VLOOKUP($D610,'SDDA Dogs'!$A:$AE,3,FALSE),"")</f>
        <v/>
      </c>
      <c r="J610" s="325" t="str">
        <f>IFERROR(VLOOKUP($D610,'SDDA Dogs'!$A:$AE,6,FALSE),"")</f>
        <v/>
      </c>
      <c r="K610" s="325" t="str">
        <f>IF(Excellent!AS19="","",Excellent!AS19)</f>
        <v/>
      </c>
      <c r="L610" s="325" t="str">
        <f>IF(Excellent!AT19="","",Excellent!AT19)</f>
        <v/>
      </c>
      <c r="M610" s="326" t="str">
        <f>TrialDate</f>
        <v/>
      </c>
      <c r="N610" s="325" t="str">
        <f t="shared" ref="N610" si="692">N609</f>
        <v/>
      </c>
      <c r="O610" s="325">
        <f>JudgeD1ISE</f>
        <v>0</v>
      </c>
    </row>
    <row r="611" spans="1:15" x14ac:dyDescent="0.25">
      <c r="A611" s="2">
        <v>2</v>
      </c>
      <c r="B611" s="2">
        <f t="shared" si="662"/>
        <v>0</v>
      </c>
      <c r="C611" s="2" t="str">
        <f t="shared" si="662"/>
        <v>ISE</v>
      </c>
      <c r="D611" s="2">
        <f t="shared" si="662"/>
        <v>0</v>
      </c>
      <c r="E611" s="2" t="str">
        <f t="shared" si="662"/>
        <v>A</v>
      </c>
      <c r="F611" s="2" t="str">
        <f t="shared" si="662"/>
        <v>Interior Excellent</v>
      </c>
      <c r="G611" s="2" t="str">
        <f t="shared" si="662"/>
        <v/>
      </c>
      <c r="H611" s="2" t="str">
        <f t="shared" si="662"/>
        <v/>
      </c>
      <c r="I611" s="2" t="str">
        <f t="shared" si="662"/>
        <v/>
      </c>
      <c r="J611" s="2" t="str">
        <f t="shared" si="662"/>
        <v/>
      </c>
      <c r="K611" s="2" t="str">
        <f t="shared" si="662"/>
        <v/>
      </c>
      <c r="L611" s="2" t="str">
        <f t="shared" si="662"/>
        <v/>
      </c>
      <c r="M611" s="180" t="str">
        <f t="shared" si="662"/>
        <v/>
      </c>
      <c r="N611" s="2" t="str">
        <f t="shared" ref="N611" si="693">N610</f>
        <v/>
      </c>
      <c r="O611" s="2">
        <f t="shared" si="662"/>
        <v>0</v>
      </c>
    </row>
    <row r="612" spans="1:15" x14ac:dyDescent="0.25">
      <c r="A612" s="325">
        <v>1</v>
      </c>
      <c r="B612" s="325">
        <f>TrialNumber</f>
        <v>0</v>
      </c>
      <c r="C612" s="325" t="s">
        <v>22</v>
      </c>
      <c r="D612" s="325">
        <f>Excellent!C20</f>
        <v>0</v>
      </c>
      <c r="E612" s="325" t="str">
        <f>IF(Excellent!B20="W","W","A")</f>
        <v>A</v>
      </c>
      <c r="F612" s="325" t="s">
        <v>1741</v>
      </c>
      <c r="G612" s="325" t="str">
        <f>IF(Excellent!O20="e","Y","")</f>
        <v/>
      </c>
      <c r="H612" s="325" t="str">
        <f>IFERROR(VLOOKUP($D612,'SDDA Dogs'!$A:$AE,2,FALSE),"")</f>
        <v/>
      </c>
      <c r="I612" s="325" t="str">
        <f>IFERROR(VLOOKUP($D612,'SDDA Dogs'!$A:$AE,3,FALSE),"")</f>
        <v/>
      </c>
      <c r="J612" s="325" t="str">
        <f>IFERROR(VLOOKUP($D612,'SDDA Dogs'!$A:$AE,6,FALSE),"")</f>
        <v/>
      </c>
      <c r="K612" s="325" t="str">
        <f>IF(Excellent!AS20="","",Excellent!AS20)</f>
        <v/>
      </c>
      <c r="L612" s="325" t="str">
        <f>IF(Excellent!AT20="","",Excellent!AT20)</f>
        <v/>
      </c>
      <c r="M612" s="326" t="str">
        <f>TrialDate</f>
        <v/>
      </c>
      <c r="N612" s="325" t="str">
        <f t="shared" ref="N612" si="694">N611</f>
        <v/>
      </c>
      <c r="O612" s="325">
        <f>JudgeD1ISE</f>
        <v>0</v>
      </c>
    </row>
    <row r="613" spans="1:15" x14ac:dyDescent="0.25">
      <c r="A613" s="2">
        <v>2</v>
      </c>
      <c r="B613" s="2">
        <f t="shared" si="662"/>
        <v>0</v>
      </c>
      <c r="C613" s="2" t="str">
        <f t="shared" si="662"/>
        <v>ISE</v>
      </c>
      <c r="D613" s="2">
        <f t="shared" si="662"/>
        <v>0</v>
      </c>
      <c r="E613" s="2" t="str">
        <f t="shared" si="662"/>
        <v>A</v>
      </c>
      <c r="F613" s="2" t="str">
        <f t="shared" si="662"/>
        <v>Interior Excellent</v>
      </c>
      <c r="G613" s="2" t="str">
        <f t="shared" si="662"/>
        <v/>
      </c>
      <c r="H613" s="2" t="str">
        <f t="shared" si="662"/>
        <v/>
      </c>
      <c r="I613" s="2" t="str">
        <f t="shared" si="662"/>
        <v/>
      </c>
      <c r="J613" s="2" t="str">
        <f t="shared" si="662"/>
        <v/>
      </c>
      <c r="K613" s="2" t="str">
        <f t="shared" si="662"/>
        <v/>
      </c>
      <c r="L613" s="2" t="str">
        <f t="shared" si="662"/>
        <v/>
      </c>
      <c r="M613" s="180" t="str">
        <f t="shared" si="662"/>
        <v/>
      </c>
      <c r="N613" s="2" t="str">
        <f t="shared" ref="N613" si="695">N612</f>
        <v/>
      </c>
      <c r="O613" s="2">
        <f t="shared" si="662"/>
        <v>0</v>
      </c>
    </row>
    <row r="614" spans="1:15" x14ac:dyDescent="0.25">
      <c r="A614" s="325">
        <v>1</v>
      </c>
      <c r="B614" s="325">
        <f>TrialNumber</f>
        <v>0</v>
      </c>
      <c r="C614" s="325" t="s">
        <v>22</v>
      </c>
      <c r="D614" s="325">
        <f>Excellent!C21</f>
        <v>0</v>
      </c>
      <c r="E614" s="325" t="str">
        <f>IF(Excellent!B21="W","W","A")</f>
        <v>A</v>
      </c>
      <c r="F614" s="325" t="s">
        <v>1741</v>
      </c>
      <c r="G614" s="325" t="str">
        <f>IF(Excellent!O21="e","Y","")</f>
        <v/>
      </c>
      <c r="H614" s="325" t="str">
        <f>IFERROR(VLOOKUP($D614,'SDDA Dogs'!$A:$AE,2,FALSE),"")</f>
        <v/>
      </c>
      <c r="I614" s="325" t="str">
        <f>IFERROR(VLOOKUP($D614,'SDDA Dogs'!$A:$AE,3,FALSE),"")</f>
        <v/>
      </c>
      <c r="J614" s="325" t="str">
        <f>IFERROR(VLOOKUP($D614,'SDDA Dogs'!$A:$AE,6,FALSE),"")</f>
        <v/>
      </c>
      <c r="K614" s="325" t="str">
        <f>IF(Excellent!AS21="","",Excellent!AS21)</f>
        <v/>
      </c>
      <c r="L614" s="325" t="str">
        <f>IF(Excellent!AT21="","",Excellent!AT21)</f>
        <v/>
      </c>
      <c r="M614" s="326" t="str">
        <f>TrialDate</f>
        <v/>
      </c>
      <c r="N614" s="325" t="str">
        <f t="shared" ref="N614" si="696">N613</f>
        <v/>
      </c>
      <c r="O614" s="325">
        <f>JudgeD1ISE</f>
        <v>0</v>
      </c>
    </row>
    <row r="615" spans="1:15" x14ac:dyDescent="0.25">
      <c r="A615" s="2">
        <v>2</v>
      </c>
      <c r="B615" s="2">
        <f t="shared" si="662"/>
        <v>0</v>
      </c>
      <c r="C615" s="2" t="str">
        <f t="shared" si="662"/>
        <v>ISE</v>
      </c>
      <c r="D615" s="2">
        <f t="shared" si="662"/>
        <v>0</v>
      </c>
      <c r="E615" s="2" t="str">
        <f t="shared" si="662"/>
        <v>A</v>
      </c>
      <c r="F615" s="2" t="str">
        <f t="shared" si="662"/>
        <v>Interior Excellent</v>
      </c>
      <c r="G615" s="2" t="str">
        <f t="shared" si="662"/>
        <v/>
      </c>
      <c r="H615" s="2" t="str">
        <f t="shared" si="662"/>
        <v/>
      </c>
      <c r="I615" s="2" t="str">
        <f t="shared" si="662"/>
        <v/>
      </c>
      <c r="J615" s="2" t="str">
        <f t="shared" si="662"/>
        <v/>
      </c>
      <c r="K615" s="2" t="str">
        <f t="shared" si="662"/>
        <v/>
      </c>
      <c r="L615" s="2" t="str">
        <f t="shared" si="662"/>
        <v/>
      </c>
      <c r="M615" s="180" t="str">
        <f t="shared" si="662"/>
        <v/>
      </c>
      <c r="N615" s="2" t="str">
        <f t="shared" ref="N615" si="697">N614</f>
        <v/>
      </c>
      <c r="O615" s="2">
        <f t="shared" si="662"/>
        <v>0</v>
      </c>
    </row>
    <row r="616" spans="1:15" x14ac:dyDescent="0.25">
      <c r="A616" s="325">
        <v>1</v>
      </c>
      <c r="B616" s="325">
        <f>TrialNumber</f>
        <v>0</v>
      </c>
      <c r="C616" s="325" t="s">
        <v>22</v>
      </c>
      <c r="D616" s="325">
        <f>Excellent!C22</f>
        <v>0</v>
      </c>
      <c r="E616" s="325" t="str">
        <f>IF(Excellent!B22="W","W","A")</f>
        <v>A</v>
      </c>
      <c r="F616" s="325" t="s">
        <v>1741</v>
      </c>
      <c r="G616" s="325" t="str">
        <f>IF(Excellent!O22="e","Y","")</f>
        <v/>
      </c>
      <c r="H616" s="325" t="str">
        <f>IFERROR(VLOOKUP($D616,'SDDA Dogs'!$A:$AE,2,FALSE),"")</f>
        <v/>
      </c>
      <c r="I616" s="325" t="str">
        <f>IFERROR(VLOOKUP($D616,'SDDA Dogs'!$A:$AE,3,FALSE),"")</f>
        <v/>
      </c>
      <c r="J616" s="325" t="str">
        <f>IFERROR(VLOOKUP($D616,'SDDA Dogs'!$A:$AE,6,FALSE),"")</f>
        <v/>
      </c>
      <c r="K616" s="325" t="str">
        <f>IF(Excellent!AS22="","",Excellent!AS22)</f>
        <v/>
      </c>
      <c r="L616" s="325" t="str">
        <f>IF(Excellent!AT22="","",Excellent!AT22)</f>
        <v/>
      </c>
      <c r="M616" s="326" t="str">
        <f>TrialDate</f>
        <v/>
      </c>
      <c r="N616" s="325" t="str">
        <f t="shared" ref="N616" si="698">N615</f>
        <v/>
      </c>
      <c r="O616" s="325">
        <f>JudgeD1ISE</f>
        <v>0</v>
      </c>
    </row>
    <row r="617" spans="1:15" x14ac:dyDescent="0.25">
      <c r="A617" s="2">
        <v>2</v>
      </c>
      <c r="B617" s="2">
        <f t="shared" si="662"/>
        <v>0</v>
      </c>
      <c r="C617" s="2" t="str">
        <f t="shared" si="662"/>
        <v>ISE</v>
      </c>
      <c r="D617" s="2">
        <f t="shared" si="662"/>
        <v>0</v>
      </c>
      <c r="E617" s="2" t="str">
        <f t="shared" ref="E617:O623" si="699">E616</f>
        <v>A</v>
      </c>
      <c r="F617" s="2" t="str">
        <f t="shared" si="699"/>
        <v>Interior Excellent</v>
      </c>
      <c r="G617" s="2" t="str">
        <f t="shared" si="699"/>
        <v/>
      </c>
      <c r="H617" s="2" t="str">
        <f t="shared" si="699"/>
        <v/>
      </c>
      <c r="I617" s="2" t="str">
        <f t="shared" si="699"/>
        <v/>
      </c>
      <c r="J617" s="2" t="str">
        <f t="shared" si="699"/>
        <v/>
      </c>
      <c r="K617" s="2" t="str">
        <f t="shared" si="699"/>
        <v/>
      </c>
      <c r="L617" s="2" t="str">
        <f t="shared" si="699"/>
        <v/>
      </c>
      <c r="M617" s="180" t="str">
        <f t="shared" si="699"/>
        <v/>
      </c>
      <c r="N617" s="2" t="str">
        <f t="shared" si="699"/>
        <v/>
      </c>
      <c r="O617" s="2">
        <f t="shared" si="699"/>
        <v>0</v>
      </c>
    </row>
    <row r="618" spans="1:15" x14ac:dyDescent="0.25">
      <c r="A618" s="325">
        <v>1</v>
      </c>
      <c r="B618" s="325">
        <f>TrialNumber</f>
        <v>0</v>
      </c>
      <c r="C618" s="325" t="s">
        <v>22</v>
      </c>
      <c r="D618" s="325">
        <f>Excellent!C23</f>
        <v>0</v>
      </c>
      <c r="E618" s="325" t="str">
        <f>IF(Excellent!B23="W","W","A")</f>
        <v>A</v>
      </c>
      <c r="F618" s="325" t="s">
        <v>1741</v>
      </c>
      <c r="G618" s="325" t="str">
        <f>IF(Excellent!O23="e","Y","")</f>
        <v/>
      </c>
      <c r="H618" s="325" t="str">
        <f>IFERROR(VLOOKUP($D618,'SDDA Dogs'!$A:$AE,2,FALSE),"")</f>
        <v/>
      </c>
      <c r="I618" s="325" t="str">
        <f>IFERROR(VLOOKUP($D618,'SDDA Dogs'!$A:$AE,3,FALSE),"")</f>
        <v/>
      </c>
      <c r="J618" s="325" t="str">
        <f>IFERROR(VLOOKUP($D618,'SDDA Dogs'!$A:$AE,6,FALSE),"")</f>
        <v/>
      </c>
      <c r="K618" s="325" t="str">
        <f>IF(Excellent!AS23="","",Excellent!AS23)</f>
        <v/>
      </c>
      <c r="L618" s="325" t="str">
        <f>IF(Excellent!AT23="","",Excellent!AT23)</f>
        <v/>
      </c>
      <c r="M618" s="326" t="str">
        <f>TrialDate</f>
        <v/>
      </c>
      <c r="N618" s="325" t="str">
        <f t="shared" ref="N618" si="700">N617</f>
        <v/>
      </c>
      <c r="O618" s="325">
        <f>JudgeD1ISE</f>
        <v>0</v>
      </c>
    </row>
    <row r="619" spans="1:15" x14ac:dyDescent="0.25">
      <c r="A619" s="2">
        <v>2</v>
      </c>
      <c r="B619" s="2">
        <f t="shared" ref="B619:D623" si="701">B618</f>
        <v>0</v>
      </c>
      <c r="C619" s="2" t="str">
        <f t="shared" si="701"/>
        <v>ISE</v>
      </c>
      <c r="D619" s="2">
        <f t="shared" si="701"/>
        <v>0</v>
      </c>
      <c r="E619" s="2" t="str">
        <f t="shared" si="699"/>
        <v>A</v>
      </c>
      <c r="F619" s="2" t="str">
        <f t="shared" si="699"/>
        <v>Interior Excellent</v>
      </c>
      <c r="G619" s="2" t="str">
        <f t="shared" si="699"/>
        <v/>
      </c>
      <c r="H619" s="2" t="str">
        <f t="shared" si="699"/>
        <v/>
      </c>
      <c r="I619" s="2" t="str">
        <f t="shared" si="699"/>
        <v/>
      </c>
      <c r="J619" s="2" t="str">
        <f t="shared" si="699"/>
        <v/>
      </c>
      <c r="K619" s="2" t="str">
        <f t="shared" si="699"/>
        <v/>
      </c>
      <c r="L619" s="2" t="str">
        <f t="shared" si="699"/>
        <v/>
      </c>
      <c r="M619" s="180" t="str">
        <f t="shared" si="699"/>
        <v/>
      </c>
      <c r="N619" s="2" t="str">
        <f t="shared" si="699"/>
        <v/>
      </c>
      <c r="O619" s="2">
        <f t="shared" si="699"/>
        <v>0</v>
      </c>
    </row>
    <row r="620" spans="1:15" x14ac:dyDescent="0.25">
      <c r="A620" s="325">
        <v>1</v>
      </c>
      <c r="B620" s="325">
        <f>TrialNumber</f>
        <v>0</v>
      </c>
      <c r="C620" s="325" t="s">
        <v>22</v>
      </c>
      <c r="D620" s="325">
        <f>Excellent!C24</f>
        <v>0</v>
      </c>
      <c r="E620" s="325" t="str">
        <f>IF(Excellent!B24="W","W","A")</f>
        <v>A</v>
      </c>
      <c r="F620" s="325" t="s">
        <v>1741</v>
      </c>
      <c r="G620" s="325" t="str">
        <f>IF(Excellent!O24="e","Y","")</f>
        <v/>
      </c>
      <c r="H620" s="325" t="str">
        <f>IFERROR(VLOOKUP($D620,'SDDA Dogs'!$A:$AE,2,FALSE),"")</f>
        <v/>
      </c>
      <c r="I620" s="325" t="str">
        <f>IFERROR(VLOOKUP($D620,'SDDA Dogs'!$A:$AE,3,FALSE),"")</f>
        <v/>
      </c>
      <c r="J620" s="325" t="str">
        <f>IFERROR(VLOOKUP($D620,'SDDA Dogs'!$A:$AE,6,FALSE),"")</f>
        <v/>
      </c>
      <c r="K620" s="325" t="str">
        <f>IF(Excellent!AS24="","",Excellent!AS24)</f>
        <v/>
      </c>
      <c r="L620" s="325" t="str">
        <f>IF(Excellent!AT24="","",Excellent!AT24)</f>
        <v/>
      </c>
      <c r="M620" s="326" t="str">
        <f>TrialDate</f>
        <v/>
      </c>
      <c r="N620" s="325" t="str">
        <f t="shared" ref="N620" si="702">N619</f>
        <v/>
      </c>
      <c r="O620" s="325">
        <f>JudgeD1ISE</f>
        <v>0</v>
      </c>
    </row>
    <row r="621" spans="1:15" x14ac:dyDescent="0.25">
      <c r="A621" s="2">
        <v>2</v>
      </c>
      <c r="B621" s="2">
        <f t="shared" si="701"/>
        <v>0</v>
      </c>
      <c r="C621" s="2" t="str">
        <f t="shared" si="701"/>
        <v>ISE</v>
      </c>
      <c r="D621" s="2">
        <f t="shared" si="701"/>
        <v>0</v>
      </c>
      <c r="E621" s="2" t="str">
        <f t="shared" si="699"/>
        <v>A</v>
      </c>
      <c r="F621" s="2" t="str">
        <f t="shared" si="699"/>
        <v>Interior Excellent</v>
      </c>
      <c r="G621" s="2" t="str">
        <f t="shared" si="699"/>
        <v/>
      </c>
      <c r="H621" s="2" t="str">
        <f t="shared" si="699"/>
        <v/>
      </c>
      <c r="I621" s="2" t="str">
        <f t="shared" si="699"/>
        <v/>
      </c>
      <c r="J621" s="2" t="str">
        <f t="shared" si="699"/>
        <v/>
      </c>
      <c r="K621" s="2" t="str">
        <f t="shared" si="699"/>
        <v/>
      </c>
      <c r="L621" s="2" t="str">
        <f t="shared" si="699"/>
        <v/>
      </c>
      <c r="M621" s="180" t="str">
        <f t="shared" si="699"/>
        <v/>
      </c>
      <c r="N621" s="2" t="str">
        <f t="shared" si="699"/>
        <v/>
      </c>
      <c r="O621" s="2">
        <f t="shared" si="699"/>
        <v>0</v>
      </c>
    </row>
    <row r="622" spans="1:15" x14ac:dyDescent="0.25">
      <c r="A622" s="325">
        <v>1</v>
      </c>
      <c r="B622" s="325">
        <f>TrialNumber</f>
        <v>0</v>
      </c>
      <c r="C622" s="325" t="s">
        <v>22</v>
      </c>
      <c r="D622" s="325">
        <f>Excellent!C25</f>
        <v>0</v>
      </c>
      <c r="E622" s="325" t="str">
        <f>IF(Excellent!B25="W","W","A")</f>
        <v>A</v>
      </c>
      <c r="F622" s="325" t="s">
        <v>1741</v>
      </c>
      <c r="G622" s="325" t="str">
        <f>IF(Excellent!O25="e","Y","")</f>
        <v/>
      </c>
      <c r="H622" s="325" t="str">
        <f>IFERROR(VLOOKUP($D622,'SDDA Dogs'!$A:$AE,2,FALSE),"")</f>
        <v/>
      </c>
      <c r="I622" s="325" t="str">
        <f>IFERROR(VLOOKUP($D622,'SDDA Dogs'!$A:$AE,3,FALSE),"")</f>
        <v/>
      </c>
      <c r="J622" s="325" t="str">
        <f>IFERROR(VLOOKUP($D622,'SDDA Dogs'!$A:$AE,6,FALSE),"")</f>
        <v/>
      </c>
      <c r="K622" s="325" t="str">
        <f>IF(Excellent!AS25="","",Excellent!AS25)</f>
        <v/>
      </c>
      <c r="L622" s="325" t="str">
        <f>IF(Excellent!AT25="","",Excellent!AT25)</f>
        <v/>
      </c>
      <c r="M622" s="326" t="str">
        <f>TrialDate</f>
        <v/>
      </c>
      <c r="N622" s="325" t="str">
        <f t="shared" ref="N622" si="703">N621</f>
        <v/>
      </c>
      <c r="O622" s="325">
        <f>JudgeD1ISE</f>
        <v>0</v>
      </c>
    </row>
    <row r="623" spans="1:15" x14ac:dyDescent="0.25">
      <c r="A623" s="2">
        <v>2</v>
      </c>
      <c r="B623" s="2">
        <f t="shared" si="701"/>
        <v>0</v>
      </c>
      <c r="C623" s="2" t="str">
        <f t="shared" si="701"/>
        <v>ISE</v>
      </c>
      <c r="D623" s="2">
        <f t="shared" si="701"/>
        <v>0</v>
      </c>
      <c r="E623" s="2" t="str">
        <f t="shared" si="699"/>
        <v>A</v>
      </c>
      <c r="F623" s="2" t="str">
        <f t="shared" si="699"/>
        <v>Interior Excellent</v>
      </c>
      <c r="G623" s="2" t="str">
        <f t="shared" si="699"/>
        <v/>
      </c>
      <c r="H623" s="2" t="str">
        <f t="shared" si="699"/>
        <v/>
      </c>
      <c r="I623" s="2" t="str">
        <f t="shared" si="699"/>
        <v/>
      </c>
      <c r="J623" s="2" t="str">
        <f t="shared" si="699"/>
        <v/>
      </c>
      <c r="K623" s="2" t="str">
        <f t="shared" si="699"/>
        <v/>
      </c>
      <c r="L623" s="2" t="str">
        <f t="shared" si="699"/>
        <v/>
      </c>
      <c r="M623" s="180" t="str">
        <f t="shared" si="699"/>
        <v/>
      </c>
      <c r="N623" s="2" t="str">
        <f t="shared" si="699"/>
        <v/>
      </c>
      <c r="O623" s="2">
        <f t="shared" si="699"/>
        <v>0</v>
      </c>
    </row>
    <row r="624" spans="1:15" x14ac:dyDescent="0.25">
      <c r="A624" s="325">
        <v>1</v>
      </c>
      <c r="B624" s="325">
        <f>TrialNumber</f>
        <v>0</v>
      </c>
      <c r="C624" s="325" t="s">
        <v>22</v>
      </c>
      <c r="D624" s="325">
        <f>Excellent!C26</f>
        <v>0</v>
      </c>
      <c r="E624" s="325" t="str">
        <f>IF(Excellent!B26="W","W","A")</f>
        <v>A</v>
      </c>
      <c r="F624" s="325" t="s">
        <v>1741</v>
      </c>
      <c r="G624" s="325" t="str">
        <f>IF(Excellent!O26="e","Y","")</f>
        <v/>
      </c>
      <c r="H624" s="325" t="str">
        <f>IFERROR(VLOOKUP($D624,'SDDA Dogs'!$A:$AE,2,FALSE),"")</f>
        <v/>
      </c>
      <c r="I624" s="325" t="str">
        <f>IFERROR(VLOOKUP($D624,'SDDA Dogs'!$A:$AE,3,FALSE),"")</f>
        <v/>
      </c>
      <c r="J624" s="325" t="str">
        <f>IFERROR(VLOOKUP($D624,'SDDA Dogs'!$A:$AE,6,FALSE),"")</f>
        <v/>
      </c>
      <c r="K624" s="325" t="str">
        <f>IF(Excellent!AS26="","",Excellent!AS26)</f>
        <v/>
      </c>
      <c r="L624" s="325" t="str">
        <f>IF(Excellent!AT26="","",Excellent!AT26)</f>
        <v/>
      </c>
      <c r="M624" s="326" t="str">
        <f>TrialDate</f>
        <v/>
      </c>
      <c r="N624" s="325" t="str">
        <f t="shared" ref="N624" si="704">N623</f>
        <v/>
      </c>
      <c r="O624" s="325">
        <f>JudgeD1ISE</f>
        <v>0</v>
      </c>
    </row>
    <row r="625" spans="1:15" x14ac:dyDescent="0.25">
      <c r="A625" s="2">
        <v>2</v>
      </c>
      <c r="B625" s="2">
        <f t="shared" ref="B625:O625" si="705">B624</f>
        <v>0</v>
      </c>
      <c r="C625" s="2" t="str">
        <f t="shared" si="705"/>
        <v>ISE</v>
      </c>
      <c r="D625" s="2">
        <f t="shared" si="705"/>
        <v>0</v>
      </c>
      <c r="E625" s="2" t="str">
        <f t="shared" si="705"/>
        <v>A</v>
      </c>
      <c r="F625" s="2" t="str">
        <f t="shared" si="705"/>
        <v>Interior Excellent</v>
      </c>
      <c r="G625" s="2" t="str">
        <f t="shared" si="705"/>
        <v/>
      </c>
      <c r="H625" s="2" t="str">
        <f t="shared" si="705"/>
        <v/>
      </c>
      <c r="I625" s="2" t="str">
        <f t="shared" si="705"/>
        <v/>
      </c>
      <c r="J625" s="2" t="str">
        <f t="shared" si="705"/>
        <v/>
      </c>
      <c r="K625" s="2" t="str">
        <f t="shared" si="705"/>
        <v/>
      </c>
      <c r="L625" s="2" t="str">
        <f t="shared" si="705"/>
        <v/>
      </c>
      <c r="M625" s="180" t="str">
        <f t="shared" si="705"/>
        <v/>
      </c>
      <c r="N625" s="2" t="str">
        <f t="shared" si="705"/>
        <v/>
      </c>
      <c r="O625" s="2">
        <f t="shared" si="705"/>
        <v>0</v>
      </c>
    </row>
    <row r="626" spans="1:15" x14ac:dyDescent="0.25">
      <c r="A626" s="325">
        <v>1</v>
      </c>
      <c r="B626" s="325">
        <f>TrialNumber</f>
        <v>0</v>
      </c>
      <c r="C626" s="325" t="s">
        <v>22</v>
      </c>
      <c r="D626" s="325">
        <f>Excellent!C27</f>
        <v>0</v>
      </c>
      <c r="E626" s="325" t="str">
        <f>IF(Excellent!B27="W","W","A")</f>
        <v>A</v>
      </c>
      <c r="F626" s="325" t="s">
        <v>1741</v>
      </c>
      <c r="G626" s="325" t="str">
        <f>IF(Excellent!O27="e","Y","")</f>
        <v/>
      </c>
      <c r="H626" s="325" t="str">
        <f>IFERROR(VLOOKUP($D626,'SDDA Dogs'!$A:$AE,2,FALSE),"")</f>
        <v/>
      </c>
      <c r="I626" s="325" t="str">
        <f>IFERROR(VLOOKUP($D626,'SDDA Dogs'!$A:$AE,3,FALSE),"")</f>
        <v/>
      </c>
      <c r="J626" s="325" t="str">
        <f>IFERROR(VLOOKUP($D626,'SDDA Dogs'!$A:$AE,6,FALSE),"")</f>
        <v/>
      </c>
      <c r="K626" s="325" t="str">
        <f>IF(Excellent!AS27="","",Excellent!AS27)</f>
        <v/>
      </c>
      <c r="L626" s="325" t="str">
        <f>IF(Excellent!AT27="","",Excellent!AT27)</f>
        <v/>
      </c>
      <c r="M626" s="326" t="str">
        <f>TrialDate</f>
        <v/>
      </c>
      <c r="N626" s="325" t="str">
        <f t="shared" ref="N626" si="706">N625</f>
        <v/>
      </c>
      <c r="O626" s="325">
        <f>JudgeD1ISE</f>
        <v>0</v>
      </c>
    </row>
    <row r="627" spans="1:15" x14ac:dyDescent="0.25">
      <c r="A627" s="2">
        <v>2</v>
      </c>
      <c r="B627" s="2">
        <f t="shared" ref="B627:O627" si="707">B626</f>
        <v>0</v>
      </c>
      <c r="C627" s="2" t="str">
        <f t="shared" si="707"/>
        <v>ISE</v>
      </c>
      <c r="D627" s="2">
        <f t="shared" si="707"/>
        <v>0</v>
      </c>
      <c r="E627" s="2" t="str">
        <f t="shared" si="707"/>
        <v>A</v>
      </c>
      <c r="F627" s="2" t="str">
        <f t="shared" si="707"/>
        <v>Interior Excellent</v>
      </c>
      <c r="G627" s="2" t="str">
        <f t="shared" si="707"/>
        <v/>
      </c>
      <c r="H627" s="2" t="str">
        <f t="shared" si="707"/>
        <v/>
      </c>
      <c r="I627" s="2" t="str">
        <f t="shared" si="707"/>
        <v/>
      </c>
      <c r="J627" s="2" t="str">
        <f t="shared" si="707"/>
        <v/>
      </c>
      <c r="K627" s="2" t="str">
        <f t="shared" si="707"/>
        <v/>
      </c>
      <c r="L627" s="2" t="str">
        <f t="shared" si="707"/>
        <v/>
      </c>
      <c r="M627" s="180" t="str">
        <f t="shared" si="707"/>
        <v/>
      </c>
      <c r="N627" s="2" t="str">
        <f t="shared" si="707"/>
        <v/>
      </c>
      <c r="O627" s="2">
        <f t="shared" si="707"/>
        <v>0</v>
      </c>
    </row>
    <row r="628" spans="1:15" x14ac:dyDescent="0.25">
      <c r="A628" s="325">
        <v>1</v>
      </c>
      <c r="B628" s="325">
        <f>TrialNumber</f>
        <v>0</v>
      </c>
      <c r="C628" s="325" t="s">
        <v>22</v>
      </c>
      <c r="D628" s="325">
        <f>Excellent!C28</f>
        <v>0</v>
      </c>
      <c r="E628" s="325" t="str">
        <f>IF(Excellent!B28="W","W","A")</f>
        <v>A</v>
      </c>
      <c r="F628" s="325" t="s">
        <v>1741</v>
      </c>
      <c r="G628" s="325" t="str">
        <f>IF(Excellent!O28="e","Y","")</f>
        <v/>
      </c>
      <c r="H628" s="325" t="str">
        <f>IFERROR(VLOOKUP($D628,'SDDA Dogs'!$A:$AE,2,FALSE),"")</f>
        <v/>
      </c>
      <c r="I628" s="325" t="str">
        <f>IFERROR(VLOOKUP($D628,'SDDA Dogs'!$A:$AE,3,FALSE),"")</f>
        <v/>
      </c>
      <c r="J628" s="325" t="str">
        <f>IFERROR(VLOOKUP($D628,'SDDA Dogs'!$A:$AE,6,FALSE),"")</f>
        <v/>
      </c>
      <c r="K628" s="325" t="str">
        <f>IF(Excellent!AS28="","",Excellent!AS28)</f>
        <v/>
      </c>
      <c r="L628" s="325" t="str">
        <f>IF(Excellent!AT28="","",Excellent!AT28)</f>
        <v/>
      </c>
      <c r="M628" s="326" t="str">
        <f>TrialDate</f>
        <v/>
      </c>
      <c r="N628" s="325" t="str">
        <f t="shared" ref="N628" si="708">N627</f>
        <v/>
      </c>
      <c r="O628" s="325">
        <f>JudgeD1ISE</f>
        <v>0</v>
      </c>
    </row>
    <row r="629" spans="1:15" x14ac:dyDescent="0.25">
      <c r="A629" s="2">
        <v>2</v>
      </c>
      <c r="B629" s="2">
        <f t="shared" ref="B629:O629" si="709">B628</f>
        <v>0</v>
      </c>
      <c r="C629" s="2" t="str">
        <f t="shared" si="709"/>
        <v>ISE</v>
      </c>
      <c r="D629" s="2">
        <f t="shared" si="709"/>
        <v>0</v>
      </c>
      <c r="E629" s="2" t="str">
        <f t="shared" si="709"/>
        <v>A</v>
      </c>
      <c r="F629" s="2" t="str">
        <f t="shared" si="709"/>
        <v>Interior Excellent</v>
      </c>
      <c r="G629" s="2" t="str">
        <f t="shared" si="709"/>
        <v/>
      </c>
      <c r="H629" s="2" t="str">
        <f t="shared" si="709"/>
        <v/>
      </c>
      <c r="I629" s="2" t="str">
        <f t="shared" si="709"/>
        <v/>
      </c>
      <c r="J629" s="2" t="str">
        <f t="shared" si="709"/>
        <v/>
      </c>
      <c r="K629" s="2" t="str">
        <f t="shared" si="709"/>
        <v/>
      </c>
      <c r="L629" s="2" t="str">
        <f t="shared" si="709"/>
        <v/>
      </c>
      <c r="M629" s="180" t="str">
        <f t="shared" si="709"/>
        <v/>
      </c>
      <c r="N629" s="2" t="str">
        <f t="shared" si="709"/>
        <v/>
      </c>
      <c r="O629" s="2">
        <f t="shared" si="709"/>
        <v>0</v>
      </c>
    </row>
    <row r="630" spans="1:15" x14ac:dyDescent="0.25">
      <c r="A630" s="325">
        <v>1</v>
      </c>
      <c r="B630" s="325">
        <f>TrialNumber</f>
        <v>0</v>
      </c>
      <c r="C630" s="325" t="s">
        <v>22</v>
      </c>
      <c r="D630" s="325">
        <f>Excellent!C29</f>
        <v>0</v>
      </c>
      <c r="E630" s="325" t="str">
        <f>IF(Excellent!B29="W","W","A")</f>
        <v>A</v>
      </c>
      <c r="F630" s="325" t="s">
        <v>1741</v>
      </c>
      <c r="G630" s="325" t="str">
        <f>IF(Excellent!O29="e","Y","")</f>
        <v/>
      </c>
      <c r="H630" s="325" t="str">
        <f>IFERROR(VLOOKUP($D630,'SDDA Dogs'!$A:$AE,2,FALSE),"")</f>
        <v/>
      </c>
      <c r="I630" s="325" t="str">
        <f>IFERROR(VLOOKUP($D630,'SDDA Dogs'!$A:$AE,3,FALSE),"")</f>
        <v/>
      </c>
      <c r="J630" s="325" t="str">
        <f>IFERROR(VLOOKUP($D630,'SDDA Dogs'!$A:$AE,6,FALSE),"")</f>
        <v/>
      </c>
      <c r="K630" s="325" t="str">
        <f>IF(Excellent!AS29="","",Excellent!AS29)</f>
        <v/>
      </c>
      <c r="L630" s="325" t="str">
        <f>IF(Excellent!AT29="","",Excellent!AT29)</f>
        <v/>
      </c>
      <c r="M630" s="326" t="str">
        <f>TrialDate</f>
        <v/>
      </c>
      <c r="N630" s="325" t="str">
        <f t="shared" ref="N630" si="710">N629</f>
        <v/>
      </c>
      <c r="O630" s="325">
        <f>JudgeD1ISE</f>
        <v>0</v>
      </c>
    </row>
    <row r="631" spans="1:15" x14ac:dyDescent="0.25">
      <c r="A631" s="2">
        <v>2</v>
      </c>
      <c r="B631" s="2">
        <f t="shared" ref="B631:O631" si="711">B630</f>
        <v>0</v>
      </c>
      <c r="C631" s="2" t="str">
        <f t="shared" si="711"/>
        <v>ISE</v>
      </c>
      <c r="D631" s="2">
        <f t="shared" si="711"/>
        <v>0</v>
      </c>
      <c r="E631" s="2" t="str">
        <f t="shared" si="711"/>
        <v>A</v>
      </c>
      <c r="F631" s="2" t="str">
        <f t="shared" si="711"/>
        <v>Interior Excellent</v>
      </c>
      <c r="G631" s="2" t="str">
        <f t="shared" si="711"/>
        <v/>
      </c>
      <c r="H631" s="2" t="str">
        <f t="shared" si="711"/>
        <v/>
      </c>
      <c r="I631" s="2" t="str">
        <f t="shared" si="711"/>
        <v/>
      </c>
      <c r="J631" s="2" t="str">
        <f t="shared" si="711"/>
        <v/>
      </c>
      <c r="K631" s="2" t="str">
        <f t="shared" si="711"/>
        <v/>
      </c>
      <c r="L631" s="2" t="str">
        <f t="shared" si="711"/>
        <v/>
      </c>
      <c r="M631" s="180" t="str">
        <f t="shared" si="711"/>
        <v/>
      </c>
      <c r="N631" s="2" t="str">
        <f t="shared" si="711"/>
        <v/>
      </c>
      <c r="O631" s="2">
        <f t="shared" si="711"/>
        <v>0</v>
      </c>
    </row>
    <row r="632" spans="1:15" x14ac:dyDescent="0.25">
      <c r="A632" s="325">
        <v>1</v>
      </c>
      <c r="B632" s="325">
        <f>TrialNumber</f>
        <v>0</v>
      </c>
      <c r="C632" s="325" t="s">
        <v>22</v>
      </c>
      <c r="D632" s="325">
        <f>Excellent!C30</f>
        <v>0</v>
      </c>
      <c r="E632" s="325" t="str">
        <f>IF(Excellent!B30="W","W","A")</f>
        <v>A</v>
      </c>
      <c r="F632" s="325" t="s">
        <v>1741</v>
      </c>
      <c r="G632" s="325" t="str">
        <f>IF(Excellent!O30="e","Y","")</f>
        <v/>
      </c>
      <c r="H632" s="325" t="str">
        <f>IFERROR(VLOOKUP($D632,'SDDA Dogs'!$A:$AE,2,FALSE),"")</f>
        <v/>
      </c>
      <c r="I632" s="325" t="str">
        <f>IFERROR(VLOOKUP($D632,'SDDA Dogs'!$A:$AE,3,FALSE),"")</f>
        <v/>
      </c>
      <c r="J632" s="325" t="str">
        <f>IFERROR(VLOOKUP($D632,'SDDA Dogs'!$A:$AE,6,FALSE),"")</f>
        <v/>
      </c>
      <c r="K632" s="325" t="str">
        <f>IF(Excellent!AS30="","",Excellent!AS30)</f>
        <v/>
      </c>
      <c r="L632" s="325" t="str">
        <f>IF(Excellent!AT30="","",Excellent!AT30)</f>
        <v/>
      </c>
      <c r="M632" s="326" t="str">
        <f>TrialDate</f>
        <v/>
      </c>
      <c r="N632" s="325" t="str">
        <f t="shared" ref="N632" si="712">N631</f>
        <v/>
      </c>
      <c r="O632" s="325">
        <f>JudgeD1ISE</f>
        <v>0</v>
      </c>
    </row>
    <row r="633" spans="1:15" x14ac:dyDescent="0.25">
      <c r="A633" s="2">
        <v>2</v>
      </c>
      <c r="B633" s="2">
        <f t="shared" ref="B633:O633" si="713">B632</f>
        <v>0</v>
      </c>
      <c r="C633" s="2" t="str">
        <f t="shared" si="713"/>
        <v>ISE</v>
      </c>
      <c r="D633" s="2">
        <f t="shared" si="713"/>
        <v>0</v>
      </c>
      <c r="E633" s="2" t="str">
        <f t="shared" si="713"/>
        <v>A</v>
      </c>
      <c r="F633" s="2" t="str">
        <f t="shared" si="713"/>
        <v>Interior Excellent</v>
      </c>
      <c r="G633" s="2" t="str">
        <f t="shared" si="713"/>
        <v/>
      </c>
      <c r="H633" s="2" t="str">
        <f t="shared" si="713"/>
        <v/>
      </c>
      <c r="I633" s="2" t="str">
        <f t="shared" si="713"/>
        <v/>
      </c>
      <c r="J633" s="2" t="str">
        <f t="shared" si="713"/>
        <v/>
      </c>
      <c r="K633" s="2" t="str">
        <f t="shared" si="713"/>
        <v/>
      </c>
      <c r="L633" s="2" t="str">
        <f t="shared" si="713"/>
        <v/>
      </c>
      <c r="M633" s="180" t="str">
        <f t="shared" si="713"/>
        <v/>
      </c>
      <c r="N633" s="2" t="str">
        <f t="shared" si="713"/>
        <v/>
      </c>
      <c r="O633" s="2">
        <f t="shared" si="713"/>
        <v>0</v>
      </c>
    </row>
    <row r="634" spans="1:15" x14ac:dyDescent="0.25">
      <c r="A634" s="325">
        <v>1</v>
      </c>
      <c r="B634" s="325">
        <f>TrialNumber</f>
        <v>0</v>
      </c>
      <c r="C634" s="325" t="s">
        <v>22</v>
      </c>
      <c r="D634" s="325">
        <f>Excellent!C31</f>
        <v>0</v>
      </c>
      <c r="E634" s="325" t="str">
        <f>IF(Excellent!B31="W","W","A")</f>
        <v>A</v>
      </c>
      <c r="F634" s="325" t="s">
        <v>1741</v>
      </c>
      <c r="G634" s="325" t="str">
        <f>IF(Excellent!O31="e","Y","")</f>
        <v/>
      </c>
      <c r="H634" s="325" t="str">
        <f>IFERROR(VLOOKUP($D634,'SDDA Dogs'!$A:$AE,2,FALSE),"")</f>
        <v/>
      </c>
      <c r="I634" s="325" t="str">
        <f>IFERROR(VLOOKUP($D634,'SDDA Dogs'!$A:$AE,3,FALSE),"")</f>
        <v/>
      </c>
      <c r="J634" s="325" t="str">
        <f>IFERROR(VLOOKUP($D634,'SDDA Dogs'!$A:$AE,6,FALSE),"")</f>
        <v/>
      </c>
      <c r="K634" s="325" t="str">
        <f>IF(Excellent!AS31="","",Excellent!AS31)</f>
        <v/>
      </c>
      <c r="L634" s="325" t="str">
        <f>IF(Excellent!AT31="","",Excellent!AT31)</f>
        <v/>
      </c>
      <c r="M634" s="326" t="str">
        <f>TrialDate</f>
        <v/>
      </c>
      <c r="N634" s="325" t="str">
        <f t="shared" ref="N634" si="714">N633</f>
        <v/>
      </c>
      <c r="O634" s="325">
        <f>JudgeD1ISE</f>
        <v>0</v>
      </c>
    </row>
    <row r="635" spans="1:15" x14ac:dyDescent="0.25">
      <c r="A635" s="2">
        <v>2</v>
      </c>
      <c r="B635" s="2">
        <f t="shared" ref="B635:O635" si="715">B634</f>
        <v>0</v>
      </c>
      <c r="C635" s="2" t="str">
        <f t="shared" si="715"/>
        <v>ISE</v>
      </c>
      <c r="D635" s="2">
        <f t="shared" si="715"/>
        <v>0</v>
      </c>
      <c r="E635" s="2" t="str">
        <f t="shared" si="715"/>
        <v>A</v>
      </c>
      <c r="F635" s="2" t="str">
        <f t="shared" si="715"/>
        <v>Interior Excellent</v>
      </c>
      <c r="G635" s="2" t="str">
        <f t="shared" si="715"/>
        <v/>
      </c>
      <c r="H635" s="2" t="str">
        <f t="shared" si="715"/>
        <v/>
      </c>
      <c r="I635" s="2" t="str">
        <f t="shared" si="715"/>
        <v/>
      </c>
      <c r="J635" s="2" t="str">
        <f t="shared" si="715"/>
        <v/>
      </c>
      <c r="K635" s="2" t="str">
        <f t="shared" si="715"/>
        <v/>
      </c>
      <c r="L635" s="2" t="str">
        <f t="shared" si="715"/>
        <v/>
      </c>
      <c r="M635" s="180" t="str">
        <f t="shared" si="715"/>
        <v/>
      </c>
      <c r="N635" s="2" t="str">
        <f t="shared" si="715"/>
        <v/>
      </c>
      <c r="O635" s="2">
        <f t="shared" si="715"/>
        <v>0</v>
      </c>
    </row>
    <row r="636" spans="1:15" x14ac:dyDescent="0.25">
      <c r="A636" s="325">
        <v>1</v>
      </c>
      <c r="B636" s="325">
        <f>TrialNumber</f>
        <v>0</v>
      </c>
      <c r="C636" s="325" t="s">
        <v>22</v>
      </c>
      <c r="D636" s="325">
        <f>Excellent!C32</f>
        <v>0</v>
      </c>
      <c r="E636" s="325" t="str">
        <f>IF(Excellent!B32="W","W","A")</f>
        <v>A</v>
      </c>
      <c r="F636" s="325" t="s">
        <v>1741</v>
      </c>
      <c r="G636" s="325" t="str">
        <f>IF(Excellent!O32="e","Y","")</f>
        <v/>
      </c>
      <c r="H636" s="325" t="str">
        <f>IFERROR(VLOOKUP($D636,'SDDA Dogs'!$A:$AE,2,FALSE),"")</f>
        <v/>
      </c>
      <c r="I636" s="325" t="str">
        <f>IFERROR(VLOOKUP($D636,'SDDA Dogs'!$A:$AE,3,FALSE),"")</f>
        <v/>
      </c>
      <c r="J636" s="325" t="str">
        <f>IFERROR(VLOOKUP($D636,'SDDA Dogs'!$A:$AE,6,FALSE),"")</f>
        <v/>
      </c>
      <c r="K636" s="325" t="str">
        <f>IF(Excellent!AS32="","",Excellent!AS32)</f>
        <v/>
      </c>
      <c r="L636" s="325" t="str">
        <f>IF(Excellent!AT32="","",Excellent!AT32)</f>
        <v/>
      </c>
      <c r="M636" s="326" t="str">
        <f>TrialDate</f>
        <v/>
      </c>
      <c r="N636" s="325" t="str">
        <f t="shared" ref="N636" si="716">N635</f>
        <v/>
      </c>
      <c r="O636" s="325">
        <f>JudgeD1ISE</f>
        <v>0</v>
      </c>
    </row>
    <row r="637" spans="1:15" x14ac:dyDescent="0.25">
      <c r="A637" s="2">
        <v>2</v>
      </c>
      <c r="B637" s="2">
        <f t="shared" ref="B637:O637" si="717">B636</f>
        <v>0</v>
      </c>
      <c r="C637" s="2" t="str">
        <f t="shared" si="717"/>
        <v>ISE</v>
      </c>
      <c r="D637" s="2">
        <f t="shared" si="717"/>
        <v>0</v>
      </c>
      <c r="E637" s="2" t="str">
        <f t="shared" si="717"/>
        <v>A</v>
      </c>
      <c r="F637" s="2" t="str">
        <f t="shared" si="717"/>
        <v>Interior Excellent</v>
      </c>
      <c r="G637" s="2" t="str">
        <f t="shared" si="717"/>
        <v/>
      </c>
      <c r="H637" s="2" t="str">
        <f t="shared" si="717"/>
        <v/>
      </c>
      <c r="I637" s="2" t="str">
        <f t="shared" si="717"/>
        <v/>
      </c>
      <c r="J637" s="2" t="str">
        <f t="shared" si="717"/>
        <v/>
      </c>
      <c r="K637" s="2" t="str">
        <f t="shared" si="717"/>
        <v/>
      </c>
      <c r="L637" s="2" t="str">
        <f t="shared" si="717"/>
        <v/>
      </c>
      <c r="M637" s="180" t="str">
        <f t="shared" si="717"/>
        <v/>
      </c>
      <c r="N637" s="2" t="str">
        <f t="shared" si="717"/>
        <v/>
      </c>
      <c r="O637" s="2">
        <f t="shared" si="717"/>
        <v>0</v>
      </c>
    </row>
    <row r="638" spans="1:15" x14ac:dyDescent="0.25">
      <c r="A638" s="325">
        <v>1</v>
      </c>
      <c r="B638" s="325">
        <f>TrialNumber</f>
        <v>0</v>
      </c>
      <c r="C638" s="325" t="s">
        <v>22</v>
      </c>
      <c r="D638" s="325">
        <f>Excellent!C33</f>
        <v>0</v>
      </c>
      <c r="E638" s="325" t="str">
        <f>IF(Excellent!B33="W","W","A")</f>
        <v>A</v>
      </c>
      <c r="F638" s="325" t="s">
        <v>1741</v>
      </c>
      <c r="G638" s="325" t="str">
        <f>IF(Excellent!O33="e","Y","")</f>
        <v/>
      </c>
      <c r="H638" s="325" t="str">
        <f>IFERROR(VLOOKUP($D638,'SDDA Dogs'!$A:$AE,2,FALSE),"")</f>
        <v/>
      </c>
      <c r="I638" s="325" t="str">
        <f>IFERROR(VLOOKUP($D638,'SDDA Dogs'!$A:$AE,3,FALSE),"")</f>
        <v/>
      </c>
      <c r="J638" s="325" t="str">
        <f>IFERROR(VLOOKUP($D638,'SDDA Dogs'!$A:$AE,6,FALSE),"")</f>
        <v/>
      </c>
      <c r="K638" s="325" t="str">
        <f>IF(Excellent!AS33="","",Excellent!AS33)</f>
        <v/>
      </c>
      <c r="L638" s="325" t="str">
        <f>IF(Excellent!AT33="","",Excellent!AT33)</f>
        <v/>
      </c>
      <c r="M638" s="326" t="str">
        <f>TrialDate</f>
        <v/>
      </c>
      <c r="N638" s="325" t="str">
        <f t="shared" ref="N638" si="718">N637</f>
        <v/>
      </c>
      <c r="O638" s="325">
        <f>JudgeD1ISE</f>
        <v>0</v>
      </c>
    </row>
    <row r="639" spans="1:15" x14ac:dyDescent="0.25">
      <c r="A639" s="2">
        <v>2</v>
      </c>
      <c r="B639" s="2">
        <f t="shared" ref="B639:O639" si="719">B638</f>
        <v>0</v>
      </c>
      <c r="C639" s="2" t="str">
        <f t="shared" si="719"/>
        <v>ISE</v>
      </c>
      <c r="D639" s="2">
        <f t="shared" si="719"/>
        <v>0</v>
      </c>
      <c r="E639" s="2" t="str">
        <f t="shared" si="719"/>
        <v>A</v>
      </c>
      <c r="F639" s="2" t="str">
        <f t="shared" si="719"/>
        <v>Interior Excellent</v>
      </c>
      <c r="G639" s="2" t="str">
        <f t="shared" si="719"/>
        <v/>
      </c>
      <c r="H639" s="2" t="str">
        <f t="shared" si="719"/>
        <v/>
      </c>
      <c r="I639" s="2" t="str">
        <f t="shared" si="719"/>
        <v/>
      </c>
      <c r="J639" s="2" t="str">
        <f t="shared" si="719"/>
        <v/>
      </c>
      <c r="K639" s="2" t="str">
        <f t="shared" si="719"/>
        <v/>
      </c>
      <c r="L639" s="2" t="str">
        <f t="shared" si="719"/>
        <v/>
      </c>
      <c r="M639" s="180" t="str">
        <f t="shared" si="719"/>
        <v/>
      </c>
      <c r="N639" s="2" t="str">
        <f t="shared" si="719"/>
        <v/>
      </c>
      <c r="O639" s="2">
        <f t="shared" si="719"/>
        <v>0</v>
      </c>
    </row>
    <row r="640" spans="1:15" x14ac:dyDescent="0.25">
      <c r="A640" s="325">
        <v>1</v>
      </c>
      <c r="B640" s="325">
        <f>TrialNumber</f>
        <v>0</v>
      </c>
      <c r="C640" s="325" t="s">
        <v>22</v>
      </c>
      <c r="D640" s="325">
        <f>Excellent!C34</f>
        <v>0</v>
      </c>
      <c r="E640" s="325" t="str">
        <f>IF(Excellent!B34="W","W","A")</f>
        <v>A</v>
      </c>
      <c r="F640" s="325" t="s">
        <v>1741</v>
      </c>
      <c r="G640" s="325" t="str">
        <f>IF(Excellent!O34="e","Y","")</f>
        <v/>
      </c>
      <c r="H640" s="325" t="str">
        <f>IFERROR(VLOOKUP($D640,'SDDA Dogs'!$A:$AE,2,FALSE),"")</f>
        <v/>
      </c>
      <c r="I640" s="325" t="str">
        <f>IFERROR(VLOOKUP($D640,'SDDA Dogs'!$A:$AE,3,FALSE),"")</f>
        <v/>
      </c>
      <c r="J640" s="325" t="str">
        <f>IFERROR(VLOOKUP($D640,'SDDA Dogs'!$A:$AE,6,FALSE),"")</f>
        <v/>
      </c>
      <c r="K640" s="325" t="str">
        <f>IF(Excellent!AS34="","",Excellent!AS34)</f>
        <v/>
      </c>
      <c r="L640" s="325" t="str">
        <f>IF(Excellent!AT34="","",Excellent!AT34)</f>
        <v/>
      </c>
      <c r="M640" s="326" t="str">
        <f>TrialDate</f>
        <v/>
      </c>
      <c r="N640" s="325" t="str">
        <f t="shared" ref="N640" si="720">N639</f>
        <v/>
      </c>
      <c r="O640" s="325">
        <f>JudgeD1ISE</f>
        <v>0</v>
      </c>
    </row>
    <row r="641" spans="1:15" x14ac:dyDescent="0.25">
      <c r="A641" s="2">
        <v>2</v>
      </c>
      <c r="B641" s="2">
        <f t="shared" ref="B641:O641" si="721">B640</f>
        <v>0</v>
      </c>
      <c r="C641" s="2" t="str">
        <f t="shared" si="721"/>
        <v>ISE</v>
      </c>
      <c r="D641" s="2">
        <f t="shared" si="721"/>
        <v>0</v>
      </c>
      <c r="E641" s="2" t="str">
        <f t="shared" si="721"/>
        <v>A</v>
      </c>
      <c r="F641" s="2" t="str">
        <f t="shared" si="721"/>
        <v>Interior Excellent</v>
      </c>
      <c r="G641" s="2" t="str">
        <f t="shared" si="721"/>
        <v/>
      </c>
      <c r="H641" s="2" t="str">
        <f t="shared" si="721"/>
        <v/>
      </c>
      <c r="I641" s="2" t="str">
        <f t="shared" si="721"/>
        <v/>
      </c>
      <c r="J641" s="2" t="str">
        <f t="shared" si="721"/>
        <v/>
      </c>
      <c r="K641" s="2" t="str">
        <f t="shared" si="721"/>
        <v/>
      </c>
      <c r="L641" s="2" t="str">
        <f t="shared" si="721"/>
        <v/>
      </c>
      <c r="M641" s="180" t="str">
        <f t="shared" si="721"/>
        <v/>
      </c>
      <c r="N641" s="2" t="str">
        <f t="shared" si="721"/>
        <v/>
      </c>
      <c r="O641" s="2">
        <f t="shared" si="721"/>
        <v>0</v>
      </c>
    </row>
    <row r="642" spans="1:15" x14ac:dyDescent="0.25">
      <c r="A642" s="325">
        <v>1</v>
      </c>
      <c r="B642" s="325">
        <f>TrialNumber</f>
        <v>0</v>
      </c>
      <c r="C642" s="325" t="s">
        <v>22</v>
      </c>
      <c r="D642" s="325">
        <f>Excellent!C35</f>
        <v>0</v>
      </c>
      <c r="E642" s="325" t="str">
        <f>IF(Excellent!B35="W","W","A")</f>
        <v>A</v>
      </c>
      <c r="F642" s="325" t="s">
        <v>1741</v>
      </c>
      <c r="G642" s="325" t="str">
        <f>IF(Excellent!O35="e","Y","")</f>
        <v/>
      </c>
      <c r="H642" s="325" t="str">
        <f>IFERROR(VLOOKUP($D642,'SDDA Dogs'!$A:$AE,2,FALSE),"")</f>
        <v/>
      </c>
      <c r="I642" s="325" t="str">
        <f>IFERROR(VLOOKUP($D642,'SDDA Dogs'!$A:$AE,3,FALSE),"")</f>
        <v/>
      </c>
      <c r="J642" s="325" t="str">
        <f>IFERROR(VLOOKUP($D642,'SDDA Dogs'!$A:$AE,6,FALSE),"")</f>
        <v/>
      </c>
      <c r="K642" s="325" t="str">
        <f>IF(Excellent!AS35="","",Excellent!AS35)</f>
        <v/>
      </c>
      <c r="L642" s="325" t="str">
        <f>IF(Excellent!AT35="","",Excellent!AT35)</f>
        <v/>
      </c>
      <c r="M642" s="326" t="str">
        <f>TrialDate</f>
        <v/>
      </c>
      <c r="N642" s="325" t="str">
        <f t="shared" ref="N642" si="722">N641</f>
        <v/>
      </c>
      <c r="O642" s="325">
        <f>JudgeD1ISE</f>
        <v>0</v>
      </c>
    </row>
    <row r="643" spans="1:15" x14ac:dyDescent="0.25">
      <c r="A643" s="2">
        <v>2</v>
      </c>
      <c r="B643" s="2">
        <f t="shared" ref="B643:O643" si="723">B642</f>
        <v>0</v>
      </c>
      <c r="C643" s="2" t="str">
        <f t="shared" si="723"/>
        <v>ISE</v>
      </c>
      <c r="D643" s="2">
        <f t="shared" si="723"/>
        <v>0</v>
      </c>
      <c r="E643" s="2" t="str">
        <f t="shared" si="723"/>
        <v>A</v>
      </c>
      <c r="F643" s="2" t="str">
        <f t="shared" si="723"/>
        <v>Interior Excellent</v>
      </c>
      <c r="G643" s="2" t="str">
        <f t="shared" si="723"/>
        <v/>
      </c>
      <c r="H643" s="2" t="str">
        <f t="shared" si="723"/>
        <v/>
      </c>
      <c r="I643" s="2" t="str">
        <f t="shared" si="723"/>
        <v/>
      </c>
      <c r="J643" s="2" t="str">
        <f t="shared" si="723"/>
        <v/>
      </c>
      <c r="K643" s="2" t="str">
        <f t="shared" si="723"/>
        <v/>
      </c>
      <c r="L643" s="2" t="str">
        <f t="shared" si="723"/>
        <v/>
      </c>
      <c r="M643" s="180" t="str">
        <f t="shared" si="723"/>
        <v/>
      </c>
      <c r="N643" s="2" t="str">
        <f t="shared" si="723"/>
        <v/>
      </c>
      <c r="O643" s="2">
        <f t="shared" si="723"/>
        <v>0</v>
      </c>
    </row>
    <row r="644" spans="1:15" x14ac:dyDescent="0.25">
      <c r="A644" s="325">
        <v>1</v>
      </c>
      <c r="B644" s="325">
        <f>TrialNumber</f>
        <v>0</v>
      </c>
      <c r="C644" s="325" t="s">
        <v>22</v>
      </c>
      <c r="D644" s="325">
        <f>Excellent!C36</f>
        <v>0</v>
      </c>
      <c r="E644" s="325" t="str">
        <f>IF(Excellent!B36="W","W","A")</f>
        <v>A</v>
      </c>
      <c r="F644" s="325" t="s">
        <v>1741</v>
      </c>
      <c r="G644" s="325" t="str">
        <f>IF(Excellent!O36="e","Y","")</f>
        <v/>
      </c>
      <c r="H644" s="325" t="str">
        <f>IFERROR(VLOOKUP($D644,'SDDA Dogs'!$A:$AE,2,FALSE),"")</f>
        <v/>
      </c>
      <c r="I644" s="325" t="str">
        <f>IFERROR(VLOOKUP($D644,'SDDA Dogs'!$A:$AE,3,FALSE),"")</f>
        <v/>
      </c>
      <c r="J644" s="325" t="str">
        <f>IFERROR(VLOOKUP($D644,'SDDA Dogs'!$A:$AE,6,FALSE),"")</f>
        <v/>
      </c>
      <c r="K644" s="325" t="str">
        <f>IF(Excellent!AS36="","",Excellent!AS36)</f>
        <v/>
      </c>
      <c r="L644" s="325" t="str">
        <f>IF(Excellent!AT36="","",Excellent!AT36)</f>
        <v/>
      </c>
      <c r="M644" s="326" t="str">
        <f>TrialDate</f>
        <v/>
      </c>
      <c r="N644" s="325" t="str">
        <f t="shared" ref="N644" si="724">N643</f>
        <v/>
      </c>
      <c r="O644" s="325">
        <f>JudgeD1ISE</f>
        <v>0</v>
      </c>
    </row>
    <row r="645" spans="1:15" x14ac:dyDescent="0.25">
      <c r="A645" s="2">
        <v>2</v>
      </c>
      <c r="B645" s="2">
        <f t="shared" ref="B645:O645" si="725">B644</f>
        <v>0</v>
      </c>
      <c r="C645" s="2" t="str">
        <f t="shared" si="725"/>
        <v>ISE</v>
      </c>
      <c r="D645" s="2">
        <f t="shared" si="725"/>
        <v>0</v>
      </c>
      <c r="E645" s="2" t="str">
        <f t="shared" si="725"/>
        <v>A</v>
      </c>
      <c r="F645" s="2" t="str">
        <f t="shared" si="725"/>
        <v>Interior Excellent</v>
      </c>
      <c r="G645" s="2" t="str">
        <f t="shared" si="725"/>
        <v/>
      </c>
      <c r="H645" s="2" t="str">
        <f t="shared" si="725"/>
        <v/>
      </c>
      <c r="I645" s="2" t="str">
        <f t="shared" si="725"/>
        <v/>
      </c>
      <c r="J645" s="2" t="str">
        <f t="shared" si="725"/>
        <v/>
      </c>
      <c r="K645" s="2" t="str">
        <f t="shared" si="725"/>
        <v/>
      </c>
      <c r="L645" s="2" t="str">
        <f t="shared" si="725"/>
        <v/>
      </c>
      <c r="M645" s="180" t="str">
        <f t="shared" si="725"/>
        <v/>
      </c>
      <c r="N645" s="2" t="str">
        <f t="shared" si="725"/>
        <v/>
      </c>
      <c r="O645" s="2">
        <f t="shared" si="725"/>
        <v>0</v>
      </c>
    </row>
    <row r="646" spans="1:15" x14ac:dyDescent="0.25">
      <c r="A646" s="325">
        <v>1</v>
      </c>
      <c r="B646" s="325">
        <f>TrialNumber</f>
        <v>0</v>
      </c>
      <c r="C646" s="325" t="s">
        <v>22</v>
      </c>
      <c r="D646" s="325">
        <f>Excellent!C37</f>
        <v>0</v>
      </c>
      <c r="E646" s="325" t="str">
        <f>IF(Excellent!B37="W","W","A")</f>
        <v>A</v>
      </c>
      <c r="F646" s="325" t="s">
        <v>1741</v>
      </c>
      <c r="G646" s="325" t="str">
        <f>IF(Excellent!O37="e","Y","")</f>
        <v/>
      </c>
      <c r="H646" s="325" t="str">
        <f>IFERROR(VLOOKUP($D646,'SDDA Dogs'!$A:$AE,2,FALSE),"")</f>
        <v/>
      </c>
      <c r="I646" s="325" t="str">
        <f>IFERROR(VLOOKUP($D646,'SDDA Dogs'!$A:$AE,3,FALSE),"")</f>
        <v/>
      </c>
      <c r="J646" s="325" t="str">
        <f>IFERROR(VLOOKUP($D646,'SDDA Dogs'!$A:$AE,6,FALSE),"")</f>
        <v/>
      </c>
      <c r="K646" s="325" t="str">
        <f>IF(Excellent!AS37="","",Excellent!AS37)</f>
        <v/>
      </c>
      <c r="L646" s="325" t="str">
        <f>IF(Excellent!AT37="","",Excellent!AT37)</f>
        <v/>
      </c>
      <c r="M646" s="326" t="str">
        <f>TrialDate</f>
        <v/>
      </c>
      <c r="N646" s="325" t="str">
        <f t="shared" ref="N646" si="726">N645</f>
        <v/>
      </c>
      <c r="O646" s="325">
        <f>JudgeD1ISE</f>
        <v>0</v>
      </c>
    </row>
    <row r="647" spans="1:15" x14ac:dyDescent="0.25">
      <c r="A647" s="2">
        <v>2</v>
      </c>
      <c r="B647" s="2">
        <f t="shared" ref="B647:O647" si="727">B646</f>
        <v>0</v>
      </c>
      <c r="C647" s="2" t="str">
        <f t="shared" si="727"/>
        <v>ISE</v>
      </c>
      <c r="D647" s="2">
        <f t="shared" si="727"/>
        <v>0</v>
      </c>
      <c r="E647" s="2" t="str">
        <f t="shared" si="727"/>
        <v>A</v>
      </c>
      <c r="F647" s="2" t="str">
        <f t="shared" si="727"/>
        <v>Interior Excellent</v>
      </c>
      <c r="G647" s="2" t="str">
        <f t="shared" si="727"/>
        <v/>
      </c>
      <c r="H647" s="2" t="str">
        <f t="shared" si="727"/>
        <v/>
      </c>
      <c r="I647" s="2" t="str">
        <f t="shared" si="727"/>
        <v/>
      </c>
      <c r="J647" s="2" t="str">
        <f t="shared" si="727"/>
        <v/>
      </c>
      <c r="K647" s="2" t="str">
        <f t="shared" si="727"/>
        <v/>
      </c>
      <c r="L647" s="2" t="str">
        <f t="shared" si="727"/>
        <v/>
      </c>
      <c r="M647" s="180" t="str">
        <f t="shared" si="727"/>
        <v/>
      </c>
      <c r="N647" s="2" t="str">
        <f t="shared" si="727"/>
        <v/>
      </c>
      <c r="O647" s="2">
        <f t="shared" si="727"/>
        <v>0</v>
      </c>
    </row>
    <row r="648" spans="1:15" x14ac:dyDescent="0.25">
      <c r="A648" s="325">
        <v>1</v>
      </c>
      <c r="B648" s="325">
        <f>TrialNumber</f>
        <v>0</v>
      </c>
      <c r="C648" s="325" t="s">
        <v>22</v>
      </c>
      <c r="D648" s="325">
        <f>Excellent!C38</f>
        <v>0</v>
      </c>
      <c r="E648" s="325" t="str">
        <f>IF(Excellent!B38="W","W","A")</f>
        <v>A</v>
      </c>
      <c r="F648" s="325" t="s">
        <v>1741</v>
      </c>
      <c r="G648" s="325" t="str">
        <f>IF(Excellent!O38="e","Y","")</f>
        <v/>
      </c>
      <c r="H648" s="325" t="str">
        <f>IFERROR(VLOOKUP($D648,'SDDA Dogs'!$A:$AE,2,FALSE),"")</f>
        <v/>
      </c>
      <c r="I648" s="325" t="str">
        <f>IFERROR(VLOOKUP($D648,'SDDA Dogs'!$A:$AE,3,FALSE),"")</f>
        <v/>
      </c>
      <c r="J648" s="325" t="str">
        <f>IFERROR(VLOOKUP($D648,'SDDA Dogs'!$A:$AE,6,FALSE),"")</f>
        <v/>
      </c>
      <c r="K648" s="325" t="str">
        <f>IF(Excellent!AS38="","",Excellent!AS38)</f>
        <v/>
      </c>
      <c r="L648" s="325" t="str">
        <f>IF(Excellent!AT38="","",Excellent!AT38)</f>
        <v/>
      </c>
      <c r="M648" s="326" t="str">
        <f>TrialDate</f>
        <v/>
      </c>
      <c r="N648" s="325" t="str">
        <f t="shared" ref="N648" si="728">N647</f>
        <v/>
      </c>
      <c r="O648" s="325">
        <f>JudgeD1ISE</f>
        <v>0</v>
      </c>
    </row>
    <row r="649" spans="1:15" x14ac:dyDescent="0.25">
      <c r="A649" s="2">
        <v>2</v>
      </c>
      <c r="B649" s="2">
        <f t="shared" ref="B649:O649" si="729">B648</f>
        <v>0</v>
      </c>
      <c r="C649" s="2" t="str">
        <f t="shared" si="729"/>
        <v>ISE</v>
      </c>
      <c r="D649" s="2">
        <f t="shared" si="729"/>
        <v>0</v>
      </c>
      <c r="E649" s="2" t="str">
        <f t="shared" si="729"/>
        <v>A</v>
      </c>
      <c r="F649" s="2" t="str">
        <f t="shared" si="729"/>
        <v>Interior Excellent</v>
      </c>
      <c r="G649" s="2" t="str">
        <f t="shared" si="729"/>
        <v/>
      </c>
      <c r="H649" s="2" t="str">
        <f t="shared" si="729"/>
        <v/>
      </c>
      <c r="I649" s="2" t="str">
        <f t="shared" si="729"/>
        <v/>
      </c>
      <c r="J649" s="2" t="str">
        <f t="shared" si="729"/>
        <v/>
      </c>
      <c r="K649" s="2" t="str">
        <f t="shared" si="729"/>
        <v/>
      </c>
      <c r="L649" s="2" t="str">
        <f t="shared" si="729"/>
        <v/>
      </c>
      <c r="M649" s="180" t="str">
        <f t="shared" si="729"/>
        <v/>
      </c>
      <c r="N649" s="2" t="str">
        <f t="shared" si="729"/>
        <v/>
      </c>
      <c r="O649" s="2">
        <f t="shared" si="729"/>
        <v>0</v>
      </c>
    </row>
    <row r="650" spans="1:15" x14ac:dyDescent="0.25">
      <c r="A650" s="325">
        <v>1</v>
      </c>
      <c r="B650" s="325">
        <f>TrialNumber</f>
        <v>0</v>
      </c>
      <c r="C650" s="325" t="s">
        <v>22</v>
      </c>
      <c r="D650" s="325">
        <f>Excellent!C39</f>
        <v>0</v>
      </c>
      <c r="E650" s="325" t="str">
        <f>IF(Excellent!B39="W","W","A")</f>
        <v>A</v>
      </c>
      <c r="F650" s="325" t="s">
        <v>1741</v>
      </c>
      <c r="G650" s="325" t="str">
        <f>IF(Excellent!O39="e","Y","")</f>
        <v/>
      </c>
      <c r="H650" s="325" t="str">
        <f>IFERROR(VLOOKUP($D650,'SDDA Dogs'!$A:$AE,2,FALSE),"")</f>
        <v/>
      </c>
      <c r="I650" s="325" t="str">
        <f>IFERROR(VLOOKUP($D650,'SDDA Dogs'!$A:$AE,3,FALSE),"")</f>
        <v/>
      </c>
      <c r="J650" s="325" t="str">
        <f>IFERROR(VLOOKUP($D650,'SDDA Dogs'!$A:$AE,6,FALSE),"")</f>
        <v/>
      </c>
      <c r="K650" s="325" t="str">
        <f>IF(Excellent!AS39="","",Excellent!AS39)</f>
        <v/>
      </c>
      <c r="L650" s="325" t="str">
        <f>IF(Excellent!AT39="","",Excellent!AT39)</f>
        <v/>
      </c>
      <c r="M650" s="326" t="str">
        <f>TrialDate</f>
        <v/>
      </c>
      <c r="N650" s="325" t="str">
        <f t="shared" ref="N650" si="730">N649</f>
        <v/>
      </c>
      <c r="O650" s="325">
        <f>JudgeD1ISE</f>
        <v>0</v>
      </c>
    </row>
    <row r="651" spans="1:15" x14ac:dyDescent="0.25">
      <c r="A651" s="2">
        <v>2</v>
      </c>
      <c r="B651" s="2">
        <f t="shared" ref="B651:O651" si="731">B650</f>
        <v>0</v>
      </c>
      <c r="C651" s="2" t="str">
        <f t="shared" si="731"/>
        <v>ISE</v>
      </c>
      <c r="D651" s="2">
        <f t="shared" si="731"/>
        <v>0</v>
      </c>
      <c r="E651" s="2" t="str">
        <f t="shared" si="731"/>
        <v>A</v>
      </c>
      <c r="F651" s="2" t="str">
        <f t="shared" si="731"/>
        <v>Interior Excellent</v>
      </c>
      <c r="G651" s="2" t="str">
        <f t="shared" si="731"/>
        <v/>
      </c>
      <c r="H651" s="2" t="str">
        <f t="shared" si="731"/>
        <v/>
      </c>
      <c r="I651" s="2" t="str">
        <f t="shared" si="731"/>
        <v/>
      </c>
      <c r="J651" s="2" t="str">
        <f t="shared" si="731"/>
        <v/>
      </c>
      <c r="K651" s="2" t="str">
        <f t="shared" si="731"/>
        <v/>
      </c>
      <c r="L651" s="2" t="str">
        <f t="shared" si="731"/>
        <v/>
      </c>
      <c r="M651" s="180" t="str">
        <f t="shared" si="731"/>
        <v/>
      </c>
      <c r="N651" s="2" t="str">
        <f t="shared" si="731"/>
        <v/>
      </c>
      <c r="O651" s="2">
        <f t="shared" si="731"/>
        <v>0</v>
      </c>
    </row>
    <row r="652" spans="1:15" x14ac:dyDescent="0.25">
      <c r="A652" s="325">
        <v>1</v>
      </c>
      <c r="B652" s="325">
        <f>TrialNumber</f>
        <v>0</v>
      </c>
      <c r="C652" s="325" t="s">
        <v>22</v>
      </c>
      <c r="D652" s="325">
        <f>Excellent!C40</f>
        <v>0</v>
      </c>
      <c r="E652" s="325" t="str">
        <f>IF(Excellent!B40="W","W","A")</f>
        <v>A</v>
      </c>
      <c r="F652" s="325" t="s">
        <v>1741</v>
      </c>
      <c r="G652" s="325" t="str">
        <f>IF(Excellent!O40="e","Y","")</f>
        <v/>
      </c>
      <c r="H652" s="325" t="str">
        <f>IFERROR(VLOOKUP($D652,'SDDA Dogs'!$A:$AE,2,FALSE),"")</f>
        <v/>
      </c>
      <c r="I652" s="325" t="str">
        <f>IFERROR(VLOOKUP($D652,'SDDA Dogs'!$A:$AE,3,FALSE),"")</f>
        <v/>
      </c>
      <c r="J652" s="325" t="str">
        <f>IFERROR(VLOOKUP($D652,'SDDA Dogs'!$A:$AE,6,FALSE),"")</f>
        <v/>
      </c>
      <c r="K652" s="325" t="str">
        <f>IF(Excellent!AS40="","",Excellent!AS40)</f>
        <v/>
      </c>
      <c r="L652" s="325" t="str">
        <f>IF(Excellent!AT40="","",Excellent!AT40)</f>
        <v/>
      </c>
      <c r="M652" s="326" t="str">
        <f>TrialDate</f>
        <v/>
      </c>
      <c r="N652" s="325" t="str">
        <f t="shared" ref="N652" si="732">N651</f>
        <v/>
      </c>
      <c r="O652" s="325">
        <f>JudgeD1ISE</f>
        <v>0</v>
      </c>
    </row>
    <row r="653" spans="1:15" x14ac:dyDescent="0.25">
      <c r="A653" s="2">
        <v>2</v>
      </c>
      <c r="B653" s="2">
        <f t="shared" ref="B653:O653" si="733">B652</f>
        <v>0</v>
      </c>
      <c r="C653" s="2" t="str">
        <f t="shared" si="733"/>
        <v>ISE</v>
      </c>
      <c r="D653" s="2">
        <f t="shared" si="733"/>
        <v>0</v>
      </c>
      <c r="E653" s="2" t="str">
        <f t="shared" si="733"/>
        <v>A</v>
      </c>
      <c r="F653" s="2" t="str">
        <f t="shared" si="733"/>
        <v>Interior Excellent</v>
      </c>
      <c r="G653" s="2" t="str">
        <f t="shared" si="733"/>
        <v/>
      </c>
      <c r="H653" s="2" t="str">
        <f t="shared" si="733"/>
        <v/>
      </c>
      <c r="I653" s="2" t="str">
        <f t="shared" si="733"/>
        <v/>
      </c>
      <c r="J653" s="2" t="str">
        <f t="shared" si="733"/>
        <v/>
      </c>
      <c r="K653" s="2" t="str">
        <f t="shared" si="733"/>
        <v/>
      </c>
      <c r="L653" s="2" t="str">
        <f t="shared" si="733"/>
        <v/>
      </c>
      <c r="M653" s="180" t="str">
        <f t="shared" si="733"/>
        <v/>
      </c>
      <c r="N653" s="2" t="str">
        <f t="shared" si="733"/>
        <v/>
      </c>
      <c r="O653" s="2">
        <f t="shared" si="733"/>
        <v>0</v>
      </c>
    </row>
    <row r="654" spans="1:15" x14ac:dyDescent="0.25">
      <c r="A654" s="325">
        <v>1</v>
      </c>
      <c r="B654" s="325">
        <f>TrialNumber</f>
        <v>0</v>
      </c>
      <c r="C654" s="325" t="s">
        <v>22</v>
      </c>
      <c r="D654" s="325">
        <f>Excellent!C41</f>
        <v>0</v>
      </c>
      <c r="E654" s="325" t="str">
        <f>IF(Excellent!B41="W","W","A")</f>
        <v>A</v>
      </c>
      <c r="F654" s="325" t="s">
        <v>1741</v>
      </c>
      <c r="G654" s="325" t="str">
        <f>IF(Excellent!O41="e","Y","")</f>
        <v/>
      </c>
      <c r="H654" s="325" t="str">
        <f>IFERROR(VLOOKUP($D654,'SDDA Dogs'!$A:$AE,2,FALSE),"")</f>
        <v/>
      </c>
      <c r="I654" s="325" t="str">
        <f>IFERROR(VLOOKUP($D654,'SDDA Dogs'!$A:$AE,3,FALSE),"")</f>
        <v/>
      </c>
      <c r="J654" s="325" t="str">
        <f>IFERROR(VLOOKUP($D654,'SDDA Dogs'!$A:$AE,6,FALSE),"")</f>
        <v/>
      </c>
      <c r="K654" s="325" t="str">
        <f>IF(Excellent!AS41="","",Excellent!AS41)</f>
        <v/>
      </c>
      <c r="L654" s="325" t="str">
        <f>IF(Excellent!AT41="","",Excellent!AT41)</f>
        <v/>
      </c>
      <c r="M654" s="326" t="str">
        <f>TrialDate</f>
        <v/>
      </c>
      <c r="N654" s="325" t="str">
        <f t="shared" ref="N654" si="734">N653</f>
        <v/>
      </c>
      <c r="O654" s="325">
        <f>JudgeD1ISE</f>
        <v>0</v>
      </c>
    </row>
    <row r="655" spans="1:15" x14ac:dyDescent="0.25">
      <c r="A655" s="2">
        <v>2</v>
      </c>
      <c r="B655" s="2">
        <f t="shared" ref="B655:O655" si="735">B654</f>
        <v>0</v>
      </c>
      <c r="C655" s="2" t="str">
        <f t="shared" si="735"/>
        <v>ISE</v>
      </c>
      <c r="D655" s="2">
        <f t="shared" si="735"/>
        <v>0</v>
      </c>
      <c r="E655" s="2" t="str">
        <f t="shared" si="735"/>
        <v>A</v>
      </c>
      <c r="F655" s="2" t="str">
        <f t="shared" si="735"/>
        <v>Interior Excellent</v>
      </c>
      <c r="G655" s="2" t="str">
        <f t="shared" si="735"/>
        <v/>
      </c>
      <c r="H655" s="2" t="str">
        <f t="shared" si="735"/>
        <v/>
      </c>
      <c r="I655" s="2" t="str">
        <f t="shared" si="735"/>
        <v/>
      </c>
      <c r="J655" s="2" t="str">
        <f t="shared" si="735"/>
        <v/>
      </c>
      <c r="K655" s="2" t="str">
        <f t="shared" si="735"/>
        <v/>
      </c>
      <c r="L655" s="2" t="str">
        <f t="shared" si="735"/>
        <v/>
      </c>
      <c r="M655" s="180" t="str">
        <f t="shared" si="735"/>
        <v/>
      </c>
      <c r="N655" s="2" t="str">
        <f t="shared" si="735"/>
        <v/>
      </c>
      <c r="O655" s="2">
        <f t="shared" si="735"/>
        <v>0</v>
      </c>
    </row>
    <row r="656" spans="1:15" x14ac:dyDescent="0.25">
      <c r="A656" s="325">
        <v>1</v>
      </c>
      <c r="B656" s="325">
        <f>TrialNumber</f>
        <v>0</v>
      </c>
      <c r="C656" s="325" t="s">
        <v>22</v>
      </c>
      <c r="D656" s="325">
        <f>Excellent!C42</f>
        <v>0</v>
      </c>
      <c r="E656" s="325" t="str">
        <f>IF(Excellent!B42="W","W","A")</f>
        <v>A</v>
      </c>
      <c r="F656" s="325" t="s">
        <v>1741</v>
      </c>
      <c r="G656" s="325" t="str">
        <f>IF(Excellent!O42="e","Y","")</f>
        <v/>
      </c>
      <c r="H656" s="325" t="str">
        <f>IFERROR(VLOOKUP($D656,'SDDA Dogs'!$A:$AE,2,FALSE),"")</f>
        <v/>
      </c>
      <c r="I656" s="325" t="str">
        <f>IFERROR(VLOOKUP($D656,'SDDA Dogs'!$A:$AE,3,FALSE),"")</f>
        <v/>
      </c>
      <c r="J656" s="325" t="str">
        <f>IFERROR(VLOOKUP($D656,'SDDA Dogs'!$A:$AE,6,FALSE),"")</f>
        <v/>
      </c>
      <c r="K656" s="325" t="str">
        <f>IF(Excellent!AS42="","",Excellent!AS42)</f>
        <v/>
      </c>
      <c r="L656" s="325" t="str">
        <f>IF(Excellent!AT42="","",Excellent!AT42)</f>
        <v/>
      </c>
      <c r="M656" s="326" t="str">
        <f>TrialDate</f>
        <v/>
      </c>
      <c r="N656" s="325" t="str">
        <f t="shared" ref="N656" si="736">N655</f>
        <v/>
      </c>
      <c r="O656" s="325">
        <f>JudgeD1ISE</f>
        <v>0</v>
      </c>
    </row>
    <row r="657" spans="1:15" x14ac:dyDescent="0.25">
      <c r="A657" s="2">
        <v>2</v>
      </c>
      <c r="B657" s="2">
        <f t="shared" ref="B657:O657" si="737">B656</f>
        <v>0</v>
      </c>
      <c r="C657" s="2" t="str">
        <f t="shared" si="737"/>
        <v>ISE</v>
      </c>
      <c r="D657" s="2">
        <f t="shared" si="737"/>
        <v>0</v>
      </c>
      <c r="E657" s="2" t="str">
        <f t="shared" si="737"/>
        <v>A</v>
      </c>
      <c r="F657" s="2" t="str">
        <f t="shared" si="737"/>
        <v>Interior Excellent</v>
      </c>
      <c r="G657" s="2" t="str">
        <f t="shared" si="737"/>
        <v/>
      </c>
      <c r="H657" s="2" t="str">
        <f t="shared" si="737"/>
        <v/>
      </c>
      <c r="I657" s="2" t="str">
        <f t="shared" si="737"/>
        <v/>
      </c>
      <c r="J657" s="2" t="str">
        <f t="shared" si="737"/>
        <v/>
      </c>
      <c r="K657" s="2" t="str">
        <f t="shared" si="737"/>
        <v/>
      </c>
      <c r="L657" s="2" t="str">
        <f t="shared" si="737"/>
        <v/>
      </c>
      <c r="M657" s="180" t="str">
        <f t="shared" si="737"/>
        <v/>
      </c>
      <c r="N657" s="2" t="str">
        <f t="shared" si="737"/>
        <v/>
      </c>
      <c r="O657" s="2">
        <f t="shared" si="737"/>
        <v>0</v>
      </c>
    </row>
    <row r="658" spans="1:15" x14ac:dyDescent="0.25">
      <c r="A658" s="325">
        <v>1</v>
      </c>
      <c r="B658" s="325">
        <f>TrialNumber</f>
        <v>0</v>
      </c>
      <c r="C658" s="325" t="s">
        <v>22</v>
      </c>
      <c r="D658" s="325">
        <f>Excellent!C43</f>
        <v>0</v>
      </c>
      <c r="E658" s="325" t="str">
        <f>IF(Excellent!B43="W","W","A")</f>
        <v>A</v>
      </c>
      <c r="F658" s="325" t="s">
        <v>1741</v>
      </c>
      <c r="G658" s="325" t="str">
        <f>IF(Excellent!O43="e","Y","")</f>
        <v/>
      </c>
      <c r="H658" s="325" t="str">
        <f>IFERROR(VLOOKUP($D658,'SDDA Dogs'!$A:$AE,2,FALSE),"")</f>
        <v/>
      </c>
      <c r="I658" s="325" t="str">
        <f>IFERROR(VLOOKUP($D658,'SDDA Dogs'!$A:$AE,3,FALSE),"")</f>
        <v/>
      </c>
      <c r="J658" s="325" t="str">
        <f>IFERROR(VLOOKUP($D658,'SDDA Dogs'!$A:$AE,6,FALSE),"")</f>
        <v/>
      </c>
      <c r="K658" s="325" t="str">
        <f>IF(Excellent!AS43="","",Excellent!AS43)</f>
        <v/>
      </c>
      <c r="L658" s="325" t="str">
        <f>IF(Excellent!AT43="","",Excellent!AT43)</f>
        <v/>
      </c>
      <c r="M658" s="326" t="str">
        <f>TrialDate</f>
        <v/>
      </c>
      <c r="N658" s="325" t="str">
        <f t="shared" ref="N658" si="738">N657</f>
        <v/>
      </c>
      <c r="O658" s="325">
        <f>JudgeD1ISE</f>
        <v>0</v>
      </c>
    </row>
    <row r="659" spans="1:15" x14ac:dyDescent="0.25">
      <c r="A659" s="2">
        <v>2</v>
      </c>
      <c r="B659" s="2">
        <f t="shared" ref="B659:O659" si="739">B658</f>
        <v>0</v>
      </c>
      <c r="C659" s="2" t="str">
        <f t="shared" si="739"/>
        <v>ISE</v>
      </c>
      <c r="D659" s="2">
        <f t="shared" si="739"/>
        <v>0</v>
      </c>
      <c r="E659" s="2" t="str">
        <f t="shared" si="739"/>
        <v>A</v>
      </c>
      <c r="F659" s="2" t="str">
        <f t="shared" si="739"/>
        <v>Interior Excellent</v>
      </c>
      <c r="G659" s="2" t="str">
        <f t="shared" si="739"/>
        <v/>
      </c>
      <c r="H659" s="2" t="str">
        <f t="shared" si="739"/>
        <v/>
      </c>
      <c r="I659" s="2" t="str">
        <f t="shared" si="739"/>
        <v/>
      </c>
      <c r="J659" s="2" t="str">
        <f t="shared" si="739"/>
        <v/>
      </c>
      <c r="K659" s="2" t="str">
        <f t="shared" si="739"/>
        <v/>
      </c>
      <c r="L659" s="2" t="str">
        <f t="shared" si="739"/>
        <v/>
      </c>
      <c r="M659" s="180" t="str">
        <f t="shared" si="739"/>
        <v/>
      </c>
      <c r="N659" s="2" t="str">
        <f t="shared" si="739"/>
        <v/>
      </c>
      <c r="O659" s="2">
        <f t="shared" si="739"/>
        <v>0</v>
      </c>
    </row>
    <row r="660" spans="1:15" x14ac:dyDescent="0.25">
      <c r="A660" s="325">
        <v>1</v>
      </c>
      <c r="B660" s="325">
        <f>TrialNumber</f>
        <v>0</v>
      </c>
      <c r="C660" s="325" t="s">
        <v>22</v>
      </c>
      <c r="D660" s="325">
        <f>Excellent!C44</f>
        <v>0</v>
      </c>
      <c r="E660" s="325" t="str">
        <f>IF(Excellent!B44="W","W","A")</f>
        <v>A</v>
      </c>
      <c r="F660" s="325" t="s">
        <v>1741</v>
      </c>
      <c r="G660" s="325" t="str">
        <f>IF(Excellent!O44="e","Y","")</f>
        <v/>
      </c>
      <c r="H660" s="325" t="str">
        <f>IFERROR(VLOOKUP($D660,'SDDA Dogs'!$A:$AE,2,FALSE),"")</f>
        <v/>
      </c>
      <c r="I660" s="325" t="str">
        <f>IFERROR(VLOOKUP($D660,'SDDA Dogs'!$A:$AE,3,FALSE),"")</f>
        <v/>
      </c>
      <c r="J660" s="325" t="str">
        <f>IFERROR(VLOOKUP($D660,'SDDA Dogs'!$A:$AE,6,FALSE),"")</f>
        <v/>
      </c>
      <c r="K660" s="325" t="str">
        <f>IF(Excellent!AS44="","",Excellent!AS44)</f>
        <v/>
      </c>
      <c r="L660" s="325" t="str">
        <f>IF(Excellent!AT44="","",Excellent!AT44)</f>
        <v/>
      </c>
      <c r="M660" s="326" t="str">
        <f>TrialDate</f>
        <v/>
      </c>
      <c r="N660" s="325" t="str">
        <f t="shared" ref="N660" si="740">N659</f>
        <v/>
      </c>
      <c r="O660" s="325">
        <f>JudgeD1ISE</f>
        <v>0</v>
      </c>
    </row>
    <row r="661" spans="1:15" x14ac:dyDescent="0.25">
      <c r="A661" s="2">
        <v>2</v>
      </c>
      <c r="B661" s="2">
        <f t="shared" ref="B661:O661" si="741">B660</f>
        <v>0</v>
      </c>
      <c r="C661" s="2" t="str">
        <f t="shared" si="741"/>
        <v>ISE</v>
      </c>
      <c r="D661" s="2">
        <f t="shared" si="741"/>
        <v>0</v>
      </c>
      <c r="E661" s="2" t="str">
        <f t="shared" si="741"/>
        <v>A</v>
      </c>
      <c r="F661" s="2" t="str">
        <f t="shared" si="741"/>
        <v>Interior Excellent</v>
      </c>
      <c r="G661" s="2" t="str">
        <f t="shared" si="741"/>
        <v/>
      </c>
      <c r="H661" s="2" t="str">
        <f t="shared" si="741"/>
        <v/>
      </c>
      <c r="I661" s="2" t="str">
        <f t="shared" si="741"/>
        <v/>
      </c>
      <c r="J661" s="2" t="str">
        <f t="shared" si="741"/>
        <v/>
      </c>
      <c r="K661" s="2" t="str">
        <f t="shared" si="741"/>
        <v/>
      </c>
      <c r="L661" s="2" t="str">
        <f t="shared" si="741"/>
        <v/>
      </c>
      <c r="M661" s="180" t="str">
        <f t="shared" si="741"/>
        <v/>
      </c>
      <c r="N661" s="2" t="str">
        <f t="shared" si="741"/>
        <v/>
      </c>
      <c r="O661" s="2">
        <f t="shared" si="741"/>
        <v>0</v>
      </c>
    </row>
    <row r="662" spans="1:15" x14ac:dyDescent="0.25">
      <c r="A662" s="325">
        <v>1</v>
      </c>
      <c r="B662" s="325">
        <f>TrialNumber</f>
        <v>0</v>
      </c>
      <c r="C662" s="325" t="s">
        <v>22</v>
      </c>
      <c r="D662" s="325">
        <f>Excellent!C45</f>
        <v>0</v>
      </c>
      <c r="E662" s="325" t="str">
        <f>IF(Excellent!B45="W","W","A")</f>
        <v>A</v>
      </c>
      <c r="F662" s="325" t="s">
        <v>1741</v>
      </c>
      <c r="G662" s="325" t="str">
        <f>IF(Excellent!O45="e","Y","")</f>
        <v/>
      </c>
      <c r="H662" s="325" t="str">
        <f>IFERROR(VLOOKUP($D662,'SDDA Dogs'!$A:$AE,2,FALSE),"")</f>
        <v/>
      </c>
      <c r="I662" s="325" t="str">
        <f>IFERROR(VLOOKUP($D662,'SDDA Dogs'!$A:$AE,3,FALSE),"")</f>
        <v/>
      </c>
      <c r="J662" s="325" t="str">
        <f>IFERROR(VLOOKUP($D662,'SDDA Dogs'!$A:$AE,6,FALSE),"")</f>
        <v/>
      </c>
      <c r="K662" s="325" t="str">
        <f>IF(Excellent!AS45="","",Excellent!AS45)</f>
        <v/>
      </c>
      <c r="L662" s="325" t="str">
        <f>IF(Excellent!AT45="","",Excellent!AT45)</f>
        <v/>
      </c>
      <c r="M662" s="326" t="str">
        <f>TrialDate</f>
        <v/>
      </c>
      <c r="N662" s="325" t="str">
        <f t="shared" ref="N662" si="742">N661</f>
        <v/>
      </c>
      <c r="O662" s="325">
        <f>JudgeD1ISE</f>
        <v>0</v>
      </c>
    </row>
    <row r="663" spans="1:15" x14ac:dyDescent="0.25">
      <c r="A663" s="2">
        <v>2</v>
      </c>
      <c r="B663" s="2">
        <f t="shared" ref="B663:O663" si="743">B662</f>
        <v>0</v>
      </c>
      <c r="C663" s="2" t="str">
        <f t="shared" si="743"/>
        <v>ISE</v>
      </c>
      <c r="D663" s="2">
        <f t="shared" si="743"/>
        <v>0</v>
      </c>
      <c r="E663" s="2" t="str">
        <f t="shared" si="743"/>
        <v>A</v>
      </c>
      <c r="F663" s="2" t="str">
        <f t="shared" si="743"/>
        <v>Interior Excellent</v>
      </c>
      <c r="G663" s="2" t="str">
        <f t="shared" si="743"/>
        <v/>
      </c>
      <c r="H663" s="2" t="str">
        <f t="shared" si="743"/>
        <v/>
      </c>
      <c r="I663" s="2" t="str">
        <f t="shared" si="743"/>
        <v/>
      </c>
      <c r="J663" s="2" t="str">
        <f t="shared" si="743"/>
        <v/>
      </c>
      <c r="K663" s="2" t="str">
        <f t="shared" si="743"/>
        <v/>
      </c>
      <c r="L663" s="2" t="str">
        <f t="shared" si="743"/>
        <v/>
      </c>
      <c r="M663" s="180" t="str">
        <f t="shared" si="743"/>
        <v/>
      </c>
      <c r="N663" s="2" t="str">
        <f t="shared" si="743"/>
        <v/>
      </c>
      <c r="O663" s="2">
        <f t="shared" si="743"/>
        <v>0</v>
      </c>
    </row>
    <row r="664" spans="1:15" x14ac:dyDescent="0.25">
      <c r="A664" s="325">
        <v>1</v>
      </c>
      <c r="B664" s="325">
        <f>TrialNumber</f>
        <v>0</v>
      </c>
      <c r="C664" s="325" t="s">
        <v>22</v>
      </c>
      <c r="D664" s="325">
        <f>Excellent!C46</f>
        <v>0</v>
      </c>
      <c r="E664" s="325" t="str">
        <f>IF(Excellent!B46="W","W","A")</f>
        <v>A</v>
      </c>
      <c r="F664" s="325" t="s">
        <v>1741</v>
      </c>
      <c r="G664" s="325" t="str">
        <f>IF(Excellent!O46="e","Y","")</f>
        <v/>
      </c>
      <c r="H664" s="325" t="str">
        <f>IFERROR(VLOOKUP($D664,'SDDA Dogs'!$A:$AE,2,FALSE),"")</f>
        <v/>
      </c>
      <c r="I664" s="325" t="str">
        <f>IFERROR(VLOOKUP($D664,'SDDA Dogs'!$A:$AE,3,FALSE),"")</f>
        <v/>
      </c>
      <c r="J664" s="325" t="str">
        <f>IFERROR(VLOOKUP($D664,'SDDA Dogs'!$A:$AE,6,FALSE),"")</f>
        <v/>
      </c>
      <c r="K664" s="325" t="str">
        <f>IF(Excellent!AS46="","",Excellent!AS46)</f>
        <v/>
      </c>
      <c r="L664" s="325" t="str">
        <f>IF(Excellent!AT46="","",Excellent!AT46)</f>
        <v/>
      </c>
      <c r="M664" s="326" t="str">
        <f>TrialDate</f>
        <v/>
      </c>
      <c r="N664" s="325" t="str">
        <f t="shared" ref="N664" si="744">N663</f>
        <v/>
      </c>
      <c r="O664" s="325">
        <f>JudgeD1ISE</f>
        <v>0</v>
      </c>
    </row>
    <row r="665" spans="1:15" x14ac:dyDescent="0.25">
      <c r="A665" s="2">
        <v>2</v>
      </c>
      <c r="B665" s="2">
        <f t="shared" ref="B665:O665" si="745">B664</f>
        <v>0</v>
      </c>
      <c r="C665" s="2" t="str">
        <f t="shared" si="745"/>
        <v>ISE</v>
      </c>
      <c r="D665" s="2">
        <f t="shared" si="745"/>
        <v>0</v>
      </c>
      <c r="E665" s="2" t="str">
        <f t="shared" si="745"/>
        <v>A</v>
      </c>
      <c r="F665" s="2" t="str">
        <f t="shared" si="745"/>
        <v>Interior Excellent</v>
      </c>
      <c r="G665" s="2" t="str">
        <f t="shared" si="745"/>
        <v/>
      </c>
      <c r="H665" s="2" t="str">
        <f t="shared" si="745"/>
        <v/>
      </c>
      <c r="I665" s="2" t="str">
        <f t="shared" si="745"/>
        <v/>
      </c>
      <c r="J665" s="2" t="str">
        <f t="shared" si="745"/>
        <v/>
      </c>
      <c r="K665" s="2" t="str">
        <f t="shared" si="745"/>
        <v/>
      </c>
      <c r="L665" s="2" t="str">
        <f t="shared" si="745"/>
        <v/>
      </c>
      <c r="M665" s="180" t="str">
        <f t="shared" si="745"/>
        <v/>
      </c>
      <c r="N665" s="2" t="str">
        <f t="shared" si="745"/>
        <v/>
      </c>
      <c r="O665" s="2">
        <f t="shared" si="745"/>
        <v>0</v>
      </c>
    </row>
    <row r="666" spans="1:15" x14ac:dyDescent="0.25">
      <c r="A666" s="325">
        <v>1</v>
      </c>
      <c r="B666" s="325">
        <f>TrialNumber</f>
        <v>0</v>
      </c>
      <c r="C666" s="325" t="s">
        <v>22</v>
      </c>
      <c r="D666" s="325">
        <f>Excellent!C47</f>
        <v>0</v>
      </c>
      <c r="E666" s="325" t="str">
        <f>IF(Excellent!B47="W","W","A")</f>
        <v>A</v>
      </c>
      <c r="F666" s="325" t="s">
        <v>1741</v>
      </c>
      <c r="G666" s="325" t="str">
        <f>IF(Excellent!O47="e","Y","")</f>
        <v/>
      </c>
      <c r="H666" s="325" t="str">
        <f>IFERROR(VLOOKUP($D666,'SDDA Dogs'!$A:$AE,2,FALSE),"")</f>
        <v/>
      </c>
      <c r="I666" s="325" t="str">
        <f>IFERROR(VLOOKUP($D666,'SDDA Dogs'!$A:$AE,3,FALSE),"")</f>
        <v/>
      </c>
      <c r="J666" s="325" t="str">
        <f>IFERROR(VLOOKUP($D666,'SDDA Dogs'!$A:$AE,6,FALSE),"")</f>
        <v/>
      </c>
      <c r="K666" s="325" t="str">
        <f>IF(Excellent!AS47="","",Excellent!AS47)</f>
        <v/>
      </c>
      <c r="L666" s="325" t="str">
        <f>IF(Excellent!AT47="","",Excellent!AT47)</f>
        <v/>
      </c>
      <c r="M666" s="326" t="str">
        <f>TrialDate</f>
        <v/>
      </c>
      <c r="N666" s="325" t="str">
        <f t="shared" ref="N666" si="746">N665</f>
        <v/>
      </c>
      <c r="O666" s="325">
        <f>JudgeD1ISE</f>
        <v>0</v>
      </c>
    </row>
    <row r="667" spans="1:15" x14ac:dyDescent="0.25">
      <c r="A667" s="2">
        <v>2</v>
      </c>
      <c r="B667" s="2">
        <f t="shared" ref="B667:O667" si="747">B666</f>
        <v>0</v>
      </c>
      <c r="C667" s="2" t="str">
        <f t="shared" si="747"/>
        <v>ISE</v>
      </c>
      <c r="D667" s="2">
        <f t="shared" si="747"/>
        <v>0</v>
      </c>
      <c r="E667" s="2" t="str">
        <f t="shared" si="747"/>
        <v>A</v>
      </c>
      <c r="F667" s="2" t="str">
        <f t="shared" si="747"/>
        <v>Interior Excellent</v>
      </c>
      <c r="G667" s="2" t="str">
        <f t="shared" si="747"/>
        <v/>
      </c>
      <c r="H667" s="2" t="str">
        <f t="shared" si="747"/>
        <v/>
      </c>
      <c r="I667" s="2" t="str">
        <f t="shared" si="747"/>
        <v/>
      </c>
      <c r="J667" s="2" t="str">
        <f t="shared" si="747"/>
        <v/>
      </c>
      <c r="K667" s="2" t="str">
        <f t="shared" si="747"/>
        <v/>
      </c>
      <c r="L667" s="2" t="str">
        <f t="shared" si="747"/>
        <v/>
      </c>
      <c r="M667" s="180" t="str">
        <f t="shared" si="747"/>
        <v/>
      </c>
      <c r="N667" s="2" t="str">
        <f t="shared" si="747"/>
        <v/>
      </c>
      <c r="O667" s="2">
        <f t="shared" si="747"/>
        <v>0</v>
      </c>
    </row>
    <row r="668" spans="1:15" x14ac:dyDescent="0.25">
      <c r="A668" s="325">
        <v>1</v>
      </c>
      <c r="B668" s="325">
        <f>TrialNumber</f>
        <v>0</v>
      </c>
      <c r="C668" s="325" t="s">
        <v>22</v>
      </c>
      <c r="D668" s="325">
        <f>Excellent!C48</f>
        <v>0</v>
      </c>
      <c r="E668" s="325" t="str">
        <f>IF(Excellent!B48="W","W","A")</f>
        <v>A</v>
      </c>
      <c r="F668" s="325" t="s">
        <v>1741</v>
      </c>
      <c r="G668" s="325" t="str">
        <f>IF(Excellent!O48="e","Y","")</f>
        <v/>
      </c>
      <c r="H668" s="325" t="str">
        <f>IFERROR(VLOOKUP($D668,'SDDA Dogs'!$A:$AE,2,FALSE),"")</f>
        <v/>
      </c>
      <c r="I668" s="325" t="str">
        <f>IFERROR(VLOOKUP($D668,'SDDA Dogs'!$A:$AE,3,FALSE),"")</f>
        <v/>
      </c>
      <c r="J668" s="325" t="str">
        <f>IFERROR(VLOOKUP($D668,'SDDA Dogs'!$A:$AE,6,FALSE),"")</f>
        <v/>
      </c>
      <c r="K668" s="325" t="str">
        <f>IF(Excellent!AS48="","",Excellent!AS48)</f>
        <v/>
      </c>
      <c r="L668" s="325" t="str">
        <f>IF(Excellent!AT48="","",Excellent!AT48)</f>
        <v/>
      </c>
      <c r="M668" s="326" t="str">
        <f>TrialDate</f>
        <v/>
      </c>
      <c r="N668" s="325" t="str">
        <f t="shared" ref="N668" si="748">N667</f>
        <v/>
      </c>
      <c r="O668" s="325">
        <f>JudgeD1ISE</f>
        <v>0</v>
      </c>
    </row>
    <row r="669" spans="1:15" x14ac:dyDescent="0.25">
      <c r="A669" s="2">
        <v>2</v>
      </c>
      <c r="B669" s="2">
        <f t="shared" ref="B669:O669" si="749">B668</f>
        <v>0</v>
      </c>
      <c r="C669" s="2" t="str">
        <f t="shared" si="749"/>
        <v>ISE</v>
      </c>
      <c r="D669" s="2">
        <f t="shared" si="749"/>
        <v>0</v>
      </c>
      <c r="E669" s="2" t="str">
        <f t="shared" si="749"/>
        <v>A</v>
      </c>
      <c r="F669" s="2" t="str">
        <f t="shared" si="749"/>
        <v>Interior Excellent</v>
      </c>
      <c r="G669" s="2" t="str">
        <f t="shared" si="749"/>
        <v/>
      </c>
      <c r="H669" s="2" t="str">
        <f t="shared" si="749"/>
        <v/>
      </c>
      <c r="I669" s="2" t="str">
        <f t="shared" si="749"/>
        <v/>
      </c>
      <c r="J669" s="2" t="str">
        <f t="shared" si="749"/>
        <v/>
      </c>
      <c r="K669" s="2" t="str">
        <f t="shared" si="749"/>
        <v/>
      </c>
      <c r="L669" s="2" t="str">
        <f t="shared" si="749"/>
        <v/>
      </c>
      <c r="M669" s="180" t="str">
        <f t="shared" si="749"/>
        <v/>
      </c>
      <c r="N669" s="2" t="str">
        <f t="shared" si="749"/>
        <v/>
      </c>
      <c r="O669" s="2">
        <f t="shared" si="749"/>
        <v>0</v>
      </c>
    </row>
    <row r="670" spans="1:15" x14ac:dyDescent="0.25">
      <c r="A670" s="325">
        <v>1</v>
      </c>
      <c r="B670" s="325">
        <f>TrialNumber</f>
        <v>0</v>
      </c>
      <c r="C670" s="325" t="s">
        <v>22</v>
      </c>
      <c r="D670" s="325">
        <f>Excellent!C49</f>
        <v>0</v>
      </c>
      <c r="E670" s="325" t="str">
        <f>IF(Excellent!B49="W","W","A")</f>
        <v>A</v>
      </c>
      <c r="F670" s="325" t="s">
        <v>1741</v>
      </c>
      <c r="G670" s="325" t="str">
        <f>IF(Excellent!O49="e","Y","")</f>
        <v/>
      </c>
      <c r="H670" s="325" t="str">
        <f>IFERROR(VLOOKUP($D670,'SDDA Dogs'!$A:$AE,2,FALSE),"")</f>
        <v/>
      </c>
      <c r="I670" s="325" t="str">
        <f>IFERROR(VLOOKUP($D670,'SDDA Dogs'!$A:$AE,3,FALSE),"")</f>
        <v/>
      </c>
      <c r="J670" s="325" t="str">
        <f>IFERROR(VLOOKUP($D670,'SDDA Dogs'!$A:$AE,6,FALSE),"")</f>
        <v/>
      </c>
      <c r="K670" s="325" t="str">
        <f>IF(Excellent!AS49="","",Excellent!AS49)</f>
        <v/>
      </c>
      <c r="L670" s="325" t="str">
        <f>IF(Excellent!AT49="","",Excellent!AT49)</f>
        <v/>
      </c>
      <c r="M670" s="326" t="str">
        <f>TrialDate</f>
        <v/>
      </c>
      <c r="N670" s="325" t="str">
        <f t="shared" ref="N670" si="750">N669</f>
        <v/>
      </c>
      <c r="O670" s="325">
        <f>JudgeD1ISE</f>
        <v>0</v>
      </c>
    </row>
    <row r="671" spans="1:15" x14ac:dyDescent="0.25">
      <c r="A671" s="2">
        <v>2</v>
      </c>
      <c r="B671" s="2">
        <f t="shared" ref="B671:O671" si="751">B670</f>
        <v>0</v>
      </c>
      <c r="C671" s="2" t="str">
        <f t="shared" si="751"/>
        <v>ISE</v>
      </c>
      <c r="D671" s="2">
        <f t="shared" si="751"/>
        <v>0</v>
      </c>
      <c r="E671" s="2" t="str">
        <f t="shared" si="751"/>
        <v>A</v>
      </c>
      <c r="F671" s="2" t="str">
        <f t="shared" si="751"/>
        <v>Interior Excellent</v>
      </c>
      <c r="G671" s="2" t="str">
        <f t="shared" si="751"/>
        <v/>
      </c>
      <c r="H671" s="2" t="str">
        <f t="shared" si="751"/>
        <v/>
      </c>
      <c r="I671" s="2" t="str">
        <f t="shared" si="751"/>
        <v/>
      </c>
      <c r="J671" s="2" t="str">
        <f t="shared" si="751"/>
        <v/>
      </c>
      <c r="K671" s="2" t="str">
        <f t="shared" si="751"/>
        <v/>
      </c>
      <c r="L671" s="2" t="str">
        <f t="shared" si="751"/>
        <v/>
      </c>
      <c r="M671" s="180" t="str">
        <f t="shared" si="751"/>
        <v/>
      </c>
      <c r="N671" s="2" t="str">
        <f t="shared" si="751"/>
        <v/>
      </c>
      <c r="O671" s="2">
        <f t="shared" si="751"/>
        <v>0</v>
      </c>
    </row>
    <row r="672" spans="1:15" x14ac:dyDescent="0.25">
      <c r="A672" s="325">
        <v>1</v>
      </c>
      <c r="B672" s="325">
        <f>TrialNumber</f>
        <v>0</v>
      </c>
      <c r="C672" s="325" t="s">
        <v>22</v>
      </c>
      <c r="D672" s="325">
        <f>Excellent!C50</f>
        <v>0</v>
      </c>
      <c r="E672" s="325" t="str">
        <f>IF(Excellent!B50="W","W","A")</f>
        <v>A</v>
      </c>
      <c r="F672" s="325" t="s">
        <v>1741</v>
      </c>
      <c r="G672" s="325" t="str">
        <f>IF(Excellent!O50="e","Y","")</f>
        <v/>
      </c>
      <c r="H672" s="325" t="str">
        <f>IFERROR(VLOOKUP($D672,'SDDA Dogs'!$A:$AE,2,FALSE),"")</f>
        <v/>
      </c>
      <c r="I672" s="325" t="str">
        <f>IFERROR(VLOOKUP($D672,'SDDA Dogs'!$A:$AE,3,FALSE),"")</f>
        <v/>
      </c>
      <c r="J672" s="325" t="str">
        <f>IFERROR(VLOOKUP($D672,'SDDA Dogs'!$A:$AE,6,FALSE),"")</f>
        <v/>
      </c>
      <c r="K672" s="325" t="str">
        <f>IF(Excellent!AS50="","",Excellent!AS50)</f>
        <v/>
      </c>
      <c r="L672" s="325" t="str">
        <f>IF(Excellent!AT50="","",Excellent!AT50)</f>
        <v/>
      </c>
      <c r="M672" s="326" t="str">
        <f>TrialDate</f>
        <v/>
      </c>
      <c r="N672" s="325" t="str">
        <f t="shared" ref="N672" si="752">N671</f>
        <v/>
      </c>
      <c r="O672" s="325">
        <f>JudgeD1ISE</f>
        <v>0</v>
      </c>
    </row>
    <row r="673" spans="1:15" x14ac:dyDescent="0.25">
      <c r="A673" s="2">
        <v>2</v>
      </c>
      <c r="B673" s="2">
        <f t="shared" ref="B673:O673" si="753">B672</f>
        <v>0</v>
      </c>
      <c r="C673" s="2" t="str">
        <f t="shared" si="753"/>
        <v>ISE</v>
      </c>
      <c r="D673" s="2">
        <f t="shared" si="753"/>
        <v>0</v>
      </c>
      <c r="E673" s="2" t="str">
        <f t="shared" si="753"/>
        <v>A</v>
      </c>
      <c r="F673" s="2" t="str">
        <f t="shared" si="753"/>
        <v>Interior Excellent</v>
      </c>
      <c r="G673" s="2" t="str">
        <f t="shared" si="753"/>
        <v/>
      </c>
      <c r="H673" s="2" t="str">
        <f t="shared" si="753"/>
        <v/>
      </c>
      <c r="I673" s="2" t="str">
        <f t="shared" si="753"/>
        <v/>
      </c>
      <c r="J673" s="2" t="str">
        <f t="shared" si="753"/>
        <v/>
      </c>
      <c r="K673" s="2" t="str">
        <f t="shared" si="753"/>
        <v/>
      </c>
      <c r="L673" s="2" t="str">
        <f t="shared" si="753"/>
        <v/>
      </c>
      <c r="M673" s="180" t="str">
        <f t="shared" si="753"/>
        <v/>
      </c>
      <c r="N673" s="2" t="str">
        <f t="shared" si="753"/>
        <v/>
      </c>
      <c r="O673" s="2">
        <f t="shared" si="753"/>
        <v>0</v>
      </c>
    </row>
    <row r="674" spans="1:15" x14ac:dyDescent="0.25">
      <c r="A674" s="325">
        <v>1</v>
      </c>
      <c r="B674" s="325">
        <f>TrialNumber</f>
        <v>0</v>
      </c>
      <c r="C674" s="325" t="s">
        <v>22</v>
      </c>
      <c r="D674" s="325">
        <f>Excellent!C51</f>
        <v>0</v>
      </c>
      <c r="E674" s="325" t="str">
        <f>IF(Excellent!B51="W","W","A")</f>
        <v>A</v>
      </c>
      <c r="F674" s="325" t="s">
        <v>1741</v>
      </c>
      <c r="G674" s="325" t="str">
        <f>IF(Excellent!O51="e","Y","")</f>
        <v/>
      </c>
      <c r="H674" s="325" t="str">
        <f>IFERROR(VLOOKUP($D674,'SDDA Dogs'!$A:$AE,2,FALSE),"")</f>
        <v/>
      </c>
      <c r="I674" s="325" t="str">
        <f>IFERROR(VLOOKUP($D674,'SDDA Dogs'!$A:$AE,3,FALSE),"")</f>
        <v/>
      </c>
      <c r="J674" s="325" t="str">
        <f>IFERROR(VLOOKUP($D674,'SDDA Dogs'!$A:$AE,6,FALSE),"")</f>
        <v/>
      </c>
      <c r="K674" s="325" t="str">
        <f>IF(Excellent!AS51="","",Excellent!AS51)</f>
        <v/>
      </c>
      <c r="L674" s="325" t="str">
        <f>IF(Excellent!AT51="","",Excellent!AT51)</f>
        <v/>
      </c>
      <c r="M674" s="326" t="str">
        <f>TrialDate</f>
        <v/>
      </c>
      <c r="N674" s="325" t="str">
        <f t="shared" ref="N674" si="754">N673</f>
        <v/>
      </c>
      <c r="O674" s="325">
        <f>JudgeD1ISE</f>
        <v>0</v>
      </c>
    </row>
    <row r="675" spans="1:15" x14ac:dyDescent="0.25">
      <c r="A675" s="2">
        <v>2</v>
      </c>
      <c r="B675" s="2">
        <f t="shared" ref="B675:O675" si="755">B674</f>
        <v>0</v>
      </c>
      <c r="C675" s="2" t="str">
        <f t="shared" si="755"/>
        <v>ISE</v>
      </c>
      <c r="D675" s="2">
        <f t="shared" si="755"/>
        <v>0</v>
      </c>
      <c r="E675" s="2" t="str">
        <f t="shared" si="755"/>
        <v>A</v>
      </c>
      <c r="F675" s="2" t="str">
        <f t="shared" si="755"/>
        <v>Interior Excellent</v>
      </c>
      <c r="G675" s="2" t="str">
        <f t="shared" si="755"/>
        <v/>
      </c>
      <c r="H675" s="2" t="str">
        <f t="shared" si="755"/>
        <v/>
      </c>
      <c r="I675" s="2" t="str">
        <f t="shared" si="755"/>
        <v/>
      </c>
      <c r="J675" s="2" t="str">
        <f t="shared" si="755"/>
        <v/>
      </c>
      <c r="K675" s="2" t="str">
        <f t="shared" si="755"/>
        <v/>
      </c>
      <c r="L675" s="2" t="str">
        <f t="shared" si="755"/>
        <v/>
      </c>
      <c r="M675" s="180" t="str">
        <f t="shared" si="755"/>
        <v/>
      </c>
      <c r="N675" s="2" t="str">
        <f t="shared" si="755"/>
        <v/>
      </c>
      <c r="O675" s="2">
        <f t="shared" si="755"/>
        <v>0</v>
      </c>
    </row>
    <row r="676" spans="1:15" x14ac:dyDescent="0.25">
      <c r="A676" s="325">
        <v>1</v>
      </c>
      <c r="B676" s="325">
        <f>TrialNumber</f>
        <v>0</v>
      </c>
      <c r="C676" s="325" t="s">
        <v>22</v>
      </c>
      <c r="D676" s="325">
        <f>Excellent!C52</f>
        <v>0</v>
      </c>
      <c r="E676" s="325" t="str">
        <f>IF(Excellent!B52="W","W","A")</f>
        <v>A</v>
      </c>
      <c r="F676" s="325" t="s">
        <v>1741</v>
      </c>
      <c r="G676" s="325" t="str">
        <f>IF(Excellent!O52="e","Y","")</f>
        <v/>
      </c>
      <c r="H676" s="325" t="str">
        <f>IFERROR(VLOOKUP($D676,'SDDA Dogs'!$A:$AE,2,FALSE),"")</f>
        <v/>
      </c>
      <c r="I676" s="325" t="str">
        <f>IFERROR(VLOOKUP($D676,'SDDA Dogs'!$A:$AE,3,FALSE),"")</f>
        <v/>
      </c>
      <c r="J676" s="325" t="str">
        <f>IFERROR(VLOOKUP($D676,'SDDA Dogs'!$A:$AE,6,FALSE),"")</f>
        <v/>
      </c>
      <c r="K676" s="325" t="str">
        <f>IF(Excellent!AS52="","",Excellent!AS52)</f>
        <v/>
      </c>
      <c r="L676" s="325" t="str">
        <f>IF(Excellent!AT52="","",Excellent!AT52)</f>
        <v/>
      </c>
      <c r="M676" s="326" t="str">
        <f>TrialDate</f>
        <v/>
      </c>
      <c r="N676" s="325" t="str">
        <f t="shared" ref="N676" si="756">N675</f>
        <v/>
      </c>
      <c r="O676" s="325">
        <f>JudgeD1ISE</f>
        <v>0</v>
      </c>
    </row>
    <row r="677" spans="1:15" x14ac:dyDescent="0.25">
      <c r="A677" s="2">
        <v>2</v>
      </c>
      <c r="B677" s="2">
        <f t="shared" ref="B677:O677" si="757">B676</f>
        <v>0</v>
      </c>
      <c r="C677" s="2" t="str">
        <f t="shared" si="757"/>
        <v>ISE</v>
      </c>
      <c r="D677" s="2">
        <f t="shared" si="757"/>
        <v>0</v>
      </c>
      <c r="E677" s="2" t="str">
        <f t="shared" si="757"/>
        <v>A</v>
      </c>
      <c r="F677" s="2" t="str">
        <f t="shared" si="757"/>
        <v>Interior Excellent</v>
      </c>
      <c r="G677" s="2" t="str">
        <f t="shared" si="757"/>
        <v/>
      </c>
      <c r="H677" s="2" t="str">
        <f t="shared" si="757"/>
        <v/>
      </c>
      <c r="I677" s="2" t="str">
        <f t="shared" si="757"/>
        <v/>
      </c>
      <c r="J677" s="2" t="str">
        <f t="shared" si="757"/>
        <v/>
      </c>
      <c r="K677" s="2" t="str">
        <f t="shared" si="757"/>
        <v/>
      </c>
      <c r="L677" s="2" t="str">
        <f t="shared" si="757"/>
        <v/>
      </c>
      <c r="M677" s="180" t="str">
        <f t="shared" si="757"/>
        <v/>
      </c>
      <c r="N677" s="2" t="str">
        <f t="shared" si="757"/>
        <v/>
      </c>
      <c r="O677" s="2">
        <f t="shared" si="757"/>
        <v>0</v>
      </c>
    </row>
    <row r="678" spans="1:15" x14ac:dyDescent="0.25">
      <c r="A678" s="325">
        <v>1</v>
      </c>
      <c r="B678" s="325">
        <f>TrialNumber</f>
        <v>0</v>
      </c>
      <c r="C678" s="325" t="s">
        <v>22</v>
      </c>
      <c r="D678" s="325">
        <f>Excellent!C53</f>
        <v>0</v>
      </c>
      <c r="E678" s="325" t="str">
        <f>IF(Excellent!B53="W","W","A")</f>
        <v>A</v>
      </c>
      <c r="F678" s="325" t="s">
        <v>1741</v>
      </c>
      <c r="G678" s="325" t="str">
        <f>IF(Excellent!O53="e","Y","")</f>
        <v/>
      </c>
      <c r="H678" s="325" t="str">
        <f>IFERROR(VLOOKUP($D678,'SDDA Dogs'!$A:$AE,2,FALSE),"")</f>
        <v/>
      </c>
      <c r="I678" s="325" t="str">
        <f>IFERROR(VLOOKUP($D678,'SDDA Dogs'!$A:$AE,3,FALSE),"")</f>
        <v/>
      </c>
      <c r="J678" s="325" t="str">
        <f>IFERROR(VLOOKUP($D678,'SDDA Dogs'!$A:$AE,6,FALSE),"")</f>
        <v/>
      </c>
      <c r="K678" s="325" t="str">
        <f>IF(Excellent!AS53="","",Excellent!AS53)</f>
        <v/>
      </c>
      <c r="L678" s="325" t="str">
        <f>IF(Excellent!AT53="","",Excellent!AT53)</f>
        <v/>
      </c>
      <c r="M678" s="326" t="str">
        <f>TrialDate</f>
        <v/>
      </c>
      <c r="N678" s="325" t="str">
        <f t="shared" ref="N678" si="758">N677</f>
        <v/>
      </c>
      <c r="O678" s="325">
        <f>JudgeD1ISE</f>
        <v>0</v>
      </c>
    </row>
    <row r="679" spans="1:15" x14ac:dyDescent="0.25">
      <c r="A679" s="2">
        <v>2</v>
      </c>
      <c r="B679" s="2">
        <f t="shared" ref="B679:O679" si="759">B678</f>
        <v>0</v>
      </c>
      <c r="C679" s="2" t="str">
        <f t="shared" si="759"/>
        <v>ISE</v>
      </c>
      <c r="D679" s="2">
        <f t="shared" si="759"/>
        <v>0</v>
      </c>
      <c r="E679" s="2" t="str">
        <f t="shared" si="759"/>
        <v>A</v>
      </c>
      <c r="F679" s="2" t="str">
        <f t="shared" si="759"/>
        <v>Interior Excellent</v>
      </c>
      <c r="G679" s="2" t="str">
        <f t="shared" si="759"/>
        <v/>
      </c>
      <c r="H679" s="2" t="str">
        <f t="shared" si="759"/>
        <v/>
      </c>
      <c r="I679" s="2" t="str">
        <f t="shared" si="759"/>
        <v/>
      </c>
      <c r="J679" s="2" t="str">
        <f t="shared" si="759"/>
        <v/>
      </c>
      <c r="K679" s="2" t="str">
        <f t="shared" si="759"/>
        <v/>
      </c>
      <c r="L679" s="2" t="str">
        <f t="shared" si="759"/>
        <v/>
      </c>
      <c r="M679" s="180" t="str">
        <f t="shared" si="759"/>
        <v/>
      </c>
      <c r="N679" s="2" t="str">
        <f t="shared" si="759"/>
        <v/>
      </c>
      <c r="O679" s="2">
        <f t="shared" si="759"/>
        <v>0</v>
      </c>
    </row>
    <row r="680" spans="1:15" x14ac:dyDescent="0.25">
      <c r="A680" s="325">
        <v>1</v>
      </c>
      <c r="B680" s="325">
        <f>TrialNumber</f>
        <v>0</v>
      </c>
      <c r="C680" s="325" t="s">
        <v>22</v>
      </c>
      <c r="D680" s="325">
        <f>Excellent!C54</f>
        <v>0</v>
      </c>
      <c r="E680" s="325" t="str">
        <f>IF(Excellent!B54="W","W","A")</f>
        <v>A</v>
      </c>
      <c r="F680" s="325" t="s">
        <v>1741</v>
      </c>
      <c r="G680" s="325" t="str">
        <f>IF(Excellent!O54="e","Y","")</f>
        <v/>
      </c>
      <c r="H680" s="325" t="str">
        <f>IFERROR(VLOOKUP($D680,'SDDA Dogs'!$A:$AE,2,FALSE),"")</f>
        <v/>
      </c>
      <c r="I680" s="325" t="str">
        <f>IFERROR(VLOOKUP($D680,'SDDA Dogs'!$A:$AE,3,FALSE),"")</f>
        <v/>
      </c>
      <c r="J680" s="325" t="str">
        <f>IFERROR(VLOOKUP($D680,'SDDA Dogs'!$A:$AE,6,FALSE),"")</f>
        <v/>
      </c>
      <c r="K680" s="325" t="str">
        <f>IF(Excellent!AS54="","",Excellent!AS54)</f>
        <v/>
      </c>
      <c r="L680" s="325" t="str">
        <f>IF(Excellent!AT54="","",Excellent!AT54)</f>
        <v/>
      </c>
      <c r="M680" s="326" t="str">
        <f>TrialDate</f>
        <v/>
      </c>
      <c r="N680" s="325" t="str">
        <f t="shared" ref="N680" si="760">N679</f>
        <v/>
      </c>
      <c r="O680" s="325">
        <f>JudgeD1ISE</f>
        <v>0</v>
      </c>
    </row>
    <row r="681" spans="1:15" x14ac:dyDescent="0.25">
      <c r="A681" s="2">
        <v>2</v>
      </c>
      <c r="B681" s="2">
        <f t="shared" ref="B681:O717" si="761">B680</f>
        <v>0</v>
      </c>
      <c r="C681" s="2" t="str">
        <f t="shared" si="761"/>
        <v>ISE</v>
      </c>
      <c r="D681" s="2">
        <f t="shared" si="761"/>
        <v>0</v>
      </c>
      <c r="E681" s="2" t="str">
        <f t="shared" si="761"/>
        <v>A</v>
      </c>
      <c r="F681" s="2" t="str">
        <f t="shared" si="761"/>
        <v>Interior Excellent</v>
      </c>
      <c r="G681" s="2" t="str">
        <f t="shared" si="761"/>
        <v/>
      </c>
      <c r="H681" s="2" t="str">
        <f t="shared" si="761"/>
        <v/>
      </c>
      <c r="I681" s="2" t="str">
        <f t="shared" si="761"/>
        <v/>
      </c>
      <c r="J681" s="2" t="str">
        <f t="shared" si="761"/>
        <v/>
      </c>
      <c r="K681" s="2" t="str">
        <f t="shared" si="761"/>
        <v/>
      </c>
      <c r="L681" s="2" t="str">
        <f t="shared" si="761"/>
        <v/>
      </c>
      <c r="M681" s="180" t="str">
        <f t="shared" si="761"/>
        <v/>
      </c>
      <c r="N681" s="2" t="str">
        <f t="shared" ref="N681" si="762">N680</f>
        <v/>
      </c>
      <c r="O681" s="2">
        <f t="shared" si="761"/>
        <v>0</v>
      </c>
    </row>
    <row r="682" spans="1:15" s="149" customFormat="1" x14ac:dyDescent="0.25">
      <c r="A682" s="327">
        <v>1</v>
      </c>
      <c r="B682" s="327">
        <f>TrialNumber</f>
        <v>0</v>
      </c>
      <c r="C682" s="327" t="s">
        <v>23</v>
      </c>
      <c r="D682" s="327">
        <f>Excellent!C5</f>
        <v>0</v>
      </c>
      <c r="E682" s="327" t="str">
        <f>IF(Excellent!B5="W","W","A")</f>
        <v>A</v>
      </c>
      <c r="F682" s="327" t="s">
        <v>1742</v>
      </c>
      <c r="G682" s="327" t="str">
        <f>IF(Excellent!W5="e","Y","")</f>
        <v/>
      </c>
      <c r="H682" s="327" t="str">
        <f>IFERROR(VLOOKUP($D682,'SDDA Dogs'!$A:$AE,2,FALSE),"")</f>
        <v/>
      </c>
      <c r="I682" s="327" t="str">
        <f>IFERROR(VLOOKUP($D682,'SDDA Dogs'!$A:$AE,3,FALSE),"")</f>
        <v/>
      </c>
      <c r="J682" s="327" t="str">
        <f>IFERROR(VLOOKUP($D682,'SDDA Dogs'!$A:$AE,6,FALSE),"")</f>
        <v/>
      </c>
      <c r="K682" s="327" t="str">
        <f>IF(Excellent!AS5="","",Excellent!AS5)</f>
        <v/>
      </c>
      <c r="L682" s="327" t="str">
        <f>IF(Excellent!AT5="","",Excellent!AT5)</f>
        <v/>
      </c>
      <c r="M682" s="328" t="str">
        <f>TrialDate</f>
        <v/>
      </c>
      <c r="N682" s="325" t="str">
        <f t="shared" ref="N682" si="763">N681</f>
        <v/>
      </c>
      <c r="O682" s="327">
        <f>JudgeD1ESE</f>
        <v>0</v>
      </c>
    </row>
    <row r="683" spans="1:15" x14ac:dyDescent="0.25">
      <c r="A683" s="2">
        <v>2</v>
      </c>
      <c r="B683" s="2">
        <f t="shared" si="761"/>
        <v>0</v>
      </c>
      <c r="C683" s="2" t="str">
        <f t="shared" si="761"/>
        <v>ESE</v>
      </c>
      <c r="D683" s="2">
        <f t="shared" si="761"/>
        <v>0</v>
      </c>
      <c r="E683" s="2" t="str">
        <f t="shared" si="761"/>
        <v>A</v>
      </c>
      <c r="F683" s="2" t="str">
        <f t="shared" si="761"/>
        <v>Exterior Excellent</v>
      </c>
      <c r="G683" s="2" t="str">
        <f t="shared" si="761"/>
        <v/>
      </c>
      <c r="H683" s="2" t="str">
        <f t="shared" si="761"/>
        <v/>
      </c>
      <c r="I683" s="2" t="str">
        <f t="shared" si="761"/>
        <v/>
      </c>
      <c r="J683" s="2" t="str">
        <f t="shared" si="761"/>
        <v/>
      </c>
      <c r="K683" s="2" t="str">
        <f t="shared" si="761"/>
        <v/>
      </c>
      <c r="L683" s="2" t="str">
        <f t="shared" si="761"/>
        <v/>
      </c>
      <c r="M683" s="180" t="str">
        <f t="shared" si="761"/>
        <v/>
      </c>
      <c r="N683" s="2" t="str">
        <f t="shared" ref="N683" si="764">N682</f>
        <v/>
      </c>
      <c r="O683" s="2">
        <f t="shared" si="761"/>
        <v>0</v>
      </c>
    </row>
    <row r="684" spans="1:15" x14ac:dyDescent="0.25">
      <c r="A684" s="325">
        <v>1</v>
      </c>
      <c r="B684" s="325">
        <f>TrialNumber</f>
        <v>0</v>
      </c>
      <c r="C684" s="325" t="s">
        <v>23</v>
      </c>
      <c r="D684" s="325">
        <f>Excellent!C6</f>
        <v>0</v>
      </c>
      <c r="E684" s="325" t="str">
        <f>IF(Excellent!B6="W","W","A")</f>
        <v>A</v>
      </c>
      <c r="F684" s="325" t="s">
        <v>1742</v>
      </c>
      <c r="G684" s="325" t="str">
        <f>IF(Excellent!W6="e","Y","")</f>
        <v/>
      </c>
      <c r="H684" s="325" t="str">
        <f>IFERROR(VLOOKUP($D684,'SDDA Dogs'!$A:$AE,2,FALSE),"")</f>
        <v/>
      </c>
      <c r="I684" s="325" t="str">
        <f>IFERROR(VLOOKUP($D684,'SDDA Dogs'!$A:$AE,3,FALSE),"")</f>
        <v/>
      </c>
      <c r="J684" s="325" t="str">
        <f>IFERROR(VLOOKUP($D684,'SDDA Dogs'!$A:$AE,6,FALSE),"")</f>
        <v/>
      </c>
      <c r="K684" s="325" t="str">
        <f>IF(Excellent!AS6="","",Excellent!AS6)</f>
        <v/>
      </c>
      <c r="L684" s="325" t="str">
        <f>IF(Excellent!AT6="","",Excellent!AT6)</f>
        <v/>
      </c>
      <c r="M684" s="326" t="str">
        <f>TrialDate</f>
        <v/>
      </c>
      <c r="N684" s="325" t="str">
        <f t="shared" ref="N684" si="765">N683</f>
        <v/>
      </c>
      <c r="O684" s="325">
        <f>JudgeD1ESE</f>
        <v>0</v>
      </c>
    </row>
    <row r="685" spans="1:15" x14ac:dyDescent="0.25">
      <c r="A685" s="2">
        <v>2</v>
      </c>
      <c r="B685" s="2">
        <f t="shared" si="761"/>
        <v>0</v>
      </c>
      <c r="C685" s="2" t="str">
        <f t="shared" si="761"/>
        <v>ESE</v>
      </c>
      <c r="D685" s="2">
        <f t="shared" si="761"/>
        <v>0</v>
      </c>
      <c r="E685" s="2" t="str">
        <f t="shared" si="761"/>
        <v>A</v>
      </c>
      <c r="F685" s="2" t="str">
        <f t="shared" si="761"/>
        <v>Exterior Excellent</v>
      </c>
      <c r="G685" s="2" t="str">
        <f t="shared" si="761"/>
        <v/>
      </c>
      <c r="H685" s="2" t="str">
        <f t="shared" si="761"/>
        <v/>
      </c>
      <c r="I685" s="2" t="str">
        <f t="shared" si="761"/>
        <v/>
      </c>
      <c r="J685" s="2" t="str">
        <f t="shared" si="761"/>
        <v/>
      </c>
      <c r="K685" s="2" t="str">
        <f t="shared" si="761"/>
        <v/>
      </c>
      <c r="L685" s="2" t="str">
        <f t="shared" si="761"/>
        <v/>
      </c>
      <c r="M685" s="180" t="str">
        <f t="shared" si="761"/>
        <v/>
      </c>
      <c r="N685" s="2" t="str">
        <f t="shared" ref="N685" si="766">N684</f>
        <v/>
      </c>
      <c r="O685" s="2">
        <f t="shared" si="761"/>
        <v>0</v>
      </c>
    </row>
    <row r="686" spans="1:15" x14ac:dyDescent="0.25">
      <c r="A686" s="325">
        <v>1</v>
      </c>
      <c r="B686" s="325">
        <f>TrialNumber</f>
        <v>0</v>
      </c>
      <c r="C686" s="325" t="s">
        <v>23</v>
      </c>
      <c r="D686" s="325">
        <f>Excellent!C7</f>
        <v>0</v>
      </c>
      <c r="E686" s="325" t="str">
        <f>IF(Excellent!B7="W","W","A")</f>
        <v>A</v>
      </c>
      <c r="F686" s="325" t="s">
        <v>1742</v>
      </c>
      <c r="G686" s="325" t="str">
        <f>IF(Excellent!W7="e","Y","")</f>
        <v/>
      </c>
      <c r="H686" s="325" t="str">
        <f>IFERROR(VLOOKUP($D686,'SDDA Dogs'!$A:$AE,2,FALSE),"")</f>
        <v/>
      </c>
      <c r="I686" s="325" t="str">
        <f>IFERROR(VLOOKUP($D686,'SDDA Dogs'!$A:$AE,3,FALSE),"")</f>
        <v/>
      </c>
      <c r="J686" s="325" t="str">
        <f>IFERROR(VLOOKUP($D686,'SDDA Dogs'!$A:$AE,6,FALSE),"")</f>
        <v/>
      </c>
      <c r="K686" s="325" t="str">
        <f>IF(Excellent!AS7="","",Excellent!AS7)</f>
        <v/>
      </c>
      <c r="L686" s="325" t="str">
        <f>IF(Excellent!AT7="","",Excellent!AT7)</f>
        <v/>
      </c>
      <c r="M686" s="326" t="str">
        <f>TrialDate</f>
        <v/>
      </c>
      <c r="N686" s="325" t="str">
        <f t="shared" ref="N686" si="767">N685</f>
        <v/>
      </c>
      <c r="O686" s="325">
        <f>JudgeD1ESE</f>
        <v>0</v>
      </c>
    </row>
    <row r="687" spans="1:15" x14ac:dyDescent="0.25">
      <c r="A687" s="2">
        <v>2</v>
      </c>
      <c r="B687" s="2">
        <f t="shared" si="761"/>
        <v>0</v>
      </c>
      <c r="C687" s="2" t="str">
        <f t="shared" si="761"/>
        <v>ESE</v>
      </c>
      <c r="D687" s="2">
        <f t="shared" si="761"/>
        <v>0</v>
      </c>
      <c r="E687" s="2" t="str">
        <f t="shared" si="761"/>
        <v>A</v>
      </c>
      <c r="F687" s="2" t="str">
        <f t="shared" si="761"/>
        <v>Exterior Excellent</v>
      </c>
      <c r="G687" s="2" t="str">
        <f t="shared" si="761"/>
        <v/>
      </c>
      <c r="H687" s="2" t="str">
        <f t="shared" si="761"/>
        <v/>
      </c>
      <c r="I687" s="2" t="str">
        <f t="shared" si="761"/>
        <v/>
      </c>
      <c r="J687" s="2" t="str">
        <f t="shared" si="761"/>
        <v/>
      </c>
      <c r="K687" s="2" t="str">
        <f t="shared" si="761"/>
        <v/>
      </c>
      <c r="L687" s="2" t="str">
        <f t="shared" si="761"/>
        <v/>
      </c>
      <c r="M687" s="180" t="str">
        <f t="shared" si="761"/>
        <v/>
      </c>
      <c r="N687" s="2" t="str">
        <f t="shared" ref="N687" si="768">N686</f>
        <v/>
      </c>
      <c r="O687" s="2">
        <f t="shared" si="761"/>
        <v>0</v>
      </c>
    </row>
    <row r="688" spans="1:15" x14ac:dyDescent="0.25">
      <c r="A688" s="325">
        <v>1</v>
      </c>
      <c r="B688" s="325">
        <f>TrialNumber</f>
        <v>0</v>
      </c>
      <c r="C688" s="325" t="s">
        <v>23</v>
      </c>
      <c r="D688" s="325">
        <f>Excellent!C8</f>
        <v>0</v>
      </c>
      <c r="E688" s="325" t="str">
        <f>IF(Excellent!B8="W","W","A")</f>
        <v>A</v>
      </c>
      <c r="F688" s="325" t="s">
        <v>1742</v>
      </c>
      <c r="G688" s="325" t="str">
        <f>IF(Excellent!W8="e","Y","")</f>
        <v/>
      </c>
      <c r="H688" s="325" t="str">
        <f>IFERROR(VLOOKUP($D688,'SDDA Dogs'!$A:$AE,2,FALSE),"")</f>
        <v/>
      </c>
      <c r="I688" s="325" t="str">
        <f>IFERROR(VLOOKUP($D688,'SDDA Dogs'!$A:$AE,3,FALSE),"")</f>
        <v/>
      </c>
      <c r="J688" s="325" t="str">
        <f>IFERROR(VLOOKUP($D688,'SDDA Dogs'!$A:$AE,6,FALSE),"")</f>
        <v/>
      </c>
      <c r="K688" s="325" t="str">
        <f>IF(Excellent!AS8="","",Excellent!AS8)</f>
        <v/>
      </c>
      <c r="L688" s="325" t="str">
        <f>IF(Excellent!AT8="","",Excellent!AT8)</f>
        <v/>
      </c>
      <c r="M688" s="326" t="str">
        <f>TrialDate</f>
        <v/>
      </c>
      <c r="N688" s="325" t="str">
        <f t="shared" ref="N688" si="769">N687</f>
        <v/>
      </c>
      <c r="O688" s="325">
        <f>JudgeD1ESE</f>
        <v>0</v>
      </c>
    </row>
    <row r="689" spans="1:15" x14ac:dyDescent="0.25">
      <c r="A689" s="2">
        <v>2</v>
      </c>
      <c r="B689" s="2">
        <f t="shared" si="761"/>
        <v>0</v>
      </c>
      <c r="C689" s="2" t="str">
        <f t="shared" si="761"/>
        <v>ESE</v>
      </c>
      <c r="D689" s="2">
        <f t="shared" si="761"/>
        <v>0</v>
      </c>
      <c r="E689" s="2" t="str">
        <f t="shared" si="761"/>
        <v>A</v>
      </c>
      <c r="F689" s="2" t="str">
        <f t="shared" si="761"/>
        <v>Exterior Excellent</v>
      </c>
      <c r="G689" s="2" t="str">
        <f t="shared" si="761"/>
        <v/>
      </c>
      <c r="H689" s="2" t="str">
        <f t="shared" si="761"/>
        <v/>
      </c>
      <c r="I689" s="2" t="str">
        <f t="shared" si="761"/>
        <v/>
      </c>
      <c r="J689" s="2" t="str">
        <f t="shared" si="761"/>
        <v/>
      </c>
      <c r="K689" s="2" t="str">
        <f t="shared" si="761"/>
        <v/>
      </c>
      <c r="L689" s="2" t="str">
        <f t="shared" si="761"/>
        <v/>
      </c>
      <c r="M689" s="180" t="str">
        <f t="shared" si="761"/>
        <v/>
      </c>
      <c r="N689" s="2" t="str">
        <f t="shared" ref="N689" si="770">N688</f>
        <v/>
      </c>
      <c r="O689" s="2">
        <f t="shared" si="761"/>
        <v>0</v>
      </c>
    </row>
    <row r="690" spans="1:15" x14ac:dyDescent="0.25">
      <c r="A690" s="325">
        <v>1</v>
      </c>
      <c r="B690" s="325">
        <f>TrialNumber</f>
        <v>0</v>
      </c>
      <c r="C690" s="325" t="s">
        <v>23</v>
      </c>
      <c r="D690" s="325">
        <f>Excellent!C9</f>
        <v>0</v>
      </c>
      <c r="E690" s="325" t="str">
        <f>IF(Excellent!B9="W","W","A")</f>
        <v>A</v>
      </c>
      <c r="F690" s="325" t="s">
        <v>1742</v>
      </c>
      <c r="G690" s="325" t="str">
        <f>IF(Excellent!W9="e","Y","")</f>
        <v/>
      </c>
      <c r="H690" s="325" t="str">
        <f>IFERROR(VLOOKUP($D690,'SDDA Dogs'!$A:$AE,2,FALSE),"")</f>
        <v/>
      </c>
      <c r="I690" s="325" t="str">
        <f>IFERROR(VLOOKUP($D690,'SDDA Dogs'!$A:$AE,3,FALSE),"")</f>
        <v/>
      </c>
      <c r="J690" s="325" t="str">
        <f>IFERROR(VLOOKUP($D690,'SDDA Dogs'!$A:$AE,6,FALSE),"")</f>
        <v/>
      </c>
      <c r="K690" s="325" t="str">
        <f>IF(Excellent!AS9="","",Excellent!AS9)</f>
        <v/>
      </c>
      <c r="L690" s="325" t="str">
        <f>IF(Excellent!AT9="","",Excellent!AT9)</f>
        <v/>
      </c>
      <c r="M690" s="326" t="str">
        <f>TrialDate</f>
        <v/>
      </c>
      <c r="N690" s="325" t="str">
        <f t="shared" ref="N690" si="771">N689</f>
        <v/>
      </c>
      <c r="O690" s="325">
        <f>JudgeD1ESE</f>
        <v>0</v>
      </c>
    </row>
    <row r="691" spans="1:15" x14ac:dyDescent="0.25">
      <c r="A691" s="2">
        <v>2</v>
      </c>
      <c r="B691" s="2">
        <f t="shared" si="761"/>
        <v>0</v>
      </c>
      <c r="C691" s="2" t="str">
        <f t="shared" si="761"/>
        <v>ESE</v>
      </c>
      <c r="D691" s="2">
        <f t="shared" si="761"/>
        <v>0</v>
      </c>
      <c r="E691" s="2" t="str">
        <f t="shared" si="761"/>
        <v>A</v>
      </c>
      <c r="F691" s="2" t="str">
        <f t="shared" si="761"/>
        <v>Exterior Excellent</v>
      </c>
      <c r="G691" s="2" t="str">
        <f t="shared" si="761"/>
        <v/>
      </c>
      <c r="H691" s="2" t="str">
        <f t="shared" si="761"/>
        <v/>
      </c>
      <c r="I691" s="2" t="str">
        <f t="shared" si="761"/>
        <v/>
      </c>
      <c r="J691" s="2" t="str">
        <f t="shared" si="761"/>
        <v/>
      </c>
      <c r="K691" s="2" t="str">
        <f t="shared" si="761"/>
        <v/>
      </c>
      <c r="L691" s="2" t="str">
        <f t="shared" si="761"/>
        <v/>
      </c>
      <c r="M691" s="180" t="str">
        <f t="shared" si="761"/>
        <v/>
      </c>
      <c r="N691" s="2" t="str">
        <f t="shared" ref="N691" si="772">N690</f>
        <v/>
      </c>
      <c r="O691" s="2">
        <f t="shared" si="761"/>
        <v>0</v>
      </c>
    </row>
    <row r="692" spans="1:15" x14ac:dyDescent="0.25">
      <c r="A692" s="325">
        <v>1</v>
      </c>
      <c r="B692" s="325">
        <f>TrialNumber</f>
        <v>0</v>
      </c>
      <c r="C692" s="325" t="s">
        <v>23</v>
      </c>
      <c r="D692" s="325">
        <f>Excellent!C10</f>
        <v>0</v>
      </c>
      <c r="E692" s="325" t="str">
        <f>IF(Excellent!B10="W","W","A")</f>
        <v>A</v>
      </c>
      <c r="F692" s="325" t="s">
        <v>1742</v>
      </c>
      <c r="G692" s="325" t="str">
        <f>IF(Excellent!W10="e","Y","")</f>
        <v/>
      </c>
      <c r="H692" s="325" t="str">
        <f>IFERROR(VLOOKUP($D692,'SDDA Dogs'!$A:$AE,2,FALSE),"")</f>
        <v/>
      </c>
      <c r="I692" s="325" t="str">
        <f>IFERROR(VLOOKUP($D692,'SDDA Dogs'!$A:$AE,3,FALSE),"")</f>
        <v/>
      </c>
      <c r="J692" s="325" t="str">
        <f>IFERROR(VLOOKUP($D692,'SDDA Dogs'!$A:$AE,6,FALSE),"")</f>
        <v/>
      </c>
      <c r="K692" s="325" t="str">
        <f>IF(Excellent!AS10="","",Excellent!AS10)</f>
        <v/>
      </c>
      <c r="L692" s="325" t="str">
        <f>IF(Excellent!AT10="","",Excellent!AT10)</f>
        <v/>
      </c>
      <c r="M692" s="326" t="str">
        <f>TrialDate</f>
        <v/>
      </c>
      <c r="N692" s="325" t="str">
        <f t="shared" ref="N692" si="773">N691</f>
        <v/>
      </c>
      <c r="O692" s="325">
        <f>JudgeD1ESE</f>
        <v>0</v>
      </c>
    </row>
    <row r="693" spans="1:15" x14ac:dyDescent="0.25">
      <c r="A693" s="2">
        <v>2</v>
      </c>
      <c r="B693" s="2">
        <f t="shared" si="761"/>
        <v>0</v>
      </c>
      <c r="C693" s="2" t="str">
        <f t="shared" si="761"/>
        <v>ESE</v>
      </c>
      <c r="D693" s="2">
        <f t="shared" si="761"/>
        <v>0</v>
      </c>
      <c r="E693" s="2" t="str">
        <f t="shared" si="761"/>
        <v>A</v>
      </c>
      <c r="F693" s="2" t="str">
        <f t="shared" si="761"/>
        <v>Exterior Excellent</v>
      </c>
      <c r="G693" s="2" t="str">
        <f t="shared" si="761"/>
        <v/>
      </c>
      <c r="H693" s="2" t="str">
        <f t="shared" si="761"/>
        <v/>
      </c>
      <c r="I693" s="2" t="str">
        <f t="shared" si="761"/>
        <v/>
      </c>
      <c r="J693" s="2" t="str">
        <f t="shared" si="761"/>
        <v/>
      </c>
      <c r="K693" s="2" t="str">
        <f t="shared" si="761"/>
        <v/>
      </c>
      <c r="L693" s="2" t="str">
        <f t="shared" si="761"/>
        <v/>
      </c>
      <c r="M693" s="180" t="str">
        <f t="shared" si="761"/>
        <v/>
      </c>
      <c r="N693" s="2" t="str">
        <f t="shared" ref="N693" si="774">N692</f>
        <v/>
      </c>
      <c r="O693" s="2">
        <f t="shared" si="761"/>
        <v>0</v>
      </c>
    </row>
    <row r="694" spans="1:15" x14ac:dyDescent="0.25">
      <c r="A694" s="325">
        <v>1</v>
      </c>
      <c r="B694" s="325">
        <f>TrialNumber</f>
        <v>0</v>
      </c>
      <c r="C694" s="325" t="s">
        <v>23</v>
      </c>
      <c r="D694" s="325">
        <f>Excellent!C11</f>
        <v>0</v>
      </c>
      <c r="E694" s="325" t="str">
        <f>IF(Excellent!B11="W","W","A")</f>
        <v>A</v>
      </c>
      <c r="F694" s="325" t="s">
        <v>1742</v>
      </c>
      <c r="G694" s="325" t="str">
        <f>IF(Excellent!W11="e","Y","")</f>
        <v/>
      </c>
      <c r="H694" s="325" t="str">
        <f>IFERROR(VLOOKUP($D694,'SDDA Dogs'!$A:$AE,2,FALSE),"")</f>
        <v/>
      </c>
      <c r="I694" s="325" t="str">
        <f>IFERROR(VLOOKUP($D694,'SDDA Dogs'!$A:$AE,3,FALSE),"")</f>
        <v/>
      </c>
      <c r="J694" s="325" t="str">
        <f>IFERROR(VLOOKUP($D694,'SDDA Dogs'!$A:$AE,6,FALSE),"")</f>
        <v/>
      </c>
      <c r="K694" s="325" t="str">
        <f>IF(Excellent!AS11="","",Excellent!AS11)</f>
        <v/>
      </c>
      <c r="L694" s="325" t="str">
        <f>IF(Excellent!AT11="","",Excellent!AT11)</f>
        <v/>
      </c>
      <c r="M694" s="326" t="str">
        <f>TrialDate</f>
        <v/>
      </c>
      <c r="N694" s="325" t="str">
        <f t="shared" ref="N694" si="775">N693</f>
        <v/>
      </c>
      <c r="O694" s="325">
        <f>JudgeD1ESE</f>
        <v>0</v>
      </c>
    </row>
    <row r="695" spans="1:15" x14ac:dyDescent="0.25">
      <c r="A695" s="2">
        <v>2</v>
      </c>
      <c r="B695" s="2">
        <f t="shared" si="761"/>
        <v>0</v>
      </c>
      <c r="C695" s="2" t="str">
        <f t="shared" si="761"/>
        <v>ESE</v>
      </c>
      <c r="D695" s="2">
        <f t="shared" si="761"/>
        <v>0</v>
      </c>
      <c r="E695" s="2" t="str">
        <f t="shared" si="761"/>
        <v>A</v>
      </c>
      <c r="F695" s="2" t="str">
        <f t="shared" si="761"/>
        <v>Exterior Excellent</v>
      </c>
      <c r="G695" s="2" t="str">
        <f t="shared" si="761"/>
        <v/>
      </c>
      <c r="H695" s="2" t="str">
        <f t="shared" si="761"/>
        <v/>
      </c>
      <c r="I695" s="2" t="str">
        <f t="shared" si="761"/>
        <v/>
      </c>
      <c r="J695" s="2" t="str">
        <f t="shared" si="761"/>
        <v/>
      </c>
      <c r="K695" s="2" t="str">
        <f t="shared" si="761"/>
        <v/>
      </c>
      <c r="L695" s="2" t="str">
        <f t="shared" si="761"/>
        <v/>
      </c>
      <c r="M695" s="180" t="str">
        <f t="shared" si="761"/>
        <v/>
      </c>
      <c r="N695" s="2" t="str">
        <f t="shared" ref="N695" si="776">N694</f>
        <v/>
      </c>
      <c r="O695" s="2">
        <f t="shared" si="761"/>
        <v>0</v>
      </c>
    </row>
    <row r="696" spans="1:15" x14ac:dyDescent="0.25">
      <c r="A696" s="325">
        <v>1</v>
      </c>
      <c r="B696" s="325">
        <f>TrialNumber</f>
        <v>0</v>
      </c>
      <c r="C696" s="325" t="s">
        <v>23</v>
      </c>
      <c r="D696" s="325">
        <f>Excellent!C12</f>
        <v>0</v>
      </c>
      <c r="E696" s="325" t="str">
        <f>IF(Excellent!B12="W","W","A")</f>
        <v>A</v>
      </c>
      <c r="F696" s="325" t="s">
        <v>1742</v>
      </c>
      <c r="G696" s="325" t="str">
        <f>IF(Excellent!W12="e","Y","")</f>
        <v/>
      </c>
      <c r="H696" s="325" t="str">
        <f>IFERROR(VLOOKUP($D696,'SDDA Dogs'!$A:$AE,2,FALSE),"")</f>
        <v/>
      </c>
      <c r="I696" s="325" t="str">
        <f>IFERROR(VLOOKUP($D696,'SDDA Dogs'!$A:$AE,3,FALSE),"")</f>
        <v/>
      </c>
      <c r="J696" s="325" t="str">
        <f>IFERROR(VLOOKUP($D696,'SDDA Dogs'!$A:$AE,6,FALSE),"")</f>
        <v/>
      </c>
      <c r="K696" s="325" t="str">
        <f>IF(Excellent!AS12="","",Excellent!AS12)</f>
        <v/>
      </c>
      <c r="L696" s="325" t="str">
        <f>IF(Excellent!AT12="","",Excellent!AT12)</f>
        <v/>
      </c>
      <c r="M696" s="326" t="str">
        <f>TrialDate</f>
        <v/>
      </c>
      <c r="N696" s="325" t="str">
        <f t="shared" ref="N696" si="777">N695</f>
        <v/>
      </c>
      <c r="O696" s="325">
        <f>JudgeD1ESE</f>
        <v>0</v>
      </c>
    </row>
    <row r="697" spans="1:15" x14ac:dyDescent="0.25">
      <c r="A697" s="2">
        <v>2</v>
      </c>
      <c r="B697" s="2">
        <f t="shared" si="761"/>
        <v>0</v>
      </c>
      <c r="C697" s="2" t="str">
        <f t="shared" si="761"/>
        <v>ESE</v>
      </c>
      <c r="D697" s="2">
        <f t="shared" si="761"/>
        <v>0</v>
      </c>
      <c r="E697" s="2" t="str">
        <f t="shared" si="761"/>
        <v>A</v>
      </c>
      <c r="F697" s="2" t="str">
        <f t="shared" si="761"/>
        <v>Exterior Excellent</v>
      </c>
      <c r="G697" s="2" t="str">
        <f t="shared" si="761"/>
        <v/>
      </c>
      <c r="H697" s="2" t="str">
        <f t="shared" si="761"/>
        <v/>
      </c>
      <c r="I697" s="2" t="str">
        <f t="shared" si="761"/>
        <v/>
      </c>
      <c r="J697" s="2" t="str">
        <f t="shared" si="761"/>
        <v/>
      </c>
      <c r="K697" s="2" t="str">
        <f t="shared" si="761"/>
        <v/>
      </c>
      <c r="L697" s="2" t="str">
        <f t="shared" si="761"/>
        <v/>
      </c>
      <c r="M697" s="180" t="str">
        <f t="shared" si="761"/>
        <v/>
      </c>
      <c r="N697" s="2" t="str">
        <f t="shared" ref="N697" si="778">N696</f>
        <v/>
      </c>
      <c r="O697" s="2">
        <f t="shared" si="761"/>
        <v>0</v>
      </c>
    </row>
    <row r="698" spans="1:15" x14ac:dyDescent="0.25">
      <c r="A698" s="325">
        <v>1</v>
      </c>
      <c r="B698" s="325">
        <f>TrialNumber</f>
        <v>0</v>
      </c>
      <c r="C698" s="325" t="s">
        <v>23</v>
      </c>
      <c r="D698" s="325">
        <f>Excellent!C13</f>
        <v>0</v>
      </c>
      <c r="E698" s="325" t="str">
        <f>IF(Excellent!B13="W","W","A")</f>
        <v>A</v>
      </c>
      <c r="F698" s="325" t="s">
        <v>1742</v>
      </c>
      <c r="G698" s="325" t="str">
        <f>IF(Excellent!W13="e","Y","")</f>
        <v/>
      </c>
      <c r="H698" s="325" t="str">
        <f>IFERROR(VLOOKUP($D698,'SDDA Dogs'!$A:$AE,2,FALSE),"")</f>
        <v/>
      </c>
      <c r="I698" s="325" t="str">
        <f>IFERROR(VLOOKUP($D698,'SDDA Dogs'!$A:$AE,3,FALSE),"")</f>
        <v/>
      </c>
      <c r="J698" s="325" t="str">
        <f>IFERROR(VLOOKUP($D698,'SDDA Dogs'!$A:$AE,6,FALSE),"")</f>
        <v/>
      </c>
      <c r="K698" s="325" t="str">
        <f>IF(Excellent!AS13="","",Excellent!AS13)</f>
        <v/>
      </c>
      <c r="L698" s="325" t="str">
        <f>IF(Excellent!AT13="","",Excellent!AT13)</f>
        <v/>
      </c>
      <c r="M698" s="326" t="str">
        <f>TrialDate</f>
        <v/>
      </c>
      <c r="N698" s="325" t="str">
        <f t="shared" ref="N698" si="779">N697</f>
        <v/>
      </c>
      <c r="O698" s="325">
        <f>JudgeD1ESE</f>
        <v>0</v>
      </c>
    </row>
    <row r="699" spans="1:15" x14ac:dyDescent="0.25">
      <c r="A699" s="2">
        <v>2</v>
      </c>
      <c r="B699" s="2">
        <f t="shared" si="761"/>
        <v>0</v>
      </c>
      <c r="C699" s="2" t="str">
        <f t="shared" si="761"/>
        <v>ESE</v>
      </c>
      <c r="D699" s="2">
        <f t="shared" si="761"/>
        <v>0</v>
      </c>
      <c r="E699" s="2" t="str">
        <f t="shared" si="761"/>
        <v>A</v>
      </c>
      <c r="F699" s="2" t="str">
        <f t="shared" si="761"/>
        <v>Exterior Excellent</v>
      </c>
      <c r="G699" s="2" t="str">
        <f t="shared" si="761"/>
        <v/>
      </c>
      <c r="H699" s="2" t="str">
        <f t="shared" si="761"/>
        <v/>
      </c>
      <c r="I699" s="2" t="str">
        <f t="shared" si="761"/>
        <v/>
      </c>
      <c r="J699" s="2" t="str">
        <f t="shared" si="761"/>
        <v/>
      </c>
      <c r="K699" s="2" t="str">
        <f t="shared" si="761"/>
        <v/>
      </c>
      <c r="L699" s="2" t="str">
        <f t="shared" si="761"/>
        <v/>
      </c>
      <c r="M699" s="180" t="str">
        <f t="shared" si="761"/>
        <v/>
      </c>
      <c r="N699" s="2" t="str">
        <f t="shared" ref="N699" si="780">N698</f>
        <v/>
      </c>
      <c r="O699" s="2">
        <f t="shared" si="761"/>
        <v>0</v>
      </c>
    </row>
    <row r="700" spans="1:15" x14ac:dyDescent="0.25">
      <c r="A700" s="325">
        <v>1</v>
      </c>
      <c r="B700" s="325">
        <f>TrialNumber</f>
        <v>0</v>
      </c>
      <c r="C700" s="325" t="s">
        <v>23</v>
      </c>
      <c r="D700" s="325">
        <f>Excellent!C14</f>
        <v>0</v>
      </c>
      <c r="E700" s="325" t="str">
        <f>IF(Excellent!B14="W","W","A")</f>
        <v>A</v>
      </c>
      <c r="F700" s="325" t="s">
        <v>1742</v>
      </c>
      <c r="G700" s="325" t="str">
        <f>IF(Excellent!W14="e","Y","")</f>
        <v/>
      </c>
      <c r="H700" s="325" t="str">
        <f>IFERROR(VLOOKUP($D700,'SDDA Dogs'!$A:$AE,2,FALSE),"")</f>
        <v/>
      </c>
      <c r="I700" s="325" t="str">
        <f>IFERROR(VLOOKUP($D700,'SDDA Dogs'!$A:$AE,3,FALSE),"")</f>
        <v/>
      </c>
      <c r="J700" s="325" t="str">
        <f>IFERROR(VLOOKUP($D700,'SDDA Dogs'!$A:$AE,6,FALSE),"")</f>
        <v/>
      </c>
      <c r="K700" s="325" t="str">
        <f>IF(Excellent!AS14="","",Excellent!AS14)</f>
        <v/>
      </c>
      <c r="L700" s="325" t="str">
        <f>IF(Excellent!AT14="","",Excellent!AT14)</f>
        <v/>
      </c>
      <c r="M700" s="326" t="str">
        <f>TrialDate</f>
        <v/>
      </c>
      <c r="N700" s="325" t="str">
        <f t="shared" ref="N700" si="781">N699</f>
        <v/>
      </c>
      <c r="O700" s="325">
        <f>JudgeD1ESE</f>
        <v>0</v>
      </c>
    </row>
    <row r="701" spans="1:15" x14ac:dyDescent="0.25">
      <c r="A701" s="2">
        <v>2</v>
      </c>
      <c r="B701" s="2">
        <f t="shared" si="761"/>
        <v>0</v>
      </c>
      <c r="C701" s="2" t="str">
        <f t="shared" si="761"/>
        <v>ESE</v>
      </c>
      <c r="D701" s="2">
        <f t="shared" si="761"/>
        <v>0</v>
      </c>
      <c r="E701" s="2" t="str">
        <f t="shared" si="761"/>
        <v>A</v>
      </c>
      <c r="F701" s="2" t="str">
        <f t="shared" si="761"/>
        <v>Exterior Excellent</v>
      </c>
      <c r="G701" s="2" t="str">
        <f t="shared" si="761"/>
        <v/>
      </c>
      <c r="H701" s="2" t="str">
        <f t="shared" si="761"/>
        <v/>
      </c>
      <c r="I701" s="2" t="str">
        <f t="shared" si="761"/>
        <v/>
      </c>
      <c r="J701" s="2" t="str">
        <f t="shared" si="761"/>
        <v/>
      </c>
      <c r="K701" s="2" t="str">
        <f t="shared" si="761"/>
        <v/>
      </c>
      <c r="L701" s="2" t="str">
        <f t="shared" si="761"/>
        <v/>
      </c>
      <c r="M701" s="180" t="str">
        <f t="shared" si="761"/>
        <v/>
      </c>
      <c r="N701" s="2" t="str">
        <f t="shared" ref="N701" si="782">N700</f>
        <v/>
      </c>
      <c r="O701" s="2">
        <f t="shared" si="761"/>
        <v>0</v>
      </c>
    </row>
    <row r="702" spans="1:15" x14ac:dyDescent="0.25">
      <c r="A702" s="325">
        <v>1</v>
      </c>
      <c r="B702" s="325">
        <f>TrialNumber</f>
        <v>0</v>
      </c>
      <c r="C702" s="325" t="s">
        <v>23</v>
      </c>
      <c r="D702" s="325">
        <f>Excellent!C15</f>
        <v>0</v>
      </c>
      <c r="E702" s="325" t="str">
        <f>IF(Excellent!B15="W","W","A")</f>
        <v>A</v>
      </c>
      <c r="F702" s="325" t="s">
        <v>1742</v>
      </c>
      <c r="G702" s="325" t="str">
        <f>IF(Excellent!W15="e","Y","")</f>
        <v/>
      </c>
      <c r="H702" s="325" t="str">
        <f>IFERROR(VLOOKUP($D702,'SDDA Dogs'!$A:$AE,2,FALSE),"")</f>
        <v/>
      </c>
      <c r="I702" s="325" t="str">
        <f>IFERROR(VLOOKUP($D702,'SDDA Dogs'!$A:$AE,3,FALSE),"")</f>
        <v/>
      </c>
      <c r="J702" s="325" t="str">
        <f>IFERROR(VLOOKUP($D702,'SDDA Dogs'!$A:$AE,6,FALSE),"")</f>
        <v/>
      </c>
      <c r="K702" s="325" t="str">
        <f>IF(Excellent!AS15="","",Excellent!AS15)</f>
        <v/>
      </c>
      <c r="L702" s="325" t="str">
        <f>IF(Excellent!AT15="","",Excellent!AT15)</f>
        <v/>
      </c>
      <c r="M702" s="326" t="str">
        <f>TrialDate</f>
        <v/>
      </c>
      <c r="N702" s="325" t="str">
        <f t="shared" ref="N702" si="783">N701</f>
        <v/>
      </c>
      <c r="O702" s="325">
        <f>JudgeD1ESE</f>
        <v>0</v>
      </c>
    </row>
    <row r="703" spans="1:15" x14ac:dyDescent="0.25">
      <c r="A703" s="2">
        <v>2</v>
      </c>
      <c r="B703" s="2">
        <f t="shared" si="761"/>
        <v>0</v>
      </c>
      <c r="C703" s="2" t="str">
        <f t="shared" si="761"/>
        <v>ESE</v>
      </c>
      <c r="D703" s="2">
        <f t="shared" si="761"/>
        <v>0</v>
      </c>
      <c r="E703" s="2" t="str">
        <f t="shared" si="761"/>
        <v>A</v>
      </c>
      <c r="F703" s="2" t="str">
        <f t="shared" si="761"/>
        <v>Exterior Excellent</v>
      </c>
      <c r="G703" s="2" t="str">
        <f t="shared" si="761"/>
        <v/>
      </c>
      <c r="H703" s="2" t="str">
        <f t="shared" si="761"/>
        <v/>
      </c>
      <c r="I703" s="2" t="str">
        <f t="shared" si="761"/>
        <v/>
      </c>
      <c r="J703" s="2" t="str">
        <f t="shared" si="761"/>
        <v/>
      </c>
      <c r="K703" s="2" t="str">
        <f t="shared" si="761"/>
        <v/>
      </c>
      <c r="L703" s="2" t="str">
        <f t="shared" si="761"/>
        <v/>
      </c>
      <c r="M703" s="180" t="str">
        <f t="shared" si="761"/>
        <v/>
      </c>
      <c r="N703" s="2" t="str">
        <f t="shared" ref="N703" si="784">N702</f>
        <v/>
      </c>
      <c r="O703" s="2">
        <f t="shared" si="761"/>
        <v>0</v>
      </c>
    </row>
    <row r="704" spans="1:15" x14ac:dyDescent="0.25">
      <c r="A704" s="325">
        <v>1</v>
      </c>
      <c r="B704" s="325">
        <f>TrialNumber</f>
        <v>0</v>
      </c>
      <c r="C704" s="325" t="s">
        <v>23</v>
      </c>
      <c r="D704" s="325">
        <f>Excellent!C16</f>
        <v>0</v>
      </c>
      <c r="E704" s="325" t="str">
        <f>IF(Excellent!B16="W","W","A")</f>
        <v>A</v>
      </c>
      <c r="F704" s="325" t="s">
        <v>1742</v>
      </c>
      <c r="G704" s="325" t="str">
        <f>IF(Excellent!W16="e","Y","")</f>
        <v/>
      </c>
      <c r="H704" s="325" t="str">
        <f>IFERROR(VLOOKUP($D704,'SDDA Dogs'!$A:$AE,2,FALSE),"")</f>
        <v/>
      </c>
      <c r="I704" s="325" t="str">
        <f>IFERROR(VLOOKUP($D704,'SDDA Dogs'!$A:$AE,3,FALSE),"")</f>
        <v/>
      </c>
      <c r="J704" s="325" t="str">
        <f>IFERROR(VLOOKUP($D704,'SDDA Dogs'!$A:$AE,6,FALSE),"")</f>
        <v/>
      </c>
      <c r="K704" s="325" t="str">
        <f>IF(Excellent!AS16="","",Excellent!AS16)</f>
        <v/>
      </c>
      <c r="L704" s="325" t="str">
        <f>IF(Excellent!AT16="","",Excellent!AT16)</f>
        <v/>
      </c>
      <c r="M704" s="326" t="str">
        <f>TrialDate</f>
        <v/>
      </c>
      <c r="N704" s="325" t="str">
        <f t="shared" ref="N704" si="785">N703</f>
        <v/>
      </c>
      <c r="O704" s="325">
        <f>JudgeD1ESE</f>
        <v>0</v>
      </c>
    </row>
    <row r="705" spans="1:15" x14ac:dyDescent="0.25">
      <c r="A705" s="2">
        <v>2</v>
      </c>
      <c r="B705" s="2">
        <f t="shared" si="761"/>
        <v>0</v>
      </c>
      <c r="C705" s="2" t="str">
        <f t="shared" si="761"/>
        <v>ESE</v>
      </c>
      <c r="D705" s="2">
        <f t="shared" si="761"/>
        <v>0</v>
      </c>
      <c r="E705" s="2" t="str">
        <f t="shared" si="761"/>
        <v>A</v>
      </c>
      <c r="F705" s="2" t="str">
        <f t="shared" si="761"/>
        <v>Exterior Excellent</v>
      </c>
      <c r="G705" s="2" t="str">
        <f t="shared" si="761"/>
        <v/>
      </c>
      <c r="H705" s="2" t="str">
        <f t="shared" si="761"/>
        <v/>
      </c>
      <c r="I705" s="2" t="str">
        <f t="shared" si="761"/>
        <v/>
      </c>
      <c r="J705" s="2" t="str">
        <f t="shared" si="761"/>
        <v/>
      </c>
      <c r="K705" s="2" t="str">
        <f t="shared" si="761"/>
        <v/>
      </c>
      <c r="L705" s="2" t="str">
        <f t="shared" si="761"/>
        <v/>
      </c>
      <c r="M705" s="180" t="str">
        <f t="shared" si="761"/>
        <v/>
      </c>
      <c r="N705" s="2" t="str">
        <f t="shared" ref="N705" si="786">N704</f>
        <v/>
      </c>
      <c r="O705" s="2">
        <f t="shared" si="761"/>
        <v>0</v>
      </c>
    </row>
    <row r="706" spans="1:15" x14ac:dyDescent="0.25">
      <c r="A706" s="325">
        <v>1</v>
      </c>
      <c r="B706" s="325">
        <f>TrialNumber</f>
        <v>0</v>
      </c>
      <c r="C706" s="325" t="s">
        <v>23</v>
      </c>
      <c r="D706" s="325">
        <f>Excellent!C17</f>
        <v>0</v>
      </c>
      <c r="E706" s="325" t="str">
        <f>IF(Excellent!B17="W","W","A")</f>
        <v>A</v>
      </c>
      <c r="F706" s="325" t="s">
        <v>1742</v>
      </c>
      <c r="G706" s="325" t="str">
        <f>IF(Excellent!W17="e","Y","")</f>
        <v/>
      </c>
      <c r="H706" s="325" t="str">
        <f>IFERROR(VLOOKUP($D706,'SDDA Dogs'!$A:$AE,2,FALSE),"")</f>
        <v/>
      </c>
      <c r="I706" s="325" t="str">
        <f>IFERROR(VLOOKUP($D706,'SDDA Dogs'!$A:$AE,3,FALSE),"")</f>
        <v/>
      </c>
      <c r="J706" s="325" t="str">
        <f>IFERROR(VLOOKUP($D706,'SDDA Dogs'!$A:$AE,6,FALSE),"")</f>
        <v/>
      </c>
      <c r="K706" s="325" t="str">
        <f>IF(Excellent!AS17="","",Excellent!AS17)</f>
        <v/>
      </c>
      <c r="L706" s="325" t="str">
        <f>IF(Excellent!AT17="","",Excellent!AT17)</f>
        <v/>
      </c>
      <c r="M706" s="326" t="str">
        <f>TrialDate</f>
        <v/>
      </c>
      <c r="N706" s="325" t="str">
        <f t="shared" ref="N706" si="787">N705</f>
        <v/>
      </c>
      <c r="O706" s="325">
        <f>JudgeD1ESE</f>
        <v>0</v>
      </c>
    </row>
    <row r="707" spans="1:15" x14ac:dyDescent="0.25">
      <c r="A707" s="2">
        <v>2</v>
      </c>
      <c r="B707" s="2">
        <f t="shared" si="761"/>
        <v>0</v>
      </c>
      <c r="C707" s="2" t="str">
        <f t="shared" si="761"/>
        <v>ESE</v>
      </c>
      <c r="D707" s="2">
        <f t="shared" si="761"/>
        <v>0</v>
      </c>
      <c r="E707" s="2" t="str">
        <f t="shared" si="761"/>
        <v>A</v>
      </c>
      <c r="F707" s="2" t="str">
        <f t="shared" si="761"/>
        <v>Exterior Excellent</v>
      </c>
      <c r="G707" s="2" t="str">
        <f t="shared" si="761"/>
        <v/>
      </c>
      <c r="H707" s="2" t="str">
        <f t="shared" si="761"/>
        <v/>
      </c>
      <c r="I707" s="2" t="str">
        <f t="shared" si="761"/>
        <v/>
      </c>
      <c r="J707" s="2" t="str">
        <f t="shared" si="761"/>
        <v/>
      </c>
      <c r="K707" s="2" t="str">
        <f t="shared" si="761"/>
        <v/>
      </c>
      <c r="L707" s="2" t="str">
        <f t="shared" si="761"/>
        <v/>
      </c>
      <c r="M707" s="180" t="str">
        <f t="shared" si="761"/>
        <v/>
      </c>
      <c r="N707" s="2" t="str">
        <f t="shared" ref="N707" si="788">N706</f>
        <v/>
      </c>
      <c r="O707" s="2">
        <f t="shared" si="761"/>
        <v>0</v>
      </c>
    </row>
    <row r="708" spans="1:15" x14ac:dyDescent="0.25">
      <c r="A708" s="325">
        <v>1</v>
      </c>
      <c r="B708" s="325">
        <f>TrialNumber</f>
        <v>0</v>
      </c>
      <c r="C708" s="325" t="s">
        <v>23</v>
      </c>
      <c r="D708" s="325">
        <f>Excellent!C18</f>
        <v>0</v>
      </c>
      <c r="E708" s="325" t="str">
        <f>IF(Excellent!B18="W","W","A")</f>
        <v>A</v>
      </c>
      <c r="F708" s="325" t="s">
        <v>1742</v>
      </c>
      <c r="G708" s="325" t="str">
        <f>IF(Excellent!W18="e","Y","")</f>
        <v/>
      </c>
      <c r="H708" s="325" t="str">
        <f>IFERROR(VLOOKUP($D708,'SDDA Dogs'!$A:$AE,2,FALSE),"")</f>
        <v/>
      </c>
      <c r="I708" s="325" t="str">
        <f>IFERROR(VLOOKUP($D708,'SDDA Dogs'!$A:$AE,3,FALSE),"")</f>
        <v/>
      </c>
      <c r="J708" s="325" t="str">
        <f>IFERROR(VLOOKUP($D708,'SDDA Dogs'!$A:$AE,6,FALSE),"")</f>
        <v/>
      </c>
      <c r="K708" s="325" t="str">
        <f>IF(Excellent!AS18="","",Excellent!AS18)</f>
        <v/>
      </c>
      <c r="L708" s="325" t="str">
        <f>IF(Excellent!AT18="","",Excellent!AT18)</f>
        <v/>
      </c>
      <c r="M708" s="326" t="str">
        <f>TrialDate</f>
        <v/>
      </c>
      <c r="N708" s="325" t="str">
        <f t="shared" ref="N708" si="789">N707</f>
        <v/>
      </c>
      <c r="O708" s="325">
        <f>JudgeD1ESE</f>
        <v>0</v>
      </c>
    </row>
    <row r="709" spans="1:15" x14ac:dyDescent="0.25">
      <c r="A709" s="2">
        <v>2</v>
      </c>
      <c r="B709" s="2">
        <f t="shared" si="761"/>
        <v>0</v>
      </c>
      <c r="C709" s="2" t="str">
        <f t="shared" si="761"/>
        <v>ESE</v>
      </c>
      <c r="D709" s="2">
        <f t="shared" si="761"/>
        <v>0</v>
      </c>
      <c r="E709" s="2" t="str">
        <f t="shared" si="761"/>
        <v>A</v>
      </c>
      <c r="F709" s="2" t="str">
        <f t="shared" si="761"/>
        <v>Exterior Excellent</v>
      </c>
      <c r="G709" s="2" t="str">
        <f t="shared" si="761"/>
        <v/>
      </c>
      <c r="H709" s="2" t="str">
        <f t="shared" si="761"/>
        <v/>
      </c>
      <c r="I709" s="2" t="str">
        <f t="shared" si="761"/>
        <v/>
      </c>
      <c r="J709" s="2" t="str">
        <f t="shared" si="761"/>
        <v/>
      </c>
      <c r="K709" s="2" t="str">
        <f t="shared" si="761"/>
        <v/>
      </c>
      <c r="L709" s="2" t="str">
        <f t="shared" si="761"/>
        <v/>
      </c>
      <c r="M709" s="180" t="str">
        <f t="shared" si="761"/>
        <v/>
      </c>
      <c r="N709" s="2" t="str">
        <f t="shared" ref="N709" si="790">N708</f>
        <v/>
      </c>
      <c r="O709" s="2">
        <f t="shared" si="761"/>
        <v>0</v>
      </c>
    </row>
    <row r="710" spans="1:15" x14ac:dyDescent="0.25">
      <c r="A710" s="325">
        <v>1</v>
      </c>
      <c r="B710" s="325">
        <f>TrialNumber</f>
        <v>0</v>
      </c>
      <c r="C710" s="325" t="s">
        <v>23</v>
      </c>
      <c r="D710" s="325">
        <f>Excellent!C19</f>
        <v>0</v>
      </c>
      <c r="E710" s="325" t="str">
        <f>IF(Excellent!B19="W","W","A")</f>
        <v>A</v>
      </c>
      <c r="F710" s="325" t="s">
        <v>1742</v>
      </c>
      <c r="G710" s="325" t="str">
        <f>IF(Excellent!W19="e","Y","")</f>
        <v/>
      </c>
      <c r="H710" s="325" t="str">
        <f>IFERROR(VLOOKUP($D710,'SDDA Dogs'!$A:$AE,2,FALSE),"")</f>
        <v/>
      </c>
      <c r="I710" s="325" t="str">
        <f>IFERROR(VLOOKUP($D710,'SDDA Dogs'!$A:$AE,3,FALSE),"")</f>
        <v/>
      </c>
      <c r="J710" s="325" t="str">
        <f>IFERROR(VLOOKUP($D710,'SDDA Dogs'!$A:$AE,6,FALSE),"")</f>
        <v/>
      </c>
      <c r="K710" s="325" t="str">
        <f>IF(Excellent!AS19="","",Excellent!AS19)</f>
        <v/>
      </c>
      <c r="L710" s="325" t="str">
        <f>IF(Excellent!AT19="","",Excellent!AT19)</f>
        <v/>
      </c>
      <c r="M710" s="326" t="str">
        <f>TrialDate</f>
        <v/>
      </c>
      <c r="N710" s="325" t="str">
        <f t="shared" ref="N710" si="791">N709</f>
        <v/>
      </c>
      <c r="O710" s="325">
        <f>JudgeD1ESE</f>
        <v>0</v>
      </c>
    </row>
    <row r="711" spans="1:15" x14ac:dyDescent="0.25">
      <c r="A711" s="2">
        <v>2</v>
      </c>
      <c r="B711" s="2">
        <f t="shared" si="761"/>
        <v>0</v>
      </c>
      <c r="C711" s="2" t="str">
        <f t="shared" si="761"/>
        <v>ESE</v>
      </c>
      <c r="D711" s="2">
        <f t="shared" si="761"/>
        <v>0</v>
      </c>
      <c r="E711" s="2" t="str">
        <f t="shared" si="761"/>
        <v>A</v>
      </c>
      <c r="F711" s="2" t="str">
        <f t="shared" si="761"/>
        <v>Exterior Excellent</v>
      </c>
      <c r="G711" s="2" t="str">
        <f t="shared" si="761"/>
        <v/>
      </c>
      <c r="H711" s="2" t="str">
        <f t="shared" si="761"/>
        <v/>
      </c>
      <c r="I711" s="2" t="str">
        <f t="shared" si="761"/>
        <v/>
      </c>
      <c r="J711" s="2" t="str">
        <f t="shared" si="761"/>
        <v/>
      </c>
      <c r="K711" s="2" t="str">
        <f t="shared" si="761"/>
        <v/>
      </c>
      <c r="L711" s="2" t="str">
        <f t="shared" si="761"/>
        <v/>
      </c>
      <c r="M711" s="180" t="str">
        <f t="shared" si="761"/>
        <v/>
      </c>
      <c r="N711" s="2" t="str">
        <f t="shared" ref="N711" si="792">N710</f>
        <v/>
      </c>
      <c r="O711" s="2">
        <f t="shared" si="761"/>
        <v>0</v>
      </c>
    </row>
    <row r="712" spans="1:15" x14ac:dyDescent="0.25">
      <c r="A712" s="325">
        <v>1</v>
      </c>
      <c r="B712" s="325">
        <f>TrialNumber</f>
        <v>0</v>
      </c>
      <c r="C712" s="325" t="s">
        <v>23</v>
      </c>
      <c r="D712" s="325">
        <f>Excellent!C20</f>
        <v>0</v>
      </c>
      <c r="E712" s="325" t="str">
        <f>IF(Excellent!B20="W","W","A")</f>
        <v>A</v>
      </c>
      <c r="F712" s="325" t="s">
        <v>1742</v>
      </c>
      <c r="G712" s="325" t="str">
        <f>IF(Excellent!W20="e","Y","")</f>
        <v/>
      </c>
      <c r="H712" s="325" t="str">
        <f>IFERROR(VLOOKUP($D712,'SDDA Dogs'!$A:$AE,2,FALSE),"")</f>
        <v/>
      </c>
      <c r="I712" s="325" t="str">
        <f>IFERROR(VLOOKUP($D712,'SDDA Dogs'!$A:$AE,3,FALSE),"")</f>
        <v/>
      </c>
      <c r="J712" s="325" t="str">
        <f>IFERROR(VLOOKUP($D712,'SDDA Dogs'!$A:$AE,6,FALSE),"")</f>
        <v/>
      </c>
      <c r="K712" s="325" t="str">
        <f>IF(Excellent!AS20="","",Excellent!AS20)</f>
        <v/>
      </c>
      <c r="L712" s="325" t="str">
        <f>IF(Excellent!AT20="","",Excellent!AT20)</f>
        <v/>
      </c>
      <c r="M712" s="326" t="str">
        <f>TrialDate</f>
        <v/>
      </c>
      <c r="N712" s="325" t="str">
        <f t="shared" ref="N712" si="793">N711</f>
        <v/>
      </c>
      <c r="O712" s="325">
        <f>JudgeD1ESE</f>
        <v>0</v>
      </c>
    </row>
    <row r="713" spans="1:15" x14ac:dyDescent="0.25">
      <c r="A713" s="2">
        <v>2</v>
      </c>
      <c r="B713" s="2">
        <f t="shared" si="761"/>
        <v>0</v>
      </c>
      <c r="C713" s="2" t="str">
        <f t="shared" si="761"/>
        <v>ESE</v>
      </c>
      <c r="D713" s="2">
        <f t="shared" si="761"/>
        <v>0</v>
      </c>
      <c r="E713" s="2" t="str">
        <f t="shared" si="761"/>
        <v>A</v>
      </c>
      <c r="F713" s="2" t="str">
        <f t="shared" si="761"/>
        <v>Exterior Excellent</v>
      </c>
      <c r="G713" s="2" t="str">
        <f t="shared" si="761"/>
        <v/>
      </c>
      <c r="H713" s="2" t="str">
        <f t="shared" si="761"/>
        <v/>
      </c>
      <c r="I713" s="2" t="str">
        <f t="shared" si="761"/>
        <v/>
      </c>
      <c r="J713" s="2" t="str">
        <f t="shared" si="761"/>
        <v/>
      </c>
      <c r="K713" s="2" t="str">
        <f t="shared" si="761"/>
        <v/>
      </c>
      <c r="L713" s="2" t="str">
        <f t="shared" si="761"/>
        <v/>
      </c>
      <c r="M713" s="180" t="str">
        <f t="shared" si="761"/>
        <v/>
      </c>
      <c r="N713" s="2" t="str">
        <f t="shared" ref="N713" si="794">N712</f>
        <v/>
      </c>
      <c r="O713" s="2">
        <f t="shared" si="761"/>
        <v>0</v>
      </c>
    </row>
    <row r="714" spans="1:15" x14ac:dyDescent="0.25">
      <c r="A714" s="325">
        <v>1</v>
      </c>
      <c r="B714" s="325">
        <f>TrialNumber</f>
        <v>0</v>
      </c>
      <c r="C714" s="325" t="s">
        <v>23</v>
      </c>
      <c r="D714" s="325">
        <f>Excellent!C21</f>
        <v>0</v>
      </c>
      <c r="E714" s="325" t="str">
        <f>IF(Excellent!B21="W","W","A")</f>
        <v>A</v>
      </c>
      <c r="F714" s="325" t="s">
        <v>1742</v>
      </c>
      <c r="G714" s="325" t="str">
        <f>IF(Excellent!W21="e","Y","")</f>
        <v/>
      </c>
      <c r="H714" s="325" t="str">
        <f>IFERROR(VLOOKUP($D714,'SDDA Dogs'!$A:$AE,2,FALSE),"")</f>
        <v/>
      </c>
      <c r="I714" s="325" t="str">
        <f>IFERROR(VLOOKUP($D714,'SDDA Dogs'!$A:$AE,3,FALSE),"")</f>
        <v/>
      </c>
      <c r="J714" s="325" t="str">
        <f>IFERROR(VLOOKUP($D714,'SDDA Dogs'!$A:$AE,6,FALSE),"")</f>
        <v/>
      </c>
      <c r="K714" s="325" t="str">
        <f>IF(Excellent!AS21="","",Excellent!AS21)</f>
        <v/>
      </c>
      <c r="L714" s="325" t="str">
        <f>IF(Excellent!AT21="","",Excellent!AT21)</f>
        <v/>
      </c>
      <c r="M714" s="326" t="str">
        <f>TrialDate</f>
        <v/>
      </c>
      <c r="N714" s="325" t="str">
        <f t="shared" ref="N714" si="795">N713</f>
        <v/>
      </c>
      <c r="O714" s="325">
        <f>JudgeD1ESE</f>
        <v>0</v>
      </c>
    </row>
    <row r="715" spans="1:15" x14ac:dyDescent="0.25">
      <c r="A715" s="2">
        <v>2</v>
      </c>
      <c r="B715" s="2">
        <f t="shared" si="761"/>
        <v>0</v>
      </c>
      <c r="C715" s="2" t="str">
        <f t="shared" si="761"/>
        <v>ESE</v>
      </c>
      <c r="D715" s="2">
        <f t="shared" si="761"/>
        <v>0</v>
      </c>
      <c r="E715" s="2" t="str">
        <f t="shared" si="761"/>
        <v>A</v>
      </c>
      <c r="F715" s="2" t="str">
        <f t="shared" si="761"/>
        <v>Exterior Excellent</v>
      </c>
      <c r="G715" s="2" t="str">
        <f t="shared" si="761"/>
        <v/>
      </c>
      <c r="H715" s="2" t="str">
        <f t="shared" si="761"/>
        <v/>
      </c>
      <c r="I715" s="2" t="str">
        <f t="shared" si="761"/>
        <v/>
      </c>
      <c r="J715" s="2" t="str">
        <f t="shared" si="761"/>
        <v/>
      </c>
      <c r="K715" s="2" t="str">
        <f t="shared" si="761"/>
        <v/>
      </c>
      <c r="L715" s="2" t="str">
        <f t="shared" si="761"/>
        <v/>
      </c>
      <c r="M715" s="180" t="str">
        <f t="shared" si="761"/>
        <v/>
      </c>
      <c r="N715" s="2" t="str">
        <f t="shared" ref="N715" si="796">N714</f>
        <v/>
      </c>
      <c r="O715" s="2">
        <f t="shared" si="761"/>
        <v>0</v>
      </c>
    </row>
    <row r="716" spans="1:15" x14ac:dyDescent="0.25">
      <c r="A716" s="325">
        <v>1</v>
      </c>
      <c r="B716" s="325">
        <f>TrialNumber</f>
        <v>0</v>
      </c>
      <c r="C716" s="325" t="s">
        <v>23</v>
      </c>
      <c r="D716" s="325">
        <f>Excellent!C22</f>
        <v>0</v>
      </c>
      <c r="E716" s="325" t="str">
        <f>IF(Excellent!B22="W","W","A")</f>
        <v>A</v>
      </c>
      <c r="F716" s="325" t="s">
        <v>1742</v>
      </c>
      <c r="G716" s="325" t="str">
        <f>IF(Excellent!W22="e","Y","")</f>
        <v/>
      </c>
      <c r="H716" s="325" t="str">
        <f>IFERROR(VLOOKUP($D716,'SDDA Dogs'!$A:$AE,2,FALSE),"")</f>
        <v/>
      </c>
      <c r="I716" s="325" t="str">
        <f>IFERROR(VLOOKUP($D716,'SDDA Dogs'!$A:$AE,3,FALSE),"")</f>
        <v/>
      </c>
      <c r="J716" s="325" t="str">
        <f>IFERROR(VLOOKUP($D716,'SDDA Dogs'!$A:$AE,6,FALSE),"")</f>
        <v/>
      </c>
      <c r="K716" s="325" t="str">
        <f>IF(Excellent!AS22="","",Excellent!AS22)</f>
        <v/>
      </c>
      <c r="L716" s="325" t="str">
        <f>IF(Excellent!AT22="","",Excellent!AT22)</f>
        <v/>
      </c>
      <c r="M716" s="326" t="str">
        <f>TrialDate</f>
        <v/>
      </c>
      <c r="N716" s="325" t="str">
        <f t="shared" ref="N716" si="797">N715</f>
        <v/>
      </c>
      <c r="O716" s="325">
        <f>JudgeD1ESE</f>
        <v>0</v>
      </c>
    </row>
    <row r="717" spans="1:15" x14ac:dyDescent="0.25">
      <c r="A717" s="2">
        <v>2</v>
      </c>
      <c r="B717" s="2">
        <f t="shared" si="761"/>
        <v>0</v>
      </c>
      <c r="C717" s="2" t="str">
        <f t="shared" si="761"/>
        <v>ESE</v>
      </c>
      <c r="D717" s="2">
        <f t="shared" si="761"/>
        <v>0</v>
      </c>
      <c r="E717" s="2" t="str">
        <f t="shared" ref="E717:O723" si="798">E716</f>
        <v>A</v>
      </c>
      <c r="F717" s="2" t="str">
        <f t="shared" si="798"/>
        <v>Exterior Excellent</v>
      </c>
      <c r="G717" s="2" t="str">
        <f t="shared" si="798"/>
        <v/>
      </c>
      <c r="H717" s="2" t="str">
        <f t="shared" si="798"/>
        <v/>
      </c>
      <c r="I717" s="2" t="str">
        <f t="shared" si="798"/>
        <v/>
      </c>
      <c r="J717" s="2" t="str">
        <f t="shared" si="798"/>
        <v/>
      </c>
      <c r="K717" s="2" t="str">
        <f t="shared" si="798"/>
        <v/>
      </c>
      <c r="L717" s="2" t="str">
        <f t="shared" si="798"/>
        <v/>
      </c>
      <c r="M717" s="180" t="str">
        <f t="shared" si="798"/>
        <v/>
      </c>
      <c r="N717" s="2" t="str">
        <f t="shared" si="798"/>
        <v/>
      </c>
      <c r="O717" s="2">
        <f t="shared" si="798"/>
        <v>0</v>
      </c>
    </row>
    <row r="718" spans="1:15" x14ac:dyDescent="0.25">
      <c r="A718" s="325">
        <v>1</v>
      </c>
      <c r="B718" s="325">
        <f>TrialNumber</f>
        <v>0</v>
      </c>
      <c r="C718" s="325" t="s">
        <v>23</v>
      </c>
      <c r="D718" s="325">
        <f>Excellent!C23</f>
        <v>0</v>
      </c>
      <c r="E718" s="325" t="str">
        <f>IF(Excellent!B23="W","W","A")</f>
        <v>A</v>
      </c>
      <c r="F718" s="325" t="s">
        <v>1742</v>
      </c>
      <c r="G718" s="325" t="str">
        <f>IF(Excellent!W23="e","Y","")</f>
        <v/>
      </c>
      <c r="H718" s="325" t="str">
        <f>IFERROR(VLOOKUP($D718,'SDDA Dogs'!$A:$AE,2,FALSE),"")</f>
        <v/>
      </c>
      <c r="I718" s="325" t="str">
        <f>IFERROR(VLOOKUP($D718,'SDDA Dogs'!$A:$AE,3,FALSE),"")</f>
        <v/>
      </c>
      <c r="J718" s="325" t="str">
        <f>IFERROR(VLOOKUP($D718,'SDDA Dogs'!$A:$AE,6,FALSE),"")</f>
        <v/>
      </c>
      <c r="K718" s="325" t="str">
        <f>IF(Excellent!AS23="","",Excellent!AS23)</f>
        <v/>
      </c>
      <c r="L718" s="325" t="str">
        <f>IF(Excellent!AT23="","",Excellent!AT23)</f>
        <v/>
      </c>
      <c r="M718" s="326" t="str">
        <f>TrialDate</f>
        <v/>
      </c>
      <c r="N718" s="325" t="str">
        <f t="shared" ref="N718" si="799">N717</f>
        <v/>
      </c>
      <c r="O718" s="325">
        <f>JudgeD1ESE</f>
        <v>0</v>
      </c>
    </row>
    <row r="719" spans="1:15" x14ac:dyDescent="0.25">
      <c r="A719" s="2">
        <v>2</v>
      </c>
      <c r="B719" s="2">
        <f t="shared" ref="B719:D723" si="800">B718</f>
        <v>0</v>
      </c>
      <c r="C719" s="2" t="str">
        <f t="shared" si="800"/>
        <v>ESE</v>
      </c>
      <c r="D719" s="2">
        <f t="shared" si="800"/>
        <v>0</v>
      </c>
      <c r="E719" s="2" t="str">
        <f t="shared" si="798"/>
        <v>A</v>
      </c>
      <c r="F719" s="2" t="str">
        <f t="shared" si="798"/>
        <v>Exterior Excellent</v>
      </c>
      <c r="G719" s="2" t="str">
        <f t="shared" si="798"/>
        <v/>
      </c>
      <c r="H719" s="2" t="str">
        <f t="shared" si="798"/>
        <v/>
      </c>
      <c r="I719" s="2" t="str">
        <f t="shared" si="798"/>
        <v/>
      </c>
      <c r="J719" s="2" t="str">
        <f t="shared" si="798"/>
        <v/>
      </c>
      <c r="K719" s="2" t="str">
        <f t="shared" si="798"/>
        <v/>
      </c>
      <c r="L719" s="2" t="str">
        <f t="shared" si="798"/>
        <v/>
      </c>
      <c r="M719" s="180" t="str">
        <f t="shared" si="798"/>
        <v/>
      </c>
      <c r="N719" s="2" t="str">
        <f t="shared" si="798"/>
        <v/>
      </c>
      <c r="O719" s="2">
        <f t="shared" si="798"/>
        <v>0</v>
      </c>
    </row>
    <row r="720" spans="1:15" x14ac:dyDescent="0.25">
      <c r="A720" s="325">
        <v>1</v>
      </c>
      <c r="B720" s="325">
        <f>TrialNumber</f>
        <v>0</v>
      </c>
      <c r="C720" s="325" t="s">
        <v>23</v>
      </c>
      <c r="D720" s="325">
        <f>Excellent!C24</f>
        <v>0</v>
      </c>
      <c r="E720" s="325" t="str">
        <f>IF(Excellent!B24="W","W","A")</f>
        <v>A</v>
      </c>
      <c r="F720" s="325" t="s">
        <v>1742</v>
      </c>
      <c r="G720" s="325" t="str">
        <f>IF(Excellent!W24="e","Y","")</f>
        <v/>
      </c>
      <c r="H720" s="325" t="str">
        <f>IFERROR(VLOOKUP($D720,'SDDA Dogs'!$A:$AE,2,FALSE),"")</f>
        <v/>
      </c>
      <c r="I720" s="325" t="str">
        <f>IFERROR(VLOOKUP($D720,'SDDA Dogs'!$A:$AE,3,FALSE),"")</f>
        <v/>
      </c>
      <c r="J720" s="325" t="str">
        <f>IFERROR(VLOOKUP($D720,'SDDA Dogs'!$A:$AE,6,FALSE),"")</f>
        <v/>
      </c>
      <c r="K720" s="325" t="str">
        <f>IF(Excellent!AS24="","",Excellent!AS24)</f>
        <v/>
      </c>
      <c r="L720" s="325" t="str">
        <f>IF(Excellent!AT24="","",Excellent!AT24)</f>
        <v/>
      </c>
      <c r="M720" s="326" t="str">
        <f>TrialDate</f>
        <v/>
      </c>
      <c r="N720" s="325" t="str">
        <f t="shared" ref="N720" si="801">N719</f>
        <v/>
      </c>
      <c r="O720" s="325">
        <f>JudgeD1ESE</f>
        <v>0</v>
      </c>
    </row>
    <row r="721" spans="1:15" x14ac:dyDescent="0.25">
      <c r="A721" s="2">
        <v>2</v>
      </c>
      <c r="B721" s="2">
        <f t="shared" si="800"/>
        <v>0</v>
      </c>
      <c r="C721" s="2" t="str">
        <f t="shared" si="800"/>
        <v>ESE</v>
      </c>
      <c r="D721" s="2">
        <f t="shared" si="800"/>
        <v>0</v>
      </c>
      <c r="E721" s="2" t="str">
        <f t="shared" si="798"/>
        <v>A</v>
      </c>
      <c r="F721" s="2" t="str">
        <f t="shared" si="798"/>
        <v>Exterior Excellent</v>
      </c>
      <c r="G721" s="2" t="str">
        <f t="shared" si="798"/>
        <v/>
      </c>
      <c r="H721" s="2" t="str">
        <f t="shared" si="798"/>
        <v/>
      </c>
      <c r="I721" s="2" t="str">
        <f t="shared" si="798"/>
        <v/>
      </c>
      <c r="J721" s="2" t="str">
        <f t="shared" si="798"/>
        <v/>
      </c>
      <c r="K721" s="2" t="str">
        <f t="shared" si="798"/>
        <v/>
      </c>
      <c r="L721" s="2" t="str">
        <f t="shared" si="798"/>
        <v/>
      </c>
      <c r="M721" s="180" t="str">
        <f t="shared" si="798"/>
        <v/>
      </c>
      <c r="N721" s="2" t="str">
        <f t="shared" si="798"/>
        <v/>
      </c>
      <c r="O721" s="2">
        <f t="shared" si="798"/>
        <v>0</v>
      </c>
    </row>
    <row r="722" spans="1:15" x14ac:dyDescent="0.25">
      <c r="A722" s="325">
        <v>1</v>
      </c>
      <c r="B722" s="325">
        <f>TrialNumber</f>
        <v>0</v>
      </c>
      <c r="C722" s="325" t="s">
        <v>23</v>
      </c>
      <c r="D722" s="325">
        <f>Excellent!C25</f>
        <v>0</v>
      </c>
      <c r="E722" s="325" t="str">
        <f>IF(Excellent!B25="W","W","A")</f>
        <v>A</v>
      </c>
      <c r="F722" s="325" t="s">
        <v>1742</v>
      </c>
      <c r="G722" s="325" t="str">
        <f>IF(Excellent!W25="e","Y","")</f>
        <v/>
      </c>
      <c r="H722" s="325" t="str">
        <f>IFERROR(VLOOKUP($D722,'SDDA Dogs'!$A:$AE,2,FALSE),"")</f>
        <v/>
      </c>
      <c r="I722" s="325" t="str">
        <f>IFERROR(VLOOKUP($D722,'SDDA Dogs'!$A:$AE,3,FALSE),"")</f>
        <v/>
      </c>
      <c r="J722" s="325" t="str">
        <f>IFERROR(VLOOKUP($D722,'SDDA Dogs'!$A:$AE,6,FALSE),"")</f>
        <v/>
      </c>
      <c r="K722" s="325" t="str">
        <f>IF(Excellent!AS25="","",Excellent!AS25)</f>
        <v/>
      </c>
      <c r="L722" s="325" t="str">
        <f>IF(Excellent!AT25="","",Excellent!AT25)</f>
        <v/>
      </c>
      <c r="M722" s="326" t="str">
        <f>TrialDate</f>
        <v/>
      </c>
      <c r="N722" s="325" t="str">
        <f t="shared" ref="N722" si="802">N721</f>
        <v/>
      </c>
      <c r="O722" s="325">
        <f>JudgeD1ESE</f>
        <v>0</v>
      </c>
    </row>
    <row r="723" spans="1:15" x14ac:dyDescent="0.25">
      <c r="A723" s="2">
        <v>2</v>
      </c>
      <c r="B723" s="2">
        <f t="shared" si="800"/>
        <v>0</v>
      </c>
      <c r="C723" s="2" t="str">
        <f t="shared" si="800"/>
        <v>ESE</v>
      </c>
      <c r="D723" s="2">
        <f t="shared" si="800"/>
        <v>0</v>
      </c>
      <c r="E723" s="2" t="str">
        <f t="shared" si="798"/>
        <v>A</v>
      </c>
      <c r="F723" s="2" t="str">
        <f t="shared" si="798"/>
        <v>Exterior Excellent</v>
      </c>
      <c r="G723" s="2" t="str">
        <f t="shared" si="798"/>
        <v/>
      </c>
      <c r="H723" s="2" t="str">
        <f t="shared" si="798"/>
        <v/>
      </c>
      <c r="I723" s="2" t="str">
        <f t="shared" si="798"/>
        <v/>
      </c>
      <c r="J723" s="2" t="str">
        <f t="shared" si="798"/>
        <v/>
      </c>
      <c r="K723" s="2" t="str">
        <f t="shared" si="798"/>
        <v/>
      </c>
      <c r="L723" s="2" t="str">
        <f t="shared" si="798"/>
        <v/>
      </c>
      <c r="M723" s="180" t="str">
        <f t="shared" si="798"/>
        <v/>
      </c>
      <c r="N723" s="2" t="str">
        <f t="shared" si="798"/>
        <v/>
      </c>
      <c r="O723" s="2">
        <f t="shared" si="798"/>
        <v>0</v>
      </c>
    </row>
    <row r="724" spans="1:15" x14ac:dyDescent="0.25">
      <c r="A724" s="325">
        <v>1</v>
      </c>
      <c r="B724" s="325">
        <f>TrialNumber</f>
        <v>0</v>
      </c>
      <c r="C724" s="325" t="s">
        <v>23</v>
      </c>
      <c r="D724" s="325">
        <f>Excellent!C26</f>
        <v>0</v>
      </c>
      <c r="E724" s="325" t="str">
        <f>IF(Excellent!B26="W","W","A")</f>
        <v>A</v>
      </c>
      <c r="F724" s="325" t="s">
        <v>1742</v>
      </c>
      <c r="G724" s="325" t="str">
        <f>IF(Excellent!W26="e","Y","")</f>
        <v/>
      </c>
      <c r="H724" s="325" t="str">
        <f>IFERROR(VLOOKUP($D724,'SDDA Dogs'!$A:$AE,2,FALSE),"")</f>
        <v/>
      </c>
      <c r="I724" s="325" t="str">
        <f>IFERROR(VLOOKUP($D724,'SDDA Dogs'!$A:$AE,3,FALSE),"")</f>
        <v/>
      </c>
      <c r="J724" s="325" t="str">
        <f>IFERROR(VLOOKUP($D724,'SDDA Dogs'!$A:$AE,6,FALSE),"")</f>
        <v/>
      </c>
      <c r="K724" s="325" t="str">
        <f>IF(Excellent!AS26="","",Excellent!AS26)</f>
        <v/>
      </c>
      <c r="L724" s="325" t="str">
        <f>IF(Excellent!AT26="","",Excellent!AT26)</f>
        <v/>
      </c>
      <c r="M724" s="326" t="str">
        <f>TrialDate</f>
        <v/>
      </c>
      <c r="N724" s="325" t="str">
        <f t="shared" ref="N724" si="803">N723</f>
        <v/>
      </c>
      <c r="O724" s="325">
        <f>JudgeD1ESE</f>
        <v>0</v>
      </c>
    </row>
    <row r="725" spans="1:15" x14ac:dyDescent="0.25">
      <c r="A725" s="2">
        <v>2</v>
      </c>
      <c r="B725" s="2">
        <f t="shared" ref="B725:O725" si="804">B724</f>
        <v>0</v>
      </c>
      <c r="C725" s="2" t="str">
        <f t="shared" si="804"/>
        <v>ESE</v>
      </c>
      <c r="D725" s="2">
        <f t="shared" si="804"/>
        <v>0</v>
      </c>
      <c r="E725" s="2" t="str">
        <f t="shared" si="804"/>
        <v>A</v>
      </c>
      <c r="F725" s="2" t="str">
        <f t="shared" si="804"/>
        <v>Exterior Excellent</v>
      </c>
      <c r="G725" s="2" t="str">
        <f t="shared" si="804"/>
        <v/>
      </c>
      <c r="H725" s="2" t="str">
        <f t="shared" si="804"/>
        <v/>
      </c>
      <c r="I725" s="2" t="str">
        <f t="shared" si="804"/>
        <v/>
      </c>
      <c r="J725" s="2" t="str">
        <f t="shared" si="804"/>
        <v/>
      </c>
      <c r="K725" s="2" t="str">
        <f t="shared" si="804"/>
        <v/>
      </c>
      <c r="L725" s="2" t="str">
        <f t="shared" si="804"/>
        <v/>
      </c>
      <c r="M725" s="180" t="str">
        <f t="shared" si="804"/>
        <v/>
      </c>
      <c r="N725" s="2" t="str">
        <f t="shared" si="804"/>
        <v/>
      </c>
      <c r="O725" s="2">
        <f t="shared" si="804"/>
        <v>0</v>
      </c>
    </row>
    <row r="726" spans="1:15" x14ac:dyDescent="0.25">
      <c r="A726" s="325">
        <v>1</v>
      </c>
      <c r="B726" s="325">
        <f>TrialNumber</f>
        <v>0</v>
      </c>
      <c r="C726" s="325" t="s">
        <v>23</v>
      </c>
      <c r="D726" s="325">
        <f>Excellent!C27</f>
        <v>0</v>
      </c>
      <c r="E726" s="325" t="str">
        <f>IF(Excellent!B27="W","W","A")</f>
        <v>A</v>
      </c>
      <c r="F726" s="325" t="s">
        <v>1742</v>
      </c>
      <c r="G726" s="325" t="str">
        <f>IF(Excellent!W27="e","Y","")</f>
        <v/>
      </c>
      <c r="H726" s="325" t="str">
        <f>IFERROR(VLOOKUP($D726,'SDDA Dogs'!$A:$AE,2,FALSE),"")</f>
        <v/>
      </c>
      <c r="I726" s="325" t="str">
        <f>IFERROR(VLOOKUP($D726,'SDDA Dogs'!$A:$AE,3,FALSE),"")</f>
        <v/>
      </c>
      <c r="J726" s="325" t="str">
        <f>IFERROR(VLOOKUP($D726,'SDDA Dogs'!$A:$AE,6,FALSE),"")</f>
        <v/>
      </c>
      <c r="K726" s="325" t="str">
        <f>IF(Excellent!AS27="","",Excellent!AS27)</f>
        <v/>
      </c>
      <c r="L726" s="325" t="str">
        <f>IF(Excellent!AT27="","",Excellent!AT27)</f>
        <v/>
      </c>
      <c r="M726" s="326" t="str">
        <f>TrialDate</f>
        <v/>
      </c>
      <c r="N726" s="325" t="str">
        <f t="shared" ref="N726" si="805">N725</f>
        <v/>
      </c>
      <c r="O726" s="325">
        <f>JudgeD1ESE</f>
        <v>0</v>
      </c>
    </row>
    <row r="727" spans="1:15" x14ac:dyDescent="0.25">
      <c r="A727" s="2">
        <v>2</v>
      </c>
      <c r="B727" s="2">
        <f t="shared" ref="B727:O727" si="806">B726</f>
        <v>0</v>
      </c>
      <c r="C727" s="2" t="str">
        <f t="shared" si="806"/>
        <v>ESE</v>
      </c>
      <c r="D727" s="2">
        <f t="shared" si="806"/>
        <v>0</v>
      </c>
      <c r="E727" s="2" t="str">
        <f t="shared" si="806"/>
        <v>A</v>
      </c>
      <c r="F727" s="2" t="str">
        <f t="shared" si="806"/>
        <v>Exterior Excellent</v>
      </c>
      <c r="G727" s="2" t="str">
        <f t="shared" si="806"/>
        <v/>
      </c>
      <c r="H727" s="2" t="str">
        <f t="shared" si="806"/>
        <v/>
      </c>
      <c r="I727" s="2" t="str">
        <f t="shared" si="806"/>
        <v/>
      </c>
      <c r="J727" s="2" t="str">
        <f t="shared" si="806"/>
        <v/>
      </c>
      <c r="K727" s="2" t="str">
        <f t="shared" si="806"/>
        <v/>
      </c>
      <c r="L727" s="2" t="str">
        <f t="shared" si="806"/>
        <v/>
      </c>
      <c r="M727" s="180" t="str">
        <f t="shared" si="806"/>
        <v/>
      </c>
      <c r="N727" s="2" t="str">
        <f t="shared" si="806"/>
        <v/>
      </c>
      <c r="O727" s="2">
        <f t="shared" si="806"/>
        <v>0</v>
      </c>
    </row>
    <row r="728" spans="1:15" x14ac:dyDescent="0.25">
      <c r="A728" s="325">
        <v>1</v>
      </c>
      <c r="B728" s="325">
        <f>TrialNumber</f>
        <v>0</v>
      </c>
      <c r="C728" s="325" t="s">
        <v>23</v>
      </c>
      <c r="D728" s="325">
        <f>Excellent!C28</f>
        <v>0</v>
      </c>
      <c r="E728" s="325" t="str">
        <f>IF(Excellent!B28="W","W","A")</f>
        <v>A</v>
      </c>
      <c r="F728" s="325" t="s">
        <v>1742</v>
      </c>
      <c r="G728" s="325" t="str">
        <f>IF(Excellent!W28="e","Y","")</f>
        <v/>
      </c>
      <c r="H728" s="325" t="str">
        <f>IFERROR(VLOOKUP($D728,'SDDA Dogs'!$A:$AE,2,FALSE),"")</f>
        <v/>
      </c>
      <c r="I728" s="325" t="str">
        <f>IFERROR(VLOOKUP($D728,'SDDA Dogs'!$A:$AE,3,FALSE),"")</f>
        <v/>
      </c>
      <c r="J728" s="325" t="str">
        <f>IFERROR(VLOOKUP($D728,'SDDA Dogs'!$A:$AE,6,FALSE),"")</f>
        <v/>
      </c>
      <c r="K728" s="325" t="str">
        <f>IF(Excellent!AS28="","",Excellent!AS28)</f>
        <v/>
      </c>
      <c r="L728" s="325" t="str">
        <f>IF(Excellent!AT28="","",Excellent!AT28)</f>
        <v/>
      </c>
      <c r="M728" s="326" t="str">
        <f>TrialDate</f>
        <v/>
      </c>
      <c r="N728" s="325" t="str">
        <f t="shared" ref="N728" si="807">N727</f>
        <v/>
      </c>
      <c r="O728" s="325">
        <f>JudgeD1ESE</f>
        <v>0</v>
      </c>
    </row>
    <row r="729" spans="1:15" x14ac:dyDescent="0.25">
      <c r="A729" s="2">
        <v>2</v>
      </c>
      <c r="B729" s="2">
        <f t="shared" ref="B729:O729" si="808">B728</f>
        <v>0</v>
      </c>
      <c r="C729" s="2" t="str">
        <f t="shared" si="808"/>
        <v>ESE</v>
      </c>
      <c r="D729" s="2">
        <f t="shared" si="808"/>
        <v>0</v>
      </c>
      <c r="E729" s="2" t="str">
        <f t="shared" si="808"/>
        <v>A</v>
      </c>
      <c r="F729" s="2" t="str">
        <f t="shared" si="808"/>
        <v>Exterior Excellent</v>
      </c>
      <c r="G729" s="2" t="str">
        <f t="shared" si="808"/>
        <v/>
      </c>
      <c r="H729" s="2" t="str">
        <f t="shared" si="808"/>
        <v/>
      </c>
      <c r="I729" s="2" t="str">
        <f t="shared" si="808"/>
        <v/>
      </c>
      <c r="J729" s="2" t="str">
        <f t="shared" si="808"/>
        <v/>
      </c>
      <c r="K729" s="2" t="str">
        <f t="shared" si="808"/>
        <v/>
      </c>
      <c r="L729" s="2" t="str">
        <f t="shared" si="808"/>
        <v/>
      </c>
      <c r="M729" s="180" t="str">
        <f t="shared" si="808"/>
        <v/>
      </c>
      <c r="N729" s="2" t="str">
        <f t="shared" si="808"/>
        <v/>
      </c>
      <c r="O729" s="2">
        <f t="shared" si="808"/>
        <v>0</v>
      </c>
    </row>
    <row r="730" spans="1:15" x14ac:dyDescent="0.25">
      <c r="A730" s="325">
        <v>1</v>
      </c>
      <c r="B730" s="325">
        <f>TrialNumber</f>
        <v>0</v>
      </c>
      <c r="C730" s="325" t="s">
        <v>23</v>
      </c>
      <c r="D730" s="325">
        <f>Excellent!C29</f>
        <v>0</v>
      </c>
      <c r="E730" s="325" t="str">
        <f>IF(Excellent!B29="W","W","A")</f>
        <v>A</v>
      </c>
      <c r="F730" s="325" t="s">
        <v>1742</v>
      </c>
      <c r="G730" s="325" t="str">
        <f>IF(Excellent!W29="e","Y","")</f>
        <v/>
      </c>
      <c r="H730" s="325" t="str">
        <f>IFERROR(VLOOKUP($D730,'SDDA Dogs'!$A:$AE,2,FALSE),"")</f>
        <v/>
      </c>
      <c r="I730" s="325" t="str">
        <f>IFERROR(VLOOKUP($D730,'SDDA Dogs'!$A:$AE,3,FALSE),"")</f>
        <v/>
      </c>
      <c r="J730" s="325" t="str">
        <f>IFERROR(VLOOKUP($D730,'SDDA Dogs'!$A:$AE,6,FALSE),"")</f>
        <v/>
      </c>
      <c r="K730" s="325" t="str">
        <f>IF(Excellent!AS29="","",Excellent!AS29)</f>
        <v/>
      </c>
      <c r="L730" s="325" t="str">
        <f>IF(Excellent!AT29="","",Excellent!AT29)</f>
        <v/>
      </c>
      <c r="M730" s="326" t="str">
        <f>TrialDate</f>
        <v/>
      </c>
      <c r="N730" s="325" t="str">
        <f t="shared" ref="N730" si="809">N729</f>
        <v/>
      </c>
      <c r="O730" s="325">
        <f>JudgeD1ESE</f>
        <v>0</v>
      </c>
    </row>
    <row r="731" spans="1:15" x14ac:dyDescent="0.25">
      <c r="A731" s="2">
        <v>2</v>
      </c>
      <c r="B731" s="2">
        <f t="shared" ref="B731:O731" si="810">B730</f>
        <v>0</v>
      </c>
      <c r="C731" s="2" t="str">
        <f t="shared" si="810"/>
        <v>ESE</v>
      </c>
      <c r="D731" s="2">
        <f t="shared" si="810"/>
        <v>0</v>
      </c>
      <c r="E731" s="2" t="str">
        <f t="shared" si="810"/>
        <v>A</v>
      </c>
      <c r="F731" s="2" t="str">
        <f t="shared" si="810"/>
        <v>Exterior Excellent</v>
      </c>
      <c r="G731" s="2" t="str">
        <f t="shared" si="810"/>
        <v/>
      </c>
      <c r="H731" s="2" t="str">
        <f t="shared" si="810"/>
        <v/>
      </c>
      <c r="I731" s="2" t="str">
        <f t="shared" si="810"/>
        <v/>
      </c>
      <c r="J731" s="2" t="str">
        <f t="shared" si="810"/>
        <v/>
      </c>
      <c r="K731" s="2" t="str">
        <f t="shared" si="810"/>
        <v/>
      </c>
      <c r="L731" s="2" t="str">
        <f t="shared" si="810"/>
        <v/>
      </c>
      <c r="M731" s="180" t="str">
        <f t="shared" si="810"/>
        <v/>
      </c>
      <c r="N731" s="2" t="str">
        <f t="shared" si="810"/>
        <v/>
      </c>
      <c r="O731" s="2">
        <f t="shared" si="810"/>
        <v>0</v>
      </c>
    </row>
    <row r="732" spans="1:15" x14ac:dyDescent="0.25">
      <c r="A732" s="325">
        <v>1</v>
      </c>
      <c r="B732" s="325">
        <f>TrialNumber</f>
        <v>0</v>
      </c>
      <c r="C732" s="325" t="s">
        <v>23</v>
      </c>
      <c r="D732" s="325">
        <f>Excellent!C30</f>
        <v>0</v>
      </c>
      <c r="E732" s="325" t="str">
        <f>IF(Excellent!B30="W","W","A")</f>
        <v>A</v>
      </c>
      <c r="F732" s="325" t="s">
        <v>1742</v>
      </c>
      <c r="G732" s="325" t="str">
        <f>IF(Excellent!W30="e","Y","")</f>
        <v/>
      </c>
      <c r="H732" s="325" t="str">
        <f>IFERROR(VLOOKUP($D732,'SDDA Dogs'!$A:$AE,2,FALSE),"")</f>
        <v/>
      </c>
      <c r="I732" s="325" t="str">
        <f>IFERROR(VLOOKUP($D732,'SDDA Dogs'!$A:$AE,3,FALSE),"")</f>
        <v/>
      </c>
      <c r="J732" s="325" t="str">
        <f>IFERROR(VLOOKUP($D732,'SDDA Dogs'!$A:$AE,6,FALSE),"")</f>
        <v/>
      </c>
      <c r="K732" s="325" t="str">
        <f>IF(Excellent!AS30="","",Excellent!AS30)</f>
        <v/>
      </c>
      <c r="L732" s="325" t="str">
        <f>IF(Excellent!AT30="","",Excellent!AT30)</f>
        <v/>
      </c>
      <c r="M732" s="326" t="str">
        <f>TrialDate</f>
        <v/>
      </c>
      <c r="N732" s="325" t="str">
        <f t="shared" ref="N732" si="811">N731</f>
        <v/>
      </c>
      <c r="O732" s="325">
        <f>JudgeD1ESE</f>
        <v>0</v>
      </c>
    </row>
    <row r="733" spans="1:15" x14ac:dyDescent="0.25">
      <c r="A733" s="2">
        <v>2</v>
      </c>
      <c r="B733" s="2">
        <f t="shared" ref="B733:O733" si="812">B732</f>
        <v>0</v>
      </c>
      <c r="C733" s="2" t="str">
        <f t="shared" si="812"/>
        <v>ESE</v>
      </c>
      <c r="D733" s="2">
        <f t="shared" si="812"/>
        <v>0</v>
      </c>
      <c r="E733" s="2" t="str">
        <f t="shared" si="812"/>
        <v>A</v>
      </c>
      <c r="F733" s="2" t="str">
        <f t="shared" si="812"/>
        <v>Exterior Excellent</v>
      </c>
      <c r="G733" s="2" t="str">
        <f t="shared" si="812"/>
        <v/>
      </c>
      <c r="H733" s="2" t="str">
        <f t="shared" si="812"/>
        <v/>
      </c>
      <c r="I733" s="2" t="str">
        <f t="shared" si="812"/>
        <v/>
      </c>
      <c r="J733" s="2" t="str">
        <f t="shared" si="812"/>
        <v/>
      </c>
      <c r="K733" s="2" t="str">
        <f t="shared" si="812"/>
        <v/>
      </c>
      <c r="L733" s="2" t="str">
        <f t="shared" si="812"/>
        <v/>
      </c>
      <c r="M733" s="180" t="str">
        <f t="shared" si="812"/>
        <v/>
      </c>
      <c r="N733" s="2" t="str">
        <f t="shared" si="812"/>
        <v/>
      </c>
      <c r="O733" s="2">
        <f t="shared" si="812"/>
        <v>0</v>
      </c>
    </row>
    <row r="734" spans="1:15" x14ac:dyDescent="0.25">
      <c r="A734" s="325">
        <v>1</v>
      </c>
      <c r="B734" s="325">
        <f>TrialNumber</f>
        <v>0</v>
      </c>
      <c r="C734" s="325" t="s">
        <v>23</v>
      </c>
      <c r="D734" s="325">
        <f>Excellent!C31</f>
        <v>0</v>
      </c>
      <c r="E734" s="325" t="str">
        <f>IF(Excellent!B31="W","W","A")</f>
        <v>A</v>
      </c>
      <c r="F734" s="325" t="s">
        <v>1742</v>
      </c>
      <c r="G734" s="325" t="str">
        <f>IF(Excellent!W31="e","Y","")</f>
        <v/>
      </c>
      <c r="H734" s="325" t="str">
        <f>IFERROR(VLOOKUP($D734,'SDDA Dogs'!$A:$AE,2,FALSE),"")</f>
        <v/>
      </c>
      <c r="I734" s="325" t="str">
        <f>IFERROR(VLOOKUP($D734,'SDDA Dogs'!$A:$AE,3,FALSE),"")</f>
        <v/>
      </c>
      <c r="J734" s="325" t="str">
        <f>IFERROR(VLOOKUP($D734,'SDDA Dogs'!$A:$AE,6,FALSE),"")</f>
        <v/>
      </c>
      <c r="K734" s="325" t="str">
        <f>IF(Excellent!AS31="","",Excellent!AS31)</f>
        <v/>
      </c>
      <c r="L734" s="325" t="str">
        <f>IF(Excellent!AT31="","",Excellent!AT31)</f>
        <v/>
      </c>
      <c r="M734" s="326" t="str">
        <f>TrialDate</f>
        <v/>
      </c>
      <c r="N734" s="325" t="str">
        <f t="shared" ref="N734" si="813">N733</f>
        <v/>
      </c>
      <c r="O734" s="325">
        <f>JudgeD1ESE</f>
        <v>0</v>
      </c>
    </row>
    <row r="735" spans="1:15" x14ac:dyDescent="0.25">
      <c r="A735" s="2">
        <v>2</v>
      </c>
      <c r="B735" s="2">
        <f t="shared" ref="B735:O735" si="814">B734</f>
        <v>0</v>
      </c>
      <c r="C735" s="2" t="str">
        <f t="shared" si="814"/>
        <v>ESE</v>
      </c>
      <c r="D735" s="2">
        <f t="shared" si="814"/>
        <v>0</v>
      </c>
      <c r="E735" s="2" t="str">
        <f t="shared" si="814"/>
        <v>A</v>
      </c>
      <c r="F735" s="2" t="str">
        <f t="shared" si="814"/>
        <v>Exterior Excellent</v>
      </c>
      <c r="G735" s="2" t="str">
        <f t="shared" si="814"/>
        <v/>
      </c>
      <c r="H735" s="2" t="str">
        <f t="shared" si="814"/>
        <v/>
      </c>
      <c r="I735" s="2" t="str">
        <f t="shared" si="814"/>
        <v/>
      </c>
      <c r="J735" s="2" t="str">
        <f t="shared" si="814"/>
        <v/>
      </c>
      <c r="K735" s="2" t="str">
        <f t="shared" si="814"/>
        <v/>
      </c>
      <c r="L735" s="2" t="str">
        <f t="shared" si="814"/>
        <v/>
      </c>
      <c r="M735" s="180" t="str">
        <f t="shared" si="814"/>
        <v/>
      </c>
      <c r="N735" s="2" t="str">
        <f t="shared" si="814"/>
        <v/>
      </c>
      <c r="O735" s="2">
        <f t="shared" si="814"/>
        <v>0</v>
      </c>
    </row>
    <row r="736" spans="1:15" x14ac:dyDescent="0.25">
      <c r="A736" s="325">
        <v>1</v>
      </c>
      <c r="B736" s="325">
        <f>TrialNumber</f>
        <v>0</v>
      </c>
      <c r="C736" s="325" t="s">
        <v>23</v>
      </c>
      <c r="D736" s="325">
        <f>Excellent!C32</f>
        <v>0</v>
      </c>
      <c r="E736" s="325" t="str">
        <f>IF(Excellent!B32="W","W","A")</f>
        <v>A</v>
      </c>
      <c r="F736" s="325" t="s">
        <v>1742</v>
      </c>
      <c r="G736" s="325" t="str">
        <f>IF(Excellent!W32="e","Y","")</f>
        <v/>
      </c>
      <c r="H736" s="325" t="str">
        <f>IFERROR(VLOOKUP($D736,'SDDA Dogs'!$A:$AE,2,FALSE),"")</f>
        <v/>
      </c>
      <c r="I736" s="325" t="str">
        <f>IFERROR(VLOOKUP($D736,'SDDA Dogs'!$A:$AE,3,FALSE),"")</f>
        <v/>
      </c>
      <c r="J736" s="325" t="str">
        <f>IFERROR(VLOOKUP($D736,'SDDA Dogs'!$A:$AE,6,FALSE),"")</f>
        <v/>
      </c>
      <c r="K736" s="325" t="str">
        <f>IF(Excellent!AS32="","",Excellent!AS32)</f>
        <v/>
      </c>
      <c r="L736" s="325" t="str">
        <f>IF(Excellent!AT32="","",Excellent!AT32)</f>
        <v/>
      </c>
      <c r="M736" s="326" t="str">
        <f>TrialDate</f>
        <v/>
      </c>
      <c r="N736" s="325" t="str">
        <f t="shared" ref="N736" si="815">N735</f>
        <v/>
      </c>
      <c r="O736" s="325">
        <f>JudgeD1ESE</f>
        <v>0</v>
      </c>
    </row>
    <row r="737" spans="1:15" x14ac:dyDescent="0.25">
      <c r="A737" s="2">
        <v>2</v>
      </c>
      <c r="B737" s="2">
        <f t="shared" ref="B737:O737" si="816">B736</f>
        <v>0</v>
      </c>
      <c r="C737" s="2" t="str">
        <f t="shared" si="816"/>
        <v>ESE</v>
      </c>
      <c r="D737" s="2">
        <f t="shared" si="816"/>
        <v>0</v>
      </c>
      <c r="E737" s="2" t="str">
        <f t="shared" si="816"/>
        <v>A</v>
      </c>
      <c r="F737" s="2" t="str">
        <f t="shared" si="816"/>
        <v>Exterior Excellent</v>
      </c>
      <c r="G737" s="2" t="str">
        <f t="shared" si="816"/>
        <v/>
      </c>
      <c r="H737" s="2" t="str">
        <f t="shared" si="816"/>
        <v/>
      </c>
      <c r="I737" s="2" t="str">
        <f t="shared" si="816"/>
        <v/>
      </c>
      <c r="J737" s="2" t="str">
        <f t="shared" si="816"/>
        <v/>
      </c>
      <c r="K737" s="2" t="str">
        <f t="shared" si="816"/>
        <v/>
      </c>
      <c r="L737" s="2" t="str">
        <f t="shared" si="816"/>
        <v/>
      </c>
      <c r="M737" s="180" t="str">
        <f t="shared" si="816"/>
        <v/>
      </c>
      <c r="N737" s="2" t="str">
        <f t="shared" si="816"/>
        <v/>
      </c>
      <c r="O737" s="2">
        <f t="shared" si="816"/>
        <v>0</v>
      </c>
    </row>
    <row r="738" spans="1:15" x14ac:dyDescent="0.25">
      <c r="A738" s="325">
        <v>1</v>
      </c>
      <c r="B738" s="325">
        <f>TrialNumber</f>
        <v>0</v>
      </c>
      <c r="C738" s="325" t="s">
        <v>23</v>
      </c>
      <c r="D738" s="325">
        <f>Excellent!C33</f>
        <v>0</v>
      </c>
      <c r="E738" s="325" t="str">
        <f>IF(Excellent!B33="W","W","A")</f>
        <v>A</v>
      </c>
      <c r="F738" s="325" t="s">
        <v>1742</v>
      </c>
      <c r="G738" s="325" t="str">
        <f>IF(Excellent!W33="e","Y","")</f>
        <v/>
      </c>
      <c r="H738" s="325" t="str">
        <f>IFERROR(VLOOKUP($D738,'SDDA Dogs'!$A:$AE,2,FALSE),"")</f>
        <v/>
      </c>
      <c r="I738" s="325" t="str">
        <f>IFERROR(VLOOKUP($D738,'SDDA Dogs'!$A:$AE,3,FALSE),"")</f>
        <v/>
      </c>
      <c r="J738" s="325" t="str">
        <f>IFERROR(VLOOKUP($D738,'SDDA Dogs'!$A:$AE,6,FALSE),"")</f>
        <v/>
      </c>
      <c r="K738" s="325" t="str">
        <f>IF(Excellent!AS33="","",Excellent!AS33)</f>
        <v/>
      </c>
      <c r="L738" s="325" t="str">
        <f>IF(Excellent!AT33="","",Excellent!AT33)</f>
        <v/>
      </c>
      <c r="M738" s="326" t="str">
        <f>TrialDate</f>
        <v/>
      </c>
      <c r="N738" s="325" t="str">
        <f t="shared" ref="N738" si="817">N737</f>
        <v/>
      </c>
      <c r="O738" s="325">
        <f>JudgeD1ESE</f>
        <v>0</v>
      </c>
    </row>
    <row r="739" spans="1:15" x14ac:dyDescent="0.25">
      <c r="A739" s="2">
        <v>2</v>
      </c>
      <c r="B739" s="2">
        <f t="shared" ref="B739:O739" si="818">B738</f>
        <v>0</v>
      </c>
      <c r="C739" s="2" t="str">
        <f t="shared" si="818"/>
        <v>ESE</v>
      </c>
      <c r="D739" s="2">
        <f t="shared" si="818"/>
        <v>0</v>
      </c>
      <c r="E739" s="2" t="str">
        <f t="shared" si="818"/>
        <v>A</v>
      </c>
      <c r="F739" s="2" t="str">
        <f t="shared" si="818"/>
        <v>Exterior Excellent</v>
      </c>
      <c r="G739" s="2" t="str">
        <f t="shared" si="818"/>
        <v/>
      </c>
      <c r="H739" s="2" t="str">
        <f t="shared" si="818"/>
        <v/>
      </c>
      <c r="I739" s="2" t="str">
        <f t="shared" si="818"/>
        <v/>
      </c>
      <c r="J739" s="2" t="str">
        <f t="shared" si="818"/>
        <v/>
      </c>
      <c r="K739" s="2" t="str">
        <f t="shared" si="818"/>
        <v/>
      </c>
      <c r="L739" s="2" t="str">
        <f t="shared" si="818"/>
        <v/>
      </c>
      <c r="M739" s="180" t="str">
        <f t="shared" si="818"/>
        <v/>
      </c>
      <c r="N739" s="2" t="str">
        <f t="shared" si="818"/>
        <v/>
      </c>
      <c r="O739" s="2">
        <f t="shared" si="818"/>
        <v>0</v>
      </c>
    </row>
    <row r="740" spans="1:15" x14ac:dyDescent="0.25">
      <c r="A740" s="325">
        <v>1</v>
      </c>
      <c r="B740" s="325">
        <f>TrialNumber</f>
        <v>0</v>
      </c>
      <c r="C740" s="325" t="s">
        <v>23</v>
      </c>
      <c r="D740" s="325">
        <f>Excellent!C34</f>
        <v>0</v>
      </c>
      <c r="E740" s="325" t="str">
        <f>IF(Excellent!B34="W","W","A")</f>
        <v>A</v>
      </c>
      <c r="F740" s="325" t="s">
        <v>1742</v>
      </c>
      <c r="G740" s="325" t="str">
        <f>IF(Excellent!W34="e","Y","")</f>
        <v/>
      </c>
      <c r="H740" s="325" t="str">
        <f>IFERROR(VLOOKUP($D740,'SDDA Dogs'!$A:$AE,2,FALSE),"")</f>
        <v/>
      </c>
      <c r="I740" s="325" t="str">
        <f>IFERROR(VLOOKUP($D740,'SDDA Dogs'!$A:$AE,3,FALSE),"")</f>
        <v/>
      </c>
      <c r="J740" s="325" t="str">
        <f>IFERROR(VLOOKUP($D740,'SDDA Dogs'!$A:$AE,6,FALSE),"")</f>
        <v/>
      </c>
      <c r="K740" s="325" t="str">
        <f>IF(Excellent!AS34="","",Excellent!AS34)</f>
        <v/>
      </c>
      <c r="L740" s="325" t="str">
        <f>IF(Excellent!AT34="","",Excellent!AT34)</f>
        <v/>
      </c>
      <c r="M740" s="326" t="str">
        <f>TrialDate</f>
        <v/>
      </c>
      <c r="N740" s="325" t="str">
        <f t="shared" ref="N740" si="819">N739</f>
        <v/>
      </c>
      <c r="O740" s="325">
        <f>JudgeD1ESE</f>
        <v>0</v>
      </c>
    </row>
    <row r="741" spans="1:15" x14ac:dyDescent="0.25">
      <c r="A741" s="2">
        <v>2</v>
      </c>
      <c r="B741" s="2">
        <f t="shared" ref="B741:O741" si="820">B740</f>
        <v>0</v>
      </c>
      <c r="C741" s="2" t="str">
        <f t="shared" si="820"/>
        <v>ESE</v>
      </c>
      <c r="D741" s="2">
        <f t="shared" si="820"/>
        <v>0</v>
      </c>
      <c r="E741" s="2" t="str">
        <f t="shared" si="820"/>
        <v>A</v>
      </c>
      <c r="F741" s="2" t="str">
        <f t="shared" si="820"/>
        <v>Exterior Excellent</v>
      </c>
      <c r="G741" s="2" t="str">
        <f t="shared" si="820"/>
        <v/>
      </c>
      <c r="H741" s="2" t="str">
        <f t="shared" si="820"/>
        <v/>
      </c>
      <c r="I741" s="2" t="str">
        <f t="shared" si="820"/>
        <v/>
      </c>
      <c r="J741" s="2" t="str">
        <f t="shared" si="820"/>
        <v/>
      </c>
      <c r="K741" s="2" t="str">
        <f t="shared" si="820"/>
        <v/>
      </c>
      <c r="L741" s="2" t="str">
        <f t="shared" si="820"/>
        <v/>
      </c>
      <c r="M741" s="180" t="str">
        <f t="shared" si="820"/>
        <v/>
      </c>
      <c r="N741" s="2" t="str">
        <f t="shared" si="820"/>
        <v/>
      </c>
      <c r="O741" s="2">
        <f t="shared" si="820"/>
        <v>0</v>
      </c>
    </row>
    <row r="742" spans="1:15" x14ac:dyDescent="0.25">
      <c r="A742" s="325">
        <v>1</v>
      </c>
      <c r="B742" s="325">
        <f>TrialNumber</f>
        <v>0</v>
      </c>
      <c r="C742" s="325" t="s">
        <v>23</v>
      </c>
      <c r="D742" s="325">
        <f>Excellent!C35</f>
        <v>0</v>
      </c>
      <c r="E742" s="325" t="str">
        <f>IF(Excellent!B35="W","W","A")</f>
        <v>A</v>
      </c>
      <c r="F742" s="325" t="s">
        <v>1742</v>
      </c>
      <c r="G742" s="325" t="str">
        <f>IF(Excellent!W35="e","Y","")</f>
        <v/>
      </c>
      <c r="H742" s="325" t="str">
        <f>IFERROR(VLOOKUP($D742,'SDDA Dogs'!$A:$AE,2,FALSE),"")</f>
        <v/>
      </c>
      <c r="I742" s="325" t="str">
        <f>IFERROR(VLOOKUP($D742,'SDDA Dogs'!$A:$AE,3,FALSE),"")</f>
        <v/>
      </c>
      <c r="J742" s="325" t="str">
        <f>IFERROR(VLOOKUP($D742,'SDDA Dogs'!$A:$AE,6,FALSE),"")</f>
        <v/>
      </c>
      <c r="K742" s="325" t="str">
        <f>IF(Excellent!AS35="","",Excellent!AS35)</f>
        <v/>
      </c>
      <c r="L742" s="325" t="str">
        <f>IF(Excellent!AT35="","",Excellent!AT35)</f>
        <v/>
      </c>
      <c r="M742" s="326" t="str">
        <f>TrialDate</f>
        <v/>
      </c>
      <c r="N742" s="325" t="str">
        <f t="shared" ref="N742" si="821">N741</f>
        <v/>
      </c>
      <c r="O742" s="325">
        <f>JudgeD1ESE</f>
        <v>0</v>
      </c>
    </row>
    <row r="743" spans="1:15" x14ac:dyDescent="0.25">
      <c r="A743" s="2">
        <v>2</v>
      </c>
      <c r="B743" s="2">
        <f t="shared" ref="B743:O743" si="822">B742</f>
        <v>0</v>
      </c>
      <c r="C743" s="2" t="str">
        <f t="shared" si="822"/>
        <v>ESE</v>
      </c>
      <c r="D743" s="2">
        <f t="shared" si="822"/>
        <v>0</v>
      </c>
      <c r="E743" s="2" t="str">
        <f t="shared" si="822"/>
        <v>A</v>
      </c>
      <c r="F743" s="2" t="str">
        <f t="shared" si="822"/>
        <v>Exterior Excellent</v>
      </c>
      <c r="G743" s="2" t="str">
        <f t="shared" si="822"/>
        <v/>
      </c>
      <c r="H743" s="2" t="str">
        <f t="shared" si="822"/>
        <v/>
      </c>
      <c r="I743" s="2" t="str">
        <f t="shared" si="822"/>
        <v/>
      </c>
      <c r="J743" s="2" t="str">
        <f t="shared" si="822"/>
        <v/>
      </c>
      <c r="K743" s="2" t="str">
        <f t="shared" si="822"/>
        <v/>
      </c>
      <c r="L743" s="2" t="str">
        <f t="shared" si="822"/>
        <v/>
      </c>
      <c r="M743" s="180" t="str">
        <f t="shared" si="822"/>
        <v/>
      </c>
      <c r="N743" s="2" t="str">
        <f t="shared" si="822"/>
        <v/>
      </c>
      <c r="O743" s="2">
        <f t="shared" si="822"/>
        <v>0</v>
      </c>
    </row>
    <row r="744" spans="1:15" x14ac:dyDescent="0.25">
      <c r="A744" s="325">
        <v>1</v>
      </c>
      <c r="B744" s="325">
        <f>TrialNumber</f>
        <v>0</v>
      </c>
      <c r="C744" s="325" t="s">
        <v>23</v>
      </c>
      <c r="D744" s="325">
        <f>Excellent!C36</f>
        <v>0</v>
      </c>
      <c r="E744" s="325" t="str">
        <f>IF(Excellent!B36="W","W","A")</f>
        <v>A</v>
      </c>
      <c r="F744" s="325" t="s">
        <v>1742</v>
      </c>
      <c r="G744" s="325" t="str">
        <f>IF(Excellent!W36="e","Y","")</f>
        <v/>
      </c>
      <c r="H744" s="325" t="str">
        <f>IFERROR(VLOOKUP($D744,'SDDA Dogs'!$A:$AE,2,FALSE),"")</f>
        <v/>
      </c>
      <c r="I744" s="325" t="str">
        <f>IFERROR(VLOOKUP($D744,'SDDA Dogs'!$A:$AE,3,FALSE),"")</f>
        <v/>
      </c>
      <c r="J744" s="325" t="str">
        <f>IFERROR(VLOOKUP($D744,'SDDA Dogs'!$A:$AE,6,FALSE),"")</f>
        <v/>
      </c>
      <c r="K744" s="325" t="str">
        <f>IF(Excellent!AS36="","",Excellent!AS36)</f>
        <v/>
      </c>
      <c r="L744" s="325" t="str">
        <f>IF(Excellent!AT36="","",Excellent!AT36)</f>
        <v/>
      </c>
      <c r="M744" s="326" t="str">
        <f>TrialDate</f>
        <v/>
      </c>
      <c r="N744" s="325" t="str">
        <f t="shared" ref="N744" si="823">N743</f>
        <v/>
      </c>
      <c r="O744" s="325">
        <f>JudgeD1ESE</f>
        <v>0</v>
      </c>
    </row>
    <row r="745" spans="1:15" x14ac:dyDescent="0.25">
      <c r="A745" s="2">
        <v>2</v>
      </c>
      <c r="B745" s="2">
        <f t="shared" ref="B745:O745" si="824">B744</f>
        <v>0</v>
      </c>
      <c r="C745" s="2" t="str">
        <f t="shared" si="824"/>
        <v>ESE</v>
      </c>
      <c r="D745" s="2">
        <f t="shared" si="824"/>
        <v>0</v>
      </c>
      <c r="E745" s="2" t="str">
        <f t="shared" si="824"/>
        <v>A</v>
      </c>
      <c r="F745" s="2" t="str">
        <f t="shared" si="824"/>
        <v>Exterior Excellent</v>
      </c>
      <c r="G745" s="2" t="str">
        <f t="shared" si="824"/>
        <v/>
      </c>
      <c r="H745" s="2" t="str">
        <f t="shared" si="824"/>
        <v/>
      </c>
      <c r="I745" s="2" t="str">
        <f t="shared" si="824"/>
        <v/>
      </c>
      <c r="J745" s="2" t="str">
        <f t="shared" si="824"/>
        <v/>
      </c>
      <c r="K745" s="2" t="str">
        <f t="shared" si="824"/>
        <v/>
      </c>
      <c r="L745" s="2" t="str">
        <f t="shared" si="824"/>
        <v/>
      </c>
      <c r="M745" s="180" t="str">
        <f t="shared" si="824"/>
        <v/>
      </c>
      <c r="N745" s="2" t="str">
        <f t="shared" si="824"/>
        <v/>
      </c>
      <c r="O745" s="2">
        <f t="shared" si="824"/>
        <v>0</v>
      </c>
    </row>
    <row r="746" spans="1:15" x14ac:dyDescent="0.25">
      <c r="A746" s="325">
        <v>1</v>
      </c>
      <c r="B746" s="325">
        <f>TrialNumber</f>
        <v>0</v>
      </c>
      <c r="C746" s="325" t="s">
        <v>23</v>
      </c>
      <c r="D746" s="325">
        <f>Excellent!C37</f>
        <v>0</v>
      </c>
      <c r="E746" s="325" t="str">
        <f>IF(Excellent!B37="W","W","A")</f>
        <v>A</v>
      </c>
      <c r="F746" s="325" t="s">
        <v>1742</v>
      </c>
      <c r="G746" s="325" t="str">
        <f>IF(Excellent!W37="e","Y","")</f>
        <v/>
      </c>
      <c r="H746" s="325" t="str">
        <f>IFERROR(VLOOKUP($D746,'SDDA Dogs'!$A:$AE,2,FALSE),"")</f>
        <v/>
      </c>
      <c r="I746" s="325" t="str">
        <f>IFERROR(VLOOKUP($D746,'SDDA Dogs'!$A:$AE,3,FALSE),"")</f>
        <v/>
      </c>
      <c r="J746" s="325" t="str">
        <f>IFERROR(VLOOKUP($D746,'SDDA Dogs'!$A:$AE,6,FALSE),"")</f>
        <v/>
      </c>
      <c r="K746" s="325" t="str">
        <f>IF(Excellent!AS37="","",Excellent!AS37)</f>
        <v/>
      </c>
      <c r="L746" s="325" t="str">
        <f>IF(Excellent!AT37="","",Excellent!AT37)</f>
        <v/>
      </c>
      <c r="M746" s="326" t="str">
        <f>TrialDate</f>
        <v/>
      </c>
      <c r="N746" s="325" t="str">
        <f t="shared" ref="N746" si="825">N745</f>
        <v/>
      </c>
      <c r="O746" s="325">
        <f>JudgeD1ESE</f>
        <v>0</v>
      </c>
    </row>
    <row r="747" spans="1:15" x14ac:dyDescent="0.25">
      <c r="A747" s="2">
        <v>2</v>
      </c>
      <c r="B747" s="2">
        <f t="shared" ref="B747:O747" si="826">B746</f>
        <v>0</v>
      </c>
      <c r="C747" s="2" t="str">
        <f t="shared" si="826"/>
        <v>ESE</v>
      </c>
      <c r="D747" s="2">
        <f t="shared" si="826"/>
        <v>0</v>
      </c>
      <c r="E747" s="2" t="str">
        <f t="shared" si="826"/>
        <v>A</v>
      </c>
      <c r="F747" s="2" t="str">
        <f t="shared" si="826"/>
        <v>Exterior Excellent</v>
      </c>
      <c r="G747" s="2" t="str">
        <f t="shared" si="826"/>
        <v/>
      </c>
      <c r="H747" s="2" t="str">
        <f t="shared" si="826"/>
        <v/>
      </c>
      <c r="I747" s="2" t="str">
        <f t="shared" si="826"/>
        <v/>
      </c>
      <c r="J747" s="2" t="str">
        <f t="shared" si="826"/>
        <v/>
      </c>
      <c r="K747" s="2" t="str">
        <f t="shared" si="826"/>
        <v/>
      </c>
      <c r="L747" s="2" t="str">
        <f t="shared" si="826"/>
        <v/>
      </c>
      <c r="M747" s="180" t="str">
        <f t="shared" si="826"/>
        <v/>
      </c>
      <c r="N747" s="2" t="str">
        <f t="shared" si="826"/>
        <v/>
      </c>
      <c r="O747" s="2">
        <f t="shared" si="826"/>
        <v>0</v>
      </c>
    </row>
    <row r="748" spans="1:15" x14ac:dyDescent="0.25">
      <c r="A748" s="325">
        <v>1</v>
      </c>
      <c r="B748" s="325">
        <f>TrialNumber</f>
        <v>0</v>
      </c>
      <c r="C748" s="325" t="s">
        <v>23</v>
      </c>
      <c r="D748" s="325">
        <f>Excellent!C38</f>
        <v>0</v>
      </c>
      <c r="E748" s="325" t="str">
        <f>IF(Excellent!B38="W","W","A")</f>
        <v>A</v>
      </c>
      <c r="F748" s="325" t="s">
        <v>1742</v>
      </c>
      <c r="G748" s="325" t="str">
        <f>IF(Excellent!W38="e","Y","")</f>
        <v/>
      </c>
      <c r="H748" s="325" t="str">
        <f>IFERROR(VLOOKUP($D748,'SDDA Dogs'!$A:$AE,2,FALSE),"")</f>
        <v/>
      </c>
      <c r="I748" s="325" t="str">
        <f>IFERROR(VLOOKUP($D748,'SDDA Dogs'!$A:$AE,3,FALSE),"")</f>
        <v/>
      </c>
      <c r="J748" s="325" t="str">
        <f>IFERROR(VLOOKUP($D748,'SDDA Dogs'!$A:$AE,6,FALSE),"")</f>
        <v/>
      </c>
      <c r="K748" s="325" t="str">
        <f>IF(Excellent!AS38="","",Excellent!AS38)</f>
        <v/>
      </c>
      <c r="L748" s="325" t="str">
        <f>IF(Excellent!AT38="","",Excellent!AT38)</f>
        <v/>
      </c>
      <c r="M748" s="326" t="str">
        <f>TrialDate</f>
        <v/>
      </c>
      <c r="N748" s="325" t="str">
        <f t="shared" ref="N748" si="827">N747</f>
        <v/>
      </c>
      <c r="O748" s="325">
        <f>JudgeD1ESE</f>
        <v>0</v>
      </c>
    </row>
    <row r="749" spans="1:15" x14ac:dyDescent="0.25">
      <c r="A749" s="2">
        <v>2</v>
      </c>
      <c r="B749" s="2">
        <f t="shared" ref="B749:O749" si="828">B748</f>
        <v>0</v>
      </c>
      <c r="C749" s="2" t="str">
        <f t="shared" si="828"/>
        <v>ESE</v>
      </c>
      <c r="D749" s="2">
        <f t="shared" si="828"/>
        <v>0</v>
      </c>
      <c r="E749" s="2" t="str">
        <f t="shared" si="828"/>
        <v>A</v>
      </c>
      <c r="F749" s="2" t="str">
        <f t="shared" si="828"/>
        <v>Exterior Excellent</v>
      </c>
      <c r="G749" s="2" t="str">
        <f t="shared" si="828"/>
        <v/>
      </c>
      <c r="H749" s="2" t="str">
        <f t="shared" si="828"/>
        <v/>
      </c>
      <c r="I749" s="2" t="str">
        <f t="shared" si="828"/>
        <v/>
      </c>
      <c r="J749" s="2" t="str">
        <f t="shared" si="828"/>
        <v/>
      </c>
      <c r="K749" s="2" t="str">
        <f t="shared" si="828"/>
        <v/>
      </c>
      <c r="L749" s="2" t="str">
        <f t="shared" si="828"/>
        <v/>
      </c>
      <c r="M749" s="180" t="str">
        <f t="shared" si="828"/>
        <v/>
      </c>
      <c r="N749" s="2" t="str">
        <f t="shared" si="828"/>
        <v/>
      </c>
      <c r="O749" s="2">
        <f t="shared" si="828"/>
        <v>0</v>
      </c>
    </row>
    <row r="750" spans="1:15" x14ac:dyDescent="0.25">
      <c r="A750" s="325">
        <v>1</v>
      </c>
      <c r="B750" s="325">
        <f>TrialNumber</f>
        <v>0</v>
      </c>
      <c r="C750" s="325" t="s">
        <v>23</v>
      </c>
      <c r="D750" s="325">
        <f>Excellent!C39</f>
        <v>0</v>
      </c>
      <c r="E750" s="325" t="str">
        <f>IF(Excellent!B39="W","W","A")</f>
        <v>A</v>
      </c>
      <c r="F750" s="325" t="s">
        <v>1742</v>
      </c>
      <c r="G750" s="325" t="str">
        <f>IF(Excellent!W39="e","Y","")</f>
        <v/>
      </c>
      <c r="H750" s="325" t="str">
        <f>IFERROR(VLOOKUP($D750,'SDDA Dogs'!$A:$AE,2,FALSE),"")</f>
        <v/>
      </c>
      <c r="I750" s="325" t="str">
        <f>IFERROR(VLOOKUP($D750,'SDDA Dogs'!$A:$AE,3,FALSE),"")</f>
        <v/>
      </c>
      <c r="J750" s="325" t="str">
        <f>IFERROR(VLOOKUP($D750,'SDDA Dogs'!$A:$AE,6,FALSE),"")</f>
        <v/>
      </c>
      <c r="K750" s="325" t="str">
        <f>IF(Excellent!AS39="","",Excellent!AS39)</f>
        <v/>
      </c>
      <c r="L750" s="325" t="str">
        <f>IF(Excellent!AT39="","",Excellent!AT39)</f>
        <v/>
      </c>
      <c r="M750" s="326" t="str">
        <f>TrialDate</f>
        <v/>
      </c>
      <c r="N750" s="325" t="str">
        <f t="shared" ref="N750" si="829">N749</f>
        <v/>
      </c>
      <c r="O750" s="325">
        <f>JudgeD1ESE</f>
        <v>0</v>
      </c>
    </row>
    <row r="751" spans="1:15" x14ac:dyDescent="0.25">
      <c r="A751" s="2">
        <v>2</v>
      </c>
      <c r="B751" s="2">
        <f t="shared" ref="B751:O751" si="830">B750</f>
        <v>0</v>
      </c>
      <c r="C751" s="2" t="str">
        <f t="shared" si="830"/>
        <v>ESE</v>
      </c>
      <c r="D751" s="2">
        <f t="shared" si="830"/>
        <v>0</v>
      </c>
      <c r="E751" s="2" t="str">
        <f t="shared" si="830"/>
        <v>A</v>
      </c>
      <c r="F751" s="2" t="str">
        <f t="shared" si="830"/>
        <v>Exterior Excellent</v>
      </c>
      <c r="G751" s="2" t="str">
        <f t="shared" si="830"/>
        <v/>
      </c>
      <c r="H751" s="2" t="str">
        <f t="shared" si="830"/>
        <v/>
      </c>
      <c r="I751" s="2" t="str">
        <f t="shared" si="830"/>
        <v/>
      </c>
      <c r="J751" s="2" t="str">
        <f t="shared" si="830"/>
        <v/>
      </c>
      <c r="K751" s="2" t="str">
        <f t="shared" si="830"/>
        <v/>
      </c>
      <c r="L751" s="2" t="str">
        <f t="shared" si="830"/>
        <v/>
      </c>
      <c r="M751" s="180" t="str">
        <f t="shared" si="830"/>
        <v/>
      </c>
      <c r="N751" s="2" t="str">
        <f t="shared" si="830"/>
        <v/>
      </c>
      <c r="O751" s="2">
        <f t="shared" si="830"/>
        <v>0</v>
      </c>
    </row>
    <row r="752" spans="1:15" x14ac:dyDescent="0.25">
      <c r="A752" s="325">
        <v>1</v>
      </c>
      <c r="B752" s="325">
        <f>TrialNumber</f>
        <v>0</v>
      </c>
      <c r="C752" s="325" t="s">
        <v>23</v>
      </c>
      <c r="D752" s="325">
        <f>Excellent!C40</f>
        <v>0</v>
      </c>
      <c r="E752" s="325" t="str">
        <f>IF(Excellent!B40="W","W","A")</f>
        <v>A</v>
      </c>
      <c r="F752" s="325" t="s">
        <v>1742</v>
      </c>
      <c r="G752" s="325" t="str">
        <f>IF(Excellent!W40="e","Y","")</f>
        <v/>
      </c>
      <c r="H752" s="325" t="str">
        <f>IFERROR(VLOOKUP($D752,'SDDA Dogs'!$A:$AE,2,FALSE),"")</f>
        <v/>
      </c>
      <c r="I752" s="325" t="str">
        <f>IFERROR(VLOOKUP($D752,'SDDA Dogs'!$A:$AE,3,FALSE),"")</f>
        <v/>
      </c>
      <c r="J752" s="325" t="str">
        <f>IFERROR(VLOOKUP($D752,'SDDA Dogs'!$A:$AE,6,FALSE),"")</f>
        <v/>
      </c>
      <c r="K752" s="325" t="str">
        <f>IF(Excellent!AS40="","",Excellent!AS40)</f>
        <v/>
      </c>
      <c r="L752" s="325" t="str">
        <f>IF(Excellent!AT40="","",Excellent!AT40)</f>
        <v/>
      </c>
      <c r="M752" s="326" t="str">
        <f>TrialDate</f>
        <v/>
      </c>
      <c r="N752" s="325" t="str">
        <f t="shared" ref="N752" si="831">N751</f>
        <v/>
      </c>
      <c r="O752" s="325">
        <f>JudgeD1ESE</f>
        <v>0</v>
      </c>
    </row>
    <row r="753" spans="1:15" x14ac:dyDescent="0.25">
      <c r="A753" s="2">
        <v>2</v>
      </c>
      <c r="B753" s="2">
        <f t="shared" ref="B753:O753" si="832">B752</f>
        <v>0</v>
      </c>
      <c r="C753" s="2" t="str">
        <f t="shared" si="832"/>
        <v>ESE</v>
      </c>
      <c r="D753" s="2">
        <f t="shared" si="832"/>
        <v>0</v>
      </c>
      <c r="E753" s="2" t="str">
        <f t="shared" si="832"/>
        <v>A</v>
      </c>
      <c r="F753" s="2" t="str">
        <f t="shared" si="832"/>
        <v>Exterior Excellent</v>
      </c>
      <c r="G753" s="2" t="str">
        <f t="shared" si="832"/>
        <v/>
      </c>
      <c r="H753" s="2" t="str">
        <f t="shared" si="832"/>
        <v/>
      </c>
      <c r="I753" s="2" t="str">
        <f t="shared" si="832"/>
        <v/>
      </c>
      <c r="J753" s="2" t="str">
        <f t="shared" si="832"/>
        <v/>
      </c>
      <c r="K753" s="2" t="str">
        <f t="shared" si="832"/>
        <v/>
      </c>
      <c r="L753" s="2" t="str">
        <f t="shared" si="832"/>
        <v/>
      </c>
      <c r="M753" s="180" t="str">
        <f t="shared" si="832"/>
        <v/>
      </c>
      <c r="N753" s="2" t="str">
        <f t="shared" si="832"/>
        <v/>
      </c>
      <c r="O753" s="2">
        <f t="shared" si="832"/>
        <v>0</v>
      </c>
    </row>
    <row r="754" spans="1:15" x14ac:dyDescent="0.25">
      <c r="A754" s="325">
        <v>1</v>
      </c>
      <c r="B754" s="325">
        <f>TrialNumber</f>
        <v>0</v>
      </c>
      <c r="C754" s="325" t="s">
        <v>23</v>
      </c>
      <c r="D754" s="325">
        <f>Excellent!C41</f>
        <v>0</v>
      </c>
      <c r="E754" s="325" t="str">
        <f>IF(Excellent!B41="W","W","A")</f>
        <v>A</v>
      </c>
      <c r="F754" s="325" t="s">
        <v>1742</v>
      </c>
      <c r="G754" s="325" t="str">
        <f>IF(Excellent!W41="e","Y","")</f>
        <v/>
      </c>
      <c r="H754" s="325" t="str">
        <f>IFERROR(VLOOKUP($D754,'SDDA Dogs'!$A:$AE,2,FALSE),"")</f>
        <v/>
      </c>
      <c r="I754" s="325" t="str">
        <f>IFERROR(VLOOKUP($D754,'SDDA Dogs'!$A:$AE,3,FALSE),"")</f>
        <v/>
      </c>
      <c r="J754" s="325" t="str">
        <f>IFERROR(VLOOKUP($D754,'SDDA Dogs'!$A:$AE,6,FALSE),"")</f>
        <v/>
      </c>
      <c r="K754" s="325" t="str">
        <f>IF(Excellent!AS41="","",Excellent!AS41)</f>
        <v/>
      </c>
      <c r="L754" s="325" t="str">
        <f>IF(Excellent!AT41="","",Excellent!AT41)</f>
        <v/>
      </c>
      <c r="M754" s="326" t="str">
        <f>TrialDate</f>
        <v/>
      </c>
      <c r="N754" s="325" t="str">
        <f t="shared" ref="N754" si="833">N753</f>
        <v/>
      </c>
      <c r="O754" s="325">
        <f>JudgeD1ESE</f>
        <v>0</v>
      </c>
    </row>
    <row r="755" spans="1:15" x14ac:dyDescent="0.25">
      <c r="A755" s="2">
        <v>2</v>
      </c>
      <c r="B755" s="2">
        <f t="shared" ref="B755:O755" si="834">B754</f>
        <v>0</v>
      </c>
      <c r="C755" s="2" t="str">
        <f t="shared" si="834"/>
        <v>ESE</v>
      </c>
      <c r="D755" s="2">
        <f t="shared" si="834"/>
        <v>0</v>
      </c>
      <c r="E755" s="2" t="str">
        <f t="shared" si="834"/>
        <v>A</v>
      </c>
      <c r="F755" s="2" t="str">
        <f t="shared" si="834"/>
        <v>Exterior Excellent</v>
      </c>
      <c r="G755" s="2" t="str">
        <f t="shared" si="834"/>
        <v/>
      </c>
      <c r="H755" s="2" t="str">
        <f t="shared" si="834"/>
        <v/>
      </c>
      <c r="I755" s="2" t="str">
        <f t="shared" si="834"/>
        <v/>
      </c>
      <c r="J755" s="2" t="str">
        <f t="shared" si="834"/>
        <v/>
      </c>
      <c r="K755" s="2" t="str">
        <f t="shared" si="834"/>
        <v/>
      </c>
      <c r="L755" s="2" t="str">
        <f t="shared" si="834"/>
        <v/>
      </c>
      <c r="M755" s="180" t="str">
        <f t="shared" si="834"/>
        <v/>
      </c>
      <c r="N755" s="2" t="str">
        <f t="shared" si="834"/>
        <v/>
      </c>
      <c r="O755" s="2">
        <f t="shared" si="834"/>
        <v>0</v>
      </c>
    </row>
    <row r="756" spans="1:15" x14ac:dyDescent="0.25">
      <c r="A756" s="325">
        <v>1</v>
      </c>
      <c r="B756" s="325">
        <f>TrialNumber</f>
        <v>0</v>
      </c>
      <c r="C756" s="325" t="s">
        <v>23</v>
      </c>
      <c r="D756" s="325">
        <f>Excellent!C42</f>
        <v>0</v>
      </c>
      <c r="E756" s="325" t="str">
        <f>IF(Excellent!B42="W","W","A")</f>
        <v>A</v>
      </c>
      <c r="F756" s="325" t="s">
        <v>1742</v>
      </c>
      <c r="G756" s="325" t="str">
        <f>IF(Excellent!W42="e","Y","")</f>
        <v/>
      </c>
      <c r="H756" s="325" t="str">
        <f>IFERROR(VLOOKUP($D756,'SDDA Dogs'!$A:$AE,2,FALSE),"")</f>
        <v/>
      </c>
      <c r="I756" s="325" t="str">
        <f>IFERROR(VLOOKUP($D756,'SDDA Dogs'!$A:$AE,3,FALSE),"")</f>
        <v/>
      </c>
      <c r="J756" s="325" t="str">
        <f>IFERROR(VLOOKUP($D756,'SDDA Dogs'!$A:$AE,6,FALSE),"")</f>
        <v/>
      </c>
      <c r="K756" s="325" t="str">
        <f>IF(Excellent!AS42="","",Excellent!AS42)</f>
        <v/>
      </c>
      <c r="L756" s="325" t="str">
        <f>IF(Excellent!AT42="","",Excellent!AT42)</f>
        <v/>
      </c>
      <c r="M756" s="326" t="str">
        <f>TrialDate</f>
        <v/>
      </c>
      <c r="N756" s="325" t="str">
        <f t="shared" ref="N756" si="835">N755</f>
        <v/>
      </c>
      <c r="O756" s="325">
        <f>JudgeD1ESE</f>
        <v>0</v>
      </c>
    </row>
    <row r="757" spans="1:15" x14ac:dyDescent="0.25">
      <c r="A757" s="2">
        <v>2</v>
      </c>
      <c r="B757" s="2">
        <f t="shared" ref="B757:O757" si="836">B756</f>
        <v>0</v>
      </c>
      <c r="C757" s="2" t="str">
        <f t="shared" si="836"/>
        <v>ESE</v>
      </c>
      <c r="D757" s="2">
        <f t="shared" si="836"/>
        <v>0</v>
      </c>
      <c r="E757" s="2" t="str">
        <f t="shared" si="836"/>
        <v>A</v>
      </c>
      <c r="F757" s="2" t="str">
        <f t="shared" si="836"/>
        <v>Exterior Excellent</v>
      </c>
      <c r="G757" s="2" t="str">
        <f t="shared" si="836"/>
        <v/>
      </c>
      <c r="H757" s="2" t="str">
        <f t="shared" si="836"/>
        <v/>
      </c>
      <c r="I757" s="2" t="str">
        <f t="shared" si="836"/>
        <v/>
      </c>
      <c r="J757" s="2" t="str">
        <f t="shared" si="836"/>
        <v/>
      </c>
      <c r="K757" s="2" t="str">
        <f t="shared" si="836"/>
        <v/>
      </c>
      <c r="L757" s="2" t="str">
        <f t="shared" si="836"/>
        <v/>
      </c>
      <c r="M757" s="180" t="str">
        <f t="shared" si="836"/>
        <v/>
      </c>
      <c r="N757" s="2" t="str">
        <f t="shared" si="836"/>
        <v/>
      </c>
      <c r="O757" s="2">
        <f t="shared" si="836"/>
        <v>0</v>
      </c>
    </row>
    <row r="758" spans="1:15" x14ac:dyDescent="0.25">
      <c r="A758" s="325">
        <v>1</v>
      </c>
      <c r="B758" s="325">
        <f>TrialNumber</f>
        <v>0</v>
      </c>
      <c r="C758" s="325" t="s">
        <v>23</v>
      </c>
      <c r="D758" s="325">
        <f>Excellent!C43</f>
        <v>0</v>
      </c>
      <c r="E758" s="325" t="str">
        <f>IF(Excellent!B43="W","W","A")</f>
        <v>A</v>
      </c>
      <c r="F758" s="325" t="s">
        <v>1742</v>
      </c>
      <c r="G758" s="325" t="str">
        <f>IF(Excellent!W43="e","Y","")</f>
        <v/>
      </c>
      <c r="H758" s="325" t="str">
        <f>IFERROR(VLOOKUP($D758,'SDDA Dogs'!$A:$AE,2,FALSE),"")</f>
        <v/>
      </c>
      <c r="I758" s="325" t="str">
        <f>IFERROR(VLOOKUP($D758,'SDDA Dogs'!$A:$AE,3,FALSE),"")</f>
        <v/>
      </c>
      <c r="J758" s="325" t="str">
        <f>IFERROR(VLOOKUP($D758,'SDDA Dogs'!$A:$AE,6,FALSE),"")</f>
        <v/>
      </c>
      <c r="K758" s="325" t="str">
        <f>IF(Excellent!AS43="","",Excellent!AS43)</f>
        <v/>
      </c>
      <c r="L758" s="325" t="str">
        <f>IF(Excellent!AT43="","",Excellent!AT43)</f>
        <v/>
      </c>
      <c r="M758" s="326" t="str">
        <f>TrialDate</f>
        <v/>
      </c>
      <c r="N758" s="325" t="str">
        <f t="shared" ref="N758" si="837">N757</f>
        <v/>
      </c>
      <c r="O758" s="325">
        <f>JudgeD1ESE</f>
        <v>0</v>
      </c>
    </row>
    <row r="759" spans="1:15" x14ac:dyDescent="0.25">
      <c r="A759" s="2">
        <v>2</v>
      </c>
      <c r="B759" s="2">
        <f t="shared" ref="B759:O759" si="838">B758</f>
        <v>0</v>
      </c>
      <c r="C759" s="2" t="str">
        <f t="shared" si="838"/>
        <v>ESE</v>
      </c>
      <c r="D759" s="2">
        <f t="shared" si="838"/>
        <v>0</v>
      </c>
      <c r="E759" s="2" t="str">
        <f t="shared" si="838"/>
        <v>A</v>
      </c>
      <c r="F759" s="2" t="str">
        <f t="shared" si="838"/>
        <v>Exterior Excellent</v>
      </c>
      <c r="G759" s="2" t="str">
        <f t="shared" si="838"/>
        <v/>
      </c>
      <c r="H759" s="2" t="str">
        <f t="shared" si="838"/>
        <v/>
      </c>
      <c r="I759" s="2" t="str">
        <f t="shared" si="838"/>
        <v/>
      </c>
      <c r="J759" s="2" t="str">
        <f t="shared" si="838"/>
        <v/>
      </c>
      <c r="K759" s="2" t="str">
        <f t="shared" si="838"/>
        <v/>
      </c>
      <c r="L759" s="2" t="str">
        <f t="shared" si="838"/>
        <v/>
      </c>
      <c r="M759" s="180" t="str">
        <f t="shared" si="838"/>
        <v/>
      </c>
      <c r="N759" s="2" t="str">
        <f t="shared" si="838"/>
        <v/>
      </c>
      <c r="O759" s="2">
        <f t="shared" si="838"/>
        <v>0</v>
      </c>
    </row>
    <row r="760" spans="1:15" x14ac:dyDescent="0.25">
      <c r="A760" s="325">
        <v>1</v>
      </c>
      <c r="B760" s="325">
        <f>TrialNumber</f>
        <v>0</v>
      </c>
      <c r="C760" s="325" t="s">
        <v>23</v>
      </c>
      <c r="D760" s="325">
        <f>Excellent!C44</f>
        <v>0</v>
      </c>
      <c r="E760" s="325" t="str">
        <f>IF(Excellent!B44="W","W","A")</f>
        <v>A</v>
      </c>
      <c r="F760" s="325" t="s">
        <v>1742</v>
      </c>
      <c r="G760" s="325" t="str">
        <f>IF(Excellent!W44="e","Y","")</f>
        <v/>
      </c>
      <c r="H760" s="325" t="str">
        <f>IFERROR(VLOOKUP($D760,'SDDA Dogs'!$A:$AE,2,FALSE),"")</f>
        <v/>
      </c>
      <c r="I760" s="325" t="str">
        <f>IFERROR(VLOOKUP($D760,'SDDA Dogs'!$A:$AE,3,FALSE),"")</f>
        <v/>
      </c>
      <c r="J760" s="325" t="str">
        <f>IFERROR(VLOOKUP($D760,'SDDA Dogs'!$A:$AE,6,FALSE),"")</f>
        <v/>
      </c>
      <c r="K760" s="325" t="str">
        <f>IF(Excellent!AS44="","",Excellent!AS44)</f>
        <v/>
      </c>
      <c r="L760" s="325" t="str">
        <f>IF(Excellent!AT44="","",Excellent!AT44)</f>
        <v/>
      </c>
      <c r="M760" s="326" t="str">
        <f>TrialDate</f>
        <v/>
      </c>
      <c r="N760" s="325" t="str">
        <f t="shared" ref="N760" si="839">N759</f>
        <v/>
      </c>
      <c r="O760" s="325">
        <f>JudgeD1ESE</f>
        <v>0</v>
      </c>
    </row>
    <row r="761" spans="1:15" x14ac:dyDescent="0.25">
      <c r="A761" s="2">
        <v>2</v>
      </c>
      <c r="B761" s="2">
        <f t="shared" ref="B761:O761" si="840">B760</f>
        <v>0</v>
      </c>
      <c r="C761" s="2" t="str">
        <f t="shared" si="840"/>
        <v>ESE</v>
      </c>
      <c r="D761" s="2">
        <f t="shared" si="840"/>
        <v>0</v>
      </c>
      <c r="E761" s="2" t="str">
        <f t="shared" si="840"/>
        <v>A</v>
      </c>
      <c r="F761" s="2" t="str">
        <f t="shared" si="840"/>
        <v>Exterior Excellent</v>
      </c>
      <c r="G761" s="2" t="str">
        <f t="shared" si="840"/>
        <v/>
      </c>
      <c r="H761" s="2" t="str">
        <f t="shared" si="840"/>
        <v/>
      </c>
      <c r="I761" s="2" t="str">
        <f t="shared" si="840"/>
        <v/>
      </c>
      <c r="J761" s="2" t="str">
        <f t="shared" si="840"/>
        <v/>
      </c>
      <c r="K761" s="2" t="str">
        <f t="shared" si="840"/>
        <v/>
      </c>
      <c r="L761" s="2" t="str">
        <f t="shared" si="840"/>
        <v/>
      </c>
      <c r="M761" s="180" t="str">
        <f t="shared" si="840"/>
        <v/>
      </c>
      <c r="N761" s="2" t="str">
        <f t="shared" si="840"/>
        <v/>
      </c>
      <c r="O761" s="2">
        <f t="shared" si="840"/>
        <v>0</v>
      </c>
    </row>
    <row r="762" spans="1:15" x14ac:dyDescent="0.25">
      <c r="A762" s="325">
        <v>1</v>
      </c>
      <c r="B762" s="325">
        <f>TrialNumber</f>
        <v>0</v>
      </c>
      <c r="C762" s="325" t="s">
        <v>23</v>
      </c>
      <c r="D762" s="325">
        <f>Excellent!C45</f>
        <v>0</v>
      </c>
      <c r="E762" s="325" t="str">
        <f>IF(Excellent!B45="W","W","A")</f>
        <v>A</v>
      </c>
      <c r="F762" s="325" t="s">
        <v>1742</v>
      </c>
      <c r="G762" s="325" t="str">
        <f>IF(Excellent!W45="e","Y","")</f>
        <v/>
      </c>
      <c r="H762" s="325" t="str">
        <f>IFERROR(VLOOKUP($D762,'SDDA Dogs'!$A:$AE,2,FALSE),"")</f>
        <v/>
      </c>
      <c r="I762" s="325" t="str">
        <f>IFERROR(VLOOKUP($D762,'SDDA Dogs'!$A:$AE,3,FALSE),"")</f>
        <v/>
      </c>
      <c r="J762" s="325" t="str">
        <f>IFERROR(VLOOKUP($D762,'SDDA Dogs'!$A:$AE,6,FALSE),"")</f>
        <v/>
      </c>
      <c r="K762" s="325" t="str">
        <f>IF(Excellent!AS45="","",Excellent!AS45)</f>
        <v/>
      </c>
      <c r="L762" s="325" t="str">
        <f>IF(Excellent!AT45="","",Excellent!AT45)</f>
        <v/>
      </c>
      <c r="M762" s="326" t="str">
        <f>TrialDate</f>
        <v/>
      </c>
      <c r="N762" s="325" t="str">
        <f t="shared" ref="N762" si="841">N761</f>
        <v/>
      </c>
      <c r="O762" s="325">
        <f>JudgeD1ESE</f>
        <v>0</v>
      </c>
    </row>
    <row r="763" spans="1:15" x14ac:dyDescent="0.25">
      <c r="A763" s="2">
        <v>2</v>
      </c>
      <c r="B763" s="2">
        <f t="shared" ref="B763:O763" si="842">B762</f>
        <v>0</v>
      </c>
      <c r="C763" s="2" t="str">
        <f t="shared" si="842"/>
        <v>ESE</v>
      </c>
      <c r="D763" s="2">
        <f t="shared" si="842"/>
        <v>0</v>
      </c>
      <c r="E763" s="2" t="str">
        <f t="shared" si="842"/>
        <v>A</v>
      </c>
      <c r="F763" s="2" t="str">
        <f t="shared" si="842"/>
        <v>Exterior Excellent</v>
      </c>
      <c r="G763" s="2" t="str">
        <f t="shared" si="842"/>
        <v/>
      </c>
      <c r="H763" s="2" t="str">
        <f t="shared" si="842"/>
        <v/>
      </c>
      <c r="I763" s="2" t="str">
        <f t="shared" si="842"/>
        <v/>
      </c>
      <c r="J763" s="2" t="str">
        <f t="shared" si="842"/>
        <v/>
      </c>
      <c r="K763" s="2" t="str">
        <f t="shared" si="842"/>
        <v/>
      </c>
      <c r="L763" s="2" t="str">
        <f t="shared" si="842"/>
        <v/>
      </c>
      <c r="M763" s="180" t="str">
        <f t="shared" si="842"/>
        <v/>
      </c>
      <c r="N763" s="2" t="str">
        <f t="shared" si="842"/>
        <v/>
      </c>
      <c r="O763" s="2">
        <f t="shared" si="842"/>
        <v>0</v>
      </c>
    </row>
    <row r="764" spans="1:15" x14ac:dyDescent="0.25">
      <c r="A764" s="325">
        <v>1</v>
      </c>
      <c r="B764" s="325">
        <f>TrialNumber</f>
        <v>0</v>
      </c>
      <c r="C764" s="325" t="s">
        <v>23</v>
      </c>
      <c r="D764" s="325">
        <f>Excellent!C46</f>
        <v>0</v>
      </c>
      <c r="E764" s="325" t="str">
        <f>IF(Excellent!B46="W","W","A")</f>
        <v>A</v>
      </c>
      <c r="F764" s="325" t="s">
        <v>1742</v>
      </c>
      <c r="G764" s="325" t="str">
        <f>IF(Excellent!W46="e","Y","")</f>
        <v/>
      </c>
      <c r="H764" s="325" t="str">
        <f>IFERROR(VLOOKUP($D764,'SDDA Dogs'!$A:$AE,2,FALSE),"")</f>
        <v/>
      </c>
      <c r="I764" s="325" t="str">
        <f>IFERROR(VLOOKUP($D764,'SDDA Dogs'!$A:$AE,3,FALSE),"")</f>
        <v/>
      </c>
      <c r="J764" s="325" t="str">
        <f>IFERROR(VLOOKUP($D764,'SDDA Dogs'!$A:$AE,6,FALSE),"")</f>
        <v/>
      </c>
      <c r="K764" s="325" t="str">
        <f>IF(Excellent!AS46="","",Excellent!AS46)</f>
        <v/>
      </c>
      <c r="L764" s="325" t="str">
        <f>IF(Excellent!AT46="","",Excellent!AT46)</f>
        <v/>
      </c>
      <c r="M764" s="326" t="str">
        <f>TrialDate</f>
        <v/>
      </c>
      <c r="N764" s="325" t="str">
        <f t="shared" ref="N764" si="843">N763</f>
        <v/>
      </c>
      <c r="O764" s="325">
        <f>JudgeD1ESE</f>
        <v>0</v>
      </c>
    </row>
    <row r="765" spans="1:15" x14ac:dyDescent="0.25">
      <c r="A765" s="2">
        <v>2</v>
      </c>
      <c r="B765" s="2">
        <f t="shared" ref="B765:O765" si="844">B764</f>
        <v>0</v>
      </c>
      <c r="C765" s="2" t="str">
        <f t="shared" si="844"/>
        <v>ESE</v>
      </c>
      <c r="D765" s="2">
        <f t="shared" si="844"/>
        <v>0</v>
      </c>
      <c r="E765" s="2" t="str">
        <f t="shared" si="844"/>
        <v>A</v>
      </c>
      <c r="F765" s="2" t="str">
        <f t="shared" si="844"/>
        <v>Exterior Excellent</v>
      </c>
      <c r="G765" s="2" t="str">
        <f t="shared" si="844"/>
        <v/>
      </c>
      <c r="H765" s="2" t="str">
        <f t="shared" si="844"/>
        <v/>
      </c>
      <c r="I765" s="2" t="str">
        <f t="shared" si="844"/>
        <v/>
      </c>
      <c r="J765" s="2" t="str">
        <f t="shared" si="844"/>
        <v/>
      </c>
      <c r="K765" s="2" t="str">
        <f t="shared" si="844"/>
        <v/>
      </c>
      <c r="L765" s="2" t="str">
        <f t="shared" si="844"/>
        <v/>
      </c>
      <c r="M765" s="180" t="str">
        <f t="shared" si="844"/>
        <v/>
      </c>
      <c r="N765" s="2" t="str">
        <f t="shared" si="844"/>
        <v/>
      </c>
      <c r="O765" s="2">
        <f t="shared" si="844"/>
        <v>0</v>
      </c>
    </row>
    <row r="766" spans="1:15" x14ac:dyDescent="0.25">
      <c r="A766" s="325">
        <v>1</v>
      </c>
      <c r="B766" s="325">
        <f>TrialNumber</f>
        <v>0</v>
      </c>
      <c r="C766" s="325" t="s">
        <v>23</v>
      </c>
      <c r="D766" s="325">
        <f>Excellent!C47</f>
        <v>0</v>
      </c>
      <c r="E766" s="325" t="str">
        <f>IF(Excellent!B47="W","W","A")</f>
        <v>A</v>
      </c>
      <c r="F766" s="325" t="s">
        <v>1742</v>
      </c>
      <c r="G766" s="325" t="str">
        <f>IF(Excellent!W47="e","Y","")</f>
        <v/>
      </c>
      <c r="H766" s="325" t="str">
        <f>IFERROR(VLOOKUP($D766,'SDDA Dogs'!$A:$AE,2,FALSE),"")</f>
        <v/>
      </c>
      <c r="I766" s="325" t="str">
        <f>IFERROR(VLOOKUP($D766,'SDDA Dogs'!$A:$AE,3,FALSE),"")</f>
        <v/>
      </c>
      <c r="J766" s="325" t="str">
        <f>IFERROR(VLOOKUP($D766,'SDDA Dogs'!$A:$AE,6,FALSE),"")</f>
        <v/>
      </c>
      <c r="K766" s="325" t="str">
        <f>IF(Excellent!AS47="","",Excellent!AS47)</f>
        <v/>
      </c>
      <c r="L766" s="325" t="str">
        <f>IF(Excellent!AT47="","",Excellent!AT47)</f>
        <v/>
      </c>
      <c r="M766" s="326" t="str">
        <f>TrialDate</f>
        <v/>
      </c>
      <c r="N766" s="325" t="str">
        <f t="shared" ref="N766" si="845">N765</f>
        <v/>
      </c>
      <c r="O766" s="325">
        <f>JudgeD1ESE</f>
        <v>0</v>
      </c>
    </row>
    <row r="767" spans="1:15" x14ac:dyDescent="0.25">
      <c r="A767" s="2">
        <v>2</v>
      </c>
      <c r="B767" s="2">
        <f t="shared" ref="B767:O767" si="846">B766</f>
        <v>0</v>
      </c>
      <c r="C767" s="2" t="str">
        <f t="shared" si="846"/>
        <v>ESE</v>
      </c>
      <c r="D767" s="2">
        <f t="shared" si="846"/>
        <v>0</v>
      </c>
      <c r="E767" s="2" t="str">
        <f t="shared" si="846"/>
        <v>A</v>
      </c>
      <c r="F767" s="2" t="str">
        <f t="shared" si="846"/>
        <v>Exterior Excellent</v>
      </c>
      <c r="G767" s="2" t="str">
        <f t="shared" si="846"/>
        <v/>
      </c>
      <c r="H767" s="2" t="str">
        <f t="shared" si="846"/>
        <v/>
      </c>
      <c r="I767" s="2" t="str">
        <f t="shared" si="846"/>
        <v/>
      </c>
      <c r="J767" s="2" t="str">
        <f t="shared" si="846"/>
        <v/>
      </c>
      <c r="K767" s="2" t="str">
        <f t="shared" si="846"/>
        <v/>
      </c>
      <c r="L767" s="2" t="str">
        <f t="shared" si="846"/>
        <v/>
      </c>
      <c r="M767" s="180" t="str">
        <f t="shared" si="846"/>
        <v/>
      </c>
      <c r="N767" s="2" t="str">
        <f t="shared" si="846"/>
        <v/>
      </c>
      <c r="O767" s="2">
        <f t="shared" si="846"/>
        <v>0</v>
      </c>
    </row>
    <row r="768" spans="1:15" x14ac:dyDescent="0.25">
      <c r="A768" s="325">
        <v>1</v>
      </c>
      <c r="B768" s="325">
        <f>TrialNumber</f>
        <v>0</v>
      </c>
      <c r="C768" s="325" t="s">
        <v>23</v>
      </c>
      <c r="D768" s="325">
        <f>Excellent!C48</f>
        <v>0</v>
      </c>
      <c r="E768" s="325" t="str">
        <f>IF(Excellent!B48="W","W","A")</f>
        <v>A</v>
      </c>
      <c r="F768" s="325" t="s">
        <v>1742</v>
      </c>
      <c r="G768" s="325" t="str">
        <f>IF(Excellent!W48="e","Y","")</f>
        <v/>
      </c>
      <c r="H768" s="325" t="str">
        <f>IFERROR(VLOOKUP($D768,'SDDA Dogs'!$A:$AE,2,FALSE),"")</f>
        <v/>
      </c>
      <c r="I768" s="325" t="str">
        <f>IFERROR(VLOOKUP($D768,'SDDA Dogs'!$A:$AE,3,FALSE),"")</f>
        <v/>
      </c>
      <c r="J768" s="325" t="str">
        <f>IFERROR(VLOOKUP($D768,'SDDA Dogs'!$A:$AE,6,FALSE),"")</f>
        <v/>
      </c>
      <c r="K768" s="325" t="str">
        <f>IF(Excellent!AS48="","",Excellent!AS48)</f>
        <v/>
      </c>
      <c r="L768" s="325" t="str">
        <f>IF(Excellent!AT48="","",Excellent!AT48)</f>
        <v/>
      </c>
      <c r="M768" s="326" t="str">
        <f>TrialDate</f>
        <v/>
      </c>
      <c r="N768" s="325" t="str">
        <f t="shared" ref="N768" si="847">N767</f>
        <v/>
      </c>
      <c r="O768" s="325">
        <f>JudgeD1ESE</f>
        <v>0</v>
      </c>
    </row>
    <row r="769" spans="1:15" x14ac:dyDescent="0.25">
      <c r="A769" s="2">
        <v>2</v>
      </c>
      <c r="B769" s="2">
        <f t="shared" ref="B769:O769" si="848">B768</f>
        <v>0</v>
      </c>
      <c r="C769" s="2" t="str">
        <f t="shared" si="848"/>
        <v>ESE</v>
      </c>
      <c r="D769" s="2">
        <f t="shared" si="848"/>
        <v>0</v>
      </c>
      <c r="E769" s="2" t="str">
        <f t="shared" si="848"/>
        <v>A</v>
      </c>
      <c r="F769" s="2" t="str">
        <f t="shared" si="848"/>
        <v>Exterior Excellent</v>
      </c>
      <c r="G769" s="2" t="str">
        <f t="shared" si="848"/>
        <v/>
      </c>
      <c r="H769" s="2" t="str">
        <f t="shared" si="848"/>
        <v/>
      </c>
      <c r="I769" s="2" t="str">
        <f t="shared" si="848"/>
        <v/>
      </c>
      <c r="J769" s="2" t="str">
        <f t="shared" si="848"/>
        <v/>
      </c>
      <c r="K769" s="2" t="str">
        <f t="shared" si="848"/>
        <v/>
      </c>
      <c r="L769" s="2" t="str">
        <f t="shared" si="848"/>
        <v/>
      </c>
      <c r="M769" s="180" t="str">
        <f t="shared" si="848"/>
        <v/>
      </c>
      <c r="N769" s="2" t="str">
        <f t="shared" si="848"/>
        <v/>
      </c>
      <c r="O769" s="2">
        <f t="shared" si="848"/>
        <v>0</v>
      </c>
    </row>
    <row r="770" spans="1:15" x14ac:dyDescent="0.25">
      <c r="A770" s="325">
        <v>1</v>
      </c>
      <c r="B770" s="325">
        <f>TrialNumber</f>
        <v>0</v>
      </c>
      <c r="C770" s="325" t="s">
        <v>23</v>
      </c>
      <c r="D770" s="325">
        <f>Excellent!C49</f>
        <v>0</v>
      </c>
      <c r="E770" s="325" t="str">
        <f>IF(Excellent!B49="W","W","A")</f>
        <v>A</v>
      </c>
      <c r="F770" s="325" t="s">
        <v>1742</v>
      </c>
      <c r="G770" s="325" t="str">
        <f>IF(Excellent!W49="e","Y","")</f>
        <v/>
      </c>
      <c r="H770" s="325" t="str">
        <f>IFERROR(VLOOKUP($D770,'SDDA Dogs'!$A:$AE,2,FALSE),"")</f>
        <v/>
      </c>
      <c r="I770" s="325" t="str">
        <f>IFERROR(VLOOKUP($D770,'SDDA Dogs'!$A:$AE,3,FALSE),"")</f>
        <v/>
      </c>
      <c r="J770" s="325" t="str">
        <f>IFERROR(VLOOKUP($D770,'SDDA Dogs'!$A:$AE,6,FALSE),"")</f>
        <v/>
      </c>
      <c r="K770" s="325" t="str">
        <f>IF(Excellent!AS49="","",Excellent!AS49)</f>
        <v/>
      </c>
      <c r="L770" s="325" t="str">
        <f>IF(Excellent!AT49="","",Excellent!AT49)</f>
        <v/>
      </c>
      <c r="M770" s="326" t="str">
        <f>TrialDate</f>
        <v/>
      </c>
      <c r="N770" s="325" t="str">
        <f t="shared" ref="N770" si="849">N769</f>
        <v/>
      </c>
      <c r="O770" s="325">
        <f>JudgeD1ESE</f>
        <v>0</v>
      </c>
    </row>
    <row r="771" spans="1:15" x14ac:dyDescent="0.25">
      <c r="A771" s="2">
        <v>2</v>
      </c>
      <c r="B771" s="2">
        <f t="shared" ref="B771:O771" si="850">B770</f>
        <v>0</v>
      </c>
      <c r="C771" s="2" t="str">
        <f t="shared" si="850"/>
        <v>ESE</v>
      </c>
      <c r="D771" s="2">
        <f t="shared" si="850"/>
        <v>0</v>
      </c>
      <c r="E771" s="2" t="str">
        <f t="shared" si="850"/>
        <v>A</v>
      </c>
      <c r="F771" s="2" t="str">
        <f t="shared" si="850"/>
        <v>Exterior Excellent</v>
      </c>
      <c r="G771" s="2" t="str">
        <f t="shared" si="850"/>
        <v/>
      </c>
      <c r="H771" s="2" t="str">
        <f t="shared" si="850"/>
        <v/>
      </c>
      <c r="I771" s="2" t="str">
        <f t="shared" si="850"/>
        <v/>
      </c>
      <c r="J771" s="2" t="str">
        <f t="shared" si="850"/>
        <v/>
      </c>
      <c r="K771" s="2" t="str">
        <f t="shared" si="850"/>
        <v/>
      </c>
      <c r="L771" s="2" t="str">
        <f t="shared" si="850"/>
        <v/>
      </c>
      <c r="M771" s="180" t="str">
        <f t="shared" si="850"/>
        <v/>
      </c>
      <c r="N771" s="2" t="str">
        <f t="shared" si="850"/>
        <v/>
      </c>
      <c r="O771" s="2">
        <f t="shared" si="850"/>
        <v>0</v>
      </c>
    </row>
    <row r="772" spans="1:15" x14ac:dyDescent="0.25">
      <c r="A772" s="325">
        <v>1</v>
      </c>
      <c r="B772" s="325">
        <f>TrialNumber</f>
        <v>0</v>
      </c>
      <c r="C772" s="325" t="s">
        <v>23</v>
      </c>
      <c r="D772" s="325">
        <f>Excellent!C50</f>
        <v>0</v>
      </c>
      <c r="E772" s="325" t="str">
        <f>IF(Excellent!B50="W","W","A")</f>
        <v>A</v>
      </c>
      <c r="F772" s="325" t="s">
        <v>1742</v>
      </c>
      <c r="G772" s="325" t="str">
        <f>IF(Excellent!W50="e","Y","")</f>
        <v/>
      </c>
      <c r="H772" s="325" t="str">
        <f>IFERROR(VLOOKUP($D772,'SDDA Dogs'!$A:$AE,2,FALSE),"")</f>
        <v/>
      </c>
      <c r="I772" s="325" t="str">
        <f>IFERROR(VLOOKUP($D772,'SDDA Dogs'!$A:$AE,3,FALSE),"")</f>
        <v/>
      </c>
      <c r="J772" s="325" t="str">
        <f>IFERROR(VLOOKUP($D772,'SDDA Dogs'!$A:$AE,6,FALSE),"")</f>
        <v/>
      </c>
      <c r="K772" s="325" t="str">
        <f>IF(Excellent!AS50="","",Excellent!AS50)</f>
        <v/>
      </c>
      <c r="L772" s="325" t="str">
        <f>IF(Excellent!AT50="","",Excellent!AT50)</f>
        <v/>
      </c>
      <c r="M772" s="326" t="str">
        <f>TrialDate</f>
        <v/>
      </c>
      <c r="N772" s="325" t="str">
        <f t="shared" ref="N772" si="851">N771</f>
        <v/>
      </c>
      <c r="O772" s="325">
        <f>JudgeD1ESE</f>
        <v>0</v>
      </c>
    </row>
    <row r="773" spans="1:15" x14ac:dyDescent="0.25">
      <c r="A773" s="2">
        <v>2</v>
      </c>
      <c r="B773" s="2">
        <f t="shared" ref="B773:O773" si="852">B772</f>
        <v>0</v>
      </c>
      <c r="C773" s="2" t="str">
        <f t="shared" si="852"/>
        <v>ESE</v>
      </c>
      <c r="D773" s="2">
        <f t="shared" si="852"/>
        <v>0</v>
      </c>
      <c r="E773" s="2" t="str">
        <f t="shared" si="852"/>
        <v>A</v>
      </c>
      <c r="F773" s="2" t="str">
        <f t="shared" si="852"/>
        <v>Exterior Excellent</v>
      </c>
      <c r="G773" s="2" t="str">
        <f t="shared" si="852"/>
        <v/>
      </c>
      <c r="H773" s="2" t="str">
        <f t="shared" si="852"/>
        <v/>
      </c>
      <c r="I773" s="2" t="str">
        <f t="shared" si="852"/>
        <v/>
      </c>
      <c r="J773" s="2" t="str">
        <f t="shared" si="852"/>
        <v/>
      </c>
      <c r="K773" s="2" t="str">
        <f t="shared" si="852"/>
        <v/>
      </c>
      <c r="L773" s="2" t="str">
        <f t="shared" si="852"/>
        <v/>
      </c>
      <c r="M773" s="180" t="str">
        <f t="shared" si="852"/>
        <v/>
      </c>
      <c r="N773" s="2" t="str">
        <f t="shared" si="852"/>
        <v/>
      </c>
      <c r="O773" s="2">
        <f t="shared" si="852"/>
        <v>0</v>
      </c>
    </row>
    <row r="774" spans="1:15" x14ac:dyDescent="0.25">
      <c r="A774" s="325">
        <v>1</v>
      </c>
      <c r="B774" s="325">
        <f>TrialNumber</f>
        <v>0</v>
      </c>
      <c r="C774" s="325" t="s">
        <v>23</v>
      </c>
      <c r="D774" s="325">
        <f>Excellent!C51</f>
        <v>0</v>
      </c>
      <c r="E774" s="325" t="str">
        <f>IF(Excellent!B51="W","W","A")</f>
        <v>A</v>
      </c>
      <c r="F774" s="325" t="s">
        <v>1742</v>
      </c>
      <c r="G774" s="325" t="str">
        <f>IF(Excellent!W51="e","Y","")</f>
        <v/>
      </c>
      <c r="H774" s="325" t="str">
        <f>IFERROR(VLOOKUP($D774,'SDDA Dogs'!$A:$AE,2,FALSE),"")</f>
        <v/>
      </c>
      <c r="I774" s="325" t="str">
        <f>IFERROR(VLOOKUP($D774,'SDDA Dogs'!$A:$AE,3,FALSE),"")</f>
        <v/>
      </c>
      <c r="J774" s="325" t="str">
        <f>IFERROR(VLOOKUP($D774,'SDDA Dogs'!$A:$AE,6,FALSE),"")</f>
        <v/>
      </c>
      <c r="K774" s="325" t="str">
        <f>IF(Excellent!AS51="","",Excellent!AS51)</f>
        <v/>
      </c>
      <c r="L774" s="325" t="str">
        <f>IF(Excellent!AT51="","",Excellent!AT51)</f>
        <v/>
      </c>
      <c r="M774" s="326" t="str">
        <f>TrialDate</f>
        <v/>
      </c>
      <c r="N774" s="325" t="str">
        <f t="shared" ref="N774" si="853">N773</f>
        <v/>
      </c>
      <c r="O774" s="325">
        <f>JudgeD1ESE</f>
        <v>0</v>
      </c>
    </row>
    <row r="775" spans="1:15" x14ac:dyDescent="0.25">
      <c r="A775" s="2">
        <v>2</v>
      </c>
      <c r="B775" s="2">
        <f t="shared" ref="B775:O775" si="854">B774</f>
        <v>0</v>
      </c>
      <c r="C775" s="2" t="str">
        <f t="shared" si="854"/>
        <v>ESE</v>
      </c>
      <c r="D775" s="2">
        <f t="shared" si="854"/>
        <v>0</v>
      </c>
      <c r="E775" s="2" t="str">
        <f t="shared" si="854"/>
        <v>A</v>
      </c>
      <c r="F775" s="2" t="str">
        <f t="shared" si="854"/>
        <v>Exterior Excellent</v>
      </c>
      <c r="G775" s="2" t="str">
        <f t="shared" si="854"/>
        <v/>
      </c>
      <c r="H775" s="2" t="str">
        <f t="shared" si="854"/>
        <v/>
      </c>
      <c r="I775" s="2" t="str">
        <f t="shared" si="854"/>
        <v/>
      </c>
      <c r="J775" s="2" t="str">
        <f t="shared" si="854"/>
        <v/>
      </c>
      <c r="K775" s="2" t="str">
        <f t="shared" si="854"/>
        <v/>
      </c>
      <c r="L775" s="2" t="str">
        <f t="shared" si="854"/>
        <v/>
      </c>
      <c r="M775" s="180" t="str">
        <f t="shared" si="854"/>
        <v/>
      </c>
      <c r="N775" s="2" t="str">
        <f t="shared" si="854"/>
        <v/>
      </c>
      <c r="O775" s="2">
        <f t="shared" si="854"/>
        <v>0</v>
      </c>
    </row>
    <row r="776" spans="1:15" x14ac:dyDescent="0.25">
      <c r="A776" s="325">
        <v>1</v>
      </c>
      <c r="B776" s="325">
        <f>TrialNumber</f>
        <v>0</v>
      </c>
      <c r="C776" s="325" t="s">
        <v>23</v>
      </c>
      <c r="D776" s="325">
        <f>Excellent!C52</f>
        <v>0</v>
      </c>
      <c r="E776" s="325" t="str">
        <f>IF(Excellent!B52="W","W","A")</f>
        <v>A</v>
      </c>
      <c r="F776" s="325" t="s">
        <v>1742</v>
      </c>
      <c r="G776" s="325" t="str">
        <f>IF(Excellent!W52="e","Y","")</f>
        <v/>
      </c>
      <c r="H776" s="325" t="str">
        <f>IFERROR(VLOOKUP($D776,'SDDA Dogs'!$A:$AE,2,FALSE),"")</f>
        <v/>
      </c>
      <c r="I776" s="325" t="str">
        <f>IFERROR(VLOOKUP($D776,'SDDA Dogs'!$A:$AE,3,FALSE),"")</f>
        <v/>
      </c>
      <c r="J776" s="325" t="str">
        <f>IFERROR(VLOOKUP($D776,'SDDA Dogs'!$A:$AE,6,FALSE),"")</f>
        <v/>
      </c>
      <c r="K776" s="325" t="str">
        <f>IF(Excellent!AS52="","",Excellent!AS52)</f>
        <v/>
      </c>
      <c r="L776" s="325" t="str">
        <f>IF(Excellent!AT52="","",Excellent!AT52)</f>
        <v/>
      </c>
      <c r="M776" s="326" t="str">
        <f>TrialDate</f>
        <v/>
      </c>
      <c r="N776" s="325" t="str">
        <f t="shared" ref="N776" si="855">N775</f>
        <v/>
      </c>
      <c r="O776" s="325">
        <f>JudgeD1ESE</f>
        <v>0</v>
      </c>
    </row>
    <row r="777" spans="1:15" x14ac:dyDescent="0.25">
      <c r="A777" s="2">
        <v>2</v>
      </c>
      <c r="B777" s="2">
        <f t="shared" ref="B777:O777" si="856">B776</f>
        <v>0</v>
      </c>
      <c r="C777" s="2" t="str">
        <f t="shared" si="856"/>
        <v>ESE</v>
      </c>
      <c r="D777" s="2">
        <f t="shared" si="856"/>
        <v>0</v>
      </c>
      <c r="E777" s="2" t="str">
        <f t="shared" si="856"/>
        <v>A</v>
      </c>
      <c r="F777" s="2" t="str">
        <f t="shared" si="856"/>
        <v>Exterior Excellent</v>
      </c>
      <c r="G777" s="2" t="str">
        <f t="shared" si="856"/>
        <v/>
      </c>
      <c r="H777" s="2" t="str">
        <f t="shared" si="856"/>
        <v/>
      </c>
      <c r="I777" s="2" t="str">
        <f t="shared" si="856"/>
        <v/>
      </c>
      <c r="J777" s="2" t="str">
        <f t="shared" si="856"/>
        <v/>
      </c>
      <c r="K777" s="2" t="str">
        <f t="shared" si="856"/>
        <v/>
      </c>
      <c r="L777" s="2" t="str">
        <f t="shared" si="856"/>
        <v/>
      </c>
      <c r="M777" s="180" t="str">
        <f t="shared" si="856"/>
        <v/>
      </c>
      <c r="N777" s="2" t="str">
        <f t="shared" si="856"/>
        <v/>
      </c>
      <c r="O777" s="2">
        <f t="shared" si="856"/>
        <v>0</v>
      </c>
    </row>
    <row r="778" spans="1:15" x14ac:dyDescent="0.25">
      <c r="A778" s="325">
        <v>1</v>
      </c>
      <c r="B778" s="325">
        <f>TrialNumber</f>
        <v>0</v>
      </c>
      <c r="C778" s="325" t="s">
        <v>23</v>
      </c>
      <c r="D778" s="325">
        <f>Excellent!C53</f>
        <v>0</v>
      </c>
      <c r="E778" s="325" t="str">
        <f>IF(Excellent!B53="W","W","A")</f>
        <v>A</v>
      </c>
      <c r="F778" s="325" t="s">
        <v>1742</v>
      </c>
      <c r="G778" s="325" t="str">
        <f>IF(Excellent!W53="e","Y","")</f>
        <v/>
      </c>
      <c r="H778" s="325" t="str">
        <f>IFERROR(VLOOKUP($D778,'SDDA Dogs'!$A:$AE,2,FALSE),"")</f>
        <v/>
      </c>
      <c r="I778" s="325" t="str">
        <f>IFERROR(VLOOKUP($D778,'SDDA Dogs'!$A:$AE,3,FALSE),"")</f>
        <v/>
      </c>
      <c r="J778" s="325" t="str">
        <f>IFERROR(VLOOKUP($D778,'SDDA Dogs'!$A:$AE,6,FALSE),"")</f>
        <v/>
      </c>
      <c r="K778" s="325" t="str">
        <f>IF(Excellent!AS53="","",Excellent!AS53)</f>
        <v/>
      </c>
      <c r="L778" s="325" t="str">
        <f>IF(Excellent!AT53="","",Excellent!AT53)</f>
        <v/>
      </c>
      <c r="M778" s="326" t="str">
        <f>TrialDate</f>
        <v/>
      </c>
      <c r="N778" s="325" t="str">
        <f t="shared" ref="N778" si="857">N777</f>
        <v/>
      </c>
      <c r="O778" s="325">
        <f>JudgeD1ESE</f>
        <v>0</v>
      </c>
    </row>
    <row r="779" spans="1:15" x14ac:dyDescent="0.25">
      <c r="A779" s="2">
        <v>2</v>
      </c>
      <c r="B779" s="2">
        <f t="shared" ref="B779:O779" si="858">B778</f>
        <v>0</v>
      </c>
      <c r="C779" s="2" t="str">
        <f t="shared" si="858"/>
        <v>ESE</v>
      </c>
      <c r="D779" s="2">
        <f t="shared" si="858"/>
        <v>0</v>
      </c>
      <c r="E779" s="2" t="str">
        <f t="shared" si="858"/>
        <v>A</v>
      </c>
      <c r="F779" s="2" t="str">
        <f t="shared" si="858"/>
        <v>Exterior Excellent</v>
      </c>
      <c r="G779" s="2" t="str">
        <f t="shared" si="858"/>
        <v/>
      </c>
      <c r="H779" s="2" t="str">
        <f t="shared" si="858"/>
        <v/>
      </c>
      <c r="I779" s="2" t="str">
        <f t="shared" si="858"/>
        <v/>
      </c>
      <c r="J779" s="2" t="str">
        <f t="shared" si="858"/>
        <v/>
      </c>
      <c r="K779" s="2" t="str">
        <f t="shared" si="858"/>
        <v/>
      </c>
      <c r="L779" s="2" t="str">
        <f t="shared" si="858"/>
        <v/>
      </c>
      <c r="M779" s="180" t="str">
        <f t="shared" si="858"/>
        <v/>
      </c>
      <c r="N779" s="2" t="str">
        <f t="shared" si="858"/>
        <v/>
      </c>
      <c r="O779" s="2">
        <f t="shared" si="858"/>
        <v>0</v>
      </c>
    </row>
    <row r="780" spans="1:15" x14ac:dyDescent="0.25">
      <c r="A780" s="325">
        <v>1</v>
      </c>
      <c r="B780" s="325">
        <f>TrialNumber</f>
        <v>0</v>
      </c>
      <c r="C780" s="325" t="s">
        <v>23</v>
      </c>
      <c r="D780" s="325">
        <f>Excellent!C54</f>
        <v>0</v>
      </c>
      <c r="E780" s="325" t="str">
        <f>IF(Excellent!B54="W","W","A")</f>
        <v>A</v>
      </c>
      <c r="F780" s="325" t="s">
        <v>1742</v>
      </c>
      <c r="G780" s="325" t="str">
        <f>IF(Excellent!W54="e","Y","")</f>
        <v/>
      </c>
      <c r="H780" s="325" t="str">
        <f>IFERROR(VLOOKUP($D780,'SDDA Dogs'!$A:$AE,2,FALSE),"")</f>
        <v/>
      </c>
      <c r="I780" s="325" t="str">
        <f>IFERROR(VLOOKUP($D780,'SDDA Dogs'!$A:$AE,3,FALSE),"")</f>
        <v/>
      </c>
      <c r="J780" s="325" t="str">
        <f>IFERROR(VLOOKUP($D780,'SDDA Dogs'!$A:$AE,6,FALSE),"")</f>
        <v/>
      </c>
      <c r="K780" s="325" t="str">
        <f>IF(Excellent!AS54="","",Excellent!AS54)</f>
        <v/>
      </c>
      <c r="L780" s="325" t="str">
        <f>IF(Excellent!AT54="","",Excellent!AT54)</f>
        <v/>
      </c>
      <c r="M780" s="326" t="str">
        <f>TrialDate</f>
        <v/>
      </c>
      <c r="N780" s="325" t="str">
        <f t="shared" ref="N780" si="859">N779</f>
        <v/>
      </c>
      <c r="O780" s="325">
        <f>JudgeD1ESE</f>
        <v>0</v>
      </c>
    </row>
    <row r="781" spans="1:15" x14ac:dyDescent="0.25">
      <c r="A781" s="2">
        <v>2</v>
      </c>
      <c r="B781" s="2">
        <f t="shared" ref="B781:O781" si="860">B780</f>
        <v>0</v>
      </c>
      <c r="C781" s="2" t="str">
        <f t="shared" si="860"/>
        <v>ESE</v>
      </c>
      <c r="D781" s="2">
        <f t="shared" si="860"/>
        <v>0</v>
      </c>
      <c r="E781" s="2" t="str">
        <f t="shared" si="860"/>
        <v>A</v>
      </c>
      <c r="F781" s="2" t="str">
        <f t="shared" si="860"/>
        <v>Exterior Excellent</v>
      </c>
      <c r="G781" s="2" t="str">
        <f t="shared" si="860"/>
        <v/>
      </c>
      <c r="H781" s="2" t="str">
        <f t="shared" si="860"/>
        <v/>
      </c>
      <c r="I781" s="2" t="str">
        <f t="shared" si="860"/>
        <v/>
      </c>
      <c r="J781" s="2" t="str">
        <f t="shared" si="860"/>
        <v/>
      </c>
      <c r="K781" s="2" t="str">
        <f t="shared" si="860"/>
        <v/>
      </c>
      <c r="L781" s="2" t="str">
        <f t="shared" si="860"/>
        <v/>
      </c>
      <c r="M781" s="180" t="str">
        <f t="shared" si="860"/>
        <v/>
      </c>
      <c r="N781" s="2" t="str">
        <f t="shared" si="860"/>
        <v/>
      </c>
      <c r="O781" s="2">
        <f t="shared" si="860"/>
        <v>0</v>
      </c>
    </row>
    <row r="782" spans="1:15" s="149" customFormat="1" x14ac:dyDescent="0.25">
      <c r="A782" s="327">
        <v>1</v>
      </c>
      <c r="B782" s="327">
        <f>TrialNumber</f>
        <v>0</v>
      </c>
      <c r="C782" s="327" t="s">
        <v>2034</v>
      </c>
      <c r="D782" s="327">
        <f>Elite!C5</f>
        <v>0</v>
      </c>
      <c r="E782" s="327" t="str">
        <f>IF(Elite!B5="W","W","A")</f>
        <v>W</v>
      </c>
      <c r="F782" s="327" t="s">
        <v>2034</v>
      </c>
      <c r="G782" s="327" t="str">
        <f>IF(Elite!F5="e","Y","")</f>
        <v/>
      </c>
      <c r="H782" s="327" t="str">
        <f>IFERROR(VLOOKUP($D782,'SDDA Dogs'!$A:$AE,2,FALSE),"")</f>
        <v/>
      </c>
      <c r="I782" s="327" t="str">
        <f>IFERROR(VLOOKUP($D782,'SDDA Dogs'!$A:$AE,3,FALSE),"")</f>
        <v/>
      </c>
      <c r="J782" s="327" t="str">
        <f>IFERROR(VLOOKUP($D782,'SDDA Dogs'!$A:$AE,6,FALSE),"")</f>
        <v/>
      </c>
      <c r="K782" s="327" t="str">
        <f>IF(Elite!AR5="","",Elite!AR5)</f>
        <v/>
      </c>
      <c r="L782" s="327" t="str">
        <f>IF(Elite!AS5="","",Elite!AS5)</f>
        <v/>
      </c>
      <c r="M782" s="328" t="str">
        <f>TrialDate</f>
        <v/>
      </c>
      <c r="N782" s="325" t="str">
        <f t="shared" ref="N782" si="861">N781</f>
        <v/>
      </c>
      <c r="O782" s="327">
        <f t="shared" ref="O782:O874" si="862">IF(JudgeD1CSL = JudgeD1ISL, IF(JudgeD1ESL = JudgeD1CSL, JudgeD1CSL, "Multiple Judges"),"Multiple Judges")</f>
        <v>0</v>
      </c>
    </row>
    <row r="783" spans="1:15" x14ac:dyDescent="0.25">
      <c r="A783" s="2">
        <v>2</v>
      </c>
      <c r="B783" s="2">
        <f>B782</f>
        <v>0</v>
      </c>
      <c r="C783" s="2" t="str">
        <f>C782</f>
        <v>Elite</v>
      </c>
      <c r="D783" s="2">
        <f>D782</f>
        <v>0</v>
      </c>
      <c r="E783" s="2" t="str">
        <f>E782</f>
        <v>W</v>
      </c>
      <c r="F783" s="2" t="str">
        <f t="shared" ref="F783:K957" si="863">F782</f>
        <v>Elite</v>
      </c>
      <c r="G783" s="2" t="str">
        <f t="shared" ref="G783:N783" si="864">G782</f>
        <v/>
      </c>
      <c r="H783" s="2" t="str">
        <f t="shared" si="864"/>
        <v/>
      </c>
      <c r="I783" s="2" t="str">
        <f t="shared" si="864"/>
        <v/>
      </c>
      <c r="J783" s="2" t="str">
        <f t="shared" si="864"/>
        <v/>
      </c>
      <c r="K783" s="2" t="str">
        <f t="shared" si="864"/>
        <v/>
      </c>
      <c r="L783" s="2" t="str">
        <f t="shared" ref="L783:N787" si="865">L782</f>
        <v/>
      </c>
      <c r="M783" s="180" t="str">
        <f t="shared" si="864"/>
        <v/>
      </c>
      <c r="N783" s="2" t="str">
        <f t="shared" si="864"/>
        <v/>
      </c>
      <c r="O783" s="2">
        <f t="shared" si="862"/>
        <v>0</v>
      </c>
    </row>
    <row r="784" spans="1:15" x14ac:dyDescent="0.25">
      <c r="A784" s="327">
        <v>3</v>
      </c>
      <c r="B784" s="2">
        <f t="shared" ref="B784:B787" si="866">B783</f>
        <v>0</v>
      </c>
      <c r="C784" s="2" t="str">
        <f t="shared" ref="C784:C787" si="867">C783</f>
        <v>Elite</v>
      </c>
      <c r="D784" s="2">
        <f t="shared" ref="D784:D787" si="868">D783</f>
        <v>0</v>
      </c>
      <c r="E784" s="2" t="str">
        <f t="shared" ref="E784:E787" si="869">E783</f>
        <v>W</v>
      </c>
      <c r="F784" s="2" t="str">
        <f t="shared" si="863"/>
        <v>Elite</v>
      </c>
      <c r="G784" s="2" t="str">
        <f t="shared" si="863"/>
        <v/>
      </c>
      <c r="H784" s="2" t="str">
        <f t="shared" si="863"/>
        <v/>
      </c>
      <c r="I784" s="2" t="str">
        <f t="shared" si="863"/>
        <v/>
      </c>
      <c r="J784" s="2" t="str">
        <f t="shared" si="863"/>
        <v/>
      </c>
      <c r="K784" s="2" t="str">
        <f t="shared" si="863"/>
        <v/>
      </c>
      <c r="L784" s="2" t="str">
        <f t="shared" si="865"/>
        <v/>
      </c>
      <c r="M784" s="180" t="str">
        <f t="shared" si="865"/>
        <v/>
      </c>
      <c r="N784" s="2" t="str">
        <f t="shared" si="865"/>
        <v/>
      </c>
      <c r="O784" s="2">
        <f t="shared" si="862"/>
        <v>0</v>
      </c>
    </row>
    <row r="785" spans="1:15" x14ac:dyDescent="0.25">
      <c r="A785" s="2">
        <v>4</v>
      </c>
      <c r="B785" s="2">
        <f t="shared" si="866"/>
        <v>0</v>
      </c>
      <c r="C785" s="2" t="str">
        <f t="shared" si="867"/>
        <v>Elite</v>
      </c>
      <c r="D785" s="2">
        <f t="shared" si="868"/>
        <v>0</v>
      </c>
      <c r="E785" s="2" t="str">
        <f t="shared" si="869"/>
        <v>W</v>
      </c>
      <c r="F785" s="2" t="str">
        <f t="shared" si="863"/>
        <v>Elite</v>
      </c>
      <c r="G785" s="2" t="str">
        <f t="shared" si="863"/>
        <v/>
      </c>
      <c r="H785" s="2" t="str">
        <f t="shared" si="863"/>
        <v/>
      </c>
      <c r="I785" s="2" t="str">
        <f t="shared" si="863"/>
        <v/>
      </c>
      <c r="J785" s="2" t="str">
        <f t="shared" si="863"/>
        <v/>
      </c>
      <c r="K785" s="2" t="str">
        <f t="shared" si="863"/>
        <v/>
      </c>
      <c r="L785" s="2" t="str">
        <f t="shared" si="865"/>
        <v/>
      </c>
      <c r="M785" s="180" t="str">
        <f t="shared" si="865"/>
        <v/>
      </c>
      <c r="N785" s="2" t="str">
        <f t="shared" si="865"/>
        <v/>
      </c>
      <c r="O785" s="2">
        <f t="shared" si="862"/>
        <v>0</v>
      </c>
    </row>
    <row r="786" spans="1:15" x14ac:dyDescent="0.25">
      <c r="A786" s="327">
        <v>5</v>
      </c>
      <c r="B786" s="2">
        <f t="shared" si="866"/>
        <v>0</v>
      </c>
      <c r="C786" s="2" t="str">
        <f t="shared" si="867"/>
        <v>Elite</v>
      </c>
      <c r="D786" s="2">
        <f t="shared" si="868"/>
        <v>0</v>
      </c>
      <c r="E786" s="2" t="str">
        <f t="shared" si="869"/>
        <v>W</v>
      </c>
      <c r="F786" s="2" t="str">
        <f t="shared" si="863"/>
        <v>Elite</v>
      </c>
      <c r="G786" s="2" t="str">
        <f t="shared" si="863"/>
        <v/>
      </c>
      <c r="H786" s="2" t="str">
        <f t="shared" si="863"/>
        <v/>
      </c>
      <c r="I786" s="2" t="str">
        <f t="shared" si="863"/>
        <v/>
      </c>
      <c r="J786" s="2" t="str">
        <f t="shared" si="863"/>
        <v/>
      </c>
      <c r="K786" s="2" t="str">
        <f t="shared" si="863"/>
        <v/>
      </c>
      <c r="L786" s="2" t="str">
        <f t="shared" si="865"/>
        <v/>
      </c>
      <c r="M786" s="180" t="str">
        <f t="shared" si="865"/>
        <v/>
      </c>
      <c r="N786" s="2" t="str">
        <f t="shared" si="865"/>
        <v/>
      </c>
      <c r="O786" s="2">
        <f t="shared" si="862"/>
        <v>0</v>
      </c>
    </row>
    <row r="787" spans="1:15" x14ac:dyDescent="0.25">
      <c r="A787" s="2">
        <v>6</v>
      </c>
      <c r="B787" s="2">
        <f t="shared" si="866"/>
        <v>0</v>
      </c>
      <c r="C787" s="2" t="str">
        <f t="shared" si="867"/>
        <v>Elite</v>
      </c>
      <c r="D787" s="2">
        <f t="shared" si="868"/>
        <v>0</v>
      </c>
      <c r="E787" s="2" t="str">
        <f t="shared" si="869"/>
        <v>W</v>
      </c>
      <c r="F787" s="2" t="str">
        <f t="shared" si="863"/>
        <v>Elite</v>
      </c>
      <c r="G787" s="2" t="str">
        <f t="shared" si="863"/>
        <v/>
      </c>
      <c r="H787" s="2" t="str">
        <f t="shared" si="863"/>
        <v/>
      </c>
      <c r="I787" s="2" t="str">
        <f t="shared" si="863"/>
        <v/>
      </c>
      <c r="J787" s="2" t="str">
        <f t="shared" si="863"/>
        <v/>
      </c>
      <c r="K787" s="2" t="str">
        <f t="shared" si="863"/>
        <v/>
      </c>
      <c r="L787" s="2" t="str">
        <f t="shared" si="865"/>
        <v/>
      </c>
      <c r="M787" s="180" t="str">
        <f t="shared" si="865"/>
        <v/>
      </c>
      <c r="N787" s="2" t="str">
        <f t="shared" si="865"/>
        <v/>
      </c>
      <c r="O787" s="2">
        <f t="shared" si="862"/>
        <v>0</v>
      </c>
    </row>
    <row r="788" spans="1:15" x14ac:dyDescent="0.25">
      <c r="A788" s="325">
        <v>1</v>
      </c>
      <c r="B788" s="325">
        <f>TrialNumber</f>
        <v>0</v>
      </c>
      <c r="C788" s="325" t="s">
        <v>2034</v>
      </c>
      <c r="D788" s="325">
        <f>Elite!C6</f>
        <v>0</v>
      </c>
      <c r="E788" s="325" t="str">
        <f>IF(Elite!B6="W","W","A")</f>
        <v>W</v>
      </c>
      <c r="F788" s="325" t="s">
        <v>2034</v>
      </c>
      <c r="G788" s="325" t="str">
        <f>IF(Elite!F6="e","Y","")</f>
        <v/>
      </c>
      <c r="H788" s="325" t="str">
        <f>IFERROR(VLOOKUP($D788,'SDDA Dogs'!$A:$AE,2,FALSE),"")</f>
        <v/>
      </c>
      <c r="I788" s="325" t="str">
        <f>IFERROR(VLOOKUP($D788,'SDDA Dogs'!$A:$AE,3,FALSE),"")</f>
        <v/>
      </c>
      <c r="J788" s="325" t="str">
        <f>IFERROR(VLOOKUP($D788,'SDDA Dogs'!$A:$AE,6,FALSE),"")</f>
        <v/>
      </c>
      <c r="K788" s="325" t="str">
        <f>IF(Elite!AR6="","",Elite!AR6)</f>
        <v/>
      </c>
      <c r="L788" s="325" t="str">
        <f>IF(Elite!AS6="","",Elite!AS6)</f>
        <v/>
      </c>
      <c r="M788" s="326" t="str">
        <f>TrialDate</f>
        <v/>
      </c>
      <c r="N788" s="325" t="str">
        <f t="shared" ref="N788" si="870">N783</f>
        <v/>
      </c>
      <c r="O788" s="325">
        <f t="shared" si="862"/>
        <v>0</v>
      </c>
    </row>
    <row r="789" spans="1:15" x14ac:dyDescent="0.25">
      <c r="A789" s="2">
        <v>2</v>
      </c>
      <c r="B789" s="2">
        <f>B788</f>
        <v>0</v>
      </c>
      <c r="C789" s="2" t="str">
        <f>C788</f>
        <v>Elite</v>
      </c>
      <c r="D789" s="2">
        <f>D788</f>
        <v>0</v>
      </c>
      <c r="E789" s="2" t="str">
        <f>E788</f>
        <v>W</v>
      </c>
      <c r="F789" s="2" t="str">
        <f t="shared" si="863"/>
        <v>Elite</v>
      </c>
      <c r="G789" s="2" t="str">
        <f t="shared" ref="G789:N789" si="871">G788</f>
        <v/>
      </c>
      <c r="H789" s="2" t="str">
        <f t="shared" si="871"/>
        <v/>
      </c>
      <c r="I789" s="2" t="str">
        <f t="shared" si="871"/>
        <v/>
      </c>
      <c r="J789" s="2" t="str">
        <f t="shared" si="871"/>
        <v/>
      </c>
      <c r="K789" s="2" t="str">
        <f t="shared" si="871"/>
        <v/>
      </c>
      <c r="L789" s="2" t="str">
        <f t="shared" ref="L789" si="872">L788</f>
        <v/>
      </c>
      <c r="M789" s="180" t="str">
        <f t="shared" si="871"/>
        <v/>
      </c>
      <c r="N789" s="2" t="str">
        <f t="shared" si="871"/>
        <v/>
      </c>
      <c r="O789" s="2">
        <f t="shared" si="862"/>
        <v>0</v>
      </c>
    </row>
    <row r="790" spans="1:15" x14ac:dyDescent="0.25">
      <c r="A790" s="327">
        <v>3</v>
      </c>
      <c r="B790" s="2">
        <f t="shared" ref="B790:B793" si="873">B789</f>
        <v>0</v>
      </c>
      <c r="C790" s="2" t="str">
        <f t="shared" ref="C790:C793" si="874">C789</f>
        <v>Elite</v>
      </c>
      <c r="D790" s="2">
        <f t="shared" ref="D790:D793" si="875">D789</f>
        <v>0</v>
      </c>
      <c r="E790" s="2" t="str">
        <f t="shared" ref="E790:N793" si="876">E789</f>
        <v>W</v>
      </c>
      <c r="F790" s="2" t="str">
        <f t="shared" si="876"/>
        <v>Elite</v>
      </c>
      <c r="G790" s="2" t="str">
        <f t="shared" si="876"/>
        <v/>
      </c>
      <c r="H790" s="2" t="str">
        <f t="shared" si="876"/>
        <v/>
      </c>
      <c r="I790" s="2" t="str">
        <f t="shared" si="876"/>
        <v/>
      </c>
      <c r="J790" s="2" t="str">
        <f t="shared" si="876"/>
        <v/>
      </c>
      <c r="K790" s="2" t="str">
        <f t="shared" si="876"/>
        <v/>
      </c>
      <c r="L790" s="2" t="str">
        <f t="shared" si="876"/>
        <v/>
      </c>
      <c r="M790" s="180" t="str">
        <f t="shared" si="876"/>
        <v/>
      </c>
      <c r="N790" s="2" t="str">
        <f t="shared" si="876"/>
        <v/>
      </c>
      <c r="O790" s="2">
        <f t="shared" si="862"/>
        <v>0</v>
      </c>
    </row>
    <row r="791" spans="1:15" x14ac:dyDescent="0.25">
      <c r="A791" s="2">
        <v>4</v>
      </c>
      <c r="B791" s="2">
        <f t="shared" si="873"/>
        <v>0</v>
      </c>
      <c r="C791" s="2" t="str">
        <f t="shared" si="874"/>
        <v>Elite</v>
      </c>
      <c r="D791" s="2">
        <f t="shared" si="875"/>
        <v>0</v>
      </c>
      <c r="E791" s="2" t="str">
        <f t="shared" si="876"/>
        <v>W</v>
      </c>
      <c r="F791" s="2" t="str">
        <f t="shared" si="876"/>
        <v>Elite</v>
      </c>
      <c r="G791" s="2" t="str">
        <f t="shared" si="876"/>
        <v/>
      </c>
      <c r="H791" s="2" t="str">
        <f t="shared" si="876"/>
        <v/>
      </c>
      <c r="I791" s="2" t="str">
        <f t="shared" si="876"/>
        <v/>
      </c>
      <c r="J791" s="2" t="str">
        <f t="shared" si="876"/>
        <v/>
      </c>
      <c r="K791" s="2" t="str">
        <f t="shared" si="876"/>
        <v/>
      </c>
      <c r="L791" s="2" t="str">
        <f t="shared" si="876"/>
        <v/>
      </c>
      <c r="M791" s="180" t="str">
        <f t="shared" si="876"/>
        <v/>
      </c>
      <c r="N791" s="2" t="str">
        <f t="shared" si="876"/>
        <v/>
      </c>
      <c r="O791" s="2">
        <f t="shared" si="862"/>
        <v>0</v>
      </c>
    </row>
    <row r="792" spans="1:15" x14ac:dyDescent="0.25">
      <c r="A792" s="327">
        <v>5</v>
      </c>
      <c r="B792" s="2">
        <f t="shared" si="873"/>
        <v>0</v>
      </c>
      <c r="C792" s="2" t="str">
        <f t="shared" si="874"/>
        <v>Elite</v>
      </c>
      <c r="D792" s="2">
        <f t="shared" si="875"/>
        <v>0</v>
      </c>
      <c r="E792" s="2" t="str">
        <f t="shared" si="876"/>
        <v>W</v>
      </c>
      <c r="F792" s="2" t="str">
        <f t="shared" si="876"/>
        <v>Elite</v>
      </c>
      <c r="G792" s="2" t="str">
        <f t="shared" si="876"/>
        <v/>
      </c>
      <c r="H792" s="2" t="str">
        <f t="shared" si="876"/>
        <v/>
      </c>
      <c r="I792" s="2" t="str">
        <f t="shared" si="876"/>
        <v/>
      </c>
      <c r="J792" s="2" t="str">
        <f t="shared" si="876"/>
        <v/>
      </c>
      <c r="K792" s="2" t="str">
        <f t="shared" si="876"/>
        <v/>
      </c>
      <c r="L792" s="2" t="str">
        <f t="shared" si="876"/>
        <v/>
      </c>
      <c r="M792" s="180" t="str">
        <f t="shared" si="876"/>
        <v/>
      </c>
      <c r="N792" s="2" t="str">
        <f t="shared" si="876"/>
        <v/>
      </c>
      <c r="O792" s="2">
        <f t="shared" si="862"/>
        <v>0</v>
      </c>
    </row>
    <row r="793" spans="1:15" x14ac:dyDescent="0.25">
      <c r="A793" s="2">
        <v>6</v>
      </c>
      <c r="B793" s="2">
        <f t="shared" si="873"/>
        <v>0</v>
      </c>
      <c r="C793" s="2" t="str">
        <f t="shared" si="874"/>
        <v>Elite</v>
      </c>
      <c r="D793" s="2">
        <f t="shared" si="875"/>
        <v>0</v>
      </c>
      <c r="E793" s="2" t="str">
        <f t="shared" si="876"/>
        <v>W</v>
      </c>
      <c r="F793" s="2" t="str">
        <f t="shared" si="876"/>
        <v>Elite</v>
      </c>
      <c r="G793" s="2" t="str">
        <f t="shared" si="876"/>
        <v/>
      </c>
      <c r="H793" s="2" t="str">
        <f t="shared" si="876"/>
        <v/>
      </c>
      <c r="I793" s="2" t="str">
        <f t="shared" si="876"/>
        <v/>
      </c>
      <c r="J793" s="2" t="str">
        <f t="shared" si="876"/>
        <v/>
      </c>
      <c r="K793" s="2" t="str">
        <f t="shared" si="876"/>
        <v/>
      </c>
      <c r="L793" s="2" t="str">
        <f t="shared" si="876"/>
        <v/>
      </c>
      <c r="M793" s="180" t="str">
        <f t="shared" si="876"/>
        <v/>
      </c>
      <c r="N793" s="2" t="str">
        <f t="shared" si="876"/>
        <v/>
      </c>
      <c r="O793" s="2">
        <f t="shared" si="862"/>
        <v>0</v>
      </c>
    </row>
    <row r="794" spans="1:15" x14ac:dyDescent="0.25">
      <c r="A794" s="325">
        <v>1</v>
      </c>
      <c r="B794" s="325">
        <f>TrialNumber</f>
        <v>0</v>
      </c>
      <c r="C794" s="325" t="s">
        <v>2034</v>
      </c>
      <c r="D794" s="325">
        <f>Elite!C7</f>
        <v>0</v>
      </c>
      <c r="E794" s="325" t="str">
        <f>IF(Elite!B7="W","W","A")</f>
        <v>W</v>
      </c>
      <c r="F794" s="325" t="s">
        <v>2034</v>
      </c>
      <c r="G794" s="325" t="str">
        <f>IF(Elite!F7="e","Y","")</f>
        <v/>
      </c>
      <c r="H794" s="325" t="str">
        <f>IFERROR(VLOOKUP($D794,'SDDA Dogs'!$A:$AE,2,FALSE),"")</f>
        <v/>
      </c>
      <c r="I794" s="325" t="str">
        <f>IFERROR(VLOOKUP($D794,'SDDA Dogs'!$A:$AE,3,FALSE),"")</f>
        <v/>
      </c>
      <c r="J794" s="325" t="str">
        <f>IFERROR(VLOOKUP($D794,'SDDA Dogs'!$A:$AE,6,FALSE),"")</f>
        <v/>
      </c>
      <c r="K794" s="325" t="str">
        <f>IF(Elite!AR7="","",Elite!AR7)</f>
        <v/>
      </c>
      <c r="L794" s="325" t="str">
        <f>IF(Elite!AS7="","",Elite!AS7)</f>
        <v/>
      </c>
      <c r="M794" s="326" t="str">
        <f>TrialDate</f>
        <v/>
      </c>
      <c r="N794" s="325" t="str">
        <f t="shared" ref="N794" si="877">N789</f>
        <v/>
      </c>
      <c r="O794" s="325">
        <f t="shared" si="862"/>
        <v>0</v>
      </c>
    </row>
    <row r="795" spans="1:15" x14ac:dyDescent="0.25">
      <c r="A795" s="2">
        <v>2</v>
      </c>
      <c r="B795" s="2">
        <f>B794</f>
        <v>0</v>
      </c>
      <c r="C795" s="2" t="str">
        <f>C794</f>
        <v>Elite</v>
      </c>
      <c r="D795" s="2">
        <f>D794</f>
        <v>0</v>
      </c>
      <c r="E795" s="2" t="str">
        <f>E794</f>
        <v>W</v>
      </c>
      <c r="F795" s="2" t="str">
        <f t="shared" si="863"/>
        <v>Elite</v>
      </c>
      <c r="G795" s="2" t="str">
        <f t="shared" ref="G795:N799" si="878">G794</f>
        <v/>
      </c>
      <c r="H795" s="2" t="str">
        <f t="shared" si="878"/>
        <v/>
      </c>
      <c r="I795" s="2" t="str">
        <f t="shared" si="878"/>
        <v/>
      </c>
      <c r="J795" s="2" t="str">
        <f t="shared" si="878"/>
        <v/>
      </c>
      <c r="K795" s="2" t="str">
        <f t="shared" si="878"/>
        <v/>
      </c>
      <c r="L795" s="2" t="str">
        <f t="shared" ref="L795:L799" si="879">L794</f>
        <v/>
      </c>
      <c r="M795" s="180" t="str">
        <f t="shared" si="878"/>
        <v/>
      </c>
      <c r="N795" s="2" t="str">
        <f t="shared" si="878"/>
        <v/>
      </c>
      <c r="O795" s="2">
        <f t="shared" si="862"/>
        <v>0</v>
      </c>
    </row>
    <row r="796" spans="1:15" x14ac:dyDescent="0.25">
      <c r="A796" s="327">
        <v>3</v>
      </c>
      <c r="B796" s="2">
        <f t="shared" ref="B796:B799" si="880">B795</f>
        <v>0</v>
      </c>
      <c r="C796" s="2" t="str">
        <f t="shared" ref="C796:C799" si="881">C795</f>
        <v>Elite</v>
      </c>
      <c r="D796" s="2">
        <f t="shared" ref="D796:D799" si="882">D795</f>
        <v>0</v>
      </c>
      <c r="E796" s="2" t="str">
        <f t="shared" ref="E796:E799" si="883">E795</f>
        <v>W</v>
      </c>
      <c r="F796" s="2" t="str">
        <f t="shared" si="863"/>
        <v>Elite</v>
      </c>
      <c r="G796" s="2" t="str">
        <f t="shared" si="878"/>
        <v/>
      </c>
      <c r="H796" s="2" t="str">
        <f t="shared" si="878"/>
        <v/>
      </c>
      <c r="I796" s="2" t="str">
        <f t="shared" si="878"/>
        <v/>
      </c>
      <c r="J796" s="2" t="str">
        <f t="shared" si="878"/>
        <v/>
      </c>
      <c r="K796" s="2" t="str">
        <f t="shared" si="878"/>
        <v/>
      </c>
      <c r="L796" s="2" t="str">
        <f t="shared" si="879"/>
        <v/>
      </c>
      <c r="M796" s="180" t="str">
        <f t="shared" si="878"/>
        <v/>
      </c>
      <c r="N796" s="2" t="str">
        <f t="shared" si="878"/>
        <v/>
      </c>
      <c r="O796" s="2">
        <f t="shared" si="862"/>
        <v>0</v>
      </c>
    </row>
    <row r="797" spans="1:15" x14ac:dyDescent="0.25">
      <c r="A797" s="2">
        <v>4</v>
      </c>
      <c r="B797" s="2">
        <f t="shared" si="880"/>
        <v>0</v>
      </c>
      <c r="C797" s="2" t="str">
        <f t="shared" si="881"/>
        <v>Elite</v>
      </c>
      <c r="D797" s="2">
        <f t="shared" si="882"/>
        <v>0</v>
      </c>
      <c r="E797" s="2" t="str">
        <f t="shared" si="883"/>
        <v>W</v>
      </c>
      <c r="F797" s="2" t="str">
        <f t="shared" si="863"/>
        <v>Elite</v>
      </c>
      <c r="G797" s="2" t="str">
        <f t="shared" si="878"/>
        <v/>
      </c>
      <c r="H797" s="2" t="str">
        <f t="shared" si="878"/>
        <v/>
      </c>
      <c r="I797" s="2" t="str">
        <f t="shared" si="878"/>
        <v/>
      </c>
      <c r="J797" s="2" t="str">
        <f t="shared" si="878"/>
        <v/>
      </c>
      <c r="K797" s="2" t="str">
        <f t="shared" si="878"/>
        <v/>
      </c>
      <c r="L797" s="2" t="str">
        <f t="shared" si="879"/>
        <v/>
      </c>
      <c r="M797" s="180" t="str">
        <f t="shared" si="878"/>
        <v/>
      </c>
      <c r="N797" s="2" t="str">
        <f t="shared" si="878"/>
        <v/>
      </c>
      <c r="O797" s="2">
        <f t="shared" si="862"/>
        <v>0</v>
      </c>
    </row>
    <row r="798" spans="1:15" x14ac:dyDescent="0.25">
      <c r="A798" s="327">
        <v>5</v>
      </c>
      <c r="B798" s="2">
        <f t="shared" si="880"/>
        <v>0</v>
      </c>
      <c r="C798" s="2" t="str">
        <f t="shared" si="881"/>
        <v>Elite</v>
      </c>
      <c r="D798" s="2">
        <f t="shared" si="882"/>
        <v>0</v>
      </c>
      <c r="E798" s="2" t="str">
        <f t="shared" si="883"/>
        <v>W</v>
      </c>
      <c r="F798" s="2" t="str">
        <f t="shared" si="863"/>
        <v>Elite</v>
      </c>
      <c r="G798" s="2" t="str">
        <f t="shared" si="878"/>
        <v/>
      </c>
      <c r="H798" s="2" t="str">
        <f t="shared" si="878"/>
        <v/>
      </c>
      <c r="I798" s="2" t="str">
        <f t="shared" si="878"/>
        <v/>
      </c>
      <c r="J798" s="2" t="str">
        <f t="shared" si="878"/>
        <v/>
      </c>
      <c r="K798" s="2" t="str">
        <f t="shared" si="878"/>
        <v/>
      </c>
      <c r="L798" s="2" t="str">
        <f t="shared" si="879"/>
        <v/>
      </c>
      <c r="M798" s="180" t="str">
        <f t="shared" si="878"/>
        <v/>
      </c>
      <c r="N798" s="2" t="str">
        <f t="shared" si="878"/>
        <v/>
      </c>
      <c r="O798" s="2">
        <f t="shared" si="862"/>
        <v>0</v>
      </c>
    </row>
    <row r="799" spans="1:15" x14ac:dyDescent="0.25">
      <c r="A799" s="2">
        <v>6</v>
      </c>
      <c r="B799" s="2">
        <f t="shared" si="880"/>
        <v>0</v>
      </c>
      <c r="C799" s="2" t="str">
        <f t="shared" si="881"/>
        <v>Elite</v>
      </c>
      <c r="D799" s="2">
        <f t="shared" si="882"/>
        <v>0</v>
      </c>
      <c r="E799" s="2" t="str">
        <f t="shared" si="883"/>
        <v>W</v>
      </c>
      <c r="F799" s="2" t="str">
        <f t="shared" si="863"/>
        <v>Elite</v>
      </c>
      <c r="G799" s="2" t="str">
        <f t="shared" si="878"/>
        <v/>
      </c>
      <c r="H799" s="2" t="str">
        <f t="shared" si="878"/>
        <v/>
      </c>
      <c r="I799" s="2" t="str">
        <f t="shared" si="878"/>
        <v/>
      </c>
      <c r="J799" s="2" t="str">
        <f t="shared" si="878"/>
        <v/>
      </c>
      <c r="K799" s="2" t="str">
        <f t="shared" si="878"/>
        <v/>
      </c>
      <c r="L799" s="2" t="str">
        <f t="shared" si="879"/>
        <v/>
      </c>
      <c r="M799" s="180" t="str">
        <f t="shared" si="878"/>
        <v/>
      </c>
      <c r="N799" s="2" t="str">
        <f t="shared" si="878"/>
        <v/>
      </c>
      <c r="O799" s="2">
        <f t="shared" si="862"/>
        <v>0</v>
      </c>
    </row>
    <row r="800" spans="1:15" x14ac:dyDescent="0.25">
      <c r="A800" s="325">
        <v>1</v>
      </c>
      <c r="B800" s="325">
        <f>TrialNumber</f>
        <v>0</v>
      </c>
      <c r="C800" s="325" t="s">
        <v>2034</v>
      </c>
      <c r="D800" s="325">
        <f>Elite!C8</f>
        <v>0</v>
      </c>
      <c r="E800" s="325" t="str">
        <f>IF(Elite!B8="W","W","A")</f>
        <v>W</v>
      </c>
      <c r="F800" s="325" t="s">
        <v>2034</v>
      </c>
      <c r="G800" s="325" t="str">
        <f>IF(Elite!F8="e","Y","")</f>
        <v/>
      </c>
      <c r="H800" s="325" t="str">
        <f>IFERROR(VLOOKUP($D800,'SDDA Dogs'!$A:$AE,2,FALSE),"")</f>
        <v/>
      </c>
      <c r="I800" s="325" t="str">
        <f>IFERROR(VLOOKUP($D800,'SDDA Dogs'!$A:$AE,3,FALSE),"")</f>
        <v/>
      </c>
      <c r="J800" s="325" t="str">
        <f>IFERROR(VLOOKUP($D800,'SDDA Dogs'!$A:$AE,6,FALSE),"")</f>
        <v/>
      </c>
      <c r="K800" s="325" t="str">
        <f>IF(Elite!AR8="","",Elite!AR8)</f>
        <v/>
      </c>
      <c r="L800" s="325" t="str">
        <f>IF(Elite!AS8="","",Elite!AS8)</f>
        <v/>
      </c>
      <c r="M800" s="326" t="str">
        <f>TrialDate</f>
        <v/>
      </c>
      <c r="N800" s="325" t="str">
        <f t="shared" ref="N800" si="884">N795</f>
        <v/>
      </c>
      <c r="O800" s="325">
        <f t="shared" si="862"/>
        <v>0</v>
      </c>
    </row>
    <row r="801" spans="1:15" x14ac:dyDescent="0.25">
      <c r="A801" s="2">
        <v>2</v>
      </c>
      <c r="B801" s="2">
        <f>B800</f>
        <v>0</v>
      </c>
      <c r="C801" s="2" t="str">
        <f>C800</f>
        <v>Elite</v>
      </c>
      <c r="D801" s="2">
        <f>D800</f>
        <v>0</v>
      </c>
      <c r="E801" s="2" t="str">
        <f>E800</f>
        <v>W</v>
      </c>
      <c r="F801" s="2" t="str">
        <f t="shared" si="863"/>
        <v>Elite</v>
      </c>
      <c r="G801" s="2" t="str">
        <f t="shared" ref="G801:N801" si="885">G800</f>
        <v/>
      </c>
      <c r="H801" s="2" t="str">
        <f t="shared" si="885"/>
        <v/>
      </c>
      <c r="I801" s="2" t="str">
        <f t="shared" si="885"/>
        <v/>
      </c>
      <c r="J801" s="2" t="str">
        <f t="shared" si="885"/>
        <v/>
      </c>
      <c r="K801" s="2" t="str">
        <f t="shared" si="885"/>
        <v/>
      </c>
      <c r="L801" s="2" t="str">
        <f t="shared" ref="L801:N805" si="886">L800</f>
        <v/>
      </c>
      <c r="M801" s="180" t="str">
        <f t="shared" si="885"/>
        <v/>
      </c>
      <c r="N801" s="2" t="str">
        <f t="shared" si="885"/>
        <v/>
      </c>
      <c r="O801" s="2">
        <f t="shared" si="862"/>
        <v>0</v>
      </c>
    </row>
    <row r="802" spans="1:15" x14ac:dyDescent="0.25">
      <c r="A802" s="327">
        <v>3</v>
      </c>
      <c r="B802" s="2">
        <f t="shared" ref="B802:B805" si="887">B801</f>
        <v>0</v>
      </c>
      <c r="C802" s="2" t="str">
        <f t="shared" ref="C802:C805" si="888">C801</f>
        <v>Elite</v>
      </c>
      <c r="D802" s="2">
        <f t="shared" ref="D802:D805" si="889">D801</f>
        <v>0</v>
      </c>
      <c r="E802" s="2" t="str">
        <f t="shared" ref="E802:K805" si="890">E801</f>
        <v>W</v>
      </c>
      <c r="F802" s="2" t="str">
        <f t="shared" si="890"/>
        <v>Elite</v>
      </c>
      <c r="G802" s="2" t="str">
        <f t="shared" si="890"/>
        <v/>
      </c>
      <c r="H802" s="2" t="str">
        <f t="shared" si="890"/>
        <v/>
      </c>
      <c r="I802" s="2" t="str">
        <f t="shared" si="890"/>
        <v/>
      </c>
      <c r="J802" s="2" t="str">
        <f t="shared" si="890"/>
        <v/>
      </c>
      <c r="K802" s="2" t="str">
        <f t="shared" si="890"/>
        <v/>
      </c>
      <c r="L802" s="2" t="str">
        <f t="shared" si="886"/>
        <v/>
      </c>
      <c r="M802" s="180" t="str">
        <f t="shared" si="886"/>
        <v/>
      </c>
      <c r="N802" s="2" t="str">
        <f t="shared" si="886"/>
        <v/>
      </c>
      <c r="O802" s="2">
        <f t="shared" si="862"/>
        <v>0</v>
      </c>
    </row>
    <row r="803" spans="1:15" x14ac:dyDescent="0.25">
      <c r="A803" s="2">
        <v>4</v>
      </c>
      <c r="B803" s="2">
        <f t="shared" si="887"/>
        <v>0</v>
      </c>
      <c r="C803" s="2" t="str">
        <f t="shared" si="888"/>
        <v>Elite</v>
      </c>
      <c r="D803" s="2">
        <f t="shared" si="889"/>
        <v>0</v>
      </c>
      <c r="E803" s="2" t="str">
        <f t="shared" si="890"/>
        <v>W</v>
      </c>
      <c r="F803" s="2" t="str">
        <f t="shared" si="890"/>
        <v>Elite</v>
      </c>
      <c r="G803" s="2" t="str">
        <f t="shared" si="890"/>
        <v/>
      </c>
      <c r="H803" s="2" t="str">
        <f t="shared" si="890"/>
        <v/>
      </c>
      <c r="I803" s="2" t="str">
        <f t="shared" si="890"/>
        <v/>
      </c>
      <c r="J803" s="2" t="str">
        <f t="shared" si="890"/>
        <v/>
      </c>
      <c r="K803" s="2" t="str">
        <f t="shared" si="890"/>
        <v/>
      </c>
      <c r="L803" s="2" t="str">
        <f t="shared" si="886"/>
        <v/>
      </c>
      <c r="M803" s="180" t="str">
        <f t="shared" si="886"/>
        <v/>
      </c>
      <c r="N803" s="2" t="str">
        <f t="shared" si="886"/>
        <v/>
      </c>
      <c r="O803" s="2">
        <f t="shared" si="862"/>
        <v>0</v>
      </c>
    </row>
    <row r="804" spans="1:15" x14ac:dyDescent="0.25">
      <c r="A804" s="327">
        <v>5</v>
      </c>
      <c r="B804" s="2">
        <f t="shared" si="887"/>
        <v>0</v>
      </c>
      <c r="C804" s="2" t="str">
        <f t="shared" si="888"/>
        <v>Elite</v>
      </c>
      <c r="D804" s="2">
        <f t="shared" si="889"/>
        <v>0</v>
      </c>
      <c r="E804" s="2" t="str">
        <f t="shared" si="890"/>
        <v>W</v>
      </c>
      <c r="F804" s="2" t="str">
        <f t="shared" si="890"/>
        <v>Elite</v>
      </c>
      <c r="G804" s="2" t="str">
        <f t="shared" si="890"/>
        <v/>
      </c>
      <c r="H804" s="2" t="str">
        <f t="shared" si="890"/>
        <v/>
      </c>
      <c r="I804" s="2" t="str">
        <f t="shared" si="890"/>
        <v/>
      </c>
      <c r="J804" s="2" t="str">
        <f t="shared" si="890"/>
        <v/>
      </c>
      <c r="K804" s="2" t="str">
        <f t="shared" si="890"/>
        <v/>
      </c>
      <c r="L804" s="2" t="str">
        <f t="shared" si="886"/>
        <v/>
      </c>
      <c r="M804" s="180" t="str">
        <f t="shared" si="886"/>
        <v/>
      </c>
      <c r="N804" s="2" t="str">
        <f t="shared" si="886"/>
        <v/>
      </c>
      <c r="O804" s="2">
        <f t="shared" si="862"/>
        <v>0</v>
      </c>
    </row>
    <row r="805" spans="1:15" x14ac:dyDescent="0.25">
      <c r="A805" s="2">
        <v>6</v>
      </c>
      <c r="B805" s="2">
        <f t="shared" si="887"/>
        <v>0</v>
      </c>
      <c r="C805" s="2" t="str">
        <f t="shared" si="888"/>
        <v>Elite</v>
      </c>
      <c r="D805" s="2">
        <f t="shared" si="889"/>
        <v>0</v>
      </c>
      <c r="E805" s="2" t="str">
        <f t="shared" si="890"/>
        <v>W</v>
      </c>
      <c r="F805" s="2" t="str">
        <f t="shared" si="890"/>
        <v>Elite</v>
      </c>
      <c r="G805" s="2" t="str">
        <f t="shared" si="890"/>
        <v/>
      </c>
      <c r="H805" s="2" t="str">
        <f t="shared" si="890"/>
        <v/>
      </c>
      <c r="I805" s="2" t="str">
        <f t="shared" si="890"/>
        <v/>
      </c>
      <c r="J805" s="2" t="str">
        <f t="shared" si="890"/>
        <v/>
      </c>
      <c r="K805" s="2" t="str">
        <f t="shared" si="890"/>
        <v/>
      </c>
      <c r="L805" s="2" t="str">
        <f t="shared" si="886"/>
        <v/>
      </c>
      <c r="M805" s="180" t="str">
        <f t="shared" si="886"/>
        <v/>
      </c>
      <c r="N805" s="2" t="str">
        <f t="shared" si="886"/>
        <v/>
      </c>
      <c r="O805" s="2">
        <f t="shared" si="862"/>
        <v>0</v>
      </c>
    </row>
    <row r="806" spans="1:15" x14ac:dyDescent="0.25">
      <c r="A806" s="325">
        <v>1</v>
      </c>
      <c r="B806" s="325">
        <f>TrialNumber</f>
        <v>0</v>
      </c>
      <c r="C806" s="325" t="s">
        <v>2034</v>
      </c>
      <c r="D806" s="325">
        <f>Elite!C9</f>
        <v>0</v>
      </c>
      <c r="E806" s="325" t="str">
        <f>IF(Elite!B9="W","W","A")</f>
        <v>W</v>
      </c>
      <c r="F806" s="325" t="s">
        <v>2034</v>
      </c>
      <c r="G806" s="325" t="str">
        <f>IF(Elite!F9="e","Y","")</f>
        <v/>
      </c>
      <c r="H806" s="325" t="str">
        <f>IFERROR(VLOOKUP($D806,'SDDA Dogs'!$A:$AE,2,FALSE),"")</f>
        <v/>
      </c>
      <c r="I806" s="325" t="str">
        <f>IFERROR(VLOOKUP($D806,'SDDA Dogs'!$A:$AE,3,FALSE),"")</f>
        <v/>
      </c>
      <c r="J806" s="325" t="str">
        <f>IFERROR(VLOOKUP($D806,'SDDA Dogs'!$A:$AE,6,FALSE),"")</f>
        <v/>
      </c>
      <c r="K806" s="325" t="str">
        <f>IF(Elite!AR9="","",Elite!AR9)</f>
        <v/>
      </c>
      <c r="L806" s="325" t="str">
        <f>IF(Elite!AS9="","",Elite!AS9)</f>
        <v/>
      </c>
      <c r="M806" s="326" t="str">
        <f>TrialDate</f>
        <v/>
      </c>
      <c r="N806" s="325" t="str">
        <f t="shared" ref="N806" si="891">N801</f>
        <v/>
      </c>
      <c r="O806" s="325">
        <f t="shared" si="862"/>
        <v>0</v>
      </c>
    </row>
    <row r="807" spans="1:15" x14ac:dyDescent="0.25">
      <c r="A807" s="2">
        <v>2</v>
      </c>
      <c r="B807" s="2">
        <f>B806</f>
        <v>0</v>
      </c>
      <c r="C807" s="2" t="str">
        <f>C806</f>
        <v>Elite</v>
      </c>
      <c r="D807" s="2">
        <f>D806</f>
        <v>0</v>
      </c>
      <c r="E807" s="2" t="str">
        <f>E806</f>
        <v>W</v>
      </c>
      <c r="F807" s="2" t="str">
        <f t="shared" si="863"/>
        <v>Elite</v>
      </c>
      <c r="G807" s="2" t="str">
        <f t="shared" ref="G807:N811" si="892">G806</f>
        <v/>
      </c>
      <c r="H807" s="2" t="str">
        <f t="shared" si="892"/>
        <v/>
      </c>
      <c r="I807" s="2" t="str">
        <f t="shared" si="892"/>
        <v/>
      </c>
      <c r="J807" s="2" t="str">
        <f t="shared" si="892"/>
        <v/>
      </c>
      <c r="K807" s="2" t="str">
        <f t="shared" si="892"/>
        <v/>
      </c>
      <c r="L807" s="2" t="str">
        <f t="shared" ref="L807" si="893">L806</f>
        <v/>
      </c>
      <c r="M807" s="180" t="str">
        <f t="shared" si="892"/>
        <v/>
      </c>
      <c r="N807" s="2" t="str">
        <f t="shared" si="892"/>
        <v/>
      </c>
      <c r="O807" s="2">
        <f t="shared" si="862"/>
        <v>0</v>
      </c>
    </row>
    <row r="808" spans="1:15" x14ac:dyDescent="0.25">
      <c r="A808" s="327">
        <v>3</v>
      </c>
      <c r="B808" s="2">
        <f t="shared" ref="B808:B811" si="894">B807</f>
        <v>0</v>
      </c>
      <c r="C808" s="2" t="str">
        <f t="shared" ref="C808:C811" si="895">C807</f>
        <v>Elite</v>
      </c>
      <c r="D808" s="2">
        <f t="shared" ref="D808:D811" si="896">D807</f>
        <v>0</v>
      </c>
      <c r="E808" s="2" t="str">
        <f t="shared" ref="E808:E811" si="897">E807</f>
        <v>W</v>
      </c>
      <c r="F808" s="2" t="str">
        <f t="shared" si="863"/>
        <v>Elite</v>
      </c>
      <c r="G808" s="2" t="str">
        <f t="shared" si="892"/>
        <v/>
      </c>
      <c r="H808" s="2" t="str">
        <f t="shared" si="892"/>
        <v/>
      </c>
      <c r="I808" s="2" t="str">
        <f t="shared" si="892"/>
        <v/>
      </c>
      <c r="J808" s="2" t="str">
        <f t="shared" si="892"/>
        <v/>
      </c>
      <c r="K808" s="2" t="str">
        <f t="shared" si="892"/>
        <v/>
      </c>
      <c r="L808" s="2" t="str">
        <f t="shared" si="892"/>
        <v/>
      </c>
      <c r="M808" s="180" t="str">
        <f t="shared" si="892"/>
        <v/>
      </c>
      <c r="N808" s="2" t="str">
        <f t="shared" si="892"/>
        <v/>
      </c>
      <c r="O808" s="2">
        <f t="shared" si="862"/>
        <v>0</v>
      </c>
    </row>
    <row r="809" spans="1:15" x14ac:dyDescent="0.25">
      <c r="A809" s="2">
        <v>4</v>
      </c>
      <c r="B809" s="2">
        <f t="shared" si="894"/>
        <v>0</v>
      </c>
      <c r="C809" s="2" t="str">
        <f t="shared" si="895"/>
        <v>Elite</v>
      </c>
      <c r="D809" s="2">
        <f t="shared" si="896"/>
        <v>0</v>
      </c>
      <c r="E809" s="2" t="str">
        <f t="shared" si="897"/>
        <v>W</v>
      </c>
      <c r="F809" s="2" t="str">
        <f t="shared" si="863"/>
        <v>Elite</v>
      </c>
      <c r="G809" s="2" t="str">
        <f t="shared" si="892"/>
        <v/>
      </c>
      <c r="H809" s="2" t="str">
        <f t="shared" si="892"/>
        <v/>
      </c>
      <c r="I809" s="2" t="str">
        <f t="shared" si="892"/>
        <v/>
      </c>
      <c r="J809" s="2" t="str">
        <f t="shared" si="892"/>
        <v/>
      </c>
      <c r="K809" s="2" t="str">
        <f t="shared" si="892"/>
        <v/>
      </c>
      <c r="L809" s="2" t="str">
        <f t="shared" si="892"/>
        <v/>
      </c>
      <c r="M809" s="180" t="str">
        <f t="shared" si="892"/>
        <v/>
      </c>
      <c r="N809" s="2" t="str">
        <f t="shared" si="892"/>
        <v/>
      </c>
      <c r="O809" s="2">
        <f t="shared" si="862"/>
        <v>0</v>
      </c>
    </row>
    <row r="810" spans="1:15" x14ac:dyDescent="0.25">
      <c r="A810" s="327">
        <v>5</v>
      </c>
      <c r="B810" s="2">
        <f t="shared" si="894"/>
        <v>0</v>
      </c>
      <c r="C810" s="2" t="str">
        <f t="shared" si="895"/>
        <v>Elite</v>
      </c>
      <c r="D810" s="2">
        <f t="shared" si="896"/>
        <v>0</v>
      </c>
      <c r="E810" s="2" t="str">
        <f t="shared" si="897"/>
        <v>W</v>
      </c>
      <c r="F810" s="2" t="str">
        <f t="shared" si="863"/>
        <v>Elite</v>
      </c>
      <c r="G810" s="2" t="str">
        <f t="shared" si="892"/>
        <v/>
      </c>
      <c r="H810" s="2" t="str">
        <f t="shared" si="892"/>
        <v/>
      </c>
      <c r="I810" s="2" t="str">
        <f t="shared" si="892"/>
        <v/>
      </c>
      <c r="J810" s="2" t="str">
        <f t="shared" si="892"/>
        <v/>
      </c>
      <c r="K810" s="2" t="str">
        <f t="shared" si="892"/>
        <v/>
      </c>
      <c r="L810" s="2" t="str">
        <f t="shared" si="892"/>
        <v/>
      </c>
      <c r="M810" s="180" t="str">
        <f t="shared" si="892"/>
        <v/>
      </c>
      <c r="N810" s="2" t="str">
        <f t="shared" si="892"/>
        <v/>
      </c>
      <c r="O810" s="2">
        <f t="shared" si="862"/>
        <v>0</v>
      </c>
    </row>
    <row r="811" spans="1:15" x14ac:dyDescent="0.25">
      <c r="A811" s="2">
        <v>6</v>
      </c>
      <c r="B811" s="2">
        <f t="shared" si="894"/>
        <v>0</v>
      </c>
      <c r="C811" s="2" t="str">
        <f t="shared" si="895"/>
        <v>Elite</v>
      </c>
      <c r="D811" s="2">
        <f t="shared" si="896"/>
        <v>0</v>
      </c>
      <c r="E811" s="2" t="str">
        <f t="shared" si="897"/>
        <v>W</v>
      </c>
      <c r="F811" s="2" t="str">
        <f t="shared" si="863"/>
        <v>Elite</v>
      </c>
      <c r="G811" s="2" t="str">
        <f t="shared" si="892"/>
        <v/>
      </c>
      <c r="H811" s="2" t="str">
        <f t="shared" si="892"/>
        <v/>
      </c>
      <c r="I811" s="2" t="str">
        <f t="shared" si="892"/>
        <v/>
      </c>
      <c r="J811" s="2" t="str">
        <f t="shared" si="892"/>
        <v/>
      </c>
      <c r="K811" s="2" t="str">
        <f t="shared" si="892"/>
        <v/>
      </c>
      <c r="L811" s="2" t="str">
        <f t="shared" si="892"/>
        <v/>
      </c>
      <c r="M811" s="180" t="str">
        <f t="shared" si="892"/>
        <v/>
      </c>
      <c r="N811" s="2" t="str">
        <f t="shared" si="892"/>
        <v/>
      </c>
      <c r="O811" s="2">
        <f t="shared" si="862"/>
        <v>0</v>
      </c>
    </row>
    <row r="812" spans="1:15" x14ac:dyDescent="0.25">
      <c r="A812" s="325">
        <v>1</v>
      </c>
      <c r="B812" s="325">
        <f>TrialNumber</f>
        <v>0</v>
      </c>
      <c r="C812" s="325" t="s">
        <v>2034</v>
      </c>
      <c r="D812" s="325">
        <f>Elite!C10</f>
        <v>0</v>
      </c>
      <c r="E812" s="325" t="str">
        <f>IF(Elite!B10="W","W","A")</f>
        <v>W</v>
      </c>
      <c r="F812" s="325" t="s">
        <v>2034</v>
      </c>
      <c r="G812" s="325" t="str">
        <f>IF(Elite!F10="e","Y","")</f>
        <v/>
      </c>
      <c r="H812" s="325" t="str">
        <f>IFERROR(VLOOKUP($D812,'SDDA Dogs'!$A:$AE,2,FALSE),"")</f>
        <v/>
      </c>
      <c r="I812" s="325" t="str">
        <f>IFERROR(VLOOKUP($D812,'SDDA Dogs'!$A:$AE,3,FALSE),"")</f>
        <v/>
      </c>
      <c r="J812" s="325" t="str">
        <f>IFERROR(VLOOKUP($D812,'SDDA Dogs'!$A:$AE,6,FALSE),"")</f>
        <v/>
      </c>
      <c r="K812" s="325" t="str">
        <f>IF(Elite!AR10="","",Elite!AR10)</f>
        <v/>
      </c>
      <c r="L812" s="325" t="str">
        <f>IF(Elite!AS10="","",Elite!AS10)</f>
        <v/>
      </c>
      <c r="M812" s="326" t="str">
        <f>TrialDate</f>
        <v/>
      </c>
      <c r="N812" s="325" t="str">
        <f t="shared" ref="N812" si="898">N807</f>
        <v/>
      </c>
      <c r="O812" s="325">
        <f t="shared" si="862"/>
        <v>0</v>
      </c>
    </row>
    <row r="813" spans="1:15" x14ac:dyDescent="0.25">
      <c r="A813" s="2">
        <v>2</v>
      </c>
      <c r="B813" s="2">
        <f>B812</f>
        <v>0</v>
      </c>
      <c r="C813" s="2" t="str">
        <f>C812</f>
        <v>Elite</v>
      </c>
      <c r="D813" s="2">
        <f>D812</f>
        <v>0</v>
      </c>
      <c r="E813" s="2" t="str">
        <f>E812</f>
        <v>W</v>
      </c>
      <c r="F813" s="2" t="str">
        <f t="shared" si="863"/>
        <v>Elite</v>
      </c>
      <c r="G813" s="2" t="str">
        <f t="shared" ref="G813:N813" si="899">G812</f>
        <v/>
      </c>
      <c r="H813" s="2" t="str">
        <f t="shared" si="899"/>
        <v/>
      </c>
      <c r="I813" s="2" t="str">
        <f t="shared" si="899"/>
        <v/>
      </c>
      <c r="J813" s="2" t="str">
        <f t="shared" si="899"/>
        <v/>
      </c>
      <c r="K813" s="2" t="str">
        <f t="shared" si="899"/>
        <v/>
      </c>
      <c r="L813" s="2" t="str">
        <f t="shared" ref="L813" si="900">L812</f>
        <v/>
      </c>
      <c r="M813" s="180" t="str">
        <f t="shared" si="899"/>
        <v/>
      </c>
      <c r="N813" s="2" t="str">
        <f t="shared" si="899"/>
        <v/>
      </c>
      <c r="O813" s="2">
        <f t="shared" si="862"/>
        <v>0</v>
      </c>
    </row>
    <row r="814" spans="1:15" x14ac:dyDescent="0.25">
      <c r="A814" s="327">
        <v>3</v>
      </c>
      <c r="B814" s="2">
        <f t="shared" ref="B814:B817" si="901">B813</f>
        <v>0</v>
      </c>
      <c r="C814" s="2" t="str">
        <f t="shared" ref="C814:C817" si="902">C813</f>
        <v>Elite</v>
      </c>
      <c r="D814" s="2">
        <f t="shared" ref="D814:D817" si="903">D813</f>
        <v>0</v>
      </c>
      <c r="E814" s="2" t="str">
        <f t="shared" ref="E814:N817" si="904">E813</f>
        <v>W</v>
      </c>
      <c r="F814" s="2" t="str">
        <f t="shared" si="904"/>
        <v>Elite</v>
      </c>
      <c r="G814" s="2" t="str">
        <f t="shared" si="904"/>
        <v/>
      </c>
      <c r="H814" s="2" t="str">
        <f t="shared" si="904"/>
        <v/>
      </c>
      <c r="I814" s="2" t="str">
        <f t="shared" si="904"/>
        <v/>
      </c>
      <c r="J814" s="2" t="str">
        <f t="shared" si="904"/>
        <v/>
      </c>
      <c r="K814" s="2" t="str">
        <f t="shared" si="904"/>
        <v/>
      </c>
      <c r="L814" s="2" t="str">
        <f t="shared" si="904"/>
        <v/>
      </c>
      <c r="M814" s="180" t="str">
        <f t="shared" si="904"/>
        <v/>
      </c>
      <c r="N814" s="2" t="str">
        <f t="shared" si="904"/>
        <v/>
      </c>
      <c r="O814" s="2">
        <f t="shared" si="862"/>
        <v>0</v>
      </c>
    </row>
    <row r="815" spans="1:15" x14ac:dyDescent="0.25">
      <c r="A815" s="2">
        <v>4</v>
      </c>
      <c r="B815" s="2">
        <f t="shared" si="901"/>
        <v>0</v>
      </c>
      <c r="C815" s="2" t="str">
        <f t="shared" si="902"/>
        <v>Elite</v>
      </c>
      <c r="D815" s="2">
        <f t="shared" si="903"/>
        <v>0</v>
      </c>
      <c r="E815" s="2" t="str">
        <f t="shared" si="904"/>
        <v>W</v>
      </c>
      <c r="F815" s="2" t="str">
        <f t="shared" si="904"/>
        <v>Elite</v>
      </c>
      <c r="G815" s="2" t="str">
        <f t="shared" si="904"/>
        <v/>
      </c>
      <c r="H815" s="2" t="str">
        <f t="shared" si="904"/>
        <v/>
      </c>
      <c r="I815" s="2" t="str">
        <f t="shared" si="904"/>
        <v/>
      </c>
      <c r="J815" s="2" t="str">
        <f t="shared" si="904"/>
        <v/>
      </c>
      <c r="K815" s="2" t="str">
        <f t="shared" si="904"/>
        <v/>
      </c>
      <c r="L815" s="2" t="str">
        <f t="shared" si="904"/>
        <v/>
      </c>
      <c r="M815" s="180" t="str">
        <f t="shared" si="904"/>
        <v/>
      </c>
      <c r="N815" s="2" t="str">
        <f t="shared" si="904"/>
        <v/>
      </c>
      <c r="O815" s="2">
        <f t="shared" si="862"/>
        <v>0</v>
      </c>
    </row>
    <row r="816" spans="1:15" x14ac:dyDescent="0.25">
      <c r="A816" s="327">
        <v>5</v>
      </c>
      <c r="B816" s="2">
        <f t="shared" si="901"/>
        <v>0</v>
      </c>
      <c r="C816" s="2" t="str">
        <f t="shared" si="902"/>
        <v>Elite</v>
      </c>
      <c r="D816" s="2">
        <f t="shared" si="903"/>
        <v>0</v>
      </c>
      <c r="E816" s="2" t="str">
        <f t="shared" si="904"/>
        <v>W</v>
      </c>
      <c r="F816" s="2" t="str">
        <f t="shared" si="904"/>
        <v>Elite</v>
      </c>
      <c r="G816" s="2" t="str">
        <f t="shared" si="904"/>
        <v/>
      </c>
      <c r="H816" s="2" t="str">
        <f t="shared" si="904"/>
        <v/>
      </c>
      <c r="I816" s="2" t="str">
        <f t="shared" si="904"/>
        <v/>
      </c>
      <c r="J816" s="2" t="str">
        <f t="shared" si="904"/>
        <v/>
      </c>
      <c r="K816" s="2" t="str">
        <f t="shared" si="904"/>
        <v/>
      </c>
      <c r="L816" s="2" t="str">
        <f t="shared" si="904"/>
        <v/>
      </c>
      <c r="M816" s="180" t="str">
        <f t="shared" si="904"/>
        <v/>
      </c>
      <c r="N816" s="2" t="str">
        <f t="shared" si="904"/>
        <v/>
      </c>
      <c r="O816" s="2">
        <f t="shared" si="862"/>
        <v>0</v>
      </c>
    </row>
    <row r="817" spans="1:15" x14ac:dyDescent="0.25">
      <c r="A817" s="2">
        <v>6</v>
      </c>
      <c r="B817" s="2">
        <f t="shared" si="901"/>
        <v>0</v>
      </c>
      <c r="C817" s="2" t="str">
        <f t="shared" si="902"/>
        <v>Elite</v>
      </c>
      <c r="D817" s="2">
        <f t="shared" si="903"/>
        <v>0</v>
      </c>
      <c r="E817" s="2" t="str">
        <f t="shared" si="904"/>
        <v>W</v>
      </c>
      <c r="F817" s="2" t="str">
        <f t="shared" si="904"/>
        <v>Elite</v>
      </c>
      <c r="G817" s="2" t="str">
        <f t="shared" si="904"/>
        <v/>
      </c>
      <c r="H817" s="2" t="str">
        <f t="shared" si="904"/>
        <v/>
      </c>
      <c r="I817" s="2" t="str">
        <f t="shared" si="904"/>
        <v/>
      </c>
      <c r="J817" s="2" t="str">
        <f t="shared" si="904"/>
        <v/>
      </c>
      <c r="K817" s="2" t="str">
        <f t="shared" si="904"/>
        <v/>
      </c>
      <c r="L817" s="2" t="str">
        <f t="shared" si="904"/>
        <v/>
      </c>
      <c r="M817" s="180" t="str">
        <f t="shared" si="904"/>
        <v/>
      </c>
      <c r="N817" s="2" t="str">
        <f t="shared" si="904"/>
        <v/>
      </c>
      <c r="O817" s="2">
        <f t="shared" si="862"/>
        <v>0</v>
      </c>
    </row>
    <row r="818" spans="1:15" x14ac:dyDescent="0.25">
      <c r="A818" s="325">
        <v>1</v>
      </c>
      <c r="B818" s="325">
        <f>TrialNumber</f>
        <v>0</v>
      </c>
      <c r="C818" s="325" t="s">
        <v>2034</v>
      </c>
      <c r="D818" s="325">
        <f>Elite!C11</f>
        <v>0</v>
      </c>
      <c r="E818" s="325" t="str">
        <f>IF(Elite!B11="W","W","A")</f>
        <v>W</v>
      </c>
      <c r="F818" s="325" t="s">
        <v>2034</v>
      </c>
      <c r="G818" s="325" t="str">
        <f>IF(Elite!F11="e","Y","")</f>
        <v/>
      </c>
      <c r="H818" s="325" t="str">
        <f>IFERROR(VLOOKUP($D818,'SDDA Dogs'!$A:$AE,2,FALSE),"")</f>
        <v/>
      </c>
      <c r="I818" s="325" t="str">
        <f>IFERROR(VLOOKUP($D818,'SDDA Dogs'!$A:$AE,3,FALSE),"")</f>
        <v/>
      </c>
      <c r="J818" s="325" t="str">
        <f>IFERROR(VLOOKUP($D818,'SDDA Dogs'!$A:$AE,6,FALSE),"")</f>
        <v/>
      </c>
      <c r="K818" s="325" t="str">
        <f>IF(Elite!AR11="","",Elite!AR11)</f>
        <v/>
      </c>
      <c r="L818" s="325" t="str">
        <f>IF(Elite!AS11="","",Elite!AS11)</f>
        <v/>
      </c>
      <c r="M818" s="326" t="str">
        <f>TrialDate</f>
        <v/>
      </c>
      <c r="N818" s="325" t="str">
        <f t="shared" ref="N818" si="905">N813</f>
        <v/>
      </c>
      <c r="O818" s="325">
        <f t="shared" si="862"/>
        <v>0</v>
      </c>
    </row>
    <row r="819" spans="1:15" x14ac:dyDescent="0.25">
      <c r="A819" s="2">
        <v>2</v>
      </c>
      <c r="B819" s="2">
        <f>B818</f>
        <v>0</v>
      </c>
      <c r="C819" s="2" t="str">
        <f>C818</f>
        <v>Elite</v>
      </c>
      <c r="D819" s="2">
        <f>D818</f>
        <v>0</v>
      </c>
      <c r="E819" s="2" t="str">
        <f>E818</f>
        <v>W</v>
      </c>
      <c r="F819" s="2" t="str">
        <f t="shared" si="863"/>
        <v>Elite</v>
      </c>
      <c r="G819" s="2" t="str">
        <f t="shared" ref="G819:N823" si="906">G818</f>
        <v/>
      </c>
      <c r="H819" s="2" t="str">
        <f t="shared" si="906"/>
        <v/>
      </c>
      <c r="I819" s="2" t="str">
        <f t="shared" si="906"/>
        <v/>
      </c>
      <c r="J819" s="2" t="str">
        <f t="shared" si="906"/>
        <v/>
      </c>
      <c r="K819" s="2" t="str">
        <f t="shared" si="906"/>
        <v/>
      </c>
      <c r="L819" s="2" t="str">
        <f t="shared" ref="L819:L823" si="907">L818</f>
        <v/>
      </c>
      <c r="M819" s="180" t="str">
        <f t="shared" si="906"/>
        <v/>
      </c>
      <c r="N819" s="2" t="str">
        <f t="shared" si="906"/>
        <v/>
      </c>
      <c r="O819" s="2">
        <f t="shared" si="862"/>
        <v>0</v>
      </c>
    </row>
    <row r="820" spans="1:15" x14ac:dyDescent="0.25">
      <c r="A820" s="327">
        <v>3</v>
      </c>
      <c r="B820" s="2">
        <f t="shared" ref="B820:B823" si="908">B819</f>
        <v>0</v>
      </c>
      <c r="C820" s="2" t="str">
        <f t="shared" ref="C820:C823" si="909">C819</f>
        <v>Elite</v>
      </c>
      <c r="D820" s="2">
        <f t="shared" ref="D820:D823" si="910">D819</f>
        <v>0</v>
      </c>
      <c r="E820" s="2" t="str">
        <f t="shared" ref="E820:E823" si="911">E819</f>
        <v>W</v>
      </c>
      <c r="F820" s="2" t="str">
        <f t="shared" si="863"/>
        <v>Elite</v>
      </c>
      <c r="G820" s="2" t="str">
        <f t="shared" si="906"/>
        <v/>
      </c>
      <c r="H820" s="2" t="str">
        <f t="shared" si="906"/>
        <v/>
      </c>
      <c r="I820" s="2" t="str">
        <f t="shared" si="906"/>
        <v/>
      </c>
      <c r="J820" s="2" t="str">
        <f t="shared" si="906"/>
        <v/>
      </c>
      <c r="K820" s="2" t="str">
        <f t="shared" si="906"/>
        <v/>
      </c>
      <c r="L820" s="2" t="str">
        <f t="shared" si="907"/>
        <v/>
      </c>
      <c r="M820" s="180" t="str">
        <f t="shared" si="906"/>
        <v/>
      </c>
      <c r="N820" s="2" t="str">
        <f t="shared" si="906"/>
        <v/>
      </c>
      <c r="O820" s="2">
        <f t="shared" si="862"/>
        <v>0</v>
      </c>
    </row>
    <row r="821" spans="1:15" x14ac:dyDescent="0.25">
      <c r="A821" s="2">
        <v>4</v>
      </c>
      <c r="B821" s="2">
        <f t="shared" si="908"/>
        <v>0</v>
      </c>
      <c r="C821" s="2" t="str">
        <f t="shared" si="909"/>
        <v>Elite</v>
      </c>
      <c r="D821" s="2">
        <f t="shared" si="910"/>
        <v>0</v>
      </c>
      <c r="E821" s="2" t="str">
        <f t="shared" si="911"/>
        <v>W</v>
      </c>
      <c r="F821" s="2" t="str">
        <f t="shared" si="863"/>
        <v>Elite</v>
      </c>
      <c r="G821" s="2" t="str">
        <f t="shared" si="906"/>
        <v/>
      </c>
      <c r="H821" s="2" t="str">
        <f t="shared" si="906"/>
        <v/>
      </c>
      <c r="I821" s="2" t="str">
        <f t="shared" si="906"/>
        <v/>
      </c>
      <c r="J821" s="2" t="str">
        <f t="shared" si="906"/>
        <v/>
      </c>
      <c r="K821" s="2" t="str">
        <f t="shared" si="906"/>
        <v/>
      </c>
      <c r="L821" s="2" t="str">
        <f t="shared" si="907"/>
        <v/>
      </c>
      <c r="M821" s="180" t="str">
        <f t="shared" si="906"/>
        <v/>
      </c>
      <c r="N821" s="2" t="str">
        <f t="shared" si="906"/>
        <v/>
      </c>
      <c r="O821" s="2">
        <f t="shared" si="862"/>
        <v>0</v>
      </c>
    </row>
    <row r="822" spans="1:15" x14ac:dyDescent="0.25">
      <c r="A822" s="327">
        <v>5</v>
      </c>
      <c r="B822" s="2">
        <f t="shared" si="908"/>
        <v>0</v>
      </c>
      <c r="C822" s="2" t="str">
        <f t="shared" si="909"/>
        <v>Elite</v>
      </c>
      <c r="D822" s="2">
        <f t="shared" si="910"/>
        <v>0</v>
      </c>
      <c r="E822" s="2" t="str">
        <f t="shared" si="911"/>
        <v>W</v>
      </c>
      <c r="F822" s="2" t="str">
        <f t="shared" si="863"/>
        <v>Elite</v>
      </c>
      <c r="G822" s="2" t="str">
        <f t="shared" si="906"/>
        <v/>
      </c>
      <c r="H822" s="2" t="str">
        <f t="shared" si="906"/>
        <v/>
      </c>
      <c r="I822" s="2" t="str">
        <f t="shared" si="906"/>
        <v/>
      </c>
      <c r="J822" s="2" t="str">
        <f t="shared" si="906"/>
        <v/>
      </c>
      <c r="K822" s="2" t="str">
        <f t="shared" si="906"/>
        <v/>
      </c>
      <c r="L822" s="2" t="str">
        <f t="shared" si="907"/>
        <v/>
      </c>
      <c r="M822" s="180" t="str">
        <f t="shared" si="906"/>
        <v/>
      </c>
      <c r="N822" s="2" t="str">
        <f t="shared" si="906"/>
        <v/>
      </c>
      <c r="O822" s="2">
        <f t="shared" si="862"/>
        <v>0</v>
      </c>
    </row>
    <row r="823" spans="1:15" x14ac:dyDescent="0.25">
      <c r="A823" s="2">
        <v>6</v>
      </c>
      <c r="B823" s="2">
        <f t="shared" si="908"/>
        <v>0</v>
      </c>
      <c r="C823" s="2" t="str">
        <f t="shared" si="909"/>
        <v>Elite</v>
      </c>
      <c r="D823" s="2">
        <f t="shared" si="910"/>
        <v>0</v>
      </c>
      <c r="E823" s="2" t="str">
        <f t="shared" si="911"/>
        <v>W</v>
      </c>
      <c r="F823" s="2" t="str">
        <f t="shared" si="863"/>
        <v>Elite</v>
      </c>
      <c r="G823" s="2" t="str">
        <f t="shared" si="906"/>
        <v/>
      </c>
      <c r="H823" s="2" t="str">
        <f t="shared" si="906"/>
        <v/>
      </c>
      <c r="I823" s="2" t="str">
        <f t="shared" si="906"/>
        <v/>
      </c>
      <c r="J823" s="2" t="str">
        <f t="shared" si="906"/>
        <v/>
      </c>
      <c r="K823" s="2" t="str">
        <f t="shared" si="906"/>
        <v/>
      </c>
      <c r="L823" s="2" t="str">
        <f t="shared" si="907"/>
        <v/>
      </c>
      <c r="M823" s="180" t="str">
        <f t="shared" si="906"/>
        <v/>
      </c>
      <c r="N823" s="2" t="str">
        <f t="shared" si="906"/>
        <v/>
      </c>
      <c r="O823" s="2">
        <f t="shared" si="862"/>
        <v>0</v>
      </c>
    </row>
    <row r="824" spans="1:15" x14ac:dyDescent="0.25">
      <c r="A824" s="325">
        <v>1</v>
      </c>
      <c r="B824" s="325">
        <f>TrialNumber</f>
        <v>0</v>
      </c>
      <c r="C824" s="325" t="s">
        <v>2034</v>
      </c>
      <c r="D824" s="325">
        <f>Elite!C12</f>
        <v>0</v>
      </c>
      <c r="E824" s="325" t="str">
        <f>IF(Elite!B12="W","W","A")</f>
        <v>W</v>
      </c>
      <c r="F824" s="325" t="s">
        <v>2034</v>
      </c>
      <c r="G824" s="325" t="str">
        <f>IF(Elite!F12="e","Y","")</f>
        <v/>
      </c>
      <c r="H824" s="325" t="str">
        <f>IFERROR(VLOOKUP($D824,'SDDA Dogs'!$A:$AE,2,FALSE),"")</f>
        <v/>
      </c>
      <c r="I824" s="325" t="str">
        <f>IFERROR(VLOOKUP($D824,'SDDA Dogs'!$A:$AE,3,FALSE),"")</f>
        <v/>
      </c>
      <c r="J824" s="325" t="str">
        <f>IFERROR(VLOOKUP($D824,'SDDA Dogs'!$A:$AE,6,FALSE),"")</f>
        <v/>
      </c>
      <c r="K824" s="325" t="str">
        <f>IF(Elite!AR12="","",Elite!AR12)</f>
        <v/>
      </c>
      <c r="L824" s="325" t="str">
        <f>IF(Elite!AS12="","",Elite!AS12)</f>
        <v/>
      </c>
      <c r="M824" s="326" t="str">
        <f>TrialDate</f>
        <v/>
      </c>
      <c r="N824" s="325" t="str">
        <f t="shared" ref="N824" si="912">N819</f>
        <v/>
      </c>
      <c r="O824" s="325">
        <f t="shared" si="862"/>
        <v>0</v>
      </c>
    </row>
    <row r="825" spans="1:15" x14ac:dyDescent="0.25">
      <c r="A825" s="2">
        <v>2</v>
      </c>
      <c r="B825" s="2">
        <f>B824</f>
        <v>0</v>
      </c>
      <c r="C825" s="2" t="str">
        <f>C824</f>
        <v>Elite</v>
      </c>
      <c r="D825" s="2">
        <f>D824</f>
        <v>0</v>
      </c>
      <c r="E825" s="2" t="str">
        <f>E824</f>
        <v>W</v>
      </c>
      <c r="F825" s="2" t="str">
        <f t="shared" si="863"/>
        <v>Elite</v>
      </c>
      <c r="G825" s="2" t="str">
        <f t="shared" ref="G825:N825" si="913">G824</f>
        <v/>
      </c>
      <c r="H825" s="2" t="str">
        <f t="shared" si="913"/>
        <v/>
      </c>
      <c r="I825" s="2" t="str">
        <f t="shared" si="913"/>
        <v/>
      </c>
      <c r="J825" s="2" t="str">
        <f t="shared" si="913"/>
        <v/>
      </c>
      <c r="K825" s="2" t="str">
        <f t="shared" si="913"/>
        <v/>
      </c>
      <c r="L825" s="2" t="str">
        <f t="shared" ref="L825:N829" si="914">L824</f>
        <v/>
      </c>
      <c r="M825" s="180" t="str">
        <f t="shared" si="913"/>
        <v/>
      </c>
      <c r="N825" s="2" t="str">
        <f t="shared" si="913"/>
        <v/>
      </c>
      <c r="O825" s="2">
        <f t="shared" si="862"/>
        <v>0</v>
      </c>
    </row>
    <row r="826" spans="1:15" x14ac:dyDescent="0.25">
      <c r="A826" s="327">
        <v>3</v>
      </c>
      <c r="B826" s="2">
        <f t="shared" ref="B826:B829" si="915">B825</f>
        <v>0</v>
      </c>
      <c r="C826" s="2" t="str">
        <f t="shared" ref="C826:C829" si="916">C825</f>
        <v>Elite</v>
      </c>
      <c r="D826" s="2">
        <f t="shared" ref="D826:D829" si="917">D825</f>
        <v>0</v>
      </c>
      <c r="E826" s="2" t="str">
        <f t="shared" ref="E826:K829" si="918">E825</f>
        <v>W</v>
      </c>
      <c r="F826" s="2" t="str">
        <f t="shared" si="918"/>
        <v>Elite</v>
      </c>
      <c r="G826" s="2" t="str">
        <f t="shared" si="918"/>
        <v/>
      </c>
      <c r="H826" s="2" t="str">
        <f t="shared" si="918"/>
        <v/>
      </c>
      <c r="I826" s="2" t="str">
        <f t="shared" si="918"/>
        <v/>
      </c>
      <c r="J826" s="2" t="str">
        <f t="shared" si="918"/>
        <v/>
      </c>
      <c r="K826" s="2" t="str">
        <f t="shared" si="918"/>
        <v/>
      </c>
      <c r="L826" s="2" t="str">
        <f t="shared" si="914"/>
        <v/>
      </c>
      <c r="M826" s="180" t="str">
        <f t="shared" si="914"/>
        <v/>
      </c>
      <c r="N826" s="2" t="str">
        <f t="shared" si="914"/>
        <v/>
      </c>
      <c r="O826" s="2">
        <f t="shared" si="862"/>
        <v>0</v>
      </c>
    </row>
    <row r="827" spans="1:15" x14ac:dyDescent="0.25">
      <c r="A827" s="2">
        <v>4</v>
      </c>
      <c r="B827" s="2">
        <f t="shared" si="915"/>
        <v>0</v>
      </c>
      <c r="C827" s="2" t="str">
        <f t="shared" si="916"/>
        <v>Elite</v>
      </c>
      <c r="D827" s="2">
        <f t="shared" si="917"/>
        <v>0</v>
      </c>
      <c r="E827" s="2" t="str">
        <f t="shared" si="918"/>
        <v>W</v>
      </c>
      <c r="F827" s="2" t="str">
        <f t="shared" si="918"/>
        <v>Elite</v>
      </c>
      <c r="G827" s="2" t="str">
        <f t="shared" si="918"/>
        <v/>
      </c>
      <c r="H827" s="2" t="str">
        <f t="shared" si="918"/>
        <v/>
      </c>
      <c r="I827" s="2" t="str">
        <f t="shared" si="918"/>
        <v/>
      </c>
      <c r="J827" s="2" t="str">
        <f t="shared" si="918"/>
        <v/>
      </c>
      <c r="K827" s="2" t="str">
        <f t="shared" si="918"/>
        <v/>
      </c>
      <c r="L827" s="2" t="str">
        <f t="shared" si="914"/>
        <v/>
      </c>
      <c r="M827" s="180" t="str">
        <f t="shared" si="914"/>
        <v/>
      </c>
      <c r="N827" s="2" t="str">
        <f t="shared" si="914"/>
        <v/>
      </c>
      <c r="O827" s="2">
        <f t="shared" si="862"/>
        <v>0</v>
      </c>
    </row>
    <row r="828" spans="1:15" x14ac:dyDescent="0.25">
      <c r="A828" s="327">
        <v>5</v>
      </c>
      <c r="B828" s="2">
        <f t="shared" si="915"/>
        <v>0</v>
      </c>
      <c r="C828" s="2" t="str">
        <f t="shared" si="916"/>
        <v>Elite</v>
      </c>
      <c r="D828" s="2">
        <f t="shared" si="917"/>
        <v>0</v>
      </c>
      <c r="E828" s="2" t="str">
        <f t="shared" si="918"/>
        <v>W</v>
      </c>
      <c r="F828" s="2" t="str">
        <f t="shared" si="918"/>
        <v>Elite</v>
      </c>
      <c r="G828" s="2" t="str">
        <f t="shared" si="918"/>
        <v/>
      </c>
      <c r="H828" s="2" t="str">
        <f t="shared" si="918"/>
        <v/>
      </c>
      <c r="I828" s="2" t="str">
        <f t="shared" si="918"/>
        <v/>
      </c>
      <c r="J828" s="2" t="str">
        <f t="shared" si="918"/>
        <v/>
      </c>
      <c r="K828" s="2" t="str">
        <f t="shared" si="918"/>
        <v/>
      </c>
      <c r="L828" s="2" t="str">
        <f t="shared" si="914"/>
        <v/>
      </c>
      <c r="M828" s="180" t="str">
        <f t="shared" si="914"/>
        <v/>
      </c>
      <c r="N828" s="2" t="str">
        <f t="shared" si="914"/>
        <v/>
      </c>
      <c r="O828" s="2">
        <f t="shared" si="862"/>
        <v>0</v>
      </c>
    </row>
    <row r="829" spans="1:15" x14ac:dyDescent="0.25">
      <c r="A829" s="2">
        <v>6</v>
      </c>
      <c r="B829" s="2">
        <f t="shared" si="915"/>
        <v>0</v>
      </c>
      <c r="C829" s="2" t="str">
        <f t="shared" si="916"/>
        <v>Elite</v>
      </c>
      <c r="D829" s="2">
        <f t="shared" si="917"/>
        <v>0</v>
      </c>
      <c r="E829" s="2" t="str">
        <f t="shared" si="918"/>
        <v>W</v>
      </c>
      <c r="F829" s="2" t="str">
        <f t="shared" si="918"/>
        <v>Elite</v>
      </c>
      <c r="G829" s="2" t="str">
        <f t="shared" si="918"/>
        <v/>
      </c>
      <c r="H829" s="2" t="str">
        <f t="shared" si="918"/>
        <v/>
      </c>
      <c r="I829" s="2" t="str">
        <f t="shared" si="918"/>
        <v/>
      </c>
      <c r="J829" s="2" t="str">
        <f t="shared" si="918"/>
        <v/>
      </c>
      <c r="K829" s="2" t="str">
        <f t="shared" si="918"/>
        <v/>
      </c>
      <c r="L829" s="2" t="str">
        <f t="shared" si="914"/>
        <v/>
      </c>
      <c r="M829" s="180" t="str">
        <f t="shared" si="914"/>
        <v/>
      </c>
      <c r="N829" s="2" t="str">
        <f t="shared" si="914"/>
        <v/>
      </c>
      <c r="O829" s="2">
        <f t="shared" si="862"/>
        <v>0</v>
      </c>
    </row>
    <row r="830" spans="1:15" x14ac:dyDescent="0.25">
      <c r="A830" s="325">
        <v>1</v>
      </c>
      <c r="B830" s="325">
        <f>TrialNumber</f>
        <v>0</v>
      </c>
      <c r="C830" s="325" t="s">
        <v>2034</v>
      </c>
      <c r="D830" s="325">
        <f>Elite!C13</f>
        <v>0</v>
      </c>
      <c r="E830" s="325" t="str">
        <f>IF(Elite!B13="W","W","A")</f>
        <v>W</v>
      </c>
      <c r="F830" s="325" t="s">
        <v>2034</v>
      </c>
      <c r="G830" s="325" t="str">
        <f>IF(Elite!F13="e","Y","")</f>
        <v/>
      </c>
      <c r="H830" s="325" t="str">
        <f>IFERROR(VLOOKUP($D830,'SDDA Dogs'!$A:$AE,2,FALSE),"")</f>
        <v/>
      </c>
      <c r="I830" s="325" t="str">
        <f>IFERROR(VLOOKUP($D830,'SDDA Dogs'!$A:$AE,3,FALSE),"")</f>
        <v/>
      </c>
      <c r="J830" s="325" t="str">
        <f>IFERROR(VLOOKUP($D830,'SDDA Dogs'!$A:$AE,6,FALSE),"")</f>
        <v/>
      </c>
      <c r="K830" s="325" t="str">
        <f>IF(Elite!AR13="","",Elite!AR13)</f>
        <v/>
      </c>
      <c r="L830" s="325" t="str">
        <f>IF(Elite!AS13="","",Elite!AS13)</f>
        <v/>
      </c>
      <c r="M830" s="326" t="str">
        <f>TrialDate</f>
        <v/>
      </c>
      <c r="N830" s="325" t="str">
        <f t="shared" ref="N830" si="919">N825</f>
        <v/>
      </c>
      <c r="O830" s="325">
        <f t="shared" si="862"/>
        <v>0</v>
      </c>
    </row>
    <row r="831" spans="1:15" x14ac:dyDescent="0.25">
      <c r="A831" s="2">
        <v>2</v>
      </c>
      <c r="B831" s="2">
        <f>B830</f>
        <v>0</v>
      </c>
      <c r="C831" s="2" t="str">
        <f>C830</f>
        <v>Elite</v>
      </c>
      <c r="D831" s="2">
        <f>D830</f>
        <v>0</v>
      </c>
      <c r="E831" s="2" t="str">
        <f>E830</f>
        <v>W</v>
      </c>
      <c r="F831" s="2" t="str">
        <f t="shared" si="863"/>
        <v>Elite</v>
      </c>
      <c r="G831" s="2" t="str">
        <f t="shared" ref="G831:N835" si="920">G830</f>
        <v/>
      </c>
      <c r="H831" s="2" t="str">
        <f t="shared" si="920"/>
        <v/>
      </c>
      <c r="I831" s="2" t="str">
        <f t="shared" si="920"/>
        <v/>
      </c>
      <c r="J831" s="2" t="str">
        <f t="shared" si="920"/>
        <v/>
      </c>
      <c r="K831" s="2" t="str">
        <f t="shared" si="920"/>
        <v/>
      </c>
      <c r="L831" s="2" t="str">
        <f t="shared" ref="L831" si="921">L830</f>
        <v/>
      </c>
      <c r="M831" s="180" t="str">
        <f t="shared" si="920"/>
        <v/>
      </c>
      <c r="N831" s="2" t="str">
        <f t="shared" si="920"/>
        <v/>
      </c>
      <c r="O831" s="2">
        <f t="shared" si="862"/>
        <v>0</v>
      </c>
    </row>
    <row r="832" spans="1:15" x14ac:dyDescent="0.25">
      <c r="A832" s="327">
        <v>3</v>
      </c>
      <c r="B832" s="2">
        <f t="shared" ref="B832:B835" si="922">B831</f>
        <v>0</v>
      </c>
      <c r="C832" s="2" t="str">
        <f t="shared" ref="C832:C835" si="923">C831</f>
        <v>Elite</v>
      </c>
      <c r="D832" s="2">
        <f t="shared" ref="D832:D835" si="924">D831</f>
        <v>0</v>
      </c>
      <c r="E832" s="2" t="str">
        <f t="shared" ref="E832:E835" si="925">E831</f>
        <v>W</v>
      </c>
      <c r="F832" s="2" t="str">
        <f t="shared" si="863"/>
        <v>Elite</v>
      </c>
      <c r="G832" s="2" t="str">
        <f t="shared" si="920"/>
        <v/>
      </c>
      <c r="H832" s="2" t="str">
        <f t="shared" si="920"/>
        <v/>
      </c>
      <c r="I832" s="2" t="str">
        <f t="shared" si="920"/>
        <v/>
      </c>
      <c r="J832" s="2" t="str">
        <f t="shared" si="920"/>
        <v/>
      </c>
      <c r="K832" s="2" t="str">
        <f t="shared" si="920"/>
        <v/>
      </c>
      <c r="L832" s="2" t="str">
        <f t="shared" si="920"/>
        <v/>
      </c>
      <c r="M832" s="180" t="str">
        <f t="shared" si="920"/>
        <v/>
      </c>
      <c r="N832" s="2" t="str">
        <f t="shared" si="920"/>
        <v/>
      </c>
      <c r="O832" s="2">
        <f t="shared" si="862"/>
        <v>0</v>
      </c>
    </row>
    <row r="833" spans="1:15" x14ac:dyDescent="0.25">
      <c r="A833" s="2">
        <v>4</v>
      </c>
      <c r="B833" s="2">
        <f t="shared" si="922"/>
        <v>0</v>
      </c>
      <c r="C833" s="2" t="str">
        <f t="shared" si="923"/>
        <v>Elite</v>
      </c>
      <c r="D833" s="2">
        <f t="shared" si="924"/>
        <v>0</v>
      </c>
      <c r="E833" s="2" t="str">
        <f t="shared" si="925"/>
        <v>W</v>
      </c>
      <c r="F833" s="2" t="str">
        <f t="shared" si="863"/>
        <v>Elite</v>
      </c>
      <c r="G833" s="2" t="str">
        <f t="shared" si="920"/>
        <v/>
      </c>
      <c r="H833" s="2" t="str">
        <f t="shared" si="920"/>
        <v/>
      </c>
      <c r="I833" s="2" t="str">
        <f t="shared" si="920"/>
        <v/>
      </c>
      <c r="J833" s="2" t="str">
        <f t="shared" si="920"/>
        <v/>
      </c>
      <c r="K833" s="2" t="str">
        <f t="shared" si="920"/>
        <v/>
      </c>
      <c r="L833" s="2" t="str">
        <f t="shared" si="920"/>
        <v/>
      </c>
      <c r="M833" s="180" t="str">
        <f t="shared" si="920"/>
        <v/>
      </c>
      <c r="N833" s="2" t="str">
        <f t="shared" si="920"/>
        <v/>
      </c>
      <c r="O833" s="2">
        <f t="shared" si="862"/>
        <v>0</v>
      </c>
    </row>
    <row r="834" spans="1:15" x14ac:dyDescent="0.25">
      <c r="A834" s="327">
        <v>5</v>
      </c>
      <c r="B834" s="2">
        <f t="shared" si="922"/>
        <v>0</v>
      </c>
      <c r="C834" s="2" t="str">
        <f t="shared" si="923"/>
        <v>Elite</v>
      </c>
      <c r="D834" s="2">
        <f t="shared" si="924"/>
        <v>0</v>
      </c>
      <c r="E834" s="2" t="str">
        <f t="shared" si="925"/>
        <v>W</v>
      </c>
      <c r="F834" s="2" t="str">
        <f t="shared" si="863"/>
        <v>Elite</v>
      </c>
      <c r="G834" s="2" t="str">
        <f t="shared" si="920"/>
        <v/>
      </c>
      <c r="H834" s="2" t="str">
        <f t="shared" si="920"/>
        <v/>
      </c>
      <c r="I834" s="2" t="str">
        <f t="shared" si="920"/>
        <v/>
      </c>
      <c r="J834" s="2" t="str">
        <f t="shared" si="920"/>
        <v/>
      </c>
      <c r="K834" s="2" t="str">
        <f t="shared" si="920"/>
        <v/>
      </c>
      <c r="L834" s="2" t="str">
        <f t="shared" si="920"/>
        <v/>
      </c>
      <c r="M834" s="180" t="str">
        <f t="shared" si="920"/>
        <v/>
      </c>
      <c r="N834" s="2" t="str">
        <f t="shared" si="920"/>
        <v/>
      </c>
      <c r="O834" s="2">
        <f t="shared" si="862"/>
        <v>0</v>
      </c>
    </row>
    <row r="835" spans="1:15" x14ac:dyDescent="0.25">
      <c r="A835" s="2">
        <v>6</v>
      </c>
      <c r="B835" s="2">
        <f t="shared" si="922"/>
        <v>0</v>
      </c>
      <c r="C835" s="2" t="str">
        <f t="shared" si="923"/>
        <v>Elite</v>
      </c>
      <c r="D835" s="2">
        <f t="shared" si="924"/>
        <v>0</v>
      </c>
      <c r="E835" s="2" t="str">
        <f t="shared" si="925"/>
        <v>W</v>
      </c>
      <c r="F835" s="2" t="str">
        <f t="shared" si="863"/>
        <v>Elite</v>
      </c>
      <c r="G835" s="2" t="str">
        <f t="shared" si="920"/>
        <v/>
      </c>
      <c r="H835" s="2" t="str">
        <f t="shared" si="920"/>
        <v/>
      </c>
      <c r="I835" s="2" t="str">
        <f t="shared" si="920"/>
        <v/>
      </c>
      <c r="J835" s="2" t="str">
        <f t="shared" si="920"/>
        <v/>
      </c>
      <c r="K835" s="2" t="str">
        <f t="shared" si="920"/>
        <v/>
      </c>
      <c r="L835" s="2" t="str">
        <f t="shared" si="920"/>
        <v/>
      </c>
      <c r="M835" s="180" t="str">
        <f t="shared" si="920"/>
        <v/>
      </c>
      <c r="N835" s="2" t="str">
        <f t="shared" si="920"/>
        <v/>
      </c>
      <c r="O835" s="2">
        <f t="shared" si="862"/>
        <v>0</v>
      </c>
    </row>
    <row r="836" spans="1:15" x14ac:dyDescent="0.25">
      <c r="A836" s="325">
        <v>1</v>
      </c>
      <c r="B836" s="325">
        <f>TrialNumber</f>
        <v>0</v>
      </c>
      <c r="C836" s="325" t="s">
        <v>2034</v>
      </c>
      <c r="D836" s="325">
        <f>Elite!C14</f>
        <v>0</v>
      </c>
      <c r="E836" s="325" t="str">
        <f>IF(Elite!B14="W","W","A")</f>
        <v>W</v>
      </c>
      <c r="F836" s="325" t="s">
        <v>2034</v>
      </c>
      <c r="G836" s="325" t="str">
        <f>IF(Elite!F14="e","Y","")</f>
        <v/>
      </c>
      <c r="H836" s="325" t="str">
        <f>IFERROR(VLOOKUP($D836,'SDDA Dogs'!$A:$AE,2,FALSE),"")</f>
        <v/>
      </c>
      <c r="I836" s="325" t="str">
        <f>IFERROR(VLOOKUP($D836,'SDDA Dogs'!$A:$AE,3,FALSE),"")</f>
        <v/>
      </c>
      <c r="J836" s="325" t="str">
        <f>IFERROR(VLOOKUP($D836,'SDDA Dogs'!$A:$AE,6,FALSE),"")</f>
        <v/>
      </c>
      <c r="K836" s="325" t="str">
        <f>IF(Elite!AR14="","",Elite!AR14)</f>
        <v/>
      </c>
      <c r="L836" s="325" t="str">
        <f>IF(Elite!AS14="","",Elite!AS14)</f>
        <v/>
      </c>
      <c r="M836" s="326" t="str">
        <f>TrialDate</f>
        <v/>
      </c>
      <c r="N836" s="325" t="str">
        <f t="shared" ref="N836" si="926">N831</f>
        <v/>
      </c>
      <c r="O836" s="325">
        <f t="shared" si="862"/>
        <v>0</v>
      </c>
    </row>
    <row r="837" spans="1:15" x14ac:dyDescent="0.25">
      <c r="A837" s="2">
        <v>2</v>
      </c>
      <c r="B837" s="2">
        <f>B836</f>
        <v>0</v>
      </c>
      <c r="C837" s="2" t="str">
        <f>C836</f>
        <v>Elite</v>
      </c>
      <c r="D837" s="2">
        <f>D836</f>
        <v>0</v>
      </c>
      <c r="E837" s="2" t="str">
        <f>E836</f>
        <v>W</v>
      </c>
      <c r="F837" s="2" t="str">
        <f t="shared" si="863"/>
        <v>Elite</v>
      </c>
      <c r="G837" s="2" t="str">
        <f t="shared" ref="G837:N837" si="927">G836</f>
        <v/>
      </c>
      <c r="H837" s="2" t="str">
        <f t="shared" si="927"/>
        <v/>
      </c>
      <c r="I837" s="2" t="str">
        <f t="shared" si="927"/>
        <v/>
      </c>
      <c r="J837" s="2" t="str">
        <f t="shared" si="927"/>
        <v/>
      </c>
      <c r="K837" s="2" t="str">
        <f t="shared" si="927"/>
        <v/>
      </c>
      <c r="L837" s="2" t="str">
        <f t="shared" ref="L837" si="928">L836</f>
        <v/>
      </c>
      <c r="M837" s="180" t="str">
        <f t="shared" si="927"/>
        <v/>
      </c>
      <c r="N837" s="2" t="str">
        <f t="shared" si="927"/>
        <v/>
      </c>
      <c r="O837" s="2">
        <f t="shared" si="862"/>
        <v>0</v>
      </c>
    </row>
    <row r="838" spans="1:15" x14ac:dyDescent="0.25">
      <c r="A838" s="327">
        <v>3</v>
      </c>
      <c r="B838" s="2">
        <f t="shared" ref="B838:B841" si="929">B837</f>
        <v>0</v>
      </c>
      <c r="C838" s="2" t="str">
        <f t="shared" ref="C838:C841" si="930">C837</f>
        <v>Elite</v>
      </c>
      <c r="D838" s="2">
        <f t="shared" ref="D838:D841" si="931">D837</f>
        <v>0</v>
      </c>
      <c r="E838" s="2" t="str">
        <f t="shared" ref="E838:N841" si="932">E837</f>
        <v>W</v>
      </c>
      <c r="F838" s="2" t="str">
        <f t="shared" si="932"/>
        <v>Elite</v>
      </c>
      <c r="G838" s="2" t="str">
        <f t="shared" si="932"/>
        <v/>
      </c>
      <c r="H838" s="2" t="str">
        <f t="shared" si="932"/>
        <v/>
      </c>
      <c r="I838" s="2" t="str">
        <f t="shared" si="932"/>
        <v/>
      </c>
      <c r="J838" s="2" t="str">
        <f t="shared" si="932"/>
        <v/>
      </c>
      <c r="K838" s="2" t="str">
        <f t="shared" si="932"/>
        <v/>
      </c>
      <c r="L838" s="2" t="str">
        <f t="shared" si="932"/>
        <v/>
      </c>
      <c r="M838" s="180" t="str">
        <f t="shared" si="932"/>
        <v/>
      </c>
      <c r="N838" s="2" t="str">
        <f t="shared" si="932"/>
        <v/>
      </c>
      <c r="O838" s="2">
        <f t="shared" si="862"/>
        <v>0</v>
      </c>
    </row>
    <row r="839" spans="1:15" x14ac:dyDescent="0.25">
      <c r="A839" s="2">
        <v>4</v>
      </c>
      <c r="B839" s="2">
        <f t="shared" si="929"/>
        <v>0</v>
      </c>
      <c r="C839" s="2" t="str">
        <f t="shared" si="930"/>
        <v>Elite</v>
      </c>
      <c r="D839" s="2">
        <f t="shared" si="931"/>
        <v>0</v>
      </c>
      <c r="E839" s="2" t="str">
        <f t="shared" si="932"/>
        <v>W</v>
      </c>
      <c r="F839" s="2" t="str">
        <f t="shared" si="932"/>
        <v>Elite</v>
      </c>
      <c r="G839" s="2" t="str">
        <f t="shared" si="932"/>
        <v/>
      </c>
      <c r="H839" s="2" t="str">
        <f t="shared" si="932"/>
        <v/>
      </c>
      <c r="I839" s="2" t="str">
        <f t="shared" si="932"/>
        <v/>
      </c>
      <c r="J839" s="2" t="str">
        <f t="shared" si="932"/>
        <v/>
      </c>
      <c r="K839" s="2" t="str">
        <f t="shared" si="932"/>
        <v/>
      </c>
      <c r="L839" s="2" t="str">
        <f t="shared" si="932"/>
        <v/>
      </c>
      <c r="M839" s="180" t="str">
        <f t="shared" si="932"/>
        <v/>
      </c>
      <c r="N839" s="2" t="str">
        <f t="shared" si="932"/>
        <v/>
      </c>
      <c r="O839" s="2">
        <f t="shared" si="862"/>
        <v>0</v>
      </c>
    </row>
    <row r="840" spans="1:15" x14ac:dyDescent="0.25">
      <c r="A840" s="327">
        <v>5</v>
      </c>
      <c r="B840" s="2">
        <f t="shared" si="929"/>
        <v>0</v>
      </c>
      <c r="C840" s="2" t="str">
        <f t="shared" si="930"/>
        <v>Elite</v>
      </c>
      <c r="D840" s="2">
        <f t="shared" si="931"/>
        <v>0</v>
      </c>
      <c r="E840" s="2" t="str">
        <f t="shared" si="932"/>
        <v>W</v>
      </c>
      <c r="F840" s="2" t="str">
        <f t="shared" si="932"/>
        <v>Elite</v>
      </c>
      <c r="G840" s="2" t="str">
        <f t="shared" si="932"/>
        <v/>
      </c>
      <c r="H840" s="2" t="str">
        <f t="shared" si="932"/>
        <v/>
      </c>
      <c r="I840" s="2" t="str">
        <f t="shared" si="932"/>
        <v/>
      </c>
      <c r="J840" s="2" t="str">
        <f t="shared" si="932"/>
        <v/>
      </c>
      <c r="K840" s="2" t="str">
        <f t="shared" si="932"/>
        <v/>
      </c>
      <c r="L840" s="2" t="str">
        <f t="shared" si="932"/>
        <v/>
      </c>
      <c r="M840" s="180" t="str">
        <f t="shared" si="932"/>
        <v/>
      </c>
      <c r="N840" s="2" t="str">
        <f t="shared" si="932"/>
        <v/>
      </c>
      <c r="O840" s="2">
        <f t="shared" si="862"/>
        <v>0</v>
      </c>
    </row>
    <row r="841" spans="1:15" x14ac:dyDescent="0.25">
      <c r="A841" s="2">
        <v>6</v>
      </c>
      <c r="B841" s="2">
        <f t="shared" si="929"/>
        <v>0</v>
      </c>
      <c r="C841" s="2" t="str">
        <f t="shared" si="930"/>
        <v>Elite</v>
      </c>
      <c r="D841" s="2">
        <f t="shared" si="931"/>
        <v>0</v>
      </c>
      <c r="E841" s="2" t="str">
        <f t="shared" si="932"/>
        <v>W</v>
      </c>
      <c r="F841" s="2" t="str">
        <f t="shared" si="932"/>
        <v>Elite</v>
      </c>
      <c r="G841" s="2" t="str">
        <f t="shared" si="932"/>
        <v/>
      </c>
      <c r="H841" s="2" t="str">
        <f t="shared" si="932"/>
        <v/>
      </c>
      <c r="I841" s="2" t="str">
        <f t="shared" si="932"/>
        <v/>
      </c>
      <c r="J841" s="2" t="str">
        <f t="shared" si="932"/>
        <v/>
      </c>
      <c r="K841" s="2" t="str">
        <f t="shared" si="932"/>
        <v/>
      </c>
      <c r="L841" s="2" t="str">
        <f t="shared" si="932"/>
        <v/>
      </c>
      <c r="M841" s="180" t="str">
        <f t="shared" si="932"/>
        <v/>
      </c>
      <c r="N841" s="2" t="str">
        <f t="shared" si="932"/>
        <v/>
      </c>
      <c r="O841" s="2">
        <f t="shared" si="862"/>
        <v>0</v>
      </c>
    </row>
    <row r="842" spans="1:15" x14ac:dyDescent="0.25">
      <c r="A842" s="325">
        <v>1</v>
      </c>
      <c r="B842" s="325">
        <f>TrialNumber</f>
        <v>0</v>
      </c>
      <c r="C842" s="325" t="s">
        <v>2034</v>
      </c>
      <c r="D842" s="325">
        <f>Elite!C15</f>
        <v>0</v>
      </c>
      <c r="E842" s="325" t="str">
        <f>IF(Elite!B15="W","W","A")</f>
        <v>W</v>
      </c>
      <c r="F842" s="325" t="s">
        <v>2034</v>
      </c>
      <c r="G842" s="325" t="str">
        <f>IF(Elite!F15="e","Y","")</f>
        <v/>
      </c>
      <c r="H842" s="325" t="str">
        <f>IFERROR(VLOOKUP($D842,'SDDA Dogs'!$A:$AE,2,FALSE),"")</f>
        <v/>
      </c>
      <c r="I842" s="325" t="str">
        <f>IFERROR(VLOOKUP($D842,'SDDA Dogs'!$A:$AE,3,FALSE),"")</f>
        <v/>
      </c>
      <c r="J842" s="325" t="str">
        <f>IFERROR(VLOOKUP($D842,'SDDA Dogs'!$A:$AE,6,FALSE),"")</f>
        <v/>
      </c>
      <c r="K842" s="325" t="str">
        <f>IF(Elite!AR15="","",Elite!AR15)</f>
        <v/>
      </c>
      <c r="L842" s="325" t="str">
        <f>IF(Elite!AS15="","",Elite!AS15)</f>
        <v/>
      </c>
      <c r="M842" s="326" t="str">
        <f>TrialDate</f>
        <v/>
      </c>
      <c r="N842" s="325" t="str">
        <f t="shared" ref="N842" si="933">N837</f>
        <v/>
      </c>
      <c r="O842" s="325">
        <f t="shared" si="862"/>
        <v>0</v>
      </c>
    </row>
    <row r="843" spans="1:15" x14ac:dyDescent="0.25">
      <c r="A843" s="2">
        <v>2</v>
      </c>
      <c r="B843" s="2">
        <f>B842</f>
        <v>0</v>
      </c>
      <c r="C843" s="2" t="str">
        <f>C842</f>
        <v>Elite</v>
      </c>
      <c r="D843" s="2">
        <f>D842</f>
        <v>0</v>
      </c>
      <c r="E843" s="2" t="str">
        <f>E842</f>
        <v>W</v>
      </c>
      <c r="F843" s="2" t="str">
        <f t="shared" si="863"/>
        <v>Elite</v>
      </c>
      <c r="G843" s="2" t="str">
        <f t="shared" ref="G843:N847" si="934">G842</f>
        <v/>
      </c>
      <c r="H843" s="2" t="str">
        <f t="shared" si="934"/>
        <v/>
      </c>
      <c r="I843" s="2" t="str">
        <f t="shared" si="934"/>
        <v/>
      </c>
      <c r="J843" s="2" t="str">
        <f t="shared" si="934"/>
        <v/>
      </c>
      <c r="K843" s="2" t="str">
        <f t="shared" si="934"/>
        <v/>
      </c>
      <c r="L843" s="2" t="str">
        <f t="shared" ref="L843:L847" si="935">L842</f>
        <v/>
      </c>
      <c r="M843" s="180" t="str">
        <f t="shared" si="934"/>
        <v/>
      </c>
      <c r="N843" s="2" t="str">
        <f t="shared" si="934"/>
        <v/>
      </c>
      <c r="O843" s="2">
        <f t="shared" si="862"/>
        <v>0</v>
      </c>
    </row>
    <row r="844" spans="1:15" x14ac:dyDescent="0.25">
      <c r="A844" s="327">
        <v>3</v>
      </c>
      <c r="B844" s="2">
        <f t="shared" ref="B844:B847" si="936">B843</f>
        <v>0</v>
      </c>
      <c r="C844" s="2" t="str">
        <f t="shared" ref="C844:C847" si="937">C843</f>
        <v>Elite</v>
      </c>
      <c r="D844" s="2">
        <f t="shared" ref="D844:D847" si="938">D843</f>
        <v>0</v>
      </c>
      <c r="E844" s="2" t="str">
        <f t="shared" ref="E844:E847" si="939">E843</f>
        <v>W</v>
      </c>
      <c r="F844" s="2" t="str">
        <f t="shared" si="863"/>
        <v>Elite</v>
      </c>
      <c r="G844" s="2" t="str">
        <f t="shared" si="934"/>
        <v/>
      </c>
      <c r="H844" s="2" t="str">
        <f t="shared" si="934"/>
        <v/>
      </c>
      <c r="I844" s="2" t="str">
        <f t="shared" si="934"/>
        <v/>
      </c>
      <c r="J844" s="2" t="str">
        <f t="shared" si="934"/>
        <v/>
      </c>
      <c r="K844" s="2" t="str">
        <f t="shared" si="934"/>
        <v/>
      </c>
      <c r="L844" s="2" t="str">
        <f t="shared" si="935"/>
        <v/>
      </c>
      <c r="M844" s="180" t="str">
        <f t="shared" si="934"/>
        <v/>
      </c>
      <c r="N844" s="2" t="str">
        <f t="shared" si="934"/>
        <v/>
      </c>
      <c r="O844" s="2">
        <f t="shared" si="862"/>
        <v>0</v>
      </c>
    </row>
    <row r="845" spans="1:15" x14ac:dyDescent="0.25">
      <c r="A845" s="2">
        <v>4</v>
      </c>
      <c r="B845" s="2">
        <f t="shared" si="936"/>
        <v>0</v>
      </c>
      <c r="C845" s="2" t="str">
        <f t="shared" si="937"/>
        <v>Elite</v>
      </c>
      <c r="D845" s="2">
        <f t="shared" si="938"/>
        <v>0</v>
      </c>
      <c r="E845" s="2" t="str">
        <f t="shared" si="939"/>
        <v>W</v>
      </c>
      <c r="F845" s="2" t="str">
        <f t="shared" si="863"/>
        <v>Elite</v>
      </c>
      <c r="G845" s="2" t="str">
        <f t="shared" si="934"/>
        <v/>
      </c>
      <c r="H845" s="2" t="str">
        <f t="shared" si="934"/>
        <v/>
      </c>
      <c r="I845" s="2" t="str">
        <f t="shared" si="934"/>
        <v/>
      </c>
      <c r="J845" s="2" t="str">
        <f t="shared" si="934"/>
        <v/>
      </c>
      <c r="K845" s="2" t="str">
        <f t="shared" si="934"/>
        <v/>
      </c>
      <c r="L845" s="2" t="str">
        <f t="shared" si="935"/>
        <v/>
      </c>
      <c r="M845" s="180" t="str">
        <f t="shared" si="934"/>
        <v/>
      </c>
      <c r="N845" s="2" t="str">
        <f t="shared" si="934"/>
        <v/>
      </c>
      <c r="O845" s="2">
        <f t="shared" si="862"/>
        <v>0</v>
      </c>
    </row>
    <row r="846" spans="1:15" x14ac:dyDescent="0.25">
      <c r="A846" s="327">
        <v>5</v>
      </c>
      <c r="B846" s="2">
        <f t="shared" si="936"/>
        <v>0</v>
      </c>
      <c r="C846" s="2" t="str">
        <f t="shared" si="937"/>
        <v>Elite</v>
      </c>
      <c r="D846" s="2">
        <f t="shared" si="938"/>
        <v>0</v>
      </c>
      <c r="E846" s="2" t="str">
        <f t="shared" si="939"/>
        <v>W</v>
      </c>
      <c r="F846" s="2" t="str">
        <f t="shared" si="863"/>
        <v>Elite</v>
      </c>
      <c r="G846" s="2" t="str">
        <f t="shared" si="934"/>
        <v/>
      </c>
      <c r="H846" s="2" t="str">
        <f t="shared" si="934"/>
        <v/>
      </c>
      <c r="I846" s="2" t="str">
        <f t="shared" si="934"/>
        <v/>
      </c>
      <c r="J846" s="2" t="str">
        <f t="shared" si="934"/>
        <v/>
      </c>
      <c r="K846" s="2" t="str">
        <f t="shared" si="934"/>
        <v/>
      </c>
      <c r="L846" s="2" t="str">
        <f t="shared" si="935"/>
        <v/>
      </c>
      <c r="M846" s="180" t="str">
        <f t="shared" si="934"/>
        <v/>
      </c>
      <c r="N846" s="2" t="str">
        <f t="shared" si="934"/>
        <v/>
      </c>
      <c r="O846" s="2">
        <f t="shared" si="862"/>
        <v>0</v>
      </c>
    </row>
    <row r="847" spans="1:15" x14ac:dyDescent="0.25">
      <c r="A847" s="2">
        <v>6</v>
      </c>
      <c r="B847" s="2">
        <f t="shared" si="936"/>
        <v>0</v>
      </c>
      <c r="C847" s="2" t="str">
        <f t="shared" si="937"/>
        <v>Elite</v>
      </c>
      <c r="D847" s="2">
        <f t="shared" si="938"/>
        <v>0</v>
      </c>
      <c r="E847" s="2" t="str">
        <f t="shared" si="939"/>
        <v>W</v>
      </c>
      <c r="F847" s="2" t="str">
        <f t="shared" si="863"/>
        <v>Elite</v>
      </c>
      <c r="G847" s="2" t="str">
        <f t="shared" si="934"/>
        <v/>
      </c>
      <c r="H847" s="2" t="str">
        <f t="shared" si="934"/>
        <v/>
      </c>
      <c r="I847" s="2" t="str">
        <f t="shared" si="934"/>
        <v/>
      </c>
      <c r="J847" s="2" t="str">
        <f t="shared" si="934"/>
        <v/>
      </c>
      <c r="K847" s="2" t="str">
        <f t="shared" si="934"/>
        <v/>
      </c>
      <c r="L847" s="2" t="str">
        <f t="shared" si="935"/>
        <v/>
      </c>
      <c r="M847" s="180" t="str">
        <f t="shared" si="934"/>
        <v/>
      </c>
      <c r="N847" s="2" t="str">
        <f t="shared" si="934"/>
        <v/>
      </c>
      <c r="O847" s="2">
        <f t="shared" si="862"/>
        <v>0</v>
      </c>
    </row>
    <row r="848" spans="1:15" x14ac:dyDescent="0.25">
      <c r="A848" s="325">
        <v>1</v>
      </c>
      <c r="B848" s="325">
        <f>TrialNumber</f>
        <v>0</v>
      </c>
      <c r="C848" s="325" t="s">
        <v>2034</v>
      </c>
      <c r="D848" s="325">
        <f>Elite!C16</f>
        <v>0</v>
      </c>
      <c r="E848" s="325" t="str">
        <f>IF(Elite!B16="W","W","A")</f>
        <v>W</v>
      </c>
      <c r="F848" s="325" t="s">
        <v>2034</v>
      </c>
      <c r="G848" s="325" t="str">
        <f>IF(Elite!F16="e","Y","")</f>
        <v/>
      </c>
      <c r="H848" s="325" t="str">
        <f>IFERROR(VLOOKUP($D848,'SDDA Dogs'!$A:$AE,2,FALSE),"")</f>
        <v/>
      </c>
      <c r="I848" s="325" t="str">
        <f>IFERROR(VLOOKUP($D848,'SDDA Dogs'!$A:$AE,3,FALSE),"")</f>
        <v/>
      </c>
      <c r="J848" s="325" t="str">
        <f>IFERROR(VLOOKUP($D848,'SDDA Dogs'!$A:$AE,6,FALSE),"")</f>
        <v/>
      </c>
      <c r="K848" s="325" t="str">
        <f>IF(Elite!AR16="","",Elite!AR16)</f>
        <v/>
      </c>
      <c r="L848" s="325" t="str">
        <f>IF(Elite!AS16="","",Elite!AS16)</f>
        <v/>
      </c>
      <c r="M848" s="326" t="str">
        <f>TrialDate</f>
        <v/>
      </c>
      <c r="N848" s="325" t="str">
        <f t="shared" ref="N848" si="940">N843</f>
        <v/>
      </c>
      <c r="O848" s="325">
        <f t="shared" si="862"/>
        <v>0</v>
      </c>
    </row>
    <row r="849" spans="1:15" x14ac:dyDescent="0.25">
      <c r="A849" s="2">
        <v>2</v>
      </c>
      <c r="B849" s="2">
        <f>B848</f>
        <v>0</v>
      </c>
      <c r="C849" s="2" t="str">
        <f>C848</f>
        <v>Elite</v>
      </c>
      <c r="D849" s="2">
        <f>D848</f>
        <v>0</v>
      </c>
      <c r="E849" s="2" t="str">
        <f>E848</f>
        <v>W</v>
      </c>
      <c r="F849" s="2" t="str">
        <f t="shared" si="863"/>
        <v>Elite</v>
      </c>
      <c r="G849" s="2" t="str">
        <f t="shared" ref="G849:N849" si="941">G848</f>
        <v/>
      </c>
      <c r="H849" s="2" t="str">
        <f t="shared" si="941"/>
        <v/>
      </c>
      <c r="I849" s="2" t="str">
        <f t="shared" si="941"/>
        <v/>
      </c>
      <c r="J849" s="2" t="str">
        <f t="shared" si="941"/>
        <v/>
      </c>
      <c r="K849" s="2" t="str">
        <f t="shared" si="941"/>
        <v/>
      </c>
      <c r="L849" s="2" t="str">
        <f t="shared" ref="L849:N853" si="942">L848</f>
        <v/>
      </c>
      <c r="M849" s="180" t="str">
        <f t="shared" si="941"/>
        <v/>
      </c>
      <c r="N849" s="2" t="str">
        <f t="shared" si="941"/>
        <v/>
      </c>
      <c r="O849" s="2">
        <f t="shared" si="862"/>
        <v>0</v>
      </c>
    </row>
    <row r="850" spans="1:15" x14ac:dyDescent="0.25">
      <c r="A850" s="327">
        <v>3</v>
      </c>
      <c r="B850" s="2">
        <f t="shared" ref="B850:B853" si="943">B849</f>
        <v>0</v>
      </c>
      <c r="C850" s="2" t="str">
        <f t="shared" ref="C850:C853" si="944">C849</f>
        <v>Elite</v>
      </c>
      <c r="D850" s="2">
        <f t="shared" ref="D850:D853" si="945">D849</f>
        <v>0</v>
      </c>
      <c r="E850" s="2" t="str">
        <f t="shared" ref="E850:K853" si="946">E849</f>
        <v>W</v>
      </c>
      <c r="F850" s="2" t="str">
        <f t="shared" si="946"/>
        <v>Elite</v>
      </c>
      <c r="G850" s="2" t="str">
        <f t="shared" si="946"/>
        <v/>
      </c>
      <c r="H850" s="2" t="str">
        <f t="shared" si="946"/>
        <v/>
      </c>
      <c r="I850" s="2" t="str">
        <f t="shared" si="946"/>
        <v/>
      </c>
      <c r="J850" s="2" t="str">
        <f t="shared" si="946"/>
        <v/>
      </c>
      <c r="K850" s="2" t="str">
        <f t="shared" si="946"/>
        <v/>
      </c>
      <c r="L850" s="2" t="str">
        <f t="shared" si="942"/>
        <v/>
      </c>
      <c r="M850" s="180" t="str">
        <f t="shared" si="942"/>
        <v/>
      </c>
      <c r="N850" s="2" t="str">
        <f t="shared" si="942"/>
        <v/>
      </c>
      <c r="O850" s="2">
        <f t="shared" si="862"/>
        <v>0</v>
      </c>
    </row>
    <row r="851" spans="1:15" x14ac:dyDescent="0.25">
      <c r="A851" s="2">
        <v>4</v>
      </c>
      <c r="B851" s="2">
        <f t="shared" si="943"/>
        <v>0</v>
      </c>
      <c r="C851" s="2" t="str">
        <f t="shared" si="944"/>
        <v>Elite</v>
      </c>
      <c r="D851" s="2">
        <f t="shared" si="945"/>
        <v>0</v>
      </c>
      <c r="E851" s="2" t="str">
        <f t="shared" si="946"/>
        <v>W</v>
      </c>
      <c r="F851" s="2" t="str">
        <f t="shared" si="946"/>
        <v>Elite</v>
      </c>
      <c r="G851" s="2" t="str">
        <f t="shared" si="946"/>
        <v/>
      </c>
      <c r="H851" s="2" t="str">
        <f t="shared" si="946"/>
        <v/>
      </c>
      <c r="I851" s="2" t="str">
        <f t="shared" si="946"/>
        <v/>
      </c>
      <c r="J851" s="2" t="str">
        <f t="shared" si="946"/>
        <v/>
      </c>
      <c r="K851" s="2" t="str">
        <f t="shared" si="946"/>
        <v/>
      </c>
      <c r="L851" s="2" t="str">
        <f t="shared" si="942"/>
        <v/>
      </c>
      <c r="M851" s="180" t="str">
        <f t="shared" si="942"/>
        <v/>
      </c>
      <c r="N851" s="2" t="str">
        <f t="shared" si="942"/>
        <v/>
      </c>
      <c r="O851" s="2">
        <f t="shared" si="862"/>
        <v>0</v>
      </c>
    </row>
    <row r="852" spans="1:15" x14ac:dyDescent="0.25">
      <c r="A852" s="327">
        <v>5</v>
      </c>
      <c r="B852" s="2">
        <f t="shared" si="943"/>
        <v>0</v>
      </c>
      <c r="C852" s="2" t="str">
        <f t="shared" si="944"/>
        <v>Elite</v>
      </c>
      <c r="D852" s="2">
        <f t="shared" si="945"/>
        <v>0</v>
      </c>
      <c r="E852" s="2" t="str">
        <f t="shared" si="946"/>
        <v>W</v>
      </c>
      <c r="F852" s="2" t="str">
        <f t="shared" si="946"/>
        <v>Elite</v>
      </c>
      <c r="G852" s="2" t="str">
        <f t="shared" si="946"/>
        <v/>
      </c>
      <c r="H852" s="2" t="str">
        <f t="shared" si="946"/>
        <v/>
      </c>
      <c r="I852" s="2" t="str">
        <f t="shared" si="946"/>
        <v/>
      </c>
      <c r="J852" s="2" t="str">
        <f t="shared" si="946"/>
        <v/>
      </c>
      <c r="K852" s="2" t="str">
        <f t="shared" si="946"/>
        <v/>
      </c>
      <c r="L852" s="2" t="str">
        <f t="shared" si="942"/>
        <v/>
      </c>
      <c r="M852" s="180" t="str">
        <f t="shared" si="942"/>
        <v/>
      </c>
      <c r="N852" s="2" t="str">
        <f t="shared" si="942"/>
        <v/>
      </c>
      <c r="O852" s="2">
        <f t="shared" si="862"/>
        <v>0</v>
      </c>
    </row>
    <row r="853" spans="1:15" x14ac:dyDescent="0.25">
      <c r="A853" s="2">
        <v>6</v>
      </c>
      <c r="B853" s="2">
        <f t="shared" si="943"/>
        <v>0</v>
      </c>
      <c r="C853" s="2" t="str">
        <f t="shared" si="944"/>
        <v>Elite</v>
      </c>
      <c r="D853" s="2">
        <f t="shared" si="945"/>
        <v>0</v>
      </c>
      <c r="E853" s="2" t="str">
        <f t="shared" si="946"/>
        <v>W</v>
      </c>
      <c r="F853" s="2" t="str">
        <f t="shared" si="946"/>
        <v>Elite</v>
      </c>
      <c r="G853" s="2" t="str">
        <f t="shared" si="946"/>
        <v/>
      </c>
      <c r="H853" s="2" t="str">
        <f t="shared" si="946"/>
        <v/>
      </c>
      <c r="I853" s="2" t="str">
        <f t="shared" si="946"/>
        <v/>
      </c>
      <c r="J853" s="2" t="str">
        <f t="shared" si="946"/>
        <v/>
      </c>
      <c r="K853" s="2" t="str">
        <f t="shared" si="946"/>
        <v/>
      </c>
      <c r="L853" s="2" t="str">
        <f t="shared" si="942"/>
        <v/>
      </c>
      <c r="M853" s="180" t="str">
        <f t="shared" si="942"/>
        <v/>
      </c>
      <c r="N853" s="2" t="str">
        <f t="shared" si="942"/>
        <v/>
      </c>
      <c r="O853" s="2">
        <f t="shared" si="862"/>
        <v>0</v>
      </c>
    </row>
    <row r="854" spans="1:15" x14ac:dyDescent="0.25">
      <c r="A854" s="325">
        <v>1</v>
      </c>
      <c r="B854" s="325">
        <f>TrialNumber</f>
        <v>0</v>
      </c>
      <c r="C854" s="325" t="s">
        <v>2034</v>
      </c>
      <c r="D854" s="325">
        <f>Elite!C17</f>
        <v>0</v>
      </c>
      <c r="E854" s="325" t="str">
        <f>IF(Elite!B17="W","W","A")</f>
        <v>W</v>
      </c>
      <c r="F854" s="325" t="s">
        <v>2034</v>
      </c>
      <c r="G854" s="325" t="str">
        <f>IF(Elite!F17="e","Y","")</f>
        <v/>
      </c>
      <c r="H854" s="325" t="str">
        <f>IFERROR(VLOOKUP($D854,'SDDA Dogs'!$A:$AE,2,FALSE),"")</f>
        <v/>
      </c>
      <c r="I854" s="325" t="str">
        <f>IFERROR(VLOOKUP($D854,'SDDA Dogs'!$A:$AE,3,FALSE),"")</f>
        <v/>
      </c>
      <c r="J854" s="325" t="str">
        <f>IFERROR(VLOOKUP($D854,'SDDA Dogs'!$A:$AE,6,FALSE),"")</f>
        <v/>
      </c>
      <c r="K854" s="325" t="str">
        <f>IF(Elite!AR17="","",Elite!AR17)</f>
        <v/>
      </c>
      <c r="L854" s="325" t="str">
        <f>IF(Elite!AS17="","",Elite!AS17)</f>
        <v/>
      </c>
      <c r="M854" s="326" t="str">
        <f>TrialDate</f>
        <v/>
      </c>
      <c r="N854" s="325" t="str">
        <f t="shared" ref="N854" si="947">N849</f>
        <v/>
      </c>
      <c r="O854" s="325">
        <f t="shared" si="862"/>
        <v>0</v>
      </c>
    </row>
    <row r="855" spans="1:15" x14ac:dyDescent="0.25">
      <c r="A855" s="2">
        <v>2</v>
      </c>
      <c r="B855" s="2">
        <f>B854</f>
        <v>0</v>
      </c>
      <c r="C855" s="2" t="str">
        <f>C854</f>
        <v>Elite</v>
      </c>
      <c r="D855" s="2">
        <f>D854</f>
        <v>0</v>
      </c>
      <c r="E855" s="2" t="str">
        <f>E854</f>
        <v>W</v>
      </c>
      <c r="F855" s="2" t="str">
        <f t="shared" si="863"/>
        <v>Elite</v>
      </c>
      <c r="G855" s="2" t="str">
        <f t="shared" ref="G855:N859" si="948">G854</f>
        <v/>
      </c>
      <c r="H855" s="2" t="str">
        <f t="shared" si="948"/>
        <v/>
      </c>
      <c r="I855" s="2" t="str">
        <f t="shared" si="948"/>
        <v/>
      </c>
      <c r="J855" s="2" t="str">
        <f t="shared" si="948"/>
        <v/>
      </c>
      <c r="K855" s="2" t="str">
        <f t="shared" si="948"/>
        <v/>
      </c>
      <c r="L855" s="2" t="str">
        <f t="shared" ref="L855" si="949">L854</f>
        <v/>
      </c>
      <c r="M855" s="180" t="str">
        <f t="shared" si="948"/>
        <v/>
      </c>
      <c r="N855" s="2" t="str">
        <f t="shared" si="948"/>
        <v/>
      </c>
      <c r="O855" s="2">
        <f t="shared" si="862"/>
        <v>0</v>
      </c>
    </row>
    <row r="856" spans="1:15" x14ac:dyDescent="0.25">
      <c r="A856" s="327">
        <v>3</v>
      </c>
      <c r="B856" s="2">
        <f t="shared" ref="B856:B859" si="950">B855</f>
        <v>0</v>
      </c>
      <c r="C856" s="2" t="str">
        <f t="shared" ref="C856:C859" si="951">C855</f>
        <v>Elite</v>
      </c>
      <c r="D856" s="2">
        <f t="shared" ref="D856:D859" si="952">D855</f>
        <v>0</v>
      </c>
      <c r="E856" s="2" t="str">
        <f t="shared" ref="E856:E859" si="953">E855</f>
        <v>W</v>
      </c>
      <c r="F856" s="2" t="str">
        <f t="shared" si="863"/>
        <v>Elite</v>
      </c>
      <c r="G856" s="2" t="str">
        <f t="shared" si="948"/>
        <v/>
      </c>
      <c r="H856" s="2" t="str">
        <f t="shared" si="948"/>
        <v/>
      </c>
      <c r="I856" s="2" t="str">
        <f t="shared" si="948"/>
        <v/>
      </c>
      <c r="J856" s="2" t="str">
        <f t="shared" si="948"/>
        <v/>
      </c>
      <c r="K856" s="2" t="str">
        <f t="shared" si="948"/>
        <v/>
      </c>
      <c r="L856" s="2" t="str">
        <f t="shared" si="948"/>
        <v/>
      </c>
      <c r="M856" s="180" t="str">
        <f t="shared" si="948"/>
        <v/>
      </c>
      <c r="N856" s="2" t="str">
        <f t="shared" si="948"/>
        <v/>
      </c>
      <c r="O856" s="2">
        <f t="shared" si="862"/>
        <v>0</v>
      </c>
    </row>
    <row r="857" spans="1:15" x14ac:dyDescent="0.25">
      <c r="A857" s="2">
        <v>4</v>
      </c>
      <c r="B857" s="2">
        <f t="shared" si="950"/>
        <v>0</v>
      </c>
      <c r="C857" s="2" t="str">
        <f t="shared" si="951"/>
        <v>Elite</v>
      </c>
      <c r="D857" s="2">
        <f t="shared" si="952"/>
        <v>0</v>
      </c>
      <c r="E857" s="2" t="str">
        <f t="shared" si="953"/>
        <v>W</v>
      </c>
      <c r="F857" s="2" t="str">
        <f t="shared" si="863"/>
        <v>Elite</v>
      </c>
      <c r="G857" s="2" t="str">
        <f t="shared" si="948"/>
        <v/>
      </c>
      <c r="H857" s="2" t="str">
        <f t="shared" si="948"/>
        <v/>
      </c>
      <c r="I857" s="2" t="str">
        <f t="shared" si="948"/>
        <v/>
      </c>
      <c r="J857" s="2" t="str">
        <f t="shared" si="948"/>
        <v/>
      </c>
      <c r="K857" s="2" t="str">
        <f t="shared" si="948"/>
        <v/>
      </c>
      <c r="L857" s="2" t="str">
        <f t="shared" si="948"/>
        <v/>
      </c>
      <c r="M857" s="180" t="str">
        <f t="shared" si="948"/>
        <v/>
      </c>
      <c r="N857" s="2" t="str">
        <f t="shared" si="948"/>
        <v/>
      </c>
      <c r="O857" s="2">
        <f t="shared" si="862"/>
        <v>0</v>
      </c>
    </row>
    <row r="858" spans="1:15" x14ac:dyDescent="0.25">
      <c r="A858" s="327">
        <v>5</v>
      </c>
      <c r="B858" s="2">
        <f t="shared" si="950"/>
        <v>0</v>
      </c>
      <c r="C858" s="2" t="str">
        <f t="shared" si="951"/>
        <v>Elite</v>
      </c>
      <c r="D858" s="2">
        <f t="shared" si="952"/>
        <v>0</v>
      </c>
      <c r="E858" s="2" t="str">
        <f t="shared" si="953"/>
        <v>W</v>
      </c>
      <c r="F858" s="2" t="str">
        <f t="shared" si="863"/>
        <v>Elite</v>
      </c>
      <c r="G858" s="2" t="str">
        <f t="shared" si="948"/>
        <v/>
      </c>
      <c r="H858" s="2" t="str">
        <f t="shared" si="948"/>
        <v/>
      </c>
      <c r="I858" s="2" t="str">
        <f t="shared" si="948"/>
        <v/>
      </c>
      <c r="J858" s="2" t="str">
        <f t="shared" si="948"/>
        <v/>
      </c>
      <c r="K858" s="2" t="str">
        <f t="shared" si="948"/>
        <v/>
      </c>
      <c r="L858" s="2" t="str">
        <f t="shared" si="948"/>
        <v/>
      </c>
      <c r="M858" s="180" t="str">
        <f t="shared" si="948"/>
        <v/>
      </c>
      <c r="N858" s="2" t="str">
        <f t="shared" si="948"/>
        <v/>
      </c>
      <c r="O858" s="2">
        <f t="shared" si="862"/>
        <v>0</v>
      </c>
    </row>
    <row r="859" spans="1:15" x14ac:dyDescent="0.25">
      <c r="A859" s="2">
        <v>6</v>
      </c>
      <c r="B859" s="2">
        <f t="shared" si="950"/>
        <v>0</v>
      </c>
      <c r="C859" s="2" t="str">
        <f t="shared" si="951"/>
        <v>Elite</v>
      </c>
      <c r="D859" s="2">
        <f t="shared" si="952"/>
        <v>0</v>
      </c>
      <c r="E859" s="2" t="str">
        <f t="shared" si="953"/>
        <v>W</v>
      </c>
      <c r="F859" s="2" t="str">
        <f t="shared" si="863"/>
        <v>Elite</v>
      </c>
      <c r="G859" s="2" t="str">
        <f t="shared" si="948"/>
        <v/>
      </c>
      <c r="H859" s="2" t="str">
        <f t="shared" si="948"/>
        <v/>
      </c>
      <c r="I859" s="2" t="str">
        <f t="shared" si="948"/>
        <v/>
      </c>
      <c r="J859" s="2" t="str">
        <f t="shared" si="948"/>
        <v/>
      </c>
      <c r="K859" s="2" t="str">
        <f t="shared" si="948"/>
        <v/>
      </c>
      <c r="L859" s="2" t="str">
        <f t="shared" si="948"/>
        <v/>
      </c>
      <c r="M859" s="180" t="str">
        <f t="shared" si="948"/>
        <v/>
      </c>
      <c r="N859" s="2" t="str">
        <f t="shared" si="948"/>
        <v/>
      </c>
      <c r="O859" s="2">
        <f t="shared" si="862"/>
        <v>0</v>
      </c>
    </row>
    <row r="860" spans="1:15" x14ac:dyDescent="0.25">
      <c r="A860" s="325">
        <v>1</v>
      </c>
      <c r="B860" s="325">
        <f>TrialNumber</f>
        <v>0</v>
      </c>
      <c r="C860" s="325" t="s">
        <v>2034</v>
      </c>
      <c r="D860" s="325">
        <f>Elite!C18</f>
        <v>0</v>
      </c>
      <c r="E860" s="325" t="str">
        <f>IF(Elite!B18="W","W","A")</f>
        <v>W</v>
      </c>
      <c r="F860" s="325" t="s">
        <v>2034</v>
      </c>
      <c r="G860" s="325" t="str">
        <f>IF(Elite!F18="e","Y","")</f>
        <v/>
      </c>
      <c r="H860" s="325" t="str">
        <f>IFERROR(VLOOKUP($D860,'SDDA Dogs'!$A:$AE,2,FALSE),"")</f>
        <v/>
      </c>
      <c r="I860" s="325" t="str">
        <f>IFERROR(VLOOKUP($D860,'SDDA Dogs'!$A:$AE,3,FALSE),"")</f>
        <v/>
      </c>
      <c r="J860" s="325" t="str">
        <f>IFERROR(VLOOKUP($D860,'SDDA Dogs'!$A:$AE,6,FALSE),"")</f>
        <v/>
      </c>
      <c r="K860" s="325" t="str">
        <f>IF(Elite!AR18="","",Elite!AR18)</f>
        <v/>
      </c>
      <c r="L860" s="325" t="str">
        <f>IF(Elite!AS18="","",Elite!AS18)</f>
        <v/>
      </c>
      <c r="M860" s="326" t="str">
        <f>TrialDate</f>
        <v/>
      </c>
      <c r="N860" s="325" t="str">
        <f t="shared" ref="N860" si="954">N855</f>
        <v/>
      </c>
      <c r="O860" s="325">
        <f t="shared" si="862"/>
        <v>0</v>
      </c>
    </row>
    <row r="861" spans="1:15" x14ac:dyDescent="0.25">
      <c r="A861" s="2">
        <v>2</v>
      </c>
      <c r="B861" s="2">
        <f>B860</f>
        <v>0</v>
      </c>
      <c r="C861" s="2" t="str">
        <f>C860</f>
        <v>Elite</v>
      </c>
      <c r="D861" s="2">
        <f>D860</f>
        <v>0</v>
      </c>
      <c r="E861" s="2" t="str">
        <f>E860</f>
        <v>W</v>
      </c>
      <c r="F861" s="2" t="str">
        <f t="shared" si="863"/>
        <v>Elite</v>
      </c>
      <c r="G861" s="2" t="str">
        <f t="shared" ref="G861:N861" si="955">G860</f>
        <v/>
      </c>
      <c r="H861" s="2" t="str">
        <f t="shared" si="955"/>
        <v/>
      </c>
      <c r="I861" s="2" t="str">
        <f t="shared" si="955"/>
        <v/>
      </c>
      <c r="J861" s="2" t="str">
        <f t="shared" si="955"/>
        <v/>
      </c>
      <c r="K861" s="2" t="str">
        <f t="shared" si="955"/>
        <v/>
      </c>
      <c r="L861" s="2" t="str">
        <f t="shared" ref="L861" si="956">L860</f>
        <v/>
      </c>
      <c r="M861" s="180" t="str">
        <f t="shared" si="955"/>
        <v/>
      </c>
      <c r="N861" s="2" t="str">
        <f t="shared" si="955"/>
        <v/>
      </c>
      <c r="O861" s="2">
        <f t="shared" si="862"/>
        <v>0</v>
      </c>
    </row>
    <row r="862" spans="1:15" x14ac:dyDescent="0.25">
      <c r="A862" s="327">
        <v>3</v>
      </c>
      <c r="B862" s="2">
        <f t="shared" ref="B862:B865" si="957">B861</f>
        <v>0</v>
      </c>
      <c r="C862" s="2" t="str">
        <f t="shared" ref="C862:C865" si="958">C861</f>
        <v>Elite</v>
      </c>
      <c r="D862" s="2">
        <f t="shared" ref="D862:D865" si="959">D861</f>
        <v>0</v>
      </c>
      <c r="E862" s="2" t="str">
        <f t="shared" ref="E862:N865" si="960">E861</f>
        <v>W</v>
      </c>
      <c r="F862" s="2" t="str">
        <f t="shared" si="960"/>
        <v>Elite</v>
      </c>
      <c r="G862" s="2" t="str">
        <f t="shared" si="960"/>
        <v/>
      </c>
      <c r="H862" s="2" t="str">
        <f t="shared" si="960"/>
        <v/>
      </c>
      <c r="I862" s="2" t="str">
        <f t="shared" si="960"/>
        <v/>
      </c>
      <c r="J862" s="2" t="str">
        <f t="shared" si="960"/>
        <v/>
      </c>
      <c r="K862" s="2" t="str">
        <f t="shared" si="960"/>
        <v/>
      </c>
      <c r="L862" s="2" t="str">
        <f t="shared" si="960"/>
        <v/>
      </c>
      <c r="M862" s="180" t="str">
        <f t="shared" si="960"/>
        <v/>
      </c>
      <c r="N862" s="2" t="str">
        <f t="shared" si="960"/>
        <v/>
      </c>
      <c r="O862" s="2">
        <f t="shared" si="862"/>
        <v>0</v>
      </c>
    </row>
    <row r="863" spans="1:15" x14ac:dyDescent="0.25">
      <c r="A863" s="2">
        <v>4</v>
      </c>
      <c r="B863" s="2">
        <f t="shared" si="957"/>
        <v>0</v>
      </c>
      <c r="C863" s="2" t="str">
        <f t="shared" si="958"/>
        <v>Elite</v>
      </c>
      <c r="D863" s="2">
        <f t="shared" si="959"/>
        <v>0</v>
      </c>
      <c r="E863" s="2" t="str">
        <f t="shared" si="960"/>
        <v>W</v>
      </c>
      <c r="F863" s="2" t="str">
        <f t="shared" si="960"/>
        <v>Elite</v>
      </c>
      <c r="G863" s="2" t="str">
        <f t="shared" si="960"/>
        <v/>
      </c>
      <c r="H863" s="2" t="str">
        <f t="shared" si="960"/>
        <v/>
      </c>
      <c r="I863" s="2" t="str">
        <f t="shared" si="960"/>
        <v/>
      </c>
      <c r="J863" s="2" t="str">
        <f t="shared" si="960"/>
        <v/>
      </c>
      <c r="K863" s="2" t="str">
        <f t="shared" si="960"/>
        <v/>
      </c>
      <c r="L863" s="2" t="str">
        <f t="shared" si="960"/>
        <v/>
      </c>
      <c r="M863" s="180" t="str">
        <f t="shared" si="960"/>
        <v/>
      </c>
      <c r="N863" s="2" t="str">
        <f t="shared" si="960"/>
        <v/>
      </c>
      <c r="O863" s="2">
        <f t="shared" si="862"/>
        <v>0</v>
      </c>
    </row>
    <row r="864" spans="1:15" x14ac:dyDescent="0.25">
      <c r="A864" s="327">
        <v>5</v>
      </c>
      <c r="B864" s="2">
        <f t="shared" si="957"/>
        <v>0</v>
      </c>
      <c r="C864" s="2" t="str">
        <f t="shared" si="958"/>
        <v>Elite</v>
      </c>
      <c r="D864" s="2">
        <f t="shared" si="959"/>
        <v>0</v>
      </c>
      <c r="E864" s="2" t="str">
        <f t="shared" si="960"/>
        <v>W</v>
      </c>
      <c r="F864" s="2" t="str">
        <f t="shared" si="960"/>
        <v>Elite</v>
      </c>
      <c r="G864" s="2" t="str">
        <f t="shared" si="960"/>
        <v/>
      </c>
      <c r="H864" s="2" t="str">
        <f t="shared" si="960"/>
        <v/>
      </c>
      <c r="I864" s="2" t="str">
        <f t="shared" si="960"/>
        <v/>
      </c>
      <c r="J864" s="2" t="str">
        <f t="shared" si="960"/>
        <v/>
      </c>
      <c r="K864" s="2" t="str">
        <f t="shared" si="960"/>
        <v/>
      </c>
      <c r="L864" s="2" t="str">
        <f t="shared" si="960"/>
        <v/>
      </c>
      <c r="M864" s="180" t="str">
        <f t="shared" si="960"/>
        <v/>
      </c>
      <c r="N864" s="2" t="str">
        <f t="shared" si="960"/>
        <v/>
      </c>
      <c r="O864" s="2">
        <f t="shared" si="862"/>
        <v>0</v>
      </c>
    </row>
    <row r="865" spans="1:15" x14ac:dyDescent="0.25">
      <c r="A865" s="2">
        <v>6</v>
      </c>
      <c r="B865" s="2">
        <f t="shared" si="957"/>
        <v>0</v>
      </c>
      <c r="C865" s="2" t="str">
        <f t="shared" si="958"/>
        <v>Elite</v>
      </c>
      <c r="D865" s="2">
        <f t="shared" si="959"/>
        <v>0</v>
      </c>
      <c r="E865" s="2" t="str">
        <f t="shared" si="960"/>
        <v>W</v>
      </c>
      <c r="F865" s="2" t="str">
        <f t="shared" si="960"/>
        <v>Elite</v>
      </c>
      <c r="G865" s="2" t="str">
        <f t="shared" si="960"/>
        <v/>
      </c>
      <c r="H865" s="2" t="str">
        <f t="shared" si="960"/>
        <v/>
      </c>
      <c r="I865" s="2" t="str">
        <f t="shared" si="960"/>
        <v/>
      </c>
      <c r="J865" s="2" t="str">
        <f t="shared" si="960"/>
        <v/>
      </c>
      <c r="K865" s="2" t="str">
        <f t="shared" si="960"/>
        <v/>
      </c>
      <c r="L865" s="2" t="str">
        <f t="shared" si="960"/>
        <v/>
      </c>
      <c r="M865" s="180" t="str">
        <f t="shared" si="960"/>
        <v/>
      </c>
      <c r="N865" s="2" t="str">
        <f t="shared" si="960"/>
        <v/>
      </c>
      <c r="O865" s="2">
        <f t="shared" si="862"/>
        <v>0</v>
      </c>
    </row>
    <row r="866" spans="1:15" x14ac:dyDescent="0.25">
      <c r="A866" s="325">
        <v>1</v>
      </c>
      <c r="B866" s="325">
        <f>TrialNumber</f>
        <v>0</v>
      </c>
      <c r="C866" s="325" t="s">
        <v>2034</v>
      </c>
      <c r="D866" s="325">
        <f>Elite!C19</f>
        <v>0</v>
      </c>
      <c r="E866" s="325" t="str">
        <f>IF(Elite!B19="W","W","A")</f>
        <v>W</v>
      </c>
      <c r="F866" s="325" t="s">
        <v>2034</v>
      </c>
      <c r="G866" s="325" t="str">
        <f>IF(Elite!F19="e","Y","")</f>
        <v/>
      </c>
      <c r="H866" s="325" t="str">
        <f>IFERROR(VLOOKUP($D866,'SDDA Dogs'!$A:$AE,2,FALSE),"")</f>
        <v/>
      </c>
      <c r="I866" s="325" t="str">
        <f>IFERROR(VLOOKUP($D866,'SDDA Dogs'!$A:$AE,3,FALSE),"")</f>
        <v/>
      </c>
      <c r="J866" s="325" t="str">
        <f>IFERROR(VLOOKUP($D866,'SDDA Dogs'!$A:$AE,6,FALSE),"")</f>
        <v/>
      </c>
      <c r="K866" s="325" t="str">
        <f>IF(Elite!AR19="","",Elite!AR19)</f>
        <v/>
      </c>
      <c r="L866" s="325" t="str">
        <f>IF(Elite!AS19="","",Elite!AS19)</f>
        <v/>
      </c>
      <c r="M866" s="326" t="str">
        <f>TrialDate</f>
        <v/>
      </c>
      <c r="N866" s="325" t="str">
        <f t="shared" ref="N866" si="961">N861</f>
        <v/>
      </c>
      <c r="O866" s="325">
        <f t="shared" si="862"/>
        <v>0</v>
      </c>
    </row>
    <row r="867" spans="1:15" x14ac:dyDescent="0.25">
      <c r="A867" s="2">
        <v>2</v>
      </c>
      <c r="B867" s="2">
        <f>B866</f>
        <v>0</v>
      </c>
      <c r="C867" s="2" t="str">
        <f>C866</f>
        <v>Elite</v>
      </c>
      <c r="D867" s="2">
        <f>D866</f>
        <v>0</v>
      </c>
      <c r="E867" s="2" t="str">
        <f>E866</f>
        <v>W</v>
      </c>
      <c r="F867" s="2" t="str">
        <f t="shared" si="863"/>
        <v>Elite</v>
      </c>
      <c r="G867" s="2" t="str">
        <f t="shared" ref="G867:N871" si="962">G866</f>
        <v/>
      </c>
      <c r="H867" s="2" t="str">
        <f t="shared" si="962"/>
        <v/>
      </c>
      <c r="I867" s="2" t="str">
        <f t="shared" si="962"/>
        <v/>
      </c>
      <c r="J867" s="2" t="str">
        <f t="shared" si="962"/>
        <v/>
      </c>
      <c r="K867" s="2" t="str">
        <f t="shared" si="962"/>
        <v/>
      </c>
      <c r="L867" s="2" t="str">
        <f t="shared" ref="L867:L871" si="963">L866</f>
        <v/>
      </c>
      <c r="M867" s="180" t="str">
        <f t="shared" si="962"/>
        <v/>
      </c>
      <c r="N867" s="2" t="str">
        <f t="shared" si="962"/>
        <v/>
      </c>
      <c r="O867" s="2">
        <f t="shared" si="862"/>
        <v>0</v>
      </c>
    </row>
    <row r="868" spans="1:15" x14ac:dyDescent="0.25">
      <c r="A868" s="327">
        <v>3</v>
      </c>
      <c r="B868" s="2">
        <f t="shared" ref="B868:B871" si="964">B867</f>
        <v>0</v>
      </c>
      <c r="C868" s="2" t="str">
        <f t="shared" ref="C868:C871" si="965">C867</f>
        <v>Elite</v>
      </c>
      <c r="D868" s="2">
        <f t="shared" ref="D868:D871" si="966">D867</f>
        <v>0</v>
      </c>
      <c r="E868" s="2" t="str">
        <f t="shared" ref="E868:E871" si="967">E867</f>
        <v>W</v>
      </c>
      <c r="F868" s="2" t="str">
        <f t="shared" si="863"/>
        <v>Elite</v>
      </c>
      <c r="G868" s="2" t="str">
        <f t="shared" si="962"/>
        <v/>
      </c>
      <c r="H868" s="2" t="str">
        <f t="shared" si="962"/>
        <v/>
      </c>
      <c r="I868" s="2" t="str">
        <f t="shared" si="962"/>
        <v/>
      </c>
      <c r="J868" s="2" t="str">
        <f t="shared" si="962"/>
        <v/>
      </c>
      <c r="K868" s="2" t="str">
        <f t="shared" si="962"/>
        <v/>
      </c>
      <c r="L868" s="2" t="str">
        <f t="shared" si="963"/>
        <v/>
      </c>
      <c r="M868" s="180" t="str">
        <f t="shared" si="962"/>
        <v/>
      </c>
      <c r="N868" s="2" t="str">
        <f t="shared" si="962"/>
        <v/>
      </c>
      <c r="O868" s="2">
        <f t="shared" si="862"/>
        <v>0</v>
      </c>
    </row>
    <row r="869" spans="1:15" x14ac:dyDescent="0.25">
      <c r="A869" s="2">
        <v>4</v>
      </c>
      <c r="B869" s="2">
        <f t="shared" si="964"/>
        <v>0</v>
      </c>
      <c r="C869" s="2" t="str">
        <f t="shared" si="965"/>
        <v>Elite</v>
      </c>
      <c r="D869" s="2">
        <f t="shared" si="966"/>
        <v>0</v>
      </c>
      <c r="E869" s="2" t="str">
        <f t="shared" si="967"/>
        <v>W</v>
      </c>
      <c r="F869" s="2" t="str">
        <f t="shared" si="863"/>
        <v>Elite</v>
      </c>
      <c r="G869" s="2" t="str">
        <f t="shared" si="962"/>
        <v/>
      </c>
      <c r="H869" s="2" t="str">
        <f t="shared" si="962"/>
        <v/>
      </c>
      <c r="I869" s="2" t="str">
        <f t="shared" si="962"/>
        <v/>
      </c>
      <c r="J869" s="2" t="str">
        <f t="shared" si="962"/>
        <v/>
      </c>
      <c r="K869" s="2" t="str">
        <f t="shared" si="962"/>
        <v/>
      </c>
      <c r="L869" s="2" t="str">
        <f t="shared" si="963"/>
        <v/>
      </c>
      <c r="M869" s="180" t="str">
        <f t="shared" si="962"/>
        <v/>
      </c>
      <c r="N869" s="2" t="str">
        <f t="shared" si="962"/>
        <v/>
      </c>
      <c r="O869" s="2">
        <f t="shared" si="862"/>
        <v>0</v>
      </c>
    </row>
    <row r="870" spans="1:15" x14ac:dyDescent="0.25">
      <c r="A870" s="327">
        <v>5</v>
      </c>
      <c r="B870" s="2">
        <f t="shared" si="964"/>
        <v>0</v>
      </c>
      <c r="C870" s="2" t="str">
        <f t="shared" si="965"/>
        <v>Elite</v>
      </c>
      <c r="D870" s="2">
        <f t="shared" si="966"/>
        <v>0</v>
      </c>
      <c r="E870" s="2" t="str">
        <f t="shared" si="967"/>
        <v>W</v>
      </c>
      <c r="F870" s="2" t="str">
        <f t="shared" si="863"/>
        <v>Elite</v>
      </c>
      <c r="G870" s="2" t="str">
        <f t="shared" si="962"/>
        <v/>
      </c>
      <c r="H870" s="2" t="str">
        <f t="shared" si="962"/>
        <v/>
      </c>
      <c r="I870" s="2" t="str">
        <f t="shared" si="962"/>
        <v/>
      </c>
      <c r="J870" s="2" t="str">
        <f t="shared" si="962"/>
        <v/>
      </c>
      <c r="K870" s="2" t="str">
        <f t="shared" si="962"/>
        <v/>
      </c>
      <c r="L870" s="2" t="str">
        <f t="shared" si="963"/>
        <v/>
      </c>
      <c r="M870" s="180" t="str">
        <f t="shared" si="962"/>
        <v/>
      </c>
      <c r="N870" s="2" t="str">
        <f t="shared" si="962"/>
        <v/>
      </c>
      <c r="O870" s="2">
        <f t="shared" si="862"/>
        <v>0</v>
      </c>
    </row>
    <row r="871" spans="1:15" x14ac:dyDescent="0.25">
      <c r="A871" s="2">
        <v>6</v>
      </c>
      <c r="B871" s="2">
        <f t="shared" si="964"/>
        <v>0</v>
      </c>
      <c r="C871" s="2" t="str">
        <f t="shared" si="965"/>
        <v>Elite</v>
      </c>
      <c r="D871" s="2">
        <f t="shared" si="966"/>
        <v>0</v>
      </c>
      <c r="E871" s="2" t="str">
        <f t="shared" si="967"/>
        <v>W</v>
      </c>
      <c r="F871" s="2" t="str">
        <f t="shared" si="863"/>
        <v>Elite</v>
      </c>
      <c r="G871" s="2" t="str">
        <f t="shared" si="962"/>
        <v/>
      </c>
      <c r="H871" s="2" t="str">
        <f t="shared" si="962"/>
        <v/>
      </c>
      <c r="I871" s="2" t="str">
        <f t="shared" si="962"/>
        <v/>
      </c>
      <c r="J871" s="2" t="str">
        <f t="shared" si="962"/>
        <v/>
      </c>
      <c r="K871" s="2" t="str">
        <f t="shared" si="962"/>
        <v/>
      </c>
      <c r="L871" s="2" t="str">
        <f t="shared" si="963"/>
        <v/>
      </c>
      <c r="M871" s="180" t="str">
        <f t="shared" si="962"/>
        <v/>
      </c>
      <c r="N871" s="2" t="str">
        <f t="shared" si="962"/>
        <v/>
      </c>
      <c r="O871" s="2">
        <f t="shared" si="862"/>
        <v>0</v>
      </c>
    </row>
    <row r="872" spans="1:15" x14ac:dyDescent="0.25">
      <c r="A872" s="325">
        <v>1</v>
      </c>
      <c r="B872" s="325">
        <f>TrialNumber</f>
        <v>0</v>
      </c>
      <c r="C872" s="325" t="s">
        <v>2034</v>
      </c>
      <c r="D872" s="325">
        <f>Elite!C20</f>
        <v>0</v>
      </c>
      <c r="E872" s="325" t="str">
        <f>IF(Elite!B20="W","W","A")</f>
        <v>W</v>
      </c>
      <c r="F872" s="325" t="s">
        <v>2034</v>
      </c>
      <c r="G872" s="325" t="str">
        <f>IF(Elite!F20="e","Y","")</f>
        <v/>
      </c>
      <c r="H872" s="325" t="str">
        <f>IFERROR(VLOOKUP($D872,'SDDA Dogs'!$A:$AE,2,FALSE),"")</f>
        <v/>
      </c>
      <c r="I872" s="325" t="str">
        <f>IFERROR(VLOOKUP($D872,'SDDA Dogs'!$A:$AE,3,FALSE),"")</f>
        <v/>
      </c>
      <c r="J872" s="325" t="str">
        <f>IFERROR(VLOOKUP($D872,'SDDA Dogs'!$A:$AE,6,FALSE),"")</f>
        <v/>
      </c>
      <c r="K872" s="325" t="str">
        <f>IF(Elite!AR20="","",Elite!AR20)</f>
        <v/>
      </c>
      <c r="L872" s="325" t="str">
        <f>IF(Elite!AS20="","",Elite!AS20)</f>
        <v/>
      </c>
      <c r="M872" s="326" t="str">
        <f>TrialDate</f>
        <v/>
      </c>
      <c r="N872" s="325" t="str">
        <f t="shared" ref="N872" si="968">N867</f>
        <v/>
      </c>
      <c r="O872" s="325">
        <f t="shared" si="862"/>
        <v>0</v>
      </c>
    </row>
    <row r="873" spans="1:15" x14ac:dyDescent="0.25">
      <c r="A873" s="2">
        <v>2</v>
      </c>
      <c r="B873" s="2">
        <f>B872</f>
        <v>0</v>
      </c>
      <c r="C873" s="2" t="str">
        <f>C872</f>
        <v>Elite</v>
      </c>
      <c r="D873" s="2">
        <f>D872</f>
        <v>0</v>
      </c>
      <c r="E873" s="2" t="str">
        <f>E872</f>
        <v>W</v>
      </c>
      <c r="F873" s="2" t="str">
        <f t="shared" si="863"/>
        <v>Elite</v>
      </c>
      <c r="G873" s="2" t="str">
        <f t="shared" ref="G873:N873" si="969">G872</f>
        <v/>
      </c>
      <c r="H873" s="2" t="str">
        <f t="shared" si="969"/>
        <v/>
      </c>
      <c r="I873" s="2" t="str">
        <f t="shared" si="969"/>
        <v/>
      </c>
      <c r="J873" s="2" t="str">
        <f t="shared" si="969"/>
        <v/>
      </c>
      <c r="K873" s="2" t="str">
        <f t="shared" si="969"/>
        <v/>
      </c>
      <c r="L873" s="2" t="str">
        <f t="shared" ref="L873:N877" si="970">L872</f>
        <v/>
      </c>
      <c r="M873" s="180" t="str">
        <f t="shared" si="969"/>
        <v/>
      </c>
      <c r="N873" s="2" t="str">
        <f t="shared" si="969"/>
        <v/>
      </c>
      <c r="O873" s="2">
        <f t="shared" si="862"/>
        <v>0</v>
      </c>
    </row>
    <row r="874" spans="1:15" x14ac:dyDescent="0.25">
      <c r="A874" s="327">
        <v>3</v>
      </c>
      <c r="B874" s="2">
        <f t="shared" ref="B874:B877" si="971">B873</f>
        <v>0</v>
      </c>
      <c r="C874" s="2" t="str">
        <f t="shared" ref="C874:C877" si="972">C873</f>
        <v>Elite</v>
      </c>
      <c r="D874" s="2">
        <f t="shared" ref="D874:D877" si="973">D873</f>
        <v>0</v>
      </c>
      <c r="E874" s="2" t="str">
        <f t="shared" ref="E874:K877" si="974">E873</f>
        <v>W</v>
      </c>
      <c r="F874" s="2" t="str">
        <f t="shared" si="974"/>
        <v>Elite</v>
      </c>
      <c r="G874" s="2" t="str">
        <f t="shared" si="974"/>
        <v/>
      </c>
      <c r="H874" s="2" t="str">
        <f t="shared" si="974"/>
        <v/>
      </c>
      <c r="I874" s="2" t="str">
        <f t="shared" si="974"/>
        <v/>
      </c>
      <c r="J874" s="2" t="str">
        <f t="shared" si="974"/>
        <v/>
      </c>
      <c r="K874" s="2" t="str">
        <f t="shared" si="974"/>
        <v/>
      </c>
      <c r="L874" s="2" t="str">
        <f t="shared" si="970"/>
        <v/>
      </c>
      <c r="M874" s="180" t="str">
        <f t="shared" si="970"/>
        <v/>
      </c>
      <c r="N874" s="2" t="str">
        <f t="shared" si="970"/>
        <v/>
      </c>
      <c r="O874" s="2">
        <f t="shared" si="862"/>
        <v>0</v>
      </c>
    </row>
    <row r="875" spans="1:15" x14ac:dyDescent="0.25">
      <c r="A875" s="2">
        <v>4</v>
      </c>
      <c r="B875" s="2">
        <f t="shared" si="971"/>
        <v>0</v>
      </c>
      <c r="C875" s="2" t="str">
        <f t="shared" si="972"/>
        <v>Elite</v>
      </c>
      <c r="D875" s="2">
        <f t="shared" si="973"/>
        <v>0</v>
      </c>
      <c r="E875" s="2" t="str">
        <f t="shared" si="974"/>
        <v>W</v>
      </c>
      <c r="F875" s="2" t="str">
        <f t="shared" si="974"/>
        <v>Elite</v>
      </c>
      <c r="G875" s="2" t="str">
        <f t="shared" si="974"/>
        <v/>
      </c>
      <c r="H875" s="2" t="str">
        <f t="shared" si="974"/>
        <v/>
      </c>
      <c r="I875" s="2" t="str">
        <f t="shared" si="974"/>
        <v/>
      </c>
      <c r="J875" s="2" t="str">
        <f t="shared" si="974"/>
        <v/>
      </c>
      <c r="K875" s="2" t="str">
        <f t="shared" si="974"/>
        <v/>
      </c>
      <c r="L875" s="2" t="str">
        <f t="shared" si="970"/>
        <v/>
      </c>
      <c r="M875" s="180" t="str">
        <f t="shared" si="970"/>
        <v/>
      </c>
      <c r="N875" s="2" t="str">
        <f t="shared" si="970"/>
        <v/>
      </c>
      <c r="O875" s="2">
        <f t="shared" ref="O875:O877" si="975">IF(JudgeD1CSL = JudgeD1ISL, IF(JudgeD1ESL = JudgeD1CSL, JudgeD1CSL, "Multiple Judges"),"Multiple Judges")</f>
        <v>0</v>
      </c>
    </row>
    <row r="876" spans="1:15" x14ac:dyDescent="0.25">
      <c r="A876" s="327">
        <v>5</v>
      </c>
      <c r="B876" s="2">
        <f t="shared" si="971"/>
        <v>0</v>
      </c>
      <c r="C876" s="2" t="str">
        <f t="shared" si="972"/>
        <v>Elite</v>
      </c>
      <c r="D876" s="2">
        <f t="shared" si="973"/>
        <v>0</v>
      </c>
      <c r="E876" s="2" t="str">
        <f t="shared" si="974"/>
        <v>W</v>
      </c>
      <c r="F876" s="2" t="str">
        <f t="shared" si="974"/>
        <v>Elite</v>
      </c>
      <c r="G876" s="2" t="str">
        <f t="shared" si="974"/>
        <v/>
      </c>
      <c r="H876" s="2" t="str">
        <f t="shared" si="974"/>
        <v/>
      </c>
      <c r="I876" s="2" t="str">
        <f t="shared" si="974"/>
        <v/>
      </c>
      <c r="J876" s="2" t="str">
        <f t="shared" si="974"/>
        <v/>
      </c>
      <c r="K876" s="2" t="str">
        <f t="shared" si="974"/>
        <v/>
      </c>
      <c r="L876" s="2" t="str">
        <f t="shared" si="970"/>
        <v/>
      </c>
      <c r="M876" s="180" t="str">
        <f t="shared" si="970"/>
        <v/>
      </c>
      <c r="N876" s="2" t="str">
        <f t="shared" si="970"/>
        <v/>
      </c>
      <c r="O876" s="2">
        <f t="shared" si="975"/>
        <v>0</v>
      </c>
    </row>
    <row r="877" spans="1:15" x14ac:dyDescent="0.25">
      <c r="A877" s="2">
        <v>6</v>
      </c>
      <c r="B877" s="2">
        <f t="shared" si="971"/>
        <v>0</v>
      </c>
      <c r="C877" s="2" t="str">
        <f t="shared" si="972"/>
        <v>Elite</v>
      </c>
      <c r="D877" s="2">
        <f t="shared" si="973"/>
        <v>0</v>
      </c>
      <c r="E877" s="2" t="str">
        <f t="shared" si="974"/>
        <v>W</v>
      </c>
      <c r="F877" s="2" t="str">
        <f t="shared" si="974"/>
        <v>Elite</v>
      </c>
      <c r="G877" s="2" t="str">
        <f t="shared" si="974"/>
        <v/>
      </c>
      <c r="H877" s="2" t="str">
        <f t="shared" si="974"/>
        <v/>
      </c>
      <c r="I877" s="2" t="str">
        <f t="shared" si="974"/>
        <v/>
      </c>
      <c r="J877" s="2" t="str">
        <f t="shared" si="974"/>
        <v/>
      </c>
      <c r="K877" s="2" t="str">
        <f t="shared" si="974"/>
        <v/>
      </c>
      <c r="L877" s="2" t="str">
        <f t="shared" si="970"/>
        <v/>
      </c>
      <c r="M877" s="180" t="str">
        <f t="shared" si="970"/>
        <v/>
      </c>
      <c r="N877" s="2" t="str">
        <f t="shared" si="970"/>
        <v/>
      </c>
      <c r="O877" s="2">
        <f t="shared" si="975"/>
        <v>0</v>
      </c>
    </row>
    <row r="878" spans="1:15" x14ac:dyDescent="0.25">
      <c r="A878" s="325">
        <v>1</v>
      </c>
      <c r="B878" s="325">
        <f>TrialNumber</f>
        <v>0</v>
      </c>
      <c r="C878" s="325" t="s">
        <v>2034</v>
      </c>
      <c r="D878" s="325">
        <f>Elite!C21</f>
        <v>0</v>
      </c>
      <c r="E878" s="325" t="str">
        <f>IF(Elite!B21="W","W","A")</f>
        <v>W</v>
      </c>
      <c r="F878" s="325" t="s">
        <v>2034</v>
      </c>
      <c r="G878" s="325" t="str">
        <f>IF(Elite!F21="e","Y","")</f>
        <v/>
      </c>
      <c r="H878" s="325" t="str">
        <f>IFERROR(VLOOKUP($D878,'SDDA Dogs'!$A:$AE,2,FALSE),"")</f>
        <v/>
      </c>
      <c r="I878" s="325" t="str">
        <f>IFERROR(VLOOKUP($D878,'SDDA Dogs'!$A:$AE,3,FALSE),"")</f>
        <v/>
      </c>
      <c r="J878" s="325" t="str">
        <f>IFERROR(VLOOKUP($D878,'SDDA Dogs'!$A:$AE,6,FALSE),"")</f>
        <v/>
      </c>
      <c r="K878" s="325" t="str">
        <f>IF(Elite!AR21="","",Elite!AR21)</f>
        <v/>
      </c>
      <c r="L878" s="325" t="str">
        <f>IF(Elite!AS21="","",Elite!AS21)</f>
        <v/>
      </c>
      <c r="M878" s="326" t="str">
        <f>TrialDate</f>
        <v/>
      </c>
      <c r="N878" s="325" t="str">
        <f t="shared" ref="N878" si="976">N873</f>
        <v/>
      </c>
      <c r="O878" s="325">
        <f t="shared" ref="O878:O958" si="977">IF(JudgeD1CSL = JudgeD1ISL, IF(JudgeD1ESL = JudgeD1CSL, JudgeD1CSL, "Multiple Judges"),"Multiple Judges")</f>
        <v>0</v>
      </c>
    </row>
    <row r="879" spans="1:15" x14ac:dyDescent="0.25">
      <c r="A879" s="2">
        <v>2</v>
      </c>
      <c r="B879" s="2">
        <f>B878</f>
        <v>0</v>
      </c>
      <c r="C879" s="2" t="str">
        <f>C878</f>
        <v>Elite</v>
      </c>
      <c r="D879" s="2">
        <f>D878</f>
        <v>0</v>
      </c>
      <c r="E879" s="2" t="str">
        <f>E878</f>
        <v>W</v>
      </c>
      <c r="F879" s="2" t="str">
        <f t="shared" si="863"/>
        <v>Elite</v>
      </c>
      <c r="G879" s="2" t="str">
        <f t="shared" ref="G879:N883" si="978">G878</f>
        <v/>
      </c>
      <c r="H879" s="2" t="str">
        <f t="shared" si="978"/>
        <v/>
      </c>
      <c r="I879" s="2" t="str">
        <f t="shared" si="978"/>
        <v/>
      </c>
      <c r="J879" s="2" t="str">
        <f t="shared" si="978"/>
        <v/>
      </c>
      <c r="K879" s="2" t="str">
        <f t="shared" si="978"/>
        <v/>
      </c>
      <c r="L879" s="2" t="str">
        <f t="shared" ref="L879" si="979">L878</f>
        <v/>
      </c>
      <c r="M879" s="180" t="str">
        <f t="shared" si="978"/>
        <v/>
      </c>
      <c r="N879" s="2" t="str">
        <f t="shared" si="978"/>
        <v/>
      </c>
      <c r="O879" s="2">
        <f t="shared" si="977"/>
        <v>0</v>
      </c>
    </row>
    <row r="880" spans="1:15" x14ac:dyDescent="0.25">
      <c r="A880" s="327">
        <v>3</v>
      </c>
      <c r="B880" s="2">
        <f t="shared" ref="B880:B883" si="980">B879</f>
        <v>0</v>
      </c>
      <c r="C880" s="2" t="str">
        <f t="shared" ref="C880:C883" si="981">C879</f>
        <v>Elite</v>
      </c>
      <c r="D880" s="2">
        <f t="shared" ref="D880:D883" si="982">D879</f>
        <v>0</v>
      </c>
      <c r="E880" s="2" t="str">
        <f t="shared" ref="E880:E883" si="983">E879</f>
        <v>W</v>
      </c>
      <c r="F880" s="2" t="str">
        <f t="shared" si="863"/>
        <v>Elite</v>
      </c>
      <c r="G880" s="2" t="str">
        <f t="shared" si="978"/>
        <v/>
      </c>
      <c r="H880" s="2" t="str">
        <f t="shared" si="978"/>
        <v/>
      </c>
      <c r="I880" s="2" t="str">
        <f t="shared" si="978"/>
        <v/>
      </c>
      <c r="J880" s="2" t="str">
        <f t="shared" si="978"/>
        <v/>
      </c>
      <c r="K880" s="2" t="str">
        <f t="shared" si="978"/>
        <v/>
      </c>
      <c r="L880" s="2" t="str">
        <f t="shared" si="978"/>
        <v/>
      </c>
      <c r="M880" s="180" t="str">
        <f t="shared" si="978"/>
        <v/>
      </c>
      <c r="N880" s="2" t="str">
        <f t="shared" si="978"/>
        <v/>
      </c>
      <c r="O880" s="2">
        <f t="shared" si="977"/>
        <v>0</v>
      </c>
    </row>
    <row r="881" spans="1:15" x14ac:dyDescent="0.25">
      <c r="A881" s="2">
        <v>4</v>
      </c>
      <c r="B881" s="2">
        <f t="shared" si="980"/>
        <v>0</v>
      </c>
      <c r="C881" s="2" t="str">
        <f t="shared" si="981"/>
        <v>Elite</v>
      </c>
      <c r="D881" s="2">
        <f t="shared" si="982"/>
        <v>0</v>
      </c>
      <c r="E881" s="2" t="str">
        <f t="shared" si="983"/>
        <v>W</v>
      </c>
      <c r="F881" s="2" t="str">
        <f t="shared" si="863"/>
        <v>Elite</v>
      </c>
      <c r="G881" s="2" t="str">
        <f t="shared" si="978"/>
        <v/>
      </c>
      <c r="H881" s="2" t="str">
        <f t="shared" si="978"/>
        <v/>
      </c>
      <c r="I881" s="2" t="str">
        <f t="shared" si="978"/>
        <v/>
      </c>
      <c r="J881" s="2" t="str">
        <f t="shared" si="978"/>
        <v/>
      </c>
      <c r="K881" s="2" t="str">
        <f t="shared" si="978"/>
        <v/>
      </c>
      <c r="L881" s="2" t="str">
        <f t="shared" si="978"/>
        <v/>
      </c>
      <c r="M881" s="180" t="str">
        <f t="shared" si="978"/>
        <v/>
      </c>
      <c r="N881" s="2" t="str">
        <f t="shared" si="978"/>
        <v/>
      </c>
      <c r="O881" s="2">
        <f t="shared" si="977"/>
        <v>0</v>
      </c>
    </row>
    <row r="882" spans="1:15" x14ac:dyDescent="0.25">
      <c r="A882" s="327">
        <v>5</v>
      </c>
      <c r="B882" s="2">
        <f t="shared" si="980"/>
        <v>0</v>
      </c>
      <c r="C882" s="2" t="str">
        <f t="shared" si="981"/>
        <v>Elite</v>
      </c>
      <c r="D882" s="2">
        <f t="shared" si="982"/>
        <v>0</v>
      </c>
      <c r="E882" s="2" t="str">
        <f t="shared" si="983"/>
        <v>W</v>
      </c>
      <c r="F882" s="2" t="str">
        <f t="shared" si="863"/>
        <v>Elite</v>
      </c>
      <c r="G882" s="2" t="str">
        <f t="shared" si="978"/>
        <v/>
      </c>
      <c r="H882" s="2" t="str">
        <f t="shared" si="978"/>
        <v/>
      </c>
      <c r="I882" s="2" t="str">
        <f t="shared" si="978"/>
        <v/>
      </c>
      <c r="J882" s="2" t="str">
        <f t="shared" si="978"/>
        <v/>
      </c>
      <c r="K882" s="2" t="str">
        <f t="shared" si="978"/>
        <v/>
      </c>
      <c r="L882" s="2" t="str">
        <f t="shared" si="978"/>
        <v/>
      </c>
      <c r="M882" s="180" t="str">
        <f t="shared" si="978"/>
        <v/>
      </c>
      <c r="N882" s="2" t="str">
        <f t="shared" si="978"/>
        <v/>
      </c>
      <c r="O882" s="2">
        <f t="shared" si="977"/>
        <v>0</v>
      </c>
    </row>
    <row r="883" spans="1:15" x14ac:dyDescent="0.25">
      <c r="A883" s="2">
        <v>6</v>
      </c>
      <c r="B883" s="2">
        <f t="shared" si="980"/>
        <v>0</v>
      </c>
      <c r="C883" s="2" t="str">
        <f t="shared" si="981"/>
        <v>Elite</v>
      </c>
      <c r="D883" s="2">
        <f t="shared" si="982"/>
        <v>0</v>
      </c>
      <c r="E883" s="2" t="str">
        <f t="shared" si="983"/>
        <v>W</v>
      </c>
      <c r="F883" s="2" t="str">
        <f t="shared" si="863"/>
        <v>Elite</v>
      </c>
      <c r="G883" s="2" t="str">
        <f t="shared" si="978"/>
        <v/>
      </c>
      <c r="H883" s="2" t="str">
        <f t="shared" si="978"/>
        <v/>
      </c>
      <c r="I883" s="2" t="str">
        <f t="shared" si="978"/>
        <v/>
      </c>
      <c r="J883" s="2" t="str">
        <f t="shared" si="978"/>
        <v/>
      </c>
      <c r="K883" s="2" t="str">
        <f t="shared" si="978"/>
        <v/>
      </c>
      <c r="L883" s="2" t="str">
        <f t="shared" si="978"/>
        <v/>
      </c>
      <c r="M883" s="180" t="str">
        <f t="shared" si="978"/>
        <v/>
      </c>
      <c r="N883" s="2" t="str">
        <f t="shared" si="978"/>
        <v/>
      </c>
      <c r="O883" s="2">
        <f t="shared" si="977"/>
        <v>0</v>
      </c>
    </row>
    <row r="884" spans="1:15" x14ac:dyDescent="0.25">
      <c r="A884" s="325">
        <v>1</v>
      </c>
      <c r="B884" s="325">
        <f>TrialNumber</f>
        <v>0</v>
      </c>
      <c r="C884" s="325" t="s">
        <v>2034</v>
      </c>
      <c r="D884" s="325">
        <f>Elite!C22</f>
        <v>0</v>
      </c>
      <c r="E884" s="325" t="str">
        <f>IF(Elite!B22="W","W","A")</f>
        <v>W</v>
      </c>
      <c r="F884" s="325" t="s">
        <v>2034</v>
      </c>
      <c r="G884" s="325" t="str">
        <f>IF(Elite!F22="e","Y","")</f>
        <v/>
      </c>
      <c r="H884" s="325" t="str">
        <f>IFERROR(VLOOKUP($D884,'SDDA Dogs'!$A:$AE,2,FALSE),"")</f>
        <v/>
      </c>
      <c r="I884" s="325" t="str">
        <f>IFERROR(VLOOKUP($D884,'SDDA Dogs'!$A:$AE,3,FALSE),"")</f>
        <v/>
      </c>
      <c r="J884" s="325" t="str">
        <f>IFERROR(VLOOKUP($D884,'SDDA Dogs'!$A:$AE,6,FALSE),"")</f>
        <v/>
      </c>
      <c r="K884" s="325" t="str">
        <f>IF(Elite!AR22="","",Elite!AR22)</f>
        <v/>
      </c>
      <c r="L884" s="325" t="str">
        <f>IF(Elite!AS22="","",Elite!AS22)</f>
        <v/>
      </c>
      <c r="M884" s="326" t="str">
        <f>TrialDate</f>
        <v/>
      </c>
      <c r="N884" s="325" t="str">
        <f t="shared" ref="N884" si="984">N879</f>
        <v/>
      </c>
      <c r="O884" s="325">
        <f t="shared" si="977"/>
        <v>0</v>
      </c>
    </row>
    <row r="885" spans="1:15" x14ac:dyDescent="0.25">
      <c r="A885" s="2">
        <v>2</v>
      </c>
      <c r="B885" s="2">
        <f>B884</f>
        <v>0</v>
      </c>
      <c r="C885" s="2" t="str">
        <f>C884</f>
        <v>Elite</v>
      </c>
      <c r="D885" s="2">
        <f>D884</f>
        <v>0</v>
      </c>
      <c r="E885" s="2" t="str">
        <f>E884</f>
        <v>W</v>
      </c>
      <c r="F885" s="2" t="str">
        <f t="shared" si="863"/>
        <v>Elite</v>
      </c>
      <c r="G885" s="2" t="str">
        <f t="shared" ref="G885:N885" si="985">G884</f>
        <v/>
      </c>
      <c r="H885" s="2" t="str">
        <f t="shared" si="985"/>
        <v/>
      </c>
      <c r="I885" s="2" t="str">
        <f t="shared" si="985"/>
        <v/>
      </c>
      <c r="J885" s="2" t="str">
        <f t="shared" si="985"/>
        <v/>
      </c>
      <c r="K885" s="2" t="str">
        <f t="shared" si="985"/>
        <v/>
      </c>
      <c r="L885" s="2" t="str">
        <f t="shared" ref="L885" si="986">L884</f>
        <v/>
      </c>
      <c r="M885" s="180" t="str">
        <f t="shared" si="985"/>
        <v/>
      </c>
      <c r="N885" s="2" t="str">
        <f t="shared" si="985"/>
        <v/>
      </c>
      <c r="O885" s="2">
        <f t="shared" si="977"/>
        <v>0</v>
      </c>
    </row>
    <row r="886" spans="1:15" x14ac:dyDescent="0.25">
      <c r="A886" s="327">
        <v>3</v>
      </c>
      <c r="B886" s="2">
        <f t="shared" ref="B886:B889" si="987">B885</f>
        <v>0</v>
      </c>
      <c r="C886" s="2" t="str">
        <f t="shared" ref="C886:C889" si="988">C885</f>
        <v>Elite</v>
      </c>
      <c r="D886" s="2">
        <f t="shared" ref="D886:D889" si="989">D885</f>
        <v>0</v>
      </c>
      <c r="E886" s="2" t="str">
        <f t="shared" ref="E886:N889" si="990">E885</f>
        <v>W</v>
      </c>
      <c r="F886" s="2" t="str">
        <f t="shared" si="990"/>
        <v>Elite</v>
      </c>
      <c r="G886" s="2" t="str">
        <f t="shared" si="990"/>
        <v/>
      </c>
      <c r="H886" s="2" t="str">
        <f t="shared" si="990"/>
        <v/>
      </c>
      <c r="I886" s="2" t="str">
        <f t="shared" si="990"/>
        <v/>
      </c>
      <c r="J886" s="2" t="str">
        <f t="shared" si="990"/>
        <v/>
      </c>
      <c r="K886" s="2" t="str">
        <f t="shared" si="990"/>
        <v/>
      </c>
      <c r="L886" s="2" t="str">
        <f t="shared" si="990"/>
        <v/>
      </c>
      <c r="M886" s="180" t="str">
        <f t="shared" si="990"/>
        <v/>
      </c>
      <c r="N886" s="2" t="str">
        <f t="shared" si="990"/>
        <v/>
      </c>
      <c r="O886" s="2">
        <f t="shared" si="977"/>
        <v>0</v>
      </c>
    </row>
    <row r="887" spans="1:15" x14ac:dyDescent="0.25">
      <c r="A887" s="2">
        <v>4</v>
      </c>
      <c r="B887" s="2">
        <f t="shared" si="987"/>
        <v>0</v>
      </c>
      <c r="C887" s="2" t="str">
        <f t="shared" si="988"/>
        <v>Elite</v>
      </c>
      <c r="D887" s="2">
        <f t="shared" si="989"/>
        <v>0</v>
      </c>
      <c r="E887" s="2" t="str">
        <f t="shared" si="990"/>
        <v>W</v>
      </c>
      <c r="F887" s="2" t="str">
        <f t="shared" si="990"/>
        <v>Elite</v>
      </c>
      <c r="G887" s="2" t="str">
        <f t="shared" si="990"/>
        <v/>
      </c>
      <c r="H887" s="2" t="str">
        <f t="shared" si="990"/>
        <v/>
      </c>
      <c r="I887" s="2" t="str">
        <f t="shared" si="990"/>
        <v/>
      </c>
      <c r="J887" s="2" t="str">
        <f t="shared" si="990"/>
        <v/>
      </c>
      <c r="K887" s="2" t="str">
        <f t="shared" si="990"/>
        <v/>
      </c>
      <c r="L887" s="2" t="str">
        <f t="shared" si="990"/>
        <v/>
      </c>
      <c r="M887" s="180" t="str">
        <f t="shared" si="990"/>
        <v/>
      </c>
      <c r="N887" s="2" t="str">
        <f t="shared" si="990"/>
        <v/>
      </c>
      <c r="O887" s="2">
        <f t="shared" si="977"/>
        <v>0</v>
      </c>
    </row>
    <row r="888" spans="1:15" x14ac:dyDescent="0.25">
      <c r="A888" s="327">
        <v>5</v>
      </c>
      <c r="B888" s="2">
        <f t="shared" si="987"/>
        <v>0</v>
      </c>
      <c r="C888" s="2" t="str">
        <f t="shared" si="988"/>
        <v>Elite</v>
      </c>
      <c r="D888" s="2">
        <f t="shared" si="989"/>
        <v>0</v>
      </c>
      <c r="E888" s="2" t="str">
        <f t="shared" si="990"/>
        <v>W</v>
      </c>
      <c r="F888" s="2" t="str">
        <f t="shared" si="990"/>
        <v>Elite</v>
      </c>
      <c r="G888" s="2" t="str">
        <f t="shared" si="990"/>
        <v/>
      </c>
      <c r="H888" s="2" t="str">
        <f t="shared" si="990"/>
        <v/>
      </c>
      <c r="I888" s="2" t="str">
        <f t="shared" si="990"/>
        <v/>
      </c>
      <c r="J888" s="2" t="str">
        <f t="shared" si="990"/>
        <v/>
      </c>
      <c r="K888" s="2" t="str">
        <f t="shared" si="990"/>
        <v/>
      </c>
      <c r="L888" s="2" t="str">
        <f t="shared" si="990"/>
        <v/>
      </c>
      <c r="M888" s="180" t="str">
        <f t="shared" si="990"/>
        <v/>
      </c>
      <c r="N888" s="2" t="str">
        <f t="shared" si="990"/>
        <v/>
      </c>
      <c r="O888" s="2">
        <f t="shared" si="977"/>
        <v>0</v>
      </c>
    </row>
    <row r="889" spans="1:15" x14ac:dyDescent="0.25">
      <c r="A889" s="2">
        <v>6</v>
      </c>
      <c r="B889" s="2">
        <f t="shared" si="987"/>
        <v>0</v>
      </c>
      <c r="C889" s="2" t="str">
        <f t="shared" si="988"/>
        <v>Elite</v>
      </c>
      <c r="D889" s="2">
        <f t="shared" si="989"/>
        <v>0</v>
      </c>
      <c r="E889" s="2" t="str">
        <f t="shared" si="990"/>
        <v>W</v>
      </c>
      <c r="F889" s="2" t="str">
        <f t="shared" si="990"/>
        <v>Elite</v>
      </c>
      <c r="G889" s="2" t="str">
        <f t="shared" si="990"/>
        <v/>
      </c>
      <c r="H889" s="2" t="str">
        <f t="shared" si="990"/>
        <v/>
      </c>
      <c r="I889" s="2" t="str">
        <f t="shared" si="990"/>
        <v/>
      </c>
      <c r="J889" s="2" t="str">
        <f t="shared" si="990"/>
        <v/>
      </c>
      <c r="K889" s="2" t="str">
        <f t="shared" si="990"/>
        <v/>
      </c>
      <c r="L889" s="2" t="str">
        <f t="shared" si="990"/>
        <v/>
      </c>
      <c r="M889" s="180" t="str">
        <f t="shared" si="990"/>
        <v/>
      </c>
      <c r="N889" s="2" t="str">
        <f t="shared" si="990"/>
        <v/>
      </c>
      <c r="O889" s="2">
        <f t="shared" si="977"/>
        <v>0</v>
      </c>
    </row>
    <row r="890" spans="1:15" x14ac:dyDescent="0.25">
      <c r="A890" s="325">
        <v>1</v>
      </c>
      <c r="B890" s="325">
        <f>TrialNumber</f>
        <v>0</v>
      </c>
      <c r="C890" s="325" t="s">
        <v>2034</v>
      </c>
      <c r="D890" s="325">
        <f>Elite!C23</f>
        <v>0</v>
      </c>
      <c r="E890" s="325" t="str">
        <f>IF(Elite!B23="W","W","A")</f>
        <v>W</v>
      </c>
      <c r="F890" s="325" t="s">
        <v>2034</v>
      </c>
      <c r="G890" s="325" t="str">
        <f>IF(Elite!F23="e","Y","")</f>
        <v/>
      </c>
      <c r="H890" s="325" t="str">
        <f>IFERROR(VLOOKUP($D890,'SDDA Dogs'!$A:$AE,2,FALSE),"")</f>
        <v/>
      </c>
      <c r="I890" s="325" t="str">
        <f>IFERROR(VLOOKUP($D890,'SDDA Dogs'!$A:$AE,3,FALSE),"")</f>
        <v/>
      </c>
      <c r="J890" s="325" t="str">
        <f>IFERROR(VLOOKUP($D890,'SDDA Dogs'!$A:$AE,6,FALSE),"")</f>
        <v/>
      </c>
      <c r="K890" s="325" t="str">
        <f>IF(Elite!AR123="","",Elite!AR23)</f>
        <v/>
      </c>
      <c r="L890" s="325" t="str">
        <f>IF(Elite!AS123="","",Elite!AS23)</f>
        <v/>
      </c>
      <c r="M890" s="326" t="str">
        <f>TrialDate</f>
        <v/>
      </c>
      <c r="N890" s="325" t="str">
        <f t="shared" ref="N890" si="991">N885</f>
        <v/>
      </c>
      <c r="O890" s="325">
        <f t="shared" si="977"/>
        <v>0</v>
      </c>
    </row>
    <row r="891" spans="1:15" x14ac:dyDescent="0.25">
      <c r="A891" s="2">
        <v>2</v>
      </c>
      <c r="B891" s="2">
        <f>B890</f>
        <v>0</v>
      </c>
      <c r="C891" s="2" t="str">
        <f>C890</f>
        <v>Elite</v>
      </c>
      <c r="D891" s="2">
        <f>D890</f>
        <v>0</v>
      </c>
      <c r="E891" s="2" t="str">
        <f>E890</f>
        <v>W</v>
      </c>
      <c r="F891" s="2" t="str">
        <f t="shared" si="863"/>
        <v>Elite</v>
      </c>
      <c r="G891" s="2" t="str">
        <f t="shared" ref="G891:N895" si="992">G890</f>
        <v/>
      </c>
      <c r="H891" s="2" t="str">
        <f t="shared" si="992"/>
        <v/>
      </c>
      <c r="I891" s="2" t="str">
        <f t="shared" si="992"/>
        <v/>
      </c>
      <c r="J891" s="2" t="str">
        <f t="shared" si="992"/>
        <v/>
      </c>
      <c r="K891" s="2" t="str">
        <f t="shared" si="992"/>
        <v/>
      </c>
      <c r="L891" s="2" t="str">
        <f t="shared" ref="L891:L895" si="993">L890</f>
        <v/>
      </c>
      <c r="M891" s="180" t="str">
        <f t="shared" si="992"/>
        <v/>
      </c>
      <c r="N891" s="2" t="str">
        <f t="shared" si="992"/>
        <v/>
      </c>
      <c r="O891" s="2">
        <f t="shared" si="977"/>
        <v>0</v>
      </c>
    </row>
    <row r="892" spans="1:15" x14ac:dyDescent="0.25">
      <c r="A892" s="327">
        <v>3</v>
      </c>
      <c r="B892" s="2">
        <f t="shared" ref="B892:B895" si="994">B891</f>
        <v>0</v>
      </c>
      <c r="C892" s="2" t="str">
        <f t="shared" ref="C892:C895" si="995">C891</f>
        <v>Elite</v>
      </c>
      <c r="D892" s="2">
        <f t="shared" ref="D892:D895" si="996">D891</f>
        <v>0</v>
      </c>
      <c r="E892" s="2" t="str">
        <f t="shared" ref="E892:E895" si="997">E891</f>
        <v>W</v>
      </c>
      <c r="F892" s="2" t="str">
        <f t="shared" si="863"/>
        <v>Elite</v>
      </c>
      <c r="G892" s="2" t="str">
        <f t="shared" si="992"/>
        <v/>
      </c>
      <c r="H892" s="2" t="str">
        <f t="shared" si="992"/>
        <v/>
      </c>
      <c r="I892" s="2" t="str">
        <f t="shared" si="992"/>
        <v/>
      </c>
      <c r="J892" s="2" t="str">
        <f t="shared" si="992"/>
        <v/>
      </c>
      <c r="K892" s="2" t="str">
        <f t="shared" si="992"/>
        <v/>
      </c>
      <c r="L892" s="2" t="str">
        <f t="shared" si="993"/>
        <v/>
      </c>
      <c r="M892" s="180" t="str">
        <f t="shared" si="992"/>
        <v/>
      </c>
      <c r="N892" s="2" t="str">
        <f t="shared" si="992"/>
        <v/>
      </c>
      <c r="O892" s="2">
        <f t="shared" si="977"/>
        <v>0</v>
      </c>
    </row>
    <row r="893" spans="1:15" x14ac:dyDescent="0.25">
      <c r="A893" s="2">
        <v>4</v>
      </c>
      <c r="B893" s="2">
        <f t="shared" si="994"/>
        <v>0</v>
      </c>
      <c r="C893" s="2" t="str">
        <f t="shared" si="995"/>
        <v>Elite</v>
      </c>
      <c r="D893" s="2">
        <f t="shared" si="996"/>
        <v>0</v>
      </c>
      <c r="E893" s="2" t="str">
        <f t="shared" si="997"/>
        <v>W</v>
      </c>
      <c r="F893" s="2" t="str">
        <f t="shared" si="863"/>
        <v>Elite</v>
      </c>
      <c r="G893" s="2" t="str">
        <f t="shared" si="992"/>
        <v/>
      </c>
      <c r="H893" s="2" t="str">
        <f t="shared" si="992"/>
        <v/>
      </c>
      <c r="I893" s="2" t="str">
        <f t="shared" si="992"/>
        <v/>
      </c>
      <c r="J893" s="2" t="str">
        <f t="shared" si="992"/>
        <v/>
      </c>
      <c r="K893" s="2" t="str">
        <f t="shared" si="992"/>
        <v/>
      </c>
      <c r="L893" s="2" t="str">
        <f t="shared" si="993"/>
        <v/>
      </c>
      <c r="M893" s="180" t="str">
        <f t="shared" si="992"/>
        <v/>
      </c>
      <c r="N893" s="2" t="str">
        <f t="shared" si="992"/>
        <v/>
      </c>
      <c r="O893" s="2">
        <f t="shared" si="977"/>
        <v>0</v>
      </c>
    </row>
    <row r="894" spans="1:15" x14ac:dyDescent="0.25">
      <c r="A894" s="327">
        <v>5</v>
      </c>
      <c r="B894" s="2">
        <f t="shared" si="994"/>
        <v>0</v>
      </c>
      <c r="C894" s="2" t="str">
        <f t="shared" si="995"/>
        <v>Elite</v>
      </c>
      <c r="D894" s="2">
        <f t="shared" si="996"/>
        <v>0</v>
      </c>
      <c r="E894" s="2" t="str">
        <f t="shared" si="997"/>
        <v>W</v>
      </c>
      <c r="F894" s="2" t="str">
        <f t="shared" si="863"/>
        <v>Elite</v>
      </c>
      <c r="G894" s="2" t="str">
        <f t="shared" si="992"/>
        <v/>
      </c>
      <c r="H894" s="2" t="str">
        <f t="shared" si="992"/>
        <v/>
      </c>
      <c r="I894" s="2" t="str">
        <f t="shared" si="992"/>
        <v/>
      </c>
      <c r="J894" s="2" t="str">
        <f t="shared" si="992"/>
        <v/>
      </c>
      <c r="K894" s="2" t="str">
        <f t="shared" si="992"/>
        <v/>
      </c>
      <c r="L894" s="2" t="str">
        <f t="shared" si="993"/>
        <v/>
      </c>
      <c r="M894" s="180" t="str">
        <f t="shared" si="992"/>
        <v/>
      </c>
      <c r="N894" s="2" t="str">
        <f t="shared" si="992"/>
        <v/>
      </c>
      <c r="O894" s="2">
        <f t="shared" si="977"/>
        <v>0</v>
      </c>
    </row>
    <row r="895" spans="1:15" x14ac:dyDescent="0.25">
      <c r="A895" s="2">
        <v>6</v>
      </c>
      <c r="B895" s="2">
        <f t="shared" si="994"/>
        <v>0</v>
      </c>
      <c r="C895" s="2" t="str">
        <f t="shared" si="995"/>
        <v>Elite</v>
      </c>
      <c r="D895" s="2">
        <f t="shared" si="996"/>
        <v>0</v>
      </c>
      <c r="E895" s="2" t="str">
        <f t="shared" si="997"/>
        <v>W</v>
      </c>
      <c r="F895" s="2" t="str">
        <f t="shared" si="863"/>
        <v>Elite</v>
      </c>
      <c r="G895" s="2" t="str">
        <f t="shared" si="992"/>
        <v/>
      </c>
      <c r="H895" s="2" t="str">
        <f t="shared" si="992"/>
        <v/>
      </c>
      <c r="I895" s="2" t="str">
        <f t="shared" si="992"/>
        <v/>
      </c>
      <c r="J895" s="2" t="str">
        <f t="shared" si="992"/>
        <v/>
      </c>
      <c r="K895" s="2" t="str">
        <f t="shared" si="992"/>
        <v/>
      </c>
      <c r="L895" s="2" t="str">
        <f t="shared" si="993"/>
        <v/>
      </c>
      <c r="M895" s="180" t="str">
        <f t="shared" si="992"/>
        <v/>
      </c>
      <c r="N895" s="2" t="str">
        <f t="shared" si="992"/>
        <v/>
      </c>
      <c r="O895" s="2">
        <f t="shared" si="977"/>
        <v>0</v>
      </c>
    </row>
    <row r="896" spans="1:15" x14ac:dyDescent="0.25">
      <c r="A896" s="325">
        <v>1</v>
      </c>
      <c r="B896" s="325">
        <f>TrialNumber</f>
        <v>0</v>
      </c>
      <c r="C896" s="325" t="s">
        <v>2034</v>
      </c>
      <c r="D896" s="325">
        <f>Elite!C24</f>
        <v>0</v>
      </c>
      <c r="E896" s="325" t="str">
        <f>IF(Elite!B24="W","W","A")</f>
        <v>W</v>
      </c>
      <c r="F896" s="325" t="s">
        <v>2034</v>
      </c>
      <c r="G896" s="325" t="str">
        <f>IF(Elite!F24="e","Y","")</f>
        <v/>
      </c>
      <c r="H896" s="325" t="str">
        <f>IFERROR(VLOOKUP($D896,'SDDA Dogs'!$A:$AE,2,FALSE),"")</f>
        <v/>
      </c>
      <c r="I896" s="325" t="str">
        <f>IFERROR(VLOOKUP($D896,'SDDA Dogs'!$A:$AE,3,FALSE),"")</f>
        <v/>
      </c>
      <c r="J896" s="325" t="str">
        <f>IFERROR(VLOOKUP($D896,'SDDA Dogs'!$A:$AE,6,FALSE),"")</f>
        <v/>
      </c>
      <c r="K896" s="325" t="str">
        <f>IF(Elite!AR24="","",Elite!AR24)</f>
        <v/>
      </c>
      <c r="L896" s="325" t="str">
        <f>IF(Elite!AS24="","",Elite!AS24)</f>
        <v/>
      </c>
      <c r="M896" s="326" t="str">
        <f>TrialDate</f>
        <v/>
      </c>
      <c r="N896" s="325" t="str">
        <f t="shared" ref="N896" si="998">N891</f>
        <v/>
      </c>
      <c r="O896" s="325">
        <f t="shared" si="977"/>
        <v>0</v>
      </c>
    </row>
    <row r="897" spans="1:15" x14ac:dyDescent="0.25">
      <c r="A897" s="2">
        <v>2</v>
      </c>
      <c r="B897" s="2">
        <f>B896</f>
        <v>0</v>
      </c>
      <c r="C897" s="2" t="str">
        <f>C896</f>
        <v>Elite</v>
      </c>
      <c r="D897" s="2">
        <f>D896</f>
        <v>0</v>
      </c>
      <c r="E897" s="2" t="str">
        <f>E896</f>
        <v>W</v>
      </c>
      <c r="F897" s="2" t="str">
        <f t="shared" si="863"/>
        <v>Elite</v>
      </c>
      <c r="G897" s="2" t="str">
        <f t="shared" ref="G897:N897" si="999">G896</f>
        <v/>
      </c>
      <c r="H897" s="2" t="str">
        <f t="shared" si="999"/>
        <v/>
      </c>
      <c r="I897" s="2" t="str">
        <f t="shared" si="999"/>
        <v/>
      </c>
      <c r="J897" s="2" t="str">
        <f t="shared" si="999"/>
        <v/>
      </c>
      <c r="K897" s="2" t="str">
        <f t="shared" si="999"/>
        <v/>
      </c>
      <c r="L897" s="2" t="str">
        <f t="shared" ref="L897:N901" si="1000">L896</f>
        <v/>
      </c>
      <c r="M897" s="180" t="str">
        <f t="shared" si="999"/>
        <v/>
      </c>
      <c r="N897" s="2" t="str">
        <f t="shared" si="999"/>
        <v/>
      </c>
      <c r="O897" s="2">
        <f t="shared" si="977"/>
        <v>0</v>
      </c>
    </row>
    <row r="898" spans="1:15" x14ac:dyDescent="0.25">
      <c r="A898" s="327">
        <v>3</v>
      </c>
      <c r="B898" s="2">
        <f t="shared" ref="B898:B901" si="1001">B897</f>
        <v>0</v>
      </c>
      <c r="C898" s="2" t="str">
        <f t="shared" ref="C898:C901" si="1002">C897</f>
        <v>Elite</v>
      </c>
      <c r="D898" s="2">
        <f t="shared" ref="D898:D901" si="1003">D897</f>
        <v>0</v>
      </c>
      <c r="E898" s="2" t="str">
        <f t="shared" ref="E898:K901" si="1004">E897</f>
        <v>W</v>
      </c>
      <c r="F898" s="2" t="str">
        <f t="shared" si="1004"/>
        <v>Elite</v>
      </c>
      <c r="G898" s="2" t="str">
        <f t="shared" si="1004"/>
        <v/>
      </c>
      <c r="H898" s="2" t="str">
        <f t="shared" si="1004"/>
        <v/>
      </c>
      <c r="I898" s="2" t="str">
        <f t="shared" si="1004"/>
        <v/>
      </c>
      <c r="J898" s="2" t="str">
        <f t="shared" si="1004"/>
        <v/>
      </c>
      <c r="K898" s="2" t="str">
        <f t="shared" si="1004"/>
        <v/>
      </c>
      <c r="L898" s="2" t="str">
        <f t="shared" si="1000"/>
        <v/>
      </c>
      <c r="M898" s="180" t="str">
        <f t="shared" si="1000"/>
        <v/>
      </c>
      <c r="N898" s="2" t="str">
        <f t="shared" si="1000"/>
        <v/>
      </c>
      <c r="O898" s="2">
        <f t="shared" si="977"/>
        <v>0</v>
      </c>
    </row>
    <row r="899" spans="1:15" x14ac:dyDescent="0.25">
      <c r="A899" s="2">
        <v>4</v>
      </c>
      <c r="B899" s="2">
        <f t="shared" si="1001"/>
        <v>0</v>
      </c>
      <c r="C899" s="2" t="str">
        <f t="shared" si="1002"/>
        <v>Elite</v>
      </c>
      <c r="D899" s="2">
        <f t="shared" si="1003"/>
        <v>0</v>
      </c>
      <c r="E899" s="2" t="str">
        <f t="shared" si="1004"/>
        <v>W</v>
      </c>
      <c r="F899" s="2" t="str">
        <f t="shared" si="1004"/>
        <v>Elite</v>
      </c>
      <c r="G899" s="2" t="str">
        <f t="shared" si="1004"/>
        <v/>
      </c>
      <c r="H899" s="2" t="str">
        <f t="shared" si="1004"/>
        <v/>
      </c>
      <c r="I899" s="2" t="str">
        <f t="shared" si="1004"/>
        <v/>
      </c>
      <c r="J899" s="2" t="str">
        <f t="shared" si="1004"/>
        <v/>
      </c>
      <c r="K899" s="2" t="str">
        <f t="shared" si="1004"/>
        <v/>
      </c>
      <c r="L899" s="2" t="str">
        <f t="shared" si="1000"/>
        <v/>
      </c>
      <c r="M899" s="180" t="str">
        <f t="shared" si="1000"/>
        <v/>
      </c>
      <c r="N899" s="2" t="str">
        <f t="shared" si="1000"/>
        <v/>
      </c>
      <c r="O899" s="2">
        <f t="shared" si="977"/>
        <v>0</v>
      </c>
    </row>
    <row r="900" spans="1:15" x14ac:dyDescent="0.25">
      <c r="A900" s="327">
        <v>5</v>
      </c>
      <c r="B900" s="2">
        <f t="shared" si="1001"/>
        <v>0</v>
      </c>
      <c r="C900" s="2" t="str">
        <f t="shared" si="1002"/>
        <v>Elite</v>
      </c>
      <c r="D900" s="2">
        <f t="shared" si="1003"/>
        <v>0</v>
      </c>
      <c r="E900" s="2" t="str">
        <f t="shared" si="1004"/>
        <v>W</v>
      </c>
      <c r="F900" s="2" t="str">
        <f t="shared" si="1004"/>
        <v>Elite</v>
      </c>
      <c r="G900" s="2" t="str">
        <f t="shared" si="1004"/>
        <v/>
      </c>
      <c r="H900" s="2" t="str">
        <f t="shared" si="1004"/>
        <v/>
      </c>
      <c r="I900" s="2" t="str">
        <f t="shared" si="1004"/>
        <v/>
      </c>
      <c r="J900" s="2" t="str">
        <f t="shared" si="1004"/>
        <v/>
      </c>
      <c r="K900" s="2" t="str">
        <f t="shared" si="1004"/>
        <v/>
      </c>
      <c r="L900" s="2" t="str">
        <f t="shared" si="1000"/>
        <v/>
      </c>
      <c r="M900" s="180" t="str">
        <f t="shared" si="1000"/>
        <v/>
      </c>
      <c r="N900" s="2" t="str">
        <f t="shared" si="1000"/>
        <v/>
      </c>
      <c r="O900" s="2">
        <f t="shared" si="977"/>
        <v>0</v>
      </c>
    </row>
    <row r="901" spans="1:15" x14ac:dyDescent="0.25">
      <c r="A901" s="2">
        <v>6</v>
      </c>
      <c r="B901" s="2">
        <f t="shared" si="1001"/>
        <v>0</v>
      </c>
      <c r="C901" s="2" t="str">
        <f t="shared" si="1002"/>
        <v>Elite</v>
      </c>
      <c r="D901" s="2">
        <f t="shared" si="1003"/>
        <v>0</v>
      </c>
      <c r="E901" s="2" t="str">
        <f t="shared" si="1004"/>
        <v>W</v>
      </c>
      <c r="F901" s="2" t="str">
        <f t="shared" si="1004"/>
        <v>Elite</v>
      </c>
      <c r="G901" s="2" t="str">
        <f t="shared" si="1004"/>
        <v/>
      </c>
      <c r="H901" s="2" t="str">
        <f t="shared" si="1004"/>
        <v/>
      </c>
      <c r="I901" s="2" t="str">
        <f t="shared" si="1004"/>
        <v/>
      </c>
      <c r="J901" s="2" t="str">
        <f t="shared" si="1004"/>
        <v/>
      </c>
      <c r="K901" s="2" t="str">
        <f t="shared" si="1004"/>
        <v/>
      </c>
      <c r="L901" s="2" t="str">
        <f t="shared" si="1000"/>
        <v/>
      </c>
      <c r="M901" s="180" t="str">
        <f t="shared" si="1000"/>
        <v/>
      </c>
      <c r="N901" s="2" t="str">
        <f t="shared" si="1000"/>
        <v/>
      </c>
      <c r="O901" s="2">
        <f t="shared" si="977"/>
        <v>0</v>
      </c>
    </row>
    <row r="902" spans="1:15" x14ac:dyDescent="0.25">
      <c r="A902" s="325">
        <v>1</v>
      </c>
      <c r="B902" s="325">
        <f>TrialNumber</f>
        <v>0</v>
      </c>
      <c r="C902" s="325" t="s">
        <v>2034</v>
      </c>
      <c r="D902" s="325">
        <f>Elite!C25</f>
        <v>0</v>
      </c>
      <c r="E902" s="325" t="str">
        <f>IF(Elite!B25="W","W","A")</f>
        <v>W</v>
      </c>
      <c r="F902" s="325" t="s">
        <v>2034</v>
      </c>
      <c r="G902" s="325" t="str">
        <f>IF(Elite!F25="e","Y","")</f>
        <v/>
      </c>
      <c r="H902" s="325" t="str">
        <f>IFERROR(VLOOKUP($D902,'SDDA Dogs'!$A:$AE,2,FALSE),"")</f>
        <v/>
      </c>
      <c r="I902" s="325" t="str">
        <f>IFERROR(VLOOKUP($D902,'SDDA Dogs'!$A:$AE,3,FALSE),"")</f>
        <v/>
      </c>
      <c r="J902" s="325" t="str">
        <f>IFERROR(VLOOKUP($D902,'SDDA Dogs'!$A:$AE,6,FALSE),"")</f>
        <v/>
      </c>
      <c r="K902" s="325" t="str">
        <f>IF(Elite!AR25="","",Elite!AR25)</f>
        <v/>
      </c>
      <c r="L902" s="325" t="str">
        <f>IF(Elite!AS25="","",Elite!AS25)</f>
        <v/>
      </c>
      <c r="M902" s="326" t="str">
        <f>TrialDate</f>
        <v/>
      </c>
      <c r="N902" s="325" t="str">
        <f t="shared" ref="N902" si="1005">N897</f>
        <v/>
      </c>
      <c r="O902" s="325">
        <f t="shared" si="977"/>
        <v>0</v>
      </c>
    </row>
    <row r="903" spans="1:15" x14ac:dyDescent="0.25">
      <c r="A903" s="2">
        <v>2</v>
      </c>
      <c r="B903" s="2">
        <f>B902</f>
        <v>0</v>
      </c>
      <c r="C903" s="2" t="str">
        <f>C902</f>
        <v>Elite</v>
      </c>
      <c r="D903" s="2">
        <f>D902</f>
        <v>0</v>
      </c>
      <c r="E903" s="2" t="str">
        <f>E902</f>
        <v>W</v>
      </c>
      <c r="F903" s="2" t="str">
        <f t="shared" si="863"/>
        <v>Elite</v>
      </c>
      <c r="G903" s="2" t="str">
        <f t="shared" ref="G903:N907" si="1006">G902</f>
        <v/>
      </c>
      <c r="H903" s="2" t="str">
        <f t="shared" si="1006"/>
        <v/>
      </c>
      <c r="I903" s="2" t="str">
        <f t="shared" si="1006"/>
        <v/>
      </c>
      <c r="J903" s="2" t="str">
        <f t="shared" si="1006"/>
        <v/>
      </c>
      <c r="K903" s="2" t="str">
        <f t="shared" si="1006"/>
        <v/>
      </c>
      <c r="L903" s="2" t="str">
        <f t="shared" ref="L903" si="1007">L902</f>
        <v/>
      </c>
      <c r="M903" s="180" t="str">
        <f t="shared" si="1006"/>
        <v/>
      </c>
      <c r="N903" s="2" t="str">
        <f t="shared" si="1006"/>
        <v/>
      </c>
      <c r="O903" s="2">
        <f t="shared" si="977"/>
        <v>0</v>
      </c>
    </row>
    <row r="904" spans="1:15" x14ac:dyDescent="0.25">
      <c r="A904" s="327">
        <v>3</v>
      </c>
      <c r="B904" s="2">
        <f t="shared" ref="B904:B907" si="1008">B903</f>
        <v>0</v>
      </c>
      <c r="C904" s="2" t="str">
        <f t="shared" ref="C904:C907" si="1009">C903</f>
        <v>Elite</v>
      </c>
      <c r="D904" s="2">
        <f t="shared" ref="D904:D907" si="1010">D903</f>
        <v>0</v>
      </c>
      <c r="E904" s="2" t="str">
        <f t="shared" ref="E904:E907" si="1011">E903</f>
        <v>W</v>
      </c>
      <c r="F904" s="2" t="str">
        <f t="shared" si="863"/>
        <v>Elite</v>
      </c>
      <c r="G904" s="2" t="str">
        <f t="shared" si="1006"/>
        <v/>
      </c>
      <c r="H904" s="2" t="str">
        <f t="shared" si="1006"/>
        <v/>
      </c>
      <c r="I904" s="2" t="str">
        <f t="shared" si="1006"/>
        <v/>
      </c>
      <c r="J904" s="2" t="str">
        <f t="shared" si="1006"/>
        <v/>
      </c>
      <c r="K904" s="2" t="str">
        <f t="shared" si="1006"/>
        <v/>
      </c>
      <c r="L904" s="2" t="str">
        <f t="shared" si="1006"/>
        <v/>
      </c>
      <c r="M904" s="180" t="str">
        <f t="shared" si="1006"/>
        <v/>
      </c>
      <c r="N904" s="2" t="str">
        <f t="shared" si="1006"/>
        <v/>
      </c>
      <c r="O904" s="2">
        <f t="shared" si="977"/>
        <v>0</v>
      </c>
    </row>
    <row r="905" spans="1:15" x14ac:dyDescent="0.25">
      <c r="A905" s="2">
        <v>4</v>
      </c>
      <c r="B905" s="2">
        <f t="shared" si="1008"/>
        <v>0</v>
      </c>
      <c r="C905" s="2" t="str">
        <f t="shared" si="1009"/>
        <v>Elite</v>
      </c>
      <c r="D905" s="2">
        <f t="shared" si="1010"/>
        <v>0</v>
      </c>
      <c r="E905" s="2" t="str">
        <f t="shared" si="1011"/>
        <v>W</v>
      </c>
      <c r="F905" s="2" t="str">
        <f t="shared" si="863"/>
        <v>Elite</v>
      </c>
      <c r="G905" s="2" t="str">
        <f t="shared" si="1006"/>
        <v/>
      </c>
      <c r="H905" s="2" t="str">
        <f t="shared" si="1006"/>
        <v/>
      </c>
      <c r="I905" s="2" t="str">
        <f t="shared" si="1006"/>
        <v/>
      </c>
      <c r="J905" s="2" t="str">
        <f t="shared" si="1006"/>
        <v/>
      </c>
      <c r="K905" s="2" t="str">
        <f t="shared" si="1006"/>
        <v/>
      </c>
      <c r="L905" s="2" t="str">
        <f t="shared" si="1006"/>
        <v/>
      </c>
      <c r="M905" s="180" t="str">
        <f t="shared" si="1006"/>
        <v/>
      </c>
      <c r="N905" s="2" t="str">
        <f t="shared" si="1006"/>
        <v/>
      </c>
      <c r="O905" s="2">
        <f t="shared" si="977"/>
        <v>0</v>
      </c>
    </row>
    <row r="906" spans="1:15" x14ac:dyDescent="0.25">
      <c r="A906" s="327">
        <v>5</v>
      </c>
      <c r="B906" s="2">
        <f t="shared" si="1008"/>
        <v>0</v>
      </c>
      <c r="C906" s="2" t="str">
        <f t="shared" si="1009"/>
        <v>Elite</v>
      </c>
      <c r="D906" s="2">
        <f t="shared" si="1010"/>
        <v>0</v>
      </c>
      <c r="E906" s="2" t="str">
        <f t="shared" si="1011"/>
        <v>W</v>
      </c>
      <c r="F906" s="2" t="str">
        <f t="shared" si="863"/>
        <v>Elite</v>
      </c>
      <c r="G906" s="2" t="str">
        <f t="shared" si="1006"/>
        <v/>
      </c>
      <c r="H906" s="2" t="str">
        <f t="shared" si="1006"/>
        <v/>
      </c>
      <c r="I906" s="2" t="str">
        <f t="shared" si="1006"/>
        <v/>
      </c>
      <c r="J906" s="2" t="str">
        <f t="shared" si="1006"/>
        <v/>
      </c>
      <c r="K906" s="2" t="str">
        <f t="shared" si="1006"/>
        <v/>
      </c>
      <c r="L906" s="2" t="str">
        <f t="shared" si="1006"/>
        <v/>
      </c>
      <c r="M906" s="180" t="str">
        <f t="shared" si="1006"/>
        <v/>
      </c>
      <c r="N906" s="2" t="str">
        <f t="shared" si="1006"/>
        <v/>
      </c>
      <c r="O906" s="2">
        <f t="shared" si="977"/>
        <v>0</v>
      </c>
    </row>
    <row r="907" spans="1:15" x14ac:dyDescent="0.25">
      <c r="A907" s="2">
        <v>6</v>
      </c>
      <c r="B907" s="2">
        <f t="shared" si="1008"/>
        <v>0</v>
      </c>
      <c r="C907" s="2" t="str">
        <f t="shared" si="1009"/>
        <v>Elite</v>
      </c>
      <c r="D907" s="2">
        <f t="shared" si="1010"/>
        <v>0</v>
      </c>
      <c r="E907" s="2" t="str">
        <f t="shared" si="1011"/>
        <v>W</v>
      </c>
      <c r="F907" s="2" t="str">
        <f t="shared" si="863"/>
        <v>Elite</v>
      </c>
      <c r="G907" s="2" t="str">
        <f t="shared" si="1006"/>
        <v/>
      </c>
      <c r="H907" s="2" t="str">
        <f t="shared" si="1006"/>
        <v/>
      </c>
      <c r="I907" s="2" t="str">
        <f t="shared" si="1006"/>
        <v/>
      </c>
      <c r="J907" s="2" t="str">
        <f t="shared" si="1006"/>
        <v/>
      </c>
      <c r="K907" s="2" t="str">
        <f t="shared" si="1006"/>
        <v/>
      </c>
      <c r="L907" s="2" t="str">
        <f t="shared" si="1006"/>
        <v/>
      </c>
      <c r="M907" s="180" t="str">
        <f t="shared" si="1006"/>
        <v/>
      </c>
      <c r="N907" s="2" t="str">
        <f t="shared" si="1006"/>
        <v/>
      </c>
      <c r="O907" s="2">
        <f t="shared" si="977"/>
        <v>0</v>
      </c>
    </row>
    <row r="908" spans="1:15" x14ac:dyDescent="0.25">
      <c r="A908" s="325">
        <v>1</v>
      </c>
      <c r="B908" s="325">
        <f>TrialNumber</f>
        <v>0</v>
      </c>
      <c r="C908" s="325" t="s">
        <v>2034</v>
      </c>
      <c r="D908" s="325">
        <f>Elite!C26</f>
        <v>0</v>
      </c>
      <c r="E908" s="325" t="str">
        <f>IF(Elite!B26="W","W","A")</f>
        <v>W</v>
      </c>
      <c r="F908" s="325" t="s">
        <v>2034</v>
      </c>
      <c r="G908" s="325" t="str">
        <f>IF(Elite!F26="e","Y","")</f>
        <v/>
      </c>
      <c r="H908" s="325" t="str">
        <f>IFERROR(VLOOKUP($D908,'SDDA Dogs'!$A:$AE,2,FALSE),"")</f>
        <v/>
      </c>
      <c r="I908" s="325" t="str">
        <f>IFERROR(VLOOKUP($D908,'SDDA Dogs'!$A:$AE,3,FALSE),"")</f>
        <v/>
      </c>
      <c r="J908" s="325" t="str">
        <f>IFERROR(VLOOKUP($D908,'SDDA Dogs'!$A:$AE,6,FALSE),"")</f>
        <v/>
      </c>
      <c r="K908" s="325" t="str">
        <f>IF(Elite!AR26="","",Elite!AR26)</f>
        <v/>
      </c>
      <c r="L908" s="325" t="str">
        <f>IF(Elite!AS26="","",Elite!AS26)</f>
        <v/>
      </c>
      <c r="M908" s="326" t="str">
        <f>TrialDate</f>
        <v/>
      </c>
      <c r="N908" s="325" t="str">
        <f t="shared" ref="N908" si="1012">N903</f>
        <v/>
      </c>
      <c r="O908" s="325">
        <f t="shared" si="977"/>
        <v>0</v>
      </c>
    </row>
    <row r="909" spans="1:15" x14ac:dyDescent="0.25">
      <c r="A909" s="2">
        <v>2</v>
      </c>
      <c r="B909" s="2">
        <f>B908</f>
        <v>0</v>
      </c>
      <c r="C909" s="2" t="str">
        <f>C908</f>
        <v>Elite</v>
      </c>
      <c r="D909" s="2">
        <f>D908</f>
        <v>0</v>
      </c>
      <c r="E909" s="2" t="str">
        <f>E908</f>
        <v>W</v>
      </c>
      <c r="F909" s="2" t="str">
        <f t="shared" si="863"/>
        <v>Elite</v>
      </c>
      <c r="G909" s="2" t="str">
        <f t="shared" ref="G909:N909" si="1013">G908</f>
        <v/>
      </c>
      <c r="H909" s="2" t="str">
        <f t="shared" si="1013"/>
        <v/>
      </c>
      <c r="I909" s="2" t="str">
        <f t="shared" si="1013"/>
        <v/>
      </c>
      <c r="J909" s="2" t="str">
        <f t="shared" si="1013"/>
        <v/>
      </c>
      <c r="K909" s="2" t="str">
        <f t="shared" si="1013"/>
        <v/>
      </c>
      <c r="L909" s="2" t="str">
        <f t="shared" ref="L909" si="1014">L908</f>
        <v/>
      </c>
      <c r="M909" s="180" t="str">
        <f t="shared" si="1013"/>
        <v/>
      </c>
      <c r="N909" s="2" t="str">
        <f t="shared" si="1013"/>
        <v/>
      </c>
      <c r="O909" s="2">
        <f t="shared" si="977"/>
        <v>0</v>
      </c>
    </row>
    <row r="910" spans="1:15" x14ac:dyDescent="0.25">
      <c r="A910" s="327">
        <v>3</v>
      </c>
      <c r="B910" s="2">
        <f t="shared" ref="B910:B913" si="1015">B909</f>
        <v>0</v>
      </c>
      <c r="C910" s="2" t="str">
        <f t="shared" ref="C910:C913" si="1016">C909</f>
        <v>Elite</v>
      </c>
      <c r="D910" s="2">
        <f t="shared" ref="D910:D913" si="1017">D909</f>
        <v>0</v>
      </c>
      <c r="E910" s="2" t="str">
        <f t="shared" ref="E910:N913" si="1018">E909</f>
        <v>W</v>
      </c>
      <c r="F910" s="2" t="str">
        <f t="shared" si="1018"/>
        <v>Elite</v>
      </c>
      <c r="G910" s="2" t="str">
        <f t="shared" si="1018"/>
        <v/>
      </c>
      <c r="H910" s="2" t="str">
        <f t="shared" si="1018"/>
        <v/>
      </c>
      <c r="I910" s="2" t="str">
        <f t="shared" si="1018"/>
        <v/>
      </c>
      <c r="J910" s="2" t="str">
        <f t="shared" si="1018"/>
        <v/>
      </c>
      <c r="K910" s="2" t="str">
        <f t="shared" si="1018"/>
        <v/>
      </c>
      <c r="L910" s="2" t="str">
        <f t="shared" si="1018"/>
        <v/>
      </c>
      <c r="M910" s="180" t="str">
        <f t="shared" si="1018"/>
        <v/>
      </c>
      <c r="N910" s="2" t="str">
        <f t="shared" si="1018"/>
        <v/>
      </c>
      <c r="O910" s="2">
        <f t="shared" si="977"/>
        <v>0</v>
      </c>
    </row>
    <row r="911" spans="1:15" x14ac:dyDescent="0.25">
      <c r="A911" s="2">
        <v>4</v>
      </c>
      <c r="B911" s="2">
        <f t="shared" si="1015"/>
        <v>0</v>
      </c>
      <c r="C911" s="2" t="str">
        <f t="shared" si="1016"/>
        <v>Elite</v>
      </c>
      <c r="D911" s="2">
        <f t="shared" si="1017"/>
        <v>0</v>
      </c>
      <c r="E911" s="2" t="str">
        <f t="shared" si="1018"/>
        <v>W</v>
      </c>
      <c r="F911" s="2" t="str">
        <f t="shared" si="1018"/>
        <v>Elite</v>
      </c>
      <c r="G911" s="2" t="str">
        <f t="shared" si="1018"/>
        <v/>
      </c>
      <c r="H911" s="2" t="str">
        <f t="shared" si="1018"/>
        <v/>
      </c>
      <c r="I911" s="2" t="str">
        <f t="shared" si="1018"/>
        <v/>
      </c>
      <c r="J911" s="2" t="str">
        <f t="shared" si="1018"/>
        <v/>
      </c>
      <c r="K911" s="2" t="str">
        <f t="shared" si="1018"/>
        <v/>
      </c>
      <c r="L911" s="2" t="str">
        <f t="shared" si="1018"/>
        <v/>
      </c>
      <c r="M911" s="180" t="str">
        <f t="shared" si="1018"/>
        <v/>
      </c>
      <c r="N911" s="2" t="str">
        <f t="shared" si="1018"/>
        <v/>
      </c>
      <c r="O911" s="2">
        <f t="shared" si="977"/>
        <v>0</v>
      </c>
    </row>
    <row r="912" spans="1:15" x14ac:dyDescent="0.25">
      <c r="A912" s="327">
        <v>5</v>
      </c>
      <c r="B912" s="2">
        <f t="shared" si="1015"/>
        <v>0</v>
      </c>
      <c r="C912" s="2" t="str">
        <f t="shared" si="1016"/>
        <v>Elite</v>
      </c>
      <c r="D912" s="2">
        <f t="shared" si="1017"/>
        <v>0</v>
      </c>
      <c r="E912" s="2" t="str">
        <f t="shared" si="1018"/>
        <v>W</v>
      </c>
      <c r="F912" s="2" t="str">
        <f t="shared" si="1018"/>
        <v>Elite</v>
      </c>
      <c r="G912" s="2" t="str">
        <f t="shared" si="1018"/>
        <v/>
      </c>
      <c r="H912" s="2" t="str">
        <f t="shared" si="1018"/>
        <v/>
      </c>
      <c r="I912" s="2" t="str">
        <f t="shared" si="1018"/>
        <v/>
      </c>
      <c r="J912" s="2" t="str">
        <f t="shared" si="1018"/>
        <v/>
      </c>
      <c r="K912" s="2" t="str">
        <f t="shared" si="1018"/>
        <v/>
      </c>
      <c r="L912" s="2" t="str">
        <f t="shared" si="1018"/>
        <v/>
      </c>
      <c r="M912" s="180" t="str">
        <f t="shared" si="1018"/>
        <v/>
      </c>
      <c r="N912" s="2" t="str">
        <f t="shared" si="1018"/>
        <v/>
      </c>
      <c r="O912" s="2">
        <f t="shared" si="977"/>
        <v>0</v>
      </c>
    </row>
    <row r="913" spans="1:15" x14ac:dyDescent="0.25">
      <c r="A913" s="2">
        <v>6</v>
      </c>
      <c r="B913" s="2">
        <f t="shared" si="1015"/>
        <v>0</v>
      </c>
      <c r="C913" s="2" t="str">
        <f t="shared" si="1016"/>
        <v>Elite</v>
      </c>
      <c r="D913" s="2">
        <f t="shared" si="1017"/>
        <v>0</v>
      </c>
      <c r="E913" s="2" t="str">
        <f t="shared" si="1018"/>
        <v>W</v>
      </c>
      <c r="F913" s="2" t="str">
        <f t="shared" si="1018"/>
        <v>Elite</v>
      </c>
      <c r="G913" s="2" t="str">
        <f t="shared" si="1018"/>
        <v/>
      </c>
      <c r="H913" s="2" t="str">
        <f t="shared" si="1018"/>
        <v/>
      </c>
      <c r="I913" s="2" t="str">
        <f t="shared" si="1018"/>
        <v/>
      </c>
      <c r="J913" s="2" t="str">
        <f t="shared" si="1018"/>
        <v/>
      </c>
      <c r="K913" s="2" t="str">
        <f t="shared" si="1018"/>
        <v/>
      </c>
      <c r="L913" s="2" t="str">
        <f t="shared" si="1018"/>
        <v/>
      </c>
      <c r="M913" s="180" t="str">
        <f t="shared" si="1018"/>
        <v/>
      </c>
      <c r="N913" s="2" t="str">
        <f t="shared" si="1018"/>
        <v/>
      </c>
      <c r="O913" s="2">
        <f t="shared" si="977"/>
        <v>0</v>
      </c>
    </row>
    <row r="914" spans="1:15" x14ac:dyDescent="0.25">
      <c r="A914" s="325">
        <v>1</v>
      </c>
      <c r="B914" s="325">
        <f>TrialNumber</f>
        <v>0</v>
      </c>
      <c r="C914" s="325" t="s">
        <v>2034</v>
      </c>
      <c r="D914" s="325">
        <f>Elite!C27</f>
        <v>0</v>
      </c>
      <c r="E914" s="325" t="str">
        <f>IF(Elite!B27="W","W","A")</f>
        <v>W</v>
      </c>
      <c r="F914" s="325" t="s">
        <v>2034</v>
      </c>
      <c r="G914" s="325" t="str">
        <f>IF(Elite!F27="e","Y","")</f>
        <v/>
      </c>
      <c r="H914" s="325" t="str">
        <f>IFERROR(VLOOKUP($D914,'SDDA Dogs'!$A:$AE,2,FALSE),"")</f>
        <v/>
      </c>
      <c r="I914" s="325" t="str">
        <f>IFERROR(VLOOKUP($D914,'SDDA Dogs'!$A:$AE,3,FALSE),"")</f>
        <v/>
      </c>
      <c r="J914" s="325" t="str">
        <f>IFERROR(VLOOKUP($D914,'SDDA Dogs'!$A:$AE,6,FALSE),"")</f>
        <v/>
      </c>
      <c r="K914" s="325" t="str">
        <f>IF(Elite!AR27="","",Elite!AR27)</f>
        <v/>
      </c>
      <c r="L914" s="325" t="str">
        <f>IF(Elite!AS27="","",Elite!AS27)</f>
        <v/>
      </c>
      <c r="M914" s="326" t="str">
        <f>TrialDate</f>
        <v/>
      </c>
      <c r="N914" s="325" t="str">
        <f t="shared" ref="N914" si="1019">N909</f>
        <v/>
      </c>
      <c r="O914" s="325">
        <f t="shared" si="977"/>
        <v>0</v>
      </c>
    </row>
    <row r="915" spans="1:15" x14ac:dyDescent="0.25">
      <c r="A915" s="2">
        <v>2</v>
      </c>
      <c r="B915" s="2">
        <f>B914</f>
        <v>0</v>
      </c>
      <c r="C915" s="2" t="str">
        <f>C914</f>
        <v>Elite</v>
      </c>
      <c r="D915" s="2">
        <f>D914</f>
        <v>0</v>
      </c>
      <c r="E915" s="2" t="str">
        <f>E914</f>
        <v>W</v>
      </c>
      <c r="F915" s="2" t="str">
        <f t="shared" si="863"/>
        <v>Elite</v>
      </c>
      <c r="G915" s="2" t="str">
        <f t="shared" ref="G915:N919" si="1020">G914</f>
        <v/>
      </c>
      <c r="H915" s="2" t="str">
        <f t="shared" si="1020"/>
        <v/>
      </c>
      <c r="I915" s="2" t="str">
        <f t="shared" si="1020"/>
        <v/>
      </c>
      <c r="J915" s="2" t="str">
        <f t="shared" si="1020"/>
        <v/>
      </c>
      <c r="K915" s="2" t="str">
        <f t="shared" si="1020"/>
        <v/>
      </c>
      <c r="L915" s="2" t="str">
        <f t="shared" ref="L915:L919" si="1021">L914</f>
        <v/>
      </c>
      <c r="M915" s="180" t="str">
        <f t="shared" si="1020"/>
        <v/>
      </c>
      <c r="N915" s="2" t="str">
        <f t="shared" si="1020"/>
        <v/>
      </c>
      <c r="O915" s="2">
        <f t="shared" si="977"/>
        <v>0</v>
      </c>
    </row>
    <row r="916" spans="1:15" x14ac:dyDescent="0.25">
      <c r="A916" s="327">
        <v>3</v>
      </c>
      <c r="B916" s="2">
        <f t="shared" ref="B916:B919" si="1022">B915</f>
        <v>0</v>
      </c>
      <c r="C916" s="2" t="str">
        <f t="shared" ref="C916:C919" si="1023">C915</f>
        <v>Elite</v>
      </c>
      <c r="D916" s="2">
        <f t="shared" ref="D916:D919" si="1024">D915</f>
        <v>0</v>
      </c>
      <c r="E916" s="2" t="str">
        <f t="shared" ref="E916:E919" si="1025">E915</f>
        <v>W</v>
      </c>
      <c r="F916" s="2" t="str">
        <f t="shared" si="863"/>
        <v>Elite</v>
      </c>
      <c r="G916" s="2" t="str">
        <f t="shared" si="1020"/>
        <v/>
      </c>
      <c r="H916" s="2" t="str">
        <f t="shared" si="1020"/>
        <v/>
      </c>
      <c r="I916" s="2" t="str">
        <f t="shared" si="1020"/>
        <v/>
      </c>
      <c r="J916" s="2" t="str">
        <f t="shared" si="1020"/>
        <v/>
      </c>
      <c r="K916" s="2" t="str">
        <f t="shared" si="1020"/>
        <v/>
      </c>
      <c r="L916" s="2" t="str">
        <f t="shared" si="1021"/>
        <v/>
      </c>
      <c r="M916" s="180" t="str">
        <f t="shared" si="1020"/>
        <v/>
      </c>
      <c r="N916" s="2" t="str">
        <f t="shared" si="1020"/>
        <v/>
      </c>
      <c r="O916" s="2">
        <f t="shared" si="977"/>
        <v>0</v>
      </c>
    </row>
    <row r="917" spans="1:15" x14ac:dyDescent="0.25">
      <c r="A917" s="2">
        <v>4</v>
      </c>
      <c r="B917" s="2">
        <f t="shared" si="1022"/>
        <v>0</v>
      </c>
      <c r="C917" s="2" t="str">
        <f t="shared" si="1023"/>
        <v>Elite</v>
      </c>
      <c r="D917" s="2">
        <f t="shared" si="1024"/>
        <v>0</v>
      </c>
      <c r="E917" s="2" t="str">
        <f t="shared" si="1025"/>
        <v>W</v>
      </c>
      <c r="F917" s="2" t="str">
        <f t="shared" si="863"/>
        <v>Elite</v>
      </c>
      <c r="G917" s="2" t="str">
        <f t="shared" si="1020"/>
        <v/>
      </c>
      <c r="H917" s="2" t="str">
        <f t="shared" si="1020"/>
        <v/>
      </c>
      <c r="I917" s="2" t="str">
        <f t="shared" si="1020"/>
        <v/>
      </c>
      <c r="J917" s="2" t="str">
        <f t="shared" si="1020"/>
        <v/>
      </c>
      <c r="K917" s="2" t="str">
        <f t="shared" si="1020"/>
        <v/>
      </c>
      <c r="L917" s="2" t="str">
        <f t="shared" si="1021"/>
        <v/>
      </c>
      <c r="M917" s="180" t="str">
        <f t="shared" si="1020"/>
        <v/>
      </c>
      <c r="N917" s="2" t="str">
        <f t="shared" si="1020"/>
        <v/>
      </c>
      <c r="O917" s="2">
        <f t="shared" si="977"/>
        <v>0</v>
      </c>
    </row>
    <row r="918" spans="1:15" x14ac:dyDescent="0.25">
      <c r="A918" s="327">
        <v>5</v>
      </c>
      <c r="B918" s="2">
        <f t="shared" si="1022"/>
        <v>0</v>
      </c>
      <c r="C918" s="2" t="str">
        <f t="shared" si="1023"/>
        <v>Elite</v>
      </c>
      <c r="D918" s="2">
        <f t="shared" si="1024"/>
        <v>0</v>
      </c>
      <c r="E918" s="2" t="str">
        <f t="shared" si="1025"/>
        <v>W</v>
      </c>
      <c r="F918" s="2" t="str">
        <f t="shared" si="863"/>
        <v>Elite</v>
      </c>
      <c r="G918" s="2" t="str">
        <f t="shared" si="1020"/>
        <v/>
      </c>
      <c r="H918" s="2" t="str">
        <f t="shared" si="1020"/>
        <v/>
      </c>
      <c r="I918" s="2" t="str">
        <f t="shared" si="1020"/>
        <v/>
      </c>
      <c r="J918" s="2" t="str">
        <f t="shared" si="1020"/>
        <v/>
      </c>
      <c r="K918" s="2" t="str">
        <f t="shared" si="1020"/>
        <v/>
      </c>
      <c r="L918" s="2" t="str">
        <f t="shared" si="1021"/>
        <v/>
      </c>
      <c r="M918" s="180" t="str">
        <f t="shared" si="1020"/>
        <v/>
      </c>
      <c r="N918" s="2" t="str">
        <f t="shared" si="1020"/>
        <v/>
      </c>
      <c r="O918" s="2">
        <f t="shared" si="977"/>
        <v>0</v>
      </c>
    </row>
    <row r="919" spans="1:15" x14ac:dyDescent="0.25">
      <c r="A919" s="2">
        <v>6</v>
      </c>
      <c r="B919" s="2">
        <f t="shared" si="1022"/>
        <v>0</v>
      </c>
      <c r="C919" s="2" t="str">
        <f t="shared" si="1023"/>
        <v>Elite</v>
      </c>
      <c r="D919" s="2">
        <f t="shared" si="1024"/>
        <v>0</v>
      </c>
      <c r="E919" s="2" t="str">
        <f t="shared" si="1025"/>
        <v>W</v>
      </c>
      <c r="F919" s="2" t="str">
        <f t="shared" si="863"/>
        <v>Elite</v>
      </c>
      <c r="G919" s="2" t="str">
        <f t="shared" si="1020"/>
        <v/>
      </c>
      <c r="H919" s="2" t="str">
        <f t="shared" si="1020"/>
        <v/>
      </c>
      <c r="I919" s="2" t="str">
        <f t="shared" si="1020"/>
        <v/>
      </c>
      <c r="J919" s="2" t="str">
        <f t="shared" si="1020"/>
        <v/>
      </c>
      <c r="K919" s="2" t="str">
        <f t="shared" si="1020"/>
        <v/>
      </c>
      <c r="L919" s="2" t="str">
        <f t="shared" si="1021"/>
        <v/>
      </c>
      <c r="M919" s="180" t="str">
        <f t="shared" si="1020"/>
        <v/>
      </c>
      <c r="N919" s="2" t="str">
        <f t="shared" si="1020"/>
        <v/>
      </c>
      <c r="O919" s="2">
        <f t="shared" si="977"/>
        <v>0</v>
      </c>
    </row>
    <row r="920" spans="1:15" x14ac:dyDescent="0.25">
      <c r="A920" s="325">
        <v>1</v>
      </c>
      <c r="B920" s="325">
        <f>TrialNumber</f>
        <v>0</v>
      </c>
      <c r="C920" s="325" t="s">
        <v>2034</v>
      </c>
      <c r="D920" s="325">
        <f>Elite!C28</f>
        <v>0</v>
      </c>
      <c r="E920" s="325" t="str">
        <f>IF(Elite!B28="W","W","A")</f>
        <v>W</v>
      </c>
      <c r="F920" s="325" t="s">
        <v>2034</v>
      </c>
      <c r="G920" s="325" t="str">
        <f>IF(Elite!F28="e","Y","")</f>
        <v/>
      </c>
      <c r="H920" s="325" t="str">
        <f>IFERROR(VLOOKUP($D920,'SDDA Dogs'!$A:$AE,2,FALSE),"")</f>
        <v/>
      </c>
      <c r="I920" s="325" t="str">
        <f>IFERROR(VLOOKUP($D920,'SDDA Dogs'!$A:$AE,3,FALSE),"")</f>
        <v/>
      </c>
      <c r="J920" s="325" t="str">
        <f>IFERROR(VLOOKUP($D920,'SDDA Dogs'!$A:$AE,6,FALSE),"")</f>
        <v/>
      </c>
      <c r="K920" s="325" t="str">
        <f>IF(Elite!AR28="","",Elite!AR28)</f>
        <v/>
      </c>
      <c r="L920" s="325" t="str">
        <f>IF(Elite!AS28="","",Elite!AS28)</f>
        <v/>
      </c>
      <c r="M920" s="326" t="str">
        <f>TrialDate</f>
        <v/>
      </c>
      <c r="N920" s="325" t="str">
        <f t="shared" ref="N920" si="1026">N915</f>
        <v/>
      </c>
      <c r="O920" s="325">
        <f t="shared" si="977"/>
        <v>0</v>
      </c>
    </row>
    <row r="921" spans="1:15" x14ac:dyDescent="0.25">
      <c r="A921" s="2">
        <v>2</v>
      </c>
      <c r="B921" s="2">
        <f>B920</f>
        <v>0</v>
      </c>
      <c r="C921" s="2" t="str">
        <f>C920</f>
        <v>Elite</v>
      </c>
      <c r="D921" s="2">
        <f>D920</f>
        <v>0</v>
      </c>
      <c r="E921" s="2" t="str">
        <f>E920</f>
        <v>W</v>
      </c>
      <c r="F921" s="2" t="str">
        <f t="shared" si="863"/>
        <v>Elite</v>
      </c>
      <c r="G921" s="2" t="str">
        <f t="shared" ref="G921:N921" si="1027">G920</f>
        <v/>
      </c>
      <c r="H921" s="2" t="str">
        <f t="shared" si="1027"/>
        <v/>
      </c>
      <c r="I921" s="2" t="str">
        <f t="shared" si="1027"/>
        <v/>
      </c>
      <c r="J921" s="2" t="str">
        <f t="shared" si="1027"/>
        <v/>
      </c>
      <c r="K921" s="2" t="str">
        <f t="shared" si="1027"/>
        <v/>
      </c>
      <c r="L921" s="2" t="str">
        <f t="shared" ref="L921:N925" si="1028">L920</f>
        <v/>
      </c>
      <c r="M921" s="180" t="str">
        <f t="shared" si="1027"/>
        <v/>
      </c>
      <c r="N921" s="2" t="str">
        <f t="shared" si="1027"/>
        <v/>
      </c>
      <c r="O921" s="2">
        <f t="shared" si="977"/>
        <v>0</v>
      </c>
    </row>
    <row r="922" spans="1:15" x14ac:dyDescent="0.25">
      <c r="A922" s="327">
        <v>3</v>
      </c>
      <c r="B922" s="2">
        <f t="shared" ref="B922:B925" si="1029">B921</f>
        <v>0</v>
      </c>
      <c r="C922" s="2" t="str">
        <f t="shared" ref="C922:C925" si="1030">C921</f>
        <v>Elite</v>
      </c>
      <c r="D922" s="2">
        <f t="shared" ref="D922:D925" si="1031">D921</f>
        <v>0</v>
      </c>
      <c r="E922" s="2" t="str">
        <f t="shared" ref="E922:K925" si="1032">E921</f>
        <v>W</v>
      </c>
      <c r="F922" s="2" t="str">
        <f t="shared" si="1032"/>
        <v>Elite</v>
      </c>
      <c r="G922" s="2" t="str">
        <f t="shared" si="1032"/>
        <v/>
      </c>
      <c r="H922" s="2" t="str">
        <f t="shared" si="1032"/>
        <v/>
      </c>
      <c r="I922" s="2" t="str">
        <f t="shared" si="1032"/>
        <v/>
      </c>
      <c r="J922" s="2" t="str">
        <f t="shared" si="1032"/>
        <v/>
      </c>
      <c r="K922" s="2" t="str">
        <f t="shared" si="1032"/>
        <v/>
      </c>
      <c r="L922" s="2" t="str">
        <f t="shared" si="1028"/>
        <v/>
      </c>
      <c r="M922" s="180" t="str">
        <f t="shared" si="1028"/>
        <v/>
      </c>
      <c r="N922" s="2" t="str">
        <f t="shared" si="1028"/>
        <v/>
      </c>
      <c r="O922" s="2">
        <f t="shared" si="977"/>
        <v>0</v>
      </c>
    </row>
    <row r="923" spans="1:15" x14ac:dyDescent="0.25">
      <c r="A923" s="2">
        <v>4</v>
      </c>
      <c r="B923" s="2">
        <f t="shared" si="1029"/>
        <v>0</v>
      </c>
      <c r="C923" s="2" t="str">
        <f t="shared" si="1030"/>
        <v>Elite</v>
      </c>
      <c r="D923" s="2">
        <f t="shared" si="1031"/>
        <v>0</v>
      </c>
      <c r="E923" s="2" t="str">
        <f t="shared" si="1032"/>
        <v>W</v>
      </c>
      <c r="F923" s="2" t="str">
        <f t="shared" si="1032"/>
        <v>Elite</v>
      </c>
      <c r="G923" s="2" t="str">
        <f t="shared" si="1032"/>
        <v/>
      </c>
      <c r="H923" s="2" t="str">
        <f t="shared" si="1032"/>
        <v/>
      </c>
      <c r="I923" s="2" t="str">
        <f t="shared" si="1032"/>
        <v/>
      </c>
      <c r="J923" s="2" t="str">
        <f t="shared" si="1032"/>
        <v/>
      </c>
      <c r="K923" s="2" t="str">
        <f t="shared" si="1032"/>
        <v/>
      </c>
      <c r="L923" s="2" t="str">
        <f t="shared" si="1028"/>
        <v/>
      </c>
      <c r="M923" s="180" t="str">
        <f t="shared" si="1028"/>
        <v/>
      </c>
      <c r="N923" s="2" t="str">
        <f t="shared" si="1028"/>
        <v/>
      </c>
      <c r="O923" s="2">
        <f t="shared" si="977"/>
        <v>0</v>
      </c>
    </row>
    <row r="924" spans="1:15" x14ac:dyDescent="0.25">
      <c r="A924" s="327">
        <v>5</v>
      </c>
      <c r="B924" s="2">
        <f t="shared" si="1029"/>
        <v>0</v>
      </c>
      <c r="C924" s="2" t="str">
        <f t="shared" si="1030"/>
        <v>Elite</v>
      </c>
      <c r="D924" s="2">
        <f t="shared" si="1031"/>
        <v>0</v>
      </c>
      <c r="E924" s="2" t="str">
        <f t="shared" si="1032"/>
        <v>W</v>
      </c>
      <c r="F924" s="2" t="str">
        <f t="shared" si="1032"/>
        <v>Elite</v>
      </c>
      <c r="G924" s="2" t="str">
        <f t="shared" si="1032"/>
        <v/>
      </c>
      <c r="H924" s="2" t="str">
        <f t="shared" si="1032"/>
        <v/>
      </c>
      <c r="I924" s="2" t="str">
        <f t="shared" si="1032"/>
        <v/>
      </c>
      <c r="J924" s="2" t="str">
        <f t="shared" si="1032"/>
        <v/>
      </c>
      <c r="K924" s="2" t="str">
        <f t="shared" si="1032"/>
        <v/>
      </c>
      <c r="L924" s="2" t="str">
        <f t="shared" si="1028"/>
        <v/>
      </c>
      <c r="M924" s="180" t="str">
        <f t="shared" si="1028"/>
        <v/>
      </c>
      <c r="N924" s="2" t="str">
        <f t="shared" si="1028"/>
        <v/>
      </c>
      <c r="O924" s="2">
        <f t="shared" si="977"/>
        <v>0</v>
      </c>
    </row>
    <row r="925" spans="1:15" x14ac:dyDescent="0.25">
      <c r="A925" s="2">
        <v>6</v>
      </c>
      <c r="B925" s="2">
        <f t="shared" si="1029"/>
        <v>0</v>
      </c>
      <c r="C925" s="2" t="str">
        <f t="shared" si="1030"/>
        <v>Elite</v>
      </c>
      <c r="D925" s="2">
        <f t="shared" si="1031"/>
        <v>0</v>
      </c>
      <c r="E925" s="2" t="str">
        <f t="shared" si="1032"/>
        <v>W</v>
      </c>
      <c r="F925" s="2" t="str">
        <f t="shared" si="1032"/>
        <v>Elite</v>
      </c>
      <c r="G925" s="2" t="str">
        <f t="shared" si="1032"/>
        <v/>
      </c>
      <c r="H925" s="2" t="str">
        <f t="shared" si="1032"/>
        <v/>
      </c>
      <c r="I925" s="2" t="str">
        <f t="shared" si="1032"/>
        <v/>
      </c>
      <c r="J925" s="2" t="str">
        <f t="shared" si="1032"/>
        <v/>
      </c>
      <c r="K925" s="2" t="str">
        <f t="shared" si="1032"/>
        <v/>
      </c>
      <c r="L925" s="2" t="str">
        <f t="shared" si="1028"/>
        <v/>
      </c>
      <c r="M925" s="180" t="str">
        <f t="shared" si="1028"/>
        <v/>
      </c>
      <c r="N925" s="2" t="str">
        <f t="shared" si="1028"/>
        <v/>
      </c>
      <c r="O925" s="2">
        <f t="shared" si="977"/>
        <v>0</v>
      </c>
    </row>
    <row r="926" spans="1:15" x14ac:dyDescent="0.25">
      <c r="A926" s="325">
        <v>1</v>
      </c>
      <c r="B926" s="325">
        <f>TrialNumber</f>
        <v>0</v>
      </c>
      <c r="C926" s="325" t="s">
        <v>2034</v>
      </c>
      <c r="D926" s="325">
        <f>Elite!C29</f>
        <v>0</v>
      </c>
      <c r="E926" s="325" t="str">
        <f>IF(Elite!B29="W","W","A")</f>
        <v>W</v>
      </c>
      <c r="F926" s="325" t="s">
        <v>2034</v>
      </c>
      <c r="G926" s="325" t="str">
        <f>IF(Elite!F29="e","Y","")</f>
        <v/>
      </c>
      <c r="H926" s="325" t="str">
        <f>IFERROR(VLOOKUP($D926,'SDDA Dogs'!$A:$AE,2,FALSE),"")</f>
        <v/>
      </c>
      <c r="I926" s="325" t="str">
        <f>IFERROR(VLOOKUP($D926,'SDDA Dogs'!$A:$AE,3,FALSE),"")</f>
        <v/>
      </c>
      <c r="J926" s="325" t="str">
        <f>IFERROR(VLOOKUP($D926,'SDDA Dogs'!$A:$AE,6,FALSE),"")</f>
        <v/>
      </c>
      <c r="K926" s="325" t="str">
        <f>IF(Elite!AR29="","",Elite!AR29)</f>
        <v/>
      </c>
      <c r="L926" s="325" t="str">
        <f>IF(Elite!AS29="","",Elite!AS29)</f>
        <v/>
      </c>
      <c r="M926" s="326" t="str">
        <f>TrialDate</f>
        <v/>
      </c>
      <c r="N926" s="325" t="str">
        <f t="shared" ref="N926" si="1033">N921</f>
        <v/>
      </c>
      <c r="O926" s="325">
        <f t="shared" si="977"/>
        <v>0</v>
      </c>
    </row>
    <row r="927" spans="1:15" x14ac:dyDescent="0.25">
      <c r="A927" s="2">
        <v>2</v>
      </c>
      <c r="B927" s="2">
        <f>B926</f>
        <v>0</v>
      </c>
      <c r="C927" s="2" t="str">
        <f>C926</f>
        <v>Elite</v>
      </c>
      <c r="D927" s="2">
        <f>D926</f>
        <v>0</v>
      </c>
      <c r="E927" s="2" t="str">
        <f>E926</f>
        <v>W</v>
      </c>
      <c r="F927" s="2" t="str">
        <f t="shared" si="863"/>
        <v>Elite</v>
      </c>
      <c r="G927" s="2" t="str">
        <f t="shared" ref="G927:N931" si="1034">G926</f>
        <v/>
      </c>
      <c r="H927" s="2" t="str">
        <f t="shared" si="1034"/>
        <v/>
      </c>
      <c r="I927" s="2" t="str">
        <f t="shared" si="1034"/>
        <v/>
      </c>
      <c r="J927" s="2" t="str">
        <f t="shared" si="1034"/>
        <v/>
      </c>
      <c r="K927" s="2" t="str">
        <f t="shared" si="1034"/>
        <v/>
      </c>
      <c r="L927" s="2" t="str">
        <f t="shared" ref="L927" si="1035">L926</f>
        <v/>
      </c>
      <c r="M927" s="180" t="str">
        <f t="shared" si="1034"/>
        <v/>
      </c>
      <c r="N927" s="2" t="str">
        <f t="shared" si="1034"/>
        <v/>
      </c>
      <c r="O927" s="2">
        <f t="shared" si="977"/>
        <v>0</v>
      </c>
    </row>
    <row r="928" spans="1:15" x14ac:dyDescent="0.25">
      <c r="A928" s="327">
        <v>3</v>
      </c>
      <c r="B928" s="2">
        <f t="shared" ref="B928:B931" si="1036">B927</f>
        <v>0</v>
      </c>
      <c r="C928" s="2" t="str">
        <f t="shared" ref="C928:C931" si="1037">C927</f>
        <v>Elite</v>
      </c>
      <c r="D928" s="2">
        <f t="shared" ref="D928:D931" si="1038">D927</f>
        <v>0</v>
      </c>
      <c r="E928" s="2" t="str">
        <f t="shared" ref="E928:E931" si="1039">E927</f>
        <v>W</v>
      </c>
      <c r="F928" s="2" t="str">
        <f t="shared" si="863"/>
        <v>Elite</v>
      </c>
      <c r="G928" s="2" t="str">
        <f t="shared" si="1034"/>
        <v/>
      </c>
      <c r="H928" s="2" t="str">
        <f t="shared" si="1034"/>
        <v/>
      </c>
      <c r="I928" s="2" t="str">
        <f t="shared" si="1034"/>
        <v/>
      </c>
      <c r="J928" s="2" t="str">
        <f t="shared" si="1034"/>
        <v/>
      </c>
      <c r="K928" s="2" t="str">
        <f t="shared" si="1034"/>
        <v/>
      </c>
      <c r="L928" s="2" t="str">
        <f t="shared" si="1034"/>
        <v/>
      </c>
      <c r="M928" s="180" t="str">
        <f t="shared" si="1034"/>
        <v/>
      </c>
      <c r="N928" s="2" t="str">
        <f t="shared" si="1034"/>
        <v/>
      </c>
      <c r="O928" s="2">
        <f t="shared" si="977"/>
        <v>0</v>
      </c>
    </row>
    <row r="929" spans="1:15" x14ac:dyDescent="0.25">
      <c r="A929" s="2">
        <v>4</v>
      </c>
      <c r="B929" s="2">
        <f t="shared" si="1036"/>
        <v>0</v>
      </c>
      <c r="C929" s="2" t="str">
        <f t="shared" si="1037"/>
        <v>Elite</v>
      </c>
      <c r="D929" s="2">
        <f t="shared" si="1038"/>
        <v>0</v>
      </c>
      <c r="E929" s="2" t="str">
        <f t="shared" si="1039"/>
        <v>W</v>
      </c>
      <c r="F929" s="2" t="str">
        <f t="shared" si="863"/>
        <v>Elite</v>
      </c>
      <c r="G929" s="2" t="str">
        <f t="shared" si="1034"/>
        <v/>
      </c>
      <c r="H929" s="2" t="str">
        <f t="shared" si="1034"/>
        <v/>
      </c>
      <c r="I929" s="2" t="str">
        <f t="shared" si="1034"/>
        <v/>
      </c>
      <c r="J929" s="2" t="str">
        <f t="shared" si="1034"/>
        <v/>
      </c>
      <c r="K929" s="2" t="str">
        <f t="shared" si="1034"/>
        <v/>
      </c>
      <c r="L929" s="2" t="str">
        <f t="shared" si="1034"/>
        <v/>
      </c>
      <c r="M929" s="180" t="str">
        <f t="shared" si="1034"/>
        <v/>
      </c>
      <c r="N929" s="2" t="str">
        <f t="shared" si="1034"/>
        <v/>
      </c>
      <c r="O929" s="2">
        <f t="shared" si="977"/>
        <v>0</v>
      </c>
    </row>
    <row r="930" spans="1:15" x14ac:dyDescent="0.25">
      <c r="A930" s="327">
        <v>5</v>
      </c>
      <c r="B930" s="2">
        <f t="shared" si="1036"/>
        <v>0</v>
      </c>
      <c r="C930" s="2" t="str">
        <f t="shared" si="1037"/>
        <v>Elite</v>
      </c>
      <c r="D930" s="2">
        <f t="shared" si="1038"/>
        <v>0</v>
      </c>
      <c r="E930" s="2" t="str">
        <f t="shared" si="1039"/>
        <v>W</v>
      </c>
      <c r="F930" s="2" t="str">
        <f t="shared" si="863"/>
        <v>Elite</v>
      </c>
      <c r="G930" s="2" t="str">
        <f t="shared" si="1034"/>
        <v/>
      </c>
      <c r="H930" s="2" t="str">
        <f t="shared" si="1034"/>
        <v/>
      </c>
      <c r="I930" s="2" t="str">
        <f t="shared" si="1034"/>
        <v/>
      </c>
      <c r="J930" s="2" t="str">
        <f t="shared" si="1034"/>
        <v/>
      </c>
      <c r="K930" s="2" t="str">
        <f t="shared" si="1034"/>
        <v/>
      </c>
      <c r="L930" s="2" t="str">
        <f t="shared" si="1034"/>
        <v/>
      </c>
      <c r="M930" s="180" t="str">
        <f t="shared" si="1034"/>
        <v/>
      </c>
      <c r="N930" s="2" t="str">
        <f t="shared" si="1034"/>
        <v/>
      </c>
      <c r="O930" s="2">
        <f t="shared" si="977"/>
        <v>0</v>
      </c>
    </row>
    <row r="931" spans="1:15" x14ac:dyDescent="0.25">
      <c r="A931" s="2">
        <v>6</v>
      </c>
      <c r="B931" s="2">
        <f t="shared" si="1036"/>
        <v>0</v>
      </c>
      <c r="C931" s="2" t="str">
        <f t="shared" si="1037"/>
        <v>Elite</v>
      </c>
      <c r="D931" s="2">
        <f t="shared" si="1038"/>
        <v>0</v>
      </c>
      <c r="E931" s="2" t="str">
        <f t="shared" si="1039"/>
        <v>W</v>
      </c>
      <c r="F931" s="2" t="str">
        <f t="shared" si="863"/>
        <v>Elite</v>
      </c>
      <c r="G931" s="2" t="str">
        <f t="shared" si="1034"/>
        <v/>
      </c>
      <c r="H931" s="2" t="str">
        <f t="shared" si="1034"/>
        <v/>
      </c>
      <c r="I931" s="2" t="str">
        <f t="shared" si="1034"/>
        <v/>
      </c>
      <c r="J931" s="2" t="str">
        <f t="shared" si="1034"/>
        <v/>
      </c>
      <c r="K931" s="2" t="str">
        <f t="shared" si="1034"/>
        <v/>
      </c>
      <c r="L931" s="2" t="str">
        <f t="shared" si="1034"/>
        <v/>
      </c>
      <c r="M931" s="180" t="str">
        <f t="shared" si="1034"/>
        <v/>
      </c>
      <c r="N931" s="2" t="str">
        <f t="shared" si="1034"/>
        <v/>
      </c>
      <c r="O931" s="2">
        <f t="shared" si="977"/>
        <v>0</v>
      </c>
    </row>
    <row r="932" spans="1:15" x14ac:dyDescent="0.25">
      <c r="A932" s="325">
        <v>1</v>
      </c>
      <c r="B932" s="325">
        <f>TrialNumber</f>
        <v>0</v>
      </c>
      <c r="C932" s="325" t="s">
        <v>2034</v>
      </c>
      <c r="D932" s="325">
        <f>Elite!C30</f>
        <v>0</v>
      </c>
      <c r="E932" s="325" t="str">
        <f>IF(Elite!B30="W","W","A")</f>
        <v>W</v>
      </c>
      <c r="F932" s="325" t="s">
        <v>2034</v>
      </c>
      <c r="G932" s="325" t="str">
        <f>IF(Elite!F30="e","Y","")</f>
        <v/>
      </c>
      <c r="H932" s="325" t="str">
        <f>IFERROR(VLOOKUP($D932,'SDDA Dogs'!$A:$AE,2,FALSE),"")</f>
        <v/>
      </c>
      <c r="I932" s="325" t="str">
        <f>IFERROR(VLOOKUP($D932,'SDDA Dogs'!$A:$AE,3,FALSE),"")</f>
        <v/>
      </c>
      <c r="J932" s="325" t="str">
        <f>IFERROR(VLOOKUP($D932,'SDDA Dogs'!$A:$AE,6,FALSE),"")</f>
        <v/>
      </c>
      <c r="K932" s="325" t="str">
        <f>IF(Elite!AR30="","",Elite!AR30)</f>
        <v/>
      </c>
      <c r="L932" s="325" t="str">
        <f>IF(Elite!AS30="","",Elite!AS30)</f>
        <v/>
      </c>
      <c r="M932" s="326" t="str">
        <f>TrialDate</f>
        <v/>
      </c>
      <c r="N932" s="325" t="str">
        <f t="shared" ref="N932" si="1040">N927</f>
        <v/>
      </c>
      <c r="O932" s="325">
        <f t="shared" si="977"/>
        <v>0</v>
      </c>
    </row>
    <row r="933" spans="1:15" x14ac:dyDescent="0.25">
      <c r="A933" s="2">
        <v>2</v>
      </c>
      <c r="B933" s="2">
        <f>B932</f>
        <v>0</v>
      </c>
      <c r="C933" s="2" t="str">
        <f>C932</f>
        <v>Elite</v>
      </c>
      <c r="D933" s="2">
        <f>D932</f>
        <v>0</v>
      </c>
      <c r="E933" s="2" t="str">
        <f>E932</f>
        <v>W</v>
      </c>
      <c r="F933" s="2" t="str">
        <f t="shared" si="863"/>
        <v>Elite</v>
      </c>
      <c r="G933" s="2" t="str">
        <f t="shared" ref="G933:N933" si="1041">G932</f>
        <v/>
      </c>
      <c r="H933" s="2" t="str">
        <f t="shared" si="1041"/>
        <v/>
      </c>
      <c r="I933" s="2" t="str">
        <f t="shared" si="1041"/>
        <v/>
      </c>
      <c r="J933" s="2" t="str">
        <f t="shared" si="1041"/>
        <v/>
      </c>
      <c r="K933" s="2" t="str">
        <f t="shared" si="1041"/>
        <v/>
      </c>
      <c r="L933" s="2" t="str">
        <f t="shared" ref="L933" si="1042">L932</f>
        <v/>
      </c>
      <c r="M933" s="180" t="str">
        <f t="shared" si="1041"/>
        <v/>
      </c>
      <c r="N933" s="2" t="str">
        <f t="shared" si="1041"/>
        <v/>
      </c>
      <c r="O933" s="2">
        <f t="shared" si="977"/>
        <v>0</v>
      </c>
    </row>
    <row r="934" spans="1:15" x14ac:dyDescent="0.25">
      <c r="A934" s="327">
        <v>3</v>
      </c>
      <c r="B934" s="2">
        <f t="shared" ref="B934:B937" si="1043">B933</f>
        <v>0</v>
      </c>
      <c r="C934" s="2" t="str">
        <f t="shared" ref="C934:C937" si="1044">C933</f>
        <v>Elite</v>
      </c>
      <c r="D934" s="2">
        <f t="shared" ref="D934:D937" si="1045">D933</f>
        <v>0</v>
      </c>
      <c r="E934" s="2" t="str">
        <f t="shared" ref="E934:N937" si="1046">E933</f>
        <v>W</v>
      </c>
      <c r="F934" s="2" t="str">
        <f t="shared" si="1046"/>
        <v>Elite</v>
      </c>
      <c r="G934" s="2" t="str">
        <f t="shared" si="1046"/>
        <v/>
      </c>
      <c r="H934" s="2" t="str">
        <f t="shared" si="1046"/>
        <v/>
      </c>
      <c r="I934" s="2" t="str">
        <f t="shared" si="1046"/>
        <v/>
      </c>
      <c r="J934" s="2" t="str">
        <f t="shared" si="1046"/>
        <v/>
      </c>
      <c r="K934" s="2" t="str">
        <f t="shared" si="1046"/>
        <v/>
      </c>
      <c r="L934" s="2" t="str">
        <f t="shared" si="1046"/>
        <v/>
      </c>
      <c r="M934" s="180" t="str">
        <f t="shared" si="1046"/>
        <v/>
      </c>
      <c r="N934" s="2" t="str">
        <f t="shared" si="1046"/>
        <v/>
      </c>
      <c r="O934" s="2">
        <f t="shared" si="977"/>
        <v>0</v>
      </c>
    </row>
    <row r="935" spans="1:15" x14ac:dyDescent="0.25">
      <c r="A935" s="2">
        <v>4</v>
      </c>
      <c r="B935" s="2">
        <f t="shared" si="1043"/>
        <v>0</v>
      </c>
      <c r="C935" s="2" t="str">
        <f t="shared" si="1044"/>
        <v>Elite</v>
      </c>
      <c r="D935" s="2">
        <f t="shared" si="1045"/>
        <v>0</v>
      </c>
      <c r="E935" s="2" t="str">
        <f t="shared" si="1046"/>
        <v>W</v>
      </c>
      <c r="F935" s="2" t="str">
        <f t="shared" si="1046"/>
        <v>Elite</v>
      </c>
      <c r="G935" s="2" t="str">
        <f t="shared" si="1046"/>
        <v/>
      </c>
      <c r="H935" s="2" t="str">
        <f t="shared" si="1046"/>
        <v/>
      </c>
      <c r="I935" s="2" t="str">
        <f t="shared" si="1046"/>
        <v/>
      </c>
      <c r="J935" s="2" t="str">
        <f t="shared" si="1046"/>
        <v/>
      </c>
      <c r="K935" s="2" t="str">
        <f t="shared" si="1046"/>
        <v/>
      </c>
      <c r="L935" s="2" t="str">
        <f t="shared" si="1046"/>
        <v/>
      </c>
      <c r="M935" s="180" t="str">
        <f t="shared" si="1046"/>
        <v/>
      </c>
      <c r="N935" s="2" t="str">
        <f t="shared" si="1046"/>
        <v/>
      </c>
      <c r="O935" s="2">
        <f t="shared" si="977"/>
        <v>0</v>
      </c>
    </row>
    <row r="936" spans="1:15" x14ac:dyDescent="0.25">
      <c r="A936" s="327">
        <v>5</v>
      </c>
      <c r="B936" s="2">
        <f t="shared" si="1043"/>
        <v>0</v>
      </c>
      <c r="C936" s="2" t="str">
        <f t="shared" si="1044"/>
        <v>Elite</v>
      </c>
      <c r="D936" s="2">
        <f t="shared" si="1045"/>
        <v>0</v>
      </c>
      <c r="E936" s="2" t="str">
        <f t="shared" si="1046"/>
        <v>W</v>
      </c>
      <c r="F936" s="2" t="str">
        <f t="shared" si="1046"/>
        <v>Elite</v>
      </c>
      <c r="G936" s="2" t="str">
        <f t="shared" si="1046"/>
        <v/>
      </c>
      <c r="H936" s="2" t="str">
        <f t="shared" si="1046"/>
        <v/>
      </c>
      <c r="I936" s="2" t="str">
        <f t="shared" si="1046"/>
        <v/>
      </c>
      <c r="J936" s="2" t="str">
        <f t="shared" si="1046"/>
        <v/>
      </c>
      <c r="K936" s="2" t="str">
        <f t="shared" si="1046"/>
        <v/>
      </c>
      <c r="L936" s="2" t="str">
        <f t="shared" si="1046"/>
        <v/>
      </c>
      <c r="M936" s="180" t="str">
        <f t="shared" si="1046"/>
        <v/>
      </c>
      <c r="N936" s="2" t="str">
        <f t="shared" si="1046"/>
        <v/>
      </c>
      <c r="O936" s="2">
        <f t="shared" si="977"/>
        <v>0</v>
      </c>
    </row>
    <row r="937" spans="1:15" x14ac:dyDescent="0.25">
      <c r="A937" s="2">
        <v>6</v>
      </c>
      <c r="B937" s="2">
        <f t="shared" si="1043"/>
        <v>0</v>
      </c>
      <c r="C937" s="2" t="str">
        <f t="shared" si="1044"/>
        <v>Elite</v>
      </c>
      <c r="D937" s="2">
        <f t="shared" si="1045"/>
        <v>0</v>
      </c>
      <c r="E937" s="2" t="str">
        <f t="shared" si="1046"/>
        <v>W</v>
      </c>
      <c r="F937" s="2" t="str">
        <f t="shared" si="1046"/>
        <v>Elite</v>
      </c>
      <c r="G937" s="2" t="str">
        <f t="shared" si="1046"/>
        <v/>
      </c>
      <c r="H937" s="2" t="str">
        <f t="shared" si="1046"/>
        <v/>
      </c>
      <c r="I937" s="2" t="str">
        <f t="shared" si="1046"/>
        <v/>
      </c>
      <c r="J937" s="2" t="str">
        <f t="shared" si="1046"/>
        <v/>
      </c>
      <c r="K937" s="2" t="str">
        <f t="shared" si="1046"/>
        <v/>
      </c>
      <c r="L937" s="2" t="str">
        <f t="shared" si="1046"/>
        <v/>
      </c>
      <c r="M937" s="180" t="str">
        <f t="shared" si="1046"/>
        <v/>
      </c>
      <c r="N937" s="2" t="str">
        <f t="shared" si="1046"/>
        <v/>
      </c>
      <c r="O937" s="2">
        <f t="shared" si="977"/>
        <v>0</v>
      </c>
    </row>
    <row r="938" spans="1:15" x14ac:dyDescent="0.25">
      <c r="A938" s="325">
        <v>1</v>
      </c>
      <c r="B938" s="325">
        <f>TrialNumber</f>
        <v>0</v>
      </c>
      <c r="C938" s="325" t="s">
        <v>2034</v>
      </c>
      <c r="D938" s="325">
        <f>Elite!C31</f>
        <v>0</v>
      </c>
      <c r="E938" s="325" t="str">
        <f>IF(Elite!B31="W","W","A")</f>
        <v>W</v>
      </c>
      <c r="F938" s="325" t="s">
        <v>2034</v>
      </c>
      <c r="G938" s="325" t="str">
        <f>IF(Elite!F31="e","Y","")</f>
        <v/>
      </c>
      <c r="H938" s="325" t="str">
        <f>IFERROR(VLOOKUP($D938,'SDDA Dogs'!$A:$AE,2,FALSE),"")</f>
        <v/>
      </c>
      <c r="I938" s="325" t="str">
        <f>IFERROR(VLOOKUP($D938,'SDDA Dogs'!$A:$AE,3,FALSE),"")</f>
        <v/>
      </c>
      <c r="J938" s="325" t="str">
        <f>IFERROR(VLOOKUP($D938,'SDDA Dogs'!$A:$AE,6,FALSE),"")</f>
        <v/>
      </c>
      <c r="K938" s="325" t="str">
        <f>IF(Elite!AR31="","",Elite!AR31)</f>
        <v/>
      </c>
      <c r="L938" s="325" t="str">
        <f>IF(Elite!AS31="","",Elite!AS31)</f>
        <v/>
      </c>
      <c r="M938" s="326" t="str">
        <f>TrialDate</f>
        <v/>
      </c>
      <c r="N938" s="325" t="str">
        <f t="shared" ref="N938" si="1047">N933</f>
        <v/>
      </c>
      <c r="O938" s="325">
        <f t="shared" si="977"/>
        <v>0</v>
      </c>
    </row>
    <row r="939" spans="1:15" x14ac:dyDescent="0.25">
      <c r="A939" s="2">
        <v>2</v>
      </c>
      <c r="B939" s="2">
        <f>B938</f>
        <v>0</v>
      </c>
      <c r="C939" s="2" t="str">
        <f>C938</f>
        <v>Elite</v>
      </c>
      <c r="D939" s="2">
        <f>D938</f>
        <v>0</v>
      </c>
      <c r="E939" s="2" t="str">
        <f>E938</f>
        <v>W</v>
      </c>
      <c r="F939" s="2" t="str">
        <f t="shared" si="863"/>
        <v>Elite</v>
      </c>
      <c r="G939" s="2" t="str">
        <f t="shared" ref="G939:N943" si="1048">G938</f>
        <v/>
      </c>
      <c r="H939" s="2" t="str">
        <f t="shared" si="1048"/>
        <v/>
      </c>
      <c r="I939" s="2" t="str">
        <f t="shared" si="1048"/>
        <v/>
      </c>
      <c r="J939" s="2" t="str">
        <f t="shared" si="1048"/>
        <v/>
      </c>
      <c r="K939" s="2" t="str">
        <f t="shared" si="1048"/>
        <v/>
      </c>
      <c r="L939" s="2" t="str">
        <f t="shared" ref="L939:L943" si="1049">L938</f>
        <v/>
      </c>
      <c r="M939" s="180" t="str">
        <f t="shared" si="1048"/>
        <v/>
      </c>
      <c r="N939" s="2" t="str">
        <f t="shared" si="1048"/>
        <v/>
      </c>
      <c r="O939" s="2">
        <f t="shared" si="977"/>
        <v>0</v>
      </c>
    </row>
    <row r="940" spans="1:15" x14ac:dyDescent="0.25">
      <c r="A940" s="327">
        <v>3</v>
      </c>
      <c r="B940" s="2">
        <f t="shared" ref="B940:B943" si="1050">B939</f>
        <v>0</v>
      </c>
      <c r="C940" s="2" t="str">
        <f t="shared" ref="C940:C943" si="1051">C939</f>
        <v>Elite</v>
      </c>
      <c r="D940" s="2">
        <f t="shared" ref="D940:D943" si="1052">D939</f>
        <v>0</v>
      </c>
      <c r="E940" s="2" t="str">
        <f t="shared" ref="E940:E943" si="1053">E939</f>
        <v>W</v>
      </c>
      <c r="F940" s="2" t="str">
        <f t="shared" si="863"/>
        <v>Elite</v>
      </c>
      <c r="G940" s="2" t="str">
        <f t="shared" si="1048"/>
        <v/>
      </c>
      <c r="H940" s="2" t="str">
        <f t="shared" si="1048"/>
        <v/>
      </c>
      <c r="I940" s="2" t="str">
        <f t="shared" si="1048"/>
        <v/>
      </c>
      <c r="J940" s="2" t="str">
        <f t="shared" si="1048"/>
        <v/>
      </c>
      <c r="K940" s="2" t="str">
        <f t="shared" si="1048"/>
        <v/>
      </c>
      <c r="L940" s="2" t="str">
        <f t="shared" si="1049"/>
        <v/>
      </c>
      <c r="M940" s="180" t="str">
        <f t="shared" si="1048"/>
        <v/>
      </c>
      <c r="N940" s="2" t="str">
        <f t="shared" si="1048"/>
        <v/>
      </c>
      <c r="O940" s="2">
        <f t="shared" si="977"/>
        <v>0</v>
      </c>
    </row>
    <row r="941" spans="1:15" x14ac:dyDescent="0.25">
      <c r="A941" s="2">
        <v>4</v>
      </c>
      <c r="B941" s="2">
        <f t="shared" si="1050"/>
        <v>0</v>
      </c>
      <c r="C941" s="2" t="str">
        <f t="shared" si="1051"/>
        <v>Elite</v>
      </c>
      <c r="D941" s="2">
        <f t="shared" si="1052"/>
        <v>0</v>
      </c>
      <c r="E941" s="2" t="str">
        <f t="shared" si="1053"/>
        <v>W</v>
      </c>
      <c r="F941" s="2" t="str">
        <f t="shared" si="863"/>
        <v>Elite</v>
      </c>
      <c r="G941" s="2" t="str">
        <f t="shared" si="1048"/>
        <v/>
      </c>
      <c r="H941" s="2" t="str">
        <f t="shared" si="1048"/>
        <v/>
      </c>
      <c r="I941" s="2" t="str">
        <f t="shared" si="1048"/>
        <v/>
      </c>
      <c r="J941" s="2" t="str">
        <f t="shared" si="1048"/>
        <v/>
      </c>
      <c r="K941" s="2" t="str">
        <f t="shared" si="1048"/>
        <v/>
      </c>
      <c r="L941" s="2" t="str">
        <f t="shared" si="1049"/>
        <v/>
      </c>
      <c r="M941" s="180" t="str">
        <f t="shared" si="1048"/>
        <v/>
      </c>
      <c r="N941" s="2" t="str">
        <f t="shared" si="1048"/>
        <v/>
      </c>
      <c r="O941" s="2">
        <f t="shared" si="977"/>
        <v>0</v>
      </c>
    </row>
    <row r="942" spans="1:15" x14ac:dyDescent="0.25">
      <c r="A942" s="327">
        <v>5</v>
      </c>
      <c r="B942" s="2">
        <f t="shared" si="1050"/>
        <v>0</v>
      </c>
      <c r="C942" s="2" t="str">
        <f t="shared" si="1051"/>
        <v>Elite</v>
      </c>
      <c r="D942" s="2">
        <f t="shared" si="1052"/>
        <v>0</v>
      </c>
      <c r="E942" s="2" t="str">
        <f t="shared" si="1053"/>
        <v>W</v>
      </c>
      <c r="F942" s="2" t="str">
        <f t="shared" si="863"/>
        <v>Elite</v>
      </c>
      <c r="G942" s="2" t="str">
        <f t="shared" si="1048"/>
        <v/>
      </c>
      <c r="H942" s="2" t="str">
        <f t="shared" si="1048"/>
        <v/>
      </c>
      <c r="I942" s="2" t="str">
        <f t="shared" si="1048"/>
        <v/>
      </c>
      <c r="J942" s="2" t="str">
        <f t="shared" si="1048"/>
        <v/>
      </c>
      <c r="K942" s="2" t="str">
        <f t="shared" si="1048"/>
        <v/>
      </c>
      <c r="L942" s="2" t="str">
        <f t="shared" si="1049"/>
        <v/>
      </c>
      <c r="M942" s="180" t="str">
        <f t="shared" si="1048"/>
        <v/>
      </c>
      <c r="N942" s="2" t="str">
        <f t="shared" si="1048"/>
        <v/>
      </c>
      <c r="O942" s="2">
        <f t="shared" si="977"/>
        <v>0</v>
      </c>
    </row>
    <row r="943" spans="1:15" x14ac:dyDescent="0.25">
      <c r="A943" s="2">
        <v>6</v>
      </c>
      <c r="B943" s="2">
        <f t="shared" si="1050"/>
        <v>0</v>
      </c>
      <c r="C943" s="2" t="str">
        <f t="shared" si="1051"/>
        <v>Elite</v>
      </c>
      <c r="D943" s="2">
        <f t="shared" si="1052"/>
        <v>0</v>
      </c>
      <c r="E943" s="2" t="str">
        <f t="shared" si="1053"/>
        <v>W</v>
      </c>
      <c r="F943" s="2" t="str">
        <f t="shared" si="863"/>
        <v>Elite</v>
      </c>
      <c r="G943" s="2" t="str">
        <f t="shared" si="1048"/>
        <v/>
      </c>
      <c r="H943" s="2" t="str">
        <f t="shared" si="1048"/>
        <v/>
      </c>
      <c r="I943" s="2" t="str">
        <f t="shared" si="1048"/>
        <v/>
      </c>
      <c r="J943" s="2" t="str">
        <f t="shared" si="1048"/>
        <v/>
      </c>
      <c r="K943" s="2" t="str">
        <f t="shared" si="1048"/>
        <v/>
      </c>
      <c r="L943" s="2" t="str">
        <f t="shared" si="1049"/>
        <v/>
      </c>
      <c r="M943" s="180" t="str">
        <f t="shared" si="1048"/>
        <v/>
      </c>
      <c r="N943" s="2" t="str">
        <f t="shared" si="1048"/>
        <v/>
      </c>
      <c r="O943" s="2">
        <f t="shared" si="977"/>
        <v>0</v>
      </c>
    </row>
    <row r="944" spans="1:15" x14ac:dyDescent="0.25">
      <c r="A944" s="325">
        <v>1</v>
      </c>
      <c r="B944" s="325">
        <f>TrialNumber</f>
        <v>0</v>
      </c>
      <c r="C944" s="325" t="s">
        <v>2034</v>
      </c>
      <c r="D944" s="325">
        <f>Elite!C32</f>
        <v>0</v>
      </c>
      <c r="E944" s="325" t="str">
        <f>IF(Elite!B32="W","W","A")</f>
        <v>W</v>
      </c>
      <c r="F944" s="325" t="s">
        <v>2034</v>
      </c>
      <c r="G944" s="325" t="str">
        <f>IF(Elite!F32="e","Y","")</f>
        <v/>
      </c>
      <c r="H944" s="325" t="str">
        <f>IFERROR(VLOOKUP($D944,'SDDA Dogs'!$A:$AE,2,FALSE),"")</f>
        <v/>
      </c>
      <c r="I944" s="325" t="str">
        <f>IFERROR(VLOOKUP($D944,'SDDA Dogs'!$A:$AE,3,FALSE),"")</f>
        <v/>
      </c>
      <c r="J944" s="325" t="str">
        <f>IFERROR(VLOOKUP($D944,'SDDA Dogs'!$A:$AE,6,FALSE),"")</f>
        <v/>
      </c>
      <c r="K944" s="325" t="str">
        <f>IF(Elite!AR32="","",Elite!AR32)</f>
        <v/>
      </c>
      <c r="L944" s="325" t="str">
        <f>IF(Elite!AS32="","",Elite!AS32)</f>
        <v/>
      </c>
      <c r="M944" s="326" t="str">
        <f>TrialDate</f>
        <v/>
      </c>
      <c r="N944" s="325" t="str">
        <f t="shared" ref="N944" si="1054">N939</f>
        <v/>
      </c>
      <c r="O944" s="325">
        <f t="shared" si="977"/>
        <v>0</v>
      </c>
    </row>
    <row r="945" spans="1:15" x14ac:dyDescent="0.25">
      <c r="A945" s="2">
        <v>2</v>
      </c>
      <c r="B945" s="2">
        <f>B944</f>
        <v>0</v>
      </c>
      <c r="C945" s="2" t="str">
        <f>C944</f>
        <v>Elite</v>
      </c>
      <c r="D945" s="2">
        <f>D944</f>
        <v>0</v>
      </c>
      <c r="E945" s="2" t="str">
        <f>E944</f>
        <v>W</v>
      </c>
      <c r="F945" s="2" t="str">
        <f t="shared" si="863"/>
        <v>Elite</v>
      </c>
      <c r="G945" s="2" t="str">
        <f t="shared" ref="G945:N945" si="1055">G944</f>
        <v/>
      </c>
      <c r="H945" s="2" t="str">
        <f t="shared" si="1055"/>
        <v/>
      </c>
      <c r="I945" s="2" t="str">
        <f t="shared" si="1055"/>
        <v/>
      </c>
      <c r="J945" s="2" t="str">
        <f t="shared" si="1055"/>
        <v/>
      </c>
      <c r="K945" s="2" t="str">
        <f t="shared" si="1055"/>
        <v/>
      </c>
      <c r="L945" s="2" t="str">
        <f t="shared" ref="L945:N949" si="1056">L944</f>
        <v/>
      </c>
      <c r="M945" s="180" t="str">
        <f t="shared" si="1055"/>
        <v/>
      </c>
      <c r="N945" s="2" t="str">
        <f t="shared" si="1055"/>
        <v/>
      </c>
      <c r="O945" s="2">
        <f t="shared" si="977"/>
        <v>0</v>
      </c>
    </row>
    <row r="946" spans="1:15" x14ac:dyDescent="0.25">
      <c r="A946" s="327">
        <v>3</v>
      </c>
      <c r="B946" s="2">
        <f t="shared" ref="B946:B949" si="1057">B945</f>
        <v>0</v>
      </c>
      <c r="C946" s="2" t="str">
        <f t="shared" ref="C946:C949" si="1058">C945</f>
        <v>Elite</v>
      </c>
      <c r="D946" s="2">
        <f t="shared" ref="D946:D949" si="1059">D945</f>
        <v>0</v>
      </c>
      <c r="E946" s="2" t="str">
        <f t="shared" ref="E946:K949" si="1060">E945</f>
        <v>W</v>
      </c>
      <c r="F946" s="2" t="str">
        <f t="shared" si="1060"/>
        <v>Elite</v>
      </c>
      <c r="G946" s="2" t="str">
        <f t="shared" si="1060"/>
        <v/>
      </c>
      <c r="H946" s="2" t="str">
        <f t="shared" si="1060"/>
        <v/>
      </c>
      <c r="I946" s="2" t="str">
        <f t="shared" si="1060"/>
        <v/>
      </c>
      <c r="J946" s="2" t="str">
        <f t="shared" si="1060"/>
        <v/>
      </c>
      <c r="K946" s="2" t="str">
        <f t="shared" si="1060"/>
        <v/>
      </c>
      <c r="L946" s="2" t="str">
        <f t="shared" si="1056"/>
        <v/>
      </c>
      <c r="M946" s="180" t="str">
        <f t="shared" si="1056"/>
        <v/>
      </c>
      <c r="N946" s="2" t="str">
        <f t="shared" si="1056"/>
        <v/>
      </c>
      <c r="O946" s="2">
        <f t="shared" si="977"/>
        <v>0</v>
      </c>
    </row>
    <row r="947" spans="1:15" x14ac:dyDescent="0.25">
      <c r="A947" s="2">
        <v>4</v>
      </c>
      <c r="B947" s="2">
        <f t="shared" si="1057"/>
        <v>0</v>
      </c>
      <c r="C947" s="2" t="str">
        <f t="shared" si="1058"/>
        <v>Elite</v>
      </c>
      <c r="D947" s="2">
        <f t="shared" si="1059"/>
        <v>0</v>
      </c>
      <c r="E947" s="2" t="str">
        <f t="shared" si="1060"/>
        <v>W</v>
      </c>
      <c r="F947" s="2" t="str">
        <f t="shared" si="1060"/>
        <v>Elite</v>
      </c>
      <c r="G947" s="2" t="str">
        <f t="shared" si="1060"/>
        <v/>
      </c>
      <c r="H947" s="2" t="str">
        <f t="shared" si="1060"/>
        <v/>
      </c>
      <c r="I947" s="2" t="str">
        <f t="shared" si="1060"/>
        <v/>
      </c>
      <c r="J947" s="2" t="str">
        <f t="shared" si="1060"/>
        <v/>
      </c>
      <c r="K947" s="2" t="str">
        <f t="shared" si="1060"/>
        <v/>
      </c>
      <c r="L947" s="2" t="str">
        <f t="shared" si="1056"/>
        <v/>
      </c>
      <c r="M947" s="180" t="str">
        <f t="shared" si="1056"/>
        <v/>
      </c>
      <c r="N947" s="2" t="str">
        <f t="shared" si="1056"/>
        <v/>
      </c>
      <c r="O947" s="2">
        <f t="shared" si="977"/>
        <v>0</v>
      </c>
    </row>
    <row r="948" spans="1:15" x14ac:dyDescent="0.25">
      <c r="A948" s="327">
        <v>5</v>
      </c>
      <c r="B948" s="2">
        <f t="shared" si="1057"/>
        <v>0</v>
      </c>
      <c r="C948" s="2" t="str">
        <f t="shared" si="1058"/>
        <v>Elite</v>
      </c>
      <c r="D948" s="2">
        <f t="shared" si="1059"/>
        <v>0</v>
      </c>
      <c r="E948" s="2" t="str">
        <f t="shared" si="1060"/>
        <v>W</v>
      </c>
      <c r="F948" s="2" t="str">
        <f t="shared" si="1060"/>
        <v>Elite</v>
      </c>
      <c r="G948" s="2" t="str">
        <f t="shared" si="1060"/>
        <v/>
      </c>
      <c r="H948" s="2" t="str">
        <f t="shared" si="1060"/>
        <v/>
      </c>
      <c r="I948" s="2" t="str">
        <f t="shared" si="1060"/>
        <v/>
      </c>
      <c r="J948" s="2" t="str">
        <f t="shared" si="1060"/>
        <v/>
      </c>
      <c r="K948" s="2" t="str">
        <f t="shared" si="1060"/>
        <v/>
      </c>
      <c r="L948" s="2" t="str">
        <f t="shared" si="1056"/>
        <v/>
      </c>
      <c r="M948" s="180" t="str">
        <f t="shared" si="1056"/>
        <v/>
      </c>
      <c r="N948" s="2" t="str">
        <f t="shared" si="1056"/>
        <v/>
      </c>
      <c r="O948" s="2">
        <f t="shared" si="977"/>
        <v>0</v>
      </c>
    </row>
    <row r="949" spans="1:15" x14ac:dyDescent="0.25">
      <c r="A949" s="2">
        <v>6</v>
      </c>
      <c r="B949" s="2">
        <f t="shared" si="1057"/>
        <v>0</v>
      </c>
      <c r="C949" s="2" t="str">
        <f t="shared" si="1058"/>
        <v>Elite</v>
      </c>
      <c r="D949" s="2">
        <f t="shared" si="1059"/>
        <v>0</v>
      </c>
      <c r="E949" s="2" t="str">
        <f t="shared" si="1060"/>
        <v>W</v>
      </c>
      <c r="F949" s="2" t="str">
        <f t="shared" si="1060"/>
        <v>Elite</v>
      </c>
      <c r="G949" s="2" t="str">
        <f t="shared" si="1060"/>
        <v/>
      </c>
      <c r="H949" s="2" t="str">
        <f t="shared" si="1060"/>
        <v/>
      </c>
      <c r="I949" s="2" t="str">
        <f t="shared" si="1060"/>
        <v/>
      </c>
      <c r="J949" s="2" t="str">
        <f t="shared" si="1060"/>
        <v/>
      </c>
      <c r="K949" s="2" t="str">
        <f t="shared" si="1060"/>
        <v/>
      </c>
      <c r="L949" s="2" t="str">
        <f t="shared" si="1056"/>
        <v/>
      </c>
      <c r="M949" s="180" t="str">
        <f t="shared" si="1056"/>
        <v/>
      </c>
      <c r="N949" s="2" t="str">
        <f t="shared" si="1056"/>
        <v/>
      </c>
      <c r="O949" s="2">
        <f t="shared" si="977"/>
        <v>0</v>
      </c>
    </row>
    <row r="950" spans="1:15" x14ac:dyDescent="0.25">
      <c r="A950" s="325">
        <v>1</v>
      </c>
      <c r="B950" s="325">
        <f>TrialNumber</f>
        <v>0</v>
      </c>
      <c r="C950" s="325" t="s">
        <v>2034</v>
      </c>
      <c r="D950" s="325">
        <f>Elite!C33</f>
        <v>0</v>
      </c>
      <c r="E950" s="325" t="str">
        <f>IF(Elite!B33="W","W","A")</f>
        <v>W</v>
      </c>
      <c r="F950" s="325" t="s">
        <v>2034</v>
      </c>
      <c r="G950" s="325" t="str">
        <f>IF(Elite!F33="e","Y","")</f>
        <v/>
      </c>
      <c r="H950" s="325" t="str">
        <f>IFERROR(VLOOKUP($D950,'SDDA Dogs'!$A:$AE,2,FALSE),"")</f>
        <v/>
      </c>
      <c r="I950" s="325" t="str">
        <f>IFERROR(VLOOKUP($D950,'SDDA Dogs'!$A:$AE,3,FALSE),"")</f>
        <v/>
      </c>
      <c r="J950" s="325" t="str">
        <f>IFERROR(VLOOKUP($D950,'SDDA Dogs'!$A:$AE,6,FALSE),"")</f>
        <v/>
      </c>
      <c r="K950" s="325" t="str">
        <f>IF(Elite!AR33="","",Elite!AR33)</f>
        <v/>
      </c>
      <c r="L950" s="325" t="str">
        <f>IF(Elite!AS33="","",Elite!AS33)</f>
        <v/>
      </c>
      <c r="M950" s="326" t="str">
        <f>TrialDate</f>
        <v/>
      </c>
      <c r="N950" s="325" t="str">
        <f t="shared" ref="N950" si="1061">N945</f>
        <v/>
      </c>
      <c r="O950" s="325">
        <f t="shared" si="977"/>
        <v>0</v>
      </c>
    </row>
    <row r="951" spans="1:15" x14ac:dyDescent="0.25">
      <c r="A951" s="2">
        <v>2</v>
      </c>
      <c r="B951" s="2">
        <f>B950</f>
        <v>0</v>
      </c>
      <c r="C951" s="2" t="str">
        <f>C950</f>
        <v>Elite</v>
      </c>
      <c r="D951" s="2">
        <f>D950</f>
        <v>0</v>
      </c>
      <c r="E951" s="2" t="str">
        <f>E950</f>
        <v>W</v>
      </c>
      <c r="F951" s="2" t="str">
        <f t="shared" si="863"/>
        <v>Elite</v>
      </c>
      <c r="G951" s="2" t="str">
        <f t="shared" ref="G951:N957" si="1062">G950</f>
        <v/>
      </c>
      <c r="H951" s="2" t="str">
        <f t="shared" si="1062"/>
        <v/>
      </c>
      <c r="I951" s="2" t="str">
        <f t="shared" si="1062"/>
        <v/>
      </c>
      <c r="J951" s="2" t="str">
        <f t="shared" si="1062"/>
        <v/>
      </c>
      <c r="K951" s="2" t="str">
        <f t="shared" si="1062"/>
        <v/>
      </c>
      <c r="L951" s="2" t="str">
        <f t="shared" ref="L951" si="1063">L950</f>
        <v/>
      </c>
      <c r="M951" s="180" t="str">
        <f t="shared" si="1062"/>
        <v/>
      </c>
      <c r="N951" s="2" t="str">
        <f t="shared" si="1062"/>
        <v/>
      </c>
      <c r="O951" s="2">
        <f t="shared" si="977"/>
        <v>0</v>
      </c>
    </row>
    <row r="952" spans="1:15" x14ac:dyDescent="0.25">
      <c r="A952" s="327">
        <v>3</v>
      </c>
      <c r="B952" s="2">
        <f t="shared" ref="B952:B955" si="1064">B951</f>
        <v>0</v>
      </c>
      <c r="C952" s="2" t="str">
        <f t="shared" ref="C952:C955" si="1065">C951</f>
        <v>Elite</v>
      </c>
      <c r="D952" s="2">
        <f t="shared" ref="D952:D955" si="1066">D951</f>
        <v>0</v>
      </c>
      <c r="E952" s="2" t="str">
        <f t="shared" ref="E952:E955" si="1067">E951</f>
        <v>W</v>
      </c>
      <c r="F952" s="2" t="str">
        <f t="shared" si="863"/>
        <v>Elite</v>
      </c>
      <c r="G952" s="2" t="str">
        <f t="shared" si="1062"/>
        <v/>
      </c>
      <c r="H952" s="2" t="str">
        <f t="shared" si="1062"/>
        <v/>
      </c>
      <c r="I952" s="2" t="str">
        <f t="shared" si="1062"/>
        <v/>
      </c>
      <c r="J952" s="2" t="str">
        <f t="shared" si="1062"/>
        <v/>
      </c>
      <c r="K952" s="2" t="str">
        <f t="shared" si="1062"/>
        <v/>
      </c>
      <c r="L952" s="2" t="str">
        <f t="shared" si="1062"/>
        <v/>
      </c>
      <c r="M952" s="180" t="str">
        <f t="shared" si="1062"/>
        <v/>
      </c>
      <c r="N952" s="2" t="str">
        <f t="shared" si="1062"/>
        <v/>
      </c>
      <c r="O952" s="2">
        <f t="shared" si="977"/>
        <v>0</v>
      </c>
    </row>
    <row r="953" spans="1:15" x14ac:dyDescent="0.25">
      <c r="A953" s="2">
        <v>4</v>
      </c>
      <c r="B953" s="2">
        <f t="shared" si="1064"/>
        <v>0</v>
      </c>
      <c r="C953" s="2" t="str">
        <f t="shared" si="1065"/>
        <v>Elite</v>
      </c>
      <c r="D953" s="2">
        <f t="shared" si="1066"/>
        <v>0</v>
      </c>
      <c r="E953" s="2" t="str">
        <f t="shared" si="1067"/>
        <v>W</v>
      </c>
      <c r="F953" s="2" t="str">
        <f t="shared" si="863"/>
        <v>Elite</v>
      </c>
      <c r="G953" s="2" t="str">
        <f t="shared" si="1062"/>
        <v/>
      </c>
      <c r="H953" s="2" t="str">
        <f t="shared" si="1062"/>
        <v/>
      </c>
      <c r="I953" s="2" t="str">
        <f t="shared" si="1062"/>
        <v/>
      </c>
      <c r="J953" s="2" t="str">
        <f t="shared" si="1062"/>
        <v/>
      </c>
      <c r="K953" s="2" t="str">
        <f t="shared" si="1062"/>
        <v/>
      </c>
      <c r="L953" s="2" t="str">
        <f t="shared" si="1062"/>
        <v/>
      </c>
      <c r="M953" s="180" t="str">
        <f t="shared" si="1062"/>
        <v/>
      </c>
      <c r="N953" s="2" t="str">
        <f t="shared" si="1062"/>
        <v/>
      </c>
      <c r="O953" s="2">
        <f t="shared" si="977"/>
        <v>0</v>
      </c>
    </row>
    <row r="954" spans="1:15" x14ac:dyDescent="0.25">
      <c r="A954" s="327">
        <v>5</v>
      </c>
      <c r="B954" s="2">
        <f t="shared" si="1064"/>
        <v>0</v>
      </c>
      <c r="C954" s="2" t="str">
        <f t="shared" si="1065"/>
        <v>Elite</v>
      </c>
      <c r="D954" s="2">
        <f t="shared" si="1066"/>
        <v>0</v>
      </c>
      <c r="E954" s="2" t="str">
        <f t="shared" si="1067"/>
        <v>W</v>
      </c>
      <c r="F954" s="2" t="str">
        <f t="shared" si="863"/>
        <v>Elite</v>
      </c>
      <c r="G954" s="2" t="str">
        <f t="shared" si="1062"/>
        <v/>
      </c>
      <c r="H954" s="2" t="str">
        <f t="shared" si="1062"/>
        <v/>
      </c>
      <c r="I954" s="2" t="str">
        <f t="shared" si="1062"/>
        <v/>
      </c>
      <c r="J954" s="2" t="str">
        <f t="shared" si="1062"/>
        <v/>
      </c>
      <c r="K954" s="2" t="str">
        <f t="shared" si="1062"/>
        <v/>
      </c>
      <c r="L954" s="2" t="str">
        <f t="shared" si="1062"/>
        <v/>
      </c>
      <c r="M954" s="180" t="str">
        <f t="shared" si="1062"/>
        <v/>
      </c>
      <c r="N954" s="2" t="str">
        <f t="shared" si="1062"/>
        <v/>
      </c>
      <c r="O954" s="2">
        <f t="shared" si="977"/>
        <v>0</v>
      </c>
    </row>
    <row r="955" spans="1:15" x14ac:dyDescent="0.25">
      <c r="A955" s="2">
        <v>6</v>
      </c>
      <c r="B955" s="2">
        <f t="shared" si="1064"/>
        <v>0</v>
      </c>
      <c r="C955" s="2" t="str">
        <f t="shared" si="1065"/>
        <v>Elite</v>
      </c>
      <c r="D955" s="2">
        <f t="shared" si="1066"/>
        <v>0</v>
      </c>
      <c r="E955" s="2" t="str">
        <f t="shared" si="1067"/>
        <v>W</v>
      </c>
      <c r="F955" s="2" t="str">
        <f t="shared" si="863"/>
        <v>Elite</v>
      </c>
      <c r="G955" s="2" t="str">
        <f t="shared" si="1062"/>
        <v/>
      </c>
      <c r="H955" s="2" t="str">
        <f t="shared" si="1062"/>
        <v/>
      </c>
      <c r="I955" s="2" t="str">
        <f t="shared" si="1062"/>
        <v/>
      </c>
      <c r="J955" s="2" t="str">
        <f t="shared" si="1062"/>
        <v/>
      </c>
      <c r="K955" s="2" t="str">
        <f t="shared" si="1062"/>
        <v/>
      </c>
      <c r="L955" s="2" t="str">
        <f t="shared" si="1062"/>
        <v/>
      </c>
      <c r="M955" s="180" t="str">
        <f t="shared" si="1062"/>
        <v/>
      </c>
      <c r="N955" s="2" t="str">
        <f t="shared" si="1062"/>
        <v/>
      </c>
      <c r="O955" s="2">
        <f t="shared" si="977"/>
        <v>0</v>
      </c>
    </row>
    <row r="956" spans="1:15" x14ac:dyDescent="0.25">
      <c r="A956" s="325">
        <v>1</v>
      </c>
      <c r="B956" s="325">
        <f>TrialNumber</f>
        <v>0</v>
      </c>
      <c r="C956" s="325" t="s">
        <v>2034</v>
      </c>
      <c r="D956" s="325">
        <f>Elite!C34</f>
        <v>0</v>
      </c>
      <c r="E956" s="325" t="str">
        <f>IF(Elite!B34="W","W","A")</f>
        <v>W</v>
      </c>
      <c r="F956" s="325" t="s">
        <v>2034</v>
      </c>
      <c r="G956" s="325" t="str">
        <f>IF(Elite!F34="e","Y","")</f>
        <v/>
      </c>
      <c r="H956" s="325" t="str">
        <f>IFERROR(VLOOKUP($D956,'SDDA Dogs'!$A:$AE,2,FALSE),"")</f>
        <v/>
      </c>
      <c r="I956" s="325" t="str">
        <f>IFERROR(VLOOKUP($D956,'SDDA Dogs'!$A:$AE,3,FALSE),"")</f>
        <v/>
      </c>
      <c r="J956" s="325" t="str">
        <f>IFERROR(VLOOKUP($D956,'SDDA Dogs'!$A:$AE,6,FALSE),"")</f>
        <v/>
      </c>
      <c r="K956" s="325" t="str">
        <f>IF(Elite!AR34="","",Elite!AR34)</f>
        <v/>
      </c>
      <c r="L956" s="325" t="str">
        <f>IF(Elite!AS34="","",Elite!AS34)</f>
        <v/>
      </c>
      <c r="M956" s="326" t="str">
        <f>TrialDate</f>
        <v/>
      </c>
      <c r="N956" s="325" t="str">
        <f t="shared" ref="N956" si="1068">N951</f>
        <v/>
      </c>
      <c r="O956" s="325">
        <f t="shared" si="977"/>
        <v>0</v>
      </c>
    </row>
    <row r="957" spans="1:15" x14ac:dyDescent="0.25">
      <c r="A957" s="2">
        <v>2</v>
      </c>
      <c r="B957" s="2">
        <f>B956</f>
        <v>0</v>
      </c>
      <c r="C957" s="2" t="str">
        <f>C956</f>
        <v>Elite</v>
      </c>
      <c r="D957" s="2">
        <f>D956</f>
        <v>0</v>
      </c>
      <c r="E957" s="2" t="str">
        <f>E956</f>
        <v>W</v>
      </c>
      <c r="F957" s="2" t="str">
        <f t="shared" si="863"/>
        <v>Elite</v>
      </c>
      <c r="G957" s="2" t="str">
        <f t="shared" si="1062"/>
        <v/>
      </c>
      <c r="H957" s="2" t="str">
        <f t="shared" si="1062"/>
        <v/>
      </c>
      <c r="I957" s="2" t="str">
        <f t="shared" si="1062"/>
        <v/>
      </c>
      <c r="J957" s="2" t="str">
        <f t="shared" si="1062"/>
        <v/>
      </c>
      <c r="K957" s="2" t="str">
        <f t="shared" si="1062"/>
        <v/>
      </c>
      <c r="L957" s="2" t="str">
        <f t="shared" si="1062"/>
        <v/>
      </c>
      <c r="M957" s="180" t="str">
        <f t="shared" si="1062"/>
        <v/>
      </c>
      <c r="N957" s="2" t="str">
        <f t="shared" si="1062"/>
        <v/>
      </c>
      <c r="O957" s="2">
        <f t="shared" si="977"/>
        <v>0</v>
      </c>
    </row>
    <row r="958" spans="1:15" x14ac:dyDescent="0.25">
      <c r="A958" s="327">
        <v>3</v>
      </c>
      <c r="B958" s="2">
        <f t="shared" ref="B958:B961" si="1069">B957</f>
        <v>0</v>
      </c>
      <c r="C958" s="2" t="str">
        <f t="shared" ref="C958:C961" si="1070">C957</f>
        <v>Elite</v>
      </c>
      <c r="D958" s="2">
        <f t="shared" ref="D958:D961" si="1071">D957</f>
        <v>0</v>
      </c>
      <c r="E958" s="2" t="str">
        <f t="shared" ref="E958:N961" si="1072">E957</f>
        <v>W</v>
      </c>
      <c r="F958" s="2" t="str">
        <f t="shared" si="1072"/>
        <v>Elite</v>
      </c>
      <c r="G958" s="2" t="str">
        <f t="shared" si="1072"/>
        <v/>
      </c>
      <c r="H958" s="2" t="str">
        <f t="shared" si="1072"/>
        <v/>
      </c>
      <c r="I958" s="2" t="str">
        <f t="shared" si="1072"/>
        <v/>
      </c>
      <c r="J958" s="2" t="str">
        <f t="shared" si="1072"/>
        <v/>
      </c>
      <c r="K958" s="2" t="str">
        <f t="shared" si="1072"/>
        <v/>
      </c>
      <c r="L958" s="2" t="str">
        <f t="shared" si="1072"/>
        <v/>
      </c>
      <c r="M958" s="180" t="str">
        <f t="shared" si="1072"/>
        <v/>
      </c>
      <c r="N958" s="2" t="str">
        <f t="shared" si="1072"/>
        <v/>
      </c>
      <c r="O958" s="2">
        <f t="shared" si="977"/>
        <v>0</v>
      </c>
    </row>
    <row r="959" spans="1:15" x14ac:dyDescent="0.25">
      <c r="A959" s="2">
        <v>4</v>
      </c>
      <c r="B959" s="2">
        <f t="shared" si="1069"/>
        <v>0</v>
      </c>
      <c r="C959" s="2" t="str">
        <f t="shared" si="1070"/>
        <v>Elite</v>
      </c>
      <c r="D959" s="2">
        <f t="shared" si="1071"/>
        <v>0</v>
      </c>
      <c r="E959" s="2" t="str">
        <f t="shared" si="1072"/>
        <v>W</v>
      </c>
      <c r="F959" s="2" t="str">
        <f t="shared" si="1072"/>
        <v>Elite</v>
      </c>
      <c r="G959" s="2" t="str">
        <f t="shared" si="1072"/>
        <v/>
      </c>
      <c r="H959" s="2" t="str">
        <f t="shared" si="1072"/>
        <v/>
      </c>
      <c r="I959" s="2" t="str">
        <f t="shared" si="1072"/>
        <v/>
      </c>
      <c r="J959" s="2" t="str">
        <f t="shared" si="1072"/>
        <v/>
      </c>
      <c r="K959" s="2" t="str">
        <f t="shared" si="1072"/>
        <v/>
      </c>
      <c r="L959" s="2" t="str">
        <f t="shared" si="1072"/>
        <v/>
      </c>
      <c r="M959" s="180" t="str">
        <f t="shared" si="1072"/>
        <v/>
      </c>
      <c r="N959" s="2" t="str">
        <f t="shared" si="1072"/>
        <v/>
      </c>
      <c r="O959" s="2">
        <f t="shared" ref="O959:O961" si="1073">IF(JudgeD1CSL = JudgeD1ISL, IF(JudgeD1ESL = JudgeD1CSL, JudgeD1CSL, "Multiple Judges"),"Multiple Judges")</f>
        <v>0</v>
      </c>
    </row>
    <row r="960" spans="1:15" x14ac:dyDescent="0.25">
      <c r="A960" s="327">
        <v>5</v>
      </c>
      <c r="B960" s="2">
        <f t="shared" si="1069"/>
        <v>0</v>
      </c>
      <c r="C960" s="2" t="str">
        <f t="shared" si="1070"/>
        <v>Elite</v>
      </c>
      <c r="D960" s="2">
        <f t="shared" si="1071"/>
        <v>0</v>
      </c>
      <c r="E960" s="2" t="str">
        <f t="shared" si="1072"/>
        <v>W</v>
      </c>
      <c r="F960" s="2" t="str">
        <f t="shared" si="1072"/>
        <v>Elite</v>
      </c>
      <c r="G960" s="2" t="str">
        <f t="shared" si="1072"/>
        <v/>
      </c>
      <c r="H960" s="2" t="str">
        <f t="shared" si="1072"/>
        <v/>
      </c>
      <c r="I960" s="2" t="str">
        <f t="shared" si="1072"/>
        <v/>
      </c>
      <c r="J960" s="2" t="str">
        <f t="shared" si="1072"/>
        <v/>
      </c>
      <c r="K960" s="2" t="str">
        <f t="shared" si="1072"/>
        <v/>
      </c>
      <c r="L960" s="2" t="str">
        <f t="shared" si="1072"/>
        <v/>
      </c>
      <c r="M960" s="180" t="str">
        <f t="shared" si="1072"/>
        <v/>
      </c>
      <c r="N960" s="2" t="str">
        <f t="shared" si="1072"/>
        <v/>
      </c>
      <c r="O960" s="2">
        <f t="shared" si="1073"/>
        <v>0</v>
      </c>
    </row>
    <row r="961" spans="1:15" x14ac:dyDescent="0.25">
      <c r="A961" s="2">
        <v>6</v>
      </c>
      <c r="B961" s="2">
        <f t="shared" si="1069"/>
        <v>0</v>
      </c>
      <c r="C961" s="2" t="str">
        <f t="shared" si="1070"/>
        <v>Elite</v>
      </c>
      <c r="D961" s="2">
        <f t="shared" si="1071"/>
        <v>0</v>
      </c>
      <c r="E961" s="2" t="str">
        <f t="shared" si="1072"/>
        <v>W</v>
      </c>
      <c r="F961" s="2" t="str">
        <f t="shared" si="1072"/>
        <v>Elite</v>
      </c>
      <c r="G961" s="2" t="str">
        <f t="shared" si="1072"/>
        <v/>
      </c>
      <c r="H961" s="2" t="str">
        <f t="shared" si="1072"/>
        <v/>
      </c>
      <c r="I961" s="2" t="str">
        <f t="shared" si="1072"/>
        <v/>
      </c>
      <c r="J961" s="2" t="str">
        <f t="shared" si="1072"/>
        <v/>
      </c>
      <c r="K961" s="2" t="str">
        <f t="shared" si="1072"/>
        <v/>
      </c>
      <c r="L961" s="2" t="str">
        <f t="shared" si="1072"/>
        <v/>
      </c>
      <c r="M961" s="180" t="str">
        <f t="shared" si="1072"/>
        <v/>
      </c>
      <c r="N961" s="2" t="str">
        <f t="shared" si="1072"/>
        <v/>
      </c>
      <c r="O961" s="2">
        <f t="shared" si="1073"/>
        <v>0</v>
      </c>
    </row>
    <row r="962" spans="1:15" s="149" customFormat="1" x14ac:dyDescent="0.25">
      <c r="A962" s="327">
        <v>1</v>
      </c>
      <c r="B962" s="327">
        <f>TrialNumberDay2</f>
        <v>0</v>
      </c>
      <c r="C962" s="327" t="s">
        <v>15</v>
      </c>
      <c r="D962" s="327">
        <f>Started!C45</f>
        <v>0</v>
      </c>
      <c r="E962" s="327" t="str">
        <f>IF(Started!B45="W","W","A")</f>
        <v>A</v>
      </c>
      <c r="F962" s="327" t="s">
        <v>1731</v>
      </c>
      <c r="G962" s="327" t="str">
        <f>IF(Started!G45="e","Y","")</f>
        <v/>
      </c>
      <c r="H962" s="327" t="str">
        <f>IFERROR(VLOOKUP($D962,'SDDA Dogs'!$A:$AE,2,FALSE),"")</f>
        <v/>
      </c>
      <c r="I962" s="327" t="str">
        <f>IFERROR(VLOOKUP($D962,'SDDA Dogs'!$A:$AE,3,FALSE),"")</f>
        <v/>
      </c>
      <c r="J962" s="327" t="str">
        <f>IFERROR(VLOOKUP($D962,'SDDA Dogs'!$A:$AE,6,FALSE),"")</f>
        <v/>
      </c>
      <c r="K962" s="327"/>
      <c r="L962" s="327"/>
      <c r="M962" s="328" t="str">
        <f>TrialDateDay2</f>
        <v/>
      </c>
      <c r="N962" s="327" t="str">
        <f>TrialCityDay2</f>
        <v/>
      </c>
      <c r="O962" s="327">
        <f>JudgeD2CSS</f>
        <v>0</v>
      </c>
    </row>
    <row r="963" spans="1:15" x14ac:dyDescent="0.25">
      <c r="A963" s="2">
        <v>2</v>
      </c>
      <c r="B963" s="2">
        <f t="shared" ref="B963:J963" si="1074">B962</f>
        <v>0</v>
      </c>
      <c r="C963" s="2" t="str">
        <f t="shared" si="1074"/>
        <v>CSS</v>
      </c>
      <c r="D963" s="2">
        <f t="shared" si="1074"/>
        <v>0</v>
      </c>
      <c r="E963" s="2" t="str">
        <f t="shared" si="1074"/>
        <v>A</v>
      </c>
      <c r="F963" s="2" t="str">
        <f t="shared" si="1074"/>
        <v>Container Started</v>
      </c>
      <c r="G963" s="2" t="str">
        <f t="shared" si="1074"/>
        <v/>
      </c>
      <c r="H963" s="2" t="str">
        <f t="shared" si="1074"/>
        <v/>
      </c>
      <c r="I963" s="2" t="str">
        <f t="shared" si="1074"/>
        <v/>
      </c>
      <c r="J963" s="2" t="str">
        <f t="shared" si="1074"/>
        <v/>
      </c>
      <c r="M963" s="180" t="str">
        <f>M962</f>
        <v/>
      </c>
      <c r="N963" s="2" t="str">
        <f>N962</f>
        <v/>
      </c>
      <c r="O963" s="2">
        <f>O962</f>
        <v>0</v>
      </c>
    </row>
    <row r="964" spans="1:15" x14ac:dyDescent="0.25">
      <c r="A964" s="325">
        <v>1</v>
      </c>
      <c r="B964" s="325">
        <f>TrialNumberDay2</f>
        <v>0</v>
      </c>
      <c r="C964" s="325" t="s">
        <v>15</v>
      </c>
      <c r="D964" s="325">
        <f>Started!C46</f>
        <v>0</v>
      </c>
      <c r="E964" s="325" t="str">
        <f>IF(Started!B46="W","W","A")</f>
        <v>A</v>
      </c>
      <c r="F964" s="325" t="s">
        <v>1731</v>
      </c>
      <c r="G964" s="325" t="str">
        <f>IF(Started!G46="e","Y","")</f>
        <v/>
      </c>
      <c r="H964" s="325" t="str">
        <f>IFERROR(VLOOKUP($D964,'SDDA Dogs'!$A:$AE,2,FALSE),"")</f>
        <v/>
      </c>
      <c r="I964" s="325" t="str">
        <f>IFERROR(VLOOKUP($D964,'SDDA Dogs'!$A:$AE,3,FALSE),"")</f>
        <v/>
      </c>
      <c r="J964" s="325" t="str">
        <f>IFERROR(VLOOKUP($D964,'SDDA Dogs'!$A:$AE,6,FALSE),"")</f>
        <v/>
      </c>
      <c r="K964" s="325"/>
      <c r="L964" s="325"/>
      <c r="M964" s="326" t="str">
        <f>TrialDateDay2</f>
        <v/>
      </c>
      <c r="N964" s="325" t="str">
        <f t="shared" ref="N964:N1027" si="1075">N963</f>
        <v/>
      </c>
      <c r="O964" s="325">
        <f>JudgeD2CSS</f>
        <v>0</v>
      </c>
    </row>
    <row r="965" spans="1:15" x14ac:dyDescent="0.25">
      <c r="A965" s="2">
        <v>2</v>
      </c>
      <c r="B965" s="2">
        <f t="shared" ref="B965:J965" si="1076">B964</f>
        <v>0</v>
      </c>
      <c r="C965" s="2" t="str">
        <f t="shared" si="1076"/>
        <v>CSS</v>
      </c>
      <c r="D965" s="2">
        <f t="shared" si="1076"/>
        <v>0</v>
      </c>
      <c r="E965" s="2" t="str">
        <f t="shared" si="1076"/>
        <v>A</v>
      </c>
      <c r="F965" s="2" t="str">
        <f t="shared" si="1076"/>
        <v>Container Started</v>
      </c>
      <c r="G965" s="2" t="str">
        <f t="shared" si="1076"/>
        <v/>
      </c>
      <c r="H965" s="2" t="str">
        <f t="shared" si="1076"/>
        <v/>
      </c>
      <c r="I965" s="2" t="str">
        <f t="shared" si="1076"/>
        <v/>
      </c>
      <c r="J965" s="2" t="str">
        <f t="shared" si="1076"/>
        <v/>
      </c>
      <c r="M965" s="180" t="str">
        <f>M964</f>
        <v/>
      </c>
      <c r="N965" s="2" t="str">
        <f t="shared" si="1075"/>
        <v/>
      </c>
      <c r="O965" s="2">
        <f>O964</f>
        <v>0</v>
      </c>
    </row>
    <row r="966" spans="1:15" x14ac:dyDescent="0.25">
      <c r="A966" s="325">
        <v>1</v>
      </c>
      <c r="B966" s="325">
        <f>TrialNumberDay2</f>
        <v>0</v>
      </c>
      <c r="C966" s="325" t="s">
        <v>15</v>
      </c>
      <c r="D966" s="325">
        <f>Started!C47</f>
        <v>0</v>
      </c>
      <c r="E966" s="325" t="str">
        <f>IF(Started!B47="W","W","A")</f>
        <v>A</v>
      </c>
      <c r="F966" s="325" t="s">
        <v>1731</v>
      </c>
      <c r="G966" s="325" t="str">
        <f>IF(Started!G47="e","Y","")</f>
        <v/>
      </c>
      <c r="H966" s="325" t="str">
        <f>IFERROR(VLOOKUP($D966,'SDDA Dogs'!$A:$AE,2,FALSE),"")</f>
        <v/>
      </c>
      <c r="I966" s="325" t="str">
        <f>IFERROR(VLOOKUP($D966,'SDDA Dogs'!$A:$AE,3,FALSE),"")</f>
        <v/>
      </c>
      <c r="J966" s="325" t="str">
        <f>IFERROR(VLOOKUP($D966,'SDDA Dogs'!$A:$AE,6,FALSE),"")</f>
        <v/>
      </c>
      <c r="K966" s="325"/>
      <c r="L966" s="325"/>
      <c r="M966" s="326" t="str">
        <f>TrialDateDay2</f>
        <v/>
      </c>
      <c r="N966" s="325" t="str">
        <f t="shared" si="1075"/>
        <v/>
      </c>
      <c r="O966" s="325">
        <f>JudgeD2CSS</f>
        <v>0</v>
      </c>
    </row>
    <row r="967" spans="1:15" x14ac:dyDescent="0.25">
      <c r="A967" s="2">
        <v>2</v>
      </c>
      <c r="B967" s="2">
        <f t="shared" ref="B967:J967" si="1077">B966</f>
        <v>0</v>
      </c>
      <c r="C967" s="2" t="str">
        <f t="shared" si="1077"/>
        <v>CSS</v>
      </c>
      <c r="D967" s="2">
        <f t="shared" si="1077"/>
        <v>0</v>
      </c>
      <c r="E967" s="2" t="str">
        <f t="shared" si="1077"/>
        <v>A</v>
      </c>
      <c r="F967" s="2" t="str">
        <f t="shared" si="1077"/>
        <v>Container Started</v>
      </c>
      <c r="G967" s="2" t="str">
        <f t="shared" si="1077"/>
        <v/>
      </c>
      <c r="H967" s="2" t="str">
        <f t="shared" si="1077"/>
        <v/>
      </c>
      <c r="I967" s="2" t="str">
        <f t="shared" si="1077"/>
        <v/>
      </c>
      <c r="J967" s="2" t="str">
        <f t="shared" si="1077"/>
        <v/>
      </c>
      <c r="M967" s="180" t="str">
        <f>M966</f>
        <v/>
      </c>
      <c r="N967" s="2" t="str">
        <f t="shared" si="1075"/>
        <v/>
      </c>
      <c r="O967" s="2">
        <f>O966</f>
        <v>0</v>
      </c>
    </row>
    <row r="968" spans="1:15" x14ac:dyDescent="0.25">
      <c r="A968" s="325">
        <v>1</v>
      </c>
      <c r="B968" s="325">
        <f>TrialNumberDay2</f>
        <v>0</v>
      </c>
      <c r="C968" s="325" t="s">
        <v>15</v>
      </c>
      <c r="D968" s="325">
        <f>Started!C48</f>
        <v>0</v>
      </c>
      <c r="E968" s="325" t="str">
        <f>IF(Started!B48="W","W","A")</f>
        <v>A</v>
      </c>
      <c r="F968" s="325" t="s">
        <v>1731</v>
      </c>
      <c r="G968" s="325" t="str">
        <f>IF(Started!G48="e","Y","")</f>
        <v/>
      </c>
      <c r="H968" s="325" t="str">
        <f>IFERROR(VLOOKUP($D968,'SDDA Dogs'!$A:$AE,2,FALSE),"")</f>
        <v/>
      </c>
      <c r="I968" s="325" t="str">
        <f>IFERROR(VLOOKUP($D968,'SDDA Dogs'!$A:$AE,3,FALSE),"")</f>
        <v/>
      </c>
      <c r="J968" s="325" t="str">
        <f>IFERROR(VLOOKUP($D968,'SDDA Dogs'!$A:$AE,6,FALSE),"")</f>
        <v/>
      </c>
      <c r="K968" s="325"/>
      <c r="L968" s="325"/>
      <c r="M968" s="326" t="str">
        <f>TrialDateDay2</f>
        <v/>
      </c>
      <c r="N968" s="325" t="str">
        <f t="shared" si="1075"/>
        <v/>
      </c>
      <c r="O968" s="325">
        <f>JudgeD2CSS</f>
        <v>0</v>
      </c>
    </row>
    <row r="969" spans="1:15" x14ac:dyDescent="0.25">
      <c r="A969" s="2">
        <v>2</v>
      </c>
      <c r="B969" s="2">
        <f t="shared" ref="B969:J969" si="1078">B968</f>
        <v>0</v>
      </c>
      <c r="C969" s="2" t="str">
        <f t="shared" si="1078"/>
        <v>CSS</v>
      </c>
      <c r="D969" s="2">
        <f t="shared" si="1078"/>
        <v>0</v>
      </c>
      <c r="E969" s="2" t="str">
        <f t="shared" si="1078"/>
        <v>A</v>
      </c>
      <c r="F969" s="2" t="str">
        <f t="shared" si="1078"/>
        <v>Container Started</v>
      </c>
      <c r="G969" s="2" t="str">
        <f t="shared" si="1078"/>
        <v/>
      </c>
      <c r="H969" s="2" t="str">
        <f t="shared" si="1078"/>
        <v/>
      </c>
      <c r="I969" s="2" t="str">
        <f t="shared" si="1078"/>
        <v/>
      </c>
      <c r="J969" s="2" t="str">
        <f t="shared" si="1078"/>
        <v/>
      </c>
      <c r="M969" s="180" t="str">
        <f>M968</f>
        <v/>
      </c>
      <c r="N969" s="2" t="str">
        <f t="shared" si="1075"/>
        <v/>
      </c>
      <c r="O969" s="2">
        <f>O968</f>
        <v>0</v>
      </c>
    </row>
    <row r="970" spans="1:15" x14ac:dyDescent="0.25">
      <c r="A970" s="325">
        <v>1</v>
      </c>
      <c r="B970" s="325">
        <f>TrialNumberDay2</f>
        <v>0</v>
      </c>
      <c r="C970" s="325" t="s">
        <v>15</v>
      </c>
      <c r="D970" s="325">
        <f>Started!C49</f>
        <v>0</v>
      </c>
      <c r="E970" s="325" t="str">
        <f>IF(Started!B49="W","W","A")</f>
        <v>A</v>
      </c>
      <c r="F970" s="325" t="s">
        <v>1731</v>
      </c>
      <c r="G970" s="325" t="str">
        <f>IF(Started!G49="e","Y","")</f>
        <v/>
      </c>
      <c r="H970" s="325" t="str">
        <f>IFERROR(VLOOKUP($D970,'SDDA Dogs'!$A:$AE,2,FALSE),"")</f>
        <v/>
      </c>
      <c r="I970" s="325" t="str">
        <f>IFERROR(VLOOKUP($D970,'SDDA Dogs'!$A:$AE,3,FALSE),"")</f>
        <v/>
      </c>
      <c r="J970" s="325" t="str">
        <f>IFERROR(VLOOKUP($D970,'SDDA Dogs'!$A:$AE,6,FALSE),"")</f>
        <v/>
      </c>
      <c r="K970" s="325"/>
      <c r="L970" s="325"/>
      <c r="M970" s="326" t="str">
        <f>TrialDateDay2</f>
        <v/>
      </c>
      <c r="N970" s="325" t="str">
        <f t="shared" si="1075"/>
        <v/>
      </c>
      <c r="O970" s="325">
        <f>JudgeD2CSS</f>
        <v>0</v>
      </c>
    </row>
    <row r="971" spans="1:15" x14ac:dyDescent="0.25">
      <c r="A971" s="2">
        <v>2</v>
      </c>
      <c r="B971" s="2">
        <f t="shared" ref="B971:J971" si="1079">B970</f>
        <v>0</v>
      </c>
      <c r="C971" s="2" t="str">
        <f t="shared" si="1079"/>
        <v>CSS</v>
      </c>
      <c r="D971" s="2">
        <f t="shared" si="1079"/>
        <v>0</v>
      </c>
      <c r="E971" s="2" t="str">
        <f t="shared" si="1079"/>
        <v>A</v>
      </c>
      <c r="F971" s="2" t="str">
        <f t="shared" si="1079"/>
        <v>Container Started</v>
      </c>
      <c r="G971" s="2" t="str">
        <f t="shared" si="1079"/>
        <v/>
      </c>
      <c r="H971" s="2" t="str">
        <f t="shared" si="1079"/>
        <v/>
      </c>
      <c r="I971" s="2" t="str">
        <f t="shared" si="1079"/>
        <v/>
      </c>
      <c r="J971" s="2" t="str">
        <f t="shared" si="1079"/>
        <v/>
      </c>
      <c r="M971" s="180" t="str">
        <f>M970</f>
        <v/>
      </c>
      <c r="N971" s="2" t="str">
        <f t="shared" si="1075"/>
        <v/>
      </c>
      <c r="O971" s="2">
        <f>O970</f>
        <v>0</v>
      </c>
    </row>
    <row r="972" spans="1:15" x14ac:dyDescent="0.25">
      <c r="A972" s="325">
        <v>1</v>
      </c>
      <c r="B972" s="325">
        <f>TrialNumberDay2</f>
        <v>0</v>
      </c>
      <c r="C972" s="325" t="s">
        <v>15</v>
      </c>
      <c r="D972" s="325">
        <f>Started!C50</f>
        <v>0</v>
      </c>
      <c r="E972" s="325" t="str">
        <f>IF(Started!B50="W","W","A")</f>
        <v>A</v>
      </c>
      <c r="F972" s="325" t="s">
        <v>1731</v>
      </c>
      <c r="G972" s="325" t="str">
        <f>IF(Started!G50="e","Y","")</f>
        <v/>
      </c>
      <c r="H972" s="325" t="str">
        <f>IFERROR(VLOOKUP($D972,'SDDA Dogs'!$A:$AE,2,FALSE),"")</f>
        <v/>
      </c>
      <c r="I972" s="325" t="str">
        <f>IFERROR(VLOOKUP($D972,'SDDA Dogs'!$A:$AE,3,FALSE),"")</f>
        <v/>
      </c>
      <c r="J972" s="325" t="str">
        <f>IFERROR(VLOOKUP($D972,'SDDA Dogs'!$A:$AE,6,FALSE),"")</f>
        <v/>
      </c>
      <c r="K972" s="325"/>
      <c r="L972" s="325"/>
      <c r="M972" s="326" t="str">
        <f>TrialDateDay2</f>
        <v/>
      </c>
      <c r="N972" s="325" t="str">
        <f t="shared" si="1075"/>
        <v/>
      </c>
      <c r="O972" s="325">
        <f>JudgeD2CSS</f>
        <v>0</v>
      </c>
    </row>
    <row r="973" spans="1:15" x14ac:dyDescent="0.25">
      <c r="A973" s="2">
        <v>2</v>
      </c>
      <c r="B973" s="2">
        <f t="shared" ref="B973:J973" si="1080">B972</f>
        <v>0</v>
      </c>
      <c r="C973" s="2" t="str">
        <f t="shared" si="1080"/>
        <v>CSS</v>
      </c>
      <c r="D973" s="2">
        <f t="shared" si="1080"/>
        <v>0</v>
      </c>
      <c r="E973" s="2" t="str">
        <f t="shared" si="1080"/>
        <v>A</v>
      </c>
      <c r="F973" s="2" t="str">
        <f t="shared" si="1080"/>
        <v>Container Started</v>
      </c>
      <c r="G973" s="2" t="str">
        <f t="shared" si="1080"/>
        <v/>
      </c>
      <c r="H973" s="2" t="str">
        <f t="shared" si="1080"/>
        <v/>
      </c>
      <c r="I973" s="2" t="str">
        <f t="shared" si="1080"/>
        <v/>
      </c>
      <c r="J973" s="2" t="str">
        <f t="shared" si="1080"/>
        <v/>
      </c>
      <c r="M973" s="180" t="str">
        <f>M972</f>
        <v/>
      </c>
      <c r="N973" s="2" t="str">
        <f t="shared" si="1075"/>
        <v/>
      </c>
      <c r="O973" s="2">
        <f>O972</f>
        <v>0</v>
      </c>
    </row>
    <row r="974" spans="1:15" x14ac:dyDescent="0.25">
      <c r="A974" s="325">
        <v>1</v>
      </c>
      <c r="B974" s="325">
        <f>TrialNumberDay2</f>
        <v>0</v>
      </c>
      <c r="C974" s="325" t="s">
        <v>15</v>
      </c>
      <c r="D974" s="325">
        <f>Started!C51</f>
        <v>0</v>
      </c>
      <c r="E974" s="325" t="str">
        <f>IF(Started!B51="W","W","A")</f>
        <v>A</v>
      </c>
      <c r="F974" s="325" t="s">
        <v>1731</v>
      </c>
      <c r="G974" s="325" t="str">
        <f>IF(Started!G51="e","Y","")</f>
        <v/>
      </c>
      <c r="H974" s="325" t="str">
        <f>IFERROR(VLOOKUP($D974,'SDDA Dogs'!$A:$AE,2,FALSE),"")</f>
        <v/>
      </c>
      <c r="I974" s="325" t="str">
        <f>IFERROR(VLOOKUP($D974,'SDDA Dogs'!$A:$AE,3,FALSE),"")</f>
        <v/>
      </c>
      <c r="J974" s="325" t="str">
        <f>IFERROR(VLOOKUP($D974,'SDDA Dogs'!$A:$AE,6,FALSE),"")</f>
        <v/>
      </c>
      <c r="K974" s="325"/>
      <c r="L974" s="325"/>
      <c r="M974" s="326" t="str">
        <f>TrialDateDay2</f>
        <v/>
      </c>
      <c r="N974" s="325" t="str">
        <f t="shared" si="1075"/>
        <v/>
      </c>
      <c r="O974" s="325">
        <f>JudgeD2CSS</f>
        <v>0</v>
      </c>
    </row>
    <row r="975" spans="1:15" x14ac:dyDescent="0.25">
      <c r="A975" s="2">
        <v>2</v>
      </c>
      <c r="B975" s="2">
        <f t="shared" ref="B975:J975" si="1081">B974</f>
        <v>0</v>
      </c>
      <c r="C975" s="2" t="str">
        <f t="shared" si="1081"/>
        <v>CSS</v>
      </c>
      <c r="D975" s="2">
        <f t="shared" si="1081"/>
        <v>0</v>
      </c>
      <c r="E975" s="2" t="str">
        <f t="shared" si="1081"/>
        <v>A</v>
      </c>
      <c r="F975" s="2" t="str">
        <f t="shared" si="1081"/>
        <v>Container Started</v>
      </c>
      <c r="G975" s="2" t="str">
        <f t="shared" si="1081"/>
        <v/>
      </c>
      <c r="H975" s="2" t="str">
        <f t="shared" si="1081"/>
        <v/>
      </c>
      <c r="I975" s="2" t="str">
        <f t="shared" si="1081"/>
        <v/>
      </c>
      <c r="J975" s="2" t="str">
        <f t="shared" si="1081"/>
        <v/>
      </c>
      <c r="M975" s="180" t="str">
        <f>M974</f>
        <v/>
      </c>
      <c r="N975" s="2" t="str">
        <f t="shared" si="1075"/>
        <v/>
      </c>
      <c r="O975" s="2">
        <f>O974</f>
        <v>0</v>
      </c>
    </row>
    <row r="976" spans="1:15" x14ac:dyDescent="0.25">
      <c r="A976" s="325">
        <v>1</v>
      </c>
      <c r="B976" s="325">
        <f>TrialNumberDay2</f>
        <v>0</v>
      </c>
      <c r="C976" s="325" t="s">
        <v>15</v>
      </c>
      <c r="D976" s="325">
        <f>Started!C52</f>
        <v>0</v>
      </c>
      <c r="E976" s="325" t="str">
        <f>IF(Started!B52="W","W","A")</f>
        <v>A</v>
      </c>
      <c r="F976" s="325" t="s">
        <v>1731</v>
      </c>
      <c r="G976" s="325" t="str">
        <f>IF(Started!G52="e","Y","")</f>
        <v/>
      </c>
      <c r="H976" s="325" t="str">
        <f>IFERROR(VLOOKUP($D976,'SDDA Dogs'!$A:$AE,2,FALSE),"")</f>
        <v/>
      </c>
      <c r="I976" s="325" t="str">
        <f>IFERROR(VLOOKUP($D976,'SDDA Dogs'!$A:$AE,3,FALSE),"")</f>
        <v/>
      </c>
      <c r="J976" s="325" t="str">
        <f>IFERROR(VLOOKUP($D976,'SDDA Dogs'!$A:$AE,6,FALSE),"")</f>
        <v/>
      </c>
      <c r="K976" s="325"/>
      <c r="L976" s="325"/>
      <c r="M976" s="326" t="str">
        <f>TrialDateDay2</f>
        <v/>
      </c>
      <c r="N976" s="325" t="str">
        <f t="shared" si="1075"/>
        <v/>
      </c>
      <c r="O976" s="325">
        <f>JudgeD2CSS</f>
        <v>0</v>
      </c>
    </row>
    <row r="977" spans="1:15" x14ac:dyDescent="0.25">
      <c r="A977" s="2">
        <v>2</v>
      </c>
      <c r="B977" s="2">
        <f t="shared" ref="B977:J977" si="1082">B976</f>
        <v>0</v>
      </c>
      <c r="C977" s="2" t="str">
        <f t="shared" si="1082"/>
        <v>CSS</v>
      </c>
      <c r="D977" s="2">
        <f t="shared" si="1082"/>
        <v>0</v>
      </c>
      <c r="E977" s="2" t="str">
        <f t="shared" si="1082"/>
        <v>A</v>
      </c>
      <c r="F977" s="2" t="str">
        <f t="shared" si="1082"/>
        <v>Container Started</v>
      </c>
      <c r="G977" s="2" t="str">
        <f t="shared" si="1082"/>
        <v/>
      </c>
      <c r="H977" s="2" t="str">
        <f t="shared" si="1082"/>
        <v/>
      </c>
      <c r="I977" s="2" t="str">
        <f t="shared" si="1082"/>
        <v/>
      </c>
      <c r="J977" s="2" t="str">
        <f t="shared" si="1082"/>
        <v/>
      </c>
      <c r="M977" s="180" t="str">
        <f>M976</f>
        <v/>
      </c>
      <c r="N977" s="2" t="str">
        <f t="shared" si="1075"/>
        <v/>
      </c>
      <c r="O977" s="2">
        <f>O976</f>
        <v>0</v>
      </c>
    </row>
    <row r="978" spans="1:15" x14ac:dyDescent="0.25">
      <c r="A978" s="325">
        <v>1</v>
      </c>
      <c r="B978" s="325">
        <f>TrialNumberDay2</f>
        <v>0</v>
      </c>
      <c r="C978" s="325" t="s">
        <v>15</v>
      </c>
      <c r="D978" s="325">
        <f>Started!C53</f>
        <v>0</v>
      </c>
      <c r="E978" s="325" t="str">
        <f>IF(Started!B53="W","W","A")</f>
        <v>A</v>
      </c>
      <c r="F978" s="325" t="s">
        <v>1731</v>
      </c>
      <c r="G978" s="325" t="str">
        <f>IF(Started!G53="e","Y","")</f>
        <v/>
      </c>
      <c r="H978" s="325" t="str">
        <f>IFERROR(VLOOKUP($D978,'SDDA Dogs'!$A:$AE,2,FALSE),"")</f>
        <v/>
      </c>
      <c r="I978" s="325" t="str">
        <f>IFERROR(VLOOKUP($D978,'SDDA Dogs'!$A:$AE,3,FALSE),"")</f>
        <v/>
      </c>
      <c r="J978" s="325" t="str">
        <f>IFERROR(VLOOKUP($D978,'SDDA Dogs'!$A:$AE,6,FALSE),"")</f>
        <v/>
      </c>
      <c r="K978" s="325"/>
      <c r="L978" s="325"/>
      <c r="M978" s="326" t="str">
        <f>TrialDateDay2</f>
        <v/>
      </c>
      <c r="N978" s="325" t="str">
        <f t="shared" si="1075"/>
        <v/>
      </c>
      <c r="O978" s="325">
        <f>JudgeD2CSS</f>
        <v>0</v>
      </c>
    </row>
    <row r="979" spans="1:15" x14ac:dyDescent="0.25">
      <c r="A979" s="2">
        <v>2</v>
      </c>
      <c r="B979" s="2">
        <f t="shared" ref="B979:J979" si="1083">B978</f>
        <v>0</v>
      </c>
      <c r="C979" s="2" t="str">
        <f t="shared" si="1083"/>
        <v>CSS</v>
      </c>
      <c r="D979" s="2">
        <f t="shared" si="1083"/>
        <v>0</v>
      </c>
      <c r="E979" s="2" t="str">
        <f t="shared" si="1083"/>
        <v>A</v>
      </c>
      <c r="F979" s="2" t="str">
        <f t="shared" si="1083"/>
        <v>Container Started</v>
      </c>
      <c r="G979" s="2" t="str">
        <f t="shared" si="1083"/>
        <v/>
      </c>
      <c r="H979" s="2" t="str">
        <f t="shared" si="1083"/>
        <v/>
      </c>
      <c r="I979" s="2" t="str">
        <f t="shared" si="1083"/>
        <v/>
      </c>
      <c r="J979" s="2" t="str">
        <f t="shared" si="1083"/>
        <v/>
      </c>
      <c r="M979" s="180" t="str">
        <f>M978</f>
        <v/>
      </c>
      <c r="N979" s="2" t="str">
        <f t="shared" si="1075"/>
        <v/>
      </c>
      <c r="O979" s="2">
        <f>O978</f>
        <v>0</v>
      </c>
    </row>
    <row r="980" spans="1:15" x14ac:dyDescent="0.25">
      <c r="A980" s="325">
        <v>1</v>
      </c>
      <c r="B980" s="325">
        <f>TrialNumberDay2</f>
        <v>0</v>
      </c>
      <c r="C980" s="325" t="s">
        <v>15</v>
      </c>
      <c r="D980" s="325">
        <f>Started!C54</f>
        <v>0</v>
      </c>
      <c r="E980" s="325" t="str">
        <f>IF(Started!B54="W","W","A")</f>
        <v>A</v>
      </c>
      <c r="F980" s="325" t="s">
        <v>1731</v>
      </c>
      <c r="G980" s="325" t="str">
        <f>IF(Started!G54="e","Y","")</f>
        <v/>
      </c>
      <c r="H980" s="325" t="str">
        <f>IFERROR(VLOOKUP($D980,'SDDA Dogs'!$A:$AE,2,FALSE),"")</f>
        <v/>
      </c>
      <c r="I980" s="325" t="str">
        <f>IFERROR(VLOOKUP($D980,'SDDA Dogs'!$A:$AE,3,FALSE),"")</f>
        <v/>
      </c>
      <c r="J980" s="325" t="str">
        <f>IFERROR(VLOOKUP($D980,'SDDA Dogs'!$A:$AE,6,FALSE),"")</f>
        <v/>
      </c>
      <c r="K980" s="325"/>
      <c r="L980" s="325"/>
      <c r="M980" s="326" t="str">
        <f>TrialDateDay2</f>
        <v/>
      </c>
      <c r="N980" s="325" t="str">
        <f t="shared" si="1075"/>
        <v/>
      </c>
      <c r="O980" s="325">
        <f>JudgeD2CSS</f>
        <v>0</v>
      </c>
    </row>
    <row r="981" spans="1:15" x14ac:dyDescent="0.25">
      <c r="A981" s="2">
        <v>2</v>
      </c>
      <c r="B981" s="2">
        <f t="shared" ref="B981:J981" si="1084">B980</f>
        <v>0</v>
      </c>
      <c r="C981" s="2" t="str">
        <f t="shared" si="1084"/>
        <v>CSS</v>
      </c>
      <c r="D981" s="2">
        <f t="shared" si="1084"/>
        <v>0</v>
      </c>
      <c r="E981" s="2" t="str">
        <f t="shared" si="1084"/>
        <v>A</v>
      </c>
      <c r="F981" s="2" t="str">
        <f t="shared" si="1084"/>
        <v>Container Started</v>
      </c>
      <c r="G981" s="2" t="str">
        <f t="shared" si="1084"/>
        <v/>
      </c>
      <c r="H981" s="2" t="str">
        <f t="shared" si="1084"/>
        <v/>
      </c>
      <c r="I981" s="2" t="str">
        <f t="shared" si="1084"/>
        <v/>
      </c>
      <c r="J981" s="2" t="str">
        <f t="shared" si="1084"/>
        <v/>
      </c>
      <c r="M981" s="180" t="str">
        <f>M980</f>
        <v/>
      </c>
      <c r="N981" s="2" t="str">
        <f t="shared" si="1075"/>
        <v/>
      </c>
      <c r="O981" s="2">
        <f>O980</f>
        <v>0</v>
      </c>
    </row>
    <row r="982" spans="1:15" x14ac:dyDescent="0.25">
      <c r="A982" s="325">
        <v>1</v>
      </c>
      <c r="B982" s="325">
        <f>TrialNumberDay2</f>
        <v>0</v>
      </c>
      <c r="C982" s="325" t="s">
        <v>15</v>
      </c>
      <c r="D982" s="325">
        <f>Started!C55</f>
        <v>0</v>
      </c>
      <c r="E982" s="325" t="str">
        <f>IF(Started!B55="W","W","A")</f>
        <v>A</v>
      </c>
      <c r="F982" s="325" t="s">
        <v>1731</v>
      </c>
      <c r="G982" s="325" t="str">
        <f>IF(Started!G55="e","Y","")</f>
        <v/>
      </c>
      <c r="H982" s="325" t="str">
        <f>IFERROR(VLOOKUP($D982,'SDDA Dogs'!$A:$AE,2,FALSE),"")</f>
        <v/>
      </c>
      <c r="I982" s="325" t="str">
        <f>IFERROR(VLOOKUP($D982,'SDDA Dogs'!$A:$AE,3,FALSE),"")</f>
        <v/>
      </c>
      <c r="J982" s="325" t="str">
        <f>IFERROR(VLOOKUP($D982,'SDDA Dogs'!$A:$AE,6,FALSE),"")</f>
        <v/>
      </c>
      <c r="K982" s="325"/>
      <c r="L982" s="325"/>
      <c r="M982" s="326" t="str">
        <f>TrialDateDay2</f>
        <v/>
      </c>
      <c r="N982" s="325" t="str">
        <f t="shared" si="1075"/>
        <v/>
      </c>
      <c r="O982" s="325">
        <f>JudgeD2CSS</f>
        <v>0</v>
      </c>
    </row>
    <row r="983" spans="1:15" x14ac:dyDescent="0.25">
      <c r="A983" s="2">
        <v>2</v>
      </c>
      <c r="B983" s="2">
        <f t="shared" ref="B983:J983" si="1085">B982</f>
        <v>0</v>
      </c>
      <c r="C983" s="2" t="str">
        <f t="shared" si="1085"/>
        <v>CSS</v>
      </c>
      <c r="D983" s="2">
        <f t="shared" si="1085"/>
        <v>0</v>
      </c>
      <c r="E983" s="2" t="str">
        <f t="shared" si="1085"/>
        <v>A</v>
      </c>
      <c r="F983" s="2" t="str">
        <f t="shared" si="1085"/>
        <v>Container Started</v>
      </c>
      <c r="G983" s="2" t="str">
        <f t="shared" si="1085"/>
        <v/>
      </c>
      <c r="H983" s="2" t="str">
        <f t="shared" si="1085"/>
        <v/>
      </c>
      <c r="I983" s="2" t="str">
        <f t="shared" si="1085"/>
        <v/>
      </c>
      <c r="J983" s="2" t="str">
        <f t="shared" si="1085"/>
        <v/>
      </c>
      <c r="M983" s="180" t="str">
        <f>M982</f>
        <v/>
      </c>
      <c r="N983" s="2" t="str">
        <f t="shared" si="1075"/>
        <v/>
      </c>
      <c r="O983" s="2">
        <f>O982</f>
        <v>0</v>
      </c>
    </row>
    <row r="984" spans="1:15" x14ac:dyDescent="0.25">
      <c r="A984" s="325">
        <v>1</v>
      </c>
      <c r="B984" s="325">
        <f>TrialNumberDay2</f>
        <v>0</v>
      </c>
      <c r="C984" s="325" t="s">
        <v>15</v>
      </c>
      <c r="D984" s="325">
        <f>Started!C56</f>
        <v>0</v>
      </c>
      <c r="E984" s="325" t="str">
        <f>IF(Started!B56="W","W","A")</f>
        <v>A</v>
      </c>
      <c r="F984" s="325" t="s">
        <v>1731</v>
      </c>
      <c r="G984" s="325" t="str">
        <f>IF(Started!G56="e","Y","")</f>
        <v/>
      </c>
      <c r="H984" s="325" t="str">
        <f>IFERROR(VLOOKUP($D984,'SDDA Dogs'!$A:$AE,2,FALSE),"")</f>
        <v/>
      </c>
      <c r="I984" s="325" t="str">
        <f>IFERROR(VLOOKUP($D984,'SDDA Dogs'!$A:$AE,3,FALSE),"")</f>
        <v/>
      </c>
      <c r="J984" s="325" t="str">
        <f>IFERROR(VLOOKUP($D984,'SDDA Dogs'!$A:$AE,6,FALSE),"")</f>
        <v/>
      </c>
      <c r="K984" s="325"/>
      <c r="L984" s="325"/>
      <c r="M984" s="326" t="str">
        <f>TrialDateDay2</f>
        <v/>
      </c>
      <c r="N984" s="325" t="str">
        <f t="shared" si="1075"/>
        <v/>
      </c>
      <c r="O984" s="325">
        <f>JudgeD2CSS</f>
        <v>0</v>
      </c>
    </row>
    <row r="985" spans="1:15" x14ac:dyDescent="0.25">
      <c r="A985" s="2">
        <v>2</v>
      </c>
      <c r="B985" s="2">
        <f t="shared" ref="B985:J985" si="1086">B984</f>
        <v>0</v>
      </c>
      <c r="C985" s="2" t="str">
        <f t="shared" si="1086"/>
        <v>CSS</v>
      </c>
      <c r="D985" s="2">
        <f t="shared" si="1086"/>
        <v>0</v>
      </c>
      <c r="E985" s="2" t="str">
        <f t="shared" si="1086"/>
        <v>A</v>
      </c>
      <c r="F985" s="2" t="str">
        <f t="shared" si="1086"/>
        <v>Container Started</v>
      </c>
      <c r="G985" s="2" t="str">
        <f t="shared" si="1086"/>
        <v/>
      </c>
      <c r="H985" s="2" t="str">
        <f t="shared" si="1086"/>
        <v/>
      </c>
      <c r="I985" s="2" t="str">
        <f t="shared" si="1086"/>
        <v/>
      </c>
      <c r="J985" s="2" t="str">
        <f t="shared" si="1086"/>
        <v/>
      </c>
      <c r="M985" s="180" t="str">
        <f>M984</f>
        <v/>
      </c>
      <c r="N985" s="2" t="str">
        <f t="shared" si="1075"/>
        <v/>
      </c>
      <c r="O985" s="2">
        <f>O984</f>
        <v>0</v>
      </c>
    </row>
    <row r="986" spans="1:15" x14ac:dyDescent="0.25">
      <c r="A986" s="325">
        <v>1</v>
      </c>
      <c r="B986" s="325">
        <f>TrialNumberDay2</f>
        <v>0</v>
      </c>
      <c r="C986" s="325" t="s">
        <v>15</v>
      </c>
      <c r="D986" s="325">
        <f>Started!C57</f>
        <v>0</v>
      </c>
      <c r="E986" s="325" t="str">
        <f>IF(Started!B57="W","W","A")</f>
        <v>A</v>
      </c>
      <c r="F986" s="325" t="s">
        <v>1731</v>
      </c>
      <c r="G986" s="325" t="str">
        <f>IF(Started!G57="e","Y","")</f>
        <v/>
      </c>
      <c r="H986" s="325" t="str">
        <f>IFERROR(VLOOKUP($D986,'SDDA Dogs'!$A:$AE,2,FALSE),"")</f>
        <v/>
      </c>
      <c r="I986" s="325" t="str">
        <f>IFERROR(VLOOKUP($D986,'SDDA Dogs'!$A:$AE,3,FALSE),"")</f>
        <v/>
      </c>
      <c r="J986" s="325" t="str">
        <f>IFERROR(VLOOKUP($D986,'SDDA Dogs'!$A:$AE,6,FALSE),"")</f>
        <v/>
      </c>
      <c r="K986" s="325"/>
      <c r="L986" s="325"/>
      <c r="M986" s="326" t="str">
        <f>TrialDateDay2</f>
        <v/>
      </c>
      <c r="N986" s="325" t="str">
        <f t="shared" si="1075"/>
        <v/>
      </c>
      <c r="O986" s="325">
        <f>JudgeD2CSS</f>
        <v>0</v>
      </c>
    </row>
    <row r="987" spans="1:15" x14ac:dyDescent="0.25">
      <c r="A987" s="2">
        <v>2</v>
      </c>
      <c r="B987" s="2">
        <f t="shared" ref="B987:J987" si="1087">B986</f>
        <v>0</v>
      </c>
      <c r="C987" s="2" t="str">
        <f t="shared" si="1087"/>
        <v>CSS</v>
      </c>
      <c r="D987" s="2">
        <f t="shared" si="1087"/>
        <v>0</v>
      </c>
      <c r="E987" s="2" t="str">
        <f t="shared" si="1087"/>
        <v>A</v>
      </c>
      <c r="F987" s="2" t="str">
        <f t="shared" si="1087"/>
        <v>Container Started</v>
      </c>
      <c r="G987" s="2" t="str">
        <f t="shared" si="1087"/>
        <v/>
      </c>
      <c r="H987" s="2" t="str">
        <f t="shared" si="1087"/>
        <v/>
      </c>
      <c r="I987" s="2" t="str">
        <f t="shared" si="1087"/>
        <v/>
      </c>
      <c r="J987" s="2" t="str">
        <f t="shared" si="1087"/>
        <v/>
      </c>
      <c r="M987" s="180" t="str">
        <f>M986</f>
        <v/>
      </c>
      <c r="N987" s="2" t="str">
        <f t="shared" si="1075"/>
        <v/>
      </c>
      <c r="O987" s="2">
        <f>O986</f>
        <v>0</v>
      </c>
    </row>
    <row r="988" spans="1:15" x14ac:dyDescent="0.25">
      <c r="A988" s="325">
        <v>1</v>
      </c>
      <c r="B988" s="325">
        <f>TrialNumberDay2</f>
        <v>0</v>
      </c>
      <c r="C988" s="325" t="s">
        <v>15</v>
      </c>
      <c r="D988" s="325">
        <f>Started!C58</f>
        <v>0</v>
      </c>
      <c r="E988" s="325" t="str">
        <f>IF(Started!B58="W","W","A")</f>
        <v>A</v>
      </c>
      <c r="F988" s="325" t="s">
        <v>1731</v>
      </c>
      <c r="G988" s="325" t="str">
        <f>IF(Started!G58="e","Y","")</f>
        <v/>
      </c>
      <c r="H988" s="325" t="str">
        <f>IFERROR(VLOOKUP($D988,'SDDA Dogs'!$A:$AE,2,FALSE),"")</f>
        <v/>
      </c>
      <c r="I988" s="325" t="str">
        <f>IFERROR(VLOOKUP($D988,'SDDA Dogs'!$A:$AE,3,FALSE),"")</f>
        <v/>
      </c>
      <c r="J988" s="325" t="str">
        <f>IFERROR(VLOOKUP($D988,'SDDA Dogs'!$A:$AE,6,FALSE),"")</f>
        <v/>
      </c>
      <c r="K988" s="325"/>
      <c r="L988" s="325"/>
      <c r="M988" s="326" t="str">
        <f>TrialDateDay2</f>
        <v/>
      </c>
      <c r="N988" s="325" t="str">
        <f t="shared" si="1075"/>
        <v/>
      </c>
      <c r="O988" s="325">
        <f>JudgeD2CSS</f>
        <v>0</v>
      </c>
    </row>
    <row r="989" spans="1:15" x14ac:dyDescent="0.25">
      <c r="A989" s="2">
        <v>2</v>
      </c>
      <c r="B989" s="2">
        <f t="shared" ref="B989:J989" si="1088">B988</f>
        <v>0</v>
      </c>
      <c r="C989" s="2" t="str">
        <f t="shared" si="1088"/>
        <v>CSS</v>
      </c>
      <c r="D989" s="2">
        <f t="shared" si="1088"/>
        <v>0</v>
      </c>
      <c r="E989" s="2" t="str">
        <f t="shared" si="1088"/>
        <v>A</v>
      </c>
      <c r="F989" s="2" t="str">
        <f t="shared" si="1088"/>
        <v>Container Started</v>
      </c>
      <c r="G989" s="2" t="str">
        <f t="shared" si="1088"/>
        <v/>
      </c>
      <c r="H989" s="2" t="str">
        <f t="shared" si="1088"/>
        <v/>
      </c>
      <c r="I989" s="2" t="str">
        <f t="shared" si="1088"/>
        <v/>
      </c>
      <c r="J989" s="2" t="str">
        <f t="shared" si="1088"/>
        <v/>
      </c>
      <c r="M989" s="180" t="str">
        <f>M988</f>
        <v/>
      </c>
      <c r="N989" s="2" t="str">
        <f t="shared" si="1075"/>
        <v/>
      </c>
      <c r="O989" s="2">
        <f>O988</f>
        <v>0</v>
      </c>
    </row>
    <row r="990" spans="1:15" x14ac:dyDescent="0.25">
      <c r="A990" s="325">
        <v>1</v>
      </c>
      <c r="B990" s="325">
        <f>TrialNumberDay2</f>
        <v>0</v>
      </c>
      <c r="C990" s="325" t="s">
        <v>15</v>
      </c>
      <c r="D990" s="325">
        <f>Started!C59</f>
        <v>0</v>
      </c>
      <c r="E990" s="325" t="str">
        <f>IF(Started!B59="W","W","A")</f>
        <v>A</v>
      </c>
      <c r="F990" s="325" t="s">
        <v>1731</v>
      </c>
      <c r="G990" s="325" t="str">
        <f>IF(Started!G59="e","Y","")</f>
        <v/>
      </c>
      <c r="H990" s="325" t="str">
        <f>IFERROR(VLOOKUP($D990,'SDDA Dogs'!$A:$AE,2,FALSE),"")</f>
        <v/>
      </c>
      <c r="I990" s="325" t="str">
        <f>IFERROR(VLOOKUP($D990,'SDDA Dogs'!$A:$AE,3,FALSE),"")</f>
        <v/>
      </c>
      <c r="J990" s="325" t="str">
        <f>IFERROR(VLOOKUP($D990,'SDDA Dogs'!$A:$AE,6,FALSE),"")</f>
        <v/>
      </c>
      <c r="K990" s="325"/>
      <c r="L990" s="325"/>
      <c r="M990" s="326" t="str">
        <f>TrialDateDay2</f>
        <v/>
      </c>
      <c r="N990" s="325" t="str">
        <f t="shared" si="1075"/>
        <v/>
      </c>
      <c r="O990" s="325">
        <f>JudgeD2CSS</f>
        <v>0</v>
      </c>
    </row>
    <row r="991" spans="1:15" x14ac:dyDescent="0.25">
      <c r="A991" s="2">
        <v>2</v>
      </c>
      <c r="B991" s="2">
        <f t="shared" ref="B991:J991" si="1089">B990</f>
        <v>0</v>
      </c>
      <c r="C991" s="2" t="str">
        <f t="shared" si="1089"/>
        <v>CSS</v>
      </c>
      <c r="D991" s="2">
        <f t="shared" si="1089"/>
        <v>0</v>
      </c>
      <c r="E991" s="2" t="str">
        <f t="shared" si="1089"/>
        <v>A</v>
      </c>
      <c r="F991" s="2" t="str">
        <f t="shared" si="1089"/>
        <v>Container Started</v>
      </c>
      <c r="G991" s="2" t="str">
        <f t="shared" si="1089"/>
        <v/>
      </c>
      <c r="H991" s="2" t="str">
        <f t="shared" si="1089"/>
        <v/>
      </c>
      <c r="I991" s="2" t="str">
        <f t="shared" si="1089"/>
        <v/>
      </c>
      <c r="J991" s="2" t="str">
        <f t="shared" si="1089"/>
        <v/>
      </c>
      <c r="M991" s="180" t="str">
        <f>M990</f>
        <v/>
      </c>
      <c r="N991" s="2" t="str">
        <f t="shared" si="1075"/>
        <v/>
      </c>
      <c r="O991" s="2">
        <f>O990</f>
        <v>0</v>
      </c>
    </row>
    <row r="992" spans="1:15" x14ac:dyDescent="0.25">
      <c r="A992" s="325">
        <v>1</v>
      </c>
      <c r="B992" s="325">
        <f>TrialNumberDay2</f>
        <v>0</v>
      </c>
      <c r="C992" s="325" t="s">
        <v>15</v>
      </c>
      <c r="D992" s="325">
        <f>Started!C60</f>
        <v>0</v>
      </c>
      <c r="E992" s="325" t="str">
        <f>IF(Started!B60="W","W","A")</f>
        <v>A</v>
      </c>
      <c r="F992" s="325" t="s">
        <v>1731</v>
      </c>
      <c r="G992" s="325" t="str">
        <f>IF(Started!G60="e","Y","")</f>
        <v/>
      </c>
      <c r="H992" s="325" t="str">
        <f>IFERROR(VLOOKUP($D992,'SDDA Dogs'!$A:$AE,2,FALSE),"")</f>
        <v/>
      </c>
      <c r="I992" s="325" t="str">
        <f>IFERROR(VLOOKUP($D992,'SDDA Dogs'!$A:$AE,3,FALSE),"")</f>
        <v/>
      </c>
      <c r="J992" s="325" t="str">
        <f>IFERROR(VLOOKUP($D992,'SDDA Dogs'!$A:$AE,6,FALSE),"")</f>
        <v/>
      </c>
      <c r="K992" s="325"/>
      <c r="L992" s="325"/>
      <c r="M992" s="326" t="str">
        <f>TrialDateDay2</f>
        <v/>
      </c>
      <c r="N992" s="325" t="str">
        <f t="shared" si="1075"/>
        <v/>
      </c>
      <c r="O992" s="325">
        <f>JudgeD2CSS</f>
        <v>0</v>
      </c>
    </row>
    <row r="993" spans="1:15" x14ac:dyDescent="0.25">
      <c r="A993" s="2">
        <v>2</v>
      </c>
      <c r="B993" s="2">
        <f t="shared" ref="B993:J993" si="1090">B992</f>
        <v>0</v>
      </c>
      <c r="C993" s="2" t="str">
        <f t="shared" si="1090"/>
        <v>CSS</v>
      </c>
      <c r="D993" s="2">
        <f t="shared" si="1090"/>
        <v>0</v>
      </c>
      <c r="E993" s="2" t="str">
        <f t="shared" si="1090"/>
        <v>A</v>
      </c>
      <c r="F993" s="2" t="str">
        <f t="shared" si="1090"/>
        <v>Container Started</v>
      </c>
      <c r="G993" s="2" t="str">
        <f t="shared" si="1090"/>
        <v/>
      </c>
      <c r="H993" s="2" t="str">
        <f t="shared" si="1090"/>
        <v/>
      </c>
      <c r="I993" s="2" t="str">
        <f t="shared" si="1090"/>
        <v/>
      </c>
      <c r="J993" s="2" t="str">
        <f t="shared" si="1090"/>
        <v/>
      </c>
      <c r="M993" s="180" t="str">
        <f>M992</f>
        <v/>
      </c>
      <c r="N993" s="2" t="str">
        <f t="shared" si="1075"/>
        <v/>
      </c>
      <c r="O993" s="2">
        <f>O992</f>
        <v>0</v>
      </c>
    </row>
    <row r="994" spans="1:15" x14ac:dyDescent="0.25">
      <c r="A994" s="325">
        <v>1</v>
      </c>
      <c r="B994" s="325">
        <f>TrialNumberDay2</f>
        <v>0</v>
      </c>
      <c r="C994" s="325" t="s">
        <v>15</v>
      </c>
      <c r="D994" s="325">
        <f>Started!C61</f>
        <v>0</v>
      </c>
      <c r="E994" s="325" t="str">
        <f>IF(Started!B61="W","W","A")</f>
        <v>A</v>
      </c>
      <c r="F994" s="325" t="s">
        <v>1731</v>
      </c>
      <c r="G994" s="325" t="str">
        <f>IF(Started!G61="e","Y","")</f>
        <v/>
      </c>
      <c r="H994" s="325" t="str">
        <f>IFERROR(VLOOKUP($D994,'SDDA Dogs'!$A:$AE,2,FALSE),"")</f>
        <v/>
      </c>
      <c r="I994" s="325" t="str">
        <f>IFERROR(VLOOKUP($D994,'SDDA Dogs'!$A:$AE,3,FALSE),"")</f>
        <v/>
      </c>
      <c r="J994" s="325" t="str">
        <f>IFERROR(VLOOKUP($D994,'SDDA Dogs'!$A:$AE,6,FALSE),"")</f>
        <v/>
      </c>
      <c r="K994" s="325"/>
      <c r="L994" s="325"/>
      <c r="M994" s="326" t="str">
        <f>TrialDateDay2</f>
        <v/>
      </c>
      <c r="N994" s="325" t="str">
        <f t="shared" si="1075"/>
        <v/>
      </c>
      <c r="O994" s="325">
        <f>JudgeD2CSS</f>
        <v>0</v>
      </c>
    </row>
    <row r="995" spans="1:15" x14ac:dyDescent="0.25">
      <c r="A995" s="2">
        <v>2</v>
      </c>
      <c r="B995" s="2">
        <f t="shared" ref="B995:J995" si="1091">B994</f>
        <v>0</v>
      </c>
      <c r="C995" s="2" t="str">
        <f t="shared" si="1091"/>
        <v>CSS</v>
      </c>
      <c r="D995" s="2">
        <f t="shared" si="1091"/>
        <v>0</v>
      </c>
      <c r="E995" s="2" t="str">
        <f t="shared" si="1091"/>
        <v>A</v>
      </c>
      <c r="F995" s="2" t="str">
        <f t="shared" si="1091"/>
        <v>Container Started</v>
      </c>
      <c r="G995" s="2" t="str">
        <f t="shared" si="1091"/>
        <v/>
      </c>
      <c r="H995" s="2" t="str">
        <f t="shared" si="1091"/>
        <v/>
      </c>
      <c r="I995" s="2" t="str">
        <f t="shared" si="1091"/>
        <v/>
      </c>
      <c r="J995" s="2" t="str">
        <f t="shared" si="1091"/>
        <v/>
      </c>
      <c r="M995" s="180" t="str">
        <f>M994</f>
        <v/>
      </c>
      <c r="N995" s="2" t="str">
        <f t="shared" si="1075"/>
        <v/>
      </c>
      <c r="O995" s="2">
        <f>O994</f>
        <v>0</v>
      </c>
    </row>
    <row r="996" spans="1:15" x14ac:dyDescent="0.25">
      <c r="A996" s="325">
        <v>1</v>
      </c>
      <c r="B996" s="325">
        <f>TrialNumberDay2</f>
        <v>0</v>
      </c>
      <c r="C996" s="325" t="s">
        <v>15</v>
      </c>
      <c r="D996" s="325">
        <f>Started!C62</f>
        <v>0</v>
      </c>
      <c r="E996" s="325" t="str">
        <f>IF(Started!B62="W","W","A")</f>
        <v>A</v>
      </c>
      <c r="F996" s="325" t="s">
        <v>1731</v>
      </c>
      <c r="G996" s="325" t="str">
        <f>IF(Started!G62="e","Y","")</f>
        <v/>
      </c>
      <c r="H996" s="325" t="str">
        <f>IFERROR(VLOOKUP($D996,'SDDA Dogs'!$A:$AE,2,FALSE),"")</f>
        <v/>
      </c>
      <c r="I996" s="325" t="str">
        <f>IFERROR(VLOOKUP($D996,'SDDA Dogs'!$A:$AE,3,FALSE),"")</f>
        <v/>
      </c>
      <c r="J996" s="325" t="str">
        <f>IFERROR(VLOOKUP($D996,'SDDA Dogs'!$A:$AE,6,FALSE),"")</f>
        <v/>
      </c>
      <c r="K996" s="325"/>
      <c r="L996" s="325"/>
      <c r="M996" s="326" t="str">
        <f>TrialDateDay2</f>
        <v/>
      </c>
      <c r="N996" s="325" t="str">
        <f t="shared" si="1075"/>
        <v/>
      </c>
      <c r="O996" s="325">
        <f>JudgeD2CSS</f>
        <v>0</v>
      </c>
    </row>
    <row r="997" spans="1:15" x14ac:dyDescent="0.25">
      <c r="A997" s="2">
        <v>2</v>
      </c>
      <c r="B997" s="2">
        <f t="shared" ref="B997:J997" si="1092">B996</f>
        <v>0</v>
      </c>
      <c r="C997" s="2" t="str">
        <f t="shared" si="1092"/>
        <v>CSS</v>
      </c>
      <c r="D997" s="2">
        <f t="shared" si="1092"/>
        <v>0</v>
      </c>
      <c r="E997" s="2" t="str">
        <f t="shared" si="1092"/>
        <v>A</v>
      </c>
      <c r="F997" s="2" t="str">
        <f t="shared" si="1092"/>
        <v>Container Started</v>
      </c>
      <c r="G997" s="2" t="str">
        <f t="shared" si="1092"/>
        <v/>
      </c>
      <c r="H997" s="2" t="str">
        <f t="shared" si="1092"/>
        <v/>
      </c>
      <c r="I997" s="2" t="str">
        <f t="shared" si="1092"/>
        <v/>
      </c>
      <c r="J997" s="2" t="str">
        <f t="shared" si="1092"/>
        <v/>
      </c>
      <c r="M997" s="180" t="str">
        <f>M996</f>
        <v/>
      </c>
      <c r="N997" s="2" t="str">
        <f t="shared" si="1075"/>
        <v/>
      </c>
      <c r="O997" s="2">
        <f>O996</f>
        <v>0</v>
      </c>
    </row>
    <row r="998" spans="1:15" x14ac:dyDescent="0.25">
      <c r="A998" s="325">
        <v>1</v>
      </c>
      <c r="B998" s="325">
        <f>TrialNumberDay2</f>
        <v>0</v>
      </c>
      <c r="C998" s="325" t="s">
        <v>15</v>
      </c>
      <c r="D998" s="325">
        <f>Started!C63</f>
        <v>0</v>
      </c>
      <c r="E998" s="325" t="str">
        <f>IF(Started!B63="W","W","A")</f>
        <v>A</v>
      </c>
      <c r="F998" s="325" t="s">
        <v>1731</v>
      </c>
      <c r="G998" s="325" t="str">
        <f>IF(Started!G63="e","Y","")</f>
        <v/>
      </c>
      <c r="H998" s="325" t="str">
        <f>IFERROR(VLOOKUP($D998,'SDDA Dogs'!$A:$AE,2,FALSE),"")</f>
        <v/>
      </c>
      <c r="I998" s="325" t="str">
        <f>IFERROR(VLOOKUP($D998,'SDDA Dogs'!$A:$AE,3,FALSE),"")</f>
        <v/>
      </c>
      <c r="J998" s="325" t="str">
        <f>IFERROR(VLOOKUP($D998,'SDDA Dogs'!$A:$AE,6,FALSE),"")</f>
        <v/>
      </c>
      <c r="K998" s="325"/>
      <c r="L998" s="325"/>
      <c r="M998" s="326" t="str">
        <f>TrialDateDay2</f>
        <v/>
      </c>
      <c r="N998" s="325" t="str">
        <f t="shared" si="1075"/>
        <v/>
      </c>
      <c r="O998" s="325">
        <f>JudgeD2CSS</f>
        <v>0</v>
      </c>
    </row>
    <row r="999" spans="1:15" x14ac:dyDescent="0.25">
      <c r="A999" s="2">
        <v>2</v>
      </c>
      <c r="B999" s="2">
        <f t="shared" ref="B999:J999" si="1093">B998</f>
        <v>0</v>
      </c>
      <c r="C999" s="2" t="str">
        <f t="shared" si="1093"/>
        <v>CSS</v>
      </c>
      <c r="D999" s="2">
        <f t="shared" si="1093"/>
        <v>0</v>
      </c>
      <c r="E999" s="2" t="str">
        <f t="shared" si="1093"/>
        <v>A</v>
      </c>
      <c r="F999" s="2" t="str">
        <f t="shared" si="1093"/>
        <v>Container Started</v>
      </c>
      <c r="G999" s="2" t="str">
        <f t="shared" si="1093"/>
        <v/>
      </c>
      <c r="H999" s="2" t="str">
        <f t="shared" si="1093"/>
        <v/>
      </c>
      <c r="I999" s="2" t="str">
        <f t="shared" si="1093"/>
        <v/>
      </c>
      <c r="J999" s="2" t="str">
        <f t="shared" si="1093"/>
        <v/>
      </c>
      <c r="M999" s="180" t="str">
        <f>M998</f>
        <v/>
      </c>
      <c r="N999" s="2" t="str">
        <f t="shared" si="1075"/>
        <v/>
      </c>
      <c r="O999" s="2">
        <f>O998</f>
        <v>0</v>
      </c>
    </row>
    <row r="1000" spans="1:15" x14ac:dyDescent="0.25">
      <c r="A1000" s="325">
        <v>1</v>
      </c>
      <c r="B1000" s="325">
        <f>TrialNumberDay2</f>
        <v>0</v>
      </c>
      <c r="C1000" s="325" t="s">
        <v>15</v>
      </c>
      <c r="D1000" s="325">
        <f>Started!C64</f>
        <v>0</v>
      </c>
      <c r="E1000" s="325" t="str">
        <f>IF(Started!B64="W","W","A")</f>
        <v>A</v>
      </c>
      <c r="F1000" s="325" t="s">
        <v>1731</v>
      </c>
      <c r="G1000" s="325" t="str">
        <f>IF(Started!G64="e","Y","")</f>
        <v/>
      </c>
      <c r="H1000" s="325" t="str">
        <f>IFERROR(VLOOKUP($D1000,'SDDA Dogs'!$A:$AE,2,FALSE),"")</f>
        <v/>
      </c>
      <c r="I1000" s="325" t="str">
        <f>IFERROR(VLOOKUP($D1000,'SDDA Dogs'!$A:$AE,3,FALSE),"")</f>
        <v/>
      </c>
      <c r="J1000" s="325" t="str">
        <f>IFERROR(VLOOKUP($D1000,'SDDA Dogs'!$A:$AE,6,FALSE),"")</f>
        <v/>
      </c>
      <c r="K1000" s="325"/>
      <c r="L1000" s="325"/>
      <c r="M1000" s="326" t="str">
        <f>TrialDateDay2</f>
        <v/>
      </c>
      <c r="N1000" s="325" t="str">
        <f t="shared" si="1075"/>
        <v/>
      </c>
      <c r="O1000" s="325">
        <f>JudgeD2CSS</f>
        <v>0</v>
      </c>
    </row>
    <row r="1001" spans="1:15" x14ac:dyDescent="0.25">
      <c r="A1001" s="2">
        <v>2</v>
      </c>
      <c r="B1001" s="2">
        <f t="shared" ref="B1001:J1001" si="1094">B1000</f>
        <v>0</v>
      </c>
      <c r="C1001" s="2" t="str">
        <f t="shared" si="1094"/>
        <v>CSS</v>
      </c>
      <c r="D1001" s="2">
        <f t="shared" si="1094"/>
        <v>0</v>
      </c>
      <c r="E1001" s="2" t="str">
        <f t="shared" si="1094"/>
        <v>A</v>
      </c>
      <c r="F1001" s="2" t="str">
        <f t="shared" si="1094"/>
        <v>Container Started</v>
      </c>
      <c r="G1001" s="2" t="str">
        <f t="shared" si="1094"/>
        <v/>
      </c>
      <c r="H1001" s="2" t="str">
        <f t="shared" si="1094"/>
        <v/>
      </c>
      <c r="I1001" s="2" t="str">
        <f t="shared" si="1094"/>
        <v/>
      </c>
      <c r="J1001" s="2" t="str">
        <f t="shared" si="1094"/>
        <v/>
      </c>
      <c r="M1001" s="180" t="str">
        <f>M1000</f>
        <v/>
      </c>
      <c r="N1001" s="2" t="str">
        <f t="shared" si="1075"/>
        <v/>
      </c>
      <c r="O1001" s="2">
        <f>O1000</f>
        <v>0</v>
      </c>
    </row>
    <row r="1002" spans="1:15" x14ac:dyDescent="0.25">
      <c r="A1002" s="325">
        <v>1</v>
      </c>
      <c r="B1002" s="325">
        <f>TrialNumberDay2</f>
        <v>0</v>
      </c>
      <c r="C1002" s="325" t="s">
        <v>15</v>
      </c>
      <c r="D1002" s="325">
        <f>Started!C65</f>
        <v>0</v>
      </c>
      <c r="E1002" s="325" t="str">
        <f>IF(Started!B65="W","W","A")</f>
        <v>A</v>
      </c>
      <c r="F1002" s="325" t="s">
        <v>1731</v>
      </c>
      <c r="G1002" s="325" t="str">
        <f>IF(Started!G65="e","Y","")</f>
        <v/>
      </c>
      <c r="H1002" s="325" t="str">
        <f>IFERROR(VLOOKUP($D1002,'SDDA Dogs'!$A:$AE,2,FALSE),"")</f>
        <v/>
      </c>
      <c r="I1002" s="325" t="str">
        <f>IFERROR(VLOOKUP($D1002,'SDDA Dogs'!$A:$AE,3,FALSE),"")</f>
        <v/>
      </c>
      <c r="J1002" s="325" t="str">
        <f>IFERROR(VLOOKUP($D1002,'SDDA Dogs'!$A:$AE,6,FALSE),"")</f>
        <v/>
      </c>
      <c r="K1002" s="325"/>
      <c r="L1002" s="325"/>
      <c r="M1002" s="326" t="str">
        <f>TrialDateDay2</f>
        <v/>
      </c>
      <c r="N1002" s="325" t="str">
        <f t="shared" si="1075"/>
        <v/>
      </c>
      <c r="O1002" s="325">
        <f>JudgeD2CSS</f>
        <v>0</v>
      </c>
    </row>
    <row r="1003" spans="1:15" x14ac:dyDescent="0.25">
      <c r="A1003" s="2">
        <v>2</v>
      </c>
      <c r="B1003" s="2">
        <f t="shared" ref="B1003:J1003" si="1095">B1002</f>
        <v>0</v>
      </c>
      <c r="C1003" s="2" t="str">
        <f t="shared" si="1095"/>
        <v>CSS</v>
      </c>
      <c r="D1003" s="2">
        <f t="shared" si="1095"/>
        <v>0</v>
      </c>
      <c r="E1003" s="2" t="str">
        <f t="shared" si="1095"/>
        <v>A</v>
      </c>
      <c r="F1003" s="2" t="str">
        <f t="shared" si="1095"/>
        <v>Container Started</v>
      </c>
      <c r="G1003" s="2" t="str">
        <f t="shared" si="1095"/>
        <v/>
      </c>
      <c r="H1003" s="2" t="str">
        <f t="shared" si="1095"/>
        <v/>
      </c>
      <c r="I1003" s="2" t="str">
        <f t="shared" si="1095"/>
        <v/>
      </c>
      <c r="J1003" s="2" t="str">
        <f t="shared" si="1095"/>
        <v/>
      </c>
      <c r="M1003" s="180" t="str">
        <f>M1002</f>
        <v/>
      </c>
      <c r="N1003" s="2" t="str">
        <f t="shared" si="1075"/>
        <v/>
      </c>
      <c r="O1003" s="2">
        <f>O1002</f>
        <v>0</v>
      </c>
    </row>
    <row r="1004" spans="1:15" x14ac:dyDescent="0.25">
      <c r="A1004" s="325">
        <v>1</v>
      </c>
      <c r="B1004" s="325">
        <f>TrialNumberDay2</f>
        <v>0</v>
      </c>
      <c r="C1004" s="325" t="s">
        <v>15</v>
      </c>
      <c r="D1004" s="325">
        <f>Started!C66</f>
        <v>0</v>
      </c>
      <c r="E1004" s="325" t="str">
        <f>IF(Started!B66="W","W","A")</f>
        <v>A</v>
      </c>
      <c r="F1004" s="325" t="s">
        <v>1731</v>
      </c>
      <c r="G1004" s="325" t="str">
        <f>IF(Started!G66="e","Y","")</f>
        <v/>
      </c>
      <c r="H1004" s="325" t="str">
        <f>IFERROR(VLOOKUP($D1004,'SDDA Dogs'!$A:$AE,2,FALSE),"")</f>
        <v/>
      </c>
      <c r="I1004" s="325" t="str">
        <f>IFERROR(VLOOKUP($D1004,'SDDA Dogs'!$A:$AE,3,FALSE),"")</f>
        <v/>
      </c>
      <c r="J1004" s="325" t="str">
        <f>IFERROR(VLOOKUP($D1004,'SDDA Dogs'!$A:$AE,6,FALSE),"")</f>
        <v/>
      </c>
      <c r="K1004" s="325"/>
      <c r="L1004" s="325"/>
      <c r="M1004" s="326" t="str">
        <f>TrialDateDay2</f>
        <v/>
      </c>
      <c r="N1004" s="325" t="str">
        <f t="shared" si="1075"/>
        <v/>
      </c>
      <c r="O1004" s="325">
        <f>JudgeD2CSS</f>
        <v>0</v>
      </c>
    </row>
    <row r="1005" spans="1:15" x14ac:dyDescent="0.25">
      <c r="A1005" s="2">
        <v>2</v>
      </c>
      <c r="B1005" s="2">
        <f t="shared" ref="B1005:J1005" si="1096">B1004</f>
        <v>0</v>
      </c>
      <c r="C1005" s="2" t="str">
        <f t="shared" si="1096"/>
        <v>CSS</v>
      </c>
      <c r="D1005" s="2">
        <f t="shared" si="1096"/>
        <v>0</v>
      </c>
      <c r="E1005" s="2" t="str">
        <f t="shared" si="1096"/>
        <v>A</v>
      </c>
      <c r="F1005" s="2" t="str">
        <f t="shared" si="1096"/>
        <v>Container Started</v>
      </c>
      <c r="G1005" s="2" t="str">
        <f t="shared" si="1096"/>
        <v/>
      </c>
      <c r="H1005" s="2" t="str">
        <f t="shared" si="1096"/>
        <v/>
      </c>
      <c r="I1005" s="2" t="str">
        <f t="shared" si="1096"/>
        <v/>
      </c>
      <c r="J1005" s="2" t="str">
        <f t="shared" si="1096"/>
        <v/>
      </c>
      <c r="M1005" s="180" t="str">
        <f>M1004</f>
        <v/>
      </c>
      <c r="N1005" s="2" t="str">
        <f t="shared" si="1075"/>
        <v/>
      </c>
      <c r="O1005" s="2">
        <f>O1004</f>
        <v>0</v>
      </c>
    </row>
    <row r="1006" spans="1:15" x14ac:dyDescent="0.25">
      <c r="A1006" s="325">
        <v>1</v>
      </c>
      <c r="B1006" s="325">
        <f>TrialNumberDay2</f>
        <v>0</v>
      </c>
      <c r="C1006" s="325" t="s">
        <v>15</v>
      </c>
      <c r="D1006" s="325">
        <f>Started!C67</f>
        <v>0</v>
      </c>
      <c r="E1006" s="325" t="str">
        <f>IF(Started!B67="W","W","A")</f>
        <v>A</v>
      </c>
      <c r="F1006" s="325" t="s">
        <v>1731</v>
      </c>
      <c r="G1006" s="325" t="str">
        <f>IF(Started!G67="e","Y","")</f>
        <v/>
      </c>
      <c r="H1006" s="325" t="str">
        <f>IFERROR(VLOOKUP($D1006,'SDDA Dogs'!$A:$AE,2,FALSE),"")</f>
        <v/>
      </c>
      <c r="I1006" s="325" t="str">
        <f>IFERROR(VLOOKUP($D1006,'SDDA Dogs'!$A:$AE,3,FALSE),"")</f>
        <v/>
      </c>
      <c r="J1006" s="325" t="str">
        <f>IFERROR(VLOOKUP($D1006,'SDDA Dogs'!$A:$AE,6,FALSE),"")</f>
        <v/>
      </c>
      <c r="K1006" s="325"/>
      <c r="L1006" s="325"/>
      <c r="M1006" s="326" t="str">
        <f>TrialDateDay2</f>
        <v/>
      </c>
      <c r="N1006" s="325" t="str">
        <f t="shared" si="1075"/>
        <v/>
      </c>
      <c r="O1006" s="325">
        <f>JudgeD2CSS</f>
        <v>0</v>
      </c>
    </row>
    <row r="1007" spans="1:15" x14ac:dyDescent="0.25">
      <c r="A1007" s="2">
        <v>2</v>
      </c>
      <c r="B1007" s="2">
        <f t="shared" ref="B1007:J1007" si="1097">B1006</f>
        <v>0</v>
      </c>
      <c r="C1007" s="2" t="str">
        <f t="shared" si="1097"/>
        <v>CSS</v>
      </c>
      <c r="D1007" s="2">
        <f t="shared" si="1097"/>
        <v>0</v>
      </c>
      <c r="E1007" s="2" t="str">
        <f t="shared" si="1097"/>
        <v>A</v>
      </c>
      <c r="F1007" s="2" t="str">
        <f t="shared" si="1097"/>
        <v>Container Started</v>
      </c>
      <c r="G1007" s="2" t="str">
        <f t="shared" si="1097"/>
        <v/>
      </c>
      <c r="H1007" s="2" t="str">
        <f t="shared" si="1097"/>
        <v/>
      </c>
      <c r="I1007" s="2" t="str">
        <f t="shared" si="1097"/>
        <v/>
      </c>
      <c r="J1007" s="2" t="str">
        <f t="shared" si="1097"/>
        <v/>
      </c>
      <c r="M1007" s="180" t="str">
        <f>M1006</f>
        <v/>
      </c>
      <c r="N1007" s="2" t="str">
        <f t="shared" si="1075"/>
        <v/>
      </c>
      <c r="O1007" s="2">
        <f>O1006</f>
        <v>0</v>
      </c>
    </row>
    <row r="1008" spans="1:15" x14ac:dyDescent="0.25">
      <c r="A1008" s="325">
        <v>1</v>
      </c>
      <c r="B1008" s="325">
        <f>TrialNumberDay2</f>
        <v>0</v>
      </c>
      <c r="C1008" s="325" t="s">
        <v>15</v>
      </c>
      <c r="D1008" s="325">
        <f>Started!C68</f>
        <v>0</v>
      </c>
      <c r="E1008" s="325" t="str">
        <f>IF(Started!B68="W","W","A")</f>
        <v>A</v>
      </c>
      <c r="F1008" s="325" t="s">
        <v>1731</v>
      </c>
      <c r="G1008" s="325" t="str">
        <f>IF(Started!G68="e","Y","")</f>
        <v/>
      </c>
      <c r="H1008" s="325" t="str">
        <f>IFERROR(VLOOKUP($D1008,'SDDA Dogs'!$A:$AE,2,FALSE),"")</f>
        <v/>
      </c>
      <c r="I1008" s="325" t="str">
        <f>IFERROR(VLOOKUP($D1008,'SDDA Dogs'!$A:$AE,3,FALSE),"")</f>
        <v/>
      </c>
      <c r="J1008" s="325" t="str">
        <f>IFERROR(VLOOKUP($D1008,'SDDA Dogs'!$A:$AE,6,FALSE),"")</f>
        <v/>
      </c>
      <c r="K1008" s="325"/>
      <c r="L1008" s="325"/>
      <c r="M1008" s="326" t="str">
        <f>TrialDateDay2</f>
        <v/>
      </c>
      <c r="N1008" s="325" t="str">
        <f t="shared" si="1075"/>
        <v/>
      </c>
      <c r="O1008" s="325">
        <f>JudgeD2CSS</f>
        <v>0</v>
      </c>
    </row>
    <row r="1009" spans="1:15" x14ac:dyDescent="0.25">
      <c r="A1009" s="2">
        <v>2</v>
      </c>
      <c r="B1009" s="2">
        <f t="shared" ref="B1009:J1009" si="1098">B1008</f>
        <v>0</v>
      </c>
      <c r="C1009" s="2" t="str">
        <f t="shared" si="1098"/>
        <v>CSS</v>
      </c>
      <c r="D1009" s="2">
        <f t="shared" si="1098"/>
        <v>0</v>
      </c>
      <c r="E1009" s="2" t="str">
        <f t="shared" si="1098"/>
        <v>A</v>
      </c>
      <c r="F1009" s="2" t="str">
        <f t="shared" si="1098"/>
        <v>Container Started</v>
      </c>
      <c r="G1009" s="2" t="str">
        <f t="shared" si="1098"/>
        <v/>
      </c>
      <c r="H1009" s="2" t="str">
        <f t="shared" si="1098"/>
        <v/>
      </c>
      <c r="I1009" s="2" t="str">
        <f t="shared" si="1098"/>
        <v/>
      </c>
      <c r="J1009" s="2" t="str">
        <f t="shared" si="1098"/>
        <v/>
      </c>
      <c r="M1009" s="180" t="str">
        <f>M1008</f>
        <v/>
      </c>
      <c r="N1009" s="2" t="str">
        <f t="shared" si="1075"/>
        <v/>
      </c>
      <c r="O1009" s="2">
        <f>O1008</f>
        <v>0</v>
      </c>
    </row>
    <row r="1010" spans="1:15" x14ac:dyDescent="0.25">
      <c r="A1010" s="325">
        <v>1</v>
      </c>
      <c r="B1010" s="325">
        <f>TrialNumberDay2</f>
        <v>0</v>
      </c>
      <c r="C1010" s="325" t="s">
        <v>15</v>
      </c>
      <c r="D1010" s="325">
        <f>Started!C69</f>
        <v>0</v>
      </c>
      <c r="E1010" s="325" t="str">
        <f>IF(Started!B69="W","W","A")</f>
        <v>A</v>
      </c>
      <c r="F1010" s="325" t="s">
        <v>1731</v>
      </c>
      <c r="G1010" s="325" t="str">
        <f>IF(Started!G69="e","Y","")</f>
        <v/>
      </c>
      <c r="H1010" s="325" t="str">
        <f>IFERROR(VLOOKUP($D1010,'SDDA Dogs'!$A:$AE,2,FALSE),"")</f>
        <v/>
      </c>
      <c r="I1010" s="325" t="str">
        <f>IFERROR(VLOOKUP($D1010,'SDDA Dogs'!$A:$AE,3,FALSE),"")</f>
        <v/>
      </c>
      <c r="J1010" s="325" t="str">
        <f>IFERROR(VLOOKUP($D1010,'SDDA Dogs'!$A:$AE,6,FALSE),"")</f>
        <v/>
      </c>
      <c r="K1010" s="325"/>
      <c r="L1010" s="325"/>
      <c r="M1010" s="326" t="str">
        <f>TrialDateDay2</f>
        <v/>
      </c>
      <c r="N1010" s="325" t="str">
        <f t="shared" si="1075"/>
        <v/>
      </c>
      <c r="O1010" s="325">
        <f>JudgeD2CSS</f>
        <v>0</v>
      </c>
    </row>
    <row r="1011" spans="1:15" x14ac:dyDescent="0.25">
      <c r="A1011" s="2">
        <v>2</v>
      </c>
      <c r="B1011" s="2">
        <f t="shared" ref="B1011:J1011" si="1099">B1010</f>
        <v>0</v>
      </c>
      <c r="C1011" s="2" t="str">
        <f t="shared" si="1099"/>
        <v>CSS</v>
      </c>
      <c r="D1011" s="2">
        <f t="shared" si="1099"/>
        <v>0</v>
      </c>
      <c r="E1011" s="2" t="str">
        <f t="shared" si="1099"/>
        <v>A</v>
      </c>
      <c r="F1011" s="2" t="str">
        <f t="shared" si="1099"/>
        <v>Container Started</v>
      </c>
      <c r="G1011" s="2" t="str">
        <f t="shared" si="1099"/>
        <v/>
      </c>
      <c r="H1011" s="2" t="str">
        <f t="shared" si="1099"/>
        <v/>
      </c>
      <c r="I1011" s="2" t="str">
        <f t="shared" si="1099"/>
        <v/>
      </c>
      <c r="J1011" s="2" t="str">
        <f t="shared" si="1099"/>
        <v/>
      </c>
      <c r="M1011" s="180" t="str">
        <f>M1010</f>
        <v/>
      </c>
      <c r="N1011" s="2" t="str">
        <f t="shared" si="1075"/>
        <v/>
      </c>
      <c r="O1011" s="2">
        <f>O1010</f>
        <v>0</v>
      </c>
    </row>
    <row r="1012" spans="1:15" x14ac:dyDescent="0.25">
      <c r="A1012" s="325">
        <v>1</v>
      </c>
      <c r="B1012" s="325">
        <f>TrialNumberDay2</f>
        <v>0</v>
      </c>
      <c r="C1012" s="325" t="s">
        <v>15</v>
      </c>
      <c r="D1012" s="325">
        <f>Started!C70</f>
        <v>0</v>
      </c>
      <c r="E1012" s="325" t="str">
        <f>IF(Started!B70="W","W","A")</f>
        <v>A</v>
      </c>
      <c r="F1012" s="325" t="s">
        <v>1731</v>
      </c>
      <c r="G1012" s="325" t="str">
        <f>IF(Started!G70="e","Y","")</f>
        <v/>
      </c>
      <c r="H1012" s="325" t="str">
        <f>IFERROR(VLOOKUP($D1012,'SDDA Dogs'!$A:$AE,2,FALSE),"")</f>
        <v/>
      </c>
      <c r="I1012" s="325" t="str">
        <f>IFERROR(VLOOKUP($D1012,'SDDA Dogs'!$A:$AE,3,FALSE),"")</f>
        <v/>
      </c>
      <c r="J1012" s="325" t="str">
        <f>IFERROR(VLOOKUP($D1012,'SDDA Dogs'!$A:$AE,6,FALSE),"")</f>
        <v/>
      </c>
      <c r="K1012" s="325"/>
      <c r="L1012" s="325"/>
      <c r="M1012" s="326" t="str">
        <f>TrialDateDay2</f>
        <v/>
      </c>
      <c r="N1012" s="325" t="str">
        <f t="shared" si="1075"/>
        <v/>
      </c>
      <c r="O1012" s="325">
        <f>JudgeD2CSS</f>
        <v>0</v>
      </c>
    </row>
    <row r="1013" spans="1:15" x14ac:dyDescent="0.25">
      <c r="A1013" s="2">
        <v>2</v>
      </c>
      <c r="B1013" s="2">
        <f t="shared" ref="B1013:J1013" si="1100">B1012</f>
        <v>0</v>
      </c>
      <c r="C1013" s="2" t="str">
        <f t="shared" si="1100"/>
        <v>CSS</v>
      </c>
      <c r="D1013" s="2">
        <f t="shared" si="1100"/>
        <v>0</v>
      </c>
      <c r="E1013" s="2" t="str">
        <f t="shared" si="1100"/>
        <v>A</v>
      </c>
      <c r="F1013" s="2" t="str">
        <f t="shared" si="1100"/>
        <v>Container Started</v>
      </c>
      <c r="G1013" s="2" t="str">
        <f t="shared" si="1100"/>
        <v/>
      </c>
      <c r="H1013" s="2" t="str">
        <f t="shared" si="1100"/>
        <v/>
      </c>
      <c r="I1013" s="2" t="str">
        <f t="shared" si="1100"/>
        <v/>
      </c>
      <c r="J1013" s="2" t="str">
        <f t="shared" si="1100"/>
        <v/>
      </c>
      <c r="M1013" s="180" t="str">
        <f>M1012</f>
        <v/>
      </c>
      <c r="N1013" s="2" t="str">
        <f t="shared" si="1075"/>
        <v/>
      </c>
      <c r="O1013" s="2">
        <f>O1012</f>
        <v>0</v>
      </c>
    </row>
    <row r="1014" spans="1:15" x14ac:dyDescent="0.25">
      <c r="A1014" s="325">
        <v>1</v>
      </c>
      <c r="B1014" s="325">
        <f>TrialNumberDay2</f>
        <v>0</v>
      </c>
      <c r="C1014" s="325" t="s">
        <v>15</v>
      </c>
      <c r="D1014" s="325">
        <f>Started!C71</f>
        <v>0</v>
      </c>
      <c r="E1014" s="325" t="str">
        <f>IF(Started!B71="W","W","A")</f>
        <v>A</v>
      </c>
      <c r="F1014" s="325" t="s">
        <v>1731</v>
      </c>
      <c r="G1014" s="325" t="str">
        <f>IF(Started!G71="e","Y","")</f>
        <v/>
      </c>
      <c r="H1014" s="325" t="str">
        <f>IFERROR(VLOOKUP($D1014,'SDDA Dogs'!$A:$AE,2,FALSE),"")</f>
        <v/>
      </c>
      <c r="I1014" s="325" t="str">
        <f>IFERROR(VLOOKUP($D1014,'SDDA Dogs'!$A:$AE,3,FALSE),"")</f>
        <v/>
      </c>
      <c r="J1014" s="325" t="str">
        <f>IFERROR(VLOOKUP($D1014,'SDDA Dogs'!$A:$AE,6,FALSE),"")</f>
        <v/>
      </c>
      <c r="K1014" s="325"/>
      <c r="L1014" s="325"/>
      <c r="M1014" s="326" t="str">
        <f>TrialDateDay2</f>
        <v/>
      </c>
      <c r="N1014" s="325" t="str">
        <f t="shared" si="1075"/>
        <v/>
      </c>
      <c r="O1014" s="325">
        <f>JudgeD2CSS</f>
        <v>0</v>
      </c>
    </row>
    <row r="1015" spans="1:15" x14ac:dyDescent="0.25">
      <c r="A1015" s="2">
        <v>2</v>
      </c>
      <c r="B1015" s="2">
        <f t="shared" ref="B1015:J1015" si="1101">B1014</f>
        <v>0</v>
      </c>
      <c r="C1015" s="2" t="str">
        <f t="shared" si="1101"/>
        <v>CSS</v>
      </c>
      <c r="D1015" s="2">
        <f t="shared" si="1101"/>
        <v>0</v>
      </c>
      <c r="E1015" s="2" t="str">
        <f t="shared" si="1101"/>
        <v>A</v>
      </c>
      <c r="F1015" s="2" t="str">
        <f t="shared" si="1101"/>
        <v>Container Started</v>
      </c>
      <c r="G1015" s="2" t="str">
        <f t="shared" si="1101"/>
        <v/>
      </c>
      <c r="H1015" s="2" t="str">
        <f t="shared" si="1101"/>
        <v/>
      </c>
      <c r="I1015" s="2" t="str">
        <f t="shared" si="1101"/>
        <v/>
      </c>
      <c r="J1015" s="2" t="str">
        <f t="shared" si="1101"/>
        <v/>
      </c>
      <c r="M1015" s="180" t="str">
        <f>M1014</f>
        <v/>
      </c>
      <c r="N1015" s="2" t="str">
        <f t="shared" si="1075"/>
        <v/>
      </c>
      <c r="O1015" s="2">
        <f>O1014</f>
        <v>0</v>
      </c>
    </row>
    <row r="1016" spans="1:15" x14ac:dyDescent="0.25">
      <c r="A1016" s="325">
        <v>1</v>
      </c>
      <c r="B1016" s="325">
        <f>TrialNumberDay2</f>
        <v>0</v>
      </c>
      <c r="C1016" s="325" t="s">
        <v>15</v>
      </c>
      <c r="D1016" s="325">
        <f>Started!C72</f>
        <v>0</v>
      </c>
      <c r="E1016" s="325" t="str">
        <f>IF(Started!B72="W","W","A")</f>
        <v>A</v>
      </c>
      <c r="F1016" s="325" t="s">
        <v>1731</v>
      </c>
      <c r="G1016" s="325" t="str">
        <f>IF(Started!G72="e","Y","")</f>
        <v/>
      </c>
      <c r="H1016" s="325" t="str">
        <f>IFERROR(VLOOKUP($D1016,'SDDA Dogs'!$A:$AE,2,FALSE),"")</f>
        <v/>
      </c>
      <c r="I1016" s="325" t="str">
        <f>IFERROR(VLOOKUP($D1016,'SDDA Dogs'!$A:$AE,3,FALSE),"")</f>
        <v/>
      </c>
      <c r="J1016" s="325" t="str">
        <f>IFERROR(VLOOKUP($D1016,'SDDA Dogs'!$A:$AE,6,FALSE),"")</f>
        <v/>
      </c>
      <c r="K1016" s="325"/>
      <c r="L1016" s="325"/>
      <c r="M1016" s="326" t="str">
        <f>TrialDateDay2</f>
        <v/>
      </c>
      <c r="N1016" s="325" t="str">
        <f t="shared" si="1075"/>
        <v/>
      </c>
      <c r="O1016" s="325">
        <f>JudgeD2CSS</f>
        <v>0</v>
      </c>
    </row>
    <row r="1017" spans="1:15" x14ac:dyDescent="0.25">
      <c r="A1017" s="2">
        <v>2</v>
      </c>
      <c r="B1017" s="2">
        <f t="shared" ref="B1017:J1017" si="1102">B1016</f>
        <v>0</v>
      </c>
      <c r="C1017" s="2" t="str">
        <f t="shared" si="1102"/>
        <v>CSS</v>
      </c>
      <c r="D1017" s="2">
        <f t="shared" si="1102"/>
        <v>0</v>
      </c>
      <c r="E1017" s="2" t="str">
        <f t="shared" si="1102"/>
        <v>A</v>
      </c>
      <c r="F1017" s="2" t="str">
        <f t="shared" si="1102"/>
        <v>Container Started</v>
      </c>
      <c r="G1017" s="2" t="str">
        <f t="shared" si="1102"/>
        <v/>
      </c>
      <c r="H1017" s="2" t="str">
        <f t="shared" si="1102"/>
        <v/>
      </c>
      <c r="I1017" s="2" t="str">
        <f t="shared" si="1102"/>
        <v/>
      </c>
      <c r="J1017" s="2" t="str">
        <f t="shared" si="1102"/>
        <v/>
      </c>
      <c r="M1017" s="180" t="str">
        <f>M1016</f>
        <v/>
      </c>
      <c r="N1017" s="2" t="str">
        <f t="shared" si="1075"/>
        <v/>
      </c>
      <c r="O1017" s="2">
        <f>O1016</f>
        <v>0</v>
      </c>
    </row>
    <row r="1018" spans="1:15" x14ac:dyDescent="0.25">
      <c r="A1018" s="325">
        <v>1</v>
      </c>
      <c r="B1018" s="325">
        <f>TrialNumberDay2</f>
        <v>0</v>
      </c>
      <c r="C1018" s="325" t="s">
        <v>15</v>
      </c>
      <c r="D1018" s="325">
        <f>Started!C73</f>
        <v>0</v>
      </c>
      <c r="E1018" s="325" t="str">
        <f>IF(Started!B73="W","W","A")</f>
        <v>A</v>
      </c>
      <c r="F1018" s="325" t="s">
        <v>1731</v>
      </c>
      <c r="G1018" s="325" t="str">
        <f>IF(Started!G73="e","Y","")</f>
        <v/>
      </c>
      <c r="H1018" s="325" t="str">
        <f>IFERROR(VLOOKUP($D1018,'SDDA Dogs'!$A:$AE,2,FALSE),"")</f>
        <v/>
      </c>
      <c r="I1018" s="325" t="str">
        <f>IFERROR(VLOOKUP($D1018,'SDDA Dogs'!$A:$AE,3,FALSE),"")</f>
        <v/>
      </c>
      <c r="J1018" s="325" t="str">
        <f>IFERROR(VLOOKUP($D1018,'SDDA Dogs'!$A:$AE,6,FALSE),"")</f>
        <v/>
      </c>
      <c r="K1018" s="325"/>
      <c r="L1018" s="325"/>
      <c r="M1018" s="326" t="str">
        <f>TrialDateDay2</f>
        <v/>
      </c>
      <c r="N1018" s="325" t="str">
        <f t="shared" si="1075"/>
        <v/>
      </c>
      <c r="O1018" s="325">
        <f>JudgeD2CSS</f>
        <v>0</v>
      </c>
    </row>
    <row r="1019" spans="1:15" x14ac:dyDescent="0.25">
      <c r="A1019" s="2">
        <v>2</v>
      </c>
      <c r="B1019" s="2">
        <f t="shared" ref="B1019:J1019" si="1103">B1018</f>
        <v>0</v>
      </c>
      <c r="C1019" s="2" t="str">
        <f t="shared" si="1103"/>
        <v>CSS</v>
      </c>
      <c r="D1019" s="2">
        <f t="shared" si="1103"/>
        <v>0</v>
      </c>
      <c r="E1019" s="2" t="str">
        <f t="shared" si="1103"/>
        <v>A</v>
      </c>
      <c r="F1019" s="2" t="str">
        <f t="shared" si="1103"/>
        <v>Container Started</v>
      </c>
      <c r="G1019" s="2" t="str">
        <f t="shared" si="1103"/>
        <v/>
      </c>
      <c r="H1019" s="2" t="str">
        <f t="shared" si="1103"/>
        <v/>
      </c>
      <c r="I1019" s="2" t="str">
        <f t="shared" si="1103"/>
        <v/>
      </c>
      <c r="J1019" s="2" t="str">
        <f t="shared" si="1103"/>
        <v/>
      </c>
      <c r="M1019" s="180" t="str">
        <f>M1018</f>
        <v/>
      </c>
      <c r="N1019" s="2" t="str">
        <f t="shared" si="1075"/>
        <v/>
      </c>
      <c r="O1019" s="2">
        <f>O1018</f>
        <v>0</v>
      </c>
    </row>
    <row r="1020" spans="1:15" x14ac:dyDescent="0.25">
      <c r="A1020" s="325">
        <v>1</v>
      </c>
      <c r="B1020" s="325">
        <f>TrialNumberDay2</f>
        <v>0</v>
      </c>
      <c r="C1020" s="325" t="s">
        <v>15</v>
      </c>
      <c r="D1020" s="325">
        <f>Started!C74</f>
        <v>0</v>
      </c>
      <c r="E1020" s="325" t="str">
        <f>IF(Started!B74="W","W","A")</f>
        <v>A</v>
      </c>
      <c r="F1020" s="325" t="s">
        <v>1731</v>
      </c>
      <c r="G1020" s="325" t="str">
        <f>IF(Started!G74="e","Y","")</f>
        <v/>
      </c>
      <c r="H1020" s="325" t="str">
        <f>IFERROR(VLOOKUP($D1020,'SDDA Dogs'!$A:$AE,2,FALSE),"")</f>
        <v/>
      </c>
      <c r="I1020" s="325" t="str">
        <f>IFERROR(VLOOKUP($D1020,'SDDA Dogs'!$A:$AE,3,FALSE),"")</f>
        <v/>
      </c>
      <c r="J1020" s="325" t="str">
        <f>IFERROR(VLOOKUP($D1020,'SDDA Dogs'!$A:$AE,6,FALSE),"")</f>
        <v/>
      </c>
      <c r="K1020" s="325"/>
      <c r="L1020" s="325"/>
      <c r="M1020" s="326" t="str">
        <f>TrialDateDay2</f>
        <v/>
      </c>
      <c r="N1020" s="325" t="str">
        <f t="shared" si="1075"/>
        <v/>
      </c>
      <c r="O1020" s="325">
        <f>JudgeD2CSS</f>
        <v>0</v>
      </c>
    </row>
    <row r="1021" spans="1:15" x14ac:dyDescent="0.25">
      <c r="A1021" s="2">
        <v>2</v>
      </c>
      <c r="B1021" s="2">
        <f t="shared" ref="B1021:J1021" si="1104">B1020</f>
        <v>0</v>
      </c>
      <c r="C1021" s="2" t="str">
        <f t="shared" si="1104"/>
        <v>CSS</v>
      </c>
      <c r="D1021" s="2">
        <f t="shared" si="1104"/>
        <v>0</v>
      </c>
      <c r="E1021" s="2" t="str">
        <f t="shared" si="1104"/>
        <v>A</v>
      </c>
      <c r="F1021" s="2" t="str">
        <f t="shared" si="1104"/>
        <v>Container Started</v>
      </c>
      <c r="G1021" s="2" t="str">
        <f t="shared" si="1104"/>
        <v/>
      </c>
      <c r="H1021" s="2" t="str">
        <f t="shared" si="1104"/>
        <v/>
      </c>
      <c r="I1021" s="2" t="str">
        <f t="shared" si="1104"/>
        <v/>
      </c>
      <c r="J1021" s="2" t="str">
        <f t="shared" si="1104"/>
        <v/>
      </c>
      <c r="M1021" s="180" t="str">
        <f>M1020</f>
        <v/>
      </c>
      <c r="N1021" s="2" t="str">
        <f t="shared" si="1075"/>
        <v/>
      </c>
      <c r="O1021" s="2">
        <f>O1020</f>
        <v>0</v>
      </c>
    </row>
    <row r="1022" spans="1:15" s="149" customFormat="1" x14ac:dyDescent="0.25">
      <c r="A1022" s="327">
        <v>1</v>
      </c>
      <c r="B1022" s="327">
        <f>TrialNumberDay2</f>
        <v>0</v>
      </c>
      <c r="C1022" s="327" t="s">
        <v>16</v>
      </c>
      <c r="D1022" s="327">
        <f>Started!C45</f>
        <v>0</v>
      </c>
      <c r="E1022" s="327" t="str">
        <f>IF(Started!B45="W","W","A")</f>
        <v>A</v>
      </c>
      <c r="F1022" s="327" t="s">
        <v>1730</v>
      </c>
      <c r="G1022" s="327" t="str">
        <f>IF(Started!O45="e","Y","")</f>
        <v/>
      </c>
      <c r="H1022" s="327" t="str">
        <f>IFERROR(VLOOKUP($D1022,'SDDA Dogs'!$A:$AE,2,FALSE),"")</f>
        <v/>
      </c>
      <c r="I1022" s="327" t="str">
        <f>IFERROR(VLOOKUP($D1022,'SDDA Dogs'!$A:$AE,3,FALSE),"")</f>
        <v/>
      </c>
      <c r="J1022" s="327" t="str">
        <f>IFERROR(VLOOKUP($D1022,'SDDA Dogs'!$A:$AE,6,FALSE),"")</f>
        <v/>
      </c>
      <c r="K1022" s="327"/>
      <c r="L1022" s="327"/>
      <c r="M1022" s="328" t="str">
        <f>TrialDateDay2</f>
        <v/>
      </c>
      <c r="N1022" s="325" t="str">
        <f t="shared" si="1075"/>
        <v/>
      </c>
      <c r="O1022" s="327">
        <f>JudgeD2ISS</f>
        <v>0</v>
      </c>
    </row>
    <row r="1023" spans="1:15" x14ac:dyDescent="0.25">
      <c r="A1023" s="2">
        <v>2</v>
      </c>
      <c r="B1023" s="2">
        <f t="shared" ref="B1023:J1023" si="1105">B1022</f>
        <v>0</v>
      </c>
      <c r="C1023" s="2" t="str">
        <f t="shared" si="1105"/>
        <v>ISS</v>
      </c>
      <c r="D1023" s="2">
        <f t="shared" si="1105"/>
        <v>0</v>
      </c>
      <c r="E1023" s="2" t="str">
        <f t="shared" si="1105"/>
        <v>A</v>
      </c>
      <c r="F1023" s="2" t="str">
        <f t="shared" si="1105"/>
        <v>Interior Started</v>
      </c>
      <c r="G1023" s="2" t="str">
        <f t="shared" si="1105"/>
        <v/>
      </c>
      <c r="H1023" s="2" t="str">
        <f t="shared" si="1105"/>
        <v/>
      </c>
      <c r="I1023" s="2" t="str">
        <f t="shared" si="1105"/>
        <v/>
      </c>
      <c r="J1023" s="2" t="str">
        <f t="shared" si="1105"/>
        <v/>
      </c>
      <c r="M1023" s="180" t="str">
        <f>M1022</f>
        <v/>
      </c>
      <c r="N1023" s="2" t="str">
        <f t="shared" si="1075"/>
        <v/>
      </c>
      <c r="O1023" s="2">
        <f>O1022</f>
        <v>0</v>
      </c>
    </row>
    <row r="1024" spans="1:15" x14ac:dyDescent="0.25">
      <c r="A1024" s="325">
        <v>1</v>
      </c>
      <c r="B1024" s="325">
        <f>TrialNumberDay2</f>
        <v>0</v>
      </c>
      <c r="C1024" s="325" t="s">
        <v>16</v>
      </c>
      <c r="D1024" s="325">
        <f>Started!C46</f>
        <v>0</v>
      </c>
      <c r="E1024" s="325" t="str">
        <f>IF(Started!B46="W","W","A")</f>
        <v>A</v>
      </c>
      <c r="F1024" s="325" t="s">
        <v>1730</v>
      </c>
      <c r="G1024" s="325" t="str">
        <f>IF(Started!O46="e","Y","")</f>
        <v/>
      </c>
      <c r="H1024" s="325" t="str">
        <f>IFERROR(VLOOKUP($D1024,'SDDA Dogs'!$A:$AE,2,FALSE),"")</f>
        <v/>
      </c>
      <c r="I1024" s="325" t="str">
        <f>IFERROR(VLOOKUP($D1024,'SDDA Dogs'!$A:$AE,3,FALSE),"")</f>
        <v/>
      </c>
      <c r="J1024" s="325" t="str">
        <f>IFERROR(VLOOKUP($D1024,'SDDA Dogs'!$A:$AE,6,FALSE),"")</f>
        <v/>
      </c>
      <c r="K1024" s="325"/>
      <c r="L1024" s="325"/>
      <c r="M1024" s="326" t="str">
        <f>TrialDateDay2</f>
        <v/>
      </c>
      <c r="N1024" s="325" t="str">
        <f t="shared" si="1075"/>
        <v/>
      </c>
      <c r="O1024" s="325">
        <f>JudgeD2ISS</f>
        <v>0</v>
      </c>
    </row>
    <row r="1025" spans="1:15" x14ac:dyDescent="0.25">
      <c r="A1025" s="2">
        <v>2</v>
      </c>
      <c r="B1025" s="2">
        <f t="shared" ref="B1025:J1025" si="1106">B1024</f>
        <v>0</v>
      </c>
      <c r="C1025" s="2" t="str">
        <f t="shared" si="1106"/>
        <v>ISS</v>
      </c>
      <c r="D1025" s="2">
        <f t="shared" si="1106"/>
        <v>0</v>
      </c>
      <c r="E1025" s="2" t="str">
        <f t="shared" si="1106"/>
        <v>A</v>
      </c>
      <c r="F1025" s="2" t="str">
        <f t="shared" si="1106"/>
        <v>Interior Started</v>
      </c>
      <c r="G1025" s="2" t="str">
        <f t="shared" si="1106"/>
        <v/>
      </c>
      <c r="H1025" s="2" t="str">
        <f t="shared" si="1106"/>
        <v/>
      </c>
      <c r="I1025" s="2" t="str">
        <f t="shared" si="1106"/>
        <v/>
      </c>
      <c r="J1025" s="2" t="str">
        <f t="shared" si="1106"/>
        <v/>
      </c>
      <c r="M1025" s="180" t="str">
        <f>M1024</f>
        <v/>
      </c>
      <c r="N1025" s="2" t="str">
        <f t="shared" si="1075"/>
        <v/>
      </c>
      <c r="O1025" s="2">
        <f>O1024</f>
        <v>0</v>
      </c>
    </row>
    <row r="1026" spans="1:15" x14ac:dyDescent="0.25">
      <c r="A1026" s="325">
        <v>1</v>
      </c>
      <c r="B1026" s="325">
        <f>TrialNumberDay2</f>
        <v>0</v>
      </c>
      <c r="C1026" s="325" t="s">
        <v>16</v>
      </c>
      <c r="D1026" s="325">
        <f>Started!C47</f>
        <v>0</v>
      </c>
      <c r="E1026" s="325" t="str">
        <f>IF(Started!B47="W","W","A")</f>
        <v>A</v>
      </c>
      <c r="F1026" s="325" t="s">
        <v>1730</v>
      </c>
      <c r="G1026" s="325" t="str">
        <f>IF(Started!O47="e","Y","")</f>
        <v/>
      </c>
      <c r="H1026" s="325" t="str">
        <f>IFERROR(VLOOKUP($D1026,'SDDA Dogs'!$A:$AE,2,FALSE),"")</f>
        <v/>
      </c>
      <c r="I1026" s="325" t="str">
        <f>IFERROR(VLOOKUP($D1026,'SDDA Dogs'!$A:$AE,3,FALSE),"")</f>
        <v/>
      </c>
      <c r="J1026" s="325" t="str">
        <f>IFERROR(VLOOKUP($D1026,'SDDA Dogs'!$A:$AE,6,FALSE),"")</f>
        <v/>
      </c>
      <c r="K1026" s="325"/>
      <c r="L1026" s="325"/>
      <c r="M1026" s="326" t="str">
        <f>TrialDateDay2</f>
        <v/>
      </c>
      <c r="N1026" s="325" t="str">
        <f t="shared" si="1075"/>
        <v/>
      </c>
      <c r="O1026" s="325">
        <f>JudgeD2ISS</f>
        <v>0</v>
      </c>
    </row>
    <row r="1027" spans="1:15" x14ac:dyDescent="0.25">
      <c r="A1027" s="2">
        <v>2</v>
      </c>
      <c r="B1027" s="2">
        <f t="shared" ref="B1027:J1027" si="1107">B1026</f>
        <v>0</v>
      </c>
      <c r="C1027" s="2" t="str">
        <f t="shared" si="1107"/>
        <v>ISS</v>
      </c>
      <c r="D1027" s="2">
        <f t="shared" si="1107"/>
        <v>0</v>
      </c>
      <c r="E1027" s="2" t="str">
        <f t="shared" si="1107"/>
        <v>A</v>
      </c>
      <c r="F1027" s="2" t="str">
        <f t="shared" si="1107"/>
        <v>Interior Started</v>
      </c>
      <c r="G1027" s="2" t="str">
        <f t="shared" si="1107"/>
        <v/>
      </c>
      <c r="H1027" s="2" t="str">
        <f t="shared" si="1107"/>
        <v/>
      </c>
      <c r="I1027" s="2" t="str">
        <f t="shared" si="1107"/>
        <v/>
      </c>
      <c r="J1027" s="2" t="str">
        <f t="shared" si="1107"/>
        <v/>
      </c>
      <c r="M1027" s="180" t="str">
        <f>M1026</f>
        <v/>
      </c>
      <c r="N1027" s="2" t="str">
        <f t="shared" si="1075"/>
        <v/>
      </c>
      <c r="O1027" s="2">
        <f>O1026</f>
        <v>0</v>
      </c>
    </row>
    <row r="1028" spans="1:15" x14ac:dyDescent="0.25">
      <c r="A1028" s="325">
        <v>1</v>
      </c>
      <c r="B1028" s="325">
        <f>TrialNumberDay2</f>
        <v>0</v>
      </c>
      <c r="C1028" s="325" t="s">
        <v>16</v>
      </c>
      <c r="D1028" s="325">
        <f>Started!C48</f>
        <v>0</v>
      </c>
      <c r="E1028" s="325" t="str">
        <f>IF(Started!B48="W","W","A")</f>
        <v>A</v>
      </c>
      <c r="F1028" s="325" t="s">
        <v>1730</v>
      </c>
      <c r="G1028" s="325" t="str">
        <f>IF(Started!O48="e","Y","")</f>
        <v/>
      </c>
      <c r="H1028" s="325" t="str">
        <f>IFERROR(VLOOKUP($D1028,'SDDA Dogs'!$A:$AE,2,FALSE),"")</f>
        <v/>
      </c>
      <c r="I1028" s="325" t="str">
        <f>IFERROR(VLOOKUP($D1028,'SDDA Dogs'!$A:$AE,3,FALSE),"")</f>
        <v/>
      </c>
      <c r="J1028" s="325" t="str">
        <f>IFERROR(VLOOKUP($D1028,'SDDA Dogs'!$A:$AE,6,FALSE),"")</f>
        <v/>
      </c>
      <c r="K1028" s="325"/>
      <c r="L1028" s="325"/>
      <c r="M1028" s="326" t="str">
        <f>TrialDateDay2</f>
        <v/>
      </c>
      <c r="N1028" s="325" t="str">
        <f t="shared" ref="N1028:N1091" si="1108">N1027</f>
        <v/>
      </c>
      <c r="O1028" s="325">
        <f>JudgeD2ISS</f>
        <v>0</v>
      </c>
    </row>
    <row r="1029" spans="1:15" x14ac:dyDescent="0.25">
      <c r="A1029" s="2">
        <v>2</v>
      </c>
      <c r="B1029" s="2">
        <f t="shared" ref="B1029:J1029" si="1109">B1028</f>
        <v>0</v>
      </c>
      <c r="C1029" s="2" t="str">
        <f t="shared" si="1109"/>
        <v>ISS</v>
      </c>
      <c r="D1029" s="2">
        <f t="shared" si="1109"/>
        <v>0</v>
      </c>
      <c r="E1029" s="2" t="str">
        <f t="shared" si="1109"/>
        <v>A</v>
      </c>
      <c r="F1029" s="2" t="str">
        <f t="shared" si="1109"/>
        <v>Interior Started</v>
      </c>
      <c r="G1029" s="2" t="str">
        <f t="shared" si="1109"/>
        <v/>
      </c>
      <c r="H1029" s="2" t="str">
        <f t="shared" si="1109"/>
        <v/>
      </c>
      <c r="I1029" s="2" t="str">
        <f t="shared" si="1109"/>
        <v/>
      </c>
      <c r="J1029" s="2" t="str">
        <f t="shared" si="1109"/>
        <v/>
      </c>
      <c r="M1029" s="180" t="str">
        <f>M1028</f>
        <v/>
      </c>
      <c r="N1029" s="2" t="str">
        <f t="shared" si="1108"/>
        <v/>
      </c>
      <c r="O1029" s="2">
        <f>O1028</f>
        <v>0</v>
      </c>
    </row>
    <row r="1030" spans="1:15" x14ac:dyDescent="0.25">
      <c r="A1030" s="325">
        <v>1</v>
      </c>
      <c r="B1030" s="325">
        <f>TrialNumberDay2</f>
        <v>0</v>
      </c>
      <c r="C1030" s="325" t="s">
        <v>16</v>
      </c>
      <c r="D1030" s="325">
        <f>Started!C49</f>
        <v>0</v>
      </c>
      <c r="E1030" s="325" t="str">
        <f>IF(Started!B49="W","W","A")</f>
        <v>A</v>
      </c>
      <c r="F1030" s="325" t="s">
        <v>1730</v>
      </c>
      <c r="G1030" s="325" t="str">
        <f>IF(Started!O49="e","Y","")</f>
        <v/>
      </c>
      <c r="H1030" s="325" t="str">
        <f>IFERROR(VLOOKUP($D1030,'SDDA Dogs'!$A:$AE,2,FALSE),"")</f>
        <v/>
      </c>
      <c r="I1030" s="325" t="str">
        <f>IFERROR(VLOOKUP($D1030,'SDDA Dogs'!$A:$AE,3,FALSE),"")</f>
        <v/>
      </c>
      <c r="J1030" s="325" t="str">
        <f>IFERROR(VLOOKUP($D1030,'SDDA Dogs'!$A:$AE,6,FALSE),"")</f>
        <v/>
      </c>
      <c r="K1030" s="325"/>
      <c r="L1030" s="325"/>
      <c r="M1030" s="326" t="str">
        <f>TrialDateDay2</f>
        <v/>
      </c>
      <c r="N1030" s="325" t="str">
        <f t="shared" si="1108"/>
        <v/>
      </c>
      <c r="O1030" s="325">
        <f>JudgeD2ISS</f>
        <v>0</v>
      </c>
    </row>
    <row r="1031" spans="1:15" x14ac:dyDescent="0.25">
      <c r="A1031" s="2">
        <v>2</v>
      </c>
      <c r="B1031" s="2">
        <f t="shared" ref="B1031:J1031" si="1110">B1030</f>
        <v>0</v>
      </c>
      <c r="C1031" s="2" t="str">
        <f t="shared" si="1110"/>
        <v>ISS</v>
      </c>
      <c r="D1031" s="2">
        <f t="shared" si="1110"/>
        <v>0</v>
      </c>
      <c r="E1031" s="2" t="str">
        <f t="shared" si="1110"/>
        <v>A</v>
      </c>
      <c r="F1031" s="2" t="str">
        <f t="shared" si="1110"/>
        <v>Interior Started</v>
      </c>
      <c r="G1031" s="2" t="str">
        <f t="shared" si="1110"/>
        <v/>
      </c>
      <c r="H1031" s="2" t="str">
        <f t="shared" si="1110"/>
        <v/>
      </c>
      <c r="I1031" s="2" t="str">
        <f t="shared" si="1110"/>
        <v/>
      </c>
      <c r="J1031" s="2" t="str">
        <f t="shared" si="1110"/>
        <v/>
      </c>
      <c r="M1031" s="180" t="str">
        <f>M1030</f>
        <v/>
      </c>
      <c r="N1031" s="2" t="str">
        <f t="shared" si="1108"/>
        <v/>
      </c>
      <c r="O1031" s="2">
        <f>O1030</f>
        <v>0</v>
      </c>
    </row>
    <row r="1032" spans="1:15" x14ac:dyDescent="0.25">
      <c r="A1032" s="325">
        <v>1</v>
      </c>
      <c r="B1032" s="325">
        <f>TrialNumberDay2</f>
        <v>0</v>
      </c>
      <c r="C1032" s="325" t="s">
        <v>16</v>
      </c>
      <c r="D1032" s="325">
        <f>Started!C50</f>
        <v>0</v>
      </c>
      <c r="E1032" s="325" t="str">
        <f>IF(Started!B50="W","W","A")</f>
        <v>A</v>
      </c>
      <c r="F1032" s="325" t="s">
        <v>1730</v>
      </c>
      <c r="G1032" s="325" t="str">
        <f>IF(Started!O50="e","Y","")</f>
        <v/>
      </c>
      <c r="H1032" s="325" t="str">
        <f>IFERROR(VLOOKUP($D1032,'SDDA Dogs'!$A:$AE,2,FALSE),"")</f>
        <v/>
      </c>
      <c r="I1032" s="325" t="str">
        <f>IFERROR(VLOOKUP($D1032,'SDDA Dogs'!$A:$AE,3,FALSE),"")</f>
        <v/>
      </c>
      <c r="J1032" s="325" t="str">
        <f>IFERROR(VLOOKUP($D1032,'SDDA Dogs'!$A:$AE,6,FALSE),"")</f>
        <v/>
      </c>
      <c r="K1032" s="325"/>
      <c r="L1032" s="325"/>
      <c r="M1032" s="326" t="str">
        <f>TrialDateDay2</f>
        <v/>
      </c>
      <c r="N1032" s="325" t="str">
        <f t="shared" si="1108"/>
        <v/>
      </c>
      <c r="O1032" s="325">
        <f>JudgeD2ISS</f>
        <v>0</v>
      </c>
    </row>
    <row r="1033" spans="1:15" x14ac:dyDescent="0.25">
      <c r="A1033" s="2">
        <v>2</v>
      </c>
      <c r="B1033" s="2">
        <f t="shared" ref="B1033:J1033" si="1111">B1032</f>
        <v>0</v>
      </c>
      <c r="C1033" s="2" t="str">
        <f t="shared" si="1111"/>
        <v>ISS</v>
      </c>
      <c r="D1033" s="2">
        <f t="shared" si="1111"/>
        <v>0</v>
      </c>
      <c r="E1033" s="2" t="str">
        <f t="shared" si="1111"/>
        <v>A</v>
      </c>
      <c r="F1033" s="2" t="str">
        <f t="shared" si="1111"/>
        <v>Interior Started</v>
      </c>
      <c r="G1033" s="2" t="str">
        <f t="shared" si="1111"/>
        <v/>
      </c>
      <c r="H1033" s="2" t="str">
        <f t="shared" si="1111"/>
        <v/>
      </c>
      <c r="I1033" s="2" t="str">
        <f t="shared" si="1111"/>
        <v/>
      </c>
      <c r="J1033" s="2" t="str">
        <f t="shared" si="1111"/>
        <v/>
      </c>
      <c r="M1033" s="180" t="str">
        <f>M1032</f>
        <v/>
      </c>
      <c r="N1033" s="2" t="str">
        <f t="shared" si="1108"/>
        <v/>
      </c>
      <c r="O1033" s="2">
        <f>O1032</f>
        <v>0</v>
      </c>
    </row>
    <row r="1034" spans="1:15" x14ac:dyDescent="0.25">
      <c r="A1034" s="325">
        <v>1</v>
      </c>
      <c r="B1034" s="325">
        <f>TrialNumberDay2</f>
        <v>0</v>
      </c>
      <c r="C1034" s="325" t="s">
        <v>16</v>
      </c>
      <c r="D1034" s="325">
        <f>Started!C51</f>
        <v>0</v>
      </c>
      <c r="E1034" s="325" t="str">
        <f>IF(Started!B51="W","W","A")</f>
        <v>A</v>
      </c>
      <c r="F1034" s="325" t="s">
        <v>1730</v>
      </c>
      <c r="G1034" s="325" t="str">
        <f>IF(Started!O51="e","Y","")</f>
        <v/>
      </c>
      <c r="H1034" s="325" t="str">
        <f>IFERROR(VLOOKUP($D1034,'SDDA Dogs'!$A:$AE,2,FALSE),"")</f>
        <v/>
      </c>
      <c r="I1034" s="325" t="str">
        <f>IFERROR(VLOOKUP($D1034,'SDDA Dogs'!$A:$AE,3,FALSE),"")</f>
        <v/>
      </c>
      <c r="J1034" s="325" t="str">
        <f>IFERROR(VLOOKUP($D1034,'SDDA Dogs'!$A:$AE,6,FALSE),"")</f>
        <v/>
      </c>
      <c r="K1034" s="325"/>
      <c r="L1034" s="325"/>
      <c r="M1034" s="326" t="str">
        <f>TrialDateDay2</f>
        <v/>
      </c>
      <c r="N1034" s="325" t="str">
        <f t="shared" si="1108"/>
        <v/>
      </c>
      <c r="O1034" s="325">
        <f>JudgeD2ISS</f>
        <v>0</v>
      </c>
    </row>
    <row r="1035" spans="1:15" x14ac:dyDescent="0.25">
      <c r="A1035" s="2">
        <v>2</v>
      </c>
      <c r="B1035" s="2">
        <f t="shared" ref="B1035:J1035" si="1112">B1034</f>
        <v>0</v>
      </c>
      <c r="C1035" s="2" t="str">
        <f t="shared" si="1112"/>
        <v>ISS</v>
      </c>
      <c r="D1035" s="2">
        <f t="shared" si="1112"/>
        <v>0</v>
      </c>
      <c r="E1035" s="2" t="str">
        <f t="shared" si="1112"/>
        <v>A</v>
      </c>
      <c r="F1035" s="2" t="str">
        <f t="shared" si="1112"/>
        <v>Interior Started</v>
      </c>
      <c r="G1035" s="2" t="str">
        <f t="shared" si="1112"/>
        <v/>
      </c>
      <c r="H1035" s="2" t="str">
        <f t="shared" si="1112"/>
        <v/>
      </c>
      <c r="I1035" s="2" t="str">
        <f t="shared" si="1112"/>
        <v/>
      </c>
      <c r="J1035" s="2" t="str">
        <f t="shared" si="1112"/>
        <v/>
      </c>
      <c r="M1035" s="180" t="str">
        <f>M1034</f>
        <v/>
      </c>
      <c r="N1035" s="2" t="str">
        <f t="shared" si="1108"/>
        <v/>
      </c>
      <c r="O1035" s="2">
        <f>O1034</f>
        <v>0</v>
      </c>
    </row>
    <row r="1036" spans="1:15" x14ac:dyDescent="0.25">
      <c r="A1036" s="325">
        <v>1</v>
      </c>
      <c r="B1036" s="325">
        <f>TrialNumberDay2</f>
        <v>0</v>
      </c>
      <c r="C1036" s="325" t="s">
        <v>16</v>
      </c>
      <c r="D1036" s="325">
        <f>Started!C52</f>
        <v>0</v>
      </c>
      <c r="E1036" s="325" t="str">
        <f>IF(Started!B52="W","W","A")</f>
        <v>A</v>
      </c>
      <c r="F1036" s="325" t="s">
        <v>1730</v>
      </c>
      <c r="G1036" s="325" t="str">
        <f>IF(Started!O52="e","Y","")</f>
        <v/>
      </c>
      <c r="H1036" s="325" t="str">
        <f>IFERROR(VLOOKUP($D1036,'SDDA Dogs'!$A:$AE,2,FALSE),"")</f>
        <v/>
      </c>
      <c r="I1036" s="325" t="str">
        <f>IFERROR(VLOOKUP($D1036,'SDDA Dogs'!$A:$AE,3,FALSE),"")</f>
        <v/>
      </c>
      <c r="J1036" s="325" t="str">
        <f>IFERROR(VLOOKUP($D1036,'SDDA Dogs'!$A:$AE,6,FALSE),"")</f>
        <v/>
      </c>
      <c r="K1036" s="325"/>
      <c r="L1036" s="325"/>
      <c r="M1036" s="326" t="str">
        <f>TrialDateDay2</f>
        <v/>
      </c>
      <c r="N1036" s="325" t="str">
        <f t="shared" si="1108"/>
        <v/>
      </c>
      <c r="O1036" s="325">
        <f>JudgeD2ISS</f>
        <v>0</v>
      </c>
    </row>
    <row r="1037" spans="1:15" x14ac:dyDescent="0.25">
      <c r="A1037" s="2">
        <v>2</v>
      </c>
      <c r="B1037" s="2">
        <f t="shared" ref="B1037:J1037" si="1113">B1036</f>
        <v>0</v>
      </c>
      <c r="C1037" s="2" t="str">
        <f t="shared" si="1113"/>
        <v>ISS</v>
      </c>
      <c r="D1037" s="2">
        <f t="shared" si="1113"/>
        <v>0</v>
      </c>
      <c r="E1037" s="2" t="str">
        <f t="shared" si="1113"/>
        <v>A</v>
      </c>
      <c r="F1037" s="2" t="str">
        <f t="shared" si="1113"/>
        <v>Interior Started</v>
      </c>
      <c r="G1037" s="2" t="str">
        <f t="shared" si="1113"/>
        <v/>
      </c>
      <c r="H1037" s="2" t="str">
        <f t="shared" si="1113"/>
        <v/>
      </c>
      <c r="I1037" s="2" t="str">
        <f t="shared" si="1113"/>
        <v/>
      </c>
      <c r="J1037" s="2" t="str">
        <f t="shared" si="1113"/>
        <v/>
      </c>
      <c r="M1037" s="180" t="str">
        <f>M1036</f>
        <v/>
      </c>
      <c r="N1037" s="2" t="str">
        <f t="shared" si="1108"/>
        <v/>
      </c>
      <c r="O1037" s="2">
        <f>O1036</f>
        <v>0</v>
      </c>
    </row>
    <row r="1038" spans="1:15" x14ac:dyDescent="0.25">
      <c r="A1038" s="325">
        <v>1</v>
      </c>
      <c r="B1038" s="325">
        <f>TrialNumberDay2</f>
        <v>0</v>
      </c>
      <c r="C1038" s="325" t="s">
        <v>16</v>
      </c>
      <c r="D1038" s="325">
        <f>Started!C53</f>
        <v>0</v>
      </c>
      <c r="E1038" s="325" t="str">
        <f>IF(Started!B53="W","W","A")</f>
        <v>A</v>
      </c>
      <c r="F1038" s="325" t="s">
        <v>1730</v>
      </c>
      <c r="G1038" s="325" t="str">
        <f>IF(Started!O53="e","Y","")</f>
        <v/>
      </c>
      <c r="H1038" s="325" t="str">
        <f>IFERROR(VLOOKUP($D1038,'SDDA Dogs'!$A:$AE,2,FALSE),"")</f>
        <v/>
      </c>
      <c r="I1038" s="325" t="str">
        <f>IFERROR(VLOOKUP($D1038,'SDDA Dogs'!$A:$AE,3,FALSE),"")</f>
        <v/>
      </c>
      <c r="J1038" s="325" t="str">
        <f>IFERROR(VLOOKUP($D1038,'SDDA Dogs'!$A:$AE,6,FALSE),"")</f>
        <v/>
      </c>
      <c r="K1038" s="325"/>
      <c r="L1038" s="325"/>
      <c r="M1038" s="326" t="str">
        <f>TrialDateDay2</f>
        <v/>
      </c>
      <c r="N1038" s="325" t="str">
        <f t="shared" si="1108"/>
        <v/>
      </c>
      <c r="O1038" s="325">
        <f>JudgeD2ISS</f>
        <v>0</v>
      </c>
    </row>
    <row r="1039" spans="1:15" x14ac:dyDescent="0.25">
      <c r="A1039" s="2">
        <v>2</v>
      </c>
      <c r="B1039" s="2">
        <f t="shared" ref="B1039:J1039" si="1114">B1038</f>
        <v>0</v>
      </c>
      <c r="C1039" s="2" t="str">
        <f t="shared" si="1114"/>
        <v>ISS</v>
      </c>
      <c r="D1039" s="2">
        <f t="shared" si="1114"/>
        <v>0</v>
      </c>
      <c r="E1039" s="2" t="str">
        <f t="shared" si="1114"/>
        <v>A</v>
      </c>
      <c r="F1039" s="2" t="str">
        <f t="shared" si="1114"/>
        <v>Interior Started</v>
      </c>
      <c r="G1039" s="2" t="str">
        <f t="shared" si="1114"/>
        <v/>
      </c>
      <c r="H1039" s="2" t="str">
        <f t="shared" si="1114"/>
        <v/>
      </c>
      <c r="I1039" s="2" t="str">
        <f t="shared" si="1114"/>
        <v/>
      </c>
      <c r="J1039" s="2" t="str">
        <f t="shared" si="1114"/>
        <v/>
      </c>
      <c r="M1039" s="180" t="str">
        <f>M1038</f>
        <v/>
      </c>
      <c r="N1039" s="2" t="str">
        <f t="shared" si="1108"/>
        <v/>
      </c>
      <c r="O1039" s="2">
        <f>O1038</f>
        <v>0</v>
      </c>
    </row>
    <row r="1040" spans="1:15" x14ac:dyDescent="0.25">
      <c r="A1040" s="325">
        <v>1</v>
      </c>
      <c r="B1040" s="325">
        <f>TrialNumberDay2</f>
        <v>0</v>
      </c>
      <c r="C1040" s="325" t="s">
        <v>16</v>
      </c>
      <c r="D1040" s="325">
        <f>Started!C54</f>
        <v>0</v>
      </c>
      <c r="E1040" s="325" t="str">
        <f>IF(Started!B54="W","W","A")</f>
        <v>A</v>
      </c>
      <c r="F1040" s="325" t="s">
        <v>1730</v>
      </c>
      <c r="G1040" s="325" t="str">
        <f>IF(Started!O54="e","Y","")</f>
        <v/>
      </c>
      <c r="H1040" s="325" t="str">
        <f>IFERROR(VLOOKUP($D1040,'SDDA Dogs'!$A:$AE,2,FALSE),"")</f>
        <v/>
      </c>
      <c r="I1040" s="325" t="str">
        <f>IFERROR(VLOOKUP($D1040,'SDDA Dogs'!$A:$AE,3,FALSE),"")</f>
        <v/>
      </c>
      <c r="J1040" s="325" t="str">
        <f>IFERROR(VLOOKUP($D1040,'SDDA Dogs'!$A:$AE,6,FALSE),"")</f>
        <v/>
      </c>
      <c r="K1040" s="325"/>
      <c r="L1040" s="325"/>
      <c r="M1040" s="326" t="str">
        <f>TrialDateDay2</f>
        <v/>
      </c>
      <c r="N1040" s="325" t="str">
        <f t="shared" si="1108"/>
        <v/>
      </c>
      <c r="O1040" s="325">
        <f>JudgeD2ISS</f>
        <v>0</v>
      </c>
    </row>
    <row r="1041" spans="1:15" x14ac:dyDescent="0.25">
      <c r="A1041" s="2">
        <v>2</v>
      </c>
      <c r="B1041" s="2">
        <f t="shared" ref="B1041:J1041" si="1115">B1040</f>
        <v>0</v>
      </c>
      <c r="C1041" s="2" t="str">
        <f t="shared" si="1115"/>
        <v>ISS</v>
      </c>
      <c r="D1041" s="2">
        <f t="shared" si="1115"/>
        <v>0</v>
      </c>
      <c r="E1041" s="2" t="str">
        <f t="shared" si="1115"/>
        <v>A</v>
      </c>
      <c r="F1041" s="2" t="str">
        <f t="shared" si="1115"/>
        <v>Interior Started</v>
      </c>
      <c r="G1041" s="2" t="str">
        <f t="shared" si="1115"/>
        <v/>
      </c>
      <c r="H1041" s="2" t="str">
        <f t="shared" si="1115"/>
        <v/>
      </c>
      <c r="I1041" s="2" t="str">
        <f t="shared" si="1115"/>
        <v/>
      </c>
      <c r="J1041" s="2" t="str">
        <f t="shared" si="1115"/>
        <v/>
      </c>
      <c r="M1041" s="180" t="str">
        <f>M1040</f>
        <v/>
      </c>
      <c r="N1041" s="2" t="str">
        <f t="shared" si="1108"/>
        <v/>
      </c>
      <c r="O1041" s="2">
        <f>O1040</f>
        <v>0</v>
      </c>
    </row>
    <row r="1042" spans="1:15" x14ac:dyDescent="0.25">
      <c r="A1042" s="325">
        <v>1</v>
      </c>
      <c r="B1042" s="325">
        <f>TrialNumberDay2</f>
        <v>0</v>
      </c>
      <c r="C1042" s="325" t="s">
        <v>16</v>
      </c>
      <c r="D1042" s="325">
        <f>Started!C55</f>
        <v>0</v>
      </c>
      <c r="E1042" s="325" t="str">
        <f>IF(Started!B55="W","W","A")</f>
        <v>A</v>
      </c>
      <c r="F1042" s="325" t="s">
        <v>1730</v>
      </c>
      <c r="G1042" s="325" t="str">
        <f>IF(Started!O55="e","Y","")</f>
        <v/>
      </c>
      <c r="H1042" s="325" t="str">
        <f>IFERROR(VLOOKUP($D1042,'SDDA Dogs'!$A:$AE,2,FALSE),"")</f>
        <v/>
      </c>
      <c r="I1042" s="325" t="str">
        <f>IFERROR(VLOOKUP($D1042,'SDDA Dogs'!$A:$AE,3,FALSE),"")</f>
        <v/>
      </c>
      <c r="J1042" s="325" t="str">
        <f>IFERROR(VLOOKUP($D1042,'SDDA Dogs'!$A:$AE,6,FALSE),"")</f>
        <v/>
      </c>
      <c r="K1042" s="325"/>
      <c r="L1042" s="325"/>
      <c r="M1042" s="326" t="str">
        <f>TrialDateDay2</f>
        <v/>
      </c>
      <c r="N1042" s="325" t="str">
        <f t="shared" si="1108"/>
        <v/>
      </c>
      <c r="O1042" s="325">
        <f>JudgeD2ISS</f>
        <v>0</v>
      </c>
    </row>
    <row r="1043" spans="1:15" x14ac:dyDescent="0.25">
      <c r="A1043" s="2">
        <v>2</v>
      </c>
      <c r="B1043" s="2">
        <f t="shared" ref="B1043:J1043" si="1116">B1042</f>
        <v>0</v>
      </c>
      <c r="C1043" s="2" t="str">
        <f t="shared" si="1116"/>
        <v>ISS</v>
      </c>
      <c r="D1043" s="2">
        <f t="shared" si="1116"/>
        <v>0</v>
      </c>
      <c r="E1043" s="2" t="str">
        <f t="shared" si="1116"/>
        <v>A</v>
      </c>
      <c r="F1043" s="2" t="str">
        <f t="shared" si="1116"/>
        <v>Interior Started</v>
      </c>
      <c r="G1043" s="2" t="str">
        <f t="shared" si="1116"/>
        <v/>
      </c>
      <c r="H1043" s="2" t="str">
        <f t="shared" si="1116"/>
        <v/>
      </c>
      <c r="I1043" s="2" t="str">
        <f t="shared" si="1116"/>
        <v/>
      </c>
      <c r="J1043" s="2" t="str">
        <f t="shared" si="1116"/>
        <v/>
      </c>
      <c r="M1043" s="180" t="str">
        <f>M1042</f>
        <v/>
      </c>
      <c r="N1043" s="2" t="str">
        <f t="shared" si="1108"/>
        <v/>
      </c>
      <c r="O1043" s="2">
        <f>O1042</f>
        <v>0</v>
      </c>
    </row>
    <row r="1044" spans="1:15" x14ac:dyDescent="0.25">
      <c r="A1044" s="325">
        <v>1</v>
      </c>
      <c r="B1044" s="325">
        <f>TrialNumberDay2</f>
        <v>0</v>
      </c>
      <c r="C1044" s="325" t="s">
        <v>16</v>
      </c>
      <c r="D1044" s="325">
        <f>Started!C56</f>
        <v>0</v>
      </c>
      <c r="E1044" s="325" t="str">
        <f>IF(Started!B56="W","W","A")</f>
        <v>A</v>
      </c>
      <c r="F1044" s="325" t="s">
        <v>1730</v>
      </c>
      <c r="G1044" s="325" t="str">
        <f>IF(Started!O56="e","Y","")</f>
        <v/>
      </c>
      <c r="H1044" s="325" t="str">
        <f>IFERROR(VLOOKUP($D1044,'SDDA Dogs'!$A:$AE,2,FALSE),"")</f>
        <v/>
      </c>
      <c r="I1044" s="325" t="str">
        <f>IFERROR(VLOOKUP($D1044,'SDDA Dogs'!$A:$AE,3,FALSE),"")</f>
        <v/>
      </c>
      <c r="J1044" s="325" t="str">
        <f>IFERROR(VLOOKUP($D1044,'SDDA Dogs'!$A:$AE,6,FALSE),"")</f>
        <v/>
      </c>
      <c r="K1044" s="325"/>
      <c r="L1044" s="325"/>
      <c r="M1044" s="326" t="str">
        <f>TrialDateDay2</f>
        <v/>
      </c>
      <c r="N1044" s="325" t="str">
        <f t="shared" si="1108"/>
        <v/>
      </c>
      <c r="O1044" s="325">
        <f>JudgeD2ISS</f>
        <v>0</v>
      </c>
    </row>
    <row r="1045" spans="1:15" x14ac:dyDescent="0.25">
      <c r="A1045" s="2">
        <v>2</v>
      </c>
      <c r="B1045" s="2">
        <f t="shared" ref="B1045:J1045" si="1117">B1044</f>
        <v>0</v>
      </c>
      <c r="C1045" s="2" t="str">
        <f t="shared" si="1117"/>
        <v>ISS</v>
      </c>
      <c r="D1045" s="2">
        <f t="shared" si="1117"/>
        <v>0</v>
      </c>
      <c r="E1045" s="2" t="str">
        <f t="shared" si="1117"/>
        <v>A</v>
      </c>
      <c r="F1045" s="2" t="str">
        <f t="shared" si="1117"/>
        <v>Interior Started</v>
      </c>
      <c r="G1045" s="2" t="str">
        <f t="shared" si="1117"/>
        <v/>
      </c>
      <c r="H1045" s="2" t="str">
        <f t="shared" si="1117"/>
        <v/>
      </c>
      <c r="I1045" s="2" t="str">
        <f t="shared" si="1117"/>
        <v/>
      </c>
      <c r="J1045" s="2" t="str">
        <f t="shared" si="1117"/>
        <v/>
      </c>
      <c r="M1045" s="180" t="str">
        <f>M1044</f>
        <v/>
      </c>
      <c r="N1045" s="2" t="str">
        <f t="shared" si="1108"/>
        <v/>
      </c>
      <c r="O1045" s="2">
        <f>O1044</f>
        <v>0</v>
      </c>
    </row>
    <row r="1046" spans="1:15" x14ac:dyDescent="0.25">
      <c r="A1046" s="325">
        <v>1</v>
      </c>
      <c r="B1046" s="325">
        <f>TrialNumberDay2</f>
        <v>0</v>
      </c>
      <c r="C1046" s="325" t="s">
        <v>16</v>
      </c>
      <c r="D1046" s="325">
        <f>Started!C57</f>
        <v>0</v>
      </c>
      <c r="E1046" s="325" t="str">
        <f>IF(Started!B57="W","W","A")</f>
        <v>A</v>
      </c>
      <c r="F1046" s="325" t="s">
        <v>1730</v>
      </c>
      <c r="G1046" s="325" t="str">
        <f>IF(Started!O57="e","Y","")</f>
        <v/>
      </c>
      <c r="H1046" s="325" t="str">
        <f>IFERROR(VLOOKUP($D1046,'SDDA Dogs'!$A:$AE,2,FALSE),"")</f>
        <v/>
      </c>
      <c r="I1046" s="325" t="str">
        <f>IFERROR(VLOOKUP($D1046,'SDDA Dogs'!$A:$AE,3,FALSE),"")</f>
        <v/>
      </c>
      <c r="J1046" s="325" t="str">
        <f>IFERROR(VLOOKUP($D1046,'SDDA Dogs'!$A:$AE,6,FALSE),"")</f>
        <v/>
      </c>
      <c r="K1046" s="325"/>
      <c r="L1046" s="325"/>
      <c r="M1046" s="326" t="str">
        <f>TrialDateDay2</f>
        <v/>
      </c>
      <c r="N1046" s="325" t="str">
        <f t="shared" si="1108"/>
        <v/>
      </c>
      <c r="O1046" s="325">
        <f>JudgeD2ISS</f>
        <v>0</v>
      </c>
    </row>
    <row r="1047" spans="1:15" x14ac:dyDescent="0.25">
      <c r="A1047" s="2">
        <v>2</v>
      </c>
      <c r="B1047" s="2">
        <f t="shared" ref="B1047:J1047" si="1118">B1046</f>
        <v>0</v>
      </c>
      <c r="C1047" s="2" t="str">
        <f t="shared" si="1118"/>
        <v>ISS</v>
      </c>
      <c r="D1047" s="2">
        <f t="shared" si="1118"/>
        <v>0</v>
      </c>
      <c r="E1047" s="2" t="str">
        <f t="shared" si="1118"/>
        <v>A</v>
      </c>
      <c r="F1047" s="2" t="str">
        <f t="shared" si="1118"/>
        <v>Interior Started</v>
      </c>
      <c r="G1047" s="2" t="str">
        <f t="shared" si="1118"/>
        <v/>
      </c>
      <c r="H1047" s="2" t="str">
        <f t="shared" si="1118"/>
        <v/>
      </c>
      <c r="I1047" s="2" t="str">
        <f t="shared" si="1118"/>
        <v/>
      </c>
      <c r="J1047" s="2" t="str">
        <f t="shared" si="1118"/>
        <v/>
      </c>
      <c r="M1047" s="180" t="str">
        <f>M1046</f>
        <v/>
      </c>
      <c r="N1047" s="2" t="str">
        <f t="shared" si="1108"/>
        <v/>
      </c>
      <c r="O1047" s="2">
        <f>O1046</f>
        <v>0</v>
      </c>
    </row>
    <row r="1048" spans="1:15" x14ac:dyDescent="0.25">
      <c r="A1048" s="325">
        <v>1</v>
      </c>
      <c r="B1048" s="325">
        <f>TrialNumberDay2</f>
        <v>0</v>
      </c>
      <c r="C1048" s="325" t="s">
        <v>16</v>
      </c>
      <c r="D1048" s="325">
        <f>Started!C58</f>
        <v>0</v>
      </c>
      <c r="E1048" s="325" t="str">
        <f>IF(Started!B58="W","W","A")</f>
        <v>A</v>
      </c>
      <c r="F1048" s="325" t="s">
        <v>1730</v>
      </c>
      <c r="G1048" s="325" t="str">
        <f>IF(Started!O58="e","Y","")</f>
        <v/>
      </c>
      <c r="H1048" s="325" t="str">
        <f>IFERROR(VLOOKUP($D1048,'SDDA Dogs'!$A:$AE,2,FALSE),"")</f>
        <v/>
      </c>
      <c r="I1048" s="325" t="str">
        <f>IFERROR(VLOOKUP($D1048,'SDDA Dogs'!$A:$AE,3,FALSE),"")</f>
        <v/>
      </c>
      <c r="J1048" s="325" t="str">
        <f>IFERROR(VLOOKUP($D1048,'SDDA Dogs'!$A:$AE,6,FALSE),"")</f>
        <v/>
      </c>
      <c r="K1048" s="325"/>
      <c r="L1048" s="325"/>
      <c r="M1048" s="326" t="str">
        <f>TrialDateDay2</f>
        <v/>
      </c>
      <c r="N1048" s="325" t="str">
        <f t="shared" si="1108"/>
        <v/>
      </c>
      <c r="O1048" s="325">
        <f>JudgeD2ISS</f>
        <v>0</v>
      </c>
    </row>
    <row r="1049" spans="1:15" x14ac:dyDescent="0.25">
      <c r="A1049" s="2">
        <v>2</v>
      </c>
      <c r="B1049" s="2">
        <f t="shared" ref="B1049:J1049" si="1119">B1048</f>
        <v>0</v>
      </c>
      <c r="C1049" s="2" t="str">
        <f t="shared" si="1119"/>
        <v>ISS</v>
      </c>
      <c r="D1049" s="2">
        <f t="shared" si="1119"/>
        <v>0</v>
      </c>
      <c r="E1049" s="2" t="str">
        <f t="shared" si="1119"/>
        <v>A</v>
      </c>
      <c r="F1049" s="2" t="str">
        <f t="shared" si="1119"/>
        <v>Interior Started</v>
      </c>
      <c r="G1049" s="2" t="str">
        <f t="shared" si="1119"/>
        <v/>
      </c>
      <c r="H1049" s="2" t="str">
        <f t="shared" si="1119"/>
        <v/>
      </c>
      <c r="I1049" s="2" t="str">
        <f t="shared" si="1119"/>
        <v/>
      </c>
      <c r="J1049" s="2" t="str">
        <f t="shared" si="1119"/>
        <v/>
      </c>
      <c r="M1049" s="180" t="str">
        <f>M1048</f>
        <v/>
      </c>
      <c r="N1049" s="2" t="str">
        <f t="shared" si="1108"/>
        <v/>
      </c>
      <c r="O1049" s="2">
        <f>O1048</f>
        <v>0</v>
      </c>
    </row>
    <row r="1050" spans="1:15" x14ac:dyDescent="0.25">
      <c r="A1050" s="325">
        <v>1</v>
      </c>
      <c r="B1050" s="325">
        <f>TrialNumberDay2</f>
        <v>0</v>
      </c>
      <c r="C1050" s="325" t="s">
        <v>16</v>
      </c>
      <c r="D1050" s="325">
        <f>Started!C59</f>
        <v>0</v>
      </c>
      <c r="E1050" s="325" t="str">
        <f>IF(Started!B59="W","W","A")</f>
        <v>A</v>
      </c>
      <c r="F1050" s="325" t="s">
        <v>1730</v>
      </c>
      <c r="G1050" s="325" t="str">
        <f>IF(Started!O59="e","Y","")</f>
        <v/>
      </c>
      <c r="H1050" s="325" t="str">
        <f>IFERROR(VLOOKUP($D1050,'SDDA Dogs'!$A:$AE,2,FALSE),"")</f>
        <v/>
      </c>
      <c r="I1050" s="325" t="str">
        <f>IFERROR(VLOOKUP($D1050,'SDDA Dogs'!$A:$AE,3,FALSE),"")</f>
        <v/>
      </c>
      <c r="J1050" s="325" t="str">
        <f>IFERROR(VLOOKUP($D1050,'SDDA Dogs'!$A:$AE,6,FALSE),"")</f>
        <v/>
      </c>
      <c r="K1050" s="325"/>
      <c r="L1050" s="325"/>
      <c r="M1050" s="326" t="str">
        <f>TrialDateDay2</f>
        <v/>
      </c>
      <c r="N1050" s="325" t="str">
        <f t="shared" si="1108"/>
        <v/>
      </c>
      <c r="O1050" s="325">
        <f>JudgeD2ISS</f>
        <v>0</v>
      </c>
    </row>
    <row r="1051" spans="1:15" x14ac:dyDescent="0.25">
      <c r="A1051" s="2">
        <v>2</v>
      </c>
      <c r="B1051" s="2">
        <f t="shared" ref="B1051:J1051" si="1120">B1050</f>
        <v>0</v>
      </c>
      <c r="C1051" s="2" t="str">
        <f t="shared" si="1120"/>
        <v>ISS</v>
      </c>
      <c r="D1051" s="2">
        <f t="shared" si="1120"/>
        <v>0</v>
      </c>
      <c r="E1051" s="2" t="str">
        <f t="shared" si="1120"/>
        <v>A</v>
      </c>
      <c r="F1051" s="2" t="str">
        <f t="shared" si="1120"/>
        <v>Interior Started</v>
      </c>
      <c r="G1051" s="2" t="str">
        <f t="shared" si="1120"/>
        <v/>
      </c>
      <c r="H1051" s="2" t="str">
        <f t="shared" si="1120"/>
        <v/>
      </c>
      <c r="I1051" s="2" t="str">
        <f t="shared" si="1120"/>
        <v/>
      </c>
      <c r="J1051" s="2" t="str">
        <f t="shared" si="1120"/>
        <v/>
      </c>
      <c r="M1051" s="180" t="str">
        <f>M1050</f>
        <v/>
      </c>
      <c r="N1051" s="2" t="str">
        <f t="shared" si="1108"/>
        <v/>
      </c>
      <c r="O1051" s="2">
        <f>O1050</f>
        <v>0</v>
      </c>
    </row>
    <row r="1052" spans="1:15" x14ac:dyDescent="0.25">
      <c r="A1052" s="325">
        <v>1</v>
      </c>
      <c r="B1052" s="325">
        <f>TrialNumberDay2</f>
        <v>0</v>
      </c>
      <c r="C1052" s="325" t="s">
        <v>16</v>
      </c>
      <c r="D1052" s="325">
        <f>Started!C60</f>
        <v>0</v>
      </c>
      <c r="E1052" s="325" t="str">
        <f>IF(Started!B60="W","W","A")</f>
        <v>A</v>
      </c>
      <c r="F1052" s="325" t="s">
        <v>1730</v>
      </c>
      <c r="G1052" s="325" t="str">
        <f>IF(Started!O60="e","Y","")</f>
        <v/>
      </c>
      <c r="H1052" s="325" t="str">
        <f>IFERROR(VLOOKUP($D1052,'SDDA Dogs'!$A:$AE,2,FALSE),"")</f>
        <v/>
      </c>
      <c r="I1052" s="325" t="str">
        <f>IFERROR(VLOOKUP($D1052,'SDDA Dogs'!$A:$AE,3,FALSE),"")</f>
        <v/>
      </c>
      <c r="J1052" s="325" t="str">
        <f>IFERROR(VLOOKUP($D1052,'SDDA Dogs'!$A:$AE,6,FALSE),"")</f>
        <v/>
      </c>
      <c r="K1052" s="325"/>
      <c r="L1052" s="325"/>
      <c r="M1052" s="326" t="str">
        <f>TrialDateDay2</f>
        <v/>
      </c>
      <c r="N1052" s="325" t="str">
        <f t="shared" si="1108"/>
        <v/>
      </c>
      <c r="O1052" s="325">
        <f>JudgeD2ISS</f>
        <v>0</v>
      </c>
    </row>
    <row r="1053" spans="1:15" x14ac:dyDescent="0.25">
      <c r="A1053" s="2">
        <v>2</v>
      </c>
      <c r="B1053" s="2">
        <f t="shared" ref="B1053:J1053" si="1121">B1052</f>
        <v>0</v>
      </c>
      <c r="C1053" s="2" t="str">
        <f t="shared" si="1121"/>
        <v>ISS</v>
      </c>
      <c r="D1053" s="2">
        <f t="shared" si="1121"/>
        <v>0</v>
      </c>
      <c r="E1053" s="2" t="str">
        <f t="shared" si="1121"/>
        <v>A</v>
      </c>
      <c r="F1053" s="2" t="str">
        <f t="shared" si="1121"/>
        <v>Interior Started</v>
      </c>
      <c r="G1053" s="2" t="str">
        <f t="shared" si="1121"/>
        <v/>
      </c>
      <c r="H1053" s="2" t="str">
        <f t="shared" si="1121"/>
        <v/>
      </c>
      <c r="I1053" s="2" t="str">
        <f t="shared" si="1121"/>
        <v/>
      </c>
      <c r="J1053" s="2" t="str">
        <f t="shared" si="1121"/>
        <v/>
      </c>
      <c r="M1053" s="180" t="str">
        <f>M1052</f>
        <v/>
      </c>
      <c r="N1053" s="2" t="str">
        <f t="shared" si="1108"/>
        <v/>
      </c>
      <c r="O1053" s="2">
        <f>O1052</f>
        <v>0</v>
      </c>
    </row>
    <row r="1054" spans="1:15" x14ac:dyDescent="0.25">
      <c r="A1054" s="325">
        <v>1</v>
      </c>
      <c r="B1054" s="325">
        <f>TrialNumberDay2</f>
        <v>0</v>
      </c>
      <c r="C1054" s="325" t="s">
        <v>16</v>
      </c>
      <c r="D1054" s="325">
        <f>Started!C61</f>
        <v>0</v>
      </c>
      <c r="E1054" s="325" t="str">
        <f>IF(Started!B61="W","W","A")</f>
        <v>A</v>
      </c>
      <c r="F1054" s="325" t="s">
        <v>1730</v>
      </c>
      <c r="G1054" s="325" t="str">
        <f>IF(Started!O61="e","Y","")</f>
        <v/>
      </c>
      <c r="H1054" s="325" t="str">
        <f>IFERROR(VLOOKUP($D1054,'SDDA Dogs'!$A:$AE,2,FALSE),"")</f>
        <v/>
      </c>
      <c r="I1054" s="325" t="str">
        <f>IFERROR(VLOOKUP($D1054,'SDDA Dogs'!$A:$AE,3,FALSE),"")</f>
        <v/>
      </c>
      <c r="J1054" s="325" t="str">
        <f>IFERROR(VLOOKUP($D1054,'SDDA Dogs'!$A:$AE,6,FALSE),"")</f>
        <v/>
      </c>
      <c r="K1054" s="325"/>
      <c r="L1054" s="325"/>
      <c r="M1054" s="326" t="str">
        <f>TrialDateDay2</f>
        <v/>
      </c>
      <c r="N1054" s="325" t="str">
        <f t="shared" si="1108"/>
        <v/>
      </c>
      <c r="O1054" s="325">
        <f>JudgeD2ISS</f>
        <v>0</v>
      </c>
    </row>
    <row r="1055" spans="1:15" x14ac:dyDescent="0.25">
      <c r="A1055" s="2">
        <v>2</v>
      </c>
      <c r="B1055" s="2">
        <f t="shared" ref="B1055:J1055" si="1122">B1054</f>
        <v>0</v>
      </c>
      <c r="C1055" s="2" t="str">
        <f t="shared" si="1122"/>
        <v>ISS</v>
      </c>
      <c r="D1055" s="2">
        <f t="shared" si="1122"/>
        <v>0</v>
      </c>
      <c r="E1055" s="2" t="str">
        <f t="shared" si="1122"/>
        <v>A</v>
      </c>
      <c r="F1055" s="2" t="str">
        <f t="shared" si="1122"/>
        <v>Interior Started</v>
      </c>
      <c r="G1055" s="2" t="str">
        <f t="shared" si="1122"/>
        <v/>
      </c>
      <c r="H1055" s="2" t="str">
        <f t="shared" si="1122"/>
        <v/>
      </c>
      <c r="I1055" s="2" t="str">
        <f t="shared" si="1122"/>
        <v/>
      </c>
      <c r="J1055" s="2" t="str">
        <f t="shared" si="1122"/>
        <v/>
      </c>
      <c r="M1055" s="180" t="str">
        <f>M1054</f>
        <v/>
      </c>
      <c r="N1055" s="2" t="str">
        <f t="shared" si="1108"/>
        <v/>
      </c>
      <c r="O1055" s="2">
        <f>O1054</f>
        <v>0</v>
      </c>
    </row>
    <row r="1056" spans="1:15" x14ac:dyDescent="0.25">
      <c r="A1056" s="325">
        <v>1</v>
      </c>
      <c r="B1056" s="325">
        <f>TrialNumberDay2</f>
        <v>0</v>
      </c>
      <c r="C1056" s="325" t="s">
        <v>16</v>
      </c>
      <c r="D1056" s="325">
        <f>Started!C62</f>
        <v>0</v>
      </c>
      <c r="E1056" s="325" t="str">
        <f>IF(Started!B62="W","W","A")</f>
        <v>A</v>
      </c>
      <c r="F1056" s="325" t="s">
        <v>1730</v>
      </c>
      <c r="G1056" s="325" t="str">
        <f>IF(Started!O62="e","Y","")</f>
        <v/>
      </c>
      <c r="H1056" s="325" t="str">
        <f>IFERROR(VLOOKUP($D1056,'SDDA Dogs'!$A:$AE,2,FALSE),"")</f>
        <v/>
      </c>
      <c r="I1056" s="325" t="str">
        <f>IFERROR(VLOOKUP($D1056,'SDDA Dogs'!$A:$AE,3,FALSE),"")</f>
        <v/>
      </c>
      <c r="J1056" s="325" t="str">
        <f>IFERROR(VLOOKUP($D1056,'SDDA Dogs'!$A:$AE,6,FALSE),"")</f>
        <v/>
      </c>
      <c r="K1056" s="325"/>
      <c r="L1056" s="325"/>
      <c r="M1056" s="326" t="str">
        <f>TrialDateDay2</f>
        <v/>
      </c>
      <c r="N1056" s="325" t="str">
        <f t="shared" si="1108"/>
        <v/>
      </c>
      <c r="O1056" s="325">
        <f>JudgeD2ISS</f>
        <v>0</v>
      </c>
    </row>
    <row r="1057" spans="1:15" x14ac:dyDescent="0.25">
      <c r="A1057" s="2">
        <v>2</v>
      </c>
      <c r="B1057" s="2">
        <f t="shared" ref="B1057:J1057" si="1123">B1056</f>
        <v>0</v>
      </c>
      <c r="C1057" s="2" t="str">
        <f t="shared" si="1123"/>
        <v>ISS</v>
      </c>
      <c r="D1057" s="2">
        <f t="shared" si="1123"/>
        <v>0</v>
      </c>
      <c r="E1057" s="2" t="str">
        <f t="shared" si="1123"/>
        <v>A</v>
      </c>
      <c r="F1057" s="2" t="str">
        <f t="shared" si="1123"/>
        <v>Interior Started</v>
      </c>
      <c r="G1057" s="2" t="str">
        <f t="shared" si="1123"/>
        <v/>
      </c>
      <c r="H1057" s="2" t="str">
        <f t="shared" si="1123"/>
        <v/>
      </c>
      <c r="I1057" s="2" t="str">
        <f t="shared" si="1123"/>
        <v/>
      </c>
      <c r="J1057" s="2" t="str">
        <f t="shared" si="1123"/>
        <v/>
      </c>
      <c r="M1057" s="180" t="str">
        <f>M1056</f>
        <v/>
      </c>
      <c r="N1057" s="2" t="str">
        <f t="shared" si="1108"/>
        <v/>
      </c>
      <c r="O1057" s="2">
        <f>O1056</f>
        <v>0</v>
      </c>
    </row>
    <row r="1058" spans="1:15" x14ac:dyDescent="0.25">
      <c r="A1058" s="325">
        <v>1</v>
      </c>
      <c r="B1058" s="325">
        <f>TrialNumberDay2</f>
        <v>0</v>
      </c>
      <c r="C1058" s="325" t="s">
        <v>16</v>
      </c>
      <c r="D1058" s="325">
        <f>Started!C63</f>
        <v>0</v>
      </c>
      <c r="E1058" s="325" t="str">
        <f>IF(Started!B63="W","W","A")</f>
        <v>A</v>
      </c>
      <c r="F1058" s="325" t="s">
        <v>1730</v>
      </c>
      <c r="G1058" s="325" t="str">
        <f>IF(Started!O63="e","Y","")</f>
        <v/>
      </c>
      <c r="H1058" s="325" t="str">
        <f>IFERROR(VLOOKUP($D1058,'SDDA Dogs'!$A:$AE,2,FALSE),"")</f>
        <v/>
      </c>
      <c r="I1058" s="325" t="str">
        <f>IFERROR(VLOOKUP($D1058,'SDDA Dogs'!$A:$AE,3,FALSE),"")</f>
        <v/>
      </c>
      <c r="J1058" s="325" t="str">
        <f>IFERROR(VLOOKUP($D1058,'SDDA Dogs'!$A:$AE,6,FALSE),"")</f>
        <v/>
      </c>
      <c r="K1058" s="325"/>
      <c r="L1058" s="325"/>
      <c r="M1058" s="326" t="str">
        <f>TrialDateDay2</f>
        <v/>
      </c>
      <c r="N1058" s="325" t="str">
        <f t="shared" si="1108"/>
        <v/>
      </c>
      <c r="O1058" s="325">
        <f>JudgeD2ISS</f>
        <v>0</v>
      </c>
    </row>
    <row r="1059" spans="1:15" x14ac:dyDescent="0.25">
      <c r="A1059" s="2">
        <v>2</v>
      </c>
      <c r="B1059" s="2">
        <f t="shared" ref="B1059:J1059" si="1124">B1058</f>
        <v>0</v>
      </c>
      <c r="C1059" s="2" t="str">
        <f t="shared" si="1124"/>
        <v>ISS</v>
      </c>
      <c r="D1059" s="2">
        <f t="shared" si="1124"/>
        <v>0</v>
      </c>
      <c r="E1059" s="2" t="str">
        <f t="shared" si="1124"/>
        <v>A</v>
      </c>
      <c r="F1059" s="2" t="str">
        <f t="shared" si="1124"/>
        <v>Interior Started</v>
      </c>
      <c r="G1059" s="2" t="str">
        <f t="shared" si="1124"/>
        <v/>
      </c>
      <c r="H1059" s="2" t="str">
        <f t="shared" si="1124"/>
        <v/>
      </c>
      <c r="I1059" s="2" t="str">
        <f t="shared" si="1124"/>
        <v/>
      </c>
      <c r="J1059" s="2" t="str">
        <f t="shared" si="1124"/>
        <v/>
      </c>
      <c r="M1059" s="180" t="str">
        <f>M1058</f>
        <v/>
      </c>
      <c r="N1059" s="2" t="str">
        <f t="shared" si="1108"/>
        <v/>
      </c>
      <c r="O1059" s="2">
        <f>O1058</f>
        <v>0</v>
      </c>
    </row>
    <row r="1060" spans="1:15" x14ac:dyDescent="0.25">
      <c r="A1060" s="325">
        <v>1</v>
      </c>
      <c r="B1060" s="325">
        <f>TrialNumberDay2</f>
        <v>0</v>
      </c>
      <c r="C1060" s="325" t="s">
        <v>16</v>
      </c>
      <c r="D1060" s="325">
        <f>Started!C64</f>
        <v>0</v>
      </c>
      <c r="E1060" s="325" t="str">
        <f>IF(Started!B64="W","W","A")</f>
        <v>A</v>
      </c>
      <c r="F1060" s="325" t="s">
        <v>1730</v>
      </c>
      <c r="G1060" s="325" t="str">
        <f>IF(Started!O64="e","Y","")</f>
        <v/>
      </c>
      <c r="H1060" s="325" t="str">
        <f>IFERROR(VLOOKUP($D1060,'SDDA Dogs'!$A:$AE,2,FALSE),"")</f>
        <v/>
      </c>
      <c r="I1060" s="325" t="str">
        <f>IFERROR(VLOOKUP($D1060,'SDDA Dogs'!$A:$AE,3,FALSE),"")</f>
        <v/>
      </c>
      <c r="J1060" s="325" t="str">
        <f>IFERROR(VLOOKUP($D1060,'SDDA Dogs'!$A:$AE,6,FALSE),"")</f>
        <v/>
      </c>
      <c r="K1060" s="325"/>
      <c r="L1060" s="325"/>
      <c r="M1060" s="326" t="str">
        <f>TrialDateDay2</f>
        <v/>
      </c>
      <c r="N1060" s="325" t="str">
        <f t="shared" si="1108"/>
        <v/>
      </c>
      <c r="O1060" s="325">
        <f>JudgeD2ISS</f>
        <v>0</v>
      </c>
    </row>
    <row r="1061" spans="1:15" x14ac:dyDescent="0.25">
      <c r="A1061" s="2">
        <v>2</v>
      </c>
      <c r="B1061" s="2">
        <f t="shared" ref="B1061:J1061" si="1125">B1060</f>
        <v>0</v>
      </c>
      <c r="C1061" s="2" t="str">
        <f t="shared" si="1125"/>
        <v>ISS</v>
      </c>
      <c r="D1061" s="2">
        <f t="shared" si="1125"/>
        <v>0</v>
      </c>
      <c r="E1061" s="2" t="str">
        <f t="shared" si="1125"/>
        <v>A</v>
      </c>
      <c r="F1061" s="2" t="str">
        <f t="shared" si="1125"/>
        <v>Interior Started</v>
      </c>
      <c r="G1061" s="2" t="str">
        <f t="shared" si="1125"/>
        <v/>
      </c>
      <c r="H1061" s="2" t="str">
        <f t="shared" si="1125"/>
        <v/>
      </c>
      <c r="I1061" s="2" t="str">
        <f t="shared" si="1125"/>
        <v/>
      </c>
      <c r="J1061" s="2" t="str">
        <f t="shared" si="1125"/>
        <v/>
      </c>
      <c r="M1061" s="180" t="str">
        <f>M1060</f>
        <v/>
      </c>
      <c r="N1061" s="2" t="str">
        <f t="shared" si="1108"/>
        <v/>
      </c>
      <c r="O1061" s="2">
        <f>O1060</f>
        <v>0</v>
      </c>
    </row>
    <row r="1062" spans="1:15" x14ac:dyDescent="0.25">
      <c r="A1062" s="325">
        <v>1</v>
      </c>
      <c r="B1062" s="325">
        <f>TrialNumberDay2</f>
        <v>0</v>
      </c>
      <c r="C1062" s="325" t="s">
        <v>16</v>
      </c>
      <c r="D1062" s="325">
        <f>Started!C65</f>
        <v>0</v>
      </c>
      <c r="E1062" s="325" t="str">
        <f>IF(Started!B65="W","W","A")</f>
        <v>A</v>
      </c>
      <c r="F1062" s="325" t="s">
        <v>1730</v>
      </c>
      <c r="G1062" s="325" t="str">
        <f>IF(Started!O65="e","Y","")</f>
        <v/>
      </c>
      <c r="H1062" s="325" t="str">
        <f>IFERROR(VLOOKUP($D1062,'SDDA Dogs'!$A:$AE,2,FALSE),"")</f>
        <v/>
      </c>
      <c r="I1062" s="325" t="str">
        <f>IFERROR(VLOOKUP($D1062,'SDDA Dogs'!$A:$AE,3,FALSE),"")</f>
        <v/>
      </c>
      <c r="J1062" s="325" t="str">
        <f>IFERROR(VLOOKUP($D1062,'SDDA Dogs'!$A:$AE,6,FALSE),"")</f>
        <v/>
      </c>
      <c r="K1062" s="325"/>
      <c r="L1062" s="325"/>
      <c r="M1062" s="326" t="str">
        <f>TrialDateDay2</f>
        <v/>
      </c>
      <c r="N1062" s="325" t="str">
        <f t="shared" si="1108"/>
        <v/>
      </c>
      <c r="O1062" s="325">
        <f>JudgeD2ISS</f>
        <v>0</v>
      </c>
    </row>
    <row r="1063" spans="1:15" x14ac:dyDescent="0.25">
      <c r="A1063" s="2">
        <v>2</v>
      </c>
      <c r="B1063" s="2">
        <f t="shared" ref="B1063:J1063" si="1126">B1062</f>
        <v>0</v>
      </c>
      <c r="C1063" s="2" t="str">
        <f t="shared" si="1126"/>
        <v>ISS</v>
      </c>
      <c r="D1063" s="2">
        <f t="shared" si="1126"/>
        <v>0</v>
      </c>
      <c r="E1063" s="2" t="str">
        <f t="shared" si="1126"/>
        <v>A</v>
      </c>
      <c r="F1063" s="2" t="str">
        <f t="shared" si="1126"/>
        <v>Interior Started</v>
      </c>
      <c r="G1063" s="2" t="str">
        <f t="shared" si="1126"/>
        <v/>
      </c>
      <c r="H1063" s="2" t="str">
        <f t="shared" si="1126"/>
        <v/>
      </c>
      <c r="I1063" s="2" t="str">
        <f t="shared" si="1126"/>
        <v/>
      </c>
      <c r="J1063" s="2" t="str">
        <f t="shared" si="1126"/>
        <v/>
      </c>
      <c r="M1063" s="180" t="str">
        <f>M1062</f>
        <v/>
      </c>
      <c r="N1063" s="2" t="str">
        <f t="shared" si="1108"/>
        <v/>
      </c>
      <c r="O1063" s="2">
        <f>O1062</f>
        <v>0</v>
      </c>
    </row>
    <row r="1064" spans="1:15" x14ac:dyDescent="0.25">
      <c r="A1064" s="325">
        <v>1</v>
      </c>
      <c r="B1064" s="325">
        <f>TrialNumberDay2</f>
        <v>0</v>
      </c>
      <c r="C1064" s="325" t="s">
        <v>16</v>
      </c>
      <c r="D1064" s="325">
        <f>Started!C66</f>
        <v>0</v>
      </c>
      <c r="E1064" s="325" t="str">
        <f>IF(Started!B66="W","W","A")</f>
        <v>A</v>
      </c>
      <c r="F1064" s="325" t="s">
        <v>1730</v>
      </c>
      <c r="G1064" s="325" t="str">
        <f>IF(Started!O66="e","Y","")</f>
        <v/>
      </c>
      <c r="H1064" s="325" t="str">
        <f>IFERROR(VLOOKUP($D1064,'SDDA Dogs'!$A:$AE,2,FALSE),"")</f>
        <v/>
      </c>
      <c r="I1064" s="325" t="str">
        <f>IFERROR(VLOOKUP($D1064,'SDDA Dogs'!$A:$AE,3,FALSE),"")</f>
        <v/>
      </c>
      <c r="J1064" s="325" t="str">
        <f>IFERROR(VLOOKUP($D1064,'SDDA Dogs'!$A:$AE,6,FALSE),"")</f>
        <v/>
      </c>
      <c r="K1064" s="325"/>
      <c r="L1064" s="325"/>
      <c r="M1064" s="326" t="str">
        <f>TrialDateDay2</f>
        <v/>
      </c>
      <c r="N1064" s="325" t="str">
        <f t="shared" si="1108"/>
        <v/>
      </c>
      <c r="O1064" s="325">
        <f>JudgeD2ISS</f>
        <v>0</v>
      </c>
    </row>
    <row r="1065" spans="1:15" x14ac:dyDescent="0.25">
      <c r="A1065" s="2">
        <v>2</v>
      </c>
      <c r="B1065" s="2">
        <f t="shared" ref="B1065:J1065" si="1127">B1064</f>
        <v>0</v>
      </c>
      <c r="C1065" s="2" t="str">
        <f t="shared" si="1127"/>
        <v>ISS</v>
      </c>
      <c r="D1065" s="2">
        <f t="shared" si="1127"/>
        <v>0</v>
      </c>
      <c r="E1065" s="2" t="str">
        <f t="shared" si="1127"/>
        <v>A</v>
      </c>
      <c r="F1065" s="2" t="str">
        <f t="shared" si="1127"/>
        <v>Interior Started</v>
      </c>
      <c r="G1065" s="2" t="str">
        <f t="shared" si="1127"/>
        <v/>
      </c>
      <c r="H1065" s="2" t="str">
        <f t="shared" si="1127"/>
        <v/>
      </c>
      <c r="I1065" s="2" t="str">
        <f t="shared" si="1127"/>
        <v/>
      </c>
      <c r="J1065" s="2" t="str">
        <f t="shared" si="1127"/>
        <v/>
      </c>
      <c r="M1065" s="180" t="str">
        <f>M1064</f>
        <v/>
      </c>
      <c r="N1065" s="2" t="str">
        <f t="shared" si="1108"/>
        <v/>
      </c>
      <c r="O1065" s="2">
        <f>O1064</f>
        <v>0</v>
      </c>
    </row>
    <row r="1066" spans="1:15" x14ac:dyDescent="0.25">
      <c r="A1066" s="325">
        <v>1</v>
      </c>
      <c r="B1066" s="325">
        <f>TrialNumberDay2</f>
        <v>0</v>
      </c>
      <c r="C1066" s="325" t="s">
        <v>16</v>
      </c>
      <c r="D1066" s="325">
        <f>Started!C67</f>
        <v>0</v>
      </c>
      <c r="E1066" s="325" t="str">
        <f>IF(Started!B67="W","W","A")</f>
        <v>A</v>
      </c>
      <c r="F1066" s="325" t="s">
        <v>1730</v>
      </c>
      <c r="G1066" s="325" t="str">
        <f>IF(Started!O67="e","Y","")</f>
        <v/>
      </c>
      <c r="H1066" s="325" t="str">
        <f>IFERROR(VLOOKUP($D1066,'SDDA Dogs'!$A:$AE,2,FALSE),"")</f>
        <v/>
      </c>
      <c r="I1066" s="325" t="str">
        <f>IFERROR(VLOOKUP($D1066,'SDDA Dogs'!$A:$AE,3,FALSE),"")</f>
        <v/>
      </c>
      <c r="J1066" s="325" t="str">
        <f>IFERROR(VLOOKUP($D1066,'SDDA Dogs'!$A:$AE,6,FALSE),"")</f>
        <v/>
      </c>
      <c r="K1066" s="325"/>
      <c r="L1066" s="325"/>
      <c r="M1066" s="326" t="str">
        <f>TrialDateDay2</f>
        <v/>
      </c>
      <c r="N1066" s="325" t="str">
        <f t="shared" si="1108"/>
        <v/>
      </c>
      <c r="O1066" s="325">
        <f>JudgeD2ISS</f>
        <v>0</v>
      </c>
    </row>
    <row r="1067" spans="1:15" x14ac:dyDescent="0.25">
      <c r="A1067" s="2">
        <v>2</v>
      </c>
      <c r="B1067" s="2">
        <f t="shared" ref="B1067:J1067" si="1128">B1066</f>
        <v>0</v>
      </c>
      <c r="C1067" s="2" t="str">
        <f t="shared" si="1128"/>
        <v>ISS</v>
      </c>
      <c r="D1067" s="2">
        <f t="shared" si="1128"/>
        <v>0</v>
      </c>
      <c r="E1067" s="2" t="str">
        <f t="shared" si="1128"/>
        <v>A</v>
      </c>
      <c r="F1067" s="2" t="str">
        <f t="shared" si="1128"/>
        <v>Interior Started</v>
      </c>
      <c r="G1067" s="2" t="str">
        <f t="shared" si="1128"/>
        <v/>
      </c>
      <c r="H1067" s="2" t="str">
        <f t="shared" si="1128"/>
        <v/>
      </c>
      <c r="I1067" s="2" t="str">
        <f t="shared" si="1128"/>
        <v/>
      </c>
      <c r="J1067" s="2" t="str">
        <f t="shared" si="1128"/>
        <v/>
      </c>
      <c r="M1067" s="180" t="str">
        <f>M1066</f>
        <v/>
      </c>
      <c r="N1067" s="2" t="str">
        <f t="shared" si="1108"/>
        <v/>
      </c>
      <c r="O1067" s="2">
        <f>O1066</f>
        <v>0</v>
      </c>
    </row>
    <row r="1068" spans="1:15" x14ac:dyDescent="0.25">
      <c r="A1068" s="325">
        <v>1</v>
      </c>
      <c r="B1068" s="325">
        <f>TrialNumberDay2</f>
        <v>0</v>
      </c>
      <c r="C1068" s="325" t="s">
        <v>16</v>
      </c>
      <c r="D1068" s="325">
        <f>Started!C68</f>
        <v>0</v>
      </c>
      <c r="E1068" s="325" t="str">
        <f>IF(Started!B68="W","W","A")</f>
        <v>A</v>
      </c>
      <c r="F1068" s="325" t="s">
        <v>1730</v>
      </c>
      <c r="G1068" s="325" t="str">
        <f>IF(Started!O68="e","Y","")</f>
        <v/>
      </c>
      <c r="H1068" s="325" t="str">
        <f>IFERROR(VLOOKUP($D1068,'SDDA Dogs'!$A:$AE,2,FALSE),"")</f>
        <v/>
      </c>
      <c r="I1068" s="325" t="str">
        <f>IFERROR(VLOOKUP($D1068,'SDDA Dogs'!$A:$AE,3,FALSE),"")</f>
        <v/>
      </c>
      <c r="J1068" s="325" t="str">
        <f>IFERROR(VLOOKUP($D1068,'SDDA Dogs'!$A:$AE,6,FALSE),"")</f>
        <v/>
      </c>
      <c r="K1068" s="325"/>
      <c r="L1068" s="325"/>
      <c r="M1068" s="326" t="str">
        <f>TrialDateDay2</f>
        <v/>
      </c>
      <c r="N1068" s="325" t="str">
        <f t="shared" si="1108"/>
        <v/>
      </c>
      <c r="O1068" s="325">
        <f>JudgeD2ISS</f>
        <v>0</v>
      </c>
    </row>
    <row r="1069" spans="1:15" x14ac:dyDescent="0.25">
      <c r="A1069" s="2">
        <v>2</v>
      </c>
      <c r="B1069" s="2">
        <f t="shared" ref="B1069:J1069" si="1129">B1068</f>
        <v>0</v>
      </c>
      <c r="C1069" s="2" t="str">
        <f t="shared" si="1129"/>
        <v>ISS</v>
      </c>
      <c r="D1069" s="2">
        <f t="shared" si="1129"/>
        <v>0</v>
      </c>
      <c r="E1069" s="2" t="str">
        <f t="shared" si="1129"/>
        <v>A</v>
      </c>
      <c r="F1069" s="2" t="str">
        <f t="shared" si="1129"/>
        <v>Interior Started</v>
      </c>
      <c r="G1069" s="2" t="str">
        <f t="shared" si="1129"/>
        <v/>
      </c>
      <c r="H1069" s="2" t="str">
        <f t="shared" si="1129"/>
        <v/>
      </c>
      <c r="I1069" s="2" t="str">
        <f t="shared" si="1129"/>
        <v/>
      </c>
      <c r="J1069" s="2" t="str">
        <f t="shared" si="1129"/>
        <v/>
      </c>
      <c r="M1069" s="180" t="str">
        <f>M1068</f>
        <v/>
      </c>
      <c r="N1069" s="2" t="str">
        <f t="shared" si="1108"/>
        <v/>
      </c>
      <c r="O1069" s="2">
        <f>O1068</f>
        <v>0</v>
      </c>
    </row>
    <row r="1070" spans="1:15" x14ac:dyDescent="0.25">
      <c r="A1070" s="325">
        <v>1</v>
      </c>
      <c r="B1070" s="325">
        <f>TrialNumberDay2</f>
        <v>0</v>
      </c>
      <c r="C1070" s="325" t="s">
        <v>16</v>
      </c>
      <c r="D1070" s="325">
        <f>Started!C69</f>
        <v>0</v>
      </c>
      <c r="E1070" s="325" t="str">
        <f>IF(Started!B69="W","W","A")</f>
        <v>A</v>
      </c>
      <c r="F1070" s="325" t="s">
        <v>1730</v>
      </c>
      <c r="G1070" s="325" t="str">
        <f>IF(Started!O69="e","Y","")</f>
        <v/>
      </c>
      <c r="H1070" s="325" t="str">
        <f>IFERROR(VLOOKUP($D1070,'SDDA Dogs'!$A:$AE,2,FALSE),"")</f>
        <v/>
      </c>
      <c r="I1070" s="325" t="str">
        <f>IFERROR(VLOOKUP($D1070,'SDDA Dogs'!$A:$AE,3,FALSE),"")</f>
        <v/>
      </c>
      <c r="J1070" s="325" t="str">
        <f>IFERROR(VLOOKUP($D1070,'SDDA Dogs'!$A:$AE,6,FALSE),"")</f>
        <v/>
      </c>
      <c r="K1070" s="325"/>
      <c r="L1070" s="325"/>
      <c r="M1070" s="326" t="str">
        <f>TrialDateDay2</f>
        <v/>
      </c>
      <c r="N1070" s="325" t="str">
        <f t="shared" si="1108"/>
        <v/>
      </c>
      <c r="O1070" s="325">
        <f>JudgeD2ISS</f>
        <v>0</v>
      </c>
    </row>
    <row r="1071" spans="1:15" x14ac:dyDescent="0.25">
      <c r="A1071" s="2">
        <v>2</v>
      </c>
      <c r="B1071" s="2">
        <f t="shared" ref="B1071:J1071" si="1130">B1070</f>
        <v>0</v>
      </c>
      <c r="C1071" s="2" t="str">
        <f t="shared" si="1130"/>
        <v>ISS</v>
      </c>
      <c r="D1071" s="2">
        <f t="shared" si="1130"/>
        <v>0</v>
      </c>
      <c r="E1071" s="2" t="str">
        <f t="shared" si="1130"/>
        <v>A</v>
      </c>
      <c r="F1071" s="2" t="str">
        <f t="shared" si="1130"/>
        <v>Interior Started</v>
      </c>
      <c r="G1071" s="2" t="str">
        <f t="shared" si="1130"/>
        <v/>
      </c>
      <c r="H1071" s="2" t="str">
        <f t="shared" si="1130"/>
        <v/>
      </c>
      <c r="I1071" s="2" t="str">
        <f t="shared" si="1130"/>
        <v/>
      </c>
      <c r="J1071" s="2" t="str">
        <f t="shared" si="1130"/>
        <v/>
      </c>
      <c r="M1071" s="180" t="str">
        <f>M1070</f>
        <v/>
      </c>
      <c r="N1071" s="2" t="str">
        <f t="shared" si="1108"/>
        <v/>
      </c>
      <c r="O1071" s="2">
        <f>O1070</f>
        <v>0</v>
      </c>
    </row>
    <row r="1072" spans="1:15" x14ac:dyDescent="0.25">
      <c r="A1072" s="325">
        <v>1</v>
      </c>
      <c r="B1072" s="325">
        <f>TrialNumberDay2</f>
        <v>0</v>
      </c>
      <c r="C1072" s="325" t="s">
        <v>16</v>
      </c>
      <c r="D1072" s="325">
        <f>Started!C70</f>
        <v>0</v>
      </c>
      <c r="E1072" s="325" t="str">
        <f>IF(Started!B70="W","W","A")</f>
        <v>A</v>
      </c>
      <c r="F1072" s="325" t="s">
        <v>1730</v>
      </c>
      <c r="G1072" s="325" t="str">
        <f>IF(Started!O70="e","Y","")</f>
        <v/>
      </c>
      <c r="H1072" s="325" t="str">
        <f>IFERROR(VLOOKUP($D1072,'SDDA Dogs'!$A:$AE,2,FALSE),"")</f>
        <v/>
      </c>
      <c r="I1072" s="325" t="str">
        <f>IFERROR(VLOOKUP($D1072,'SDDA Dogs'!$A:$AE,3,FALSE),"")</f>
        <v/>
      </c>
      <c r="J1072" s="325" t="str">
        <f>IFERROR(VLOOKUP($D1072,'SDDA Dogs'!$A:$AE,6,FALSE),"")</f>
        <v/>
      </c>
      <c r="K1072" s="325"/>
      <c r="L1072" s="325"/>
      <c r="M1072" s="326" t="str">
        <f>TrialDateDay2</f>
        <v/>
      </c>
      <c r="N1072" s="325" t="str">
        <f t="shared" si="1108"/>
        <v/>
      </c>
      <c r="O1072" s="325">
        <f>JudgeD2ISS</f>
        <v>0</v>
      </c>
    </row>
    <row r="1073" spans="1:15" x14ac:dyDescent="0.25">
      <c r="A1073" s="2">
        <v>2</v>
      </c>
      <c r="B1073" s="2">
        <f t="shared" ref="B1073:J1073" si="1131">B1072</f>
        <v>0</v>
      </c>
      <c r="C1073" s="2" t="str">
        <f t="shared" si="1131"/>
        <v>ISS</v>
      </c>
      <c r="D1073" s="2">
        <f t="shared" si="1131"/>
        <v>0</v>
      </c>
      <c r="E1073" s="2" t="str">
        <f t="shared" si="1131"/>
        <v>A</v>
      </c>
      <c r="F1073" s="2" t="str">
        <f t="shared" si="1131"/>
        <v>Interior Started</v>
      </c>
      <c r="G1073" s="2" t="str">
        <f t="shared" si="1131"/>
        <v/>
      </c>
      <c r="H1073" s="2" t="str">
        <f t="shared" si="1131"/>
        <v/>
      </c>
      <c r="I1073" s="2" t="str">
        <f t="shared" si="1131"/>
        <v/>
      </c>
      <c r="J1073" s="2" t="str">
        <f t="shared" si="1131"/>
        <v/>
      </c>
      <c r="M1073" s="180" t="str">
        <f>M1072</f>
        <v/>
      </c>
      <c r="N1073" s="2" t="str">
        <f t="shared" si="1108"/>
        <v/>
      </c>
      <c r="O1073" s="2">
        <f>O1072</f>
        <v>0</v>
      </c>
    </row>
    <row r="1074" spans="1:15" x14ac:dyDescent="0.25">
      <c r="A1074" s="325">
        <v>1</v>
      </c>
      <c r="B1074" s="325">
        <f>TrialNumberDay2</f>
        <v>0</v>
      </c>
      <c r="C1074" s="325" t="s">
        <v>16</v>
      </c>
      <c r="D1074" s="325">
        <f>Started!C71</f>
        <v>0</v>
      </c>
      <c r="E1074" s="325" t="str">
        <f>IF(Started!B71="W","W","A")</f>
        <v>A</v>
      </c>
      <c r="F1074" s="325" t="s">
        <v>1730</v>
      </c>
      <c r="G1074" s="325" t="str">
        <f>IF(Started!O71="e","Y","")</f>
        <v/>
      </c>
      <c r="H1074" s="325" t="str">
        <f>IFERROR(VLOOKUP($D1074,'SDDA Dogs'!$A:$AE,2,FALSE),"")</f>
        <v/>
      </c>
      <c r="I1074" s="325" t="str">
        <f>IFERROR(VLOOKUP($D1074,'SDDA Dogs'!$A:$AE,3,FALSE),"")</f>
        <v/>
      </c>
      <c r="J1074" s="325" t="str">
        <f>IFERROR(VLOOKUP($D1074,'SDDA Dogs'!$A:$AE,6,FALSE),"")</f>
        <v/>
      </c>
      <c r="K1074" s="325"/>
      <c r="L1074" s="325"/>
      <c r="M1074" s="326" t="str">
        <f>TrialDateDay2</f>
        <v/>
      </c>
      <c r="N1074" s="325" t="str">
        <f t="shared" si="1108"/>
        <v/>
      </c>
      <c r="O1074" s="325">
        <f>JudgeD2ISS</f>
        <v>0</v>
      </c>
    </row>
    <row r="1075" spans="1:15" x14ac:dyDescent="0.25">
      <c r="A1075" s="2">
        <v>2</v>
      </c>
      <c r="B1075" s="2">
        <f t="shared" ref="B1075:J1075" si="1132">B1074</f>
        <v>0</v>
      </c>
      <c r="C1075" s="2" t="str">
        <f t="shared" si="1132"/>
        <v>ISS</v>
      </c>
      <c r="D1075" s="2">
        <f t="shared" si="1132"/>
        <v>0</v>
      </c>
      <c r="E1075" s="2" t="str">
        <f t="shared" si="1132"/>
        <v>A</v>
      </c>
      <c r="F1075" s="2" t="str">
        <f t="shared" si="1132"/>
        <v>Interior Started</v>
      </c>
      <c r="G1075" s="2" t="str">
        <f t="shared" si="1132"/>
        <v/>
      </c>
      <c r="H1075" s="2" t="str">
        <f t="shared" si="1132"/>
        <v/>
      </c>
      <c r="I1075" s="2" t="str">
        <f t="shared" si="1132"/>
        <v/>
      </c>
      <c r="J1075" s="2" t="str">
        <f t="shared" si="1132"/>
        <v/>
      </c>
      <c r="M1075" s="180" t="str">
        <f>M1074</f>
        <v/>
      </c>
      <c r="N1075" s="2" t="str">
        <f t="shared" si="1108"/>
        <v/>
      </c>
      <c r="O1075" s="2">
        <f>O1074</f>
        <v>0</v>
      </c>
    </row>
    <row r="1076" spans="1:15" x14ac:dyDescent="0.25">
      <c r="A1076" s="325">
        <v>1</v>
      </c>
      <c r="B1076" s="325">
        <f>TrialNumberDay2</f>
        <v>0</v>
      </c>
      <c r="C1076" s="325" t="s">
        <v>16</v>
      </c>
      <c r="D1076" s="325">
        <f>Started!C72</f>
        <v>0</v>
      </c>
      <c r="E1076" s="325" t="str">
        <f>IF(Started!B72="W","W","A")</f>
        <v>A</v>
      </c>
      <c r="F1076" s="325" t="s">
        <v>1730</v>
      </c>
      <c r="G1076" s="325" t="str">
        <f>IF(Started!O72="e","Y","")</f>
        <v/>
      </c>
      <c r="H1076" s="325" t="str">
        <f>IFERROR(VLOOKUP($D1076,'SDDA Dogs'!$A:$AE,2,FALSE),"")</f>
        <v/>
      </c>
      <c r="I1076" s="325" t="str">
        <f>IFERROR(VLOOKUP($D1076,'SDDA Dogs'!$A:$AE,3,FALSE),"")</f>
        <v/>
      </c>
      <c r="J1076" s="325" t="str">
        <f>IFERROR(VLOOKUP($D1076,'SDDA Dogs'!$A:$AE,6,FALSE),"")</f>
        <v/>
      </c>
      <c r="K1076" s="325"/>
      <c r="L1076" s="325"/>
      <c r="M1076" s="326" t="str">
        <f>TrialDateDay2</f>
        <v/>
      </c>
      <c r="N1076" s="325" t="str">
        <f t="shared" si="1108"/>
        <v/>
      </c>
      <c r="O1076" s="325">
        <f>JudgeD2ISS</f>
        <v>0</v>
      </c>
    </row>
    <row r="1077" spans="1:15" x14ac:dyDescent="0.25">
      <c r="A1077" s="2">
        <v>2</v>
      </c>
      <c r="B1077" s="2">
        <f t="shared" ref="B1077:J1077" si="1133">B1076</f>
        <v>0</v>
      </c>
      <c r="C1077" s="2" t="str">
        <f t="shared" si="1133"/>
        <v>ISS</v>
      </c>
      <c r="D1077" s="2">
        <f t="shared" si="1133"/>
        <v>0</v>
      </c>
      <c r="E1077" s="2" t="str">
        <f t="shared" si="1133"/>
        <v>A</v>
      </c>
      <c r="F1077" s="2" t="str">
        <f t="shared" si="1133"/>
        <v>Interior Started</v>
      </c>
      <c r="G1077" s="2" t="str">
        <f t="shared" si="1133"/>
        <v/>
      </c>
      <c r="H1077" s="2" t="str">
        <f t="shared" si="1133"/>
        <v/>
      </c>
      <c r="I1077" s="2" t="str">
        <f t="shared" si="1133"/>
        <v/>
      </c>
      <c r="J1077" s="2" t="str">
        <f t="shared" si="1133"/>
        <v/>
      </c>
      <c r="M1077" s="180" t="str">
        <f>M1076</f>
        <v/>
      </c>
      <c r="N1077" s="2" t="str">
        <f t="shared" si="1108"/>
        <v/>
      </c>
      <c r="O1077" s="2">
        <f>O1076</f>
        <v>0</v>
      </c>
    </row>
    <row r="1078" spans="1:15" x14ac:dyDescent="0.25">
      <c r="A1078" s="325">
        <v>1</v>
      </c>
      <c r="B1078" s="325">
        <f>TrialNumberDay2</f>
        <v>0</v>
      </c>
      <c r="C1078" s="325" t="s">
        <v>16</v>
      </c>
      <c r="D1078" s="325">
        <f>Started!C73</f>
        <v>0</v>
      </c>
      <c r="E1078" s="325" t="str">
        <f>IF(Started!B73="W","W","A")</f>
        <v>A</v>
      </c>
      <c r="F1078" s="325" t="s">
        <v>1730</v>
      </c>
      <c r="G1078" s="325" t="str">
        <f>IF(Started!O73="e","Y","")</f>
        <v/>
      </c>
      <c r="H1078" s="325" t="str">
        <f>IFERROR(VLOOKUP($D1078,'SDDA Dogs'!$A:$AE,2,FALSE),"")</f>
        <v/>
      </c>
      <c r="I1078" s="325" t="str">
        <f>IFERROR(VLOOKUP($D1078,'SDDA Dogs'!$A:$AE,3,FALSE),"")</f>
        <v/>
      </c>
      <c r="J1078" s="325" t="str">
        <f>IFERROR(VLOOKUP($D1078,'SDDA Dogs'!$A:$AE,6,FALSE),"")</f>
        <v/>
      </c>
      <c r="K1078" s="325"/>
      <c r="L1078" s="325"/>
      <c r="M1078" s="326" t="str">
        <f>TrialDateDay2</f>
        <v/>
      </c>
      <c r="N1078" s="325" t="str">
        <f t="shared" si="1108"/>
        <v/>
      </c>
      <c r="O1078" s="325">
        <f>JudgeD2ISS</f>
        <v>0</v>
      </c>
    </row>
    <row r="1079" spans="1:15" x14ac:dyDescent="0.25">
      <c r="A1079" s="2">
        <v>2</v>
      </c>
      <c r="B1079" s="2">
        <f t="shared" ref="B1079:J1079" si="1134">B1078</f>
        <v>0</v>
      </c>
      <c r="C1079" s="2" t="str">
        <f t="shared" si="1134"/>
        <v>ISS</v>
      </c>
      <c r="D1079" s="2">
        <f t="shared" si="1134"/>
        <v>0</v>
      </c>
      <c r="E1079" s="2" t="str">
        <f t="shared" si="1134"/>
        <v>A</v>
      </c>
      <c r="F1079" s="2" t="str">
        <f t="shared" si="1134"/>
        <v>Interior Started</v>
      </c>
      <c r="G1079" s="2" t="str">
        <f t="shared" si="1134"/>
        <v/>
      </c>
      <c r="H1079" s="2" t="str">
        <f t="shared" si="1134"/>
        <v/>
      </c>
      <c r="I1079" s="2" t="str">
        <f t="shared" si="1134"/>
        <v/>
      </c>
      <c r="J1079" s="2" t="str">
        <f t="shared" si="1134"/>
        <v/>
      </c>
      <c r="M1079" s="180" t="str">
        <f>M1078</f>
        <v/>
      </c>
      <c r="N1079" s="2" t="str">
        <f t="shared" si="1108"/>
        <v/>
      </c>
      <c r="O1079" s="2">
        <f>O1078</f>
        <v>0</v>
      </c>
    </row>
    <row r="1080" spans="1:15" x14ac:dyDescent="0.25">
      <c r="A1080" s="325">
        <v>1</v>
      </c>
      <c r="B1080" s="325">
        <f>TrialNumberDay2</f>
        <v>0</v>
      </c>
      <c r="C1080" s="325" t="s">
        <v>16</v>
      </c>
      <c r="D1080" s="325">
        <f>Started!C74</f>
        <v>0</v>
      </c>
      <c r="E1080" s="325" t="str">
        <f>IF(Started!B74="W","W","A")</f>
        <v>A</v>
      </c>
      <c r="F1080" s="325" t="s">
        <v>1730</v>
      </c>
      <c r="G1080" s="325" t="str">
        <f>IF(Started!O74="e","Y","")</f>
        <v/>
      </c>
      <c r="H1080" s="325" t="str">
        <f>IFERROR(VLOOKUP($D1080,'SDDA Dogs'!$A:$AE,2,FALSE),"")</f>
        <v/>
      </c>
      <c r="I1080" s="325" t="str">
        <f>IFERROR(VLOOKUP($D1080,'SDDA Dogs'!$A:$AE,3,FALSE),"")</f>
        <v/>
      </c>
      <c r="J1080" s="325" t="str">
        <f>IFERROR(VLOOKUP($D1080,'SDDA Dogs'!$A:$AE,6,FALSE),"")</f>
        <v/>
      </c>
      <c r="K1080" s="325"/>
      <c r="L1080" s="325"/>
      <c r="M1080" s="326" t="str">
        <f>TrialDateDay2</f>
        <v/>
      </c>
      <c r="N1080" s="325" t="str">
        <f t="shared" si="1108"/>
        <v/>
      </c>
      <c r="O1080" s="325">
        <f>JudgeD2ISS</f>
        <v>0</v>
      </c>
    </row>
    <row r="1081" spans="1:15" x14ac:dyDescent="0.25">
      <c r="A1081" s="2">
        <v>2</v>
      </c>
      <c r="B1081" s="2">
        <f t="shared" ref="B1081:J1081" si="1135">B1080</f>
        <v>0</v>
      </c>
      <c r="C1081" s="2" t="str">
        <f t="shared" si="1135"/>
        <v>ISS</v>
      </c>
      <c r="D1081" s="2">
        <f t="shared" si="1135"/>
        <v>0</v>
      </c>
      <c r="E1081" s="2" t="str">
        <f t="shared" si="1135"/>
        <v>A</v>
      </c>
      <c r="F1081" s="2" t="str">
        <f t="shared" si="1135"/>
        <v>Interior Started</v>
      </c>
      <c r="G1081" s="2" t="str">
        <f t="shared" si="1135"/>
        <v/>
      </c>
      <c r="H1081" s="2" t="str">
        <f t="shared" si="1135"/>
        <v/>
      </c>
      <c r="I1081" s="2" t="str">
        <f t="shared" si="1135"/>
        <v/>
      </c>
      <c r="J1081" s="2" t="str">
        <f t="shared" si="1135"/>
        <v/>
      </c>
      <c r="M1081" s="180" t="str">
        <f>M1080</f>
        <v/>
      </c>
      <c r="N1081" s="2" t="str">
        <f t="shared" si="1108"/>
        <v/>
      </c>
      <c r="O1081" s="2">
        <f>O1080</f>
        <v>0</v>
      </c>
    </row>
    <row r="1082" spans="1:15" s="149" customFormat="1" x14ac:dyDescent="0.25">
      <c r="A1082" s="327">
        <v>1</v>
      </c>
      <c r="B1082" s="327">
        <f>TrialNumberDay2</f>
        <v>0</v>
      </c>
      <c r="C1082" s="327" t="s">
        <v>17</v>
      </c>
      <c r="D1082" s="327">
        <f>Started!C45</f>
        <v>0</v>
      </c>
      <c r="E1082" s="327" t="str">
        <f>IF(Started!B45="W","W","A")</f>
        <v>A</v>
      </c>
      <c r="F1082" s="327" t="s">
        <v>1736</v>
      </c>
      <c r="G1082" s="327" t="str">
        <f>IF(Started!W45="e","Y","")</f>
        <v/>
      </c>
      <c r="H1082" s="327" t="str">
        <f>IFERROR(VLOOKUP($D1082,'SDDA Dogs'!$A:$AE,2,FALSE),"")</f>
        <v/>
      </c>
      <c r="I1082" s="327" t="str">
        <f>IFERROR(VLOOKUP($D1082,'SDDA Dogs'!$A:$AE,3,FALSE),"")</f>
        <v/>
      </c>
      <c r="J1082" s="327" t="str">
        <f>IFERROR(VLOOKUP($D1082,'SDDA Dogs'!$A:$AE,6,FALSE),"")</f>
        <v/>
      </c>
      <c r="K1082" s="327"/>
      <c r="L1082" s="327"/>
      <c r="M1082" s="328" t="str">
        <f>TrialDateDay2</f>
        <v/>
      </c>
      <c r="N1082" s="325" t="str">
        <f t="shared" si="1108"/>
        <v/>
      </c>
      <c r="O1082" s="327">
        <f>JudgeD2ESS</f>
        <v>0</v>
      </c>
    </row>
    <row r="1083" spans="1:15" x14ac:dyDescent="0.25">
      <c r="A1083" s="2">
        <v>2</v>
      </c>
      <c r="B1083" s="2">
        <f t="shared" ref="B1083:J1083" si="1136">B1082</f>
        <v>0</v>
      </c>
      <c r="C1083" s="2" t="str">
        <f t="shared" si="1136"/>
        <v>ESS</v>
      </c>
      <c r="D1083" s="2">
        <f t="shared" si="1136"/>
        <v>0</v>
      </c>
      <c r="E1083" s="2" t="str">
        <f t="shared" si="1136"/>
        <v>A</v>
      </c>
      <c r="F1083" s="2" t="str">
        <f t="shared" si="1136"/>
        <v>Exterior Started</v>
      </c>
      <c r="G1083" s="2" t="str">
        <f t="shared" si="1136"/>
        <v/>
      </c>
      <c r="H1083" s="2" t="str">
        <f t="shared" si="1136"/>
        <v/>
      </c>
      <c r="I1083" s="2" t="str">
        <f t="shared" si="1136"/>
        <v/>
      </c>
      <c r="J1083" s="2" t="str">
        <f t="shared" si="1136"/>
        <v/>
      </c>
      <c r="M1083" s="180" t="str">
        <f>M1082</f>
        <v/>
      </c>
      <c r="N1083" s="2" t="str">
        <f t="shared" si="1108"/>
        <v/>
      </c>
      <c r="O1083" s="2">
        <f>O1082</f>
        <v>0</v>
      </c>
    </row>
    <row r="1084" spans="1:15" x14ac:dyDescent="0.25">
      <c r="A1084" s="325">
        <v>1</v>
      </c>
      <c r="B1084" s="325">
        <f>TrialNumberDay2</f>
        <v>0</v>
      </c>
      <c r="C1084" s="325" t="s">
        <v>17</v>
      </c>
      <c r="D1084" s="325">
        <f>Started!C46</f>
        <v>0</v>
      </c>
      <c r="E1084" s="325" t="str">
        <f>IF(Started!B46="W","W","A")</f>
        <v>A</v>
      </c>
      <c r="F1084" s="325" t="s">
        <v>1736</v>
      </c>
      <c r="G1084" s="325" t="str">
        <f>IF(Started!W46="e","Y","")</f>
        <v/>
      </c>
      <c r="H1084" s="325" t="str">
        <f>IFERROR(VLOOKUP($D1084,'SDDA Dogs'!$A:$AE,2,FALSE),"")</f>
        <v/>
      </c>
      <c r="I1084" s="325" t="str">
        <f>IFERROR(VLOOKUP($D1084,'SDDA Dogs'!$A:$AE,3,FALSE),"")</f>
        <v/>
      </c>
      <c r="J1084" s="325" t="str">
        <f>IFERROR(VLOOKUP($D1084,'SDDA Dogs'!$A:$AE,6,FALSE),"")</f>
        <v/>
      </c>
      <c r="K1084" s="325"/>
      <c r="L1084" s="325"/>
      <c r="M1084" s="326" t="str">
        <f>TrialDateDay2</f>
        <v/>
      </c>
      <c r="N1084" s="325" t="str">
        <f t="shared" si="1108"/>
        <v/>
      </c>
      <c r="O1084" s="325">
        <f>JudgeD2ESS</f>
        <v>0</v>
      </c>
    </row>
    <row r="1085" spans="1:15" x14ac:dyDescent="0.25">
      <c r="A1085" s="2">
        <v>2</v>
      </c>
      <c r="B1085" s="2">
        <f t="shared" ref="B1085:J1085" si="1137">B1084</f>
        <v>0</v>
      </c>
      <c r="C1085" s="2" t="str">
        <f t="shared" si="1137"/>
        <v>ESS</v>
      </c>
      <c r="D1085" s="2">
        <f t="shared" si="1137"/>
        <v>0</v>
      </c>
      <c r="E1085" s="2" t="str">
        <f t="shared" si="1137"/>
        <v>A</v>
      </c>
      <c r="F1085" s="2" t="str">
        <f t="shared" si="1137"/>
        <v>Exterior Started</v>
      </c>
      <c r="G1085" s="2" t="str">
        <f t="shared" si="1137"/>
        <v/>
      </c>
      <c r="H1085" s="2" t="str">
        <f t="shared" si="1137"/>
        <v/>
      </c>
      <c r="I1085" s="2" t="str">
        <f t="shared" si="1137"/>
        <v/>
      </c>
      <c r="J1085" s="2" t="str">
        <f t="shared" si="1137"/>
        <v/>
      </c>
      <c r="M1085" s="180" t="str">
        <f>M1084</f>
        <v/>
      </c>
      <c r="N1085" s="2" t="str">
        <f t="shared" si="1108"/>
        <v/>
      </c>
      <c r="O1085" s="2">
        <f>O1084</f>
        <v>0</v>
      </c>
    </row>
    <row r="1086" spans="1:15" x14ac:dyDescent="0.25">
      <c r="A1086" s="325">
        <v>1</v>
      </c>
      <c r="B1086" s="325">
        <f>TrialNumberDay2</f>
        <v>0</v>
      </c>
      <c r="C1086" s="325" t="s">
        <v>17</v>
      </c>
      <c r="D1086" s="325">
        <f>Started!C47</f>
        <v>0</v>
      </c>
      <c r="E1086" s="325" t="str">
        <f>IF(Started!B47="W","W","A")</f>
        <v>A</v>
      </c>
      <c r="F1086" s="325" t="s">
        <v>1736</v>
      </c>
      <c r="G1086" s="325" t="str">
        <f>IF(Started!W47="e","Y","")</f>
        <v/>
      </c>
      <c r="H1086" s="325" t="str">
        <f>IFERROR(VLOOKUP($D1086,'SDDA Dogs'!$A:$AE,2,FALSE),"")</f>
        <v/>
      </c>
      <c r="I1086" s="325" t="str">
        <f>IFERROR(VLOOKUP($D1086,'SDDA Dogs'!$A:$AE,3,FALSE),"")</f>
        <v/>
      </c>
      <c r="J1086" s="325" t="str">
        <f>IFERROR(VLOOKUP($D1086,'SDDA Dogs'!$A:$AE,6,FALSE),"")</f>
        <v/>
      </c>
      <c r="K1086" s="325"/>
      <c r="L1086" s="325"/>
      <c r="M1086" s="326" t="str">
        <f>TrialDateDay2</f>
        <v/>
      </c>
      <c r="N1086" s="325" t="str">
        <f t="shared" si="1108"/>
        <v/>
      </c>
      <c r="O1086" s="325">
        <f>JudgeD2ESS</f>
        <v>0</v>
      </c>
    </row>
    <row r="1087" spans="1:15" x14ac:dyDescent="0.25">
      <c r="A1087" s="2">
        <v>2</v>
      </c>
      <c r="B1087" s="2">
        <f t="shared" ref="B1087:J1087" si="1138">B1086</f>
        <v>0</v>
      </c>
      <c r="C1087" s="2" t="str">
        <f t="shared" si="1138"/>
        <v>ESS</v>
      </c>
      <c r="D1087" s="2">
        <f t="shared" si="1138"/>
        <v>0</v>
      </c>
      <c r="E1087" s="2" t="str">
        <f t="shared" si="1138"/>
        <v>A</v>
      </c>
      <c r="F1087" s="2" t="str">
        <f t="shared" si="1138"/>
        <v>Exterior Started</v>
      </c>
      <c r="G1087" s="2" t="str">
        <f t="shared" si="1138"/>
        <v/>
      </c>
      <c r="H1087" s="2" t="str">
        <f t="shared" si="1138"/>
        <v/>
      </c>
      <c r="I1087" s="2" t="str">
        <f t="shared" si="1138"/>
        <v/>
      </c>
      <c r="J1087" s="2" t="str">
        <f t="shared" si="1138"/>
        <v/>
      </c>
      <c r="M1087" s="180" t="str">
        <f>M1086</f>
        <v/>
      </c>
      <c r="N1087" s="2" t="str">
        <f t="shared" si="1108"/>
        <v/>
      </c>
      <c r="O1087" s="2">
        <f>O1086</f>
        <v>0</v>
      </c>
    </row>
    <row r="1088" spans="1:15" x14ac:dyDescent="0.25">
      <c r="A1088" s="325">
        <v>1</v>
      </c>
      <c r="B1088" s="325">
        <f>TrialNumberDay2</f>
        <v>0</v>
      </c>
      <c r="C1088" s="325" t="s">
        <v>17</v>
      </c>
      <c r="D1088" s="325">
        <f>Started!C48</f>
        <v>0</v>
      </c>
      <c r="E1088" s="325" t="str">
        <f>IF(Started!B48="W","W","A")</f>
        <v>A</v>
      </c>
      <c r="F1088" s="325" t="s">
        <v>1736</v>
      </c>
      <c r="G1088" s="325" t="str">
        <f>IF(Started!W48="e","Y","")</f>
        <v/>
      </c>
      <c r="H1088" s="325" t="str">
        <f>IFERROR(VLOOKUP($D1088,'SDDA Dogs'!$A:$AE,2,FALSE),"")</f>
        <v/>
      </c>
      <c r="I1088" s="325" t="str">
        <f>IFERROR(VLOOKUP($D1088,'SDDA Dogs'!$A:$AE,3,FALSE),"")</f>
        <v/>
      </c>
      <c r="J1088" s="325" t="str">
        <f>IFERROR(VLOOKUP($D1088,'SDDA Dogs'!$A:$AE,6,FALSE),"")</f>
        <v/>
      </c>
      <c r="K1088" s="325"/>
      <c r="L1088" s="325"/>
      <c r="M1088" s="326" t="str">
        <f>TrialDateDay2</f>
        <v/>
      </c>
      <c r="N1088" s="325" t="str">
        <f t="shared" si="1108"/>
        <v/>
      </c>
      <c r="O1088" s="325">
        <f>JudgeD2ESS</f>
        <v>0</v>
      </c>
    </row>
    <row r="1089" spans="1:15" x14ac:dyDescent="0.25">
      <c r="A1089" s="2">
        <v>2</v>
      </c>
      <c r="B1089" s="2">
        <f t="shared" ref="B1089:J1089" si="1139">B1088</f>
        <v>0</v>
      </c>
      <c r="C1089" s="2" t="str">
        <f t="shared" si="1139"/>
        <v>ESS</v>
      </c>
      <c r="D1089" s="2">
        <f t="shared" si="1139"/>
        <v>0</v>
      </c>
      <c r="E1089" s="2" t="str">
        <f t="shared" si="1139"/>
        <v>A</v>
      </c>
      <c r="F1089" s="2" t="str">
        <f t="shared" si="1139"/>
        <v>Exterior Started</v>
      </c>
      <c r="G1089" s="2" t="str">
        <f t="shared" si="1139"/>
        <v/>
      </c>
      <c r="H1089" s="2" t="str">
        <f t="shared" si="1139"/>
        <v/>
      </c>
      <c r="I1089" s="2" t="str">
        <f t="shared" si="1139"/>
        <v/>
      </c>
      <c r="J1089" s="2" t="str">
        <f t="shared" si="1139"/>
        <v/>
      </c>
      <c r="M1089" s="180" t="str">
        <f>M1088</f>
        <v/>
      </c>
      <c r="N1089" s="2" t="str">
        <f t="shared" si="1108"/>
        <v/>
      </c>
      <c r="O1089" s="2">
        <f>O1088</f>
        <v>0</v>
      </c>
    </row>
    <row r="1090" spans="1:15" x14ac:dyDescent="0.25">
      <c r="A1090" s="325">
        <v>1</v>
      </c>
      <c r="B1090" s="325">
        <f>TrialNumberDay2</f>
        <v>0</v>
      </c>
      <c r="C1090" s="325" t="s">
        <v>17</v>
      </c>
      <c r="D1090" s="325">
        <f>Started!C49</f>
        <v>0</v>
      </c>
      <c r="E1090" s="325" t="str">
        <f>IF(Started!B49="W","W","A")</f>
        <v>A</v>
      </c>
      <c r="F1090" s="325" t="s">
        <v>1736</v>
      </c>
      <c r="G1090" s="325" t="str">
        <f>IF(Started!W49="e","Y","")</f>
        <v/>
      </c>
      <c r="H1090" s="325" t="str">
        <f>IFERROR(VLOOKUP($D1090,'SDDA Dogs'!$A:$AE,2,FALSE),"")</f>
        <v/>
      </c>
      <c r="I1090" s="325" t="str">
        <f>IFERROR(VLOOKUP($D1090,'SDDA Dogs'!$A:$AE,3,FALSE),"")</f>
        <v/>
      </c>
      <c r="J1090" s="325" t="str">
        <f>IFERROR(VLOOKUP($D1090,'SDDA Dogs'!$A:$AE,6,FALSE),"")</f>
        <v/>
      </c>
      <c r="K1090" s="325"/>
      <c r="L1090" s="325"/>
      <c r="M1090" s="326" t="str">
        <f>TrialDateDay2</f>
        <v/>
      </c>
      <c r="N1090" s="325" t="str">
        <f t="shared" si="1108"/>
        <v/>
      </c>
      <c r="O1090" s="325">
        <f>JudgeD2ESS</f>
        <v>0</v>
      </c>
    </row>
    <row r="1091" spans="1:15" x14ac:dyDescent="0.25">
      <c r="A1091" s="2">
        <v>2</v>
      </c>
      <c r="B1091" s="2">
        <f t="shared" ref="B1091:J1091" si="1140">B1090</f>
        <v>0</v>
      </c>
      <c r="C1091" s="2" t="str">
        <f t="shared" si="1140"/>
        <v>ESS</v>
      </c>
      <c r="D1091" s="2">
        <f t="shared" si="1140"/>
        <v>0</v>
      </c>
      <c r="E1091" s="2" t="str">
        <f t="shared" si="1140"/>
        <v>A</v>
      </c>
      <c r="F1091" s="2" t="str">
        <f t="shared" si="1140"/>
        <v>Exterior Started</v>
      </c>
      <c r="G1091" s="2" t="str">
        <f t="shared" si="1140"/>
        <v/>
      </c>
      <c r="H1091" s="2" t="str">
        <f t="shared" si="1140"/>
        <v/>
      </c>
      <c r="I1091" s="2" t="str">
        <f t="shared" si="1140"/>
        <v/>
      </c>
      <c r="J1091" s="2" t="str">
        <f t="shared" si="1140"/>
        <v/>
      </c>
      <c r="M1091" s="180" t="str">
        <f>M1090</f>
        <v/>
      </c>
      <c r="N1091" s="2" t="str">
        <f t="shared" si="1108"/>
        <v/>
      </c>
      <c r="O1091" s="2">
        <f>O1090</f>
        <v>0</v>
      </c>
    </row>
    <row r="1092" spans="1:15" x14ac:dyDescent="0.25">
      <c r="A1092" s="325">
        <v>1</v>
      </c>
      <c r="B1092" s="325">
        <f>TrialNumberDay2</f>
        <v>0</v>
      </c>
      <c r="C1092" s="325" t="s">
        <v>17</v>
      </c>
      <c r="D1092" s="325">
        <f>Started!C50</f>
        <v>0</v>
      </c>
      <c r="E1092" s="325" t="str">
        <f>IF(Started!B50="W","W","A")</f>
        <v>A</v>
      </c>
      <c r="F1092" s="325" t="s">
        <v>1736</v>
      </c>
      <c r="G1092" s="325" t="str">
        <f>IF(Started!W50="e","Y","")</f>
        <v/>
      </c>
      <c r="H1092" s="325" t="str">
        <f>IFERROR(VLOOKUP($D1092,'SDDA Dogs'!$A:$AE,2,FALSE),"")</f>
        <v/>
      </c>
      <c r="I1092" s="325" t="str">
        <f>IFERROR(VLOOKUP($D1092,'SDDA Dogs'!$A:$AE,3,FALSE),"")</f>
        <v/>
      </c>
      <c r="J1092" s="325" t="str">
        <f>IFERROR(VLOOKUP($D1092,'SDDA Dogs'!$A:$AE,6,FALSE),"")</f>
        <v/>
      </c>
      <c r="K1092" s="325"/>
      <c r="L1092" s="325"/>
      <c r="M1092" s="326" t="str">
        <f>TrialDateDay2</f>
        <v/>
      </c>
      <c r="N1092" s="325" t="str">
        <f t="shared" ref="N1092:N1155" si="1141">N1091</f>
        <v/>
      </c>
      <c r="O1092" s="325">
        <f>JudgeD2ESS</f>
        <v>0</v>
      </c>
    </row>
    <row r="1093" spans="1:15" x14ac:dyDescent="0.25">
      <c r="A1093" s="2">
        <v>2</v>
      </c>
      <c r="B1093" s="2">
        <f t="shared" ref="B1093:J1093" si="1142">B1092</f>
        <v>0</v>
      </c>
      <c r="C1093" s="2" t="str">
        <f t="shared" si="1142"/>
        <v>ESS</v>
      </c>
      <c r="D1093" s="2">
        <f t="shared" si="1142"/>
        <v>0</v>
      </c>
      <c r="E1093" s="2" t="str">
        <f t="shared" si="1142"/>
        <v>A</v>
      </c>
      <c r="F1093" s="2" t="str">
        <f t="shared" si="1142"/>
        <v>Exterior Started</v>
      </c>
      <c r="G1093" s="2" t="str">
        <f t="shared" si="1142"/>
        <v/>
      </c>
      <c r="H1093" s="2" t="str">
        <f t="shared" si="1142"/>
        <v/>
      </c>
      <c r="I1093" s="2" t="str">
        <f t="shared" si="1142"/>
        <v/>
      </c>
      <c r="J1093" s="2" t="str">
        <f t="shared" si="1142"/>
        <v/>
      </c>
      <c r="M1093" s="180" t="str">
        <f>M1092</f>
        <v/>
      </c>
      <c r="N1093" s="2" t="str">
        <f t="shared" si="1141"/>
        <v/>
      </c>
      <c r="O1093" s="2">
        <f>O1092</f>
        <v>0</v>
      </c>
    </row>
    <row r="1094" spans="1:15" x14ac:dyDescent="0.25">
      <c r="A1094" s="325">
        <v>1</v>
      </c>
      <c r="B1094" s="325">
        <f>TrialNumberDay2</f>
        <v>0</v>
      </c>
      <c r="C1094" s="325" t="s">
        <v>17</v>
      </c>
      <c r="D1094" s="325">
        <f>Started!C51</f>
        <v>0</v>
      </c>
      <c r="E1094" s="325" t="str">
        <f>IF(Started!B51="W","W","A")</f>
        <v>A</v>
      </c>
      <c r="F1094" s="325" t="s">
        <v>1736</v>
      </c>
      <c r="G1094" s="325" t="str">
        <f>IF(Started!W51="e","Y","")</f>
        <v/>
      </c>
      <c r="H1094" s="325" t="str">
        <f>IFERROR(VLOOKUP($D1094,'SDDA Dogs'!$A:$AE,2,FALSE),"")</f>
        <v/>
      </c>
      <c r="I1094" s="325" t="str">
        <f>IFERROR(VLOOKUP($D1094,'SDDA Dogs'!$A:$AE,3,FALSE),"")</f>
        <v/>
      </c>
      <c r="J1094" s="325" t="str">
        <f>IFERROR(VLOOKUP($D1094,'SDDA Dogs'!$A:$AE,6,FALSE),"")</f>
        <v/>
      </c>
      <c r="K1094" s="325"/>
      <c r="L1094" s="325"/>
      <c r="M1094" s="326" t="str">
        <f>TrialDateDay2</f>
        <v/>
      </c>
      <c r="N1094" s="325" t="str">
        <f t="shared" si="1141"/>
        <v/>
      </c>
      <c r="O1094" s="325">
        <f>JudgeD2ESS</f>
        <v>0</v>
      </c>
    </row>
    <row r="1095" spans="1:15" x14ac:dyDescent="0.25">
      <c r="A1095" s="2">
        <v>2</v>
      </c>
      <c r="B1095" s="2">
        <f t="shared" ref="B1095:J1095" si="1143">B1094</f>
        <v>0</v>
      </c>
      <c r="C1095" s="2" t="str">
        <f t="shared" si="1143"/>
        <v>ESS</v>
      </c>
      <c r="D1095" s="2">
        <f t="shared" si="1143"/>
        <v>0</v>
      </c>
      <c r="E1095" s="2" t="str">
        <f t="shared" si="1143"/>
        <v>A</v>
      </c>
      <c r="F1095" s="2" t="str">
        <f t="shared" si="1143"/>
        <v>Exterior Started</v>
      </c>
      <c r="G1095" s="2" t="str">
        <f t="shared" si="1143"/>
        <v/>
      </c>
      <c r="H1095" s="2" t="str">
        <f t="shared" si="1143"/>
        <v/>
      </c>
      <c r="I1095" s="2" t="str">
        <f t="shared" si="1143"/>
        <v/>
      </c>
      <c r="J1095" s="2" t="str">
        <f t="shared" si="1143"/>
        <v/>
      </c>
      <c r="M1095" s="180" t="str">
        <f>M1094</f>
        <v/>
      </c>
      <c r="N1095" s="2" t="str">
        <f t="shared" si="1141"/>
        <v/>
      </c>
      <c r="O1095" s="2">
        <f>O1094</f>
        <v>0</v>
      </c>
    </row>
    <row r="1096" spans="1:15" x14ac:dyDescent="0.25">
      <c r="A1096" s="325">
        <v>1</v>
      </c>
      <c r="B1096" s="325">
        <f>TrialNumberDay2</f>
        <v>0</v>
      </c>
      <c r="C1096" s="325" t="s">
        <v>17</v>
      </c>
      <c r="D1096" s="325">
        <f>Started!C52</f>
        <v>0</v>
      </c>
      <c r="E1096" s="325" t="str">
        <f>IF(Started!B52="W","W","A")</f>
        <v>A</v>
      </c>
      <c r="F1096" s="325" t="s">
        <v>1736</v>
      </c>
      <c r="G1096" s="325" t="str">
        <f>IF(Started!W52="e","Y","")</f>
        <v/>
      </c>
      <c r="H1096" s="325" t="str">
        <f>IFERROR(VLOOKUP($D1096,'SDDA Dogs'!$A:$AE,2,FALSE),"")</f>
        <v/>
      </c>
      <c r="I1096" s="325" t="str">
        <f>IFERROR(VLOOKUP($D1096,'SDDA Dogs'!$A:$AE,3,FALSE),"")</f>
        <v/>
      </c>
      <c r="J1096" s="325" t="str">
        <f>IFERROR(VLOOKUP($D1096,'SDDA Dogs'!$A:$AE,6,FALSE),"")</f>
        <v/>
      </c>
      <c r="K1096" s="325"/>
      <c r="L1096" s="325"/>
      <c r="M1096" s="326" t="str">
        <f>TrialDateDay2</f>
        <v/>
      </c>
      <c r="N1096" s="325" t="str">
        <f t="shared" si="1141"/>
        <v/>
      </c>
      <c r="O1096" s="325">
        <f>JudgeD2ESS</f>
        <v>0</v>
      </c>
    </row>
    <row r="1097" spans="1:15" x14ac:dyDescent="0.25">
      <c r="A1097" s="2">
        <v>2</v>
      </c>
      <c r="B1097" s="2">
        <f t="shared" ref="B1097:J1097" si="1144">B1096</f>
        <v>0</v>
      </c>
      <c r="C1097" s="2" t="str">
        <f t="shared" si="1144"/>
        <v>ESS</v>
      </c>
      <c r="D1097" s="2">
        <f t="shared" si="1144"/>
        <v>0</v>
      </c>
      <c r="E1097" s="2" t="str">
        <f t="shared" si="1144"/>
        <v>A</v>
      </c>
      <c r="F1097" s="2" t="str">
        <f t="shared" si="1144"/>
        <v>Exterior Started</v>
      </c>
      <c r="G1097" s="2" t="str">
        <f t="shared" si="1144"/>
        <v/>
      </c>
      <c r="H1097" s="2" t="str">
        <f t="shared" si="1144"/>
        <v/>
      </c>
      <c r="I1097" s="2" t="str">
        <f t="shared" si="1144"/>
        <v/>
      </c>
      <c r="J1097" s="2" t="str">
        <f t="shared" si="1144"/>
        <v/>
      </c>
      <c r="M1097" s="180" t="str">
        <f>M1096</f>
        <v/>
      </c>
      <c r="N1097" s="2" t="str">
        <f t="shared" si="1141"/>
        <v/>
      </c>
      <c r="O1097" s="2">
        <f>O1096</f>
        <v>0</v>
      </c>
    </row>
    <row r="1098" spans="1:15" x14ac:dyDescent="0.25">
      <c r="A1098" s="325">
        <v>1</v>
      </c>
      <c r="B1098" s="325">
        <f>TrialNumberDay2</f>
        <v>0</v>
      </c>
      <c r="C1098" s="325" t="s">
        <v>17</v>
      </c>
      <c r="D1098" s="325">
        <f>Started!C53</f>
        <v>0</v>
      </c>
      <c r="E1098" s="325" t="str">
        <f>IF(Started!B53="W","W","A")</f>
        <v>A</v>
      </c>
      <c r="F1098" s="325" t="s">
        <v>1736</v>
      </c>
      <c r="G1098" s="325" t="str">
        <f>IF(Started!W53="e","Y","")</f>
        <v/>
      </c>
      <c r="H1098" s="325" t="str">
        <f>IFERROR(VLOOKUP($D1098,'SDDA Dogs'!$A:$AE,2,FALSE),"")</f>
        <v/>
      </c>
      <c r="I1098" s="325" t="str">
        <f>IFERROR(VLOOKUP($D1098,'SDDA Dogs'!$A:$AE,3,FALSE),"")</f>
        <v/>
      </c>
      <c r="J1098" s="325" t="str">
        <f>IFERROR(VLOOKUP($D1098,'SDDA Dogs'!$A:$AE,6,FALSE),"")</f>
        <v/>
      </c>
      <c r="K1098" s="325"/>
      <c r="L1098" s="325"/>
      <c r="M1098" s="326" t="str">
        <f>TrialDateDay2</f>
        <v/>
      </c>
      <c r="N1098" s="325" t="str">
        <f t="shared" si="1141"/>
        <v/>
      </c>
      <c r="O1098" s="325">
        <f>JudgeD2ESS</f>
        <v>0</v>
      </c>
    </row>
    <row r="1099" spans="1:15" x14ac:dyDescent="0.25">
      <c r="A1099" s="2">
        <v>2</v>
      </c>
      <c r="B1099" s="2">
        <f t="shared" ref="B1099:J1099" si="1145">B1098</f>
        <v>0</v>
      </c>
      <c r="C1099" s="2" t="str">
        <f t="shared" si="1145"/>
        <v>ESS</v>
      </c>
      <c r="D1099" s="2">
        <f t="shared" si="1145"/>
        <v>0</v>
      </c>
      <c r="E1099" s="2" t="str">
        <f t="shared" si="1145"/>
        <v>A</v>
      </c>
      <c r="F1099" s="2" t="str">
        <f t="shared" si="1145"/>
        <v>Exterior Started</v>
      </c>
      <c r="G1099" s="2" t="str">
        <f t="shared" si="1145"/>
        <v/>
      </c>
      <c r="H1099" s="2" t="str">
        <f t="shared" si="1145"/>
        <v/>
      </c>
      <c r="I1099" s="2" t="str">
        <f t="shared" si="1145"/>
        <v/>
      </c>
      <c r="J1099" s="2" t="str">
        <f t="shared" si="1145"/>
        <v/>
      </c>
      <c r="M1099" s="180" t="str">
        <f>M1098</f>
        <v/>
      </c>
      <c r="N1099" s="2" t="str">
        <f t="shared" si="1141"/>
        <v/>
      </c>
      <c r="O1099" s="2">
        <f>O1098</f>
        <v>0</v>
      </c>
    </row>
    <row r="1100" spans="1:15" x14ac:dyDescent="0.25">
      <c r="A1100" s="325">
        <v>1</v>
      </c>
      <c r="B1100" s="325">
        <f>TrialNumberDay2</f>
        <v>0</v>
      </c>
      <c r="C1100" s="325" t="s">
        <v>17</v>
      </c>
      <c r="D1100" s="325">
        <f>Started!C54</f>
        <v>0</v>
      </c>
      <c r="E1100" s="325" t="str">
        <f>IF(Started!B54="W","W","A")</f>
        <v>A</v>
      </c>
      <c r="F1100" s="325" t="s">
        <v>1736</v>
      </c>
      <c r="G1100" s="325" t="str">
        <f>IF(Started!W54="e","Y","")</f>
        <v/>
      </c>
      <c r="H1100" s="325" t="str">
        <f>IFERROR(VLOOKUP($D1100,'SDDA Dogs'!$A:$AE,2,FALSE),"")</f>
        <v/>
      </c>
      <c r="I1100" s="325" t="str">
        <f>IFERROR(VLOOKUP($D1100,'SDDA Dogs'!$A:$AE,3,FALSE),"")</f>
        <v/>
      </c>
      <c r="J1100" s="325" t="str">
        <f>IFERROR(VLOOKUP($D1100,'SDDA Dogs'!$A:$AE,6,FALSE),"")</f>
        <v/>
      </c>
      <c r="K1100" s="325"/>
      <c r="L1100" s="325"/>
      <c r="M1100" s="326" t="str">
        <f>TrialDateDay2</f>
        <v/>
      </c>
      <c r="N1100" s="325" t="str">
        <f t="shared" si="1141"/>
        <v/>
      </c>
      <c r="O1100" s="325">
        <f>JudgeD2ESS</f>
        <v>0</v>
      </c>
    </row>
    <row r="1101" spans="1:15" x14ac:dyDescent="0.25">
      <c r="A1101" s="2">
        <v>2</v>
      </c>
      <c r="B1101" s="2">
        <f t="shared" ref="B1101:J1101" si="1146">B1100</f>
        <v>0</v>
      </c>
      <c r="C1101" s="2" t="str">
        <f t="shared" si="1146"/>
        <v>ESS</v>
      </c>
      <c r="D1101" s="2">
        <f t="shared" si="1146"/>
        <v>0</v>
      </c>
      <c r="E1101" s="2" t="str">
        <f t="shared" si="1146"/>
        <v>A</v>
      </c>
      <c r="F1101" s="2" t="str">
        <f t="shared" si="1146"/>
        <v>Exterior Started</v>
      </c>
      <c r="G1101" s="2" t="str">
        <f t="shared" si="1146"/>
        <v/>
      </c>
      <c r="H1101" s="2" t="str">
        <f t="shared" si="1146"/>
        <v/>
      </c>
      <c r="I1101" s="2" t="str">
        <f t="shared" si="1146"/>
        <v/>
      </c>
      <c r="J1101" s="2" t="str">
        <f t="shared" si="1146"/>
        <v/>
      </c>
      <c r="M1101" s="180" t="str">
        <f>M1100</f>
        <v/>
      </c>
      <c r="N1101" s="2" t="str">
        <f t="shared" si="1141"/>
        <v/>
      </c>
      <c r="O1101" s="2">
        <f>O1100</f>
        <v>0</v>
      </c>
    </row>
    <row r="1102" spans="1:15" x14ac:dyDescent="0.25">
      <c r="A1102" s="325">
        <v>1</v>
      </c>
      <c r="B1102" s="325">
        <f>TrialNumberDay2</f>
        <v>0</v>
      </c>
      <c r="C1102" s="325" t="s">
        <v>17</v>
      </c>
      <c r="D1102" s="325">
        <f>Started!C55</f>
        <v>0</v>
      </c>
      <c r="E1102" s="325" t="str">
        <f>IF(Started!B55="W","W","A")</f>
        <v>A</v>
      </c>
      <c r="F1102" s="325" t="s">
        <v>1736</v>
      </c>
      <c r="G1102" s="325" t="str">
        <f>IF(Started!W55="e","Y","")</f>
        <v/>
      </c>
      <c r="H1102" s="325" t="str">
        <f>IFERROR(VLOOKUP($D1102,'SDDA Dogs'!$A:$AE,2,FALSE),"")</f>
        <v/>
      </c>
      <c r="I1102" s="325" t="str">
        <f>IFERROR(VLOOKUP($D1102,'SDDA Dogs'!$A:$AE,3,FALSE),"")</f>
        <v/>
      </c>
      <c r="J1102" s="325" t="str">
        <f>IFERROR(VLOOKUP($D1102,'SDDA Dogs'!$A:$AE,6,FALSE),"")</f>
        <v/>
      </c>
      <c r="K1102" s="325"/>
      <c r="L1102" s="325"/>
      <c r="M1102" s="326" t="str">
        <f>TrialDateDay2</f>
        <v/>
      </c>
      <c r="N1102" s="325" t="str">
        <f t="shared" si="1141"/>
        <v/>
      </c>
      <c r="O1102" s="325">
        <f>JudgeD2ESS</f>
        <v>0</v>
      </c>
    </row>
    <row r="1103" spans="1:15" x14ac:dyDescent="0.25">
      <c r="A1103" s="2">
        <v>2</v>
      </c>
      <c r="B1103" s="2">
        <f t="shared" ref="B1103:J1103" si="1147">B1102</f>
        <v>0</v>
      </c>
      <c r="C1103" s="2" t="str">
        <f t="shared" si="1147"/>
        <v>ESS</v>
      </c>
      <c r="D1103" s="2">
        <f t="shared" si="1147"/>
        <v>0</v>
      </c>
      <c r="E1103" s="2" t="str">
        <f t="shared" si="1147"/>
        <v>A</v>
      </c>
      <c r="F1103" s="2" t="str">
        <f t="shared" si="1147"/>
        <v>Exterior Started</v>
      </c>
      <c r="G1103" s="2" t="str">
        <f t="shared" si="1147"/>
        <v/>
      </c>
      <c r="H1103" s="2" t="str">
        <f t="shared" si="1147"/>
        <v/>
      </c>
      <c r="I1103" s="2" t="str">
        <f t="shared" si="1147"/>
        <v/>
      </c>
      <c r="J1103" s="2" t="str">
        <f t="shared" si="1147"/>
        <v/>
      </c>
      <c r="M1103" s="180" t="str">
        <f>M1102</f>
        <v/>
      </c>
      <c r="N1103" s="2" t="str">
        <f t="shared" si="1141"/>
        <v/>
      </c>
      <c r="O1103" s="2">
        <f>O1102</f>
        <v>0</v>
      </c>
    </row>
    <row r="1104" spans="1:15" x14ac:dyDescent="0.25">
      <c r="A1104" s="325">
        <v>1</v>
      </c>
      <c r="B1104" s="325">
        <f>TrialNumberDay2</f>
        <v>0</v>
      </c>
      <c r="C1104" s="325" t="s">
        <v>17</v>
      </c>
      <c r="D1104" s="325">
        <f>Started!C56</f>
        <v>0</v>
      </c>
      <c r="E1104" s="325" t="str">
        <f>IF(Started!B56="W","W","A")</f>
        <v>A</v>
      </c>
      <c r="F1104" s="325" t="s">
        <v>1736</v>
      </c>
      <c r="G1104" s="325" t="str">
        <f>IF(Started!W56="e","Y","")</f>
        <v/>
      </c>
      <c r="H1104" s="325" t="str">
        <f>IFERROR(VLOOKUP($D1104,'SDDA Dogs'!$A:$AE,2,FALSE),"")</f>
        <v/>
      </c>
      <c r="I1104" s="325" t="str">
        <f>IFERROR(VLOOKUP($D1104,'SDDA Dogs'!$A:$AE,3,FALSE),"")</f>
        <v/>
      </c>
      <c r="J1104" s="325" t="str">
        <f>IFERROR(VLOOKUP($D1104,'SDDA Dogs'!$A:$AE,6,FALSE),"")</f>
        <v/>
      </c>
      <c r="K1104" s="325"/>
      <c r="L1104" s="325"/>
      <c r="M1104" s="326" t="str">
        <f>TrialDateDay2</f>
        <v/>
      </c>
      <c r="N1104" s="325" t="str">
        <f t="shared" si="1141"/>
        <v/>
      </c>
      <c r="O1104" s="325">
        <f>JudgeD2ESS</f>
        <v>0</v>
      </c>
    </row>
    <row r="1105" spans="1:15" x14ac:dyDescent="0.25">
      <c r="A1105" s="2">
        <v>2</v>
      </c>
      <c r="B1105" s="2">
        <f t="shared" ref="B1105:J1105" si="1148">B1104</f>
        <v>0</v>
      </c>
      <c r="C1105" s="2" t="str">
        <f t="shared" si="1148"/>
        <v>ESS</v>
      </c>
      <c r="D1105" s="2">
        <f t="shared" si="1148"/>
        <v>0</v>
      </c>
      <c r="E1105" s="2" t="str">
        <f t="shared" si="1148"/>
        <v>A</v>
      </c>
      <c r="F1105" s="2" t="str">
        <f t="shared" si="1148"/>
        <v>Exterior Started</v>
      </c>
      <c r="G1105" s="2" t="str">
        <f t="shared" si="1148"/>
        <v/>
      </c>
      <c r="H1105" s="2" t="str">
        <f t="shared" si="1148"/>
        <v/>
      </c>
      <c r="I1105" s="2" t="str">
        <f t="shared" si="1148"/>
        <v/>
      </c>
      <c r="J1105" s="2" t="str">
        <f t="shared" si="1148"/>
        <v/>
      </c>
      <c r="M1105" s="180" t="str">
        <f>M1104</f>
        <v/>
      </c>
      <c r="N1105" s="2" t="str">
        <f t="shared" si="1141"/>
        <v/>
      </c>
      <c r="O1105" s="2">
        <f>O1104</f>
        <v>0</v>
      </c>
    </row>
    <row r="1106" spans="1:15" x14ac:dyDescent="0.25">
      <c r="A1106" s="325">
        <v>1</v>
      </c>
      <c r="B1106" s="325">
        <f>TrialNumberDay2</f>
        <v>0</v>
      </c>
      <c r="C1106" s="325" t="s">
        <v>17</v>
      </c>
      <c r="D1106" s="325">
        <f>Started!C57</f>
        <v>0</v>
      </c>
      <c r="E1106" s="325" t="str">
        <f>IF(Started!B57="W","W","A")</f>
        <v>A</v>
      </c>
      <c r="F1106" s="325" t="s">
        <v>1736</v>
      </c>
      <c r="G1106" s="325" t="str">
        <f>IF(Started!W57="e","Y","")</f>
        <v/>
      </c>
      <c r="H1106" s="325" t="str">
        <f>IFERROR(VLOOKUP($D1106,'SDDA Dogs'!$A:$AE,2,FALSE),"")</f>
        <v/>
      </c>
      <c r="I1106" s="325" t="str">
        <f>IFERROR(VLOOKUP($D1106,'SDDA Dogs'!$A:$AE,3,FALSE),"")</f>
        <v/>
      </c>
      <c r="J1106" s="325" t="str">
        <f>IFERROR(VLOOKUP($D1106,'SDDA Dogs'!$A:$AE,6,FALSE),"")</f>
        <v/>
      </c>
      <c r="K1106" s="325"/>
      <c r="L1106" s="325"/>
      <c r="M1106" s="326" t="str">
        <f>TrialDateDay2</f>
        <v/>
      </c>
      <c r="N1106" s="325" t="str">
        <f t="shared" si="1141"/>
        <v/>
      </c>
      <c r="O1106" s="325">
        <f>JudgeD2ESS</f>
        <v>0</v>
      </c>
    </row>
    <row r="1107" spans="1:15" x14ac:dyDescent="0.25">
      <c r="A1107" s="2">
        <v>2</v>
      </c>
      <c r="B1107" s="2">
        <f t="shared" ref="B1107:J1107" si="1149">B1106</f>
        <v>0</v>
      </c>
      <c r="C1107" s="2" t="str">
        <f t="shared" si="1149"/>
        <v>ESS</v>
      </c>
      <c r="D1107" s="2">
        <f t="shared" si="1149"/>
        <v>0</v>
      </c>
      <c r="E1107" s="2" t="str">
        <f t="shared" si="1149"/>
        <v>A</v>
      </c>
      <c r="F1107" s="2" t="str">
        <f t="shared" si="1149"/>
        <v>Exterior Started</v>
      </c>
      <c r="G1107" s="2" t="str">
        <f t="shared" si="1149"/>
        <v/>
      </c>
      <c r="H1107" s="2" t="str">
        <f t="shared" si="1149"/>
        <v/>
      </c>
      <c r="I1107" s="2" t="str">
        <f t="shared" si="1149"/>
        <v/>
      </c>
      <c r="J1107" s="2" t="str">
        <f t="shared" si="1149"/>
        <v/>
      </c>
      <c r="M1107" s="180" t="str">
        <f>M1106</f>
        <v/>
      </c>
      <c r="N1107" s="2" t="str">
        <f t="shared" si="1141"/>
        <v/>
      </c>
      <c r="O1107" s="2">
        <f>O1106</f>
        <v>0</v>
      </c>
    </row>
    <row r="1108" spans="1:15" x14ac:dyDescent="0.25">
      <c r="A1108" s="325">
        <v>1</v>
      </c>
      <c r="B1108" s="325">
        <f>TrialNumberDay2</f>
        <v>0</v>
      </c>
      <c r="C1108" s="325" t="s">
        <v>17</v>
      </c>
      <c r="D1108" s="325">
        <f>Started!C58</f>
        <v>0</v>
      </c>
      <c r="E1108" s="325" t="str">
        <f>IF(Started!B58="W","W","A")</f>
        <v>A</v>
      </c>
      <c r="F1108" s="325" t="s">
        <v>1736</v>
      </c>
      <c r="G1108" s="325" t="str">
        <f>IF(Started!W58="e","Y","")</f>
        <v/>
      </c>
      <c r="H1108" s="325" t="str">
        <f>IFERROR(VLOOKUP($D1108,'SDDA Dogs'!$A:$AE,2,FALSE),"")</f>
        <v/>
      </c>
      <c r="I1108" s="325" t="str">
        <f>IFERROR(VLOOKUP($D1108,'SDDA Dogs'!$A:$AE,3,FALSE),"")</f>
        <v/>
      </c>
      <c r="J1108" s="325" t="str">
        <f>IFERROR(VLOOKUP($D1108,'SDDA Dogs'!$A:$AE,6,FALSE),"")</f>
        <v/>
      </c>
      <c r="K1108" s="325"/>
      <c r="L1108" s="325"/>
      <c r="M1108" s="326" t="str">
        <f>TrialDateDay2</f>
        <v/>
      </c>
      <c r="N1108" s="325" t="str">
        <f t="shared" si="1141"/>
        <v/>
      </c>
      <c r="O1108" s="325">
        <f>JudgeD2ESS</f>
        <v>0</v>
      </c>
    </row>
    <row r="1109" spans="1:15" x14ac:dyDescent="0.25">
      <c r="A1109" s="2">
        <v>2</v>
      </c>
      <c r="B1109" s="2">
        <f t="shared" ref="B1109:J1109" si="1150">B1108</f>
        <v>0</v>
      </c>
      <c r="C1109" s="2" t="str">
        <f t="shared" si="1150"/>
        <v>ESS</v>
      </c>
      <c r="D1109" s="2">
        <f t="shared" si="1150"/>
        <v>0</v>
      </c>
      <c r="E1109" s="2" t="str">
        <f t="shared" si="1150"/>
        <v>A</v>
      </c>
      <c r="F1109" s="2" t="str">
        <f t="shared" si="1150"/>
        <v>Exterior Started</v>
      </c>
      <c r="G1109" s="2" t="str">
        <f t="shared" si="1150"/>
        <v/>
      </c>
      <c r="H1109" s="2" t="str">
        <f t="shared" si="1150"/>
        <v/>
      </c>
      <c r="I1109" s="2" t="str">
        <f t="shared" si="1150"/>
        <v/>
      </c>
      <c r="J1109" s="2" t="str">
        <f t="shared" si="1150"/>
        <v/>
      </c>
      <c r="M1109" s="180" t="str">
        <f>M1108</f>
        <v/>
      </c>
      <c r="N1109" s="2" t="str">
        <f t="shared" si="1141"/>
        <v/>
      </c>
      <c r="O1109" s="2">
        <f>O1108</f>
        <v>0</v>
      </c>
    </row>
    <row r="1110" spans="1:15" x14ac:dyDescent="0.25">
      <c r="A1110" s="325">
        <v>1</v>
      </c>
      <c r="B1110" s="325">
        <f>TrialNumberDay2</f>
        <v>0</v>
      </c>
      <c r="C1110" s="325" t="s">
        <v>17</v>
      </c>
      <c r="D1110" s="325">
        <f>Started!C59</f>
        <v>0</v>
      </c>
      <c r="E1110" s="325" t="str">
        <f>IF(Started!B59="W","W","A")</f>
        <v>A</v>
      </c>
      <c r="F1110" s="325" t="s">
        <v>1736</v>
      </c>
      <c r="G1110" s="325" t="str">
        <f>IF(Started!W59="e","Y","")</f>
        <v/>
      </c>
      <c r="H1110" s="325" t="str">
        <f>IFERROR(VLOOKUP($D1110,'SDDA Dogs'!$A:$AE,2,FALSE),"")</f>
        <v/>
      </c>
      <c r="I1110" s="325" t="str">
        <f>IFERROR(VLOOKUP($D1110,'SDDA Dogs'!$A:$AE,3,FALSE),"")</f>
        <v/>
      </c>
      <c r="J1110" s="325" t="str">
        <f>IFERROR(VLOOKUP($D1110,'SDDA Dogs'!$A:$AE,6,FALSE),"")</f>
        <v/>
      </c>
      <c r="K1110" s="325"/>
      <c r="L1110" s="325"/>
      <c r="M1110" s="326" t="str">
        <f>TrialDateDay2</f>
        <v/>
      </c>
      <c r="N1110" s="325" t="str">
        <f t="shared" si="1141"/>
        <v/>
      </c>
      <c r="O1110" s="325">
        <f>JudgeD2ESS</f>
        <v>0</v>
      </c>
    </row>
    <row r="1111" spans="1:15" x14ac:dyDescent="0.25">
      <c r="A1111" s="2">
        <v>2</v>
      </c>
      <c r="B1111" s="2">
        <f t="shared" ref="B1111:J1111" si="1151">B1110</f>
        <v>0</v>
      </c>
      <c r="C1111" s="2" t="str">
        <f t="shared" si="1151"/>
        <v>ESS</v>
      </c>
      <c r="D1111" s="2">
        <f t="shared" si="1151"/>
        <v>0</v>
      </c>
      <c r="E1111" s="2" t="str">
        <f t="shared" si="1151"/>
        <v>A</v>
      </c>
      <c r="F1111" s="2" t="str">
        <f t="shared" si="1151"/>
        <v>Exterior Started</v>
      </c>
      <c r="G1111" s="2" t="str">
        <f t="shared" si="1151"/>
        <v/>
      </c>
      <c r="H1111" s="2" t="str">
        <f t="shared" si="1151"/>
        <v/>
      </c>
      <c r="I1111" s="2" t="str">
        <f t="shared" si="1151"/>
        <v/>
      </c>
      <c r="J1111" s="2" t="str">
        <f t="shared" si="1151"/>
        <v/>
      </c>
      <c r="M1111" s="180" t="str">
        <f>M1110</f>
        <v/>
      </c>
      <c r="N1111" s="2" t="str">
        <f t="shared" si="1141"/>
        <v/>
      </c>
      <c r="O1111" s="2">
        <f>O1110</f>
        <v>0</v>
      </c>
    </row>
    <row r="1112" spans="1:15" x14ac:dyDescent="0.25">
      <c r="A1112" s="325">
        <v>1</v>
      </c>
      <c r="B1112" s="325">
        <f>TrialNumberDay2</f>
        <v>0</v>
      </c>
      <c r="C1112" s="325" t="s">
        <v>17</v>
      </c>
      <c r="D1112" s="325">
        <f>Started!C60</f>
        <v>0</v>
      </c>
      <c r="E1112" s="325" t="str">
        <f>IF(Started!B60="W","W","A")</f>
        <v>A</v>
      </c>
      <c r="F1112" s="325" t="s">
        <v>1736</v>
      </c>
      <c r="G1112" s="325" t="str">
        <f>IF(Started!W60="e","Y","")</f>
        <v/>
      </c>
      <c r="H1112" s="325" t="str">
        <f>IFERROR(VLOOKUP($D1112,'SDDA Dogs'!$A:$AE,2,FALSE),"")</f>
        <v/>
      </c>
      <c r="I1112" s="325" t="str">
        <f>IFERROR(VLOOKUP($D1112,'SDDA Dogs'!$A:$AE,3,FALSE),"")</f>
        <v/>
      </c>
      <c r="J1112" s="325" t="str">
        <f>IFERROR(VLOOKUP($D1112,'SDDA Dogs'!$A:$AE,6,FALSE),"")</f>
        <v/>
      </c>
      <c r="K1112" s="325"/>
      <c r="L1112" s="325"/>
      <c r="M1112" s="326" t="str">
        <f>TrialDateDay2</f>
        <v/>
      </c>
      <c r="N1112" s="325" t="str">
        <f t="shared" si="1141"/>
        <v/>
      </c>
      <c r="O1112" s="325">
        <f>JudgeD2ESS</f>
        <v>0</v>
      </c>
    </row>
    <row r="1113" spans="1:15" x14ac:dyDescent="0.25">
      <c r="A1113" s="2">
        <v>2</v>
      </c>
      <c r="B1113" s="2">
        <f t="shared" ref="B1113:J1113" si="1152">B1112</f>
        <v>0</v>
      </c>
      <c r="C1113" s="2" t="str">
        <f t="shared" si="1152"/>
        <v>ESS</v>
      </c>
      <c r="D1113" s="2">
        <f t="shared" si="1152"/>
        <v>0</v>
      </c>
      <c r="E1113" s="2" t="str">
        <f t="shared" si="1152"/>
        <v>A</v>
      </c>
      <c r="F1113" s="2" t="str">
        <f t="shared" si="1152"/>
        <v>Exterior Started</v>
      </c>
      <c r="G1113" s="2" t="str">
        <f t="shared" si="1152"/>
        <v/>
      </c>
      <c r="H1113" s="2" t="str">
        <f t="shared" si="1152"/>
        <v/>
      </c>
      <c r="I1113" s="2" t="str">
        <f t="shared" si="1152"/>
        <v/>
      </c>
      <c r="J1113" s="2" t="str">
        <f t="shared" si="1152"/>
        <v/>
      </c>
      <c r="M1113" s="180" t="str">
        <f>M1112</f>
        <v/>
      </c>
      <c r="N1113" s="2" t="str">
        <f t="shared" si="1141"/>
        <v/>
      </c>
      <c r="O1113" s="2">
        <f>O1112</f>
        <v>0</v>
      </c>
    </row>
    <row r="1114" spans="1:15" x14ac:dyDescent="0.25">
      <c r="A1114" s="325">
        <v>1</v>
      </c>
      <c r="B1114" s="325">
        <f>TrialNumberDay2</f>
        <v>0</v>
      </c>
      <c r="C1114" s="325" t="s">
        <v>17</v>
      </c>
      <c r="D1114" s="325">
        <f>Started!C61</f>
        <v>0</v>
      </c>
      <c r="E1114" s="325" t="str">
        <f>IF(Started!B61="W","W","A")</f>
        <v>A</v>
      </c>
      <c r="F1114" s="325" t="s">
        <v>1736</v>
      </c>
      <c r="G1114" s="325" t="str">
        <f>IF(Started!W61="e","Y","")</f>
        <v/>
      </c>
      <c r="H1114" s="325" t="str">
        <f>IFERROR(VLOOKUP($D1114,'SDDA Dogs'!$A:$AE,2,FALSE),"")</f>
        <v/>
      </c>
      <c r="I1114" s="325" t="str">
        <f>IFERROR(VLOOKUP($D1114,'SDDA Dogs'!$A:$AE,3,FALSE),"")</f>
        <v/>
      </c>
      <c r="J1114" s="325" t="str">
        <f>IFERROR(VLOOKUP($D1114,'SDDA Dogs'!$A:$AE,6,FALSE),"")</f>
        <v/>
      </c>
      <c r="K1114" s="325"/>
      <c r="L1114" s="325"/>
      <c r="M1114" s="326" t="str">
        <f>TrialDateDay2</f>
        <v/>
      </c>
      <c r="N1114" s="325" t="str">
        <f t="shared" si="1141"/>
        <v/>
      </c>
      <c r="O1114" s="325">
        <f>JudgeD2ESS</f>
        <v>0</v>
      </c>
    </row>
    <row r="1115" spans="1:15" x14ac:dyDescent="0.25">
      <c r="A1115" s="2">
        <v>2</v>
      </c>
      <c r="B1115" s="2">
        <f t="shared" ref="B1115:J1115" si="1153">B1114</f>
        <v>0</v>
      </c>
      <c r="C1115" s="2" t="str">
        <f t="shared" si="1153"/>
        <v>ESS</v>
      </c>
      <c r="D1115" s="2">
        <f t="shared" si="1153"/>
        <v>0</v>
      </c>
      <c r="E1115" s="2" t="str">
        <f t="shared" si="1153"/>
        <v>A</v>
      </c>
      <c r="F1115" s="2" t="str">
        <f t="shared" si="1153"/>
        <v>Exterior Started</v>
      </c>
      <c r="G1115" s="2" t="str">
        <f t="shared" si="1153"/>
        <v/>
      </c>
      <c r="H1115" s="2" t="str">
        <f t="shared" si="1153"/>
        <v/>
      </c>
      <c r="I1115" s="2" t="str">
        <f t="shared" si="1153"/>
        <v/>
      </c>
      <c r="J1115" s="2" t="str">
        <f t="shared" si="1153"/>
        <v/>
      </c>
      <c r="M1115" s="180" t="str">
        <f>M1114</f>
        <v/>
      </c>
      <c r="N1115" s="2" t="str">
        <f t="shared" si="1141"/>
        <v/>
      </c>
      <c r="O1115" s="2">
        <f>O1114</f>
        <v>0</v>
      </c>
    </row>
    <row r="1116" spans="1:15" x14ac:dyDescent="0.25">
      <c r="A1116" s="325">
        <v>1</v>
      </c>
      <c r="B1116" s="325">
        <f>TrialNumberDay2</f>
        <v>0</v>
      </c>
      <c r="C1116" s="325" t="s">
        <v>17</v>
      </c>
      <c r="D1116" s="325">
        <f>Started!C62</f>
        <v>0</v>
      </c>
      <c r="E1116" s="325" t="str">
        <f>IF(Started!B62="W","W","A")</f>
        <v>A</v>
      </c>
      <c r="F1116" s="325" t="s">
        <v>1736</v>
      </c>
      <c r="G1116" s="325" t="str">
        <f>IF(Started!W62="e","Y","")</f>
        <v/>
      </c>
      <c r="H1116" s="325" t="str">
        <f>IFERROR(VLOOKUP($D1116,'SDDA Dogs'!$A:$AE,2,FALSE),"")</f>
        <v/>
      </c>
      <c r="I1116" s="325" t="str">
        <f>IFERROR(VLOOKUP($D1116,'SDDA Dogs'!$A:$AE,3,FALSE),"")</f>
        <v/>
      </c>
      <c r="J1116" s="325" t="str">
        <f>IFERROR(VLOOKUP($D1116,'SDDA Dogs'!$A:$AE,6,FALSE),"")</f>
        <v/>
      </c>
      <c r="K1116" s="325"/>
      <c r="L1116" s="325"/>
      <c r="M1116" s="326" t="str">
        <f>TrialDateDay2</f>
        <v/>
      </c>
      <c r="N1116" s="325" t="str">
        <f t="shared" si="1141"/>
        <v/>
      </c>
      <c r="O1116" s="325">
        <f>JudgeD2ESS</f>
        <v>0</v>
      </c>
    </row>
    <row r="1117" spans="1:15" x14ac:dyDescent="0.25">
      <c r="A1117" s="2">
        <v>2</v>
      </c>
      <c r="B1117" s="2">
        <f t="shared" ref="B1117:J1117" si="1154">B1116</f>
        <v>0</v>
      </c>
      <c r="C1117" s="2" t="str">
        <f t="shared" si="1154"/>
        <v>ESS</v>
      </c>
      <c r="D1117" s="2">
        <f t="shared" si="1154"/>
        <v>0</v>
      </c>
      <c r="E1117" s="2" t="str">
        <f t="shared" si="1154"/>
        <v>A</v>
      </c>
      <c r="F1117" s="2" t="str">
        <f t="shared" si="1154"/>
        <v>Exterior Started</v>
      </c>
      <c r="G1117" s="2" t="str">
        <f t="shared" si="1154"/>
        <v/>
      </c>
      <c r="H1117" s="2" t="str">
        <f t="shared" si="1154"/>
        <v/>
      </c>
      <c r="I1117" s="2" t="str">
        <f t="shared" si="1154"/>
        <v/>
      </c>
      <c r="J1117" s="2" t="str">
        <f t="shared" si="1154"/>
        <v/>
      </c>
      <c r="M1117" s="180" t="str">
        <f>M1116</f>
        <v/>
      </c>
      <c r="N1117" s="2" t="str">
        <f t="shared" si="1141"/>
        <v/>
      </c>
      <c r="O1117" s="2">
        <f>O1116</f>
        <v>0</v>
      </c>
    </row>
    <row r="1118" spans="1:15" x14ac:dyDescent="0.25">
      <c r="A1118" s="325">
        <v>1</v>
      </c>
      <c r="B1118" s="325">
        <f>TrialNumberDay2</f>
        <v>0</v>
      </c>
      <c r="C1118" s="325" t="s">
        <v>17</v>
      </c>
      <c r="D1118" s="325">
        <f>Started!C63</f>
        <v>0</v>
      </c>
      <c r="E1118" s="325" t="str">
        <f>IF(Started!B63="W","W","A")</f>
        <v>A</v>
      </c>
      <c r="F1118" s="325" t="s">
        <v>1736</v>
      </c>
      <c r="G1118" s="325" t="str">
        <f>IF(Started!W63="e","Y","")</f>
        <v/>
      </c>
      <c r="H1118" s="325" t="str">
        <f>IFERROR(VLOOKUP($D1118,'SDDA Dogs'!$A:$AE,2,FALSE),"")</f>
        <v/>
      </c>
      <c r="I1118" s="325" t="str">
        <f>IFERROR(VLOOKUP($D1118,'SDDA Dogs'!$A:$AE,3,FALSE),"")</f>
        <v/>
      </c>
      <c r="J1118" s="325" t="str">
        <f>IFERROR(VLOOKUP($D1118,'SDDA Dogs'!$A:$AE,6,FALSE),"")</f>
        <v/>
      </c>
      <c r="K1118" s="325"/>
      <c r="L1118" s="325"/>
      <c r="M1118" s="326" t="str">
        <f>TrialDateDay2</f>
        <v/>
      </c>
      <c r="N1118" s="325" t="str">
        <f t="shared" si="1141"/>
        <v/>
      </c>
      <c r="O1118" s="325">
        <f>JudgeD2ESS</f>
        <v>0</v>
      </c>
    </row>
    <row r="1119" spans="1:15" x14ac:dyDescent="0.25">
      <c r="A1119" s="2">
        <v>2</v>
      </c>
      <c r="B1119" s="2">
        <f t="shared" ref="B1119:J1119" si="1155">B1118</f>
        <v>0</v>
      </c>
      <c r="C1119" s="2" t="str">
        <f t="shared" si="1155"/>
        <v>ESS</v>
      </c>
      <c r="D1119" s="2">
        <f t="shared" si="1155"/>
        <v>0</v>
      </c>
      <c r="E1119" s="2" t="str">
        <f t="shared" si="1155"/>
        <v>A</v>
      </c>
      <c r="F1119" s="2" t="str">
        <f t="shared" si="1155"/>
        <v>Exterior Started</v>
      </c>
      <c r="G1119" s="2" t="str">
        <f t="shared" si="1155"/>
        <v/>
      </c>
      <c r="H1119" s="2" t="str">
        <f t="shared" si="1155"/>
        <v/>
      </c>
      <c r="I1119" s="2" t="str">
        <f t="shared" si="1155"/>
        <v/>
      </c>
      <c r="J1119" s="2" t="str">
        <f t="shared" si="1155"/>
        <v/>
      </c>
      <c r="M1119" s="180" t="str">
        <f>M1118</f>
        <v/>
      </c>
      <c r="N1119" s="2" t="str">
        <f t="shared" si="1141"/>
        <v/>
      </c>
      <c r="O1119" s="2">
        <f>O1118</f>
        <v>0</v>
      </c>
    </row>
    <row r="1120" spans="1:15" x14ac:dyDescent="0.25">
      <c r="A1120" s="325">
        <v>1</v>
      </c>
      <c r="B1120" s="325">
        <f>TrialNumberDay2</f>
        <v>0</v>
      </c>
      <c r="C1120" s="325" t="s">
        <v>17</v>
      </c>
      <c r="D1120" s="325">
        <f>Started!C64</f>
        <v>0</v>
      </c>
      <c r="E1120" s="325" t="str">
        <f>IF(Started!B64="W","W","A")</f>
        <v>A</v>
      </c>
      <c r="F1120" s="325" t="s">
        <v>1736</v>
      </c>
      <c r="G1120" s="325" t="str">
        <f>IF(Started!W64="e","Y","")</f>
        <v/>
      </c>
      <c r="H1120" s="325" t="str">
        <f>IFERROR(VLOOKUP($D1120,'SDDA Dogs'!$A:$AE,2,FALSE),"")</f>
        <v/>
      </c>
      <c r="I1120" s="325" t="str">
        <f>IFERROR(VLOOKUP($D1120,'SDDA Dogs'!$A:$AE,3,FALSE),"")</f>
        <v/>
      </c>
      <c r="J1120" s="325" t="str">
        <f>IFERROR(VLOOKUP($D1120,'SDDA Dogs'!$A:$AE,6,FALSE),"")</f>
        <v/>
      </c>
      <c r="K1120" s="325"/>
      <c r="L1120" s="325"/>
      <c r="M1120" s="326" t="str">
        <f>TrialDateDay2</f>
        <v/>
      </c>
      <c r="N1120" s="325" t="str">
        <f t="shared" si="1141"/>
        <v/>
      </c>
      <c r="O1120" s="325">
        <f>JudgeD2ESS</f>
        <v>0</v>
      </c>
    </row>
    <row r="1121" spans="1:15" x14ac:dyDescent="0.25">
      <c r="A1121" s="2">
        <v>2</v>
      </c>
      <c r="B1121" s="2">
        <f t="shared" ref="B1121:J1121" si="1156">B1120</f>
        <v>0</v>
      </c>
      <c r="C1121" s="2" t="str">
        <f t="shared" si="1156"/>
        <v>ESS</v>
      </c>
      <c r="D1121" s="2">
        <f t="shared" si="1156"/>
        <v>0</v>
      </c>
      <c r="E1121" s="2" t="str">
        <f t="shared" si="1156"/>
        <v>A</v>
      </c>
      <c r="F1121" s="2" t="str">
        <f t="shared" si="1156"/>
        <v>Exterior Started</v>
      </c>
      <c r="G1121" s="2" t="str">
        <f t="shared" si="1156"/>
        <v/>
      </c>
      <c r="H1121" s="2" t="str">
        <f t="shared" si="1156"/>
        <v/>
      </c>
      <c r="I1121" s="2" t="str">
        <f t="shared" si="1156"/>
        <v/>
      </c>
      <c r="J1121" s="2" t="str">
        <f t="shared" si="1156"/>
        <v/>
      </c>
      <c r="M1121" s="180" t="str">
        <f>M1120</f>
        <v/>
      </c>
      <c r="N1121" s="2" t="str">
        <f t="shared" si="1141"/>
        <v/>
      </c>
      <c r="O1121" s="2">
        <f>O1120</f>
        <v>0</v>
      </c>
    </row>
    <row r="1122" spans="1:15" x14ac:dyDescent="0.25">
      <c r="A1122" s="325">
        <v>1</v>
      </c>
      <c r="B1122" s="325">
        <f>TrialNumberDay2</f>
        <v>0</v>
      </c>
      <c r="C1122" s="325" t="s">
        <v>17</v>
      </c>
      <c r="D1122" s="325">
        <f>Started!C65</f>
        <v>0</v>
      </c>
      <c r="E1122" s="325" t="str">
        <f>IF(Started!B65="W","W","A")</f>
        <v>A</v>
      </c>
      <c r="F1122" s="325" t="s">
        <v>1736</v>
      </c>
      <c r="G1122" s="325" t="str">
        <f>IF(Started!W65="e","Y","")</f>
        <v/>
      </c>
      <c r="H1122" s="325" t="str">
        <f>IFERROR(VLOOKUP($D1122,'SDDA Dogs'!$A:$AE,2,FALSE),"")</f>
        <v/>
      </c>
      <c r="I1122" s="325" t="str">
        <f>IFERROR(VLOOKUP($D1122,'SDDA Dogs'!$A:$AE,3,FALSE),"")</f>
        <v/>
      </c>
      <c r="J1122" s="325" t="str">
        <f>IFERROR(VLOOKUP($D1122,'SDDA Dogs'!$A:$AE,6,FALSE),"")</f>
        <v/>
      </c>
      <c r="K1122" s="325"/>
      <c r="L1122" s="325"/>
      <c r="M1122" s="326" t="str">
        <f>TrialDateDay2</f>
        <v/>
      </c>
      <c r="N1122" s="325" t="str">
        <f t="shared" si="1141"/>
        <v/>
      </c>
      <c r="O1122" s="325">
        <f>JudgeD2ESS</f>
        <v>0</v>
      </c>
    </row>
    <row r="1123" spans="1:15" x14ac:dyDescent="0.25">
      <c r="A1123" s="2">
        <v>2</v>
      </c>
      <c r="B1123" s="2">
        <f t="shared" ref="B1123:J1123" si="1157">B1122</f>
        <v>0</v>
      </c>
      <c r="C1123" s="2" t="str">
        <f t="shared" si="1157"/>
        <v>ESS</v>
      </c>
      <c r="D1123" s="2">
        <f t="shared" si="1157"/>
        <v>0</v>
      </c>
      <c r="E1123" s="2" t="str">
        <f t="shared" si="1157"/>
        <v>A</v>
      </c>
      <c r="F1123" s="2" t="str">
        <f t="shared" si="1157"/>
        <v>Exterior Started</v>
      </c>
      <c r="G1123" s="2" t="str">
        <f t="shared" si="1157"/>
        <v/>
      </c>
      <c r="H1123" s="2" t="str">
        <f t="shared" si="1157"/>
        <v/>
      </c>
      <c r="I1123" s="2" t="str">
        <f t="shared" si="1157"/>
        <v/>
      </c>
      <c r="J1123" s="2" t="str">
        <f t="shared" si="1157"/>
        <v/>
      </c>
      <c r="M1123" s="180" t="str">
        <f>M1122</f>
        <v/>
      </c>
      <c r="N1123" s="2" t="str">
        <f t="shared" si="1141"/>
        <v/>
      </c>
      <c r="O1123" s="2">
        <f>O1122</f>
        <v>0</v>
      </c>
    </row>
    <row r="1124" spans="1:15" x14ac:dyDescent="0.25">
      <c r="A1124" s="325">
        <v>1</v>
      </c>
      <c r="B1124" s="325">
        <f>TrialNumberDay2</f>
        <v>0</v>
      </c>
      <c r="C1124" s="325" t="s">
        <v>17</v>
      </c>
      <c r="D1124" s="325">
        <f>Started!C66</f>
        <v>0</v>
      </c>
      <c r="E1124" s="325" t="str">
        <f>IF(Started!B66="W","W","A")</f>
        <v>A</v>
      </c>
      <c r="F1124" s="325" t="s">
        <v>1736</v>
      </c>
      <c r="G1124" s="325" t="str">
        <f>IF(Started!W66="e","Y","")</f>
        <v/>
      </c>
      <c r="H1124" s="325" t="str">
        <f>IFERROR(VLOOKUP($D1124,'SDDA Dogs'!$A:$AE,2,FALSE),"")</f>
        <v/>
      </c>
      <c r="I1124" s="325" t="str">
        <f>IFERROR(VLOOKUP($D1124,'SDDA Dogs'!$A:$AE,3,FALSE),"")</f>
        <v/>
      </c>
      <c r="J1124" s="325" t="str">
        <f>IFERROR(VLOOKUP($D1124,'SDDA Dogs'!$A:$AE,6,FALSE),"")</f>
        <v/>
      </c>
      <c r="K1124" s="325"/>
      <c r="L1124" s="325"/>
      <c r="M1124" s="326" t="str">
        <f>TrialDateDay2</f>
        <v/>
      </c>
      <c r="N1124" s="325" t="str">
        <f t="shared" si="1141"/>
        <v/>
      </c>
      <c r="O1124" s="325">
        <f>JudgeD2ESS</f>
        <v>0</v>
      </c>
    </row>
    <row r="1125" spans="1:15" x14ac:dyDescent="0.25">
      <c r="A1125" s="2">
        <v>2</v>
      </c>
      <c r="B1125" s="2">
        <f t="shared" ref="B1125:J1125" si="1158">B1124</f>
        <v>0</v>
      </c>
      <c r="C1125" s="2" t="str">
        <f t="shared" si="1158"/>
        <v>ESS</v>
      </c>
      <c r="D1125" s="2">
        <f t="shared" si="1158"/>
        <v>0</v>
      </c>
      <c r="E1125" s="2" t="str">
        <f t="shared" si="1158"/>
        <v>A</v>
      </c>
      <c r="F1125" s="2" t="str">
        <f t="shared" si="1158"/>
        <v>Exterior Started</v>
      </c>
      <c r="G1125" s="2" t="str">
        <f t="shared" si="1158"/>
        <v/>
      </c>
      <c r="H1125" s="2" t="str">
        <f t="shared" si="1158"/>
        <v/>
      </c>
      <c r="I1125" s="2" t="str">
        <f t="shared" si="1158"/>
        <v/>
      </c>
      <c r="J1125" s="2" t="str">
        <f t="shared" si="1158"/>
        <v/>
      </c>
      <c r="M1125" s="180" t="str">
        <f>M1124</f>
        <v/>
      </c>
      <c r="N1125" s="2" t="str">
        <f t="shared" si="1141"/>
        <v/>
      </c>
      <c r="O1125" s="2">
        <f>O1124</f>
        <v>0</v>
      </c>
    </row>
    <row r="1126" spans="1:15" x14ac:dyDescent="0.25">
      <c r="A1126" s="325">
        <v>1</v>
      </c>
      <c r="B1126" s="325">
        <f>TrialNumberDay2</f>
        <v>0</v>
      </c>
      <c r="C1126" s="325" t="s">
        <v>17</v>
      </c>
      <c r="D1126" s="325">
        <f>Started!C67</f>
        <v>0</v>
      </c>
      <c r="E1126" s="325" t="str">
        <f>IF(Started!B67="W","W","A")</f>
        <v>A</v>
      </c>
      <c r="F1126" s="325" t="s">
        <v>1736</v>
      </c>
      <c r="G1126" s="325" t="str">
        <f>IF(Started!W67="e","Y","")</f>
        <v/>
      </c>
      <c r="H1126" s="325" t="str">
        <f>IFERROR(VLOOKUP($D1126,'SDDA Dogs'!$A:$AE,2,FALSE),"")</f>
        <v/>
      </c>
      <c r="I1126" s="325" t="str">
        <f>IFERROR(VLOOKUP($D1126,'SDDA Dogs'!$A:$AE,3,FALSE),"")</f>
        <v/>
      </c>
      <c r="J1126" s="325" t="str">
        <f>IFERROR(VLOOKUP($D1126,'SDDA Dogs'!$A:$AE,6,FALSE),"")</f>
        <v/>
      </c>
      <c r="K1126" s="325"/>
      <c r="L1126" s="325"/>
      <c r="M1126" s="326" t="str">
        <f>TrialDateDay2</f>
        <v/>
      </c>
      <c r="N1126" s="325" t="str">
        <f t="shared" si="1141"/>
        <v/>
      </c>
      <c r="O1126" s="325">
        <f>JudgeD2ESS</f>
        <v>0</v>
      </c>
    </row>
    <row r="1127" spans="1:15" x14ac:dyDescent="0.25">
      <c r="A1127" s="2">
        <v>2</v>
      </c>
      <c r="B1127" s="2">
        <f t="shared" ref="B1127:J1127" si="1159">B1126</f>
        <v>0</v>
      </c>
      <c r="C1127" s="2" t="str">
        <f t="shared" si="1159"/>
        <v>ESS</v>
      </c>
      <c r="D1127" s="2">
        <f t="shared" si="1159"/>
        <v>0</v>
      </c>
      <c r="E1127" s="2" t="str">
        <f t="shared" si="1159"/>
        <v>A</v>
      </c>
      <c r="F1127" s="2" t="str">
        <f t="shared" si="1159"/>
        <v>Exterior Started</v>
      </c>
      <c r="G1127" s="2" t="str">
        <f t="shared" si="1159"/>
        <v/>
      </c>
      <c r="H1127" s="2" t="str">
        <f t="shared" si="1159"/>
        <v/>
      </c>
      <c r="I1127" s="2" t="str">
        <f t="shared" si="1159"/>
        <v/>
      </c>
      <c r="J1127" s="2" t="str">
        <f t="shared" si="1159"/>
        <v/>
      </c>
      <c r="M1127" s="180" t="str">
        <f>M1126</f>
        <v/>
      </c>
      <c r="N1127" s="2" t="str">
        <f t="shared" si="1141"/>
        <v/>
      </c>
      <c r="O1127" s="2">
        <f>O1126</f>
        <v>0</v>
      </c>
    </row>
    <row r="1128" spans="1:15" x14ac:dyDescent="0.25">
      <c r="A1128" s="325">
        <v>1</v>
      </c>
      <c r="B1128" s="325">
        <f>TrialNumberDay2</f>
        <v>0</v>
      </c>
      <c r="C1128" s="325" t="s">
        <v>17</v>
      </c>
      <c r="D1128" s="325">
        <f>Started!C68</f>
        <v>0</v>
      </c>
      <c r="E1128" s="325" t="str">
        <f>IF(Started!B68="W","W","A")</f>
        <v>A</v>
      </c>
      <c r="F1128" s="325" t="s">
        <v>1736</v>
      </c>
      <c r="G1128" s="325" t="str">
        <f>IF(Started!W68="e","Y","")</f>
        <v/>
      </c>
      <c r="H1128" s="325" t="str">
        <f>IFERROR(VLOOKUP($D1128,'SDDA Dogs'!$A:$AE,2,FALSE),"")</f>
        <v/>
      </c>
      <c r="I1128" s="325" t="str">
        <f>IFERROR(VLOOKUP($D1128,'SDDA Dogs'!$A:$AE,3,FALSE),"")</f>
        <v/>
      </c>
      <c r="J1128" s="325" t="str">
        <f>IFERROR(VLOOKUP($D1128,'SDDA Dogs'!$A:$AE,6,FALSE),"")</f>
        <v/>
      </c>
      <c r="K1128" s="325"/>
      <c r="L1128" s="325"/>
      <c r="M1128" s="326" t="str">
        <f>TrialDateDay2</f>
        <v/>
      </c>
      <c r="N1128" s="325" t="str">
        <f t="shared" si="1141"/>
        <v/>
      </c>
      <c r="O1128" s="325">
        <f>JudgeD2ESS</f>
        <v>0</v>
      </c>
    </row>
    <row r="1129" spans="1:15" x14ac:dyDescent="0.25">
      <c r="A1129" s="2">
        <v>2</v>
      </c>
      <c r="B1129" s="2">
        <f t="shared" ref="B1129:J1129" si="1160">B1128</f>
        <v>0</v>
      </c>
      <c r="C1129" s="2" t="str">
        <f t="shared" si="1160"/>
        <v>ESS</v>
      </c>
      <c r="D1129" s="2">
        <f t="shared" si="1160"/>
        <v>0</v>
      </c>
      <c r="E1129" s="2" t="str">
        <f t="shared" si="1160"/>
        <v>A</v>
      </c>
      <c r="F1129" s="2" t="str">
        <f t="shared" si="1160"/>
        <v>Exterior Started</v>
      </c>
      <c r="G1129" s="2" t="str">
        <f t="shared" si="1160"/>
        <v/>
      </c>
      <c r="H1129" s="2" t="str">
        <f t="shared" si="1160"/>
        <v/>
      </c>
      <c r="I1129" s="2" t="str">
        <f t="shared" si="1160"/>
        <v/>
      </c>
      <c r="J1129" s="2" t="str">
        <f t="shared" si="1160"/>
        <v/>
      </c>
      <c r="M1129" s="180" t="str">
        <f>M1128</f>
        <v/>
      </c>
      <c r="N1129" s="2" t="str">
        <f t="shared" si="1141"/>
        <v/>
      </c>
      <c r="O1129" s="2">
        <f>O1128</f>
        <v>0</v>
      </c>
    </row>
    <row r="1130" spans="1:15" x14ac:dyDescent="0.25">
      <c r="A1130" s="325">
        <v>1</v>
      </c>
      <c r="B1130" s="325">
        <f>TrialNumberDay2</f>
        <v>0</v>
      </c>
      <c r="C1130" s="325" t="s">
        <v>17</v>
      </c>
      <c r="D1130" s="325">
        <f>Started!C69</f>
        <v>0</v>
      </c>
      <c r="E1130" s="325" t="str">
        <f>IF(Started!B69="W","W","A")</f>
        <v>A</v>
      </c>
      <c r="F1130" s="325" t="s">
        <v>1736</v>
      </c>
      <c r="G1130" s="325" t="str">
        <f>IF(Started!W69="e","Y","")</f>
        <v/>
      </c>
      <c r="H1130" s="325" t="str">
        <f>IFERROR(VLOOKUP($D1130,'SDDA Dogs'!$A:$AE,2,FALSE),"")</f>
        <v/>
      </c>
      <c r="I1130" s="325" t="str">
        <f>IFERROR(VLOOKUP($D1130,'SDDA Dogs'!$A:$AE,3,FALSE),"")</f>
        <v/>
      </c>
      <c r="J1130" s="325" t="str">
        <f>IFERROR(VLOOKUP($D1130,'SDDA Dogs'!$A:$AE,6,FALSE),"")</f>
        <v/>
      </c>
      <c r="K1130" s="325"/>
      <c r="L1130" s="325"/>
      <c r="M1130" s="326" t="str">
        <f>TrialDateDay2</f>
        <v/>
      </c>
      <c r="N1130" s="325" t="str">
        <f t="shared" si="1141"/>
        <v/>
      </c>
      <c r="O1130" s="325">
        <f>JudgeD2ESS</f>
        <v>0</v>
      </c>
    </row>
    <row r="1131" spans="1:15" x14ac:dyDescent="0.25">
      <c r="A1131" s="2">
        <v>2</v>
      </c>
      <c r="B1131" s="2">
        <f t="shared" ref="B1131:J1131" si="1161">B1130</f>
        <v>0</v>
      </c>
      <c r="C1131" s="2" t="str">
        <f t="shared" si="1161"/>
        <v>ESS</v>
      </c>
      <c r="D1131" s="2">
        <f t="shared" si="1161"/>
        <v>0</v>
      </c>
      <c r="E1131" s="2" t="str">
        <f t="shared" si="1161"/>
        <v>A</v>
      </c>
      <c r="F1131" s="2" t="str">
        <f t="shared" si="1161"/>
        <v>Exterior Started</v>
      </c>
      <c r="G1131" s="2" t="str">
        <f t="shared" si="1161"/>
        <v/>
      </c>
      <c r="H1131" s="2" t="str">
        <f t="shared" si="1161"/>
        <v/>
      </c>
      <c r="I1131" s="2" t="str">
        <f t="shared" si="1161"/>
        <v/>
      </c>
      <c r="J1131" s="2" t="str">
        <f t="shared" si="1161"/>
        <v/>
      </c>
      <c r="M1131" s="180" t="str">
        <f>M1130</f>
        <v/>
      </c>
      <c r="N1131" s="2" t="str">
        <f t="shared" si="1141"/>
        <v/>
      </c>
      <c r="O1131" s="2">
        <f>O1130</f>
        <v>0</v>
      </c>
    </row>
    <row r="1132" spans="1:15" x14ac:dyDescent="0.25">
      <c r="A1132" s="325">
        <v>1</v>
      </c>
      <c r="B1132" s="325">
        <f>TrialNumberDay2</f>
        <v>0</v>
      </c>
      <c r="C1132" s="325" t="s">
        <v>17</v>
      </c>
      <c r="D1132" s="325">
        <f>Started!C70</f>
        <v>0</v>
      </c>
      <c r="E1132" s="325" t="str">
        <f>IF(Started!B70="W","W","A")</f>
        <v>A</v>
      </c>
      <c r="F1132" s="325" t="s">
        <v>1736</v>
      </c>
      <c r="G1132" s="325" t="str">
        <f>IF(Started!W70="e","Y","")</f>
        <v/>
      </c>
      <c r="H1132" s="325" t="str">
        <f>IFERROR(VLOOKUP($D1132,'SDDA Dogs'!$A:$AE,2,FALSE),"")</f>
        <v/>
      </c>
      <c r="I1132" s="325" t="str">
        <f>IFERROR(VLOOKUP($D1132,'SDDA Dogs'!$A:$AE,3,FALSE),"")</f>
        <v/>
      </c>
      <c r="J1132" s="325" t="str">
        <f>IFERROR(VLOOKUP($D1132,'SDDA Dogs'!$A:$AE,6,FALSE),"")</f>
        <v/>
      </c>
      <c r="K1132" s="325"/>
      <c r="L1132" s="325"/>
      <c r="M1132" s="326" t="str">
        <f>TrialDateDay2</f>
        <v/>
      </c>
      <c r="N1132" s="325" t="str">
        <f t="shared" si="1141"/>
        <v/>
      </c>
      <c r="O1132" s="325">
        <f>JudgeD2ESS</f>
        <v>0</v>
      </c>
    </row>
    <row r="1133" spans="1:15" x14ac:dyDescent="0.25">
      <c r="A1133" s="2">
        <v>2</v>
      </c>
      <c r="B1133" s="2">
        <f t="shared" ref="B1133:J1133" si="1162">B1132</f>
        <v>0</v>
      </c>
      <c r="C1133" s="2" t="str">
        <f t="shared" si="1162"/>
        <v>ESS</v>
      </c>
      <c r="D1133" s="2">
        <f t="shared" si="1162"/>
        <v>0</v>
      </c>
      <c r="E1133" s="2" t="str">
        <f t="shared" si="1162"/>
        <v>A</v>
      </c>
      <c r="F1133" s="2" t="str">
        <f t="shared" si="1162"/>
        <v>Exterior Started</v>
      </c>
      <c r="G1133" s="2" t="str">
        <f t="shared" si="1162"/>
        <v/>
      </c>
      <c r="H1133" s="2" t="str">
        <f t="shared" si="1162"/>
        <v/>
      </c>
      <c r="I1133" s="2" t="str">
        <f t="shared" si="1162"/>
        <v/>
      </c>
      <c r="J1133" s="2" t="str">
        <f t="shared" si="1162"/>
        <v/>
      </c>
      <c r="M1133" s="180" t="str">
        <f>M1132</f>
        <v/>
      </c>
      <c r="N1133" s="2" t="str">
        <f t="shared" si="1141"/>
        <v/>
      </c>
      <c r="O1133" s="2">
        <f>O1132</f>
        <v>0</v>
      </c>
    </row>
    <row r="1134" spans="1:15" x14ac:dyDescent="0.25">
      <c r="A1134" s="325">
        <v>1</v>
      </c>
      <c r="B1134" s="325">
        <f>TrialNumberDay2</f>
        <v>0</v>
      </c>
      <c r="C1134" s="325" t="s">
        <v>17</v>
      </c>
      <c r="D1134" s="325">
        <f>Started!C71</f>
        <v>0</v>
      </c>
      <c r="E1134" s="325" t="str">
        <f>IF(Started!B71="W","W","A")</f>
        <v>A</v>
      </c>
      <c r="F1134" s="325" t="s">
        <v>1736</v>
      </c>
      <c r="G1134" s="325" t="str">
        <f>IF(Started!W71="e","Y","")</f>
        <v/>
      </c>
      <c r="H1134" s="325" t="str">
        <f>IFERROR(VLOOKUP($D1134,'SDDA Dogs'!$A:$AE,2,FALSE),"")</f>
        <v/>
      </c>
      <c r="I1134" s="325" t="str">
        <f>IFERROR(VLOOKUP($D1134,'SDDA Dogs'!$A:$AE,3,FALSE),"")</f>
        <v/>
      </c>
      <c r="J1134" s="325" t="str">
        <f>IFERROR(VLOOKUP($D1134,'SDDA Dogs'!$A:$AE,6,FALSE),"")</f>
        <v/>
      </c>
      <c r="K1134" s="325"/>
      <c r="L1134" s="325"/>
      <c r="M1134" s="326" t="str">
        <f>TrialDateDay2</f>
        <v/>
      </c>
      <c r="N1134" s="325" t="str">
        <f t="shared" si="1141"/>
        <v/>
      </c>
      <c r="O1134" s="325">
        <f>JudgeD2ESS</f>
        <v>0</v>
      </c>
    </row>
    <row r="1135" spans="1:15" x14ac:dyDescent="0.25">
      <c r="A1135" s="2">
        <v>2</v>
      </c>
      <c r="B1135" s="2">
        <f t="shared" ref="B1135:J1135" si="1163">B1134</f>
        <v>0</v>
      </c>
      <c r="C1135" s="2" t="str">
        <f t="shared" si="1163"/>
        <v>ESS</v>
      </c>
      <c r="D1135" s="2">
        <f t="shared" si="1163"/>
        <v>0</v>
      </c>
      <c r="E1135" s="2" t="str">
        <f t="shared" si="1163"/>
        <v>A</v>
      </c>
      <c r="F1135" s="2" t="str">
        <f t="shared" si="1163"/>
        <v>Exterior Started</v>
      </c>
      <c r="G1135" s="2" t="str">
        <f t="shared" si="1163"/>
        <v/>
      </c>
      <c r="H1135" s="2" t="str">
        <f t="shared" si="1163"/>
        <v/>
      </c>
      <c r="I1135" s="2" t="str">
        <f t="shared" si="1163"/>
        <v/>
      </c>
      <c r="J1135" s="2" t="str">
        <f t="shared" si="1163"/>
        <v/>
      </c>
      <c r="M1135" s="180" t="str">
        <f>M1134</f>
        <v/>
      </c>
      <c r="N1135" s="2" t="str">
        <f t="shared" si="1141"/>
        <v/>
      </c>
      <c r="O1135" s="2">
        <f>O1134</f>
        <v>0</v>
      </c>
    </row>
    <row r="1136" spans="1:15" x14ac:dyDescent="0.25">
      <c r="A1136" s="325">
        <v>1</v>
      </c>
      <c r="B1136" s="325">
        <f>TrialNumberDay2</f>
        <v>0</v>
      </c>
      <c r="C1136" s="325" t="s">
        <v>17</v>
      </c>
      <c r="D1136" s="325">
        <f>Started!C72</f>
        <v>0</v>
      </c>
      <c r="E1136" s="325" t="str">
        <f>IF(Started!B72="W","W","A")</f>
        <v>A</v>
      </c>
      <c r="F1136" s="325" t="s">
        <v>1736</v>
      </c>
      <c r="G1136" s="325" t="str">
        <f>IF(Started!W72="e","Y","")</f>
        <v/>
      </c>
      <c r="H1136" s="325" t="str">
        <f>IFERROR(VLOOKUP($D1136,'SDDA Dogs'!$A:$AE,2,FALSE),"")</f>
        <v/>
      </c>
      <c r="I1136" s="325" t="str">
        <f>IFERROR(VLOOKUP($D1136,'SDDA Dogs'!$A:$AE,3,FALSE),"")</f>
        <v/>
      </c>
      <c r="J1136" s="325" t="str">
        <f>IFERROR(VLOOKUP($D1136,'SDDA Dogs'!$A:$AE,6,FALSE),"")</f>
        <v/>
      </c>
      <c r="K1136" s="325"/>
      <c r="L1136" s="325"/>
      <c r="M1136" s="326" t="str">
        <f>TrialDateDay2</f>
        <v/>
      </c>
      <c r="N1136" s="325" t="str">
        <f t="shared" si="1141"/>
        <v/>
      </c>
      <c r="O1136" s="325">
        <f>JudgeD2ESS</f>
        <v>0</v>
      </c>
    </row>
    <row r="1137" spans="1:15" x14ac:dyDescent="0.25">
      <c r="A1137" s="2">
        <v>2</v>
      </c>
      <c r="B1137" s="2">
        <f t="shared" ref="B1137:J1137" si="1164">B1136</f>
        <v>0</v>
      </c>
      <c r="C1137" s="2" t="str">
        <f t="shared" si="1164"/>
        <v>ESS</v>
      </c>
      <c r="D1137" s="2">
        <f t="shared" si="1164"/>
        <v>0</v>
      </c>
      <c r="E1137" s="2" t="str">
        <f t="shared" si="1164"/>
        <v>A</v>
      </c>
      <c r="F1137" s="2" t="str">
        <f t="shared" si="1164"/>
        <v>Exterior Started</v>
      </c>
      <c r="G1137" s="2" t="str">
        <f t="shared" si="1164"/>
        <v/>
      </c>
      <c r="H1137" s="2" t="str">
        <f t="shared" si="1164"/>
        <v/>
      </c>
      <c r="I1137" s="2" t="str">
        <f t="shared" si="1164"/>
        <v/>
      </c>
      <c r="J1137" s="2" t="str">
        <f t="shared" si="1164"/>
        <v/>
      </c>
      <c r="M1137" s="180" t="str">
        <f>M1136</f>
        <v/>
      </c>
      <c r="N1137" s="2" t="str">
        <f t="shared" si="1141"/>
        <v/>
      </c>
      <c r="O1137" s="2">
        <f>O1136</f>
        <v>0</v>
      </c>
    </row>
    <row r="1138" spans="1:15" x14ac:dyDescent="0.25">
      <c r="A1138" s="325">
        <v>1</v>
      </c>
      <c r="B1138" s="325">
        <f>TrialNumberDay2</f>
        <v>0</v>
      </c>
      <c r="C1138" s="325" t="s">
        <v>17</v>
      </c>
      <c r="D1138" s="325">
        <f>Started!C73</f>
        <v>0</v>
      </c>
      <c r="E1138" s="325" t="str">
        <f>IF(Started!B73="W","W","A")</f>
        <v>A</v>
      </c>
      <c r="F1138" s="325" t="s">
        <v>1736</v>
      </c>
      <c r="G1138" s="325" t="str">
        <f>IF(Started!W73="e","Y","")</f>
        <v/>
      </c>
      <c r="H1138" s="325" t="str">
        <f>IFERROR(VLOOKUP($D1138,'SDDA Dogs'!$A:$AE,2,FALSE),"")</f>
        <v/>
      </c>
      <c r="I1138" s="325" t="str">
        <f>IFERROR(VLOOKUP($D1138,'SDDA Dogs'!$A:$AE,3,FALSE),"")</f>
        <v/>
      </c>
      <c r="J1138" s="325" t="str">
        <f>IFERROR(VLOOKUP($D1138,'SDDA Dogs'!$A:$AE,6,FALSE),"")</f>
        <v/>
      </c>
      <c r="K1138" s="325"/>
      <c r="L1138" s="325"/>
      <c r="M1138" s="326" t="str">
        <f>TrialDateDay2</f>
        <v/>
      </c>
      <c r="N1138" s="325" t="str">
        <f t="shared" si="1141"/>
        <v/>
      </c>
      <c r="O1138" s="325">
        <f>JudgeD2ESS</f>
        <v>0</v>
      </c>
    </row>
    <row r="1139" spans="1:15" x14ac:dyDescent="0.25">
      <c r="A1139" s="2">
        <v>2</v>
      </c>
      <c r="B1139" s="2">
        <f t="shared" ref="B1139:J1139" si="1165">B1138</f>
        <v>0</v>
      </c>
      <c r="C1139" s="2" t="str">
        <f t="shared" si="1165"/>
        <v>ESS</v>
      </c>
      <c r="D1139" s="2">
        <f t="shared" si="1165"/>
        <v>0</v>
      </c>
      <c r="E1139" s="2" t="str">
        <f t="shared" si="1165"/>
        <v>A</v>
      </c>
      <c r="F1139" s="2" t="str">
        <f t="shared" si="1165"/>
        <v>Exterior Started</v>
      </c>
      <c r="G1139" s="2" t="str">
        <f t="shared" si="1165"/>
        <v/>
      </c>
      <c r="H1139" s="2" t="str">
        <f t="shared" si="1165"/>
        <v/>
      </c>
      <c r="I1139" s="2" t="str">
        <f t="shared" si="1165"/>
        <v/>
      </c>
      <c r="J1139" s="2" t="str">
        <f t="shared" si="1165"/>
        <v/>
      </c>
      <c r="M1139" s="180" t="str">
        <f>M1138</f>
        <v/>
      </c>
      <c r="N1139" s="2" t="str">
        <f t="shared" si="1141"/>
        <v/>
      </c>
      <c r="O1139" s="2">
        <f>O1138</f>
        <v>0</v>
      </c>
    </row>
    <row r="1140" spans="1:15" x14ac:dyDescent="0.25">
      <c r="A1140" s="325">
        <v>1</v>
      </c>
      <c r="B1140" s="325">
        <f>TrialNumberDay2</f>
        <v>0</v>
      </c>
      <c r="C1140" s="325" t="s">
        <v>17</v>
      </c>
      <c r="D1140" s="325">
        <f>Started!C74</f>
        <v>0</v>
      </c>
      <c r="E1140" s="325" t="str">
        <f>IF(Started!B74="W","W","A")</f>
        <v>A</v>
      </c>
      <c r="F1140" s="325" t="s">
        <v>1736</v>
      </c>
      <c r="G1140" s="325" t="str">
        <f>IF(Started!W74="e","Y","")</f>
        <v/>
      </c>
      <c r="H1140" s="325" t="str">
        <f>IFERROR(VLOOKUP($D1140,'SDDA Dogs'!$A:$AE,2,FALSE),"")</f>
        <v/>
      </c>
      <c r="I1140" s="325" t="str">
        <f>IFERROR(VLOOKUP($D1140,'SDDA Dogs'!$A:$AE,3,FALSE),"")</f>
        <v/>
      </c>
      <c r="J1140" s="325" t="str">
        <f>IFERROR(VLOOKUP($D1140,'SDDA Dogs'!$A:$AE,6,FALSE),"")</f>
        <v/>
      </c>
      <c r="K1140" s="325"/>
      <c r="L1140" s="325"/>
      <c r="M1140" s="326" t="str">
        <f>TrialDateDay2</f>
        <v/>
      </c>
      <c r="N1140" s="325" t="str">
        <f t="shared" si="1141"/>
        <v/>
      </c>
      <c r="O1140" s="325">
        <f>JudgeD2ESS</f>
        <v>0</v>
      </c>
    </row>
    <row r="1141" spans="1:15" x14ac:dyDescent="0.25">
      <c r="A1141" s="2">
        <v>2</v>
      </c>
      <c r="B1141" s="2">
        <f t="shared" ref="B1141:J1141" si="1166">B1140</f>
        <v>0</v>
      </c>
      <c r="C1141" s="2" t="str">
        <f t="shared" si="1166"/>
        <v>ESS</v>
      </c>
      <c r="D1141" s="2">
        <f t="shared" si="1166"/>
        <v>0</v>
      </c>
      <c r="E1141" s="2" t="str">
        <f t="shared" si="1166"/>
        <v>A</v>
      </c>
      <c r="F1141" s="2" t="str">
        <f t="shared" si="1166"/>
        <v>Exterior Started</v>
      </c>
      <c r="G1141" s="2" t="str">
        <f t="shared" si="1166"/>
        <v/>
      </c>
      <c r="H1141" s="2" t="str">
        <f t="shared" si="1166"/>
        <v/>
      </c>
      <c r="I1141" s="2" t="str">
        <f t="shared" si="1166"/>
        <v/>
      </c>
      <c r="J1141" s="2" t="str">
        <f t="shared" si="1166"/>
        <v/>
      </c>
      <c r="M1141" s="180" t="str">
        <f>M1140</f>
        <v/>
      </c>
      <c r="N1141" s="2" t="str">
        <f t="shared" si="1141"/>
        <v/>
      </c>
      <c r="O1141" s="2">
        <f>O1140</f>
        <v>0</v>
      </c>
    </row>
    <row r="1142" spans="1:15" s="149" customFormat="1" x14ac:dyDescent="0.25">
      <c r="A1142" s="327">
        <v>1</v>
      </c>
      <c r="B1142" s="327">
        <f>TrialNumberDay2</f>
        <v>0</v>
      </c>
      <c r="C1142" s="327" t="s">
        <v>18</v>
      </c>
      <c r="D1142" s="327">
        <f>Advanced!C65</f>
        <v>0</v>
      </c>
      <c r="E1142" s="327" t="str">
        <f>IF(Advanced!B65="W","W","A")</f>
        <v>A</v>
      </c>
      <c r="F1142" s="327" t="s">
        <v>1737</v>
      </c>
      <c r="G1142" s="327" t="str">
        <f>IF(Advanced!G65="e","Y","")</f>
        <v/>
      </c>
      <c r="H1142" s="327" t="str">
        <f>IFERROR(VLOOKUP($D1142,'SDDA Dogs'!$A:$AE,2,FALSE),"")</f>
        <v/>
      </c>
      <c r="I1142" s="327" t="str">
        <f>IFERROR(VLOOKUP($D1142,'SDDA Dogs'!$A:$AE,3,FALSE),"")</f>
        <v/>
      </c>
      <c r="J1142" s="327" t="str">
        <f>IFERROR(VLOOKUP($D1142,'SDDA Dogs'!$A:$AE,6,FALSE),"")</f>
        <v/>
      </c>
      <c r="K1142" s="327" t="str">
        <f>IF(Advanced!AS65="","",Advanced!AS65)</f>
        <v/>
      </c>
      <c r="L1142" s="327" t="str">
        <f>IF(Advanced!AT65="","",Advanced!AT65)</f>
        <v/>
      </c>
      <c r="M1142" s="328" t="str">
        <f>TrialDateDay2</f>
        <v/>
      </c>
      <c r="N1142" s="325" t="str">
        <f t="shared" si="1141"/>
        <v/>
      </c>
      <c r="O1142" s="327">
        <f>JudgeD2CSA</f>
        <v>0</v>
      </c>
    </row>
    <row r="1143" spans="1:15" x14ac:dyDescent="0.25">
      <c r="A1143" s="2">
        <v>2</v>
      </c>
      <c r="B1143" s="2">
        <f t="shared" ref="B1143:O1179" si="1167">B1142</f>
        <v>0</v>
      </c>
      <c r="C1143" s="2" t="str">
        <f t="shared" si="1167"/>
        <v>CSA</v>
      </c>
      <c r="D1143" s="2">
        <f t="shared" si="1167"/>
        <v>0</v>
      </c>
      <c r="E1143" s="2" t="str">
        <f t="shared" si="1167"/>
        <v>A</v>
      </c>
      <c r="F1143" s="2" t="str">
        <f t="shared" si="1167"/>
        <v>Container Advanced</v>
      </c>
      <c r="G1143" s="2" t="str">
        <f t="shared" si="1167"/>
        <v/>
      </c>
      <c r="H1143" s="2" t="str">
        <f t="shared" si="1167"/>
        <v/>
      </c>
      <c r="I1143" s="2" t="str">
        <f t="shared" si="1167"/>
        <v/>
      </c>
      <c r="J1143" s="2" t="str">
        <f t="shared" si="1167"/>
        <v/>
      </c>
      <c r="K1143" s="2" t="str">
        <f t="shared" si="1167"/>
        <v/>
      </c>
      <c r="L1143" s="2" t="str">
        <f t="shared" si="1167"/>
        <v/>
      </c>
      <c r="M1143" s="180" t="str">
        <f t="shared" si="1167"/>
        <v/>
      </c>
      <c r="N1143" s="2" t="str">
        <f t="shared" si="1141"/>
        <v/>
      </c>
      <c r="O1143" s="2">
        <f t="shared" si="1167"/>
        <v>0</v>
      </c>
    </row>
    <row r="1144" spans="1:15" x14ac:dyDescent="0.25">
      <c r="A1144" s="325">
        <v>1</v>
      </c>
      <c r="B1144" s="325">
        <f>TrialNumberDay2</f>
        <v>0</v>
      </c>
      <c r="C1144" s="325" t="s">
        <v>18</v>
      </c>
      <c r="D1144" s="325">
        <f>Advanced!C66</f>
        <v>0</v>
      </c>
      <c r="E1144" s="325" t="str">
        <f>IF(Advanced!B66="W","W","A")</f>
        <v>A</v>
      </c>
      <c r="F1144" s="325" t="s">
        <v>1737</v>
      </c>
      <c r="G1144" s="325" t="str">
        <f>IF(Advanced!G66="e","Y","")</f>
        <v/>
      </c>
      <c r="H1144" s="325" t="str">
        <f>IFERROR(VLOOKUP($D1144,'SDDA Dogs'!$A:$AE,2,FALSE),"")</f>
        <v/>
      </c>
      <c r="I1144" s="325" t="str">
        <f>IFERROR(VLOOKUP($D1144,'SDDA Dogs'!$A:$AE,3,FALSE),"")</f>
        <v/>
      </c>
      <c r="J1144" s="325" t="str">
        <f>IFERROR(VLOOKUP($D1144,'SDDA Dogs'!$A:$AE,6,FALSE),"")</f>
        <v/>
      </c>
      <c r="K1144" s="325" t="str">
        <f>IF(Advanced!AS66="","",Advanced!AS66)</f>
        <v/>
      </c>
      <c r="L1144" s="325" t="str">
        <f>IF(Advanced!AT66="","",Advanced!AT66)</f>
        <v/>
      </c>
      <c r="M1144" s="326" t="str">
        <f>TrialDateDay2</f>
        <v/>
      </c>
      <c r="N1144" s="325" t="str">
        <f t="shared" si="1141"/>
        <v/>
      </c>
      <c r="O1144" s="325">
        <f>JudgeD2CSA</f>
        <v>0</v>
      </c>
    </row>
    <row r="1145" spans="1:15" x14ac:dyDescent="0.25">
      <c r="A1145" s="2">
        <v>2</v>
      </c>
      <c r="B1145" s="2">
        <f t="shared" si="1167"/>
        <v>0</v>
      </c>
      <c r="C1145" s="2" t="str">
        <f t="shared" si="1167"/>
        <v>CSA</v>
      </c>
      <c r="D1145" s="2">
        <f t="shared" si="1167"/>
        <v>0</v>
      </c>
      <c r="E1145" s="2" t="str">
        <f t="shared" si="1167"/>
        <v>A</v>
      </c>
      <c r="F1145" s="2" t="str">
        <f t="shared" si="1167"/>
        <v>Container Advanced</v>
      </c>
      <c r="G1145" s="2" t="str">
        <f t="shared" si="1167"/>
        <v/>
      </c>
      <c r="H1145" s="2" t="str">
        <f t="shared" si="1167"/>
        <v/>
      </c>
      <c r="I1145" s="2" t="str">
        <f t="shared" si="1167"/>
        <v/>
      </c>
      <c r="J1145" s="2" t="str">
        <f t="shared" si="1167"/>
        <v/>
      </c>
      <c r="K1145" s="2" t="str">
        <f t="shared" si="1167"/>
        <v/>
      </c>
      <c r="L1145" s="2" t="str">
        <f t="shared" si="1167"/>
        <v/>
      </c>
      <c r="M1145" s="180" t="str">
        <f t="shared" si="1167"/>
        <v/>
      </c>
      <c r="N1145" s="2" t="str">
        <f t="shared" si="1141"/>
        <v/>
      </c>
      <c r="O1145" s="2">
        <f t="shared" si="1167"/>
        <v>0</v>
      </c>
    </row>
    <row r="1146" spans="1:15" x14ac:dyDescent="0.25">
      <c r="A1146" s="325">
        <v>1</v>
      </c>
      <c r="B1146" s="325">
        <f>TrialNumberDay2</f>
        <v>0</v>
      </c>
      <c r="C1146" s="325" t="s">
        <v>18</v>
      </c>
      <c r="D1146" s="325">
        <f>Advanced!C67</f>
        <v>0</v>
      </c>
      <c r="E1146" s="325" t="str">
        <f>IF(Advanced!B67="W","W","A")</f>
        <v>A</v>
      </c>
      <c r="F1146" s="325" t="s">
        <v>1737</v>
      </c>
      <c r="G1146" s="325" t="str">
        <f>IF(Advanced!G67="e","Y","")</f>
        <v/>
      </c>
      <c r="H1146" s="325" t="str">
        <f>IFERROR(VLOOKUP($D1146,'SDDA Dogs'!$A:$AE,2,FALSE),"")</f>
        <v/>
      </c>
      <c r="I1146" s="325" t="str">
        <f>IFERROR(VLOOKUP($D1146,'SDDA Dogs'!$A:$AE,3,FALSE),"")</f>
        <v/>
      </c>
      <c r="J1146" s="325" t="str">
        <f>IFERROR(VLOOKUP($D1146,'SDDA Dogs'!$A:$AE,6,FALSE),"")</f>
        <v/>
      </c>
      <c r="K1146" s="325" t="str">
        <f>IF(Advanced!AS67="","",Advanced!AS67)</f>
        <v/>
      </c>
      <c r="L1146" s="325" t="str">
        <f>IF(Advanced!AT67="","",Advanced!AT67)</f>
        <v/>
      </c>
      <c r="M1146" s="326" t="str">
        <f>TrialDateDay2</f>
        <v/>
      </c>
      <c r="N1146" s="325" t="str">
        <f t="shared" si="1141"/>
        <v/>
      </c>
      <c r="O1146" s="325">
        <f>JudgeD2CSA</f>
        <v>0</v>
      </c>
    </row>
    <row r="1147" spans="1:15" x14ac:dyDescent="0.25">
      <c r="A1147" s="2">
        <v>2</v>
      </c>
      <c r="B1147" s="2">
        <f t="shared" si="1167"/>
        <v>0</v>
      </c>
      <c r="C1147" s="2" t="str">
        <f t="shared" si="1167"/>
        <v>CSA</v>
      </c>
      <c r="D1147" s="2">
        <f t="shared" si="1167"/>
        <v>0</v>
      </c>
      <c r="E1147" s="2" t="str">
        <f t="shared" si="1167"/>
        <v>A</v>
      </c>
      <c r="F1147" s="2" t="str">
        <f t="shared" si="1167"/>
        <v>Container Advanced</v>
      </c>
      <c r="G1147" s="2" t="str">
        <f t="shared" si="1167"/>
        <v/>
      </c>
      <c r="H1147" s="2" t="str">
        <f t="shared" si="1167"/>
        <v/>
      </c>
      <c r="I1147" s="2" t="str">
        <f t="shared" si="1167"/>
        <v/>
      </c>
      <c r="J1147" s="2" t="str">
        <f t="shared" si="1167"/>
        <v/>
      </c>
      <c r="K1147" s="2" t="str">
        <f t="shared" si="1167"/>
        <v/>
      </c>
      <c r="L1147" s="2" t="str">
        <f t="shared" si="1167"/>
        <v/>
      </c>
      <c r="M1147" s="180" t="str">
        <f t="shared" si="1167"/>
        <v/>
      </c>
      <c r="N1147" s="2" t="str">
        <f t="shared" si="1141"/>
        <v/>
      </c>
      <c r="O1147" s="2">
        <f t="shared" si="1167"/>
        <v>0</v>
      </c>
    </row>
    <row r="1148" spans="1:15" x14ac:dyDescent="0.25">
      <c r="A1148" s="325">
        <v>1</v>
      </c>
      <c r="B1148" s="325">
        <f>TrialNumberDay2</f>
        <v>0</v>
      </c>
      <c r="C1148" s="325" t="s">
        <v>18</v>
      </c>
      <c r="D1148" s="325">
        <f>Advanced!C68</f>
        <v>0</v>
      </c>
      <c r="E1148" s="325" t="str">
        <f>IF(Advanced!B68="W","W","A")</f>
        <v>A</v>
      </c>
      <c r="F1148" s="325" t="s">
        <v>1737</v>
      </c>
      <c r="G1148" s="325" t="str">
        <f>IF(Advanced!G68="e","Y","")</f>
        <v/>
      </c>
      <c r="H1148" s="325" t="str">
        <f>IFERROR(VLOOKUP($D1148,'SDDA Dogs'!$A:$AE,2,FALSE),"")</f>
        <v/>
      </c>
      <c r="I1148" s="325" t="str">
        <f>IFERROR(VLOOKUP($D1148,'SDDA Dogs'!$A:$AE,3,FALSE),"")</f>
        <v/>
      </c>
      <c r="J1148" s="325" t="str">
        <f>IFERROR(VLOOKUP($D1148,'SDDA Dogs'!$A:$AE,6,FALSE),"")</f>
        <v/>
      </c>
      <c r="K1148" s="325" t="str">
        <f>IF(Advanced!AS68="","",Advanced!AS68)</f>
        <v/>
      </c>
      <c r="L1148" s="325" t="str">
        <f>IF(Advanced!AT68="","",Advanced!AT68)</f>
        <v/>
      </c>
      <c r="M1148" s="326" t="str">
        <f>TrialDateDay2</f>
        <v/>
      </c>
      <c r="N1148" s="325" t="str">
        <f t="shared" si="1141"/>
        <v/>
      </c>
      <c r="O1148" s="325">
        <f>JudgeD2CSA</f>
        <v>0</v>
      </c>
    </row>
    <row r="1149" spans="1:15" x14ac:dyDescent="0.25">
      <c r="A1149" s="2">
        <v>2</v>
      </c>
      <c r="B1149" s="2">
        <f t="shared" si="1167"/>
        <v>0</v>
      </c>
      <c r="C1149" s="2" t="str">
        <f t="shared" si="1167"/>
        <v>CSA</v>
      </c>
      <c r="D1149" s="2">
        <f t="shared" si="1167"/>
        <v>0</v>
      </c>
      <c r="E1149" s="2" t="str">
        <f t="shared" si="1167"/>
        <v>A</v>
      </c>
      <c r="F1149" s="2" t="str">
        <f t="shared" si="1167"/>
        <v>Container Advanced</v>
      </c>
      <c r="G1149" s="2" t="str">
        <f t="shared" si="1167"/>
        <v/>
      </c>
      <c r="H1149" s="2" t="str">
        <f t="shared" si="1167"/>
        <v/>
      </c>
      <c r="I1149" s="2" t="str">
        <f t="shared" si="1167"/>
        <v/>
      </c>
      <c r="J1149" s="2" t="str">
        <f t="shared" si="1167"/>
        <v/>
      </c>
      <c r="K1149" s="2" t="str">
        <f t="shared" si="1167"/>
        <v/>
      </c>
      <c r="L1149" s="2" t="str">
        <f t="shared" si="1167"/>
        <v/>
      </c>
      <c r="M1149" s="180" t="str">
        <f t="shared" si="1167"/>
        <v/>
      </c>
      <c r="N1149" s="2" t="str">
        <f t="shared" si="1141"/>
        <v/>
      </c>
      <c r="O1149" s="2">
        <f t="shared" si="1167"/>
        <v>0</v>
      </c>
    </row>
    <row r="1150" spans="1:15" x14ac:dyDescent="0.25">
      <c r="A1150" s="325">
        <v>1</v>
      </c>
      <c r="B1150" s="325">
        <f>TrialNumberDay2</f>
        <v>0</v>
      </c>
      <c r="C1150" s="325" t="s">
        <v>18</v>
      </c>
      <c r="D1150" s="325">
        <f>Advanced!C69</f>
        <v>0</v>
      </c>
      <c r="E1150" s="325" t="str">
        <f>IF(Advanced!B69="W","W","A")</f>
        <v>A</v>
      </c>
      <c r="F1150" s="325" t="s">
        <v>1737</v>
      </c>
      <c r="G1150" s="325" t="str">
        <f>IF(Advanced!G69="e","Y","")</f>
        <v/>
      </c>
      <c r="H1150" s="325" t="str">
        <f>IFERROR(VLOOKUP($D1150,'SDDA Dogs'!$A:$AE,2,FALSE),"")</f>
        <v/>
      </c>
      <c r="I1150" s="325" t="str">
        <f>IFERROR(VLOOKUP($D1150,'SDDA Dogs'!$A:$AE,3,FALSE),"")</f>
        <v/>
      </c>
      <c r="J1150" s="325" t="str">
        <f>IFERROR(VLOOKUP($D1150,'SDDA Dogs'!$A:$AE,6,FALSE),"")</f>
        <v/>
      </c>
      <c r="K1150" s="325" t="str">
        <f>IF(Advanced!AS69="","",Advanced!AS69)</f>
        <v/>
      </c>
      <c r="L1150" s="325" t="str">
        <f>IF(Advanced!AT69="","",Advanced!AT69)</f>
        <v/>
      </c>
      <c r="M1150" s="326" t="str">
        <f>TrialDateDay2</f>
        <v/>
      </c>
      <c r="N1150" s="325" t="str">
        <f t="shared" si="1141"/>
        <v/>
      </c>
      <c r="O1150" s="325">
        <f>JudgeD2CSA</f>
        <v>0</v>
      </c>
    </row>
    <row r="1151" spans="1:15" x14ac:dyDescent="0.25">
      <c r="A1151" s="2">
        <v>2</v>
      </c>
      <c r="B1151" s="2">
        <f t="shared" si="1167"/>
        <v>0</v>
      </c>
      <c r="C1151" s="2" t="str">
        <f t="shared" si="1167"/>
        <v>CSA</v>
      </c>
      <c r="D1151" s="2">
        <f t="shared" si="1167"/>
        <v>0</v>
      </c>
      <c r="E1151" s="2" t="str">
        <f t="shared" si="1167"/>
        <v>A</v>
      </c>
      <c r="F1151" s="2" t="str">
        <f t="shared" si="1167"/>
        <v>Container Advanced</v>
      </c>
      <c r="G1151" s="2" t="str">
        <f t="shared" si="1167"/>
        <v/>
      </c>
      <c r="H1151" s="2" t="str">
        <f t="shared" si="1167"/>
        <v/>
      </c>
      <c r="I1151" s="2" t="str">
        <f t="shared" si="1167"/>
        <v/>
      </c>
      <c r="J1151" s="2" t="str">
        <f t="shared" si="1167"/>
        <v/>
      </c>
      <c r="K1151" s="2" t="str">
        <f t="shared" si="1167"/>
        <v/>
      </c>
      <c r="L1151" s="2" t="str">
        <f t="shared" si="1167"/>
        <v/>
      </c>
      <c r="M1151" s="180" t="str">
        <f t="shared" si="1167"/>
        <v/>
      </c>
      <c r="N1151" s="2" t="str">
        <f t="shared" si="1141"/>
        <v/>
      </c>
      <c r="O1151" s="2">
        <f t="shared" si="1167"/>
        <v>0</v>
      </c>
    </row>
    <row r="1152" spans="1:15" x14ac:dyDescent="0.25">
      <c r="A1152" s="325">
        <v>1</v>
      </c>
      <c r="B1152" s="325">
        <f>TrialNumberDay2</f>
        <v>0</v>
      </c>
      <c r="C1152" s="325" t="s">
        <v>18</v>
      </c>
      <c r="D1152" s="325">
        <f>Advanced!C70</f>
        <v>0</v>
      </c>
      <c r="E1152" s="325" t="str">
        <f>IF(Advanced!B70="W","W","A")</f>
        <v>A</v>
      </c>
      <c r="F1152" s="325" t="s">
        <v>1737</v>
      </c>
      <c r="G1152" s="325" t="str">
        <f>IF(Advanced!G70="e","Y","")</f>
        <v/>
      </c>
      <c r="H1152" s="325" t="str">
        <f>IFERROR(VLOOKUP($D1152,'SDDA Dogs'!$A:$AE,2,FALSE),"")</f>
        <v/>
      </c>
      <c r="I1152" s="325" t="str">
        <f>IFERROR(VLOOKUP($D1152,'SDDA Dogs'!$A:$AE,3,FALSE),"")</f>
        <v/>
      </c>
      <c r="J1152" s="325" t="str">
        <f>IFERROR(VLOOKUP($D1152,'SDDA Dogs'!$A:$AE,6,FALSE),"")</f>
        <v/>
      </c>
      <c r="K1152" s="325" t="str">
        <f>IF(Advanced!AS70="","",Advanced!AS70)</f>
        <v/>
      </c>
      <c r="L1152" s="325" t="str">
        <f>IF(Advanced!AT70="","",Advanced!AT70)</f>
        <v/>
      </c>
      <c r="M1152" s="326" t="str">
        <f>TrialDateDay2</f>
        <v/>
      </c>
      <c r="N1152" s="325" t="str">
        <f t="shared" si="1141"/>
        <v/>
      </c>
      <c r="O1152" s="325">
        <f>JudgeD2CSA</f>
        <v>0</v>
      </c>
    </row>
    <row r="1153" spans="1:15" x14ac:dyDescent="0.25">
      <c r="A1153" s="2">
        <v>2</v>
      </c>
      <c r="B1153" s="2">
        <f t="shared" si="1167"/>
        <v>0</v>
      </c>
      <c r="C1153" s="2" t="str">
        <f t="shared" si="1167"/>
        <v>CSA</v>
      </c>
      <c r="D1153" s="2">
        <f t="shared" si="1167"/>
        <v>0</v>
      </c>
      <c r="E1153" s="2" t="str">
        <f t="shared" si="1167"/>
        <v>A</v>
      </c>
      <c r="F1153" s="2" t="str">
        <f t="shared" si="1167"/>
        <v>Container Advanced</v>
      </c>
      <c r="G1153" s="2" t="str">
        <f t="shared" si="1167"/>
        <v/>
      </c>
      <c r="H1153" s="2" t="str">
        <f t="shared" si="1167"/>
        <v/>
      </c>
      <c r="I1153" s="2" t="str">
        <f t="shared" si="1167"/>
        <v/>
      </c>
      <c r="J1153" s="2" t="str">
        <f t="shared" si="1167"/>
        <v/>
      </c>
      <c r="K1153" s="2" t="str">
        <f t="shared" si="1167"/>
        <v/>
      </c>
      <c r="L1153" s="2" t="str">
        <f t="shared" si="1167"/>
        <v/>
      </c>
      <c r="M1153" s="180" t="str">
        <f t="shared" si="1167"/>
        <v/>
      </c>
      <c r="N1153" s="2" t="str">
        <f t="shared" si="1141"/>
        <v/>
      </c>
      <c r="O1153" s="2">
        <f t="shared" si="1167"/>
        <v>0</v>
      </c>
    </row>
    <row r="1154" spans="1:15" x14ac:dyDescent="0.25">
      <c r="A1154" s="325">
        <v>1</v>
      </c>
      <c r="B1154" s="325">
        <f>TrialNumberDay2</f>
        <v>0</v>
      </c>
      <c r="C1154" s="325" t="s">
        <v>18</v>
      </c>
      <c r="D1154" s="325">
        <f>Advanced!C71</f>
        <v>0</v>
      </c>
      <c r="E1154" s="325" t="str">
        <f>IF(Advanced!B71="W","W","A")</f>
        <v>A</v>
      </c>
      <c r="F1154" s="325" t="s">
        <v>1737</v>
      </c>
      <c r="G1154" s="325" t="str">
        <f>IF(Advanced!G71="e","Y","")</f>
        <v/>
      </c>
      <c r="H1154" s="325" t="str">
        <f>IFERROR(VLOOKUP($D1154,'SDDA Dogs'!$A:$AE,2,FALSE),"")</f>
        <v/>
      </c>
      <c r="I1154" s="325" t="str">
        <f>IFERROR(VLOOKUP($D1154,'SDDA Dogs'!$A:$AE,3,FALSE),"")</f>
        <v/>
      </c>
      <c r="J1154" s="325" t="str">
        <f>IFERROR(VLOOKUP($D1154,'SDDA Dogs'!$A:$AE,6,FALSE),"")</f>
        <v/>
      </c>
      <c r="K1154" s="325" t="str">
        <f>IF(Advanced!AS71="","",Advanced!AS71)</f>
        <v/>
      </c>
      <c r="L1154" s="325" t="str">
        <f>IF(Advanced!AT71="","",Advanced!AT71)</f>
        <v/>
      </c>
      <c r="M1154" s="326" t="str">
        <f>TrialDateDay2</f>
        <v/>
      </c>
      <c r="N1154" s="325" t="str">
        <f t="shared" si="1141"/>
        <v/>
      </c>
      <c r="O1154" s="325">
        <f>JudgeD2CSA</f>
        <v>0</v>
      </c>
    </row>
    <row r="1155" spans="1:15" x14ac:dyDescent="0.25">
      <c r="A1155" s="2">
        <v>2</v>
      </c>
      <c r="B1155" s="2">
        <f t="shared" si="1167"/>
        <v>0</v>
      </c>
      <c r="C1155" s="2" t="str">
        <f t="shared" si="1167"/>
        <v>CSA</v>
      </c>
      <c r="D1155" s="2">
        <f t="shared" si="1167"/>
        <v>0</v>
      </c>
      <c r="E1155" s="2" t="str">
        <f t="shared" si="1167"/>
        <v>A</v>
      </c>
      <c r="F1155" s="2" t="str">
        <f t="shared" si="1167"/>
        <v>Container Advanced</v>
      </c>
      <c r="G1155" s="2" t="str">
        <f t="shared" si="1167"/>
        <v/>
      </c>
      <c r="H1155" s="2" t="str">
        <f t="shared" si="1167"/>
        <v/>
      </c>
      <c r="I1155" s="2" t="str">
        <f t="shared" si="1167"/>
        <v/>
      </c>
      <c r="J1155" s="2" t="str">
        <f t="shared" si="1167"/>
        <v/>
      </c>
      <c r="K1155" s="2" t="str">
        <f t="shared" si="1167"/>
        <v/>
      </c>
      <c r="L1155" s="2" t="str">
        <f t="shared" si="1167"/>
        <v/>
      </c>
      <c r="M1155" s="180" t="str">
        <f t="shared" si="1167"/>
        <v/>
      </c>
      <c r="N1155" s="2" t="str">
        <f t="shared" si="1141"/>
        <v/>
      </c>
      <c r="O1155" s="2">
        <f t="shared" si="1167"/>
        <v>0</v>
      </c>
    </row>
    <row r="1156" spans="1:15" x14ac:dyDescent="0.25">
      <c r="A1156" s="325">
        <v>1</v>
      </c>
      <c r="B1156" s="325">
        <f>TrialNumberDay2</f>
        <v>0</v>
      </c>
      <c r="C1156" s="325" t="s">
        <v>18</v>
      </c>
      <c r="D1156" s="325">
        <f>Advanced!C72</f>
        <v>0</v>
      </c>
      <c r="E1156" s="325" t="str">
        <f>IF(Advanced!B72="W","W","A")</f>
        <v>A</v>
      </c>
      <c r="F1156" s="325" t="s">
        <v>1737</v>
      </c>
      <c r="G1156" s="325" t="str">
        <f>IF(Advanced!G72="e","Y","")</f>
        <v/>
      </c>
      <c r="H1156" s="325" t="str">
        <f>IFERROR(VLOOKUP($D1156,'SDDA Dogs'!$A:$AE,2,FALSE),"")</f>
        <v/>
      </c>
      <c r="I1156" s="325" t="str">
        <f>IFERROR(VLOOKUP($D1156,'SDDA Dogs'!$A:$AE,3,FALSE),"")</f>
        <v/>
      </c>
      <c r="J1156" s="325" t="str">
        <f>IFERROR(VLOOKUP($D1156,'SDDA Dogs'!$A:$AE,6,FALSE),"")</f>
        <v/>
      </c>
      <c r="K1156" s="325" t="str">
        <f>IF(Advanced!AS72="","",Advanced!AS72)</f>
        <v/>
      </c>
      <c r="L1156" s="325" t="str">
        <f>IF(Advanced!AT72="","",Advanced!AT72)</f>
        <v/>
      </c>
      <c r="M1156" s="326" t="str">
        <f>TrialDateDay2</f>
        <v/>
      </c>
      <c r="N1156" s="325" t="str">
        <f t="shared" ref="N1156:N1219" si="1168">N1155</f>
        <v/>
      </c>
      <c r="O1156" s="325">
        <f>JudgeD2CSA</f>
        <v>0</v>
      </c>
    </row>
    <row r="1157" spans="1:15" x14ac:dyDescent="0.25">
      <c r="A1157" s="2">
        <v>2</v>
      </c>
      <c r="B1157" s="2">
        <f t="shared" si="1167"/>
        <v>0</v>
      </c>
      <c r="C1157" s="2" t="str">
        <f t="shared" si="1167"/>
        <v>CSA</v>
      </c>
      <c r="D1157" s="2">
        <f t="shared" si="1167"/>
        <v>0</v>
      </c>
      <c r="E1157" s="2" t="str">
        <f t="shared" si="1167"/>
        <v>A</v>
      </c>
      <c r="F1157" s="2" t="str">
        <f t="shared" si="1167"/>
        <v>Container Advanced</v>
      </c>
      <c r="G1157" s="2" t="str">
        <f t="shared" si="1167"/>
        <v/>
      </c>
      <c r="H1157" s="2" t="str">
        <f t="shared" si="1167"/>
        <v/>
      </c>
      <c r="I1157" s="2" t="str">
        <f t="shared" si="1167"/>
        <v/>
      </c>
      <c r="J1157" s="2" t="str">
        <f t="shared" si="1167"/>
        <v/>
      </c>
      <c r="K1157" s="2" t="str">
        <f t="shared" si="1167"/>
        <v/>
      </c>
      <c r="L1157" s="2" t="str">
        <f t="shared" si="1167"/>
        <v/>
      </c>
      <c r="M1157" s="180" t="str">
        <f t="shared" si="1167"/>
        <v/>
      </c>
      <c r="N1157" s="2" t="str">
        <f t="shared" si="1168"/>
        <v/>
      </c>
      <c r="O1157" s="2">
        <f t="shared" si="1167"/>
        <v>0</v>
      </c>
    </row>
    <row r="1158" spans="1:15" x14ac:dyDescent="0.25">
      <c r="A1158" s="325">
        <v>1</v>
      </c>
      <c r="B1158" s="325">
        <f>TrialNumberDay2</f>
        <v>0</v>
      </c>
      <c r="C1158" s="325" t="s">
        <v>18</v>
      </c>
      <c r="D1158" s="325">
        <f>Advanced!C73</f>
        <v>0</v>
      </c>
      <c r="E1158" s="325" t="str">
        <f>IF(Advanced!B73="W","W","A")</f>
        <v>A</v>
      </c>
      <c r="F1158" s="325" t="s">
        <v>1737</v>
      </c>
      <c r="G1158" s="325" t="str">
        <f>IF(Advanced!G73="e","Y","")</f>
        <v/>
      </c>
      <c r="H1158" s="325" t="str">
        <f>IFERROR(VLOOKUP($D1158,'SDDA Dogs'!$A:$AE,2,FALSE),"")</f>
        <v/>
      </c>
      <c r="I1158" s="325" t="str">
        <f>IFERROR(VLOOKUP($D1158,'SDDA Dogs'!$A:$AE,3,FALSE),"")</f>
        <v/>
      </c>
      <c r="J1158" s="325" t="str">
        <f>IFERROR(VLOOKUP($D1158,'SDDA Dogs'!$A:$AE,6,FALSE),"")</f>
        <v/>
      </c>
      <c r="K1158" s="325" t="str">
        <f>IF(Advanced!AS73="","",Advanced!AS73)</f>
        <v/>
      </c>
      <c r="L1158" s="325" t="str">
        <f>IF(Advanced!AT73="","",Advanced!AT73)</f>
        <v/>
      </c>
      <c r="M1158" s="326" t="str">
        <f>TrialDateDay2</f>
        <v/>
      </c>
      <c r="N1158" s="325" t="str">
        <f t="shared" si="1168"/>
        <v/>
      </c>
      <c r="O1158" s="325">
        <f>JudgeD2CSA</f>
        <v>0</v>
      </c>
    </row>
    <row r="1159" spans="1:15" x14ac:dyDescent="0.25">
      <c r="A1159" s="2">
        <v>2</v>
      </c>
      <c r="B1159" s="2">
        <f t="shared" si="1167"/>
        <v>0</v>
      </c>
      <c r="C1159" s="2" t="str">
        <f t="shared" si="1167"/>
        <v>CSA</v>
      </c>
      <c r="D1159" s="2">
        <f t="shared" si="1167"/>
        <v>0</v>
      </c>
      <c r="E1159" s="2" t="str">
        <f t="shared" si="1167"/>
        <v>A</v>
      </c>
      <c r="F1159" s="2" t="str">
        <f t="shared" si="1167"/>
        <v>Container Advanced</v>
      </c>
      <c r="G1159" s="2" t="str">
        <f t="shared" si="1167"/>
        <v/>
      </c>
      <c r="H1159" s="2" t="str">
        <f t="shared" si="1167"/>
        <v/>
      </c>
      <c r="I1159" s="2" t="str">
        <f t="shared" si="1167"/>
        <v/>
      </c>
      <c r="J1159" s="2" t="str">
        <f t="shared" si="1167"/>
        <v/>
      </c>
      <c r="K1159" s="2" t="str">
        <f t="shared" si="1167"/>
        <v/>
      </c>
      <c r="L1159" s="2" t="str">
        <f t="shared" si="1167"/>
        <v/>
      </c>
      <c r="M1159" s="180" t="str">
        <f t="shared" si="1167"/>
        <v/>
      </c>
      <c r="N1159" s="2" t="str">
        <f t="shared" si="1168"/>
        <v/>
      </c>
      <c r="O1159" s="2">
        <f t="shared" si="1167"/>
        <v>0</v>
      </c>
    </row>
    <row r="1160" spans="1:15" x14ac:dyDescent="0.25">
      <c r="A1160" s="325">
        <v>1</v>
      </c>
      <c r="B1160" s="325">
        <f>TrialNumberDay2</f>
        <v>0</v>
      </c>
      <c r="C1160" s="325" t="s">
        <v>18</v>
      </c>
      <c r="D1160" s="325">
        <f>Advanced!C74</f>
        <v>0</v>
      </c>
      <c r="E1160" s="325" t="str">
        <f>IF(Advanced!B74="W","W","A")</f>
        <v>A</v>
      </c>
      <c r="F1160" s="325" t="s">
        <v>1737</v>
      </c>
      <c r="G1160" s="325" t="str">
        <f>IF(Advanced!G74="e","Y","")</f>
        <v/>
      </c>
      <c r="H1160" s="325" t="str">
        <f>IFERROR(VLOOKUP($D1160,'SDDA Dogs'!$A:$AE,2,FALSE),"")</f>
        <v/>
      </c>
      <c r="I1160" s="325" t="str">
        <f>IFERROR(VLOOKUP($D1160,'SDDA Dogs'!$A:$AE,3,FALSE),"")</f>
        <v/>
      </c>
      <c r="J1160" s="325" t="str">
        <f>IFERROR(VLOOKUP($D1160,'SDDA Dogs'!$A:$AE,6,FALSE),"")</f>
        <v/>
      </c>
      <c r="K1160" s="325" t="str">
        <f>IF(Advanced!AS74="","",Advanced!AS74)</f>
        <v/>
      </c>
      <c r="L1160" s="325" t="str">
        <f>IF(Advanced!AT74="","",Advanced!AT74)</f>
        <v/>
      </c>
      <c r="M1160" s="326" t="str">
        <f>TrialDateDay2</f>
        <v/>
      </c>
      <c r="N1160" s="325" t="str">
        <f t="shared" si="1168"/>
        <v/>
      </c>
      <c r="O1160" s="325">
        <f>JudgeD2CSA</f>
        <v>0</v>
      </c>
    </row>
    <row r="1161" spans="1:15" x14ac:dyDescent="0.25">
      <c r="A1161" s="2">
        <v>2</v>
      </c>
      <c r="B1161" s="2">
        <f t="shared" si="1167"/>
        <v>0</v>
      </c>
      <c r="C1161" s="2" t="str">
        <f t="shared" si="1167"/>
        <v>CSA</v>
      </c>
      <c r="D1161" s="2">
        <f t="shared" si="1167"/>
        <v>0</v>
      </c>
      <c r="E1161" s="2" t="str">
        <f t="shared" si="1167"/>
        <v>A</v>
      </c>
      <c r="F1161" s="2" t="str">
        <f t="shared" si="1167"/>
        <v>Container Advanced</v>
      </c>
      <c r="G1161" s="2" t="str">
        <f t="shared" si="1167"/>
        <v/>
      </c>
      <c r="H1161" s="2" t="str">
        <f t="shared" si="1167"/>
        <v/>
      </c>
      <c r="I1161" s="2" t="str">
        <f t="shared" si="1167"/>
        <v/>
      </c>
      <c r="J1161" s="2" t="str">
        <f t="shared" si="1167"/>
        <v/>
      </c>
      <c r="K1161" s="2" t="str">
        <f t="shared" si="1167"/>
        <v/>
      </c>
      <c r="L1161" s="2" t="str">
        <f t="shared" si="1167"/>
        <v/>
      </c>
      <c r="M1161" s="180" t="str">
        <f t="shared" si="1167"/>
        <v/>
      </c>
      <c r="N1161" s="2" t="str">
        <f t="shared" si="1168"/>
        <v/>
      </c>
      <c r="O1161" s="2">
        <f t="shared" si="1167"/>
        <v>0</v>
      </c>
    </row>
    <row r="1162" spans="1:15" x14ac:dyDescent="0.25">
      <c r="A1162" s="325">
        <v>1</v>
      </c>
      <c r="B1162" s="325">
        <f>TrialNumberDay2</f>
        <v>0</v>
      </c>
      <c r="C1162" s="325" t="s">
        <v>18</v>
      </c>
      <c r="D1162" s="325">
        <f>Advanced!C75</f>
        <v>0</v>
      </c>
      <c r="E1162" s="325" t="str">
        <f>IF(Advanced!B75="W","W","A")</f>
        <v>A</v>
      </c>
      <c r="F1162" s="325" t="s">
        <v>1737</v>
      </c>
      <c r="G1162" s="325" t="str">
        <f>IF(Advanced!G75="e","Y","")</f>
        <v/>
      </c>
      <c r="H1162" s="325" t="str">
        <f>IFERROR(VLOOKUP($D1162,'SDDA Dogs'!$A:$AE,2,FALSE),"")</f>
        <v/>
      </c>
      <c r="I1162" s="325" t="str">
        <f>IFERROR(VLOOKUP($D1162,'SDDA Dogs'!$A:$AE,3,FALSE),"")</f>
        <v/>
      </c>
      <c r="J1162" s="325" t="str">
        <f>IFERROR(VLOOKUP($D1162,'SDDA Dogs'!$A:$AE,6,FALSE),"")</f>
        <v/>
      </c>
      <c r="K1162" s="325" t="str">
        <f>IF(Advanced!AS75="","",Advanced!AS75)</f>
        <v/>
      </c>
      <c r="L1162" s="325" t="str">
        <f>IF(Advanced!AT75="","",Advanced!AT75)</f>
        <v/>
      </c>
      <c r="M1162" s="326" t="str">
        <f>TrialDateDay2</f>
        <v/>
      </c>
      <c r="N1162" s="325" t="str">
        <f t="shared" si="1168"/>
        <v/>
      </c>
      <c r="O1162" s="325">
        <f>JudgeD2CSA</f>
        <v>0</v>
      </c>
    </row>
    <row r="1163" spans="1:15" x14ac:dyDescent="0.25">
      <c r="A1163" s="2">
        <v>2</v>
      </c>
      <c r="B1163" s="2">
        <f t="shared" si="1167"/>
        <v>0</v>
      </c>
      <c r="C1163" s="2" t="str">
        <f t="shared" si="1167"/>
        <v>CSA</v>
      </c>
      <c r="D1163" s="2">
        <f t="shared" si="1167"/>
        <v>0</v>
      </c>
      <c r="E1163" s="2" t="str">
        <f t="shared" si="1167"/>
        <v>A</v>
      </c>
      <c r="F1163" s="2" t="str">
        <f t="shared" si="1167"/>
        <v>Container Advanced</v>
      </c>
      <c r="G1163" s="2" t="str">
        <f t="shared" si="1167"/>
        <v/>
      </c>
      <c r="H1163" s="2" t="str">
        <f t="shared" si="1167"/>
        <v/>
      </c>
      <c r="I1163" s="2" t="str">
        <f t="shared" si="1167"/>
        <v/>
      </c>
      <c r="J1163" s="2" t="str">
        <f t="shared" si="1167"/>
        <v/>
      </c>
      <c r="K1163" s="2" t="str">
        <f t="shared" si="1167"/>
        <v/>
      </c>
      <c r="L1163" s="2" t="str">
        <f t="shared" si="1167"/>
        <v/>
      </c>
      <c r="M1163" s="180" t="str">
        <f t="shared" si="1167"/>
        <v/>
      </c>
      <c r="N1163" s="2" t="str">
        <f t="shared" si="1168"/>
        <v/>
      </c>
      <c r="O1163" s="2">
        <f t="shared" si="1167"/>
        <v>0</v>
      </c>
    </row>
    <row r="1164" spans="1:15" x14ac:dyDescent="0.25">
      <c r="A1164" s="325">
        <v>1</v>
      </c>
      <c r="B1164" s="325">
        <f>TrialNumberDay2</f>
        <v>0</v>
      </c>
      <c r="C1164" s="325" t="s">
        <v>18</v>
      </c>
      <c r="D1164" s="325">
        <f>Advanced!C76</f>
        <v>0</v>
      </c>
      <c r="E1164" s="325" t="str">
        <f>IF(Advanced!B76="W","W","A")</f>
        <v>A</v>
      </c>
      <c r="F1164" s="325" t="s">
        <v>1737</v>
      </c>
      <c r="G1164" s="325" t="str">
        <f>IF(Advanced!G76="e","Y","")</f>
        <v/>
      </c>
      <c r="H1164" s="325" t="str">
        <f>IFERROR(VLOOKUP($D1164,'SDDA Dogs'!$A:$AE,2,FALSE),"")</f>
        <v/>
      </c>
      <c r="I1164" s="325" t="str">
        <f>IFERROR(VLOOKUP($D1164,'SDDA Dogs'!$A:$AE,3,FALSE),"")</f>
        <v/>
      </c>
      <c r="J1164" s="325" t="str">
        <f>IFERROR(VLOOKUP($D1164,'SDDA Dogs'!$A:$AE,6,FALSE),"")</f>
        <v/>
      </c>
      <c r="K1164" s="325" t="str">
        <f>IF(Advanced!AS76="","",Advanced!AS76)</f>
        <v/>
      </c>
      <c r="L1164" s="325" t="str">
        <f>IF(Advanced!AT76="","",Advanced!AT76)</f>
        <v/>
      </c>
      <c r="M1164" s="326" t="str">
        <f>TrialDateDay2</f>
        <v/>
      </c>
      <c r="N1164" s="325" t="str">
        <f t="shared" si="1168"/>
        <v/>
      </c>
      <c r="O1164" s="325">
        <f>JudgeD2CSA</f>
        <v>0</v>
      </c>
    </row>
    <row r="1165" spans="1:15" x14ac:dyDescent="0.25">
      <c r="A1165" s="2">
        <v>2</v>
      </c>
      <c r="B1165" s="2">
        <f t="shared" si="1167"/>
        <v>0</v>
      </c>
      <c r="C1165" s="2" t="str">
        <f t="shared" si="1167"/>
        <v>CSA</v>
      </c>
      <c r="D1165" s="2">
        <f t="shared" si="1167"/>
        <v>0</v>
      </c>
      <c r="E1165" s="2" t="str">
        <f t="shared" si="1167"/>
        <v>A</v>
      </c>
      <c r="F1165" s="2" t="str">
        <f t="shared" si="1167"/>
        <v>Container Advanced</v>
      </c>
      <c r="G1165" s="2" t="str">
        <f t="shared" si="1167"/>
        <v/>
      </c>
      <c r="H1165" s="2" t="str">
        <f t="shared" si="1167"/>
        <v/>
      </c>
      <c r="I1165" s="2" t="str">
        <f t="shared" si="1167"/>
        <v/>
      </c>
      <c r="J1165" s="2" t="str">
        <f t="shared" si="1167"/>
        <v/>
      </c>
      <c r="K1165" s="2" t="str">
        <f t="shared" si="1167"/>
        <v/>
      </c>
      <c r="L1165" s="2" t="str">
        <f t="shared" si="1167"/>
        <v/>
      </c>
      <c r="M1165" s="180" t="str">
        <f t="shared" si="1167"/>
        <v/>
      </c>
      <c r="N1165" s="2" t="str">
        <f t="shared" si="1168"/>
        <v/>
      </c>
      <c r="O1165" s="2">
        <f t="shared" si="1167"/>
        <v>0</v>
      </c>
    </row>
    <row r="1166" spans="1:15" x14ac:dyDescent="0.25">
      <c r="A1166" s="325">
        <v>1</v>
      </c>
      <c r="B1166" s="325">
        <f>TrialNumberDay2</f>
        <v>0</v>
      </c>
      <c r="C1166" s="325" t="s">
        <v>18</v>
      </c>
      <c r="D1166" s="325">
        <f>Advanced!C77</f>
        <v>0</v>
      </c>
      <c r="E1166" s="325" t="str">
        <f>IF(Advanced!B77="W","W","A")</f>
        <v>A</v>
      </c>
      <c r="F1166" s="325" t="s">
        <v>1737</v>
      </c>
      <c r="G1166" s="325" t="str">
        <f>IF(Advanced!G77="e","Y","")</f>
        <v/>
      </c>
      <c r="H1166" s="325" t="str">
        <f>IFERROR(VLOOKUP($D1166,'SDDA Dogs'!$A:$AE,2,FALSE),"")</f>
        <v/>
      </c>
      <c r="I1166" s="325" t="str">
        <f>IFERROR(VLOOKUP($D1166,'SDDA Dogs'!$A:$AE,3,FALSE),"")</f>
        <v/>
      </c>
      <c r="J1166" s="325" t="str">
        <f>IFERROR(VLOOKUP($D1166,'SDDA Dogs'!$A:$AE,6,FALSE),"")</f>
        <v/>
      </c>
      <c r="K1166" s="325" t="str">
        <f>IF(Advanced!AS77="","",Advanced!AS77)</f>
        <v/>
      </c>
      <c r="L1166" s="325" t="str">
        <f>IF(Advanced!AT77="","",Advanced!AT77)</f>
        <v/>
      </c>
      <c r="M1166" s="326" t="str">
        <f>TrialDateDay2</f>
        <v/>
      </c>
      <c r="N1166" s="325" t="str">
        <f t="shared" si="1168"/>
        <v/>
      </c>
      <c r="O1166" s="325">
        <f>JudgeD2CSA</f>
        <v>0</v>
      </c>
    </row>
    <row r="1167" spans="1:15" x14ac:dyDescent="0.25">
      <c r="A1167" s="2">
        <v>2</v>
      </c>
      <c r="B1167" s="2">
        <f t="shared" si="1167"/>
        <v>0</v>
      </c>
      <c r="C1167" s="2" t="str">
        <f t="shared" si="1167"/>
        <v>CSA</v>
      </c>
      <c r="D1167" s="2">
        <f t="shared" si="1167"/>
        <v>0</v>
      </c>
      <c r="E1167" s="2" t="str">
        <f t="shared" si="1167"/>
        <v>A</v>
      </c>
      <c r="F1167" s="2" t="str">
        <f t="shared" si="1167"/>
        <v>Container Advanced</v>
      </c>
      <c r="G1167" s="2" t="str">
        <f t="shared" si="1167"/>
        <v/>
      </c>
      <c r="H1167" s="2" t="str">
        <f t="shared" si="1167"/>
        <v/>
      </c>
      <c r="I1167" s="2" t="str">
        <f t="shared" si="1167"/>
        <v/>
      </c>
      <c r="J1167" s="2" t="str">
        <f t="shared" si="1167"/>
        <v/>
      </c>
      <c r="K1167" s="2" t="str">
        <f t="shared" si="1167"/>
        <v/>
      </c>
      <c r="L1167" s="2" t="str">
        <f t="shared" si="1167"/>
        <v/>
      </c>
      <c r="M1167" s="180" t="str">
        <f t="shared" si="1167"/>
        <v/>
      </c>
      <c r="N1167" s="2" t="str">
        <f t="shared" si="1168"/>
        <v/>
      </c>
      <c r="O1167" s="2">
        <f t="shared" si="1167"/>
        <v>0</v>
      </c>
    </row>
    <row r="1168" spans="1:15" x14ac:dyDescent="0.25">
      <c r="A1168" s="325">
        <v>1</v>
      </c>
      <c r="B1168" s="325">
        <f>TrialNumberDay2</f>
        <v>0</v>
      </c>
      <c r="C1168" s="325" t="s">
        <v>18</v>
      </c>
      <c r="D1168" s="325">
        <f>Advanced!C78</f>
        <v>0</v>
      </c>
      <c r="E1168" s="325" t="str">
        <f>IF(Advanced!B78="W","W","A")</f>
        <v>A</v>
      </c>
      <c r="F1168" s="325" t="s">
        <v>1737</v>
      </c>
      <c r="G1168" s="325" t="str">
        <f>IF(Advanced!G78="e","Y","")</f>
        <v/>
      </c>
      <c r="H1168" s="325" t="str">
        <f>IFERROR(VLOOKUP($D1168,'SDDA Dogs'!$A:$AE,2,FALSE),"")</f>
        <v/>
      </c>
      <c r="I1168" s="325" t="str">
        <f>IFERROR(VLOOKUP($D1168,'SDDA Dogs'!$A:$AE,3,FALSE),"")</f>
        <v/>
      </c>
      <c r="J1168" s="325" t="str">
        <f>IFERROR(VLOOKUP($D1168,'SDDA Dogs'!$A:$AE,6,FALSE),"")</f>
        <v/>
      </c>
      <c r="K1168" s="325" t="str">
        <f>IF(Advanced!AS78="","",Advanced!AS78)</f>
        <v/>
      </c>
      <c r="L1168" s="325" t="str">
        <f>IF(Advanced!AT78="","",Advanced!AT78)</f>
        <v/>
      </c>
      <c r="M1168" s="326" t="str">
        <f>TrialDateDay2</f>
        <v/>
      </c>
      <c r="N1168" s="325" t="str">
        <f t="shared" si="1168"/>
        <v/>
      </c>
      <c r="O1168" s="325">
        <f>JudgeD2CSA</f>
        <v>0</v>
      </c>
    </row>
    <row r="1169" spans="1:15" x14ac:dyDescent="0.25">
      <c r="A1169" s="2">
        <v>2</v>
      </c>
      <c r="B1169" s="2">
        <f t="shared" si="1167"/>
        <v>0</v>
      </c>
      <c r="C1169" s="2" t="str">
        <f t="shared" si="1167"/>
        <v>CSA</v>
      </c>
      <c r="D1169" s="2">
        <f t="shared" si="1167"/>
        <v>0</v>
      </c>
      <c r="E1169" s="2" t="str">
        <f t="shared" si="1167"/>
        <v>A</v>
      </c>
      <c r="F1169" s="2" t="str">
        <f t="shared" si="1167"/>
        <v>Container Advanced</v>
      </c>
      <c r="G1169" s="2" t="str">
        <f t="shared" si="1167"/>
        <v/>
      </c>
      <c r="H1169" s="2" t="str">
        <f t="shared" si="1167"/>
        <v/>
      </c>
      <c r="I1169" s="2" t="str">
        <f t="shared" si="1167"/>
        <v/>
      </c>
      <c r="J1169" s="2" t="str">
        <f t="shared" si="1167"/>
        <v/>
      </c>
      <c r="K1169" s="2" t="str">
        <f t="shared" si="1167"/>
        <v/>
      </c>
      <c r="L1169" s="2" t="str">
        <f t="shared" si="1167"/>
        <v/>
      </c>
      <c r="M1169" s="180" t="str">
        <f t="shared" si="1167"/>
        <v/>
      </c>
      <c r="N1169" s="2" t="str">
        <f t="shared" si="1168"/>
        <v/>
      </c>
      <c r="O1169" s="2">
        <f t="shared" si="1167"/>
        <v>0</v>
      </c>
    </row>
    <row r="1170" spans="1:15" x14ac:dyDescent="0.25">
      <c r="A1170" s="325">
        <v>1</v>
      </c>
      <c r="B1170" s="325">
        <f>TrialNumberDay2</f>
        <v>0</v>
      </c>
      <c r="C1170" s="325" t="s">
        <v>18</v>
      </c>
      <c r="D1170" s="325">
        <f>Advanced!C79</f>
        <v>0</v>
      </c>
      <c r="E1170" s="325" t="str">
        <f>IF(Advanced!B79="W","W","A")</f>
        <v>A</v>
      </c>
      <c r="F1170" s="325" t="s">
        <v>1737</v>
      </c>
      <c r="G1170" s="325" t="str">
        <f>IF(Advanced!G79="e","Y","")</f>
        <v/>
      </c>
      <c r="H1170" s="325" t="str">
        <f>IFERROR(VLOOKUP($D1170,'SDDA Dogs'!$A:$AE,2,FALSE),"")</f>
        <v/>
      </c>
      <c r="I1170" s="325" t="str">
        <f>IFERROR(VLOOKUP($D1170,'SDDA Dogs'!$A:$AE,3,FALSE),"")</f>
        <v/>
      </c>
      <c r="J1170" s="325" t="str">
        <f>IFERROR(VLOOKUP($D1170,'SDDA Dogs'!$A:$AE,6,FALSE),"")</f>
        <v/>
      </c>
      <c r="K1170" s="325" t="str">
        <f>IF(Advanced!AS79="","",Advanced!AS79)</f>
        <v/>
      </c>
      <c r="L1170" s="325" t="str">
        <f>IF(Advanced!AT79="","",Advanced!AT79)</f>
        <v/>
      </c>
      <c r="M1170" s="326" t="str">
        <f>TrialDateDay2</f>
        <v/>
      </c>
      <c r="N1170" s="325" t="str">
        <f t="shared" si="1168"/>
        <v/>
      </c>
      <c r="O1170" s="325">
        <f>JudgeD2CSA</f>
        <v>0</v>
      </c>
    </row>
    <row r="1171" spans="1:15" x14ac:dyDescent="0.25">
      <c r="A1171" s="2">
        <v>2</v>
      </c>
      <c r="B1171" s="2">
        <f t="shared" si="1167"/>
        <v>0</v>
      </c>
      <c r="C1171" s="2" t="str">
        <f t="shared" si="1167"/>
        <v>CSA</v>
      </c>
      <c r="D1171" s="2">
        <f t="shared" si="1167"/>
        <v>0</v>
      </c>
      <c r="E1171" s="2" t="str">
        <f t="shared" si="1167"/>
        <v>A</v>
      </c>
      <c r="F1171" s="2" t="str">
        <f t="shared" si="1167"/>
        <v>Container Advanced</v>
      </c>
      <c r="G1171" s="2" t="str">
        <f t="shared" si="1167"/>
        <v/>
      </c>
      <c r="H1171" s="2" t="str">
        <f t="shared" si="1167"/>
        <v/>
      </c>
      <c r="I1171" s="2" t="str">
        <f t="shared" si="1167"/>
        <v/>
      </c>
      <c r="J1171" s="2" t="str">
        <f t="shared" si="1167"/>
        <v/>
      </c>
      <c r="K1171" s="2" t="str">
        <f t="shared" si="1167"/>
        <v/>
      </c>
      <c r="L1171" s="2" t="str">
        <f t="shared" si="1167"/>
        <v/>
      </c>
      <c r="M1171" s="180" t="str">
        <f t="shared" si="1167"/>
        <v/>
      </c>
      <c r="N1171" s="2" t="str">
        <f t="shared" si="1168"/>
        <v/>
      </c>
      <c r="O1171" s="2">
        <f t="shared" si="1167"/>
        <v>0</v>
      </c>
    </row>
    <row r="1172" spans="1:15" x14ac:dyDescent="0.25">
      <c r="A1172" s="325">
        <v>1</v>
      </c>
      <c r="B1172" s="325">
        <f>TrialNumberDay2</f>
        <v>0</v>
      </c>
      <c r="C1172" s="325" t="s">
        <v>18</v>
      </c>
      <c r="D1172" s="325">
        <f>Advanced!C80</f>
        <v>0</v>
      </c>
      <c r="E1172" s="325" t="str">
        <f>IF(Advanced!B80="W","W","A")</f>
        <v>A</v>
      </c>
      <c r="F1172" s="325" t="s">
        <v>1737</v>
      </c>
      <c r="G1172" s="325" t="str">
        <f>IF(Advanced!G80="e","Y","")</f>
        <v/>
      </c>
      <c r="H1172" s="325" t="str">
        <f>IFERROR(VLOOKUP($D1172,'SDDA Dogs'!$A:$AE,2,FALSE),"")</f>
        <v/>
      </c>
      <c r="I1172" s="325" t="str">
        <f>IFERROR(VLOOKUP($D1172,'SDDA Dogs'!$A:$AE,3,FALSE),"")</f>
        <v/>
      </c>
      <c r="J1172" s="325" t="str">
        <f>IFERROR(VLOOKUP($D1172,'SDDA Dogs'!$A:$AE,6,FALSE),"")</f>
        <v/>
      </c>
      <c r="K1172" s="325" t="str">
        <f>IF(Advanced!AS80="","",Advanced!AS80)</f>
        <v/>
      </c>
      <c r="L1172" s="325" t="str">
        <f>IF(Advanced!AT80="","",Advanced!AT80)</f>
        <v/>
      </c>
      <c r="M1172" s="326" t="str">
        <f>TrialDateDay2</f>
        <v/>
      </c>
      <c r="N1172" s="325" t="str">
        <f t="shared" si="1168"/>
        <v/>
      </c>
      <c r="O1172" s="325">
        <f>JudgeD2CSA</f>
        <v>0</v>
      </c>
    </row>
    <row r="1173" spans="1:15" x14ac:dyDescent="0.25">
      <c r="A1173" s="2">
        <v>2</v>
      </c>
      <c r="B1173" s="2">
        <f t="shared" si="1167"/>
        <v>0</v>
      </c>
      <c r="C1173" s="2" t="str">
        <f t="shared" si="1167"/>
        <v>CSA</v>
      </c>
      <c r="D1173" s="2">
        <f t="shared" si="1167"/>
        <v>0</v>
      </c>
      <c r="E1173" s="2" t="str">
        <f t="shared" si="1167"/>
        <v>A</v>
      </c>
      <c r="F1173" s="2" t="str">
        <f t="shared" si="1167"/>
        <v>Container Advanced</v>
      </c>
      <c r="G1173" s="2" t="str">
        <f t="shared" si="1167"/>
        <v/>
      </c>
      <c r="H1173" s="2" t="str">
        <f t="shared" si="1167"/>
        <v/>
      </c>
      <c r="I1173" s="2" t="str">
        <f t="shared" si="1167"/>
        <v/>
      </c>
      <c r="J1173" s="2" t="str">
        <f t="shared" si="1167"/>
        <v/>
      </c>
      <c r="K1173" s="2" t="str">
        <f t="shared" si="1167"/>
        <v/>
      </c>
      <c r="L1173" s="2" t="str">
        <f t="shared" si="1167"/>
        <v/>
      </c>
      <c r="M1173" s="180" t="str">
        <f t="shared" si="1167"/>
        <v/>
      </c>
      <c r="N1173" s="2" t="str">
        <f t="shared" si="1168"/>
        <v/>
      </c>
      <c r="O1173" s="2">
        <f t="shared" si="1167"/>
        <v>0</v>
      </c>
    </row>
    <row r="1174" spans="1:15" x14ac:dyDescent="0.25">
      <c r="A1174" s="325">
        <v>1</v>
      </c>
      <c r="B1174" s="325">
        <f>TrialNumberDay2</f>
        <v>0</v>
      </c>
      <c r="C1174" s="325" t="s">
        <v>18</v>
      </c>
      <c r="D1174" s="325">
        <f>Advanced!C81</f>
        <v>0</v>
      </c>
      <c r="E1174" s="325" t="str">
        <f>IF(Advanced!B81="W","W","A")</f>
        <v>A</v>
      </c>
      <c r="F1174" s="325" t="s">
        <v>1737</v>
      </c>
      <c r="G1174" s="325" t="str">
        <f>IF(Advanced!G81="e","Y","")</f>
        <v/>
      </c>
      <c r="H1174" s="325" t="str">
        <f>IFERROR(VLOOKUP($D1174,'SDDA Dogs'!$A:$AE,2,FALSE),"")</f>
        <v/>
      </c>
      <c r="I1174" s="325" t="str">
        <f>IFERROR(VLOOKUP($D1174,'SDDA Dogs'!$A:$AE,3,FALSE),"")</f>
        <v/>
      </c>
      <c r="J1174" s="325" t="str">
        <f>IFERROR(VLOOKUP($D1174,'SDDA Dogs'!$A:$AE,6,FALSE),"")</f>
        <v/>
      </c>
      <c r="K1174" s="325" t="str">
        <f>IF(Advanced!AS81="","",Advanced!AS81)</f>
        <v/>
      </c>
      <c r="L1174" s="325" t="str">
        <f>IF(Advanced!AT81="","",Advanced!AT81)</f>
        <v/>
      </c>
      <c r="M1174" s="326" t="str">
        <f>TrialDateDay2</f>
        <v/>
      </c>
      <c r="N1174" s="325" t="str">
        <f t="shared" si="1168"/>
        <v/>
      </c>
      <c r="O1174" s="325">
        <f>JudgeD2CSA</f>
        <v>0</v>
      </c>
    </row>
    <row r="1175" spans="1:15" x14ac:dyDescent="0.25">
      <c r="A1175" s="2">
        <v>2</v>
      </c>
      <c r="B1175" s="2">
        <f t="shared" si="1167"/>
        <v>0</v>
      </c>
      <c r="C1175" s="2" t="str">
        <f t="shared" si="1167"/>
        <v>CSA</v>
      </c>
      <c r="D1175" s="2">
        <f t="shared" si="1167"/>
        <v>0</v>
      </c>
      <c r="E1175" s="2" t="str">
        <f t="shared" si="1167"/>
        <v>A</v>
      </c>
      <c r="F1175" s="2" t="str">
        <f t="shared" si="1167"/>
        <v>Container Advanced</v>
      </c>
      <c r="G1175" s="2" t="str">
        <f t="shared" si="1167"/>
        <v/>
      </c>
      <c r="H1175" s="2" t="str">
        <f t="shared" si="1167"/>
        <v/>
      </c>
      <c r="I1175" s="2" t="str">
        <f t="shared" si="1167"/>
        <v/>
      </c>
      <c r="J1175" s="2" t="str">
        <f t="shared" si="1167"/>
        <v/>
      </c>
      <c r="K1175" s="2" t="str">
        <f t="shared" si="1167"/>
        <v/>
      </c>
      <c r="L1175" s="2" t="str">
        <f t="shared" si="1167"/>
        <v/>
      </c>
      <c r="M1175" s="180" t="str">
        <f t="shared" si="1167"/>
        <v/>
      </c>
      <c r="N1175" s="2" t="str">
        <f t="shared" si="1168"/>
        <v/>
      </c>
      <c r="O1175" s="2">
        <f t="shared" si="1167"/>
        <v>0</v>
      </c>
    </row>
    <row r="1176" spans="1:15" x14ac:dyDescent="0.25">
      <c r="A1176" s="325">
        <v>1</v>
      </c>
      <c r="B1176" s="325">
        <f>TrialNumberDay2</f>
        <v>0</v>
      </c>
      <c r="C1176" s="325" t="s">
        <v>18</v>
      </c>
      <c r="D1176" s="325">
        <f>Advanced!C82</f>
        <v>0</v>
      </c>
      <c r="E1176" s="325" t="str">
        <f>IF(Advanced!B82="W","W","A")</f>
        <v>A</v>
      </c>
      <c r="F1176" s="325" t="s">
        <v>1737</v>
      </c>
      <c r="G1176" s="325" t="str">
        <f>IF(Advanced!G82="e","Y","")</f>
        <v/>
      </c>
      <c r="H1176" s="325" t="str">
        <f>IFERROR(VLOOKUP($D1176,'SDDA Dogs'!$A:$AE,2,FALSE),"")</f>
        <v/>
      </c>
      <c r="I1176" s="325" t="str">
        <f>IFERROR(VLOOKUP($D1176,'SDDA Dogs'!$A:$AE,3,FALSE),"")</f>
        <v/>
      </c>
      <c r="J1176" s="325" t="str">
        <f>IFERROR(VLOOKUP($D1176,'SDDA Dogs'!$A:$AE,6,FALSE),"")</f>
        <v/>
      </c>
      <c r="K1176" s="325" t="str">
        <f>IF(Advanced!AS82="","",Advanced!AS82)</f>
        <v/>
      </c>
      <c r="L1176" s="325" t="str">
        <f>IF(Advanced!AT82="","",Advanced!AT82)</f>
        <v/>
      </c>
      <c r="M1176" s="326" t="str">
        <f>TrialDateDay2</f>
        <v/>
      </c>
      <c r="N1176" s="325" t="str">
        <f t="shared" si="1168"/>
        <v/>
      </c>
      <c r="O1176" s="325">
        <f>JudgeD2CSA</f>
        <v>0</v>
      </c>
    </row>
    <row r="1177" spans="1:15" x14ac:dyDescent="0.25">
      <c r="A1177" s="2">
        <v>2</v>
      </c>
      <c r="B1177" s="2">
        <f t="shared" si="1167"/>
        <v>0</v>
      </c>
      <c r="C1177" s="2" t="str">
        <f t="shared" si="1167"/>
        <v>CSA</v>
      </c>
      <c r="D1177" s="2">
        <f t="shared" si="1167"/>
        <v>0</v>
      </c>
      <c r="E1177" s="2" t="str">
        <f t="shared" si="1167"/>
        <v>A</v>
      </c>
      <c r="F1177" s="2" t="str">
        <f t="shared" si="1167"/>
        <v>Container Advanced</v>
      </c>
      <c r="G1177" s="2" t="str">
        <f t="shared" si="1167"/>
        <v/>
      </c>
      <c r="H1177" s="2" t="str">
        <f t="shared" si="1167"/>
        <v/>
      </c>
      <c r="I1177" s="2" t="str">
        <f t="shared" si="1167"/>
        <v/>
      </c>
      <c r="J1177" s="2" t="str">
        <f t="shared" si="1167"/>
        <v/>
      </c>
      <c r="K1177" s="2" t="str">
        <f t="shared" si="1167"/>
        <v/>
      </c>
      <c r="L1177" s="2" t="str">
        <f t="shared" si="1167"/>
        <v/>
      </c>
      <c r="M1177" s="180" t="str">
        <f t="shared" si="1167"/>
        <v/>
      </c>
      <c r="N1177" s="2" t="str">
        <f t="shared" si="1168"/>
        <v/>
      </c>
      <c r="O1177" s="2">
        <f t="shared" si="1167"/>
        <v>0</v>
      </c>
    </row>
    <row r="1178" spans="1:15" x14ac:dyDescent="0.25">
      <c r="A1178" s="325">
        <v>1</v>
      </c>
      <c r="B1178" s="325">
        <f>TrialNumberDay2</f>
        <v>0</v>
      </c>
      <c r="C1178" s="325" t="s">
        <v>18</v>
      </c>
      <c r="D1178" s="325">
        <f>Advanced!C83</f>
        <v>0</v>
      </c>
      <c r="E1178" s="325" t="str">
        <f>IF(Advanced!B83="W","W","A")</f>
        <v>A</v>
      </c>
      <c r="F1178" s="325" t="s">
        <v>1737</v>
      </c>
      <c r="G1178" s="325" t="str">
        <f>IF(Advanced!G83="e","Y","")</f>
        <v/>
      </c>
      <c r="H1178" s="325" t="str">
        <f>IFERROR(VLOOKUP($D1178,'SDDA Dogs'!$A:$AE,2,FALSE),"")</f>
        <v/>
      </c>
      <c r="I1178" s="325" t="str">
        <f>IFERROR(VLOOKUP($D1178,'SDDA Dogs'!$A:$AE,3,FALSE),"")</f>
        <v/>
      </c>
      <c r="J1178" s="325" t="str">
        <f>IFERROR(VLOOKUP($D1178,'SDDA Dogs'!$A:$AE,6,FALSE),"")</f>
        <v/>
      </c>
      <c r="K1178" s="325" t="str">
        <f>IF(Advanced!AS83="","",Advanced!AS83)</f>
        <v/>
      </c>
      <c r="L1178" s="325" t="str">
        <f>IF(Advanced!AT83="","",Advanced!AT83)</f>
        <v/>
      </c>
      <c r="M1178" s="326" t="str">
        <f>TrialDateDay2</f>
        <v/>
      </c>
      <c r="N1178" s="325" t="str">
        <f t="shared" si="1168"/>
        <v/>
      </c>
      <c r="O1178" s="325">
        <f>JudgeD2CSA</f>
        <v>0</v>
      </c>
    </row>
    <row r="1179" spans="1:15" x14ac:dyDescent="0.25">
      <c r="A1179" s="2">
        <v>2</v>
      </c>
      <c r="B1179" s="2">
        <f t="shared" si="1167"/>
        <v>0</v>
      </c>
      <c r="C1179" s="2" t="str">
        <f t="shared" si="1167"/>
        <v>CSA</v>
      </c>
      <c r="D1179" s="2">
        <f t="shared" si="1167"/>
        <v>0</v>
      </c>
      <c r="E1179" s="2" t="str">
        <f t="shared" ref="E1179:O1183" si="1169">E1178</f>
        <v>A</v>
      </c>
      <c r="F1179" s="2" t="str">
        <f t="shared" si="1169"/>
        <v>Container Advanced</v>
      </c>
      <c r="G1179" s="2" t="str">
        <f t="shared" si="1169"/>
        <v/>
      </c>
      <c r="H1179" s="2" t="str">
        <f t="shared" si="1169"/>
        <v/>
      </c>
      <c r="I1179" s="2" t="str">
        <f t="shared" si="1169"/>
        <v/>
      </c>
      <c r="J1179" s="2" t="str">
        <f t="shared" si="1169"/>
        <v/>
      </c>
      <c r="K1179" s="2" t="str">
        <f t="shared" si="1169"/>
        <v/>
      </c>
      <c r="L1179" s="2" t="str">
        <f t="shared" si="1169"/>
        <v/>
      </c>
      <c r="M1179" s="180" t="str">
        <f t="shared" si="1169"/>
        <v/>
      </c>
      <c r="N1179" s="2" t="str">
        <f t="shared" si="1168"/>
        <v/>
      </c>
      <c r="O1179" s="2">
        <f t="shared" si="1169"/>
        <v>0</v>
      </c>
    </row>
    <row r="1180" spans="1:15" x14ac:dyDescent="0.25">
      <c r="A1180" s="325">
        <v>1</v>
      </c>
      <c r="B1180" s="325">
        <f>TrialNumberDay2</f>
        <v>0</v>
      </c>
      <c r="C1180" s="325" t="s">
        <v>18</v>
      </c>
      <c r="D1180" s="325">
        <f>Advanced!C84</f>
        <v>0</v>
      </c>
      <c r="E1180" s="325" t="str">
        <f>IF(Advanced!B84="W","W","A")</f>
        <v>A</v>
      </c>
      <c r="F1180" s="325" t="s">
        <v>1737</v>
      </c>
      <c r="G1180" s="325" t="str">
        <f>IF(Advanced!G84="e","Y","")</f>
        <v/>
      </c>
      <c r="H1180" s="325" t="str">
        <f>IFERROR(VLOOKUP($D1180,'SDDA Dogs'!$A:$AE,2,FALSE),"")</f>
        <v/>
      </c>
      <c r="I1180" s="325" t="str">
        <f>IFERROR(VLOOKUP($D1180,'SDDA Dogs'!$A:$AE,3,FALSE),"")</f>
        <v/>
      </c>
      <c r="J1180" s="325" t="str">
        <f>IFERROR(VLOOKUP($D1180,'SDDA Dogs'!$A:$AE,6,FALSE),"")</f>
        <v/>
      </c>
      <c r="K1180" s="325" t="str">
        <f>IF(Advanced!AS84="","",Advanced!AS84)</f>
        <v/>
      </c>
      <c r="L1180" s="325" t="str">
        <f>IF(Advanced!AT84="","",Advanced!AT84)</f>
        <v/>
      </c>
      <c r="M1180" s="326" t="str">
        <f>TrialDateDay2</f>
        <v/>
      </c>
      <c r="N1180" s="325" t="str">
        <f t="shared" si="1168"/>
        <v/>
      </c>
      <c r="O1180" s="325">
        <f>JudgeD2CSA</f>
        <v>0</v>
      </c>
    </row>
    <row r="1181" spans="1:15" x14ac:dyDescent="0.25">
      <c r="A1181" s="2">
        <v>2</v>
      </c>
      <c r="B1181" s="2">
        <f t="shared" ref="B1181:D1183" si="1170">B1180</f>
        <v>0</v>
      </c>
      <c r="C1181" s="2" t="str">
        <f t="shared" si="1170"/>
        <v>CSA</v>
      </c>
      <c r="D1181" s="2">
        <f t="shared" si="1170"/>
        <v>0</v>
      </c>
      <c r="E1181" s="2" t="str">
        <f t="shared" si="1169"/>
        <v>A</v>
      </c>
      <c r="F1181" s="2" t="str">
        <f t="shared" si="1169"/>
        <v>Container Advanced</v>
      </c>
      <c r="G1181" s="2" t="str">
        <f t="shared" si="1169"/>
        <v/>
      </c>
      <c r="H1181" s="2" t="str">
        <f t="shared" si="1169"/>
        <v/>
      </c>
      <c r="I1181" s="2" t="str">
        <f t="shared" si="1169"/>
        <v/>
      </c>
      <c r="J1181" s="2" t="str">
        <f t="shared" si="1169"/>
        <v/>
      </c>
      <c r="K1181" s="2" t="str">
        <f t="shared" si="1169"/>
        <v/>
      </c>
      <c r="L1181" s="2" t="str">
        <f t="shared" si="1169"/>
        <v/>
      </c>
      <c r="M1181" s="180" t="str">
        <f t="shared" si="1169"/>
        <v/>
      </c>
      <c r="N1181" s="2" t="str">
        <f t="shared" si="1168"/>
        <v/>
      </c>
      <c r="O1181" s="2">
        <f t="shared" si="1169"/>
        <v>0</v>
      </c>
    </row>
    <row r="1182" spans="1:15" x14ac:dyDescent="0.25">
      <c r="A1182" s="325">
        <v>1</v>
      </c>
      <c r="B1182" s="325">
        <f>TrialNumberDay2</f>
        <v>0</v>
      </c>
      <c r="C1182" s="325" t="s">
        <v>18</v>
      </c>
      <c r="D1182" s="325">
        <f>Advanced!C85</f>
        <v>0</v>
      </c>
      <c r="E1182" s="325" t="str">
        <f>IF(Advanced!B85="W","W","A")</f>
        <v>A</v>
      </c>
      <c r="F1182" s="325" t="s">
        <v>1737</v>
      </c>
      <c r="G1182" s="325" t="str">
        <f>IF(Advanced!G85="e","Y","")</f>
        <v/>
      </c>
      <c r="H1182" s="325" t="str">
        <f>IFERROR(VLOOKUP($D1182,'SDDA Dogs'!$A:$AE,2,FALSE),"")</f>
        <v/>
      </c>
      <c r="I1182" s="325" t="str">
        <f>IFERROR(VLOOKUP($D1182,'SDDA Dogs'!$A:$AE,3,FALSE),"")</f>
        <v/>
      </c>
      <c r="J1182" s="325" t="str">
        <f>IFERROR(VLOOKUP($D1182,'SDDA Dogs'!$A:$AE,6,FALSE),"")</f>
        <v/>
      </c>
      <c r="K1182" s="325" t="str">
        <f>IF(Advanced!AS85="","",Advanced!AS85)</f>
        <v/>
      </c>
      <c r="L1182" s="325" t="str">
        <f>IF(Advanced!AT85="","",Advanced!AT85)</f>
        <v/>
      </c>
      <c r="M1182" s="326" t="str">
        <f>TrialDateDay2</f>
        <v/>
      </c>
      <c r="N1182" s="325" t="str">
        <f t="shared" si="1168"/>
        <v/>
      </c>
      <c r="O1182" s="325">
        <f>JudgeD2CSA</f>
        <v>0</v>
      </c>
    </row>
    <row r="1183" spans="1:15" x14ac:dyDescent="0.25">
      <c r="A1183" s="2">
        <v>2</v>
      </c>
      <c r="B1183" s="2">
        <f t="shared" si="1170"/>
        <v>0</v>
      </c>
      <c r="C1183" s="2" t="str">
        <f t="shared" si="1170"/>
        <v>CSA</v>
      </c>
      <c r="D1183" s="2">
        <f t="shared" si="1170"/>
        <v>0</v>
      </c>
      <c r="E1183" s="2" t="str">
        <f t="shared" si="1169"/>
        <v>A</v>
      </c>
      <c r="F1183" s="2" t="str">
        <f t="shared" si="1169"/>
        <v>Container Advanced</v>
      </c>
      <c r="G1183" s="2" t="str">
        <f t="shared" si="1169"/>
        <v/>
      </c>
      <c r="H1183" s="2" t="str">
        <f t="shared" si="1169"/>
        <v/>
      </c>
      <c r="I1183" s="2" t="str">
        <f t="shared" si="1169"/>
        <v/>
      </c>
      <c r="J1183" s="2" t="str">
        <f t="shared" si="1169"/>
        <v/>
      </c>
      <c r="K1183" s="2" t="str">
        <f t="shared" si="1169"/>
        <v/>
      </c>
      <c r="L1183" s="2" t="str">
        <f t="shared" si="1169"/>
        <v/>
      </c>
      <c r="M1183" s="180" t="str">
        <f t="shared" si="1169"/>
        <v/>
      </c>
      <c r="N1183" s="2" t="str">
        <f t="shared" si="1168"/>
        <v/>
      </c>
      <c r="O1183" s="2">
        <f t="shared" si="1169"/>
        <v>0</v>
      </c>
    </row>
    <row r="1184" spans="1:15" x14ac:dyDescent="0.25">
      <c r="A1184" s="325">
        <v>1</v>
      </c>
      <c r="B1184" s="325">
        <f>TrialNumberDay2</f>
        <v>0</v>
      </c>
      <c r="C1184" s="325" t="s">
        <v>18</v>
      </c>
      <c r="D1184" s="325">
        <f>Advanced!C86</f>
        <v>0</v>
      </c>
      <c r="E1184" s="325" t="str">
        <f>IF(Advanced!B86="W","W","A")</f>
        <v>A</v>
      </c>
      <c r="F1184" s="325" t="s">
        <v>1737</v>
      </c>
      <c r="G1184" s="325" t="str">
        <f>IF(Advanced!G86="e","Y","")</f>
        <v/>
      </c>
      <c r="H1184" s="325" t="str">
        <f>IFERROR(VLOOKUP($D1184,'SDDA Dogs'!$A:$AE,2,FALSE),"")</f>
        <v/>
      </c>
      <c r="I1184" s="325" t="str">
        <f>IFERROR(VLOOKUP($D1184,'SDDA Dogs'!$A:$AE,3,FALSE),"")</f>
        <v/>
      </c>
      <c r="J1184" s="325" t="str">
        <f>IFERROR(VLOOKUP($D1184,'SDDA Dogs'!$A:$AE,6,FALSE),"")</f>
        <v/>
      </c>
      <c r="K1184" s="325" t="str">
        <f>IF(Advanced!AS86="","",Advanced!AS86)</f>
        <v/>
      </c>
      <c r="L1184" s="325" t="str">
        <f>IF(Advanced!AT86="","",Advanced!AT86)</f>
        <v/>
      </c>
      <c r="M1184" s="326" t="str">
        <f>TrialDateDay2</f>
        <v/>
      </c>
      <c r="N1184" s="325" t="str">
        <f t="shared" si="1168"/>
        <v/>
      </c>
      <c r="O1184" s="325">
        <f>JudgeD2CSA</f>
        <v>0</v>
      </c>
    </row>
    <row r="1185" spans="1:15" x14ac:dyDescent="0.25">
      <c r="A1185" s="2">
        <v>2</v>
      </c>
      <c r="B1185" s="2">
        <f t="shared" ref="B1185:O1185" si="1171">B1184</f>
        <v>0</v>
      </c>
      <c r="C1185" s="2" t="str">
        <f t="shared" si="1171"/>
        <v>CSA</v>
      </c>
      <c r="D1185" s="2">
        <f t="shared" si="1171"/>
        <v>0</v>
      </c>
      <c r="E1185" s="2" t="str">
        <f t="shared" si="1171"/>
        <v>A</v>
      </c>
      <c r="F1185" s="2" t="str">
        <f t="shared" si="1171"/>
        <v>Container Advanced</v>
      </c>
      <c r="G1185" s="2" t="str">
        <f t="shared" si="1171"/>
        <v/>
      </c>
      <c r="H1185" s="2" t="str">
        <f t="shared" si="1171"/>
        <v/>
      </c>
      <c r="I1185" s="2" t="str">
        <f t="shared" si="1171"/>
        <v/>
      </c>
      <c r="J1185" s="2" t="str">
        <f t="shared" si="1171"/>
        <v/>
      </c>
      <c r="K1185" s="2" t="str">
        <f t="shared" si="1171"/>
        <v/>
      </c>
      <c r="L1185" s="2" t="str">
        <f t="shared" si="1171"/>
        <v/>
      </c>
      <c r="M1185" s="180" t="str">
        <f t="shared" si="1171"/>
        <v/>
      </c>
      <c r="N1185" s="2" t="str">
        <f t="shared" si="1168"/>
        <v/>
      </c>
      <c r="O1185" s="2">
        <f t="shared" si="1171"/>
        <v>0</v>
      </c>
    </row>
    <row r="1186" spans="1:15" x14ac:dyDescent="0.25">
      <c r="A1186" s="325">
        <v>1</v>
      </c>
      <c r="B1186" s="325">
        <f>TrialNumberDay2</f>
        <v>0</v>
      </c>
      <c r="C1186" s="325" t="s">
        <v>18</v>
      </c>
      <c r="D1186" s="325">
        <f>Advanced!C87</f>
        <v>0</v>
      </c>
      <c r="E1186" s="325" t="str">
        <f>IF(Advanced!B87="W","W","A")</f>
        <v>A</v>
      </c>
      <c r="F1186" s="325" t="s">
        <v>1737</v>
      </c>
      <c r="G1186" s="325" t="str">
        <f>IF(Advanced!G87="e","Y","")</f>
        <v/>
      </c>
      <c r="H1186" s="325" t="str">
        <f>IFERROR(VLOOKUP($D1186,'SDDA Dogs'!$A:$AE,2,FALSE),"")</f>
        <v/>
      </c>
      <c r="I1186" s="325" t="str">
        <f>IFERROR(VLOOKUP($D1186,'SDDA Dogs'!$A:$AE,3,FALSE),"")</f>
        <v/>
      </c>
      <c r="J1186" s="325" t="str">
        <f>IFERROR(VLOOKUP($D1186,'SDDA Dogs'!$A:$AE,6,FALSE),"")</f>
        <v/>
      </c>
      <c r="K1186" s="325" t="str">
        <f>IF(Advanced!AS87="","",Advanced!AS87)</f>
        <v/>
      </c>
      <c r="L1186" s="325" t="str">
        <f>IF(Advanced!AT87="","",Advanced!AT87)</f>
        <v/>
      </c>
      <c r="M1186" s="326" t="str">
        <f>TrialDateDay2</f>
        <v/>
      </c>
      <c r="N1186" s="325" t="str">
        <f t="shared" si="1168"/>
        <v/>
      </c>
      <c r="O1186" s="325">
        <f>JudgeD2CSA</f>
        <v>0</v>
      </c>
    </row>
    <row r="1187" spans="1:15" x14ac:dyDescent="0.25">
      <c r="A1187" s="2">
        <v>2</v>
      </c>
      <c r="B1187" s="2">
        <f t="shared" ref="B1187:O1187" si="1172">B1186</f>
        <v>0</v>
      </c>
      <c r="C1187" s="2" t="str">
        <f t="shared" si="1172"/>
        <v>CSA</v>
      </c>
      <c r="D1187" s="2">
        <f t="shared" si="1172"/>
        <v>0</v>
      </c>
      <c r="E1187" s="2" t="str">
        <f t="shared" si="1172"/>
        <v>A</v>
      </c>
      <c r="F1187" s="2" t="str">
        <f t="shared" si="1172"/>
        <v>Container Advanced</v>
      </c>
      <c r="G1187" s="2" t="str">
        <f t="shared" si="1172"/>
        <v/>
      </c>
      <c r="H1187" s="2" t="str">
        <f t="shared" si="1172"/>
        <v/>
      </c>
      <c r="I1187" s="2" t="str">
        <f t="shared" si="1172"/>
        <v/>
      </c>
      <c r="J1187" s="2" t="str">
        <f t="shared" si="1172"/>
        <v/>
      </c>
      <c r="K1187" s="2" t="str">
        <f t="shared" si="1172"/>
        <v/>
      </c>
      <c r="L1187" s="2" t="str">
        <f t="shared" si="1172"/>
        <v/>
      </c>
      <c r="M1187" s="180" t="str">
        <f t="shared" si="1172"/>
        <v/>
      </c>
      <c r="N1187" s="2" t="str">
        <f t="shared" si="1168"/>
        <v/>
      </c>
      <c r="O1187" s="2">
        <f t="shared" si="1172"/>
        <v>0</v>
      </c>
    </row>
    <row r="1188" spans="1:15" x14ac:dyDescent="0.25">
      <c r="A1188" s="325">
        <v>1</v>
      </c>
      <c r="B1188" s="325">
        <f>TrialNumberDay2</f>
        <v>0</v>
      </c>
      <c r="C1188" s="325" t="s">
        <v>18</v>
      </c>
      <c r="D1188" s="325">
        <f>Advanced!C88</f>
        <v>0</v>
      </c>
      <c r="E1188" s="325" t="str">
        <f>IF(Advanced!B88="W","W","A")</f>
        <v>A</v>
      </c>
      <c r="F1188" s="325" t="s">
        <v>1737</v>
      </c>
      <c r="G1188" s="325" t="str">
        <f>IF(Advanced!G88="e","Y","")</f>
        <v/>
      </c>
      <c r="H1188" s="325" t="str">
        <f>IFERROR(VLOOKUP($D1188,'SDDA Dogs'!$A:$AE,2,FALSE),"")</f>
        <v/>
      </c>
      <c r="I1188" s="325" t="str">
        <f>IFERROR(VLOOKUP($D1188,'SDDA Dogs'!$A:$AE,3,FALSE),"")</f>
        <v/>
      </c>
      <c r="J1188" s="325" t="str">
        <f>IFERROR(VLOOKUP($D1188,'SDDA Dogs'!$A:$AE,6,FALSE),"")</f>
        <v/>
      </c>
      <c r="K1188" s="325" t="str">
        <f>IF(Advanced!AS88="","",Advanced!AS88)</f>
        <v/>
      </c>
      <c r="L1188" s="325" t="str">
        <f>IF(Advanced!AT88="","",Advanced!AT88)</f>
        <v/>
      </c>
      <c r="M1188" s="326" t="str">
        <f>TrialDateDay2</f>
        <v/>
      </c>
      <c r="N1188" s="325" t="str">
        <f t="shared" si="1168"/>
        <v/>
      </c>
      <c r="O1188" s="325">
        <f>JudgeD2CSA</f>
        <v>0</v>
      </c>
    </row>
    <row r="1189" spans="1:15" x14ac:dyDescent="0.25">
      <c r="A1189" s="2">
        <v>2</v>
      </c>
      <c r="B1189" s="2">
        <f t="shared" ref="B1189:O1189" si="1173">B1188</f>
        <v>0</v>
      </c>
      <c r="C1189" s="2" t="str">
        <f t="shared" si="1173"/>
        <v>CSA</v>
      </c>
      <c r="D1189" s="2">
        <f t="shared" si="1173"/>
        <v>0</v>
      </c>
      <c r="E1189" s="2" t="str">
        <f t="shared" si="1173"/>
        <v>A</v>
      </c>
      <c r="F1189" s="2" t="str">
        <f t="shared" si="1173"/>
        <v>Container Advanced</v>
      </c>
      <c r="G1189" s="2" t="str">
        <f t="shared" si="1173"/>
        <v/>
      </c>
      <c r="H1189" s="2" t="str">
        <f t="shared" si="1173"/>
        <v/>
      </c>
      <c r="I1189" s="2" t="str">
        <f t="shared" si="1173"/>
        <v/>
      </c>
      <c r="J1189" s="2" t="str">
        <f t="shared" si="1173"/>
        <v/>
      </c>
      <c r="K1189" s="2" t="str">
        <f t="shared" si="1173"/>
        <v/>
      </c>
      <c r="L1189" s="2" t="str">
        <f t="shared" si="1173"/>
        <v/>
      </c>
      <c r="M1189" s="180" t="str">
        <f t="shared" si="1173"/>
        <v/>
      </c>
      <c r="N1189" s="2" t="str">
        <f t="shared" si="1168"/>
        <v/>
      </c>
      <c r="O1189" s="2">
        <f t="shared" si="1173"/>
        <v>0</v>
      </c>
    </row>
    <row r="1190" spans="1:15" x14ac:dyDescent="0.25">
      <c r="A1190" s="325">
        <v>1</v>
      </c>
      <c r="B1190" s="325">
        <f>TrialNumberDay2</f>
        <v>0</v>
      </c>
      <c r="C1190" s="325" t="s">
        <v>18</v>
      </c>
      <c r="D1190" s="325">
        <f>Advanced!C89</f>
        <v>0</v>
      </c>
      <c r="E1190" s="325" t="str">
        <f>IF(Advanced!B89="W","W","A")</f>
        <v>A</v>
      </c>
      <c r="F1190" s="325" t="s">
        <v>1737</v>
      </c>
      <c r="G1190" s="325" t="str">
        <f>IF(Advanced!G89="e","Y","")</f>
        <v/>
      </c>
      <c r="H1190" s="325" t="str">
        <f>IFERROR(VLOOKUP($D1190,'SDDA Dogs'!$A:$AE,2,FALSE),"")</f>
        <v/>
      </c>
      <c r="I1190" s="325" t="str">
        <f>IFERROR(VLOOKUP($D1190,'SDDA Dogs'!$A:$AE,3,FALSE),"")</f>
        <v/>
      </c>
      <c r="J1190" s="325" t="str">
        <f>IFERROR(VLOOKUP($D1190,'SDDA Dogs'!$A:$AE,6,FALSE),"")</f>
        <v/>
      </c>
      <c r="K1190" s="325" t="str">
        <f>IF(Advanced!AS89="","",Advanced!AS89)</f>
        <v/>
      </c>
      <c r="L1190" s="325" t="str">
        <f>IF(Advanced!AT89="","",Advanced!AT89)</f>
        <v/>
      </c>
      <c r="M1190" s="326" t="str">
        <f>TrialDateDay2</f>
        <v/>
      </c>
      <c r="N1190" s="325" t="str">
        <f t="shared" si="1168"/>
        <v/>
      </c>
      <c r="O1190" s="325">
        <f>JudgeD2CSA</f>
        <v>0</v>
      </c>
    </row>
    <row r="1191" spans="1:15" x14ac:dyDescent="0.25">
      <c r="A1191" s="2">
        <v>2</v>
      </c>
      <c r="B1191" s="2">
        <f t="shared" ref="B1191:O1191" si="1174">B1190</f>
        <v>0</v>
      </c>
      <c r="C1191" s="2" t="str">
        <f t="shared" si="1174"/>
        <v>CSA</v>
      </c>
      <c r="D1191" s="2">
        <f t="shared" si="1174"/>
        <v>0</v>
      </c>
      <c r="E1191" s="2" t="str">
        <f t="shared" si="1174"/>
        <v>A</v>
      </c>
      <c r="F1191" s="2" t="str">
        <f t="shared" si="1174"/>
        <v>Container Advanced</v>
      </c>
      <c r="G1191" s="2" t="str">
        <f t="shared" si="1174"/>
        <v/>
      </c>
      <c r="H1191" s="2" t="str">
        <f t="shared" si="1174"/>
        <v/>
      </c>
      <c r="I1191" s="2" t="str">
        <f t="shared" si="1174"/>
        <v/>
      </c>
      <c r="J1191" s="2" t="str">
        <f t="shared" si="1174"/>
        <v/>
      </c>
      <c r="K1191" s="2" t="str">
        <f t="shared" si="1174"/>
        <v/>
      </c>
      <c r="L1191" s="2" t="str">
        <f t="shared" si="1174"/>
        <v/>
      </c>
      <c r="M1191" s="180" t="str">
        <f t="shared" si="1174"/>
        <v/>
      </c>
      <c r="N1191" s="2" t="str">
        <f t="shared" si="1168"/>
        <v/>
      </c>
      <c r="O1191" s="2">
        <f t="shared" si="1174"/>
        <v>0</v>
      </c>
    </row>
    <row r="1192" spans="1:15" x14ac:dyDescent="0.25">
      <c r="A1192" s="325">
        <v>1</v>
      </c>
      <c r="B1192" s="325">
        <f>TrialNumberDay2</f>
        <v>0</v>
      </c>
      <c r="C1192" s="325" t="s">
        <v>18</v>
      </c>
      <c r="D1192" s="325">
        <f>Advanced!C90</f>
        <v>0</v>
      </c>
      <c r="E1192" s="325" t="str">
        <f>IF(Advanced!B90="W","W","A")</f>
        <v>A</v>
      </c>
      <c r="F1192" s="325" t="s">
        <v>1737</v>
      </c>
      <c r="G1192" s="325" t="str">
        <f>IF(Advanced!G90="e","Y","")</f>
        <v/>
      </c>
      <c r="H1192" s="325" t="str">
        <f>IFERROR(VLOOKUP($D1192,'SDDA Dogs'!$A:$AE,2,FALSE),"")</f>
        <v/>
      </c>
      <c r="I1192" s="325" t="str">
        <f>IFERROR(VLOOKUP($D1192,'SDDA Dogs'!$A:$AE,3,FALSE),"")</f>
        <v/>
      </c>
      <c r="J1192" s="325" t="str">
        <f>IFERROR(VLOOKUP($D1192,'SDDA Dogs'!$A:$AE,6,FALSE),"")</f>
        <v/>
      </c>
      <c r="K1192" s="325" t="str">
        <f>IF(Advanced!AS90="","",Advanced!AS90)</f>
        <v/>
      </c>
      <c r="L1192" s="325" t="str">
        <f>IF(Advanced!AT90="","",Advanced!AT90)</f>
        <v/>
      </c>
      <c r="M1192" s="326" t="str">
        <f>TrialDateDay2</f>
        <v/>
      </c>
      <c r="N1192" s="325" t="str">
        <f t="shared" si="1168"/>
        <v/>
      </c>
      <c r="O1192" s="325">
        <f>JudgeD2CSA</f>
        <v>0</v>
      </c>
    </row>
    <row r="1193" spans="1:15" x14ac:dyDescent="0.25">
      <c r="A1193" s="2">
        <v>2</v>
      </c>
      <c r="B1193" s="2">
        <f t="shared" ref="B1193:O1193" si="1175">B1192</f>
        <v>0</v>
      </c>
      <c r="C1193" s="2" t="str">
        <f t="shared" si="1175"/>
        <v>CSA</v>
      </c>
      <c r="D1193" s="2">
        <f t="shared" si="1175"/>
        <v>0</v>
      </c>
      <c r="E1193" s="2" t="str">
        <f t="shared" si="1175"/>
        <v>A</v>
      </c>
      <c r="F1193" s="2" t="str">
        <f t="shared" si="1175"/>
        <v>Container Advanced</v>
      </c>
      <c r="G1193" s="2" t="str">
        <f t="shared" si="1175"/>
        <v/>
      </c>
      <c r="H1193" s="2" t="str">
        <f t="shared" si="1175"/>
        <v/>
      </c>
      <c r="I1193" s="2" t="str">
        <f t="shared" si="1175"/>
        <v/>
      </c>
      <c r="J1193" s="2" t="str">
        <f t="shared" si="1175"/>
        <v/>
      </c>
      <c r="K1193" s="2" t="str">
        <f t="shared" si="1175"/>
        <v/>
      </c>
      <c r="L1193" s="2" t="str">
        <f t="shared" si="1175"/>
        <v/>
      </c>
      <c r="M1193" s="180" t="str">
        <f t="shared" si="1175"/>
        <v/>
      </c>
      <c r="N1193" s="2" t="str">
        <f t="shared" si="1168"/>
        <v/>
      </c>
      <c r="O1193" s="2">
        <f t="shared" si="1175"/>
        <v>0</v>
      </c>
    </row>
    <row r="1194" spans="1:15" x14ac:dyDescent="0.25">
      <c r="A1194" s="325">
        <v>1</v>
      </c>
      <c r="B1194" s="325">
        <f>TrialNumberDay2</f>
        <v>0</v>
      </c>
      <c r="C1194" s="325" t="s">
        <v>18</v>
      </c>
      <c r="D1194" s="325">
        <f>Advanced!C91</f>
        <v>0</v>
      </c>
      <c r="E1194" s="325" t="str">
        <f>IF(Advanced!B91="W","W","A")</f>
        <v>A</v>
      </c>
      <c r="F1194" s="325" t="s">
        <v>1737</v>
      </c>
      <c r="G1194" s="325" t="str">
        <f>IF(Advanced!G91="e","Y","")</f>
        <v/>
      </c>
      <c r="H1194" s="325" t="str">
        <f>IFERROR(VLOOKUP($D1194,'SDDA Dogs'!$A:$AE,2,FALSE),"")</f>
        <v/>
      </c>
      <c r="I1194" s="325" t="str">
        <f>IFERROR(VLOOKUP($D1194,'SDDA Dogs'!$A:$AE,3,FALSE),"")</f>
        <v/>
      </c>
      <c r="J1194" s="325" t="str">
        <f>IFERROR(VLOOKUP($D1194,'SDDA Dogs'!$A:$AE,6,FALSE),"")</f>
        <v/>
      </c>
      <c r="K1194" s="325" t="str">
        <f>IF(Advanced!AS91="","",Advanced!AS91)</f>
        <v/>
      </c>
      <c r="L1194" s="325" t="str">
        <f>IF(Advanced!AT91="","",Advanced!AT91)</f>
        <v/>
      </c>
      <c r="M1194" s="326" t="str">
        <f>TrialDateDay2</f>
        <v/>
      </c>
      <c r="N1194" s="325" t="str">
        <f t="shared" si="1168"/>
        <v/>
      </c>
      <c r="O1194" s="325">
        <f>JudgeD2CSA</f>
        <v>0</v>
      </c>
    </row>
    <row r="1195" spans="1:15" x14ac:dyDescent="0.25">
      <c r="A1195" s="2">
        <v>2</v>
      </c>
      <c r="B1195" s="2">
        <f t="shared" ref="B1195:O1195" si="1176">B1194</f>
        <v>0</v>
      </c>
      <c r="C1195" s="2" t="str">
        <f t="shared" si="1176"/>
        <v>CSA</v>
      </c>
      <c r="D1195" s="2">
        <f t="shared" si="1176"/>
        <v>0</v>
      </c>
      <c r="E1195" s="2" t="str">
        <f t="shared" si="1176"/>
        <v>A</v>
      </c>
      <c r="F1195" s="2" t="str">
        <f t="shared" si="1176"/>
        <v>Container Advanced</v>
      </c>
      <c r="G1195" s="2" t="str">
        <f t="shared" si="1176"/>
        <v/>
      </c>
      <c r="H1195" s="2" t="str">
        <f t="shared" si="1176"/>
        <v/>
      </c>
      <c r="I1195" s="2" t="str">
        <f t="shared" si="1176"/>
        <v/>
      </c>
      <c r="J1195" s="2" t="str">
        <f t="shared" si="1176"/>
        <v/>
      </c>
      <c r="K1195" s="2" t="str">
        <f t="shared" si="1176"/>
        <v/>
      </c>
      <c r="L1195" s="2" t="str">
        <f t="shared" si="1176"/>
        <v/>
      </c>
      <c r="M1195" s="180" t="str">
        <f t="shared" si="1176"/>
        <v/>
      </c>
      <c r="N1195" s="2" t="str">
        <f t="shared" si="1168"/>
        <v/>
      </c>
      <c r="O1195" s="2">
        <f t="shared" si="1176"/>
        <v>0</v>
      </c>
    </row>
    <row r="1196" spans="1:15" x14ac:dyDescent="0.25">
      <c r="A1196" s="325">
        <v>1</v>
      </c>
      <c r="B1196" s="325">
        <f>TrialNumberDay2</f>
        <v>0</v>
      </c>
      <c r="C1196" s="325" t="s">
        <v>18</v>
      </c>
      <c r="D1196" s="325">
        <f>Advanced!C92</f>
        <v>0</v>
      </c>
      <c r="E1196" s="325" t="str">
        <f>IF(Advanced!B92="W","W","A")</f>
        <v>A</v>
      </c>
      <c r="F1196" s="325" t="s">
        <v>1737</v>
      </c>
      <c r="G1196" s="325" t="str">
        <f>IF(Advanced!G92="e","Y","")</f>
        <v/>
      </c>
      <c r="H1196" s="325" t="str">
        <f>IFERROR(VLOOKUP($D1196,'SDDA Dogs'!$A:$AE,2,FALSE),"")</f>
        <v/>
      </c>
      <c r="I1196" s="325" t="str">
        <f>IFERROR(VLOOKUP($D1196,'SDDA Dogs'!$A:$AE,3,FALSE),"")</f>
        <v/>
      </c>
      <c r="J1196" s="325" t="str">
        <f>IFERROR(VLOOKUP($D1196,'SDDA Dogs'!$A:$AE,6,FALSE),"")</f>
        <v/>
      </c>
      <c r="K1196" s="325" t="str">
        <f>IF(Advanced!AS92="","",Advanced!AS92)</f>
        <v/>
      </c>
      <c r="L1196" s="325" t="str">
        <f>IF(Advanced!AT92="","",Advanced!AT92)</f>
        <v/>
      </c>
      <c r="M1196" s="326" t="str">
        <f>TrialDateDay2</f>
        <v/>
      </c>
      <c r="N1196" s="325" t="str">
        <f t="shared" si="1168"/>
        <v/>
      </c>
      <c r="O1196" s="325">
        <f>JudgeD2CSA</f>
        <v>0</v>
      </c>
    </row>
    <row r="1197" spans="1:15" x14ac:dyDescent="0.25">
      <c r="A1197" s="2">
        <v>2</v>
      </c>
      <c r="B1197" s="2">
        <f t="shared" ref="B1197:O1197" si="1177">B1196</f>
        <v>0</v>
      </c>
      <c r="C1197" s="2" t="str">
        <f t="shared" si="1177"/>
        <v>CSA</v>
      </c>
      <c r="D1197" s="2">
        <f t="shared" si="1177"/>
        <v>0</v>
      </c>
      <c r="E1197" s="2" t="str">
        <f t="shared" si="1177"/>
        <v>A</v>
      </c>
      <c r="F1197" s="2" t="str">
        <f t="shared" si="1177"/>
        <v>Container Advanced</v>
      </c>
      <c r="G1197" s="2" t="str">
        <f t="shared" si="1177"/>
        <v/>
      </c>
      <c r="H1197" s="2" t="str">
        <f t="shared" si="1177"/>
        <v/>
      </c>
      <c r="I1197" s="2" t="str">
        <f t="shared" si="1177"/>
        <v/>
      </c>
      <c r="J1197" s="2" t="str">
        <f t="shared" si="1177"/>
        <v/>
      </c>
      <c r="K1197" s="2" t="str">
        <f t="shared" si="1177"/>
        <v/>
      </c>
      <c r="L1197" s="2" t="str">
        <f t="shared" si="1177"/>
        <v/>
      </c>
      <c r="M1197" s="180" t="str">
        <f t="shared" si="1177"/>
        <v/>
      </c>
      <c r="N1197" s="2" t="str">
        <f t="shared" si="1168"/>
        <v/>
      </c>
      <c r="O1197" s="2">
        <f t="shared" si="1177"/>
        <v>0</v>
      </c>
    </row>
    <row r="1198" spans="1:15" x14ac:dyDescent="0.25">
      <c r="A1198" s="325">
        <v>1</v>
      </c>
      <c r="B1198" s="325">
        <f>TrialNumberDay2</f>
        <v>0</v>
      </c>
      <c r="C1198" s="325" t="s">
        <v>18</v>
      </c>
      <c r="D1198" s="325">
        <f>Advanced!C93</f>
        <v>0</v>
      </c>
      <c r="E1198" s="325" t="str">
        <f>IF(Advanced!B93="W","W","A")</f>
        <v>A</v>
      </c>
      <c r="F1198" s="325" t="s">
        <v>1737</v>
      </c>
      <c r="G1198" s="325" t="str">
        <f>IF(Advanced!G93="e","Y","")</f>
        <v/>
      </c>
      <c r="H1198" s="325" t="str">
        <f>IFERROR(VLOOKUP($D1198,'SDDA Dogs'!$A:$AE,2,FALSE),"")</f>
        <v/>
      </c>
      <c r="I1198" s="325" t="str">
        <f>IFERROR(VLOOKUP($D1198,'SDDA Dogs'!$A:$AE,3,FALSE),"")</f>
        <v/>
      </c>
      <c r="J1198" s="325" t="str">
        <f>IFERROR(VLOOKUP($D1198,'SDDA Dogs'!$A:$AE,6,FALSE),"")</f>
        <v/>
      </c>
      <c r="K1198" s="325" t="str">
        <f>IF(Advanced!AS93="","",Advanced!AS93)</f>
        <v/>
      </c>
      <c r="L1198" s="325" t="str">
        <f>IF(Advanced!AT93="","",Advanced!AT93)</f>
        <v/>
      </c>
      <c r="M1198" s="326" t="str">
        <f>TrialDateDay2</f>
        <v/>
      </c>
      <c r="N1198" s="325" t="str">
        <f t="shared" si="1168"/>
        <v/>
      </c>
      <c r="O1198" s="325">
        <f>JudgeD2CSA</f>
        <v>0</v>
      </c>
    </row>
    <row r="1199" spans="1:15" x14ac:dyDescent="0.25">
      <c r="A1199" s="2">
        <v>2</v>
      </c>
      <c r="B1199" s="2">
        <f t="shared" ref="B1199:O1199" si="1178">B1198</f>
        <v>0</v>
      </c>
      <c r="C1199" s="2" t="str">
        <f t="shared" si="1178"/>
        <v>CSA</v>
      </c>
      <c r="D1199" s="2">
        <f t="shared" si="1178"/>
        <v>0</v>
      </c>
      <c r="E1199" s="2" t="str">
        <f t="shared" si="1178"/>
        <v>A</v>
      </c>
      <c r="F1199" s="2" t="str">
        <f t="shared" si="1178"/>
        <v>Container Advanced</v>
      </c>
      <c r="G1199" s="2" t="str">
        <f t="shared" si="1178"/>
        <v/>
      </c>
      <c r="H1199" s="2" t="str">
        <f t="shared" si="1178"/>
        <v/>
      </c>
      <c r="I1199" s="2" t="str">
        <f t="shared" si="1178"/>
        <v/>
      </c>
      <c r="J1199" s="2" t="str">
        <f t="shared" si="1178"/>
        <v/>
      </c>
      <c r="K1199" s="2" t="str">
        <f t="shared" si="1178"/>
        <v/>
      </c>
      <c r="L1199" s="2" t="str">
        <f t="shared" si="1178"/>
        <v/>
      </c>
      <c r="M1199" s="180" t="str">
        <f t="shared" si="1178"/>
        <v/>
      </c>
      <c r="N1199" s="2" t="str">
        <f t="shared" si="1168"/>
        <v/>
      </c>
      <c r="O1199" s="2">
        <f t="shared" si="1178"/>
        <v>0</v>
      </c>
    </row>
    <row r="1200" spans="1:15" x14ac:dyDescent="0.25">
      <c r="A1200" s="325">
        <v>1</v>
      </c>
      <c r="B1200" s="325">
        <f>TrialNumberDay2</f>
        <v>0</v>
      </c>
      <c r="C1200" s="325" t="s">
        <v>18</v>
      </c>
      <c r="D1200" s="325">
        <f>Advanced!C94</f>
        <v>0</v>
      </c>
      <c r="E1200" s="325" t="str">
        <f>IF(Advanced!B94="W","W","A")</f>
        <v>A</v>
      </c>
      <c r="F1200" s="325" t="s">
        <v>1737</v>
      </c>
      <c r="G1200" s="325" t="str">
        <f>IF(Advanced!G94="e","Y","")</f>
        <v/>
      </c>
      <c r="H1200" s="325" t="str">
        <f>IFERROR(VLOOKUP($D1200,'SDDA Dogs'!$A:$AE,2,FALSE),"")</f>
        <v/>
      </c>
      <c r="I1200" s="325" t="str">
        <f>IFERROR(VLOOKUP($D1200,'SDDA Dogs'!$A:$AE,3,FALSE),"")</f>
        <v/>
      </c>
      <c r="J1200" s="325" t="str">
        <f>IFERROR(VLOOKUP($D1200,'SDDA Dogs'!$A:$AE,6,FALSE),"")</f>
        <v/>
      </c>
      <c r="K1200" s="325" t="str">
        <f>IF(Advanced!AS94="","",Advanced!AS94)</f>
        <v/>
      </c>
      <c r="L1200" s="325" t="str">
        <f>IF(Advanced!AT94="","",Advanced!AT94)</f>
        <v/>
      </c>
      <c r="M1200" s="326" t="str">
        <f>TrialDateDay2</f>
        <v/>
      </c>
      <c r="N1200" s="325" t="str">
        <f t="shared" si="1168"/>
        <v/>
      </c>
      <c r="O1200" s="325">
        <f>JudgeD2CSA</f>
        <v>0</v>
      </c>
    </row>
    <row r="1201" spans="1:15" x14ac:dyDescent="0.25">
      <c r="A1201" s="2">
        <v>2</v>
      </c>
      <c r="B1201" s="2">
        <f t="shared" ref="B1201:O1201" si="1179">B1200</f>
        <v>0</v>
      </c>
      <c r="C1201" s="2" t="str">
        <f t="shared" si="1179"/>
        <v>CSA</v>
      </c>
      <c r="D1201" s="2">
        <f t="shared" si="1179"/>
        <v>0</v>
      </c>
      <c r="E1201" s="2" t="str">
        <f t="shared" si="1179"/>
        <v>A</v>
      </c>
      <c r="F1201" s="2" t="str">
        <f t="shared" si="1179"/>
        <v>Container Advanced</v>
      </c>
      <c r="G1201" s="2" t="str">
        <f t="shared" si="1179"/>
        <v/>
      </c>
      <c r="H1201" s="2" t="str">
        <f t="shared" si="1179"/>
        <v/>
      </c>
      <c r="I1201" s="2" t="str">
        <f t="shared" si="1179"/>
        <v/>
      </c>
      <c r="J1201" s="2" t="str">
        <f t="shared" si="1179"/>
        <v/>
      </c>
      <c r="K1201" s="2" t="str">
        <f t="shared" si="1179"/>
        <v/>
      </c>
      <c r="L1201" s="2" t="str">
        <f t="shared" si="1179"/>
        <v/>
      </c>
      <c r="M1201" s="180" t="str">
        <f t="shared" si="1179"/>
        <v/>
      </c>
      <c r="N1201" s="2" t="str">
        <f t="shared" si="1168"/>
        <v/>
      </c>
      <c r="O1201" s="2">
        <f t="shared" si="1179"/>
        <v>0</v>
      </c>
    </row>
    <row r="1202" spans="1:15" x14ac:dyDescent="0.25">
      <c r="A1202" s="325">
        <v>1</v>
      </c>
      <c r="B1202" s="325">
        <f>TrialNumberDay2</f>
        <v>0</v>
      </c>
      <c r="C1202" s="325" t="s">
        <v>18</v>
      </c>
      <c r="D1202" s="325">
        <f>Advanced!C95</f>
        <v>0</v>
      </c>
      <c r="E1202" s="325" t="str">
        <f>IF(Advanced!B95="W","W","A")</f>
        <v>A</v>
      </c>
      <c r="F1202" s="325" t="s">
        <v>1737</v>
      </c>
      <c r="G1202" s="325" t="str">
        <f>IF(Advanced!G95="e","Y","")</f>
        <v/>
      </c>
      <c r="H1202" s="325" t="str">
        <f>IFERROR(VLOOKUP($D1202,'SDDA Dogs'!$A:$AE,2,FALSE),"")</f>
        <v/>
      </c>
      <c r="I1202" s="325" t="str">
        <f>IFERROR(VLOOKUP($D1202,'SDDA Dogs'!$A:$AE,3,FALSE),"")</f>
        <v/>
      </c>
      <c r="J1202" s="325" t="str">
        <f>IFERROR(VLOOKUP($D1202,'SDDA Dogs'!$A:$AE,6,FALSE),"")</f>
        <v/>
      </c>
      <c r="K1202" s="325" t="str">
        <f>IF(Advanced!AS95="","",Advanced!AS95)</f>
        <v/>
      </c>
      <c r="L1202" s="325" t="str">
        <f>IF(Advanced!AT95="","",Advanced!AT95)</f>
        <v/>
      </c>
      <c r="M1202" s="326" t="str">
        <f>TrialDateDay2</f>
        <v/>
      </c>
      <c r="N1202" s="325" t="str">
        <f t="shared" si="1168"/>
        <v/>
      </c>
      <c r="O1202" s="325">
        <f>JudgeD2CSA</f>
        <v>0</v>
      </c>
    </row>
    <row r="1203" spans="1:15" x14ac:dyDescent="0.25">
      <c r="A1203" s="2">
        <v>2</v>
      </c>
      <c r="B1203" s="2">
        <f t="shared" ref="B1203:O1203" si="1180">B1202</f>
        <v>0</v>
      </c>
      <c r="C1203" s="2" t="str">
        <f t="shared" si="1180"/>
        <v>CSA</v>
      </c>
      <c r="D1203" s="2">
        <f t="shared" si="1180"/>
        <v>0</v>
      </c>
      <c r="E1203" s="2" t="str">
        <f t="shared" si="1180"/>
        <v>A</v>
      </c>
      <c r="F1203" s="2" t="str">
        <f t="shared" si="1180"/>
        <v>Container Advanced</v>
      </c>
      <c r="G1203" s="2" t="str">
        <f t="shared" si="1180"/>
        <v/>
      </c>
      <c r="H1203" s="2" t="str">
        <f t="shared" si="1180"/>
        <v/>
      </c>
      <c r="I1203" s="2" t="str">
        <f t="shared" si="1180"/>
        <v/>
      </c>
      <c r="J1203" s="2" t="str">
        <f t="shared" si="1180"/>
        <v/>
      </c>
      <c r="K1203" s="2" t="str">
        <f t="shared" si="1180"/>
        <v/>
      </c>
      <c r="L1203" s="2" t="str">
        <f t="shared" si="1180"/>
        <v/>
      </c>
      <c r="M1203" s="180" t="str">
        <f t="shared" si="1180"/>
        <v/>
      </c>
      <c r="N1203" s="2" t="str">
        <f t="shared" si="1168"/>
        <v/>
      </c>
      <c r="O1203" s="2">
        <f t="shared" si="1180"/>
        <v>0</v>
      </c>
    </row>
    <row r="1204" spans="1:15" x14ac:dyDescent="0.25">
      <c r="A1204" s="325">
        <v>1</v>
      </c>
      <c r="B1204" s="325">
        <f>TrialNumberDay2</f>
        <v>0</v>
      </c>
      <c r="C1204" s="325" t="s">
        <v>18</v>
      </c>
      <c r="D1204" s="325">
        <f>Advanced!C96</f>
        <v>0</v>
      </c>
      <c r="E1204" s="325" t="str">
        <f>IF(Advanced!B96="W","W","A")</f>
        <v>A</v>
      </c>
      <c r="F1204" s="325" t="s">
        <v>1737</v>
      </c>
      <c r="G1204" s="325" t="str">
        <f>IF(Advanced!G96="e","Y","")</f>
        <v/>
      </c>
      <c r="H1204" s="325" t="str">
        <f>IFERROR(VLOOKUP($D1204,'SDDA Dogs'!$A:$AE,2,FALSE),"")</f>
        <v/>
      </c>
      <c r="I1204" s="325" t="str">
        <f>IFERROR(VLOOKUP($D1204,'SDDA Dogs'!$A:$AE,3,FALSE),"")</f>
        <v/>
      </c>
      <c r="J1204" s="325" t="str">
        <f>IFERROR(VLOOKUP($D1204,'SDDA Dogs'!$A:$AE,6,FALSE),"")</f>
        <v/>
      </c>
      <c r="K1204" s="325" t="str">
        <f>IF(Advanced!AS96="","",Advanced!AS96)</f>
        <v/>
      </c>
      <c r="L1204" s="325" t="str">
        <f>IF(Advanced!AT96="","",Advanced!AT96)</f>
        <v/>
      </c>
      <c r="M1204" s="326" t="str">
        <f>TrialDateDay2</f>
        <v/>
      </c>
      <c r="N1204" s="325" t="str">
        <f t="shared" si="1168"/>
        <v/>
      </c>
      <c r="O1204" s="325">
        <f>JudgeD2CSA</f>
        <v>0</v>
      </c>
    </row>
    <row r="1205" spans="1:15" x14ac:dyDescent="0.25">
      <c r="A1205" s="2">
        <v>2</v>
      </c>
      <c r="B1205" s="2">
        <f t="shared" ref="B1205:O1205" si="1181">B1204</f>
        <v>0</v>
      </c>
      <c r="C1205" s="2" t="str">
        <f t="shared" si="1181"/>
        <v>CSA</v>
      </c>
      <c r="D1205" s="2">
        <f t="shared" si="1181"/>
        <v>0</v>
      </c>
      <c r="E1205" s="2" t="str">
        <f t="shared" si="1181"/>
        <v>A</v>
      </c>
      <c r="F1205" s="2" t="str">
        <f t="shared" si="1181"/>
        <v>Container Advanced</v>
      </c>
      <c r="G1205" s="2" t="str">
        <f t="shared" si="1181"/>
        <v/>
      </c>
      <c r="H1205" s="2" t="str">
        <f t="shared" si="1181"/>
        <v/>
      </c>
      <c r="I1205" s="2" t="str">
        <f t="shared" si="1181"/>
        <v/>
      </c>
      <c r="J1205" s="2" t="str">
        <f t="shared" si="1181"/>
        <v/>
      </c>
      <c r="K1205" s="2" t="str">
        <f t="shared" si="1181"/>
        <v/>
      </c>
      <c r="L1205" s="2" t="str">
        <f t="shared" si="1181"/>
        <v/>
      </c>
      <c r="M1205" s="180" t="str">
        <f t="shared" si="1181"/>
        <v/>
      </c>
      <c r="N1205" s="2" t="str">
        <f t="shared" si="1168"/>
        <v/>
      </c>
      <c r="O1205" s="2">
        <f t="shared" si="1181"/>
        <v>0</v>
      </c>
    </row>
    <row r="1206" spans="1:15" x14ac:dyDescent="0.25">
      <c r="A1206" s="325">
        <v>1</v>
      </c>
      <c r="B1206" s="325">
        <f>TrialNumberDay2</f>
        <v>0</v>
      </c>
      <c r="C1206" s="325" t="s">
        <v>18</v>
      </c>
      <c r="D1206" s="325">
        <f>Advanced!C97</f>
        <v>0</v>
      </c>
      <c r="E1206" s="325" t="str">
        <f>IF(Advanced!B97="W","W","A")</f>
        <v>A</v>
      </c>
      <c r="F1206" s="325" t="s">
        <v>1737</v>
      </c>
      <c r="G1206" s="325" t="str">
        <f>IF(Advanced!G97="e","Y","")</f>
        <v/>
      </c>
      <c r="H1206" s="325" t="str">
        <f>IFERROR(VLOOKUP($D1206,'SDDA Dogs'!$A:$AE,2,FALSE),"")</f>
        <v/>
      </c>
      <c r="I1206" s="325" t="str">
        <f>IFERROR(VLOOKUP($D1206,'SDDA Dogs'!$A:$AE,3,FALSE),"")</f>
        <v/>
      </c>
      <c r="J1206" s="325" t="str">
        <f>IFERROR(VLOOKUP($D1206,'SDDA Dogs'!$A:$AE,6,FALSE),"")</f>
        <v/>
      </c>
      <c r="K1206" s="325" t="str">
        <f>IF(Advanced!AS97="","",Advanced!AS97)</f>
        <v/>
      </c>
      <c r="L1206" s="325" t="str">
        <f>IF(Advanced!AT97="","",Advanced!AT97)</f>
        <v/>
      </c>
      <c r="M1206" s="326" t="str">
        <f>TrialDateDay2</f>
        <v/>
      </c>
      <c r="N1206" s="325" t="str">
        <f t="shared" si="1168"/>
        <v/>
      </c>
      <c r="O1206" s="325">
        <f>JudgeD2CSA</f>
        <v>0</v>
      </c>
    </row>
    <row r="1207" spans="1:15" x14ac:dyDescent="0.25">
      <c r="A1207" s="2">
        <v>2</v>
      </c>
      <c r="B1207" s="2">
        <f t="shared" ref="B1207:O1207" si="1182">B1206</f>
        <v>0</v>
      </c>
      <c r="C1207" s="2" t="str">
        <f t="shared" si="1182"/>
        <v>CSA</v>
      </c>
      <c r="D1207" s="2">
        <f t="shared" si="1182"/>
        <v>0</v>
      </c>
      <c r="E1207" s="2" t="str">
        <f t="shared" si="1182"/>
        <v>A</v>
      </c>
      <c r="F1207" s="2" t="str">
        <f t="shared" si="1182"/>
        <v>Container Advanced</v>
      </c>
      <c r="G1207" s="2" t="str">
        <f t="shared" si="1182"/>
        <v/>
      </c>
      <c r="H1207" s="2" t="str">
        <f t="shared" si="1182"/>
        <v/>
      </c>
      <c r="I1207" s="2" t="str">
        <f t="shared" si="1182"/>
        <v/>
      </c>
      <c r="J1207" s="2" t="str">
        <f t="shared" si="1182"/>
        <v/>
      </c>
      <c r="K1207" s="2" t="str">
        <f t="shared" si="1182"/>
        <v/>
      </c>
      <c r="L1207" s="2" t="str">
        <f t="shared" si="1182"/>
        <v/>
      </c>
      <c r="M1207" s="180" t="str">
        <f t="shared" si="1182"/>
        <v/>
      </c>
      <c r="N1207" s="2" t="str">
        <f t="shared" si="1168"/>
        <v/>
      </c>
      <c r="O1207" s="2">
        <f t="shared" si="1182"/>
        <v>0</v>
      </c>
    </row>
    <row r="1208" spans="1:15" x14ac:dyDescent="0.25">
      <c r="A1208" s="325">
        <v>1</v>
      </c>
      <c r="B1208" s="325">
        <f>TrialNumberDay2</f>
        <v>0</v>
      </c>
      <c r="C1208" s="325" t="s">
        <v>18</v>
      </c>
      <c r="D1208" s="325">
        <f>Advanced!C98</f>
        <v>0</v>
      </c>
      <c r="E1208" s="325" t="str">
        <f>IF(Advanced!B98="W","W","A")</f>
        <v>A</v>
      </c>
      <c r="F1208" s="325" t="s">
        <v>1737</v>
      </c>
      <c r="G1208" s="325" t="str">
        <f>IF(Advanced!G98="e","Y","")</f>
        <v/>
      </c>
      <c r="H1208" s="325" t="str">
        <f>IFERROR(VLOOKUP($D1208,'SDDA Dogs'!$A:$AE,2,FALSE),"")</f>
        <v/>
      </c>
      <c r="I1208" s="325" t="str">
        <f>IFERROR(VLOOKUP($D1208,'SDDA Dogs'!$A:$AE,3,FALSE),"")</f>
        <v/>
      </c>
      <c r="J1208" s="325" t="str">
        <f>IFERROR(VLOOKUP($D1208,'SDDA Dogs'!$A:$AE,6,FALSE),"")</f>
        <v/>
      </c>
      <c r="K1208" s="325" t="str">
        <f>IF(Advanced!AS98="","",Advanced!AS98)</f>
        <v/>
      </c>
      <c r="L1208" s="325" t="str">
        <f>IF(Advanced!AT98="","",Advanced!AT98)</f>
        <v/>
      </c>
      <c r="M1208" s="326" t="str">
        <f>TrialDateDay2</f>
        <v/>
      </c>
      <c r="N1208" s="325" t="str">
        <f t="shared" si="1168"/>
        <v/>
      </c>
      <c r="O1208" s="325">
        <f>JudgeD2CSA</f>
        <v>0</v>
      </c>
    </row>
    <row r="1209" spans="1:15" x14ac:dyDescent="0.25">
      <c r="A1209" s="2">
        <v>2</v>
      </c>
      <c r="B1209" s="2">
        <f t="shared" ref="B1209:O1209" si="1183">B1208</f>
        <v>0</v>
      </c>
      <c r="C1209" s="2" t="str">
        <f t="shared" si="1183"/>
        <v>CSA</v>
      </c>
      <c r="D1209" s="2">
        <f t="shared" si="1183"/>
        <v>0</v>
      </c>
      <c r="E1209" s="2" t="str">
        <f t="shared" si="1183"/>
        <v>A</v>
      </c>
      <c r="F1209" s="2" t="str">
        <f t="shared" si="1183"/>
        <v>Container Advanced</v>
      </c>
      <c r="G1209" s="2" t="str">
        <f t="shared" si="1183"/>
        <v/>
      </c>
      <c r="H1209" s="2" t="str">
        <f t="shared" si="1183"/>
        <v/>
      </c>
      <c r="I1209" s="2" t="str">
        <f t="shared" si="1183"/>
        <v/>
      </c>
      <c r="J1209" s="2" t="str">
        <f t="shared" si="1183"/>
        <v/>
      </c>
      <c r="K1209" s="2" t="str">
        <f t="shared" si="1183"/>
        <v/>
      </c>
      <c r="L1209" s="2" t="str">
        <f t="shared" si="1183"/>
        <v/>
      </c>
      <c r="M1209" s="180" t="str">
        <f t="shared" si="1183"/>
        <v/>
      </c>
      <c r="N1209" s="2" t="str">
        <f t="shared" si="1168"/>
        <v/>
      </c>
      <c r="O1209" s="2">
        <f t="shared" si="1183"/>
        <v>0</v>
      </c>
    </row>
    <row r="1210" spans="1:15" x14ac:dyDescent="0.25">
      <c r="A1210" s="325">
        <v>1</v>
      </c>
      <c r="B1210" s="325">
        <f>TrialNumberDay2</f>
        <v>0</v>
      </c>
      <c r="C1210" s="325" t="s">
        <v>18</v>
      </c>
      <c r="D1210" s="325">
        <f>Advanced!C99</f>
        <v>0</v>
      </c>
      <c r="E1210" s="325" t="str">
        <f>IF(Advanced!B99="W","W","A")</f>
        <v>A</v>
      </c>
      <c r="F1210" s="325" t="s">
        <v>1737</v>
      </c>
      <c r="G1210" s="325" t="str">
        <f>IF(Advanced!G99="e","Y","")</f>
        <v/>
      </c>
      <c r="H1210" s="325" t="str">
        <f>IFERROR(VLOOKUP($D1210,'SDDA Dogs'!$A:$AE,2,FALSE),"")</f>
        <v/>
      </c>
      <c r="I1210" s="325" t="str">
        <f>IFERROR(VLOOKUP($D1210,'SDDA Dogs'!$A:$AE,3,FALSE),"")</f>
        <v/>
      </c>
      <c r="J1210" s="325" t="str">
        <f>IFERROR(VLOOKUP($D1210,'SDDA Dogs'!$A:$AE,6,FALSE),"")</f>
        <v/>
      </c>
      <c r="K1210" s="325" t="str">
        <f>IF(Advanced!AS99="","",Advanced!AS99)</f>
        <v/>
      </c>
      <c r="L1210" s="325" t="str">
        <f>IF(Advanced!AT99="","",Advanced!AT99)</f>
        <v/>
      </c>
      <c r="M1210" s="326" t="str">
        <f>TrialDateDay2</f>
        <v/>
      </c>
      <c r="N1210" s="325" t="str">
        <f t="shared" si="1168"/>
        <v/>
      </c>
      <c r="O1210" s="325">
        <f>JudgeD2CSA</f>
        <v>0</v>
      </c>
    </row>
    <row r="1211" spans="1:15" x14ac:dyDescent="0.25">
      <c r="A1211" s="2">
        <v>2</v>
      </c>
      <c r="B1211" s="2">
        <f t="shared" ref="B1211:O1211" si="1184">B1210</f>
        <v>0</v>
      </c>
      <c r="C1211" s="2" t="str">
        <f t="shared" si="1184"/>
        <v>CSA</v>
      </c>
      <c r="D1211" s="2">
        <f t="shared" si="1184"/>
        <v>0</v>
      </c>
      <c r="E1211" s="2" t="str">
        <f t="shared" si="1184"/>
        <v>A</v>
      </c>
      <c r="F1211" s="2" t="str">
        <f t="shared" si="1184"/>
        <v>Container Advanced</v>
      </c>
      <c r="G1211" s="2" t="str">
        <f t="shared" si="1184"/>
        <v/>
      </c>
      <c r="H1211" s="2" t="str">
        <f t="shared" si="1184"/>
        <v/>
      </c>
      <c r="I1211" s="2" t="str">
        <f t="shared" si="1184"/>
        <v/>
      </c>
      <c r="J1211" s="2" t="str">
        <f t="shared" si="1184"/>
        <v/>
      </c>
      <c r="K1211" s="2" t="str">
        <f t="shared" si="1184"/>
        <v/>
      </c>
      <c r="L1211" s="2" t="str">
        <f t="shared" si="1184"/>
        <v/>
      </c>
      <c r="M1211" s="180" t="str">
        <f t="shared" si="1184"/>
        <v/>
      </c>
      <c r="N1211" s="2" t="str">
        <f t="shared" si="1168"/>
        <v/>
      </c>
      <c r="O1211" s="2">
        <f t="shared" si="1184"/>
        <v>0</v>
      </c>
    </row>
    <row r="1212" spans="1:15" x14ac:dyDescent="0.25">
      <c r="A1212" s="325">
        <v>1</v>
      </c>
      <c r="B1212" s="325">
        <f>TrialNumberDay2</f>
        <v>0</v>
      </c>
      <c r="C1212" s="325" t="s">
        <v>18</v>
      </c>
      <c r="D1212" s="325">
        <f>Advanced!C100</f>
        <v>0</v>
      </c>
      <c r="E1212" s="325" t="str">
        <f>IF(Advanced!B100="W","W","A")</f>
        <v>A</v>
      </c>
      <c r="F1212" s="325" t="s">
        <v>1737</v>
      </c>
      <c r="G1212" s="325" t="str">
        <f>IF(Advanced!G100="e","Y","")</f>
        <v/>
      </c>
      <c r="H1212" s="325" t="str">
        <f>IFERROR(VLOOKUP($D1212,'SDDA Dogs'!$A:$AE,2,FALSE),"")</f>
        <v/>
      </c>
      <c r="I1212" s="325" t="str">
        <f>IFERROR(VLOOKUP($D1212,'SDDA Dogs'!$A:$AE,3,FALSE),"")</f>
        <v/>
      </c>
      <c r="J1212" s="325" t="str">
        <f>IFERROR(VLOOKUP($D1212,'SDDA Dogs'!$A:$AE,6,FALSE),"")</f>
        <v/>
      </c>
      <c r="K1212" s="325" t="str">
        <f>IF(Advanced!AS100="","",Advanced!AS100)</f>
        <v/>
      </c>
      <c r="L1212" s="325" t="str">
        <f>IF(Advanced!AT100="","",Advanced!AT100)</f>
        <v/>
      </c>
      <c r="M1212" s="326" t="str">
        <f>TrialDateDay2</f>
        <v/>
      </c>
      <c r="N1212" s="325" t="str">
        <f t="shared" si="1168"/>
        <v/>
      </c>
      <c r="O1212" s="325">
        <f>JudgeD2CSA</f>
        <v>0</v>
      </c>
    </row>
    <row r="1213" spans="1:15" x14ac:dyDescent="0.25">
      <c r="A1213" s="2">
        <v>2</v>
      </c>
      <c r="B1213" s="2">
        <f t="shared" ref="B1213:O1213" si="1185">B1212</f>
        <v>0</v>
      </c>
      <c r="C1213" s="2" t="str">
        <f t="shared" si="1185"/>
        <v>CSA</v>
      </c>
      <c r="D1213" s="2">
        <f t="shared" si="1185"/>
        <v>0</v>
      </c>
      <c r="E1213" s="2" t="str">
        <f t="shared" si="1185"/>
        <v>A</v>
      </c>
      <c r="F1213" s="2" t="str">
        <f t="shared" si="1185"/>
        <v>Container Advanced</v>
      </c>
      <c r="G1213" s="2" t="str">
        <f t="shared" si="1185"/>
        <v/>
      </c>
      <c r="H1213" s="2" t="str">
        <f t="shared" si="1185"/>
        <v/>
      </c>
      <c r="I1213" s="2" t="str">
        <f t="shared" si="1185"/>
        <v/>
      </c>
      <c r="J1213" s="2" t="str">
        <f t="shared" si="1185"/>
        <v/>
      </c>
      <c r="K1213" s="2" t="str">
        <f t="shared" si="1185"/>
        <v/>
      </c>
      <c r="L1213" s="2" t="str">
        <f t="shared" si="1185"/>
        <v/>
      </c>
      <c r="M1213" s="180" t="str">
        <f t="shared" si="1185"/>
        <v/>
      </c>
      <c r="N1213" s="2" t="str">
        <f t="shared" si="1168"/>
        <v/>
      </c>
      <c r="O1213" s="2">
        <f t="shared" si="1185"/>
        <v>0</v>
      </c>
    </row>
    <row r="1214" spans="1:15" x14ac:dyDescent="0.25">
      <c r="A1214" s="325">
        <v>1</v>
      </c>
      <c r="B1214" s="325">
        <f>TrialNumberDay2</f>
        <v>0</v>
      </c>
      <c r="C1214" s="325" t="s">
        <v>18</v>
      </c>
      <c r="D1214" s="325">
        <f>Advanced!C101</f>
        <v>0</v>
      </c>
      <c r="E1214" s="325" t="str">
        <f>IF(Advanced!B101="W","W","A")</f>
        <v>A</v>
      </c>
      <c r="F1214" s="325" t="s">
        <v>1737</v>
      </c>
      <c r="G1214" s="325" t="str">
        <f>IF(Advanced!G101="e","Y","")</f>
        <v/>
      </c>
      <c r="H1214" s="325" t="str">
        <f>IFERROR(VLOOKUP($D1214,'SDDA Dogs'!$A:$AE,2,FALSE),"")</f>
        <v/>
      </c>
      <c r="I1214" s="325" t="str">
        <f>IFERROR(VLOOKUP($D1214,'SDDA Dogs'!$A:$AE,3,FALSE),"")</f>
        <v/>
      </c>
      <c r="J1214" s="325" t="str">
        <f>IFERROR(VLOOKUP($D1214,'SDDA Dogs'!$A:$AE,6,FALSE),"")</f>
        <v/>
      </c>
      <c r="K1214" s="325" t="str">
        <f>IF(Advanced!AS101="","",Advanced!AS101)</f>
        <v/>
      </c>
      <c r="L1214" s="325" t="str">
        <f>IF(Advanced!AT101="","",Advanced!AT101)</f>
        <v/>
      </c>
      <c r="M1214" s="326" t="str">
        <f>TrialDateDay2</f>
        <v/>
      </c>
      <c r="N1214" s="325" t="str">
        <f t="shared" si="1168"/>
        <v/>
      </c>
      <c r="O1214" s="325">
        <f>JudgeD2CSA</f>
        <v>0</v>
      </c>
    </row>
    <row r="1215" spans="1:15" x14ac:dyDescent="0.25">
      <c r="A1215" s="2">
        <v>2</v>
      </c>
      <c r="B1215" s="2">
        <f t="shared" ref="B1215:O1215" si="1186">B1214</f>
        <v>0</v>
      </c>
      <c r="C1215" s="2" t="str">
        <f t="shared" si="1186"/>
        <v>CSA</v>
      </c>
      <c r="D1215" s="2">
        <f t="shared" si="1186"/>
        <v>0</v>
      </c>
      <c r="E1215" s="2" t="str">
        <f t="shared" si="1186"/>
        <v>A</v>
      </c>
      <c r="F1215" s="2" t="str">
        <f t="shared" si="1186"/>
        <v>Container Advanced</v>
      </c>
      <c r="G1215" s="2" t="str">
        <f t="shared" si="1186"/>
        <v/>
      </c>
      <c r="H1215" s="2" t="str">
        <f t="shared" si="1186"/>
        <v/>
      </c>
      <c r="I1215" s="2" t="str">
        <f t="shared" si="1186"/>
        <v/>
      </c>
      <c r="J1215" s="2" t="str">
        <f t="shared" si="1186"/>
        <v/>
      </c>
      <c r="K1215" s="2" t="str">
        <f t="shared" si="1186"/>
        <v/>
      </c>
      <c r="L1215" s="2" t="str">
        <f t="shared" si="1186"/>
        <v/>
      </c>
      <c r="M1215" s="180" t="str">
        <f t="shared" si="1186"/>
        <v/>
      </c>
      <c r="N1215" s="2" t="str">
        <f t="shared" si="1168"/>
        <v/>
      </c>
      <c r="O1215" s="2">
        <f t="shared" si="1186"/>
        <v>0</v>
      </c>
    </row>
    <row r="1216" spans="1:15" x14ac:dyDescent="0.25">
      <c r="A1216" s="325">
        <v>1</v>
      </c>
      <c r="B1216" s="325">
        <f>TrialNumberDay2</f>
        <v>0</v>
      </c>
      <c r="C1216" s="325" t="s">
        <v>18</v>
      </c>
      <c r="D1216" s="325">
        <f>Advanced!C102</f>
        <v>0</v>
      </c>
      <c r="E1216" s="325" t="str">
        <f>IF(Advanced!B102="W","W","A")</f>
        <v>A</v>
      </c>
      <c r="F1216" s="325" t="s">
        <v>1737</v>
      </c>
      <c r="G1216" s="325" t="str">
        <f>IF(Advanced!G102="e","Y","")</f>
        <v/>
      </c>
      <c r="H1216" s="325" t="str">
        <f>IFERROR(VLOOKUP($D1216,'SDDA Dogs'!$A:$AE,2,FALSE),"")</f>
        <v/>
      </c>
      <c r="I1216" s="325" t="str">
        <f>IFERROR(VLOOKUP($D1216,'SDDA Dogs'!$A:$AE,3,FALSE),"")</f>
        <v/>
      </c>
      <c r="J1216" s="325" t="str">
        <f>IFERROR(VLOOKUP($D1216,'SDDA Dogs'!$A:$AE,6,FALSE),"")</f>
        <v/>
      </c>
      <c r="K1216" s="325" t="str">
        <f>IF(Advanced!AS102="","",Advanced!AS102)</f>
        <v/>
      </c>
      <c r="L1216" s="325" t="str">
        <f>IF(Advanced!AT102="","",Advanced!AT102)</f>
        <v/>
      </c>
      <c r="M1216" s="326" t="str">
        <f>TrialDateDay2</f>
        <v/>
      </c>
      <c r="N1216" s="325" t="str">
        <f t="shared" si="1168"/>
        <v/>
      </c>
      <c r="O1216" s="325">
        <f>JudgeD2CSA</f>
        <v>0</v>
      </c>
    </row>
    <row r="1217" spans="1:15" x14ac:dyDescent="0.25">
      <c r="A1217" s="2">
        <v>2</v>
      </c>
      <c r="B1217" s="2">
        <f t="shared" ref="B1217:O1217" si="1187">B1216</f>
        <v>0</v>
      </c>
      <c r="C1217" s="2" t="str">
        <f t="shared" si="1187"/>
        <v>CSA</v>
      </c>
      <c r="D1217" s="2">
        <f t="shared" si="1187"/>
        <v>0</v>
      </c>
      <c r="E1217" s="2" t="str">
        <f t="shared" si="1187"/>
        <v>A</v>
      </c>
      <c r="F1217" s="2" t="str">
        <f t="shared" si="1187"/>
        <v>Container Advanced</v>
      </c>
      <c r="G1217" s="2" t="str">
        <f t="shared" si="1187"/>
        <v/>
      </c>
      <c r="H1217" s="2" t="str">
        <f t="shared" si="1187"/>
        <v/>
      </c>
      <c r="I1217" s="2" t="str">
        <f t="shared" si="1187"/>
        <v/>
      </c>
      <c r="J1217" s="2" t="str">
        <f t="shared" si="1187"/>
        <v/>
      </c>
      <c r="K1217" s="2" t="str">
        <f t="shared" si="1187"/>
        <v/>
      </c>
      <c r="L1217" s="2" t="str">
        <f t="shared" si="1187"/>
        <v/>
      </c>
      <c r="M1217" s="180" t="str">
        <f t="shared" si="1187"/>
        <v/>
      </c>
      <c r="N1217" s="2" t="str">
        <f t="shared" si="1168"/>
        <v/>
      </c>
      <c r="O1217" s="2">
        <f t="shared" si="1187"/>
        <v>0</v>
      </c>
    </row>
    <row r="1218" spans="1:15" x14ac:dyDescent="0.25">
      <c r="A1218" s="325">
        <v>1</v>
      </c>
      <c r="B1218" s="325">
        <f>TrialNumberDay2</f>
        <v>0</v>
      </c>
      <c r="C1218" s="325" t="s">
        <v>18</v>
      </c>
      <c r="D1218" s="325">
        <f>Advanced!C103</f>
        <v>0</v>
      </c>
      <c r="E1218" s="325" t="str">
        <f>IF(Advanced!B103="W","W","A")</f>
        <v>A</v>
      </c>
      <c r="F1218" s="325" t="s">
        <v>1737</v>
      </c>
      <c r="G1218" s="325" t="str">
        <f>IF(Advanced!G103="e","Y","")</f>
        <v/>
      </c>
      <c r="H1218" s="325" t="str">
        <f>IFERROR(VLOOKUP($D1218,'SDDA Dogs'!$A:$AE,2,FALSE),"")</f>
        <v/>
      </c>
      <c r="I1218" s="325" t="str">
        <f>IFERROR(VLOOKUP($D1218,'SDDA Dogs'!$A:$AE,3,FALSE),"")</f>
        <v/>
      </c>
      <c r="J1218" s="325" t="str">
        <f>IFERROR(VLOOKUP($D1218,'SDDA Dogs'!$A:$AE,6,FALSE),"")</f>
        <v/>
      </c>
      <c r="K1218" s="325" t="str">
        <f>IF(Advanced!AS103="","",Advanced!AS103)</f>
        <v/>
      </c>
      <c r="L1218" s="325" t="str">
        <f>IF(Advanced!AT103="","",Advanced!AT103)</f>
        <v/>
      </c>
      <c r="M1218" s="326" t="str">
        <f>TrialDateDay2</f>
        <v/>
      </c>
      <c r="N1218" s="325" t="str">
        <f t="shared" si="1168"/>
        <v/>
      </c>
      <c r="O1218" s="325">
        <f>JudgeD2CSA</f>
        <v>0</v>
      </c>
    </row>
    <row r="1219" spans="1:15" x14ac:dyDescent="0.25">
      <c r="A1219" s="2">
        <v>2</v>
      </c>
      <c r="B1219" s="2">
        <f t="shared" ref="B1219:O1219" si="1188">B1218</f>
        <v>0</v>
      </c>
      <c r="C1219" s="2" t="str">
        <f t="shared" si="1188"/>
        <v>CSA</v>
      </c>
      <c r="D1219" s="2">
        <f t="shared" si="1188"/>
        <v>0</v>
      </c>
      <c r="E1219" s="2" t="str">
        <f t="shared" si="1188"/>
        <v>A</v>
      </c>
      <c r="F1219" s="2" t="str">
        <f t="shared" si="1188"/>
        <v>Container Advanced</v>
      </c>
      <c r="G1219" s="2" t="str">
        <f t="shared" si="1188"/>
        <v/>
      </c>
      <c r="H1219" s="2" t="str">
        <f t="shared" si="1188"/>
        <v/>
      </c>
      <c r="I1219" s="2" t="str">
        <f t="shared" si="1188"/>
        <v/>
      </c>
      <c r="J1219" s="2" t="str">
        <f t="shared" si="1188"/>
        <v/>
      </c>
      <c r="K1219" s="2" t="str">
        <f t="shared" si="1188"/>
        <v/>
      </c>
      <c r="L1219" s="2" t="str">
        <f t="shared" si="1188"/>
        <v/>
      </c>
      <c r="M1219" s="180" t="str">
        <f t="shared" si="1188"/>
        <v/>
      </c>
      <c r="N1219" s="2" t="str">
        <f t="shared" si="1168"/>
        <v/>
      </c>
      <c r="O1219" s="2">
        <f t="shared" si="1188"/>
        <v>0</v>
      </c>
    </row>
    <row r="1220" spans="1:15" x14ac:dyDescent="0.25">
      <c r="A1220" s="325">
        <v>1</v>
      </c>
      <c r="B1220" s="325">
        <f>TrialNumberDay2</f>
        <v>0</v>
      </c>
      <c r="C1220" s="325" t="s">
        <v>18</v>
      </c>
      <c r="D1220" s="325">
        <f>Advanced!C104</f>
        <v>0</v>
      </c>
      <c r="E1220" s="325" t="str">
        <f>IF(Advanced!B104="W","W","A")</f>
        <v>A</v>
      </c>
      <c r="F1220" s="325" t="s">
        <v>1737</v>
      </c>
      <c r="G1220" s="325" t="str">
        <f>IF(Advanced!G104="e","Y","")</f>
        <v/>
      </c>
      <c r="H1220" s="325" t="str">
        <f>IFERROR(VLOOKUP($D1220,'SDDA Dogs'!$A:$AE,2,FALSE),"")</f>
        <v/>
      </c>
      <c r="I1220" s="325" t="str">
        <f>IFERROR(VLOOKUP($D1220,'SDDA Dogs'!$A:$AE,3,FALSE),"")</f>
        <v/>
      </c>
      <c r="J1220" s="325" t="str">
        <f>IFERROR(VLOOKUP($D1220,'SDDA Dogs'!$A:$AE,6,FALSE),"")</f>
        <v/>
      </c>
      <c r="K1220" s="325" t="str">
        <f>IF(Advanced!AS104="","",Advanced!AS104)</f>
        <v/>
      </c>
      <c r="L1220" s="325" t="str">
        <f>IF(Advanced!AT104="","",Advanced!AT104)</f>
        <v/>
      </c>
      <c r="M1220" s="326" t="str">
        <f>TrialDateDay2</f>
        <v/>
      </c>
      <c r="N1220" s="325" t="str">
        <f t="shared" ref="N1220:N1283" si="1189">N1219</f>
        <v/>
      </c>
      <c r="O1220" s="325">
        <f>JudgeD2CSA</f>
        <v>0</v>
      </c>
    </row>
    <row r="1221" spans="1:15" x14ac:dyDescent="0.25">
      <c r="A1221" s="2">
        <v>2</v>
      </c>
      <c r="B1221" s="2">
        <f t="shared" ref="B1221:O1221" si="1190">B1220</f>
        <v>0</v>
      </c>
      <c r="C1221" s="2" t="str">
        <f t="shared" si="1190"/>
        <v>CSA</v>
      </c>
      <c r="D1221" s="2">
        <f t="shared" si="1190"/>
        <v>0</v>
      </c>
      <c r="E1221" s="2" t="str">
        <f t="shared" si="1190"/>
        <v>A</v>
      </c>
      <c r="F1221" s="2" t="str">
        <f t="shared" si="1190"/>
        <v>Container Advanced</v>
      </c>
      <c r="G1221" s="2" t="str">
        <f t="shared" si="1190"/>
        <v/>
      </c>
      <c r="H1221" s="2" t="str">
        <f t="shared" si="1190"/>
        <v/>
      </c>
      <c r="I1221" s="2" t="str">
        <f t="shared" si="1190"/>
        <v/>
      </c>
      <c r="J1221" s="2" t="str">
        <f t="shared" si="1190"/>
        <v/>
      </c>
      <c r="K1221" s="2" t="str">
        <f t="shared" si="1190"/>
        <v/>
      </c>
      <c r="L1221" s="2" t="str">
        <f t="shared" si="1190"/>
        <v/>
      </c>
      <c r="M1221" s="180" t="str">
        <f t="shared" si="1190"/>
        <v/>
      </c>
      <c r="N1221" s="2" t="str">
        <f t="shared" si="1189"/>
        <v/>
      </c>
      <c r="O1221" s="2">
        <f t="shared" si="1190"/>
        <v>0</v>
      </c>
    </row>
    <row r="1222" spans="1:15" x14ac:dyDescent="0.25">
      <c r="A1222" s="325">
        <v>1</v>
      </c>
      <c r="B1222" s="325">
        <f>TrialNumberDay2</f>
        <v>0</v>
      </c>
      <c r="C1222" s="325" t="s">
        <v>18</v>
      </c>
      <c r="D1222" s="325">
        <f>Advanced!C105</f>
        <v>0</v>
      </c>
      <c r="E1222" s="325" t="str">
        <f>IF(Advanced!B105="W","W","A")</f>
        <v>A</v>
      </c>
      <c r="F1222" s="325" t="s">
        <v>1737</v>
      </c>
      <c r="G1222" s="325" t="str">
        <f>IF(Advanced!G105="e","Y","")</f>
        <v/>
      </c>
      <c r="H1222" s="325" t="str">
        <f>IFERROR(VLOOKUP($D1222,'SDDA Dogs'!$A:$AE,2,FALSE),"")</f>
        <v/>
      </c>
      <c r="I1222" s="325" t="str">
        <f>IFERROR(VLOOKUP($D1222,'SDDA Dogs'!$A:$AE,3,FALSE),"")</f>
        <v/>
      </c>
      <c r="J1222" s="325" t="str">
        <f>IFERROR(VLOOKUP($D1222,'SDDA Dogs'!$A:$AE,6,FALSE),"")</f>
        <v/>
      </c>
      <c r="K1222" s="325" t="str">
        <f>IF(Advanced!AS105="","",Advanced!AS105)</f>
        <v/>
      </c>
      <c r="L1222" s="325" t="str">
        <f>IF(Advanced!AT105="","",Advanced!AT105)</f>
        <v/>
      </c>
      <c r="M1222" s="326" t="str">
        <f>TrialDateDay2</f>
        <v/>
      </c>
      <c r="N1222" s="325" t="str">
        <f t="shared" si="1189"/>
        <v/>
      </c>
      <c r="O1222" s="325">
        <f>JudgeD2CSA</f>
        <v>0</v>
      </c>
    </row>
    <row r="1223" spans="1:15" x14ac:dyDescent="0.25">
      <c r="A1223" s="2">
        <v>2</v>
      </c>
      <c r="B1223" s="2">
        <f t="shared" ref="B1223:O1223" si="1191">B1222</f>
        <v>0</v>
      </c>
      <c r="C1223" s="2" t="str">
        <f t="shared" si="1191"/>
        <v>CSA</v>
      </c>
      <c r="D1223" s="2">
        <f t="shared" si="1191"/>
        <v>0</v>
      </c>
      <c r="E1223" s="2" t="str">
        <f t="shared" si="1191"/>
        <v>A</v>
      </c>
      <c r="F1223" s="2" t="str">
        <f t="shared" si="1191"/>
        <v>Container Advanced</v>
      </c>
      <c r="G1223" s="2" t="str">
        <f t="shared" si="1191"/>
        <v/>
      </c>
      <c r="H1223" s="2" t="str">
        <f t="shared" si="1191"/>
        <v/>
      </c>
      <c r="I1223" s="2" t="str">
        <f t="shared" si="1191"/>
        <v/>
      </c>
      <c r="J1223" s="2" t="str">
        <f t="shared" si="1191"/>
        <v/>
      </c>
      <c r="K1223" s="2" t="str">
        <f t="shared" si="1191"/>
        <v/>
      </c>
      <c r="L1223" s="2" t="str">
        <f t="shared" si="1191"/>
        <v/>
      </c>
      <c r="M1223" s="180" t="str">
        <f t="shared" si="1191"/>
        <v/>
      </c>
      <c r="N1223" s="2" t="str">
        <f t="shared" si="1189"/>
        <v/>
      </c>
      <c r="O1223" s="2">
        <f t="shared" si="1191"/>
        <v>0</v>
      </c>
    </row>
    <row r="1224" spans="1:15" x14ac:dyDescent="0.25">
      <c r="A1224" s="325">
        <v>1</v>
      </c>
      <c r="B1224" s="325">
        <f>TrialNumberDay2</f>
        <v>0</v>
      </c>
      <c r="C1224" s="325" t="s">
        <v>18</v>
      </c>
      <c r="D1224" s="325">
        <f>Advanced!C106</f>
        <v>0</v>
      </c>
      <c r="E1224" s="325" t="str">
        <f>IF(Advanced!B106="W","W","A")</f>
        <v>A</v>
      </c>
      <c r="F1224" s="325" t="s">
        <v>1737</v>
      </c>
      <c r="G1224" s="325" t="str">
        <f>IF(Advanced!G106="e","Y","")</f>
        <v/>
      </c>
      <c r="H1224" s="325" t="str">
        <f>IFERROR(VLOOKUP($D1224,'SDDA Dogs'!$A:$AE,2,FALSE),"")</f>
        <v/>
      </c>
      <c r="I1224" s="325" t="str">
        <f>IFERROR(VLOOKUP($D1224,'SDDA Dogs'!$A:$AE,3,FALSE),"")</f>
        <v/>
      </c>
      <c r="J1224" s="325" t="str">
        <f>IFERROR(VLOOKUP($D1224,'SDDA Dogs'!$A:$AE,6,FALSE),"")</f>
        <v/>
      </c>
      <c r="K1224" s="325" t="str">
        <f>IF(Advanced!AS106="","",Advanced!AS106)</f>
        <v/>
      </c>
      <c r="L1224" s="325" t="str">
        <f>IF(Advanced!AT106="","",Advanced!AT106)</f>
        <v/>
      </c>
      <c r="M1224" s="326" t="str">
        <f>TrialDateDay2</f>
        <v/>
      </c>
      <c r="N1224" s="325" t="str">
        <f t="shared" si="1189"/>
        <v/>
      </c>
      <c r="O1224" s="325">
        <f>JudgeD2CSA</f>
        <v>0</v>
      </c>
    </row>
    <row r="1225" spans="1:15" x14ac:dyDescent="0.25">
      <c r="A1225" s="2">
        <v>2</v>
      </c>
      <c r="B1225" s="2">
        <f t="shared" ref="B1225:O1225" si="1192">B1224</f>
        <v>0</v>
      </c>
      <c r="C1225" s="2" t="str">
        <f t="shared" si="1192"/>
        <v>CSA</v>
      </c>
      <c r="D1225" s="2">
        <f t="shared" si="1192"/>
        <v>0</v>
      </c>
      <c r="E1225" s="2" t="str">
        <f t="shared" si="1192"/>
        <v>A</v>
      </c>
      <c r="F1225" s="2" t="str">
        <f t="shared" si="1192"/>
        <v>Container Advanced</v>
      </c>
      <c r="G1225" s="2" t="str">
        <f t="shared" si="1192"/>
        <v/>
      </c>
      <c r="H1225" s="2" t="str">
        <f t="shared" si="1192"/>
        <v/>
      </c>
      <c r="I1225" s="2" t="str">
        <f t="shared" si="1192"/>
        <v/>
      </c>
      <c r="J1225" s="2" t="str">
        <f t="shared" si="1192"/>
        <v/>
      </c>
      <c r="K1225" s="2" t="str">
        <f t="shared" si="1192"/>
        <v/>
      </c>
      <c r="L1225" s="2" t="str">
        <f t="shared" si="1192"/>
        <v/>
      </c>
      <c r="M1225" s="180" t="str">
        <f t="shared" si="1192"/>
        <v/>
      </c>
      <c r="N1225" s="2" t="str">
        <f t="shared" si="1189"/>
        <v/>
      </c>
      <c r="O1225" s="2">
        <f t="shared" si="1192"/>
        <v>0</v>
      </c>
    </row>
    <row r="1226" spans="1:15" x14ac:dyDescent="0.25">
      <c r="A1226" s="325">
        <v>1</v>
      </c>
      <c r="B1226" s="325">
        <f>TrialNumberDay2</f>
        <v>0</v>
      </c>
      <c r="C1226" s="325" t="s">
        <v>18</v>
      </c>
      <c r="D1226" s="325">
        <f>Advanced!C107</f>
        <v>0</v>
      </c>
      <c r="E1226" s="325" t="str">
        <f>IF(Advanced!B107="W","W","A")</f>
        <v>A</v>
      </c>
      <c r="F1226" s="325" t="s">
        <v>1737</v>
      </c>
      <c r="G1226" s="325" t="str">
        <f>IF(Advanced!G107="e","Y","")</f>
        <v/>
      </c>
      <c r="H1226" s="325" t="str">
        <f>IFERROR(VLOOKUP($D1226,'SDDA Dogs'!$A:$AE,2,FALSE),"")</f>
        <v/>
      </c>
      <c r="I1226" s="325" t="str">
        <f>IFERROR(VLOOKUP($D1226,'SDDA Dogs'!$A:$AE,3,FALSE),"")</f>
        <v/>
      </c>
      <c r="J1226" s="325" t="str">
        <f>IFERROR(VLOOKUP($D1226,'SDDA Dogs'!$A:$AE,6,FALSE),"")</f>
        <v/>
      </c>
      <c r="K1226" s="325" t="str">
        <f>IF(Advanced!AS107="","",Advanced!AS107)</f>
        <v/>
      </c>
      <c r="L1226" s="325" t="str">
        <f>IF(Advanced!AT107="","",Advanced!AT107)</f>
        <v/>
      </c>
      <c r="M1226" s="326" t="str">
        <f>TrialDateDay2</f>
        <v/>
      </c>
      <c r="N1226" s="325" t="str">
        <f t="shared" si="1189"/>
        <v/>
      </c>
      <c r="O1226" s="325">
        <f>JudgeD2CSA</f>
        <v>0</v>
      </c>
    </row>
    <row r="1227" spans="1:15" x14ac:dyDescent="0.25">
      <c r="A1227" s="2">
        <v>2</v>
      </c>
      <c r="B1227" s="2">
        <f t="shared" ref="B1227:O1227" si="1193">B1226</f>
        <v>0</v>
      </c>
      <c r="C1227" s="2" t="str">
        <f t="shared" si="1193"/>
        <v>CSA</v>
      </c>
      <c r="D1227" s="2">
        <f t="shared" si="1193"/>
        <v>0</v>
      </c>
      <c r="E1227" s="2" t="str">
        <f t="shared" si="1193"/>
        <v>A</v>
      </c>
      <c r="F1227" s="2" t="str">
        <f t="shared" si="1193"/>
        <v>Container Advanced</v>
      </c>
      <c r="G1227" s="2" t="str">
        <f t="shared" si="1193"/>
        <v/>
      </c>
      <c r="H1227" s="2" t="str">
        <f t="shared" si="1193"/>
        <v/>
      </c>
      <c r="I1227" s="2" t="str">
        <f t="shared" si="1193"/>
        <v/>
      </c>
      <c r="J1227" s="2" t="str">
        <f t="shared" si="1193"/>
        <v/>
      </c>
      <c r="K1227" s="2" t="str">
        <f t="shared" si="1193"/>
        <v/>
      </c>
      <c r="L1227" s="2" t="str">
        <f t="shared" si="1193"/>
        <v/>
      </c>
      <c r="M1227" s="180" t="str">
        <f t="shared" si="1193"/>
        <v/>
      </c>
      <c r="N1227" s="2" t="str">
        <f t="shared" si="1189"/>
        <v/>
      </c>
      <c r="O1227" s="2">
        <f t="shared" si="1193"/>
        <v>0</v>
      </c>
    </row>
    <row r="1228" spans="1:15" x14ac:dyDescent="0.25">
      <c r="A1228" s="325">
        <v>1</v>
      </c>
      <c r="B1228" s="325">
        <f>TrialNumberDay2</f>
        <v>0</v>
      </c>
      <c r="C1228" s="325" t="s">
        <v>18</v>
      </c>
      <c r="D1228" s="325">
        <f>Advanced!C108</f>
        <v>0</v>
      </c>
      <c r="E1228" s="325" t="str">
        <f>IF(Advanced!B108="W","W","A")</f>
        <v>A</v>
      </c>
      <c r="F1228" s="325" t="s">
        <v>1737</v>
      </c>
      <c r="G1228" s="325" t="str">
        <f>IF(Advanced!G108="e","Y","")</f>
        <v/>
      </c>
      <c r="H1228" s="325" t="str">
        <f>IFERROR(VLOOKUP($D1228,'SDDA Dogs'!$A:$AE,2,FALSE),"")</f>
        <v/>
      </c>
      <c r="I1228" s="325" t="str">
        <f>IFERROR(VLOOKUP($D1228,'SDDA Dogs'!$A:$AE,3,FALSE),"")</f>
        <v/>
      </c>
      <c r="J1228" s="325" t="str">
        <f>IFERROR(VLOOKUP($D1228,'SDDA Dogs'!$A:$AE,6,FALSE),"")</f>
        <v/>
      </c>
      <c r="K1228" s="325" t="str">
        <f>IF(Advanced!AS108="","",Advanced!AS108)</f>
        <v/>
      </c>
      <c r="L1228" s="325" t="str">
        <f>IF(Advanced!AT108="","",Advanced!AT108)</f>
        <v/>
      </c>
      <c r="M1228" s="326" t="str">
        <f>TrialDateDay2</f>
        <v/>
      </c>
      <c r="N1228" s="325" t="str">
        <f t="shared" si="1189"/>
        <v/>
      </c>
      <c r="O1228" s="325">
        <f>JudgeD2CSA</f>
        <v>0</v>
      </c>
    </row>
    <row r="1229" spans="1:15" x14ac:dyDescent="0.25">
      <c r="A1229" s="2">
        <v>2</v>
      </c>
      <c r="B1229" s="2">
        <f t="shared" ref="B1229:O1229" si="1194">B1228</f>
        <v>0</v>
      </c>
      <c r="C1229" s="2" t="str">
        <f t="shared" si="1194"/>
        <v>CSA</v>
      </c>
      <c r="D1229" s="2">
        <f t="shared" si="1194"/>
        <v>0</v>
      </c>
      <c r="E1229" s="2" t="str">
        <f t="shared" si="1194"/>
        <v>A</v>
      </c>
      <c r="F1229" s="2" t="str">
        <f t="shared" si="1194"/>
        <v>Container Advanced</v>
      </c>
      <c r="G1229" s="2" t="str">
        <f t="shared" si="1194"/>
        <v/>
      </c>
      <c r="H1229" s="2" t="str">
        <f t="shared" si="1194"/>
        <v/>
      </c>
      <c r="I1229" s="2" t="str">
        <f t="shared" si="1194"/>
        <v/>
      </c>
      <c r="J1229" s="2" t="str">
        <f t="shared" si="1194"/>
        <v/>
      </c>
      <c r="K1229" s="2" t="str">
        <f t="shared" si="1194"/>
        <v/>
      </c>
      <c r="L1229" s="2" t="str">
        <f t="shared" si="1194"/>
        <v/>
      </c>
      <c r="M1229" s="180" t="str">
        <f t="shared" si="1194"/>
        <v/>
      </c>
      <c r="N1229" s="2" t="str">
        <f t="shared" si="1189"/>
        <v/>
      </c>
      <c r="O1229" s="2">
        <f t="shared" si="1194"/>
        <v>0</v>
      </c>
    </row>
    <row r="1230" spans="1:15" x14ac:dyDescent="0.25">
      <c r="A1230" s="325">
        <v>1</v>
      </c>
      <c r="B1230" s="325">
        <f>TrialNumberDay2</f>
        <v>0</v>
      </c>
      <c r="C1230" s="325" t="s">
        <v>18</v>
      </c>
      <c r="D1230" s="325">
        <f>Advanced!C109</f>
        <v>0</v>
      </c>
      <c r="E1230" s="325" t="str">
        <f>IF(Advanced!B109="W","W","A")</f>
        <v>A</v>
      </c>
      <c r="F1230" s="325" t="s">
        <v>1737</v>
      </c>
      <c r="G1230" s="325" t="str">
        <f>IF(Advanced!G109="e","Y","")</f>
        <v/>
      </c>
      <c r="H1230" s="325" t="str">
        <f>IFERROR(VLOOKUP($D1230,'SDDA Dogs'!$A:$AE,2,FALSE),"")</f>
        <v/>
      </c>
      <c r="I1230" s="325" t="str">
        <f>IFERROR(VLOOKUP($D1230,'SDDA Dogs'!$A:$AE,3,FALSE),"")</f>
        <v/>
      </c>
      <c r="J1230" s="325" t="str">
        <f>IFERROR(VLOOKUP($D1230,'SDDA Dogs'!$A:$AE,6,FALSE),"")</f>
        <v/>
      </c>
      <c r="K1230" s="325" t="str">
        <f>IF(Advanced!AS109="","",Advanced!AS109)</f>
        <v/>
      </c>
      <c r="L1230" s="325" t="str">
        <f>IF(Advanced!AT109="","",Advanced!AT109)</f>
        <v/>
      </c>
      <c r="M1230" s="326" t="str">
        <f>TrialDateDay2</f>
        <v/>
      </c>
      <c r="N1230" s="325" t="str">
        <f t="shared" si="1189"/>
        <v/>
      </c>
      <c r="O1230" s="325">
        <f>JudgeD2CSA</f>
        <v>0</v>
      </c>
    </row>
    <row r="1231" spans="1:15" x14ac:dyDescent="0.25">
      <c r="A1231" s="2">
        <v>2</v>
      </c>
      <c r="B1231" s="2">
        <f t="shared" ref="B1231:O1231" si="1195">B1230</f>
        <v>0</v>
      </c>
      <c r="C1231" s="2" t="str">
        <f t="shared" si="1195"/>
        <v>CSA</v>
      </c>
      <c r="D1231" s="2">
        <f t="shared" si="1195"/>
        <v>0</v>
      </c>
      <c r="E1231" s="2" t="str">
        <f t="shared" si="1195"/>
        <v>A</v>
      </c>
      <c r="F1231" s="2" t="str">
        <f t="shared" si="1195"/>
        <v>Container Advanced</v>
      </c>
      <c r="G1231" s="2" t="str">
        <f t="shared" si="1195"/>
        <v/>
      </c>
      <c r="H1231" s="2" t="str">
        <f t="shared" si="1195"/>
        <v/>
      </c>
      <c r="I1231" s="2" t="str">
        <f t="shared" si="1195"/>
        <v/>
      </c>
      <c r="J1231" s="2" t="str">
        <f t="shared" si="1195"/>
        <v/>
      </c>
      <c r="K1231" s="2" t="str">
        <f t="shared" si="1195"/>
        <v/>
      </c>
      <c r="L1231" s="2" t="str">
        <f t="shared" si="1195"/>
        <v/>
      </c>
      <c r="M1231" s="180" t="str">
        <f t="shared" si="1195"/>
        <v/>
      </c>
      <c r="N1231" s="2" t="str">
        <f t="shared" si="1189"/>
        <v/>
      </c>
      <c r="O1231" s="2">
        <f t="shared" si="1195"/>
        <v>0</v>
      </c>
    </row>
    <row r="1232" spans="1:15" x14ac:dyDescent="0.25">
      <c r="A1232" s="325">
        <v>1</v>
      </c>
      <c r="B1232" s="325">
        <f>TrialNumberDay2</f>
        <v>0</v>
      </c>
      <c r="C1232" s="325" t="s">
        <v>18</v>
      </c>
      <c r="D1232" s="325">
        <f>Advanced!C110</f>
        <v>0</v>
      </c>
      <c r="E1232" s="325" t="str">
        <f>IF(Advanced!B110="W","W","A")</f>
        <v>A</v>
      </c>
      <c r="F1232" s="325" t="s">
        <v>1737</v>
      </c>
      <c r="G1232" s="325" t="str">
        <f>IF(Advanced!G110="e","Y","")</f>
        <v/>
      </c>
      <c r="H1232" s="325" t="str">
        <f>IFERROR(VLOOKUP($D1232,'SDDA Dogs'!$A:$AE,2,FALSE),"")</f>
        <v/>
      </c>
      <c r="I1232" s="325" t="str">
        <f>IFERROR(VLOOKUP($D1232,'SDDA Dogs'!$A:$AE,3,FALSE),"")</f>
        <v/>
      </c>
      <c r="J1232" s="325" t="str">
        <f>IFERROR(VLOOKUP($D1232,'SDDA Dogs'!$A:$AE,6,FALSE),"")</f>
        <v/>
      </c>
      <c r="K1232" s="325" t="str">
        <f>IF(Advanced!AS110="","",Advanced!AS110)</f>
        <v/>
      </c>
      <c r="L1232" s="325" t="str">
        <f>IF(Advanced!AT110="","",Advanced!AT110)</f>
        <v/>
      </c>
      <c r="M1232" s="326" t="str">
        <f>TrialDateDay2</f>
        <v/>
      </c>
      <c r="N1232" s="325" t="str">
        <f t="shared" si="1189"/>
        <v/>
      </c>
      <c r="O1232" s="325">
        <f>JudgeD2CSA</f>
        <v>0</v>
      </c>
    </row>
    <row r="1233" spans="1:15" x14ac:dyDescent="0.25">
      <c r="A1233" s="2">
        <v>2</v>
      </c>
      <c r="B1233" s="2">
        <f t="shared" ref="B1233:O1233" si="1196">B1232</f>
        <v>0</v>
      </c>
      <c r="C1233" s="2" t="str">
        <f t="shared" si="1196"/>
        <v>CSA</v>
      </c>
      <c r="D1233" s="2">
        <f t="shared" si="1196"/>
        <v>0</v>
      </c>
      <c r="E1233" s="2" t="str">
        <f t="shared" si="1196"/>
        <v>A</v>
      </c>
      <c r="F1233" s="2" t="str">
        <f t="shared" si="1196"/>
        <v>Container Advanced</v>
      </c>
      <c r="G1233" s="2" t="str">
        <f t="shared" si="1196"/>
        <v/>
      </c>
      <c r="H1233" s="2" t="str">
        <f t="shared" si="1196"/>
        <v/>
      </c>
      <c r="I1233" s="2" t="str">
        <f t="shared" si="1196"/>
        <v/>
      </c>
      <c r="J1233" s="2" t="str">
        <f t="shared" si="1196"/>
        <v/>
      </c>
      <c r="K1233" s="2" t="str">
        <f t="shared" si="1196"/>
        <v/>
      </c>
      <c r="L1233" s="2" t="str">
        <f t="shared" si="1196"/>
        <v/>
      </c>
      <c r="M1233" s="180" t="str">
        <f t="shared" si="1196"/>
        <v/>
      </c>
      <c r="N1233" s="2" t="str">
        <f t="shared" si="1189"/>
        <v/>
      </c>
      <c r="O1233" s="2">
        <f t="shared" si="1196"/>
        <v>0</v>
      </c>
    </row>
    <row r="1234" spans="1:15" x14ac:dyDescent="0.25">
      <c r="A1234" s="325">
        <v>1</v>
      </c>
      <c r="B1234" s="325">
        <f>TrialNumberDay2</f>
        <v>0</v>
      </c>
      <c r="C1234" s="325" t="s">
        <v>18</v>
      </c>
      <c r="D1234" s="325">
        <f>Advanced!C111</f>
        <v>0</v>
      </c>
      <c r="E1234" s="325" t="str">
        <f>IF(Advanced!B111="W","W","A")</f>
        <v>A</v>
      </c>
      <c r="F1234" s="325" t="s">
        <v>1737</v>
      </c>
      <c r="G1234" s="325" t="str">
        <f>IF(Advanced!G111="e","Y","")</f>
        <v/>
      </c>
      <c r="H1234" s="325" t="str">
        <f>IFERROR(VLOOKUP($D1234,'SDDA Dogs'!$A:$AE,2,FALSE),"")</f>
        <v/>
      </c>
      <c r="I1234" s="325" t="str">
        <f>IFERROR(VLOOKUP($D1234,'SDDA Dogs'!$A:$AE,3,FALSE),"")</f>
        <v/>
      </c>
      <c r="J1234" s="325" t="str">
        <f>IFERROR(VLOOKUP($D1234,'SDDA Dogs'!$A:$AE,6,FALSE),"")</f>
        <v/>
      </c>
      <c r="K1234" s="325" t="str">
        <f>IF(Advanced!AS111="","",Advanced!AS111)</f>
        <v/>
      </c>
      <c r="L1234" s="325" t="str">
        <f>IF(Advanced!AT111="","",Advanced!AT111)</f>
        <v/>
      </c>
      <c r="M1234" s="326" t="str">
        <f>TrialDateDay2</f>
        <v/>
      </c>
      <c r="N1234" s="325" t="str">
        <f t="shared" si="1189"/>
        <v/>
      </c>
      <c r="O1234" s="325">
        <f>JudgeD2CSA</f>
        <v>0</v>
      </c>
    </row>
    <row r="1235" spans="1:15" x14ac:dyDescent="0.25">
      <c r="A1235" s="2">
        <v>2</v>
      </c>
      <c r="B1235" s="2">
        <f t="shared" ref="B1235:O1235" si="1197">B1234</f>
        <v>0</v>
      </c>
      <c r="C1235" s="2" t="str">
        <f t="shared" si="1197"/>
        <v>CSA</v>
      </c>
      <c r="D1235" s="2">
        <f t="shared" si="1197"/>
        <v>0</v>
      </c>
      <c r="E1235" s="2" t="str">
        <f t="shared" si="1197"/>
        <v>A</v>
      </c>
      <c r="F1235" s="2" t="str">
        <f t="shared" si="1197"/>
        <v>Container Advanced</v>
      </c>
      <c r="G1235" s="2" t="str">
        <f t="shared" si="1197"/>
        <v/>
      </c>
      <c r="H1235" s="2" t="str">
        <f t="shared" si="1197"/>
        <v/>
      </c>
      <c r="I1235" s="2" t="str">
        <f t="shared" si="1197"/>
        <v/>
      </c>
      <c r="J1235" s="2" t="str">
        <f t="shared" si="1197"/>
        <v/>
      </c>
      <c r="K1235" s="2" t="str">
        <f t="shared" si="1197"/>
        <v/>
      </c>
      <c r="L1235" s="2" t="str">
        <f t="shared" si="1197"/>
        <v/>
      </c>
      <c r="M1235" s="180" t="str">
        <f t="shared" si="1197"/>
        <v/>
      </c>
      <c r="N1235" s="2" t="str">
        <f t="shared" si="1189"/>
        <v/>
      </c>
      <c r="O1235" s="2">
        <f t="shared" si="1197"/>
        <v>0</v>
      </c>
    </row>
    <row r="1236" spans="1:15" x14ac:dyDescent="0.25">
      <c r="A1236" s="325">
        <v>1</v>
      </c>
      <c r="B1236" s="325">
        <f>TrialNumberDay2</f>
        <v>0</v>
      </c>
      <c r="C1236" s="325" t="s">
        <v>18</v>
      </c>
      <c r="D1236" s="325">
        <f>Advanced!C112</f>
        <v>0</v>
      </c>
      <c r="E1236" s="325" t="str">
        <f>IF(Advanced!B112="W","W","A")</f>
        <v>A</v>
      </c>
      <c r="F1236" s="325" t="s">
        <v>1737</v>
      </c>
      <c r="G1236" s="325" t="str">
        <f>IF(Advanced!G112="e","Y","")</f>
        <v/>
      </c>
      <c r="H1236" s="325" t="str">
        <f>IFERROR(VLOOKUP($D1236,'SDDA Dogs'!$A:$AE,2,FALSE),"")</f>
        <v/>
      </c>
      <c r="I1236" s="325" t="str">
        <f>IFERROR(VLOOKUP($D1236,'SDDA Dogs'!$A:$AE,3,FALSE),"")</f>
        <v/>
      </c>
      <c r="J1236" s="325" t="str">
        <f>IFERROR(VLOOKUP($D1236,'SDDA Dogs'!$A:$AE,6,FALSE),"")</f>
        <v/>
      </c>
      <c r="K1236" s="325" t="str">
        <f>IF(Advanced!AS112="","",Advanced!AS112)</f>
        <v/>
      </c>
      <c r="L1236" s="325" t="str">
        <f>IF(Advanced!AT112="","",Advanced!AT112)</f>
        <v/>
      </c>
      <c r="M1236" s="326" t="str">
        <f>TrialDateDay2</f>
        <v/>
      </c>
      <c r="N1236" s="325" t="str">
        <f t="shared" si="1189"/>
        <v/>
      </c>
      <c r="O1236" s="325">
        <f>JudgeD2CSA</f>
        <v>0</v>
      </c>
    </row>
    <row r="1237" spans="1:15" x14ac:dyDescent="0.25">
      <c r="A1237" s="2">
        <v>2</v>
      </c>
      <c r="B1237" s="2">
        <f t="shared" ref="B1237:O1237" si="1198">B1236</f>
        <v>0</v>
      </c>
      <c r="C1237" s="2" t="str">
        <f t="shared" si="1198"/>
        <v>CSA</v>
      </c>
      <c r="D1237" s="2">
        <f t="shared" si="1198"/>
        <v>0</v>
      </c>
      <c r="E1237" s="2" t="str">
        <f t="shared" si="1198"/>
        <v>A</v>
      </c>
      <c r="F1237" s="2" t="str">
        <f t="shared" si="1198"/>
        <v>Container Advanced</v>
      </c>
      <c r="G1237" s="2" t="str">
        <f t="shared" si="1198"/>
        <v/>
      </c>
      <c r="H1237" s="2" t="str">
        <f t="shared" si="1198"/>
        <v/>
      </c>
      <c r="I1237" s="2" t="str">
        <f t="shared" si="1198"/>
        <v/>
      </c>
      <c r="J1237" s="2" t="str">
        <f t="shared" si="1198"/>
        <v/>
      </c>
      <c r="K1237" s="2" t="str">
        <f t="shared" si="1198"/>
        <v/>
      </c>
      <c r="L1237" s="2" t="str">
        <f t="shared" si="1198"/>
        <v/>
      </c>
      <c r="M1237" s="180" t="str">
        <f t="shared" si="1198"/>
        <v/>
      </c>
      <c r="N1237" s="2" t="str">
        <f t="shared" si="1189"/>
        <v/>
      </c>
      <c r="O1237" s="2">
        <f t="shared" si="1198"/>
        <v>0</v>
      </c>
    </row>
    <row r="1238" spans="1:15" x14ac:dyDescent="0.25">
      <c r="A1238" s="325">
        <v>1</v>
      </c>
      <c r="B1238" s="325">
        <f>TrialNumberDay2</f>
        <v>0</v>
      </c>
      <c r="C1238" s="325" t="s">
        <v>18</v>
      </c>
      <c r="D1238" s="325">
        <f>Advanced!C113</f>
        <v>0</v>
      </c>
      <c r="E1238" s="325" t="str">
        <f>IF(Advanced!B113="W","W","A")</f>
        <v>A</v>
      </c>
      <c r="F1238" s="325" t="s">
        <v>1737</v>
      </c>
      <c r="G1238" s="325" t="str">
        <f>IF(Advanced!G113="e","Y","")</f>
        <v/>
      </c>
      <c r="H1238" s="325" t="str">
        <f>IFERROR(VLOOKUP($D1238,'SDDA Dogs'!$A:$AE,2,FALSE),"")</f>
        <v/>
      </c>
      <c r="I1238" s="325" t="str">
        <f>IFERROR(VLOOKUP($D1238,'SDDA Dogs'!$A:$AE,3,FALSE),"")</f>
        <v/>
      </c>
      <c r="J1238" s="325" t="str">
        <f>IFERROR(VLOOKUP($D1238,'SDDA Dogs'!$A:$AE,6,FALSE),"")</f>
        <v/>
      </c>
      <c r="K1238" s="325" t="str">
        <f>IF(Advanced!AS113="","",Advanced!AS113)</f>
        <v/>
      </c>
      <c r="L1238" s="325" t="str">
        <f>IF(Advanced!AT113="","",Advanced!AT113)</f>
        <v/>
      </c>
      <c r="M1238" s="326" t="str">
        <f>TrialDateDay2</f>
        <v/>
      </c>
      <c r="N1238" s="325" t="str">
        <f t="shared" si="1189"/>
        <v/>
      </c>
      <c r="O1238" s="325">
        <f>JudgeD2CSA</f>
        <v>0</v>
      </c>
    </row>
    <row r="1239" spans="1:15" x14ac:dyDescent="0.25">
      <c r="A1239" s="2">
        <v>2</v>
      </c>
      <c r="B1239" s="2">
        <f t="shared" ref="B1239:O1239" si="1199">B1238</f>
        <v>0</v>
      </c>
      <c r="C1239" s="2" t="str">
        <f t="shared" si="1199"/>
        <v>CSA</v>
      </c>
      <c r="D1239" s="2">
        <f t="shared" si="1199"/>
        <v>0</v>
      </c>
      <c r="E1239" s="2" t="str">
        <f t="shared" si="1199"/>
        <v>A</v>
      </c>
      <c r="F1239" s="2" t="str">
        <f t="shared" si="1199"/>
        <v>Container Advanced</v>
      </c>
      <c r="G1239" s="2" t="str">
        <f t="shared" si="1199"/>
        <v/>
      </c>
      <c r="H1239" s="2" t="str">
        <f t="shared" si="1199"/>
        <v/>
      </c>
      <c r="I1239" s="2" t="str">
        <f t="shared" si="1199"/>
        <v/>
      </c>
      <c r="J1239" s="2" t="str">
        <f t="shared" si="1199"/>
        <v/>
      </c>
      <c r="K1239" s="2" t="str">
        <f t="shared" si="1199"/>
        <v/>
      </c>
      <c r="L1239" s="2" t="str">
        <f t="shared" si="1199"/>
        <v/>
      </c>
      <c r="M1239" s="180" t="str">
        <f t="shared" si="1199"/>
        <v/>
      </c>
      <c r="N1239" s="2" t="str">
        <f t="shared" si="1189"/>
        <v/>
      </c>
      <c r="O1239" s="2">
        <f t="shared" si="1199"/>
        <v>0</v>
      </c>
    </row>
    <row r="1240" spans="1:15" x14ac:dyDescent="0.25">
      <c r="A1240" s="325">
        <v>1</v>
      </c>
      <c r="B1240" s="325">
        <f>TrialNumberDay2</f>
        <v>0</v>
      </c>
      <c r="C1240" s="325" t="s">
        <v>18</v>
      </c>
      <c r="D1240" s="325">
        <f>Advanced!C114</f>
        <v>0</v>
      </c>
      <c r="E1240" s="325" t="str">
        <f>IF(Advanced!B114="W","W","A")</f>
        <v>A</v>
      </c>
      <c r="F1240" s="325" t="s">
        <v>1737</v>
      </c>
      <c r="G1240" s="325" t="str">
        <f>IF(Advanced!G114="e","Y","")</f>
        <v/>
      </c>
      <c r="H1240" s="325" t="str">
        <f>IFERROR(VLOOKUP($D1240,'SDDA Dogs'!$A:$AE,2,FALSE),"")</f>
        <v/>
      </c>
      <c r="I1240" s="325" t="str">
        <f>IFERROR(VLOOKUP($D1240,'SDDA Dogs'!$A:$AE,3,FALSE),"")</f>
        <v/>
      </c>
      <c r="J1240" s="325" t="str">
        <f>IFERROR(VLOOKUP($D1240,'SDDA Dogs'!$A:$AE,6,FALSE),"")</f>
        <v/>
      </c>
      <c r="K1240" s="325" t="str">
        <f>IF(Advanced!AS114="","",Advanced!AS114)</f>
        <v/>
      </c>
      <c r="L1240" s="325" t="str">
        <f>IF(Advanced!AT114="","",Advanced!AT114)</f>
        <v/>
      </c>
      <c r="M1240" s="326" t="str">
        <f>TrialDateDay2</f>
        <v/>
      </c>
      <c r="N1240" s="325" t="str">
        <f t="shared" si="1189"/>
        <v/>
      </c>
      <c r="O1240" s="325">
        <f>JudgeD2CSA</f>
        <v>0</v>
      </c>
    </row>
    <row r="1241" spans="1:15" x14ac:dyDescent="0.25">
      <c r="A1241" s="2">
        <v>2</v>
      </c>
      <c r="B1241" s="2">
        <f t="shared" ref="B1241:O1241" si="1200">B1240</f>
        <v>0</v>
      </c>
      <c r="C1241" s="2" t="str">
        <f t="shared" si="1200"/>
        <v>CSA</v>
      </c>
      <c r="D1241" s="2">
        <f t="shared" si="1200"/>
        <v>0</v>
      </c>
      <c r="E1241" s="2" t="str">
        <f t="shared" si="1200"/>
        <v>A</v>
      </c>
      <c r="F1241" s="2" t="str">
        <f t="shared" si="1200"/>
        <v>Container Advanced</v>
      </c>
      <c r="G1241" s="2" t="str">
        <f t="shared" si="1200"/>
        <v/>
      </c>
      <c r="H1241" s="2" t="str">
        <f t="shared" si="1200"/>
        <v/>
      </c>
      <c r="I1241" s="2" t="str">
        <f t="shared" si="1200"/>
        <v/>
      </c>
      <c r="J1241" s="2" t="str">
        <f t="shared" si="1200"/>
        <v/>
      </c>
      <c r="K1241" s="2" t="str">
        <f t="shared" si="1200"/>
        <v/>
      </c>
      <c r="L1241" s="2" t="str">
        <f t="shared" si="1200"/>
        <v/>
      </c>
      <c r="M1241" s="180" t="str">
        <f t="shared" si="1200"/>
        <v/>
      </c>
      <c r="N1241" s="2" t="str">
        <f t="shared" si="1189"/>
        <v/>
      </c>
      <c r="O1241" s="2">
        <f t="shared" si="1200"/>
        <v>0</v>
      </c>
    </row>
    <row r="1242" spans="1:15" s="149" customFormat="1" x14ac:dyDescent="0.25">
      <c r="A1242" s="327">
        <v>1</v>
      </c>
      <c r="B1242" s="327">
        <f>TrialNumberDay2</f>
        <v>0</v>
      </c>
      <c r="C1242" s="327" t="s">
        <v>19</v>
      </c>
      <c r="D1242" s="327">
        <f>Advanced!C65</f>
        <v>0</v>
      </c>
      <c r="E1242" s="327" t="str">
        <f>IF(Advanced!B65="W","W","A")</f>
        <v>A</v>
      </c>
      <c r="F1242" s="327" t="s">
        <v>1738</v>
      </c>
      <c r="G1242" s="327" t="str">
        <f>IF(Advanced!O65="e","Y","")</f>
        <v/>
      </c>
      <c r="H1242" s="327" t="str">
        <f>IFERROR(VLOOKUP($D1242,'SDDA Dogs'!$A:$AE,2,FALSE),"")</f>
        <v/>
      </c>
      <c r="I1242" s="327" t="str">
        <f>IFERROR(VLOOKUP($D1242,'SDDA Dogs'!$A:$AE,3,FALSE),"")</f>
        <v/>
      </c>
      <c r="J1242" s="327" t="str">
        <f>IFERROR(VLOOKUP($D1242,'SDDA Dogs'!$A:$AE,6,FALSE),"")</f>
        <v/>
      </c>
      <c r="K1242" s="327" t="str">
        <f>IF(Advanced!AS65="","",Advanced!AS65)</f>
        <v/>
      </c>
      <c r="L1242" s="327" t="str">
        <f>IF(Advanced!AT65="","",Advanced!AT65)</f>
        <v/>
      </c>
      <c r="M1242" s="328" t="str">
        <f>TrialDateDay2</f>
        <v/>
      </c>
      <c r="N1242" s="325" t="str">
        <f t="shared" si="1189"/>
        <v/>
      </c>
      <c r="O1242" s="327">
        <f>JudgeD2ISA</f>
        <v>0</v>
      </c>
    </row>
    <row r="1243" spans="1:15" x14ac:dyDescent="0.25">
      <c r="A1243" s="2">
        <v>2</v>
      </c>
      <c r="B1243" s="2">
        <f t="shared" ref="B1243:O1277" si="1201">B1242</f>
        <v>0</v>
      </c>
      <c r="C1243" s="2" t="str">
        <f t="shared" si="1201"/>
        <v>ISA</v>
      </c>
      <c r="D1243" s="2">
        <f t="shared" si="1201"/>
        <v>0</v>
      </c>
      <c r="E1243" s="2" t="str">
        <f t="shared" si="1201"/>
        <v>A</v>
      </c>
      <c r="F1243" s="2" t="str">
        <f t="shared" si="1201"/>
        <v>Interior Advanced</v>
      </c>
      <c r="G1243" s="2" t="str">
        <f t="shared" si="1201"/>
        <v/>
      </c>
      <c r="H1243" s="2" t="str">
        <f t="shared" si="1201"/>
        <v/>
      </c>
      <c r="I1243" s="2" t="str">
        <f t="shared" si="1201"/>
        <v/>
      </c>
      <c r="J1243" s="2" t="str">
        <f t="shared" si="1201"/>
        <v/>
      </c>
      <c r="K1243" s="2" t="str">
        <f t="shared" si="1201"/>
        <v/>
      </c>
      <c r="L1243" s="2" t="str">
        <f t="shared" si="1201"/>
        <v/>
      </c>
      <c r="M1243" s="180" t="str">
        <f t="shared" si="1201"/>
        <v/>
      </c>
      <c r="N1243" s="2" t="str">
        <f t="shared" si="1189"/>
        <v/>
      </c>
      <c r="O1243" s="2">
        <f t="shared" si="1201"/>
        <v>0</v>
      </c>
    </row>
    <row r="1244" spans="1:15" x14ac:dyDescent="0.25">
      <c r="A1244" s="325">
        <v>1</v>
      </c>
      <c r="B1244" s="325">
        <f>TrialNumberDay2</f>
        <v>0</v>
      </c>
      <c r="C1244" s="325" t="s">
        <v>19</v>
      </c>
      <c r="D1244" s="325">
        <f>Advanced!C66</f>
        <v>0</v>
      </c>
      <c r="E1244" s="325" t="str">
        <f>IF(Advanced!B66="W","W","A")</f>
        <v>A</v>
      </c>
      <c r="F1244" s="325" t="s">
        <v>1738</v>
      </c>
      <c r="G1244" s="325" t="str">
        <f>IF(Advanced!O66="e","Y","")</f>
        <v/>
      </c>
      <c r="H1244" s="325" t="str">
        <f>IFERROR(VLOOKUP($D1244,'SDDA Dogs'!$A:$AE,2,FALSE),"")</f>
        <v/>
      </c>
      <c r="I1244" s="325" t="str">
        <f>IFERROR(VLOOKUP($D1244,'SDDA Dogs'!$A:$AE,3,FALSE),"")</f>
        <v/>
      </c>
      <c r="J1244" s="325" t="str">
        <f>IFERROR(VLOOKUP($D1244,'SDDA Dogs'!$A:$AE,6,FALSE),"")</f>
        <v/>
      </c>
      <c r="K1244" s="325" t="str">
        <f>IF(Advanced!AS66="","",Advanced!AS66)</f>
        <v/>
      </c>
      <c r="L1244" s="325" t="str">
        <f>IF(Advanced!AT66="","",Advanced!AT66)</f>
        <v/>
      </c>
      <c r="M1244" s="326" t="str">
        <f>TrialDateDay2</f>
        <v/>
      </c>
      <c r="N1244" s="325" t="str">
        <f t="shared" si="1189"/>
        <v/>
      </c>
      <c r="O1244" s="325">
        <f>JudgeD2ISA</f>
        <v>0</v>
      </c>
    </row>
    <row r="1245" spans="1:15" x14ac:dyDescent="0.25">
      <c r="A1245" s="2">
        <v>2</v>
      </c>
      <c r="B1245" s="2">
        <f t="shared" si="1201"/>
        <v>0</v>
      </c>
      <c r="C1245" s="2" t="str">
        <f t="shared" si="1201"/>
        <v>ISA</v>
      </c>
      <c r="D1245" s="2">
        <f t="shared" si="1201"/>
        <v>0</v>
      </c>
      <c r="E1245" s="2" t="str">
        <f t="shared" si="1201"/>
        <v>A</v>
      </c>
      <c r="F1245" s="2" t="str">
        <f t="shared" si="1201"/>
        <v>Interior Advanced</v>
      </c>
      <c r="G1245" s="2" t="str">
        <f t="shared" si="1201"/>
        <v/>
      </c>
      <c r="H1245" s="2" t="str">
        <f t="shared" si="1201"/>
        <v/>
      </c>
      <c r="I1245" s="2" t="str">
        <f t="shared" si="1201"/>
        <v/>
      </c>
      <c r="J1245" s="2" t="str">
        <f t="shared" si="1201"/>
        <v/>
      </c>
      <c r="K1245" s="2" t="str">
        <f t="shared" si="1201"/>
        <v/>
      </c>
      <c r="L1245" s="2" t="str">
        <f t="shared" si="1201"/>
        <v/>
      </c>
      <c r="M1245" s="180" t="str">
        <f t="shared" si="1201"/>
        <v/>
      </c>
      <c r="N1245" s="2" t="str">
        <f t="shared" si="1189"/>
        <v/>
      </c>
      <c r="O1245" s="2">
        <f t="shared" si="1201"/>
        <v>0</v>
      </c>
    </row>
    <row r="1246" spans="1:15" x14ac:dyDescent="0.25">
      <c r="A1246" s="325">
        <v>1</v>
      </c>
      <c r="B1246" s="325">
        <f>TrialNumberDay2</f>
        <v>0</v>
      </c>
      <c r="C1246" s="325" t="s">
        <v>19</v>
      </c>
      <c r="D1246" s="325">
        <f>Advanced!C67</f>
        <v>0</v>
      </c>
      <c r="E1246" s="325" t="str">
        <f>IF(Advanced!B67="W","W","A")</f>
        <v>A</v>
      </c>
      <c r="F1246" s="325" t="s">
        <v>1738</v>
      </c>
      <c r="G1246" s="325" t="str">
        <f>IF(Advanced!O67="e","Y","")</f>
        <v/>
      </c>
      <c r="H1246" s="325" t="str">
        <f>IFERROR(VLOOKUP($D1246,'SDDA Dogs'!$A:$AE,2,FALSE),"")</f>
        <v/>
      </c>
      <c r="I1246" s="325" t="str">
        <f>IFERROR(VLOOKUP($D1246,'SDDA Dogs'!$A:$AE,3,FALSE),"")</f>
        <v/>
      </c>
      <c r="J1246" s="325" t="str">
        <f>IFERROR(VLOOKUP($D1246,'SDDA Dogs'!$A:$AE,6,FALSE),"")</f>
        <v/>
      </c>
      <c r="K1246" s="325" t="str">
        <f>IF(Advanced!AS67="","",Advanced!AS67)</f>
        <v/>
      </c>
      <c r="L1246" s="325" t="str">
        <f>IF(Advanced!AT67="","",Advanced!AT67)</f>
        <v/>
      </c>
      <c r="M1246" s="326" t="str">
        <f>TrialDateDay2</f>
        <v/>
      </c>
      <c r="N1246" s="325" t="str">
        <f t="shared" si="1189"/>
        <v/>
      </c>
      <c r="O1246" s="325">
        <f>JudgeD2ISA</f>
        <v>0</v>
      </c>
    </row>
    <row r="1247" spans="1:15" x14ac:dyDescent="0.25">
      <c r="A1247" s="2">
        <v>2</v>
      </c>
      <c r="B1247" s="2">
        <f t="shared" si="1201"/>
        <v>0</v>
      </c>
      <c r="C1247" s="2" t="str">
        <f t="shared" si="1201"/>
        <v>ISA</v>
      </c>
      <c r="D1247" s="2">
        <f t="shared" si="1201"/>
        <v>0</v>
      </c>
      <c r="E1247" s="2" t="str">
        <f t="shared" si="1201"/>
        <v>A</v>
      </c>
      <c r="F1247" s="2" t="str">
        <f t="shared" si="1201"/>
        <v>Interior Advanced</v>
      </c>
      <c r="G1247" s="2" t="str">
        <f t="shared" si="1201"/>
        <v/>
      </c>
      <c r="H1247" s="2" t="str">
        <f t="shared" si="1201"/>
        <v/>
      </c>
      <c r="I1247" s="2" t="str">
        <f t="shared" si="1201"/>
        <v/>
      </c>
      <c r="J1247" s="2" t="str">
        <f t="shared" si="1201"/>
        <v/>
      </c>
      <c r="K1247" s="2" t="str">
        <f t="shared" si="1201"/>
        <v/>
      </c>
      <c r="L1247" s="2" t="str">
        <f t="shared" si="1201"/>
        <v/>
      </c>
      <c r="M1247" s="180" t="str">
        <f t="shared" si="1201"/>
        <v/>
      </c>
      <c r="N1247" s="2" t="str">
        <f t="shared" si="1189"/>
        <v/>
      </c>
      <c r="O1247" s="2">
        <f t="shared" si="1201"/>
        <v>0</v>
      </c>
    </row>
    <row r="1248" spans="1:15" x14ac:dyDescent="0.25">
      <c r="A1248" s="325">
        <v>1</v>
      </c>
      <c r="B1248" s="325">
        <f>TrialNumberDay2</f>
        <v>0</v>
      </c>
      <c r="C1248" s="325" t="s">
        <v>19</v>
      </c>
      <c r="D1248" s="325">
        <f>Advanced!C68</f>
        <v>0</v>
      </c>
      <c r="E1248" s="325" t="str">
        <f>IF(Advanced!B68="W","W","A")</f>
        <v>A</v>
      </c>
      <c r="F1248" s="325" t="s">
        <v>1738</v>
      </c>
      <c r="G1248" s="325" t="str">
        <f>IF(Advanced!O68="e","Y","")</f>
        <v/>
      </c>
      <c r="H1248" s="325" t="str">
        <f>IFERROR(VLOOKUP($D1248,'SDDA Dogs'!$A:$AE,2,FALSE),"")</f>
        <v/>
      </c>
      <c r="I1248" s="325" t="str">
        <f>IFERROR(VLOOKUP($D1248,'SDDA Dogs'!$A:$AE,3,FALSE),"")</f>
        <v/>
      </c>
      <c r="J1248" s="325" t="str">
        <f>IFERROR(VLOOKUP($D1248,'SDDA Dogs'!$A:$AE,6,FALSE),"")</f>
        <v/>
      </c>
      <c r="K1248" s="325" t="str">
        <f>IF(Advanced!AS68="","",Advanced!AS68)</f>
        <v/>
      </c>
      <c r="L1248" s="325" t="str">
        <f>IF(Advanced!AT68="","",Advanced!AT68)</f>
        <v/>
      </c>
      <c r="M1248" s="326" t="str">
        <f>TrialDateDay2</f>
        <v/>
      </c>
      <c r="N1248" s="325" t="str">
        <f t="shared" si="1189"/>
        <v/>
      </c>
      <c r="O1248" s="325">
        <f>JudgeD2ISA</f>
        <v>0</v>
      </c>
    </row>
    <row r="1249" spans="1:15" x14ac:dyDescent="0.25">
      <c r="A1249" s="2">
        <v>2</v>
      </c>
      <c r="B1249" s="2">
        <f t="shared" si="1201"/>
        <v>0</v>
      </c>
      <c r="C1249" s="2" t="str">
        <f t="shared" si="1201"/>
        <v>ISA</v>
      </c>
      <c r="D1249" s="2">
        <f t="shared" si="1201"/>
        <v>0</v>
      </c>
      <c r="E1249" s="2" t="str">
        <f t="shared" si="1201"/>
        <v>A</v>
      </c>
      <c r="F1249" s="2" t="str">
        <f t="shared" si="1201"/>
        <v>Interior Advanced</v>
      </c>
      <c r="G1249" s="2" t="str">
        <f t="shared" si="1201"/>
        <v/>
      </c>
      <c r="H1249" s="2" t="str">
        <f t="shared" si="1201"/>
        <v/>
      </c>
      <c r="I1249" s="2" t="str">
        <f t="shared" si="1201"/>
        <v/>
      </c>
      <c r="J1249" s="2" t="str">
        <f t="shared" si="1201"/>
        <v/>
      </c>
      <c r="K1249" s="2" t="str">
        <f t="shared" si="1201"/>
        <v/>
      </c>
      <c r="L1249" s="2" t="str">
        <f t="shared" si="1201"/>
        <v/>
      </c>
      <c r="M1249" s="180" t="str">
        <f t="shared" si="1201"/>
        <v/>
      </c>
      <c r="N1249" s="2" t="str">
        <f t="shared" si="1189"/>
        <v/>
      </c>
      <c r="O1249" s="2">
        <f t="shared" si="1201"/>
        <v>0</v>
      </c>
    </row>
    <row r="1250" spans="1:15" x14ac:dyDescent="0.25">
      <c r="A1250" s="325">
        <v>1</v>
      </c>
      <c r="B1250" s="325">
        <f>TrialNumberDay2</f>
        <v>0</v>
      </c>
      <c r="C1250" s="325" t="s">
        <v>19</v>
      </c>
      <c r="D1250" s="325">
        <f>Advanced!C69</f>
        <v>0</v>
      </c>
      <c r="E1250" s="325" t="str">
        <f>IF(Advanced!B69="W","W","A")</f>
        <v>A</v>
      </c>
      <c r="F1250" s="325" t="s">
        <v>1738</v>
      </c>
      <c r="G1250" s="325" t="str">
        <f>IF(Advanced!O69="e","Y","")</f>
        <v/>
      </c>
      <c r="H1250" s="325" t="str">
        <f>IFERROR(VLOOKUP($D1250,'SDDA Dogs'!$A:$AE,2,FALSE),"")</f>
        <v/>
      </c>
      <c r="I1250" s="325" t="str">
        <f>IFERROR(VLOOKUP($D1250,'SDDA Dogs'!$A:$AE,3,FALSE),"")</f>
        <v/>
      </c>
      <c r="J1250" s="325" t="str">
        <f>IFERROR(VLOOKUP($D1250,'SDDA Dogs'!$A:$AE,6,FALSE),"")</f>
        <v/>
      </c>
      <c r="K1250" s="325" t="str">
        <f>IF(Advanced!AS69="","",Advanced!AS69)</f>
        <v/>
      </c>
      <c r="L1250" s="325" t="str">
        <f>IF(Advanced!AT69="","",Advanced!AT69)</f>
        <v/>
      </c>
      <c r="M1250" s="326" t="str">
        <f>TrialDateDay2</f>
        <v/>
      </c>
      <c r="N1250" s="325" t="str">
        <f t="shared" si="1189"/>
        <v/>
      </c>
      <c r="O1250" s="325">
        <f>JudgeD2ISA</f>
        <v>0</v>
      </c>
    </row>
    <row r="1251" spans="1:15" x14ac:dyDescent="0.25">
      <c r="A1251" s="2">
        <v>2</v>
      </c>
      <c r="B1251" s="2">
        <f t="shared" si="1201"/>
        <v>0</v>
      </c>
      <c r="C1251" s="2" t="str">
        <f t="shared" si="1201"/>
        <v>ISA</v>
      </c>
      <c r="D1251" s="2">
        <f t="shared" si="1201"/>
        <v>0</v>
      </c>
      <c r="E1251" s="2" t="str">
        <f t="shared" si="1201"/>
        <v>A</v>
      </c>
      <c r="F1251" s="2" t="str">
        <f t="shared" si="1201"/>
        <v>Interior Advanced</v>
      </c>
      <c r="G1251" s="2" t="str">
        <f t="shared" si="1201"/>
        <v/>
      </c>
      <c r="H1251" s="2" t="str">
        <f t="shared" si="1201"/>
        <v/>
      </c>
      <c r="I1251" s="2" t="str">
        <f t="shared" si="1201"/>
        <v/>
      </c>
      <c r="J1251" s="2" t="str">
        <f t="shared" si="1201"/>
        <v/>
      </c>
      <c r="K1251" s="2" t="str">
        <f t="shared" si="1201"/>
        <v/>
      </c>
      <c r="L1251" s="2" t="str">
        <f t="shared" si="1201"/>
        <v/>
      </c>
      <c r="M1251" s="180" t="str">
        <f t="shared" si="1201"/>
        <v/>
      </c>
      <c r="N1251" s="2" t="str">
        <f t="shared" si="1189"/>
        <v/>
      </c>
      <c r="O1251" s="2">
        <f t="shared" si="1201"/>
        <v>0</v>
      </c>
    </row>
    <row r="1252" spans="1:15" x14ac:dyDescent="0.25">
      <c r="A1252" s="325">
        <v>1</v>
      </c>
      <c r="B1252" s="325">
        <f>TrialNumberDay2</f>
        <v>0</v>
      </c>
      <c r="C1252" s="325" t="s">
        <v>19</v>
      </c>
      <c r="D1252" s="325">
        <f>Advanced!C70</f>
        <v>0</v>
      </c>
      <c r="E1252" s="325" t="str">
        <f>IF(Advanced!B70="W","W","A")</f>
        <v>A</v>
      </c>
      <c r="F1252" s="325" t="s">
        <v>1738</v>
      </c>
      <c r="G1252" s="325" t="str">
        <f>IF(Advanced!O70="e","Y","")</f>
        <v/>
      </c>
      <c r="H1252" s="325" t="str">
        <f>IFERROR(VLOOKUP($D1252,'SDDA Dogs'!$A:$AE,2,FALSE),"")</f>
        <v/>
      </c>
      <c r="I1252" s="325" t="str">
        <f>IFERROR(VLOOKUP($D1252,'SDDA Dogs'!$A:$AE,3,FALSE),"")</f>
        <v/>
      </c>
      <c r="J1252" s="325" t="str">
        <f>IFERROR(VLOOKUP($D1252,'SDDA Dogs'!$A:$AE,6,FALSE),"")</f>
        <v/>
      </c>
      <c r="K1252" s="325" t="str">
        <f>IF(Advanced!AS70="","",Advanced!AS70)</f>
        <v/>
      </c>
      <c r="L1252" s="325" t="str">
        <f>IF(Advanced!AT70="","",Advanced!AT70)</f>
        <v/>
      </c>
      <c r="M1252" s="326" t="str">
        <f>TrialDateDay2</f>
        <v/>
      </c>
      <c r="N1252" s="325" t="str">
        <f t="shared" si="1189"/>
        <v/>
      </c>
      <c r="O1252" s="325">
        <f>JudgeD2ISA</f>
        <v>0</v>
      </c>
    </row>
    <row r="1253" spans="1:15" x14ac:dyDescent="0.25">
      <c r="A1253" s="2">
        <v>2</v>
      </c>
      <c r="B1253" s="2">
        <f t="shared" si="1201"/>
        <v>0</v>
      </c>
      <c r="C1253" s="2" t="str">
        <f t="shared" si="1201"/>
        <v>ISA</v>
      </c>
      <c r="D1253" s="2">
        <f t="shared" si="1201"/>
        <v>0</v>
      </c>
      <c r="E1253" s="2" t="str">
        <f t="shared" si="1201"/>
        <v>A</v>
      </c>
      <c r="F1253" s="2" t="str">
        <f t="shared" si="1201"/>
        <v>Interior Advanced</v>
      </c>
      <c r="G1253" s="2" t="str">
        <f t="shared" si="1201"/>
        <v/>
      </c>
      <c r="H1253" s="2" t="str">
        <f t="shared" si="1201"/>
        <v/>
      </c>
      <c r="I1253" s="2" t="str">
        <f t="shared" si="1201"/>
        <v/>
      </c>
      <c r="J1253" s="2" t="str">
        <f t="shared" si="1201"/>
        <v/>
      </c>
      <c r="K1253" s="2" t="str">
        <f t="shared" si="1201"/>
        <v/>
      </c>
      <c r="L1253" s="2" t="str">
        <f t="shared" si="1201"/>
        <v/>
      </c>
      <c r="M1253" s="180" t="str">
        <f t="shared" si="1201"/>
        <v/>
      </c>
      <c r="N1253" s="2" t="str">
        <f t="shared" si="1189"/>
        <v/>
      </c>
      <c r="O1253" s="2">
        <f t="shared" si="1201"/>
        <v>0</v>
      </c>
    </row>
    <row r="1254" spans="1:15" x14ac:dyDescent="0.25">
      <c r="A1254" s="325">
        <v>1</v>
      </c>
      <c r="B1254" s="325">
        <f>TrialNumberDay2</f>
        <v>0</v>
      </c>
      <c r="C1254" s="325" t="s">
        <v>19</v>
      </c>
      <c r="D1254" s="325">
        <f>Advanced!C71</f>
        <v>0</v>
      </c>
      <c r="E1254" s="325" t="str">
        <f>IF(Advanced!B71="W","W","A")</f>
        <v>A</v>
      </c>
      <c r="F1254" s="325" t="s">
        <v>1738</v>
      </c>
      <c r="G1254" s="325" t="str">
        <f>IF(Advanced!O71="e","Y","")</f>
        <v/>
      </c>
      <c r="H1254" s="325" t="str">
        <f>IFERROR(VLOOKUP($D1254,'SDDA Dogs'!$A:$AE,2,FALSE),"")</f>
        <v/>
      </c>
      <c r="I1254" s="325" t="str">
        <f>IFERROR(VLOOKUP($D1254,'SDDA Dogs'!$A:$AE,3,FALSE),"")</f>
        <v/>
      </c>
      <c r="J1254" s="325" t="str">
        <f>IFERROR(VLOOKUP($D1254,'SDDA Dogs'!$A:$AE,6,FALSE),"")</f>
        <v/>
      </c>
      <c r="K1254" s="325" t="str">
        <f>IF(Advanced!AS71="","",Advanced!AS71)</f>
        <v/>
      </c>
      <c r="L1254" s="325" t="str">
        <f>IF(Advanced!AT71="","",Advanced!AT71)</f>
        <v/>
      </c>
      <c r="M1254" s="326" t="str">
        <f>TrialDateDay2</f>
        <v/>
      </c>
      <c r="N1254" s="325" t="str">
        <f t="shared" si="1189"/>
        <v/>
      </c>
      <c r="O1254" s="325">
        <f>JudgeD2ISA</f>
        <v>0</v>
      </c>
    </row>
    <row r="1255" spans="1:15" x14ac:dyDescent="0.25">
      <c r="A1255" s="2">
        <v>2</v>
      </c>
      <c r="B1255" s="2">
        <f t="shared" si="1201"/>
        <v>0</v>
      </c>
      <c r="C1255" s="2" t="str">
        <f t="shared" si="1201"/>
        <v>ISA</v>
      </c>
      <c r="D1255" s="2">
        <f t="shared" si="1201"/>
        <v>0</v>
      </c>
      <c r="E1255" s="2" t="str">
        <f t="shared" si="1201"/>
        <v>A</v>
      </c>
      <c r="F1255" s="2" t="str">
        <f t="shared" si="1201"/>
        <v>Interior Advanced</v>
      </c>
      <c r="G1255" s="2" t="str">
        <f t="shared" si="1201"/>
        <v/>
      </c>
      <c r="H1255" s="2" t="str">
        <f t="shared" si="1201"/>
        <v/>
      </c>
      <c r="I1255" s="2" t="str">
        <f t="shared" si="1201"/>
        <v/>
      </c>
      <c r="J1255" s="2" t="str">
        <f t="shared" si="1201"/>
        <v/>
      </c>
      <c r="K1255" s="2" t="str">
        <f t="shared" si="1201"/>
        <v/>
      </c>
      <c r="L1255" s="2" t="str">
        <f t="shared" si="1201"/>
        <v/>
      </c>
      <c r="M1255" s="180" t="str">
        <f t="shared" si="1201"/>
        <v/>
      </c>
      <c r="N1255" s="2" t="str">
        <f t="shared" si="1189"/>
        <v/>
      </c>
      <c r="O1255" s="2">
        <f t="shared" si="1201"/>
        <v>0</v>
      </c>
    </row>
    <row r="1256" spans="1:15" x14ac:dyDescent="0.25">
      <c r="A1256" s="325">
        <v>1</v>
      </c>
      <c r="B1256" s="325">
        <f>TrialNumberDay2</f>
        <v>0</v>
      </c>
      <c r="C1256" s="325" t="s">
        <v>19</v>
      </c>
      <c r="D1256" s="325">
        <f>Advanced!C72</f>
        <v>0</v>
      </c>
      <c r="E1256" s="325" t="str">
        <f>IF(Advanced!B72="W","W","A")</f>
        <v>A</v>
      </c>
      <c r="F1256" s="325" t="s">
        <v>1738</v>
      </c>
      <c r="G1256" s="325" t="str">
        <f>IF(Advanced!O72="e","Y","")</f>
        <v/>
      </c>
      <c r="H1256" s="325" t="str">
        <f>IFERROR(VLOOKUP($D1256,'SDDA Dogs'!$A:$AE,2,FALSE),"")</f>
        <v/>
      </c>
      <c r="I1256" s="325" t="str">
        <f>IFERROR(VLOOKUP($D1256,'SDDA Dogs'!$A:$AE,3,FALSE),"")</f>
        <v/>
      </c>
      <c r="J1256" s="325" t="str">
        <f>IFERROR(VLOOKUP($D1256,'SDDA Dogs'!$A:$AE,6,FALSE),"")</f>
        <v/>
      </c>
      <c r="K1256" s="325" t="str">
        <f>IF(Advanced!AS72="","",Advanced!AS72)</f>
        <v/>
      </c>
      <c r="L1256" s="325" t="str">
        <f>IF(Advanced!AT72="","",Advanced!AT72)</f>
        <v/>
      </c>
      <c r="M1256" s="326" t="str">
        <f>TrialDateDay2</f>
        <v/>
      </c>
      <c r="N1256" s="325" t="str">
        <f t="shared" si="1189"/>
        <v/>
      </c>
      <c r="O1256" s="325">
        <f>JudgeD2ISA</f>
        <v>0</v>
      </c>
    </row>
    <row r="1257" spans="1:15" x14ac:dyDescent="0.25">
      <c r="A1257" s="2">
        <v>2</v>
      </c>
      <c r="B1257" s="2">
        <f t="shared" si="1201"/>
        <v>0</v>
      </c>
      <c r="C1257" s="2" t="str">
        <f t="shared" si="1201"/>
        <v>ISA</v>
      </c>
      <c r="D1257" s="2">
        <f t="shared" si="1201"/>
        <v>0</v>
      </c>
      <c r="E1257" s="2" t="str">
        <f t="shared" si="1201"/>
        <v>A</v>
      </c>
      <c r="F1257" s="2" t="str">
        <f t="shared" si="1201"/>
        <v>Interior Advanced</v>
      </c>
      <c r="G1257" s="2" t="str">
        <f t="shared" si="1201"/>
        <v/>
      </c>
      <c r="H1257" s="2" t="str">
        <f t="shared" si="1201"/>
        <v/>
      </c>
      <c r="I1257" s="2" t="str">
        <f t="shared" si="1201"/>
        <v/>
      </c>
      <c r="J1257" s="2" t="str">
        <f t="shared" si="1201"/>
        <v/>
      </c>
      <c r="K1257" s="2" t="str">
        <f t="shared" si="1201"/>
        <v/>
      </c>
      <c r="L1257" s="2" t="str">
        <f t="shared" si="1201"/>
        <v/>
      </c>
      <c r="M1257" s="180" t="str">
        <f t="shared" si="1201"/>
        <v/>
      </c>
      <c r="N1257" s="2" t="str">
        <f t="shared" si="1189"/>
        <v/>
      </c>
      <c r="O1257" s="2">
        <f t="shared" si="1201"/>
        <v>0</v>
      </c>
    </row>
    <row r="1258" spans="1:15" x14ac:dyDescent="0.25">
      <c r="A1258" s="325">
        <v>1</v>
      </c>
      <c r="B1258" s="325">
        <f>TrialNumberDay2</f>
        <v>0</v>
      </c>
      <c r="C1258" s="325" t="s">
        <v>19</v>
      </c>
      <c r="D1258" s="325">
        <f>Advanced!C73</f>
        <v>0</v>
      </c>
      <c r="E1258" s="325" t="str">
        <f>IF(Advanced!B73="W","W","A")</f>
        <v>A</v>
      </c>
      <c r="F1258" s="325" t="s">
        <v>1738</v>
      </c>
      <c r="G1258" s="325" t="str">
        <f>IF(Advanced!O73="e","Y","")</f>
        <v/>
      </c>
      <c r="H1258" s="325" t="str">
        <f>IFERROR(VLOOKUP($D1258,'SDDA Dogs'!$A:$AE,2,FALSE),"")</f>
        <v/>
      </c>
      <c r="I1258" s="325" t="str">
        <f>IFERROR(VLOOKUP($D1258,'SDDA Dogs'!$A:$AE,3,FALSE),"")</f>
        <v/>
      </c>
      <c r="J1258" s="325" t="str">
        <f>IFERROR(VLOOKUP($D1258,'SDDA Dogs'!$A:$AE,6,FALSE),"")</f>
        <v/>
      </c>
      <c r="K1258" s="325" t="str">
        <f>IF(Advanced!AS73="","",Advanced!AS73)</f>
        <v/>
      </c>
      <c r="L1258" s="325" t="str">
        <f>IF(Advanced!AT73="","",Advanced!AT73)</f>
        <v/>
      </c>
      <c r="M1258" s="326" t="str">
        <f>TrialDateDay2</f>
        <v/>
      </c>
      <c r="N1258" s="325" t="str">
        <f t="shared" si="1189"/>
        <v/>
      </c>
      <c r="O1258" s="325">
        <f>JudgeD2ISA</f>
        <v>0</v>
      </c>
    </row>
    <row r="1259" spans="1:15" x14ac:dyDescent="0.25">
      <c r="A1259" s="2">
        <v>2</v>
      </c>
      <c r="B1259" s="2">
        <f t="shared" si="1201"/>
        <v>0</v>
      </c>
      <c r="C1259" s="2" t="str">
        <f t="shared" si="1201"/>
        <v>ISA</v>
      </c>
      <c r="D1259" s="2">
        <f t="shared" si="1201"/>
        <v>0</v>
      </c>
      <c r="E1259" s="2" t="str">
        <f t="shared" si="1201"/>
        <v>A</v>
      </c>
      <c r="F1259" s="2" t="str">
        <f t="shared" si="1201"/>
        <v>Interior Advanced</v>
      </c>
      <c r="G1259" s="2" t="str">
        <f t="shared" si="1201"/>
        <v/>
      </c>
      <c r="H1259" s="2" t="str">
        <f t="shared" si="1201"/>
        <v/>
      </c>
      <c r="I1259" s="2" t="str">
        <f t="shared" si="1201"/>
        <v/>
      </c>
      <c r="J1259" s="2" t="str">
        <f t="shared" si="1201"/>
        <v/>
      </c>
      <c r="K1259" s="2" t="str">
        <f t="shared" si="1201"/>
        <v/>
      </c>
      <c r="L1259" s="2" t="str">
        <f t="shared" si="1201"/>
        <v/>
      </c>
      <c r="M1259" s="180" t="str">
        <f t="shared" si="1201"/>
        <v/>
      </c>
      <c r="N1259" s="2" t="str">
        <f t="shared" si="1189"/>
        <v/>
      </c>
      <c r="O1259" s="2">
        <f t="shared" si="1201"/>
        <v>0</v>
      </c>
    </row>
    <row r="1260" spans="1:15" x14ac:dyDescent="0.25">
      <c r="A1260" s="325">
        <v>1</v>
      </c>
      <c r="B1260" s="325">
        <f>TrialNumberDay2</f>
        <v>0</v>
      </c>
      <c r="C1260" s="325" t="s">
        <v>19</v>
      </c>
      <c r="D1260" s="325">
        <f>Advanced!C74</f>
        <v>0</v>
      </c>
      <c r="E1260" s="325" t="str">
        <f>IF(Advanced!B74="W","W","A")</f>
        <v>A</v>
      </c>
      <c r="F1260" s="325" t="s">
        <v>1738</v>
      </c>
      <c r="G1260" s="325" t="str">
        <f>IF(Advanced!O74="e","Y","")</f>
        <v/>
      </c>
      <c r="H1260" s="325" t="str">
        <f>IFERROR(VLOOKUP($D1260,'SDDA Dogs'!$A:$AE,2,FALSE),"")</f>
        <v/>
      </c>
      <c r="I1260" s="325" t="str">
        <f>IFERROR(VLOOKUP($D1260,'SDDA Dogs'!$A:$AE,3,FALSE),"")</f>
        <v/>
      </c>
      <c r="J1260" s="325" t="str">
        <f>IFERROR(VLOOKUP($D1260,'SDDA Dogs'!$A:$AE,6,FALSE),"")</f>
        <v/>
      </c>
      <c r="K1260" s="325" t="str">
        <f>IF(Advanced!AS74="","",Advanced!AS74)</f>
        <v/>
      </c>
      <c r="L1260" s="325" t="str">
        <f>IF(Advanced!AT74="","",Advanced!AT74)</f>
        <v/>
      </c>
      <c r="M1260" s="326" t="str">
        <f>TrialDateDay2</f>
        <v/>
      </c>
      <c r="N1260" s="325" t="str">
        <f t="shared" si="1189"/>
        <v/>
      </c>
      <c r="O1260" s="325">
        <f>JudgeD2ISA</f>
        <v>0</v>
      </c>
    </row>
    <row r="1261" spans="1:15" x14ac:dyDescent="0.25">
      <c r="A1261" s="2">
        <v>2</v>
      </c>
      <c r="B1261" s="2">
        <f t="shared" si="1201"/>
        <v>0</v>
      </c>
      <c r="C1261" s="2" t="str">
        <f t="shared" si="1201"/>
        <v>ISA</v>
      </c>
      <c r="D1261" s="2">
        <f t="shared" si="1201"/>
        <v>0</v>
      </c>
      <c r="E1261" s="2" t="str">
        <f t="shared" si="1201"/>
        <v>A</v>
      </c>
      <c r="F1261" s="2" t="str">
        <f t="shared" si="1201"/>
        <v>Interior Advanced</v>
      </c>
      <c r="G1261" s="2" t="str">
        <f t="shared" si="1201"/>
        <v/>
      </c>
      <c r="H1261" s="2" t="str">
        <f t="shared" si="1201"/>
        <v/>
      </c>
      <c r="I1261" s="2" t="str">
        <f t="shared" si="1201"/>
        <v/>
      </c>
      <c r="J1261" s="2" t="str">
        <f t="shared" si="1201"/>
        <v/>
      </c>
      <c r="K1261" s="2" t="str">
        <f t="shared" si="1201"/>
        <v/>
      </c>
      <c r="L1261" s="2" t="str">
        <f t="shared" si="1201"/>
        <v/>
      </c>
      <c r="M1261" s="180" t="str">
        <f t="shared" si="1201"/>
        <v/>
      </c>
      <c r="N1261" s="2" t="str">
        <f t="shared" si="1189"/>
        <v/>
      </c>
      <c r="O1261" s="2">
        <f t="shared" si="1201"/>
        <v>0</v>
      </c>
    </row>
    <row r="1262" spans="1:15" x14ac:dyDescent="0.25">
      <c r="A1262" s="325">
        <v>1</v>
      </c>
      <c r="B1262" s="325">
        <f>TrialNumberDay2</f>
        <v>0</v>
      </c>
      <c r="C1262" s="325" t="s">
        <v>19</v>
      </c>
      <c r="D1262" s="325">
        <f>Advanced!C75</f>
        <v>0</v>
      </c>
      <c r="E1262" s="325" t="str">
        <f>IF(Advanced!B75="W","W","A")</f>
        <v>A</v>
      </c>
      <c r="F1262" s="325" t="s">
        <v>1738</v>
      </c>
      <c r="G1262" s="325" t="str">
        <f>IF(Advanced!O75="e","Y","")</f>
        <v/>
      </c>
      <c r="H1262" s="325" t="str">
        <f>IFERROR(VLOOKUP($D1262,'SDDA Dogs'!$A:$AE,2,FALSE),"")</f>
        <v/>
      </c>
      <c r="I1262" s="325" t="str">
        <f>IFERROR(VLOOKUP($D1262,'SDDA Dogs'!$A:$AE,3,FALSE),"")</f>
        <v/>
      </c>
      <c r="J1262" s="325" t="str">
        <f>IFERROR(VLOOKUP($D1262,'SDDA Dogs'!$A:$AE,6,FALSE),"")</f>
        <v/>
      </c>
      <c r="K1262" s="325" t="str">
        <f>IF(Advanced!AS75="","",Advanced!AS75)</f>
        <v/>
      </c>
      <c r="L1262" s="325" t="str">
        <f>IF(Advanced!AT75="","",Advanced!AT75)</f>
        <v/>
      </c>
      <c r="M1262" s="326" t="str">
        <f>TrialDateDay2</f>
        <v/>
      </c>
      <c r="N1262" s="325" t="str">
        <f t="shared" si="1189"/>
        <v/>
      </c>
      <c r="O1262" s="325">
        <f>JudgeD2ISA</f>
        <v>0</v>
      </c>
    </row>
    <row r="1263" spans="1:15" x14ac:dyDescent="0.25">
      <c r="A1263" s="2">
        <v>2</v>
      </c>
      <c r="B1263" s="2">
        <f t="shared" si="1201"/>
        <v>0</v>
      </c>
      <c r="C1263" s="2" t="str">
        <f t="shared" si="1201"/>
        <v>ISA</v>
      </c>
      <c r="D1263" s="2">
        <f t="shared" si="1201"/>
        <v>0</v>
      </c>
      <c r="E1263" s="2" t="str">
        <f t="shared" si="1201"/>
        <v>A</v>
      </c>
      <c r="F1263" s="2" t="str">
        <f t="shared" si="1201"/>
        <v>Interior Advanced</v>
      </c>
      <c r="G1263" s="2" t="str">
        <f t="shared" si="1201"/>
        <v/>
      </c>
      <c r="H1263" s="2" t="str">
        <f t="shared" si="1201"/>
        <v/>
      </c>
      <c r="I1263" s="2" t="str">
        <f t="shared" si="1201"/>
        <v/>
      </c>
      <c r="J1263" s="2" t="str">
        <f t="shared" si="1201"/>
        <v/>
      </c>
      <c r="K1263" s="2" t="str">
        <f t="shared" si="1201"/>
        <v/>
      </c>
      <c r="L1263" s="2" t="str">
        <f t="shared" si="1201"/>
        <v/>
      </c>
      <c r="M1263" s="180" t="str">
        <f t="shared" si="1201"/>
        <v/>
      </c>
      <c r="N1263" s="2" t="str">
        <f t="shared" si="1189"/>
        <v/>
      </c>
      <c r="O1263" s="2">
        <f t="shared" si="1201"/>
        <v>0</v>
      </c>
    </row>
    <row r="1264" spans="1:15" x14ac:dyDescent="0.25">
      <c r="A1264" s="325">
        <v>1</v>
      </c>
      <c r="B1264" s="325">
        <f>TrialNumberDay2</f>
        <v>0</v>
      </c>
      <c r="C1264" s="325" t="s">
        <v>19</v>
      </c>
      <c r="D1264" s="325">
        <f>Advanced!C76</f>
        <v>0</v>
      </c>
      <c r="E1264" s="325" t="str">
        <f>IF(Advanced!B76="W","W","A")</f>
        <v>A</v>
      </c>
      <c r="F1264" s="325" t="s">
        <v>1738</v>
      </c>
      <c r="G1264" s="325" t="str">
        <f>IF(Advanced!O76="e","Y","")</f>
        <v/>
      </c>
      <c r="H1264" s="325" t="str">
        <f>IFERROR(VLOOKUP($D1264,'SDDA Dogs'!$A:$AE,2,FALSE),"")</f>
        <v/>
      </c>
      <c r="I1264" s="325" t="str">
        <f>IFERROR(VLOOKUP($D1264,'SDDA Dogs'!$A:$AE,3,FALSE),"")</f>
        <v/>
      </c>
      <c r="J1264" s="325" t="str">
        <f>IFERROR(VLOOKUP($D1264,'SDDA Dogs'!$A:$AE,6,FALSE),"")</f>
        <v/>
      </c>
      <c r="K1264" s="325" t="str">
        <f>IF(Advanced!AS76="","",Advanced!AS76)</f>
        <v/>
      </c>
      <c r="L1264" s="325" t="str">
        <f>IF(Advanced!AT76="","",Advanced!AT76)</f>
        <v/>
      </c>
      <c r="M1264" s="326" t="str">
        <f>TrialDateDay2</f>
        <v/>
      </c>
      <c r="N1264" s="325" t="str">
        <f t="shared" si="1189"/>
        <v/>
      </c>
      <c r="O1264" s="325">
        <f>JudgeD2ISA</f>
        <v>0</v>
      </c>
    </row>
    <row r="1265" spans="1:15" x14ac:dyDescent="0.25">
      <c r="A1265" s="2">
        <v>2</v>
      </c>
      <c r="B1265" s="2">
        <f t="shared" si="1201"/>
        <v>0</v>
      </c>
      <c r="C1265" s="2" t="str">
        <f t="shared" si="1201"/>
        <v>ISA</v>
      </c>
      <c r="D1265" s="2">
        <f t="shared" si="1201"/>
        <v>0</v>
      </c>
      <c r="E1265" s="2" t="str">
        <f t="shared" si="1201"/>
        <v>A</v>
      </c>
      <c r="F1265" s="2" t="str">
        <f t="shared" si="1201"/>
        <v>Interior Advanced</v>
      </c>
      <c r="G1265" s="2" t="str">
        <f t="shared" si="1201"/>
        <v/>
      </c>
      <c r="H1265" s="2" t="str">
        <f t="shared" si="1201"/>
        <v/>
      </c>
      <c r="I1265" s="2" t="str">
        <f t="shared" si="1201"/>
        <v/>
      </c>
      <c r="J1265" s="2" t="str">
        <f t="shared" si="1201"/>
        <v/>
      </c>
      <c r="K1265" s="2" t="str">
        <f t="shared" si="1201"/>
        <v/>
      </c>
      <c r="L1265" s="2" t="str">
        <f t="shared" si="1201"/>
        <v/>
      </c>
      <c r="M1265" s="180" t="str">
        <f t="shared" si="1201"/>
        <v/>
      </c>
      <c r="N1265" s="2" t="str">
        <f t="shared" si="1189"/>
        <v/>
      </c>
      <c r="O1265" s="2">
        <f t="shared" si="1201"/>
        <v>0</v>
      </c>
    </row>
    <row r="1266" spans="1:15" x14ac:dyDescent="0.25">
      <c r="A1266" s="325">
        <v>1</v>
      </c>
      <c r="B1266" s="325">
        <f>TrialNumberDay2</f>
        <v>0</v>
      </c>
      <c r="C1266" s="325" t="s">
        <v>19</v>
      </c>
      <c r="D1266" s="325">
        <f>Advanced!C77</f>
        <v>0</v>
      </c>
      <c r="E1266" s="325" t="str">
        <f>IF(Advanced!B77="W","W","A")</f>
        <v>A</v>
      </c>
      <c r="F1266" s="325" t="s">
        <v>1738</v>
      </c>
      <c r="G1266" s="325" t="str">
        <f>IF(Advanced!O77="e","Y","")</f>
        <v/>
      </c>
      <c r="H1266" s="325" t="str">
        <f>IFERROR(VLOOKUP($D1266,'SDDA Dogs'!$A:$AE,2,FALSE),"")</f>
        <v/>
      </c>
      <c r="I1266" s="325" t="str">
        <f>IFERROR(VLOOKUP($D1266,'SDDA Dogs'!$A:$AE,3,FALSE),"")</f>
        <v/>
      </c>
      <c r="J1266" s="325" t="str">
        <f>IFERROR(VLOOKUP($D1266,'SDDA Dogs'!$A:$AE,6,FALSE),"")</f>
        <v/>
      </c>
      <c r="K1266" s="325" t="str">
        <f>IF(Advanced!AS77="","",Advanced!AS77)</f>
        <v/>
      </c>
      <c r="L1266" s="325" t="str">
        <f>IF(Advanced!AT77="","",Advanced!AT77)</f>
        <v/>
      </c>
      <c r="M1266" s="326" t="str">
        <f>TrialDateDay2</f>
        <v/>
      </c>
      <c r="N1266" s="325" t="str">
        <f t="shared" si="1189"/>
        <v/>
      </c>
      <c r="O1266" s="325">
        <f>JudgeD2ISA</f>
        <v>0</v>
      </c>
    </row>
    <row r="1267" spans="1:15" x14ac:dyDescent="0.25">
      <c r="A1267" s="2">
        <v>2</v>
      </c>
      <c r="B1267" s="2">
        <f t="shared" si="1201"/>
        <v>0</v>
      </c>
      <c r="C1267" s="2" t="str">
        <f t="shared" si="1201"/>
        <v>ISA</v>
      </c>
      <c r="D1267" s="2">
        <f t="shared" si="1201"/>
        <v>0</v>
      </c>
      <c r="E1267" s="2" t="str">
        <f t="shared" si="1201"/>
        <v>A</v>
      </c>
      <c r="F1267" s="2" t="str">
        <f t="shared" si="1201"/>
        <v>Interior Advanced</v>
      </c>
      <c r="G1267" s="2" t="str">
        <f t="shared" si="1201"/>
        <v/>
      </c>
      <c r="H1267" s="2" t="str">
        <f t="shared" si="1201"/>
        <v/>
      </c>
      <c r="I1267" s="2" t="str">
        <f t="shared" si="1201"/>
        <v/>
      </c>
      <c r="J1267" s="2" t="str">
        <f t="shared" si="1201"/>
        <v/>
      </c>
      <c r="K1267" s="2" t="str">
        <f t="shared" si="1201"/>
        <v/>
      </c>
      <c r="L1267" s="2" t="str">
        <f t="shared" si="1201"/>
        <v/>
      </c>
      <c r="M1267" s="180" t="str">
        <f t="shared" si="1201"/>
        <v/>
      </c>
      <c r="N1267" s="2" t="str">
        <f t="shared" si="1189"/>
        <v/>
      </c>
      <c r="O1267" s="2">
        <f t="shared" si="1201"/>
        <v>0</v>
      </c>
    </row>
    <row r="1268" spans="1:15" x14ac:dyDescent="0.25">
      <c r="A1268" s="325">
        <v>1</v>
      </c>
      <c r="B1268" s="325">
        <f>TrialNumberDay2</f>
        <v>0</v>
      </c>
      <c r="C1268" s="325" t="s">
        <v>19</v>
      </c>
      <c r="D1268" s="325">
        <f>Advanced!C78</f>
        <v>0</v>
      </c>
      <c r="E1268" s="325" t="str">
        <f>IF(Advanced!B78="W","W","A")</f>
        <v>A</v>
      </c>
      <c r="F1268" s="325" t="s">
        <v>1738</v>
      </c>
      <c r="G1268" s="325" t="str">
        <f>IF(Advanced!O78="e","Y","")</f>
        <v/>
      </c>
      <c r="H1268" s="325" t="str">
        <f>IFERROR(VLOOKUP($D1268,'SDDA Dogs'!$A:$AE,2,FALSE),"")</f>
        <v/>
      </c>
      <c r="I1268" s="325" t="str">
        <f>IFERROR(VLOOKUP($D1268,'SDDA Dogs'!$A:$AE,3,FALSE),"")</f>
        <v/>
      </c>
      <c r="J1268" s="325" t="str">
        <f>IFERROR(VLOOKUP($D1268,'SDDA Dogs'!$A:$AE,6,FALSE),"")</f>
        <v/>
      </c>
      <c r="K1268" s="325" t="str">
        <f>IF(Advanced!AS78="","",Advanced!AS78)</f>
        <v/>
      </c>
      <c r="L1268" s="325" t="str">
        <f>IF(Advanced!AT78="","",Advanced!AT78)</f>
        <v/>
      </c>
      <c r="M1268" s="326" t="str">
        <f>TrialDateDay2</f>
        <v/>
      </c>
      <c r="N1268" s="325" t="str">
        <f t="shared" si="1189"/>
        <v/>
      </c>
      <c r="O1268" s="325">
        <f>JudgeD2ISA</f>
        <v>0</v>
      </c>
    </row>
    <row r="1269" spans="1:15" x14ac:dyDescent="0.25">
      <c r="A1269" s="2">
        <v>2</v>
      </c>
      <c r="B1269" s="2">
        <f t="shared" si="1201"/>
        <v>0</v>
      </c>
      <c r="C1269" s="2" t="str">
        <f t="shared" si="1201"/>
        <v>ISA</v>
      </c>
      <c r="D1269" s="2">
        <f t="shared" si="1201"/>
        <v>0</v>
      </c>
      <c r="E1269" s="2" t="str">
        <f t="shared" si="1201"/>
        <v>A</v>
      </c>
      <c r="F1269" s="2" t="str">
        <f t="shared" si="1201"/>
        <v>Interior Advanced</v>
      </c>
      <c r="G1269" s="2" t="str">
        <f t="shared" si="1201"/>
        <v/>
      </c>
      <c r="H1269" s="2" t="str">
        <f t="shared" si="1201"/>
        <v/>
      </c>
      <c r="I1269" s="2" t="str">
        <f t="shared" si="1201"/>
        <v/>
      </c>
      <c r="J1269" s="2" t="str">
        <f t="shared" si="1201"/>
        <v/>
      </c>
      <c r="K1269" s="2" t="str">
        <f t="shared" si="1201"/>
        <v/>
      </c>
      <c r="L1269" s="2" t="str">
        <f t="shared" si="1201"/>
        <v/>
      </c>
      <c r="M1269" s="180" t="str">
        <f t="shared" si="1201"/>
        <v/>
      </c>
      <c r="N1269" s="2" t="str">
        <f t="shared" si="1189"/>
        <v/>
      </c>
      <c r="O1269" s="2">
        <f t="shared" si="1201"/>
        <v>0</v>
      </c>
    </row>
    <row r="1270" spans="1:15" x14ac:dyDescent="0.25">
      <c r="A1270" s="325">
        <v>1</v>
      </c>
      <c r="B1270" s="325">
        <f>TrialNumberDay2</f>
        <v>0</v>
      </c>
      <c r="C1270" s="325" t="s">
        <v>19</v>
      </c>
      <c r="D1270" s="325">
        <f>Advanced!C79</f>
        <v>0</v>
      </c>
      <c r="E1270" s="325" t="str">
        <f>IF(Advanced!B79="W","W","A")</f>
        <v>A</v>
      </c>
      <c r="F1270" s="325" t="s">
        <v>1738</v>
      </c>
      <c r="G1270" s="325" t="str">
        <f>IF(Advanced!O79="e","Y","")</f>
        <v/>
      </c>
      <c r="H1270" s="325" t="str">
        <f>IFERROR(VLOOKUP($D1270,'SDDA Dogs'!$A:$AE,2,FALSE),"")</f>
        <v/>
      </c>
      <c r="I1270" s="325" t="str">
        <f>IFERROR(VLOOKUP($D1270,'SDDA Dogs'!$A:$AE,3,FALSE),"")</f>
        <v/>
      </c>
      <c r="J1270" s="325" t="str">
        <f>IFERROR(VLOOKUP($D1270,'SDDA Dogs'!$A:$AE,6,FALSE),"")</f>
        <v/>
      </c>
      <c r="K1270" s="325" t="str">
        <f>IF(Advanced!AS79="","",Advanced!AS79)</f>
        <v/>
      </c>
      <c r="L1270" s="325" t="str">
        <f>IF(Advanced!AT79="","",Advanced!AT79)</f>
        <v/>
      </c>
      <c r="M1270" s="326" t="str">
        <f>TrialDateDay2</f>
        <v/>
      </c>
      <c r="N1270" s="325" t="str">
        <f t="shared" si="1189"/>
        <v/>
      </c>
      <c r="O1270" s="325">
        <f>JudgeD2ISA</f>
        <v>0</v>
      </c>
    </row>
    <row r="1271" spans="1:15" x14ac:dyDescent="0.25">
      <c r="A1271" s="2">
        <v>2</v>
      </c>
      <c r="B1271" s="2">
        <f t="shared" si="1201"/>
        <v>0</v>
      </c>
      <c r="C1271" s="2" t="str">
        <f t="shared" si="1201"/>
        <v>ISA</v>
      </c>
      <c r="D1271" s="2">
        <f t="shared" si="1201"/>
        <v>0</v>
      </c>
      <c r="E1271" s="2" t="str">
        <f t="shared" si="1201"/>
        <v>A</v>
      </c>
      <c r="F1271" s="2" t="str">
        <f t="shared" si="1201"/>
        <v>Interior Advanced</v>
      </c>
      <c r="G1271" s="2" t="str">
        <f t="shared" si="1201"/>
        <v/>
      </c>
      <c r="H1271" s="2" t="str">
        <f t="shared" si="1201"/>
        <v/>
      </c>
      <c r="I1271" s="2" t="str">
        <f t="shared" si="1201"/>
        <v/>
      </c>
      <c r="J1271" s="2" t="str">
        <f t="shared" si="1201"/>
        <v/>
      </c>
      <c r="K1271" s="2" t="str">
        <f t="shared" si="1201"/>
        <v/>
      </c>
      <c r="L1271" s="2" t="str">
        <f t="shared" si="1201"/>
        <v/>
      </c>
      <c r="M1271" s="180" t="str">
        <f t="shared" si="1201"/>
        <v/>
      </c>
      <c r="N1271" s="2" t="str">
        <f t="shared" si="1189"/>
        <v/>
      </c>
      <c r="O1271" s="2">
        <f t="shared" si="1201"/>
        <v>0</v>
      </c>
    </row>
    <row r="1272" spans="1:15" x14ac:dyDescent="0.25">
      <c r="A1272" s="325">
        <v>1</v>
      </c>
      <c r="B1272" s="325">
        <f>TrialNumberDay2</f>
        <v>0</v>
      </c>
      <c r="C1272" s="325" t="s">
        <v>19</v>
      </c>
      <c r="D1272" s="325">
        <f>Advanced!C80</f>
        <v>0</v>
      </c>
      <c r="E1272" s="325" t="str">
        <f>IF(Advanced!B80="W","W","A")</f>
        <v>A</v>
      </c>
      <c r="F1272" s="325" t="s">
        <v>1738</v>
      </c>
      <c r="G1272" s="325" t="str">
        <f>IF(Advanced!O80="e","Y","")</f>
        <v/>
      </c>
      <c r="H1272" s="325" t="str">
        <f>IFERROR(VLOOKUP($D1272,'SDDA Dogs'!$A:$AE,2,FALSE),"")</f>
        <v/>
      </c>
      <c r="I1272" s="325" t="str">
        <f>IFERROR(VLOOKUP($D1272,'SDDA Dogs'!$A:$AE,3,FALSE),"")</f>
        <v/>
      </c>
      <c r="J1272" s="325" t="str">
        <f>IFERROR(VLOOKUP($D1272,'SDDA Dogs'!$A:$AE,6,FALSE),"")</f>
        <v/>
      </c>
      <c r="K1272" s="325" t="str">
        <f>IF(Advanced!AS80="","",Advanced!AS80)</f>
        <v/>
      </c>
      <c r="L1272" s="325" t="str">
        <f>IF(Advanced!AT80="","",Advanced!AT80)</f>
        <v/>
      </c>
      <c r="M1272" s="326" t="str">
        <f>TrialDateDay2</f>
        <v/>
      </c>
      <c r="N1272" s="325" t="str">
        <f t="shared" si="1189"/>
        <v/>
      </c>
      <c r="O1272" s="325">
        <f>JudgeD2ISA</f>
        <v>0</v>
      </c>
    </row>
    <row r="1273" spans="1:15" x14ac:dyDescent="0.25">
      <c r="A1273" s="2">
        <v>2</v>
      </c>
      <c r="B1273" s="2">
        <f t="shared" si="1201"/>
        <v>0</v>
      </c>
      <c r="C1273" s="2" t="str">
        <f t="shared" si="1201"/>
        <v>ISA</v>
      </c>
      <c r="D1273" s="2">
        <f t="shared" si="1201"/>
        <v>0</v>
      </c>
      <c r="E1273" s="2" t="str">
        <f t="shared" si="1201"/>
        <v>A</v>
      </c>
      <c r="F1273" s="2" t="str">
        <f t="shared" si="1201"/>
        <v>Interior Advanced</v>
      </c>
      <c r="G1273" s="2" t="str">
        <f t="shared" si="1201"/>
        <v/>
      </c>
      <c r="H1273" s="2" t="str">
        <f t="shared" si="1201"/>
        <v/>
      </c>
      <c r="I1273" s="2" t="str">
        <f t="shared" si="1201"/>
        <v/>
      </c>
      <c r="J1273" s="2" t="str">
        <f t="shared" si="1201"/>
        <v/>
      </c>
      <c r="K1273" s="2" t="str">
        <f t="shared" si="1201"/>
        <v/>
      </c>
      <c r="L1273" s="2" t="str">
        <f t="shared" si="1201"/>
        <v/>
      </c>
      <c r="M1273" s="180" t="str">
        <f t="shared" si="1201"/>
        <v/>
      </c>
      <c r="N1273" s="2" t="str">
        <f t="shared" si="1189"/>
        <v/>
      </c>
      <c r="O1273" s="2">
        <f t="shared" si="1201"/>
        <v>0</v>
      </c>
    </row>
    <row r="1274" spans="1:15" x14ac:dyDescent="0.25">
      <c r="A1274" s="325">
        <v>1</v>
      </c>
      <c r="B1274" s="325">
        <f>TrialNumberDay2</f>
        <v>0</v>
      </c>
      <c r="C1274" s="325" t="s">
        <v>19</v>
      </c>
      <c r="D1274" s="325">
        <f>Advanced!C81</f>
        <v>0</v>
      </c>
      <c r="E1274" s="325" t="str">
        <f>IF(Advanced!B81="W","W","A")</f>
        <v>A</v>
      </c>
      <c r="F1274" s="325" t="s">
        <v>1738</v>
      </c>
      <c r="G1274" s="325" t="str">
        <f>IF(Advanced!O81="e","Y","")</f>
        <v/>
      </c>
      <c r="H1274" s="325" t="str">
        <f>IFERROR(VLOOKUP($D1274,'SDDA Dogs'!$A:$AE,2,FALSE),"")</f>
        <v/>
      </c>
      <c r="I1274" s="325" t="str">
        <f>IFERROR(VLOOKUP($D1274,'SDDA Dogs'!$A:$AE,3,FALSE),"")</f>
        <v/>
      </c>
      <c r="J1274" s="325" t="str">
        <f>IFERROR(VLOOKUP($D1274,'SDDA Dogs'!$A:$AE,6,FALSE),"")</f>
        <v/>
      </c>
      <c r="K1274" s="325" t="str">
        <f>IF(Advanced!AS81="","",Advanced!AS81)</f>
        <v/>
      </c>
      <c r="L1274" s="325" t="str">
        <f>IF(Advanced!AT81="","",Advanced!AT81)</f>
        <v/>
      </c>
      <c r="M1274" s="326" t="str">
        <f>TrialDateDay2</f>
        <v/>
      </c>
      <c r="N1274" s="325" t="str">
        <f t="shared" si="1189"/>
        <v/>
      </c>
      <c r="O1274" s="325">
        <f>JudgeD2ISA</f>
        <v>0</v>
      </c>
    </row>
    <row r="1275" spans="1:15" x14ac:dyDescent="0.25">
      <c r="A1275" s="2">
        <v>2</v>
      </c>
      <c r="B1275" s="2">
        <f t="shared" si="1201"/>
        <v>0</v>
      </c>
      <c r="C1275" s="2" t="str">
        <f t="shared" si="1201"/>
        <v>ISA</v>
      </c>
      <c r="D1275" s="2">
        <f t="shared" si="1201"/>
        <v>0</v>
      </c>
      <c r="E1275" s="2" t="str">
        <f t="shared" si="1201"/>
        <v>A</v>
      </c>
      <c r="F1275" s="2" t="str">
        <f t="shared" si="1201"/>
        <v>Interior Advanced</v>
      </c>
      <c r="G1275" s="2" t="str">
        <f t="shared" si="1201"/>
        <v/>
      </c>
      <c r="H1275" s="2" t="str">
        <f t="shared" si="1201"/>
        <v/>
      </c>
      <c r="I1275" s="2" t="str">
        <f t="shared" si="1201"/>
        <v/>
      </c>
      <c r="J1275" s="2" t="str">
        <f t="shared" si="1201"/>
        <v/>
      </c>
      <c r="K1275" s="2" t="str">
        <f t="shared" si="1201"/>
        <v/>
      </c>
      <c r="L1275" s="2" t="str">
        <f t="shared" si="1201"/>
        <v/>
      </c>
      <c r="M1275" s="180" t="str">
        <f t="shared" si="1201"/>
        <v/>
      </c>
      <c r="N1275" s="2" t="str">
        <f t="shared" si="1189"/>
        <v/>
      </c>
      <c r="O1275" s="2">
        <f t="shared" si="1201"/>
        <v>0</v>
      </c>
    </row>
    <row r="1276" spans="1:15" x14ac:dyDescent="0.25">
      <c r="A1276" s="325">
        <v>1</v>
      </c>
      <c r="B1276" s="325">
        <f>TrialNumberDay2</f>
        <v>0</v>
      </c>
      <c r="C1276" s="325" t="s">
        <v>19</v>
      </c>
      <c r="D1276" s="325">
        <f>Advanced!C82</f>
        <v>0</v>
      </c>
      <c r="E1276" s="325" t="str">
        <f>IF(Advanced!B82="W","W","A")</f>
        <v>A</v>
      </c>
      <c r="F1276" s="325" t="s">
        <v>1738</v>
      </c>
      <c r="G1276" s="325" t="str">
        <f>IF(Advanced!O82="e","Y","")</f>
        <v/>
      </c>
      <c r="H1276" s="325" t="str">
        <f>IFERROR(VLOOKUP($D1276,'SDDA Dogs'!$A:$AE,2,FALSE),"")</f>
        <v/>
      </c>
      <c r="I1276" s="325" t="str">
        <f>IFERROR(VLOOKUP($D1276,'SDDA Dogs'!$A:$AE,3,FALSE),"")</f>
        <v/>
      </c>
      <c r="J1276" s="325" t="str">
        <f>IFERROR(VLOOKUP($D1276,'SDDA Dogs'!$A:$AE,6,FALSE),"")</f>
        <v/>
      </c>
      <c r="K1276" s="325" t="str">
        <f>IF(Advanced!AS82="","",Advanced!AS82)</f>
        <v/>
      </c>
      <c r="L1276" s="325" t="str">
        <f>IF(Advanced!AT82="","",Advanced!AT82)</f>
        <v/>
      </c>
      <c r="M1276" s="326" t="str">
        <f>TrialDateDay2</f>
        <v/>
      </c>
      <c r="N1276" s="325" t="str">
        <f t="shared" si="1189"/>
        <v/>
      </c>
      <c r="O1276" s="325">
        <f>JudgeD2ISA</f>
        <v>0</v>
      </c>
    </row>
    <row r="1277" spans="1:15" x14ac:dyDescent="0.25">
      <c r="A1277" s="2">
        <v>2</v>
      </c>
      <c r="B1277" s="2">
        <f t="shared" si="1201"/>
        <v>0</v>
      </c>
      <c r="C1277" s="2" t="str">
        <f t="shared" si="1201"/>
        <v>ISA</v>
      </c>
      <c r="D1277" s="2">
        <f t="shared" si="1201"/>
        <v>0</v>
      </c>
      <c r="E1277" s="2" t="str">
        <f t="shared" ref="E1277:O1283" si="1202">E1276</f>
        <v>A</v>
      </c>
      <c r="F1277" s="2" t="str">
        <f t="shared" si="1202"/>
        <v>Interior Advanced</v>
      </c>
      <c r="G1277" s="2" t="str">
        <f t="shared" si="1202"/>
        <v/>
      </c>
      <c r="H1277" s="2" t="str">
        <f t="shared" si="1202"/>
        <v/>
      </c>
      <c r="I1277" s="2" t="str">
        <f t="shared" si="1202"/>
        <v/>
      </c>
      <c r="J1277" s="2" t="str">
        <f t="shared" si="1202"/>
        <v/>
      </c>
      <c r="K1277" s="2" t="str">
        <f t="shared" si="1202"/>
        <v/>
      </c>
      <c r="L1277" s="2" t="str">
        <f t="shared" si="1202"/>
        <v/>
      </c>
      <c r="M1277" s="180" t="str">
        <f t="shared" si="1202"/>
        <v/>
      </c>
      <c r="N1277" s="2" t="str">
        <f t="shared" si="1189"/>
        <v/>
      </c>
      <c r="O1277" s="2">
        <f t="shared" si="1202"/>
        <v>0</v>
      </c>
    </row>
    <row r="1278" spans="1:15" x14ac:dyDescent="0.25">
      <c r="A1278" s="325">
        <v>1</v>
      </c>
      <c r="B1278" s="325">
        <f>TrialNumberDay2</f>
        <v>0</v>
      </c>
      <c r="C1278" s="325" t="s">
        <v>19</v>
      </c>
      <c r="D1278" s="325">
        <f>Advanced!C83</f>
        <v>0</v>
      </c>
      <c r="E1278" s="325" t="str">
        <f>IF(Advanced!B83="W","W","A")</f>
        <v>A</v>
      </c>
      <c r="F1278" s="325" t="s">
        <v>1738</v>
      </c>
      <c r="G1278" s="325" t="str">
        <f>IF(Advanced!O83="e","Y","")</f>
        <v/>
      </c>
      <c r="H1278" s="325" t="str">
        <f>IFERROR(VLOOKUP($D1278,'SDDA Dogs'!$A:$AE,2,FALSE),"")</f>
        <v/>
      </c>
      <c r="I1278" s="325" t="str">
        <f>IFERROR(VLOOKUP($D1278,'SDDA Dogs'!$A:$AE,3,FALSE),"")</f>
        <v/>
      </c>
      <c r="J1278" s="325" t="str">
        <f>IFERROR(VLOOKUP($D1278,'SDDA Dogs'!$A:$AE,6,FALSE),"")</f>
        <v/>
      </c>
      <c r="K1278" s="325" t="str">
        <f>IF(Advanced!AS83="","",Advanced!AS83)</f>
        <v/>
      </c>
      <c r="L1278" s="325" t="str">
        <f>IF(Advanced!AT83="","",Advanced!AT83)</f>
        <v/>
      </c>
      <c r="M1278" s="326" t="str">
        <f>TrialDateDay2</f>
        <v/>
      </c>
      <c r="N1278" s="325" t="str">
        <f t="shared" si="1189"/>
        <v/>
      </c>
      <c r="O1278" s="325">
        <f>JudgeD2ISA</f>
        <v>0</v>
      </c>
    </row>
    <row r="1279" spans="1:15" x14ac:dyDescent="0.25">
      <c r="A1279" s="2">
        <v>2</v>
      </c>
      <c r="B1279" s="2">
        <f t="shared" ref="B1279:D1283" si="1203">B1278</f>
        <v>0</v>
      </c>
      <c r="C1279" s="2" t="str">
        <f t="shared" si="1203"/>
        <v>ISA</v>
      </c>
      <c r="D1279" s="2">
        <f t="shared" si="1203"/>
        <v>0</v>
      </c>
      <c r="E1279" s="2" t="str">
        <f t="shared" si="1202"/>
        <v>A</v>
      </c>
      <c r="F1279" s="2" t="str">
        <f t="shared" si="1202"/>
        <v>Interior Advanced</v>
      </c>
      <c r="G1279" s="2" t="str">
        <f t="shared" si="1202"/>
        <v/>
      </c>
      <c r="H1279" s="2" t="str">
        <f t="shared" si="1202"/>
        <v/>
      </c>
      <c r="I1279" s="2" t="str">
        <f t="shared" si="1202"/>
        <v/>
      </c>
      <c r="J1279" s="2" t="str">
        <f t="shared" si="1202"/>
        <v/>
      </c>
      <c r="K1279" s="2" t="str">
        <f t="shared" si="1202"/>
        <v/>
      </c>
      <c r="L1279" s="2" t="str">
        <f t="shared" si="1202"/>
        <v/>
      </c>
      <c r="M1279" s="180" t="str">
        <f t="shared" si="1202"/>
        <v/>
      </c>
      <c r="N1279" s="2" t="str">
        <f t="shared" si="1189"/>
        <v/>
      </c>
      <c r="O1279" s="2">
        <f t="shared" si="1202"/>
        <v>0</v>
      </c>
    </row>
    <row r="1280" spans="1:15" x14ac:dyDescent="0.25">
      <c r="A1280" s="325">
        <v>1</v>
      </c>
      <c r="B1280" s="325">
        <f>TrialNumberDay2</f>
        <v>0</v>
      </c>
      <c r="C1280" s="325" t="s">
        <v>19</v>
      </c>
      <c r="D1280" s="325">
        <f>Advanced!C84</f>
        <v>0</v>
      </c>
      <c r="E1280" s="325" t="str">
        <f>IF(Advanced!B84="W","W","A")</f>
        <v>A</v>
      </c>
      <c r="F1280" s="325" t="s">
        <v>1738</v>
      </c>
      <c r="G1280" s="325" t="str">
        <f>IF(Advanced!O84="e","Y","")</f>
        <v/>
      </c>
      <c r="H1280" s="325" t="str">
        <f>IFERROR(VLOOKUP($D1280,'SDDA Dogs'!$A:$AE,2,FALSE),"")</f>
        <v/>
      </c>
      <c r="I1280" s="325" t="str">
        <f>IFERROR(VLOOKUP($D1280,'SDDA Dogs'!$A:$AE,3,FALSE),"")</f>
        <v/>
      </c>
      <c r="J1280" s="325" t="str">
        <f>IFERROR(VLOOKUP($D1280,'SDDA Dogs'!$A:$AE,6,FALSE),"")</f>
        <v/>
      </c>
      <c r="K1280" s="325" t="str">
        <f>IF(Advanced!AS84="","",Advanced!AS84)</f>
        <v/>
      </c>
      <c r="L1280" s="325" t="str">
        <f>IF(Advanced!AT84="","",Advanced!AT84)</f>
        <v/>
      </c>
      <c r="M1280" s="326" t="str">
        <f>TrialDateDay2</f>
        <v/>
      </c>
      <c r="N1280" s="325" t="str">
        <f t="shared" si="1189"/>
        <v/>
      </c>
      <c r="O1280" s="325">
        <f>JudgeD2ISA</f>
        <v>0</v>
      </c>
    </row>
    <row r="1281" spans="1:15" x14ac:dyDescent="0.25">
      <c r="A1281" s="2">
        <v>2</v>
      </c>
      <c r="B1281" s="2">
        <f t="shared" si="1203"/>
        <v>0</v>
      </c>
      <c r="C1281" s="2" t="str">
        <f t="shared" si="1203"/>
        <v>ISA</v>
      </c>
      <c r="D1281" s="2">
        <f t="shared" si="1203"/>
        <v>0</v>
      </c>
      <c r="E1281" s="2" t="str">
        <f t="shared" si="1202"/>
        <v>A</v>
      </c>
      <c r="F1281" s="2" t="str">
        <f t="shared" si="1202"/>
        <v>Interior Advanced</v>
      </c>
      <c r="G1281" s="2" t="str">
        <f t="shared" si="1202"/>
        <v/>
      </c>
      <c r="H1281" s="2" t="str">
        <f t="shared" si="1202"/>
        <v/>
      </c>
      <c r="I1281" s="2" t="str">
        <f t="shared" si="1202"/>
        <v/>
      </c>
      <c r="J1281" s="2" t="str">
        <f t="shared" si="1202"/>
        <v/>
      </c>
      <c r="K1281" s="2" t="str">
        <f t="shared" si="1202"/>
        <v/>
      </c>
      <c r="L1281" s="2" t="str">
        <f t="shared" si="1202"/>
        <v/>
      </c>
      <c r="M1281" s="180" t="str">
        <f t="shared" si="1202"/>
        <v/>
      </c>
      <c r="N1281" s="2" t="str">
        <f t="shared" si="1189"/>
        <v/>
      </c>
      <c r="O1281" s="2">
        <f t="shared" si="1202"/>
        <v>0</v>
      </c>
    </row>
    <row r="1282" spans="1:15" x14ac:dyDescent="0.25">
      <c r="A1282" s="325">
        <v>1</v>
      </c>
      <c r="B1282" s="325">
        <f>TrialNumberDay2</f>
        <v>0</v>
      </c>
      <c r="C1282" s="325" t="s">
        <v>19</v>
      </c>
      <c r="D1282" s="325">
        <f>Advanced!C85</f>
        <v>0</v>
      </c>
      <c r="E1282" s="325" t="str">
        <f>IF(Advanced!B85="W","W","A")</f>
        <v>A</v>
      </c>
      <c r="F1282" s="325" t="s">
        <v>1738</v>
      </c>
      <c r="G1282" s="325" t="str">
        <f>IF(Advanced!O85="e","Y","")</f>
        <v/>
      </c>
      <c r="H1282" s="325" t="str">
        <f>IFERROR(VLOOKUP($D1282,'SDDA Dogs'!$A:$AE,2,FALSE),"")</f>
        <v/>
      </c>
      <c r="I1282" s="325" t="str">
        <f>IFERROR(VLOOKUP($D1282,'SDDA Dogs'!$A:$AE,3,FALSE),"")</f>
        <v/>
      </c>
      <c r="J1282" s="325" t="str">
        <f>IFERROR(VLOOKUP($D1282,'SDDA Dogs'!$A:$AE,6,FALSE),"")</f>
        <v/>
      </c>
      <c r="K1282" s="325" t="str">
        <f>IF(Advanced!AS85="","",Advanced!AS85)</f>
        <v/>
      </c>
      <c r="L1282" s="325" t="str">
        <f>IF(Advanced!AT85="","",Advanced!AT85)</f>
        <v/>
      </c>
      <c r="M1282" s="326" t="str">
        <f>TrialDateDay2</f>
        <v/>
      </c>
      <c r="N1282" s="325" t="str">
        <f t="shared" si="1189"/>
        <v/>
      </c>
      <c r="O1282" s="325">
        <f>JudgeD2ISA</f>
        <v>0</v>
      </c>
    </row>
    <row r="1283" spans="1:15" x14ac:dyDescent="0.25">
      <c r="A1283" s="2">
        <v>2</v>
      </c>
      <c r="B1283" s="2">
        <f t="shared" si="1203"/>
        <v>0</v>
      </c>
      <c r="C1283" s="2" t="str">
        <f t="shared" si="1203"/>
        <v>ISA</v>
      </c>
      <c r="D1283" s="2">
        <f t="shared" si="1203"/>
        <v>0</v>
      </c>
      <c r="E1283" s="2" t="str">
        <f t="shared" si="1202"/>
        <v>A</v>
      </c>
      <c r="F1283" s="2" t="str">
        <f t="shared" si="1202"/>
        <v>Interior Advanced</v>
      </c>
      <c r="G1283" s="2" t="str">
        <f t="shared" si="1202"/>
        <v/>
      </c>
      <c r="H1283" s="2" t="str">
        <f t="shared" si="1202"/>
        <v/>
      </c>
      <c r="I1283" s="2" t="str">
        <f t="shared" si="1202"/>
        <v/>
      </c>
      <c r="J1283" s="2" t="str">
        <f t="shared" si="1202"/>
        <v/>
      </c>
      <c r="K1283" s="2" t="str">
        <f t="shared" si="1202"/>
        <v/>
      </c>
      <c r="L1283" s="2" t="str">
        <f t="shared" si="1202"/>
        <v/>
      </c>
      <c r="M1283" s="180" t="str">
        <f t="shared" si="1202"/>
        <v/>
      </c>
      <c r="N1283" s="2" t="str">
        <f t="shared" si="1189"/>
        <v/>
      </c>
      <c r="O1283" s="2">
        <f t="shared" si="1202"/>
        <v>0</v>
      </c>
    </row>
    <row r="1284" spans="1:15" x14ac:dyDescent="0.25">
      <c r="A1284" s="325">
        <v>1</v>
      </c>
      <c r="B1284" s="325">
        <f>TrialNumberDay2</f>
        <v>0</v>
      </c>
      <c r="C1284" s="325" t="s">
        <v>19</v>
      </c>
      <c r="D1284" s="325">
        <f>Advanced!C86</f>
        <v>0</v>
      </c>
      <c r="E1284" s="325" t="str">
        <f>IF(Advanced!B86="W","W","A")</f>
        <v>A</v>
      </c>
      <c r="F1284" s="325" t="s">
        <v>1738</v>
      </c>
      <c r="G1284" s="325" t="str">
        <f>IF(Advanced!O86="e","Y","")</f>
        <v/>
      </c>
      <c r="H1284" s="325" t="str">
        <f>IFERROR(VLOOKUP($D1284,'SDDA Dogs'!$A:$AE,2,FALSE),"")</f>
        <v/>
      </c>
      <c r="I1284" s="325" t="str">
        <f>IFERROR(VLOOKUP($D1284,'SDDA Dogs'!$A:$AE,3,FALSE),"")</f>
        <v/>
      </c>
      <c r="J1284" s="325" t="str">
        <f>IFERROR(VLOOKUP($D1284,'SDDA Dogs'!$A:$AE,6,FALSE),"")</f>
        <v/>
      </c>
      <c r="K1284" s="325" t="str">
        <f>IF(Advanced!AS86="","",Advanced!AS86)</f>
        <v/>
      </c>
      <c r="L1284" s="325" t="str">
        <f>IF(Advanced!AT86="","",Advanced!AT86)</f>
        <v/>
      </c>
      <c r="M1284" s="326" t="str">
        <f>TrialDateDay2</f>
        <v/>
      </c>
      <c r="N1284" s="325" t="str">
        <f t="shared" ref="N1284:N1347" si="1204">N1283</f>
        <v/>
      </c>
      <c r="O1284" s="325">
        <f>JudgeD2ISA</f>
        <v>0</v>
      </c>
    </row>
    <row r="1285" spans="1:15" x14ac:dyDescent="0.25">
      <c r="A1285" s="2">
        <v>2</v>
      </c>
      <c r="B1285" s="2">
        <f t="shared" ref="B1285:O1285" si="1205">B1284</f>
        <v>0</v>
      </c>
      <c r="C1285" s="2" t="str">
        <f t="shared" si="1205"/>
        <v>ISA</v>
      </c>
      <c r="D1285" s="2">
        <f t="shared" si="1205"/>
        <v>0</v>
      </c>
      <c r="E1285" s="2" t="str">
        <f t="shared" si="1205"/>
        <v>A</v>
      </c>
      <c r="F1285" s="2" t="str">
        <f t="shared" si="1205"/>
        <v>Interior Advanced</v>
      </c>
      <c r="G1285" s="2" t="str">
        <f t="shared" si="1205"/>
        <v/>
      </c>
      <c r="H1285" s="2" t="str">
        <f t="shared" si="1205"/>
        <v/>
      </c>
      <c r="I1285" s="2" t="str">
        <f t="shared" si="1205"/>
        <v/>
      </c>
      <c r="J1285" s="2" t="str">
        <f t="shared" si="1205"/>
        <v/>
      </c>
      <c r="K1285" s="2" t="str">
        <f t="shared" si="1205"/>
        <v/>
      </c>
      <c r="L1285" s="2" t="str">
        <f t="shared" si="1205"/>
        <v/>
      </c>
      <c r="M1285" s="180" t="str">
        <f t="shared" si="1205"/>
        <v/>
      </c>
      <c r="N1285" s="2" t="str">
        <f t="shared" si="1204"/>
        <v/>
      </c>
      <c r="O1285" s="2">
        <f t="shared" si="1205"/>
        <v>0</v>
      </c>
    </row>
    <row r="1286" spans="1:15" x14ac:dyDescent="0.25">
      <c r="A1286" s="325">
        <v>1</v>
      </c>
      <c r="B1286" s="325">
        <f>TrialNumberDay2</f>
        <v>0</v>
      </c>
      <c r="C1286" s="325" t="s">
        <v>19</v>
      </c>
      <c r="D1286" s="325">
        <f>Advanced!C87</f>
        <v>0</v>
      </c>
      <c r="E1286" s="325" t="str">
        <f>IF(Advanced!B87="W","W","A")</f>
        <v>A</v>
      </c>
      <c r="F1286" s="325" t="s">
        <v>1738</v>
      </c>
      <c r="G1286" s="325" t="str">
        <f>IF(Advanced!O87="e","Y","")</f>
        <v/>
      </c>
      <c r="H1286" s="325" t="str">
        <f>IFERROR(VLOOKUP($D1286,'SDDA Dogs'!$A:$AE,2,FALSE),"")</f>
        <v/>
      </c>
      <c r="I1286" s="325" t="str">
        <f>IFERROR(VLOOKUP($D1286,'SDDA Dogs'!$A:$AE,3,FALSE),"")</f>
        <v/>
      </c>
      <c r="J1286" s="325" t="str">
        <f>IFERROR(VLOOKUP($D1286,'SDDA Dogs'!$A:$AE,6,FALSE),"")</f>
        <v/>
      </c>
      <c r="K1286" s="325" t="str">
        <f>IF(Advanced!AS87="","",Advanced!AS87)</f>
        <v/>
      </c>
      <c r="L1286" s="325" t="str">
        <f>IF(Advanced!AT87="","",Advanced!AT87)</f>
        <v/>
      </c>
      <c r="M1286" s="326" t="str">
        <f>TrialDateDay2</f>
        <v/>
      </c>
      <c r="N1286" s="325" t="str">
        <f t="shared" si="1204"/>
        <v/>
      </c>
      <c r="O1286" s="325">
        <f>JudgeD2ISA</f>
        <v>0</v>
      </c>
    </row>
    <row r="1287" spans="1:15" x14ac:dyDescent="0.25">
      <c r="A1287" s="2">
        <v>2</v>
      </c>
      <c r="B1287" s="2">
        <f t="shared" ref="B1287:O1287" si="1206">B1286</f>
        <v>0</v>
      </c>
      <c r="C1287" s="2" t="str">
        <f t="shared" si="1206"/>
        <v>ISA</v>
      </c>
      <c r="D1287" s="2">
        <f t="shared" si="1206"/>
        <v>0</v>
      </c>
      <c r="E1287" s="2" t="str">
        <f t="shared" si="1206"/>
        <v>A</v>
      </c>
      <c r="F1287" s="2" t="str">
        <f t="shared" si="1206"/>
        <v>Interior Advanced</v>
      </c>
      <c r="G1287" s="2" t="str">
        <f t="shared" si="1206"/>
        <v/>
      </c>
      <c r="H1287" s="2" t="str">
        <f t="shared" si="1206"/>
        <v/>
      </c>
      <c r="I1287" s="2" t="str">
        <f t="shared" si="1206"/>
        <v/>
      </c>
      <c r="J1287" s="2" t="str">
        <f t="shared" si="1206"/>
        <v/>
      </c>
      <c r="K1287" s="2" t="str">
        <f t="shared" si="1206"/>
        <v/>
      </c>
      <c r="L1287" s="2" t="str">
        <f t="shared" si="1206"/>
        <v/>
      </c>
      <c r="M1287" s="180" t="str">
        <f t="shared" si="1206"/>
        <v/>
      </c>
      <c r="N1287" s="2" t="str">
        <f t="shared" si="1204"/>
        <v/>
      </c>
      <c r="O1287" s="2">
        <f t="shared" si="1206"/>
        <v>0</v>
      </c>
    </row>
    <row r="1288" spans="1:15" x14ac:dyDescent="0.25">
      <c r="A1288" s="325">
        <v>1</v>
      </c>
      <c r="B1288" s="325">
        <f>TrialNumberDay2</f>
        <v>0</v>
      </c>
      <c r="C1288" s="325" t="s">
        <v>19</v>
      </c>
      <c r="D1288" s="325">
        <f>Advanced!C88</f>
        <v>0</v>
      </c>
      <c r="E1288" s="325" t="str">
        <f>IF(Advanced!B88="W","W","A")</f>
        <v>A</v>
      </c>
      <c r="F1288" s="325" t="s">
        <v>1738</v>
      </c>
      <c r="G1288" s="325" t="str">
        <f>IF(Advanced!O88="e","Y","")</f>
        <v/>
      </c>
      <c r="H1288" s="325" t="str">
        <f>IFERROR(VLOOKUP($D1288,'SDDA Dogs'!$A:$AE,2,FALSE),"")</f>
        <v/>
      </c>
      <c r="I1288" s="325" t="str">
        <f>IFERROR(VLOOKUP($D1288,'SDDA Dogs'!$A:$AE,3,FALSE),"")</f>
        <v/>
      </c>
      <c r="J1288" s="325" t="str">
        <f>IFERROR(VLOOKUP($D1288,'SDDA Dogs'!$A:$AE,6,FALSE),"")</f>
        <v/>
      </c>
      <c r="K1288" s="325" t="str">
        <f>IF(Advanced!AS88="","",Advanced!AS88)</f>
        <v/>
      </c>
      <c r="L1288" s="325" t="str">
        <f>IF(Advanced!AT88="","",Advanced!AT88)</f>
        <v/>
      </c>
      <c r="M1288" s="326" t="str">
        <f>TrialDateDay2</f>
        <v/>
      </c>
      <c r="N1288" s="325" t="str">
        <f t="shared" si="1204"/>
        <v/>
      </c>
      <c r="O1288" s="325">
        <f>JudgeD2ISA</f>
        <v>0</v>
      </c>
    </row>
    <row r="1289" spans="1:15" x14ac:dyDescent="0.25">
      <c r="A1289" s="2">
        <v>2</v>
      </c>
      <c r="B1289" s="2">
        <f t="shared" ref="B1289:O1289" si="1207">B1288</f>
        <v>0</v>
      </c>
      <c r="C1289" s="2" t="str">
        <f t="shared" si="1207"/>
        <v>ISA</v>
      </c>
      <c r="D1289" s="2">
        <f t="shared" si="1207"/>
        <v>0</v>
      </c>
      <c r="E1289" s="2" t="str">
        <f t="shared" si="1207"/>
        <v>A</v>
      </c>
      <c r="F1289" s="2" t="str">
        <f t="shared" si="1207"/>
        <v>Interior Advanced</v>
      </c>
      <c r="G1289" s="2" t="str">
        <f t="shared" si="1207"/>
        <v/>
      </c>
      <c r="H1289" s="2" t="str">
        <f t="shared" si="1207"/>
        <v/>
      </c>
      <c r="I1289" s="2" t="str">
        <f t="shared" si="1207"/>
        <v/>
      </c>
      <c r="J1289" s="2" t="str">
        <f t="shared" si="1207"/>
        <v/>
      </c>
      <c r="K1289" s="2" t="str">
        <f t="shared" si="1207"/>
        <v/>
      </c>
      <c r="L1289" s="2" t="str">
        <f t="shared" si="1207"/>
        <v/>
      </c>
      <c r="M1289" s="180" t="str">
        <f t="shared" si="1207"/>
        <v/>
      </c>
      <c r="N1289" s="2" t="str">
        <f t="shared" si="1204"/>
        <v/>
      </c>
      <c r="O1289" s="2">
        <f t="shared" si="1207"/>
        <v>0</v>
      </c>
    </row>
    <row r="1290" spans="1:15" x14ac:dyDescent="0.25">
      <c r="A1290" s="325">
        <v>1</v>
      </c>
      <c r="B1290" s="325">
        <f>TrialNumberDay2</f>
        <v>0</v>
      </c>
      <c r="C1290" s="325" t="s">
        <v>19</v>
      </c>
      <c r="D1290" s="325">
        <f>Advanced!C89</f>
        <v>0</v>
      </c>
      <c r="E1290" s="325" t="str">
        <f>IF(Advanced!B89="W","W","A")</f>
        <v>A</v>
      </c>
      <c r="F1290" s="325" t="s">
        <v>1738</v>
      </c>
      <c r="G1290" s="325" t="str">
        <f>IF(Advanced!O89="e","Y","")</f>
        <v/>
      </c>
      <c r="H1290" s="325" t="str">
        <f>IFERROR(VLOOKUP($D1290,'SDDA Dogs'!$A:$AE,2,FALSE),"")</f>
        <v/>
      </c>
      <c r="I1290" s="325" t="str">
        <f>IFERROR(VLOOKUP($D1290,'SDDA Dogs'!$A:$AE,3,FALSE),"")</f>
        <v/>
      </c>
      <c r="J1290" s="325" t="str">
        <f>IFERROR(VLOOKUP($D1290,'SDDA Dogs'!$A:$AE,6,FALSE),"")</f>
        <v/>
      </c>
      <c r="K1290" s="325" t="str">
        <f>IF(Advanced!AS89="","",Advanced!AS89)</f>
        <v/>
      </c>
      <c r="L1290" s="325" t="str">
        <f>IF(Advanced!AT89="","",Advanced!AT89)</f>
        <v/>
      </c>
      <c r="M1290" s="326" t="str">
        <f>TrialDateDay2</f>
        <v/>
      </c>
      <c r="N1290" s="325" t="str">
        <f t="shared" si="1204"/>
        <v/>
      </c>
      <c r="O1290" s="325">
        <f>JudgeD2ISA</f>
        <v>0</v>
      </c>
    </row>
    <row r="1291" spans="1:15" x14ac:dyDescent="0.25">
      <c r="A1291" s="2">
        <v>2</v>
      </c>
      <c r="B1291" s="2">
        <f t="shared" ref="B1291:O1291" si="1208">B1290</f>
        <v>0</v>
      </c>
      <c r="C1291" s="2" t="str">
        <f t="shared" si="1208"/>
        <v>ISA</v>
      </c>
      <c r="D1291" s="2">
        <f t="shared" si="1208"/>
        <v>0</v>
      </c>
      <c r="E1291" s="2" t="str">
        <f t="shared" si="1208"/>
        <v>A</v>
      </c>
      <c r="F1291" s="2" t="str">
        <f t="shared" si="1208"/>
        <v>Interior Advanced</v>
      </c>
      <c r="G1291" s="2" t="str">
        <f t="shared" si="1208"/>
        <v/>
      </c>
      <c r="H1291" s="2" t="str">
        <f t="shared" si="1208"/>
        <v/>
      </c>
      <c r="I1291" s="2" t="str">
        <f t="shared" si="1208"/>
        <v/>
      </c>
      <c r="J1291" s="2" t="str">
        <f t="shared" si="1208"/>
        <v/>
      </c>
      <c r="K1291" s="2" t="str">
        <f t="shared" si="1208"/>
        <v/>
      </c>
      <c r="L1291" s="2" t="str">
        <f t="shared" si="1208"/>
        <v/>
      </c>
      <c r="M1291" s="180" t="str">
        <f t="shared" si="1208"/>
        <v/>
      </c>
      <c r="N1291" s="2" t="str">
        <f t="shared" si="1204"/>
        <v/>
      </c>
      <c r="O1291" s="2">
        <f t="shared" si="1208"/>
        <v>0</v>
      </c>
    </row>
    <row r="1292" spans="1:15" x14ac:dyDescent="0.25">
      <c r="A1292" s="325">
        <v>1</v>
      </c>
      <c r="B1292" s="325">
        <f>TrialNumberDay2</f>
        <v>0</v>
      </c>
      <c r="C1292" s="325" t="s">
        <v>19</v>
      </c>
      <c r="D1292" s="325">
        <f>Advanced!C90</f>
        <v>0</v>
      </c>
      <c r="E1292" s="325" t="str">
        <f>IF(Advanced!B90="W","W","A")</f>
        <v>A</v>
      </c>
      <c r="F1292" s="325" t="s">
        <v>1738</v>
      </c>
      <c r="G1292" s="325" t="str">
        <f>IF(Advanced!O90="e","Y","")</f>
        <v/>
      </c>
      <c r="H1292" s="325" t="str">
        <f>IFERROR(VLOOKUP($D1292,'SDDA Dogs'!$A:$AE,2,FALSE),"")</f>
        <v/>
      </c>
      <c r="I1292" s="325" t="str">
        <f>IFERROR(VLOOKUP($D1292,'SDDA Dogs'!$A:$AE,3,FALSE),"")</f>
        <v/>
      </c>
      <c r="J1292" s="325" t="str">
        <f>IFERROR(VLOOKUP($D1292,'SDDA Dogs'!$A:$AE,6,FALSE),"")</f>
        <v/>
      </c>
      <c r="K1292" s="325" t="str">
        <f>IF(Advanced!AS90="","",Advanced!AS90)</f>
        <v/>
      </c>
      <c r="L1292" s="325" t="str">
        <f>IF(Advanced!AT90="","",Advanced!AT90)</f>
        <v/>
      </c>
      <c r="M1292" s="326" t="str">
        <f>TrialDateDay2</f>
        <v/>
      </c>
      <c r="N1292" s="325" t="str">
        <f t="shared" si="1204"/>
        <v/>
      </c>
      <c r="O1292" s="325">
        <f>JudgeD2ISA</f>
        <v>0</v>
      </c>
    </row>
    <row r="1293" spans="1:15" x14ac:dyDescent="0.25">
      <c r="A1293" s="2">
        <v>2</v>
      </c>
      <c r="B1293" s="2">
        <f t="shared" ref="B1293:O1293" si="1209">B1292</f>
        <v>0</v>
      </c>
      <c r="C1293" s="2" t="str">
        <f t="shared" si="1209"/>
        <v>ISA</v>
      </c>
      <c r="D1293" s="2">
        <f t="shared" si="1209"/>
        <v>0</v>
      </c>
      <c r="E1293" s="2" t="str">
        <f t="shared" si="1209"/>
        <v>A</v>
      </c>
      <c r="F1293" s="2" t="str">
        <f t="shared" si="1209"/>
        <v>Interior Advanced</v>
      </c>
      <c r="G1293" s="2" t="str">
        <f t="shared" si="1209"/>
        <v/>
      </c>
      <c r="H1293" s="2" t="str">
        <f t="shared" si="1209"/>
        <v/>
      </c>
      <c r="I1293" s="2" t="str">
        <f t="shared" si="1209"/>
        <v/>
      </c>
      <c r="J1293" s="2" t="str">
        <f t="shared" si="1209"/>
        <v/>
      </c>
      <c r="K1293" s="2" t="str">
        <f t="shared" si="1209"/>
        <v/>
      </c>
      <c r="L1293" s="2" t="str">
        <f t="shared" si="1209"/>
        <v/>
      </c>
      <c r="M1293" s="180" t="str">
        <f t="shared" si="1209"/>
        <v/>
      </c>
      <c r="N1293" s="2" t="str">
        <f t="shared" si="1204"/>
        <v/>
      </c>
      <c r="O1293" s="2">
        <f t="shared" si="1209"/>
        <v>0</v>
      </c>
    </row>
    <row r="1294" spans="1:15" x14ac:dyDescent="0.25">
      <c r="A1294" s="325">
        <v>1</v>
      </c>
      <c r="B1294" s="325">
        <f>TrialNumberDay2</f>
        <v>0</v>
      </c>
      <c r="C1294" s="325" t="s">
        <v>19</v>
      </c>
      <c r="D1294" s="325">
        <f>Advanced!C91</f>
        <v>0</v>
      </c>
      <c r="E1294" s="325" t="str">
        <f>IF(Advanced!B91="W","W","A")</f>
        <v>A</v>
      </c>
      <c r="F1294" s="325" t="s">
        <v>1738</v>
      </c>
      <c r="G1294" s="325" t="str">
        <f>IF(Advanced!O91="e","Y","")</f>
        <v/>
      </c>
      <c r="H1294" s="325" t="str">
        <f>IFERROR(VLOOKUP($D1294,'SDDA Dogs'!$A:$AE,2,FALSE),"")</f>
        <v/>
      </c>
      <c r="I1294" s="325" t="str">
        <f>IFERROR(VLOOKUP($D1294,'SDDA Dogs'!$A:$AE,3,FALSE),"")</f>
        <v/>
      </c>
      <c r="J1294" s="325" t="str">
        <f>IFERROR(VLOOKUP($D1294,'SDDA Dogs'!$A:$AE,6,FALSE),"")</f>
        <v/>
      </c>
      <c r="K1294" s="325" t="str">
        <f>IF(Advanced!AS91="","",Advanced!AS91)</f>
        <v/>
      </c>
      <c r="L1294" s="325" t="str">
        <f>IF(Advanced!AT91="","",Advanced!AT91)</f>
        <v/>
      </c>
      <c r="M1294" s="326" t="str">
        <f>TrialDateDay2</f>
        <v/>
      </c>
      <c r="N1294" s="325" t="str">
        <f t="shared" si="1204"/>
        <v/>
      </c>
      <c r="O1294" s="325">
        <f>JudgeD2ISA</f>
        <v>0</v>
      </c>
    </row>
    <row r="1295" spans="1:15" x14ac:dyDescent="0.25">
      <c r="A1295" s="2">
        <v>2</v>
      </c>
      <c r="B1295" s="2">
        <f t="shared" ref="B1295:O1295" si="1210">B1294</f>
        <v>0</v>
      </c>
      <c r="C1295" s="2" t="str">
        <f t="shared" si="1210"/>
        <v>ISA</v>
      </c>
      <c r="D1295" s="2">
        <f t="shared" si="1210"/>
        <v>0</v>
      </c>
      <c r="E1295" s="2" t="str">
        <f t="shared" si="1210"/>
        <v>A</v>
      </c>
      <c r="F1295" s="2" t="str">
        <f t="shared" si="1210"/>
        <v>Interior Advanced</v>
      </c>
      <c r="G1295" s="2" t="str">
        <f t="shared" si="1210"/>
        <v/>
      </c>
      <c r="H1295" s="2" t="str">
        <f t="shared" si="1210"/>
        <v/>
      </c>
      <c r="I1295" s="2" t="str">
        <f t="shared" si="1210"/>
        <v/>
      </c>
      <c r="J1295" s="2" t="str">
        <f t="shared" si="1210"/>
        <v/>
      </c>
      <c r="K1295" s="2" t="str">
        <f t="shared" si="1210"/>
        <v/>
      </c>
      <c r="L1295" s="2" t="str">
        <f t="shared" si="1210"/>
        <v/>
      </c>
      <c r="M1295" s="180" t="str">
        <f t="shared" si="1210"/>
        <v/>
      </c>
      <c r="N1295" s="2" t="str">
        <f t="shared" si="1204"/>
        <v/>
      </c>
      <c r="O1295" s="2">
        <f t="shared" si="1210"/>
        <v>0</v>
      </c>
    </row>
    <row r="1296" spans="1:15" x14ac:dyDescent="0.25">
      <c r="A1296" s="325">
        <v>1</v>
      </c>
      <c r="B1296" s="325">
        <f>TrialNumberDay2</f>
        <v>0</v>
      </c>
      <c r="C1296" s="325" t="s">
        <v>19</v>
      </c>
      <c r="D1296" s="325">
        <f>Advanced!C92</f>
        <v>0</v>
      </c>
      <c r="E1296" s="325" t="str">
        <f>IF(Advanced!B92="W","W","A")</f>
        <v>A</v>
      </c>
      <c r="F1296" s="325" t="s">
        <v>1738</v>
      </c>
      <c r="G1296" s="325" t="str">
        <f>IF(Advanced!O92="e","Y","")</f>
        <v/>
      </c>
      <c r="H1296" s="325" t="str">
        <f>IFERROR(VLOOKUP($D1296,'SDDA Dogs'!$A:$AE,2,FALSE),"")</f>
        <v/>
      </c>
      <c r="I1296" s="325" t="str">
        <f>IFERROR(VLOOKUP($D1296,'SDDA Dogs'!$A:$AE,3,FALSE),"")</f>
        <v/>
      </c>
      <c r="J1296" s="325" t="str">
        <f>IFERROR(VLOOKUP($D1296,'SDDA Dogs'!$A:$AE,6,FALSE),"")</f>
        <v/>
      </c>
      <c r="K1296" s="325" t="str">
        <f>IF(Advanced!AS92="","",Advanced!AS92)</f>
        <v/>
      </c>
      <c r="L1296" s="325" t="str">
        <f>IF(Advanced!AT92="","",Advanced!AT92)</f>
        <v/>
      </c>
      <c r="M1296" s="326" t="str">
        <f>TrialDateDay2</f>
        <v/>
      </c>
      <c r="N1296" s="325" t="str">
        <f t="shared" si="1204"/>
        <v/>
      </c>
      <c r="O1296" s="325">
        <f>JudgeD2ISA</f>
        <v>0</v>
      </c>
    </row>
    <row r="1297" spans="1:15" x14ac:dyDescent="0.25">
      <c r="A1297" s="2">
        <v>2</v>
      </c>
      <c r="B1297" s="2">
        <f t="shared" ref="B1297:O1297" si="1211">B1296</f>
        <v>0</v>
      </c>
      <c r="C1297" s="2" t="str">
        <f t="shared" si="1211"/>
        <v>ISA</v>
      </c>
      <c r="D1297" s="2">
        <f t="shared" si="1211"/>
        <v>0</v>
      </c>
      <c r="E1297" s="2" t="str">
        <f t="shared" si="1211"/>
        <v>A</v>
      </c>
      <c r="F1297" s="2" t="str">
        <f t="shared" si="1211"/>
        <v>Interior Advanced</v>
      </c>
      <c r="G1297" s="2" t="str">
        <f t="shared" si="1211"/>
        <v/>
      </c>
      <c r="H1297" s="2" t="str">
        <f t="shared" si="1211"/>
        <v/>
      </c>
      <c r="I1297" s="2" t="str">
        <f t="shared" si="1211"/>
        <v/>
      </c>
      <c r="J1297" s="2" t="str">
        <f t="shared" si="1211"/>
        <v/>
      </c>
      <c r="K1297" s="2" t="str">
        <f t="shared" si="1211"/>
        <v/>
      </c>
      <c r="L1297" s="2" t="str">
        <f t="shared" si="1211"/>
        <v/>
      </c>
      <c r="M1297" s="180" t="str">
        <f t="shared" si="1211"/>
        <v/>
      </c>
      <c r="N1297" s="2" t="str">
        <f t="shared" si="1204"/>
        <v/>
      </c>
      <c r="O1297" s="2">
        <f t="shared" si="1211"/>
        <v>0</v>
      </c>
    </row>
    <row r="1298" spans="1:15" x14ac:dyDescent="0.25">
      <c r="A1298" s="325">
        <v>1</v>
      </c>
      <c r="B1298" s="325">
        <f>TrialNumberDay2</f>
        <v>0</v>
      </c>
      <c r="C1298" s="325" t="s">
        <v>19</v>
      </c>
      <c r="D1298" s="325">
        <f>Advanced!C93</f>
        <v>0</v>
      </c>
      <c r="E1298" s="325" t="str">
        <f>IF(Advanced!B93="W","W","A")</f>
        <v>A</v>
      </c>
      <c r="F1298" s="325" t="s">
        <v>1738</v>
      </c>
      <c r="G1298" s="325" t="str">
        <f>IF(Advanced!O93="e","Y","")</f>
        <v/>
      </c>
      <c r="H1298" s="325" t="str">
        <f>IFERROR(VLOOKUP($D1298,'SDDA Dogs'!$A:$AE,2,FALSE),"")</f>
        <v/>
      </c>
      <c r="I1298" s="325" t="str">
        <f>IFERROR(VLOOKUP($D1298,'SDDA Dogs'!$A:$AE,3,FALSE),"")</f>
        <v/>
      </c>
      <c r="J1298" s="325" t="str">
        <f>IFERROR(VLOOKUP($D1298,'SDDA Dogs'!$A:$AE,6,FALSE),"")</f>
        <v/>
      </c>
      <c r="K1298" s="325" t="str">
        <f>IF(Advanced!AS93="","",Advanced!AS93)</f>
        <v/>
      </c>
      <c r="L1298" s="325" t="str">
        <f>IF(Advanced!AT93="","",Advanced!AT93)</f>
        <v/>
      </c>
      <c r="M1298" s="326" t="str">
        <f>TrialDateDay2</f>
        <v/>
      </c>
      <c r="N1298" s="325" t="str">
        <f t="shared" si="1204"/>
        <v/>
      </c>
      <c r="O1298" s="325">
        <f>JudgeD2ISA</f>
        <v>0</v>
      </c>
    </row>
    <row r="1299" spans="1:15" x14ac:dyDescent="0.25">
      <c r="A1299" s="2">
        <v>2</v>
      </c>
      <c r="B1299" s="2">
        <f t="shared" ref="B1299:O1299" si="1212">B1298</f>
        <v>0</v>
      </c>
      <c r="C1299" s="2" t="str">
        <f t="shared" si="1212"/>
        <v>ISA</v>
      </c>
      <c r="D1299" s="2">
        <f t="shared" si="1212"/>
        <v>0</v>
      </c>
      <c r="E1299" s="2" t="str">
        <f t="shared" si="1212"/>
        <v>A</v>
      </c>
      <c r="F1299" s="2" t="str">
        <f t="shared" si="1212"/>
        <v>Interior Advanced</v>
      </c>
      <c r="G1299" s="2" t="str">
        <f t="shared" si="1212"/>
        <v/>
      </c>
      <c r="H1299" s="2" t="str">
        <f t="shared" si="1212"/>
        <v/>
      </c>
      <c r="I1299" s="2" t="str">
        <f t="shared" si="1212"/>
        <v/>
      </c>
      <c r="J1299" s="2" t="str">
        <f t="shared" si="1212"/>
        <v/>
      </c>
      <c r="K1299" s="2" t="str">
        <f t="shared" si="1212"/>
        <v/>
      </c>
      <c r="L1299" s="2" t="str">
        <f t="shared" si="1212"/>
        <v/>
      </c>
      <c r="M1299" s="180" t="str">
        <f t="shared" si="1212"/>
        <v/>
      </c>
      <c r="N1299" s="2" t="str">
        <f t="shared" si="1204"/>
        <v/>
      </c>
      <c r="O1299" s="2">
        <f t="shared" si="1212"/>
        <v>0</v>
      </c>
    </row>
    <row r="1300" spans="1:15" x14ac:dyDescent="0.25">
      <c r="A1300" s="325">
        <v>1</v>
      </c>
      <c r="B1300" s="325">
        <f>TrialNumberDay2</f>
        <v>0</v>
      </c>
      <c r="C1300" s="325" t="s">
        <v>19</v>
      </c>
      <c r="D1300" s="325">
        <f>Advanced!C94</f>
        <v>0</v>
      </c>
      <c r="E1300" s="325" t="str">
        <f>IF(Advanced!B94="W","W","A")</f>
        <v>A</v>
      </c>
      <c r="F1300" s="325" t="s">
        <v>1738</v>
      </c>
      <c r="G1300" s="325" t="str">
        <f>IF(Advanced!O94="e","Y","")</f>
        <v/>
      </c>
      <c r="H1300" s="325" t="str">
        <f>IFERROR(VLOOKUP($D1300,'SDDA Dogs'!$A:$AE,2,FALSE),"")</f>
        <v/>
      </c>
      <c r="I1300" s="325" t="str">
        <f>IFERROR(VLOOKUP($D1300,'SDDA Dogs'!$A:$AE,3,FALSE),"")</f>
        <v/>
      </c>
      <c r="J1300" s="325" t="str">
        <f>IFERROR(VLOOKUP($D1300,'SDDA Dogs'!$A:$AE,6,FALSE),"")</f>
        <v/>
      </c>
      <c r="K1300" s="325" t="str">
        <f>IF(Advanced!AS94="","",Advanced!AS94)</f>
        <v/>
      </c>
      <c r="L1300" s="325" t="str">
        <f>IF(Advanced!AT94="","",Advanced!AT94)</f>
        <v/>
      </c>
      <c r="M1300" s="326" t="str">
        <f>TrialDateDay2</f>
        <v/>
      </c>
      <c r="N1300" s="325" t="str">
        <f t="shared" si="1204"/>
        <v/>
      </c>
      <c r="O1300" s="325">
        <f>JudgeD2ISA</f>
        <v>0</v>
      </c>
    </row>
    <row r="1301" spans="1:15" x14ac:dyDescent="0.25">
      <c r="A1301" s="2">
        <v>2</v>
      </c>
      <c r="B1301" s="2">
        <f t="shared" ref="B1301:O1301" si="1213">B1300</f>
        <v>0</v>
      </c>
      <c r="C1301" s="2" t="str">
        <f t="shared" si="1213"/>
        <v>ISA</v>
      </c>
      <c r="D1301" s="2">
        <f t="shared" si="1213"/>
        <v>0</v>
      </c>
      <c r="E1301" s="2" t="str">
        <f t="shared" si="1213"/>
        <v>A</v>
      </c>
      <c r="F1301" s="2" t="str">
        <f t="shared" si="1213"/>
        <v>Interior Advanced</v>
      </c>
      <c r="G1301" s="2" t="str">
        <f t="shared" si="1213"/>
        <v/>
      </c>
      <c r="H1301" s="2" t="str">
        <f t="shared" si="1213"/>
        <v/>
      </c>
      <c r="I1301" s="2" t="str">
        <f t="shared" si="1213"/>
        <v/>
      </c>
      <c r="J1301" s="2" t="str">
        <f t="shared" si="1213"/>
        <v/>
      </c>
      <c r="K1301" s="2" t="str">
        <f t="shared" si="1213"/>
        <v/>
      </c>
      <c r="L1301" s="2" t="str">
        <f t="shared" si="1213"/>
        <v/>
      </c>
      <c r="M1301" s="180" t="str">
        <f t="shared" si="1213"/>
        <v/>
      </c>
      <c r="N1301" s="2" t="str">
        <f t="shared" si="1204"/>
        <v/>
      </c>
      <c r="O1301" s="2">
        <f t="shared" si="1213"/>
        <v>0</v>
      </c>
    </row>
    <row r="1302" spans="1:15" x14ac:dyDescent="0.25">
      <c r="A1302" s="325">
        <v>1</v>
      </c>
      <c r="B1302" s="325">
        <f>TrialNumberDay2</f>
        <v>0</v>
      </c>
      <c r="C1302" s="325" t="s">
        <v>19</v>
      </c>
      <c r="D1302" s="325">
        <f>Advanced!C95</f>
        <v>0</v>
      </c>
      <c r="E1302" s="325" t="str">
        <f>IF(Advanced!B95="W","W","A")</f>
        <v>A</v>
      </c>
      <c r="F1302" s="325" t="s">
        <v>1738</v>
      </c>
      <c r="G1302" s="325" t="str">
        <f>IF(Advanced!O95="e","Y","")</f>
        <v/>
      </c>
      <c r="H1302" s="325" t="str">
        <f>IFERROR(VLOOKUP($D1302,'SDDA Dogs'!$A:$AE,2,FALSE),"")</f>
        <v/>
      </c>
      <c r="I1302" s="325" t="str">
        <f>IFERROR(VLOOKUP($D1302,'SDDA Dogs'!$A:$AE,3,FALSE),"")</f>
        <v/>
      </c>
      <c r="J1302" s="325" t="str">
        <f>IFERROR(VLOOKUP($D1302,'SDDA Dogs'!$A:$AE,6,FALSE),"")</f>
        <v/>
      </c>
      <c r="K1302" s="325" t="str">
        <f>IF(Advanced!AS95="","",Advanced!AS95)</f>
        <v/>
      </c>
      <c r="L1302" s="325" t="str">
        <f>IF(Advanced!AT95="","",Advanced!AT95)</f>
        <v/>
      </c>
      <c r="M1302" s="326" t="str">
        <f>TrialDateDay2</f>
        <v/>
      </c>
      <c r="N1302" s="325" t="str">
        <f t="shared" si="1204"/>
        <v/>
      </c>
      <c r="O1302" s="325">
        <f>JudgeD2ISA</f>
        <v>0</v>
      </c>
    </row>
    <row r="1303" spans="1:15" x14ac:dyDescent="0.25">
      <c r="A1303" s="2">
        <v>2</v>
      </c>
      <c r="B1303" s="2">
        <f t="shared" ref="B1303:O1303" si="1214">B1302</f>
        <v>0</v>
      </c>
      <c r="C1303" s="2" t="str">
        <f t="shared" si="1214"/>
        <v>ISA</v>
      </c>
      <c r="D1303" s="2">
        <f t="shared" si="1214"/>
        <v>0</v>
      </c>
      <c r="E1303" s="2" t="str">
        <f t="shared" si="1214"/>
        <v>A</v>
      </c>
      <c r="F1303" s="2" t="str">
        <f t="shared" si="1214"/>
        <v>Interior Advanced</v>
      </c>
      <c r="G1303" s="2" t="str">
        <f t="shared" si="1214"/>
        <v/>
      </c>
      <c r="H1303" s="2" t="str">
        <f t="shared" si="1214"/>
        <v/>
      </c>
      <c r="I1303" s="2" t="str">
        <f t="shared" si="1214"/>
        <v/>
      </c>
      <c r="J1303" s="2" t="str">
        <f t="shared" si="1214"/>
        <v/>
      </c>
      <c r="K1303" s="2" t="str">
        <f t="shared" si="1214"/>
        <v/>
      </c>
      <c r="L1303" s="2" t="str">
        <f t="shared" si="1214"/>
        <v/>
      </c>
      <c r="M1303" s="180" t="str">
        <f t="shared" si="1214"/>
        <v/>
      </c>
      <c r="N1303" s="2" t="str">
        <f t="shared" si="1204"/>
        <v/>
      </c>
      <c r="O1303" s="2">
        <f t="shared" si="1214"/>
        <v>0</v>
      </c>
    </row>
    <row r="1304" spans="1:15" x14ac:dyDescent="0.25">
      <c r="A1304" s="325">
        <v>1</v>
      </c>
      <c r="B1304" s="325">
        <f>TrialNumberDay2</f>
        <v>0</v>
      </c>
      <c r="C1304" s="325" t="s">
        <v>19</v>
      </c>
      <c r="D1304" s="325">
        <f>Advanced!C96</f>
        <v>0</v>
      </c>
      <c r="E1304" s="325" t="str">
        <f>IF(Advanced!B96="W","W","A")</f>
        <v>A</v>
      </c>
      <c r="F1304" s="325" t="s">
        <v>1738</v>
      </c>
      <c r="G1304" s="325" t="str">
        <f>IF(Advanced!O96="e","Y","")</f>
        <v/>
      </c>
      <c r="H1304" s="325" t="str">
        <f>IFERROR(VLOOKUP($D1304,'SDDA Dogs'!$A:$AE,2,FALSE),"")</f>
        <v/>
      </c>
      <c r="I1304" s="325" t="str">
        <f>IFERROR(VLOOKUP($D1304,'SDDA Dogs'!$A:$AE,3,FALSE),"")</f>
        <v/>
      </c>
      <c r="J1304" s="325" t="str">
        <f>IFERROR(VLOOKUP($D1304,'SDDA Dogs'!$A:$AE,6,FALSE),"")</f>
        <v/>
      </c>
      <c r="K1304" s="325" t="str">
        <f>IF(Advanced!AS96="","",Advanced!AS96)</f>
        <v/>
      </c>
      <c r="L1304" s="325" t="str">
        <f>IF(Advanced!AT96="","",Advanced!AT96)</f>
        <v/>
      </c>
      <c r="M1304" s="326" t="str">
        <f>TrialDateDay2</f>
        <v/>
      </c>
      <c r="N1304" s="325" t="str">
        <f t="shared" si="1204"/>
        <v/>
      </c>
      <c r="O1304" s="325">
        <f>JudgeD2ISA</f>
        <v>0</v>
      </c>
    </row>
    <row r="1305" spans="1:15" x14ac:dyDescent="0.25">
      <c r="A1305" s="2">
        <v>2</v>
      </c>
      <c r="B1305" s="2">
        <f t="shared" ref="B1305:O1305" si="1215">B1304</f>
        <v>0</v>
      </c>
      <c r="C1305" s="2" t="str">
        <f t="shared" si="1215"/>
        <v>ISA</v>
      </c>
      <c r="D1305" s="2">
        <f t="shared" si="1215"/>
        <v>0</v>
      </c>
      <c r="E1305" s="2" t="str">
        <f t="shared" si="1215"/>
        <v>A</v>
      </c>
      <c r="F1305" s="2" t="str">
        <f t="shared" si="1215"/>
        <v>Interior Advanced</v>
      </c>
      <c r="G1305" s="2" t="str">
        <f t="shared" si="1215"/>
        <v/>
      </c>
      <c r="H1305" s="2" t="str">
        <f t="shared" si="1215"/>
        <v/>
      </c>
      <c r="I1305" s="2" t="str">
        <f t="shared" si="1215"/>
        <v/>
      </c>
      <c r="J1305" s="2" t="str">
        <f t="shared" si="1215"/>
        <v/>
      </c>
      <c r="K1305" s="2" t="str">
        <f t="shared" si="1215"/>
        <v/>
      </c>
      <c r="L1305" s="2" t="str">
        <f t="shared" si="1215"/>
        <v/>
      </c>
      <c r="M1305" s="180" t="str">
        <f t="shared" si="1215"/>
        <v/>
      </c>
      <c r="N1305" s="2" t="str">
        <f t="shared" si="1204"/>
        <v/>
      </c>
      <c r="O1305" s="2">
        <f t="shared" si="1215"/>
        <v>0</v>
      </c>
    </row>
    <row r="1306" spans="1:15" x14ac:dyDescent="0.25">
      <c r="A1306" s="325">
        <v>1</v>
      </c>
      <c r="B1306" s="325">
        <f>TrialNumberDay2</f>
        <v>0</v>
      </c>
      <c r="C1306" s="325" t="s">
        <v>19</v>
      </c>
      <c r="D1306" s="325">
        <f>Advanced!C97</f>
        <v>0</v>
      </c>
      <c r="E1306" s="325" t="str">
        <f>IF(Advanced!B97="W","W","A")</f>
        <v>A</v>
      </c>
      <c r="F1306" s="325" t="s">
        <v>1738</v>
      </c>
      <c r="G1306" s="325" t="str">
        <f>IF(Advanced!O97="e","Y","")</f>
        <v/>
      </c>
      <c r="H1306" s="325" t="str">
        <f>IFERROR(VLOOKUP($D1306,'SDDA Dogs'!$A:$AE,2,FALSE),"")</f>
        <v/>
      </c>
      <c r="I1306" s="325" t="str">
        <f>IFERROR(VLOOKUP($D1306,'SDDA Dogs'!$A:$AE,3,FALSE),"")</f>
        <v/>
      </c>
      <c r="J1306" s="325" t="str">
        <f>IFERROR(VLOOKUP($D1306,'SDDA Dogs'!$A:$AE,6,FALSE),"")</f>
        <v/>
      </c>
      <c r="K1306" s="325" t="str">
        <f>IF(Advanced!AS97="","",Advanced!AS97)</f>
        <v/>
      </c>
      <c r="L1306" s="325" t="str">
        <f>IF(Advanced!AT97="","",Advanced!AT97)</f>
        <v/>
      </c>
      <c r="M1306" s="326" t="str">
        <f>TrialDateDay2</f>
        <v/>
      </c>
      <c r="N1306" s="325" t="str">
        <f t="shared" si="1204"/>
        <v/>
      </c>
      <c r="O1306" s="325">
        <f>JudgeD2ISA</f>
        <v>0</v>
      </c>
    </row>
    <row r="1307" spans="1:15" x14ac:dyDescent="0.25">
      <c r="A1307" s="2">
        <v>2</v>
      </c>
      <c r="B1307" s="2">
        <f t="shared" ref="B1307:O1307" si="1216">B1306</f>
        <v>0</v>
      </c>
      <c r="C1307" s="2" t="str">
        <f t="shared" si="1216"/>
        <v>ISA</v>
      </c>
      <c r="D1307" s="2">
        <f t="shared" si="1216"/>
        <v>0</v>
      </c>
      <c r="E1307" s="2" t="str">
        <f t="shared" si="1216"/>
        <v>A</v>
      </c>
      <c r="F1307" s="2" t="str">
        <f t="shared" si="1216"/>
        <v>Interior Advanced</v>
      </c>
      <c r="G1307" s="2" t="str">
        <f t="shared" si="1216"/>
        <v/>
      </c>
      <c r="H1307" s="2" t="str">
        <f t="shared" si="1216"/>
        <v/>
      </c>
      <c r="I1307" s="2" t="str">
        <f t="shared" si="1216"/>
        <v/>
      </c>
      <c r="J1307" s="2" t="str">
        <f t="shared" si="1216"/>
        <v/>
      </c>
      <c r="K1307" s="2" t="str">
        <f t="shared" si="1216"/>
        <v/>
      </c>
      <c r="L1307" s="2" t="str">
        <f t="shared" si="1216"/>
        <v/>
      </c>
      <c r="M1307" s="180" t="str">
        <f t="shared" si="1216"/>
        <v/>
      </c>
      <c r="N1307" s="2" t="str">
        <f t="shared" si="1204"/>
        <v/>
      </c>
      <c r="O1307" s="2">
        <f t="shared" si="1216"/>
        <v>0</v>
      </c>
    </row>
    <row r="1308" spans="1:15" x14ac:dyDescent="0.25">
      <c r="A1308" s="325">
        <v>1</v>
      </c>
      <c r="B1308" s="325">
        <f>TrialNumberDay2</f>
        <v>0</v>
      </c>
      <c r="C1308" s="325" t="s">
        <v>19</v>
      </c>
      <c r="D1308" s="325">
        <f>Advanced!C98</f>
        <v>0</v>
      </c>
      <c r="E1308" s="325" t="str">
        <f>IF(Advanced!B98="W","W","A")</f>
        <v>A</v>
      </c>
      <c r="F1308" s="325" t="s">
        <v>1738</v>
      </c>
      <c r="G1308" s="325" t="str">
        <f>IF(Advanced!O98="e","Y","")</f>
        <v/>
      </c>
      <c r="H1308" s="325" t="str">
        <f>IFERROR(VLOOKUP($D1308,'SDDA Dogs'!$A:$AE,2,FALSE),"")</f>
        <v/>
      </c>
      <c r="I1308" s="325" t="str">
        <f>IFERROR(VLOOKUP($D1308,'SDDA Dogs'!$A:$AE,3,FALSE),"")</f>
        <v/>
      </c>
      <c r="J1308" s="325" t="str">
        <f>IFERROR(VLOOKUP($D1308,'SDDA Dogs'!$A:$AE,6,FALSE),"")</f>
        <v/>
      </c>
      <c r="K1308" s="325" t="str">
        <f>IF(Advanced!AS98="","",Advanced!AS98)</f>
        <v/>
      </c>
      <c r="L1308" s="325" t="str">
        <f>IF(Advanced!AT98="","",Advanced!AT98)</f>
        <v/>
      </c>
      <c r="M1308" s="326" t="str">
        <f>TrialDateDay2</f>
        <v/>
      </c>
      <c r="N1308" s="325" t="str">
        <f t="shared" si="1204"/>
        <v/>
      </c>
      <c r="O1308" s="325">
        <f>JudgeD2ISA</f>
        <v>0</v>
      </c>
    </row>
    <row r="1309" spans="1:15" x14ac:dyDescent="0.25">
      <c r="A1309" s="2">
        <v>2</v>
      </c>
      <c r="B1309" s="2">
        <f t="shared" ref="B1309:O1309" si="1217">B1308</f>
        <v>0</v>
      </c>
      <c r="C1309" s="2" t="str">
        <f t="shared" si="1217"/>
        <v>ISA</v>
      </c>
      <c r="D1309" s="2">
        <f t="shared" si="1217"/>
        <v>0</v>
      </c>
      <c r="E1309" s="2" t="str">
        <f t="shared" si="1217"/>
        <v>A</v>
      </c>
      <c r="F1309" s="2" t="str">
        <f t="shared" si="1217"/>
        <v>Interior Advanced</v>
      </c>
      <c r="G1309" s="2" t="str">
        <f t="shared" si="1217"/>
        <v/>
      </c>
      <c r="H1309" s="2" t="str">
        <f t="shared" si="1217"/>
        <v/>
      </c>
      <c r="I1309" s="2" t="str">
        <f t="shared" si="1217"/>
        <v/>
      </c>
      <c r="J1309" s="2" t="str">
        <f t="shared" si="1217"/>
        <v/>
      </c>
      <c r="K1309" s="2" t="str">
        <f t="shared" si="1217"/>
        <v/>
      </c>
      <c r="L1309" s="2" t="str">
        <f t="shared" si="1217"/>
        <v/>
      </c>
      <c r="M1309" s="180" t="str">
        <f t="shared" si="1217"/>
        <v/>
      </c>
      <c r="N1309" s="2" t="str">
        <f t="shared" si="1204"/>
        <v/>
      </c>
      <c r="O1309" s="2">
        <f t="shared" si="1217"/>
        <v>0</v>
      </c>
    </row>
    <row r="1310" spans="1:15" x14ac:dyDescent="0.25">
      <c r="A1310" s="325">
        <v>1</v>
      </c>
      <c r="B1310" s="325">
        <f>TrialNumberDay2</f>
        <v>0</v>
      </c>
      <c r="C1310" s="325" t="s">
        <v>19</v>
      </c>
      <c r="D1310" s="325">
        <f>Advanced!C99</f>
        <v>0</v>
      </c>
      <c r="E1310" s="325" t="str">
        <f>IF(Advanced!B99="W","W","A")</f>
        <v>A</v>
      </c>
      <c r="F1310" s="325" t="s">
        <v>1738</v>
      </c>
      <c r="G1310" s="325" t="str">
        <f>IF(Advanced!O99="e","Y","")</f>
        <v/>
      </c>
      <c r="H1310" s="325" t="str">
        <f>IFERROR(VLOOKUP($D1310,'SDDA Dogs'!$A:$AE,2,FALSE),"")</f>
        <v/>
      </c>
      <c r="I1310" s="325" t="str">
        <f>IFERROR(VLOOKUP($D1310,'SDDA Dogs'!$A:$AE,3,FALSE),"")</f>
        <v/>
      </c>
      <c r="J1310" s="325" t="str">
        <f>IFERROR(VLOOKUP($D1310,'SDDA Dogs'!$A:$AE,6,FALSE),"")</f>
        <v/>
      </c>
      <c r="K1310" s="325" t="str">
        <f>IF(Advanced!AS99="","",Advanced!AS99)</f>
        <v/>
      </c>
      <c r="L1310" s="325" t="str">
        <f>IF(Advanced!AT99="","",Advanced!AT99)</f>
        <v/>
      </c>
      <c r="M1310" s="326" t="str">
        <f>TrialDateDay2</f>
        <v/>
      </c>
      <c r="N1310" s="325" t="str">
        <f t="shared" si="1204"/>
        <v/>
      </c>
      <c r="O1310" s="325">
        <f>JudgeD2ISA</f>
        <v>0</v>
      </c>
    </row>
    <row r="1311" spans="1:15" x14ac:dyDescent="0.25">
      <c r="A1311" s="2">
        <v>2</v>
      </c>
      <c r="B1311" s="2">
        <f t="shared" ref="B1311:O1311" si="1218">B1310</f>
        <v>0</v>
      </c>
      <c r="C1311" s="2" t="str">
        <f t="shared" si="1218"/>
        <v>ISA</v>
      </c>
      <c r="D1311" s="2">
        <f t="shared" si="1218"/>
        <v>0</v>
      </c>
      <c r="E1311" s="2" t="str">
        <f t="shared" si="1218"/>
        <v>A</v>
      </c>
      <c r="F1311" s="2" t="str">
        <f t="shared" si="1218"/>
        <v>Interior Advanced</v>
      </c>
      <c r="G1311" s="2" t="str">
        <f t="shared" si="1218"/>
        <v/>
      </c>
      <c r="H1311" s="2" t="str">
        <f t="shared" si="1218"/>
        <v/>
      </c>
      <c r="I1311" s="2" t="str">
        <f t="shared" si="1218"/>
        <v/>
      </c>
      <c r="J1311" s="2" t="str">
        <f t="shared" si="1218"/>
        <v/>
      </c>
      <c r="K1311" s="2" t="str">
        <f t="shared" si="1218"/>
        <v/>
      </c>
      <c r="L1311" s="2" t="str">
        <f t="shared" si="1218"/>
        <v/>
      </c>
      <c r="M1311" s="180" t="str">
        <f t="shared" si="1218"/>
        <v/>
      </c>
      <c r="N1311" s="2" t="str">
        <f t="shared" si="1204"/>
        <v/>
      </c>
      <c r="O1311" s="2">
        <f t="shared" si="1218"/>
        <v>0</v>
      </c>
    </row>
    <row r="1312" spans="1:15" x14ac:dyDescent="0.25">
      <c r="A1312" s="325">
        <v>1</v>
      </c>
      <c r="B1312" s="325">
        <f>TrialNumberDay2</f>
        <v>0</v>
      </c>
      <c r="C1312" s="325" t="s">
        <v>19</v>
      </c>
      <c r="D1312" s="325">
        <f>Advanced!C100</f>
        <v>0</v>
      </c>
      <c r="E1312" s="325" t="str">
        <f>IF(Advanced!B100="W","W","A")</f>
        <v>A</v>
      </c>
      <c r="F1312" s="325" t="s">
        <v>1738</v>
      </c>
      <c r="G1312" s="325" t="str">
        <f>IF(Advanced!O100="e","Y","")</f>
        <v/>
      </c>
      <c r="H1312" s="325" t="str">
        <f>IFERROR(VLOOKUP($D1312,'SDDA Dogs'!$A:$AE,2,FALSE),"")</f>
        <v/>
      </c>
      <c r="I1312" s="325" t="str">
        <f>IFERROR(VLOOKUP($D1312,'SDDA Dogs'!$A:$AE,3,FALSE),"")</f>
        <v/>
      </c>
      <c r="J1312" s="325" t="str">
        <f>IFERROR(VLOOKUP($D1312,'SDDA Dogs'!$A:$AE,6,FALSE),"")</f>
        <v/>
      </c>
      <c r="K1312" s="325" t="str">
        <f>IF(Advanced!AS100="","",Advanced!AS100)</f>
        <v/>
      </c>
      <c r="L1312" s="325" t="str">
        <f>IF(Advanced!AT100="","",Advanced!AT100)</f>
        <v/>
      </c>
      <c r="M1312" s="326" t="str">
        <f>TrialDateDay2</f>
        <v/>
      </c>
      <c r="N1312" s="325" t="str">
        <f t="shared" si="1204"/>
        <v/>
      </c>
      <c r="O1312" s="325">
        <f>JudgeD2ISA</f>
        <v>0</v>
      </c>
    </row>
    <row r="1313" spans="1:15" x14ac:dyDescent="0.25">
      <c r="A1313" s="2">
        <v>2</v>
      </c>
      <c r="B1313" s="2">
        <f t="shared" ref="B1313:O1313" si="1219">B1312</f>
        <v>0</v>
      </c>
      <c r="C1313" s="2" t="str">
        <f t="shared" si="1219"/>
        <v>ISA</v>
      </c>
      <c r="D1313" s="2">
        <f t="shared" si="1219"/>
        <v>0</v>
      </c>
      <c r="E1313" s="2" t="str">
        <f t="shared" si="1219"/>
        <v>A</v>
      </c>
      <c r="F1313" s="2" t="str">
        <f t="shared" si="1219"/>
        <v>Interior Advanced</v>
      </c>
      <c r="G1313" s="2" t="str">
        <f t="shared" si="1219"/>
        <v/>
      </c>
      <c r="H1313" s="2" t="str">
        <f t="shared" si="1219"/>
        <v/>
      </c>
      <c r="I1313" s="2" t="str">
        <f t="shared" si="1219"/>
        <v/>
      </c>
      <c r="J1313" s="2" t="str">
        <f t="shared" si="1219"/>
        <v/>
      </c>
      <c r="K1313" s="2" t="str">
        <f t="shared" si="1219"/>
        <v/>
      </c>
      <c r="L1313" s="2" t="str">
        <f t="shared" si="1219"/>
        <v/>
      </c>
      <c r="M1313" s="180" t="str">
        <f t="shared" si="1219"/>
        <v/>
      </c>
      <c r="N1313" s="2" t="str">
        <f t="shared" si="1204"/>
        <v/>
      </c>
      <c r="O1313" s="2">
        <f t="shared" si="1219"/>
        <v>0</v>
      </c>
    </row>
    <row r="1314" spans="1:15" x14ac:dyDescent="0.25">
      <c r="A1314" s="325">
        <v>1</v>
      </c>
      <c r="B1314" s="325">
        <f>TrialNumberDay2</f>
        <v>0</v>
      </c>
      <c r="C1314" s="325" t="s">
        <v>19</v>
      </c>
      <c r="D1314" s="325">
        <f>Advanced!C101</f>
        <v>0</v>
      </c>
      <c r="E1314" s="325" t="str">
        <f>IF(Advanced!B101="W","W","A")</f>
        <v>A</v>
      </c>
      <c r="F1314" s="325" t="s">
        <v>1738</v>
      </c>
      <c r="G1314" s="325" t="str">
        <f>IF(Advanced!O101="e","Y","")</f>
        <v/>
      </c>
      <c r="H1314" s="325" t="str">
        <f>IFERROR(VLOOKUP($D1314,'SDDA Dogs'!$A:$AE,2,FALSE),"")</f>
        <v/>
      </c>
      <c r="I1314" s="325" t="str">
        <f>IFERROR(VLOOKUP($D1314,'SDDA Dogs'!$A:$AE,3,FALSE),"")</f>
        <v/>
      </c>
      <c r="J1314" s="325" t="str">
        <f>IFERROR(VLOOKUP($D1314,'SDDA Dogs'!$A:$AE,6,FALSE),"")</f>
        <v/>
      </c>
      <c r="K1314" s="325" t="str">
        <f>IF(Advanced!AS101="","",Advanced!AS101)</f>
        <v/>
      </c>
      <c r="L1314" s="325" t="str">
        <f>IF(Advanced!AT101="","",Advanced!AT101)</f>
        <v/>
      </c>
      <c r="M1314" s="326" t="str">
        <f>TrialDateDay2</f>
        <v/>
      </c>
      <c r="N1314" s="325" t="str">
        <f t="shared" si="1204"/>
        <v/>
      </c>
      <c r="O1314" s="325">
        <f>JudgeD2ISA</f>
        <v>0</v>
      </c>
    </row>
    <row r="1315" spans="1:15" x14ac:dyDescent="0.25">
      <c r="A1315" s="2">
        <v>2</v>
      </c>
      <c r="B1315" s="2">
        <f t="shared" ref="B1315:O1315" si="1220">B1314</f>
        <v>0</v>
      </c>
      <c r="C1315" s="2" t="str">
        <f t="shared" si="1220"/>
        <v>ISA</v>
      </c>
      <c r="D1315" s="2">
        <f t="shared" si="1220"/>
        <v>0</v>
      </c>
      <c r="E1315" s="2" t="str">
        <f t="shared" si="1220"/>
        <v>A</v>
      </c>
      <c r="F1315" s="2" t="str">
        <f t="shared" si="1220"/>
        <v>Interior Advanced</v>
      </c>
      <c r="G1315" s="2" t="str">
        <f t="shared" si="1220"/>
        <v/>
      </c>
      <c r="H1315" s="2" t="str">
        <f t="shared" si="1220"/>
        <v/>
      </c>
      <c r="I1315" s="2" t="str">
        <f t="shared" si="1220"/>
        <v/>
      </c>
      <c r="J1315" s="2" t="str">
        <f t="shared" si="1220"/>
        <v/>
      </c>
      <c r="K1315" s="2" t="str">
        <f t="shared" si="1220"/>
        <v/>
      </c>
      <c r="L1315" s="2" t="str">
        <f t="shared" si="1220"/>
        <v/>
      </c>
      <c r="M1315" s="180" t="str">
        <f t="shared" si="1220"/>
        <v/>
      </c>
      <c r="N1315" s="2" t="str">
        <f t="shared" si="1204"/>
        <v/>
      </c>
      <c r="O1315" s="2">
        <f t="shared" si="1220"/>
        <v>0</v>
      </c>
    </row>
    <row r="1316" spans="1:15" x14ac:dyDescent="0.25">
      <c r="A1316" s="325">
        <v>1</v>
      </c>
      <c r="B1316" s="325">
        <f>TrialNumberDay2</f>
        <v>0</v>
      </c>
      <c r="C1316" s="325" t="s">
        <v>19</v>
      </c>
      <c r="D1316" s="325">
        <f>Advanced!C102</f>
        <v>0</v>
      </c>
      <c r="E1316" s="325" t="str">
        <f>IF(Advanced!B102="W","W","A")</f>
        <v>A</v>
      </c>
      <c r="F1316" s="325" t="s">
        <v>1738</v>
      </c>
      <c r="G1316" s="325" t="str">
        <f>IF(Advanced!O102="e","Y","")</f>
        <v/>
      </c>
      <c r="H1316" s="325" t="str">
        <f>IFERROR(VLOOKUP($D1316,'SDDA Dogs'!$A:$AE,2,FALSE),"")</f>
        <v/>
      </c>
      <c r="I1316" s="325" t="str">
        <f>IFERROR(VLOOKUP($D1316,'SDDA Dogs'!$A:$AE,3,FALSE),"")</f>
        <v/>
      </c>
      <c r="J1316" s="325" t="str">
        <f>IFERROR(VLOOKUP($D1316,'SDDA Dogs'!$A:$AE,6,FALSE),"")</f>
        <v/>
      </c>
      <c r="K1316" s="325" t="str">
        <f>IF(Advanced!AS102="","",Advanced!AS102)</f>
        <v/>
      </c>
      <c r="L1316" s="325" t="str">
        <f>IF(Advanced!AT102="","",Advanced!AT102)</f>
        <v/>
      </c>
      <c r="M1316" s="326" t="str">
        <f>TrialDateDay2</f>
        <v/>
      </c>
      <c r="N1316" s="325" t="str">
        <f t="shared" si="1204"/>
        <v/>
      </c>
      <c r="O1316" s="325">
        <f>JudgeD2ISA</f>
        <v>0</v>
      </c>
    </row>
    <row r="1317" spans="1:15" x14ac:dyDescent="0.25">
      <c r="A1317" s="2">
        <v>2</v>
      </c>
      <c r="B1317" s="2">
        <f t="shared" ref="B1317:O1317" si="1221">B1316</f>
        <v>0</v>
      </c>
      <c r="C1317" s="2" t="str">
        <f t="shared" si="1221"/>
        <v>ISA</v>
      </c>
      <c r="D1317" s="2">
        <f t="shared" si="1221"/>
        <v>0</v>
      </c>
      <c r="E1317" s="2" t="str">
        <f t="shared" si="1221"/>
        <v>A</v>
      </c>
      <c r="F1317" s="2" t="str">
        <f t="shared" si="1221"/>
        <v>Interior Advanced</v>
      </c>
      <c r="G1317" s="2" t="str">
        <f t="shared" si="1221"/>
        <v/>
      </c>
      <c r="H1317" s="2" t="str">
        <f t="shared" si="1221"/>
        <v/>
      </c>
      <c r="I1317" s="2" t="str">
        <f t="shared" si="1221"/>
        <v/>
      </c>
      <c r="J1317" s="2" t="str">
        <f t="shared" si="1221"/>
        <v/>
      </c>
      <c r="K1317" s="2" t="str">
        <f t="shared" si="1221"/>
        <v/>
      </c>
      <c r="L1317" s="2" t="str">
        <f t="shared" si="1221"/>
        <v/>
      </c>
      <c r="M1317" s="180" t="str">
        <f t="shared" si="1221"/>
        <v/>
      </c>
      <c r="N1317" s="2" t="str">
        <f t="shared" si="1204"/>
        <v/>
      </c>
      <c r="O1317" s="2">
        <f t="shared" si="1221"/>
        <v>0</v>
      </c>
    </row>
    <row r="1318" spans="1:15" x14ac:dyDescent="0.25">
      <c r="A1318" s="325">
        <v>1</v>
      </c>
      <c r="B1318" s="325">
        <f>TrialNumberDay2</f>
        <v>0</v>
      </c>
      <c r="C1318" s="325" t="s">
        <v>19</v>
      </c>
      <c r="D1318" s="325">
        <f>Advanced!C103</f>
        <v>0</v>
      </c>
      <c r="E1318" s="325" t="str">
        <f>IF(Advanced!B103="W","W","A")</f>
        <v>A</v>
      </c>
      <c r="F1318" s="325" t="s">
        <v>1738</v>
      </c>
      <c r="G1318" s="325" t="str">
        <f>IF(Advanced!O103="e","Y","")</f>
        <v/>
      </c>
      <c r="H1318" s="325" t="str">
        <f>IFERROR(VLOOKUP($D1318,'SDDA Dogs'!$A:$AE,2,FALSE),"")</f>
        <v/>
      </c>
      <c r="I1318" s="325" t="str">
        <f>IFERROR(VLOOKUP($D1318,'SDDA Dogs'!$A:$AE,3,FALSE),"")</f>
        <v/>
      </c>
      <c r="J1318" s="325" t="str">
        <f>IFERROR(VLOOKUP($D1318,'SDDA Dogs'!$A:$AE,6,FALSE),"")</f>
        <v/>
      </c>
      <c r="K1318" s="325" t="str">
        <f>IF(Advanced!AS103="","",Advanced!AS103)</f>
        <v/>
      </c>
      <c r="L1318" s="325" t="str">
        <f>IF(Advanced!AT103="","",Advanced!AT103)</f>
        <v/>
      </c>
      <c r="M1318" s="326" t="str">
        <f>TrialDateDay2</f>
        <v/>
      </c>
      <c r="N1318" s="325" t="str">
        <f t="shared" si="1204"/>
        <v/>
      </c>
      <c r="O1318" s="325">
        <f>JudgeD2ISA</f>
        <v>0</v>
      </c>
    </row>
    <row r="1319" spans="1:15" x14ac:dyDescent="0.25">
      <c r="A1319" s="2">
        <v>2</v>
      </c>
      <c r="B1319" s="2">
        <f t="shared" ref="B1319:O1319" si="1222">B1318</f>
        <v>0</v>
      </c>
      <c r="C1319" s="2" t="str">
        <f t="shared" si="1222"/>
        <v>ISA</v>
      </c>
      <c r="D1319" s="2">
        <f t="shared" si="1222"/>
        <v>0</v>
      </c>
      <c r="E1319" s="2" t="str">
        <f t="shared" si="1222"/>
        <v>A</v>
      </c>
      <c r="F1319" s="2" t="str">
        <f t="shared" si="1222"/>
        <v>Interior Advanced</v>
      </c>
      <c r="G1319" s="2" t="str">
        <f t="shared" si="1222"/>
        <v/>
      </c>
      <c r="H1319" s="2" t="str">
        <f t="shared" si="1222"/>
        <v/>
      </c>
      <c r="I1319" s="2" t="str">
        <f t="shared" si="1222"/>
        <v/>
      </c>
      <c r="J1319" s="2" t="str">
        <f t="shared" si="1222"/>
        <v/>
      </c>
      <c r="K1319" s="2" t="str">
        <f t="shared" si="1222"/>
        <v/>
      </c>
      <c r="L1319" s="2" t="str">
        <f t="shared" si="1222"/>
        <v/>
      </c>
      <c r="M1319" s="180" t="str">
        <f t="shared" si="1222"/>
        <v/>
      </c>
      <c r="N1319" s="2" t="str">
        <f t="shared" si="1204"/>
        <v/>
      </c>
      <c r="O1319" s="2">
        <f t="shared" si="1222"/>
        <v>0</v>
      </c>
    </row>
    <row r="1320" spans="1:15" x14ac:dyDescent="0.25">
      <c r="A1320" s="325">
        <v>1</v>
      </c>
      <c r="B1320" s="325">
        <f>TrialNumberDay2</f>
        <v>0</v>
      </c>
      <c r="C1320" s="325" t="s">
        <v>19</v>
      </c>
      <c r="D1320" s="325">
        <f>Advanced!C104</f>
        <v>0</v>
      </c>
      <c r="E1320" s="325" t="str">
        <f>IF(Advanced!B104="W","W","A")</f>
        <v>A</v>
      </c>
      <c r="F1320" s="325" t="s">
        <v>1738</v>
      </c>
      <c r="G1320" s="325" t="str">
        <f>IF(Advanced!O104="e","Y","")</f>
        <v/>
      </c>
      <c r="H1320" s="325" t="str">
        <f>IFERROR(VLOOKUP($D1320,'SDDA Dogs'!$A:$AE,2,FALSE),"")</f>
        <v/>
      </c>
      <c r="I1320" s="325" t="str">
        <f>IFERROR(VLOOKUP($D1320,'SDDA Dogs'!$A:$AE,3,FALSE),"")</f>
        <v/>
      </c>
      <c r="J1320" s="325" t="str">
        <f>IFERROR(VLOOKUP($D1320,'SDDA Dogs'!$A:$AE,6,FALSE),"")</f>
        <v/>
      </c>
      <c r="K1320" s="325" t="str">
        <f>IF(Advanced!AS104="","",Advanced!AS104)</f>
        <v/>
      </c>
      <c r="L1320" s="325" t="str">
        <f>IF(Advanced!AT104="","",Advanced!AT104)</f>
        <v/>
      </c>
      <c r="M1320" s="326" t="str">
        <f>TrialDateDay2</f>
        <v/>
      </c>
      <c r="N1320" s="325" t="str">
        <f t="shared" si="1204"/>
        <v/>
      </c>
      <c r="O1320" s="325">
        <f>JudgeD2ISA</f>
        <v>0</v>
      </c>
    </row>
    <row r="1321" spans="1:15" x14ac:dyDescent="0.25">
      <c r="A1321" s="2">
        <v>2</v>
      </c>
      <c r="B1321" s="2">
        <f t="shared" ref="B1321:O1321" si="1223">B1320</f>
        <v>0</v>
      </c>
      <c r="C1321" s="2" t="str">
        <f t="shared" si="1223"/>
        <v>ISA</v>
      </c>
      <c r="D1321" s="2">
        <f t="shared" si="1223"/>
        <v>0</v>
      </c>
      <c r="E1321" s="2" t="str">
        <f t="shared" si="1223"/>
        <v>A</v>
      </c>
      <c r="F1321" s="2" t="str">
        <f t="shared" si="1223"/>
        <v>Interior Advanced</v>
      </c>
      <c r="G1321" s="2" t="str">
        <f t="shared" si="1223"/>
        <v/>
      </c>
      <c r="H1321" s="2" t="str">
        <f t="shared" si="1223"/>
        <v/>
      </c>
      <c r="I1321" s="2" t="str">
        <f t="shared" si="1223"/>
        <v/>
      </c>
      <c r="J1321" s="2" t="str">
        <f t="shared" si="1223"/>
        <v/>
      </c>
      <c r="K1321" s="2" t="str">
        <f t="shared" si="1223"/>
        <v/>
      </c>
      <c r="L1321" s="2" t="str">
        <f t="shared" si="1223"/>
        <v/>
      </c>
      <c r="M1321" s="180" t="str">
        <f t="shared" si="1223"/>
        <v/>
      </c>
      <c r="N1321" s="2" t="str">
        <f t="shared" si="1204"/>
        <v/>
      </c>
      <c r="O1321" s="2">
        <f t="shared" si="1223"/>
        <v>0</v>
      </c>
    </row>
    <row r="1322" spans="1:15" x14ac:dyDescent="0.25">
      <c r="A1322" s="325">
        <v>1</v>
      </c>
      <c r="B1322" s="325">
        <f>TrialNumberDay2</f>
        <v>0</v>
      </c>
      <c r="C1322" s="325" t="s">
        <v>19</v>
      </c>
      <c r="D1322" s="325">
        <f>Advanced!C105</f>
        <v>0</v>
      </c>
      <c r="E1322" s="325" t="str">
        <f>IF(Advanced!B105="W","W","A")</f>
        <v>A</v>
      </c>
      <c r="F1322" s="325" t="s">
        <v>1738</v>
      </c>
      <c r="G1322" s="325" t="str">
        <f>IF(Advanced!O105="e","Y","")</f>
        <v/>
      </c>
      <c r="H1322" s="325" t="str">
        <f>IFERROR(VLOOKUP($D1322,'SDDA Dogs'!$A:$AE,2,FALSE),"")</f>
        <v/>
      </c>
      <c r="I1322" s="325" t="str">
        <f>IFERROR(VLOOKUP($D1322,'SDDA Dogs'!$A:$AE,3,FALSE),"")</f>
        <v/>
      </c>
      <c r="J1322" s="325" t="str">
        <f>IFERROR(VLOOKUP($D1322,'SDDA Dogs'!$A:$AE,6,FALSE),"")</f>
        <v/>
      </c>
      <c r="K1322" s="325" t="str">
        <f>IF(Advanced!AS105="","",Advanced!AS105)</f>
        <v/>
      </c>
      <c r="L1322" s="325" t="str">
        <f>IF(Advanced!AT105="","",Advanced!AT105)</f>
        <v/>
      </c>
      <c r="M1322" s="326" t="str">
        <f>TrialDateDay2</f>
        <v/>
      </c>
      <c r="N1322" s="325" t="str">
        <f t="shared" si="1204"/>
        <v/>
      </c>
      <c r="O1322" s="325">
        <f>JudgeD2ISA</f>
        <v>0</v>
      </c>
    </row>
    <row r="1323" spans="1:15" x14ac:dyDescent="0.25">
      <c r="A1323" s="2">
        <v>2</v>
      </c>
      <c r="B1323" s="2">
        <f t="shared" ref="B1323:O1323" si="1224">B1322</f>
        <v>0</v>
      </c>
      <c r="C1323" s="2" t="str">
        <f t="shared" si="1224"/>
        <v>ISA</v>
      </c>
      <c r="D1323" s="2">
        <f t="shared" si="1224"/>
        <v>0</v>
      </c>
      <c r="E1323" s="2" t="str">
        <f t="shared" si="1224"/>
        <v>A</v>
      </c>
      <c r="F1323" s="2" t="str">
        <f t="shared" si="1224"/>
        <v>Interior Advanced</v>
      </c>
      <c r="G1323" s="2" t="str">
        <f t="shared" si="1224"/>
        <v/>
      </c>
      <c r="H1323" s="2" t="str">
        <f t="shared" si="1224"/>
        <v/>
      </c>
      <c r="I1323" s="2" t="str">
        <f t="shared" si="1224"/>
        <v/>
      </c>
      <c r="J1323" s="2" t="str">
        <f t="shared" si="1224"/>
        <v/>
      </c>
      <c r="K1323" s="2" t="str">
        <f t="shared" si="1224"/>
        <v/>
      </c>
      <c r="L1323" s="2" t="str">
        <f t="shared" si="1224"/>
        <v/>
      </c>
      <c r="M1323" s="180" t="str">
        <f t="shared" si="1224"/>
        <v/>
      </c>
      <c r="N1323" s="2" t="str">
        <f t="shared" si="1204"/>
        <v/>
      </c>
      <c r="O1323" s="2">
        <f t="shared" si="1224"/>
        <v>0</v>
      </c>
    </row>
    <row r="1324" spans="1:15" x14ac:dyDescent="0.25">
      <c r="A1324" s="325">
        <v>1</v>
      </c>
      <c r="B1324" s="325">
        <f>TrialNumberDay2</f>
        <v>0</v>
      </c>
      <c r="C1324" s="325" t="s">
        <v>19</v>
      </c>
      <c r="D1324" s="325">
        <f>Advanced!C106</f>
        <v>0</v>
      </c>
      <c r="E1324" s="325" t="str">
        <f>IF(Advanced!B106="W","W","A")</f>
        <v>A</v>
      </c>
      <c r="F1324" s="325" t="s">
        <v>1738</v>
      </c>
      <c r="G1324" s="325" t="str">
        <f>IF(Advanced!O106="e","Y","")</f>
        <v/>
      </c>
      <c r="H1324" s="325" t="str">
        <f>IFERROR(VLOOKUP($D1324,'SDDA Dogs'!$A:$AE,2,FALSE),"")</f>
        <v/>
      </c>
      <c r="I1324" s="325" t="str">
        <f>IFERROR(VLOOKUP($D1324,'SDDA Dogs'!$A:$AE,3,FALSE),"")</f>
        <v/>
      </c>
      <c r="J1324" s="325" t="str">
        <f>IFERROR(VLOOKUP($D1324,'SDDA Dogs'!$A:$AE,6,FALSE),"")</f>
        <v/>
      </c>
      <c r="K1324" s="325" t="str">
        <f>IF(Advanced!AS106="","",Advanced!AS106)</f>
        <v/>
      </c>
      <c r="L1324" s="325" t="str">
        <f>IF(Advanced!AT106="","",Advanced!AT106)</f>
        <v/>
      </c>
      <c r="M1324" s="326" t="str">
        <f>TrialDateDay2</f>
        <v/>
      </c>
      <c r="N1324" s="325" t="str">
        <f t="shared" si="1204"/>
        <v/>
      </c>
      <c r="O1324" s="325">
        <f>JudgeD2ISA</f>
        <v>0</v>
      </c>
    </row>
    <row r="1325" spans="1:15" x14ac:dyDescent="0.25">
      <c r="A1325" s="2">
        <v>2</v>
      </c>
      <c r="B1325" s="2">
        <f t="shared" ref="B1325:O1325" si="1225">B1324</f>
        <v>0</v>
      </c>
      <c r="C1325" s="2" t="str">
        <f t="shared" si="1225"/>
        <v>ISA</v>
      </c>
      <c r="D1325" s="2">
        <f t="shared" si="1225"/>
        <v>0</v>
      </c>
      <c r="E1325" s="2" t="str">
        <f t="shared" si="1225"/>
        <v>A</v>
      </c>
      <c r="F1325" s="2" t="str">
        <f t="shared" si="1225"/>
        <v>Interior Advanced</v>
      </c>
      <c r="G1325" s="2" t="str">
        <f t="shared" si="1225"/>
        <v/>
      </c>
      <c r="H1325" s="2" t="str">
        <f t="shared" si="1225"/>
        <v/>
      </c>
      <c r="I1325" s="2" t="str">
        <f t="shared" si="1225"/>
        <v/>
      </c>
      <c r="J1325" s="2" t="str">
        <f t="shared" si="1225"/>
        <v/>
      </c>
      <c r="K1325" s="2" t="str">
        <f t="shared" si="1225"/>
        <v/>
      </c>
      <c r="L1325" s="2" t="str">
        <f t="shared" si="1225"/>
        <v/>
      </c>
      <c r="M1325" s="180" t="str">
        <f t="shared" si="1225"/>
        <v/>
      </c>
      <c r="N1325" s="2" t="str">
        <f t="shared" si="1204"/>
        <v/>
      </c>
      <c r="O1325" s="2">
        <f t="shared" si="1225"/>
        <v>0</v>
      </c>
    </row>
    <row r="1326" spans="1:15" x14ac:dyDescent="0.25">
      <c r="A1326" s="325">
        <v>1</v>
      </c>
      <c r="B1326" s="325">
        <f>TrialNumberDay2</f>
        <v>0</v>
      </c>
      <c r="C1326" s="325" t="s">
        <v>19</v>
      </c>
      <c r="D1326" s="325">
        <f>Advanced!C107</f>
        <v>0</v>
      </c>
      <c r="E1326" s="325" t="str">
        <f>IF(Advanced!B107="W","W","A")</f>
        <v>A</v>
      </c>
      <c r="F1326" s="325" t="s">
        <v>1738</v>
      </c>
      <c r="G1326" s="325" t="str">
        <f>IF(Advanced!O107="e","Y","")</f>
        <v/>
      </c>
      <c r="H1326" s="325" t="str">
        <f>IFERROR(VLOOKUP($D1326,'SDDA Dogs'!$A:$AE,2,FALSE),"")</f>
        <v/>
      </c>
      <c r="I1326" s="325" t="str">
        <f>IFERROR(VLOOKUP($D1326,'SDDA Dogs'!$A:$AE,3,FALSE),"")</f>
        <v/>
      </c>
      <c r="J1326" s="325" t="str">
        <f>IFERROR(VLOOKUP($D1326,'SDDA Dogs'!$A:$AE,6,FALSE),"")</f>
        <v/>
      </c>
      <c r="K1326" s="325" t="str">
        <f>IF(Advanced!AS107="","",Advanced!AS107)</f>
        <v/>
      </c>
      <c r="L1326" s="325" t="str">
        <f>IF(Advanced!AT107="","",Advanced!AT107)</f>
        <v/>
      </c>
      <c r="M1326" s="326" t="str">
        <f>TrialDateDay2</f>
        <v/>
      </c>
      <c r="N1326" s="325" t="str">
        <f t="shared" si="1204"/>
        <v/>
      </c>
      <c r="O1326" s="325">
        <f>JudgeD2ISA</f>
        <v>0</v>
      </c>
    </row>
    <row r="1327" spans="1:15" x14ac:dyDescent="0.25">
      <c r="A1327" s="2">
        <v>2</v>
      </c>
      <c r="B1327" s="2">
        <f t="shared" ref="B1327:O1327" si="1226">B1326</f>
        <v>0</v>
      </c>
      <c r="C1327" s="2" t="str">
        <f t="shared" si="1226"/>
        <v>ISA</v>
      </c>
      <c r="D1327" s="2">
        <f t="shared" si="1226"/>
        <v>0</v>
      </c>
      <c r="E1327" s="2" t="str">
        <f t="shared" si="1226"/>
        <v>A</v>
      </c>
      <c r="F1327" s="2" t="str">
        <f t="shared" si="1226"/>
        <v>Interior Advanced</v>
      </c>
      <c r="G1327" s="2" t="str">
        <f t="shared" si="1226"/>
        <v/>
      </c>
      <c r="H1327" s="2" t="str">
        <f t="shared" si="1226"/>
        <v/>
      </c>
      <c r="I1327" s="2" t="str">
        <f t="shared" si="1226"/>
        <v/>
      </c>
      <c r="J1327" s="2" t="str">
        <f t="shared" si="1226"/>
        <v/>
      </c>
      <c r="K1327" s="2" t="str">
        <f t="shared" si="1226"/>
        <v/>
      </c>
      <c r="L1327" s="2" t="str">
        <f t="shared" si="1226"/>
        <v/>
      </c>
      <c r="M1327" s="180" t="str">
        <f t="shared" si="1226"/>
        <v/>
      </c>
      <c r="N1327" s="2" t="str">
        <f t="shared" si="1204"/>
        <v/>
      </c>
      <c r="O1327" s="2">
        <f t="shared" si="1226"/>
        <v>0</v>
      </c>
    </row>
    <row r="1328" spans="1:15" x14ac:dyDescent="0.25">
      <c r="A1328" s="325">
        <v>1</v>
      </c>
      <c r="B1328" s="325">
        <f>TrialNumberDay2</f>
        <v>0</v>
      </c>
      <c r="C1328" s="325" t="s">
        <v>19</v>
      </c>
      <c r="D1328" s="325">
        <f>Advanced!C108</f>
        <v>0</v>
      </c>
      <c r="E1328" s="325" t="str">
        <f>IF(Advanced!B108="W","W","A")</f>
        <v>A</v>
      </c>
      <c r="F1328" s="325" t="s">
        <v>1738</v>
      </c>
      <c r="G1328" s="325" t="str">
        <f>IF(Advanced!O108="e","Y","")</f>
        <v/>
      </c>
      <c r="H1328" s="325" t="str">
        <f>IFERROR(VLOOKUP($D1328,'SDDA Dogs'!$A:$AE,2,FALSE),"")</f>
        <v/>
      </c>
      <c r="I1328" s="325" t="str">
        <f>IFERROR(VLOOKUP($D1328,'SDDA Dogs'!$A:$AE,3,FALSE),"")</f>
        <v/>
      </c>
      <c r="J1328" s="325" t="str">
        <f>IFERROR(VLOOKUP($D1328,'SDDA Dogs'!$A:$AE,6,FALSE),"")</f>
        <v/>
      </c>
      <c r="K1328" s="325" t="str">
        <f>IF(Advanced!AS108="","",Advanced!AS108)</f>
        <v/>
      </c>
      <c r="L1328" s="325" t="str">
        <f>IF(Advanced!AT108="","",Advanced!AT108)</f>
        <v/>
      </c>
      <c r="M1328" s="326" t="str">
        <f>TrialDateDay2</f>
        <v/>
      </c>
      <c r="N1328" s="325" t="str">
        <f t="shared" si="1204"/>
        <v/>
      </c>
      <c r="O1328" s="325">
        <f>JudgeD2ISA</f>
        <v>0</v>
      </c>
    </row>
    <row r="1329" spans="1:15" x14ac:dyDescent="0.25">
      <c r="A1329" s="2">
        <v>2</v>
      </c>
      <c r="B1329" s="2">
        <f t="shared" ref="B1329:O1329" si="1227">B1328</f>
        <v>0</v>
      </c>
      <c r="C1329" s="2" t="str">
        <f t="shared" si="1227"/>
        <v>ISA</v>
      </c>
      <c r="D1329" s="2">
        <f t="shared" si="1227"/>
        <v>0</v>
      </c>
      <c r="E1329" s="2" t="str">
        <f t="shared" si="1227"/>
        <v>A</v>
      </c>
      <c r="F1329" s="2" t="str">
        <f t="shared" si="1227"/>
        <v>Interior Advanced</v>
      </c>
      <c r="G1329" s="2" t="str">
        <f t="shared" si="1227"/>
        <v/>
      </c>
      <c r="H1329" s="2" t="str">
        <f t="shared" si="1227"/>
        <v/>
      </c>
      <c r="I1329" s="2" t="str">
        <f t="shared" si="1227"/>
        <v/>
      </c>
      <c r="J1329" s="2" t="str">
        <f t="shared" si="1227"/>
        <v/>
      </c>
      <c r="K1329" s="2" t="str">
        <f t="shared" si="1227"/>
        <v/>
      </c>
      <c r="L1329" s="2" t="str">
        <f t="shared" si="1227"/>
        <v/>
      </c>
      <c r="M1329" s="180" t="str">
        <f t="shared" si="1227"/>
        <v/>
      </c>
      <c r="N1329" s="2" t="str">
        <f t="shared" si="1204"/>
        <v/>
      </c>
      <c r="O1329" s="2">
        <f t="shared" si="1227"/>
        <v>0</v>
      </c>
    </row>
    <row r="1330" spans="1:15" x14ac:dyDescent="0.25">
      <c r="A1330" s="325">
        <v>1</v>
      </c>
      <c r="B1330" s="325">
        <f>TrialNumberDay2</f>
        <v>0</v>
      </c>
      <c r="C1330" s="325" t="s">
        <v>19</v>
      </c>
      <c r="D1330" s="325">
        <f>Advanced!C109</f>
        <v>0</v>
      </c>
      <c r="E1330" s="325" t="str">
        <f>IF(Advanced!B109="W","W","A")</f>
        <v>A</v>
      </c>
      <c r="F1330" s="325" t="s">
        <v>1738</v>
      </c>
      <c r="G1330" s="325" t="str">
        <f>IF(Advanced!O109="e","Y","")</f>
        <v/>
      </c>
      <c r="H1330" s="325" t="str">
        <f>IFERROR(VLOOKUP($D1330,'SDDA Dogs'!$A:$AE,2,FALSE),"")</f>
        <v/>
      </c>
      <c r="I1330" s="325" t="str">
        <f>IFERROR(VLOOKUP($D1330,'SDDA Dogs'!$A:$AE,3,FALSE),"")</f>
        <v/>
      </c>
      <c r="J1330" s="325" t="str">
        <f>IFERROR(VLOOKUP($D1330,'SDDA Dogs'!$A:$AE,6,FALSE),"")</f>
        <v/>
      </c>
      <c r="K1330" s="325" t="str">
        <f>IF(Advanced!AS109="","",Advanced!AS109)</f>
        <v/>
      </c>
      <c r="L1330" s="325" t="str">
        <f>IF(Advanced!AT109="","",Advanced!AT109)</f>
        <v/>
      </c>
      <c r="M1330" s="326" t="str">
        <f>TrialDateDay2</f>
        <v/>
      </c>
      <c r="N1330" s="325" t="str">
        <f t="shared" si="1204"/>
        <v/>
      </c>
      <c r="O1330" s="325">
        <f>JudgeD2ISA</f>
        <v>0</v>
      </c>
    </row>
    <row r="1331" spans="1:15" x14ac:dyDescent="0.25">
      <c r="A1331" s="2">
        <v>2</v>
      </c>
      <c r="B1331" s="2">
        <f t="shared" ref="B1331:O1331" si="1228">B1330</f>
        <v>0</v>
      </c>
      <c r="C1331" s="2" t="str">
        <f t="shared" si="1228"/>
        <v>ISA</v>
      </c>
      <c r="D1331" s="2">
        <f t="shared" si="1228"/>
        <v>0</v>
      </c>
      <c r="E1331" s="2" t="str">
        <f t="shared" si="1228"/>
        <v>A</v>
      </c>
      <c r="F1331" s="2" t="str">
        <f t="shared" si="1228"/>
        <v>Interior Advanced</v>
      </c>
      <c r="G1331" s="2" t="str">
        <f t="shared" si="1228"/>
        <v/>
      </c>
      <c r="H1331" s="2" t="str">
        <f t="shared" si="1228"/>
        <v/>
      </c>
      <c r="I1331" s="2" t="str">
        <f t="shared" si="1228"/>
        <v/>
      </c>
      <c r="J1331" s="2" t="str">
        <f t="shared" si="1228"/>
        <v/>
      </c>
      <c r="K1331" s="2" t="str">
        <f t="shared" si="1228"/>
        <v/>
      </c>
      <c r="L1331" s="2" t="str">
        <f t="shared" si="1228"/>
        <v/>
      </c>
      <c r="M1331" s="180" t="str">
        <f t="shared" si="1228"/>
        <v/>
      </c>
      <c r="N1331" s="2" t="str">
        <f t="shared" si="1204"/>
        <v/>
      </c>
      <c r="O1331" s="2">
        <f t="shared" si="1228"/>
        <v>0</v>
      </c>
    </row>
    <row r="1332" spans="1:15" x14ac:dyDescent="0.25">
      <c r="A1332" s="325">
        <v>1</v>
      </c>
      <c r="B1332" s="325">
        <f>TrialNumberDay2</f>
        <v>0</v>
      </c>
      <c r="C1332" s="325" t="s">
        <v>19</v>
      </c>
      <c r="D1332" s="325">
        <f>Advanced!C110</f>
        <v>0</v>
      </c>
      <c r="E1332" s="325" t="str">
        <f>IF(Advanced!B110="W","W","A")</f>
        <v>A</v>
      </c>
      <c r="F1332" s="325" t="s">
        <v>1738</v>
      </c>
      <c r="G1332" s="325" t="str">
        <f>IF(Advanced!O110="e","Y","")</f>
        <v/>
      </c>
      <c r="H1332" s="325" t="str">
        <f>IFERROR(VLOOKUP($D1332,'SDDA Dogs'!$A:$AE,2,FALSE),"")</f>
        <v/>
      </c>
      <c r="I1332" s="325" t="str">
        <f>IFERROR(VLOOKUP($D1332,'SDDA Dogs'!$A:$AE,3,FALSE),"")</f>
        <v/>
      </c>
      <c r="J1332" s="325" t="str">
        <f>IFERROR(VLOOKUP($D1332,'SDDA Dogs'!$A:$AE,6,FALSE),"")</f>
        <v/>
      </c>
      <c r="K1332" s="325" t="str">
        <f>IF(Advanced!AS110="","",Advanced!AS110)</f>
        <v/>
      </c>
      <c r="L1332" s="325" t="str">
        <f>IF(Advanced!AT110="","",Advanced!AT110)</f>
        <v/>
      </c>
      <c r="M1332" s="326" t="str">
        <f>TrialDateDay2</f>
        <v/>
      </c>
      <c r="N1332" s="325" t="str">
        <f t="shared" si="1204"/>
        <v/>
      </c>
      <c r="O1332" s="325">
        <f>JudgeD2ISA</f>
        <v>0</v>
      </c>
    </row>
    <row r="1333" spans="1:15" x14ac:dyDescent="0.25">
      <c r="A1333" s="2">
        <v>2</v>
      </c>
      <c r="B1333" s="2">
        <f t="shared" ref="B1333:O1333" si="1229">B1332</f>
        <v>0</v>
      </c>
      <c r="C1333" s="2" t="str">
        <f t="shared" si="1229"/>
        <v>ISA</v>
      </c>
      <c r="D1333" s="2">
        <f t="shared" si="1229"/>
        <v>0</v>
      </c>
      <c r="E1333" s="2" t="str">
        <f t="shared" si="1229"/>
        <v>A</v>
      </c>
      <c r="F1333" s="2" t="str">
        <f t="shared" si="1229"/>
        <v>Interior Advanced</v>
      </c>
      <c r="G1333" s="2" t="str">
        <f t="shared" si="1229"/>
        <v/>
      </c>
      <c r="H1333" s="2" t="str">
        <f t="shared" si="1229"/>
        <v/>
      </c>
      <c r="I1333" s="2" t="str">
        <f t="shared" si="1229"/>
        <v/>
      </c>
      <c r="J1333" s="2" t="str">
        <f t="shared" si="1229"/>
        <v/>
      </c>
      <c r="K1333" s="2" t="str">
        <f t="shared" si="1229"/>
        <v/>
      </c>
      <c r="L1333" s="2" t="str">
        <f t="shared" si="1229"/>
        <v/>
      </c>
      <c r="M1333" s="180" t="str">
        <f t="shared" si="1229"/>
        <v/>
      </c>
      <c r="N1333" s="2" t="str">
        <f t="shared" si="1204"/>
        <v/>
      </c>
      <c r="O1333" s="2">
        <f t="shared" si="1229"/>
        <v>0</v>
      </c>
    </row>
    <row r="1334" spans="1:15" x14ac:dyDescent="0.25">
      <c r="A1334" s="325">
        <v>1</v>
      </c>
      <c r="B1334" s="325">
        <f>TrialNumberDay2</f>
        <v>0</v>
      </c>
      <c r="C1334" s="325" t="s">
        <v>19</v>
      </c>
      <c r="D1334" s="325">
        <f>Advanced!C111</f>
        <v>0</v>
      </c>
      <c r="E1334" s="325" t="str">
        <f>IF(Advanced!B111="W","W","A")</f>
        <v>A</v>
      </c>
      <c r="F1334" s="325" t="s">
        <v>1738</v>
      </c>
      <c r="G1334" s="325" t="str">
        <f>IF(Advanced!O111="e","Y","")</f>
        <v/>
      </c>
      <c r="H1334" s="325" t="str">
        <f>IFERROR(VLOOKUP($D1334,'SDDA Dogs'!$A:$AE,2,FALSE),"")</f>
        <v/>
      </c>
      <c r="I1334" s="325" t="str">
        <f>IFERROR(VLOOKUP($D1334,'SDDA Dogs'!$A:$AE,3,FALSE),"")</f>
        <v/>
      </c>
      <c r="J1334" s="325" t="str">
        <f>IFERROR(VLOOKUP($D1334,'SDDA Dogs'!$A:$AE,6,FALSE),"")</f>
        <v/>
      </c>
      <c r="K1334" s="325" t="str">
        <f>IF(Advanced!AS111="","",Advanced!AS111)</f>
        <v/>
      </c>
      <c r="L1334" s="325" t="str">
        <f>IF(Advanced!AT111="","",Advanced!AT111)</f>
        <v/>
      </c>
      <c r="M1334" s="326" t="str">
        <f>TrialDateDay2</f>
        <v/>
      </c>
      <c r="N1334" s="325" t="str">
        <f t="shared" si="1204"/>
        <v/>
      </c>
      <c r="O1334" s="325">
        <f>JudgeD2ISA</f>
        <v>0</v>
      </c>
    </row>
    <row r="1335" spans="1:15" x14ac:dyDescent="0.25">
      <c r="A1335" s="2">
        <v>2</v>
      </c>
      <c r="B1335" s="2">
        <f t="shared" ref="B1335:O1335" si="1230">B1334</f>
        <v>0</v>
      </c>
      <c r="C1335" s="2" t="str">
        <f t="shared" si="1230"/>
        <v>ISA</v>
      </c>
      <c r="D1335" s="2">
        <f t="shared" si="1230"/>
        <v>0</v>
      </c>
      <c r="E1335" s="2" t="str">
        <f t="shared" si="1230"/>
        <v>A</v>
      </c>
      <c r="F1335" s="2" t="str">
        <f t="shared" si="1230"/>
        <v>Interior Advanced</v>
      </c>
      <c r="G1335" s="2" t="str">
        <f t="shared" si="1230"/>
        <v/>
      </c>
      <c r="H1335" s="2" t="str">
        <f t="shared" si="1230"/>
        <v/>
      </c>
      <c r="I1335" s="2" t="str">
        <f t="shared" si="1230"/>
        <v/>
      </c>
      <c r="J1335" s="2" t="str">
        <f t="shared" si="1230"/>
        <v/>
      </c>
      <c r="K1335" s="2" t="str">
        <f t="shared" si="1230"/>
        <v/>
      </c>
      <c r="L1335" s="2" t="str">
        <f t="shared" si="1230"/>
        <v/>
      </c>
      <c r="M1335" s="180" t="str">
        <f t="shared" si="1230"/>
        <v/>
      </c>
      <c r="N1335" s="2" t="str">
        <f t="shared" si="1204"/>
        <v/>
      </c>
      <c r="O1335" s="2">
        <f t="shared" si="1230"/>
        <v>0</v>
      </c>
    </row>
    <row r="1336" spans="1:15" x14ac:dyDescent="0.25">
      <c r="A1336" s="325">
        <v>1</v>
      </c>
      <c r="B1336" s="325">
        <f>TrialNumberDay2</f>
        <v>0</v>
      </c>
      <c r="C1336" s="325" t="s">
        <v>19</v>
      </c>
      <c r="D1336" s="325">
        <f>Advanced!C112</f>
        <v>0</v>
      </c>
      <c r="E1336" s="325" t="str">
        <f>IF(Advanced!B112="W","W","A")</f>
        <v>A</v>
      </c>
      <c r="F1336" s="325" t="s">
        <v>1738</v>
      </c>
      <c r="G1336" s="325" t="str">
        <f>IF(Advanced!O112="e","Y","")</f>
        <v/>
      </c>
      <c r="H1336" s="325" t="str">
        <f>IFERROR(VLOOKUP($D1336,'SDDA Dogs'!$A:$AE,2,FALSE),"")</f>
        <v/>
      </c>
      <c r="I1336" s="325" t="str">
        <f>IFERROR(VLOOKUP($D1336,'SDDA Dogs'!$A:$AE,3,FALSE),"")</f>
        <v/>
      </c>
      <c r="J1336" s="325" t="str">
        <f>IFERROR(VLOOKUP($D1336,'SDDA Dogs'!$A:$AE,6,FALSE),"")</f>
        <v/>
      </c>
      <c r="K1336" s="325" t="str">
        <f>IF(Advanced!AS112="","",Advanced!AS112)</f>
        <v/>
      </c>
      <c r="L1336" s="325" t="str">
        <f>IF(Advanced!AT112="","",Advanced!AT112)</f>
        <v/>
      </c>
      <c r="M1336" s="326" t="str">
        <f>TrialDateDay2</f>
        <v/>
      </c>
      <c r="N1336" s="325" t="str">
        <f t="shared" si="1204"/>
        <v/>
      </c>
      <c r="O1336" s="325">
        <f>JudgeD2ISA</f>
        <v>0</v>
      </c>
    </row>
    <row r="1337" spans="1:15" x14ac:dyDescent="0.25">
      <c r="A1337" s="2">
        <v>2</v>
      </c>
      <c r="B1337" s="2">
        <f t="shared" ref="B1337:O1337" si="1231">B1336</f>
        <v>0</v>
      </c>
      <c r="C1337" s="2" t="str">
        <f t="shared" si="1231"/>
        <v>ISA</v>
      </c>
      <c r="D1337" s="2">
        <f t="shared" si="1231"/>
        <v>0</v>
      </c>
      <c r="E1337" s="2" t="str">
        <f t="shared" si="1231"/>
        <v>A</v>
      </c>
      <c r="F1337" s="2" t="str">
        <f t="shared" si="1231"/>
        <v>Interior Advanced</v>
      </c>
      <c r="G1337" s="2" t="str">
        <f t="shared" si="1231"/>
        <v/>
      </c>
      <c r="H1337" s="2" t="str">
        <f t="shared" si="1231"/>
        <v/>
      </c>
      <c r="I1337" s="2" t="str">
        <f t="shared" si="1231"/>
        <v/>
      </c>
      <c r="J1337" s="2" t="str">
        <f t="shared" si="1231"/>
        <v/>
      </c>
      <c r="K1337" s="2" t="str">
        <f t="shared" si="1231"/>
        <v/>
      </c>
      <c r="L1337" s="2" t="str">
        <f t="shared" si="1231"/>
        <v/>
      </c>
      <c r="M1337" s="180" t="str">
        <f t="shared" si="1231"/>
        <v/>
      </c>
      <c r="N1337" s="2" t="str">
        <f t="shared" si="1204"/>
        <v/>
      </c>
      <c r="O1337" s="2">
        <f t="shared" si="1231"/>
        <v>0</v>
      </c>
    </row>
    <row r="1338" spans="1:15" x14ac:dyDescent="0.25">
      <c r="A1338" s="325">
        <v>1</v>
      </c>
      <c r="B1338" s="325">
        <f>TrialNumberDay2</f>
        <v>0</v>
      </c>
      <c r="C1338" s="325" t="s">
        <v>19</v>
      </c>
      <c r="D1338" s="325">
        <f>Advanced!C113</f>
        <v>0</v>
      </c>
      <c r="E1338" s="325" t="str">
        <f>IF(Advanced!B113="W","W","A")</f>
        <v>A</v>
      </c>
      <c r="F1338" s="325" t="s">
        <v>1738</v>
      </c>
      <c r="G1338" s="325" t="str">
        <f>IF(Advanced!O113="e","Y","")</f>
        <v/>
      </c>
      <c r="H1338" s="325" t="str">
        <f>IFERROR(VLOOKUP($D1338,'SDDA Dogs'!$A:$AE,2,FALSE),"")</f>
        <v/>
      </c>
      <c r="I1338" s="325" t="str">
        <f>IFERROR(VLOOKUP($D1338,'SDDA Dogs'!$A:$AE,3,FALSE),"")</f>
        <v/>
      </c>
      <c r="J1338" s="325" t="str">
        <f>IFERROR(VLOOKUP($D1338,'SDDA Dogs'!$A:$AE,6,FALSE),"")</f>
        <v/>
      </c>
      <c r="K1338" s="325" t="str">
        <f>IF(Advanced!AS113="","",Advanced!AS113)</f>
        <v/>
      </c>
      <c r="L1338" s="325" t="str">
        <f>IF(Advanced!AT113="","",Advanced!AT113)</f>
        <v/>
      </c>
      <c r="M1338" s="326" t="str">
        <f>TrialDateDay2</f>
        <v/>
      </c>
      <c r="N1338" s="325" t="str">
        <f t="shared" si="1204"/>
        <v/>
      </c>
      <c r="O1338" s="325">
        <f>JudgeD2ISA</f>
        <v>0</v>
      </c>
    </row>
    <row r="1339" spans="1:15" x14ac:dyDescent="0.25">
      <c r="A1339" s="2">
        <v>2</v>
      </c>
      <c r="B1339" s="2">
        <f t="shared" ref="B1339:O1339" si="1232">B1338</f>
        <v>0</v>
      </c>
      <c r="C1339" s="2" t="str">
        <f t="shared" si="1232"/>
        <v>ISA</v>
      </c>
      <c r="D1339" s="2">
        <f t="shared" si="1232"/>
        <v>0</v>
      </c>
      <c r="E1339" s="2" t="str">
        <f t="shared" si="1232"/>
        <v>A</v>
      </c>
      <c r="F1339" s="2" t="str">
        <f t="shared" si="1232"/>
        <v>Interior Advanced</v>
      </c>
      <c r="G1339" s="2" t="str">
        <f t="shared" si="1232"/>
        <v/>
      </c>
      <c r="H1339" s="2" t="str">
        <f t="shared" si="1232"/>
        <v/>
      </c>
      <c r="I1339" s="2" t="str">
        <f t="shared" si="1232"/>
        <v/>
      </c>
      <c r="J1339" s="2" t="str">
        <f t="shared" si="1232"/>
        <v/>
      </c>
      <c r="K1339" s="2" t="str">
        <f t="shared" si="1232"/>
        <v/>
      </c>
      <c r="L1339" s="2" t="str">
        <f t="shared" si="1232"/>
        <v/>
      </c>
      <c r="M1339" s="180" t="str">
        <f t="shared" si="1232"/>
        <v/>
      </c>
      <c r="N1339" s="2" t="str">
        <f t="shared" si="1204"/>
        <v/>
      </c>
      <c r="O1339" s="2">
        <f t="shared" si="1232"/>
        <v>0</v>
      </c>
    </row>
    <row r="1340" spans="1:15" x14ac:dyDescent="0.25">
      <c r="A1340" s="325">
        <v>1</v>
      </c>
      <c r="B1340" s="325">
        <f>TrialNumberDay2</f>
        <v>0</v>
      </c>
      <c r="C1340" s="325" t="s">
        <v>19</v>
      </c>
      <c r="D1340" s="325">
        <f>Advanced!C114</f>
        <v>0</v>
      </c>
      <c r="E1340" s="325" t="str">
        <f>IF(Advanced!B114="W","W","A")</f>
        <v>A</v>
      </c>
      <c r="F1340" s="325" t="s">
        <v>1738</v>
      </c>
      <c r="G1340" s="325" t="str">
        <f>IF(Advanced!O114="e","Y","")</f>
        <v/>
      </c>
      <c r="H1340" s="325" t="str">
        <f>IFERROR(VLOOKUP($D1340,'SDDA Dogs'!$A:$AE,2,FALSE),"")</f>
        <v/>
      </c>
      <c r="I1340" s="325" t="str">
        <f>IFERROR(VLOOKUP($D1340,'SDDA Dogs'!$A:$AE,3,FALSE),"")</f>
        <v/>
      </c>
      <c r="J1340" s="325" t="str">
        <f>IFERROR(VLOOKUP($D1340,'SDDA Dogs'!$A:$AE,6,FALSE),"")</f>
        <v/>
      </c>
      <c r="K1340" s="325" t="str">
        <f>IF(Advanced!AS114="","",Advanced!AS114)</f>
        <v/>
      </c>
      <c r="L1340" s="325" t="str">
        <f>IF(Advanced!AT114="","",Advanced!AT114)</f>
        <v/>
      </c>
      <c r="M1340" s="326" t="str">
        <f>TrialDateDay2</f>
        <v/>
      </c>
      <c r="N1340" s="325" t="str">
        <f t="shared" si="1204"/>
        <v/>
      </c>
      <c r="O1340" s="325">
        <f>JudgeD2ISA</f>
        <v>0</v>
      </c>
    </row>
    <row r="1341" spans="1:15" x14ac:dyDescent="0.25">
      <c r="A1341" s="2">
        <v>2</v>
      </c>
      <c r="B1341" s="2">
        <f t="shared" ref="B1341:O1341" si="1233">B1340</f>
        <v>0</v>
      </c>
      <c r="C1341" s="2" t="str">
        <f t="shared" si="1233"/>
        <v>ISA</v>
      </c>
      <c r="D1341" s="2">
        <f t="shared" si="1233"/>
        <v>0</v>
      </c>
      <c r="E1341" s="2" t="str">
        <f t="shared" si="1233"/>
        <v>A</v>
      </c>
      <c r="F1341" s="2" t="str">
        <f t="shared" si="1233"/>
        <v>Interior Advanced</v>
      </c>
      <c r="G1341" s="2" t="str">
        <f t="shared" si="1233"/>
        <v/>
      </c>
      <c r="H1341" s="2" t="str">
        <f t="shared" si="1233"/>
        <v/>
      </c>
      <c r="I1341" s="2" t="str">
        <f t="shared" si="1233"/>
        <v/>
      </c>
      <c r="J1341" s="2" t="str">
        <f t="shared" si="1233"/>
        <v/>
      </c>
      <c r="K1341" s="2" t="str">
        <f t="shared" si="1233"/>
        <v/>
      </c>
      <c r="L1341" s="2" t="str">
        <f t="shared" si="1233"/>
        <v/>
      </c>
      <c r="M1341" s="180" t="str">
        <f t="shared" si="1233"/>
        <v/>
      </c>
      <c r="N1341" s="2" t="str">
        <f t="shared" si="1204"/>
        <v/>
      </c>
      <c r="O1341" s="2">
        <f t="shared" si="1233"/>
        <v>0</v>
      </c>
    </row>
    <row r="1342" spans="1:15" s="149" customFormat="1" x14ac:dyDescent="0.25">
      <c r="A1342" s="327">
        <v>1</v>
      </c>
      <c r="B1342" s="327">
        <f>TrialNumberDay2</f>
        <v>0</v>
      </c>
      <c r="C1342" s="327" t="s">
        <v>20</v>
      </c>
      <c r="D1342" s="327">
        <f>Advanced!C65</f>
        <v>0</v>
      </c>
      <c r="E1342" s="327" t="str">
        <f>IF(Advanced!B65="W","W","A")</f>
        <v>A</v>
      </c>
      <c r="F1342" s="327" t="s">
        <v>1739</v>
      </c>
      <c r="G1342" s="327" t="str">
        <f>IF(Advanced!W65="e","Y","")</f>
        <v/>
      </c>
      <c r="H1342" s="327" t="str">
        <f>IFERROR(VLOOKUP($D1342,'SDDA Dogs'!$A:$AE,2,FALSE),"")</f>
        <v/>
      </c>
      <c r="I1342" s="327" t="str">
        <f>IFERROR(VLOOKUP($D1342,'SDDA Dogs'!$A:$AE,3,FALSE),"")</f>
        <v/>
      </c>
      <c r="J1342" s="327" t="str">
        <f>IFERROR(VLOOKUP($D1342,'SDDA Dogs'!$A:$AE,6,FALSE),"")</f>
        <v/>
      </c>
      <c r="K1342" s="327" t="str">
        <f>IF(Advanced!AS65="","",Advanced!AS65)</f>
        <v/>
      </c>
      <c r="L1342" s="327" t="str">
        <f>IF(Advanced!AT65="","",Advanced!AT65)</f>
        <v/>
      </c>
      <c r="M1342" s="328" t="str">
        <f>TrialDateDay2</f>
        <v/>
      </c>
      <c r="N1342" s="325" t="str">
        <f t="shared" si="1204"/>
        <v/>
      </c>
      <c r="O1342" s="327">
        <f>JudgeD2ESA</f>
        <v>0</v>
      </c>
    </row>
    <row r="1343" spans="1:15" x14ac:dyDescent="0.25">
      <c r="A1343" s="2">
        <v>2</v>
      </c>
      <c r="B1343" s="2">
        <f t="shared" ref="B1343:O1379" si="1234">B1342</f>
        <v>0</v>
      </c>
      <c r="C1343" s="2" t="str">
        <f t="shared" si="1234"/>
        <v>ESA</v>
      </c>
      <c r="D1343" s="2">
        <f t="shared" si="1234"/>
        <v>0</v>
      </c>
      <c r="E1343" s="2" t="str">
        <f t="shared" si="1234"/>
        <v>A</v>
      </c>
      <c r="F1343" s="2" t="str">
        <f t="shared" si="1234"/>
        <v>Exterior Advanced</v>
      </c>
      <c r="G1343" s="2" t="str">
        <f t="shared" si="1234"/>
        <v/>
      </c>
      <c r="H1343" s="2" t="str">
        <f t="shared" si="1234"/>
        <v/>
      </c>
      <c r="I1343" s="2" t="str">
        <f t="shared" si="1234"/>
        <v/>
      </c>
      <c r="J1343" s="2" t="str">
        <f t="shared" si="1234"/>
        <v/>
      </c>
      <c r="K1343" s="2" t="str">
        <f t="shared" si="1234"/>
        <v/>
      </c>
      <c r="L1343" s="2" t="str">
        <f t="shared" si="1234"/>
        <v/>
      </c>
      <c r="M1343" s="180" t="str">
        <f t="shared" si="1234"/>
        <v/>
      </c>
      <c r="N1343" s="2" t="str">
        <f t="shared" si="1204"/>
        <v/>
      </c>
      <c r="O1343" s="2">
        <f t="shared" si="1234"/>
        <v>0</v>
      </c>
    </row>
    <row r="1344" spans="1:15" x14ac:dyDescent="0.25">
      <c r="A1344" s="325">
        <v>1</v>
      </c>
      <c r="B1344" s="325">
        <f>TrialNumberDay2</f>
        <v>0</v>
      </c>
      <c r="C1344" s="325" t="s">
        <v>20</v>
      </c>
      <c r="D1344" s="325">
        <f>Advanced!C66</f>
        <v>0</v>
      </c>
      <c r="E1344" s="325" t="str">
        <f>IF(Advanced!B66="W","W","A")</f>
        <v>A</v>
      </c>
      <c r="F1344" s="325" t="s">
        <v>1739</v>
      </c>
      <c r="G1344" s="325" t="str">
        <f>IF(Advanced!W66="e","Y","")</f>
        <v/>
      </c>
      <c r="H1344" s="325" t="str">
        <f>IFERROR(VLOOKUP($D1344,'SDDA Dogs'!$A:$AE,2,FALSE),"")</f>
        <v/>
      </c>
      <c r="I1344" s="325" t="str">
        <f>IFERROR(VLOOKUP($D1344,'SDDA Dogs'!$A:$AE,3,FALSE),"")</f>
        <v/>
      </c>
      <c r="J1344" s="325" t="str">
        <f>IFERROR(VLOOKUP($D1344,'SDDA Dogs'!$A:$AE,6,FALSE),"")</f>
        <v/>
      </c>
      <c r="K1344" s="325" t="str">
        <f>IF(Advanced!AS66="","",Advanced!AS66)</f>
        <v/>
      </c>
      <c r="L1344" s="325" t="str">
        <f>IF(Advanced!AT66="","",Advanced!AT66)</f>
        <v/>
      </c>
      <c r="M1344" s="326" t="str">
        <f>TrialDateDay2</f>
        <v/>
      </c>
      <c r="N1344" s="325" t="str">
        <f t="shared" si="1204"/>
        <v/>
      </c>
      <c r="O1344" s="325">
        <f>JudgeD2ESA</f>
        <v>0</v>
      </c>
    </row>
    <row r="1345" spans="1:15" x14ac:dyDescent="0.25">
      <c r="A1345" s="2">
        <v>2</v>
      </c>
      <c r="B1345" s="2">
        <f t="shared" si="1234"/>
        <v>0</v>
      </c>
      <c r="C1345" s="2" t="str">
        <f t="shared" si="1234"/>
        <v>ESA</v>
      </c>
      <c r="D1345" s="2">
        <f t="shared" si="1234"/>
        <v>0</v>
      </c>
      <c r="E1345" s="2" t="str">
        <f t="shared" si="1234"/>
        <v>A</v>
      </c>
      <c r="F1345" s="2" t="str">
        <f t="shared" si="1234"/>
        <v>Exterior Advanced</v>
      </c>
      <c r="G1345" s="2" t="str">
        <f t="shared" si="1234"/>
        <v/>
      </c>
      <c r="H1345" s="2" t="str">
        <f t="shared" si="1234"/>
        <v/>
      </c>
      <c r="I1345" s="2" t="str">
        <f t="shared" si="1234"/>
        <v/>
      </c>
      <c r="J1345" s="2" t="str">
        <f t="shared" si="1234"/>
        <v/>
      </c>
      <c r="K1345" s="2" t="str">
        <f t="shared" si="1234"/>
        <v/>
      </c>
      <c r="L1345" s="2" t="str">
        <f t="shared" si="1234"/>
        <v/>
      </c>
      <c r="M1345" s="180" t="str">
        <f t="shared" si="1234"/>
        <v/>
      </c>
      <c r="N1345" s="2" t="str">
        <f t="shared" si="1204"/>
        <v/>
      </c>
      <c r="O1345" s="2">
        <f t="shared" si="1234"/>
        <v>0</v>
      </c>
    </row>
    <row r="1346" spans="1:15" x14ac:dyDescent="0.25">
      <c r="A1346" s="325">
        <v>1</v>
      </c>
      <c r="B1346" s="325">
        <f>TrialNumberDay2</f>
        <v>0</v>
      </c>
      <c r="C1346" s="325" t="s">
        <v>20</v>
      </c>
      <c r="D1346" s="325">
        <f>Advanced!C67</f>
        <v>0</v>
      </c>
      <c r="E1346" s="325" t="str">
        <f>IF(Advanced!B67="W","W","A")</f>
        <v>A</v>
      </c>
      <c r="F1346" s="325" t="s">
        <v>1739</v>
      </c>
      <c r="G1346" s="325" t="str">
        <f>IF(Advanced!W67="e","Y","")</f>
        <v/>
      </c>
      <c r="H1346" s="325" t="str">
        <f>IFERROR(VLOOKUP($D1346,'SDDA Dogs'!$A:$AE,2,FALSE),"")</f>
        <v/>
      </c>
      <c r="I1346" s="325" t="str">
        <f>IFERROR(VLOOKUP($D1346,'SDDA Dogs'!$A:$AE,3,FALSE),"")</f>
        <v/>
      </c>
      <c r="J1346" s="325" t="str">
        <f>IFERROR(VLOOKUP($D1346,'SDDA Dogs'!$A:$AE,6,FALSE),"")</f>
        <v/>
      </c>
      <c r="K1346" s="325" t="str">
        <f>IF(Advanced!AS67="","",Advanced!AS67)</f>
        <v/>
      </c>
      <c r="L1346" s="325" t="str">
        <f>IF(Advanced!AT67="","",Advanced!AT67)</f>
        <v/>
      </c>
      <c r="M1346" s="326" t="str">
        <f>TrialDateDay2</f>
        <v/>
      </c>
      <c r="N1346" s="325" t="str">
        <f t="shared" si="1204"/>
        <v/>
      </c>
      <c r="O1346" s="325">
        <f>JudgeD2ESA</f>
        <v>0</v>
      </c>
    </row>
    <row r="1347" spans="1:15" x14ac:dyDescent="0.25">
      <c r="A1347" s="2">
        <v>2</v>
      </c>
      <c r="B1347" s="2">
        <f t="shared" si="1234"/>
        <v>0</v>
      </c>
      <c r="C1347" s="2" t="str">
        <f t="shared" si="1234"/>
        <v>ESA</v>
      </c>
      <c r="D1347" s="2">
        <f t="shared" si="1234"/>
        <v>0</v>
      </c>
      <c r="E1347" s="2" t="str">
        <f t="shared" si="1234"/>
        <v>A</v>
      </c>
      <c r="F1347" s="2" t="str">
        <f t="shared" si="1234"/>
        <v>Exterior Advanced</v>
      </c>
      <c r="G1347" s="2" t="str">
        <f t="shared" si="1234"/>
        <v/>
      </c>
      <c r="H1347" s="2" t="str">
        <f t="shared" si="1234"/>
        <v/>
      </c>
      <c r="I1347" s="2" t="str">
        <f t="shared" si="1234"/>
        <v/>
      </c>
      <c r="J1347" s="2" t="str">
        <f t="shared" si="1234"/>
        <v/>
      </c>
      <c r="K1347" s="2" t="str">
        <f t="shared" si="1234"/>
        <v/>
      </c>
      <c r="L1347" s="2" t="str">
        <f t="shared" si="1234"/>
        <v/>
      </c>
      <c r="M1347" s="180" t="str">
        <f t="shared" si="1234"/>
        <v/>
      </c>
      <c r="N1347" s="2" t="str">
        <f t="shared" si="1204"/>
        <v/>
      </c>
      <c r="O1347" s="2">
        <f t="shared" si="1234"/>
        <v>0</v>
      </c>
    </row>
    <row r="1348" spans="1:15" x14ac:dyDescent="0.25">
      <c r="A1348" s="325">
        <v>1</v>
      </c>
      <c r="B1348" s="325">
        <f>TrialNumberDay2</f>
        <v>0</v>
      </c>
      <c r="C1348" s="325" t="s">
        <v>20</v>
      </c>
      <c r="D1348" s="325">
        <f>Advanced!C68</f>
        <v>0</v>
      </c>
      <c r="E1348" s="325" t="str">
        <f>IF(Advanced!B68="W","W","A")</f>
        <v>A</v>
      </c>
      <c r="F1348" s="325" t="s">
        <v>1739</v>
      </c>
      <c r="G1348" s="325" t="str">
        <f>IF(Advanced!W68="e","Y","")</f>
        <v/>
      </c>
      <c r="H1348" s="325" t="str">
        <f>IFERROR(VLOOKUP($D1348,'SDDA Dogs'!$A:$AE,2,FALSE),"")</f>
        <v/>
      </c>
      <c r="I1348" s="325" t="str">
        <f>IFERROR(VLOOKUP($D1348,'SDDA Dogs'!$A:$AE,3,FALSE),"")</f>
        <v/>
      </c>
      <c r="J1348" s="325" t="str">
        <f>IFERROR(VLOOKUP($D1348,'SDDA Dogs'!$A:$AE,6,FALSE),"")</f>
        <v/>
      </c>
      <c r="K1348" s="325" t="str">
        <f>IF(Advanced!AS68="","",Advanced!AS68)</f>
        <v/>
      </c>
      <c r="L1348" s="325" t="str">
        <f>IF(Advanced!AT68="","",Advanced!AT68)</f>
        <v/>
      </c>
      <c r="M1348" s="326" t="str">
        <f>TrialDateDay2</f>
        <v/>
      </c>
      <c r="N1348" s="325" t="str">
        <f t="shared" ref="N1348:N1411" si="1235">N1347</f>
        <v/>
      </c>
      <c r="O1348" s="325">
        <f>JudgeD2ESA</f>
        <v>0</v>
      </c>
    </row>
    <row r="1349" spans="1:15" x14ac:dyDescent="0.25">
      <c r="A1349" s="2">
        <v>2</v>
      </c>
      <c r="B1349" s="2">
        <f t="shared" si="1234"/>
        <v>0</v>
      </c>
      <c r="C1349" s="2" t="str">
        <f t="shared" si="1234"/>
        <v>ESA</v>
      </c>
      <c r="D1349" s="2">
        <f t="shared" si="1234"/>
        <v>0</v>
      </c>
      <c r="E1349" s="2" t="str">
        <f t="shared" si="1234"/>
        <v>A</v>
      </c>
      <c r="F1349" s="2" t="str">
        <f t="shared" si="1234"/>
        <v>Exterior Advanced</v>
      </c>
      <c r="G1349" s="2" t="str">
        <f t="shared" si="1234"/>
        <v/>
      </c>
      <c r="H1349" s="2" t="str">
        <f t="shared" si="1234"/>
        <v/>
      </c>
      <c r="I1349" s="2" t="str">
        <f t="shared" si="1234"/>
        <v/>
      </c>
      <c r="J1349" s="2" t="str">
        <f t="shared" si="1234"/>
        <v/>
      </c>
      <c r="K1349" s="2" t="str">
        <f t="shared" si="1234"/>
        <v/>
      </c>
      <c r="L1349" s="2" t="str">
        <f t="shared" si="1234"/>
        <v/>
      </c>
      <c r="M1349" s="180" t="str">
        <f t="shared" si="1234"/>
        <v/>
      </c>
      <c r="N1349" s="2" t="str">
        <f t="shared" si="1235"/>
        <v/>
      </c>
      <c r="O1349" s="2">
        <f t="shared" si="1234"/>
        <v>0</v>
      </c>
    </row>
    <row r="1350" spans="1:15" x14ac:dyDescent="0.25">
      <c r="A1350" s="325">
        <v>1</v>
      </c>
      <c r="B1350" s="325">
        <f>TrialNumberDay2</f>
        <v>0</v>
      </c>
      <c r="C1350" s="325" t="s">
        <v>20</v>
      </c>
      <c r="D1350" s="325">
        <f>Advanced!C69</f>
        <v>0</v>
      </c>
      <c r="E1350" s="325" t="str">
        <f>IF(Advanced!B69="W","W","A")</f>
        <v>A</v>
      </c>
      <c r="F1350" s="325" t="s">
        <v>1739</v>
      </c>
      <c r="G1350" s="325" t="str">
        <f>IF(Advanced!W69="e","Y","")</f>
        <v/>
      </c>
      <c r="H1350" s="325" t="str">
        <f>IFERROR(VLOOKUP($D1350,'SDDA Dogs'!$A:$AE,2,FALSE),"")</f>
        <v/>
      </c>
      <c r="I1350" s="325" t="str">
        <f>IFERROR(VLOOKUP($D1350,'SDDA Dogs'!$A:$AE,3,FALSE),"")</f>
        <v/>
      </c>
      <c r="J1350" s="325" t="str">
        <f>IFERROR(VLOOKUP($D1350,'SDDA Dogs'!$A:$AE,6,FALSE),"")</f>
        <v/>
      </c>
      <c r="K1350" s="325" t="str">
        <f>IF(Advanced!AS69="","",Advanced!AS69)</f>
        <v/>
      </c>
      <c r="L1350" s="325" t="str">
        <f>IF(Advanced!AT69="","",Advanced!AT69)</f>
        <v/>
      </c>
      <c r="M1350" s="326" t="str">
        <f>TrialDateDay2</f>
        <v/>
      </c>
      <c r="N1350" s="325" t="str">
        <f t="shared" si="1235"/>
        <v/>
      </c>
      <c r="O1350" s="325">
        <f>JudgeD2ESA</f>
        <v>0</v>
      </c>
    </row>
    <row r="1351" spans="1:15" x14ac:dyDescent="0.25">
      <c r="A1351" s="2">
        <v>2</v>
      </c>
      <c r="B1351" s="2">
        <f t="shared" si="1234"/>
        <v>0</v>
      </c>
      <c r="C1351" s="2" t="str">
        <f t="shared" si="1234"/>
        <v>ESA</v>
      </c>
      <c r="D1351" s="2">
        <f t="shared" si="1234"/>
        <v>0</v>
      </c>
      <c r="E1351" s="2" t="str">
        <f t="shared" si="1234"/>
        <v>A</v>
      </c>
      <c r="F1351" s="2" t="str">
        <f t="shared" si="1234"/>
        <v>Exterior Advanced</v>
      </c>
      <c r="G1351" s="2" t="str">
        <f t="shared" si="1234"/>
        <v/>
      </c>
      <c r="H1351" s="2" t="str">
        <f t="shared" si="1234"/>
        <v/>
      </c>
      <c r="I1351" s="2" t="str">
        <f t="shared" si="1234"/>
        <v/>
      </c>
      <c r="J1351" s="2" t="str">
        <f t="shared" si="1234"/>
        <v/>
      </c>
      <c r="K1351" s="2" t="str">
        <f t="shared" si="1234"/>
        <v/>
      </c>
      <c r="L1351" s="2" t="str">
        <f t="shared" si="1234"/>
        <v/>
      </c>
      <c r="M1351" s="180" t="str">
        <f t="shared" si="1234"/>
        <v/>
      </c>
      <c r="N1351" s="2" t="str">
        <f t="shared" si="1235"/>
        <v/>
      </c>
      <c r="O1351" s="2">
        <f t="shared" si="1234"/>
        <v>0</v>
      </c>
    </row>
    <row r="1352" spans="1:15" x14ac:dyDescent="0.25">
      <c r="A1352" s="325">
        <v>1</v>
      </c>
      <c r="B1352" s="325">
        <f>TrialNumberDay2</f>
        <v>0</v>
      </c>
      <c r="C1352" s="325" t="s">
        <v>20</v>
      </c>
      <c r="D1352" s="325">
        <f>Advanced!C70</f>
        <v>0</v>
      </c>
      <c r="E1352" s="325" t="str">
        <f>IF(Advanced!B70="W","W","A")</f>
        <v>A</v>
      </c>
      <c r="F1352" s="325" t="s">
        <v>1739</v>
      </c>
      <c r="G1352" s="325" t="str">
        <f>IF(Advanced!W70="e","Y","")</f>
        <v/>
      </c>
      <c r="H1352" s="325" t="str">
        <f>IFERROR(VLOOKUP($D1352,'SDDA Dogs'!$A:$AE,2,FALSE),"")</f>
        <v/>
      </c>
      <c r="I1352" s="325" t="str">
        <f>IFERROR(VLOOKUP($D1352,'SDDA Dogs'!$A:$AE,3,FALSE),"")</f>
        <v/>
      </c>
      <c r="J1352" s="325" t="str">
        <f>IFERROR(VLOOKUP($D1352,'SDDA Dogs'!$A:$AE,6,FALSE),"")</f>
        <v/>
      </c>
      <c r="K1352" s="325" t="str">
        <f>IF(Advanced!AS70="","",Advanced!AS70)</f>
        <v/>
      </c>
      <c r="L1352" s="325" t="str">
        <f>IF(Advanced!AT70="","",Advanced!AT70)</f>
        <v/>
      </c>
      <c r="M1352" s="326" t="str">
        <f>TrialDateDay2</f>
        <v/>
      </c>
      <c r="N1352" s="325" t="str">
        <f t="shared" si="1235"/>
        <v/>
      </c>
      <c r="O1352" s="325">
        <f>JudgeD2ESA</f>
        <v>0</v>
      </c>
    </row>
    <row r="1353" spans="1:15" x14ac:dyDescent="0.25">
      <c r="A1353" s="2">
        <v>2</v>
      </c>
      <c r="B1353" s="2">
        <f t="shared" si="1234"/>
        <v>0</v>
      </c>
      <c r="C1353" s="2" t="str">
        <f t="shared" si="1234"/>
        <v>ESA</v>
      </c>
      <c r="D1353" s="2">
        <f t="shared" si="1234"/>
        <v>0</v>
      </c>
      <c r="E1353" s="2" t="str">
        <f t="shared" si="1234"/>
        <v>A</v>
      </c>
      <c r="F1353" s="2" t="str">
        <f t="shared" si="1234"/>
        <v>Exterior Advanced</v>
      </c>
      <c r="G1353" s="2" t="str">
        <f t="shared" si="1234"/>
        <v/>
      </c>
      <c r="H1353" s="2" t="str">
        <f t="shared" si="1234"/>
        <v/>
      </c>
      <c r="I1353" s="2" t="str">
        <f t="shared" si="1234"/>
        <v/>
      </c>
      <c r="J1353" s="2" t="str">
        <f t="shared" si="1234"/>
        <v/>
      </c>
      <c r="K1353" s="2" t="str">
        <f t="shared" si="1234"/>
        <v/>
      </c>
      <c r="L1353" s="2" t="str">
        <f t="shared" si="1234"/>
        <v/>
      </c>
      <c r="M1353" s="180" t="str">
        <f t="shared" si="1234"/>
        <v/>
      </c>
      <c r="N1353" s="2" t="str">
        <f t="shared" si="1235"/>
        <v/>
      </c>
      <c r="O1353" s="2">
        <f t="shared" si="1234"/>
        <v>0</v>
      </c>
    </row>
    <row r="1354" spans="1:15" x14ac:dyDescent="0.25">
      <c r="A1354" s="325">
        <v>1</v>
      </c>
      <c r="B1354" s="325">
        <f>TrialNumberDay2</f>
        <v>0</v>
      </c>
      <c r="C1354" s="325" t="s">
        <v>20</v>
      </c>
      <c r="D1354" s="325">
        <f>Advanced!C71</f>
        <v>0</v>
      </c>
      <c r="E1354" s="325" t="str">
        <f>IF(Advanced!B71="W","W","A")</f>
        <v>A</v>
      </c>
      <c r="F1354" s="325" t="s">
        <v>1739</v>
      </c>
      <c r="G1354" s="325" t="str">
        <f>IF(Advanced!W71="e","Y","")</f>
        <v/>
      </c>
      <c r="H1354" s="325" t="str">
        <f>IFERROR(VLOOKUP($D1354,'SDDA Dogs'!$A:$AE,2,FALSE),"")</f>
        <v/>
      </c>
      <c r="I1354" s="325" t="str">
        <f>IFERROR(VLOOKUP($D1354,'SDDA Dogs'!$A:$AE,3,FALSE),"")</f>
        <v/>
      </c>
      <c r="J1354" s="325" t="str">
        <f>IFERROR(VLOOKUP($D1354,'SDDA Dogs'!$A:$AE,6,FALSE),"")</f>
        <v/>
      </c>
      <c r="K1354" s="325" t="str">
        <f>IF(Advanced!AS71="","",Advanced!AS71)</f>
        <v/>
      </c>
      <c r="L1354" s="325" t="str">
        <f>IF(Advanced!AT71="","",Advanced!AT71)</f>
        <v/>
      </c>
      <c r="M1354" s="326" t="str">
        <f>TrialDateDay2</f>
        <v/>
      </c>
      <c r="N1354" s="325" t="str">
        <f t="shared" si="1235"/>
        <v/>
      </c>
      <c r="O1354" s="325">
        <f>JudgeD2ESA</f>
        <v>0</v>
      </c>
    </row>
    <row r="1355" spans="1:15" x14ac:dyDescent="0.25">
      <c r="A1355" s="2">
        <v>2</v>
      </c>
      <c r="B1355" s="2">
        <f t="shared" si="1234"/>
        <v>0</v>
      </c>
      <c r="C1355" s="2" t="str">
        <f t="shared" si="1234"/>
        <v>ESA</v>
      </c>
      <c r="D1355" s="2">
        <f t="shared" si="1234"/>
        <v>0</v>
      </c>
      <c r="E1355" s="2" t="str">
        <f t="shared" si="1234"/>
        <v>A</v>
      </c>
      <c r="F1355" s="2" t="str">
        <f t="shared" si="1234"/>
        <v>Exterior Advanced</v>
      </c>
      <c r="G1355" s="2" t="str">
        <f t="shared" si="1234"/>
        <v/>
      </c>
      <c r="H1355" s="2" t="str">
        <f t="shared" si="1234"/>
        <v/>
      </c>
      <c r="I1355" s="2" t="str">
        <f t="shared" si="1234"/>
        <v/>
      </c>
      <c r="J1355" s="2" t="str">
        <f t="shared" si="1234"/>
        <v/>
      </c>
      <c r="K1355" s="2" t="str">
        <f t="shared" si="1234"/>
        <v/>
      </c>
      <c r="L1355" s="2" t="str">
        <f t="shared" si="1234"/>
        <v/>
      </c>
      <c r="M1355" s="180" t="str">
        <f t="shared" si="1234"/>
        <v/>
      </c>
      <c r="N1355" s="2" t="str">
        <f t="shared" si="1235"/>
        <v/>
      </c>
      <c r="O1355" s="2">
        <f t="shared" si="1234"/>
        <v>0</v>
      </c>
    </row>
    <row r="1356" spans="1:15" x14ac:dyDescent="0.25">
      <c r="A1356" s="325">
        <v>1</v>
      </c>
      <c r="B1356" s="325">
        <f>TrialNumberDay2</f>
        <v>0</v>
      </c>
      <c r="C1356" s="325" t="s">
        <v>20</v>
      </c>
      <c r="D1356" s="325">
        <f>Advanced!C72</f>
        <v>0</v>
      </c>
      <c r="E1356" s="325" t="str">
        <f>IF(Advanced!B72="W","W","A")</f>
        <v>A</v>
      </c>
      <c r="F1356" s="325" t="s">
        <v>1739</v>
      </c>
      <c r="G1356" s="325" t="str">
        <f>IF(Advanced!W72="e","Y","")</f>
        <v/>
      </c>
      <c r="H1356" s="325" t="str">
        <f>IFERROR(VLOOKUP($D1356,'SDDA Dogs'!$A:$AE,2,FALSE),"")</f>
        <v/>
      </c>
      <c r="I1356" s="325" t="str">
        <f>IFERROR(VLOOKUP($D1356,'SDDA Dogs'!$A:$AE,3,FALSE),"")</f>
        <v/>
      </c>
      <c r="J1356" s="325" t="str">
        <f>IFERROR(VLOOKUP($D1356,'SDDA Dogs'!$A:$AE,6,FALSE),"")</f>
        <v/>
      </c>
      <c r="K1356" s="325" t="str">
        <f>IF(Advanced!AS72="","",Advanced!AS72)</f>
        <v/>
      </c>
      <c r="L1356" s="325" t="str">
        <f>IF(Advanced!AT72="","",Advanced!AT72)</f>
        <v/>
      </c>
      <c r="M1356" s="326" t="str">
        <f>TrialDateDay2</f>
        <v/>
      </c>
      <c r="N1356" s="325" t="str">
        <f t="shared" si="1235"/>
        <v/>
      </c>
      <c r="O1356" s="325">
        <f>JudgeD2ESA</f>
        <v>0</v>
      </c>
    </row>
    <row r="1357" spans="1:15" x14ac:dyDescent="0.25">
      <c r="A1357" s="2">
        <v>2</v>
      </c>
      <c r="B1357" s="2">
        <f t="shared" si="1234"/>
        <v>0</v>
      </c>
      <c r="C1357" s="2" t="str">
        <f t="shared" si="1234"/>
        <v>ESA</v>
      </c>
      <c r="D1357" s="2">
        <f t="shared" si="1234"/>
        <v>0</v>
      </c>
      <c r="E1357" s="2" t="str">
        <f t="shared" si="1234"/>
        <v>A</v>
      </c>
      <c r="F1357" s="2" t="str">
        <f t="shared" si="1234"/>
        <v>Exterior Advanced</v>
      </c>
      <c r="G1357" s="2" t="str">
        <f t="shared" si="1234"/>
        <v/>
      </c>
      <c r="H1357" s="2" t="str">
        <f t="shared" si="1234"/>
        <v/>
      </c>
      <c r="I1357" s="2" t="str">
        <f t="shared" si="1234"/>
        <v/>
      </c>
      <c r="J1357" s="2" t="str">
        <f t="shared" si="1234"/>
        <v/>
      </c>
      <c r="K1357" s="2" t="str">
        <f t="shared" si="1234"/>
        <v/>
      </c>
      <c r="L1357" s="2" t="str">
        <f t="shared" si="1234"/>
        <v/>
      </c>
      <c r="M1357" s="180" t="str">
        <f t="shared" si="1234"/>
        <v/>
      </c>
      <c r="N1357" s="2" t="str">
        <f t="shared" si="1235"/>
        <v/>
      </c>
      <c r="O1357" s="2">
        <f t="shared" si="1234"/>
        <v>0</v>
      </c>
    </row>
    <row r="1358" spans="1:15" x14ac:dyDescent="0.25">
      <c r="A1358" s="325">
        <v>1</v>
      </c>
      <c r="B1358" s="325">
        <f>TrialNumberDay2</f>
        <v>0</v>
      </c>
      <c r="C1358" s="325" t="s">
        <v>20</v>
      </c>
      <c r="D1358" s="325">
        <f>Advanced!C73</f>
        <v>0</v>
      </c>
      <c r="E1358" s="325" t="str">
        <f>IF(Advanced!B73="W","W","A")</f>
        <v>A</v>
      </c>
      <c r="F1358" s="325" t="s">
        <v>1739</v>
      </c>
      <c r="G1358" s="325" t="str">
        <f>IF(Advanced!W73="e","Y","")</f>
        <v/>
      </c>
      <c r="H1358" s="325" t="str">
        <f>IFERROR(VLOOKUP($D1358,'SDDA Dogs'!$A:$AE,2,FALSE),"")</f>
        <v/>
      </c>
      <c r="I1358" s="325" t="str">
        <f>IFERROR(VLOOKUP($D1358,'SDDA Dogs'!$A:$AE,3,FALSE),"")</f>
        <v/>
      </c>
      <c r="J1358" s="325" t="str">
        <f>IFERROR(VLOOKUP($D1358,'SDDA Dogs'!$A:$AE,6,FALSE),"")</f>
        <v/>
      </c>
      <c r="K1358" s="325" t="str">
        <f>IF(Advanced!AS73="","",Advanced!AS73)</f>
        <v/>
      </c>
      <c r="L1358" s="325" t="str">
        <f>IF(Advanced!AT73="","",Advanced!AT73)</f>
        <v/>
      </c>
      <c r="M1358" s="326" t="str">
        <f>TrialDateDay2</f>
        <v/>
      </c>
      <c r="N1358" s="325" t="str">
        <f t="shared" si="1235"/>
        <v/>
      </c>
      <c r="O1358" s="325">
        <f>JudgeD2ESA</f>
        <v>0</v>
      </c>
    </row>
    <row r="1359" spans="1:15" x14ac:dyDescent="0.25">
      <c r="A1359" s="2">
        <v>2</v>
      </c>
      <c r="B1359" s="2">
        <f t="shared" si="1234"/>
        <v>0</v>
      </c>
      <c r="C1359" s="2" t="str">
        <f t="shared" si="1234"/>
        <v>ESA</v>
      </c>
      <c r="D1359" s="2">
        <f t="shared" si="1234"/>
        <v>0</v>
      </c>
      <c r="E1359" s="2" t="str">
        <f t="shared" si="1234"/>
        <v>A</v>
      </c>
      <c r="F1359" s="2" t="str">
        <f t="shared" si="1234"/>
        <v>Exterior Advanced</v>
      </c>
      <c r="G1359" s="2" t="str">
        <f t="shared" si="1234"/>
        <v/>
      </c>
      <c r="H1359" s="2" t="str">
        <f t="shared" si="1234"/>
        <v/>
      </c>
      <c r="I1359" s="2" t="str">
        <f t="shared" si="1234"/>
        <v/>
      </c>
      <c r="J1359" s="2" t="str">
        <f t="shared" si="1234"/>
        <v/>
      </c>
      <c r="K1359" s="2" t="str">
        <f t="shared" si="1234"/>
        <v/>
      </c>
      <c r="L1359" s="2" t="str">
        <f t="shared" si="1234"/>
        <v/>
      </c>
      <c r="M1359" s="180" t="str">
        <f t="shared" si="1234"/>
        <v/>
      </c>
      <c r="N1359" s="2" t="str">
        <f t="shared" si="1235"/>
        <v/>
      </c>
      <c r="O1359" s="2">
        <f t="shared" si="1234"/>
        <v>0</v>
      </c>
    </row>
    <row r="1360" spans="1:15" x14ac:dyDescent="0.25">
      <c r="A1360" s="325">
        <v>1</v>
      </c>
      <c r="B1360" s="325">
        <f>TrialNumberDay2</f>
        <v>0</v>
      </c>
      <c r="C1360" s="325" t="s">
        <v>20</v>
      </c>
      <c r="D1360" s="325">
        <f>Advanced!C74</f>
        <v>0</v>
      </c>
      <c r="E1360" s="325" t="str">
        <f>IF(Advanced!B74="W","W","A")</f>
        <v>A</v>
      </c>
      <c r="F1360" s="325" t="s">
        <v>1739</v>
      </c>
      <c r="G1360" s="325" t="str">
        <f>IF(Advanced!W74="e","Y","")</f>
        <v/>
      </c>
      <c r="H1360" s="325" t="str">
        <f>IFERROR(VLOOKUP($D1360,'SDDA Dogs'!$A:$AE,2,FALSE),"")</f>
        <v/>
      </c>
      <c r="I1360" s="325" t="str">
        <f>IFERROR(VLOOKUP($D1360,'SDDA Dogs'!$A:$AE,3,FALSE),"")</f>
        <v/>
      </c>
      <c r="J1360" s="325" t="str">
        <f>IFERROR(VLOOKUP($D1360,'SDDA Dogs'!$A:$AE,6,FALSE),"")</f>
        <v/>
      </c>
      <c r="K1360" s="325" t="str">
        <f>IF(Advanced!AS74="","",Advanced!AS74)</f>
        <v/>
      </c>
      <c r="L1360" s="325" t="str">
        <f>IF(Advanced!AT74="","",Advanced!AT74)</f>
        <v/>
      </c>
      <c r="M1360" s="326" t="str">
        <f>TrialDateDay2</f>
        <v/>
      </c>
      <c r="N1360" s="325" t="str">
        <f t="shared" si="1235"/>
        <v/>
      </c>
      <c r="O1360" s="325">
        <f>JudgeD2ESA</f>
        <v>0</v>
      </c>
    </row>
    <row r="1361" spans="1:15" x14ac:dyDescent="0.25">
      <c r="A1361" s="2">
        <v>2</v>
      </c>
      <c r="B1361" s="2">
        <f t="shared" si="1234"/>
        <v>0</v>
      </c>
      <c r="C1361" s="2" t="str">
        <f t="shared" si="1234"/>
        <v>ESA</v>
      </c>
      <c r="D1361" s="2">
        <f t="shared" si="1234"/>
        <v>0</v>
      </c>
      <c r="E1361" s="2" t="str">
        <f t="shared" si="1234"/>
        <v>A</v>
      </c>
      <c r="F1361" s="2" t="str">
        <f t="shared" si="1234"/>
        <v>Exterior Advanced</v>
      </c>
      <c r="G1361" s="2" t="str">
        <f t="shared" si="1234"/>
        <v/>
      </c>
      <c r="H1361" s="2" t="str">
        <f t="shared" si="1234"/>
        <v/>
      </c>
      <c r="I1361" s="2" t="str">
        <f t="shared" si="1234"/>
        <v/>
      </c>
      <c r="J1361" s="2" t="str">
        <f t="shared" si="1234"/>
        <v/>
      </c>
      <c r="K1361" s="2" t="str">
        <f t="shared" si="1234"/>
        <v/>
      </c>
      <c r="L1361" s="2" t="str">
        <f t="shared" si="1234"/>
        <v/>
      </c>
      <c r="M1361" s="180" t="str">
        <f t="shared" si="1234"/>
        <v/>
      </c>
      <c r="N1361" s="2" t="str">
        <f t="shared" si="1235"/>
        <v/>
      </c>
      <c r="O1361" s="2">
        <f t="shared" si="1234"/>
        <v>0</v>
      </c>
    </row>
    <row r="1362" spans="1:15" x14ac:dyDescent="0.25">
      <c r="A1362" s="325">
        <v>1</v>
      </c>
      <c r="B1362" s="325">
        <f>TrialNumberDay2</f>
        <v>0</v>
      </c>
      <c r="C1362" s="325" t="s">
        <v>20</v>
      </c>
      <c r="D1362" s="325">
        <f>Advanced!C75</f>
        <v>0</v>
      </c>
      <c r="E1362" s="325" t="str">
        <f>IF(Advanced!B75="W","W","A")</f>
        <v>A</v>
      </c>
      <c r="F1362" s="325" t="s">
        <v>1739</v>
      </c>
      <c r="G1362" s="325" t="str">
        <f>IF(Advanced!W75="e","Y","")</f>
        <v/>
      </c>
      <c r="H1362" s="325" t="str">
        <f>IFERROR(VLOOKUP($D1362,'SDDA Dogs'!$A:$AE,2,FALSE),"")</f>
        <v/>
      </c>
      <c r="I1362" s="325" t="str">
        <f>IFERROR(VLOOKUP($D1362,'SDDA Dogs'!$A:$AE,3,FALSE),"")</f>
        <v/>
      </c>
      <c r="J1362" s="325" t="str">
        <f>IFERROR(VLOOKUP($D1362,'SDDA Dogs'!$A:$AE,6,FALSE),"")</f>
        <v/>
      </c>
      <c r="K1362" s="325" t="str">
        <f>IF(Advanced!AS75="","",Advanced!AS75)</f>
        <v/>
      </c>
      <c r="L1362" s="325" t="str">
        <f>IF(Advanced!AT75="","",Advanced!AT75)</f>
        <v/>
      </c>
      <c r="M1362" s="326" t="str">
        <f>TrialDateDay2</f>
        <v/>
      </c>
      <c r="N1362" s="325" t="str">
        <f t="shared" si="1235"/>
        <v/>
      </c>
      <c r="O1362" s="325">
        <f>JudgeD2ESA</f>
        <v>0</v>
      </c>
    </row>
    <row r="1363" spans="1:15" x14ac:dyDescent="0.25">
      <c r="A1363" s="2">
        <v>2</v>
      </c>
      <c r="B1363" s="2">
        <f t="shared" si="1234"/>
        <v>0</v>
      </c>
      <c r="C1363" s="2" t="str">
        <f t="shared" si="1234"/>
        <v>ESA</v>
      </c>
      <c r="D1363" s="2">
        <f t="shared" si="1234"/>
        <v>0</v>
      </c>
      <c r="E1363" s="2" t="str">
        <f t="shared" si="1234"/>
        <v>A</v>
      </c>
      <c r="F1363" s="2" t="str">
        <f t="shared" si="1234"/>
        <v>Exterior Advanced</v>
      </c>
      <c r="G1363" s="2" t="str">
        <f t="shared" si="1234"/>
        <v/>
      </c>
      <c r="H1363" s="2" t="str">
        <f t="shared" si="1234"/>
        <v/>
      </c>
      <c r="I1363" s="2" t="str">
        <f t="shared" si="1234"/>
        <v/>
      </c>
      <c r="J1363" s="2" t="str">
        <f t="shared" si="1234"/>
        <v/>
      </c>
      <c r="K1363" s="2" t="str">
        <f t="shared" si="1234"/>
        <v/>
      </c>
      <c r="L1363" s="2" t="str">
        <f t="shared" si="1234"/>
        <v/>
      </c>
      <c r="M1363" s="180" t="str">
        <f t="shared" si="1234"/>
        <v/>
      </c>
      <c r="N1363" s="2" t="str">
        <f t="shared" si="1235"/>
        <v/>
      </c>
      <c r="O1363" s="2">
        <f t="shared" si="1234"/>
        <v>0</v>
      </c>
    </row>
    <row r="1364" spans="1:15" x14ac:dyDescent="0.25">
      <c r="A1364" s="325">
        <v>1</v>
      </c>
      <c r="B1364" s="325">
        <f>TrialNumberDay2</f>
        <v>0</v>
      </c>
      <c r="C1364" s="325" t="s">
        <v>20</v>
      </c>
      <c r="D1364" s="325">
        <f>Advanced!C76</f>
        <v>0</v>
      </c>
      <c r="E1364" s="325" t="str">
        <f>IF(Advanced!B76="W","W","A")</f>
        <v>A</v>
      </c>
      <c r="F1364" s="325" t="s">
        <v>1739</v>
      </c>
      <c r="G1364" s="325" t="str">
        <f>IF(Advanced!W76="e","Y","")</f>
        <v/>
      </c>
      <c r="H1364" s="325" t="str">
        <f>IFERROR(VLOOKUP($D1364,'SDDA Dogs'!$A:$AE,2,FALSE),"")</f>
        <v/>
      </c>
      <c r="I1364" s="325" t="str">
        <f>IFERROR(VLOOKUP($D1364,'SDDA Dogs'!$A:$AE,3,FALSE),"")</f>
        <v/>
      </c>
      <c r="J1364" s="325" t="str">
        <f>IFERROR(VLOOKUP($D1364,'SDDA Dogs'!$A:$AE,6,FALSE),"")</f>
        <v/>
      </c>
      <c r="K1364" s="325" t="str">
        <f>IF(Advanced!AS76="","",Advanced!AS76)</f>
        <v/>
      </c>
      <c r="L1364" s="325" t="str">
        <f>IF(Advanced!AT76="","",Advanced!AT76)</f>
        <v/>
      </c>
      <c r="M1364" s="326" t="str">
        <f>TrialDateDay2</f>
        <v/>
      </c>
      <c r="N1364" s="325" t="str">
        <f t="shared" si="1235"/>
        <v/>
      </c>
      <c r="O1364" s="325">
        <f>JudgeD2ESA</f>
        <v>0</v>
      </c>
    </row>
    <row r="1365" spans="1:15" x14ac:dyDescent="0.25">
      <c r="A1365" s="2">
        <v>2</v>
      </c>
      <c r="B1365" s="2">
        <f t="shared" si="1234"/>
        <v>0</v>
      </c>
      <c r="C1365" s="2" t="str">
        <f t="shared" si="1234"/>
        <v>ESA</v>
      </c>
      <c r="D1365" s="2">
        <f t="shared" si="1234"/>
        <v>0</v>
      </c>
      <c r="E1365" s="2" t="str">
        <f t="shared" si="1234"/>
        <v>A</v>
      </c>
      <c r="F1365" s="2" t="str">
        <f t="shared" si="1234"/>
        <v>Exterior Advanced</v>
      </c>
      <c r="G1365" s="2" t="str">
        <f t="shared" si="1234"/>
        <v/>
      </c>
      <c r="H1365" s="2" t="str">
        <f t="shared" si="1234"/>
        <v/>
      </c>
      <c r="I1365" s="2" t="str">
        <f t="shared" si="1234"/>
        <v/>
      </c>
      <c r="J1365" s="2" t="str">
        <f t="shared" si="1234"/>
        <v/>
      </c>
      <c r="K1365" s="2" t="str">
        <f t="shared" si="1234"/>
        <v/>
      </c>
      <c r="L1365" s="2" t="str">
        <f t="shared" si="1234"/>
        <v/>
      </c>
      <c r="M1365" s="180" t="str">
        <f t="shared" si="1234"/>
        <v/>
      </c>
      <c r="N1365" s="2" t="str">
        <f t="shared" si="1235"/>
        <v/>
      </c>
      <c r="O1365" s="2">
        <f t="shared" si="1234"/>
        <v>0</v>
      </c>
    </row>
    <row r="1366" spans="1:15" x14ac:dyDescent="0.25">
      <c r="A1366" s="325">
        <v>1</v>
      </c>
      <c r="B1366" s="325">
        <f>TrialNumberDay2</f>
        <v>0</v>
      </c>
      <c r="C1366" s="325" t="s">
        <v>20</v>
      </c>
      <c r="D1366" s="325">
        <f>Advanced!C77</f>
        <v>0</v>
      </c>
      <c r="E1366" s="325" t="str">
        <f>IF(Advanced!B77="W","W","A")</f>
        <v>A</v>
      </c>
      <c r="F1366" s="325" t="s">
        <v>1739</v>
      </c>
      <c r="G1366" s="325" t="str">
        <f>IF(Advanced!W77="e","Y","")</f>
        <v/>
      </c>
      <c r="H1366" s="325" t="str">
        <f>IFERROR(VLOOKUP($D1366,'SDDA Dogs'!$A:$AE,2,FALSE),"")</f>
        <v/>
      </c>
      <c r="I1366" s="325" t="str">
        <f>IFERROR(VLOOKUP($D1366,'SDDA Dogs'!$A:$AE,3,FALSE),"")</f>
        <v/>
      </c>
      <c r="J1366" s="325" t="str">
        <f>IFERROR(VLOOKUP($D1366,'SDDA Dogs'!$A:$AE,6,FALSE),"")</f>
        <v/>
      </c>
      <c r="K1366" s="325" t="str">
        <f>IF(Advanced!AS77="","",Advanced!AS77)</f>
        <v/>
      </c>
      <c r="L1366" s="325" t="str">
        <f>IF(Advanced!AT77="","",Advanced!AT77)</f>
        <v/>
      </c>
      <c r="M1366" s="326" t="str">
        <f>TrialDateDay2</f>
        <v/>
      </c>
      <c r="N1366" s="325" t="str">
        <f t="shared" si="1235"/>
        <v/>
      </c>
      <c r="O1366" s="325">
        <f>JudgeD2ESA</f>
        <v>0</v>
      </c>
    </row>
    <row r="1367" spans="1:15" x14ac:dyDescent="0.25">
      <c r="A1367" s="2">
        <v>2</v>
      </c>
      <c r="B1367" s="2">
        <f t="shared" si="1234"/>
        <v>0</v>
      </c>
      <c r="C1367" s="2" t="str">
        <f t="shared" si="1234"/>
        <v>ESA</v>
      </c>
      <c r="D1367" s="2">
        <f t="shared" si="1234"/>
        <v>0</v>
      </c>
      <c r="E1367" s="2" t="str">
        <f t="shared" si="1234"/>
        <v>A</v>
      </c>
      <c r="F1367" s="2" t="str">
        <f t="shared" si="1234"/>
        <v>Exterior Advanced</v>
      </c>
      <c r="G1367" s="2" t="str">
        <f t="shared" si="1234"/>
        <v/>
      </c>
      <c r="H1367" s="2" t="str">
        <f t="shared" si="1234"/>
        <v/>
      </c>
      <c r="I1367" s="2" t="str">
        <f t="shared" si="1234"/>
        <v/>
      </c>
      <c r="J1367" s="2" t="str">
        <f t="shared" si="1234"/>
        <v/>
      </c>
      <c r="K1367" s="2" t="str">
        <f t="shared" si="1234"/>
        <v/>
      </c>
      <c r="L1367" s="2" t="str">
        <f t="shared" si="1234"/>
        <v/>
      </c>
      <c r="M1367" s="180" t="str">
        <f t="shared" si="1234"/>
        <v/>
      </c>
      <c r="N1367" s="2" t="str">
        <f t="shared" si="1235"/>
        <v/>
      </c>
      <c r="O1367" s="2">
        <f t="shared" si="1234"/>
        <v>0</v>
      </c>
    </row>
    <row r="1368" spans="1:15" x14ac:dyDescent="0.25">
      <c r="A1368" s="325">
        <v>1</v>
      </c>
      <c r="B1368" s="325">
        <f>TrialNumberDay2</f>
        <v>0</v>
      </c>
      <c r="C1368" s="325" t="s">
        <v>20</v>
      </c>
      <c r="D1368" s="325">
        <f>Advanced!C78</f>
        <v>0</v>
      </c>
      <c r="E1368" s="325" t="str">
        <f>IF(Advanced!B78="W","W","A")</f>
        <v>A</v>
      </c>
      <c r="F1368" s="325" t="s">
        <v>1739</v>
      </c>
      <c r="G1368" s="325" t="str">
        <f>IF(Advanced!W78="e","Y","")</f>
        <v/>
      </c>
      <c r="H1368" s="325" t="str">
        <f>IFERROR(VLOOKUP($D1368,'SDDA Dogs'!$A:$AE,2,FALSE),"")</f>
        <v/>
      </c>
      <c r="I1368" s="325" t="str">
        <f>IFERROR(VLOOKUP($D1368,'SDDA Dogs'!$A:$AE,3,FALSE),"")</f>
        <v/>
      </c>
      <c r="J1368" s="325" t="str">
        <f>IFERROR(VLOOKUP($D1368,'SDDA Dogs'!$A:$AE,6,FALSE),"")</f>
        <v/>
      </c>
      <c r="K1368" s="325" t="str">
        <f>IF(Advanced!AS78="","",Advanced!AS78)</f>
        <v/>
      </c>
      <c r="L1368" s="325" t="str">
        <f>IF(Advanced!AT78="","",Advanced!AT78)</f>
        <v/>
      </c>
      <c r="M1368" s="326" t="str">
        <f>TrialDateDay2</f>
        <v/>
      </c>
      <c r="N1368" s="325" t="str">
        <f t="shared" si="1235"/>
        <v/>
      </c>
      <c r="O1368" s="325">
        <f>JudgeD2ESA</f>
        <v>0</v>
      </c>
    </row>
    <row r="1369" spans="1:15" x14ac:dyDescent="0.25">
      <c r="A1369" s="2">
        <v>2</v>
      </c>
      <c r="B1369" s="2">
        <f t="shared" si="1234"/>
        <v>0</v>
      </c>
      <c r="C1369" s="2" t="str">
        <f t="shared" si="1234"/>
        <v>ESA</v>
      </c>
      <c r="D1369" s="2">
        <f t="shared" si="1234"/>
        <v>0</v>
      </c>
      <c r="E1369" s="2" t="str">
        <f t="shared" si="1234"/>
        <v>A</v>
      </c>
      <c r="F1369" s="2" t="str">
        <f t="shared" si="1234"/>
        <v>Exterior Advanced</v>
      </c>
      <c r="G1369" s="2" t="str">
        <f t="shared" si="1234"/>
        <v/>
      </c>
      <c r="H1369" s="2" t="str">
        <f t="shared" si="1234"/>
        <v/>
      </c>
      <c r="I1369" s="2" t="str">
        <f t="shared" si="1234"/>
        <v/>
      </c>
      <c r="J1369" s="2" t="str">
        <f t="shared" si="1234"/>
        <v/>
      </c>
      <c r="K1369" s="2" t="str">
        <f t="shared" si="1234"/>
        <v/>
      </c>
      <c r="L1369" s="2" t="str">
        <f t="shared" si="1234"/>
        <v/>
      </c>
      <c r="M1369" s="180" t="str">
        <f t="shared" si="1234"/>
        <v/>
      </c>
      <c r="N1369" s="2" t="str">
        <f t="shared" si="1235"/>
        <v/>
      </c>
      <c r="O1369" s="2">
        <f t="shared" si="1234"/>
        <v>0</v>
      </c>
    </row>
    <row r="1370" spans="1:15" x14ac:dyDescent="0.25">
      <c r="A1370" s="325">
        <v>1</v>
      </c>
      <c r="B1370" s="325">
        <f>TrialNumberDay2</f>
        <v>0</v>
      </c>
      <c r="C1370" s="325" t="s">
        <v>20</v>
      </c>
      <c r="D1370" s="325">
        <f>Advanced!C79</f>
        <v>0</v>
      </c>
      <c r="E1370" s="325" t="str">
        <f>IF(Advanced!B79="W","W","A")</f>
        <v>A</v>
      </c>
      <c r="F1370" s="325" t="s">
        <v>1739</v>
      </c>
      <c r="G1370" s="325" t="str">
        <f>IF(Advanced!W79="e","Y","")</f>
        <v/>
      </c>
      <c r="H1370" s="325" t="str">
        <f>IFERROR(VLOOKUP($D1370,'SDDA Dogs'!$A:$AE,2,FALSE),"")</f>
        <v/>
      </c>
      <c r="I1370" s="325" t="str">
        <f>IFERROR(VLOOKUP($D1370,'SDDA Dogs'!$A:$AE,3,FALSE),"")</f>
        <v/>
      </c>
      <c r="J1370" s="325" t="str">
        <f>IFERROR(VLOOKUP($D1370,'SDDA Dogs'!$A:$AE,6,FALSE),"")</f>
        <v/>
      </c>
      <c r="K1370" s="325" t="str">
        <f>IF(Advanced!AS79="","",Advanced!AS79)</f>
        <v/>
      </c>
      <c r="L1370" s="325" t="str">
        <f>IF(Advanced!AT79="","",Advanced!AT79)</f>
        <v/>
      </c>
      <c r="M1370" s="326" t="str">
        <f>TrialDateDay2</f>
        <v/>
      </c>
      <c r="N1370" s="325" t="str">
        <f t="shared" si="1235"/>
        <v/>
      </c>
      <c r="O1370" s="325">
        <f>JudgeD2ESA</f>
        <v>0</v>
      </c>
    </row>
    <row r="1371" spans="1:15" x14ac:dyDescent="0.25">
      <c r="A1371" s="2">
        <v>2</v>
      </c>
      <c r="B1371" s="2">
        <f t="shared" si="1234"/>
        <v>0</v>
      </c>
      <c r="C1371" s="2" t="str">
        <f t="shared" si="1234"/>
        <v>ESA</v>
      </c>
      <c r="D1371" s="2">
        <f t="shared" si="1234"/>
        <v>0</v>
      </c>
      <c r="E1371" s="2" t="str">
        <f t="shared" si="1234"/>
        <v>A</v>
      </c>
      <c r="F1371" s="2" t="str">
        <f t="shared" si="1234"/>
        <v>Exterior Advanced</v>
      </c>
      <c r="G1371" s="2" t="str">
        <f t="shared" si="1234"/>
        <v/>
      </c>
      <c r="H1371" s="2" t="str">
        <f t="shared" si="1234"/>
        <v/>
      </c>
      <c r="I1371" s="2" t="str">
        <f t="shared" si="1234"/>
        <v/>
      </c>
      <c r="J1371" s="2" t="str">
        <f t="shared" si="1234"/>
        <v/>
      </c>
      <c r="K1371" s="2" t="str">
        <f t="shared" si="1234"/>
        <v/>
      </c>
      <c r="L1371" s="2" t="str">
        <f t="shared" si="1234"/>
        <v/>
      </c>
      <c r="M1371" s="180" t="str">
        <f t="shared" si="1234"/>
        <v/>
      </c>
      <c r="N1371" s="2" t="str">
        <f t="shared" si="1235"/>
        <v/>
      </c>
      <c r="O1371" s="2">
        <f t="shared" si="1234"/>
        <v>0</v>
      </c>
    </row>
    <row r="1372" spans="1:15" x14ac:dyDescent="0.25">
      <c r="A1372" s="325">
        <v>1</v>
      </c>
      <c r="B1372" s="325">
        <f>TrialNumberDay2</f>
        <v>0</v>
      </c>
      <c r="C1372" s="325" t="s">
        <v>20</v>
      </c>
      <c r="D1372" s="325">
        <f>Advanced!C80</f>
        <v>0</v>
      </c>
      <c r="E1372" s="325" t="str">
        <f>IF(Advanced!B80="W","W","A")</f>
        <v>A</v>
      </c>
      <c r="F1372" s="325" t="s">
        <v>1739</v>
      </c>
      <c r="G1372" s="325" t="str">
        <f>IF(Advanced!W80="e","Y","")</f>
        <v/>
      </c>
      <c r="H1372" s="325" t="str">
        <f>IFERROR(VLOOKUP($D1372,'SDDA Dogs'!$A:$AE,2,FALSE),"")</f>
        <v/>
      </c>
      <c r="I1372" s="325" t="str">
        <f>IFERROR(VLOOKUP($D1372,'SDDA Dogs'!$A:$AE,3,FALSE),"")</f>
        <v/>
      </c>
      <c r="J1372" s="325" t="str">
        <f>IFERROR(VLOOKUP($D1372,'SDDA Dogs'!$A:$AE,6,FALSE),"")</f>
        <v/>
      </c>
      <c r="K1372" s="325" t="str">
        <f>IF(Advanced!AS80="","",Advanced!AS80)</f>
        <v/>
      </c>
      <c r="L1372" s="325" t="str">
        <f>IF(Advanced!AT80="","",Advanced!AT80)</f>
        <v/>
      </c>
      <c r="M1372" s="326" t="str">
        <f>TrialDateDay2</f>
        <v/>
      </c>
      <c r="N1372" s="325" t="str">
        <f t="shared" si="1235"/>
        <v/>
      </c>
      <c r="O1372" s="325">
        <f>JudgeD2ESA</f>
        <v>0</v>
      </c>
    </row>
    <row r="1373" spans="1:15" x14ac:dyDescent="0.25">
      <c r="A1373" s="2">
        <v>2</v>
      </c>
      <c r="B1373" s="2">
        <f t="shared" si="1234"/>
        <v>0</v>
      </c>
      <c r="C1373" s="2" t="str">
        <f t="shared" si="1234"/>
        <v>ESA</v>
      </c>
      <c r="D1373" s="2">
        <f t="shared" si="1234"/>
        <v>0</v>
      </c>
      <c r="E1373" s="2" t="str">
        <f t="shared" si="1234"/>
        <v>A</v>
      </c>
      <c r="F1373" s="2" t="str">
        <f t="shared" si="1234"/>
        <v>Exterior Advanced</v>
      </c>
      <c r="G1373" s="2" t="str">
        <f t="shared" si="1234"/>
        <v/>
      </c>
      <c r="H1373" s="2" t="str">
        <f t="shared" si="1234"/>
        <v/>
      </c>
      <c r="I1373" s="2" t="str">
        <f t="shared" si="1234"/>
        <v/>
      </c>
      <c r="J1373" s="2" t="str">
        <f t="shared" si="1234"/>
        <v/>
      </c>
      <c r="K1373" s="2" t="str">
        <f t="shared" si="1234"/>
        <v/>
      </c>
      <c r="L1373" s="2" t="str">
        <f t="shared" si="1234"/>
        <v/>
      </c>
      <c r="M1373" s="180" t="str">
        <f t="shared" si="1234"/>
        <v/>
      </c>
      <c r="N1373" s="2" t="str">
        <f t="shared" si="1235"/>
        <v/>
      </c>
      <c r="O1373" s="2">
        <f t="shared" si="1234"/>
        <v>0</v>
      </c>
    </row>
    <row r="1374" spans="1:15" x14ac:dyDescent="0.25">
      <c r="A1374" s="325">
        <v>1</v>
      </c>
      <c r="B1374" s="325">
        <f>TrialNumberDay2</f>
        <v>0</v>
      </c>
      <c r="C1374" s="325" t="s">
        <v>20</v>
      </c>
      <c r="D1374" s="325">
        <f>Advanced!C81</f>
        <v>0</v>
      </c>
      <c r="E1374" s="325" t="str">
        <f>IF(Advanced!B81="W","W","A")</f>
        <v>A</v>
      </c>
      <c r="F1374" s="325" t="s">
        <v>1739</v>
      </c>
      <c r="G1374" s="325" t="str">
        <f>IF(Advanced!W81="e","Y","")</f>
        <v/>
      </c>
      <c r="H1374" s="325" t="str">
        <f>IFERROR(VLOOKUP($D1374,'SDDA Dogs'!$A:$AE,2,FALSE),"")</f>
        <v/>
      </c>
      <c r="I1374" s="325" t="str">
        <f>IFERROR(VLOOKUP($D1374,'SDDA Dogs'!$A:$AE,3,FALSE),"")</f>
        <v/>
      </c>
      <c r="J1374" s="325" t="str">
        <f>IFERROR(VLOOKUP($D1374,'SDDA Dogs'!$A:$AE,6,FALSE),"")</f>
        <v/>
      </c>
      <c r="K1374" s="325" t="str">
        <f>IF(Advanced!AS81="","",Advanced!AS81)</f>
        <v/>
      </c>
      <c r="L1374" s="325" t="str">
        <f>IF(Advanced!AT81="","",Advanced!AT81)</f>
        <v/>
      </c>
      <c r="M1374" s="326" t="str">
        <f>TrialDateDay2</f>
        <v/>
      </c>
      <c r="N1374" s="325" t="str">
        <f t="shared" si="1235"/>
        <v/>
      </c>
      <c r="O1374" s="325">
        <f>JudgeD2ESA</f>
        <v>0</v>
      </c>
    </row>
    <row r="1375" spans="1:15" x14ac:dyDescent="0.25">
      <c r="A1375" s="2">
        <v>2</v>
      </c>
      <c r="B1375" s="2">
        <f t="shared" si="1234"/>
        <v>0</v>
      </c>
      <c r="C1375" s="2" t="str">
        <f t="shared" si="1234"/>
        <v>ESA</v>
      </c>
      <c r="D1375" s="2">
        <f t="shared" si="1234"/>
        <v>0</v>
      </c>
      <c r="E1375" s="2" t="str">
        <f t="shared" si="1234"/>
        <v>A</v>
      </c>
      <c r="F1375" s="2" t="str">
        <f t="shared" si="1234"/>
        <v>Exterior Advanced</v>
      </c>
      <c r="G1375" s="2" t="str">
        <f t="shared" si="1234"/>
        <v/>
      </c>
      <c r="H1375" s="2" t="str">
        <f t="shared" si="1234"/>
        <v/>
      </c>
      <c r="I1375" s="2" t="str">
        <f t="shared" si="1234"/>
        <v/>
      </c>
      <c r="J1375" s="2" t="str">
        <f t="shared" si="1234"/>
        <v/>
      </c>
      <c r="K1375" s="2" t="str">
        <f t="shared" si="1234"/>
        <v/>
      </c>
      <c r="L1375" s="2" t="str">
        <f t="shared" si="1234"/>
        <v/>
      </c>
      <c r="M1375" s="180" t="str">
        <f t="shared" si="1234"/>
        <v/>
      </c>
      <c r="N1375" s="2" t="str">
        <f t="shared" si="1235"/>
        <v/>
      </c>
      <c r="O1375" s="2">
        <f t="shared" si="1234"/>
        <v>0</v>
      </c>
    </row>
    <row r="1376" spans="1:15" x14ac:dyDescent="0.25">
      <c r="A1376" s="325">
        <v>1</v>
      </c>
      <c r="B1376" s="325">
        <f>TrialNumberDay2</f>
        <v>0</v>
      </c>
      <c r="C1376" s="325" t="s">
        <v>20</v>
      </c>
      <c r="D1376" s="325">
        <f>Advanced!C82</f>
        <v>0</v>
      </c>
      <c r="E1376" s="325" t="str">
        <f>IF(Advanced!B82="W","W","A")</f>
        <v>A</v>
      </c>
      <c r="F1376" s="325" t="s">
        <v>1739</v>
      </c>
      <c r="G1376" s="325" t="str">
        <f>IF(Advanced!W82="e","Y","")</f>
        <v/>
      </c>
      <c r="H1376" s="325" t="str">
        <f>IFERROR(VLOOKUP($D1376,'SDDA Dogs'!$A:$AE,2,FALSE),"")</f>
        <v/>
      </c>
      <c r="I1376" s="325" t="str">
        <f>IFERROR(VLOOKUP($D1376,'SDDA Dogs'!$A:$AE,3,FALSE),"")</f>
        <v/>
      </c>
      <c r="J1376" s="325" t="str">
        <f>IFERROR(VLOOKUP($D1376,'SDDA Dogs'!$A:$AE,6,FALSE),"")</f>
        <v/>
      </c>
      <c r="K1376" s="325" t="str">
        <f>IF(Advanced!AS82="","",Advanced!AS82)</f>
        <v/>
      </c>
      <c r="L1376" s="325" t="str">
        <f>IF(Advanced!AT82="","",Advanced!AT82)</f>
        <v/>
      </c>
      <c r="M1376" s="326" t="str">
        <f>TrialDateDay2</f>
        <v/>
      </c>
      <c r="N1376" s="325" t="str">
        <f t="shared" si="1235"/>
        <v/>
      </c>
      <c r="O1376" s="325">
        <f>JudgeD2ESA</f>
        <v>0</v>
      </c>
    </row>
    <row r="1377" spans="1:15" x14ac:dyDescent="0.25">
      <c r="A1377" s="2">
        <v>2</v>
      </c>
      <c r="B1377" s="2">
        <f t="shared" si="1234"/>
        <v>0</v>
      </c>
      <c r="C1377" s="2" t="str">
        <f t="shared" si="1234"/>
        <v>ESA</v>
      </c>
      <c r="D1377" s="2">
        <f t="shared" si="1234"/>
        <v>0</v>
      </c>
      <c r="E1377" s="2" t="str">
        <f t="shared" si="1234"/>
        <v>A</v>
      </c>
      <c r="F1377" s="2" t="str">
        <f t="shared" si="1234"/>
        <v>Exterior Advanced</v>
      </c>
      <c r="G1377" s="2" t="str">
        <f t="shared" si="1234"/>
        <v/>
      </c>
      <c r="H1377" s="2" t="str">
        <f t="shared" si="1234"/>
        <v/>
      </c>
      <c r="I1377" s="2" t="str">
        <f t="shared" si="1234"/>
        <v/>
      </c>
      <c r="J1377" s="2" t="str">
        <f t="shared" si="1234"/>
        <v/>
      </c>
      <c r="K1377" s="2" t="str">
        <f t="shared" si="1234"/>
        <v/>
      </c>
      <c r="L1377" s="2" t="str">
        <f t="shared" si="1234"/>
        <v/>
      </c>
      <c r="M1377" s="180" t="str">
        <f t="shared" si="1234"/>
        <v/>
      </c>
      <c r="N1377" s="2" t="str">
        <f t="shared" si="1235"/>
        <v/>
      </c>
      <c r="O1377" s="2">
        <f t="shared" si="1234"/>
        <v>0</v>
      </c>
    </row>
    <row r="1378" spans="1:15" x14ac:dyDescent="0.25">
      <c r="A1378" s="325">
        <v>1</v>
      </c>
      <c r="B1378" s="325">
        <f>TrialNumberDay2</f>
        <v>0</v>
      </c>
      <c r="C1378" s="325" t="s">
        <v>20</v>
      </c>
      <c r="D1378" s="325">
        <f>Advanced!C83</f>
        <v>0</v>
      </c>
      <c r="E1378" s="325" t="str">
        <f>IF(Advanced!B83="W","W","A")</f>
        <v>A</v>
      </c>
      <c r="F1378" s="325" t="s">
        <v>1739</v>
      </c>
      <c r="G1378" s="325" t="str">
        <f>IF(Advanced!W83="e","Y","")</f>
        <v/>
      </c>
      <c r="H1378" s="325" t="str">
        <f>IFERROR(VLOOKUP($D1378,'SDDA Dogs'!$A:$AE,2,FALSE),"")</f>
        <v/>
      </c>
      <c r="I1378" s="325" t="str">
        <f>IFERROR(VLOOKUP($D1378,'SDDA Dogs'!$A:$AE,3,FALSE),"")</f>
        <v/>
      </c>
      <c r="J1378" s="325" t="str">
        <f>IFERROR(VLOOKUP($D1378,'SDDA Dogs'!$A:$AE,6,FALSE),"")</f>
        <v/>
      </c>
      <c r="K1378" s="325" t="str">
        <f>IF(Advanced!AS83="","",Advanced!AS83)</f>
        <v/>
      </c>
      <c r="L1378" s="325" t="str">
        <f>IF(Advanced!AT83="","",Advanced!AT83)</f>
        <v/>
      </c>
      <c r="M1378" s="326" t="str">
        <f>TrialDateDay2</f>
        <v/>
      </c>
      <c r="N1378" s="325" t="str">
        <f t="shared" si="1235"/>
        <v/>
      </c>
      <c r="O1378" s="325">
        <f>JudgeD2ESA</f>
        <v>0</v>
      </c>
    </row>
    <row r="1379" spans="1:15" x14ac:dyDescent="0.25">
      <c r="A1379" s="2">
        <v>2</v>
      </c>
      <c r="B1379" s="2">
        <f t="shared" si="1234"/>
        <v>0</v>
      </c>
      <c r="C1379" s="2" t="str">
        <f t="shared" si="1234"/>
        <v>ESA</v>
      </c>
      <c r="D1379" s="2">
        <f t="shared" si="1234"/>
        <v>0</v>
      </c>
      <c r="E1379" s="2" t="str">
        <f t="shared" ref="E1379:O1381" si="1236">E1378</f>
        <v>A</v>
      </c>
      <c r="F1379" s="2" t="str">
        <f t="shared" si="1236"/>
        <v>Exterior Advanced</v>
      </c>
      <c r="G1379" s="2" t="str">
        <f t="shared" si="1236"/>
        <v/>
      </c>
      <c r="H1379" s="2" t="str">
        <f t="shared" si="1236"/>
        <v/>
      </c>
      <c r="I1379" s="2" t="str">
        <f t="shared" si="1236"/>
        <v/>
      </c>
      <c r="J1379" s="2" t="str">
        <f t="shared" si="1236"/>
        <v/>
      </c>
      <c r="K1379" s="2" t="str">
        <f t="shared" si="1236"/>
        <v/>
      </c>
      <c r="L1379" s="2" t="str">
        <f t="shared" si="1236"/>
        <v/>
      </c>
      <c r="M1379" s="180" t="str">
        <f t="shared" si="1236"/>
        <v/>
      </c>
      <c r="N1379" s="2" t="str">
        <f t="shared" si="1235"/>
        <v/>
      </c>
      <c r="O1379" s="2">
        <f t="shared" si="1236"/>
        <v>0</v>
      </c>
    </row>
    <row r="1380" spans="1:15" x14ac:dyDescent="0.25">
      <c r="A1380" s="325">
        <v>1</v>
      </c>
      <c r="B1380" s="325">
        <f>TrialNumberDay2</f>
        <v>0</v>
      </c>
      <c r="C1380" s="325" t="s">
        <v>20</v>
      </c>
      <c r="D1380" s="325">
        <f>Advanced!C84</f>
        <v>0</v>
      </c>
      <c r="E1380" s="325" t="str">
        <f>IF(Advanced!B84="W","W","A")</f>
        <v>A</v>
      </c>
      <c r="F1380" s="325" t="s">
        <v>1739</v>
      </c>
      <c r="G1380" s="325" t="str">
        <f>IF(Advanced!W84="e","Y","")</f>
        <v/>
      </c>
      <c r="H1380" s="325" t="str">
        <f>IFERROR(VLOOKUP($D1380,'SDDA Dogs'!$A:$AE,2,FALSE),"")</f>
        <v/>
      </c>
      <c r="I1380" s="325" t="str">
        <f>IFERROR(VLOOKUP($D1380,'SDDA Dogs'!$A:$AE,3,FALSE),"")</f>
        <v/>
      </c>
      <c r="J1380" s="325" t="str">
        <f>IFERROR(VLOOKUP($D1380,'SDDA Dogs'!$A:$AE,6,FALSE),"")</f>
        <v/>
      </c>
      <c r="K1380" s="325" t="str">
        <f>IF(Advanced!AS84="","",Advanced!AS84)</f>
        <v/>
      </c>
      <c r="L1380" s="325" t="str">
        <f>IF(Advanced!AT84="","",Advanced!AT84)</f>
        <v/>
      </c>
      <c r="M1380" s="326" t="str">
        <f>TrialDateDay2</f>
        <v/>
      </c>
      <c r="N1380" s="325" t="str">
        <f t="shared" si="1235"/>
        <v/>
      </c>
      <c r="O1380" s="325">
        <f>JudgeD2ESA</f>
        <v>0</v>
      </c>
    </row>
    <row r="1381" spans="1:15" x14ac:dyDescent="0.25">
      <c r="A1381" s="2">
        <v>2</v>
      </c>
      <c r="B1381" s="2">
        <f t="shared" ref="B1381:D1381" si="1237">B1380</f>
        <v>0</v>
      </c>
      <c r="C1381" s="2" t="str">
        <f t="shared" si="1237"/>
        <v>ESA</v>
      </c>
      <c r="D1381" s="2">
        <f t="shared" si="1237"/>
        <v>0</v>
      </c>
      <c r="E1381" s="2" t="str">
        <f t="shared" si="1236"/>
        <v>A</v>
      </c>
      <c r="F1381" s="2" t="str">
        <f t="shared" si="1236"/>
        <v>Exterior Advanced</v>
      </c>
      <c r="G1381" s="2" t="str">
        <f t="shared" si="1236"/>
        <v/>
      </c>
      <c r="H1381" s="2" t="str">
        <f t="shared" si="1236"/>
        <v/>
      </c>
      <c r="I1381" s="2" t="str">
        <f t="shared" si="1236"/>
        <v/>
      </c>
      <c r="J1381" s="2" t="str">
        <f t="shared" si="1236"/>
        <v/>
      </c>
      <c r="K1381" s="2" t="str">
        <f t="shared" si="1236"/>
        <v/>
      </c>
      <c r="L1381" s="2" t="str">
        <f t="shared" si="1236"/>
        <v/>
      </c>
      <c r="M1381" s="180" t="str">
        <f t="shared" si="1236"/>
        <v/>
      </c>
      <c r="N1381" s="2" t="str">
        <f t="shared" si="1235"/>
        <v/>
      </c>
      <c r="O1381" s="2">
        <f t="shared" si="1236"/>
        <v>0</v>
      </c>
    </row>
    <row r="1382" spans="1:15" x14ac:dyDescent="0.25">
      <c r="A1382" s="325">
        <v>1</v>
      </c>
      <c r="B1382" s="325">
        <f>TrialNumberDay2</f>
        <v>0</v>
      </c>
      <c r="C1382" s="325" t="s">
        <v>20</v>
      </c>
      <c r="D1382" s="325">
        <f>Advanced!C85</f>
        <v>0</v>
      </c>
      <c r="E1382" s="325" t="str">
        <f>IF(Advanced!B85="W","W","A")</f>
        <v>A</v>
      </c>
      <c r="F1382" s="325" t="s">
        <v>1739</v>
      </c>
      <c r="G1382" s="325" t="str">
        <f>IF(Advanced!W85="e","Y","")</f>
        <v/>
      </c>
      <c r="H1382" s="325" t="str">
        <f>IFERROR(VLOOKUP($D1382,'SDDA Dogs'!$A:$AE,2,FALSE),"")</f>
        <v/>
      </c>
      <c r="I1382" s="325" t="str">
        <f>IFERROR(VLOOKUP($D1382,'SDDA Dogs'!$A:$AE,3,FALSE),"")</f>
        <v/>
      </c>
      <c r="J1382" s="325" t="str">
        <f>IFERROR(VLOOKUP($D1382,'SDDA Dogs'!$A:$AE,6,FALSE),"")</f>
        <v/>
      </c>
      <c r="K1382" s="325" t="str">
        <f>IF(Advanced!AS85="","",Advanced!AS85)</f>
        <v/>
      </c>
      <c r="L1382" s="325" t="str">
        <f>IF(Advanced!AT85="","",Advanced!AT85)</f>
        <v/>
      </c>
      <c r="M1382" s="326" t="str">
        <f>TrialDateDay2</f>
        <v/>
      </c>
      <c r="N1382" s="325" t="str">
        <f t="shared" si="1235"/>
        <v/>
      </c>
      <c r="O1382" s="325">
        <f>JudgeD2ESA</f>
        <v>0</v>
      </c>
    </row>
    <row r="1383" spans="1:15" x14ac:dyDescent="0.25">
      <c r="A1383" s="2">
        <v>2</v>
      </c>
      <c r="B1383" s="2">
        <f t="shared" ref="B1383:O1383" si="1238">B1382</f>
        <v>0</v>
      </c>
      <c r="C1383" s="2" t="str">
        <f t="shared" si="1238"/>
        <v>ESA</v>
      </c>
      <c r="D1383" s="2">
        <f t="shared" si="1238"/>
        <v>0</v>
      </c>
      <c r="E1383" s="2" t="str">
        <f t="shared" si="1238"/>
        <v>A</v>
      </c>
      <c r="F1383" s="2" t="str">
        <f t="shared" si="1238"/>
        <v>Exterior Advanced</v>
      </c>
      <c r="G1383" s="2" t="str">
        <f t="shared" si="1238"/>
        <v/>
      </c>
      <c r="H1383" s="2" t="str">
        <f t="shared" si="1238"/>
        <v/>
      </c>
      <c r="I1383" s="2" t="str">
        <f t="shared" si="1238"/>
        <v/>
      </c>
      <c r="J1383" s="2" t="str">
        <f t="shared" si="1238"/>
        <v/>
      </c>
      <c r="K1383" s="2" t="str">
        <f t="shared" si="1238"/>
        <v/>
      </c>
      <c r="L1383" s="2" t="str">
        <f t="shared" si="1238"/>
        <v/>
      </c>
      <c r="M1383" s="180" t="str">
        <f t="shared" si="1238"/>
        <v/>
      </c>
      <c r="N1383" s="2" t="str">
        <f t="shared" si="1235"/>
        <v/>
      </c>
      <c r="O1383" s="2">
        <f t="shared" si="1238"/>
        <v>0</v>
      </c>
    </row>
    <row r="1384" spans="1:15" x14ac:dyDescent="0.25">
      <c r="A1384" s="325">
        <v>1</v>
      </c>
      <c r="B1384" s="325">
        <f>TrialNumberDay2</f>
        <v>0</v>
      </c>
      <c r="C1384" s="325" t="s">
        <v>20</v>
      </c>
      <c r="D1384" s="325">
        <f>Advanced!C86</f>
        <v>0</v>
      </c>
      <c r="E1384" s="325" t="str">
        <f>IF(Advanced!B86="W","W","A")</f>
        <v>A</v>
      </c>
      <c r="F1384" s="325" t="s">
        <v>1739</v>
      </c>
      <c r="G1384" s="325" t="str">
        <f>IF(Advanced!W86="e","Y","")</f>
        <v/>
      </c>
      <c r="H1384" s="325" t="str">
        <f>IFERROR(VLOOKUP($D1384,'SDDA Dogs'!$A:$AE,2,FALSE),"")</f>
        <v/>
      </c>
      <c r="I1384" s="325" t="str">
        <f>IFERROR(VLOOKUP($D1384,'SDDA Dogs'!$A:$AE,3,FALSE),"")</f>
        <v/>
      </c>
      <c r="J1384" s="325" t="str">
        <f>IFERROR(VLOOKUP($D1384,'SDDA Dogs'!$A:$AE,6,FALSE),"")</f>
        <v/>
      </c>
      <c r="K1384" s="325" t="str">
        <f>IF(Advanced!AS86="","",Advanced!AS86)</f>
        <v/>
      </c>
      <c r="L1384" s="325" t="str">
        <f>IF(Advanced!AT86="","",Advanced!AT86)</f>
        <v/>
      </c>
      <c r="M1384" s="326" t="str">
        <f>TrialDateDay2</f>
        <v/>
      </c>
      <c r="N1384" s="325" t="str">
        <f t="shared" si="1235"/>
        <v/>
      </c>
      <c r="O1384" s="325">
        <f>JudgeD2ESA</f>
        <v>0</v>
      </c>
    </row>
    <row r="1385" spans="1:15" x14ac:dyDescent="0.25">
      <c r="A1385" s="2">
        <v>2</v>
      </c>
      <c r="B1385" s="2">
        <f t="shared" ref="B1385:O1385" si="1239">B1384</f>
        <v>0</v>
      </c>
      <c r="C1385" s="2" t="str">
        <f t="shared" si="1239"/>
        <v>ESA</v>
      </c>
      <c r="D1385" s="2">
        <f t="shared" si="1239"/>
        <v>0</v>
      </c>
      <c r="E1385" s="2" t="str">
        <f t="shared" si="1239"/>
        <v>A</v>
      </c>
      <c r="F1385" s="2" t="str">
        <f t="shared" si="1239"/>
        <v>Exterior Advanced</v>
      </c>
      <c r="G1385" s="2" t="str">
        <f t="shared" si="1239"/>
        <v/>
      </c>
      <c r="H1385" s="2" t="str">
        <f t="shared" si="1239"/>
        <v/>
      </c>
      <c r="I1385" s="2" t="str">
        <f t="shared" si="1239"/>
        <v/>
      </c>
      <c r="J1385" s="2" t="str">
        <f t="shared" si="1239"/>
        <v/>
      </c>
      <c r="K1385" s="2" t="str">
        <f t="shared" si="1239"/>
        <v/>
      </c>
      <c r="L1385" s="2" t="str">
        <f t="shared" si="1239"/>
        <v/>
      </c>
      <c r="M1385" s="180" t="str">
        <f t="shared" si="1239"/>
        <v/>
      </c>
      <c r="N1385" s="2" t="str">
        <f t="shared" si="1235"/>
        <v/>
      </c>
      <c r="O1385" s="2">
        <f t="shared" si="1239"/>
        <v>0</v>
      </c>
    </row>
    <row r="1386" spans="1:15" x14ac:dyDescent="0.25">
      <c r="A1386" s="325">
        <v>1</v>
      </c>
      <c r="B1386" s="325">
        <f>TrialNumberDay2</f>
        <v>0</v>
      </c>
      <c r="C1386" s="325" t="s">
        <v>20</v>
      </c>
      <c r="D1386" s="325">
        <f>Advanced!C87</f>
        <v>0</v>
      </c>
      <c r="E1386" s="325" t="str">
        <f>IF(Advanced!B87="W","W","A")</f>
        <v>A</v>
      </c>
      <c r="F1386" s="325" t="s">
        <v>1739</v>
      </c>
      <c r="G1386" s="325" t="str">
        <f>IF(Advanced!W87="e","Y","")</f>
        <v/>
      </c>
      <c r="H1386" s="325" t="str">
        <f>IFERROR(VLOOKUP($D1386,'SDDA Dogs'!$A:$AE,2,FALSE),"")</f>
        <v/>
      </c>
      <c r="I1386" s="325" t="str">
        <f>IFERROR(VLOOKUP($D1386,'SDDA Dogs'!$A:$AE,3,FALSE),"")</f>
        <v/>
      </c>
      <c r="J1386" s="325" t="str">
        <f>IFERROR(VLOOKUP($D1386,'SDDA Dogs'!$A:$AE,6,FALSE),"")</f>
        <v/>
      </c>
      <c r="K1386" s="325" t="str">
        <f>IF(Advanced!AS87="","",Advanced!AS87)</f>
        <v/>
      </c>
      <c r="L1386" s="325" t="str">
        <f>IF(Advanced!AT87="","",Advanced!AT87)</f>
        <v/>
      </c>
      <c r="M1386" s="326" t="str">
        <f>TrialDateDay2</f>
        <v/>
      </c>
      <c r="N1386" s="325" t="str">
        <f t="shared" si="1235"/>
        <v/>
      </c>
      <c r="O1386" s="325">
        <f>JudgeD2ESA</f>
        <v>0</v>
      </c>
    </row>
    <row r="1387" spans="1:15" x14ac:dyDescent="0.25">
      <c r="A1387" s="2">
        <v>2</v>
      </c>
      <c r="B1387" s="2">
        <f t="shared" ref="B1387:O1387" si="1240">B1386</f>
        <v>0</v>
      </c>
      <c r="C1387" s="2" t="str">
        <f t="shared" si="1240"/>
        <v>ESA</v>
      </c>
      <c r="D1387" s="2">
        <f t="shared" si="1240"/>
        <v>0</v>
      </c>
      <c r="E1387" s="2" t="str">
        <f t="shared" si="1240"/>
        <v>A</v>
      </c>
      <c r="F1387" s="2" t="str">
        <f t="shared" si="1240"/>
        <v>Exterior Advanced</v>
      </c>
      <c r="G1387" s="2" t="str">
        <f t="shared" si="1240"/>
        <v/>
      </c>
      <c r="H1387" s="2" t="str">
        <f t="shared" si="1240"/>
        <v/>
      </c>
      <c r="I1387" s="2" t="str">
        <f t="shared" si="1240"/>
        <v/>
      </c>
      <c r="J1387" s="2" t="str">
        <f t="shared" si="1240"/>
        <v/>
      </c>
      <c r="K1387" s="2" t="str">
        <f t="shared" si="1240"/>
        <v/>
      </c>
      <c r="L1387" s="2" t="str">
        <f t="shared" si="1240"/>
        <v/>
      </c>
      <c r="M1387" s="180" t="str">
        <f t="shared" si="1240"/>
        <v/>
      </c>
      <c r="N1387" s="2" t="str">
        <f t="shared" si="1235"/>
        <v/>
      </c>
      <c r="O1387" s="2">
        <f t="shared" si="1240"/>
        <v>0</v>
      </c>
    </row>
    <row r="1388" spans="1:15" x14ac:dyDescent="0.25">
      <c r="A1388" s="325">
        <v>1</v>
      </c>
      <c r="B1388" s="325">
        <f>TrialNumberDay2</f>
        <v>0</v>
      </c>
      <c r="C1388" s="325" t="s">
        <v>20</v>
      </c>
      <c r="D1388" s="325">
        <f>Advanced!C88</f>
        <v>0</v>
      </c>
      <c r="E1388" s="325" t="str">
        <f>IF(Advanced!B88="W","W","A")</f>
        <v>A</v>
      </c>
      <c r="F1388" s="325" t="s">
        <v>1739</v>
      </c>
      <c r="G1388" s="325" t="str">
        <f>IF(Advanced!W88="e","Y","")</f>
        <v/>
      </c>
      <c r="H1388" s="325" t="str">
        <f>IFERROR(VLOOKUP($D1388,'SDDA Dogs'!$A:$AE,2,FALSE),"")</f>
        <v/>
      </c>
      <c r="I1388" s="325" t="str">
        <f>IFERROR(VLOOKUP($D1388,'SDDA Dogs'!$A:$AE,3,FALSE),"")</f>
        <v/>
      </c>
      <c r="J1388" s="325" t="str">
        <f>IFERROR(VLOOKUP($D1388,'SDDA Dogs'!$A:$AE,6,FALSE),"")</f>
        <v/>
      </c>
      <c r="K1388" s="325" t="str">
        <f>IF(Advanced!AS88="","",Advanced!AS88)</f>
        <v/>
      </c>
      <c r="L1388" s="325" t="str">
        <f>IF(Advanced!AT88="","",Advanced!AT88)</f>
        <v/>
      </c>
      <c r="M1388" s="326" t="str">
        <f>TrialDateDay2</f>
        <v/>
      </c>
      <c r="N1388" s="325" t="str">
        <f t="shared" si="1235"/>
        <v/>
      </c>
      <c r="O1388" s="325">
        <f>JudgeD2ESA</f>
        <v>0</v>
      </c>
    </row>
    <row r="1389" spans="1:15" x14ac:dyDescent="0.25">
      <c r="A1389" s="2">
        <v>2</v>
      </c>
      <c r="B1389" s="2">
        <f t="shared" ref="B1389:O1389" si="1241">B1388</f>
        <v>0</v>
      </c>
      <c r="C1389" s="2" t="str">
        <f t="shared" si="1241"/>
        <v>ESA</v>
      </c>
      <c r="D1389" s="2">
        <f t="shared" si="1241"/>
        <v>0</v>
      </c>
      <c r="E1389" s="2" t="str">
        <f t="shared" si="1241"/>
        <v>A</v>
      </c>
      <c r="F1389" s="2" t="str">
        <f t="shared" si="1241"/>
        <v>Exterior Advanced</v>
      </c>
      <c r="G1389" s="2" t="str">
        <f t="shared" si="1241"/>
        <v/>
      </c>
      <c r="H1389" s="2" t="str">
        <f t="shared" si="1241"/>
        <v/>
      </c>
      <c r="I1389" s="2" t="str">
        <f t="shared" si="1241"/>
        <v/>
      </c>
      <c r="J1389" s="2" t="str">
        <f t="shared" si="1241"/>
        <v/>
      </c>
      <c r="K1389" s="2" t="str">
        <f t="shared" si="1241"/>
        <v/>
      </c>
      <c r="L1389" s="2" t="str">
        <f t="shared" si="1241"/>
        <v/>
      </c>
      <c r="M1389" s="180" t="str">
        <f t="shared" si="1241"/>
        <v/>
      </c>
      <c r="N1389" s="2" t="str">
        <f t="shared" si="1235"/>
        <v/>
      </c>
      <c r="O1389" s="2">
        <f t="shared" si="1241"/>
        <v>0</v>
      </c>
    </row>
    <row r="1390" spans="1:15" x14ac:dyDescent="0.25">
      <c r="A1390" s="325">
        <v>1</v>
      </c>
      <c r="B1390" s="325">
        <f>TrialNumberDay2</f>
        <v>0</v>
      </c>
      <c r="C1390" s="325" t="s">
        <v>20</v>
      </c>
      <c r="D1390" s="325">
        <f>Advanced!C89</f>
        <v>0</v>
      </c>
      <c r="E1390" s="325" t="str">
        <f>IF(Advanced!B89="W","W","A")</f>
        <v>A</v>
      </c>
      <c r="F1390" s="325" t="s">
        <v>1739</v>
      </c>
      <c r="G1390" s="325" t="str">
        <f>IF(Advanced!W89="e","Y","")</f>
        <v/>
      </c>
      <c r="H1390" s="325" t="str">
        <f>IFERROR(VLOOKUP($D1390,'SDDA Dogs'!$A:$AE,2,FALSE),"")</f>
        <v/>
      </c>
      <c r="I1390" s="325" t="str">
        <f>IFERROR(VLOOKUP($D1390,'SDDA Dogs'!$A:$AE,3,FALSE),"")</f>
        <v/>
      </c>
      <c r="J1390" s="325" t="str">
        <f>IFERROR(VLOOKUP($D1390,'SDDA Dogs'!$A:$AE,6,FALSE),"")</f>
        <v/>
      </c>
      <c r="K1390" s="325" t="str">
        <f>IF(Advanced!AS89="","",Advanced!AS89)</f>
        <v/>
      </c>
      <c r="L1390" s="325" t="str">
        <f>IF(Advanced!AT89="","",Advanced!AT89)</f>
        <v/>
      </c>
      <c r="M1390" s="326" t="str">
        <f>TrialDateDay2</f>
        <v/>
      </c>
      <c r="N1390" s="325" t="str">
        <f t="shared" si="1235"/>
        <v/>
      </c>
      <c r="O1390" s="325">
        <f>JudgeD2ESA</f>
        <v>0</v>
      </c>
    </row>
    <row r="1391" spans="1:15" x14ac:dyDescent="0.25">
      <c r="A1391" s="2">
        <v>2</v>
      </c>
      <c r="B1391" s="2">
        <f t="shared" ref="B1391:O1391" si="1242">B1390</f>
        <v>0</v>
      </c>
      <c r="C1391" s="2" t="str">
        <f t="shared" si="1242"/>
        <v>ESA</v>
      </c>
      <c r="D1391" s="2">
        <f t="shared" si="1242"/>
        <v>0</v>
      </c>
      <c r="E1391" s="2" t="str">
        <f t="shared" si="1242"/>
        <v>A</v>
      </c>
      <c r="F1391" s="2" t="str">
        <f t="shared" si="1242"/>
        <v>Exterior Advanced</v>
      </c>
      <c r="G1391" s="2" t="str">
        <f t="shared" si="1242"/>
        <v/>
      </c>
      <c r="H1391" s="2" t="str">
        <f t="shared" si="1242"/>
        <v/>
      </c>
      <c r="I1391" s="2" t="str">
        <f t="shared" si="1242"/>
        <v/>
      </c>
      <c r="J1391" s="2" t="str">
        <f t="shared" si="1242"/>
        <v/>
      </c>
      <c r="K1391" s="2" t="str">
        <f t="shared" si="1242"/>
        <v/>
      </c>
      <c r="L1391" s="2" t="str">
        <f t="shared" si="1242"/>
        <v/>
      </c>
      <c r="M1391" s="180" t="str">
        <f t="shared" si="1242"/>
        <v/>
      </c>
      <c r="N1391" s="2" t="str">
        <f t="shared" si="1235"/>
        <v/>
      </c>
      <c r="O1391" s="2">
        <f t="shared" si="1242"/>
        <v>0</v>
      </c>
    </row>
    <row r="1392" spans="1:15" x14ac:dyDescent="0.25">
      <c r="A1392" s="325">
        <v>1</v>
      </c>
      <c r="B1392" s="325">
        <f>TrialNumberDay2</f>
        <v>0</v>
      </c>
      <c r="C1392" s="325" t="s">
        <v>20</v>
      </c>
      <c r="D1392" s="325">
        <f>Advanced!C90</f>
        <v>0</v>
      </c>
      <c r="E1392" s="325" t="str">
        <f>IF(Advanced!B90="W","W","A")</f>
        <v>A</v>
      </c>
      <c r="F1392" s="325" t="s">
        <v>1739</v>
      </c>
      <c r="G1392" s="325" t="str">
        <f>IF(Advanced!W90="e","Y","")</f>
        <v/>
      </c>
      <c r="H1392" s="325" t="str">
        <f>IFERROR(VLOOKUP($D1392,'SDDA Dogs'!$A:$AE,2,FALSE),"")</f>
        <v/>
      </c>
      <c r="I1392" s="325" t="str">
        <f>IFERROR(VLOOKUP($D1392,'SDDA Dogs'!$A:$AE,3,FALSE),"")</f>
        <v/>
      </c>
      <c r="J1392" s="325" t="str">
        <f>IFERROR(VLOOKUP($D1392,'SDDA Dogs'!$A:$AE,6,FALSE),"")</f>
        <v/>
      </c>
      <c r="K1392" s="325" t="str">
        <f>IF(Advanced!AS90="","",Advanced!AS90)</f>
        <v/>
      </c>
      <c r="L1392" s="325" t="str">
        <f>IF(Advanced!AT90="","",Advanced!AT90)</f>
        <v/>
      </c>
      <c r="M1392" s="326" t="str">
        <f>TrialDateDay2</f>
        <v/>
      </c>
      <c r="N1392" s="325" t="str">
        <f t="shared" si="1235"/>
        <v/>
      </c>
      <c r="O1392" s="325">
        <f>JudgeD2ESA</f>
        <v>0</v>
      </c>
    </row>
    <row r="1393" spans="1:15" x14ac:dyDescent="0.25">
      <c r="A1393" s="2">
        <v>2</v>
      </c>
      <c r="B1393" s="2">
        <f t="shared" ref="B1393:O1393" si="1243">B1392</f>
        <v>0</v>
      </c>
      <c r="C1393" s="2" t="str">
        <f t="shared" si="1243"/>
        <v>ESA</v>
      </c>
      <c r="D1393" s="2">
        <f t="shared" si="1243"/>
        <v>0</v>
      </c>
      <c r="E1393" s="2" t="str">
        <f t="shared" si="1243"/>
        <v>A</v>
      </c>
      <c r="F1393" s="2" t="str">
        <f t="shared" si="1243"/>
        <v>Exterior Advanced</v>
      </c>
      <c r="G1393" s="2" t="str">
        <f t="shared" si="1243"/>
        <v/>
      </c>
      <c r="H1393" s="2" t="str">
        <f t="shared" si="1243"/>
        <v/>
      </c>
      <c r="I1393" s="2" t="str">
        <f t="shared" si="1243"/>
        <v/>
      </c>
      <c r="J1393" s="2" t="str">
        <f t="shared" si="1243"/>
        <v/>
      </c>
      <c r="K1393" s="2" t="str">
        <f t="shared" si="1243"/>
        <v/>
      </c>
      <c r="L1393" s="2" t="str">
        <f t="shared" si="1243"/>
        <v/>
      </c>
      <c r="M1393" s="180" t="str">
        <f t="shared" si="1243"/>
        <v/>
      </c>
      <c r="N1393" s="2" t="str">
        <f t="shared" si="1235"/>
        <v/>
      </c>
      <c r="O1393" s="2">
        <f t="shared" si="1243"/>
        <v>0</v>
      </c>
    </row>
    <row r="1394" spans="1:15" x14ac:dyDescent="0.25">
      <c r="A1394" s="325">
        <v>1</v>
      </c>
      <c r="B1394" s="325">
        <f>TrialNumberDay2</f>
        <v>0</v>
      </c>
      <c r="C1394" s="325" t="s">
        <v>20</v>
      </c>
      <c r="D1394" s="325">
        <f>Advanced!C91</f>
        <v>0</v>
      </c>
      <c r="E1394" s="325" t="str">
        <f>IF(Advanced!B91="W","W","A")</f>
        <v>A</v>
      </c>
      <c r="F1394" s="325" t="s">
        <v>1739</v>
      </c>
      <c r="G1394" s="325" t="str">
        <f>IF(Advanced!W91="e","Y","")</f>
        <v/>
      </c>
      <c r="H1394" s="325" t="str">
        <f>IFERROR(VLOOKUP($D1394,'SDDA Dogs'!$A:$AE,2,FALSE),"")</f>
        <v/>
      </c>
      <c r="I1394" s="325" t="str">
        <f>IFERROR(VLOOKUP($D1394,'SDDA Dogs'!$A:$AE,3,FALSE),"")</f>
        <v/>
      </c>
      <c r="J1394" s="325" t="str">
        <f>IFERROR(VLOOKUP($D1394,'SDDA Dogs'!$A:$AE,6,FALSE),"")</f>
        <v/>
      </c>
      <c r="K1394" s="325" t="str">
        <f>IF(Advanced!AS91="","",Advanced!AS91)</f>
        <v/>
      </c>
      <c r="L1394" s="325" t="str">
        <f>IF(Advanced!AT91="","",Advanced!AT91)</f>
        <v/>
      </c>
      <c r="M1394" s="326" t="str">
        <f>TrialDateDay2</f>
        <v/>
      </c>
      <c r="N1394" s="325" t="str">
        <f t="shared" si="1235"/>
        <v/>
      </c>
      <c r="O1394" s="325">
        <f>JudgeD2ESA</f>
        <v>0</v>
      </c>
    </row>
    <row r="1395" spans="1:15" x14ac:dyDescent="0.25">
      <c r="A1395" s="2">
        <v>2</v>
      </c>
      <c r="B1395" s="2">
        <f t="shared" ref="B1395:O1395" si="1244">B1394</f>
        <v>0</v>
      </c>
      <c r="C1395" s="2" t="str">
        <f t="shared" si="1244"/>
        <v>ESA</v>
      </c>
      <c r="D1395" s="2">
        <f t="shared" si="1244"/>
        <v>0</v>
      </c>
      <c r="E1395" s="2" t="str">
        <f t="shared" si="1244"/>
        <v>A</v>
      </c>
      <c r="F1395" s="2" t="str">
        <f t="shared" si="1244"/>
        <v>Exterior Advanced</v>
      </c>
      <c r="G1395" s="2" t="str">
        <f t="shared" si="1244"/>
        <v/>
      </c>
      <c r="H1395" s="2" t="str">
        <f t="shared" si="1244"/>
        <v/>
      </c>
      <c r="I1395" s="2" t="str">
        <f t="shared" si="1244"/>
        <v/>
      </c>
      <c r="J1395" s="2" t="str">
        <f t="shared" si="1244"/>
        <v/>
      </c>
      <c r="K1395" s="2" t="str">
        <f t="shared" si="1244"/>
        <v/>
      </c>
      <c r="L1395" s="2" t="str">
        <f t="shared" si="1244"/>
        <v/>
      </c>
      <c r="M1395" s="180" t="str">
        <f t="shared" si="1244"/>
        <v/>
      </c>
      <c r="N1395" s="2" t="str">
        <f t="shared" si="1235"/>
        <v/>
      </c>
      <c r="O1395" s="2">
        <f t="shared" si="1244"/>
        <v>0</v>
      </c>
    </row>
    <row r="1396" spans="1:15" x14ac:dyDescent="0.25">
      <c r="A1396" s="325">
        <v>1</v>
      </c>
      <c r="B1396" s="325">
        <f>TrialNumberDay2</f>
        <v>0</v>
      </c>
      <c r="C1396" s="325" t="s">
        <v>20</v>
      </c>
      <c r="D1396" s="325">
        <f>Advanced!C92</f>
        <v>0</v>
      </c>
      <c r="E1396" s="325" t="str">
        <f>IF(Advanced!B92="W","W","A")</f>
        <v>A</v>
      </c>
      <c r="F1396" s="325" t="s">
        <v>1739</v>
      </c>
      <c r="G1396" s="325" t="str">
        <f>IF(Advanced!W92="e","Y","")</f>
        <v/>
      </c>
      <c r="H1396" s="325" t="str">
        <f>IFERROR(VLOOKUP($D1396,'SDDA Dogs'!$A:$AE,2,FALSE),"")</f>
        <v/>
      </c>
      <c r="I1396" s="325" t="str">
        <f>IFERROR(VLOOKUP($D1396,'SDDA Dogs'!$A:$AE,3,FALSE),"")</f>
        <v/>
      </c>
      <c r="J1396" s="325" t="str">
        <f>IFERROR(VLOOKUP($D1396,'SDDA Dogs'!$A:$AE,6,FALSE),"")</f>
        <v/>
      </c>
      <c r="K1396" s="325" t="str">
        <f>IF(Advanced!AS92="","",Advanced!AS92)</f>
        <v/>
      </c>
      <c r="L1396" s="325" t="str">
        <f>IF(Advanced!AT92="","",Advanced!AT92)</f>
        <v/>
      </c>
      <c r="M1396" s="326" t="str">
        <f>TrialDateDay2</f>
        <v/>
      </c>
      <c r="N1396" s="325" t="str">
        <f t="shared" si="1235"/>
        <v/>
      </c>
      <c r="O1396" s="325">
        <f>JudgeD2ESA</f>
        <v>0</v>
      </c>
    </row>
    <row r="1397" spans="1:15" x14ac:dyDescent="0.25">
      <c r="A1397" s="2">
        <v>2</v>
      </c>
      <c r="B1397" s="2">
        <f t="shared" ref="B1397:O1397" si="1245">B1396</f>
        <v>0</v>
      </c>
      <c r="C1397" s="2" t="str">
        <f t="shared" si="1245"/>
        <v>ESA</v>
      </c>
      <c r="D1397" s="2">
        <f t="shared" si="1245"/>
        <v>0</v>
      </c>
      <c r="E1397" s="2" t="str">
        <f t="shared" si="1245"/>
        <v>A</v>
      </c>
      <c r="F1397" s="2" t="str">
        <f t="shared" si="1245"/>
        <v>Exterior Advanced</v>
      </c>
      <c r="G1397" s="2" t="str">
        <f t="shared" si="1245"/>
        <v/>
      </c>
      <c r="H1397" s="2" t="str">
        <f t="shared" si="1245"/>
        <v/>
      </c>
      <c r="I1397" s="2" t="str">
        <f t="shared" si="1245"/>
        <v/>
      </c>
      <c r="J1397" s="2" t="str">
        <f t="shared" si="1245"/>
        <v/>
      </c>
      <c r="K1397" s="2" t="str">
        <f t="shared" si="1245"/>
        <v/>
      </c>
      <c r="L1397" s="2" t="str">
        <f t="shared" si="1245"/>
        <v/>
      </c>
      <c r="M1397" s="180" t="str">
        <f t="shared" si="1245"/>
        <v/>
      </c>
      <c r="N1397" s="2" t="str">
        <f t="shared" si="1235"/>
        <v/>
      </c>
      <c r="O1397" s="2">
        <f t="shared" si="1245"/>
        <v>0</v>
      </c>
    </row>
    <row r="1398" spans="1:15" x14ac:dyDescent="0.25">
      <c r="A1398" s="325">
        <v>1</v>
      </c>
      <c r="B1398" s="325">
        <f>TrialNumberDay2</f>
        <v>0</v>
      </c>
      <c r="C1398" s="325" t="s">
        <v>20</v>
      </c>
      <c r="D1398" s="325">
        <f>Advanced!C93</f>
        <v>0</v>
      </c>
      <c r="E1398" s="325" t="str">
        <f>IF(Advanced!B93="W","W","A")</f>
        <v>A</v>
      </c>
      <c r="F1398" s="325" t="s">
        <v>1739</v>
      </c>
      <c r="G1398" s="325" t="str">
        <f>IF(Advanced!W93="e","Y","")</f>
        <v/>
      </c>
      <c r="H1398" s="325" t="str">
        <f>IFERROR(VLOOKUP($D1398,'SDDA Dogs'!$A:$AE,2,FALSE),"")</f>
        <v/>
      </c>
      <c r="I1398" s="325" t="str">
        <f>IFERROR(VLOOKUP($D1398,'SDDA Dogs'!$A:$AE,3,FALSE),"")</f>
        <v/>
      </c>
      <c r="J1398" s="325" t="str">
        <f>IFERROR(VLOOKUP($D1398,'SDDA Dogs'!$A:$AE,6,FALSE),"")</f>
        <v/>
      </c>
      <c r="K1398" s="325" t="str">
        <f>IF(Advanced!AS93="","",Advanced!AS93)</f>
        <v/>
      </c>
      <c r="L1398" s="325" t="str">
        <f>IF(Advanced!AT93="","",Advanced!AT93)</f>
        <v/>
      </c>
      <c r="M1398" s="326" t="str">
        <f>TrialDateDay2</f>
        <v/>
      </c>
      <c r="N1398" s="325" t="str">
        <f t="shared" si="1235"/>
        <v/>
      </c>
      <c r="O1398" s="325">
        <f>JudgeD2ESA</f>
        <v>0</v>
      </c>
    </row>
    <row r="1399" spans="1:15" x14ac:dyDescent="0.25">
      <c r="A1399" s="2">
        <v>2</v>
      </c>
      <c r="B1399" s="2">
        <f t="shared" ref="B1399:O1399" si="1246">B1398</f>
        <v>0</v>
      </c>
      <c r="C1399" s="2" t="str">
        <f t="shared" si="1246"/>
        <v>ESA</v>
      </c>
      <c r="D1399" s="2">
        <f t="shared" si="1246"/>
        <v>0</v>
      </c>
      <c r="E1399" s="2" t="str">
        <f t="shared" si="1246"/>
        <v>A</v>
      </c>
      <c r="F1399" s="2" t="str">
        <f t="shared" si="1246"/>
        <v>Exterior Advanced</v>
      </c>
      <c r="G1399" s="2" t="str">
        <f t="shared" si="1246"/>
        <v/>
      </c>
      <c r="H1399" s="2" t="str">
        <f t="shared" si="1246"/>
        <v/>
      </c>
      <c r="I1399" s="2" t="str">
        <f t="shared" si="1246"/>
        <v/>
      </c>
      <c r="J1399" s="2" t="str">
        <f t="shared" si="1246"/>
        <v/>
      </c>
      <c r="K1399" s="2" t="str">
        <f t="shared" si="1246"/>
        <v/>
      </c>
      <c r="L1399" s="2" t="str">
        <f t="shared" si="1246"/>
        <v/>
      </c>
      <c r="M1399" s="180" t="str">
        <f t="shared" si="1246"/>
        <v/>
      </c>
      <c r="N1399" s="2" t="str">
        <f t="shared" si="1235"/>
        <v/>
      </c>
      <c r="O1399" s="2">
        <f t="shared" si="1246"/>
        <v>0</v>
      </c>
    </row>
    <row r="1400" spans="1:15" x14ac:dyDescent="0.25">
      <c r="A1400" s="325">
        <v>1</v>
      </c>
      <c r="B1400" s="325">
        <f>TrialNumberDay2</f>
        <v>0</v>
      </c>
      <c r="C1400" s="325" t="s">
        <v>20</v>
      </c>
      <c r="D1400" s="325">
        <f>Advanced!C94</f>
        <v>0</v>
      </c>
      <c r="E1400" s="325" t="str">
        <f>IF(Advanced!B94="W","W","A")</f>
        <v>A</v>
      </c>
      <c r="F1400" s="325" t="s">
        <v>1739</v>
      </c>
      <c r="G1400" s="325" t="str">
        <f>IF(Advanced!W94="e","Y","")</f>
        <v/>
      </c>
      <c r="H1400" s="325" t="str">
        <f>IFERROR(VLOOKUP($D1400,'SDDA Dogs'!$A:$AE,2,FALSE),"")</f>
        <v/>
      </c>
      <c r="I1400" s="325" t="str">
        <f>IFERROR(VLOOKUP($D1400,'SDDA Dogs'!$A:$AE,3,FALSE),"")</f>
        <v/>
      </c>
      <c r="J1400" s="325" t="str">
        <f>IFERROR(VLOOKUP($D1400,'SDDA Dogs'!$A:$AE,6,FALSE),"")</f>
        <v/>
      </c>
      <c r="K1400" s="325" t="str">
        <f>IF(Advanced!AS94="","",Advanced!AS94)</f>
        <v/>
      </c>
      <c r="L1400" s="325" t="str">
        <f>IF(Advanced!AT94="","",Advanced!AT94)</f>
        <v/>
      </c>
      <c r="M1400" s="326" t="str">
        <f>TrialDateDay2</f>
        <v/>
      </c>
      <c r="N1400" s="325" t="str">
        <f t="shared" si="1235"/>
        <v/>
      </c>
      <c r="O1400" s="325">
        <f>JudgeD2ESA</f>
        <v>0</v>
      </c>
    </row>
    <row r="1401" spans="1:15" x14ac:dyDescent="0.25">
      <c r="A1401" s="2">
        <v>2</v>
      </c>
      <c r="B1401" s="2">
        <f t="shared" ref="B1401:O1401" si="1247">B1400</f>
        <v>0</v>
      </c>
      <c r="C1401" s="2" t="str">
        <f t="shared" si="1247"/>
        <v>ESA</v>
      </c>
      <c r="D1401" s="2">
        <f t="shared" si="1247"/>
        <v>0</v>
      </c>
      <c r="E1401" s="2" t="str">
        <f t="shared" si="1247"/>
        <v>A</v>
      </c>
      <c r="F1401" s="2" t="str">
        <f t="shared" si="1247"/>
        <v>Exterior Advanced</v>
      </c>
      <c r="G1401" s="2" t="str">
        <f t="shared" si="1247"/>
        <v/>
      </c>
      <c r="H1401" s="2" t="str">
        <f t="shared" si="1247"/>
        <v/>
      </c>
      <c r="I1401" s="2" t="str">
        <f t="shared" si="1247"/>
        <v/>
      </c>
      <c r="J1401" s="2" t="str">
        <f t="shared" si="1247"/>
        <v/>
      </c>
      <c r="K1401" s="2" t="str">
        <f t="shared" si="1247"/>
        <v/>
      </c>
      <c r="L1401" s="2" t="str">
        <f t="shared" si="1247"/>
        <v/>
      </c>
      <c r="M1401" s="180" t="str">
        <f t="shared" si="1247"/>
        <v/>
      </c>
      <c r="N1401" s="2" t="str">
        <f t="shared" si="1235"/>
        <v/>
      </c>
      <c r="O1401" s="2">
        <f t="shared" si="1247"/>
        <v>0</v>
      </c>
    </row>
    <row r="1402" spans="1:15" x14ac:dyDescent="0.25">
      <c r="A1402" s="325">
        <v>1</v>
      </c>
      <c r="B1402" s="325">
        <f>TrialNumberDay2</f>
        <v>0</v>
      </c>
      <c r="C1402" s="325" t="s">
        <v>20</v>
      </c>
      <c r="D1402" s="325">
        <f>Advanced!C95</f>
        <v>0</v>
      </c>
      <c r="E1402" s="325" t="str">
        <f>IF(Advanced!B95="W","W","A")</f>
        <v>A</v>
      </c>
      <c r="F1402" s="325" t="s">
        <v>1739</v>
      </c>
      <c r="G1402" s="325" t="str">
        <f>IF(Advanced!W95="e","Y","")</f>
        <v/>
      </c>
      <c r="H1402" s="325" t="str">
        <f>IFERROR(VLOOKUP($D1402,'SDDA Dogs'!$A:$AE,2,FALSE),"")</f>
        <v/>
      </c>
      <c r="I1402" s="325" t="str">
        <f>IFERROR(VLOOKUP($D1402,'SDDA Dogs'!$A:$AE,3,FALSE),"")</f>
        <v/>
      </c>
      <c r="J1402" s="325" t="str">
        <f>IFERROR(VLOOKUP($D1402,'SDDA Dogs'!$A:$AE,6,FALSE),"")</f>
        <v/>
      </c>
      <c r="K1402" s="325" t="str">
        <f>IF(Advanced!AS95="","",Advanced!AS95)</f>
        <v/>
      </c>
      <c r="L1402" s="325" t="str">
        <f>IF(Advanced!AT95="","",Advanced!AT95)</f>
        <v/>
      </c>
      <c r="M1402" s="326" t="str">
        <f>TrialDateDay2</f>
        <v/>
      </c>
      <c r="N1402" s="325" t="str">
        <f t="shared" si="1235"/>
        <v/>
      </c>
      <c r="O1402" s="325">
        <f>JudgeD2ESA</f>
        <v>0</v>
      </c>
    </row>
    <row r="1403" spans="1:15" x14ac:dyDescent="0.25">
      <c r="A1403" s="2">
        <v>2</v>
      </c>
      <c r="B1403" s="2">
        <f t="shared" ref="B1403:O1403" si="1248">B1402</f>
        <v>0</v>
      </c>
      <c r="C1403" s="2" t="str">
        <f t="shared" si="1248"/>
        <v>ESA</v>
      </c>
      <c r="D1403" s="2">
        <f t="shared" si="1248"/>
        <v>0</v>
      </c>
      <c r="E1403" s="2" t="str">
        <f t="shared" si="1248"/>
        <v>A</v>
      </c>
      <c r="F1403" s="2" t="str">
        <f t="shared" si="1248"/>
        <v>Exterior Advanced</v>
      </c>
      <c r="G1403" s="2" t="str">
        <f t="shared" si="1248"/>
        <v/>
      </c>
      <c r="H1403" s="2" t="str">
        <f t="shared" si="1248"/>
        <v/>
      </c>
      <c r="I1403" s="2" t="str">
        <f t="shared" si="1248"/>
        <v/>
      </c>
      <c r="J1403" s="2" t="str">
        <f t="shared" si="1248"/>
        <v/>
      </c>
      <c r="K1403" s="2" t="str">
        <f t="shared" si="1248"/>
        <v/>
      </c>
      <c r="L1403" s="2" t="str">
        <f t="shared" si="1248"/>
        <v/>
      </c>
      <c r="M1403" s="180" t="str">
        <f t="shared" si="1248"/>
        <v/>
      </c>
      <c r="N1403" s="2" t="str">
        <f t="shared" si="1235"/>
        <v/>
      </c>
      <c r="O1403" s="2">
        <f t="shared" si="1248"/>
        <v>0</v>
      </c>
    </row>
    <row r="1404" spans="1:15" x14ac:dyDescent="0.25">
      <c r="A1404" s="325">
        <v>1</v>
      </c>
      <c r="B1404" s="325">
        <f>TrialNumberDay2</f>
        <v>0</v>
      </c>
      <c r="C1404" s="325" t="s">
        <v>20</v>
      </c>
      <c r="D1404" s="325">
        <f>Advanced!C96</f>
        <v>0</v>
      </c>
      <c r="E1404" s="325" t="str">
        <f>IF(Advanced!B96="W","W","A")</f>
        <v>A</v>
      </c>
      <c r="F1404" s="325" t="s">
        <v>1739</v>
      </c>
      <c r="G1404" s="325" t="str">
        <f>IF(Advanced!W96="e","Y","")</f>
        <v/>
      </c>
      <c r="H1404" s="325" t="str">
        <f>IFERROR(VLOOKUP($D1404,'SDDA Dogs'!$A:$AE,2,FALSE),"")</f>
        <v/>
      </c>
      <c r="I1404" s="325" t="str">
        <f>IFERROR(VLOOKUP($D1404,'SDDA Dogs'!$A:$AE,3,FALSE),"")</f>
        <v/>
      </c>
      <c r="J1404" s="325" t="str">
        <f>IFERROR(VLOOKUP($D1404,'SDDA Dogs'!$A:$AE,6,FALSE),"")</f>
        <v/>
      </c>
      <c r="K1404" s="325" t="str">
        <f>IF(Advanced!AS96="","",Advanced!AS96)</f>
        <v/>
      </c>
      <c r="L1404" s="325" t="str">
        <f>IF(Advanced!AT96="","",Advanced!AT96)</f>
        <v/>
      </c>
      <c r="M1404" s="326" t="str">
        <f>TrialDateDay2</f>
        <v/>
      </c>
      <c r="N1404" s="325" t="str">
        <f t="shared" si="1235"/>
        <v/>
      </c>
      <c r="O1404" s="325">
        <f>JudgeD2ESA</f>
        <v>0</v>
      </c>
    </row>
    <row r="1405" spans="1:15" x14ac:dyDescent="0.25">
      <c r="A1405" s="2">
        <v>2</v>
      </c>
      <c r="B1405" s="2">
        <f t="shared" ref="B1405:O1405" si="1249">B1404</f>
        <v>0</v>
      </c>
      <c r="C1405" s="2" t="str">
        <f t="shared" si="1249"/>
        <v>ESA</v>
      </c>
      <c r="D1405" s="2">
        <f t="shared" si="1249"/>
        <v>0</v>
      </c>
      <c r="E1405" s="2" t="str">
        <f t="shared" si="1249"/>
        <v>A</v>
      </c>
      <c r="F1405" s="2" t="str">
        <f t="shared" si="1249"/>
        <v>Exterior Advanced</v>
      </c>
      <c r="G1405" s="2" t="str">
        <f t="shared" si="1249"/>
        <v/>
      </c>
      <c r="H1405" s="2" t="str">
        <f t="shared" si="1249"/>
        <v/>
      </c>
      <c r="I1405" s="2" t="str">
        <f t="shared" si="1249"/>
        <v/>
      </c>
      <c r="J1405" s="2" t="str">
        <f t="shared" si="1249"/>
        <v/>
      </c>
      <c r="K1405" s="2" t="str">
        <f t="shared" si="1249"/>
        <v/>
      </c>
      <c r="L1405" s="2" t="str">
        <f t="shared" si="1249"/>
        <v/>
      </c>
      <c r="M1405" s="180" t="str">
        <f t="shared" si="1249"/>
        <v/>
      </c>
      <c r="N1405" s="2" t="str">
        <f t="shared" si="1235"/>
        <v/>
      </c>
      <c r="O1405" s="2">
        <f t="shared" si="1249"/>
        <v>0</v>
      </c>
    </row>
    <row r="1406" spans="1:15" x14ac:dyDescent="0.25">
      <c r="A1406" s="325">
        <v>1</v>
      </c>
      <c r="B1406" s="325">
        <f>TrialNumberDay2</f>
        <v>0</v>
      </c>
      <c r="C1406" s="325" t="s">
        <v>20</v>
      </c>
      <c r="D1406" s="325">
        <f>Advanced!C97</f>
        <v>0</v>
      </c>
      <c r="E1406" s="325" t="str">
        <f>IF(Advanced!B97="W","W","A")</f>
        <v>A</v>
      </c>
      <c r="F1406" s="325" t="s">
        <v>1739</v>
      </c>
      <c r="G1406" s="325" t="str">
        <f>IF(Advanced!W97="e","Y","")</f>
        <v/>
      </c>
      <c r="H1406" s="325" t="str">
        <f>IFERROR(VLOOKUP($D1406,'SDDA Dogs'!$A:$AE,2,FALSE),"")</f>
        <v/>
      </c>
      <c r="I1406" s="325" t="str">
        <f>IFERROR(VLOOKUP($D1406,'SDDA Dogs'!$A:$AE,3,FALSE),"")</f>
        <v/>
      </c>
      <c r="J1406" s="325" t="str">
        <f>IFERROR(VLOOKUP($D1406,'SDDA Dogs'!$A:$AE,6,FALSE),"")</f>
        <v/>
      </c>
      <c r="K1406" s="325" t="str">
        <f>IF(Advanced!AS97="","",Advanced!AS97)</f>
        <v/>
      </c>
      <c r="L1406" s="325" t="str">
        <f>IF(Advanced!AT97="","",Advanced!AT97)</f>
        <v/>
      </c>
      <c r="M1406" s="326" t="str">
        <f>TrialDateDay2</f>
        <v/>
      </c>
      <c r="N1406" s="325" t="str">
        <f t="shared" si="1235"/>
        <v/>
      </c>
      <c r="O1406" s="325">
        <f>JudgeD2ESA</f>
        <v>0</v>
      </c>
    </row>
    <row r="1407" spans="1:15" x14ac:dyDescent="0.25">
      <c r="A1407" s="2">
        <v>2</v>
      </c>
      <c r="B1407" s="2">
        <f t="shared" ref="B1407:O1407" si="1250">B1406</f>
        <v>0</v>
      </c>
      <c r="C1407" s="2" t="str">
        <f t="shared" si="1250"/>
        <v>ESA</v>
      </c>
      <c r="D1407" s="2">
        <f t="shared" si="1250"/>
        <v>0</v>
      </c>
      <c r="E1407" s="2" t="str">
        <f t="shared" si="1250"/>
        <v>A</v>
      </c>
      <c r="F1407" s="2" t="str">
        <f t="shared" si="1250"/>
        <v>Exterior Advanced</v>
      </c>
      <c r="G1407" s="2" t="str">
        <f t="shared" si="1250"/>
        <v/>
      </c>
      <c r="H1407" s="2" t="str">
        <f t="shared" si="1250"/>
        <v/>
      </c>
      <c r="I1407" s="2" t="str">
        <f t="shared" si="1250"/>
        <v/>
      </c>
      <c r="J1407" s="2" t="str">
        <f t="shared" si="1250"/>
        <v/>
      </c>
      <c r="K1407" s="2" t="str">
        <f t="shared" si="1250"/>
        <v/>
      </c>
      <c r="L1407" s="2" t="str">
        <f t="shared" si="1250"/>
        <v/>
      </c>
      <c r="M1407" s="180" t="str">
        <f t="shared" si="1250"/>
        <v/>
      </c>
      <c r="N1407" s="2" t="str">
        <f t="shared" si="1235"/>
        <v/>
      </c>
      <c r="O1407" s="2">
        <f t="shared" si="1250"/>
        <v>0</v>
      </c>
    </row>
    <row r="1408" spans="1:15" x14ac:dyDescent="0.25">
      <c r="A1408" s="325">
        <v>1</v>
      </c>
      <c r="B1408" s="325">
        <f>TrialNumberDay2</f>
        <v>0</v>
      </c>
      <c r="C1408" s="325" t="s">
        <v>20</v>
      </c>
      <c r="D1408" s="325">
        <f>Advanced!C98</f>
        <v>0</v>
      </c>
      <c r="E1408" s="325" t="str">
        <f>IF(Advanced!B98="W","W","A")</f>
        <v>A</v>
      </c>
      <c r="F1408" s="325" t="s">
        <v>1739</v>
      </c>
      <c r="G1408" s="325" t="str">
        <f>IF(Advanced!W98="e","Y","")</f>
        <v/>
      </c>
      <c r="H1408" s="325" t="str">
        <f>IFERROR(VLOOKUP($D1408,'SDDA Dogs'!$A:$AE,2,FALSE),"")</f>
        <v/>
      </c>
      <c r="I1408" s="325" t="str">
        <f>IFERROR(VLOOKUP($D1408,'SDDA Dogs'!$A:$AE,3,FALSE),"")</f>
        <v/>
      </c>
      <c r="J1408" s="325" t="str">
        <f>IFERROR(VLOOKUP($D1408,'SDDA Dogs'!$A:$AE,6,FALSE),"")</f>
        <v/>
      </c>
      <c r="K1408" s="325" t="str">
        <f>IF(Advanced!AS98="","",Advanced!AS98)</f>
        <v/>
      </c>
      <c r="L1408" s="325" t="str">
        <f>IF(Advanced!AT98="","",Advanced!AT98)</f>
        <v/>
      </c>
      <c r="M1408" s="326" t="str">
        <f>TrialDateDay2</f>
        <v/>
      </c>
      <c r="N1408" s="325" t="str">
        <f t="shared" si="1235"/>
        <v/>
      </c>
      <c r="O1408" s="325">
        <f>JudgeD2ESA</f>
        <v>0</v>
      </c>
    </row>
    <row r="1409" spans="1:15" x14ac:dyDescent="0.25">
      <c r="A1409" s="2">
        <v>2</v>
      </c>
      <c r="B1409" s="2">
        <f t="shared" ref="B1409:O1409" si="1251">B1408</f>
        <v>0</v>
      </c>
      <c r="C1409" s="2" t="str">
        <f t="shared" si="1251"/>
        <v>ESA</v>
      </c>
      <c r="D1409" s="2">
        <f t="shared" si="1251"/>
        <v>0</v>
      </c>
      <c r="E1409" s="2" t="str">
        <f t="shared" si="1251"/>
        <v>A</v>
      </c>
      <c r="F1409" s="2" t="str">
        <f t="shared" si="1251"/>
        <v>Exterior Advanced</v>
      </c>
      <c r="G1409" s="2" t="str">
        <f t="shared" si="1251"/>
        <v/>
      </c>
      <c r="H1409" s="2" t="str">
        <f t="shared" si="1251"/>
        <v/>
      </c>
      <c r="I1409" s="2" t="str">
        <f t="shared" si="1251"/>
        <v/>
      </c>
      <c r="J1409" s="2" t="str">
        <f t="shared" si="1251"/>
        <v/>
      </c>
      <c r="K1409" s="2" t="str">
        <f t="shared" si="1251"/>
        <v/>
      </c>
      <c r="L1409" s="2" t="str">
        <f t="shared" si="1251"/>
        <v/>
      </c>
      <c r="M1409" s="180" t="str">
        <f t="shared" si="1251"/>
        <v/>
      </c>
      <c r="N1409" s="2" t="str">
        <f t="shared" si="1235"/>
        <v/>
      </c>
      <c r="O1409" s="2">
        <f t="shared" si="1251"/>
        <v>0</v>
      </c>
    </row>
    <row r="1410" spans="1:15" x14ac:dyDescent="0.25">
      <c r="A1410" s="325">
        <v>1</v>
      </c>
      <c r="B1410" s="325">
        <f>TrialNumberDay2</f>
        <v>0</v>
      </c>
      <c r="C1410" s="325" t="s">
        <v>20</v>
      </c>
      <c r="D1410" s="325">
        <f>Advanced!C99</f>
        <v>0</v>
      </c>
      <c r="E1410" s="325" t="str">
        <f>IF(Advanced!B99="W","W","A")</f>
        <v>A</v>
      </c>
      <c r="F1410" s="325" t="s">
        <v>1739</v>
      </c>
      <c r="G1410" s="325" t="str">
        <f>IF(Advanced!W99="e","Y","")</f>
        <v/>
      </c>
      <c r="H1410" s="325" t="str">
        <f>IFERROR(VLOOKUP($D1410,'SDDA Dogs'!$A:$AE,2,FALSE),"")</f>
        <v/>
      </c>
      <c r="I1410" s="325" t="str">
        <f>IFERROR(VLOOKUP($D1410,'SDDA Dogs'!$A:$AE,3,FALSE),"")</f>
        <v/>
      </c>
      <c r="J1410" s="325" t="str">
        <f>IFERROR(VLOOKUP($D1410,'SDDA Dogs'!$A:$AE,6,FALSE),"")</f>
        <v/>
      </c>
      <c r="K1410" s="325" t="str">
        <f>IF(Advanced!AS99="","",Advanced!AS99)</f>
        <v/>
      </c>
      <c r="L1410" s="325" t="str">
        <f>IF(Advanced!AT99="","",Advanced!AT99)</f>
        <v/>
      </c>
      <c r="M1410" s="326" t="str">
        <f>TrialDateDay2</f>
        <v/>
      </c>
      <c r="N1410" s="325" t="str">
        <f t="shared" si="1235"/>
        <v/>
      </c>
      <c r="O1410" s="325">
        <f>JudgeD2ESA</f>
        <v>0</v>
      </c>
    </row>
    <row r="1411" spans="1:15" x14ac:dyDescent="0.25">
      <c r="A1411" s="2">
        <v>2</v>
      </c>
      <c r="B1411" s="2">
        <f t="shared" ref="B1411:O1411" si="1252">B1410</f>
        <v>0</v>
      </c>
      <c r="C1411" s="2" t="str">
        <f t="shared" si="1252"/>
        <v>ESA</v>
      </c>
      <c r="D1411" s="2">
        <f t="shared" si="1252"/>
        <v>0</v>
      </c>
      <c r="E1411" s="2" t="str">
        <f t="shared" si="1252"/>
        <v>A</v>
      </c>
      <c r="F1411" s="2" t="str">
        <f t="shared" si="1252"/>
        <v>Exterior Advanced</v>
      </c>
      <c r="G1411" s="2" t="str">
        <f t="shared" si="1252"/>
        <v/>
      </c>
      <c r="H1411" s="2" t="str">
        <f t="shared" si="1252"/>
        <v/>
      </c>
      <c r="I1411" s="2" t="str">
        <f t="shared" si="1252"/>
        <v/>
      </c>
      <c r="J1411" s="2" t="str">
        <f t="shared" si="1252"/>
        <v/>
      </c>
      <c r="K1411" s="2" t="str">
        <f t="shared" si="1252"/>
        <v/>
      </c>
      <c r="L1411" s="2" t="str">
        <f t="shared" si="1252"/>
        <v/>
      </c>
      <c r="M1411" s="180" t="str">
        <f t="shared" si="1252"/>
        <v/>
      </c>
      <c r="N1411" s="2" t="str">
        <f t="shared" si="1235"/>
        <v/>
      </c>
      <c r="O1411" s="2">
        <f t="shared" si="1252"/>
        <v>0</v>
      </c>
    </row>
    <row r="1412" spans="1:15" x14ac:dyDescent="0.25">
      <c r="A1412" s="325">
        <v>1</v>
      </c>
      <c r="B1412" s="325">
        <f>TrialNumberDay2</f>
        <v>0</v>
      </c>
      <c r="C1412" s="325" t="s">
        <v>20</v>
      </c>
      <c r="D1412" s="325">
        <f>Advanced!C100</f>
        <v>0</v>
      </c>
      <c r="E1412" s="325" t="str">
        <f>IF(Advanced!B100="W","W","A")</f>
        <v>A</v>
      </c>
      <c r="F1412" s="325" t="s">
        <v>1739</v>
      </c>
      <c r="G1412" s="325" t="str">
        <f>IF(Advanced!W100="e","Y","")</f>
        <v/>
      </c>
      <c r="H1412" s="325" t="str">
        <f>IFERROR(VLOOKUP($D1412,'SDDA Dogs'!$A:$AE,2,FALSE),"")</f>
        <v/>
      </c>
      <c r="I1412" s="325" t="str">
        <f>IFERROR(VLOOKUP($D1412,'SDDA Dogs'!$A:$AE,3,FALSE),"")</f>
        <v/>
      </c>
      <c r="J1412" s="325" t="str">
        <f>IFERROR(VLOOKUP($D1412,'SDDA Dogs'!$A:$AE,6,FALSE),"")</f>
        <v/>
      </c>
      <c r="K1412" s="325" t="str">
        <f>IF(Advanced!AS100="","",Advanced!AS100)</f>
        <v/>
      </c>
      <c r="L1412" s="325" t="str">
        <f>IF(Advanced!AT100="","",Advanced!AT100)</f>
        <v/>
      </c>
      <c r="M1412" s="326" t="str">
        <f>TrialDateDay2</f>
        <v/>
      </c>
      <c r="N1412" s="325" t="str">
        <f t="shared" ref="N1412:N1475" si="1253">N1411</f>
        <v/>
      </c>
      <c r="O1412" s="325">
        <f>JudgeD2ESA</f>
        <v>0</v>
      </c>
    </row>
    <row r="1413" spans="1:15" x14ac:dyDescent="0.25">
      <c r="A1413" s="2">
        <v>2</v>
      </c>
      <c r="B1413" s="2">
        <f t="shared" ref="B1413:O1413" si="1254">B1412</f>
        <v>0</v>
      </c>
      <c r="C1413" s="2" t="str">
        <f t="shared" si="1254"/>
        <v>ESA</v>
      </c>
      <c r="D1413" s="2">
        <f t="shared" si="1254"/>
        <v>0</v>
      </c>
      <c r="E1413" s="2" t="str">
        <f t="shared" si="1254"/>
        <v>A</v>
      </c>
      <c r="F1413" s="2" t="str">
        <f t="shared" si="1254"/>
        <v>Exterior Advanced</v>
      </c>
      <c r="G1413" s="2" t="str">
        <f t="shared" si="1254"/>
        <v/>
      </c>
      <c r="H1413" s="2" t="str">
        <f t="shared" si="1254"/>
        <v/>
      </c>
      <c r="I1413" s="2" t="str">
        <f t="shared" si="1254"/>
        <v/>
      </c>
      <c r="J1413" s="2" t="str">
        <f t="shared" si="1254"/>
        <v/>
      </c>
      <c r="K1413" s="2" t="str">
        <f t="shared" si="1254"/>
        <v/>
      </c>
      <c r="L1413" s="2" t="str">
        <f t="shared" si="1254"/>
        <v/>
      </c>
      <c r="M1413" s="180" t="str">
        <f t="shared" si="1254"/>
        <v/>
      </c>
      <c r="N1413" s="2" t="str">
        <f t="shared" si="1253"/>
        <v/>
      </c>
      <c r="O1413" s="2">
        <f t="shared" si="1254"/>
        <v>0</v>
      </c>
    </row>
    <row r="1414" spans="1:15" x14ac:dyDescent="0.25">
      <c r="A1414" s="325">
        <v>1</v>
      </c>
      <c r="B1414" s="325">
        <f>TrialNumberDay2</f>
        <v>0</v>
      </c>
      <c r="C1414" s="325" t="s">
        <v>20</v>
      </c>
      <c r="D1414" s="325">
        <f>Advanced!C101</f>
        <v>0</v>
      </c>
      <c r="E1414" s="325" t="str">
        <f>IF(Advanced!B101="W","W","A")</f>
        <v>A</v>
      </c>
      <c r="F1414" s="325" t="s">
        <v>1739</v>
      </c>
      <c r="G1414" s="325" t="str">
        <f>IF(Advanced!W101="e","Y","")</f>
        <v/>
      </c>
      <c r="H1414" s="325" t="str">
        <f>IFERROR(VLOOKUP($D1414,'SDDA Dogs'!$A:$AE,2,FALSE),"")</f>
        <v/>
      </c>
      <c r="I1414" s="325" t="str">
        <f>IFERROR(VLOOKUP($D1414,'SDDA Dogs'!$A:$AE,3,FALSE),"")</f>
        <v/>
      </c>
      <c r="J1414" s="325" t="str">
        <f>IFERROR(VLOOKUP($D1414,'SDDA Dogs'!$A:$AE,6,FALSE),"")</f>
        <v/>
      </c>
      <c r="K1414" s="325" t="str">
        <f>IF(Advanced!AS101="","",Advanced!AS101)</f>
        <v/>
      </c>
      <c r="L1414" s="325" t="str">
        <f>IF(Advanced!AT101="","",Advanced!AT101)</f>
        <v/>
      </c>
      <c r="M1414" s="326" t="str">
        <f>TrialDateDay2</f>
        <v/>
      </c>
      <c r="N1414" s="325" t="str">
        <f t="shared" si="1253"/>
        <v/>
      </c>
      <c r="O1414" s="325">
        <f>JudgeD2ESA</f>
        <v>0</v>
      </c>
    </row>
    <row r="1415" spans="1:15" x14ac:dyDescent="0.25">
      <c r="A1415" s="2">
        <v>2</v>
      </c>
      <c r="B1415" s="2">
        <f t="shared" ref="B1415:O1415" si="1255">B1414</f>
        <v>0</v>
      </c>
      <c r="C1415" s="2" t="str">
        <f t="shared" si="1255"/>
        <v>ESA</v>
      </c>
      <c r="D1415" s="2">
        <f t="shared" si="1255"/>
        <v>0</v>
      </c>
      <c r="E1415" s="2" t="str">
        <f t="shared" si="1255"/>
        <v>A</v>
      </c>
      <c r="F1415" s="2" t="str">
        <f t="shared" si="1255"/>
        <v>Exterior Advanced</v>
      </c>
      <c r="G1415" s="2" t="str">
        <f t="shared" si="1255"/>
        <v/>
      </c>
      <c r="H1415" s="2" t="str">
        <f t="shared" si="1255"/>
        <v/>
      </c>
      <c r="I1415" s="2" t="str">
        <f t="shared" si="1255"/>
        <v/>
      </c>
      <c r="J1415" s="2" t="str">
        <f t="shared" si="1255"/>
        <v/>
      </c>
      <c r="K1415" s="2" t="str">
        <f t="shared" si="1255"/>
        <v/>
      </c>
      <c r="L1415" s="2" t="str">
        <f t="shared" si="1255"/>
        <v/>
      </c>
      <c r="M1415" s="180" t="str">
        <f t="shared" si="1255"/>
        <v/>
      </c>
      <c r="N1415" s="2" t="str">
        <f t="shared" si="1253"/>
        <v/>
      </c>
      <c r="O1415" s="2">
        <f t="shared" si="1255"/>
        <v>0</v>
      </c>
    </row>
    <row r="1416" spans="1:15" x14ac:dyDescent="0.25">
      <c r="A1416" s="325">
        <v>1</v>
      </c>
      <c r="B1416" s="325">
        <f>TrialNumberDay2</f>
        <v>0</v>
      </c>
      <c r="C1416" s="325" t="s">
        <v>20</v>
      </c>
      <c r="D1416" s="325">
        <f>Advanced!C102</f>
        <v>0</v>
      </c>
      <c r="E1416" s="325" t="str">
        <f>IF(Advanced!B102="W","W","A")</f>
        <v>A</v>
      </c>
      <c r="F1416" s="325" t="s">
        <v>1739</v>
      </c>
      <c r="G1416" s="325" t="str">
        <f>IF(Advanced!W102="e","Y","")</f>
        <v/>
      </c>
      <c r="H1416" s="325" t="str">
        <f>IFERROR(VLOOKUP($D1416,'SDDA Dogs'!$A:$AE,2,FALSE),"")</f>
        <v/>
      </c>
      <c r="I1416" s="325" t="str">
        <f>IFERROR(VLOOKUP($D1416,'SDDA Dogs'!$A:$AE,3,FALSE),"")</f>
        <v/>
      </c>
      <c r="J1416" s="325" t="str">
        <f>IFERROR(VLOOKUP($D1416,'SDDA Dogs'!$A:$AE,6,FALSE),"")</f>
        <v/>
      </c>
      <c r="K1416" s="325" t="str">
        <f>IF(Advanced!AS102="","",Advanced!AS102)</f>
        <v/>
      </c>
      <c r="L1416" s="325" t="str">
        <f>IF(Advanced!AT102="","",Advanced!AT102)</f>
        <v/>
      </c>
      <c r="M1416" s="326" t="str">
        <f>TrialDateDay2</f>
        <v/>
      </c>
      <c r="N1416" s="325" t="str">
        <f t="shared" si="1253"/>
        <v/>
      </c>
      <c r="O1416" s="325">
        <f>JudgeD2ESA</f>
        <v>0</v>
      </c>
    </row>
    <row r="1417" spans="1:15" x14ac:dyDescent="0.25">
      <c r="A1417" s="2">
        <v>2</v>
      </c>
      <c r="B1417" s="2">
        <f t="shared" ref="B1417:O1417" si="1256">B1416</f>
        <v>0</v>
      </c>
      <c r="C1417" s="2" t="str">
        <f t="shared" si="1256"/>
        <v>ESA</v>
      </c>
      <c r="D1417" s="2">
        <f t="shared" si="1256"/>
        <v>0</v>
      </c>
      <c r="E1417" s="2" t="str">
        <f t="shared" si="1256"/>
        <v>A</v>
      </c>
      <c r="F1417" s="2" t="str">
        <f t="shared" si="1256"/>
        <v>Exterior Advanced</v>
      </c>
      <c r="G1417" s="2" t="str">
        <f t="shared" si="1256"/>
        <v/>
      </c>
      <c r="H1417" s="2" t="str">
        <f t="shared" si="1256"/>
        <v/>
      </c>
      <c r="I1417" s="2" t="str">
        <f t="shared" si="1256"/>
        <v/>
      </c>
      <c r="J1417" s="2" t="str">
        <f t="shared" si="1256"/>
        <v/>
      </c>
      <c r="K1417" s="2" t="str">
        <f t="shared" si="1256"/>
        <v/>
      </c>
      <c r="L1417" s="2" t="str">
        <f t="shared" si="1256"/>
        <v/>
      </c>
      <c r="M1417" s="180" t="str">
        <f t="shared" si="1256"/>
        <v/>
      </c>
      <c r="N1417" s="2" t="str">
        <f t="shared" si="1253"/>
        <v/>
      </c>
      <c r="O1417" s="2">
        <f t="shared" si="1256"/>
        <v>0</v>
      </c>
    </row>
    <row r="1418" spans="1:15" x14ac:dyDescent="0.25">
      <c r="A1418" s="325">
        <v>1</v>
      </c>
      <c r="B1418" s="325">
        <f>TrialNumberDay2</f>
        <v>0</v>
      </c>
      <c r="C1418" s="325" t="s">
        <v>20</v>
      </c>
      <c r="D1418" s="325">
        <f>Advanced!C103</f>
        <v>0</v>
      </c>
      <c r="E1418" s="325" t="str">
        <f>IF(Advanced!B103="W","W","A")</f>
        <v>A</v>
      </c>
      <c r="F1418" s="325" t="s">
        <v>1739</v>
      </c>
      <c r="G1418" s="325" t="str">
        <f>IF(Advanced!W103="e","Y","")</f>
        <v/>
      </c>
      <c r="H1418" s="325" t="str">
        <f>IFERROR(VLOOKUP($D1418,'SDDA Dogs'!$A:$AE,2,FALSE),"")</f>
        <v/>
      </c>
      <c r="I1418" s="325" t="str">
        <f>IFERROR(VLOOKUP($D1418,'SDDA Dogs'!$A:$AE,3,FALSE),"")</f>
        <v/>
      </c>
      <c r="J1418" s="325" t="str">
        <f>IFERROR(VLOOKUP($D1418,'SDDA Dogs'!$A:$AE,6,FALSE),"")</f>
        <v/>
      </c>
      <c r="K1418" s="325" t="str">
        <f>IF(Advanced!AS103="","",Advanced!AS103)</f>
        <v/>
      </c>
      <c r="L1418" s="325" t="str">
        <f>IF(Advanced!AT103="","",Advanced!AT103)</f>
        <v/>
      </c>
      <c r="M1418" s="326" t="str">
        <f>TrialDateDay2</f>
        <v/>
      </c>
      <c r="N1418" s="325" t="str">
        <f t="shared" si="1253"/>
        <v/>
      </c>
      <c r="O1418" s="325">
        <f>JudgeD2ESA</f>
        <v>0</v>
      </c>
    </row>
    <row r="1419" spans="1:15" x14ac:dyDescent="0.25">
      <c r="A1419" s="2">
        <v>2</v>
      </c>
      <c r="B1419" s="2">
        <f t="shared" ref="B1419:O1419" si="1257">B1418</f>
        <v>0</v>
      </c>
      <c r="C1419" s="2" t="str">
        <f t="shared" si="1257"/>
        <v>ESA</v>
      </c>
      <c r="D1419" s="2">
        <f t="shared" si="1257"/>
        <v>0</v>
      </c>
      <c r="E1419" s="2" t="str">
        <f t="shared" si="1257"/>
        <v>A</v>
      </c>
      <c r="F1419" s="2" t="str">
        <f t="shared" si="1257"/>
        <v>Exterior Advanced</v>
      </c>
      <c r="G1419" s="2" t="str">
        <f t="shared" si="1257"/>
        <v/>
      </c>
      <c r="H1419" s="2" t="str">
        <f t="shared" si="1257"/>
        <v/>
      </c>
      <c r="I1419" s="2" t="str">
        <f t="shared" si="1257"/>
        <v/>
      </c>
      <c r="J1419" s="2" t="str">
        <f t="shared" si="1257"/>
        <v/>
      </c>
      <c r="K1419" s="2" t="str">
        <f t="shared" si="1257"/>
        <v/>
      </c>
      <c r="L1419" s="2" t="str">
        <f t="shared" si="1257"/>
        <v/>
      </c>
      <c r="M1419" s="180" t="str">
        <f t="shared" si="1257"/>
        <v/>
      </c>
      <c r="N1419" s="2" t="str">
        <f t="shared" si="1253"/>
        <v/>
      </c>
      <c r="O1419" s="2">
        <f t="shared" si="1257"/>
        <v>0</v>
      </c>
    </row>
    <row r="1420" spans="1:15" x14ac:dyDescent="0.25">
      <c r="A1420" s="325">
        <v>1</v>
      </c>
      <c r="B1420" s="325">
        <f>TrialNumberDay2</f>
        <v>0</v>
      </c>
      <c r="C1420" s="325" t="s">
        <v>20</v>
      </c>
      <c r="D1420" s="325">
        <f>Advanced!C104</f>
        <v>0</v>
      </c>
      <c r="E1420" s="325" t="str">
        <f>IF(Advanced!B104="W","W","A")</f>
        <v>A</v>
      </c>
      <c r="F1420" s="325" t="s">
        <v>1739</v>
      </c>
      <c r="G1420" s="325" t="str">
        <f>IF(Advanced!W104="e","Y","")</f>
        <v/>
      </c>
      <c r="H1420" s="325" t="str">
        <f>IFERROR(VLOOKUP($D1420,'SDDA Dogs'!$A:$AE,2,FALSE),"")</f>
        <v/>
      </c>
      <c r="I1420" s="325" t="str">
        <f>IFERROR(VLOOKUP($D1420,'SDDA Dogs'!$A:$AE,3,FALSE),"")</f>
        <v/>
      </c>
      <c r="J1420" s="325" t="str">
        <f>IFERROR(VLOOKUP($D1420,'SDDA Dogs'!$A:$AE,6,FALSE),"")</f>
        <v/>
      </c>
      <c r="K1420" s="325" t="str">
        <f>IF(Advanced!AS104="","",Advanced!AS104)</f>
        <v/>
      </c>
      <c r="L1420" s="325" t="str">
        <f>IF(Advanced!AT104="","",Advanced!AT104)</f>
        <v/>
      </c>
      <c r="M1420" s="326" t="str">
        <f>TrialDateDay2</f>
        <v/>
      </c>
      <c r="N1420" s="325" t="str">
        <f t="shared" si="1253"/>
        <v/>
      </c>
      <c r="O1420" s="325">
        <f>JudgeD2ESA</f>
        <v>0</v>
      </c>
    </row>
    <row r="1421" spans="1:15" x14ac:dyDescent="0.25">
      <c r="A1421" s="2">
        <v>2</v>
      </c>
      <c r="B1421" s="2">
        <f t="shared" ref="B1421:O1421" si="1258">B1420</f>
        <v>0</v>
      </c>
      <c r="C1421" s="2" t="str">
        <f t="shared" si="1258"/>
        <v>ESA</v>
      </c>
      <c r="D1421" s="2">
        <f t="shared" si="1258"/>
        <v>0</v>
      </c>
      <c r="E1421" s="2" t="str">
        <f t="shared" si="1258"/>
        <v>A</v>
      </c>
      <c r="F1421" s="2" t="str">
        <f t="shared" si="1258"/>
        <v>Exterior Advanced</v>
      </c>
      <c r="G1421" s="2" t="str">
        <f t="shared" si="1258"/>
        <v/>
      </c>
      <c r="H1421" s="2" t="str">
        <f t="shared" si="1258"/>
        <v/>
      </c>
      <c r="I1421" s="2" t="str">
        <f t="shared" si="1258"/>
        <v/>
      </c>
      <c r="J1421" s="2" t="str">
        <f t="shared" si="1258"/>
        <v/>
      </c>
      <c r="K1421" s="2" t="str">
        <f t="shared" si="1258"/>
        <v/>
      </c>
      <c r="L1421" s="2" t="str">
        <f t="shared" si="1258"/>
        <v/>
      </c>
      <c r="M1421" s="180" t="str">
        <f t="shared" si="1258"/>
        <v/>
      </c>
      <c r="N1421" s="2" t="str">
        <f t="shared" si="1253"/>
        <v/>
      </c>
      <c r="O1421" s="2">
        <f t="shared" si="1258"/>
        <v>0</v>
      </c>
    </row>
    <row r="1422" spans="1:15" x14ac:dyDescent="0.25">
      <c r="A1422" s="325">
        <v>1</v>
      </c>
      <c r="B1422" s="325">
        <f>TrialNumberDay2</f>
        <v>0</v>
      </c>
      <c r="C1422" s="325" t="s">
        <v>20</v>
      </c>
      <c r="D1422" s="325">
        <f>Advanced!C105</f>
        <v>0</v>
      </c>
      <c r="E1422" s="325" t="str">
        <f>IF(Advanced!B105="W","W","A")</f>
        <v>A</v>
      </c>
      <c r="F1422" s="325" t="s">
        <v>1739</v>
      </c>
      <c r="G1422" s="325" t="str">
        <f>IF(Advanced!W105="e","Y","")</f>
        <v/>
      </c>
      <c r="H1422" s="325" t="str">
        <f>IFERROR(VLOOKUP($D1422,'SDDA Dogs'!$A:$AE,2,FALSE),"")</f>
        <v/>
      </c>
      <c r="I1422" s="325" t="str">
        <f>IFERROR(VLOOKUP($D1422,'SDDA Dogs'!$A:$AE,3,FALSE),"")</f>
        <v/>
      </c>
      <c r="J1422" s="325" t="str">
        <f>IFERROR(VLOOKUP($D1422,'SDDA Dogs'!$A:$AE,6,FALSE),"")</f>
        <v/>
      </c>
      <c r="K1422" s="325" t="str">
        <f>IF(Advanced!AS105="","",Advanced!AS105)</f>
        <v/>
      </c>
      <c r="L1422" s="325" t="str">
        <f>IF(Advanced!AT105="","",Advanced!AT105)</f>
        <v/>
      </c>
      <c r="M1422" s="326" t="str">
        <f>TrialDateDay2</f>
        <v/>
      </c>
      <c r="N1422" s="325" t="str">
        <f t="shared" si="1253"/>
        <v/>
      </c>
      <c r="O1422" s="325">
        <f>JudgeD2ESA</f>
        <v>0</v>
      </c>
    </row>
    <row r="1423" spans="1:15" x14ac:dyDescent="0.25">
      <c r="A1423" s="2">
        <v>2</v>
      </c>
      <c r="B1423" s="2">
        <f t="shared" ref="B1423:O1423" si="1259">B1422</f>
        <v>0</v>
      </c>
      <c r="C1423" s="2" t="str">
        <f t="shared" si="1259"/>
        <v>ESA</v>
      </c>
      <c r="D1423" s="2">
        <f t="shared" si="1259"/>
        <v>0</v>
      </c>
      <c r="E1423" s="2" t="str">
        <f t="shared" si="1259"/>
        <v>A</v>
      </c>
      <c r="F1423" s="2" t="str">
        <f t="shared" si="1259"/>
        <v>Exterior Advanced</v>
      </c>
      <c r="G1423" s="2" t="str">
        <f t="shared" si="1259"/>
        <v/>
      </c>
      <c r="H1423" s="2" t="str">
        <f t="shared" si="1259"/>
        <v/>
      </c>
      <c r="I1423" s="2" t="str">
        <f t="shared" si="1259"/>
        <v/>
      </c>
      <c r="J1423" s="2" t="str">
        <f t="shared" si="1259"/>
        <v/>
      </c>
      <c r="K1423" s="2" t="str">
        <f t="shared" si="1259"/>
        <v/>
      </c>
      <c r="L1423" s="2" t="str">
        <f t="shared" si="1259"/>
        <v/>
      </c>
      <c r="M1423" s="180" t="str">
        <f t="shared" si="1259"/>
        <v/>
      </c>
      <c r="N1423" s="2" t="str">
        <f t="shared" si="1253"/>
        <v/>
      </c>
      <c r="O1423" s="2">
        <f t="shared" si="1259"/>
        <v>0</v>
      </c>
    </row>
    <row r="1424" spans="1:15" x14ac:dyDescent="0.25">
      <c r="A1424" s="325">
        <v>1</v>
      </c>
      <c r="B1424" s="325">
        <f>TrialNumberDay2</f>
        <v>0</v>
      </c>
      <c r="C1424" s="325" t="s">
        <v>20</v>
      </c>
      <c r="D1424" s="325">
        <f>Advanced!C106</f>
        <v>0</v>
      </c>
      <c r="E1424" s="325" t="str">
        <f>IF(Advanced!B106="W","W","A")</f>
        <v>A</v>
      </c>
      <c r="F1424" s="325" t="s">
        <v>1739</v>
      </c>
      <c r="G1424" s="325" t="str">
        <f>IF(Advanced!W106="e","Y","")</f>
        <v/>
      </c>
      <c r="H1424" s="325" t="str">
        <f>IFERROR(VLOOKUP($D1424,'SDDA Dogs'!$A:$AE,2,FALSE),"")</f>
        <v/>
      </c>
      <c r="I1424" s="325" t="str">
        <f>IFERROR(VLOOKUP($D1424,'SDDA Dogs'!$A:$AE,3,FALSE),"")</f>
        <v/>
      </c>
      <c r="J1424" s="325" t="str">
        <f>IFERROR(VLOOKUP($D1424,'SDDA Dogs'!$A:$AE,6,FALSE),"")</f>
        <v/>
      </c>
      <c r="K1424" s="325" t="str">
        <f>IF(Advanced!AS106="","",Advanced!AS106)</f>
        <v/>
      </c>
      <c r="L1424" s="325" t="str">
        <f>IF(Advanced!AT106="","",Advanced!AT106)</f>
        <v/>
      </c>
      <c r="M1424" s="326" t="str">
        <f>TrialDateDay2</f>
        <v/>
      </c>
      <c r="N1424" s="325" t="str">
        <f t="shared" si="1253"/>
        <v/>
      </c>
      <c r="O1424" s="325">
        <f>JudgeD2ESA</f>
        <v>0</v>
      </c>
    </row>
    <row r="1425" spans="1:15" x14ac:dyDescent="0.25">
      <c r="A1425" s="2">
        <v>2</v>
      </c>
      <c r="B1425" s="2">
        <f t="shared" ref="B1425:O1425" si="1260">B1424</f>
        <v>0</v>
      </c>
      <c r="C1425" s="2" t="str">
        <f t="shared" si="1260"/>
        <v>ESA</v>
      </c>
      <c r="D1425" s="2">
        <f t="shared" si="1260"/>
        <v>0</v>
      </c>
      <c r="E1425" s="2" t="str">
        <f t="shared" si="1260"/>
        <v>A</v>
      </c>
      <c r="F1425" s="2" t="str">
        <f t="shared" si="1260"/>
        <v>Exterior Advanced</v>
      </c>
      <c r="G1425" s="2" t="str">
        <f t="shared" si="1260"/>
        <v/>
      </c>
      <c r="H1425" s="2" t="str">
        <f t="shared" si="1260"/>
        <v/>
      </c>
      <c r="I1425" s="2" t="str">
        <f t="shared" si="1260"/>
        <v/>
      </c>
      <c r="J1425" s="2" t="str">
        <f t="shared" si="1260"/>
        <v/>
      </c>
      <c r="K1425" s="2" t="str">
        <f t="shared" si="1260"/>
        <v/>
      </c>
      <c r="L1425" s="2" t="str">
        <f t="shared" si="1260"/>
        <v/>
      </c>
      <c r="M1425" s="180" t="str">
        <f t="shared" si="1260"/>
        <v/>
      </c>
      <c r="N1425" s="2" t="str">
        <f t="shared" si="1253"/>
        <v/>
      </c>
      <c r="O1425" s="2">
        <f t="shared" si="1260"/>
        <v>0</v>
      </c>
    </row>
    <row r="1426" spans="1:15" x14ac:dyDescent="0.25">
      <c r="A1426" s="325">
        <v>1</v>
      </c>
      <c r="B1426" s="325">
        <f>TrialNumberDay2</f>
        <v>0</v>
      </c>
      <c r="C1426" s="325" t="s">
        <v>20</v>
      </c>
      <c r="D1426" s="325">
        <f>Advanced!C107</f>
        <v>0</v>
      </c>
      <c r="E1426" s="325" t="str">
        <f>IF(Advanced!B107="W","W","A")</f>
        <v>A</v>
      </c>
      <c r="F1426" s="325" t="s">
        <v>1739</v>
      </c>
      <c r="G1426" s="325" t="str">
        <f>IF(Advanced!W107="e","Y","")</f>
        <v/>
      </c>
      <c r="H1426" s="325" t="str">
        <f>IFERROR(VLOOKUP($D1426,'SDDA Dogs'!$A:$AE,2,FALSE),"")</f>
        <v/>
      </c>
      <c r="I1426" s="325" t="str">
        <f>IFERROR(VLOOKUP($D1426,'SDDA Dogs'!$A:$AE,3,FALSE),"")</f>
        <v/>
      </c>
      <c r="J1426" s="325" t="str">
        <f>IFERROR(VLOOKUP($D1426,'SDDA Dogs'!$A:$AE,6,FALSE),"")</f>
        <v/>
      </c>
      <c r="K1426" s="325" t="str">
        <f>IF(Advanced!AS107="","",Advanced!AS107)</f>
        <v/>
      </c>
      <c r="L1426" s="325" t="str">
        <f>IF(Advanced!AT107="","",Advanced!AT107)</f>
        <v/>
      </c>
      <c r="M1426" s="326" t="str">
        <f>TrialDateDay2</f>
        <v/>
      </c>
      <c r="N1426" s="325" t="str">
        <f t="shared" si="1253"/>
        <v/>
      </c>
      <c r="O1426" s="325">
        <f>JudgeD2ESA</f>
        <v>0</v>
      </c>
    </row>
    <row r="1427" spans="1:15" x14ac:dyDescent="0.25">
      <c r="A1427" s="2">
        <v>2</v>
      </c>
      <c r="B1427" s="2">
        <f t="shared" ref="B1427:O1427" si="1261">B1426</f>
        <v>0</v>
      </c>
      <c r="C1427" s="2" t="str">
        <f t="shared" si="1261"/>
        <v>ESA</v>
      </c>
      <c r="D1427" s="2">
        <f t="shared" si="1261"/>
        <v>0</v>
      </c>
      <c r="E1427" s="2" t="str">
        <f t="shared" si="1261"/>
        <v>A</v>
      </c>
      <c r="F1427" s="2" t="str">
        <f t="shared" si="1261"/>
        <v>Exterior Advanced</v>
      </c>
      <c r="G1427" s="2" t="str">
        <f t="shared" si="1261"/>
        <v/>
      </c>
      <c r="H1427" s="2" t="str">
        <f t="shared" si="1261"/>
        <v/>
      </c>
      <c r="I1427" s="2" t="str">
        <f t="shared" si="1261"/>
        <v/>
      </c>
      <c r="J1427" s="2" t="str">
        <f t="shared" si="1261"/>
        <v/>
      </c>
      <c r="K1427" s="2" t="str">
        <f t="shared" si="1261"/>
        <v/>
      </c>
      <c r="L1427" s="2" t="str">
        <f t="shared" si="1261"/>
        <v/>
      </c>
      <c r="M1427" s="180" t="str">
        <f t="shared" si="1261"/>
        <v/>
      </c>
      <c r="N1427" s="2" t="str">
        <f t="shared" si="1253"/>
        <v/>
      </c>
      <c r="O1427" s="2">
        <f t="shared" si="1261"/>
        <v>0</v>
      </c>
    </row>
    <row r="1428" spans="1:15" x14ac:dyDescent="0.25">
      <c r="A1428" s="325">
        <v>1</v>
      </c>
      <c r="B1428" s="325">
        <f>TrialNumberDay2</f>
        <v>0</v>
      </c>
      <c r="C1428" s="325" t="s">
        <v>20</v>
      </c>
      <c r="D1428" s="325">
        <f>Advanced!C108</f>
        <v>0</v>
      </c>
      <c r="E1428" s="325" t="str">
        <f>IF(Advanced!B108="W","W","A")</f>
        <v>A</v>
      </c>
      <c r="F1428" s="325" t="s">
        <v>1739</v>
      </c>
      <c r="G1428" s="325" t="str">
        <f>IF(Advanced!W108="e","Y","")</f>
        <v/>
      </c>
      <c r="H1428" s="325" t="str">
        <f>IFERROR(VLOOKUP($D1428,'SDDA Dogs'!$A:$AE,2,FALSE),"")</f>
        <v/>
      </c>
      <c r="I1428" s="325" t="str">
        <f>IFERROR(VLOOKUP($D1428,'SDDA Dogs'!$A:$AE,3,FALSE),"")</f>
        <v/>
      </c>
      <c r="J1428" s="325" t="str">
        <f>IFERROR(VLOOKUP($D1428,'SDDA Dogs'!$A:$AE,6,FALSE),"")</f>
        <v/>
      </c>
      <c r="K1428" s="325" t="str">
        <f>IF(Advanced!AS108="","",Advanced!AS108)</f>
        <v/>
      </c>
      <c r="L1428" s="325" t="str">
        <f>IF(Advanced!AT108="","",Advanced!AT108)</f>
        <v/>
      </c>
      <c r="M1428" s="326" t="str">
        <f>TrialDateDay2</f>
        <v/>
      </c>
      <c r="N1428" s="325" t="str">
        <f t="shared" si="1253"/>
        <v/>
      </c>
      <c r="O1428" s="325">
        <f>JudgeD2ESA</f>
        <v>0</v>
      </c>
    </row>
    <row r="1429" spans="1:15" x14ac:dyDescent="0.25">
      <c r="A1429" s="2">
        <v>2</v>
      </c>
      <c r="B1429" s="2">
        <f t="shared" ref="B1429:O1429" si="1262">B1428</f>
        <v>0</v>
      </c>
      <c r="C1429" s="2" t="str">
        <f t="shared" si="1262"/>
        <v>ESA</v>
      </c>
      <c r="D1429" s="2">
        <f t="shared" si="1262"/>
        <v>0</v>
      </c>
      <c r="E1429" s="2" t="str">
        <f t="shared" si="1262"/>
        <v>A</v>
      </c>
      <c r="F1429" s="2" t="str">
        <f t="shared" si="1262"/>
        <v>Exterior Advanced</v>
      </c>
      <c r="G1429" s="2" t="str">
        <f t="shared" si="1262"/>
        <v/>
      </c>
      <c r="H1429" s="2" t="str">
        <f t="shared" si="1262"/>
        <v/>
      </c>
      <c r="I1429" s="2" t="str">
        <f t="shared" si="1262"/>
        <v/>
      </c>
      <c r="J1429" s="2" t="str">
        <f t="shared" si="1262"/>
        <v/>
      </c>
      <c r="K1429" s="2" t="str">
        <f t="shared" si="1262"/>
        <v/>
      </c>
      <c r="L1429" s="2" t="str">
        <f t="shared" si="1262"/>
        <v/>
      </c>
      <c r="M1429" s="180" t="str">
        <f t="shared" si="1262"/>
        <v/>
      </c>
      <c r="N1429" s="2" t="str">
        <f t="shared" si="1253"/>
        <v/>
      </c>
      <c r="O1429" s="2">
        <f t="shared" si="1262"/>
        <v>0</v>
      </c>
    </row>
    <row r="1430" spans="1:15" x14ac:dyDescent="0.25">
      <c r="A1430" s="325">
        <v>1</v>
      </c>
      <c r="B1430" s="325">
        <f>TrialNumberDay2</f>
        <v>0</v>
      </c>
      <c r="C1430" s="325" t="s">
        <v>20</v>
      </c>
      <c r="D1430" s="325">
        <f>Advanced!C109</f>
        <v>0</v>
      </c>
      <c r="E1430" s="325" t="str">
        <f>IF(Advanced!B109="W","W","A")</f>
        <v>A</v>
      </c>
      <c r="F1430" s="325" t="s">
        <v>1739</v>
      </c>
      <c r="G1430" s="325" t="str">
        <f>IF(Advanced!W109="e","Y","")</f>
        <v/>
      </c>
      <c r="H1430" s="325" t="str">
        <f>IFERROR(VLOOKUP($D1430,'SDDA Dogs'!$A:$AE,2,FALSE),"")</f>
        <v/>
      </c>
      <c r="I1430" s="325" t="str">
        <f>IFERROR(VLOOKUP($D1430,'SDDA Dogs'!$A:$AE,3,FALSE),"")</f>
        <v/>
      </c>
      <c r="J1430" s="325" t="str">
        <f>IFERROR(VLOOKUP($D1430,'SDDA Dogs'!$A:$AE,6,FALSE),"")</f>
        <v/>
      </c>
      <c r="K1430" s="325" t="str">
        <f>IF(Advanced!AS109="","",Advanced!AS109)</f>
        <v/>
      </c>
      <c r="L1430" s="325" t="str">
        <f>IF(Advanced!AT109="","",Advanced!AT109)</f>
        <v/>
      </c>
      <c r="M1430" s="326" t="str">
        <f>TrialDateDay2</f>
        <v/>
      </c>
      <c r="N1430" s="325" t="str">
        <f t="shared" si="1253"/>
        <v/>
      </c>
      <c r="O1430" s="325">
        <f>JudgeD2ESA</f>
        <v>0</v>
      </c>
    </row>
    <row r="1431" spans="1:15" x14ac:dyDescent="0.25">
      <c r="A1431" s="2">
        <v>2</v>
      </c>
      <c r="B1431" s="2">
        <f t="shared" ref="B1431:O1431" si="1263">B1430</f>
        <v>0</v>
      </c>
      <c r="C1431" s="2" t="str">
        <f t="shared" si="1263"/>
        <v>ESA</v>
      </c>
      <c r="D1431" s="2">
        <f t="shared" si="1263"/>
        <v>0</v>
      </c>
      <c r="E1431" s="2" t="str">
        <f t="shared" si="1263"/>
        <v>A</v>
      </c>
      <c r="F1431" s="2" t="str">
        <f t="shared" si="1263"/>
        <v>Exterior Advanced</v>
      </c>
      <c r="G1431" s="2" t="str">
        <f t="shared" si="1263"/>
        <v/>
      </c>
      <c r="H1431" s="2" t="str">
        <f t="shared" si="1263"/>
        <v/>
      </c>
      <c r="I1431" s="2" t="str">
        <f t="shared" si="1263"/>
        <v/>
      </c>
      <c r="J1431" s="2" t="str">
        <f t="shared" si="1263"/>
        <v/>
      </c>
      <c r="K1431" s="2" t="str">
        <f t="shared" si="1263"/>
        <v/>
      </c>
      <c r="L1431" s="2" t="str">
        <f t="shared" si="1263"/>
        <v/>
      </c>
      <c r="M1431" s="180" t="str">
        <f t="shared" si="1263"/>
        <v/>
      </c>
      <c r="N1431" s="2" t="str">
        <f t="shared" si="1253"/>
        <v/>
      </c>
      <c r="O1431" s="2">
        <f t="shared" si="1263"/>
        <v>0</v>
      </c>
    </row>
    <row r="1432" spans="1:15" x14ac:dyDescent="0.25">
      <c r="A1432" s="325">
        <v>1</v>
      </c>
      <c r="B1432" s="325">
        <f>TrialNumberDay2</f>
        <v>0</v>
      </c>
      <c r="C1432" s="325" t="s">
        <v>20</v>
      </c>
      <c r="D1432" s="325">
        <f>Advanced!C110</f>
        <v>0</v>
      </c>
      <c r="E1432" s="325" t="str">
        <f>IF(Advanced!B110="W","W","A")</f>
        <v>A</v>
      </c>
      <c r="F1432" s="325" t="s">
        <v>1739</v>
      </c>
      <c r="G1432" s="325" t="str">
        <f>IF(Advanced!W110="e","Y","")</f>
        <v/>
      </c>
      <c r="H1432" s="325" t="str">
        <f>IFERROR(VLOOKUP($D1432,'SDDA Dogs'!$A:$AE,2,FALSE),"")</f>
        <v/>
      </c>
      <c r="I1432" s="325" t="str">
        <f>IFERROR(VLOOKUP($D1432,'SDDA Dogs'!$A:$AE,3,FALSE),"")</f>
        <v/>
      </c>
      <c r="J1432" s="325" t="str">
        <f>IFERROR(VLOOKUP($D1432,'SDDA Dogs'!$A:$AE,6,FALSE),"")</f>
        <v/>
      </c>
      <c r="K1432" s="325" t="str">
        <f>IF(Advanced!AS110="","",Advanced!AS110)</f>
        <v/>
      </c>
      <c r="L1432" s="325" t="str">
        <f>IF(Advanced!AT110="","",Advanced!AT110)</f>
        <v/>
      </c>
      <c r="M1432" s="326" t="str">
        <f>TrialDateDay2</f>
        <v/>
      </c>
      <c r="N1432" s="325" t="str">
        <f t="shared" si="1253"/>
        <v/>
      </c>
      <c r="O1432" s="325">
        <f>JudgeD2ESA</f>
        <v>0</v>
      </c>
    </row>
    <row r="1433" spans="1:15" x14ac:dyDescent="0.25">
      <c r="A1433" s="2">
        <v>2</v>
      </c>
      <c r="B1433" s="2">
        <f t="shared" ref="B1433:O1433" si="1264">B1432</f>
        <v>0</v>
      </c>
      <c r="C1433" s="2" t="str">
        <f t="shared" si="1264"/>
        <v>ESA</v>
      </c>
      <c r="D1433" s="2">
        <f t="shared" si="1264"/>
        <v>0</v>
      </c>
      <c r="E1433" s="2" t="str">
        <f t="shared" si="1264"/>
        <v>A</v>
      </c>
      <c r="F1433" s="2" t="str">
        <f t="shared" si="1264"/>
        <v>Exterior Advanced</v>
      </c>
      <c r="G1433" s="2" t="str">
        <f t="shared" si="1264"/>
        <v/>
      </c>
      <c r="H1433" s="2" t="str">
        <f t="shared" si="1264"/>
        <v/>
      </c>
      <c r="I1433" s="2" t="str">
        <f t="shared" si="1264"/>
        <v/>
      </c>
      <c r="J1433" s="2" t="str">
        <f t="shared" si="1264"/>
        <v/>
      </c>
      <c r="K1433" s="2" t="str">
        <f t="shared" si="1264"/>
        <v/>
      </c>
      <c r="L1433" s="2" t="str">
        <f t="shared" si="1264"/>
        <v/>
      </c>
      <c r="M1433" s="180" t="str">
        <f t="shared" si="1264"/>
        <v/>
      </c>
      <c r="N1433" s="2" t="str">
        <f t="shared" si="1253"/>
        <v/>
      </c>
      <c r="O1433" s="2">
        <f t="shared" si="1264"/>
        <v>0</v>
      </c>
    </row>
    <row r="1434" spans="1:15" x14ac:dyDescent="0.25">
      <c r="A1434" s="325">
        <v>1</v>
      </c>
      <c r="B1434" s="325">
        <f>TrialNumberDay2</f>
        <v>0</v>
      </c>
      <c r="C1434" s="325" t="s">
        <v>20</v>
      </c>
      <c r="D1434" s="325">
        <f>Advanced!C111</f>
        <v>0</v>
      </c>
      <c r="E1434" s="325" t="str">
        <f>IF(Advanced!B111="W","W","A")</f>
        <v>A</v>
      </c>
      <c r="F1434" s="325" t="s">
        <v>1739</v>
      </c>
      <c r="G1434" s="325" t="str">
        <f>IF(Advanced!W111="e","Y","")</f>
        <v/>
      </c>
      <c r="H1434" s="325" t="str">
        <f>IFERROR(VLOOKUP($D1434,'SDDA Dogs'!$A:$AE,2,FALSE),"")</f>
        <v/>
      </c>
      <c r="I1434" s="325" t="str">
        <f>IFERROR(VLOOKUP($D1434,'SDDA Dogs'!$A:$AE,3,FALSE),"")</f>
        <v/>
      </c>
      <c r="J1434" s="325" t="str">
        <f>IFERROR(VLOOKUP($D1434,'SDDA Dogs'!$A:$AE,6,FALSE),"")</f>
        <v/>
      </c>
      <c r="K1434" s="325" t="str">
        <f>IF(Advanced!AS111="","",Advanced!AS111)</f>
        <v/>
      </c>
      <c r="L1434" s="325" t="str">
        <f>IF(Advanced!AT111="","",Advanced!AT111)</f>
        <v/>
      </c>
      <c r="M1434" s="326" t="str">
        <f>TrialDateDay2</f>
        <v/>
      </c>
      <c r="N1434" s="325" t="str">
        <f t="shared" si="1253"/>
        <v/>
      </c>
      <c r="O1434" s="325">
        <f>JudgeD2ESA</f>
        <v>0</v>
      </c>
    </row>
    <row r="1435" spans="1:15" x14ac:dyDescent="0.25">
      <c r="A1435" s="2">
        <v>2</v>
      </c>
      <c r="B1435" s="2">
        <f t="shared" ref="B1435:O1435" si="1265">B1434</f>
        <v>0</v>
      </c>
      <c r="C1435" s="2" t="str">
        <f t="shared" si="1265"/>
        <v>ESA</v>
      </c>
      <c r="D1435" s="2">
        <f t="shared" si="1265"/>
        <v>0</v>
      </c>
      <c r="E1435" s="2" t="str">
        <f t="shared" si="1265"/>
        <v>A</v>
      </c>
      <c r="F1435" s="2" t="str">
        <f t="shared" si="1265"/>
        <v>Exterior Advanced</v>
      </c>
      <c r="G1435" s="2" t="str">
        <f t="shared" si="1265"/>
        <v/>
      </c>
      <c r="H1435" s="2" t="str">
        <f t="shared" si="1265"/>
        <v/>
      </c>
      <c r="I1435" s="2" t="str">
        <f t="shared" si="1265"/>
        <v/>
      </c>
      <c r="J1435" s="2" t="str">
        <f t="shared" si="1265"/>
        <v/>
      </c>
      <c r="K1435" s="2" t="str">
        <f t="shared" si="1265"/>
        <v/>
      </c>
      <c r="L1435" s="2" t="str">
        <f t="shared" si="1265"/>
        <v/>
      </c>
      <c r="M1435" s="180" t="str">
        <f t="shared" si="1265"/>
        <v/>
      </c>
      <c r="N1435" s="2" t="str">
        <f t="shared" si="1253"/>
        <v/>
      </c>
      <c r="O1435" s="2">
        <f t="shared" si="1265"/>
        <v>0</v>
      </c>
    </row>
    <row r="1436" spans="1:15" x14ac:dyDescent="0.25">
      <c r="A1436" s="325">
        <v>1</v>
      </c>
      <c r="B1436" s="325">
        <f>TrialNumberDay2</f>
        <v>0</v>
      </c>
      <c r="C1436" s="325" t="s">
        <v>20</v>
      </c>
      <c r="D1436" s="325">
        <f>Advanced!C112</f>
        <v>0</v>
      </c>
      <c r="E1436" s="325" t="str">
        <f>IF(Advanced!B112="W","W","A")</f>
        <v>A</v>
      </c>
      <c r="F1436" s="325" t="s">
        <v>1739</v>
      </c>
      <c r="G1436" s="325" t="str">
        <f>IF(Advanced!W112="e","Y","")</f>
        <v/>
      </c>
      <c r="H1436" s="325" t="str">
        <f>IFERROR(VLOOKUP($D1436,'SDDA Dogs'!$A:$AE,2,FALSE),"")</f>
        <v/>
      </c>
      <c r="I1436" s="325" t="str">
        <f>IFERROR(VLOOKUP($D1436,'SDDA Dogs'!$A:$AE,3,FALSE),"")</f>
        <v/>
      </c>
      <c r="J1436" s="325" t="str">
        <f>IFERROR(VLOOKUP($D1436,'SDDA Dogs'!$A:$AE,6,FALSE),"")</f>
        <v/>
      </c>
      <c r="K1436" s="325" t="str">
        <f>IF(Advanced!AS112="","",Advanced!AS112)</f>
        <v/>
      </c>
      <c r="L1436" s="325" t="str">
        <f>IF(Advanced!AT112="","",Advanced!AT112)</f>
        <v/>
      </c>
      <c r="M1436" s="326" t="str">
        <f>TrialDateDay2</f>
        <v/>
      </c>
      <c r="N1436" s="325" t="str">
        <f t="shared" si="1253"/>
        <v/>
      </c>
      <c r="O1436" s="325">
        <f>JudgeD2ESA</f>
        <v>0</v>
      </c>
    </row>
    <row r="1437" spans="1:15" x14ac:dyDescent="0.25">
      <c r="A1437" s="2">
        <v>2</v>
      </c>
      <c r="B1437" s="2">
        <f t="shared" ref="B1437:O1437" si="1266">B1436</f>
        <v>0</v>
      </c>
      <c r="C1437" s="2" t="str">
        <f t="shared" si="1266"/>
        <v>ESA</v>
      </c>
      <c r="D1437" s="2">
        <f t="shared" si="1266"/>
        <v>0</v>
      </c>
      <c r="E1437" s="2" t="str">
        <f t="shared" si="1266"/>
        <v>A</v>
      </c>
      <c r="F1437" s="2" t="str">
        <f t="shared" si="1266"/>
        <v>Exterior Advanced</v>
      </c>
      <c r="G1437" s="2" t="str">
        <f t="shared" si="1266"/>
        <v/>
      </c>
      <c r="H1437" s="2" t="str">
        <f t="shared" si="1266"/>
        <v/>
      </c>
      <c r="I1437" s="2" t="str">
        <f t="shared" si="1266"/>
        <v/>
      </c>
      <c r="J1437" s="2" t="str">
        <f t="shared" si="1266"/>
        <v/>
      </c>
      <c r="K1437" s="2" t="str">
        <f t="shared" si="1266"/>
        <v/>
      </c>
      <c r="L1437" s="2" t="str">
        <f t="shared" si="1266"/>
        <v/>
      </c>
      <c r="M1437" s="180" t="str">
        <f t="shared" si="1266"/>
        <v/>
      </c>
      <c r="N1437" s="2" t="str">
        <f t="shared" si="1253"/>
        <v/>
      </c>
      <c r="O1437" s="2">
        <f t="shared" si="1266"/>
        <v>0</v>
      </c>
    </row>
    <row r="1438" spans="1:15" x14ac:dyDescent="0.25">
      <c r="A1438" s="325">
        <v>1</v>
      </c>
      <c r="B1438" s="325">
        <f>TrialNumberDay2</f>
        <v>0</v>
      </c>
      <c r="C1438" s="325" t="s">
        <v>20</v>
      </c>
      <c r="D1438" s="325">
        <f>Advanced!C113</f>
        <v>0</v>
      </c>
      <c r="E1438" s="325" t="str">
        <f>IF(Advanced!B113="W","W","A")</f>
        <v>A</v>
      </c>
      <c r="F1438" s="325" t="s">
        <v>1739</v>
      </c>
      <c r="G1438" s="325" t="str">
        <f>IF(Advanced!W113="e","Y","")</f>
        <v/>
      </c>
      <c r="H1438" s="325" t="str">
        <f>IFERROR(VLOOKUP($D1438,'SDDA Dogs'!$A:$AE,2,FALSE),"")</f>
        <v/>
      </c>
      <c r="I1438" s="325" t="str">
        <f>IFERROR(VLOOKUP($D1438,'SDDA Dogs'!$A:$AE,3,FALSE),"")</f>
        <v/>
      </c>
      <c r="J1438" s="325" t="str">
        <f>IFERROR(VLOOKUP($D1438,'SDDA Dogs'!$A:$AE,6,FALSE),"")</f>
        <v/>
      </c>
      <c r="K1438" s="325" t="str">
        <f>IF(Advanced!AS113="","",Advanced!AS113)</f>
        <v/>
      </c>
      <c r="L1438" s="325" t="str">
        <f>IF(Advanced!AT113="","",Advanced!AT113)</f>
        <v/>
      </c>
      <c r="M1438" s="326" t="str">
        <f>TrialDateDay2</f>
        <v/>
      </c>
      <c r="N1438" s="325" t="str">
        <f t="shared" si="1253"/>
        <v/>
      </c>
      <c r="O1438" s="325">
        <f>JudgeD2ESA</f>
        <v>0</v>
      </c>
    </row>
    <row r="1439" spans="1:15" x14ac:dyDescent="0.25">
      <c r="A1439" s="2">
        <v>2</v>
      </c>
      <c r="B1439" s="2">
        <f t="shared" ref="B1439:O1439" si="1267">B1438</f>
        <v>0</v>
      </c>
      <c r="C1439" s="2" t="str">
        <f t="shared" si="1267"/>
        <v>ESA</v>
      </c>
      <c r="D1439" s="2">
        <f t="shared" si="1267"/>
        <v>0</v>
      </c>
      <c r="E1439" s="2" t="str">
        <f t="shared" si="1267"/>
        <v>A</v>
      </c>
      <c r="F1439" s="2" t="str">
        <f t="shared" si="1267"/>
        <v>Exterior Advanced</v>
      </c>
      <c r="G1439" s="2" t="str">
        <f t="shared" si="1267"/>
        <v/>
      </c>
      <c r="H1439" s="2" t="str">
        <f t="shared" si="1267"/>
        <v/>
      </c>
      <c r="I1439" s="2" t="str">
        <f t="shared" si="1267"/>
        <v/>
      </c>
      <c r="J1439" s="2" t="str">
        <f t="shared" si="1267"/>
        <v/>
      </c>
      <c r="K1439" s="2" t="str">
        <f t="shared" si="1267"/>
        <v/>
      </c>
      <c r="L1439" s="2" t="str">
        <f t="shared" si="1267"/>
        <v/>
      </c>
      <c r="M1439" s="180" t="str">
        <f t="shared" si="1267"/>
        <v/>
      </c>
      <c r="N1439" s="2" t="str">
        <f t="shared" si="1253"/>
        <v/>
      </c>
      <c r="O1439" s="2">
        <f t="shared" si="1267"/>
        <v>0</v>
      </c>
    </row>
    <row r="1440" spans="1:15" x14ac:dyDescent="0.25">
      <c r="A1440" s="325">
        <v>1</v>
      </c>
      <c r="B1440" s="325">
        <f>TrialNumberDay2</f>
        <v>0</v>
      </c>
      <c r="C1440" s="325" t="s">
        <v>20</v>
      </c>
      <c r="D1440" s="325">
        <f>Advanced!C114</f>
        <v>0</v>
      </c>
      <c r="E1440" s="325" t="str">
        <f>IF(Advanced!B114="W","W","A")</f>
        <v>A</v>
      </c>
      <c r="F1440" s="325" t="s">
        <v>1739</v>
      </c>
      <c r="G1440" s="325" t="str">
        <f>IF(Advanced!W114="e","Y","")</f>
        <v/>
      </c>
      <c r="H1440" s="325" t="str">
        <f>IFERROR(VLOOKUP($D1440,'SDDA Dogs'!$A:$AE,2,FALSE),"")</f>
        <v/>
      </c>
      <c r="I1440" s="325" t="str">
        <f>IFERROR(VLOOKUP($D1440,'SDDA Dogs'!$A:$AE,3,FALSE),"")</f>
        <v/>
      </c>
      <c r="J1440" s="325" t="str">
        <f>IFERROR(VLOOKUP($D1440,'SDDA Dogs'!$A:$AE,6,FALSE),"")</f>
        <v/>
      </c>
      <c r="K1440" s="325" t="str">
        <f>IF(Advanced!AS114="","",Advanced!AS114)</f>
        <v/>
      </c>
      <c r="L1440" s="325" t="str">
        <f>IF(Advanced!AT114="","",Advanced!AT114)</f>
        <v/>
      </c>
      <c r="M1440" s="326" t="str">
        <f>TrialDateDay2</f>
        <v/>
      </c>
      <c r="N1440" s="325" t="str">
        <f t="shared" si="1253"/>
        <v/>
      </c>
      <c r="O1440" s="325">
        <f>JudgeD2ESA</f>
        <v>0</v>
      </c>
    </row>
    <row r="1441" spans="1:15" x14ac:dyDescent="0.25">
      <c r="A1441" s="2">
        <v>2</v>
      </c>
      <c r="B1441" s="2">
        <f t="shared" ref="B1441:O1477" si="1268">B1440</f>
        <v>0</v>
      </c>
      <c r="C1441" s="2" t="str">
        <f t="shared" si="1268"/>
        <v>ESA</v>
      </c>
      <c r="D1441" s="2">
        <f t="shared" si="1268"/>
        <v>0</v>
      </c>
      <c r="E1441" s="2" t="str">
        <f t="shared" si="1268"/>
        <v>A</v>
      </c>
      <c r="F1441" s="2" t="str">
        <f t="shared" si="1268"/>
        <v>Exterior Advanced</v>
      </c>
      <c r="G1441" s="2" t="str">
        <f t="shared" si="1268"/>
        <v/>
      </c>
      <c r="H1441" s="2" t="str">
        <f t="shared" si="1268"/>
        <v/>
      </c>
      <c r="I1441" s="2" t="str">
        <f t="shared" si="1268"/>
        <v/>
      </c>
      <c r="J1441" s="2" t="str">
        <f t="shared" si="1268"/>
        <v/>
      </c>
      <c r="K1441" s="2" t="str">
        <f t="shared" si="1268"/>
        <v/>
      </c>
      <c r="L1441" s="2" t="str">
        <f t="shared" si="1268"/>
        <v/>
      </c>
      <c r="M1441" s="180" t="str">
        <f t="shared" si="1268"/>
        <v/>
      </c>
      <c r="N1441" s="2" t="str">
        <f t="shared" si="1253"/>
        <v/>
      </c>
      <c r="O1441" s="2">
        <f t="shared" si="1268"/>
        <v>0</v>
      </c>
    </row>
    <row r="1442" spans="1:15" s="149" customFormat="1" x14ac:dyDescent="0.25">
      <c r="A1442" s="327">
        <v>1</v>
      </c>
      <c r="B1442" s="327">
        <f>TrialNumberDay2</f>
        <v>0</v>
      </c>
      <c r="C1442" s="327" t="s">
        <v>21</v>
      </c>
      <c r="D1442" s="327">
        <f>Excellent!C65</f>
        <v>0</v>
      </c>
      <c r="E1442" s="327" t="str">
        <f>IF(Excellent!B65="W","W","A")</f>
        <v>A</v>
      </c>
      <c r="F1442" s="327" t="s">
        <v>1740</v>
      </c>
      <c r="G1442" s="327" t="str">
        <f>IF(Excellent!G65="e","Y","")</f>
        <v/>
      </c>
      <c r="H1442" s="327" t="str">
        <f>IFERROR(VLOOKUP($D1442,'SDDA Dogs'!$A:$AE,2,FALSE),"")</f>
        <v/>
      </c>
      <c r="I1442" s="327" t="str">
        <f>IFERROR(VLOOKUP($D1442,'SDDA Dogs'!$A:$AE,3,FALSE),"")</f>
        <v/>
      </c>
      <c r="J1442" s="327" t="str">
        <f>IFERROR(VLOOKUP($D1442,'SDDA Dogs'!$A:$AE,6,FALSE),"")</f>
        <v/>
      </c>
      <c r="K1442" s="327" t="str">
        <f>IF(Excellent!AS65="","",Excellent!AS65)</f>
        <v/>
      </c>
      <c r="L1442" s="327" t="str">
        <f>IF(Excellent!AT65="","",Excellent!AT65)</f>
        <v/>
      </c>
      <c r="M1442" s="328" t="str">
        <f>TrialDateDay2</f>
        <v/>
      </c>
      <c r="N1442" s="325" t="str">
        <f t="shared" si="1253"/>
        <v/>
      </c>
      <c r="O1442" s="327">
        <f>JudgeD2CSE</f>
        <v>0</v>
      </c>
    </row>
    <row r="1443" spans="1:15" x14ac:dyDescent="0.25">
      <c r="A1443" s="2">
        <v>2</v>
      </c>
      <c r="B1443" s="2">
        <f t="shared" si="1268"/>
        <v>0</v>
      </c>
      <c r="C1443" s="2" t="str">
        <f t="shared" si="1268"/>
        <v>CSE</v>
      </c>
      <c r="D1443" s="2">
        <f t="shared" si="1268"/>
        <v>0</v>
      </c>
      <c r="E1443" s="2" t="str">
        <f t="shared" si="1268"/>
        <v>A</v>
      </c>
      <c r="F1443" s="2" t="str">
        <f t="shared" si="1268"/>
        <v>Container Excellent</v>
      </c>
      <c r="G1443" s="2" t="str">
        <f t="shared" si="1268"/>
        <v/>
      </c>
      <c r="H1443" s="2" t="str">
        <f t="shared" si="1268"/>
        <v/>
      </c>
      <c r="I1443" s="2" t="str">
        <f t="shared" si="1268"/>
        <v/>
      </c>
      <c r="J1443" s="2" t="str">
        <f t="shared" si="1268"/>
        <v/>
      </c>
      <c r="K1443" s="2" t="str">
        <f t="shared" si="1268"/>
        <v/>
      </c>
      <c r="L1443" s="2" t="str">
        <f t="shared" si="1268"/>
        <v/>
      </c>
      <c r="M1443" s="180" t="str">
        <f t="shared" si="1268"/>
        <v/>
      </c>
      <c r="N1443" s="2" t="str">
        <f t="shared" si="1253"/>
        <v/>
      </c>
      <c r="O1443" s="2">
        <f t="shared" si="1268"/>
        <v>0</v>
      </c>
    </row>
    <row r="1444" spans="1:15" x14ac:dyDescent="0.25">
      <c r="A1444" s="325">
        <v>1</v>
      </c>
      <c r="B1444" s="325">
        <f>TrialNumberDay2</f>
        <v>0</v>
      </c>
      <c r="C1444" s="325" t="s">
        <v>21</v>
      </c>
      <c r="D1444" s="325">
        <f>Excellent!C66</f>
        <v>0</v>
      </c>
      <c r="E1444" s="325" t="str">
        <f>IF(Excellent!B66="W","W","A")</f>
        <v>A</v>
      </c>
      <c r="F1444" s="325" t="s">
        <v>1740</v>
      </c>
      <c r="G1444" s="325" t="str">
        <f>IF(Excellent!G66="e","Y","")</f>
        <v/>
      </c>
      <c r="H1444" s="325" t="str">
        <f>IFERROR(VLOOKUP($D1444,'SDDA Dogs'!$A:$AE,2,FALSE),"")</f>
        <v/>
      </c>
      <c r="I1444" s="325" t="str">
        <f>IFERROR(VLOOKUP($D1444,'SDDA Dogs'!$A:$AE,3,FALSE),"")</f>
        <v/>
      </c>
      <c r="J1444" s="325" t="str">
        <f>IFERROR(VLOOKUP($D1444,'SDDA Dogs'!$A:$AE,6,FALSE),"")</f>
        <v/>
      </c>
      <c r="K1444" s="325" t="str">
        <f>IF(Excellent!AS66="","",Excellent!AS66)</f>
        <v/>
      </c>
      <c r="L1444" s="325" t="str">
        <f>IF(Excellent!AT66="","",Excellent!AT66)</f>
        <v/>
      </c>
      <c r="M1444" s="326" t="str">
        <f>TrialDateDay2</f>
        <v/>
      </c>
      <c r="N1444" s="325" t="str">
        <f t="shared" si="1253"/>
        <v/>
      </c>
      <c r="O1444" s="325">
        <f>JudgeD2CSE</f>
        <v>0</v>
      </c>
    </row>
    <row r="1445" spans="1:15" x14ac:dyDescent="0.25">
      <c r="A1445" s="2">
        <v>2</v>
      </c>
      <c r="B1445" s="2">
        <f t="shared" si="1268"/>
        <v>0</v>
      </c>
      <c r="C1445" s="2" t="str">
        <f t="shared" si="1268"/>
        <v>CSE</v>
      </c>
      <c r="D1445" s="2">
        <f t="shared" si="1268"/>
        <v>0</v>
      </c>
      <c r="E1445" s="2" t="str">
        <f t="shared" si="1268"/>
        <v>A</v>
      </c>
      <c r="F1445" s="2" t="str">
        <f t="shared" si="1268"/>
        <v>Container Excellent</v>
      </c>
      <c r="G1445" s="2" t="str">
        <f t="shared" si="1268"/>
        <v/>
      </c>
      <c r="H1445" s="2" t="str">
        <f t="shared" si="1268"/>
        <v/>
      </c>
      <c r="I1445" s="2" t="str">
        <f t="shared" si="1268"/>
        <v/>
      </c>
      <c r="J1445" s="2" t="str">
        <f t="shared" si="1268"/>
        <v/>
      </c>
      <c r="K1445" s="2" t="str">
        <f t="shared" si="1268"/>
        <v/>
      </c>
      <c r="L1445" s="2" t="str">
        <f t="shared" si="1268"/>
        <v/>
      </c>
      <c r="M1445" s="180" t="str">
        <f t="shared" si="1268"/>
        <v/>
      </c>
      <c r="N1445" s="2" t="str">
        <f t="shared" si="1253"/>
        <v/>
      </c>
      <c r="O1445" s="2">
        <f t="shared" si="1268"/>
        <v>0</v>
      </c>
    </row>
    <row r="1446" spans="1:15" x14ac:dyDescent="0.25">
      <c r="A1446" s="325">
        <v>1</v>
      </c>
      <c r="B1446" s="325">
        <f>TrialNumberDay2</f>
        <v>0</v>
      </c>
      <c r="C1446" s="325" t="s">
        <v>21</v>
      </c>
      <c r="D1446" s="325">
        <f>Excellent!C67</f>
        <v>0</v>
      </c>
      <c r="E1446" s="325" t="str">
        <f>IF(Excellent!B67="W","W","A")</f>
        <v>A</v>
      </c>
      <c r="F1446" s="325" t="s">
        <v>1740</v>
      </c>
      <c r="G1446" s="325" t="str">
        <f>IF(Excellent!G67="e","Y","")</f>
        <v/>
      </c>
      <c r="H1446" s="325" t="str">
        <f>IFERROR(VLOOKUP($D1446,'SDDA Dogs'!$A:$AE,2,FALSE),"")</f>
        <v/>
      </c>
      <c r="I1446" s="325" t="str">
        <f>IFERROR(VLOOKUP($D1446,'SDDA Dogs'!$A:$AE,3,FALSE),"")</f>
        <v/>
      </c>
      <c r="J1446" s="325" t="str">
        <f>IFERROR(VLOOKUP($D1446,'SDDA Dogs'!$A:$AE,6,FALSE),"")</f>
        <v/>
      </c>
      <c r="K1446" s="325" t="str">
        <f>IF(Excellent!AS67="","",Excellent!AS67)</f>
        <v/>
      </c>
      <c r="L1446" s="325" t="str">
        <f>IF(Excellent!AT67="","",Excellent!AT67)</f>
        <v/>
      </c>
      <c r="M1446" s="326" t="str">
        <f>TrialDateDay2</f>
        <v/>
      </c>
      <c r="N1446" s="325" t="str">
        <f t="shared" si="1253"/>
        <v/>
      </c>
      <c r="O1446" s="325">
        <f>JudgeD2CSE</f>
        <v>0</v>
      </c>
    </row>
    <row r="1447" spans="1:15" x14ac:dyDescent="0.25">
      <c r="A1447" s="2">
        <v>2</v>
      </c>
      <c r="B1447" s="2">
        <f t="shared" si="1268"/>
        <v>0</v>
      </c>
      <c r="C1447" s="2" t="str">
        <f t="shared" si="1268"/>
        <v>CSE</v>
      </c>
      <c r="D1447" s="2">
        <f t="shared" si="1268"/>
        <v>0</v>
      </c>
      <c r="E1447" s="2" t="str">
        <f t="shared" si="1268"/>
        <v>A</v>
      </c>
      <c r="F1447" s="2" t="str">
        <f t="shared" si="1268"/>
        <v>Container Excellent</v>
      </c>
      <c r="G1447" s="2" t="str">
        <f t="shared" si="1268"/>
        <v/>
      </c>
      <c r="H1447" s="2" t="str">
        <f t="shared" si="1268"/>
        <v/>
      </c>
      <c r="I1447" s="2" t="str">
        <f t="shared" si="1268"/>
        <v/>
      </c>
      <c r="J1447" s="2" t="str">
        <f t="shared" si="1268"/>
        <v/>
      </c>
      <c r="K1447" s="2" t="str">
        <f t="shared" si="1268"/>
        <v/>
      </c>
      <c r="L1447" s="2" t="str">
        <f t="shared" si="1268"/>
        <v/>
      </c>
      <c r="M1447" s="180" t="str">
        <f t="shared" si="1268"/>
        <v/>
      </c>
      <c r="N1447" s="2" t="str">
        <f t="shared" si="1253"/>
        <v/>
      </c>
      <c r="O1447" s="2">
        <f t="shared" si="1268"/>
        <v>0</v>
      </c>
    </row>
    <row r="1448" spans="1:15" x14ac:dyDescent="0.25">
      <c r="A1448" s="325">
        <v>1</v>
      </c>
      <c r="B1448" s="325">
        <f>TrialNumberDay2</f>
        <v>0</v>
      </c>
      <c r="C1448" s="325" t="s">
        <v>21</v>
      </c>
      <c r="D1448" s="325">
        <f>Excellent!C68</f>
        <v>0</v>
      </c>
      <c r="E1448" s="325" t="str">
        <f>IF(Excellent!B68="W","W","A")</f>
        <v>A</v>
      </c>
      <c r="F1448" s="325" t="s">
        <v>1740</v>
      </c>
      <c r="G1448" s="325" t="str">
        <f>IF(Excellent!G68="e","Y","")</f>
        <v/>
      </c>
      <c r="H1448" s="325" t="str">
        <f>IFERROR(VLOOKUP($D1448,'SDDA Dogs'!$A:$AE,2,FALSE),"")</f>
        <v/>
      </c>
      <c r="I1448" s="325" t="str">
        <f>IFERROR(VLOOKUP($D1448,'SDDA Dogs'!$A:$AE,3,FALSE),"")</f>
        <v/>
      </c>
      <c r="J1448" s="325" t="str">
        <f>IFERROR(VLOOKUP($D1448,'SDDA Dogs'!$A:$AE,6,FALSE),"")</f>
        <v/>
      </c>
      <c r="K1448" s="325" t="str">
        <f>IF(Excellent!AS68="","",Excellent!AS68)</f>
        <v/>
      </c>
      <c r="L1448" s="325" t="str">
        <f>IF(Excellent!AT68="","",Excellent!AT68)</f>
        <v/>
      </c>
      <c r="M1448" s="326" t="str">
        <f>TrialDateDay2</f>
        <v/>
      </c>
      <c r="N1448" s="325" t="str">
        <f t="shared" si="1253"/>
        <v/>
      </c>
      <c r="O1448" s="325">
        <f>JudgeD2CSE</f>
        <v>0</v>
      </c>
    </row>
    <row r="1449" spans="1:15" x14ac:dyDescent="0.25">
      <c r="A1449" s="2">
        <v>2</v>
      </c>
      <c r="B1449" s="2">
        <f t="shared" si="1268"/>
        <v>0</v>
      </c>
      <c r="C1449" s="2" t="str">
        <f t="shared" si="1268"/>
        <v>CSE</v>
      </c>
      <c r="D1449" s="2">
        <f t="shared" si="1268"/>
        <v>0</v>
      </c>
      <c r="E1449" s="2" t="str">
        <f t="shared" si="1268"/>
        <v>A</v>
      </c>
      <c r="F1449" s="2" t="str">
        <f t="shared" si="1268"/>
        <v>Container Excellent</v>
      </c>
      <c r="G1449" s="2" t="str">
        <f t="shared" si="1268"/>
        <v/>
      </c>
      <c r="H1449" s="2" t="str">
        <f t="shared" si="1268"/>
        <v/>
      </c>
      <c r="I1449" s="2" t="str">
        <f t="shared" si="1268"/>
        <v/>
      </c>
      <c r="J1449" s="2" t="str">
        <f t="shared" si="1268"/>
        <v/>
      </c>
      <c r="K1449" s="2" t="str">
        <f t="shared" si="1268"/>
        <v/>
      </c>
      <c r="L1449" s="2" t="str">
        <f t="shared" si="1268"/>
        <v/>
      </c>
      <c r="M1449" s="180" t="str">
        <f t="shared" si="1268"/>
        <v/>
      </c>
      <c r="N1449" s="2" t="str">
        <f t="shared" si="1253"/>
        <v/>
      </c>
      <c r="O1449" s="2">
        <f t="shared" si="1268"/>
        <v>0</v>
      </c>
    </row>
    <row r="1450" spans="1:15" x14ac:dyDescent="0.25">
      <c r="A1450" s="325">
        <v>1</v>
      </c>
      <c r="B1450" s="325">
        <f>TrialNumberDay2</f>
        <v>0</v>
      </c>
      <c r="C1450" s="325" t="s">
        <v>21</v>
      </c>
      <c r="D1450" s="325">
        <f>Excellent!C69</f>
        <v>0</v>
      </c>
      <c r="E1450" s="325" t="str">
        <f>IF(Excellent!B69="W","W","A")</f>
        <v>A</v>
      </c>
      <c r="F1450" s="325" t="s">
        <v>1740</v>
      </c>
      <c r="G1450" s="325" t="str">
        <f>IF(Excellent!G69="e","Y","")</f>
        <v/>
      </c>
      <c r="H1450" s="325" t="str">
        <f>IFERROR(VLOOKUP($D1450,'SDDA Dogs'!$A:$AE,2,FALSE),"")</f>
        <v/>
      </c>
      <c r="I1450" s="325" t="str">
        <f>IFERROR(VLOOKUP($D1450,'SDDA Dogs'!$A:$AE,3,FALSE),"")</f>
        <v/>
      </c>
      <c r="J1450" s="325" t="str">
        <f>IFERROR(VLOOKUP($D1450,'SDDA Dogs'!$A:$AE,6,FALSE),"")</f>
        <v/>
      </c>
      <c r="K1450" s="325" t="str">
        <f>IF(Excellent!AS69="","",Excellent!AS69)</f>
        <v/>
      </c>
      <c r="L1450" s="325" t="str">
        <f>IF(Excellent!AT69="","",Excellent!AT69)</f>
        <v/>
      </c>
      <c r="M1450" s="326" t="str">
        <f>TrialDateDay2</f>
        <v/>
      </c>
      <c r="N1450" s="325" t="str">
        <f t="shared" si="1253"/>
        <v/>
      </c>
      <c r="O1450" s="325">
        <f>JudgeD2CSE</f>
        <v>0</v>
      </c>
    </row>
    <row r="1451" spans="1:15" x14ac:dyDescent="0.25">
      <c r="A1451" s="2">
        <v>2</v>
      </c>
      <c r="B1451" s="2">
        <f t="shared" si="1268"/>
        <v>0</v>
      </c>
      <c r="C1451" s="2" t="str">
        <f t="shared" si="1268"/>
        <v>CSE</v>
      </c>
      <c r="D1451" s="2">
        <f t="shared" si="1268"/>
        <v>0</v>
      </c>
      <c r="E1451" s="2" t="str">
        <f t="shared" si="1268"/>
        <v>A</v>
      </c>
      <c r="F1451" s="2" t="str">
        <f t="shared" si="1268"/>
        <v>Container Excellent</v>
      </c>
      <c r="G1451" s="2" t="str">
        <f t="shared" si="1268"/>
        <v/>
      </c>
      <c r="H1451" s="2" t="str">
        <f t="shared" si="1268"/>
        <v/>
      </c>
      <c r="I1451" s="2" t="str">
        <f t="shared" si="1268"/>
        <v/>
      </c>
      <c r="J1451" s="2" t="str">
        <f t="shared" si="1268"/>
        <v/>
      </c>
      <c r="K1451" s="2" t="str">
        <f t="shared" si="1268"/>
        <v/>
      </c>
      <c r="L1451" s="2" t="str">
        <f t="shared" si="1268"/>
        <v/>
      </c>
      <c r="M1451" s="180" t="str">
        <f t="shared" si="1268"/>
        <v/>
      </c>
      <c r="N1451" s="2" t="str">
        <f t="shared" si="1253"/>
        <v/>
      </c>
      <c r="O1451" s="2">
        <f t="shared" si="1268"/>
        <v>0</v>
      </c>
    </row>
    <row r="1452" spans="1:15" x14ac:dyDescent="0.25">
      <c r="A1452" s="325">
        <v>1</v>
      </c>
      <c r="B1452" s="325">
        <f>TrialNumberDay2</f>
        <v>0</v>
      </c>
      <c r="C1452" s="325" t="s">
        <v>21</v>
      </c>
      <c r="D1452" s="325">
        <f>Excellent!C70</f>
        <v>0</v>
      </c>
      <c r="E1452" s="325" t="str">
        <f>IF(Excellent!B70="W","W","A")</f>
        <v>A</v>
      </c>
      <c r="F1452" s="325" t="s">
        <v>1740</v>
      </c>
      <c r="G1452" s="325" t="str">
        <f>IF(Excellent!G70="e","Y","")</f>
        <v/>
      </c>
      <c r="H1452" s="325" t="str">
        <f>IFERROR(VLOOKUP($D1452,'SDDA Dogs'!$A:$AE,2,FALSE),"")</f>
        <v/>
      </c>
      <c r="I1452" s="325" t="str">
        <f>IFERROR(VLOOKUP($D1452,'SDDA Dogs'!$A:$AE,3,FALSE),"")</f>
        <v/>
      </c>
      <c r="J1452" s="325" t="str">
        <f>IFERROR(VLOOKUP($D1452,'SDDA Dogs'!$A:$AE,6,FALSE),"")</f>
        <v/>
      </c>
      <c r="K1452" s="325" t="str">
        <f>IF(Excellent!AS70="","",Excellent!AS70)</f>
        <v/>
      </c>
      <c r="L1452" s="325" t="str">
        <f>IF(Excellent!AT70="","",Excellent!AT70)</f>
        <v/>
      </c>
      <c r="M1452" s="326" t="str">
        <f>TrialDateDay2</f>
        <v/>
      </c>
      <c r="N1452" s="325" t="str">
        <f t="shared" si="1253"/>
        <v/>
      </c>
      <c r="O1452" s="325">
        <f>JudgeD2CSE</f>
        <v>0</v>
      </c>
    </row>
    <row r="1453" spans="1:15" x14ac:dyDescent="0.25">
      <c r="A1453" s="2">
        <v>2</v>
      </c>
      <c r="B1453" s="2">
        <f t="shared" si="1268"/>
        <v>0</v>
      </c>
      <c r="C1453" s="2" t="str">
        <f t="shared" si="1268"/>
        <v>CSE</v>
      </c>
      <c r="D1453" s="2">
        <f t="shared" si="1268"/>
        <v>0</v>
      </c>
      <c r="E1453" s="2" t="str">
        <f t="shared" si="1268"/>
        <v>A</v>
      </c>
      <c r="F1453" s="2" t="str">
        <f t="shared" si="1268"/>
        <v>Container Excellent</v>
      </c>
      <c r="G1453" s="2" t="str">
        <f t="shared" si="1268"/>
        <v/>
      </c>
      <c r="H1453" s="2" t="str">
        <f t="shared" si="1268"/>
        <v/>
      </c>
      <c r="I1453" s="2" t="str">
        <f t="shared" si="1268"/>
        <v/>
      </c>
      <c r="J1453" s="2" t="str">
        <f t="shared" si="1268"/>
        <v/>
      </c>
      <c r="K1453" s="2" t="str">
        <f t="shared" si="1268"/>
        <v/>
      </c>
      <c r="L1453" s="2" t="str">
        <f t="shared" si="1268"/>
        <v/>
      </c>
      <c r="M1453" s="180" t="str">
        <f t="shared" si="1268"/>
        <v/>
      </c>
      <c r="N1453" s="2" t="str">
        <f t="shared" si="1253"/>
        <v/>
      </c>
      <c r="O1453" s="2">
        <f t="shared" si="1268"/>
        <v>0</v>
      </c>
    </row>
    <row r="1454" spans="1:15" x14ac:dyDescent="0.25">
      <c r="A1454" s="325">
        <v>1</v>
      </c>
      <c r="B1454" s="325">
        <f>TrialNumberDay2</f>
        <v>0</v>
      </c>
      <c r="C1454" s="325" t="s">
        <v>21</v>
      </c>
      <c r="D1454" s="325">
        <f>Excellent!C71</f>
        <v>0</v>
      </c>
      <c r="E1454" s="325" t="str">
        <f>IF(Excellent!B71="W","W","A")</f>
        <v>A</v>
      </c>
      <c r="F1454" s="325" t="s">
        <v>1740</v>
      </c>
      <c r="G1454" s="325" t="str">
        <f>IF(Excellent!G71="e","Y","")</f>
        <v/>
      </c>
      <c r="H1454" s="325" t="str">
        <f>IFERROR(VLOOKUP($D1454,'SDDA Dogs'!$A:$AE,2,FALSE),"")</f>
        <v/>
      </c>
      <c r="I1454" s="325" t="str">
        <f>IFERROR(VLOOKUP($D1454,'SDDA Dogs'!$A:$AE,3,FALSE),"")</f>
        <v/>
      </c>
      <c r="J1454" s="325" t="str">
        <f>IFERROR(VLOOKUP($D1454,'SDDA Dogs'!$A:$AE,6,FALSE),"")</f>
        <v/>
      </c>
      <c r="K1454" s="325" t="str">
        <f>IF(Excellent!AS71="","",Excellent!AS71)</f>
        <v/>
      </c>
      <c r="L1454" s="325" t="str">
        <f>IF(Excellent!AT71="","",Excellent!AT71)</f>
        <v/>
      </c>
      <c r="M1454" s="326" t="str">
        <f>TrialDateDay2</f>
        <v/>
      </c>
      <c r="N1454" s="325" t="str">
        <f t="shared" si="1253"/>
        <v/>
      </c>
      <c r="O1454" s="325">
        <f>JudgeD2CSE</f>
        <v>0</v>
      </c>
    </row>
    <row r="1455" spans="1:15" x14ac:dyDescent="0.25">
      <c r="A1455" s="2">
        <v>2</v>
      </c>
      <c r="B1455" s="2">
        <f t="shared" si="1268"/>
        <v>0</v>
      </c>
      <c r="C1455" s="2" t="str">
        <f t="shared" si="1268"/>
        <v>CSE</v>
      </c>
      <c r="D1455" s="2">
        <f t="shared" si="1268"/>
        <v>0</v>
      </c>
      <c r="E1455" s="2" t="str">
        <f t="shared" si="1268"/>
        <v>A</v>
      </c>
      <c r="F1455" s="2" t="str">
        <f t="shared" si="1268"/>
        <v>Container Excellent</v>
      </c>
      <c r="G1455" s="2" t="str">
        <f t="shared" si="1268"/>
        <v/>
      </c>
      <c r="H1455" s="2" t="str">
        <f t="shared" si="1268"/>
        <v/>
      </c>
      <c r="I1455" s="2" t="str">
        <f t="shared" si="1268"/>
        <v/>
      </c>
      <c r="J1455" s="2" t="str">
        <f t="shared" si="1268"/>
        <v/>
      </c>
      <c r="K1455" s="2" t="str">
        <f t="shared" si="1268"/>
        <v/>
      </c>
      <c r="L1455" s="2" t="str">
        <f t="shared" si="1268"/>
        <v/>
      </c>
      <c r="M1455" s="180" t="str">
        <f t="shared" si="1268"/>
        <v/>
      </c>
      <c r="N1455" s="2" t="str">
        <f t="shared" si="1253"/>
        <v/>
      </c>
      <c r="O1455" s="2">
        <f t="shared" si="1268"/>
        <v>0</v>
      </c>
    </row>
    <row r="1456" spans="1:15" x14ac:dyDescent="0.25">
      <c r="A1456" s="325">
        <v>1</v>
      </c>
      <c r="B1456" s="325">
        <f>TrialNumberDay2</f>
        <v>0</v>
      </c>
      <c r="C1456" s="325" t="s">
        <v>21</v>
      </c>
      <c r="D1456" s="325">
        <f>Excellent!C72</f>
        <v>0</v>
      </c>
      <c r="E1456" s="325" t="str">
        <f>IF(Excellent!B72="W","W","A")</f>
        <v>A</v>
      </c>
      <c r="F1456" s="325" t="s">
        <v>1740</v>
      </c>
      <c r="G1456" s="325" t="str">
        <f>IF(Excellent!G72="e","Y","")</f>
        <v/>
      </c>
      <c r="H1456" s="325" t="str">
        <f>IFERROR(VLOOKUP($D1456,'SDDA Dogs'!$A:$AE,2,FALSE),"")</f>
        <v/>
      </c>
      <c r="I1456" s="325" t="str">
        <f>IFERROR(VLOOKUP($D1456,'SDDA Dogs'!$A:$AE,3,FALSE),"")</f>
        <v/>
      </c>
      <c r="J1456" s="325" t="str">
        <f>IFERROR(VLOOKUP($D1456,'SDDA Dogs'!$A:$AE,6,FALSE),"")</f>
        <v/>
      </c>
      <c r="K1456" s="325" t="str">
        <f>IF(Excellent!AS72="","",Excellent!AS72)</f>
        <v/>
      </c>
      <c r="L1456" s="325" t="str">
        <f>IF(Excellent!AT72="","",Excellent!AT72)</f>
        <v/>
      </c>
      <c r="M1456" s="326" t="str">
        <f>TrialDateDay2</f>
        <v/>
      </c>
      <c r="N1456" s="325" t="str">
        <f t="shared" si="1253"/>
        <v/>
      </c>
      <c r="O1456" s="325">
        <f>JudgeD2CSE</f>
        <v>0</v>
      </c>
    </row>
    <row r="1457" spans="1:15" x14ac:dyDescent="0.25">
      <c r="A1457" s="2">
        <v>2</v>
      </c>
      <c r="B1457" s="2">
        <f t="shared" si="1268"/>
        <v>0</v>
      </c>
      <c r="C1457" s="2" t="str">
        <f t="shared" si="1268"/>
        <v>CSE</v>
      </c>
      <c r="D1457" s="2">
        <f t="shared" si="1268"/>
        <v>0</v>
      </c>
      <c r="E1457" s="2" t="str">
        <f t="shared" si="1268"/>
        <v>A</v>
      </c>
      <c r="F1457" s="2" t="str">
        <f t="shared" si="1268"/>
        <v>Container Excellent</v>
      </c>
      <c r="G1457" s="2" t="str">
        <f t="shared" si="1268"/>
        <v/>
      </c>
      <c r="H1457" s="2" t="str">
        <f t="shared" si="1268"/>
        <v/>
      </c>
      <c r="I1457" s="2" t="str">
        <f t="shared" si="1268"/>
        <v/>
      </c>
      <c r="J1457" s="2" t="str">
        <f t="shared" si="1268"/>
        <v/>
      </c>
      <c r="K1457" s="2" t="str">
        <f t="shared" si="1268"/>
        <v/>
      </c>
      <c r="L1457" s="2" t="str">
        <f t="shared" si="1268"/>
        <v/>
      </c>
      <c r="M1457" s="180" t="str">
        <f t="shared" si="1268"/>
        <v/>
      </c>
      <c r="N1457" s="2" t="str">
        <f t="shared" si="1253"/>
        <v/>
      </c>
      <c r="O1457" s="2">
        <f t="shared" si="1268"/>
        <v>0</v>
      </c>
    </row>
    <row r="1458" spans="1:15" x14ac:dyDescent="0.25">
      <c r="A1458" s="325">
        <v>1</v>
      </c>
      <c r="B1458" s="325">
        <f>TrialNumberDay2</f>
        <v>0</v>
      </c>
      <c r="C1458" s="325" t="s">
        <v>21</v>
      </c>
      <c r="D1458" s="325">
        <f>Excellent!C73</f>
        <v>0</v>
      </c>
      <c r="E1458" s="325" t="str">
        <f>IF(Excellent!B73="W","W","A")</f>
        <v>A</v>
      </c>
      <c r="F1458" s="325" t="s">
        <v>1740</v>
      </c>
      <c r="G1458" s="325" t="str">
        <f>IF(Excellent!G73="e","Y","")</f>
        <v/>
      </c>
      <c r="H1458" s="325" t="str">
        <f>IFERROR(VLOOKUP($D1458,'SDDA Dogs'!$A:$AE,2,FALSE),"")</f>
        <v/>
      </c>
      <c r="I1458" s="325" t="str">
        <f>IFERROR(VLOOKUP($D1458,'SDDA Dogs'!$A:$AE,3,FALSE),"")</f>
        <v/>
      </c>
      <c r="J1458" s="325" t="str">
        <f>IFERROR(VLOOKUP($D1458,'SDDA Dogs'!$A:$AE,6,FALSE),"")</f>
        <v/>
      </c>
      <c r="K1458" s="325" t="str">
        <f>IF(Excellent!AS73="","",Excellent!AS73)</f>
        <v/>
      </c>
      <c r="L1458" s="325" t="str">
        <f>IF(Excellent!AT73="","",Excellent!AT73)</f>
        <v/>
      </c>
      <c r="M1458" s="326" t="str">
        <f>TrialDateDay2</f>
        <v/>
      </c>
      <c r="N1458" s="325" t="str">
        <f t="shared" si="1253"/>
        <v/>
      </c>
      <c r="O1458" s="325">
        <f>JudgeD2CSE</f>
        <v>0</v>
      </c>
    </row>
    <row r="1459" spans="1:15" x14ac:dyDescent="0.25">
      <c r="A1459" s="2">
        <v>2</v>
      </c>
      <c r="B1459" s="2">
        <f t="shared" si="1268"/>
        <v>0</v>
      </c>
      <c r="C1459" s="2" t="str">
        <f t="shared" si="1268"/>
        <v>CSE</v>
      </c>
      <c r="D1459" s="2">
        <f t="shared" si="1268"/>
        <v>0</v>
      </c>
      <c r="E1459" s="2" t="str">
        <f t="shared" si="1268"/>
        <v>A</v>
      </c>
      <c r="F1459" s="2" t="str">
        <f t="shared" si="1268"/>
        <v>Container Excellent</v>
      </c>
      <c r="G1459" s="2" t="str">
        <f t="shared" si="1268"/>
        <v/>
      </c>
      <c r="H1459" s="2" t="str">
        <f t="shared" si="1268"/>
        <v/>
      </c>
      <c r="I1459" s="2" t="str">
        <f t="shared" si="1268"/>
        <v/>
      </c>
      <c r="J1459" s="2" t="str">
        <f t="shared" si="1268"/>
        <v/>
      </c>
      <c r="K1459" s="2" t="str">
        <f t="shared" si="1268"/>
        <v/>
      </c>
      <c r="L1459" s="2" t="str">
        <f t="shared" si="1268"/>
        <v/>
      </c>
      <c r="M1459" s="180" t="str">
        <f t="shared" si="1268"/>
        <v/>
      </c>
      <c r="N1459" s="2" t="str">
        <f t="shared" si="1253"/>
        <v/>
      </c>
      <c r="O1459" s="2">
        <f t="shared" si="1268"/>
        <v>0</v>
      </c>
    </row>
    <row r="1460" spans="1:15" x14ac:dyDescent="0.25">
      <c r="A1460" s="325">
        <v>1</v>
      </c>
      <c r="B1460" s="325">
        <f>TrialNumberDay2</f>
        <v>0</v>
      </c>
      <c r="C1460" s="325" t="s">
        <v>21</v>
      </c>
      <c r="D1460" s="325">
        <f>Excellent!C74</f>
        <v>0</v>
      </c>
      <c r="E1460" s="325" t="str">
        <f>IF(Excellent!B74="W","W","A")</f>
        <v>A</v>
      </c>
      <c r="F1460" s="325" t="s">
        <v>1740</v>
      </c>
      <c r="G1460" s="325" t="str">
        <f>IF(Excellent!G74="e","Y","")</f>
        <v/>
      </c>
      <c r="H1460" s="325" t="str">
        <f>IFERROR(VLOOKUP($D1460,'SDDA Dogs'!$A:$AE,2,FALSE),"")</f>
        <v/>
      </c>
      <c r="I1460" s="325" t="str">
        <f>IFERROR(VLOOKUP($D1460,'SDDA Dogs'!$A:$AE,3,FALSE),"")</f>
        <v/>
      </c>
      <c r="J1460" s="325" t="str">
        <f>IFERROR(VLOOKUP($D1460,'SDDA Dogs'!$A:$AE,6,FALSE),"")</f>
        <v/>
      </c>
      <c r="K1460" s="325" t="str">
        <f>IF(Excellent!AS74="","",Excellent!AS74)</f>
        <v/>
      </c>
      <c r="L1460" s="325" t="str">
        <f>IF(Excellent!AT74="","",Excellent!AT74)</f>
        <v/>
      </c>
      <c r="M1460" s="326" t="str">
        <f>TrialDateDay2</f>
        <v/>
      </c>
      <c r="N1460" s="325" t="str">
        <f t="shared" si="1253"/>
        <v/>
      </c>
      <c r="O1460" s="325">
        <f>JudgeD2CSE</f>
        <v>0</v>
      </c>
    </row>
    <row r="1461" spans="1:15" x14ac:dyDescent="0.25">
      <c r="A1461" s="2">
        <v>2</v>
      </c>
      <c r="B1461" s="2">
        <f t="shared" si="1268"/>
        <v>0</v>
      </c>
      <c r="C1461" s="2" t="str">
        <f t="shared" si="1268"/>
        <v>CSE</v>
      </c>
      <c r="D1461" s="2">
        <f t="shared" si="1268"/>
        <v>0</v>
      </c>
      <c r="E1461" s="2" t="str">
        <f t="shared" si="1268"/>
        <v>A</v>
      </c>
      <c r="F1461" s="2" t="str">
        <f t="shared" si="1268"/>
        <v>Container Excellent</v>
      </c>
      <c r="G1461" s="2" t="str">
        <f t="shared" si="1268"/>
        <v/>
      </c>
      <c r="H1461" s="2" t="str">
        <f t="shared" si="1268"/>
        <v/>
      </c>
      <c r="I1461" s="2" t="str">
        <f t="shared" si="1268"/>
        <v/>
      </c>
      <c r="J1461" s="2" t="str">
        <f t="shared" si="1268"/>
        <v/>
      </c>
      <c r="K1461" s="2" t="str">
        <f t="shared" si="1268"/>
        <v/>
      </c>
      <c r="L1461" s="2" t="str">
        <f t="shared" si="1268"/>
        <v/>
      </c>
      <c r="M1461" s="180" t="str">
        <f t="shared" si="1268"/>
        <v/>
      </c>
      <c r="N1461" s="2" t="str">
        <f t="shared" si="1253"/>
        <v/>
      </c>
      <c r="O1461" s="2">
        <f t="shared" si="1268"/>
        <v>0</v>
      </c>
    </row>
    <row r="1462" spans="1:15" x14ac:dyDescent="0.25">
      <c r="A1462" s="325">
        <v>1</v>
      </c>
      <c r="B1462" s="325">
        <f>TrialNumberDay2</f>
        <v>0</v>
      </c>
      <c r="C1462" s="325" t="s">
        <v>21</v>
      </c>
      <c r="D1462" s="325">
        <f>Excellent!C75</f>
        <v>0</v>
      </c>
      <c r="E1462" s="325" t="str">
        <f>IF(Excellent!B75="W","W","A")</f>
        <v>A</v>
      </c>
      <c r="F1462" s="325" t="s">
        <v>1740</v>
      </c>
      <c r="G1462" s="325" t="str">
        <f>IF(Excellent!G75="e","Y","")</f>
        <v/>
      </c>
      <c r="H1462" s="325" t="str">
        <f>IFERROR(VLOOKUP($D1462,'SDDA Dogs'!$A:$AE,2,FALSE),"")</f>
        <v/>
      </c>
      <c r="I1462" s="325" t="str">
        <f>IFERROR(VLOOKUP($D1462,'SDDA Dogs'!$A:$AE,3,FALSE),"")</f>
        <v/>
      </c>
      <c r="J1462" s="325" t="str">
        <f>IFERROR(VLOOKUP($D1462,'SDDA Dogs'!$A:$AE,6,FALSE),"")</f>
        <v/>
      </c>
      <c r="K1462" s="325" t="str">
        <f>IF(Excellent!AS75="","",Excellent!AS75)</f>
        <v/>
      </c>
      <c r="L1462" s="325" t="str">
        <f>IF(Excellent!AT75="","",Excellent!AT75)</f>
        <v/>
      </c>
      <c r="M1462" s="326" t="str">
        <f>TrialDateDay2</f>
        <v/>
      </c>
      <c r="N1462" s="325" t="str">
        <f t="shared" si="1253"/>
        <v/>
      </c>
      <c r="O1462" s="325">
        <f>JudgeD2CSE</f>
        <v>0</v>
      </c>
    </row>
    <row r="1463" spans="1:15" x14ac:dyDescent="0.25">
      <c r="A1463" s="2">
        <v>2</v>
      </c>
      <c r="B1463" s="2">
        <f t="shared" si="1268"/>
        <v>0</v>
      </c>
      <c r="C1463" s="2" t="str">
        <f t="shared" si="1268"/>
        <v>CSE</v>
      </c>
      <c r="D1463" s="2">
        <f t="shared" si="1268"/>
        <v>0</v>
      </c>
      <c r="E1463" s="2" t="str">
        <f t="shared" si="1268"/>
        <v>A</v>
      </c>
      <c r="F1463" s="2" t="str">
        <f t="shared" si="1268"/>
        <v>Container Excellent</v>
      </c>
      <c r="G1463" s="2" t="str">
        <f t="shared" si="1268"/>
        <v/>
      </c>
      <c r="H1463" s="2" t="str">
        <f t="shared" si="1268"/>
        <v/>
      </c>
      <c r="I1463" s="2" t="str">
        <f t="shared" si="1268"/>
        <v/>
      </c>
      <c r="J1463" s="2" t="str">
        <f t="shared" si="1268"/>
        <v/>
      </c>
      <c r="K1463" s="2" t="str">
        <f t="shared" si="1268"/>
        <v/>
      </c>
      <c r="L1463" s="2" t="str">
        <f t="shared" si="1268"/>
        <v/>
      </c>
      <c r="M1463" s="180" t="str">
        <f t="shared" si="1268"/>
        <v/>
      </c>
      <c r="N1463" s="2" t="str">
        <f t="shared" si="1253"/>
        <v/>
      </c>
      <c r="O1463" s="2">
        <f t="shared" si="1268"/>
        <v>0</v>
      </c>
    </row>
    <row r="1464" spans="1:15" x14ac:dyDescent="0.25">
      <c r="A1464" s="325">
        <v>1</v>
      </c>
      <c r="B1464" s="325">
        <f>TrialNumberDay2</f>
        <v>0</v>
      </c>
      <c r="C1464" s="325" t="s">
        <v>21</v>
      </c>
      <c r="D1464" s="325">
        <f>Excellent!C76</f>
        <v>0</v>
      </c>
      <c r="E1464" s="325" t="str">
        <f>IF(Excellent!B76="W","W","A")</f>
        <v>A</v>
      </c>
      <c r="F1464" s="325" t="s">
        <v>1740</v>
      </c>
      <c r="G1464" s="325" t="str">
        <f>IF(Excellent!G76="e","Y","")</f>
        <v/>
      </c>
      <c r="H1464" s="325" t="str">
        <f>IFERROR(VLOOKUP($D1464,'SDDA Dogs'!$A:$AE,2,FALSE),"")</f>
        <v/>
      </c>
      <c r="I1464" s="325" t="str">
        <f>IFERROR(VLOOKUP($D1464,'SDDA Dogs'!$A:$AE,3,FALSE),"")</f>
        <v/>
      </c>
      <c r="J1464" s="325" t="str">
        <f>IFERROR(VLOOKUP($D1464,'SDDA Dogs'!$A:$AE,6,FALSE),"")</f>
        <v/>
      </c>
      <c r="K1464" s="325" t="str">
        <f>IF(Excellent!AS76="","",Excellent!AS76)</f>
        <v/>
      </c>
      <c r="L1464" s="325" t="str">
        <f>IF(Excellent!AT76="","",Excellent!AT76)</f>
        <v/>
      </c>
      <c r="M1464" s="326" t="str">
        <f>TrialDateDay2</f>
        <v/>
      </c>
      <c r="N1464" s="325" t="str">
        <f t="shared" si="1253"/>
        <v/>
      </c>
      <c r="O1464" s="325">
        <f>JudgeD2CSE</f>
        <v>0</v>
      </c>
    </row>
    <row r="1465" spans="1:15" x14ac:dyDescent="0.25">
      <c r="A1465" s="2">
        <v>2</v>
      </c>
      <c r="B1465" s="2">
        <f t="shared" si="1268"/>
        <v>0</v>
      </c>
      <c r="C1465" s="2" t="str">
        <f t="shared" si="1268"/>
        <v>CSE</v>
      </c>
      <c r="D1465" s="2">
        <f t="shared" si="1268"/>
        <v>0</v>
      </c>
      <c r="E1465" s="2" t="str">
        <f t="shared" si="1268"/>
        <v>A</v>
      </c>
      <c r="F1465" s="2" t="str">
        <f t="shared" si="1268"/>
        <v>Container Excellent</v>
      </c>
      <c r="G1465" s="2" t="str">
        <f t="shared" si="1268"/>
        <v/>
      </c>
      <c r="H1465" s="2" t="str">
        <f t="shared" si="1268"/>
        <v/>
      </c>
      <c r="I1465" s="2" t="str">
        <f t="shared" si="1268"/>
        <v/>
      </c>
      <c r="J1465" s="2" t="str">
        <f t="shared" si="1268"/>
        <v/>
      </c>
      <c r="K1465" s="2" t="str">
        <f t="shared" si="1268"/>
        <v/>
      </c>
      <c r="L1465" s="2" t="str">
        <f t="shared" si="1268"/>
        <v/>
      </c>
      <c r="M1465" s="180" t="str">
        <f t="shared" si="1268"/>
        <v/>
      </c>
      <c r="N1465" s="2" t="str">
        <f t="shared" si="1253"/>
        <v/>
      </c>
      <c r="O1465" s="2">
        <f t="shared" si="1268"/>
        <v>0</v>
      </c>
    </row>
    <row r="1466" spans="1:15" x14ac:dyDescent="0.25">
      <c r="A1466" s="325">
        <v>1</v>
      </c>
      <c r="B1466" s="325">
        <f>TrialNumberDay2</f>
        <v>0</v>
      </c>
      <c r="C1466" s="325" t="s">
        <v>21</v>
      </c>
      <c r="D1466" s="325">
        <f>Excellent!C77</f>
        <v>0</v>
      </c>
      <c r="E1466" s="325" t="str">
        <f>IF(Excellent!B77="W","W","A")</f>
        <v>A</v>
      </c>
      <c r="F1466" s="325" t="s">
        <v>1740</v>
      </c>
      <c r="G1466" s="325" t="str">
        <f>IF(Excellent!G77="e","Y","")</f>
        <v/>
      </c>
      <c r="H1466" s="325" t="str">
        <f>IFERROR(VLOOKUP($D1466,'SDDA Dogs'!$A:$AE,2,FALSE),"")</f>
        <v/>
      </c>
      <c r="I1466" s="325" t="str">
        <f>IFERROR(VLOOKUP($D1466,'SDDA Dogs'!$A:$AE,3,FALSE),"")</f>
        <v/>
      </c>
      <c r="J1466" s="325" t="str">
        <f>IFERROR(VLOOKUP($D1466,'SDDA Dogs'!$A:$AE,6,FALSE),"")</f>
        <v/>
      </c>
      <c r="K1466" s="325" t="str">
        <f>IF(Excellent!AS77="","",Excellent!AS77)</f>
        <v/>
      </c>
      <c r="L1466" s="325" t="str">
        <f>IF(Excellent!AT77="","",Excellent!AT77)</f>
        <v/>
      </c>
      <c r="M1466" s="326" t="str">
        <f>TrialDateDay2</f>
        <v/>
      </c>
      <c r="N1466" s="325" t="str">
        <f t="shared" si="1253"/>
        <v/>
      </c>
      <c r="O1466" s="325">
        <f>JudgeD2CSE</f>
        <v>0</v>
      </c>
    </row>
    <row r="1467" spans="1:15" x14ac:dyDescent="0.25">
      <c r="A1467" s="2">
        <v>2</v>
      </c>
      <c r="B1467" s="2">
        <f t="shared" si="1268"/>
        <v>0</v>
      </c>
      <c r="C1467" s="2" t="str">
        <f t="shared" si="1268"/>
        <v>CSE</v>
      </c>
      <c r="D1467" s="2">
        <f t="shared" si="1268"/>
        <v>0</v>
      </c>
      <c r="E1467" s="2" t="str">
        <f t="shared" si="1268"/>
        <v>A</v>
      </c>
      <c r="F1467" s="2" t="str">
        <f t="shared" si="1268"/>
        <v>Container Excellent</v>
      </c>
      <c r="G1467" s="2" t="str">
        <f t="shared" si="1268"/>
        <v/>
      </c>
      <c r="H1467" s="2" t="str">
        <f t="shared" si="1268"/>
        <v/>
      </c>
      <c r="I1467" s="2" t="str">
        <f t="shared" si="1268"/>
        <v/>
      </c>
      <c r="J1467" s="2" t="str">
        <f t="shared" si="1268"/>
        <v/>
      </c>
      <c r="K1467" s="2" t="str">
        <f t="shared" si="1268"/>
        <v/>
      </c>
      <c r="L1467" s="2" t="str">
        <f t="shared" si="1268"/>
        <v/>
      </c>
      <c r="M1467" s="180" t="str">
        <f t="shared" si="1268"/>
        <v/>
      </c>
      <c r="N1467" s="2" t="str">
        <f t="shared" si="1253"/>
        <v/>
      </c>
      <c r="O1467" s="2">
        <f t="shared" si="1268"/>
        <v>0</v>
      </c>
    </row>
    <row r="1468" spans="1:15" x14ac:dyDescent="0.25">
      <c r="A1468" s="325">
        <v>1</v>
      </c>
      <c r="B1468" s="325">
        <f>TrialNumberDay2</f>
        <v>0</v>
      </c>
      <c r="C1468" s="325" t="s">
        <v>21</v>
      </c>
      <c r="D1468" s="325">
        <f>Excellent!C78</f>
        <v>0</v>
      </c>
      <c r="E1468" s="325" t="str">
        <f>IF(Excellent!B78="W","W","A")</f>
        <v>A</v>
      </c>
      <c r="F1468" s="325" t="s">
        <v>1740</v>
      </c>
      <c r="G1468" s="325" t="str">
        <f>IF(Excellent!G78="e","Y","")</f>
        <v/>
      </c>
      <c r="H1468" s="325" t="str">
        <f>IFERROR(VLOOKUP($D1468,'SDDA Dogs'!$A:$AE,2,FALSE),"")</f>
        <v/>
      </c>
      <c r="I1468" s="325" t="str">
        <f>IFERROR(VLOOKUP($D1468,'SDDA Dogs'!$A:$AE,3,FALSE),"")</f>
        <v/>
      </c>
      <c r="J1468" s="325" t="str">
        <f>IFERROR(VLOOKUP($D1468,'SDDA Dogs'!$A:$AE,6,FALSE),"")</f>
        <v/>
      </c>
      <c r="K1468" s="325" t="str">
        <f>IF(Excellent!AS78="","",Excellent!AS78)</f>
        <v/>
      </c>
      <c r="L1468" s="325" t="str">
        <f>IF(Excellent!AT78="","",Excellent!AT78)</f>
        <v/>
      </c>
      <c r="M1468" s="326" t="str">
        <f>TrialDateDay2</f>
        <v/>
      </c>
      <c r="N1468" s="325" t="str">
        <f t="shared" si="1253"/>
        <v/>
      </c>
      <c r="O1468" s="325">
        <f>JudgeD2CSE</f>
        <v>0</v>
      </c>
    </row>
    <row r="1469" spans="1:15" x14ac:dyDescent="0.25">
      <c r="A1469" s="2">
        <v>2</v>
      </c>
      <c r="B1469" s="2">
        <f t="shared" si="1268"/>
        <v>0</v>
      </c>
      <c r="C1469" s="2" t="str">
        <f t="shared" si="1268"/>
        <v>CSE</v>
      </c>
      <c r="D1469" s="2">
        <f t="shared" si="1268"/>
        <v>0</v>
      </c>
      <c r="E1469" s="2" t="str">
        <f t="shared" si="1268"/>
        <v>A</v>
      </c>
      <c r="F1469" s="2" t="str">
        <f t="shared" si="1268"/>
        <v>Container Excellent</v>
      </c>
      <c r="G1469" s="2" t="str">
        <f t="shared" si="1268"/>
        <v/>
      </c>
      <c r="H1469" s="2" t="str">
        <f t="shared" si="1268"/>
        <v/>
      </c>
      <c r="I1469" s="2" t="str">
        <f t="shared" si="1268"/>
        <v/>
      </c>
      <c r="J1469" s="2" t="str">
        <f t="shared" si="1268"/>
        <v/>
      </c>
      <c r="K1469" s="2" t="str">
        <f t="shared" si="1268"/>
        <v/>
      </c>
      <c r="L1469" s="2" t="str">
        <f t="shared" si="1268"/>
        <v/>
      </c>
      <c r="M1469" s="180" t="str">
        <f t="shared" si="1268"/>
        <v/>
      </c>
      <c r="N1469" s="2" t="str">
        <f t="shared" si="1253"/>
        <v/>
      </c>
      <c r="O1469" s="2">
        <f t="shared" si="1268"/>
        <v>0</v>
      </c>
    </row>
    <row r="1470" spans="1:15" x14ac:dyDescent="0.25">
      <c r="A1470" s="325">
        <v>1</v>
      </c>
      <c r="B1470" s="325">
        <f>TrialNumberDay2</f>
        <v>0</v>
      </c>
      <c r="C1470" s="325" t="s">
        <v>21</v>
      </c>
      <c r="D1470" s="325">
        <f>Excellent!C79</f>
        <v>0</v>
      </c>
      <c r="E1470" s="325" t="str">
        <f>IF(Excellent!B79="W","W","A")</f>
        <v>A</v>
      </c>
      <c r="F1470" s="325" t="s">
        <v>1740</v>
      </c>
      <c r="G1470" s="325" t="str">
        <f>IF(Excellent!G79="e","Y","")</f>
        <v/>
      </c>
      <c r="H1470" s="325" t="str">
        <f>IFERROR(VLOOKUP($D1470,'SDDA Dogs'!$A:$AE,2,FALSE),"")</f>
        <v/>
      </c>
      <c r="I1470" s="325" t="str">
        <f>IFERROR(VLOOKUP($D1470,'SDDA Dogs'!$A:$AE,3,FALSE),"")</f>
        <v/>
      </c>
      <c r="J1470" s="325" t="str">
        <f>IFERROR(VLOOKUP($D1470,'SDDA Dogs'!$A:$AE,6,FALSE),"")</f>
        <v/>
      </c>
      <c r="K1470" s="325" t="str">
        <f>IF(Excellent!AS79="","",Excellent!AS79)</f>
        <v/>
      </c>
      <c r="L1470" s="325" t="str">
        <f>IF(Excellent!AT79="","",Excellent!AT79)</f>
        <v/>
      </c>
      <c r="M1470" s="326" t="str">
        <f>TrialDateDay2</f>
        <v/>
      </c>
      <c r="N1470" s="325" t="str">
        <f t="shared" si="1253"/>
        <v/>
      </c>
      <c r="O1470" s="325">
        <f>JudgeD2CSE</f>
        <v>0</v>
      </c>
    </row>
    <row r="1471" spans="1:15" x14ac:dyDescent="0.25">
      <c r="A1471" s="2">
        <v>2</v>
      </c>
      <c r="B1471" s="2">
        <f t="shared" si="1268"/>
        <v>0</v>
      </c>
      <c r="C1471" s="2" t="str">
        <f t="shared" si="1268"/>
        <v>CSE</v>
      </c>
      <c r="D1471" s="2">
        <f t="shared" si="1268"/>
        <v>0</v>
      </c>
      <c r="E1471" s="2" t="str">
        <f t="shared" si="1268"/>
        <v>A</v>
      </c>
      <c r="F1471" s="2" t="str">
        <f t="shared" si="1268"/>
        <v>Container Excellent</v>
      </c>
      <c r="G1471" s="2" t="str">
        <f t="shared" si="1268"/>
        <v/>
      </c>
      <c r="H1471" s="2" t="str">
        <f t="shared" si="1268"/>
        <v/>
      </c>
      <c r="I1471" s="2" t="str">
        <f t="shared" si="1268"/>
        <v/>
      </c>
      <c r="J1471" s="2" t="str">
        <f t="shared" si="1268"/>
        <v/>
      </c>
      <c r="K1471" s="2" t="str">
        <f t="shared" si="1268"/>
        <v/>
      </c>
      <c r="L1471" s="2" t="str">
        <f t="shared" si="1268"/>
        <v/>
      </c>
      <c r="M1471" s="180" t="str">
        <f t="shared" si="1268"/>
        <v/>
      </c>
      <c r="N1471" s="2" t="str">
        <f t="shared" si="1253"/>
        <v/>
      </c>
      <c r="O1471" s="2">
        <f t="shared" si="1268"/>
        <v>0</v>
      </c>
    </row>
    <row r="1472" spans="1:15" x14ac:dyDescent="0.25">
      <c r="A1472" s="325">
        <v>1</v>
      </c>
      <c r="B1472" s="325">
        <f>TrialNumberDay2</f>
        <v>0</v>
      </c>
      <c r="C1472" s="325" t="s">
        <v>21</v>
      </c>
      <c r="D1472" s="325">
        <f>Excellent!C80</f>
        <v>0</v>
      </c>
      <c r="E1472" s="325" t="str">
        <f>IF(Excellent!B80="W","W","A")</f>
        <v>A</v>
      </c>
      <c r="F1472" s="325" t="s">
        <v>1740</v>
      </c>
      <c r="G1472" s="325" t="str">
        <f>IF(Excellent!G80="e","Y","")</f>
        <v/>
      </c>
      <c r="H1472" s="325" t="str">
        <f>IFERROR(VLOOKUP($D1472,'SDDA Dogs'!$A:$AE,2,FALSE),"")</f>
        <v/>
      </c>
      <c r="I1472" s="325" t="str">
        <f>IFERROR(VLOOKUP($D1472,'SDDA Dogs'!$A:$AE,3,FALSE),"")</f>
        <v/>
      </c>
      <c r="J1472" s="325" t="str">
        <f>IFERROR(VLOOKUP($D1472,'SDDA Dogs'!$A:$AE,6,FALSE),"")</f>
        <v/>
      </c>
      <c r="K1472" s="325" t="str">
        <f>IF(Excellent!AS80="","",Excellent!AS80)</f>
        <v/>
      </c>
      <c r="L1472" s="325" t="str">
        <f>IF(Excellent!AT80="","",Excellent!AT80)</f>
        <v/>
      </c>
      <c r="M1472" s="326" t="str">
        <f>TrialDateDay2</f>
        <v/>
      </c>
      <c r="N1472" s="325" t="str">
        <f t="shared" si="1253"/>
        <v/>
      </c>
      <c r="O1472" s="325">
        <f>JudgeD2CSE</f>
        <v>0</v>
      </c>
    </row>
    <row r="1473" spans="1:15" x14ac:dyDescent="0.25">
      <c r="A1473" s="2">
        <v>2</v>
      </c>
      <c r="B1473" s="2">
        <f t="shared" si="1268"/>
        <v>0</v>
      </c>
      <c r="C1473" s="2" t="str">
        <f t="shared" si="1268"/>
        <v>CSE</v>
      </c>
      <c r="D1473" s="2">
        <f t="shared" si="1268"/>
        <v>0</v>
      </c>
      <c r="E1473" s="2" t="str">
        <f t="shared" si="1268"/>
        <v>A</v>
      </c>
      <c r="F1473" s="2" t="str">
        <f t="shared" si="1268"/>
        <v>Container Excellent</v>
      </c>
      <c r="G1473" s="2" t="str">
        <f t="shared" si="1268"/>
        <v/>
      </c>
      <c r="H1473" s="2" t="str">
        <f t="shared" si="1268"/>
        <v/>
      </c>
      <c r="I1473" s="2" t="str">
        <f t="shared" si="1268"/>
        <v/>
      </c>
      <c r="J1473" s="2" t="str">
        <f t="shared" si="1268"/>
        <v/>
      </c>
      <c r="K1473" s="2" t="str">
        <f t="shared" si="1268"/>
        <v/>
      </c>
      <c r="L1473" s="2" t="str">
        <f t="shared" si="1268"/>
        <v/>
      </c>
      <c r="M1473" s="180" t="str">
        <f t="shared" si="1268"/>
        <v/>
      </c>
      <c r="N1473" s="2" t="str">
        <f t="shared" si="1253"/>
        <v/>
      </c>
      <c r="O1473" s="2">
        <f t="shared" si="1268"/>
        <v>0</v>
      </c>
    </row>
    <row r="1474" spans="1:15" x14ac:dyDescent="0.25">
      <c r="A1474" s="325">
        <v>1</v>
      </c>
      <c r="B1474" s="325">
        <f>TrialNumberDay2</f>
        <v>0</v>
      </c>
      <c r="C1474" s="325" t="s">
        <v>21</v>
      </c>
      <c r="D1474" s="325">
        <f>Excellent!C81</f>
        <v>0</v>
      </c>
      <c r="E1474" s="325" t="str">
        <f>IF(Excellent!B81="W","W","A")</f>
        <v>A</v>
      </c>
      <c r="F1474" s="325" t="s">
        <v>1740</v>
      </c>
      <c r="G1474" s="325" t="str">
        <f>IF(Excellent!G81="e","Y","")</f>
        <v/>
      </c>
      <c r="H1474" s="325" t="str">
        <f>IFERROR(VLOOKUP($D1474,'SDDA Dogs'!$A:$AE,2,FALSE),"")</f>
        <v/>
      </c>
      <c r="I1474" s="325" t="str">
        <f>IFERROR(VLOOKUP($D1474,'SDDA Dogs'!$A:$AE,3,FALSE),"")</f>
        <v/>
      </c>
      <c r="J1474" s="325" t="str">
        <f>IFERROR(VLOOKUP($D1474,'SDDA Dogs'!$A:$AE,6,FALSE),"")</f>
        <v/>
      </c>
      <c r="K1474" s="325" t="str">
        <f>IF(Excellent!AS81="","",Excellent!AS81)</f>
        <v/>
      </c>
      <c r="L1474" s="325" t="str">
        <f>IF(Excellent!AT81="","",Excellent!AT81)</f>
        <v/>
      </c>
      <c r="M1474" s="326" t="str">
        <f>TrialDateDay2</f>
        <v/>
      </c>
      <c r="N1474" s="325" t="str">
        <f t="shared" si="1253"/>
        <v/>
      </c>
      <c r="O1474" s="325">
        <f>JudgeD2CSE</f>
        <v>0</v>
      </c>
    </row>
    <row r="1475" spans="1:15" x14ac:dyDescent="0.25">
      <c r="A1475" s="2">
        <v>2</v>
      </c>
      <c r="B1475" s="2">
        <f t="shared" si="1268"/>
        <v>0</v>
      </c>
      <c r="C1475" s="2" t="str">
        <f t="shared" si="1268"/>
        <v>CSE</v>
      </c>
      <c r="D1475" s="2">
        <f t="shared" si="1268"/>
        <v>0</v>
      </c>
      <c r="E1475" s="2" t="str">
        <f t="shared" si="1268"/>
        <v>A</v>
      </c>
      <c r="F1475" s="2" t="str">
        <f t="shared" si="1268"/>
        <v>Container Excellent</v>
      </c>
      <c r="G1475" s="2" t="str">
        <f t="shared" si="1268"/>
        <v/>
      </c>
      <c r="H1475" s="2" t="str">
        <f t="shared" si="1268"/>
        <v/>
      </c>
      <c r="I1475" s="2" t="str">
        <f t="shared" si="1268"/>
        <v/>
      </c>
      <c r="J1475" s="2" t="str">
        <f t="shared" si="1268"/>
        <v/>
      </c>
      <c r="K1475" s="2" t="str">
        <f t="shared" si="1268"/>
        <v/>
      </c>
      <c r="L1475" s="2" t="str">
        <f t="shared" si="1268"/>
        <v/>
      </c>
      <c r="M1475" s="180" t="str">
        <f t="shared" si="1268"/>
        <v/>
      </c>
      <c r="N1475" s="2" t="str">
        <f t="shared" si="1253"/>
        <v/>
      </c>
      <c r="O1475" s="2">
        <f t="shared" si="1268"/>
        <v>0</v>
      </c>
    </row>
    <row r="1476" spans="1:15" x14ac:dyDescent="0.25">
      <c r="A1476" s="325">
        <v>1</v>
      </c>
      <c r="B1476" s="325">
        <f>TrialNumberDay2</f>
        <v>0</v>
      </c>
      <c r="C1476" s="325" t="s">
        <v>21</v>
      </c>
      <c r="D1476" s="325">
        <f>Excellent!C82</f>
        <v>0</v>
      </c>
      <c r="E1476" s="325" t="str">
        <f>IF(Excellent!B82="W","W","A")</f>
        <v>A</v>
      </c>
      <c r="F1476" s="325" t="s">
        <v>1740</v>
      </c>
      <c r="G1476" s="325" t="str">
        <f>IF(Excellent!G82="e","Y","")</f>
        <v/>
      </c>
      <c r="H1476" s="325" t="str">
        <f>IFERROR(VLOOKUP($D1476,'SDDA Dogs'!$A:$AE,2,FALSE),"")</f>
        <v/>
      </c>
      <c r="I1476" s="325" t="str">
        <f>IFERROR(VLOOKUP($D1476,'SDDA Dogs'!$A:$AE,3,FALSE),"")</f>
        <v/>
      </c>
      <c r="J1476" s="325" t="str">
        <f>IFERROR(VLOOKUP($D1476,'SDDA Dogs'!$A:$AE,6,FALSE),"")</f>
        <v/>
      </c>
      <c r="K1476" s="325" t="str">
        <f>IF(Excellent!AS82="","",Excellent!AS82)</f>
        <v/>
      </c>
      <c r="L1476" s="325" t="str">
        <f>IF(Excellent!AT82="","",Excellent!AT82)</f>
        <v/>
      </c>
      <c r="M1476" s="326" t="str">
        <f>TrialDateDay2</f>
        <v/>
      </c>
      <c r="N1476" s="325" t="str">
        <f t="shared" ref="N1476:N1539" si="1269">N1475</f>
        <v/>
      </c>
      <c r="O1476" s="325">
        <f>JudgeD2CSE</f>
        <v>0</v>
      </c>
    </row>
    <row r="1477" spans="1:15" x14ac:dyDescent="0.25">
      <c r="A1477" s="2">
        <v>2</v>
      </c>
      <c r="B1477" s="2">
        <f t="shared" si="1268"/>
        <v>0</v>
      </c>
      <c r="C1477" s="2" t="str">
        <f t="shared" si="1268"/>
        <v>CSE</v>
      </c>
      <c r="D1477" s="2">
        <f t="shared" si="1268"/>
        <v>0</v>
      </c>
      <c r="E1477" s="2" t="str">
        <f t="shared" ref="E1477:O1483" si="1270">E1476</f>
        <v>A</v>
      </c>
      <c r="F1477" s="2" t="str">
        <f t="shared" si="1270"/>
        <v>Container Excellent</v>
      </c>
      <c r="G1477" s="2" t="str">
        <f t="shared" si="1270"/>
        <v/>
      </c>
      <c r="H1477" s="2" t="str">
        <f t="shared" si="1270"/>
        <v/>
      </c>
      <c r="I1477" s="2" t="str">
        <f t="shared" si="1270"/>
        <v/>
      </c>
      <c r="J1477" s="2" t="str">
        <f t="shared" si="1270"/>
        <v/>
      </c>
      <c r="K1477" s="2" t="str">
        <f t="shared" si="1270"/>
        <v/>
      </c>
      <c r="L1477" s="2" t="str">
        <f t="shared" si="1270"/>
        <v/>
      </c>
      <c r="M1477" s="180" t="str">
        <f t="shared" si="1270"/>
        <v/>
      </c>
      <c r="N1477" s="2" t="str">
        <f t="shared" si="1269"/>
        <v/>
      </c>
      <c r="O1477" s="2">
        <f t="shared" si="1270"/>
        <v>0</v>
      </c>
    </row>
    <row r="1478" spans="1:15" x14ac:dyDescent="0.25">
      <c r="A1478" s="325">
        <v>1</v>
      </c>
      <c r="B1478" s="325">
        <f>TrialNumberDay2</f>
        <v>0</v>
      </c>
      <c r="C1478" s="325" t="s">
        <v>21</v>
      </c>
      <c r="D1478" s="325">
        <f>Excellent!C83</f>
        <v>0</v>
      </c>
      <c r="E1478" s="325" t="str">
        <f>IF(Excellent!B83="W","W","A")</f>
        <v>A</v>
      </c>
      <c r="F1478" s="325" t="s">
        <v>1740</v>
      </c>
      <c r="G1478" s="325" t="str">
        <f>IF(Excellent!G83="e","Y","")</f>
        <v/>
      </c>
      <c r="H1478" s="325" t="str">
        <f>IFERROR(VLOOKUP($D1478,'SDDA Dogs'!$A:$AE,2,FALSE),"")</f>
        <v/>
      </c>
      <c r="I1478" s="325" t="str">
        <f>IFERROR(VLOOKUP($D1478,'SDDA Dogs'!$A:$AE,3,FALSE),"")</f>
        <v/>
      </c>
      <c r="J1478" s="325" t="str">
        <f>IFERROR(VLOOKUP($D1478,'SDDA Dogs'!$A:$AE,6,FALSE),"")</f>
        <v/>
      </c>
      <c r="K1478" s="325" t="str">
        <f>IF(Excellent!AS83="","",Excellent!AS83)</f>
        <v/>
      </c>
      <c r="L1478" s="325" t="str">
        <f>IF(Excellent!AT83="","",Excellent!AT83)</f>
        <v/>
      </c>
      <c r="M1478" s="326" t="str">
        <f>TrialDateDay2</f>
        <v/>
      </c>
      <c r="N1478" s="325" t="str">
        <f t="shared" si="1269"/>
        <v/>
      </c>
      <c r="O1478" s="325">
        <f>JudgeD2CSE</f>
        <v>0</v>
      </c>
    </row>
    <row r="1479" spans="1:15" x14ac:dyDescent="0.25">
      <c r="A1479" s="2">
        <v>2</v>
      </c>
      <c r="B1479" s="2">
        <f t="shared" ref="B1479:D1483" si="1271">B1478</f>
        <v>0</v>
      </c>
      <c r="C1479" s="2" t="str">
        <f t="shared" si="1271"/>
        <v>CSE</v>
      </c>
      <c r="D1479" s="2">
        <f t="shared" si="1271"/>
        <v>0</v>
      </c>
      <c r="E1479" s="2" t="str">
        <f t="shared" si="1270"/>
        <v>A</v>
      </c>
      <c r="F1479" s="2" t="str">
        <f t="shared" si="1270"/>
        <v>Container Excellent</v>
      </c>
      <c r="G1479" s="2" t="str">
        <f t="shared" si="1270"/>
        <v/>
      </c>
      <c r="H1479" s="2" t="str">
        <f t="shared" si="1270"/>
        <v/>
      </c>
      <c r="I1479" s="2" t="str">
        <f t="shared" si="1270"/>
        <v/>
      </c>
      <c r="J1479" s="2" t="str">
        <f t="shared" si="1270"/>
        <v/>
      </c>
      <c r="K1479" s="2" t="str">
        <f t="shared" si="1270"/>
        <v/>
      </c>
      <c r="L1479" s="2" t="str">
        <f t="shared" si="1270"/>
        <v/>
      </c>
      <c r="M1479" s="180" t="str">
        <f t="shared" si="1270"/>
        <v/>
      </c>
      <c r="N1479" s="2" t="str">
        <f t="shared" si="1269"/>
        <v/>
      </c>
      <c r="O1479" s="2">
        <f t="shared" si="1270"/>
        <v>0</v>
      </c>
    </row>
    <row r="1480" spans="1:15" x14ac:dyDescent="0.25">
      <c r="A1480" s="325">
        <v>1</v>
      </c>
      <c r="B1480" s="325">
        <f>TrialNumberDay2</f>
        <v>0</v>
      </c>
      <c r="C1480" s="325" t="s">
        <v>21</v>
      </c>
      <c r="D1480" s="325">
        <f>Excellent!C84</f>
        <v>0</v>
      </c>
      <c r="E1480" s="325" t="str">
        <f>IF(Excellent!B84="W","W","A")</f>
        <v>A</v>
      </c>
      <c r="F1480" s="325" t="s">
        <v>1740</v>
      </c>
      <c r="G1480" s="325" t="str">
        <f>IF(Excellent!G84="e","Y","")</f>
        <v/>
      </c>
      <c r="H1480" s="325" t="str">
        <f>IFERROR(VLOOKUP($D1480,'SDDA Dogs'!$A:$AE,2,FALSE),"")</f>
        <v/>
      </c>
      <c r="I1480" s="325" t="str">
        <f>IFERROR(VLOOKUP($D1480,'SDDA Dogs'!$A:$AE,3,FALSE),"")</f>
        <v/>
      </c>
      <c r="J1480" s="325" t="str">
        <f>IFERROR(VLOOKUP($D1480,'SDDA Dogs'!$A:$AE,6,FALSE),"")</f>
        <v/>
      </c>
      <c r="K1480" s="325" t="str">
        <f>IF(Excellent!AS84="","",Excellent!AS84)</f>
        <v/>
      </c>
      <c r="L1480" s="325" t="str">
        <f>IF(Excellent!AT84="","",Excellent!AT84)</f>
        <v/>
      </c>
      <c r="M1480" s="326" t="str">
        <f>TrialDateDay2</f>
        <v/>
      </c>
      <c r="N1480" s="325" t="str">
        <f t="shared" si="1269"/>
        <v/>
      </c>
      <c r="O1480" s="325">
        <f>JudgeD2CSE</f>
        <v>0</v>
      </c>
    </row>
    <row r="1481" spans="1:15" x14ac:dyDescent="0.25">
      <c r="A1481" s="2">
        <v>2</v>
      </c>
      <c r="B1481" s="2">
        <f t="shared" si="1271"/>
        <v>0</v>
      </c>
      <c r="C1481" s="2" t="str">
        <f t="shared" si="1271"/>
        <v>CSE</v>
      </c>
      <c r="D1481" s="2">
        <f t="shared" si="1271"/>
        <v>0</v>
      </c>
      <c r="E1481" s="2" t="str">
        <f t="shared" si="1270"/>
        <v>A</v>
      </c>
      <c r="F1481" s="2" t="str">
        <f t="shared" si="1270"/>
        <v>Container Excellent</v>
      </c>
      <c r="G1481" s="2" t="str">
        <f t="shared" si="1270"/>
        <v/>
      </c>
      <c r="H1481" s="2" t="str">
        <f t="shared" si="1270"/>
        <v/>
      </c>
      <c r="I1481" s="2" t="str">
        <f t="shared" si="1270"/>
        <v/>
      </c>
      <c r="J1481" s="2" t="str">
        <f t="shared" si="1270"/>
        <v/>
      </c>
      <c r="K1481" s="2" t="str">
        <f t="shared" si="1270"/>
        <v/>
      </c>
      <c r="L1481" s="2" t="str">
        <f t="shared" si="1270"/>
        <v/>
      </c>
      <c r="M1481" s="180" t="str">
        <f t="shared" si="1270"/>
        <v/>
      </c>
      <c r="N1481" s="2" t="str">
        <f t="shared" si="1269"/>
        <v/>
      </c>
      <c r="O1481" s="2">
        <f t="shared" si="1270"/>
        <v>0</v>
      </c>
    </row>
    <row r="1482" spans="1:15" x14ac:dyDescent="0.25">
      <c r="A1482" s="325">
        <v>1</v>
      </c>
      <c r="B1482" s="325">
        <f>TrialNumberDay2</f>
        <v>0</v>
      </c>
      <c r="C1482" s="325" t="s">
        <v>21</v>
      </c>
      <c r="D1482" s="325">
        <f>Excellent!C85</f>
        <v>0</v>
      </c>
      <c r="E1482" s="325" t="str">
        <f>IF(Excellent!B85="W","W","A")</f>
        <v>A</v>
      </c>
      <c r="F1482" s="325" t="s">
        <v>1740</v>
      </c>
      <c r="G1482" s="325" t="str">
        <f>IF(Excellent!G85="e","Y","")</f>
        <v/>
      </c>
      <c r="H1482" s="325" t="str">
        <f>IFERROR(VLOOKUP($D1482,'SDDA Dogs'!$A:$AE,2,FALSE),"")</f>
        <v/>
      </c>
      <c r="I1482" s="325" t="str">
        <f>IFERROR(VLOOKUP($D1482,'SDDA Dogs'!$A:$AE,3,FALSE),"")</f>
        <v/>
      </c>
      <c r="J1482" s="325" t="str">
        <f>IFERROR(VLOOKUP($D1482,'SDDA Dogs'!$A:$AE,6,FALSE),"")</f>
        <v/>
      </c>
      <c r="K1482" s="325" t="str">
        <f>IF(Excellent!AS85="","",Excellent!AS85)</f>
        <v/>
      </c>
      <c r="L1482" s="325" t="str">
        <f>IF(Excellent!AT85="","",Excellent!AT85)</f>
        <v/>
      </c>
      <c r="M1482" s="326" t="str">
        <f>TrialDateDay2</f>
        <v/>
      </c>
      <c r="N1482" s="325" t="str">
        <f t="shared" si="1269"/>
        <v/>
      </c>
      <c r="O1482" s="325">
        <f>JudgeD2CSE</f>
        <v>0</v>
      </c>
    </row>
    <row r="1483" spans="1:15" x14ac:dyDescent="0.25">
      <c r="A1483" s="2">
        <v>2</v>
      </c>
      <c r="B1483" s="2">
        <f t="shared" si="1271"/>
        <v>0</v>
      </c>
      <c r="C1483" s="2" t="str">
        <f t="shared" si="1271"/>
        <v>CSE</v>
      </c>
      <c r="D1483" s="2">
        <f t="shared" si="1271"/>
        <v>0</v>
      </c>
      <c r="E1483" s="2" t="str">
        <f t="shared" si="1270"/>
        <v>A</v>
      </c>
      <c r="F1483" s="2" t="str">
        <f t="shared" si="1270"/>
        <v>Container Excellent</v>
      </c>
      <c r="G1483" s="2" t="str">
        <f t="shared" si="1270"/>
        <v/>
      </c>
      <c r="H1483" s="2" t="str">
        <f t="shared" si="1270"/>
        <v/>
      </c>
      <c r="I1483" s="2" t="str">
        <f t="shared" si="1270"/>
        <v/>
      </c>
      <c r="J1483" s="2" t="str">
        <f t="shared" si="1270"/>
        <v/>
      </c>
      <c r="K1483" s="2" t="str">
        <f t="shared" si="1270"/>
        <v/>
      </c>
      <c r="L1483" s="2" t="str">
        <f t="shared" si="1270"/>
        <v/>
      </c>
      <c r="M1483" s="180" t="str">
        <f t="shared" si="1270"/>
        <v/>
      </c>
      <c r="N1483" s="2" t="str">
        <f t="shared" si="1269"/>
        <v/>
      </c>
      <c r="O1483" s="2">
        <f t="shared" si="1270"/>
        <v>0</v>
      </c>
    </row>
    <row r="1484" spans="1:15" x14ac:dyDescent="0.25">
      <c r="A1484" s="325">
        <v>1</v>
      </c>
      <c r="B1484" s="325">
        <f>TrialNumberDay2</f>
        <v>0</v>
      </c>
      <c r="C1484" s="325" t="s">
        <v>21</v>
      </c>
      <c r="D1484" s="325">
        <f>Excellent!C86</f>
        <v>0</v>
      </c>
      <c r="E1484" s="325" t="str">
        <f>IF(Excellent!B86="W","W","A")</f>
        <v>A</v>
      </c>
      <c r="F1484" s="325" t="s">
        <v>1740</v>
      </c>
      <c r="G1484" s="325" t="str">
        <f>IF(Excellent!G86="e","Y","")</f>
        <v/>
      </c>
      <c r="H1484" s="325" t="str">
        <f>IFERROR(VLOOKUP($D1484,'SDDA Dogs'!$A:$AE,2,FALSE),"")</f>
        <v/>
      </c>
      <c r="I1484" s="325" t="str">
        <f>IFERROR(VLOOKUP($D1484,'SDDA Dogs'!$A:$AE,3,FALSE),"")</f>
        <v/>
      </c>
      <c r="J1484" s="325" t="str">
        <f>IFERROR(VLOOKUP($D1484,'SDDA Dogs'!$A:$AE,6,FALSE),"")</f>
        <v/>
      </c>
      <c r="K1484" s="325" t="str">
        <f>IF(Excellent!AS86="","",Excellent!AS86)</f>
        <v/>
      </c>
      <c r="L1484" s="325" t="str">
        <f>IF(Excellent!AT86="","",Excellent!AT86)</f>
        <v/>
      </c>
      <c r="M1484" s="326" t="str">
        <f>TrialDateDay2</f>
        <v/>
      </c>
      <c r="N1484" s="325" t="str">
        <f t="shared" si="1269"/>
        <v/>
      </c>
      <c r="O1484" s="325">
        <f>JudgeD2CSE</f>
        <v>0</v>
      </c>
    </row>
    <row r="1485" spans="1:15" x14ac:dyDescent="0.25">
      <c r="A1485" s="2">
        <v>2</v>
      </c>
      <c r="B1485" s="2">
        <f t="shared" ref="B1485:O1485" si="1272">B1484</f>
        <v>0</v>
      </c>
      <c r="C1485" s="2" t="str">
        <f t="shared" si="1272"/>
        <v>CSE</v>
      </c>
      <c r="D1485" s="2">
        <f t="shared" si="1272"/>
        <v>0</v>
      </c>
      <c r="E1485" s="2" t="str">
        <f t="shared" si="1272"/>
        <v>A</v>
      </c>
      <c r="F1485" s="2" t="str">
        <f t="shared" si="1272"/>
        <v>Container Excellent</v>
      </c>
      <c r="G1485" s="2" t="str">
        <f t="shared" si="1272"/>
        <v/>
      </c>
      <c r="H1485" s="2" t="str">
        <f t="shared" si="1272"/>
        <v/>
      </c>
      <c r="I1485" s="2" t="str">
        <f t="shared" si="1272"/>
        <v/>
      </c>
      <c r="J1485" s="2" t="str">
        <f t="shared" si="1272"/>
        <v/>
      </c>
      <c r="K1485" s="2" t="str">
        <f t="shared" si="1272"/>
        <v/>
      </c>
      <c r="L1485" s="2" t="str">
        <f t="shared" si="1272"/>
        <v/>
      </c>
      <c r="M1485" s="180" t="str">
        <f t="shared" si="1272"/>
        <v/>
      </c>
      <c r="N1485" s="2" t="str">
        <f t="shared" si="1269"/>
        <v/>
      </c>
      <c r="O1485" s="2">
        <f t="shared" si="1272"/>
        <v>0</v>
      </c>
    </row>
    <row r="1486" spans="1:15" x14ac:dyDescent="0.25">
      <c r="A1486" s="325">
        <v>1</v>
      </c>
      <c r="B1486" s="325">
        <f>TrialNumberDay2</f>
        <v>0</v>
      </c>
      <c r="C1486" s="325" t="s">
        <v>21</v>
      </c>
      <c r="D1486" s="325">
        <f>Excellent!C87</f>
        <v>0</v>
      </c>
      <c r="E1486" s="325" t="str">
        <f>IF(Excellent!B87="W","W","A")</f>
        <v>A</v>
      </c>
      <c r="F1486" s="325" t="s">
        <v>1740</v>
      </c>
      <c r="G1486" s="325" t="str">
        <f>IF(Excellent!G87="e","Y","")</f>
        <v/>
      </c>
      <c r="H1486" s="325" t="str">
        <f>IFERROR(VLOOKUP($D1486,'SDDA Dogs'!$A:$AE,2,FALSE),"")</f>
        <v/>
      </c>
      <c r="I1486" s="325" t="str">
        <f>IFERROR(VLOOKUP($D1486,'SDDA Dogs'!$A:$AE,3,FALSE),"")</f>
        <v/>
      </c>
      <c r="J1486" s="325" t="str">
        <f>IFERROR(VLOOKUP($D1486,'SDDA Dogs'!$A:$AE,6,FALSE),"")</f>
        <v/>
      </c>
      <c r="K1486" s="325" t="str">
        <f>IF(Excellent!AS87="","",Excellent!AS87)</f>
        <v/>
      </c>
      <c r="L1486" s="325" t="str">
        <f>IF(Excellent!AT87="","",Excellent!AT87)</f>
        <v/>
      </c>
      <c r="M1486" s="326" t="str">
        <f>TrialDateDay2</f>
        <v/>
      </c>
      <c r="N1486" s="325" t="str">
        <f t="shared" si="1269"/>
        <v/>
      </c>
      <c r="O1486" s="325">
        <f>JudgeD2CSE</f>
        <v>0</v>
      </c>
    </row>
    <row r="1487" spans="1:15" x14ac:dyDescent="0.25">
      <c r="A1487" s="2">
        <v>2</v>
      </c>
      <c r="B1487" s="2">
        <f t="shared" ref="B1487:O1487" si="1273">B1486</f>
        <v>0</v>
      </c>
      <c r="C1487" s="2" t="str">
        <f t="shared" si="1273"/>
        <v>CSE</v>
      </c>
      <c r="D1487" s="2">
        <f t="shared" si="1273"/>
        <v>0</v>
      </c>
      <c r="E1487" s="2" t="str">
        <f t="shared" si="1273"/>
        <v>A</v>
      </c>
      <c r="F1487" s="2" t="str">
        <f t="shared" si="1273"/>
        <v>Container Excellent</v>
      </c>
      <c r="G1487" s="2" t="str">
        <f t="shared" si="1273"/>
        <v/>
      </c>
      <c r="H1487" s="2" t="str">
        <f t="shared" si="1273"/>
        <v/>
      </c>
      <c r="I1487" s="2" t="str">
        <f t="shared" si="1273"/>
        <v/>
      </c>
      <c r="J1487" s="2" t="str">
        <f t="shared" si="1273"/>
        <v/>
      </c>
      <c r="K1487" s="2" t="str">
        <f t="shared" si="1273"/>
        <v/>
      </c>
      <c r="L1487" s="2" t="str">
        <f t="shared" si="1273"/>
        <v/>
      </c>
      <c r="M1487" s="180" t="str">
        <f t="shared" si="1273"/>
        <v/>
      </c>
      <c r="N1487" s="2" t="str">
        <f t="shared" si="1269"/>
        <v/>
      </c>
      <c r="O1487" s="2">
        <f t="shared" si="1273"/>
        <v>0</v>
      </c>
    </row>
    <row r="1488" spans="1:15" x14ac:dyDescent="0.25">
      <c r="A1488" s="325">
        <v>1</v>
      </c>
      <c r="B1488" s="325">
        <f>TrialNumberDay2</f>
        <v>0</v>
      </c>
      <c r="C1488" s="325" t="s">
        <v>21</v>
      </c>
      <c r="D1488" s="325">
        <f>Excellent!C88</f>
        <v>0</v>
      </c>
      <c r="E1488" s="325" t="str">
        <f>IF(Excellent!B88="W","W","A")</f>
        <v>A</v>
      </c>
      <c r="F1488" s="325" t="s">
        <v>1740</v>
      </c>
      <c r="G1488" s="325" t="str">
        <f>IF(Excellent!G88="e","Y","")</f>
        <v/>
      </c>
      <c r="H1488" s="325" t="str">
        <f>IFERROR(VLOOKUP($D1488,'SDDA Dogs'!$A:$AE,2,FALSE),"")</f>
        <v/>
      </c>
      <c r="I1488" s="325" t="str">
        <f>IFERROR(VLOOKUP($D1488,'SDDA Dogs'!$A:$AE,3,FALSE),"")</f>
        <v/>
      </c>
      <c r="J1488" s="325" t="str">
        <f>IFERROR(VLOOKUP($D1488,'SDDA Dogs'!$A:$AE,6,FALSE),"")</f>
        <v/>
      </c>
      <c r="K1488" s="325" t="str">
        <f>IF(Excellent!AS88="","",Excellent!AS88)</f>
        <v/>
      </c>
      <c r="L1488" s="325" t="str">
        <f>IF(Excellent!AT88="","",Excellent!AT88)</f>
        <v/>
      </c>
      <c r="M1488" s="326" t="str">
        <f>TrialDateDay2</f>
        <v/>
      </c>
      <c r="N1488" s="325" t="str">
        <f t="shared" si="1269"/>
        <v/>
      </c>
      <c r="O1488" s="325">
        <f>JudgeD2CSE</f>
        <v>0</v>
      </c>
    </row>
    <row r="1489" spans="1:15" x14ac:dyDescent="0.25">
      <c r="A1489" s="2">
        <v>2</v>
      </c>
      <c r="B1489" s="2">
        <f t="shared" ref="B1489:O1489" si="1274">B1488</f>
        <v>0</v>
      </c>
      <c r="C1489" s="2" t="str">
        <f t="shared" si="1274"/>
        <v>CSE</v>
      </c>
      <c r="D1489" s="2">
        <f t="shared" si="1274"/>
        <v>0</v>
      </c>
      <c r="E1489" s="2" t="str">
        <f t="shared" si="1274"/>
        <v>A</v>
      </c>
      <c r="F1489" s="2" t="str">
        <f t="shared" si="1274"/>
        <v>Container Excellent</v>
      </c>
      <c r="G1489" s="2" t="str">
        <f t="shared" si="1274"/>
        <v/>
      </c>
      <c r="H1489" s="2" t="str">
        <f t="shared" si="1274"/>
        <v/>
      </c>
      <c r="I1489" s="2" t="str">
        <f t="shared" si="1274"/>
        <v/>
      </c>
      <c r="J1489" s="2" t="str">
        <f t="shared" si="1274"/>
        <v/>
      </c>
      <c r="K1489" s="2" t="str">
        <f t="shared" si="1274"/>
        <v/>
      </c>
      <c r="L1489" s="2" t="str">
        <f t="shared" si="1274"/>
        <v/>
      </c>
      <c r="M1489" s="180" t="str">
        <f t="shared" si="1274"/>
        <v/>
      </c>
      <c r="N1489" s="2" t="str">
        <f t="shared" si="1269"/>
        <v/>
      </c>
      <c r="O1489" s="2">
        <f t="shared" si="1274"/>
        <v>0</v>
      </c>
    </row>
    <row r="1490" spans="1:15" x14ac:dyDescent="0.25">
      <c r="A1490" s="325">
        <v>1</v>
      </c>
      <c r="B1490" s="325">
        <f>TrialNumberDay2</f>
        <v>0</v>
      </c>
      <c r="C1490" s="325" t="s">
        <v>21</v>
      </c>
      <c r="D1490" s="325">
        <f>Excellent!C89</f>
        <v>0</v>
      </c>
      <c r="E1490" s="325" t="str">
        <f>IF(Excellent!B89="W","W","A")</f>
        <v>A</v>
      </c>
      <c r="F1490" s="325" t="s">
        <v>1740</v>
      </c>
      <c r="G1490" s="325" t="str">
        <f>IF(Excellent!G89="e","Y","")</f>
        <v/>
      </c>
      <c r="H1490" s="325" t="str">
        <f>IFERROR(VLOOKUP($D1490,'SDDA Dogs'!$A:$AE,2,FALSE),"")</f>
        <v/>
      </c>
      <c r="I1490" s="325" t="str">
        <f>IFERROR(VLOOKUP($D1490,'SDDA Dogs'!$A:$AE,3,FALSE),"")</f>
        <v/>
      </c>
      <c r="J1490" s="325" t="str">
        <f>IFERROR(VLOOKUP($D1490,'SDDA Dogs'!$A:$AE,6,FALSE),"")</f>
        <v/>
      </c>
      <c r="K1490" s="325" t="str">
        <f>IF(Excellent!AS89="","",Excellent!AS89)</f>
        <v/>
      </c>
      <c r="L1490" s="325" t="str">
        <f>IF(Excellent!AT89="","",Excellent!AT89)</f>
        <v/>
      </c>
      <c r="M1490" s="326" t="str">
        <f>TrialDateDay2</f>
        <v/>
      </c>
      <c r="N1490" s="325" t="str">
        <f t="shared" si="1269"/>
        <v/>
      </c>
      <c r="O1490" s="325">
        <f>JudgeD2CSE</f>
        <v>0</v>
      </c>
    </row>
    <row r="1491" spans="1:15" x14ac:dyDescent="0.25">
      <c r="A1491" s="2">
        <v>2</v>
      </c>
      <c r="B1491" s="2">
        <f t="shared" ref="B1491:O1491" si="1275">B1490</f>
        <v>0</v>
      </c>
      <c r="C1491" s="2" t="str">
        <f t="shared" si="1275"/>
        <v>CSE</v>
      </c>
      <c r="D1491" s="2">
        <f t="shared" si="1275"/>
        <v>0</v>
      </c>
      <c r="E1491" s="2" t="str">
        <f t="shared" si="1275"/>
        <v>A</v>
      </c>
      <c r="F1491" s="2" t="str">
        <f t="shared" si="1275"/>
        <v>Container Excellent</v>
      </c>
      <c r="G1491" s="2" t="str">
        <f t="shared" si="1275"/>
        <v/>
      </c>
      <c r="H1491" s="2" t="str">
        <f t="shared" si="1275"/>
        <v/>
      </c>
      <c r="I1491" s="2" t="str">
        <f t="shared" si="1275"/>
        <v/>
      </c>
      <c r="J1491" s="2" t="str">
        <f t="shared" si="1275"/>
        <v/>
      </c>
      <c r="K1491" s="2" t="str">
        <f t="shared" si="1275"/>
        <v/>
      </c>
      <c r="L1491" s="2" t="str">
        <f t="shared" si="1275"/>
        <v/>
      </c>
      <c r="M1491" s="180" t="str">
        <f t="shared" si="1275"/>
        <v/>
      </c>
      <c r="N1491" s="2" t="str">
        <f t="shared" si="1269"/>
        <v/>
      </c>
      <c r="O1491" s="2">
        <f t="shared" si="1275"/>
        <v>0</v>
      </c>
    </row>
    <row r="1492" spans="1:15" x14ac:dyDescent="0.25">
      <c r="A1492" s="325">
        <v>1</v>
      </c>
      <c r="B1492" s="325">
        <f>TrialNumberDay2</f>
        <v>0</v>
      </c>
      <c r="C1492" s="325" t="s">
        <v>21</v>
      </c>
      <c r="D1492" s="325">
        <f>Excellent!C90</f>
        <v>0</v>
      </c>
      <c r="E1492" s="325" t="str">
        <f>IF(Excellent!B90="W","W","A")</f>
        <v>A</v>
      </c>
      <c r="F1492" s="325" t="s">
        <v>1740</v>
      </c>
      <c r="G1492" s="325" t="str">
        <f>IF(Excellent!G90="e","Y","")</f>
        <v/>
      </c>
      <c r="H1492" s="325" t="str">
        <f>IFERROR(VLOOKUP($D1492,'SDDA Dogs'!$A:$AE,2,FALSE),"")</f>
        <v/>
      </c>
      <c r="I1492" s="325" t="str">
        <f>IFERROR(VLOOKUP($D1492,'SDDA Dogs'!$A:$AE,3,FALSE),"")</f>
        <v/>
      </c>
      <c r="J1492" s="325" t="str">
        <f>IFERROR(VLOOKUP($D1492,'SDDA Dogs'!$A:$AE,6,FALSE),"")</f>
        <v/>
      </c>
      <c r="K1492" s="325" t="str">
        <f>IF(Excellent!AS90="","",Excellent!AS90)</f>
        <v/>
      </c>
      <c r="L1492" s="325" t="str">
        <f>IF(Excellent!AT90="","",Excellent!AT90)</f>
        <v/>
      </c>
      <c r="M1492" s="326" t="str">
        <f>TrialDateDay2</f>
        <v/>
      </c>
      <c r="N1492" s="325" t="str">
        <f t="shared" si="1269"/>
        <v/>
      </c>
      <c r="O1492" s="325">
        <f>JudgeD2CSE</f>
        <v>0</v>
      </c>
    </row>
    <row r="1493" spans="1:15" x14ac:dyDescent="0.25">
      <c r="A1493" s="2">
        <v>2</v>
      </c>
      <c r="B1493" s="2">
        <f t="shared" ref="B1493:O1493" si="1276">B1492</f>
        <v>0</v>
      </c>
      <c r="C1493" s="2" t="str">
        <f t="shared" si="1276"/>
        <v>CSE</v>
      </c>
      <c r="D1493" s="2">
        <f t="shared" si="1276"/>
        <v>0</v>
      </c>
      <c r="E1493" s="2" t="str">
        <f t="shared" si="1276"/>
        <v>A</v>
      </c>
      <c r="F1493" s="2" t="str">
        <f t="shared" si="1276"/>
        <v>Container Excellent</v>
      </c>
      <c r="G1493" s="2" t="str">
        <f t="shared" si="1276"/>
        <v/>
      </c>
      <c r="H1493" s="2" t="str">
        <f t="shared" si="1276"/>
        <v/>
      </c>
      <c r="I1493" s="2" t="str">
        <f t="shared" si="1276"/>
        <v/>
      </c>
      <c r="J1493" s="2" t="str">
        <f t="shared" si="1276"/>
        <v/>
      </c>
      <c r="K1493" s="2" t="str">
        <f t="shared" si="1276"/>
        <v/>
      </c>
      <c r="L1493" s="2" t="str">
        <f t="shared" si="1276"/>
        <v/>
      </c>
      <c r="M1493" s="180" t="str">
        <f t="shared" si="1276"/>
        <v/>
      </c>
      <c r="N1493" s="2" t="str">
        <f t="shared" si="1269"/>
        <v/>
      </c>
      <c r="O1493" s="2">
        <f t="shared" si="1276"/>
        <v>0</v>
      </c>
    </row>
    <row r="1494" spans="1:15" x14ac:dyDescent="0.25">
      <c r="A1494" s="325">
        <v>1</v>
      </c>
      <c r="B1494" s="325">
        <f>TrialNumberDay2</f>
        <v>0</v>
      </c>
      <c r="C1494" s="325" t="s">
        <v>21</v>
      </c>
      <c r="D1494" s="325">
        <f>Excellent!C91</f>
        <v>0</v>
      </c>
      <c r="E1494" s="325" t="str">
        <f>IF(Excellent!B91="W","W","A")</f>
        <v>A</v>
      </c>
      <c r="F1494" s="325" t="s">
        <v>1740</v>
      </c>
      <c r="G1494" s="325" t="str">
        <f>IF(Excellent!G91="e","Y","")</f>
        <v/>
      </c>
      <c r="H1494" s="325" t="str">
        <f>IFERROR(VLOOKUP($D1494,'SDDA Dogs'!$A:$AE,2,FALSE),"")</f>
        <v/>
      </c>
      <c r="I1494" s="325" t="str">
        <f>IFERROR(VLOOKUP($D1494,'SDDA Dogs'!$A:$AE,3,FALSE),"")</f>
        <v/>
      </c>
      <c r="J1494" s="325" t="str">
        <f>IFERROR(VLOOKUP($D1494,'SDDA Dogs'!$A:$AE,6,FALSE),"")</f>
        <v/>
      </c>
      <c r="K1494" s="325" t="str">
        <f>IF(Excellent!AS91="","",Excellent!AS91)</f>
        <v/>
      </c>
      <c r="L1494" s="325" t="str">
        <f>IF(Excellent!AT91="","",Excellent!AT91)</f>
        <v/>
      </c>
      <c r="M1494" s="326" t="str">
        <f>TrialDateDay2</f>
        <v/>
      </c>
      <c r="N1494" s="325" t="str">
        <f t="shared" si="1269"/>
        <v/>
      </c>
      <c r="O1494" s="325">
        <f>JudgeD2CSE</f>
        <v>0</v>
      </c>
    </row>
    <row r="1495" spans="1:15" x14ac:dyDescent="0.25">
      <c r="A1495" s="2">
        <v>2</v>
      </c>
      <c r="B1495" s="2">
        <f t="shared" ref="B1495:O1495" si="1277">B1494</f>
        <v>0</v>
      </c>
      <c r="C1495" s="2" t="str">
        <f t="shared" si="1277"/>
        <v>CSE</v>
      </c>
      <c r="D1495" s="2">
        <f t="shared" si="1277"/>
        <v>0</v>
      </c>
      <c r="E1495" s="2" t="str">
        <f t="shared" si="1277"/>
        <v>A</v>
      </c>
      <c r="F1495" s="2" t="str">
        <f t="shared" si="1277"/>
        <v>Container Excellent</v>
      </c>
      <c r="G1495" s="2" t="str">
        <f t="shared" si="1277"/>
        <v/>
      </c>
      <c r="H1495" s="2" t="str">
        <f t="shared" si="1277"/>
        <v/>
      </c>
      <c r="I1495" s="2" t="str">
        <f t="shared" si="1277"/>
        <v/>
      </c>
      <c r="J1495" s="2" t="str">
        <f t="shared" si="1277"/>
        <v/>
      </c>
      <c r="K1495" s="2" t="str">
        <f t="shared" si="1277"/>
        <v/>
      </c>
      <c r="L1495" s="2" t="str">
        <f t="shared" si="1277"/>
        <v/>
      </c>
      <c r="M1495" s="180" t="str">
        <f t="shared" si="1277"/>
        <v/>
      </c>
      <c r="N1495" s="2" t="str">
        <f t="shared" si="1269"/>
        <v/>
      </c>
      <c r="O1495" s="2">
        <f t="shared" si="1277"/>
        <v>0</v>
      </c>
    </row>
    <row r="1496" spans="1:15" x14ac:dyDescent="0.25">
      <c r="A1496" s="325">
        <v>1</v>
      </c>
      <c r="B1496" s="325">
        <f>TrialNumberDay2</f>
        <v>0</v>
      </c>
      <c r="C1496" s="325" t="s">
        <v>21</v>
      </c>
      <c r="D1496" s="325">
        <f>Excellent!C92</f>
        <v>0</v>
      </c>
      <c r="E1496" s="325" t="str">
        <f>IF(Excellent!B92="W","W","A")</f>
        <v>A</v>
      </c>
      <c r="F1496" s="325" t="s">
        <v>1740</v>
      </c>
      <c r="G1496" s="325" t="str">
        <f>IF(Excellent!G92="e","Y","")</f>
        <v/>
      </c>
      <c r="H1496" s="325" t="str">
        <f>IFERROR(VLOOKUP($D1496,'SDDA Dogs'!$A:$AE,2,FALSE),"")</f>
        <v/>
      </c>
      <c r="I1496" s="325" t="str">
        <f>IFERROR(VLOOKUP($D1496,'SDDA Dogs'!$A:$AE,3,FALSE),"")</f>
        <v/>
      </c>
      <c r="J1496" s="325" t="str">
        <f>IFERROR(VLOOKUP($D1496,'SDDA Dogs'!$A:$AE,6,FALSE),"")</f>
        <v/>
      </c>
      <c r="K1496" s="325" t="str">
        <f>IF(Excellent!AS92="","",Excellent!AS92)</f>
        <v/>
      </c>
      <c r="L1496" s="325" t="str">
        <f>IF(Excellent!AT92="","",Excellent!AT92)</f>
        <v/>
      </c>
      <c r="M1496" s="326" t="str">
        <f>TrialDateDay2</f>
        <v/>
      </c>
      <c r="N1496" s="325" t="str">
        <f t="shared" si="1269"/>
        <v/>
      </c>
      <c r="O1496" s="325">
        <f>JudgeD2CSE</f>
        <v>0</v>
      </c>
    </row>
    <row r="1497" spans="1:15" x14ac:dyDescent="0.25">
      <c r="A1497" s="2">
        <v>2</v>
      </c>
      <c r="B1497" s="2">
        <f t="shared" ref="B1497:O1497" si="1278">B1496</f>
        <v>0</v>
      </c>
      <c r="C1497" s="2" t="str">
        <f t="shared" si="1278"/>
        <v>CSE</v>
      </c>
      <c r="D1497" s="2">
        <f t="shared" si="1278"/>
        <v>0</v>
      </c>
      <c r="E1497" s="2" t="str">
        <f t="shared" si="1278"/>
        <v>A</v>
      </c>
      <c r="F1497" s="2" t="str">
        <f t="shared" si="1278"/>
        <v>Container Excellent</v>
      </c>
      <c r="G1497" s="2" t="str">
        <f t="shared" si="1278"/>
        <v/>
      </c>
      <c r="H1497" s="2" t="str">
        <f t="shared" si="1278"/>
        <v/>
      </c>
      <c r="I1497" s="2" t="str">
        <f t="shared" si="1278"/>
        <v/>
      </c>
      <c r="J1497" s="2" t="str">
        <f t="shared" si="1278"/>
        <v/>
      </c>
      <c r="K1497" s="2" t="str">
        <f t="shared" si="1278"/>
        <v/>
      </c>
      <c r="L1497" s="2" t="str">
        <f t="shared" si="1278"/>
        <v/>
      </c>
      <c r="M1497" s="180" t="str">
        <f t="shared" si="1278"/>
        <v/>
      </c>
      <c r="N1497" s="2" t="str">
        <f t="shared" si="1269"/>
        <v/>
      </c>
      <c r="O1497" s="2">
        <f t="shared" si="1278"/>
        <v>0</v>
      </c>
    </row>
    <row r="1498" spans="1:15" x14ac:dyDescent="0.25">
      <c r="A1498" s="325">
        <v>1</v>
      </c>
      <c r="B1498" s="325">
        <f>TrialNumberDay2</f>
        <v>0</v>
      </c>
      <c r="C1498" s="325" t="s">
        <v>21</v>
      </c>
      <c r="D1498" s="325">
        <f>Excellent!C93</f>
        <v>0</v>
      </c>
      <c r="E1498" s="325" t="str">
        <f>IF(Excellent!B93="W","W","A")</f>
        <v>A</v>
      </c>
      <c r="F1498" s="325" t="s">
        <v>1740</v>
      </c>
      <c r="G1498" s="325" t="str">
        <f>IF(Excellent!G93="e","Y","")</f>
        <v/>
      </c>
      <c r="H1498" s="325" t="str">
        <f>IFERROR(VLOOKUP($D1498,'SDDA Dogs'!$A:$AE,2,FALSE),"")</f>
        <v/>
      </c>
      <c r="I1498" s="325" t="str">
        <f>IFERROR(VLOOKUP($D1498,'SDDA Dogs'!$A:$AE,3,FALSE),"")</f>
        <v/>
      </c>
      <c r="J1498" s="325" t="str">
        <f>IFERROR(VLOOKUP($D1498,'SDDA Dogs'!$A:$AE,6,FALSE),"")</f>
        <v/>
      </c>
      <c r="K1498" s="325" t="str">
        <f>IF(Excellent!AS93="","",Excellent!AS93)</f>
        <v/>
      </c>
      <c r="L1498" s="325" t="str">
        <f>IF(Excellent!AT93="","",Excellent!AT93)</f>
        <v/>
      </c>
      <c r="M1498" s="326" t="str">
        <f>TrialDateDay2</f>
        <v/>
      </c>
      <c r="N1498" s="325" t="str">
        <f t="shared" si="1269"/>
        <v/>
      </c>
      <c r="O1498" s="325">
        <f>JudgeD2CSE</f>
        <v>0</v>
      </c>
    </row>
    <row r="1499" spans="1:15" x14ac:dyDescent="0.25">
      <c r="A1499" s="2">
        <v>2</v>
      </c>
      <c r="B1499" s="2">
        <f t="shared" ref="B1499:O1499" si="1279">B1498</f>
        <v>0</v>
      </c>
      <c r="C1499" s="2" t="str">
        <f t="shared" si="1279"/>
        <v>CSE</v>
      </c>
      <c r="D1499" s="2">
        <f t="shared" si="1279"/>
        <v>0</v>
      </c>
      <c r="E1499" s="2" t="str">
        <f t="shared" si="1279"/>
        <v>A</v>
      </c>
      <c r="F1499" s="2" t="str">
        <f t="shared" si="1279"/>
        <v>Container Excellent</v>
      </c>
      <c r="G1499" s="2" t="str">
        <f t="shared" si="1279"/>
        <v/>
      </c>
      <c r="H1499" s="2" t="str">
        <f t="shared" si="1279"/>
        <v/>
      </c>
      <c r="I1499" s="2" t="str">
        <f t="shared" si="1279"/>
        <v/>
      </c>
      <c r="J1499" s="2" t="str">
        <f t="shared" si="1279"/>
        <v/>
      </c>
      <c r="K1499" s="2" t="str">
        <f t="shared" si="1279"/>
        <v/>
      </c>
      <c r="L1499" s="2" t="str">
        <f t="shared" si="1279"/>
        <v/>
      </c>
      <c r="M1499" s="180" t="str">
        <f t="shared" si="1279"/>
        <v/>
      </c>
      <c r="N1499" s="2" t="str">
        <f t="shared" si="1269"/>
        <v/>
      </c>
      <c r="O1499" s="2">
        <f t="shared" si="1279"/>
        <v>0</v>
      </c>
    </row>
    <row r="1500" spans="1:15" x14ac:dyDescent="0.25">
      <c r="A1500" s="325">
        <v>1</v>
      </c>
      <c r="B1500" s="325">
        <f>TrialNumberDay2</f>
        <v>0</v>
      </c>
      <c r="C1500" s="325" t="s">
        <v>21</v>
      </c>
      <c r="D1500" s="325">
        <f>Excellent!C94</f>
        <v>0</v>
      </c>
      <c r="E1500" s="325" t="str">
        <f>IF(Excellent!B94="W","W","A")</f>
        <v>A</v>
      </c>
      <c r="F1500" s="325" t="s">
        <v>1740</v>
      </c>
      <c r="G1500" s="325" t="str">
        <f>IF(Excellent!G94="e","Y","")</f>
        <v/>
      </c>
      <c r="H1500" s="325" t="str">
        <f>IFERROR(VLOOKUP($D1500,'SDDA Dogs'!$A:$AE,2,FALSE),"")</f>
        <v/>
      </c>
      <c r="I1500" s="325" t="str">
        <f>IFERROR(VLOOKUP($D1500,'SDDA Dogs'!$A:$AE,3,FALSE),"")</f>
        <v/>
      </c>
      <c r="J1500" s="325" t="str">
        <f>IFERROR(VLOOKUP($D1500,'SDDA Dogs'!$A:$AE,6,FALSE),"")</f>
        <v/>
      </c>
      <c r="K1500" s="325" t="str">
        <f>IF(Excellent!AS94="","",Excellent!AS94)</f>
        <v/>
      </c>
      <c r="L1500" s="325" t="str">
        <f>IF(Excellent!AT94="","",Excellent!AT94)</f>
        <v/>
      </c>
      <c r="M1500" s="326" t="str">
        <f>TrialDateDay2</f>
        <v/>
      </c>
      <c r="N1500" s="325" t="str">
        <f t="shared" si="1269"/>
        <v/>
      </c>
      <c r="O1500" s="325">
        <f>JudgeD2CSE</f>
        <v>0</v>
      </c>
    </row>
    <row r="1501" spans="1:15" x14ac:dyDescent="0.25">
      <c r="A1501" s="2">
        <v>2</v>
      </c>
      <c r="B1501" s="2">
        <f t="shared" ref="B1501:O1501" si="1280">B1500</f>
        <v>0</v>
      </c>
      <c r="C1501" s="2" t="str">
        <f t="shared" si="1280"/>
        <v>CSE</v>
      </c>
      <c r="D1501" s="2">
        <f t="shared" si="1280"/>
        <v>0</v>
      </c>
      <c r="E1501" s="2" t="str">
        <f t="shared" si="1280"/>
        <v>A</v>
      </c>
      <c r="F1501" s="2" t="str">
        <f t="shared" si="1280"/>
        <v>Container Excellent</v>
      </c>
      <c r="G1501" s="2" t="str">
        <f t="shared" si="1280"/>
        <v/>
      </c>
      <c r="H1501" s="2" t="str">
        <f t="shared" si="1280"/>
        <v/>
      </c>
      <c r="I1501" s="2" t="str">
        <f t="shared" si="1280"/>
        <v/>
      </c>
      <c r="J1501" s="2" t="str">
        <f t="shared" si="1280"/>
        <v/>
      </c>
      <c r="K1501" s="2" t="str">
        <f t="shared" si="1280"/>
        <v/>
      </c>
      <c r="L1501" s="2" t="str">
        <f t="shared" si="1280"/>
        <v/>
      </c>
      <c r="M1501" s="180" t="str">
        <f t="shared" si="1280"/>
        <v/>
      </c>
      <c r="N1501" s="2" t="str">
        <f t="shared" si="1269"/>
        <v/>
      </c>
      <c r="O1501" s="2">
        <f t="shared" si="1280"/>
        <v>0</v>
      </c>
    </row>
    <row r="1502" spans="1:15" x14ac:dyDescent="0.25">
      <c r="A1502" s="325">
        <v>1</v>
      </c>
      <c r="B1502" s="325">
        <f>TrialNumberDay2</f>
        <v>0</v>
      </c>
      <c r="C1502" s="325" t="s">
        <v>21</v>
      </c>
      <c r="D1502" s="325">
        <f>Excellent!C95</f>
        <v>0</v>
      </c>
      <c r="E1502" s="325" t="str">
        <f>IF(Excellent!B95="W","W","A")</f>
        <v>A</v>
      </c>
      <c r="F1502" s="325" t="s">
        <v>1740</v>
      </c>
      <c r="G1502" s="325" t="str">
        <f>IF(Excellent!G95="e","Y","")</f>
        <v/>
      </c>
      <c r="H1502" s="325" t="str">
        <f>IFERROR(VLOOKUP($D1502,'SDDA Dogs'!$A:$AE,2,FALSE),"")</f>
        <v/>
      </c>
      <c r="I1502" s="325" t="str">
        <f>IFERROR(VLOOKUP($D1502,'SDDA Dogs'!$A:$AE,3,FALSE),"")</f>
        <v/>
      </c>
      <c r="J1502" s="325" t="str">
        <f>IFERROR(VLOOKUP($D1502,'SDDA Dogs'!$A:$AE,6,FALSE),"")</f>
        <v/>
      </c>
      <c r="K1502" s="325" t="str">
        <f>IF(Excellent!AS95="","",Excellent!AS95)</f>
        <v/>
      </c>
      <c r="L1502" s="325" t="str">
        <f>IF(Excellent!AT95="","",Excellent!AT95)</f>
        <v/>
      </c>
      <c r="M1502" s="326" t="str">
        <f>TrialDateDay2</f>
        <v/>
      </c>
      <c r="N1502" s="325" t="str">
        <f t="shared" si="1269"/>
        <v/>
      </c>
      <c r="O1502" s="325">
        <f>JudgeD2CSE</f>
        <v>0</v>
      </c>
    </row>
    <row r="1503" spans="1:15" x14ac:dyDescent="0.25">
      <c r="A1503" s="2">
        <v>2</v>
      </c>
      <c r="B1503" s="2">
        <f t="shared" ref="B1503:O1503" si="1281">B1502</f>
        <v>0</v>
      </c>
      <c r="C1503" s="2" t="str">
        <f t="shared" si="1281"/>
        <v>CSE</v>
      </c>
      <c r="D1503" s="2">
        <f t="shared" si="1281"/>
        <v>0</v>
      </c>
      <c r="E1503" s="2" t="str">
        <f t="shared" si="1281"/>
        <v>A</v>
      </c>
      <c r="F1503" s="2" t="str">
        <f t="shared" si="1281"/>
        <v>Container Excellent</v>
      </c>
      <c r="G1503" s="2" t="str">
        <f t="shared" si="1281"/>
        <v/>
      </c>
      <c r="H1503" s="2" t="str">
        <f t="shared" si="1281"/>
        <v/>
      </c>
      <c r="I1503" s="2" t="str">
        <f t="shared" si="1281"/>
        <v/>
      </c>
      <c r="J1503" s="2" t="str">
        <f t="shared" si="1281"/>
        <v/>
      </c>
      <c r="K1503" s="2" t="str">
        <f t="shared" si="1281"/>
        <v/>
      </c>
      <c r="L1503" s="2" t="str">
        <f t="shared" si="1281"/>
        <v/>
      </c>
      <c r="M1503" s="180" t="str">
        <f t="shared" si="1281"/>
        <v/>
      </c>
      <c r="N1503" s="2" t="str">
        <f t="shared" si="1269"/>
        <v/>
      </c>
      <c r="O1503" s="2">
        <f t="shared" si="1281"/>
        <v>0</v>
      </c>
    </row>
    <row r="1504" spans="1:15" x14ac:dyDescent="0.25">
      <c r="A1504" s="325">
        <v>1</v>
      </c>
      <c r="B1504" s="325">
        <f>TrialNumberDay2</f>
        <v>0</v>
      </c>
      <c r="C1504" s="325" t="s">
        <v>21</v>
      </c>
      <c r="D1504" s="325">
        <f>Excellent!C96</f>
        <v>0</v>
      </c>
      <c r="E1504" s="325" t="str">
        <f>IF(Excellent!B96="W","W","A")</f>
        <v>A</v>
      </c>
      <c r="F1504" s="325" t="s">
        <v>1740</v>
      </c>
      <c r="G1504" s="325" t="str">
        <f>IF(Excellent!G96="e","Y","")</f>
        <v/>
      </c>
      <c r="H1504" s="325" t="str">
        <f>IFERROR(VLOOKUP($D1504,'SDDA Dogs'!$A:$AE,2,FALSE),"")</f>
        <v/>
      </c>
      <c r="I1504" s="325" t="str">
        <f>IFERROR(VLOOKUP($D1504,'SDDA Dogs'!$A:$AE,3,FALSE),"")</f>
        <v/>
      </c>
      <c r="J1504" s="325" t="str">
        <f>IFERROR(VLOOKUP($D1504,'SDDA Dogs'!$A:$AE,6,FALSE),"")</f>
        <v/>
      </c>
      <c r="K1504" s="325" t="str">
        <f>IF(Excellent!AS96="","",Excellent!AS96)</f>
        <v/>
      </c>
      <c r="L1504" s="325" t="str">
        <f>IF(Excellent!AT96="","",Excellent!AT96)</f>
        <v/>
      </c>
      <c r="M1504" s="326" t="str">
        <f>TrialDateDay2</f>
        <v/>
      </c>
      <c r="N1504" s="325" t="str">
        <f t="shared" si="1269"/>
        <v/>
      </c>
      <c r="O1504" s="325">
        <f>JudgeD2CSE</f>
        <v>0</v>
      </c>
    </row>
    <row r="1505" spans="1:15" x14ac:dyDescent="0.25">
      <c r="A1505" s="2">
        <v>2</v>
      </c>
      <c r="B1505" s="2">
        <f t="shared" ref="B1505:O1505" si="1282">B1504</f>
        <v>0</v>
      </c>
      <c r="C1505" s="2" t="str">
        <f t="shared" si="1282"/>
        <v>CSE</v>
      </c>
      <c r="D1505" s="2">
        <f t="shared" si="1282"/>
        <v>0</v>
      </c>
      <c r="E1505" s="2" t="str">
        <f t="shared" si="1282"/>
        <v>A</v>
      </c>
      <c r="F1505" s="2" t="str">
        <f t="shared" si="1282"/>
        <v>Container Excellent</v>
      </c>
      <c r="G1505" s="2" t="str">
        <f t="shared" si="1282"/>
        <v/>
      </c>
      <c r="H1505" s="2" t="str">
        <f t="shared" si="1282"/>
        <v/>
      </c>
      <c r="I1505" s="2" t="str">
        <f t="shared" si="1282"/>
        <v/>
      </c>
      <c r="J1505" s="2" t="str">
        <f t="shared" si="1282"/>
        <v/>
      </c>
      <c r="K1505" s="2" t="str">
        <f t="shared" si="1282"/>
        <v/>
      </c>
      <c r="L1505" s="2" t="str">
        <f t="shared" si="1282"/>
        <v/>
      </c>
      <c r="M1505" s="180" t="str">
        <f t="shared" si="1282"/>
        <v/>
      </c>
      <c r="N1505" s="2" t="str">
        <f t="shared" si="1269"/>
        <v/>
      </c>
      <c r="O1505" s="2">
        <f t="shared" si="1282"/>
        <v>0</v>
      </c>
    </row>
    <row r="1506" spans="1:15" x14ac:dyDescent="0.25">
      <c r="A1506" s="325">
        <v>1</v>
      </c>
      <c r="B1506" s="325">
        <f>TrialNumberDay2</f>
        <v>0</v>
      </c>
      <c r="C1506" s="325" t="s">
        <v>21</v>
      </c>
      <c r="D1506" s="325">
        <f>Excellent!C97</f>
        <v>0</v>
      </c>
      <c r="E1506" s="325" t="str">
        <f>IF(Excellent!B97="W","W","A")</f>
        <v>A</v>
      </c>
      <c r="F1506" s="325" t="s">
        <v>1740</v>
      </c>
      <c r="G1506" s="325" t="str">
        <f>IF(Excellent!G97="e","Y","")</f>
        <v/>
      </c>
      <c r="H1506" s="325" t="str">
        <f>IFERROR(VLOOKUP($D1506,'SDDA Dogs'!$A:$AE,2,FALSE),"")</f>
        <v/>
      </c>
      <c r="I1506" s="325" t="str">
        <f>IFERROR(VLOOKUP($D1506,'SDDA Dogs'!$A:$AE,3,FALSE),"")</f>
        <v/>
      </c>
      <c r="J1506" s="325" t="str">
        <f>IFERROR(VLOOKUP($D1506,'SDDA Dogs'!$A:$AE,6,FALSE),"")</f>
        <v/>
      </c>
      <c r="K1506" s="325" t="str">
        <f>IF(Excellent!AS97="","",Excellent!AS97)</f>
        <v/>
      </c>
      <c r="L1506" s="325" t="str">
        <f>IF(Excellent!AT97="","",Excellent!AT97)</f>
        <v/>
      </c>
      <c r="M1506" s="326" t="str">
        <f>TrialDateDay2</f>
        <v/>
      </c>
      <c r="N1506" s="325" t="str">
        <f t="shared" si="1269"/>
        <v/>
      </c>
      <c r="O1506" s="325">
        <f>JudgeD2CSE</f>
        <v>0</v>
      </c>
    </row>
    <row r="1507" spans="1:15" x14ac:dyDescent="0.25">
      <c r="A1507" s="2">
        <v>2</v>
      </c>
      <c r="B1507" s="2">
        <f t="shared" ref="B1507:O1507" si="1283">B1506</f>
        <v>0</v>
      </c>
      <c r="C1507" s="2" t="str">
        <f t="shared" si="1283"/>
        <v>CSE</v>
      </c>
      <c r="D1507" s="2">
        <f t="shared" si="1283"/>
        <v>0</v>
      </c>
      <c r="E1507" s="2" t="str">
        <f t="shared" si="1283"/>
        <v>A</v>
      </c>
      <c r="F1507" s="2" t="str">
        <f t="shared" si="1283"/>
        <v>Container Excellent</v>
      </c>
      <c r="G1507" s="2" t="str">
        <f t="shared" si="1283"/>
        <v/>
      </c>
      <c r="H1507" s="2" t="str">
        <f t="shared" si="1283"/>
        <v/>
      </c>
      <c r="I1507" s="2" t="str">
        <f t="shared" si="1283"/>
        <v/>
      </c>
      <c r="J1507" s="2" t="str">
        <f t="shared" si="1283"/>
        <v/>
      </c>
      <c r="K1507" s="2" t="str">
        <f t="shared" si="1283"/>
        <v/>
      </c>
      <c r="L1507" s="2" t="str">
        <f t="shared" si="1283"/>
        <v/>
      </c>
      <c r="M1507" s="180" t="str">
        <f t="shared" si="1283"/>
        <v/>
      </c>
      <c r="N1507" s="2" t="str">
        <f t="shared" si="1269"/>
        <v/>
      </c>
      <c r="O1507" s="2">
        <f t="shared" si="1283"/>
        <v>0</v>
      </c>
    </row>
    <row r="1508" spans="1:15" x14ac:dyDescent="0.25">
      <c r="A1508" s="325">
        <v>1</v>
      </c>
      <c r="B1508" s="325">
        <f>TrialNumberDay2</f>
        <v>0</v>
      </c>
      <c r="C1508" s="325" t="s">
        <v>21</v>
      </c>
      <c r="D1508" s="325">
        <f>Excellent!C98</f>
        <v>0</v>
      </c>
      <c r="E1508" s="325" t="str">
        <f>IF(Excellent!B98="W","W","A")</f>
        <v>A</v>
      </c>
      <c r="F1508" s="325" t="s">
        <v>1740</v>
      </c>
      <c r="G1508" s="325" t="str">
        <f>IF(Excellent!G98="e","Y","")</f>
        <v/>
      </c>
      <c r="H1508" s="325" t="str">
        <f>IFERROR(VLOOKUP($D1508,'SDDA Dogs'!$A:$AE,2,FALSE),"")</f>
        <v/>
      </c>
      <c r="I1508" s="325" t="str">
        <f>IFERROR(VLOOKUP($D1508,'SDDA Dogs'!$A:$AE,3,FALSE),"")</f>
        <v/>
      </c>
      <c r="J1508" s="325" t="str">
        <f>IFERROR(VLOOKUP($D1508,'SDDA Dogs'!$A:$AE,6,FALSE),"")</f>
        <v/>
      </c>
      <c r="K1508" s="325" t="str">
        <f>IF(Excellent!AS98="","",Excellent!AS98)</f>
        <v/>
      </c>
      <c r="L1508" s="325" t="str">
        <f>IF(Excellent!AT98="","",Excellent!AT98)</f>
        <v/>
      </c>
      <c r="M1508" s="326" t="str">
        <f>TrialDateDay2</f>
        <v/>
      </c>
      <c r="N1508" s="325" t="str">
        <f t="shared" si="1269"/>
        <v/>
      </c>
      <c r="O1508" s="325">
        <f>JudgeD2CSE</f>
        <v>0</v>
      </c>
    </row>
    <row r="1509" spans="1:15" x14ac:dyDescent="0.25">
      <c r="A1509" s="2">
        <v>2</v>
      </c>
      <c r="B1509" s="2">
        <f t="shared" ref="B1509:O1509" si="1284">B1508</f>
        <v>0</v>
      </c>
      <c r="C1509" s="2" t="str">
        <f t="shared" si="1284"/>
        <v>CSE</v>
      </c>
      <c r="D1509" s="2">
        <f t="shared" si="1284"/>
        <v>0</v>
      </c>
      <c r="E1509" s="2" t="str">
        <f t="shared" si="1284"/>
        <v>A</v>
      </c>
      <c r="F1509" s="2" t="str">
        <f t="shared" si="1284"/>
        <v>Container Excellent</v>
      </c>
      <c r="G1509" s="2" t="str">
        <f t="shared" si="1284"/>
        <v/>
      </c>
      <c r="H1509" s="2" t="str">
        <f t="shared" si="1284"/>
        <v/>
      </c>
      <c r="I1509" s="2" t="str">
        <f t="shared" si="1284"/>
        <v/>
      </c>
      <c r="J1509" s="2" t="str">
        <f t="shared" si="1284"/>
        <v/>
      </c>
      <c r="K1509" s="2" t="str">
        <f t="shared" si="1284"/>
        <v/>
      </c>
      <c r="L1509" s="2" t="str">
        <f t="shared" si="1284"/>
        <v/>
      </c>
      <c r="M1509" s="180" t="str">
        <f t="shared" si="1284"/>
        <v/>
      </c>
      <c r="N1509" s="2" t="str">
        <f t="shared" si="1269"/>
        <v/>
      </c>
      <c r="O1509" s="2">
        <f t="shared" si="1284"/>
        <v>0</v>
      </c>
    </row>
    <row r="1510" spans="1:15" x14ac:dyDescent="0.25">
      <c r="A1510" s="325">
        <v>1</v>
      </c>
      <c r="B1510" s="325">
        <f>TrialNumberDay2</f>
        <v>0</v>
      </c>
      <c r="C1510" s="325" t="s">
        <v>21</v>
      </c>
      <c r="D1510" s="325">
        <f>Excellent!C99</f>
        <v>0</v>
      </c>
      <c r="E1510" s="325" t="str">
        <f>IF(Excellent!B99="W","W","A")</f>
        <v>A</v>
      </c>
      <c r="F1510" s="325" t="s">
        <v>1740</v>
      </c>
      <c r="G1510" s="325" t="str">
        <f>IF(Excellent!G99="e","Y","")</f>
        <v/>
      </c>
      <c r="H1510" s="325" t="str">
        <f>IFERROR(VLOOKUP($D1510,'SDDA Dogs'!$A:$AE,2,FALSE),"")</f>
        <v/>
      </c>
      <c r="I1510" s="325" t="str">
        <f>IFERROR(VLOOKUP($D1510,'SDDA Dogs'!$A:$AE,3,FALSE),"")</f>
        <v/>
      </c>
      <c r="J1510" s="325" t="str">
        <f>IFERROR(VLOOKUP($D1510,'SDDA Dogs'!$A:$AE,6,FALSE),"")</f>
        <v/>
      </c>
      <c r="K1510" s="325" t="str">
        <f>IF(Excellent!AS99="","",Excellent!AS99)</f>
        <v/>
      </c>
      <c r="L1510" s="325" t="str">
        <f>IF(Excellent!AT99="","",Excellent!AT99)</f>
        <v/>
      </c>
      <c r="M1510" s="326" t="str">
        <f>TrialDateDay2</f>
        <v/>
      </c>
      <c r="N1510" s="325" t="str">
        <f t="shared" si="1269"/>
        <v/>
      </c>
      <c r="O1510" s="325">
        <f>JudgeD2CSE</f>
        <v>0</v>
      </c>
    </row>
    <row r="1511" spans="1:15" x14ac:dyDescent="0.25">
      <c r="A1511" s="2">
        <v>2</v>
      </c>
      <c r="B1511" s="2">
        <f t="shared" ref="B1511:O1511" si="1285">B1510</f>
        <v>0</v>
      </c>
      <c r="C1511" s="2" t="str">
        <f t="shared" si="1285"/>
        <v>CSE</v>
      </c>
      <c r="D1511" s="2">
        <f t="shared" si="1285"/>
        <v>0</v>
      </c>
      <c r="E1511" s="2" t="str">
        <f t="shared" si="1285"/>
        <v>A</v>
      </c>
      <c r="F1511" s="2" t="str">
        <f t="shared" si="1285"/>
        <v>Container Excellent</v>
      </c>
      <c r="G1511" s="2" t="str">
        <f t="shared" si="1285"/>
        <v/>
      </c>
      <c r="H1511" s="2" t="str">
        <f t="shared" si="1285"/>
        <v/>
      </c>
      <c r="I1511" s="2" t="str">
        <f t="shared" si="1285"/>
        <v/>
      </c>
      <c r="J1511" s="2" t="str">
        <f t="shared" si="1285"/>
        <v/>
      </c>
      <c r="K1511" s="2" t="str">
        <f t="shared" si="1285"/>
        <v/>
      </c>
      <c r="L1511" s="2" t="str">
        <f t="shared" si="1285"/>
        <v/>
      </c>
      <c r="M1511" s="180" t="str">
        <f t="shared" si="1285"/>
        <v/>
      </c>
      <c r="N1511" s="2" t="str">
        <f t="shared" si="1269"/>
        <v/>
      </c>
      <c r="O1511" s="2">
        <f t="shared" si="1285"/>
        <v>0</v>
      </c>
    </row>
    <row r="1512" spans="1:15" x14ac:dyDescent="0.25">
      <c r="A1512" s="325">
        <v>1</v>
      </c>
      <c r="B1512" s="325">
        <f>TrialNumberDay2</f>
        <v>0</v>
      </c>
      <c r="C1512" s="325" t="s">
        <v>21</v>
      </c>
      <c r="D1512" s="325">
        <f>Excellent!C100</f>
        <v>0</v>
      </c>
      <c r="E1512" s="325" t="str">
        <f>IF(Excellent!B100="W","W","A")</f>
        <v>A</v>
      </c>
      <c r="F1512" s="325" t="s">
        <v>1740</v>
      </c>
      <c r="G1512" s="325" t="str">
        <f>IF(Excellent!G100="e","Y","")</f>
        <v/>
      </c>
      <c r="H1512" s="325" t="str">
        <f>IFERROR(VLOOKUP($D1512,'SDDA Dogs'!$A:$AE,2,FALSE),"")</f>
        <v/>
      </c>
      <c r="I1512" s="325" t="str">
        <f>IFERROR(VLOOKUP($D1512,'SDDA Dogs'!$A:$AE,3,FALSE),"")</f>
        <v/>
      </c>
      <c r="J1512" s="325" t="str">
        <f>IFERROR(VLOOKUP($D1512,'SDDA Dogs'!$A:$AE,6,FALSE),"")</f>
        <v/>
      </c>
      <c r="K1512" s="325" t="str">
        <f>IF(Excellent!AS100="","",Excellent!AS100)</f>
        <v/>
      </c>
      <c r="L1512" s="325" t="str">
        <f>IF(Excellent!AT100="","",Excellent!AT100)</f>
        <v/>
      </c>
      <c r="M1512" s="326" t="str">
        <f>TrialDateDay2</f>
        <v/>
      </c>
      <c r="N1512" s="325" t="str">
        <f t="shared" si="1269"/>
        <v/>
      </c>
      <c r="O1512" s="325">
        <f>JudgeD2CSE</f>
        <v>0</v>
      </c>
    </row>
    <row r="1513" spans="1:15" x14ac:dyDescent="0.25">
      <c r="A1513" s="2">
        <v>2</v>
      </c>
      <c r="B1513" s="2">
        <f t="shared" ref="B1513:O1513" si="1286">B1512</f>
        <v>0</v>
      </c>
      <c r="C1513" s="2" t="str">
        <f t="shared" si="1286"/>
        <v>CSE</v>
      </c>
      <c r="D1513" s="2">
        <f t="shared" si="1286"/>
        <v>0</v>
      </c>
      <c r="E1513" s="2" t="str">
        <f t="shared" si="1286"/>
        <v>A</v>
      </c>
      <c r="F1513" s="2" t="str">
        <f t="shared" si="1286"/>
        <v>Container Excellent</v>
      </c>
      <c r="G1513" s="2" t="str">
        <f t="shared" si="1286"/>
        <v/>
      </c>
      <c r="H1513" s="2" t="str">
        <f t="shared" si="1286"/>
        <v/>
      </c>
      <c r="I1513" s="2" t="str">
        <f t="shared" si="1286"/>
        <v/>
      </c>
      <c r="J1513" s="2" t="str">
        <f t="shared" si="1286"/>
        <v/>
      </c>
      <c r="K1513" s="2" t="str">
        <f t="shared" si="1286"/>
        <v/>
      </c>
      <c r="L1513" s="2" t="str">
        <f t="shared" si="1286"/>
        <v/>
      </c>
      <c r="M1513" s="180" t="str">
        <f t="shared" si="1286"/>
        <v/>
      </c>
      <c r="N1513" s="2" t="str">
        <f t="shared" si="1269"/>
        <v/>
      </c>
      <c r="O1513" s="2">
        <f t="shared" si="1286"/>
        <v>0</v>
      </c>
    </row>
    <row r="1514" spans="1:15" x14ac:dyDescent="0.25">
      <c r="A1514" s="325">
        <v>1</v>
      </c>
      <c r="B1514" s="325">
        <f>TrialNumberDay2</f>
        <v>0</v>
      </c>
      <c r="C1514" s="325" t="s">
        <v>21</v>
      </c>
      <c r="D1514" s="325">
        <f>Excellent!C101</f>
        <v>0</v>
      </c>
      <c r="E1514" s="325" t="str">
        <f>IF(Excellent!B101="W","W","A")</f>
        <v>A</v>
      </c>
      <c r="F1514" s="325" t="s">
        <v>1740</v>
      </c>
      <c r="G1514" s="325" t="str">
        <f>IF(Excellent!G101="e","Y","")</f>
        <v/>
      </c>
      <c r="H1514" s="325" t="str">
        <f>IFERROR(VLOOKUP($D1514,'SDDA Dogs'!$A:$AE,2,FALSE),"")</f>
        <v/>
      </c>
      <c r="I1514" s="325" t="str">
        <f>IFERROR(VLOOKUP($D1514,'SDDA Dogs'!$A:$AE,3,FALSE),"")</f>
        <v/>
      </c>
      <c r="J1514" s="325" t="str">
        <f>IFERROR(VLOOKUP($D1514,'SDDA Dogs'!$A:$AE,6,FALSE),"")</f>
        <v/>
      </c>
      <c r="K1514" s="325" t="str">
        <f>IF(Excellent!AS101="","",Excellent!AS101)</f>
        <v/>
      </c>
      <c r="L1514" s="325" t="str">
        <f>IF(Excellent!AT101="","",Excellent!AT101)</f>
        <v/>
      </c>
      <c r="M1514" s="326" t="str">
        <f>TrialDateDay2</f>
        <v/>
      </c>
      <c r="N1514" s="325" t="str">
        <f t="shared" si="1269"/>
        <v/>
      </c>
      <c r="O1514" s="325">
        <f>JudgeD2CSE</f>
        <v>0</v>
      </c>
    </row>
    <row r="1515" spans="1:15" x14ac:dyDescent="0.25">
      <c r="A1515" s="2">
        <v>2</v>
      </c>
      <c r="B1515" s="2">
        <f t="shared" ref="B1515:O1515" si="1287">B1514</f>
        <v>0</v>
      </c>
      <c r="C1515" s="2" t="str">
        <f t="shared" si="1287"/>
        <v>CSE</v>
      </c>
      <c r="D1515" s="2">
        <f t="shared" si="1287"/>
        <v>0</v>
      </c>
      <c r="E1515" s="2" t="str">
        <f t="shared" si="1287"/>
        <v>A</v>
      </c>
      <c r="F1515" s="2" t="str">
        <f t="shared" si="1287"/>
        <v>Container Excellent</v>
      </c>
      <c r="G1515" s="2" t="str">
        <f t="shared" si="1287"/>
        <v/>
      </c>
      <c r="H1515" s="2" t="str">
        <f t="shared" si="1287"/>
        <v/>
      </c>
      <c r="I1515" s="2" t="str">
        <f t="shared" si="1287"/>
        <v/>
      </c>
      <c r="J1515" s="2" t="str">
        <f t="shared" si="1287"/>
        <v/>
      </c>
      <c r="K1515" s="2" t="str">
        <f t="shared" si="1287"/>
        <v/>
      </c>
      <c r="L1515" s="2" t="str">
        <f t="shared" si="1287"/>
        <v/>
      </c>
      <c r="M1515" s="180" t="str">
        <f t="shared" si="1287"/>
        <v/>
      </c>
      <c r="N1515" s="2" t="str">
        <f t="shared" si="1269"/>
        <v/>
      </c>
      <c r="O1515" s="2">
        <f t="shared" si="1287"/>
        <v>0</v>
      </c>
    </row>
    <row r="1516" spans="1:15" x14ac:dyDescent="0.25">
      <c r="A1516" s="325">
        <v>1</v>
      </c>
      <c r="B1516" s="325">
        <f>TrialNumberDay2</f>
        <v>0</v>
      </c>
      <c r="C1516" s="325" t="s">
        <v>21</v>
      </c>
      <c r="D1516" s="325">
        <f>Excellent!C102</f>
        <v>0</v>
      </c>
      <c r="E1516" s="325" t="str">
        <f>IF(Excellent!B102="W","W","A")</f>
        <v>A</v>
      </c>
      <c r="F1516" s="325" t="s">
        <v>1740</v>
      </c>
      <c r="G1516" s="325" t="str">
        <f>IF(Excellent!G102="e","Y","")</f>
        <v/>
      </c>
      <c r="H1516" s="325" t="str">
        <f>IFERROR(VLOOKUP($D1516,'SDDA Dogs'!$A:$AE,2,FALSE),"")</f>
        <v/>
      </c>
      <c r="I1516" s="325" t="str">
        <f>IFERROR(VLOOKUP($D1516,'SDDA Dogs'!$A:$AE,3,FALSE),"")</f>
        <v/>
      </c>
      <c r="J1516" s="325" t="str">
        <f>IFERROR(VLOOKUP($D1516,'SDDA Dogs'!$A:$AE,6,FALSE),"")</f>
        <v/>
      </c>
      <c r="K1516" s="325" t="str">
        <f>IF(Excellent!AS102="","",Excellent!AS102)</f>
        <v/>
      </c>
      <c r="L1516" s="325" t="str">
        <f>IF(Excellent!AT102="","",Excellent!AT102)</f>
        <v/>
      </c>
      <c r="M1516" s="326" t="str">
        <f>TrialDateDay2</f>
        <v/>
      </c>
      <c r="N1516" s="325" t="str">
        <f t="shared" si="1269"/>
        <v/>
      </c>
      <c r="O1516" s="325">
        <f>JudgeD2CSE</f>
        <v>0</v>
      </c>
    </row>
    <row r="1517" spans="1:15" x14ac:dyDescent="0.25">
      <c r="A1517" s="2">
        <v>2</v>
      </c>
      <c r="B1517" s="2">
        <f t="shared" ref="B1517:O1517" si="1288">B1516</f>
        <v>0</v>
      </c>
      <c r="C1517" s="2" t="str">
        <f t="shared" si="1288"/>
        <v>CSE</v>
      </c>
      <c r="D1517" s="2">
        <f t="shared" si="1288"/>
        <v>0</v>
      </c>
      <c r="E1517" s="2" t="str">
        <f t="shared" si="1288"/>
        <v>A</v>
      </c>
      <c r="F1517" s="2" t="str">
        <f t="shared" si="1288"/>
        <v>Container Excellent</v>
      </c>
      <c r="G1517" s="2" t="str">
        <f t="shared" si="1288"/>
        <v/>
      </c>
      <c r="H1517" s="2" t="str">
        <f t="shared" si="1288"/>
        <v/>
      </c>
      <c r="I1517" s="2" t="str">
        <f t="shared" si="1288"/>
        <v/>
      </c>
      <c r="J1517" s="2" t="str">
        <f t="shared" si="1288"/>
        <v/>
      </c>
      <c r="K1517" s="2" t="str">
        <f t="shared" si="1288"/>
        <v/>
      </c>
      <c r="L1517" s="2" t="str">
        <f t="shared" si="1288"/>
        <v/>
      </c>
      <c r="M1517" s="180" t="str">
        <f t="shared" si="1288"/>
        <v/>
      </c>
      <c r="N1517" s="2" t="str">
        <f t="shared" si="1269"/>
        <v/>
      </c>
      <c r="O1517" s="2">
        <f t="shared" si="1288"/>
        <v>0</v>
      </c>
    </row>
    <row r="1518" spans="1:15" x14ac:dyDescent="0.25">
      <c r="A1518" s="325">
        <v>1</v>
      </c>
      <c r="B1518" s="325">
        <f>TrialNumberDay2</f>
        <v>0</v>
      </c>
      <c r="C1518" s="325" t="s">
        <v>21</v>
      </c>
      <c r="D1518" s="325">
        <f>Excellent!C103</f>
        <v>0</v>
      </c>
      <c r="E1518" s="325" t="str">
        <f>IF(Excellent!B103="W","W","A")</f>
        <v>A</v>
      </c>
      <c r="F1518" s="325" t="s">
        <v>1740</v>
      </c>
      <c r="G1518" s="325" t="str">
        <f>IF(Excellent!G103="e","Y","")</f>
        <v/>
      </c>
      <c r="H1518" s="325" t="str">
        <f>IFERROR(VLOOKUP($D1518,'SDDA Dogs'!$A:$AE,2,FALSE),"")</f>
        <v/>
      </c>
      <c r="I1518" s="325" t="str">
        <f>IFERROR(VLOOKUP($D1518,'SDDA Dogs'!$A:$AE,3,FALSE),"")</f>
        <v/>
      </c>
      <c r="J1518" s="325" t="str">
        <f>IFERROR(VLOOKUP($D1518,'SDDA Dogs'!$A:$AE,6,FALSE),"")</f>
        <v/>
      </c>
      <c r="K1518" s="325" t="str">
        <f>IF(Excellent!AS103="","",Excellent!AS103)</f>
        <v/>
      </c>
      <c r="L1518" s="325" t="str">
        <f>IF(Excellent!AT103="","",Excellent!AT103)</f>
        <v/>
      </c>
      <c r="M1518" s="326" t="str">
        <f>TrialDateDay2</f>
        <v/>
      </c>
      <c r="N1518" s="325" t="str">
        <f t="shared" si="1269"/>
        <v/>
      </c>
      <c r="O1518" s="325">
        <f>JudgeD2CSE</f>
        <v>0</v>
      </c>
    </row>
    <row r="1519" spans="1:15" x14ac:dyDescent="0.25">
      <c r="A1519" s="2">
        <v>2</v>
      </c>
      <c r="B1519" s="2">
        <f t="shared" ref="B1519:O1519" si="1289">B1518</f>
        <v>0</v>
      </c>
      <c r="C1519" s="2" t="str">
        <f t="shared" si="1289"/>
        <v>CSE</v>
      </c>
      <c r="D1519" s="2">
        <f t="shared" si="1289"/>
        <v>0</v>
      </c>
      <c r="E1519" s="2" t="str">
        <f t="shared" si="1289"/>
        <v>A</v>
      </c>
      <c r="F1519" s="2" t="str">
        <f t="shared" si="1289"/>
        <v>Container Excellent</v>
      </c>
      <c r="G1519" s="2" t="str">
        <f t="shared" si="1289"/>
        <v/>
      </c>
      <c r="H1519" s="2" t="str">
        <f t="shared" si="1289"/>
        <v/>
      </c>
      <c r="I1519" s="2" t="str">
        <f t="shared" si="1289"/>
        <v/>
      </c>
      <c r="J1519" s="2" t="str">
        <f t="shared" si="1289"/>
        <v/>
      </c>
      <c r="K1519" s="2" t="str">
        <f t="shared" si="1289"/>
        <v/>
      </c>
      <c r="L1519" s="2" t="str">
        <f t="shared" si="1289"/>
        <v/>
      </c>
      <c r="M1519" s="180" t="str">
        <f t="shared" si="1289"/>
        <v/>
      </c>
      <c r="N1519" s="2" t="str">
        <f t="shared" si="1269"/>
        <v/>
      </c>
      <c r="O1519" s="2">
        <f t="shared" si="1289"/>
        <v>0</v>
      </c>
    </row>
    <row r="1520" spans="1:15" x14ac:dyDescent="0.25">
      <c r="A1520" s="325">
        <v>1</v>
      </c>
      <c r="B1520" s="325">
        <f>TrialNumberDay2</f>
        <v>0</v>
      </c>
      <c r="C1520" s="325" t="s">
        <v>21</v>
      </c>
      <c r="D1520" s="325">
        <f>Excellent!C104</f>
        <v>0</v>
      </c>
      <c r="E1520" s="325" t="str">
        <f>IF(Excellent!B104="W","W","A")</f>
        <v>A</v>
      </c>
      <c r="F1520" s="325" t="s">
        <v>1740</v>
      </c>
      <c r="G1520" s="325" t="str">
        <f>IF(Excellent!G104="e","Y","")</f>
        <v/>
      </c>
      <c r="H1520" s="325" t="str">
        <f>IFERROR(VLOOKUP($D1520,'SDDA Dogs'!$A:$AE,2,FALSE),"")</f>
        <v/>
      </c>
      <c r="I1520" s="325" t="str">
        <f>IFERROR(VLOOKUP($D1520,'SDDA Dogs'!$A:$AE,3,FALSE),"")</f>
        <v/>
      </c>
      <c r="J1520" s="325" t="str">
        <f>IFERROR(VLOOKUP($D1520,'SDDA Dogs'!$A:$AE,6,FALSE),"")</f>
        <v/>
      </c>
      <c r="K1520" s="325" t="str">
        <f>IF(Excellent!AS104="","",Excellent!AS104)</f>
        <v/>
      </c>
      <c r="L1520" s="325" t="str">
        <f>IF(Excellent!AT104="","",Excellent!AT104)</f>
        <v/>
      </c>
      <c r="M1520" s="326" t="str">
        <f>TrialDateDay2</f>
        <v/>
      </c>
      <c r="N1520" s="325" t="str">
        <f t="shared" si="1269"/>
        <v/>
      </c>
      <c r="O1520" s="325">
        <f>JudgeD2CSE</f>
        <v>0</v>
      </c>
    </row>
    <row r="1521" spans="1:15" x14ac:dyDescent="0.25">
      <c r="A1521" s="2">
        <v>2</v>
      </c>
      <c r="B1521" s="2">
        <f t="shared" ref="B1521:O1521" si="1290">B1520</f>
        <v>0</v>
      </c>
      <c r="C1521" s="2" t="str">
        <f t="shared" si="1290"/>
        <v>CSE</v>
      </c>
      <c r="D1521" s="2">
        <f t="shared" si="1290"/>
        <v>0</v>
      </c>
      <c r="E1521" s="2" t="str">
        <f t="shared" si="1290"/>
        <v>A</v>
      </c>
      <c r="F1521" s="2" t="str">
        <f t="shared" si="1290"/>
        <v>Container Excellent</v>
      </c>
      <c r="G1521" s="2" t="str">
        <f t="shared" si="1290"/>
        <v/>
      </c>
      <c r="H1521" s="2" t="str">
        <f t="shared" si="1290"/>
        <v/>
      </c>
      <c r="I1521" s="2" t="str">
        <f t="shared" si="1290"/>
        <v/>
      </c>
      <c r="J1521" s="2" t="str">
        <f t="shared" si="1290"/>
        <v/>
      </c>
      <c r="K1521" s="2" t="str">
        <f t="shared" si="1290"/>
        <v/>
      </c>
      <c r="L1521" s="2" t="str">
        <f t="shared" si="1290"/>
        <v/>
      </c>
      <c r="M1521" s="180" t="str">
        <f t="shared" si="1290"/>
        <v/>
      </c>
      <c r="N1521" s="2" t="str">
        <f t="shared" si="1269"/>
        <v/>
      </c>
      <c r="O1521" s="2">
        <f t="shared" si="1290"/>
        <v>0</v>
      </c>
    </row>
    <row r="1522" spans="1:15" x14ac:dyDescent="0.25">
      <c r="A1522" s="325">
        <v>1</v>
      </c>
      <c r="B1522" s="325">
        <f>TrialNumberDay2</f>
        <v>0</v>
      </c>
      <c r="C1522" s="325" t="s">
        <v>21</v>
      </c>
      <c r="D1522" s="325">
        <f>Excellent!C105</f>
        <v>0</v>
      </c>
      <c r="E1522" s="325" t="str">
        <f>IF(Excellent!B105="W","W","A")</f>
        <v>A</v>
      </c>
      <c r="F1522" s="325" t="s">
        <v>1740</v>
      </c>
      <c r="G1522" s="325" t="str">
        <f>IF(Excellent!G105="e","Y","")</f>
        <v/>
      </c>
      <c r="H1522" s="325" t="str">
        <f>IFERROR(VLOOKUP($D1522,'SDDA Dogs'!$A:$AE,2,FALSE),"")</f>
        <v/>
      </c>
      <c r="I1522" s="325" t="str">
        <f>IFERROR(VLOOKUP($D1522,'SDDA Dogs'!$A:$AE,3,FALSE),"")</f>
        <v/>
      </c>
      <c r="J1522" s="325" t="str">
        <f>IFERROR(VLOOKUP($D1522,'SDDA Dogs'!$A:$AE,6,FALSE),"")</f>
        <v/>
      </c>
      <c r="K1522" s="325" t="str">
        <f>IF(Excellent!AS105="","",Excellent!AS105)</f>
        <v/>
      </c>
      <c r="L1522" s="325" t="str">
        <f>IF(Excellent!AT105="","",Excellent!AT105)</f>
        <v/>
      </c>
      <c r="M1522" s="326" t="str">
        <f>TrialDateDay2</f>
        <v/>
      </c>
      <c r="N1522" s="325" t="str">
        <f t="shared" si="1269"/>
        <v/>
      </c>
      <c r="O1522" s="325">
        <f>JudgeD2CSE</f>
        <v>0</v>
      </c>
    </row>
    <row r="1523" spans="1:15" x14ac:dyDescent="0.25">
      <c r="A1523" s="2">
        <v>2</v>
      </c>
      <c r="B1523" s="2">
        <f t="shared" ref="B1523:O1523" si="1291">B1522</f>
        <v>0</v>
      </c>
      <c r="C1523" s="2" t="str">
        <f t="shared" si="1291"/>
        <v>CSE</v>
      </c>
      <c r="D1523" s="2">
        <f t="shared" si="1291"/>
        <v>0</v>
      </c>
      <c r="E1523" s="2" t="str">
        <f t="shared" si="1291"/>
        <v>A</v>
      </c>
      <c r="F1523" s="2" t="str">
        <f t="shared" si="1291"/>
        <v>Container Excellent</v>
      </c>
      <c r="G1523" s="2" t="str">
        <f t="shared" si="1291"/>
        <v/>
      </c>
      <c r="H1523" s="2" t="str">
        <f t="shared" si="1291"/>
        <v/>
      </c>
      <c r="I1523" s="2" t="str">
        <f t="shared" si="1291"/>
        <v/>
      </c>
      <c r="J1523" s="2" t="str">
        <f t="shared" si="1291"/>
        <v/>
      </c>
      <c r="K1523" s="2" t="str">
        <f t="shared" si="1291"/>
        <v/>
      </c>
      <c r="L1523" s="2" t="str">
        <f t="shared" si="1291"/>
        <v/>
      </c>
      <c r="M1523" s="180" t="str">
        <f t="shared" si="1291"/>
        <v/>
      </c>
      <c r="N1523" s="2" t="str">
        <f t="shared" si="1269"/>
        <v/>
      </c>
      <c r="O1523" s="2">
        <f t="shared" si="1291"/>
        <v>0</v>
      </c>
    </row>
    <row r="1524" spans="1:15" x14ac:dyDescent="0.25">
      <c r="A1524" s="325">
        <v>1</v>
      </c>
      <c r="B1524" s="325">
        <f>TrialNumberDay2</f>
        <v>0</v>
      </c>
      <c r="C1524" s="325" t="s">
        <v>21</v>
      </c>
      <c r="D1524" s="325">
        <f>Excellent!C106</f>
        <v>0</v>
      </c>
      <c r="E1524" s="325" t="str">
        <f>IF(Excellent!B106="W","W","A")</f>
        <v>A</v>
      </c>
      <c r="F1524" s="325" t="s">
        <v>1740</v>
      </c>
      <c r="G1524" s="325" t="str">
        <f>IF(Excellent!G106="e","Y","")</f>
        <v/>
      </c>
      <c r="H1524" s="325" t="str">
        <f>IFERROR(VLOOKUP($D1524,'SDDA Dogs'!$A:$AE,2,FALSE),"")</f>
        <v/>
      </c>
      <c r="I1524" s="325" t="str">
        <f>IFERROR(VLOOKUP($D1524,'SDDA Dogs'!$A:$AE,3,FALSE),"")</f>
        <v/>
      </c>
      <c r="J1524" s="325" t="str">
        <f>IFERROR(VLOOKUP($D1524,'SDDA Dogs'!$A:$AE,6,FALSE),"")</f>
        <v/>
      </c>
      <c r="K1524" s="325" t="str">
        <f>IF(Excellent!AS106="","",Excellent!AS106)</f>
        <v/>
      </c>
      <c r="L1524" s="325" t="str">
        <f>IF(Excellent!AT106="","",Excellent!AT106)</f>
        <v/>
      </c>
      <c r="M1524" s="326" t="str">
        <f>TrialDateDay2</f>
        <v/>
      </c>
      <c r="N1524" s="325" t="str">
        <f t="shared" si="1269"/>
        <v/>
      </c>
      <c r="O1524" s="325">
        <f>JudgeD2CSE</f>
        <v>0</v>
      </c>
    </row>
    <row r="1525" spans="1:15" x14ac:dyDescent="0.25">
      <c r="A1525" s="2">
        <v>2</v>
      </c>
      <c r="B1525" s="2">
        <f t="shared" ref="B1525:O1525" si="1292">B1524</f>
        <v>0</v>
      </c>
      <c r="C1525" s="2" t="str">
        <f t="shared" si="1292"/>
        <v>CSE</v>
      </c>
      <c r="D1525" s="2">
        <f t="shared" si="1292"/>
        <v>0</v>
      </c>
      <c r="E1525" s="2" t="str">
        <f t="shared" si="1292"/>
        <v>A</v>
      </c>
      <c r="F1525" s="2" t="str">
        <f t="shared" si="1292"/>
        <v>Container Excellent</v>
      </c>
      <c r="G1525" s="2" t="str">
        <f t="shared" si="1292"/>
        <v/>
      </c>
      <c r="H1525" s="2" t="str">
        <f t="shared" si="1292"/>
        <v/>
      </c>
      <c r="I1525" s="2" t="str">
        <f t="shared" si="1292"/>
        <v/>
      </c>
      <c r="J1525" s="2" t="str">
        <f t="shared" si="1292"/>
        <v/>
      </c>
      <c r="K1525" s="2" t="str">
        <f t="shared" si="1292"/>
        <v/>
      </c>
      <c r="L1525" s="2" t="str">
        <f t="shared" si="1292"/>
        <v/>
      </c>
      <c r="M1525" s="180" t="str">
        <f t="shared" si="1292"/>
        <v/>
      </c>
      <c r="N1525" s="2" t="str">
        <f t="shared" si="1269"/>
        <v/>
      </c>
      <c r="O1525" s="2">
        <f t="shared" si="1292"/>
        <v>0</v>
      </c>
    </row>
    <row r="1526" spans="1:15" x14ac:dyDescent="0.25">
      <c r="A1526" s="325">
        <v>1</v>
      </c>
      <c r="B1526" s="325">
        <f>TrialNumberDay2</f>
        <v>0</v>
      </c>
      <c r="C1526" s="325" t="s">
        <v>21</v>
      </c>
      <c r="D1526" s="325">
        <f>Excellent!C107</f>
        <v>0</v>
      </c>
      <c r="E1526" s="325" t="str">
        <f>IF(Excellent!B107="W","W","A")</f>
        <v>A</v>
      </c>
      <c r="F1526" s="325" t="s">
        <v>1740</v>
      </c>
      <c r="G1526" s="325" t="str">
        <f>IF(Excellent!G107="e","Y","")</f>
        <v/>
      </c>
      <c r="H1526" s="325" t="str">
        <f>IFERROR(VLOOKUP($D1526,'SDDA Dogs'!$A:$AE,2,FALSE),"")</f>
        <v/>
      </c>
      <c r="I1526" s="325" t="str">
        <f>IFERROR(VLOOKUP($D1526,'SDDA Dogs'!$A:$AE,3,FALSE),"")</f>
        <v/>
      </c>
      <c r="J1526" s="325" t="str">
        <f>IFERROR(VLOOKUP($D1526,'SDDA Dogs'!$A:$AE,6,FALSE),"")</f>
        <v/>
      </c>
      <c r="K1526" s="325" t="str">
        <f>IF(Excellent!AS107="","",Excellent!AS107)</f>
        <v/>
      </c>
      <c r="L1526" s="325" t="str">
        <f>IF(Excellent!AT107="","",Excellent!AT107)</f>
        <v/>
      </c>
      <c r="M1526" s="326" t="str">
        <f>TrialDateDay2</f>
        <v/>
      </c>
      <c r="N1526" s="325" t="str">
        <f t="shared" si="1269"/>
        <v/>
      </c>
      <c r="O1526" s="325">
        <f>JudgeD2CSE</f>
        <v>0</v>
      </c>
    </row>
    <row r="1527" spans="1:15" x14ac:dyDescent="0.25">
      <c r="A1527" s="2">
        <v>2</v>
      </c>
      <c r="B1527" s="2">
        <f t="shared" ref="B1527:O1527" si="1293">B1526</f>
        <v>0</v>
      </c>
      <c r="C1527" s="2" t="str">
        <f t="shared" si="1293"/>
        <v>CSE</v>
      </c>
      <c r="D1527" s="2">
        <f t="shared" si="1293"/>
        <v>0</v>
      </c>
      <c r="E1527" s="2" t="str">
        <f t="shared" si="1293"/>
        <v>A</v>
      </c>
      <c r="F1527" s="2" t="str">
        <f t="shared" si="1293"/>
        <v>Container Excellent</v>
      </c>
      <c r="G1527" s="2" t="str">
        <f t="shared" si="1293"/>
        <v/>
      </c>
      <c r="H1527" s="2" t="str">
        <f t="shared" si="1293"/>
        <v/>
      </c>
      <c r="I1527" s="2" t="str">
        <f t="shared" si="1293"/>
        <v/>
      </c>
      <c r="J1527" s="2" t="str">
        <f t="shared" si="1293"/>
        <v/>
      </c>
      <c r="K1527" s="2" t="str">
        <f t="shared" si="1293"/>
        <v/>
      </c>
      <c r="L1527" s="2" t="str">
        <f t="shared" si="1293"/>
        <v/>
      </c>
      <c r="M1527" s="180" t="str">
        <f t="shared" si="1293"/>
        <v/>
      </c>
      <c r="N1527" s="2" t="str">
        <f t="shared" si="1269"/>
        <v/>
      </c>
      <c r="O1527" s="2">
        <f t="shared" si="1293"/>
        <v>0</v>
      </c>
    </row>
    <row r="1528" spans="1:15" x14ac:dyDescent="0.25">
      <c r="A1528" s="325">
        <v>1</v>
      </c>
      <c r="B1528" s="325">
        <f>TrialNumberDay2</f>
        <v>0</v>
      </c>
      <c r="C1528" s="325" t="s">
        <v>21</v>
      </c>
      <c r="D1528" s="325">
        <f>Excellent!C108</f>
        <v>0</v>
      </c>
      <c r="E1528" s="325" t="str">
        <f>IF(Excellent!B108="W","W","A")</f>
        <v>A</v>
      </c>
      <c r="F1528" s="325" t="s">
        <v>1740</v>
      </c>
      <c r="G1528" s="325" t="str">
        <f>IF(Excellent!G108="e","Y","")</f>
        <v/>
      </c>
      <c r="H1528" s="325" t="str">
        <f>IFERROR(VLOOKUP($D1528,'SDDA Dogs'!$A:$AE,2,FALSE),"")</f>
        <v/>
      </c>
      <c r="I1528" s="325" t="str">
        <f>IFERROR(VLOOKUP($D1528,'SDDA Dogs'!$A:$AE,3,FALSE),"")</f>
        <v/>
      </c>
      <c r="J1528" s="325" t="str">
        <f>IFERROR(VLOOKUP($D1528,'SDDA Dogs'!$A:$AE,6,FALSE),"")</f>
        <v/>
      </c>
      <c r="K1528" s="325" t="str">
        <f>IF(Excellent!AS108="","",Excellent!AS108)</f>
        <v/>
      </c>
      <c r="L1528" s="325" t="str">
        <f>IF(Excellent!AT108="","",Excellent!AT108)</f>
        <v/>
      </c>
      <c r="M1528" s="326" t="str">
        <f>TrialDateDay2</f>
        <v/>
      </c>
      <c r="N1528" s="325" t="str">
        <f t="shared" si="1269"/>
        <v/>
      </c>
      <c r="O1528" s="325">
        <f>JudgeD2CSE</f>
        <v>0</v>
      </c>
    </row>
    <row r="1529" spans="1:15" x14ac:dyDescent="0.25">
      <c r="A1529" s="2">
        <v>2</v>
      </c>
      <c r="B1529" s="2">
        <f t="shared" ref="B1529:O1529" si="1294">B1528</f>
        <v>0</v>
      </c>
      <c r="C1529" s="2" t="str">
        <f t="shared" si="1294"/>
        <v>CSE</v>
      </c>
      <c r="D1529" s="2">
        <f t="shared" si="1294"/>
        <v>0</v>
      </c>
      <c r="E1529" s="2" t="str">
        <f t="shared" si="1294"/>
        <v>A</v>
      </c>
      <c r="F1529" s="2" t="str">
        <f t="shared" si="1294"/>
        <v>Container Excellent</v>
      </c>
      <c r="G1529" s="2" t="str">
        <f t="shared" si="1294"/>
        <v/>
      </c>
      <c r="H1529" s="2" t="str">
        <f t="shared" si="1294"/>
        <v/>
      </c>
      <c r="I1529" s="2" t="str">
        <f t="shared" si="1294"/>
        <v/>
      </c>
      <c r="J1529" s="2" t="str">
        <f t="shared" si="1294"/>
        <v/>
      </c>
      <c r="K1529" s="2" t="str">
        <f t="shared" si="1294"/>
        <v/>
      </c>
      <c r="L1529" s="2" t="str">
        <f t="shared" si="1294"/>
        <v/>
      </c>
      <c r="M1529" s="180" t="str">
        <f t="shared" si="1294"/>
        <v/>
      </c>
      <c r="N1529" s="2" t="str">
        <f t="shared" si="1269"/>
        <v/>
      </c>
      <c r="O1529" s="2">
        <f t="shared" si="1294"/>
        <v>0</v>
      </c>
    </row>
    <row r="1530" spans="1:15" x14ac:dyDescent="0.25">
      <c r="A1530" s="325">
        <v>1</v>
      </c>
      <c r="B1530" s="325">
        <f>TrialNumberDay2</f>
        <v>0</v>
      </c>
      <c r="C1530" s="325" t="s">
        <v>21</v>
      </c>
      <c r="D1530" s="325">
        <f>Excellent!C109</f>
        <v>0</v>
      </c>
      <c r="E1530" s="325" t="str">
        <f>IF(Excellent!B109="W","W","A")</f>
        <v>A</v>
      </c>
      <c r="F1530" s="325" t="s">
        <v>1740</v>
      </c>
      <c r="G1530" s="325" t="str">
        <f>IF(Excellent!G109="e","Y","")</f>
        <v/>
      </c>
      <c r="H1530" s="325" t="str">
        <f>IFERROR(VLOOKUP($D1530,'SDDA Dogs'!$A:$AE,2,FALSE),"")</f>
        <v/>
      </c>
      <c r="I1530" s="325" t="str">
        <f>IFERROR(VLOOKUP($D1530,'SDDA Dogs'!$A:$AE,3,FALSE),"")</f>
        <v/>
      </c>
      <c r="J1530" s="325" t="str">
        <f>IFERROR(VLOOKUP($D1530,'SDDA Dogs'!$A:$AE,6,FALSE),"")</f>
        <v/>
      </c>
      <c r="K1530" s="325" t="str">
        <f>IF(Excellent!AS109="","",Excellent!AS109)</f>
        <v/>
      </c>
      <c r="L1530" s="325" t="str">
        <f>IF(Excellent!AT109="","",Excellent!AT109)</f>
        <v/>
      </c>
      <c r="M1530" s="326" t="str">
        <f>TrialDateDay2</f>
        <v/>
      </c>
      <c r="N1530" s="325" t="str">
        <f t="shared" si="1269"/>
        <v/>
      </c>
      <c r="O1530" s="325">
        <f>JudgeD2CSE</f>
        <v>0</v>
      </c>
    </row>
    <row r="1531" spans="1:15" x14ac:dyDescent="0.25">
      <c r="A1531" s="2">
        <v>2</v>
      </c>
      <c r="B1531" s="2">
        <f t="shared" ref="B1531:O1531" si="1295">B1530</f>
        <v>0</v>
      </c>
      <c r="C1531" s="2" t="str">
        <f t="shared" si="1295"/>
        <v>CSE</v>
      </c>
      <c r="D1531" s="2">
        <f t="shared" si="1295"/>
        <v>0</v>
      </c>
      <c r="E1531" s="2" t="str">
        <f t="shared" si="1295"/>
        <v>A</v>
      </c>
      <c r="F1531" s="2" t="str">
        <f t="shared" si="1295"/>
        <v>Container Excellent</v>
      </c>
      <c r="G1531" s="2" t="str">
        <f t="shared" si="1295"/>
        <v/>
      </c>
      <c r="H1531" s="2" t="str">
        <f t="shared" si="1295"/>
        <v/>
      </c>
      <c r="I1531" s="2" t="str">
        <f t="shared" si="1295"/>
        <v/>
      </c>
      <c r="J1531" s="2" t="str">
        <f t="shared" si="1295"/>
        <v/>
      </c>
      <c r="K1531" s="2" t="str">
        <f t="shared" si="1295"/>
        <v/>
      </c>
      <c r="L1531" s="2" t="str">
        <f t="shared" si="1295"/>
        <v/>
      </c>
      <c r="M1531" s="180" t="str">
        <f t="shared" si="1295"/>
        <v/>
      </c>
      <c r="N1531" s="2" t="str">
        <f t="shared" si="1269"/>
        <v/>
      </c>
      <c r="O1531" s="2">
        <f t="shared" si="1295"/>
        <v>0</v>
      </c>
    </row>
    <row r="1532" spans="1:15" x14ac:dyDescent="0.25">
      <c r="A1532" s="325">
        <v>1</v>
      </c>
      <c r="B1532" s="325">
        <f>TrialNumberDay2</f>
        <v>0</v>
      </c>
      <c r="C1532" s="325" t="s">
        <v>21</v>
      </c>
      <c r="D1532" s="325">
        <f>Excellent!C110</f>
        <v>0</v>
      </c>
      <c r="E1532" s="325" t="str">
        <f>IF(Excellent!B110="W","W","A")</f>
        <v>A</v>
      </c>
      <c r="F1532" s="325" t="s">
        <v>1740</v>
      </c>
      <c r="G1532" s="325" t="str">
        <f>IF(Excellent!G110="e","Y","")</f>
        <v/>
      </c>
      <c r="H1532" s="325" t="str">
        <f>IFERROR(VLOOKUP($D1532,'SDDA Dogs'!$A:$AE,2,FALSE),"")</f>
        <v/>
      </c>
      <c r="I1532" s="325" t="str">
        <f>IFERROR(VLOOKUP($D1532,'SDDA Dogs'!$A:$AE,3,FALSE),"")</f>
        <v/>
      </c>
      <c r="J1532" s="325" t="str">
        <f>IFERROR(VLOOKUP($D1532,'SDDA Dogs'!$A:$AE,6,FALSE),"")</f>
        <v/>
      </c>
      <c r="K1532" s="325" t="str">
        <f>IF(Excellent!AS110="","",Excellent!AS110)</f>
        <v/>
      </c>
      <c r="L1532" s="325" t="str">
        <f>IF(Excellent!AT110="","",Excellent!AT110)</f>
        <v/>
      </c>
      <c r="M1532" s="326" t="str">
        <f>TrialDateDay2</f>
        <v/>
      </c>
      <c r="N1532" s="325" t="str">
        <f t="shared" si="1269"/>
        <v/>
      </c>
      <c r="O1532" s="325">
        <f>JudgeD2CSE</f>
        <v>0</v>
      </c>
    </row>
    <row r="1533" spans="1:15" x14ac:dyDescent="0.25">
      <c r="A1533" s="2">
        <v>2</v>
      </c>
      <c r="B1533" s="2">
        <f t="shared" ref="B1533:O1533" si="1296">B1532</f>
        <v>0</v>
      </c>
      <c r="C1533" s="2" t="str">
        <f t="shared" si="1296"/>
        <v>CSE</v>
      </c>
      <c r="D1533" s="2">
        <f t="shared" si="1296"/>
        <v>0</v>
      </c>
      <c r="E1533" s="2" t="str">
        <f t="shared" si="1296"/>
        <v>A</v>
      </c>
      <c r="F1533" s="2" t="str">
        <f t="shared" si="1296"/>
        <v>Container Excellent</v>
      </c>
      <c r="G1533" s="2" t="str">
        <f t="shared" si="1296"/>
        <v/>
      </c>
      <c r="H1533" s="2" t="str">
        <f t="shared" si="1296"/>
        <v/>
      </c>
      <c r="I1533" s="2" t="str">
        <f t="shared" si="1296"/>
        <v/>
      </c>
      <c r="J1533" s="2" t="str">
        <f t="shared" si="1296"/>
        <v/>
      </c>
      <c r="K1533" s="2" t="str">
        <f t="shared" si="1296"/>
        <v/>
      </c>
      <c r="L1533" s="2" t="str">
        <f t="shared" si="1296"/>
        <v/>
      </c>
      <c r="M1533" s="180" t="str">
        <f t="shared" si="1296"/>
        <v/>
      </c>
      <c r="N1533" s="2" t="str">
        <f t="shared" si="1269"/>
        <v/>
      </c>
      <c r="O1533" s="2">
        <f t="shared" si="1296"/>
        <v>0</v>
      </c>
    </row>
    <row r="1534" spans="1:15" x14ac:dyDescent="0.25">
      <c r="A1534" s="325">
        <v>1</v>
      </c>
      <c r="B1534" s="325">
        <f>TrialNumberDay2</f>
        <v>0</v>
      </c>
      <c r="C1534" s="325" t="s">
        <v>21</v>
      </c>
      <c r="D1534" s="325">
        <f>Excellent!C111</f>
        <v>0</v>
      </c>
      <c r="E1534" s="325" t="str">
        <f>IF(Excellent!B111="W","W","A")</f>
        <v>A</v>
      </c>
      <c r="F1534" s="325" t="s">
        <v>1740</v>
      </c>
      <c r="G1534" s="325" t="str">
        <f>IF(Excellent!G111="e","Y","")</f>
        <v/>
      </c>
      <c r="H1534" s="325" t="str">
        <f>IFERROR(VLOOKUP($D1534,'SDDA Dogs'!$A:$AE,2,FALSE),"")</f>
        <v/>
      </c>
      <c r="I1534" s="325" t="str">
        <f>IFERROR(VLOOKUP($D1534,'SDDA Dogs'!$A:$AE,3,FALSE),"")</f>
        <v/>
      </c>
      <c r="J1534" s="325" t="str">
        <f>IFERROR(VLOOKUP($D1534,'SDDA Dogs'!$A:$AE,6,FALSE),"")</f>
        <v/>
      </c>
      <c r="K1534" s="325" t="str">
        <f>IF(Excellent!AS111="","",Excellent!AS111)</f>
        <v/>
      </c>
      <c r="L1534" s="325" t="str">
        <f>IF(Excellent!AT111="","",Excellent!AT111)</f>
        <v/>
      </c>
      <c r="M1534" s="326" t="str">
        <f>TrialDateDay2</f>
        <v/>
      </c>
      <c r="N1534" s="325" t="str">
        <f t="shared" si="1269"/>
        <v/>
      </c>
      <c r="O1534" s="325">
        <f>JudgeD2CSE</f>
        <v>0</v>
      </c>
    </row>
    <row r="1535" spans="1:15" x14ac:dyDescent="0.25">
      <c r="A1535" s="2">
        <v>2</v>
      </c>
      <c r="B1535" s="2">
        <f t="shared" ref="B1535:O1535" si="1297">B1534</f>
        <v>0</v>
      </c>
      <c r="C1535" s="2" t="str">
        <f t="shared" si="1297"/>
        <v>CSE</v>
      </c>
      <c r="D1535" s="2">
        <f t="shared" si="1297"/>
        <v>0</v>
      </c>
      <c r="E1535" s="2" t="str">
        <f t="shared" si="1297"/>
        <v>A</v>
      </c>
      <c r="F1535" s="2" t="str">
        <f t="shared" si="1297"/>
        <v>Container Excellent</v>
      </c>
      <c r="G1535" s="2" t="str">
        <f t="shared" si="1297"/>
        <v/>
      </c>
      <c r="H1535" s="2" t="str">
        <f t="shared" si="1297"/>
        <v/>
      </c>
      <c r="I1535" s="2" t="str">
        <f t="shared" si="1297"/>
        <v/>
      </c>
      <c r="J1535" s="2" t="str">
        <f t="shared" si="1297"/>
        <v/>
      </c>
      <c r="K1535" s="2" t="str">
        <f t="shared" si="1297"/>
        <v/>
      </c>
      <c r="L1535" s="2" t="str">
        <f t="shared" si="1297"/>
        <v/>
      </c>
      <c r="M1535" s="180" t="str">
        <f t="shared" si="1297"/>
        <v/>
      </c>
      <c r="N1535" s="2" t="str">
        <f t="shared" si="1269"/>
        <v/>
      </c>
      <c r="O1535" s="2">
        <f t="shared" si="1297"/>
        <v>0</v>
      </c>
    </row>
    <row r="1536" spans="1:15" x14ac:dyDescent="0.25">
      <c r="A1536" s="325">
        <v>1</v>
      </c>
      <c r="B1536" s="325">
        <f>TrialNumberDay2</f>
        <v>0</v>
      </c>
      <c r="C1536" s="325" t="s">
        <v>21</v>
      </c>
      <c r="D1536" s="325">
        <f>Excellent!C112</f>
        <v>0</v>
      </c>
      <c r="E1536" s="325" t="str">
        <f>IF(Excellent!B112="W","W","A")</f>
        <v>A</v>
      </c>
      <c r="F1536" s="325" t="s">
        <v>1740</v>
      </c>
      <c r="G1536" s="325" t="str">
        <f>IF(Excellent!G112="e","Y","")</f>
        <v/>
      </c>
      <c r="H1536" s="325" t="str">
        <f>IFERROR(VLOOKUP($D1536,'SDDA Dogs'!$A:$AE,2,FALSE),"")</f>
        <v/>
      </c>
      <c r="I1536" s="325" t="str">
        <f>IFERROR(VLOOKUP($D1536,'SDDA Dogs'!$A:$AE,3,FALSE),"")</f>
        <v/>
      </c>
      <c r="J1536" s="325" t="str">
        <f>IFERROR(VLOOKUP($D1536,'SDDA Dogs'!$A:$AE,6,FALSE),"")</f>
        <v/>
      </c>
      <c r="K1536" s="325" t="str">
        <f>IF(Excellent!AS112="","",Excellent!AS112)</f>
        <v/>
      </c>
      <c r="L1536" s="325" t="str">
        <f>IF(Excellent!AT112="","",Excellent!AT112)</f>
        <v/>
      </c>
      <c r="M1536" s="326" t="str">
        <f>TrialDateDay2</f>
        <v/>
      </c>
      <c r="N1536" s="325" t="str">
        <f t="shared" si="1269"/>
        <v/>
      </c>
      <c r="O1536" s="325">
        <f>JudgeD2CSE</f>
        <v>0</v>
      </c>
    </row>
    <row r="1537" spans="1:15" x14ac:dyDescent="0.25">
      <c r="A1537" s="2">
        <v>2</v>
      </c>
      <c r="B1537" s="2">
        <f t="shared" ref="B1537:O1537" si="1298">B1536</f>
        <v>0</v>
      </c>
      <c r="C1537" s="2" t="str">
        <f t="shared" si="1298"/>
        <v>CSE</v>
      </c>
      <c r="D1537" s="2">
        <f t="shared" si="1298"/>
        <v>0</v>
      </c>
      <c r="E1537" s="2" t="str">
        <f t="shared" si="1298"/>
        <v>A</v>
      </c>
      <c r="F1537" s="2" t="str">
        <f t="shared" si="1298"/>
        <v>Container Excellent</v>
      </c>
      <c r="G1537" s="2" t="str">
        <f t="shared" si="1298"/>
        <v/>
      </c>
      <c r="H1537" s="2" t="str">
        <f t="shared" si="1298"/>
        <v/>
      </c>
      <c r="I1537" s="2" t="str">
        <f t="shared" si="1298"/>
        <v/>
      </c>
      <c r="J1537" s="2" t="str">
        <f t="shared" si="1298"/>
        <v/>
      </c>
      <c r="K1537" s="2" t="str">
        <f t="shared" si="1298"/>
        <v/>
      </c>
      <c r="L1537" s="2" t="str">
        <f t="shared" si="1298"/>
        <v/>
      </c>
      <c r="M1537" s="180" t="str">
        <f t="shared" si="1298"/>
        <v/>
      </c>
      <c r="N1537" s="2" t="str">
        <f t="shared" si="1269"/>
        <v/>
      </c>
      <c r="O1537" s="2">
        <f t="shared" si="1298"/>
        <v>0</v>
      </c>
    </row>
    <row r="1538" spans="1:15" x14ac:dyDescent="0.25">
      <c r="A1538" s="325">
        <v>1</v>
      </c>
      <c r="B1538" s="325">
        <f>TrialNumberDay2</f>
        <v>0</v>
      </c>
      <c r="C1538" s="325" t="s">
        <v>21</v>
      </c>
      <c r="D1538" s="325">
        <f>Excellent!C113</f>
        <v>0</v>
      </c>
      <c r="E1538" s="325" t="str">
        <f>IF(Excellent!B113="W","W","A")</f>
        <v>A</v>
      </c>
      <c r="F1538" s="325" t="s">
        <v>1740</v>
      </c>
      <c r="G1538" s="325" t="str">
        <f>IF(Excellent!G113="e","Y","")</f>
        <v/>
      </c>
      <c r="H1538" s="325" t="str">
        <f>IFERROR(VLOOKUP($D1538,'SDDA Dogs'!$A:$AE,2,FALSE),"")</f>
        <v/>
      </c>
      <c r="I1538" s="325" t="str">
        <f>IFERROR(VLOOKUP($D1538,'SDDA Dogs'!$A:$AE,3,FALSE),"")</f>
        <v/>
      </c>
      <c r="J1538" s="325" t="str">
        <f>IFERROR(VLOOKUP($D1538,'SDDA Dogs'!$A:$AE,6,FALSE),"")</f>
        <v/>
      </c>
      <c r="K1538" s="325" t="str">
        <f>IF(Excellent!AS113="","",Excellent!AS113)</f>
        <v/>
      </c>
      <c r="L1538" s="325" t="str">
        <f>IF(Excellent!AT113="","",Excellent!AT113)</f>
        <v/>
      </c>
      <c r="M1538" s="326" t="str">
        <f>TrialDateDay2</f>
        <v/>
      </c>
      <c r="N1538" s="325" t="str">
        <f t="shared" si="1269"/>
        <v/>
      </c>
      <c r="O1538" s="325">
        <f>JudgeD2CSE</f>
        <v>0</v>
      </c>
    </row>
    <row r="1539" spans="1:15" x14ac:dyDescent="0.25">
      <c r="A1539" s="2">
        <v>2</v>
      </c>
      <c r="B1539" s="2">
        <f t="shared" ref="B1539:O1539" si="1299">B1538</f>
        <v>0</v>
      </c>
      <c r="C1539" s="2" t="str">
        <f t="shared" si="1299"/>
        <v>CSE</v>
      </c>
      <c r="D1539" s="2">
        <f t="shared" si="1299"/>
        <v>0</v>
      </c>
      <c r="E1539" s="2" t="str">
        <f t="shared" si="1299"/>
        <v>A</v>
      </c>
      <c r="F1539" s="2" t="str">
        <f t="shared" si="1299"/>
        <v>Container Excellent</v>
      </c>
      <c r="G1539" s="2" t="str">
        <f t="shared" si="1299"/>
        <v/>
      </c>
      <c r="H1539" s="2" t="str">
        <f t="shared" si="1299"/>
        <v/>
      </c>
      <c r="I1539" s="2" t="str">
        <f t="shared" si="1299"/>
        <v/>
      </c>
      <c r="J1539" s="2" t="str">
        <f t="shared" si="1299"/>
        <v/>
      </c>
      <c r="K1539" s="2" t="str">
        <f t="shared" si="1299"/>
        <v/>
      </c>
      <c r="L1539" s="2" t="str">
        <f t="shared" si="1299"/>
        <v/>
      </c>
      <c r="M1539" s="180" t="str">
        <f t="shared" si="1299"/>
        <v/>
      </c>
      <c r="N1539" s="2" t="str">
        <f t="shared" si="1269"/>
        <v/>
      </c>
      <c r="O1539" s="2">
        <f t="shared" si="1299"/>
        <v>0</v>
      </c>
    </row>
    <row r="1540" spans="1:15" x14ac:dyDescent="0.25">
      <c r="A1540" s="325">
        <v>1</v>
      </c>
      <c r="B1540" s="325">
        <f>TrialNumberDay2</f>
        <v>0</v>
      </c>
      <c r="C1540" s="325" t="s">
        <v>21</v>
      </c>
      <c r="D1540" s="325">
        <f>Excellent!C114</f>
        <v>0</v>
      </c>
      <c r="E1540" s="325" t="str">
        <f>IF(Excellent!B114="W","W","A")</f>
        <v>A</v>
      </c>
      <c r="F1540" s="325" t="s">
        <v>1740</v>
      </c>
      <c r="G1540" s="325" t="str">
        <f>IF(Excellent!G114="e","Y","")</f>
        <v/>
      </c>
      <c r="H1540" s="325" t="str">
        <f>IFERROR(VLOOKUP($D1540,'SDDA Dogs'!$A:$AE,2,FALSE),"")</f>
        <v/>
      </c>
      <c r="I1540" s="325" t="str">
        <f>IFERROR(VLOOKUP($D1540,'SDDA Dogs'!$A:$AE,3,FALSE),"")</f>
        <v/>
      </c>
      <c r="J1540" s="325" t="str">
        <f>IFERROR(VLOOKUP($D1540,'SDDA Dogs'!$A:$AE,6,FALSE),"")</f>
        <v/>
      </c>
      <c r="K1540" s="325" t="str">
        <f>IF(Excellent!AS114="","",Excellent!AS114)</f>
        <v/>
      </c>
      <c r="L1540" s="325" t="str">
        <f>IF(Excellent!AT114="","",Excellent!AT114)</f>
        <v/>
      </c>
      <c r="M1540" s="326" t="str">
        <f>TrialDateDay2</f>
        <v/>
      </c>
      <c r="N1540" s="325" t="str">
        <f t="shared" ref="N1540:N1603" si="1300">N1539</f>
        <v/>
      </c>
      <c r="O1540" s="325">
        <f>JudgeD2CSE</f>
        <v>0</v>
      </c>
    </row>
    <row r="1541" spans="1:15" x14ac:dyDescent="0.25">
      <c r="A1541" s="2">
        <v>2</v>
      </c>
      <c r="B1541" s="2">
        <f t="shared" ref="B1541:O1577" si="1301">B1540</f>
        <v>0</v>
      </c>
      <c r="C1541" s="2" t="str">
        <f t="shared" si="1301"/>
        <v>CSE</v>
      </c>
      <c r="D1541" s="2">
        <f t="shared" si="1301"/>
        <v>0</v>
      </c>
      <c r="E1541" s="2" t="str">
        <f t="shared" si="1301"/>
        <v>A</v>
      </c>
      <c r="F1541" s="2" t="str">
        <f t="shared" si="1301"/>
        <v>Container Excellent</v>
      </c>
      <c r="G1541" s="2" t="str">
        <f t="shared" si="1301"/>
        <v/>
      </c>
      <c r="H1541" s="2" t="str">
        <f t="shared" si="1301"/>
        <v/>
      </c>
      <c r="I1541" s="2" t="str">
        <f t="shared" si="1301"/>
        <v/>
      </c>
      <c r="J1541" s="2" t="str">
        <f t="shared" si="1301"/>
        <v/>
      </c>
      <c r="K1541" s="2" t="str">
        <f t="shared" si="1301"/>
        <v/>
      </c>
      <c r="L1541" s="2" t="str">
        <f t="shared" si="1301"/>
        <v/>
      </c>
      <c r="M1541" s="180" t="str">
        <f t="shared" si="1301"/>
        <v/>
      </c>
      <c r="N1541" s="2" t="str">
        <f t="shared" si="1300"/>
        <v/>
      </c>
      <c r="O1541" s="2">
        <f t="shared" si="1301"/>
        <v>0</v>
      </c>
    </row>
    <row r="1542" spans="1:15" s="149" customFormat="1" x14ac:dyDescent="0.25">
      <c r="A1542" s="327">
        <v>1</v>
      </c>
      <c r="B1542" s="327">
        <f>TrialNumberDay2</f>
        <v>0</v>
      </c>
      <c r="C1542" s="327" t="s">
        <v>22</v>
      </c>
      <c r="D1542" s="327">
        <f>Excellent!C65</f>
        <v>0</v>
      </c>
      <c r="E1542" s="327" t="str">
        <f>IF(Excellent!B65="W","W","A")</f>
        <v>A</v>
      </c>
      <c r="F1542" s="327" t="s">
        <v>1741</v>
      </c>
      <c r="G1542" s="327" t="str">
        <f>IF(Excellent!O65="e","Y","")</f>
        <v/>
      </c>
      <c r="H1542" s="327" t="str">
        <f>IFERROR(VLOOKUP($D1542,'SDDA Dogs'!$A:$AE,2,FALSE),"")</f>
        <v/>
      </c>
      <c r="I1542" s="327" t="str">
        <f>IFERROR(VLOOKUP($D1542,'SDDA Dogs'!$A:$AE,3,FALSE),"")</f>
        <v/>
      </c>
      <c r="J1542" s="327" t="str">
        <f>IFERROR(VLOOKUP($D1542,'SDDA Dogs'!$A:$AE,6,FALSE),"")</f>
        <v/>
      </c>
      <c r="K1542" s="327" t="str">
        <f>IF(Excellent!AS65="","",Excellent!AS65)</f>
        <v/>
      </c>
      <c r="L1542" s="327" t="str">
        <f>IF(Excellent!AT65="","",Excellent!AT65)</f>
        <v/>
      </c>
      <c r="M1542" s="328" t="str">
        <f>TrialDateDay2</f>
        <v/>
      </c>
      <c r="N1542" s="325" t="str">
        <f t="shared" si="1300"/>
        <v/>
      </c>
      <c r="O1542" s="327">
        <f>JudgeD2ISE</f>
        <v>0</v>
      </c>
    </row>
    <row r="1543" spans="1:15" x14ac:dyDescent="0.25">
      <c r="A1543" s="2">
        <v>2</v>
      </c>
      <c r="B1543" s="2">
        <f t="shared" si="1301"/>
        <v>0</v>
      </c>
      <c r="C1543" s="2" t="str">
        <f t="shared" si="1301"/>
        <v>ISE</v>
      </c>
      <c r="D1543" s="2">
        <f t="shared" si="1301"/>
        <v>0</v>
      </c>
      <c r="E1543" s="2" t="str">
        <f t="shared" si="1301"/>
        <v>A</v>
      </c>
      <c r="F1543" s="2" t="str">
        <f t="shared" si="1301"/>
        <v>Interior Excellent</v>
      </c>
      <c r="G1543" s="2" t="str">
        <f t="shared" si="1301"/>
        <v/>
      </c>
      <c r="H1543" s="2" t="str">
        <f t="shared" si="1301"/>
        <v/>
      </c>
      <c r="I1543" s="2" t="str">
        <f t="shared" si="1301"/>
        <v/>
      </c>
      <c r="J1543" s="2" t="str">
        <f t="shared" si="1301"/>
        <v/>
      </c>
      <c r="K1543" s="2" t="str">
        <f t="shared" si="1301"/>
        <v/>
      </c>
      <c r="L1543" s="2" t="str">
        <f t="shared" si="1301"/>
        <v/>
      </c>
      <c r="M1543" s="180" t="str">
        <f t="shared" si="1301"/>
        <v/>
      </c>
      <c r="N1543" s="2" t="str">
        <f t="shared" si="1300"/>
        <v/>
      </c>
      <c r="O1543" s="2">
        <f t="shared" si="1301"/>
        <v>0</v>
      </c>
    </row>
    <row r="1544" spans="1:15" x14ac:dyDescent="0.25">
      <c r="A1544" s="325">
        <v>1</v>
      </c>
      <c r="B1544" s="325">
        <f>TrialNumberDay2</f>
        <v>0</v>
      </c>
      <c r="C1544" s="325" t="s">
        <v>22</v>
      </c>
      <c r="D1544" s="325">
        <f>Excellent!C66</f>
        <v>0</v>
      </c>
      <c r="E1544" s="325" t="str">
        <f>IF(Excellent!B66="W","W","A")</f>
        <v>A</v>
      </c>
      <c r="F1544" s="325" t="s">
        <v>1741</v>
      </c>
      <c r="G1544" s="325" t="str">
        <f>IF(Excellent!O66="e","Y","")</f>
        <v/>
      </c>
      <c r="H1544" s="325" t="str">
        <f>IFERROR(VLOOKUP($D1544,'SDDA Dogs'!$A:$AE,2,FALSE),"")</f>
        <v/>
      </c>
      <c r="I1544" s="325" t="str">
        <f>IFERROR(VLOOKUP($D1544,'SDDA Dogs'!$A:$AE,3,FALSE),"")</f>
        <v/>
      </c>
      <c r="J1544" s="325" t="str">
        <f>IFERROR(VLOOKUP($D1544,'SDDA Dogs'!$A:$AE,6,FALSE),"")</f>
        <v/>
      </c>
      <c r="K1544" s="325" t="str">
        <f>IF(Excellent!AS66="","",Excellent!AS66)</f>
        <v/>
      </c>
      <c r="L1544" s="325" t="str">
        <f>IF(Excellent!AT66="","",Excellent!AT66)</f>
        <v/>
      </c>
      <c r="M1544" s="326" t="str">
        <f>TrialDateDay2</f>
        <v/>
      </c>
      <c r="N1544" s="325" t="str">
        <f t="shared" si="1300"/>
        <v/>
      </c>
      <c r="O1544" s="325">
        <f>JudgeD2ISE</f>
        <v>0</v>
      </c>
    </row>
    <row r="1545" spans="1:15" x14ac:dyDescent="0.25">
      <c r="A1545" s="2">
        <v>2</v>
      </c>
      <c r="B1545" s="2">
        <f t="shared" si="1301"/>
        <v>0</v>
      </c>
      <c r="C1545" s="2" t="str">
        <f t="shared" si="1301"/>
        <v>ISE</v>
      </c>
      <c r="D1545" s="2">
        <f t="shared" si="1301"/>
        <v>0</v>
      </c>
      <c r="E1545" s="2" t="str">
        <f t="shared" si="1301"/>
        <v>A</v>
      </c>
      <c r="F1545" s="2" t="str">
        <f t="shared" si="1301"/>
        <v>Interior Excellent</v>
      </c>
      <c r="G1545" s="2" t="str">
        <f t="shared" si="1301"/>
        <v/>
      </c>
      <c r="H1545" s="2" t="str">
        <f t="shared" si="1301"/>
        <v/>
      </c>
      <c r="I1545" s="2" t="str">
        <f t="shared" si="1301"/>
        <v/>
      </c>
      <c r="J1545" s="2" t="str">
        <f t="shared" si="1301"/>
        <v/>
      </c>
      <c r="K1545" s="2" t="str">
        <f t="shared" si="1301"/>
        <v/>
      </c>
      <c r="L1545" s="2" t="str">
        <f t="shared" si="1301"/>
        <v/>
      </c>
      <c r="M1545" s="180" t="str">
        <f t="shared" si="1301"/>
        <v/>
      </c>
      <c r="N1545" s="2" t="str">
        <f t="shared" si="1300"/>
        <v/>
      </c>
      <c r="O1545" s="2">
        <f t="shared" si="1301"/>
        <v>0</v>
      </c>
    </row>
    <row r="1546" spans="1:15" x14ac:dyDescent="0.25">
      <c r="A1546" s="325">
        <v>1</v>
      </c>
      <c r="B1546" s="325">
        <f>TrialNumberDay2</f>
        <v>0</v>
      </c>
      <c r="C1546" s="325" t="s">
        <v>22</v>
      </c>
      <c r="D1546" s="325">
        <f>Excellent!C67</f>
        <v>0</v>
      </c>
      <c r="E1546" s="325" t="str">
        <f>IF(Excellent!B67="W","W","A")</f>
        <v>A</v>
      </c>
      <c r="F1546" s="325" t="s">
        <v>1741</v>
      </c>
      <c r="G1546" s="325" t="str">
        <f>IF(Excellent!O67="e","Y","")</f>
        <v/>
      </c>
      <c r="H1546" s="325" t="str">
        <f>IFERROR(VLOOKUP($D1546,'SDDA Dogs'!$A:$AE,2,FALSE),"")</f>
        <v/>
      </c>
      <c r="I1546" s="325" t="str">
        <f>IFERROR(VLOOKUP($D1546,'SDDA Dogs'!$A:$AE,3,FALSE),"")</f>
        <v/>
      </c>
      <c r="J1546" s="325" t="str">
        <f>IFERROR(VLOOKUP($D1546,'SDDA Dogs'!$A:$AE,6,FALSE),"")</f>
        <v/>
      </c>
      <c r="K1546" s="325" t="str">
        <f>IF(Excellent!AS67="","",Excellent!AS67)</f>
        <v/>
      </c>
      <c r="L1546" s="325" t="str">
        <f>IF(Excellent!AT67="","",Excellent!AT67)</f>
        <v/>
      </c>
      <c r="M1546" s="326" t="str">
        <f>TrialDateDay2</f>
        <v/>
      </c>
      <c r="N1546" s="325" t="str">
        <f t="shared" si="1300"/>
        <v/>
      </c>
      <c r="O1546" s="325">
        <f>JudgeD2ISE</f>
        <v>0</v>
      </c>
    </row>
    <row r="1547" spans="1:15" x14ac:dyDescent="0.25">
      <c r="A1547" s="2">
        <v>2</v>
      </c>
      <c r="B1547" s="2">
        <f t="shared" si="1301"/>
        <v>0</v>
      </c>
      <c r="C1547" s="2" t="str">
        <f t="shared" si="1301"/>
        <v>ISE</v>
      </c>
      <c r="D1547" s="2">
        <f t="shared" si="1301"/>
        <v>0</v>
      </c>
      <c r="E1547" s="2" t="str">
        <f t="shared" si="1301"/>
        <v>A</v>
      </c>
      <c r="F1547" s="2" t="str">
        <f t="shared" si="1301"/>
        <v>Interior Excellent</v>
      </c>
      <c r="G1547" s="2" t="str">
        <f t="shared" si="1301"/>
        <v/>
      </c>
      <c r="H1547" s="2" t="str">
        <f t="shared" si="1301"/>
        <v/>
      </c>
      <c r="I1547" s="2" t="str">
        <f t="shared" si="1301"/>
        <v/>
      </c>
      <c r="J1547" s="2" t="str">
        <f t="shared" si="1301"/>
        <v/>
      </c>
      <c r="K1547" s="2" t="str">
        <f t="shared" si="1301"/>
        <v/>
      </c>
      <c r="L1547" s="2" t="str">
        <f t="shared" si="1301"/>
        <v/>
      </c>
      <c r="M1547" s="180" t="str">
        <f t="shared" si="1301"/>
        <v/>
      </c>
      <c r="N1547" s="2" t="str">
        <f t="shared" si="1300"/>
        <v/>
      </c>
      <c r="O1547" s="2">
        <f t="shared" si="1301"/>
        <v>0</v>
      </c>
    </row>
    <row r="1548" spans="1:15" x14ac:dyDescent="0.25">
      <c r="A1548" s="325">
        <v>1</v>
      </c>
      <c r="B1548" s="325">
        <f>TrialNumberDay2</f>
        <v>0</v>
      </c>
      <c r="C1548" s="325" t="s">
        <v>22</v>
      </c>
      <c r="D1548" s="325">
        <f>Excellent!C68</f>
        <v>0</v>
      </c>
      <c r="E1548" s="325" t="str">
        <f>IF(Excellent!B68="W","W","A")</f>
        <v>A</v>
      </c>
      <c r="F1548" s="325" t="s">
        <v>1741</v>
      </c>
      <c r="G1548" s="325" t="str">
        <f>IF(Excellent!O68="e","Y","")</f>
        <v/>
      </c>
      <c r="H1548" s="325" t="str">
        <f>IFERROR(VLOOKUP($D1548,'SDDA Dogs'!$A:$AE,2,FALSE),"")</f>
        <v/>
      </c>
      <c r="I1548" s="325" t="str">
        <f>IFERROR(VLOOKUP($D1548,'SDDA Dogs'!$A:$AE,3,FALSE),"")</f>
        <v/>
      </c>
      <c r="J1548" s="325" t="str">
        <f>IFERROR(VLOOKUP($D1548,'SDDA Dogs'!$A:$AE,6,FALSE),"")</f>
        <v/>
      </c>
      <c r="K1548" s="325" t="str">
        <f>IF(Excellent!AS68="","",Excellent!AS68)</f>
        <v/>
      </c>
      <c r="L1548" s="325" t="str">
        <f>IF(Excellent!AT68="","",Excellent!AT68)</f>
        <v/>
      </c>
      <c r="M1548" s="326" t="str">
        <f>TrialDateDay2</f>
        <v/>
      </c>
      <c r="N1548" s="325" t="str">
        <f t="shared" si="1300"/>
        <v/>
      </c>
      <c r="O1548" s="325">
        <f>JudgeD2ISE</f>
        <v>0</v>
      </c>
    </row>
    <row r="1549" spans="1:15" x14ac:dyDescent="0.25">
      <c r="A1549" s="2">
        <v>2</v>
      </c>
      <c r="B1549" s="2">
        <f t="shared" si="1301"/>
        <v>0</v>
      </c>
      <c r="C1549" s="2" t="str">
        <f t="shared" si="1301"/>
        <v>ISE</v>
      </c>
      <c r="D1549" s="2">
        <f t="shared" si="1301"/>
        <v>0</v>
      </c>
      <c r="E1549" s="2" t="str">
        <f t="shared" si="1301"/>
        <v>A</v>
      </c>
      <c r="F1549" s="2" t="str">
        <f t="shared" si="1301"/>
        <v>Interior Excellent</v>
      </c>
      <c r="G1549" s="2" t="str">
        <f t="shared" si="1301"/>
        <v/>
      </c>
      <c r="H1549" s="2" t="str">
        <f t="shared" si="1301"/>
        <v/>
      </c>
      <c r="I1549" s="2" t="str">
        <f t="shared" si="1301"/>
        <v/>
      </c>
      <c r="J1549" s="2" t="str">
        <f t="shared" si="1301"/>
        <v/>
      </c>
      <c r="K1549" s="2" t="str">
        <f t="shared" si="1301"/>
        <v/>
      </c>
      <c r="L1549" s="2" t="str">
        <f t="shared" si="1301"/>
        <v/>
      </c>
      <c r="M1549" s="180" t="str">
        <f t="shared" si="1301"/>
        <v/>
      </c>
      <c r="N1549" s="2" t="str">
        <f t="shared" si="1300"/>
        <v/>
      </c>
      <c r="O1549" s="2">
        <f t="shared" si="1301"/>
        <v>0</v>
      </c>
    </row>
    <row r="1550" spans="1:15" x14ac:dyDescent="0.25">
      <c r="A1550" s="325">
        <v>1</v>
      </c>
      <c r="B1550" s="325">
        <f>TrialNumberDay2</f>
        <v>0</v>
      </c>
      <c r="C1550" s="325" t="s">
        <v>22</v>
      </c>
      <c r="D1550" s="325">
        <f>Excellent!C69</f>
        <v>0</v>
      </c>
      <c r="E1550" s="325" t="str">
        <f>IF(Excellent!B69="W","W","A")</f>
        <v>A</v>
      </c>
      <c r="F1550" s="325" t="s">
        <v>1741</v>
      </c>
      <c r="G1550" s="325" t="str">
        <f>IF(Excellent!O69="e","Y","")</f>
        <v/>
      </c>
      <c r="H1550" s="325" t="str">
        <f>IFERROR(VLOOKUP($D1550,'SDDA Dogs'!$A:$AE,2,FALSE),"")</f>
        <v/>
      </c>
      <c r="I1550" s="325" t="str">
        <f>IFERROR(VLOOKUP($D1550,'SDDA Dogs'!$A:$AE,3,FALSE),"")</f>
        <v/>
      </c>
      <c r="J1550" s="325" t="str">
        <f>IFERROR(VLOOKUP($D1550,'SDDA Dogs'!$A:$AE,6,FALSE),"")</f>
        <v/>
      </c>
      <c r="K1550" s="325" t="str">
        <f>IF(Excellent!AS69="","",Excellent!AS69)</f>
        <v/>
      </c>
      <c r="L1550" s="325" t="str">
        <f>IF(Excellent!AT69="","",Excellent!AT69)</f>
        <v/>
      </c>
      <c r="M1550" s="326" t="str">
        <f>TrialDateDay2</f>
        <v/>
      </c>
      <c r="N1550" s="325" t="str">
        <f t="shared" si="1300"/>
        <v/>
      </c>
      <c r="O1550" s="325">
        <f>JudgeD2ISE</f>
        <v>0</v>
      </c>
    </row>
    <row r="1551" spans="1:15" x14ac:dyDescent="0.25">
      <c r="A1551" s="2">
        <v>2</v>
      </c>
      <c r="B1551" s="2">
        <f t="shared" si="1301"/>
        <v>0</v>
      </c>
      <c r="C1551" s="2" t="str">
        <f t="shared" si="1301"/>
        <v>ISE</v>
      </c>
      <c r="D1551" s="2">
        <f t="shared" si="1301"/>
        <v>0</v>
      </c>
      <c r="E1551" s="2" t="str">
        <f t="shared" si="1301"/>
        <v>A</v>
      </c>
      <c r="F1551" s="2" t="str">
        <f t="shared" si="1301"/>
        <v>Interior Excellent</v>
      </c>
      <c r="G1551" s="2" t="str">
        <f t="shared" si="1301"/>
        <v/>
      </c>
      <c r="H1551" s="2" t="str">
        <f t="shared" si="1301"/>
        <v/>
      </c>
      <c r="I1551" s="2" t="str">
        <f t="shared" si="1301"/>
        <v/>
      </c>
      <c r="J1551" s="2" t="str">
        <f t="shared" si="1301"/>
        <v/>
      </c>
      <c r="K1551" s="2" t="str">
        <f t="shared" si="1301"/>
        <v/>
      </c>
      <c r="L1551" s="2" t="str">
        <f t="shared" si="1301"/>
        <v/>
      </c>
      <c r="M1551" s="180" t="str">
        <f t="shared" si="1301"/>
        <v/>
      </c>
      <c r="N1551" s="2" t="str">
        <f t="shared" si="1300"/>
        <v/>
      </c>
      <c r="O1551" s="2">
        <f t="shared" si="1301"/>
        <v>0</v>
      </c>
    </row>
    <row r="1552" spans="1:15" x14ac:dyDescent="0.25">
      <c r="A1552" s="325">
        <v>1</v>
      </c>
      <c r="B1552" s="325">
        <f>TrialNumberDay2</f>
        <v>0</v>
      </c>
      <c r="C1552" s="325" t="s">
        <v>22</v>
      </c>
      <c r="D1552" s="325">
        <f>Excellent!C70</f>
        <v>0</v>
      </c>
      <c r="E1552" s="325" t="str">
        <f>IF(Excellent!B70="W","W","A")</f>
        <v>A</v>
      </c>
      <c r="F1552" s="325" t="s">
        <v>1741</v>
      </c>
      <c r="G1552" s="325" t="str">
        <f>IF(Excellent!O70="e","Y","")</f>
        <v/>
      </c>
      <c r="H1552" s="325" t="str">
        <f>IFERROR(VLOOKUP($D1552,'SDDA Dogs'!$A:$AE,2,FALSE),"")</f>
        <v/>
      </c>
      <c r="I1552" s="325" t="str">
        <f>IFERROR(VLOOKUP($D1552,'SDDA Dogs'!$A:$AE,3,FALSE),"")</f>
        <v/>
      </c>
      <c r="J1552" s="325" t="str">
        <f>IFERROR(VLOOKUP($D1552,'SDDA Dogs'!$A:$AE,6,FALSE),"")</f>
        <v/>
      </c>
      <c r="K1552" s="325" t="str">
        <f>IF(Excellent!AS70="","",Excellent!AS70)</f>
        <v/>
      </c>
      <c r="L1552" s="325" t="str">
        <f>IF(Excellent!AT70="","",Excellent!AT70)</f>
        <v/>
      </c>
      <c r="M1552" s="326" t="str">
        <f>TrialDateDay2</f>
        <v/>
      </c>
      <c r="N1552" s="325" t="str">
        <f t="shared" si="1300"/>
        <v/>
      </c>
      <c r="O1552" s="325">
        <f>JudgeD2ISE</f>
        <v>0</v>
      </c>
    </row>
    <row r="1553" spans="1:15" x14ac:dyDescent="0.25">
      <c r="A1553" s="2">
        <v>2</v>
      </c>
      <c r="B1553" s="2">
        <f t="shared" si="1301"/>
        <v>0</v>
      </c>
      <c r="C1553" s="2" t="str">
        <f t="shared" si="1301"/>
        <v>ISE</v>
      </c>
      <c r="D1553" s="2">
        <f t="shared" si="1301"/>
        <v>0</v>
      </c>
      <c r="E1553" s="2" t="str">
        <f t="shared" si="1301"/>
        <v>A</v>
      </c>
      <c r="F1553" s="2" t="str">
        <f t="shared" si="1301"/>
        <v>Interior Excellent</v>
      </c>
      <c r="G1553" s="2" t="str">
        <f t="shared" si="1301"/>
        <v/>
      </c>
      <c r="H1553" s="2" t="str">
        <f t="shared" si="1301"/>
        <v/>
      </c>
      <c r="I1553" s="2" t="str">
        <f t="shared" si="1301"/>
        <v/>
      </c>
      <c r="J1553" s="2" t="str">
        <f t="shared" si="1301"/>
        <v/>
      </c>
      <c r="K1553" s="2" t="str">
        <f t="shared" si="1301"/>
        <v/>
      </c>
      <c r="L1553" s="2" t="str">
        <f t="shared" si="1301"/>
        <v/>
      </c>
      <c r="M1553" s="180" t="str">
        <f t="shared" si="1301"/>
        <v/>
      </c>
      <c r="N1553" s="2" t="str">
        <f t="shared" si="1300"/>
        <v/>
      </c>
      <c r="O1553" s="2">
        <f t="shared" si="1301"/>
        <v>0</v>
      </c>
    </row>
    <row r="1554" spans="1:15" x14ac:dyDescent="0.25">
      <c r="A1554" s="325">
        <v>1</v>
      </c>
      <c r="B1554" s="325">
        <f>TrialNumberDay2</f>
        <v>0</v>
      </c>
      <c r="C1554" s="325" t="s">
        <v>22</v>
      </c>
      <c r="D1554" s="325">
        <f>Excellent!C71</f>
        <v>0</v>
      </c>
      <c r="E1554" s="325" t="str">
        <f>IF(Excellent!B71="W","W","A")</f>
        <v>A</v>
      </c>
      <c r="F1554" s="325" t="s">
        <v>1741</v>
      </c>
      <c r="G1554" s="325" t="str">
        <f>IF(Excellent!O71="e","Y","")</f>
        <v/>
      </c>
      <c r="H1554" s="325" t="str">
        <f>IFERROR(VLOOKUP($D1554,'SDDA Dogs'!$A:$AE,2,FALSE),"")</f>
        <v/>
      </c>
      <c r="I1554" s="325" t="str">
        <f>IFERROR(VLOOKUP($D1554,'SDDA Dogs'!$A:$AE,3,FALSE),"")</f>
        <v/>
      </c>
      <c r="J1554" s="325" t="str">
        <f>IFERROR(VLOOKUP($D1554,'SDDA Dogs'!$A:$AE,6,FALSE),"")</f>
        <v/>
      </c>
      <c r="K1554" s="325" t="str">
        <f>IF(Excellent!AS71="","",Excellent!AS71)</f>
        <v/>
      </c>
      <c r="L1554" s="325" t="str">
        <f>IF(Excellent!AT71="","",Excellent!AT71)</f>
        <v/>
      </c>
      <c r="M1554" s="326" t="str">
        <f>TrialDateDay2</f>
        <v/>
      </c>
      <c r="N1554" s="325" t="str">
        <f t="shared" si="1300"/>
        <v/>
      </c>
      <c r="O1554" s="325">
        <f>JudgeD2ISE</f>
        <v>0</v>
      </c>
    </row>
    <row r="1555" spans="1:15" x14ac:dyDescent="0.25">
      <c r="A1555" s="2">
        <v>2</v>
      </c>
      <c r="B1555" s="2">
        <f t="shared" si="1301"/>
        <v>0</v>
      </c>
      <c r="C1555" s="2" t="str">
        <f t="shared" si="1301"/>
        <v>ISE</v>
      </c>
      <c r="D1555" s="2">
        <f t="shared" si="1301"/>
        <v>0</v>
      </c>
      <c r="E1555" s="2" t="str">
        <f t="shared" si="1301"/>
        <v>A</v>
      </c>
      <c r="F1555" s="2" t="str">
        <f t="shared" si="1301"/>
        <v>Interior Excellent</v>
      </c>
      <c r="G1555" s="2" t="str">
        <f t="shared" si="1301"/>
        <v/>
      </c>
      <c r="H1555" s="2" t="str">
        <f t="shared" si="1301"/>
        <v/>
      </c>
      <c r="I1555" s="2" t="str">
        <f t="shared" si="1301"/>
        <v/>
      </c>
      <c r="J1555" s="2" t="str">
        <f t="shared" si="1301"/>
        <v/>
      </c>
      <c r="K1555" s="2" t="str">
        <f t="shared" si="1301"/>
        <v/>
      </c>
      <c r="L1555" s="2" t="str">
        <f t="shared" si="1301"/>
        <v/>
      </c>
      <c r="M1555" s="180" t="str">
        <f t="shared" si="1301"/>
        <v/>
      </c>
      <c r="N1555" s="2" t="str">
        <f t="shared" si="1300"/>
        <v/>
      </c>
      <c r="O1555" s="2">
        <f t="shared" si="1301"/>
        <v>0</v>
      </c>
    </row>
    <row r="1556" spans="1:15" x14ac:dyDescent="0.25">
      <c r="A1556" s="325">
        <v>1</v>
      </c>
      <c r="B1556" s="325">
        <f>TrialNumberDay2</f>
        <v>0</v>
      </c>
      <c r="C1556" s="325" t="s">
        <v>22</v>
      </c>
      <c r="D1556" s="325">
        <f>Excellent!C72</f>
        <v>0</v>
      </c>
      <c r="E1556" s="325" t="str">
        <f>IF(Excellent!B72="W","W","A")</f>
        <v>A</v>
      </c>
      <c r="F1556" s="325" t="s">
        <v>1741</v>
      </c>
      <c r="G1556" s="325" t="str">
        <f>IF(Excellent!O72="e","Y","")</f>
        <v/>
      </c>
      <c r="H1556" s="325" t="str">
        <f>IFERROR(VLOOKUP($D1556,'SDDA Dogs'!$A:$AE,2,FALSE),"")</f>
        <v/>
      </c>
      <c r="I1556" s="325" t="str">
        <f>IFERROR(VLOOKUP($D1556,'SDDA Dogs'!$A:$AE,3,FALSE),"")</f>
        <v/>
      </c>
      <c r="J1556" s="325" t="str">
        <f>IFERROR(VLOOKUP($D1556,'SDDA Dogs'!$A:$AE,6,FALSE),"")</f>
        <v/>
      </c>
      <c r="K1556" s="325" t="str">
        <f>IF(Excellent!AS72="","",Excellent!AS72)</f>
        <v/>
      </c>
      <c r="L1556" s="325" t="str">
        <f>IF(Excellent!AT72="","",Excellent!AT72)</f>
        <v/>
      </c>
      <c r="M1556" s="326" t="str">
        <f>TrialDateDay2</f>
        <v/>
      </c>
      <c r="N1556" s="325" t="str">
        <f t="shared" si="1300"/>
        <v/>
      </c>
      <c r="O1556" s="325">
        <f>JudgeD2ISE</f>
        <v>0</v>
      </c>
    </row>
    <row r="1557" spans="1:15" x14ac:dyDescent="0.25">
      <c r="A1557" s="2">
        <v>2</v>
      </c>
      <c r="B1557" s="2">
        <f t="shared" si="1301"/>
        <v>0</v>
      </c>
      <c r="C1557" s="2" t="str">
        <f t="shared" si="1301"/>
        <v>ISE</v>
      </c>
      <c r="D1557" s="2">
        <f t="shared" si="1301"/>
        <v>0</v>
      </c>
      <c r="E1557" s="2" t="str">
        <f t="shared" si="1301"/>
        <v>A</v>
      </c>
      <c r="F1557" s="2" t="str">
        <f t="shared" si="1301"/>
        <v>Interior Excellent</v>
      </c>
      <c r="G1557" s="2" t="str">
        <f t="shared" si="1301"/>
        <v/>
      </c>
      <c r="H1557" s="2" t="str">
        <f t="shared" si="1301"/>
        <v/>
      </c>
      <c r="I1557" s="2" t="str">
        <f t="shared" si="1301"/>
        <v/>
      </c>
      <c r="J1557" s="2" t="str">
        <f t="shared" si="1301"/>
        <v/>
      </c>
      <c r="K1557" s="2" t="str">
        <f t="shared" si="1301"/>
        <v/>
      </c>
      <c r="L1557" s="2" t="str">
        <f t="shared" si="1301"/>
        <v/>
      </c>
      <c r="M1557" s="180" t="str">
        <f t="shared" si="1301"/>
        <v/>
      </c>
      <c r="N1557" s="2" t="str">
        <f t="shared" si="1300"/>
        <v/>
      </c>
      <c r="O1557" s="2">
        <f t="shared" si="1301"/>
        <v>0</v>
      </c>
    </row>
    <row r="1558" spans="1:15" x14ac:dyDescent="0.25">
      <c r="A1558" s="325">
        <v>1</v>
      </c>
      <c r="B1558" s="325">
        <f>TrialNumberDay2</f>
        <v>0</v>
      </c>
      <c r="C1558" s="325" t="s">
        <v>22</v>
      </c>
      <c r="D1558" s="325">
        <f>Excellent!C73</f>
        <v>0</v>
      </c>
      <c r="E1558" s="325" t="str">
        <f>IF(Excellent!B73="W","W","A")</f>
        <v>A</v>
      </c>
      <c r="F1558" s="325" t="s">
        <v>1741</v>
      </c>
      <c r="G1558" s="325" t="str">
        <f>IF(Excellent!O73="e","Y","")</f>
        <v/>
      </c>
      <c r="H1558" s="325" t="str">
        <f>IFERROR(VLOOKUP($D1558,'SDDA Dogs'!$A:$AE,2,FALSE),"")</f>
        <v/>
      </c>
      <c r="I1558" s="325" t="str">
        <f>IFERROR(VLOOKUP($D1558,'SDDA Dogs'!$A:$AE,3,FALSE),"")</f>
        <v/>
      </c>
      <c r="J1558" s="325" t="str">
        <f>IFERROR(VLOOKUP($D1558,'SDDA Dogs'!$A:$AE,6,FALSE),"")</f>
        <v/>
      </c>
      <c r="K1558" s="325" t="str">
        <f>IF(Excellent!AS73="","",Excellent!AS73)</f>
        <v/>
      </c>
      <c r="L1558" s="325" t="str">
        <f>IF(Excellent!AT73="","",Excellent!AT73)</f>
        <v/>
      </c>
      <c r="M1558" s="326" t="str">
        <f>TrialDateDay2</f>
        <v/>
      </c>
      <c r="N1558" s="325" t="str">
        <f t="shared" si="1300"/>
        <v/>
      </c>
      <c r="O1558" s="325">
        <f>JudgeD2ISE</f>
        <v>0</v>
      </c>
    </row>
    <row r="1559" spans="1:15" x14ac:dyDescent="0.25">
      <c r="A1559" s="2">
        <v>2</v>
      </c>
      <c r="B1559" s="2">
        <f t="shared" si="1301"/>
        <v>0</v>
      </c>
      <c r="C1559" s="2" t="str">
        <f t="shared" si="1301"/>
        <v>ISE</v>
      </c>
      <c r="D1559" s="2">
        <f t="shared" si="1301"/>
        <v>0</v>
      </c>
      <c r="E1559" s="2" t="str">
        <f t="shared" si="1301"/>
        <v>A</v>
      </c>
      <c r="F1559" s="2" t="str">
        <f t="shared" si="1301"/>
        <v>Interior Excellent</v>
      </c>
      <c r="G1559" s="2" t="str">
        <f t="shared" si="1301"/>
        <v/>
      </c>
      <c r="H1559" s="2" t="str">
        <f t="shared" si="1301"/>
        <v/>
      </c>
      <c r="I1559" s="2" t="str">
        <f t="shared" si="1301"/>
        <v/>
      </c>
      <c r="J1559" s="2" t="str">
        <f t="shared" si="1301"/>
        <v/>
      </c>
      <c r="K1559" s="2" t="str">
        <f t="shared" si="1301"/>
        <v/>
      </c>
      <c r="L1559" s="2" t="str">
        <f t="shared" si="1301"/>
        <v/>
      </c>
      <c r="M1559" s="180" t="str">
        <f t="shared" si="1301"/>
        <v/>
      </c>
      <c r="N1559" s="2" t="str">
        <f t="shared" si="1300"/>
        <v/>
      </c>
      <c r="O1559" s="2">
        <f t="shared" si="1301"/>
        <v>0</v>
      </c>
    </row>
    <row r="1560" spans="1:15" x14ac:dyDescent="0.25">
      <c r="A1560" s="325">
        <v>1</v>
      </c>
      <c r="B1560" s="325">
        <f>TrialNumberDay2</f>
        <v>0</v>
      </c>
      <c r="C1560" s="325" t="s">
        <v>22</v>
      </c>
      <c r="D1560" s="325">
        <f>Excellent!C74</f>
        <v>0</v>
      </c>
      <c r="E1560" s="325" t="str">
        <f>IF(Excellent!B74="W","W","A")</f>
        <v>A</v>
      </c>
      <c r="F1560" s="325" t="s">
        <v>1741</v>
      </c>
      <c r="G1560" s="325" t="str">
        <f>IF(Excellent!O74="e","Y","")</f>
        <v/>
      </c>
      <c r="H1560" s="325" t="str">
        <f>IFERROR(VLOOKUP($D1560,'SDDA Dogs'!$A:$AE,2,FALSE),"")</f>
        <v/>
      </c>
      <c r="I1560" s="325" t="str">
        <f>IFERROR(VLOOKUP($D1560,'SDDA Dogs'!$A:$AE,3,FALSE),"")</f>
        <v/>
      </c>
      <c r="J1560" s="325" t="str">
        <f>IFERROR(VLOOKUP($D1560,'SDDA Dogs'!$A:$AE,6,FALSE),"")</f>
        <v/>
      </c>
      <c r="K1560" s="325" t="str">
        <f>IF(Excellent!AS74="","",Excellent!AS74)</f>
        <v/>
      </c>
      <c r="L1560" s="325" t="str">
        <f>IF(Excellent!AT74="","",Excellent!AT74)</f>
        <v/>
      </c>
      <c r="M1560" s="326" t="str">
        <f>TrialDateDay2</f>
        <v/>
      </c>
      <c r="N1560" s="325" t="str">
        <f t="shared" si="1300"/>
        <v/>
      </c>
      <c r="O1560" s="325">
        <f>JudgeD2ISE</f>
        <v>0</v>
      </c>
    </row>
    <row r="1561" spans="1:15" x14ac:dyDescent="0.25">
      <c r="A1561" s="2">
        <v>2</v>
      </c>
      <c r="B1561" s="2">
        <f t="shared" si="1301"/>
        <v>0</v>
      </c>
      <c r="C1561" s="2" t="str">
        <f t="shared" si="1301"/>
        <v>ISE</v>
      </c>
      <c r="D1561" s="2">
        <f t="shared" si="1301"/>
        <v>0</v>
      </c>
      <c r="E1561" s="2" t="str">
        <f t="shared" si="1301"/>
        <v>A</v>
      </c>
      <c r="F1561" s="2" t="str">
        <f t="shared" si="1301"/>
        <v>Interior Excellent</v>
      </c>
      <c r="G1561" s="2" t="str">
        <f t="shared" si="1301"/>
        <v/>
      </c>
      <c r="H1561" s="2" t="str">
        <f t="shared" si="1301"/>
        <v/>
      </c>
      <c r="I1561" s="2" t="str">
        <f t="shared" si="1301"/>
        <v/>
      </c>
      <c r="J1561" s="2" t="str">
        <f t="shared" si="1301"/>
        <v/>
      </c>
      <c r="K1561" s="2" t="str">
        <f t="shared" si="1301"/>
        <v/>
      </c>
      <c r="L1561" s="2" t="str">
        <f t="shared" si="1301"/>
        <v/>
      </c>
      <c r="M1561" s="180" t="str">
        <f t="shared" si="1301"/>
        <v/>
      </c>
      <c r="N1561" s="2" t="str">
        <f t="shared" si="1300"/>
        <v/>
      </c>
      <c r="O1561" s="2">
        <f t="shared" si="1301"/>
        <v>0</v>
      </c>
    </row>
    <row r="1562" spans="1:15" x14ac:dyDescent="0.25">
      <c r="A1562" s="325">
        <v>1</v>
      </c>
      <c r="B1562" s="325">
        <f>TrialNumberDay2</f>
        <v>0</v>
      </c>
      <c r="C1562" s="325" t="s">
        <v>22</v>
      </c>
      <c r="D1562" s="325">
        <f>Excellent!C75</f>
        <v>0</v>
      </c>
      <c r="E1562" s="325" t="str">
        <f>IF(Excellent!B75="W","W","A")</f>
        <v>A</v>
      </c>
      <c r="F1562" s="325" t="s">
        <v>1741</v>
      </c>
      <c r="G1562" s="325" t="str">
        <f>IF(Excellent!O75="e","Y","")</f>
        <v/>
      </c>
      <c r="H1562" s="325" t="str">
        <f>IFERROR(VLOOKUP($D1562,'SDDA Dogs'!$A:$AE,2,FALSE),"")</f>
        <v/>
      </c>
      <c r="I1562" s="325" t="str">
        <f>IFERROR(VLOOKUP($D1562,'SDDA Dogs'!$A:$AE,3,FALSE),"")</f>
        <v/>
      </c>
      <c r="J1562" s="325" t="str">
        <f>IFERROR(VLOOKUP($D1562,'SDDA Dogs'!$A:$AE,6,FALSE),"")</f>
        <v/>
      </c>
      <c r="K1562" s="325" t="str">
        <f>IF(Excellent!AS75="","",Excellent!AS75)</f>
        <v/>
      </c>
      <c r="L1562" s="325" t="str">
        <f>IF(Excellent!AT75="","",Excellent!AT75)</f>
        <v/>
      </c>
      <c r="M1562" s="326" t="str">
        <f>TrialDateDay2</f>
        <v/>
      </c>
      <c r="N1562" s="325" t="str">
        <f t="shared" si="1300"/>
        <v/>
      </c>
      <c r="O1562" s="325">
        <f>JudgeD2ISE</f>
        <v>0</v>
      </c>
    </row>
    <row r="1563" spans="1:15" x14ac:dyDescent="0.25">
      <c r="A1563" s="2">
        <v>2</v>
      </c>
      <c r="B1563" s="2">
        <f t="shared" si="1301"/>
        <v>0</v>
      </c>
      <c r="C1563" s="2" t="str">
        <f t="shared" si="1301"/>
        <v>ISE</v>
      </c>
      <c r="D1563" s="2">
        <f t="shared" si="1301"/>
        <v>0</v>
      </c>
      <c r="E1563" s="2" t="str">
        <f t="shared" si="1301"/>
        <v>A</v>
      </c>
      <c r="F1563" s="2" t="str">
        <f t="shared" si="1301"/>
        <v>Interior Excellent</v>
      </c>
      <c r="G1563" s="2" t="str">
        <f t="shared" si="1301"/>
        <v/>
      </c>
      <c r="H1563" s="2" t="str">
        <f t="shared" si="1301"/>
        <v/>
      </c>
      <c r="I1563" s="2" t="str">
        <f t="shared" si="1301"/>
        <v/>
      </c>
      <c r="J1563" s="2" t="str">
        <f t="shared" si="1301"/>
        <v/>
      </c>
      <c r="K1563" s="2" t="str">
        <f t="shared" si="1301"/>
        <v/>
      </c>
      <c r="L1563" s="2" t="str">
        <f t="shared" si="1301"/>
        <v/>
      </c>
      <c r="M1563" s="180" t="str">
        <f t="shared" si="1301"/>
        <v/>
      </c>
      <c r="N1563" s="2" t="str">
        <f t="shared" si="1300"/>
        <v/>
      </c>
      <c r="O1563" s="2">
        <f t="shared" si="1301"/>
        <v>0</v>
      </c>
    </row>
    <row r="1564" spans="1:15" x14ac:dyDescent="0.25">
      <c r="A1564" s="325">
        <v>1</v>
      </c>
      <c r="B1564" s="325">
        <f>TrialNumberDay2</f>
        <v>0</v>
      </c>
      <c r="C1564" s="325" t="s">
        <v>22</v>
      </c>
      <c r="D1564" s="325">
        <f>Excellent!C76</f>
        <v>0</v>
      </c>
      <c r="E1564" s="325" t="str">
        <f>IF(Excellent!B76="W","W","A")</f>
        <v>A</v>
      </c>
      <c r="F1564" s="325" t="s">
        <v>1741</v>
      </c>
      <c r="G1564" s="325" t="str">
        <f>IF(Excellent!O76="e","Y","")</f>
        <v/>
      </c>
      <c r="H1564" s="325" t="str">
        <f>IFERROR(VLOOKUP($D1564,'SDDA Dogs'!$A:$AE,2,FALSE),"")</f>
        <v/>
      </c>
      <c r="I1564" s="325" t="str">
        <f>IFERROR(VLOOKUP($D1564,'SDDA Dogs'!$A:$AE,3,FALSE),"")</f>
        <v/>
      </c>
      <c r="J1564" s="325" t="str">
        <f>IFERROR(VLOOKUP($D1564,'SDDA Dogs'!$A:$AE,6,FALSE),"")</f>
        <v/>
      </c>
      <c r="K1564" s="325" t="str">
        <f>IF(Excellent!AS76="","",Excellent!AS76)</f>
        <v/>
      </c>
      <c r="L1564" s="325" t="str">
        <f>IF(Excellent!AT76="","",Excellent!AT76)</f>
        <v/>
      </c>
      <c r="M1564" s="326" t="str">
        <f>TrialDateDay2</f>
        <v/>
      </c>
      <c r="N1564" s="325" t="str">
        <f t="shared" si="1300"/>
        <v/>
      </c>
      <c r="O1564" s="325">
        <f>JudgeD2ISE</f>
        <v>0</v>
      </c>
    </row>
    <row r="1565" spans="1:15" x14ac:dyDescent="0.25">
      <c r="A1565" s="2">
        <v>2</v>
      </c>
      <c r="B1565" s="2">
        <f t="shared" si="1301"/>
        <v>0</v>
      </c>
      <c r="C1565" s="2" t="str">
        <f t="shared" si="1301"/>
        <v>ISE</v>
      </c>
      <c r="D1565" s="2">
        <f t="shared" si="1301"/>
        <v>0</v>
      </c>
      <c r="E1565" s="2" t="str">
        <f t="shared" si="1301"/>
        <v>A</v>
      </c>
      <c r="F1565" s="2" t="str">
        <f t="shared" si="1301"/>
        <v>Interior Excellent</v>
      </c>
      <c r="G1565" s="2" t="str">
        <f t="shared" si="1301"/>
        <v/>
      </c>
      <c r="H1565" s="2" t="str">
        <f t="shared" si="1301"/>
        <v/>
      </c>
      <c r="I1565" s="2" t="str">
        <f t="shared" si="1301"/>
        <v/>
      </c>
      <c r="J1565" s="2" t="str">
        <f t="shared" si="1301"/>
        <v/>
      </c>
      <c r="K1565" s="2" t="str">
        <f t="shared" si="1301"/>
        <v/>
      </c>
      <c r="L1565" s="2" t="str">
        <f t="shared" si="1301"/>
        <v/>
      </c>
      <c r="M1565" s="180" t="str">
        <f t="shared" si="1301"/>
        <v/>
      </c>
      <c r="N1565" s="2" t="str">
        <f t="shared" si="1300"/>
        <v/>
      </c>
      <c r="O1565" s="2">
        <f t="shared" si="1301"/>
        <v>0</v>
      </c>
    </row>
    <row r="1566" spans="1:15" x14ac:dyDescent="0.25">
      <c r="A1566" s="325">
        <v>1</v>
      </c>
      <c r="B1566" s="325">
        <f>TrialNumberDay2</f>
        <v>0</v>
      </c>
      <c r="C1566" s="325" t="s">
        <v>22</v>
      </c>
      <c r="D1566" s="325">
        <f>Excellent!C77</f>
        <v>0</v>
      </c>
      <c r="E1566" s="325" t="str">
        <f>IF(Excellent!B77="W","W","A")</f>
        <v>A</v>
      </c>
      <c r="F1566" s="325" t="s">
        <v>1741</v>
      </c>
      <c r="G1566" s="325" t="str">
        <f>IF(Excellent!O77="e","Y","")</f>
        <v/>
      </c>
      <c r="H1566" s="325" t="str">
        <f>IFERROR(VLOOKUP($D1566,'SDDA Dogs'!$A:$AE,2,FALSE),"")</f>
        <v/>
      </c>
      <c r="I1566" s="325" t="str">
        <f>IFERROR(VLOOKUP($D1566,'SDDA Dogs'!$A:$AE,3,FALSE),"")</f>
        <v/>
      </c>
      <c r="J1566" s="325" t="str">
        <f>IFERROR(VLOOKUP($D1566,'SDDA Dogs'!$A:$AE,6,FALSE),"")</f>
        <v/>
      </c>
      <c r="K1566" s="325" t="str">
        <f>IF(Excellent!AS77="","",Excellent!AS77)</f>
        <v/>
      </c>
      <c r="L1566" s="325" t="str">
        <f>IF(Excellent!AT77="","",Excellent!AT77)</f>
        <v/>
      </c>
      <c r="M1566" s="326" t="str">
        <f>TrialDateDay2</f>
        <v/>
      </c>
      <c r="N1566" s="325" t="str">
        <f t="shared" si="1300"/>
        <v/>
      </c>
      <c r="O1566" s="325">
        <f>JudgeD2ISE</f>
        <v>0</v>
      </c>
    </row>
    <row r="1567" spans="1:15" x14ac:dyDescent="0.25">
      <c r="A1567" s="2">
        <v>2</v>
      </c>
      <c r="B1567" s="2">
        <f t="shared" si="1301"/>
        <v>0</v>
      </c>
      <c r="C1567" s="2" t="str">
        <f t="shared" si="1301"/>
        <v>ISE</v>
      </c>
      <c r="D1567" s="2">
        <f t="shared" si="1301"/>
        <v>0</v>
      </c>
      <c r="E1567" s="2" t="str">
        <f t="shared" si="1301"/>
        <v>A</v>
      </c>
      <c r="F1567" s="2" t="str">
        <f t="shared" si="1301"/>
        <v>Interior Excellent</v>
      </c>
      <c r="G1567" s="2" t="str">
        <f t="shared" si="1301"/>
        <v/>
      </c>
      <c r="H1567" s="2" t="str">
        <f t="shared" si="1301"/>
        <v/>
      </c>
      <c r="I1567" s="2" t="str">
        <f t="shared" si="1301"/>
        <v/>
      </c>
      <c r="J1567" s="2" t="str">
        <f t="shared" si="1301"/>
        <v/>
      </c>
      <c r="K1567" s="2" t="str">
        <f t="shared" si="1301"/>
        <v/>
      </c>
      <c r="L1567" s="2" t="str">
        <f t="shared" si="1301"/>
        <v/>
      </c>
      <c r="M1567" s="180" t="str">
        <f t="shared" si="1301"/>
        <v/>
      </c>
      <c r="N1567" s="2" t="str">
        <f t="shared" si="1300"/>
        <v/>
      </c>
      <c r="O1567" s="2">
        <f t="shared" si="1301"/>
        <v>0</v>
      </c>
    </row>
    <row r="1568" spans="1:15" x14ac:dyDescent="0.25">
      <c r="A1568" s="325">
        <v>1</v>
      </c>
      <c r="B1568" s="325">
        <f>TrialNumberDay2</f>
        <v>0</v>
      </c>
      <c r="C1568" s="325" t="s">
        <v>22</v>
      </c>
      <c r="D1568" s="325">
        <f>Excellent!C78</f>
        <v>0</v>
      </c>
      <c r="E1568" s="325" t="str">
        <f>IF(Excellent!B78="W","W","A")</f>
        <v>A</v>
      </c>
      <c r="F1568" s="325" t="s">
        <v>1741</v>
      </c>
      <c r="G1568" s="325" t="str">
        <f>IF(Excellent!O78="e","Y","")</f>
        <v/>
      </c>
      <c r="H1568" s="325" t="str">
        <f>IFERROR(VLOOKUP($D1568,'SDDA Dogs'!$A:$AE,2,FALSE),"")</f>
        <v/>
      </c>
      <c r="I1568" s="325" t="str">
        <f>IFERROR(VLOOKUP($D1568,'SDDA Dogs'!$A:$AE,3,FALSE),"")</f>
        <v/>
      </c>
      <c r="J1568" s="325" t="str">
        <f>IFERROR(VLOOKUP($D1568,'SDDA Dogs'!$A:$AE,6,FALSE),"")</f>
        <v/>
      </c>
      <c r="K1568" s="325" t="str">
        <f>IF(Excellent!AS78="","",Excellent!AS78)</f>
        <v/>
      </c>
      <c r="L1568" s="325" t="str">
        <f>IF(Excellent!AT78="","",Excellent!AT78)</f>
        <v/>
      </c>
      <c r="M1568" s="326" t="str">
        <f>TrialDateDay2</f>
        <v/>
      </c>
      <c r="N1568" s="325" t="str">
        <f t="shared" si="1300"/>
        <v/>
      </c>
      <c r="O1568" s="325">
        <f>JudgeD2ISE</f>
        <v>0</v>
      </c>
    </row>
    <row r="1569" spans="1:15" x14ac:dyDescent="0.25">
      <c r="A1569" s="2">
        <v>2</v>
      </c>
      <c r="B1569" s="2">
        <f t="shared" si="1301"/>
        <v>0</v>
      </c>
      <c r="C1569" s="2" t="str">
        <f t="shared" si="1301"/>
        <v>ISE</v>
      </c>
      <c r="D1569" s="2">
        <f t="shared" si="1301"/>
        <v>0</v>
      </c>
      <c r="E1569" s="2" t="str">
        <f t="shared" si="1301"/>
        <v>A</v>
      </c>
      <c r="F1569" s="2" t="str">
        <f t="shared" si="1301"/>
        <v>Interior Excellent</v>
      </c>
      <c r="G1569" s="2" t="str">
        <f t="shared" si="1301"/>
        <v/>
      </c>
      <c r="H1569" s="2" t="str">
        <f t="shared" si="1301"/>
        <v/>
      </c>
      <c r="I1569" s="2" t="str">
        <f t="shared" si="1301"/>
        <v/>
      </c>
      <c r="J1569" s="2" t="str">
        <f t="shared" si="1301"/>
        <v/>
      </c>
      <c r="K1569" s="2" t="str">
        <f t="shared" si="1301"/>
        <v/>
      </c>
      <c r="L1569" s="2" t="str">
        <f t="shared" si="1301"/>
        <v/>
      </c>
      <c r="M1569" s="180" t="str">
        <f t="shared" si="1301"/>
        <v/>
      </c>
      <c r="N1569" s="2" t="str">
        <f t="shared" si="1300"/>
        <v/>
      </c>
      <c r="O1569" s="2">
        <f t="shared" si="1301"/>
        <v>0</v>
      </c>
    </row>
    <row r="1570" spans="1:15" x14ac:dyDescent="0.25">
      <c r="A1570" s="325">
        <v>1</v>
      </c>
      <c r="B1570" s="325">
        <f>TrialNumberDay2</f>
        <v>0</v>
      </c>
      <c r="C1570" s="325" t="s">
        <v>22</v>
      </c>
      <c r="D1570" s="325">
        <f>Excellent!C79</f>
        <v>0</v>
      </c>
      <c r="E1570" s="325" t="str">
        <f>IF(Excellent!B79="W","W","A")</f>
        <v>A</v>
      </c>
      <c r="F1570" s="325" t="s">
        <v>1741</v>
      </c>
      <c r="G1570" s="325" t="str">
        <f>IF(Excellent!O79="e","Y","")</f>
        <v/>
      </c>
      <c r="H1570" s="325" t="str">
        <f>IFERROR(VLOOKUP($D1570,'SDDA Dogs'!$A:$AE,2,FALSE),"")</f>
        <v/>
      </c>
      <c r="I1570" s="325" t="str">
        <f>IFERROR(VLOOKUP($D1570,'SDDA Dogs'!$A:$AE,3,FALSE),"")</f>
        <v/>
      </c>
      <c r="J1570" s="325" t="str">
        <f>IFERROR(VLOOKUP($D1570,'SDDA Dogs'!$A:$AE,6,FALSE),"")</f>
        <v/>
      </c>
      <c r="K1570" s="325" t="str">
        <f>IF(Excellent!AS79="","",Excellent!AS79)</f>
        <v/>
      </c>
      <c r="L1570" s="325" t="str">
        <f>IF(Excellent!AT79="","",Excellent!AT79)</f>
        <v/>
      </c>
      <c r="M1570" s="326" t="str">
        <f>TrialDateDay2</f>
        <v/>
      </c>
      <c r="N1570" s="325" t="str">
        <f t="shared" si="1300"/>
        <v/>
      </c>
      <c r="O1570" s="325">
        <f>JudgeD2ISE</f>
        <v>0</v>
      </c>
    </row>
    <row r="1571" spans="1:15" x14ac:dyDescent="0.25">
      <c r="A1571" s="2">
        <v>2</v>
      </c>
      <c r="B1571" s="2">
        <f t="shared" si="1301"/>
        <v>0</v>
      </c>
      <c r="C1571" s="2" t="str">
        <f t="shared" si="1301"/>
        <v>ISE</v>
      </c>
      <c r="D1571" s="2">
        <f t="shared" si="1301"/>
        <v>0</v>
      </c>
      <c r="E1571" s="2" t="str">
        <f t="shared" si="1301"/>
        <v>A</v>
      </c>
      <c r="F1571" s="2" t="str">
        <f t="shared" si="1301"/>
        <v>Interior Excellent</v>
      </c>
      <c r="G1571" s="2" t="str">
        <f t="shared" si="1301"/>
        <v/>
      </c>
      <c r="H1571" s="2" t="str">
        <f t="shared" si="1301"/>
        <v/>
      </c>
      <c r="I1571" s="2" t="str">
        <f t="shared" si="1301"/>
        <v/>
      </c>
      <c r="J1571" s="2" t="str">
        <f t="shared" si="1301"/>
        <v/>
      </c>
      <c r="K1571" s="2" t="str">
        <f t="shared" si="1301"/>
        <v/>
      </c>
      <c r="L1571" s="2" t="str">
        <f t="shared" si="1301"/>
        <v/>
      </c>
      <c r="M1571" s="180" t="str">
        <f t="shared" si="1301"/>
        <v/>
      </c>
      <c r="N1571" s="2" t="str">
        <f t="shared" si="1300"/>
        <v/>
      </c>
      <c r="O1571" s="2">
        <f t="shared" si="1301"/>
        <v>0</v>
      </c>
    </row>
    <row r="1572" spans="1:15" x14ac:dyDescent="0.25">
      <c r="A1572" s="325">
        <v>1</v>
      </c>
      <c r="B1572" s="325">
        <f>TrialNumberDay2</f>
        <v>0</v>
      </c>
      <c r="C1572" s="325" t="s">
        <v>22</v>
      </c>
      <c r="D1572" s="325">
        <f>Excellent!C80</f>
        <v>0</v>
      </c>
      <c r="E1572" s="325" t="str">
        <f>IF(Excellent!B80="W","W","A")</f>
        <v>A</v>
      </c>
      <c r="F1572" s="325" t="s">
        <v>1741</v>
      </c>
      <c r="G1572" s="325" t="str">
        <f>IF(Excellent!O80="e","Y","")</f>
        <v/>
      </c>
      <c r="H1572" s="325" t="str">
        <f>IFERROR(VLOOKUP($D1572,'SDDA Dogs'!$A:$AE,2,FALSE),"")</f>
        <v/>
      </c>
      <c r="I1572" s="325" t="str">
        <f>IFERROR(VLOOKUP($D1572,'SDDA Dogs'!$A:$AE,3,FALSE),"")</f>
        <v/>
      </c>
      <c r="J1572" s="325" t="str">
        <f>IFERROR(VLOOKUP($D1572,'SDDA Dogs'!$A:$AE,6,FALSE),"")</f>
        <v/>
      </c>
      <c r="K1572" s="325" t="str">
        <f>IF(Excellent!AS80="","",Excellent!AS80)</f>
        <v/>
      </c>
      <c r="L1572" s="325" t="str">
        <f>IF(Excellent!AT80="","",Excellent!AT80)</f>
        <v/>
      </c>
      <c r="M1572" s="326" t="str">
        <f>TrialDateDay2</f>
        <v/>
      </c>
      <c r="N1572" s="325" t="str">
        <f t="shared" si="1300"/>
        <v/>
      </c>
      <c r="O1572" s="325">
        <f>JudgeD2ISE</f>
        <v>0</v>
      </c>
    </row>
    <row r="1573" spans="1:15" x14ac:dyDescent="0.25">
      <c r="A1573" s="2">
        <v>2</v>
      </c>
      <c r="B1573" s="2">
        <f t="shared" si="1301"/>
        <v>0</v>
      </c>
      <c r="C1573" s="2" t="str">
        <f t="shared" si="1301"/>
        <v>ISE</v>
      </c>
      <c r="D1573" s="2">
        <f t="shared" si="1301"/>
        <v>0</v>
      </c>
      <c r="E1573" s="2" t="str">
        <f t="shared" si="1301"/>
        <v>A</v>
      </c>
      <c r="F1573" s="2" t="str">
        <f t="shared" si="1301"/>
        <v>Interior Excellent</v>
      </c>
      <c r="G1573" s="2" t="str">
        <f t="shared" si="1301"/>
        <v/>
      </c>
      <c r="H1573" s="2" t="str">
        <f t="shared" si="1301"/>
        <v/>
      </c>
      <c r="I1573" s="2" t="str">
        <f t="shared" si="1301"/>
        <v/>
      </c>
      <c r="J1573" s="2" t="str">
        <f t="shared" si="1301"/>
        <v/>
      </c>
      <c r="K1573" s="2" t="str">
        <f t="shared" si="1301"/>
        <v/>
      </c>
      <c r="L1573" s="2" t="str">
        <f t="shared" si="1301"/>
        <v/>
      </c>
      <c r="M1573" s="180" t="str">
        <f t="shared" si="1301"/>
        <v/>
      </c>
      <c r="N1573" s="2" t="str">
        <f t="shared" si="1300"/>
        <v/>
      </c>
      <c r="O1573" s="2">
        <f t="shared" si="1301"/>
        <v>0</v>
      </c>
    </row>
    <row r="1574" spans="1:15" x14ac:dyDescent="0.25">
      <c r="A1574" s="325">
        <v>1</v>
      </c>
      <c r="B1574" s="325">
        <f>TrialNumberDay2</f>
        <v>0</v>
      </c>
      <c r="C1574" s="325" t="s">
        <v>22</v>
      </c>
      <c r="D1574" s="325">
        <f>Excellent!C81</f>
        <v>0</v>
      </c>
      <c r="E1574" s="325" t="str">
        <f>IF(Excellent!B81="W","W","A")</f>
        <v>A</v>
      </c>
      <c r="F1574" s="325" t="s">
        <v>1741</v>
      </c>
      <c r="G1574" s="325" t="str">
        <f>IF(Excellent!O81="e","Y","")</f>
        <v/>
      </c>
      <c r="H1574" s="325" t="str">
        <f>IFERROR(VLOOKUP($D1574,'SDDA Dogs'!$A:$AE,2,FALSE),"")</f>
        <v/>
      </c>
      <c r="I1574" s="325" t="str">
        <f>IFERROR(VLOOKUP($D1574,'SDDA Dogs'!$A:$AE,3,FALSE),"")</f>
        <v/>
      </c>
      <c r="J1574" s="325" t="str">
        <f>IFERROR(VLOOKUP($D1574,'SDDA Dogs'!$A:$AE,6,FALSE),"")</f>
        <v/>
      </c>
      <c r="K1574" s="325" t="str">
        <f>IF(Excellent!AS81="","",Excellent!AS81)</f>
        <v/>
      </c>
      <c r="L1574" s="325" t="str">
        <f>IF(Excellent!AT81="","",Excellent!AT81)</f>
        <v/>
      </c>
      <c r="M1574" s="326" t="str">
        <f>TrialDateDay2</f>
        <v/>
      </c>
      <c r="N1574" s="325" t="str">
        <f t="shared" si="1300"/>
        <v/>
      </c>
      <c r="O1574" s="325">
        <f>JudgeD2ISE</f>
        <v>0</v>
      </c>
    </row>
    <row r="1575" spans="1:15" x14ac:dyDescent="0.25">
      <c r="A1575" s="2">
        <v>2</v>
      </c>
      <c r="B1575" s="2">
        <f t="shared" si="1301"/>
        <v>0</v>
      </c>
      <c r="C1575" s="2" t="str">
        <f t="shared" si="1301"/>
        <v>ISE</v>
      </c>
      <c r="D1575" s="2">
        <f t="shared" si="1301"/>
        <v>0</v>
      </c>
      <c r="E1575" s="2" t="str">
        <f t="shared" si="1301"/>
        <v>A</v>
      </c>
      <c r="F1575" s="2" t="str">
        <f t="shared" si="1301"/>
        <v>Interior Excellent</v>
      </c>
      <c r="G1575" s="2" t="str">
        <f t="shared" si="1301"/>
        <v/>
      </c>
      <c r="H1575" s="2" t="str">
        <f t="shared" si="1301"/>
        <v/>
      </c>
      <c r="I1575" s="2" t="str">
        <f t="shared" si="1301"/>
        <v/>
      </c>
      <c r="J1575" s="2" t="str">
        <f t="shared" si="1301"/>
        <v/>
      </c>
      <c r="K1575" s="2" t="str">
        <f t="shared" si="1301"/>
        <v/>
      </c>
      <c r="L1575" s="2" t="str">
        <f t="shared" si="1301"/>
        <v/>
      </c>
      <c r="M1575" s="180" t="str">
        <f t="shared" si="1301"/>
        <v/>
      </c>
      <c r="N1575" s="2" t="str">
        <f t="shared" si="1300"/>
        <v/>
      </c>
      <c r="O1575" s="2">
        <f t="shared" si="1301"/>
        <v>0</v>
      </c>
    </row>
    <row r="1576" spans="1:15" x14ac:dyDescent="0.25">
      <c r="A1576" s="325">
        <v>1</v>
      </c>
      <c r="B1576" s="325">
        <f>TrialNumberDay2</f>
        <v>0</v>
      </c>
      <c r="C1576" s="325" t="s">
        <v>22</v>
      </c>
      <c r="D1576" s="325">
        <f>Excellent!C82</f>
        <v>0</v>
      </c>
      <c r="E1576" s="325" t="str">
        <f>IF(Excellent!B82="W","W","A")</f>
        <v>A</v>
      </c>
      <c r="F1576" s="325" t="s">
        <v>1741</v>
      </c>
      <c r="G1576" s="325" t="str">
        <f>IF(Excellent!O82="e","Y","")</f>
        <v/>
      </c>
      <c r="H1576" s="325" t="str">
        <f>IFERROR(VLOOKUP($D1576,'SDDA Dogs'!$A:$AE,2,FALSE),"")</f>
        <v/>
      </c>
      <c r="I1576" s="325" t="str">
        <f>IFERROR(VLOOKUP($D1576,'SDDA Dogs'!$A:$AE,3,FALSE),"")</f>
        <v/>
      </c>
      <c r="J1576" s="325" t="str">
        <f>IFERROR(VLOOKUP($D1576,'SDDA Dogs'!$A:$AE,6,FALSE),"")</f>
        <v/>
      </c>
      <c r="K1576" s="325" t="str">
        <f>IF(Excellent!AS82="","",Excellent!AS82)</f>
        <v/>
      </c>
      <c r="L1576" s="325" t="str">
        <f>IF(Excellent!AT82="","",Excellent!AT82)</f>
        <v/>
      </c>
      <c r="M1576" s="326" t="str">
        <f>TrialDateDay2</f>
        <v/>
      </c>
      <c r="N1576" s="325" t="str">
        <f t="shared" si="1300"/>
        <v/>
      </c>
      <c r="O1576" s="325">
        <f>JudgeD2ISE</f>
        <v>0</v>
      </c>
    </row>
    <row r="1577" spans="1:15" x14ac:dyDescent="0.25">
      <c r="A1577" s="2">
        <v>2</v>
      </c>
      <c r="B1577" s="2">
        <f t="shared" si="1301"/>
        <v>0</v>
      </c>
      <c r="C1577" s="2" t="str">
        <f t="shared" si="1301"/>
        <v>ISE</v>
      </c>
      <c r="D1577" s="2">
        <f t="shared" si="1301"/>
        <v>0</v>
      </c>
      <c r="E1577" s="2" t="str">
        <f t="shared" ref="E1577:O1583" si="1302">E1576</f>
        <v>A</v>
      </c>
      <c r="F1577" s="2" t="str">
        <f t="shared" si="1302"/>
        <v>Interior Excellent</v>
      </c>
      <c r="G1577" s="2" t="str">
        <f t="shared" si="1302"/>
        <v/>
      </c>
      <c r="H1577" s="2" t="str">
        <f t="shared" si="1302"/>
        <v/>
      </c>
      <c r="I1577" s="2" t="str">
        <f t="shared" si="1302"/>
        <v/>
      </c>
      <c r="J1577" s="2" t="str">
        <f t="shared" si="1302"/>
        <v/>
      </c>
      <c r="K1577" s="2" t="str">
        <f t="shared" si="1302"/>
        <v/>
      </c>
      <c r="L1577" s="2" t="str">
        <f t="shared" si="1302"/>
        <v/>
      </c>
      <c r="M1577" s="180" t="str">
        <f t="shared" si="1302"/>
        <v/>
      </c>
      <c r="N1577" s="2" t="str">
        <f t="shared" si="1300"/>
        <v/>
      </c>
      <c r="O1577" s="2">
        <f t="shared" si="1302"/>
        <v>0</v>
      </c>
    </row>
    <row r="1578" spans="1:15" x14ac:dyDescent="0.25">
      <c r="A1578" s="325">
        <v>1</v>
      </c>
      <c r="B1578" s="325">
        <f>TrialNumberDay2</f>
        <v>0</v>
      </c>
      <c r="C1578" s="325" t="s">
        <v>22</v>
      </c>
      <c r="D1578" s="325">
        <f>Excellent!C83</f>
        <v>0</v>
      </c>
      <c r="E1578" s="325" t="str">
        <f>IF(Excellent!B83="W","W","A")</f>
        <v>A</v>
      </c>
      <c r="F1578" s="325" t="s">
        <v>1741</v>
      </c>
      <c r="G1578" s="325" t="str">
        <f>IF(Excellent!O83="e","Y","")</f>
        <v/>
      </c>
      <c r="H1578" s="325" t="str">
        <f>IFERROR(VLOOKUP($D1578,'SDDA Dogs'!$A:$AE,2,FALSE),"")</f>
        <v/>
      </c>
      <c r="I1578" s="325" t="str">
        <f>IFERROR(VLOOKUP($D1578,'SDDA Dogs'!$A:$AE,3,FALSE),"")</f>
        <v/>
      </c>
      <c r="J1578" s="325" t="str">
        <f>IFERROR(VLOOKUP($D1578,'SDDA Dogs'!$A:$AE,6,FALSE),"")</f>
        <v/>
      </c>
      <c r="K1578" s="325" t="str">
        <f>IF(Excellent!AS83="","",Excellent!AS83)</f>
        <v/>
      </c>
      <c r="L1578" s="325" t="str">
        <f>IF(Excellent!AT83="","",Excellent!AT83)</f>
        <v/>
      </c>
      <c r="M1578" s="326" t="str">
        <f>TrialDateDay2</f>
        <v/>
      </c>
      <c r="N1578" s="325" t="str">
        <f t="shared" si="1300"/>
        <v/>
      </c>
      <c r="O1578" s="325">
        <f>JudgeD2ISE</f>
        <v>0</v>
      </c>
    </row>
    <row r="1579" spans="1:15" x14ac:dyDescent="0.25">
      <c r="A1579" s="2">
        <v>2</v>
      </c>
      <c r="B1579" s="2">
        <f t="shared" ref="B1579:D1583" si="1303">B1578</f>
        <v>0</v>
      </c>
      <c r="C1579" s="2" t="str">
        <f t="shared" si="1303"/>
        <v>ISE</v>
      </c>
      <c r="D1579" s="2">
        <f t="shared" si="1303"/>
        <v>0</v>
      </c>
      <c r="E1579" s="2" t="str">
        <f t="shared" si="1302"/>
        <v>A</v>
      </c>
      <c r="F1579" s="2" t="str">
        <f t="shared" si="1302"/>
        <v>Interior Excellent</v>
      </c>
      <c r="G1579" s="2" t="str">
        <f t="shared" si="1302"/>
        <v/>
      </c>
      <c r="H1579" s="2" t="str">
        <f t="shared" si="1302"/>
        <v/>
      </c>
      <c r="I1579" s="2" t="str">
        <f t="shared" si="1302"/>
        <v/>
      </c>
      <c r="J1579" s="2" t="str">
        <f t="shared" si="1302"/>
        <v/>
      </c>
      <c r="K1579" s="2" t="str">
        <f t="shared" si="1302"/>
        <v/>
      </c>
      <c r="L1579" s="2" t="str">
        <f t="shared" si="1302"/>
        <v/>
      </c>
      <c r="M1579" s="180" t="str">
        <f t="shared" si="1302"/>
        <v/>
      </c>
      <c r="N1579" s="2" t="str">
        <f t="shared" si="1300"/>
        <v/>
      </c>
      <c r="O1579" s="2">
        <f t="shared" si="1302"/>
        <v>0</v>
      </c>
    </row>
    <row r="1580" spans="1:15" x14ac:dyDescent="0.25">
      <c r="A1580" s="325">
        <v>1</v>
      </c>
      <c r="B1580" s="325">
        <f>TrialNumberDay2</f>
        <v>0</v>
      </c>
      <c r="C1580" s="325" t="s">
        <v>22</v>
      </c>
      <c r="D1580" s="325">
        <f>Excellent!C84</f>
        <v>0</v>
      </c>
      <c r="E1580" s="325" t="str">
        <f>IF(Excellent!B84="W","W","A")</f>
        <v>A</v>
      </c>
      <c r="F1580" s="325" t="s">
        <v>1741</v>
      </c>
      <c r="G1580" s="325" t="str">
        <f>IF(Excellent!O84="e","Y","")</f>
        <v/>
      </c>
      <c r="H1580" s="325" t="str">
        <f>IFERROR(VLOOKUP($D1580,'SDDA Dogs'!$A:$AE,2,FALSE),"")</f>
        <v/>
      </c>
      <c r="I1580" s="325" t="str">
        <f>IFERROR(VLOOKUP($D1580,'SDDA Dogs'!$A:$AE,3,FALSE),"")</f>
        <v/>
      </c>
      <c r="J1580" s="325" t="str">
        <f>IFERROR(VLOOKUP($D1580,'SDDA Dogs'!$A:$AE,6,FALSE),"")</f>
        <v/>
      </c>
      <c r="K1580" s="325" t="str">
        <f>IF(Excellent!AS84="","",Excellent!AS84)</f>
        <v/>
      </c>
      <c r="L1580" s="325" t="str">
        <f>IF(Excellent!AT84="","",Excellent!AT84)</f>
        <v/>
      </c>
      <c r="M1580" s="326" t="str">
        <f>TrialDateDay2</f>
        <v/>
      </c>
      <c r="N1580" s="325" t="str">
        <f t="shared" si="1300"/>
        <v/>
      </c>
      <c r="O1580" s="325">
        <f>JudgeD2ISE</f>
        <v>0</v>
      </c>
    </row>
    <row r="1581" spans="1:15" x14ac:dyDescent="0.25">
      <c r="A1581" s="2">
        <v>2</v>
      </c>
      <c r="B1581" s="2">
        <f t="shared" si="1303"/>
        <v>0</v>
      </c>
      <c r="C1581" s="2" t="str">
        <f t="shared" si="1303"/>
        <v>ISE</v>
      </c>
      <c r="D1581" s="2">
        <f t="shared" si="1303"/>
        <v>0</v>
      </c>
      <c r="E1581" s="2" t="str">
        <f t="shared" si="1302"/>
        <v>A</v>
      </c>
      <c r="F1581" s="2" t="str">
        <f t="shared" si="1302"/>
        <v>Interior Excellent</v>
      </c>
      <c r="G1581" s="2" t="str">
        <f t="shared" si="1302"/>
        <v/>
      </c>
      <c r="H1581" s="2" t="str">
        <f t="shared" si="1302"/>
        <v/>
      </c>
      <c r="I1581" s="2" t="str">
        <f t="shared" si="1302"/>
        <v/>
      </c>
      <c r="J1581" s="2" t="str">
        <f t="shared" si="1302"/>
        <v/>
      </c>
      <c r="K1581" s="2" t="str">
        <f t="shared" si="1302"/>
        <v/>
      </c>
      <c r="L1581" s="2" t="str">
        <f t="shared" si="1302"/>
        <v/>
      </c>
      <c r="M1581" s="180" t="str">
        <f t="shared" si="1302"/>
        <v/>
      </c>
      <c r="N1581" s="2" t="str">
        <f t="shared" si="1300"/>
        <v/>
      </c>
      <c r="O1581" s="2">
        <f t="shared" si="1302"/>
        <v>0</v>
      </c>
    </row>
    <row r="1582" spans="1:15" x14ac:dyDescent="0.25">
      <c r="A1582" s="325">
        <v>1</v>
      </c>
      <c r="B1582" s="325">
        <f>TrialNumberDay2</f>
        <v>0</v>
      </c>
      <c r="C1582" s="325" t="s">
        <v>22</v>
      </c>
      <c r="D1582" s="325">
        <f>Excellent!C85</f>
        <v>0</v>
      </c>
      <c r="E1582" s="325" t="str">
        <f>IF(Excellent!B85="W","W","A")</f>
        <v>A</v>
      </c>
      <c r="F1582" s="325" t="s">
        <v>1741</v>
      </c>
      <c r="G1582" s="325" t="str">
        <f>IF(Excellent!O85="e","Y","")</f>
        <v/>
      </c>
      <c r="H1582" s="325" t="str">
        <f>IFERROR(VLOOKUP($D1582,'SDDA Dogs'!$A:$AE,2,FALSE),"")</f>
        <v/>
      </c>
      <c r="I1582" s="325" t="str">
        <f>IFERROR(VLOOKUP($D1582,'SDDA Dogs'!$A:$AE,3,FALSE),"")</f>
        <v/>
      </c>
      <c r="J1582" s="325" t="str">
        <f>IFERROR(VLOOKUP($D1582,'SDDA Dogs'!$A:$AE,6,FALSE),"")</f>
        <v/>
      </c>
      <c r="K1582" s="325" t="str">
        <f>IF(Excellent!AS85="","",Excellent!AS85)</f>
        <v/>
      </c>
      <c r="L1582" s="325" t="str">
        <f>IF(Excellent!AT85="","",Excellent!AT85)</f>
        <v/>
      </c>
      <c r="M1582" s="326" t="str">
        <f>TrialDateDay2</f>
        <v/>
      </c>
      <c r="N1582" s="325" t="str">
        <f t="shared" si="1300"/>
        <v/>
      </c>
      <c r="O1582" s="325">
        <f>JudgeD2ISE</f>
        <v>0</v>
      </c>
    </row>
    <row r="1583" spans="1:15" x14ac:dyDescent="0.25">
      <c r="A1583" s="2">
        <v>2</v>
      </c>
      <c r="B1583" s="2">
        <f t="shared" si="1303"/>
        <v>0</v>
      </c>
      <c r="C1583" s="2" t="str">
        <f t="shared" si="1303"/>
        <v>ISE</v>
      </c>
      <c r="D1583" s="2">
        <f t="shared" si="1303"/>
        <v>0</v>
      </c>
      <c r="E1583" s="2" t="str">
        <f t="shared" si="1302"/>
        <v>A</v>
      </c>
      <c r="F1583" s="2" t="str">
        <f t="shared" si="1302"/>
        <v>Interior Excellent</v>
      </c>
      <c r="G1583" s="2" t="str">
        <f t="shared" si="1302"/>
        <v/>
      </c>
      <c r="H1583" s="2" t="str">
        <f t="shared" si="1302"/>
        <v/>
      </c>
      <c r="I1583" s="2" t="str">
        <f t="shared" si="1302"/>
        <v/>
      </c>
      <c r="J1583" s="2" t="str">
        <f t="shared" si="1302"/>
        <v/>
      </c>
      <c r="K1583" s="2" t="str">
        <f t="shared" si="1302"/>
        <v/>
      </c>
      <c r="L1583" s="2" t="str">
        <f t="shared" si="1302"/>
        <v/>
      </c>
      <c r="M1583" s="180" t="str">
        <f t="shared" si="1302"/>
        <v/>
      </c>
      <c r="N1583" s="2" t="str">
        <f t="shared" si="1300"/>
        <v/>
      </c>
      <c r="O1583" s="2">
        <f t="shared" si="1302"/>
        <v>0</v>
      </c>
    </row>
    <row r="1584" spans="1:15" x14ac:dyDescent="0.25">
      <c r="A1584" s="325">
        <v>1</v>
      </c>
      <c r="B1584" s="325">
        <f>TrialNumberDay2</f>
        <v>0</v>
      </c>
      <c r="C1584" s="325" t="s">
        <v>22</v>
      </c>
      <c r="D1584" s="325">
        <f>Excellent!C86</f>
        <v>0</v>
      </c>
      <c r="E1584" s="325" t="str">
        <f>IF(Excellent!B86="W","W","A")</f>
        <v>A</v>
      </c>
      <c r="F1584" s="325" t="s">
        <v>1741</v>
      </c>
      <c r="G1584" s="325" t="str">
        <f>IF(Excellent!O86="e","Y","")</f>
        <v/>
      </c>
      <c r="H1584" s="325" t="str">
        <f>IFERROR(VLOOKUP($D1584,'SDDA Dogs'!$A:$AE,2,FALSE),"")</f>
        <v/>
      </c>
      <c r="I1584" s="325" t="str">
        <f>IFERROR(VLOOKUP($D1584,'SDDA Dogs'!$A:$AE,3,FALSE),"")</f>
        <v/>
      </c>
      <c r="J1584" s="325" t="str">
        <f>IFERROR(VLOOKUP($D1584,'SDDA Dogs'!$A:$AE,6,FALSE),"")</f>
        <v/>
      </c>
      <c r="K1584" s="325" t="str">
        <f>IF(Excellent!AS86="","",Excellent!AS86)</f>
        <v/>
      </c>
      <c r="L1584" s="325" t="str">
        <f>IF(Excellent!AT86="","",Excellent!AT86)</f>
        <v/>
      </c>
      <c r="M1584" s="326" t="str">
        <f>TrialDateDay2</f>
        <v/>
      </c>
      <c r="N1584" s="325" t="str">
        <f t="shared" si="1300"/>
        <v/>
      </c>
      <c r="O1584" s="325">
        <f t="shared" ref="O1584:O1615" si="1304">JudgeD2ISE</f>
        <v>0</v>
      </c>
    </row>
    <row r="1585" spans="1:15" x14ac:dyDescent="0.25">
      <c r="A1585" s="2">
        <v>2</v>
      </c>
      <c r="B1585" s="2">
        <f t="shared" ref="B1585:M1585" si="1305">B1584</f>
        <v>0</v>
      </c>
      <c r="C1585" s="2" t="str">
        <f t="shared" si="1305"/>
        <v>ISE</v>
      </c>
      <c r="D1585" s="2">
        <f t="shared" si="1305"/>
        <v>0</v>
      </c>
      <c r="E1585" s="2" t="str">
        <f t="shared" si="1305"/>
        <v>A</v>
      </c>
      <c r="F1585" s="2" t="str">
        <f t="shared" si="1305"/>
        <v>Interior Excellent</v>
      </c>
      <c r="G1585" s="2" t="str">
        <f t="shared" si="1305"/>
        <v/>
      </c>
      <c r="H1585" s="2" t="str">
        <f t="shared" si="1305"/>
        <v/>
      </c>
      <c r="I1585" s="2" t="str">
        <f t="shared" si="1305"/>
        <v/>
      </c>
      <c r="J1585" s="2" t="str">
        <f t="shared" si="1305"/>
        <v/>
      </c>
      <c r="K1585" s="2" t="str">
        <f t="shared" si="1305"/>
        <v/>
      </c>
      <c r="L1585" s="2" t="str">
        <f t="shared" si="1305"/>
        <v/>
      </c>
      <c r="M1585" s="180" t="str">
        <f t="shared" si="1305"/>
        <v/>
      </c>
      <c r="N1585" s="2" t="str">
        <f t="shared" si="1300"/>
        <v/>
      </c>
      <c r="O1585" s="2">
        <f t="shared" si="1304"/>
        <v>0</v>
      </c>
    </row>
    <row r="1586" spans="1:15" x14ac:dyDescent="0.25">
      <c r="A1586" s="325">
        <v>1</v>
      </c>
      <c r="B1586" s="325">
        <f>TrialNumberDay2</f>
        <v>0</v>
      </c>
      <c r="C1586" s="325" t="s">
        <v>22</v>
      </c>
      <c r="D1586" s="325">
        <f>Excellent!C87</f>
        <v>0</v>
      </c>
      <c r="E1586" s="325" t="str">
        <f>IF(Excellent!B87="W","W","A")</f>
        <v>A</v>
      </c>
      <c r="F1586" s="325" t="s">
        <v>1741</v>
      </c>
      <c r="G1586" s="325" t="str">
        <f>IF(Excellent!O87="e","Y","")</f>
        <v/>
      </c>
      <c r="H1586" s="325" t="str">
        <f>IFERROR(VLOOKUP($D1586,'SDDA Dogs'!$A:$AE,2,FALSE),"")</f>
        <v/>
      </c>
      <c r="I1586" s="325" t="str">
        <f>IFERROR(VLOOKUP($D1586,'SDDA Dogs'!$A:$AE,3,FALSE),"")</f>
        <v/>
      </c>
      <c r="J1586" s="325" t="str">
        <f>IFERROR(VLOOKUP($D1586,'SDDA Dogs'!$A:$AE,6,FALSE),"")</f>
        <v/>
      </c>
      <c r="K1586" s="325" t="str">
        <f>IF(Excellent!AS87="","",Excellent!AS87)</f>
        <v/>
      </c>
      <c r="L1586" s="325" t="str">
        <f>IF(Excellent!AT87="","",Excellent!AT87)</f>
        <v/>
      </c>
      <c r="M1586" s="326" t="str">
        <f>TrialDateDay2</f>
        <v/>
      </c>
      <c r="N1586" s="325" t="str">
        <f t="shared" si="1300"/>
        <v/>
      </c>
      <c r="O1586" s="325">
        <f t="shared" si="1304"/>
        <v>0</v>
      </c>
    </row>
    <row r="1587" spans="1:15" x14ac:dyDescent="0.25">
      <c r="A1587" s="2">
        <v>2</v>
      </c>
      <c r="B1587" s="2">
        <f t="shared" ref="B1587:M1587" si="1306">B1586</f>
        <v>0</v>
      </c>
      <c r="C1587" s="2" t="str">
        <f t="shared" si="1306"/>
        <v>ISE</v>
      </c>
      <c r="D1587" s="2">
        <f t="shared" si="1306"/>
        <v>0</v>
      </c>
      <c r="E1587" s="2" t="str">
        <f t="shared" si="1306"/>
        <v>A</v>
      </c>
      <c r="F1587" s="2" t="str">
        <f t="shared" si="1306"/>
        <v>Interior Excellent</v>
      </c>
      <c r="G1587" s="2" t="str">
        <f t="shared" si="1306"/>
        <v/>
      </c>
      <c r="H1587" s="2" t="str">
        <f t="shared" si="1306"/>
        <v/>
      </c>
      <c r="I1587" s="2" t="str">
        <f t="shared" si="1306"/>
        <v/>
      </c>
      <c r="J1587" s="2" t="str">
        <f t="shared" si="1306"/>
        <v/>
      </c>
      <c r="K1587" s="2" t="str">
        <f t="shared" si="1306"/>
        <v/>
      </c>
      <c r="L1587" s="2" t="str">
        <f t="shared" si="1306"/>
        <v/>
      </c>
      <c r="M1587" s="180" t="str">
        <f t="shared" si="1306"/>
        <v/>
      </c>
      <c r="N1587" s="2" t="str">
        <f t="shared" si="1300"/>
        <v/>
      </c>
      <c r="O1587" s="2">
        <f t="shared" si="1304"/>
        <v>0</v>
      </c>
    </row>
    <row r="1588" spans="1:15" x14ac:dyDescent="0.25">
      <c r="A1588" s="325">
        <v>1</v>
      </c>
      <c r="B1588" s="325">
        <f>TrialNumberDay2</f>
        <v>0</v>
      </c>
      <c r="C1588" s="325" t="s">
        <v>22</v>
      </c>
      <c r="D1588" s="325">
        <f>Excellent!C88</f>
        <v>0</v>
      </c>
      <c r="E1588" s="325" t="str">
        <f>IF(Excellent!B88="W","W","A")</f>
        <v>A</v>
      </c>
      <c r="F1588" s="325" t="s">
        <v>1741</v>
      </c>
      <c r="G1588" s="325" t="str">
        <f>IF(Excellent!O88="e","Y","")</f>
        <v/>
      </c>
      <c r="H1588" s="325" t="str">
        <f>IFERROR(VLOOKUP($D1588,'SDDA Dogs'!$A:$AE,2,FALSE),"")</f>
        <v/>
      </c>
      <c r="I1588" s="325" t="str">
        <f>IFERROR(VLOOKUP($D1588,'SDDA Dogs'!$A:$AE,3,FALSE),"")</f>
        <v/>
      </c>
      <c r="J1588" s="325" t="str">
        <f>IFERROR(VLOOKUP($D1588,'SDDA Dogs'!$A:$AE,6,FALSE),"")</f>
        <v/>
      </c>
      <c r="K1588" s="325" t="str">
        <f>IF(Excellent!AS88="","",Excellent!AS88)</f>
        <v/>
      </c>
      <c r="L1588" s="325" t="str">
        <f>IF(Excellent!AT88="","",Excellent!AT88)</f>
        <v/>
      </c>
      <c r="M1588" s="326" t="str">
        <f>TrialDateDay2</f>
        <v/>
      </c>
      <c r="N1588" s="325" t="str">
        <f t="shared" si="1300"/>
        <v/>
      </c>
      <c r="O1588" s="325">
        <f t="shared" si="1304"/>
        <v>0</v>
      </c>
    </row>
    <row r="1589" spans="1:15" x14ac:dyDescent="0.25">
      <c r="A1589" s="2">
        <v>2</v>
      </c>
      <c r="B1589" s="2">
        <f t="shared" ref="B1589:M1589" si="1307">B1588</f>
        <v>0</v>
      </c>
      <c r="C1589" s="2" t="str">
        <f t="shared" si="1307"/>
        <v>ISE</v>
      </c>
      <c r="D1589" s="2">
        <f t="shared" si="1307"/>
        <v>0</v>
      </c>
      <c r="E1589" s="2" t="str">
        <f t="shared" si="1307"/>
        <v>A</v>
      </c>
      <c r="F1589" s="2" t="str">
        <f t="shared" si="1307"/>
        <v>Interior Excellent</v>
      </c>
      <c r="G1589" s="2" t="str">
        <f t="shared" si="1307"/>
        <v/>
      </c>
      <c r="H1589" s="2" t="str">
        <f t="shared" si="1307"/>
        <v/>
      </c>
      <c r="I1589" s="2" t="str">
        <f t="shared" si="1307"/>
        <v/>
      </c>
      <c r="J1589" s="2" t="str">
        <f t="shared" si="1307"/>
        <v/>
      </c>
      <c r="K1589" s="2" t="str">
        <f t="shared" si="1307"/>
        <v/>
      </c>
      <c r="L1589" s="2" t="str">
        <f t="shared" si="1307"/>
        <v/>
      </c>
      <c r="M1589" s="180" t="str">
        <f t="shared" si="1307"/>
        <v/>
      </c>
      <c r="N1589" s="2" t="str">
        <f t="shared" si="1300"/>
        <v/>
      </c>
      <c r="O1589" s="2">
        <f t="shared" si="1304"/>
        <v>0</v>
      </c>
    </row>
    <row r="1590" spans="1:15" x14ac:dyDescent="0.25">
      <c r="A1590" s="325">
        <v>1</v>
      </c>
      <c r="B1590" s="325">
        <f>TrialNumberDay2</f>
        <v>0</v>
      </c>
      <c r="C1590" s="325" t="s">
        <v>22</v>
      </c>
      <c r="D1590" s="325">
        <f>Excellent!C89</f>
        <v>0</v>
      </c>
      <c r="E1590" s="325" t="str">
        <f>IF(Excellent!B89="W","W","A")</f>
        <v>A</v>
      </c>
      <c r="F1590" s="325" t="s">
        <v>1741</v>
      </c>
      <c r="G1590" s="325" t="str">
        <f>IF(Excellent!O89="e","Y","")</f>
        <v/>
      </c>
      <c r="H1590" s="325" t="str">
        <f>IFERROR(VLOOKUP($D1590,'SDDA Dogs'!$A:$AE,2,FALSE),"")</f>
        <v/>
      </c>
      <c r="I1590" s="325" t="str">
        <f>IFERROR(VLOOKUP($D1590,'SDDA Dogs'!$A:$AE,3,FALSE),"")</f>
        <v/>
      </c>
      <c r="J1590" s="325" t="str">
        <f>IFERROR(VLOOKUP($D1590,'SDDA Dogs'!$A:$AE,6,FALSE),"")</f>
        <v/>
      </c>
      <c r="K1590" s="325" t="str">
        <f>IF(Excellent!AS89="","",Excellent!AS89)</f>
        <v/>
      </c>
      <c r="L1590" s="325" t="str">
        <f>IF(Excellent!AT89="","",Excellent!AT89)</f>
        <v/>
      </c>
      <c r="M1590" s="326" t="str">
        <f>TrialDateDay2</f>
        <v/>
      </c>
      <c r="N1590" s="325" t="str">
        <f t="shared" si="1300"/>
        <v/>
      </c>
      <c r="O1590" s="325">
        <f t="shared" si="1304"/>
        <v>0</v>
      </c>
    </row>
    <row r="1591" spans="1:15" x14ac:dyDescent="0.25">
      <c r="A1591" s="2">
        <v>2</v>
      </c>
      <c r="B1591" s="2">
        <f t="shared" ref="B1591:M1591" si="1308">B1590</f>
        <v>0</v>
      </c>
      <c r="C1591" s="2" t="str">
        <f t="shared" si="1308"/>
        <v>ISE</v>
      </c>
      <c r="D1591" s="2">
        <f t="shared" si="1308"/>
        <v>0</v>
      </c>
      <c r="E1591" s="2" t="str">
        <f t="shared" si="1308"/>
        <v>A</v>
      </c>
      <c r="F1591" s="2" t="str">
        <f t="shared" si="1308"/>
        <v>Interior Excellent</v>
      </c>
      <c r="G1591" s="2" t="str">
        <f t="shared" si="1308"/>
        <v/>
      </c>
      <c r="H1591" s="2" t="str">
        <f t="shared" si="1308"/>
        <v/>
      </c>
      <c r="I1591" s="2" t="str">
        <f t="shared" si="1308"/>
        <v/>
      </c>
      <c r="J1591" s="2" t="str">
        <f t="shared" si="1308"/>
        <v/>
      </c>
      <c r="K1591" s="2" t="str">
        <f t="shared" si="1308"/>
        <v/>
      </c>
      <c r="L1591" s="2" t="str">
        <f t="shared" si="1308"/>
        <v/>
      </c>
      <c r="M1591" s="180" t="str">
        <f t="shared" si="1308"/>
        <v/>
      </c>
      <c r="N1591" s="2" t="str">
        <f t="shared" si="1300"/>
        <v/>
      </c>
      <c r="O1591" s="2">
        <f t="shared" si="1304"/>
        <v>0</v>
      </c>
    </row>
    <row r="1592" spans="1:15" x14ac:dyDescent="0.25">
      <c r="A1592" s="325">
        <v>1</v>
      </c>
      <c r="B1592" s="325">
        <f>TrialNumberDay2</f>
        <v>0</v>
      </c>
      <c r="C1592" s="325" t="s">
        <v>22</v>
      </c>
      <c r="D1592" s="325">
        <f>Excellent!C90</f>
        <v>0</v>
      </c>
      <c r="E1592" s="325" t="str">
        <f>IF(Excellent!B90="W","W","A")</f>
        <v>A</v>
      </c>
      <c r="F1592" s="325" t="s">
        <v>1741</v>
      </c>
      <c r="G1592" s="325" t="str">
        <f>IF(Excellent!O90="e","Y","")</f>
        <v/>
      </c>
      <c r="H1592" s="325" t="str">
        <f>IFERROR(VLOOKUP($D1592,'SDDA Dogs'!$A:$AE,2,FALSE),"")</f>
        <v/>
      </c>
      <c r="I1592" s="325" t="str">
        <f>IFERROR(VLOOKUP($D1592,'SDDA Dogs'!$A:$AE,3,FALSE),"")</f>
        <v/>
      </c>
      <c r="J1592" s="325" t="str">
        <f>IFERROR(VLOOKUP($D1592,'SDDA Dogs'!$A:$AE,6,FALSE),"")</f>
        <v/>
      </c>
      <c r="K1592" s="325" t="str">
        <f>IF(Excellent!AS90="","",Excellent!AS90)</f>
        <v/>
      </c>
      <c r="L1592" s="325" t="str">
        <f>IF(Excellent!AT90="","",Excellent!AT90)</f>
        <v/>
      </c>
      <c r="M1592" s="326" t="str">
        <f>TrialDateDay2</f>
        <v/>
      </c>
      <c r="N1592" s="325" t="str">
        <f t="shared" si="1300"/>
        <v/>
      </c>
      <c r="O1592" s="325">
        <f t="shared" si="1304"/>
        <v>0</v>
      </c>
    </row>
    <row r="1593" spans="1:15" x14ac:dyDescent="0.25">
      <c r="A1593" s="2">
        <v>2</v>
      </c>
      <c r="B1593" s="2">
        <f t="shared" ref="B1593:M1593" si="1309">B1592</f>
        <v>0</v>
      </c>
      <c r="C1593" s="2" t="str">
        <f t="shared" si="1309"/>
        <v>ISE</v>
      </c>
      <c r="D1593" s="2">
        <f t="shared" si="1309"/>
        <v>0</v>
      </c>
      <c r="E1593" s="2" t="str">
        <f t="shared" si="1309"/>
        <v>A</v>
      </c>
      <c r="F1593" s="2" t="str">
        <f t="shared" si="1309"/>
        <v>Interior Excellent</v>
      </c>
      <c r="G1593" s="2" t="str">
        <f t="shared" si="1309"/>
        <v/>
      </c>
      <c r="H1593" s="2" t="str">
        <f t="shared" si="1309"/>
        <v/>
      </c>
      <c r="I1593" s="2" t="str">
        <f t="shared" si="1309"/>
        <v/>
      </c>
      <c r="J1593" s="2" t="str">
        <f t="shared" si="1309"/>
        <v/>
      </c>
      <c r="K1593" s="2" t="str">
        <f t="shared" si="1309"/>
        <v/>
      </c>
      <c r="L1593" s="2" t="str">
        <f t="shared" si="1309"/>
        <v/>
      </c>
      <c r="M1593" s="180" t="str">
        <f t="shared" si="1309"/>
        <v/>
      </c>
      <c r="N1593" s="2" t="str">
        <f t="shared" si="1300"/>
        <v/>
      </c>
      <c r="O1593" s="2">
        <f t="shared" si="1304"/>
        <v>0</v>
      </c>
    </row>
    <row r="1594" spans="1:15" x14ac:dyDescent="0.25">
      <c r="A1594" s="325">
        <v>1</v>
      </c>
      <c r="B1594" s="325">
        <f>TrialNumberDay2</f>
        <v>0</v>
      </c>
      <c r="C1594" s="325" t="s">
        <v>22</v>
      </c>
      <c r="D1594" s="325">
        <f>Excellent!C91</f>
        <v>0</v>
      </c>
      <c r="E1594" s="325" t="str">
        <f>IF(Excellent!B91="W","W","A")</f>
        <v>A</v>
      </c>
      <c r="F1594" s="325" t="s">
        <v>1741</v>
      </c>
      <c r="G1594" s="325" t="str">
        <f>IF(Excellent!O91="e","Y","")</f>
        <v/>
      </c>
      <c r="H1594" s="325" t="str">
        <f>IFERROR(VLOOKUP($D1594,'SDDA Dogs'!$A:$AE,2,FALSE),"")</f>
        <v/>
      </c>
      <c r="I1594" s="325" t="str">
        <f>IFERROR(VLOOKUP($D1594,'SDDA Dogs'!$A:$AE,3,FALSE),"")</f>
        <v/>
      </c>
      <c r="J1594" s="325" t="str">
        <f>IFERROR(VLOOKUP($D1594,'SDDA Dogs'!$A:$AE,6,FALSE),"")</f>
        <v/>
      </c>
      <c r="K1594" s="325" t="str">
        <f>IF(Excellent!AS91="","",Excellent!AS91)</f>
        <v/>
      </c>
      <c r="L1594" s="325" t="str">
        <f>IF(Excellent!AT91="","",Excellent!AT91)</f>
        <v/>
      </c>
      <c r="M1594" s="326" t="str">
        <f>TrialDateDay2</f>
        <v/>
      </c>
      <c r="N1594" s="325" t="str">
        <f t="shared" si="1300"/>
        <v/>
      </c>
      <c r="O1594" s="325">
        <f t="shared" si="1304"/>
        <v>0</v>
      </c>
    </row>
    <row r="1595" spans="1:15" x14ac:dyDescent="0.25">
      <c r="A1595" s="2">
        <v>2</v>
      </c>
      <c r="B1595" s="2">
        <f t="shared" ref="B1595:M1595" si="1310">B1594</f>
        <v>0</v>
      </c>
      <c r="C1595" s="2" t="str">
        <f t="shared" si="1310"/>
        <v>ISE</v>
      </c>
      <c r="D1595" s="2">
        <f t="shared" si="1310"/>
        <v>0</v>
      </c>
      <c r="E1595" s="2" t="str">
        <f t="shared" si="1310"/>
        <v>A</v>
      </c>
      <c r="F1595" s="2" t="str">
        <f t="shared" si="1310"/>
        <v>Interior Excellent</v>
      </c>
      <c r="G1595" s="2" t="str">
        <f t="shared" si="1310"/>
        <v/>
      </c>
      <c r="H1595" s="2" t="str">
        <f t="shared" si="1310"/>
        <v/>
      </c>
      <c r="I1595" s="2" t="str">
        <f t="shared" si="1310"/>
        <v/>
      </c>
      <c r="J1595" s="2" t="str">
        <f t="shared" si="1310"/>
        <v/>
      </c>
      <c r="K1595" s="2" t="str">
        <f t="shared" si="1310"/>
        <v/>
      </c>
      <c r="L1595" s="2" t="str">
        <f t="shared" si="1310"/>
        <v/>
      </c>
      <c r="M1595" s="180" t="str">
        <f t="shared" si="1310"/>
        <v/>
      </c>
      <c r="N1595" s="2" t="str">
        <f t="shared" si="1300"/>
        <v/>
      </c>
      <c r="O1595" s="2">
        <f t="shared" si="1304"/>
        <v>0</v>
      </c>
    </row>
    <row r="1596" spans="1:15" x14ac:dyDescent="0.25">
      <c r="A1596" s="325">
        <v>1</v>
      </c>
      <c r="B1596" s="325">
        <f>TrialNumberDay2</f>
        <v>0</v>
      </c>
      <c r="C1596" s="325" t="s">
        <v>22</v>
      </c>
      <c r="D1596" s="325">
        <f>Excellent!C92</f>
        <v>0</v>
      </c>
      <c r="E1596" s="325" t="str">
        <f>IF(Excellent!B92="W","W","A")</f>
        <v>A</v>
      </c>
      <c r="F1596" s="325" t="s">
        <v>1741</v>
      </c>
      <c r="G1596" s="325" t="str">
        <f>IF(Excellent!O92="e","Y","")</f>
        <v/>
      </c>
      <c r="H1596" s="325" t="str">
        <f>IFERROR(VLOOKUP($D1596,'SDDA Dogs'!$A:$AE,2,FALSE),"")</f>
        <v/>
      </c>
      <c r="I1596" s="325" t="str">
        <f>IFERROR(VLOOKUP($D1596,'SDDA Dogs'!$A:$AE,3,FALSE),"")</f>
        <v/>
      </c>
      <c r="J1596" s="325" t="str">
        <f>IFERROR(VLOOKUP($D1596,'SDDA Dogs'!$A:$AE,6,FALSE),"")</f>
        <v/>
      </c>
      <c r="K1596" s="325" t="str">
        <f>IF(Excellent!AS92="","",Excellent!AS92)</f>
        <v/>
      </c>
      <c r="L1596" s="325" t="str">
        <f>IF(Excellent!AT92="","",Excellent!AT92)</f>
        <v/>
      </c>
      <c r="M1596" s="326" t="str">
        <f>TrialDateDay2</f>
        <v/>
      </c>
      <c r="N1596" s="325" t="str">
        <f t="shared" si="1300"/>
        <v/>
      </c>
      <c r="O1596" s="325">
        <f t="shared" si="1304"/>
        <v>0</v>
      </c>
    </row>
    <row r="1597" spans="1:15" x14ac:dyDescent="0.25">
      <c r="A1597" s="2">
        <v>2</v>
      </c>
      <c r="B1597" s="2">
        <f t="shared" ref="B1597:M1597" si="1311">B1596</f>
        <v>0</v>
      </c>
      <c r="C1597" s="2" t="str">
        <f t="shared" si="1311"/>
        <v>ISE</v>
      </c>
      <c r="D1597" s="2">
        <f t="shared" si="1311"/>
        <v>0</v>
      </c>
      <c r="E1597" s="2" t="str">
        <f t="shared" si="1311"/>
        <v>A</v>
      </c>
      <c r="F1597" s="2" t="str">
        <f t="shared" si="1311"/>
        <v>Interior Excellent</v>
      </c>
      <c r="G1597" s="2" t="str">
        <f t="shared" si="1311"/>
        <v/>
      </c>
      <c r="H1597" s="2" t="str">
        <f t="shared" si="1311"/>
        <v/>
      </c>
      <c r="I1597" s="2" t="str">
        <f t="shared" si="1311"/>
        <v/>
      </c>
      <c r="J1597" s="2" t="str">
        <f t="shared" si="1311"/>
        <v/>
      </c>
      <c r="K1597" s="2" t="str">
        <f t="shared" si="1311"/>
        <v/>
      </c>
      <c r="L1597" s="2" t="str">
        <f t="shared" si="1311"/>
        <v/>
      </c>
      <c r="M1597" s="180" t="str">
        <f t="shared" si="1311"/>
        <v/>
      </c>
      <c r="N1597" s="2" t="str">
        <f t="shared" si="1300"/>
        <v/>
      </c>
      <c r="O1597" s="2">
        <f t="shared" si="1304"/>
        <v>0</v>
      </c>
    </row>
    <row r="1598" spans="1:15" x14ac:dyDescent="0.25">
      <c r="A1598" s="325">
        <v>1</v>
      </c>
      <c r="B1598" s="325">
        <f>TrialNumberDay2</f>
        <v>0</v>
      </c>
      <c r="C1598" s="325" t="s">
        <v>22</v>
      </c>
      <c r="D1598" s="325">
        <f>Excellent!C93</f>
        <v>0</v>
      </c>
      <c r="E1598" s="325" t="str">
        <f>IF(Excellent!B93="W","W","A")</f>
        <v>A</v>
      </c>
      <c r="F1598" s="325" t="s">
        <v>1741</v>
      </c>
      <c r="G1598" s="325" t="str">
        <f>IF(Excellent!O93="e","Y","")</f>
        <v/>
      </c>
      <c r="H1598" s="325" t="str">
        <f>IFERROR(VLOOKUP($D1598,'SDDA Dogs'!$A:$AE,2,FALSE),"")</f>
        <v/>
      </c>
      <c r="I1598" s="325" t="str">
        <f>IFERROR(VLOOKUP($D1598,'SDDA Dogs'!$A:$AE,3,FALSE),"")</f>
        <v/>
      </c>
      <c r="J1598" s="325" t="str">
        <f>IFERROR(VLOOKUP($D1598,'SDDA Dogs'!$A:$AE,6,FALSE),"")</f>
        <v/>
      </c>
      <c r="K1598" s="325" t="str">
        <f>IF(Excellent!AS93="","",Excellent!AS93)</f>
        <v/>
      </c>
      <c r="L1598" s="325" t="str">
        <f>IF(Excellent!AT93="","",Excellent!AT93)</f>
        <v/>
      </c>
      <c r="M1598" s="326" t="str">
        <f>TrialDateDay2</f>
        <v/>
      </c>
      <c r="N1598" s="325" t="str">
        <f t="shared" si="1300"/>
        <v/>
      </c>
      <c r="O1598" s="325">
        <f t="shared" si="1304"/>
        <v>0</v>
      </c>
    </row>
    <row r="1599" spans="1:15" x14ac:dyDescent="0.25">
      <c r="A1599" s="2">
        <v>2</v>
      </c>
      <c r="B1599" s="2">
        <f t="shared" ref="B1599:M1599" si="1312">B1598</f>
        <v>0</v>
      </c>
      <c r="C1599" s="2" t="str">
        <f t="shared" si="1312"/>
        <v>ISE</v>
      </c>
      <c r="D1599" s="2">
        <f t="shared" si="1312"/>
        <v>0</v>
      </c>
      <c r="E1599" s="2" t="str">
        <f t="shared" si="1312"/>
        <v>A</v>
      </c>
      <c r="F1599" s="2" t="str">
        <f t="shared" si="1312"/>
        <v>Interior Excellent</v>
      </c>
      <c r="G1599" s="2" t="str">
        <f t="shared" si="1312"/>
        <v/>
      </c>
      <c r="H1599" s="2" t="str">
        <f t="shared" si="1312"/>
        <v/>
      </c>
      <c r="I1599" s="2" t="str">
        <f t="shared" si="1312"/>
        <v/>
      </c>
      <c r="J1599" s="2" t="str">
        <f t="shared" si="1312"/>
        <v/>
      </c>
      <c r="K1599" s="2" t="str">
        <f t="shared" si="1312"/>
        <v/>
      </c>
      <c r="L1599" s="2" t="str">
        <f t="shared" si="1312"/>
        <v/>
      </c>
      <c r="M1599" s="180" t="str">
        <f t="shared" si="1312"/>
        <v/>
      </c>
      <c r="N1599" s="2" t="str">
        <f t="shared" si="1300"/>
        <v/>
      </c>
      <c r="O1599" s="2">
        <f t="shared" si="1304"/>
        <v>0</v>
      </c>
    </row>
    <row r="1600" spans="1:15" x14ac:dyDescent="0.25">
      <c r="A1600" s="325">
        <v>1</v>
      </c>
      <c r="B1600" s="325">
        <f>TrialNumberDay2</f>
        <v>0</v>
      </c>
      <c r="C1600" s="325" t="s">
        <v>22</v>
      </c>
      <c r="D1600" s="325">
        <f>Excellent!C94</f>
        <v>0</v>
      </c>
      <c r="E1600" s="325" t="str">
        <f>IF(Excellent!B94="W","W","A")</f>
        <v>A</v>
      </c>
      <c r="F1600" s="325" t="s">
        <v>1741</v>
      </c>
      <c r="G1600" s="325" t="str">
        <f>IF(Excellent!O94="e","Y","")</f>
        <v/>
      </c>
      <c r="H1600" s="325" t="str">
        <f>IFERROR(VLOOKUP($D1600,'SDDA Dogs'!$A:$AE,2,FALSE),"")</f>
        <v/>
      </c>
      <c r="I1600" s="325" t="str">
        <f>IFERROR(VLOOKUP($D1600,'SDDA Dogs'!$A:$AE,3,FALSE),"")</f>
        <v/>
      </c>
      <c r="J1600" s="325" t="str">
        <f>IFERROR(VLOOKUP($D1600,'SDDA Dogs'!$A:$AE,6,FALSE),"")</f>
        <v/>
      </c>
      <c r="K1600" s="325" t="str">
        <f>IF(Excellent!AS94="","",Excellent!AS94)</f>
        <v/>
      </c>
      <c r="L1600" s="325" t="str">
        <f>IF(Excellent!AT94="","",Excellent!AT94)</f>
        <v/>
      </c>
      <c r="M1600" s="326" t="str">
        <f>TrialDateDay2</f>
        <v/>
      </c>
      <c r="N1600" s="325" t="str">
        <f t="shared" si="1300"/>
        <v/>
      </c>
      <c r="O1600" s="325">
        <f t="shared" si="1304"/>
        <v>0</v>
      </c>
    </row>
    <row r="1601" spans="1:15" x14ac:dyDescent="0.25">
      <c r="A1601" s="2">
        <v>2</v>
      </c>
      <c r="B1601" s="2">
        <f t="shared" ref="B1601:M1601" si="1313">B1600</f>
        <v>0</v>
      </c>
      <c r="C1601" s="2" t="str">
        <f t="shared" si="1313"/>
        <v>ISE</v>
      </c>
      <c r="D1601" s="2">
        <f t="shared" si="1313"/>
        <v>0</v>
      </c>
      <c r="E1601" s="2" t="str">
        <f t="shared" si="1313"/>
        <v>A</v>
      </c>
      <c r="F1601" s="2" t="str">
        <f t="shared" si="1313"/>
        <v>Interior Excellent</v>
      </c>
      <c r="G1601" s="2" t="str">
        <f t="shared" si="1313"/>
        <v/>
      </c>
      <c r="H1601" s="2" t="str">
        <f t="shared" si="1313"/>
        <v/>
      </c>
      <c r="I1601" s="2" t="str">
        <f t="shared" si="1313"/>
        <v/>
      </c>
      <c r="J1601" s="2" t="str">
        <f t="shared" si="1313"/>
        <v/>
      </c>
      <c r="K1601" s="2" t="str">
        <f t="shared" si="1313"/>
        <v/>
      </c>
      <c r="L1601" s="2" t="str">
        <f t="shared" si="1313"/>
        <v/>
      </c>
      <c r="M1601" s="180" t="str">
        <f t="shared" si="1313"/>
        <v/>
      </c>
      <c r="N1601" s="2" t="str">
        <f t="shared" si="1300"/>
        <v/>
      </c>
      <c r="O1601" s="2">
        <f t="shared" si="1304"/>
        <v>0</v>
      </c>
    </row>
    <row r="1602" spans="1:15" x14ac:dyDescent="0.25">
      <c r="A1602" s="325">
        <v>1</v>
      </c>
      <c r="B1602" s="325">
        <f>TrialNumberDay2</f>
        <v>0</v>
      </c>
      <c r="C1602" s="325" t="s">
        <v>22</v>
      </c>
      <c r="D1602" s="325">
        <f>Excellent!C95</f>
        <v>0</v>
      </c>
      <c r="E1602" s="325" t="str">
        <f>IF(Excellent!B95="W","W","A")</f>
        <v>A</v>
      </c>
      <c r="F1602" s="325" t="s">
        <v>1741</v>
      </c>
      <c r="G1602" s="325" t="str">
        <f>IF(Excellent!O95="e","Y","")</f>
        <v/>
      </c>
      <c r="H1602" s="325" t="str">
        <f>IFERROR(VLOOKUP($D1602,'SDDA Dogs'!$A:$AE,2,FALSE),"")</f>
        <v/>
      </c>
      <c r="I1602" s="325" t="str">
        <f>IFERROR(VLOOKUP($D1602,'SDDA Dogs'!$A:$AE,3,FALSE),"")</f>
        <v/>
      </c>
      <c r="J1602" s="325" t="str">
        <f>IFERROR(VLOOKUP($D1602,'SDDA Dogs'!$A:$AE,6,FALSE),"")</f>
        <v/>
      </c>
      <c r="K1602" s="325" t="str">
        <f>IF(Excellent!AS95="","",Excellent!AS95)</f>
        <v/>
      </c>
      <c r="L1602" s="325" t="str">
        <f>IF(Excellent!AT95="","",Excellent!AT95)</f>
        <v/>
      </c>
      <c r="M1602" s="326" t="str">
        <f>TrialDateDay2</f>
        <v/>
      </c>
      <c r="N1602" s="325" t="str">
        <f t="shared" si="1300"/>
        <v/>
      </c>
      <c r="O1602" s="325">
        <f t="shared" si="1304"/>
        <v>0</v>
      </c>
    </row>
    <row r="1603" spans="1:15" x14ac:dyDescent="0.25">
      <c r="A1603" s="2">
        <v>2</v>
      </c>
      <c r="B1603" s="2">
        <f t="shared" ref="B1603:M1603" si="1314">B1602</f>
        <v>0</v>
      </c>
      <c r="C1603" s="2" t="str">
        <f t="shared" si="1314"/>
        <v>ISE</v>
      </c>
      <c r="D1603" s="2">
        <f t="shared" si="1314"/>
        <v>0</v>
      </c>
      <c r="E1603" s="2" t="str">
        <f t="shared" si="1314"/>
        <v>A</v>
      </c>
      <c r="F1603" s="2" t="str">
        <f t="shared" si="1314"/>
        <v>Interior Excellent</v>
      </c>
      <c r="G1603" s="2" t="str">
        <f t="shared" si="1314"/>
        <v/>
      </c>
      <c r="H1603" s="2" t="str">
        <f t="shared" si="1314"/>
        <v/>
      </c>
      <c r="I1603" s="2" t="str">
        <f t="shared" si="1314"/>
        <v/>
      </c>
      <c r="J1603" s="2" t="str">
        <f t="shared" si="1314"/>
        <v/>
      </c>
      <c r="K1603" s="2" t="str">
        <f t="shared" si="1314"/>
        <v/>
      </c>
      <c r="L1603" s="2" t="str">
        <f t="shared" si="1314"/>
        <v/>
      </c>
      <c r="M1603" s="180" t="str">
        <f t="shared" si="1314"/>
        <v/>
      </c>
      <c r="N1603" s="2" t="str">
        <f t="shared" si="1300"/>
        <v/>
      </c>
      <c r="O1603" s="2">
        <f t="shared" si="1304"/>
        <v>0</v>
      </c>
    </row>
    <row r="1604" spans="1:15" x14ac:dyDescent="0.25">
      <c r="A1604" s="325">
        <v>1</v>
      </c>
      <c r="B1604" s="325">
        <f>TrialNumberDay2</f>
        <v>0</v>
      </c>
      <c r="C1604" s="325" t="s">
        <v>22</v>
      </c>
      <c r="D1604" s="325">
        <f>Excellent!C96</f>
        <v>0</v>
      </c>
      <c r="E1604" s="325" t="str">
        <f>IF(Excellent!B96="W","W","A")</f>
        <v>A</v>
      </c>
      <c r="F1604" s="325" t="s">
        <v>1741</v>
      </c>
      <c r="G1604" s="325" t="str">
        <f>IF(Excellent!O96="e","Y","")</f>
        <v/>
      </c>
      <c r="H1604" s="325" t="str">
        <f>IFERROR(VLOOKUP($D1604,'SDDA Dogs'!$A:$AE,2,FALSE),"")</f>
        <v/>
      </c>
      <c r="I1604" s="325" t="str">
        <f>IFERROR(VLOOKUP($D1604,'SDDA Dogs'!$A:$AE,3,FALSE),"")</f>
        <v/>
      </c>
      <c r="J1604" s="325" t="str">
        <f>IFERROR(VLOOKUP($D1604,'SDDA Dogs'!$A:$AE,6,FALSE),"")</f>
        <v/>
      </c>
      <c r="K1604" s="325" t="str">
        <f>IF(Excellent!AS96="","",Excellent!AS96)</f>
        <v/>
      </c>
      <c r="L1604" s="325" t="str">
        <f>IF(Excellent!AT96="","",Excellent!AT96)</f>
        <v/>
      </c>
      <c r="M1604" s="326" t="str">
        <f>TrialDateDay2</f>
        <v/>
      </c>
      <c r="N1604" s="325" t="str">
        <f t="shared" ref="N1604:N1667" si="1315">N1603</f>
        <v/>
      </c>
      <c r="O1604" s="325">
        <f t="shared" si="1304"/>
        <v>0</v>
      </c>
    </row>
    <row r="1605" spans="1:15" x14ac:dyDescent="0.25">
      <c r="A1605" s="2">
        <v>2</v>
      </c>
      <c r="B1605" s="2">
        <f t="shared" ref="B1605:M1605" si="1316">B1604</f>
        <v>0</v>
      </c>
      <c r="C1605" s="2" t="str">
        <f t="shared" si="1316"/>
        <v>ISE</v>
      </c>
      <c r="D1605" s="2">
        <f t="shared" si="1316"/>
        <v>0</v>
      </c>
      <c r="E1605" s="2" t="str">
        <f t="shared" si="1316"/>
        <v>A</v>
      </c>
      <c r="F1605" s="2" t="str">
        <f t="shared" si="1316"/>
        <v>Interior Excellent</v>
      </c>
      <c r="G1605" s="2" t="str">
        <f t="shared" si="1316"/>
        <v/>
      </c>
      <c r="H1605" s="2" t="str">
        <f t="shared" si="1316"/>
        <v/>
      </c>
      <c r="I1605" s="2" t="str">
        <f t="shared" si="1316"/>
        <v/>
      </c>
      <c r="J1605" s="2" t="str">
        <f t="shared" si="1316"/>
        <v/>
      </c>
      <c r="K1605" s="2" t="str">
        <f t="shared" si="1316"/>
        <v/>
      </c>
      <c r="L1605" s="2" t="str">
        <f t="shared" si="1316"/>
        <v/>
      </c>
      <c r="M1605" s="180" t="str">
        <f t="shared" si="1316"/>
        <v/>
      </c>
      <c r="N1605" s="2" t="str">
        <f t="shared" si="1315"/>
        <v/>
      </c>
      <c r="O1605" s="2">
        <f t="shared" si="1304"/>
        <v>0</v>
      </c>
    </row>
    <row r="1606" spans="1:15" x14ac:dyDescent="0.25">
      <c r="A1606" s="325">
        <v>1</v>
      </c>
      <c r="B1606" s="325">
        <f>TrialNumberDay2</f>
        <v>0</v>
      </c>
      <c r="C1606" s="325" t="s">
        <v>22</v>
      </c>
      <c r="D1606" s="325">
        <f>Excellent!C97</f>
        <v>0</v>
      </c>
      <c r="E1606" s="325" t="str">
        <f>IF(Excellent!B97="W","W","A")</f>
        <v>A</v>
      </c>
      <c r="F1606" s="325" t="s">
        <v>1741</v>
      </c>
      <c r="G1606" s="325" t="str">
        <f>IF(Excellent!O97="e","Y","")</f>
        <v/>
      </c>
      <c r="H1606" s="325" t="str">
        <f>IFERROR(VLOOKUP($D1606,'SDDA Dogs'!$A:$AE,2,FALSE),"")</f>
        <v/>
      </c>
      <c r="I1606" s="325" t="str">
        <f>IFERROR(VLOOKUP($D1606,'SDDA Dogs'!$A:$AE,3,FALSE),"")</f>
        <v/>
      </c>
      <c r="J1606" s="325" t="str">
        <f>IFERROR(VLOOKUP($D1606,'SDDA Dogs'!$A:$AE,6,FALSE),"")</f>
        <v/>
      </c>
      <c r="K1606" s="325" t="str">
        <f>IF(Excellent!AS97="","",Excellent!AS97)</f>
        <v/>
      </c>
      <c r="L1606" s="325" t="str">
        <f>IF(Excellent!AT97="","",Excellent!AT97)</f>
        <v/>
      </c>
      <c r="M1606" s="326" t="str">
        <f>TrialDateDay2</f>
        <v/>
      </c>
      <c r="N1606" s="325" t="str">
        <f t="shared" si="1315"/>
        <v/>
      </c>
      <c r="O1606" s="325">
        <f t="shared" si="1304"/>
        <v>0</v>
      </c>
    </row>
    <row r="1607" spans="1:15" x14ac:dyDescent="0.25">
      <c r="A1607" s="2">
        <v>2</v>
      </c>
      <c r="B1607" s="2">
        <f t="shared" ref="B1607:M1607" si="1317">B1606</f>
        <v>0</v>
      </c>
      <c r="C1607" s="2" t="str">
        <f t="shared" si="1317"/>
        <v>ISE</v>
      </c>
      <c r="D1607" s="2">
        <f t="shared" si="1317"/>
        <v>0</v>
      </c>
      <c r="E1607" s="2" t="str">
        <f t="shared" si="1317"/>
        <v>A</v>
      </c>
      <c r="F1607" s="2" t="str">
        <f t="shared" si="1317"/>
        <v>Interior Excellent</v>
      </c>
      <c r="G1607" s="2" t="str">
        <f t="shared" si="1317"/>
        <v/>
      </c>
      <c r="H1607" s="2" t="str">
        <f t="shared" si="1317"/>
        <v/>
      </c>
      <c r="I1607" s="2" t="str">
        <f t="shared" si="1317"/>
        <v/>
      </c>
      <c r="J1607" s="2" t="str">
        <f t="shared" si="1317"/>
        <v/>
      </c>
      <c r="K1607" s="2" t="str">
        <f t="shared" si="1317"/>
        <v/>
      </c>
      <c r="L1607" s="2" t="str">
        <f t="shared" si="1317"/>
        <v/>
      </c>
      <c r="M1607" s="180" t="str">
        <f t="shared" si="1317"/>
        <v/>
      </c>
      <c r="N1607" s="2" t="str">
        <f t="shared" si="1315"/>
        <v/>
      </c>
      <c r="O1607" s="2">
        <f t="shared" si="1304"/>
        <v>0</v>
      </c>
    </row>
    <row r="1608" spans="1:15" x14ac:dyDescent="0.25">
      <c r="A1608" s="325">
        <v>1</v>
      </c>
      <c r="B1608" s="325">
        <f>TrialNumberDay2</f>
        <v>0</v>
      </c>
      <c r="C1608" s="325" t="s">
        <v>22</v>
      </c>
      <c r="D1608" s="325">
        <f>Excellent!C98</f>
        <v>0</v>
      </c>
      <c r="E1608" s="325" t="str">
        <f>IF(Excellent!B98="W","W","A")</f>
        <v>A</v>
      </c>
      <c r="F1608" s="325" t="s">
        <v>1741</v>
      </c>
      <c r="G1608" s="325" t="str">
        <f>IF(Excellent!O98="e","Y","")</f>
        <v/>
      </c>
      <c r="H1608" s="325" t="str">
        <f>IFERROR(VLOOKUP($D1608,'SDDA Dogs'!$A:$AE,2,FALSE),"")</f>
        <v/>
      </c>
      <c r="I1608" s="325" t="str">
        <f>IFERROR(VLOOKUP($D1608,'SDDA Dogs'!$A:$AE,3,FALSE),"")</f>
        <v/>
      </c>
      <c r="J1608" s="325" t="str">
        <f>IFERROR(VLOOKUP($D1608,'SDDA Dogs'!$A:$AE,6,FALSE),"")</f>
        <v/>
      </c>
      <c r="K1608" s="325" t="str">
        <f>IF(Excellent!AS98="","",Excellent!AS98)</f>
        <v/>
      </c>
      <c r="L1608" s="325" t="str">
        <f>IF(Excellent!AT98="","",Excellent!AT98)</f>
        <v/>
      </c>
      <c r="M1608" s="326" t="str">
        <f>TrialDateDay2</f>
        <v/>
      </c>
      <c r="N1608" s="325" t="str">
        <f t="shared" si="1315"/>
        <v/>
      </c>
      <c r="O1608" s="325">
        <f t="shared" si="1304"/>
        <v>0</v>
      </c>
    </row>
    <row r="1609" spans="1:15" x14ac:dyDescent="0.25">
      <c r="A1609" s="2">
        <v>2</v>
      </c>
      <c r="B1609" s="2">
        <f t="shared" ref="B1609:M1609" si="1318">B1608</f>
        <v>0</v>
      </c>
      <c r="C1609" s="2" t="str">
        <f t="shared" si="1318"/>
        <v>ISE</v>
      </c>
      <c r="D1609" s="2">
        <f t="shared" si="1318"/>
        <v>0</v>
      </c>
      <c r="E1609" s="2" t="str">
        <f t="shared" si="1318"/>
        <v>A</v>
      </c>
      <c r="F1609" s="2" t="str">
        <f t="shared" si="1318"/>
        <v>Interior Excellent</v>
      </c>
      <c r="G1609" s="2" t="str">
        <f t="shared" si="1318"/>
        <v/>
      </c>
      <c r="H1609" s="2" t="str">
        <f t="shared" si="1318"/>
        <v/>
      </c>
      <c r="I1609" s="2" t="str">
        <f t="shared" si="1318"/>
        <v/>
      </c>
      <c r="J1609" s="2" t="str">
        <f t="shared" si="1318"/>
        <v/>
      </c>
      <c r="K1609" s="2" t="str">
        <f t="shared" si="1318"/>
        <v/>
      </c>
      <c r="L1609" s="2" t="str">
        <f t="shared" si="1318"/>
        <v/>
      </c>
      <c r="M1609" s="180" t="str">
        <f t="shared" si="1318"/>
        <v/>
      </c>
      <c r="N1609" s="2" t="str">
        <f t="shared" si="1315"/>
        <v/>
      </c>
      <c r="O1609" s="2">
        <f t="shared" si="1304"/>
        <v>0</v>
      </c>
    </row>
    <row r="1610" spans="1:15" x14ac:dyDescent="0.25">
      <c r="A1610" s="325">
        <v>1</v>
      </c>
      <c r="B1610" s="325">
        <f>TrialNumberDay2</f>
        <v>0</v>
      </c>
      <c r="C1610" s="325" t="s">
        <v>22</v>
      </c>
      <c r="D1610" s="325">
        <f>Excellent!C99</f>
        <v>0</v>
      </c>
      <c r="E1610" s="325" t="str">
        <f>IF(Excellent!B99="W","W","A")</f>
        <v>A</v>
      </c>
      <c r="F1610" s="325" t="s">
        <v>1741</v>
      </c>
      <c r="G1610" s="325" t="str">
        <f>IF(Excellent!O99="e","Y","")</f>
        <v/>
      </c>
      <c r="H1610" s="325" t="str">
        <f>IFERROR(VLOOKUP($D1610,'SDDA Dogs'!$A:$AE,2,FALSE),"")</f>
        <v/>
      </c>
      <c r="I1610" s="325" t="str">
        <f>IFERROR(VLOOKUP($D1610,'SDDA Dogs'!$A:$AE,3,FALSE),"")</f>
        <v/>
      </c>
      <c r="J1610" s="325" t="str">
        <f>IFERROR(VLOOKUP($D1610,'SDDA Dogs'!$A:$AE,6,FALSE),"")</f>
        <v/>
      </c>
      <c r="K1610" s="325" t="str">
        <f>IF(Excellent!AS99="","",Excellent!AS99)</f>
        <v/>
      </c>
      <c r="L1610" s="325" t="str">
        <f>IF(Excellent!AT99="","",Excellent!AT99)</f>
        <v/>
      </c>
      <c r="M1610" s="326" t="str">
        <f>TrialDateDay2</f>
        <v/>
      </c>
      <c r="N1610" s="325" t="str">
        <f t="shared" si="1315"/>
        <v/>
      </c>
      <c r="O1610" s="325">
        <f t="shared" si="1304"/>
        <v>0</v>
      </c>
    </row>
    <row r="1611" spans="1:15" x14ac:dyDescent="0.25">
      <c r="A1611" s="2">
        <v>2</v>
      </c>
      <c r="B1611" s="2">
        <f t="shared" ref="B1611:M1611" si="1319">B1610</f>
        <v>0</v>
      </c>
      <c r="C1611" s="2" t="str">
        <f t="shared" si="1319"/>
        <v>ISE</v>
      </c>
      <c r="D1611" s="2">
        <f t="shared" si="1319"/>
        <v>0</v>
      </c>
      <c r="E1611" s="2" t="str">
        <f t="shared" si="1319"/>
        <v>A</v>
      </c>
      <c r="F1611" s="2" t="str">
        <f t="shared" si="1319"/>
        <v>Interior Excellent</v>
      </c>
      <c r="G1611" s="2" t="str">
        <f t="shared" si="1319"/>
        <v/>
      </c>
      <c r="H1611" s="2" t="str">
        <f t="shared" si="1319"/>
        <v/>
      </c>
      <c r="I1611" s="2" t="str">
        <f t="shared" si="1319"/>
        <v/>
      </c>
      <c r="J1611" s="2" t="str">
        <f t="shared" si="1319"/>
        <v/>
      </c>
      <c r="K1611" s="2" t="str">
        <f t="shared" si="1319"/>
        <v/>
      </c>
      <c r="L1611" s="2" t="str">
        <f t="shared" si="1319"/>
        <v/>
      </c>
      <c r="M1611" s="180" t="str">
        <f t="shared" si="1319"/>
        <v/>
      </c>
      <c r="N1611" s="2" t="str">
        <f t="shared" si="1315"/>
        <v/>
      </c>
      <c r="O1611" s="2">
        <f t="shared" si="1304"/>
        <v>0</v>
      </c>
    </row>
    <row r="1612" spans="1:15" x14ac:dyDescent="0.25">
      <c r="A1612" s="325">
        <v>1</v>
      </c>
      <c r="B1612" s="325">
        <f>TrialNumberDay2</f>
        <v>0</v>
      </c>
      <c r="C1612" s="325" t="s">
        <v>22</v>
      </c>
      <c r="D1612" s="325">
        <f>Excellent!C100</f>
        <v>0</v>
      </c>
      <c r="E1612" s="325" t="str">
        <f>IF(Excellent!B100="W","W","A")</f>
        <v>A</v>
      </c>
      <c r="F1612" s="325" t="s">
        <v>1741</v>
      </c>
      <c r="G1612" s="325" t="str">
        <f>IF(Excellent!O100="e","Y","")</f>
        <v/>
      </c>
      <c r="H1612" s="325" t="str">
        <f>IFERROR(VLOOKUP($D1612,'SDDA Dogs'!$A:$AE,2,FALSE),"")</f>
        <v/>
      </c>
      <c r="I1612" s="325" t="str">
        <f>IFERROR(VLOOKUP($D1612,'SDDA Dogs'!$A:$AE,3,FALSE),"")</f>
        <v/>
      </c>
      <c r="J1612" s="325" t="str">
        <f>IFERROR(VLOOKUP($D1612,'SDDA Dogs'!$A:$AE,6,FALSE),"")</f>
        <v/>
      </c>
      <c r="K1612" s="325" t="str">
        <f>IF(Excellent!AS100="","",Excellent!AS100)</f>
        <v/>
      </c>
      <c r="L1612" s="325" t="str">
        <f>IF(Excellent!AT100="","",Excellent!AT100)</f>
        <v/>
      </c>
      <c r="M1612" s="326" t="str">
        <f>TrialDateDay2</f>
        <v/>
      </c>
      <c r="N1612" s="325" t="str">
        <f t="shared" si="1315"/>
        <v/>
      </c>
      <c r="O1612" s="325">
        <f t="shared" si="1304"/>
        <v>0</v>
      </c>
    </row>
    <row r="1613" spans="1:15" x14ac:dyDescent="0.25">
      <c r="A1613" s="2">
        <v>2</v>
      </c>
      <c r="B1613" s="2">
        <f t="shared" ref="B1613:M1613" si="1320">B1612</f>
        <v>0</v>
      </c>
      <c r="C1613" s="2" t="str">
        <f t="shared" si="1320"/>
        <v>ISE</v>
      </c>
      <c r="D1613" s="2">
        <f t="shared" si="1320"/>
        <v>0</v>
      </c>
      <c r="E1613" s="2" t="str">
        <f t="shared" si="1320"/>
        <v>A</v>
      </c>
      <c r="F1613" s="2" t="str">
        <f t="shared" si="1320"/>
        <v>Interior Excellent</v>
      </c>
      <c r="G1613" s="2" t="str">
        <f t="shared" si="1320"/>
        <v/>
      </c>
      <c r="H1613" s="2" t="str">
        <f t="shared" si="1320"/>
        <v/>
      </c>
      <c r="I1613" s="2" t="str">
        <f t="shared" si="1320"/>
        <v/>
      </c>
      <c r="J1613" s="2" t="str">
        <f t="shared" si="1320"/>
        <v/>
      </c>
      <c r="K1613" s="2" t="str">
        <f t="shared" si="1320"/>
        <v/>
      </c>
      <c r="L1613" s="2" t="str">
        <f t="shared" si="1320"/>
        <v/>
      </c>
      <c r="M1613" s="180" t="str">
        <f t="shared" si="1320"/>
        <v/>
      </c>
      <c r="N1613" s="2" t="str">
        <f t="shared" si="1315"/>
        <v/>
      </c>
      <c r="O1613" s="2">
        <f t="shared" si="1304"/>
        <v>0</v>
      </c>
    </row>
    <row r="1614" spans="1:15" x14ac:dyDescent="0.25">
      <c r="A1614" s="325">
        <v>1</v>
      </c>
      <c r="B1614" s="325">
        <f>TrialNumberDay2</f>
        <v>0</v>
      </c>
      <c r="C1614" s="325" t="s">
        <v>22</v>
      </c>
      <c r="D1614" s="325">
        <f>Excellent!C101</f>
        <v>0</v>
      </c>
      <c r="E1614" s="325" t="str">
        <f>IF(Excellent!B101="W","W","A")</f>
        <v>A</v>
      </c>
      <c r="F1614" s="325" t="s">
        <v>1741</v>
      </c>
      <c r="G1614" s="325" t="str">
        <f>IF(Excellent!O101="e","Y","")</f>
        <v/>
      </c>
      <c r="H1614" s="325" t="str">
        <f>IFERROR(VLOOKUP($D1614,'SDDA Dogs'!$A:$AE,2,FALSE),"")</f>
        <v/>
      </c>
      <c r="I1614" s="325" t="str">
        <f>IFERROR(VLOOKUP($D1614,'SDDA Dogs'!$A:$AE,3,FALSE),"")</f>
        <v/>
      </c>
      <c r="J1614" s="325" t="str">
        <f>IFERROR(VLOOKUP($D1614,'SDDA Dogs'!$A:$AE,6,FALSE),"")</f>
        <v/>
      </c>
      <c r="K1614" s="325" t="str">
        <f>IF(Excellent!AS101="","",Excellent!AS101)</f>
        <v/>
      </c>
      <c r="L1614" s="325" t="str">
        <f>IF(Excellent!AT101="","",Excellent!AT101)</f>
        <v/>
      </c>
      <c r="M1614" s="326" t="str">
        <f>TrialDateDay2</f>
        <v/>
      </c>
      <c r="N1614" s="325" t="str">
        <f t="shared" si="1315"/>
        <v/>
      </c>
      <c r="O1614" s="325">
        <f t="shared" si="1304"/>
        <v>0</v>
      </c>
    </row>
    <row r="1615" spans="1:15" x14ac:dyDescent="0.25">
      <c r="A1615" s="2">
        <v>2</v>
      </c>
      <c r="B1615" s="2">
        <f t="shared" ref="B1615:M1615" si="1321">B1614</f>
        <v>0</v>
      </c>
      <c r="C1615" s="2" t="str">
        <f t="shared" si="1321"/>
        <v>ISE</v>
      </c>
      <c r="D1615" s="2">
        <f t="shared" si="1321"/>
        <v>0</v>
      </c>
      <c r="E1615" s="2" t="str">
        <f t="shared" si="1321"/>
        <v>A</v>
      </c>
      <c r="F1615" s="2" t="str">
        <f t="shared" si="1321"/>
        <v>Interior Excellent</v>
      </c>
      <c r="G1615" s="2" t="str">
        <f t="shared" si="1321"/>
        <v/>
      </c>
      <c r="H1615" s="2" t="str">
        <f t="shared" si="1321"/>
        <v/>
      </c>
      <c r="I1615" s="2" t="str">
        <f t="shared" si="1321"/>
        <v/>
      </c>
      <c r="J1615" s="2" t="str">
        <f t="shared" si="1321"/>
        <v/>
      </c>
      <c r="K1615" s="2" t="str">
        <f t="shared" si="1321"/>
        <v/>
      </c>
      <c r="L1615" s="2" t="str">
        <f t="shared" si="1321"/>
        <v/>
      </c>
      <c r="M1615" s="180" t="str">
        <f t="shared" si="1321"/>
        <v/>
      </c>
      <c r="N1615" s="2" t="str">
        <f t="shared" si="1315"/>
        <v/>
      </c>
      <c r="O1615" s="2">
        <f t="shared" si="1304"/>
        <v>0</v>
      </c>
    </row>
    <row r="1616" spans="1:15" x14ac:dyDescent="0.25">
      <c r="A1616" s="325">
        <v>1</v>
      </c>
      <c r="B1616" s="325">
        <f>TrialNumberDay2</f>
        <v>0</v>
      </c>
      <c r="C1616" s="325" t="s">
        <v>22</v>
      </c>
      <c r="D1616" s="325">
        <f>Excellent!C102</f>
        <v>0</v>
      </c>
      <c r="E1616" s="325" t="str">
        <f>IF(Excellent!B102="W","W","A")</f>
        <v>A</v>
      </c>
      <c r="F1616" s="325" t="s">
        <v>1741</v>
      </c>
      <c r="G1616" s="325" t="str">
        <f>IF(Excellent!O102="e","Y","")</f>
        <v/>
      </c>
      <c r="H1616" s="325" t="str">
        <f>IFERROR(VLOOKUP($D1616,'SDDA Dogs'!$A:$AE,2,FALSE),"")</f>
        <v/>
      </c>
      <c r="I1616" s="325" t="str">
        <f>IFERROR(VLOOKUP($D1616,'SDDA Dogs'!$A:$AE,3,FALSE),"")</f>
        <v/>
      </c>
      <c r="J1616" s="325" t="str">
        <f>IFERROR(VLOOKUP($D1616,'SDDA Dogs'!$A:$AE,6,FALSE),"")</f>
        <v/>
      </c>
      <c r="K1616" s="325" t="str">
        <f>IF(Excellent!AS102="","",Excellent!AS102)</f>
        <v/>
      </c>
      <c r="L1616" s="325" t="str">
        <f>IF(Excellent!AT102="","",Excellent!AT102)</f>
        <v/>
      </c>
      <c r="M1616" s="326" t="str">
        <f>TrialDateDay2</f>
        <v/>
      </c>
      <c r="N1616" s="325" t="str">
        <f t="shared" si="1315"/>
        <v/>
      </c>
      <c r="O1616" s="325">
        <f t="shared" ref="O1616:O1640" si="1322">JudgeD2ISE</f>
        <v>0</v>
      </c>
    </row>
    <row r="1617" spans="1:15" x14ac:dyDescent="0.25">
      <c r="A1617" s="2">
        <v>2</v>
      </c>
      <c r="B1617" s="2">
        <f t="shared" ref="B1617:M1617" si="1323">B1616</f>
        <v>0</v>
      </c>
      <c r="C1617" s="2" t="str">
        <f t="shared" si="1323"/>
        <v>ISE</v>
      </c>
      <c r="D1617" s="2">
        <f t="shared" si="1323"/>
        <v>0</v>
      </c>
      <c r="E1617" s="2" t="str">
        <f t="shared" si="1323"/>
        <v>A</v>
      </c>
      <c r="F1617" s="2" t="str">
        <f t="shared" si="1323"/>
        <v>Interior Excellent</v>
      </c>
      <c r="G1617" s="2" t="str">
        <f t="shared" si="1323"/>
        <v/>
      </c>
      <c r="H1617" s="2" t="str">
        <f t="shared" si="1323"/>
        <v/>
      </c>
      <c r="I1617" s="2" t="str">
        <f t="shared" si="1323"/>
        <v/>
      </c>
      <c r="J1617" s="2" t="str">
        <f t="shared" si="1323"/>
        <v/>
      </c>
      <c r="K1617" s="2" t="str">
        <f t="shared" si="1323"/>
        <v/>
      </c>
      <c r="L1617" s="2" t="str">
        <f t="shared" si="1323"/>
        <v/>
      </c>
      <c r="M1617" s="180" t="str">
        <f t="shared" si="1323"/>
        <v/>
      </c>
      <c r="N1617" s="2" t="str">
        <f t="shared" si="1315"/>
        <v/>
      </c>
      <c r="O1617" s="2">
        <f t="shared" si="1322"/>
        <v>0</v>
      </c>
    </row>
    <row r="1618" spans="1:15" x14ac:dyDescent="0.25">
      <c r="A1618" s="325">
        <v>1</v>
      </c>
      <c r="B1618" s="325">
        <f>TrialNumberDay2</f>
        <v>0</v>
      </c>
      <c r="C1618" s="325" t="s">
        <v>22</v>
      </c>
      <c r="D1618" s="325">
        <f>Excellent!C103</f>
        <v>0</v>
      </c>
      <c r="E1618" s="325" t="str">
        <f>IF(Excellent!B103="W","W","A")</f>
        <v>A</v>
      </c>
      <c r="F1618" s="325" t="s">
        <v>1741</v>
      </c>
      <c r="G1618" s="325" t="str">
        <f>IF(Excellent!O103="e","Y","")</f>
        <v/>
      </c>
      <c r="H1618" s="325" t="str">
        <f>IFERROR(VLOOKUP($D1618,'SDDA Dogs'!$A:$AE,2,FALSE),"")</f>
        <v/>
      </c>
      <c r="I1618" s="325" t="str">
        <f>IFERROR(VLOOKUP($D1618,'SDDA Dogs'!$A:$AE,3,FALSE),"")</f>
        <v/>
      </c>
      <c r="J1618" s="325" t="str">
        <f>IFERROR(VLOOKUP($D1618,'SDDA Dogs'!$A:$AE,6,FALSE),"")</f>
        <v/>
      </c>
      <c r="K1618" s="325" t="str">
        <f>IF(Excellent!AS103="","",Excellent!AS103)</f>
        <v/>
      </c>
      <c r="L1618" s="325" t="str">
        <f>IF(Excellent!AT103="","",Excellent!AT103)</f>
        <v/>
      </c>
      <c r="M1618" s="326" t="str">
        <f>TrialDateDay2</f>
        <v/>
      </c>
      <c r="N1618" s="325" t="str">
        <f t="shared" si="1315"/>
        <v/>
      </c>
      <c r="O1618" s="325">
        <f t="shared" si="1322"/>
        <v>0</v>
      </c>
    </row>
    <row r="1619" spans="1:15" x14ac:dyDescent="0.25">
      <c r="A1619" s="2">
        <v>2</v>
      </c>
      <c r="B1619" s="2">
        <f t="shared" ref="B1619:M1619" si="1324">B1618</f>
        <v>0</v>
      </c>
      <c r="C1619" s="2" t="str">
        <f t="shared" si="1324"/>
        <v>ISE</v>
      </c>
      <c r="D1619" s="2">
        <f t="shared" si="1324"/>
        <v>0</v>
      </c>
      <c r="E1619" s="2" t="str">
        <f t="shared" si="1324"/>
        <v>A</v>
      </c>
      <c r="F1619" s="2" t="str">
        <f t="shared" si="1324"/>
        <v>Interior Excellent</v>
      </c>
      <c r="G1619" s="2" t="str">
        <f t="shared" si="1324"/>
        <v/>
      </c>
      <c r="H1619" s="2" t="str">
        <f t="shared" si="1324"/>
        <v/>
      </c>
      <c r="I1619" s="2" t="str">
        <f t="shared" si="1324"/>
        <v/>
      </c>
      <c r="J1619" s="2" t="str">
        <f t="shared" si="1324"/>
        <v/>
      </c>
      <c r="K1619" s="2" t="str">
        <f t="shared" si="1324"/>
        <v/>
      </c>
      <c r="L1619" s="2" t="str">
        <f t="shared" si="1324"/>
        <v/>
      </c>
      <c r="M1619" s="180" t="str">
        <f t="shared" si="1324"/>
        <v/>
      </c>
      <c r="N1619" s="2" t="str">
        <f t="shared" si="1315"/>
        <v/>
      </c>
      <c r="O1619" s="2">
        <f t="shared" si="1322"/>
        <v>0</v>
      </c>
    </row>
    <row r="1620" spans="1:15" x14ac:dyDescent="0.25">
      <c r="A1620" s="325">
        <v>1</v>
      </c>
      <c r="B1620" s="325">
        <f>TrialNumberDay2</f>
        <v>0</v>
      </c>
      <c r="C1620" s="325" t="s">
        <v>22</v>
      </c>
      <c r="D1620" s="325">
        <f>Excellent!C104</f>
        <v>0</v>
      </c>
      <c r="E1620" s="325" t="str">
        <f>IF(Excellent!B104="W","W","A")</f>
        <v>A</v>
      </c>
      <c r="F1620" s="325" t="s">
        <v>1741</v>
      </c>
      <c r="G1620" s="325" t="str">
        <f>IF(Excellent!O104="e","Y","")</f>
        <v/>
      </c>
      <c r="H1620" s="325" t="str">
        <f>IFERROR(VLOOKUP($D1620,'SDDA Dogs'!$A:$AE,2,FALSE),"")</f>
        <v/>
      </c>
      <c r="I1620" s="325" t="str">
        <f>IFERROR(VLOOKUP($D1620,'SDDA Dogs'!$A:$AE,3,FALSE),"")</f>
        <v/>
      </c>
      <c r="J1620" s="325" t="str">
        <f>IFERROR(VLOOKUP($D1620,'SDDA Dogs'!$A:$AE,6,FALSE),"")</f>
        <v/>
      </c>
      <c r="K1620" s="325" t="str">
        <f>IF(Excellent!AS104="","",Excellent!AS104)</f>
        <v/>
      </c>
      <c r="L1620" s="325" t="str">
        <f>IF(Excellent!AT104="","",Excellent!AT104)</f>
        <v/>
      </c>
      <c r="M1620" s="326" t="str">
        <f>TrialDateDay2</f>
        <v/>
      </c>
      <c r="N1620" s="325" t="str">
        <f t="shared" si="1315"/>
        <v/>
      </c>
      <c r="O1620" s="325">
        <f t="shared" si="1322"/>
        <v>0</v>
      </c>
    </row>
    <row r="1621" spans="1:15" x14ac:dyDescent="0.25">
      <c r="A1621" s="2">
        <v>2</v>
      </c>
      <c r="B1621" s="2">
        <f t="shared" ref="B1621:M1621" si="1325">B1620</f>
        <v>0</v>
      </c>
      <c r="C1621" s="2" t="str">
        <f t="shared" si="1325"/>
        <v>ISE</v>
      </c>
      <c r="D1621" s="2">
        <f t="shared" si="1325"/>
        <v>0</v>
      </c>
      <c r="E1621" s="2" t="str">
        <f t="shared" si="1325"/>
        <v>A</v>
      </c>
      <c r="F1621" s="2" t="str">
        <f t="shared" si="1325"/>
        <v>Interior Excellent</v>
      </c>
      <c r="G1621" s="2" t="str">
        <f t="shared" si="1325"/>
        <v/>
      </c>
      <c r="H1621" s="2" t="str">
        <f t="shared" si="1325"/>
        <v/>
      </c>
      <c r="I1621" s="2" t="str">
        <f t="shared" si="1325"/>
        <v/>
      </c>
      <c r="J1621" s="2" t="str">
        <f t="shared" si="1325"/>
        <v/>
      </c>
      <c r="K1621" s="2" t="str">
        <f t="shared" si="1325"/>
        <v/>
      </c>
      <c r="L1621" s="2" t="str">
        <f t="shared" si="1325"/>
        <v/>
      </c>
      <c r="M1621" s="180" t="str">
        <f t="shared" si="1325"/>
        <v/>
      </c>
      <c r="N1621" s="2" t="str">
        <f t="shared" si="1315"/>
        <v/>
      </c>
      <c r="O1621" s="2">
        <f t="shared" si="1322"/>
        <v>0</v>
      </c>
    </row>
    <row r="1622" spans="1:15" x14ac:dyDescent="0.25">
      <c r="A1622" s="325">
        <v>1</v>
      </c>
      <c r="B1622" s="325">
        <f>TrialNumberDay2</f>
        <v>0</v>
      </c>
      <c r="C1622" s="325" t="s">
        <v>22</v>
      </c>
      <c r="D1622" s="325">
        <f>Excellent!C105</f>
        <v>0</v>
      </c>
      <c r="E1622" s="325" t="str">
        <f>IF(Excellent!B105="W","W","A")</f>
        <v>A</v>
      </c>
      <c r="F1622" s="325" t="s">
        <v>1741</v>
      </c>
      <c r="G1622" s="325" t="str">
        <f>IF(Excellent!O105="e","Y","")</f>
        <v/>
      </c>
      <c r="H1622" s="325" t="str">
        <f>IFERROR(VLOOKUP($D1622,'SDDA Dogs'!$A:$AE,2,FALSE),"")</f>
        <v/>
      </c>
      <c r="I1622" s="325" t="str">
        <f>IFERROR(VLOOKUP($D1622,'SDDA Dogs'!$A:$AE,3,FALSE),"")</f>
        <v/>
      </c>
      <c r="J1622" s="325" t="str">
        <f>IFERROR(VLOOKUP($D1622,'SDDA Dogs'!$A:$AE,6,FALSE),"")</f>
        <v/>
      </c>
      <c r="K1622" s="325" t="str">
        <f>IF(Excellent!AS105="","",Excellent!AS105)</f>
        <v/>
      </c>
      <c r="L1622" s="325" t="str">
        <f>IF(Excellent!AT105="","",Excellent!AT105)</f>
        <v/>
      </c>
      <c r="M1622" s="326" t="str">
        <f>TrialDateDay2</f>
        <v/>
      </c>
      <c r="N1622" s="325" t="str">
        <f t="shared" si="1315"/>
        <v/>
      </c>
      <c r="O1622" s="325">
        <f t="shared" si="1322"/>
        <v>0</v>
      </c>
    </row>
    <row r="1623" spans="1:15" x14ac:dyDescent="0.25">
      <c r="A1623" s="2">
        <v>2</v>
      </c>
      <c r="B1623" s="2">
        <f t="shared" ref="B1623:M1623" si="1326">B1622</f>
        <v>0</v>
      </c>
      <c r="C1623" s="2" t="str">
        <f t="shared" si="1326"/>
        <v>ISE</v>
      </c>
      <c r="D1623" s="2">
        <f t="shared" si="1326"/>
        <v>0</v>
      </c>
      <c r="E1623" s="2" t="str">
        <f t="shared" si="1326"/>
        <v>A</v>
      </c>
      <c r="F1623" s="2" t="str">
        <f t="shared" si="1326"/>
        <v>Interior Excellent</v>
      </c>
      <c r="G1623" s="2" t="str">
        <f t="shared" si="1326"/>
        <v/>
      </c>
      <c r="H1623" s="2" t="str">
        <f t="shared" si="1326"/>
        <v/>
      </c>
      <c r="I1623" s="2" t="str">
        <f t="shared" si="1326"/>
        <v/>
      </c>
      <c r="J1623" s="2" t="str">
        <f t="shared" si="1326"/>
        <v/>
      </c>
      <c r="K1623" s="2" t="str">
        <f t="shared" si="1326"/>
        <v/>
      </c>
      <c r="L1623" s="2" t="str">
        <f t="shared" si="1326"/>
        <v/>
      </c>
      <c r="M1623" s="180" t="str">
        <f t="shared" si="1326"/>
        <v/>
      </c>
      <c r="N1623" s="2" t="str">
        <f t="shared" si="1315"/>
        <v/>
      </c>
      <c r="O1623" s="2">
        <f t="shared" si="1322"/>
        <v>0</v>
      </c>
    </row>
    <row r="1624" spans="1:15" x14ac:dyDescent="0.25">
      <c r="A1624" s="325">
        <v>1</v>
      </c>
      <c r="B1624" s="325">
        <f>TrialNumberDay2</f>
        <v>0</v>
      </c>
      <c r="C1624" s="325" t="s">
        <v>22</v>
      </c>
      <c r="D1624" s="325">
        <f>Excellent!C106</f>
        <v>0</v>
      </c>
      <c r="E1624" s="325" t="str">
        <f>IF(Excellent!B106="W","W","A")</f>
        <v>A</v>
      </c>
      <c r="F1624" s="325" t="s">
        <v>1741</v>
      </c>
      <c r="G1624" s="325" t="str">
        <f>IF(Excellent!O106="e","Y","")</f>
        <v/>
      </c>
      <c r="H1624" s="325" t="str">
        <f>IFERROR(VLOOKUP($D1624,'SDDA Dogs'!$A:$AE,2,FALSE),"")</f>
        <v/>
      </c>
      <c r="I1624" s="325" t="str">
        <f>IFERROR(VLOOKUP($D1624,'SDDA Dogs'!$A:$AE,3,FALSE),"")</f>
        <v/>
      </c>
      <c r="J1624" s="325" t="str">
        <f>IFERROR(VLOOKUP($D1624,'SDDA Dogs'!$A:$AE,6,FALSE),"")</f>
        <v/>
      </c>
      <c r="K1624" s="325" t="str">
        <f>IF(Excellent!AS106="","",Excellent!AS106)</f>
        <v/>
      </c>
      <c r="L1624" s="325" t="str">
        <f>IF(Excellent!AT106="","",Excellent!AT106)</f>
        <v/>
      </c>
      <c r="M1624" s="326" t="str">
        <f>TrialDateDay2</f>
        <v/>
      </c>
      <c r="N1624" s="325" t="str">
        <f t="shared" si="1315"/>
        <v/>
      </c>
      <c r="O1624" s="325">
        <f t="shared" si="1322"/>
        <v>0</v>
      </c>
    </row>
    <row r="1625" spans="1:15" x14ac:dyDescent="0.25">
      <c r="A1625" s="2">
        <v>2</v>
      </c>
      <c r="B1625" s="2">
        <f t="shared" ref="B1625:M1625" si="1327">B1624</f>
        <v>0</v>
      </c>
      <c r="C1625" s="2" t="str">
        <f t="shared" si="1327"/>
        <v>ISE</v>
      </c>
      <c r="D1625" s="2">
        <f t="shared" si="1327"/>
        <v>0</v>
      </c>
      <c r="E1625" s="2" t="str">
        <f t="shared" si="1327"/>
        <v>A</v>
      </c>
      <c r="F1625" s="2" t="str">
        <f t="shared" si="1327"/>
        <v>Interior Excellent</v>
      </c>
      <c r="G1625" s="2" t="str">
        <f t="shared" si="1327"/>
        <v/>
      </c>
      <c r="H1625" s="2" t="str">
        <f t="shared" si="1327"/>
        <v/>
      </c>
      <c r="I1625" s="2" t="str">
        <f t="shared" si="1327"/>
        <v/>
      </c>
      <c r="J1625" s="2" t="str">
        <f t="shared" si="1327"/>
        <v/>
      </c>
      <c r="K1625" s="2" t="str">
        <f t="shared" si="1327"/>
        <v/>
      </c>
      <c r="L1625" s="2" t="str">
        <f t="shared" si="1327"/>
        <v/>
      </c>
      <c r="M1625" s="180" t="str">
        <f t="shared" si="1327"/>
        <v/>
      </c>
      <c r="N1625" s="2" t="str">
        <f t="shared" si="1315"/>
        <v/>
      </c>
      <c r="O1625" s="2">
        <f t="shared" si="1322"/>
        <v>0</v>
      </c>
    </row>
    <row r="1626" spans="1:15" x14ac:dyDescent="0.25">
      <c r="A1626" s="325">
        <v>1</v>
      </c>
      <c r="B1626" s="325">
        <f>TrialNumberDay2</f>
        <v>0</v>
      </c>
      <c r="C1626" s="325" t="s">
        <v>22</v>
      </c>
      <c r="D1626" s="325">
        <f>Excellent!C107</f>
        <v>0</v>
      </c>
      <c r="E1626" s="325" t="str">
        <f>IF(Excellent!B107="W","W","A")</f>
        <v>A</v>
      </c>
      <c r="F1626" s="325" t="s">
        <v>1741</v>
      </c>
      <c r="G1626" s="325" t="str">
        <f>IF(Excellent!O107="e","Y","")</f>
        <v/>
      </c>
      <c r="H1626" s="325" t="str">
        <f>IFERROR(VLOOKUP($D1626,'SDDA Dogs'!$A:$AE,2,FALSE),"")</f>
        <v/>
      </c>
      <c r="I1626" s="325" t="str">
        <f>IFERROR(VLOOKUP($D1626,'SDDA Dogs'!$A:$AE,3,FALSE),"")</f>
        <v/>
      </c>
      <c r="J1626" s="325" t="str">
        <f>IFERROR(VLOOKUP($D1626,'SDDA Dogs'!$A:$AE,6,FALSE),"")</f>
        <v/>
      </c>
      <c r="K1626" s="325" t="str">
        <f>IF(Excellent!AS107="","",Excellent!AS107)</f>
        <v/>
      </c>
      <c r="L1626" s="325" t="str">
        <f>IF(Excellent!AT107="","",Excellent!AT107)</f>
        <v/>
      </c>
      <c r="M1626" s="326" t="str">
        <f>TrialDateDay2</f>
        <v/>
      </c>
      <c r="N1626" s="325" t="str">
        <f t="shared" si="1315"/>
        <v/>
      </c>
      <c r="O1626" s="325">
        <f t="shared" si="1322"/>
        <v>0</v>
      </c>
    </row>
    <row r="1627" spans="1:15" x14ac:dyDescent="0.25">
      <c r="A1627" s="2">
        <v>2</v>
      </c>
      <c r="B1627" s="2">
        <f t="shared" ref="B1627:M1627" si="1328">B1626</f>
        <v>0</v>
      </c>
      <c r="C1627" s="2" t="str">
        <f t="shared" si="1328"/>
        <v>ISE</v>
      </c>
      <c r="D1627" s="2">
        <f t="shared" si="1328"/>
        <v>0</v>
      </c>
      <c r="E1627" s="2" t="str">
        <f t="shared" si="1328"/>
        <v>A</v>
      </c>
      <c r="F1627" s="2" t="str">
        <f t="shared" si="1328"/>
        <v>Interior Excellent</v>
      </c>
      <c r="G1627" s="2" t="str">
        <f t="shared" si="1328"/>
        <v/>
      </c>
      <c r="H1627" s="2" t="str">
        <f t="shared" si="1328"/>
        <v/>
      </c>
      <c r="I1627" s="2" t="str">
        <f t="shared" si="1328"/>
        <v/>
      </c>
      <c r="J1627" s="2" t="str">
        <f t="shared" si="1328"/>
        <v/>
      </c>
      <c r="K1627" s="2" t="str">
        <f t="shared" si="1328"/>
        <v/>
      </c>
      <c r="L1627" s="2" t="str">
        <f t="shared" si="1328"/>
        <v/>
      </c>
      <c r="M1627" s="180" t="str">
        <f t="shared" si="1328"/>
        <v/>
      </c>
      <c r="N1627" s="2" t="str">
        <f t="shared" si="1315"/>
        <v/>
      </c>
      <c r="O1627" s="2">
        <f t="shared" si="1322"/>
        <v>0</v>
      </c>
    </row>
    <row r="1628" spans="1:15" x14ac:dyDescent="0.25">
      <c r="A1628" s="325">
        <v>1</v>
      </c>
      <c r="B1628" s="325">
        <f>TrialNumberDay2</f>
        <v>0</v>
      </c>
      <c r="C1628" s="325" t="s">
        <v>22</v>
      </c>
      <c r="D1628" s="325">
        <f>Excellent!C108</f>
        <v>0</v>
      </c>
      <c r="E1628" s="325" t="str">
        <f>IF(Excellent!B108="W","W","A")</f>
        <v>A</v>
      </c>
      <c r="F1628" s="325" t="s">
        <v>1741</v>
      </c>
      <c r="G1628" s="325" t="str">
        <f>IF(Excellent!O108="e","Y","")</f>
        <v/>
      </c>
      <c r="H1628" s="325" t="str">
        <f>IFERROR(VLOOKUP($D1628,'SDDA Dogs'!$A:$AE,2,FALSE),"")</f>
        <v/>
      </c>
      <c r="I1628" s="325" t="str">
        <f>IFERROR(VLOOKUP($D1628,'SDDA Dogs'!$A:$AE,3,FALSE),"")</f>
        <v/>
      </c>
      <c r="J1628" s="325" t="str">
        <f>IFERROR(VLOOKUP($D1628,'SDDA Dogs'!$A:$AE,6,FALSE),"")</f>
        <v/>
      </c>
      <c r="K1628" s="325" t="str">
        <f>IF(Excellent!AS108="","",Excellent!AS108)</f>
        <v/>
      </c>
      <c r="L1628" s="325" t="str">
        <f>IF(Excellent!AT108="","",Excellent!AT108)</f>
        <v/>
      </c>
      <c r="M1628" s="326" t="str">
        <f>TrialDateDay2</f>
        <v/>
      </c>
      <c r="N1628" s="325" t="str">
        <f t="shared" si="1315"/>
        <v/>
      </c>
      <c r="O1628" s="325">
        <f t="shared" si="1322"/>
        <v>0</v>
      </c>
    </row>
    <row r="1629" spans="1:15" x14ac:dyDescent="0.25">
      <c r="A1629" s="2">
        <v>2</v>
      </c>
      <c r="B1629" s="2">
        <f t="shared" ref="B1629:M1629" si="1329">B1628</f>
        <v>0</v>
      </c>
      <c r="C1629" s="2" t="str">
        <f t="shared" si="1329"/>
        <v>ISE</v>
      </c>
      <c r="D1629" s="2">
        <f t="shared" si="1329"/>
        <v>0</v>
      </c>
      <c r="E1629" s="2" t="str">
        <f t="shared" si="1329"/>
        <v>A</v>
      </c>
      <c r="F1629" s="2" t="str">
        <f t="shared" si="1329"/>
        <v>Interior Excellent</v>
      </c>
      <c r="G1629" s="2" t="str">
        <f t="shared" si="1329"/>
        <v/>
      </c>
      <c r="H1629" s="2" t="str">
        <f t="shared" si="1329"/>
        <v/>
      </c>
      <c r="I1629" s="2" t="str">
        <f t="shared" si="1329"/>
        <v/>
      </c>
      <c r="J1629" s="2" t="str">
        <f t="shared" si="1329"/>
        <v/>
      </c>
      <c r="K1629" s="2" t="str">
        <f t="shared" si="1329"/>
        <v/>
      </c>
      <c r="L1629" s="2" t="str">
        <f t="shared" si="1329"/>
        <v/>
      </c>
      <c r="M1629" s="180" t="str">
        <f t="shared" si="1329"/>
        <v/>
      </c>
      <c r="N1629" s="2" t="str">
        <f t="shared" si="1315"/>
        <v/>
      </c>
      <c r="O1629" s="2">
        <f t="shared" si="1322"/>
        <v>0</v>
      </c>
    </row>
    <row r="1630" spans="1:15" x14ac:dyDescent="0.25">
      <c r="A1630" s="325">
        <v>1</v>
      </c>
      <c r="B1630" s="325">
        <f>TrialNumberDay2</f>
        <v>0</v>
      </c>
      <c r="C1630" s="325" t="s">
        <v>22</v>
      </c>
      <c r="D1630" s="325">
        <f>Excellent!C109</f>
        <v>0</v>
      </c>
      <c r="E1630" s="325" t="str">
        <f>IF(Excellent!B109="W","W","A")</f>
        <v>A</v>
      </c>
      <c r="F1630" s="325" t="s">
        <v>1741</v>
      </c>
      <c r="G1630" s="325" t="str">
        <f>IF(Excellent!O109="e","Y","")</f>
        <v/>
      </c>
      <c r="H1630" s="325" t="str">
        <f>IFERROR(VLOOKUP($D1630,'SDDA Dogs'!$A:$AE,2,FALSE),"")</f>
        <v/>
      </c>
      <c r="I1630" s="325" t="str">
        <f>IFERROR(VLOOKUP($D1630,'SDDA Dogs'!$A:$AE,3,FALSE),"")</f>
        <v/>
      </c>
      <c r="J1630" s="325" t="str">
        <f>IFERROR(VLOOKUP($D1630,'SDDA Dogs'!$A:$AE,6,FALSE),"")</f>
        <v/>
      </c>
      <c r="K1630" s="325" t="str">
        <f>IF(Excellent!AS109="","",Excellent!AS109)</f>
        <v/>
      </c>
      <c r="L1630" s="325" t="str">
        <f>IF(Excellent!AT109="","",Excellent!AT109)</f>
        <v/>
      </c>
      <c r="M1630" s="326" t="str">
        <f>TrialDateDay2</f>
        <v/>
      </c>
      <c r="N1630" s="325" t="str">
        <f t="shared" si="1315"/>
        <v/>
      </c>
      <c r="O1630" s="325">
        <f t="shared" si="1322"/>
        <v>0</v>
      </c>
    </row>
    <row r="1631" spans="1:15" x14ac:dyDescent="0.25">
      <c r="A1631" s="2">
        <v>2</v>
      </c>
      <c r="B1631" s="2">
        <f t="shared" ref="B1631:M1631" si="1330">B1630</f>
        <v>0</v>
      </c>
      <c r="C1631" s="2" t="str">
        <f t="shared" si="1330"/>
        <v>ISE</v>
      </c>
      <c r="D1631" s="2">
        <f t="shared" si="1330"/>
        <v>0</v>
      </c>
      <c r="E1631" s="2" t="str">
        <f t="shared" si="1330"/>
        <v>A</v>
      </c>
      <c r="F1631" s="2" t="str">
        <f t="shared" si="1330"/>
        <v>Interior Excellent</v>
      </c>
      <c r="G1631" s="2" t="str">
        <f t="shared" si="1330"/>
        <v/>
      </c>
      <c r="H1631" s="2" t="str">
        <f t="shared" si="1330"/>
        <v/>
      </c>
      <c r="I1631" s="2" t="str">
        <f t="shared" si="1330"/>
        <v/>
      </c>
      <c r="J1631" s="2" t="str">
        <f t="shared" si="1330"/>
        <v/>
      </c>
      <c r="K1631" s="2" t="str">
        <f t="shared" si="1330"/>
        <v/>
      </c>
      <c r="L1631" s="2" t="str">
        <f t="shared" si="1330"/>
        <v/>
      </c>
      <c r="M1631" s="180" t="str">
        <f t="shared" si="1330"/>
        <v/>
      </c>
      <c r="N1631" s="2" t="str">
        <f t="shared" si="1315"/>
        <v/>
      </c>
      <c r="O1631" s="2">
        <f t="shared" si="1322"/>
        <v>0</v>
      </c>
    </row>
    <row r="1632" spans="1:15" x14ac:dyDescent="0.25">
      <c r="A1632" s="325">
        <v>1</v>
      </c>
      <c r="B1632" s="325">
        <f>TrialNumberDay2</f>
        <v>0</v>
      </c>
      <c r="C1632" s="325" t="s">
        <v>22</v>
      </c>
      <c r="D1632" s="325">
        <f>Excellent!C110</f>
        <v>0</v>
      </c>
      <c r="E1632" s="325" t="str">
        <f>IF(Excellent!B110="W","W","A")</f>
        <v>A</v>
      </c>
      <c r="F1632" s="325" t="s">
        <v>1741</v>
      </c>
      <c r="G1632" s="325" t="str">
        <f>IF(Excellent!O110="e","Y","")</f>
        <v/>
      </c>
      <c r="H1632" s="325" t="str">
        <f>IFERROR(VLOOKUP($D1632,'SDDA Dogs'!$A:$AE,2,FALSE),"")</f>
        <v/>
      </c>
      <c r="I1632" s="325" t="str">
        <f>IFERROR(VLOOKUP($D1632,'SDDA Dogs'!$A:$AE,3,FALSE),"")</f>
        <v/>
      </c>
      <c r="J1632" s="325" t="str">
        <f>IFERROR(VLOOKUP($D1632,'SDDA Dogs'!$A:$AE,6,FALSE),"")</f>
        <v/>
      </c>
      <c r="K1632" s="325" t="str">
        <f>IF(Excellent!AS110="","",Excellent!AS110)</f>
        <v/>
      </c>
      <c r="L1632" s="325" t="str">
        <f>IF(Excellent!AT110="","",Excellent!AT110)</f>
        <v/>
      </c>
      <c r="M1632" s="326" t="str">
        <f>TrialDateDay2</f>
        <v/>
      </c>
      <c r="N1632" s="325" t="str">
        <f t="shared" si="1315"/>
        <v/>
      </c>
      <c r="O1632" s="325">
        <f t="shared" si="1322"/>
        <v>0</v>
      </c>
    </row>
    <row r="1633" spans="1:15" x14ac:dyDescent="0.25">
      <c r="A1633" s="2">
        <v>2</v>
      </c>
      <c r="B1633" s="2">
        <f t="shared" ref="B1633:M1633" si="1331">B1632</f>
        <v>0</v>
      </c>
      <c r="C1633" s="2" t="str">
        <f t="shared" si="1331"/>
        <v>ISE</v>
      </c>
      <c r="D1633" s="2">
        <f t="shared" si="1331"/>
        <v>0</v>
      </c>
      <c r="E1633" s="2" t="str">
        <f t="shared" si="1331"/>
        <v>A</v>
      </c>
      <c r="F1633" s="2" t="str">
        <f t="shared" si="1331"/>
        <v>Interior Excellent</v>
      </c>
      <c r="G1633" s="2" t="str">
        <f t="shared" si="1331"/>
        <v/>
      </c>
      <c r="H1633" s="2" t="str">
        <f t="shared" si="1331"/>
        <v/>
      </c>
      <c r="I1633" s="2" t="str">
        <f t="shared" si="1331"/>
        <v/>
      </c>
      <c r="J1633" s="2" t="str">
        <f t="shared" si="1331"/>
        <v/>
      </c>
      <c r="K1633" s="2" t="str">
        <f t="shared" si="1331"/>
        <v/>
      </c>
      <c r="L1633" s="2" t="str">
        <f t="shared" si="1331"/>
        <v/>
      </c>
      <c r="M1633" s="180" t="str">
        <f t="shared" si="1331"/>
        <v/>
      </c>
      <c r="N1633" s="2" t="str">
        <f t="shared" si="1315"/>
        <v/>
      </c>
      <c r="O1633" s="2">
        <f t="shared" si="1322"/>
        <v>0</v>
      </c>
    </row>
    <row r="1634" spans="1:15" x14ac:dyDescent="0.25">
      <c r="A1634" s="325">
        <v>1</v>
      </c>
      <c r="B1634" s="325">
        <f>TrialNumberDay2</f>
        <v>0</v>
      </c>
      <c r="C1634" s="325" t="s">
        <v>22</v>
      </c>
      <c r="D1634" s="325">
        <f>Excellent!C111</f>
        <v>0</v>
      </c>
      <c r="E1634" s="325" t="str">
        <f>IF(Excellent!B111="W","W","A")</f>
        <v>A</v>
      </c>
      <c r="F1634" s="325" t="s">
        <v>1741</v>
      </c>
      <c r="G1634" s="325" t="str">
        <f>IF(Excellent!O111="e","Y","")</f>
        <v/>
      </c>
      <c r="H1634" s="325" t="str">
        <f>IFERROR(VLOOKUP($D1634,'SDDA Dogs'!$A:$AE,2,FALSE),"")</f>
        <v/>
      </c>
      <c r="I1634" s="325" t="str">
        <f>IFERROR(VLOOKUP($D1634,'SDDA Dogs'!$A:$AE,3,FALSE),"")</f>
        <v/>
      </c>
      <c r="J1634" s="325" t="str">
        <f>IFERROR(VLOOKUP($D1634,'SDDA Dogs'!$A:$AE,6,FALSE),"")</f>
        <v/>
      </c>
      <c r="K1634" s="325" t="str">
        <f>IF(Excellent!AS111="","",Excellent!AS111)</f>
        <v/>
      </c>
      <c r="L1634" s="325" t="str">
        <f>IF(Excellent!AT111="","",Excellent!AT111)</f>
        <v/>
      </c>
      <c r="M1634" s="326" t="str">
        <f>TrialDateDay2</f>
        <v/>
      </c>
      <c r="N1634" s="325" t="str">
        <f t="shared" si="1315"/>
        <v/>
      </c>
      <c r="O1634" s="325">
        <f t="shared" si="1322"/>
        <v>0</v>
      </c>
    </row>
    <row r="1635" spans="1:15" x14ac:dyDescent="0.25">
      <c r="A1635" s="2">
        <v>2</v>
      </c>
      <c r="B1635" s="2">
        <f t="shared" ref="B1635:M1635" si="1332">B1634</f>
        <v>0</v>
      </c>
      <c r="C1635" s="2" t="str">
        <f t="shared" si="1332"/>
        <v>ISE</v>
      </c>
      <c r="D1635" s="2">
        <f t="shared" si="1332"/>
        <v>0</v>
      </c>
      <c r="E1635" s="2" t="str">
        <f t="shared" si="1332"/>
        <v>A</v>
      </c>
      <c r="F1635" s="2" t="str">
        <f t="shared" si="1332"/>
        <v>Interior Excellent</v>
      </c>
      <c r="G1635" s="2" t="str">
        <f t="shared" si="1332"/>
        <v/>
      </c>
      <c r="H1635" s="2" t="str">
        <f t="shared" si="1332"/>
        <v/>
      </c>
      <c r="I1635" s="2" t="str">
        <f t="shared" si="1332"/>
        <v/>
      </c>
      <c r="J1635" s="2" t="str">
        <f t="shared" si="1332"/>
        <v/>
      </c>
      <c r="K1635" s="2" t="str">
        <f t="shared" si="1332"/>
        <v/>
      </c>
      <c r="L1635" s="2" t="str">
        <f t="shared" si="1332"/>
        <v/>
      </c>
      <c r="M1635" s="180" t="str">
        <f t="shared" si="1332"/>
        <v/>
      </c>
      <c r="N1635" s="2" t="str">
        <f t="shared" si="1315"/>
        <v/>
      </c>
      <c r="O1635" s="2">
        <f t="shared" si="1322"/>
        <v>0</v>
      </c>
    </row>
    <row r="1636" spans="1:15" x14ac:dyDescent="0.25">
      <c r="A1636" s="325">
        <v>1</v>
      </c>
      <c r="B1636" s="325">
        <f>TrialNumberDay2</f>
        <v>0</v>
      </c>
      <c r="C1636" s="325" t="s">
        <v>22</v>
      </c>
      <c r="D1636" s="325">
        <f>Excellent!C112</f>
        <v>0</v>
      </c>
      <c r="E1636" s="325" t="str">
        <f>IF(Excellent!B112="W","W","A")</f>
        <v>A</v>
      </c>
      <c r="F1636" s="325" t="s">
        <v>1741</v>
      </c>
      <c r="G1636" s="325" t="str">
        <f>IF(Excellent!O112="e","Y","")</f>
        <v/>
      </c>
      <c r="H1636" s="325" t="str">
        <f>IFERROR(VLOOKUP($D1636,'SDDA Dogs'!$A:$AE,2,FALSE),"")</f>
        <v/>
      </c>
      <c r="I1636" s="325" t="str">
        <f>IFERROR(VLOOKUP($D1636,'SDDA Dogs'!$A:$AE,3,FALSE),"")</f>
        <v/>
      </c>
      <c r="J1636" s="325" t="str">
        <f>IFERROR(VLOOKUP($D1636,'SDDA Dogs'!$A:$AE,6,FALSE),"")</f>
        <v/>
      </c>
      <c r="K1636" s="325" t="str">
        <f>IF(Excellent!AS112="","",Excellent!AS112)</f>
        <v/>
      </c>
      <c r="L1636" s="325" t="str">
        <f>IF(Excellent!AT112="","",Excellent!AT112)</f>
        <v/>
      </c>
      <c r="M1636" s="326" t="str">
        <f>TrialDateDay2</f>
        <v/>
      </c>
      <c r="N1636" s="325" t="str">
        <f t="shared" si="1315"/>
        <v/>
      </c>
      <c r="O1636" s="325">
        <f t="shared" si="1322"/>
        <v>0</v>
      </c>
    </row>
    <row r="1637" spans="1:15" x14ac:dyDescent="0.25">
      <c r="A1637" s="2">
        <v>2</v>
      </c>
      <c r="B1637" s="2">
        <f t="shared" ref="B1637:M1637" si="1333">B1636</f>
        <v>0</v>
      </c>
      <c r="C1637" s="2" t="str">
        <f t="shared" si="1333"/>
        <v>ISE</v>
      </c>
      <c r="D1637" s="2">
        <f t="shared" si="1333"/>
        <v>0</v>
      </c>
      <c r="E1637" s="2" t="str">
        <f t="shared" si="1333"/>
        <v>A</v>
      </c>
      <c r="F1637" s="2" t="str">
        <f t="shared" si="1333"/>
        <v>Interior Excellent</v>
      </c>
      <c r="G1637" s="2" t="str">
        <f t="shared" si="1333"/>
        <v/>
      </c>
      <c r="H1637" s="2" t="str">
        <f t="shared" si="1333"/>
        <v/>
      </c>
      <c r="I1637" s="2" t="str">
        <f t="shared" si="1333"/>
        <v/>
      </c>
      <c r="J1637" s="2" t="str">
        <f t="shared" si="1333"/>
        <v/>
      </c>
      <c r="K1637" s="2" t="str">
        <f t="shared" si="1333"/>
        <v/>
      </c>
      <c r="L1637" s="2" t="str">
        <f t="shared" si="1333"/>
        <v/>
      </c>
      <c r="M1637" s="180" t="str">
        <f t="shared" si="1333"/>
        <v/>
      </c>
      <c r="N1637" s="2" t="str">
        <f t="shared" si="1315"/>
        <v/>
      </c>
      <c r="O1637" s="2">
        <f t="shared" si="1322"/>
        <v>0</v>
      </c>
    </row>
    <row r="1638" spans="1:15" x14ac:dyDescent="0.25">
      <c r="A1638" s="325">
        <v>1</v>
      </c>
      <c r="B1638" s="325">
        <f>TrialNumberDay2</f>
        <v>0</v>
      </c>
      <c r="C1638" s="325" t="s">
        <v>22</v>
      </c>
      <c r="D1638" s="325">
        <f>Excellent!C113</f>
        <v>0</v>
      </c>
      <c r="E1638" s="325" t="str">
        <f>IF(Excellent!B113="W","W","A")</f>
        <v>A</v>
      </c>
      <c r="F1638" s="325" t="s">
        <v>1741</v>
      </c>
      <c r="G1638" s="325" t="str">
        <f>IF(Excellent!O113="e","Y","")</f>
        <v/>
      </c>
      <c r="H1638" s="325" t="str">
        <f>IFERROR(VLOOKUP($D1638,'SDDA Dogs'!$A:$AE,2,FALSE),"")</f>
        <v/>
      </c>
      <c r="I1638" s="325" t="str">
        <f>IFERROR(VLOOKUP($D1638,'SDDA Dogs'!$A:$AE,3,FALSE),"")</f>
        <v/>
      </c>
      <c r="J1638" s="325" t="str">
        <f>IFERROR(VLOOKUP($D1638,'SDDA Dogs'!$A:$AE,6,FALSE),"")</f>
        <v/>
      </c>
      <c r="K1638" s="325" t="str">
        <f>IF(Excellent!AS113="","",Excellent!AS113)</f>
        <v/>
      </c>
      <c r="L1638" s="325" t="str">
        <f>IF(Excellent!AT113="","",Excellent!AT113)</f>
        <v/>
      </c>
      <c r="M1638" s="326" t="str">
        <f>TrialDateDay2</f>
        <v/>
      </c>
      <c r="N1638" s="325" t="str">
        <f t="shared" si="1315"/>
        <v/>
      </c>
      <c r="O1638" s="325">
        <f t="shared" si="1322"/>
        <v>0</v>
      </c>
    </row>
    <row r="1639" spans="1:15" x14ac:dyDescent="0.25">
      <c r="A1639" s="2">
        <v>2</v>
      </c>
      <c r="B1639" s="2">
        <f t="shared" ref="B1639:M1639" si="1334">B1638</f>
        <v>0</v>
      </c>
      <c r="C1639" s="2" t="str">
        <f t="shared" si="1334"/>
        <v>ISE</v>
      </c>
      <c r="D1639" s="2">
        <f t="shared" si="1334"/>
        <v>0</v>
      </c>
      <c r="E1639" s="2" t="str">
        <f t="shared" si="1334"/>
        <v>A</v>
      </c>
      <c r="F1639" s="2" t="str">
        <f t="shared" si="1334"/>
        <v>Interior Excellent</v>
      </c>
      <c r="G1639" s="2" t="str">
        <f t="shared" si="1334"/>
        <v/>
      </c>
      <c r="H1639" s="2" t="str">
        <f t="shared" si="1334"/>
        <v/>
      </c>
      <c r="I1639" s="2" t="str">
        <f t="shared" si="1334"/>
        <v/>
      </c>
      <c r="J1639" s="2" t="str">
        <f t="shared" si="1334"/>
        <v/>
      </c>
      <c r="K1639" s="2" t="str">
        <f t="shared" si="1334"/>
        <v/>
      </c>
      <c r="L1639" s="2" t="str">
        <f t="shared" si="1334"/>
        <v/>
      </c>
      <c r="M1639" s="180" t="str">
        <f t="shared" si="1334"/>
        <v/>
      </c>
      <c r="N1639" s="2" t="str">
        <f t="shared" si="1315"/>
        <v/>
      </c>
      <c r="O1639" s="2">
        <f t="shared" si="1322"/>
        <v>0</v>
      </c>
    </row>
    <row r="1640" spans="1:15" x14ac:dyDescent="0.25">
      <c r="A1640" s="325">
        <v>1</v>
      </c>
      <c r="B1640" s="325">
        <f>TrialNumberDay2</f>
        <v>0</v>
      </c>
      <c r="C1640" s="325" t="s">
        <v>22</v>
      </c>
      <c r="D1640" s="325">
        <f>Excellent!C114</f>
        <v>0</v>
      </c>
      <c r="E1640" s="325" t="str">
        <f>IF(Excellent!B114="W","W","A")</f>
        <v>A</v>
      </c>
      <c r="F1640" s="325" t="s">
        <v>1741</v>
      </c>
      <c r="G1640" s="325" t="str">
        <f>IF(Excellent!O114="e","Y","")</f>
        <v/>
      </c>
      <c r="H1640" s="325" t="str">
        <f>IFERROR(VLOOKUP($D1640,'SDDA Dogs'!$A:$AE,2,FALSE),"")</f>
        <v/>
      </c>
      <c r="I1640" s="325" t="str">
        <f>IFERROR(VLOOKUP($D1640,'SDDA Dogs'!$A:$AE,3,FALSE),"")</f>
        <v/>
      </c>
      <c r="J1640" s="325" t="str">
        <f>IFERROR(VLOOKUP($D1640,'SDDA Dogs'!$A:$AE,6,FALSE),"")</f>
        <v/>
      </c>
      <c r="K1640" s="325" t="str">
        <f>IF(Excellent!AS114="","",Excellent!AS114)</f>
        <v/>
      </c>
      <c r="L1640" s="325" t="str">
        <f>IF(Excellent!AT114="","",Excellent!AT114)</f>
        <v/>
      </c>
      <c r="M1640" s="326" t="str">
        <f>TrialDateDay2</f>
        <v/>
      </c>
      <c r="N1640" s="325" t="str">
        <f t="shared" si="1315"/>
        <v/>
      </c>
      <c r="O1640" s="325">
        <f t="shared" si="1322"/>
        <v>0</v>
      </c>
    </row>
    <row r="1641" spans="1:15" x14ac:dyDescent="0.25">
      <c r="A1641" s="2">
        <v>2</v>
      </c>
      <c r="B1641" s="2">
        <f t="shared" ref="B1641:O1677" si="1335">B1640</f>
        <v>0</v>
      </c>
      <c r="C1641" s="2" t="str">
        <f t="shared" si="1335"/>
        <v>ISE</v>
      </c>
      <c r="D1641" s="2">
        <f t="shared" si="1335"/>
        <v>0</v>
      </c>
      <c r="E1641" s="2" t="str">
        <f t="shared" si="1335"/>
        <v>A</v>
      </c>
      <c r="F1641" s="2" t="str">
        <f t="shared" si="1335"/>
        <v>Interior Excellent</v>
      </c>
      <c r="G1641" s="2" t="str">
        <f t="shared" si="1335"/>
        <v/>
      </c>
      <c r="H1641" s="2" t="str">
        <f t="shared" si="1335"/>
        <v/>
      </c>
      <c r="I1641" s="2" t="str">
        <f t="shared" si="1335"/>
        <v/>
      </c>
      <c r="J1641" s="2" t="str">
        <f t="shared" si="1335"/>
        <v/>
      </c>
      <c r="K1641" s="2" t="str">
        <f t="shared" si="1335"/>
        <v/>
      </c>
      <c r="L1641" s="2" t="str">
        <f t="shared" si="1335"/>
        <v/>
      </c>
      <c r="M1641" s="180" t="str">
        <f t="shared" si="1335"/>
        <v/>
      </c>
      <c r="N1641" s="2" t="str">
        <f t="shared" si="1315"/>
        <v/>
      </c>
      <c r="O1641" s="2">
        <f t="shared" si="1335"/>
        <v>0</v>
      </c>
    </row>
    <row r="1642" spans="1:15" s="149" customFormat="1" x14ac:dyDescent="0.25">
      <c r="A1642" s="327">
        <v>1</v>
      </c>
      <c r="B1642" s="327">
        <f>TrialNumberDay2</f>
        <v>0</v>
      </c>
      <c r="C1642" s="327" t="s">
        <v>23</v>
      </c>
      <c r="D1642" s="327">
        <f>Excellent!C65</f>
        <v>0</v>
      </c>
      <c r="E1642" s="327" t="str">
        <f>IF(Excellent!B65="W","W","A")</f>
        <v>A</v>
      </c>
      <c r="F1642" s="327" t="s">
        <v>1742</v>
      </c>
      <c r="G1642" s="327" t="str">
        <f>IF(Excellent!W65="e","Y","")</f>
        <v/>
      </c>
      <c r="H1642" s="327" t="str">
        <f>IFERROR(VLOOKUP($D1642,'SDDA Dogs'!$A:$AE,2,FALSE),"")</f>
        <v/>
      </c>
      <c r="I1642" s="327" t="str">
        <f>IFERROR(VLOOKUP($D1642,'SDDA Dogs'!$A:$AE,3,FALSE),"")</f>
        <v/>
      </c>
      <c r="J1642" s="327" t="str">
        <f>IFERROR(VLOOKUP($D1642,'SDDA Dogs'!$A:$AE,6,FALSE),"")</f>
        <v/>
      </c>
      <c r="K1642" s="327" t="str">
        <f>IF(Excellent!AS65="","",Excellent!AS65)</f>
        <v/>
      </c>
      <c r="L1642" s="327" t="str">
        <f>IF(Excellent!AT65="","",Excellent!AT65)</f>
        <v/>
      </c>
      <c r="M1642" s="328" t="str">
        <f>TrialDateDay2</f>
        <v/>
      </c>
      <c r="N1642" s="325" t="str">
        <f t="shared" si="1315"/>
        <v/>
      </c>
      <c r="O1642" s="327">
        <f t="shared" ref="O1642:O1713" si="1336">JudgeD2ESE</f>
        <v>0</v>
      </c>
    </row>
    <row r="1643" spans="1:15" x14ac:dyDescent="0.25">
      <c r="A1643" s="2">
        <v>2</v>
      </c>
      <c r="B1643" s="2">
        <f t="shared" si="1335"/>
        <v>0</v>
      </c>
      <c r="C1643" s="2" t="str">
        <f t="shared" si="1335"/>
        <v>ESE</v>
      </c>
      <c r="D1643" s="2">
        <f t="shared" si="1335"/>
        <v>0</v>
      </c>
      <c r="E1643" s="2" t="str">
        <f t="shared" si="1335"/>
        <v>A</v>
      </c>
      <c r="F1643" s="2" t="str">
        <f t="shared" si="1335"/>
        <v>Exterior Excellent</v>
      </c>
      <c r="G1643" s="2" t="str">
        <f t="shared" si="1335"/>
        <v/>
      </c>
      <c r="H1643" s="2" t="str">
        <f t="shared" si="1335"/>
        <v/>
      </c>
      <c r="I1643" s="2" t="str">
        <f t="shared" si="1335"/>
        <v/>
      </c>
      <c r="J1643" s="2" t="str">
        <f t="shared" si="1335"/>
        <v/>
      </c>
      <c r="K1643" s="2" t="str">
        <f t="shared" si="1335"/>
        <v/>
      </c>
      <c r="L1643" s="2" t="str">
        <f t="shared" si="1335"/>
        <v/>
      </c>
      <c r="M1643" s="180" t="str">
        <f t="shared" si="1335"/>
        <v/>
      </c>
      <c r="N1643" s="2" t="str">
        <f t="shared" si="1315"/>
        <v/>
      </c>
      <c r="O1643" s="2">
        <f t="shared" si="1335"/>
        <v>0</v>
      </c>
    </row>
    <row r="1644" spans="1:15" x14ac:dyDescent="0.25">
      <c r="A1644" s="325">
        <v>1</v>
      </c>
      <c r="B1644" s="325">
        <f>TrialNumberDay2</f>
        <v>0</v>
      </c>
      <c r="C1644" s="325" t="s">
        <v>23</v>
      </c>
      <c r="D1644" s="325">
        <f>Excellent!C66</f>
        <v>0</v>
      </c>
      <c r="E1644" s="325" t="str">
        <f>IF(Excellent!B66="W","W","A")</f>
        <v>A</v>
      </c>
      <c r="F1644" s="325" t="s">
        <v>1742</v>
      </c>
      <c r="G1644" s="325" t="str">
        <f>IF(Excellent!W66="e","Y","")</f>
        <v/>
      </c>
      <c r="H1644" s="325" t="str">
        <f>IFERROR(VLOOKUP($D1644,'SDDA Dogs'!$A:$AE,2,FALSE),"")</f>
        <v/>
      </c>
      <c r="I1644" s="325" t="str">
        <f>IFERROR(VLOOKUP($D1644,'SDDA Dogs'!$A:$AE,3,FALSE),"")</f>
        <v/>
      </c>
      <c r="J1644" s="325" t="str">
        <f>IFERROR(VLOOKUP($D1644,'SDDA Dogs'!$A:$AE,6,FALSE),"")</f>
        <v/>
      </c>
      <c r="K1644" s="325" t="str">
        <f>IF(Excellent!AS66="","",Excellent!AS66)</f>
        <v/>
      </c>
      <c r="L1644" s="325" t="str">
        <f>IF(Excellent!AT66="","",Excellent!AT66)</f>
        <v/>
      </c>
      <c r="M1644" s="326" t="str">
        <f>TrialDateDay2</f>
        <v/>
      </c>
      <c r="N1644" s="325" t="str">
        <f t="shared" si="1315"/>
        <v/>
      </c>
      <c r="O1644" s="325">
        <f t="shared" si="1336"/>
        <v>0</v>
      </c>
    </row>
    <row r="1645" spans="1:15" x14ac:dyDescent="0.25">
      <c r="A1645" s="2">
        <v>2</v>
      </c>
      <c r="B1645" s="2">
        <f t="shared" si="1335"/>
        <v>0</v>
      </c>
      <c r="C1645" s="2" t="str">
        <f t="shared" si="1335"/>
        <v>ESE</v>
      </c>
      <c r="D1645" s="2">
        <f t="shared" si="1335"/>
        <v>0</v>
      </c>
      <c r="E1645" s="2" t="str">
        <f t="shared" si="1335"/>
        <v>A</v>
      </c>
      <c r="F1645" s="2" t="str">
        <f t="shared" si="1335"/>
        <v>Exterior Excellent</v>
      </c>
      <c r="G1645" s="2" t="str">
        <f t="shared" si="1335"/>
        <v/>
      </c>
      <c r="H1645" s="2" t="str">
        <f t="shared" si="1335"/>
        <v/>
      </c>
      <c r="I1645" s="2" t="str">
        <f t="shared" si="1335"/>
        <v/>
      </c>
      <c r="J1645" s="2" t="str">
        <f t="shared" si="1335"/>
        <v/>
      </c>
      <c r="K1645" s="2" t="str">
        <f t="shared" si="1335"/>
        <v/>
      </c>
      <c r="L1645" s="2" t="str">
        <f t="shared" si="1335"/>
        <v/>
      </c>
      <c r="M1645" s="180" t="str">
        <f t="shared" si="1335"/>
        <v/>
      </c>
      <c r="N1645" s="2" t="str">
        <f t="shared" si="1315"/>
        <v/>
      </c>
      <c r="O1645" s="2">
        <f t="shared" si="1335"/>
        <v>0</v>
      </c>
    </row>
    <row r="1646" spans="1:15" x14ac:dyDescent="0.25">
      <c r="A1646" s="325">
        <v>1</v>
      </c>
      <c r="B1646" s="325">
        <f>TrialNumberDay2</f>
        <v>0</v>
      </c>
      <c r="C1646" s="325" t="s">
        <v>23</v>
      </c>
      <c r="D1646" s="325">
        <f>Excellent!C67</f>
        <v>0</v>
      </c>
      <c r="E1646" s="325" t="str">
        <f>IF(Excellent!B67="W","W","A")</f>
        <v>A</v>
      </c>
      <c r="F1646" s="325" t="s">
        <v>1742</v>
      </c>
      <c r="G1646" s="325" t="str">
        <f>IF(Excellent!W67="e","Y","")</f>
        <v/>
      </c>
      <c r="H1646" s="325" t="str">
        <f>IFERROR(VLOOKUP($D1646,'SDDA Dogs'!$A:$AE,2,FALSE),"")</f>
        <v/>
      </c>
      <c r="I1646" s="325" t="str">
        <f>IFERROR(VLOOKUP($D1646,'SDDA Dogs'!$A:$AE,3,FALSE),"")</f>
        <v/>
      </c>
      <c r="J1646" s="325" t="str">
        <f>IFERROR(VLOOKUP($D1646,'SDDA Dogs'!$A:$AE,6,FALSE),"")</f>
        <v/>
      </c>
      <c r="K1646" s="325" t="str">
        <f>IF(Excellent!AS67="","",Excellent!AS67)</f>
        <v/>
      </c>
      <c r="L1646" s="325" t="str">
        <f>IF(Excellent!AT67="","",Excellent!AT67)</f>
        <v/>
      </c>
      <c r="M1646" s="326" t="str">
        <f>TrialDateDay2</f>
        <v/>
      </c>
      <c r="N1646" s="325" t="str">
        <f t="shared" si="1315"/>
        <v/>
      </c>
      <c r="O1646" s="325">
        <f t="shared" si="1336"/>
        <v>0</v>
      </c>
    </row>
    <row r="1647" spans="1:15" x14ac:dyDescent="0.25">
      <c r="A1647" s="2">
        <v>2</v>
      </c>
      <c r="B1647" s="2">
        <f t="shared" si="1335"/>
        <v>0</v>
      </c>
      <c r="C1647" s="2" t="str">
        <f t="shared" si="1335"/>
        <v>ESE</v>
      </c>
      <c r="D1647" s="2">
        <f t="shared" si="1335"/>
        <v>0</v>
      </c>
      <c r="E1647" s="2" t="str">
        <f t="shared" si="1335"/>
        <v>A</v>
      </c>
      <c r="F1647" s="2" t="str">
        <f t="shared" si="1335"/>
        <v>Exterior Excellent</v>
      </c>
      <c r="G1647" s="2" t="str">
        <f t="shared" si="1335"/>
        <v/>
      </c>
      <c r="H1647" s="2" t="str">
        <f t="shared" si="1335"/>
        <v/>
      </c>
      <c r="I1647" s="2" t="str">
        <f t="shared" si="1335"/>
        <v/>
      </c>
      <c r="J1647" s="2" t="str">
        <f t="shared" si="1335"/>
        <v/>
      </c>
      <c r="K1647" s="2" t="str">
        <f t="shared" si="1335"/>
        <v/>
      </c>
      <c r="L1647" s="2" t="str">
        <f t="shared" si="1335"/>
        <v/>
      </c>
      <c r="M1647" s="180" t="str">
        <f t="shared" si="1335"/>
        <v/>
      </c>
      <c r="N1647" s="2" t="str">
        <f t="shared" si="1315"/>
        <v/>
      </c>
      <c r="O1647" s="2">
        <f t="shared" si="1335"/>
        <v>0</v>
      </c>
    </row>
    <row r="1648" spans="1:15" x14ac:dyDescent="0.25">
      <c r="A1648" s="325">
        <v>1</v>
      </c>
      <c r="B1648" s="325">
        <f>TrialNumberDay2</f>
        <v>0</v>
      </c>
      <c r="C1648" s="325" t="s">
        <v>23</v>
      </c>
      <c r="D1648" s="325">
        <f>Excellent!C68</f>
        <v>0</v>
      </c>
      <c r="E1648" s="325" t="str">
        <f>IF(Excellent!B68="W","W","A")</f>
        <v>A</v>
      </c>
      <c r="F1648" s="325" t="s">
        <v>1742</v>
      </c>
      <c r="G1648" s="325" t="str">
        <f>IF(Excellent!W68="e","Y","")</f>
        <v/>
      </c>
      <c r="H1648" s="325" t="str">
        <f>IFERROR(VLOOKUP($D1648,'SDDA Dogs'!$A:$AE,2,FALSE),"")</f>
        <v/>
      </c>
      <c r="I1648" s="325" t="str">
        <f>IFERROR(VLOOKUP($D1648,'SDDA Dogs'!$A:$AE,3,FALSE),"")</f>
        <v/>
      </c>
      <c r="J1648" s="325" t="str">
        <f>IFERROR(VLOOKUP($D1648,'SDDA Dogs'!$A:$AE,6,FALSE),"")</f>
        <v/>
      </c>
      <c r="K1648" s="325" t="str">
        <f>IF(Excellent!AS68="","",Excellent!AS68)</f>
        <v/>
      </c>
      <c r="L1648" s="325" t="str">
        <f>IF(Excellent!AT68="","",Excellent!AT68)</f>
        <v/>
      </c>
      <c r="M1648" s="326" t="str">
        <f>TrialDateDay2</f>
        <v/>
      </c>
      <c r="N1648" s="325" t="str">
        <f t="shared" si="1315"/>
        <v/>
      </c>
      <c r="O1648" s="325">
        <f t="shared" si="1336"/>
        <v>0</v>
      </c>
    </row>
    <row r="1649" spans="1:15" x14ac:dyDescent="0.25">
      <c r="A1649" s="2">
        <v>2</v>
      </c>
      <c r="B1649" s="2">
        <f t="shared" si="1335"/>
        <v>0</v>
      </c>
      <c r="C1649" s="2" t="str">
        <f t="shared" si="1335"/>
        <v>ESE</v>
      </c>
      <c r="D1649" s="2">
        <f t="shared" si="1335"/>
        <v>0</v>
      </c>
      <c r="E1649" s="2" t="str">
        <f t="shared" si="1335"/>
        <v>A</v>
      </c>
      <c r="F1649" s="2" t="str">
        <f t="shared" si="1335"/>
        <v>Exterior Excellent</v>
      </c>
      <c r="G1649" s="2" t="str">
        <f t="shared" si="1335"/>
        <v/>
      </c>
      <c r="H1649" s="2" t="str">
        <f t="shared" si="1335"/>
        <v/>
      </c>
      <c r="I1649" s="2" t="str">
        <f t="shared" si="1335"/>
        <v/>
      </c>
      <c r="J1649" s="2" t="str">
        <f t="shared" si="1335"/>
        <v/>
      </c>
      <c r="K1649" s="2" t="str">
        <f t="shared" si="1335"/>
        <v/>
      </c>
      <c r="L1649" s="2" t="str">
        <f t="shared" si="1335"/>
        <v/>
      </c>
      <c r="M1649" s="180" t="str">
        <f t="shared" si="1335"/>
        <v/>
      </c>
      <c r="N1649" s="2" t="str">
        <f t="shared" si="1315"/>
        <v/>
      </c>
      <c r="O1649" s="2">
        <f t="shared" si="1335"/>
        <v>0</v>
      </c>
    </row>
    <row r="1650" spans="1:15" x14ac:dyDescent="0.25">
      <c r="A1650" s="325">
        <v>1</v>
      </c>
      <c r="B1650" s="325">
        <f>TrialNumberDay2</f>
        <v>0</v>
      </c>
      <c r="C1650" s="325" t="s">
        <v>23</v>
      </c>
      <c r="D1650" s="325">
        <f>Excellent!C69</f>
        <v>0</v>
      </c>
      <c r="E1650" s="325" t="str">
        <f>IF(Excellent!B69="W","W","A")</f>
        <v>A</v>
      </c>
      <c r="F1650" s="325" t="s">
        <v>1742</v>
      </c>
      <c r="G1650" s="325" t="str">
        <f>IF(Excellent!W69="e","Y","")</f>
        <v/>
      </c>
      <c r="H1650" s="325" t="str">
        <f>IFERROR(VLOOKUP($D1650,'SDDA Dogs'!$A:$AE,2,FALSE),"")</f>
        <v/>
      </c>
      <c r="I1650" s="325" t="str">
        <f>IFERROR(VLOOKUP($D1650,'SDDA Dogs'!$A:$AE,3,FALSE),"")</f>
        <v/>
      </c>
      <c r="J1650" s="325" t="str">
        <f>IFERROR(VLOOKUP($D1650,'SDDA Dogs'!$A:$AE,6,FALSE),"")</f>
        <v/>
      </c>
      <c r="K1650" s="325" t="str">
        <f>IF(Excellent!AS69="","",Excellent!AS69)</f>
        <v/>
      </c>
      <c r="L1650" s="325" t="str">
        <f>IF(Excellent!AT69="","",Excellent!AT69)</f>
        <v/>
      </c>
      <c r="M1650" s="326" t="str">
        <f>TrialDateDay2</f>
        <v/>
      </c>
      <c r="N1650" s="325" t="str">
        <f t="shared" si="1315"/>
        <v/>
      </c>
      <c r="O1650" s="325">
        <f t="shared" si="1336"/>
        <v>0</v>
      </c>
    </row>
    <row r="1651" spans="1:15" x14ac:dyDescent="0.25">
      <c r="A1651" s="2">
        <v>2</v>
      </c>
      <c r="B1651" s="2">
        <f t="shared" si="1335"/>
        <v>0</v>
      </c>
      <c r="C1651" s="2" t="str">
        <f t="shared" si="1335"/>
        <v>ESE</v>
      </c>
      <c r="D1651" s="2">
        <f t="shared" si="1335"/>
        <v>0</v>
      </c>
      <c r="E1651" s="2" t="str">
        <f t="shared" si="1335"/>
        <v>A</v>
      </c>
      <c r="F1651" s="2" t="str">
        <f t="shared" si="1335"/>
        <v>Exterior Excellent</v>
      </c>
      <c r="G1651" s="2" t="str">
        <f t="shared" si="1335"/>
        <v/>
      </c>
      <c r="H1651" s="2" t="str">
        <f t="shared" si="1335"/>
        <v/>
      </c>
      <c r="I1651" s="2" t="str">
        <f t="shared" si="1335"/>
        <v/>
      </c>
      <c r="J1651" s="2" t="str">
        <f t="shared" si="1335"/>
        <v/>
      </c>
      <c r="K1651" s="2" t="str">
        <f t="shared" si="1335"/>
        <v/>
      </c>
      <c r="L1651" s="2" t="str">
        <f t="shared" si="1335"/>
        <v/>
      </c>
      <c r="M1651" s="180" t="str">
        <f t="shared" si="1335"/>
        <v/>
      </c>
      <c r="N1651" s="2" t="str">
        <f t="shared" si="1315"/>
        <v/>
      </c>
      <c r="O1651" s="2">
        <f t="shared" si="1335"/>
        <v>0</v>
      </c>
    </row>
    <row r="1652" spans="1:15" x14ac:dyDescent="0.25">
      <c r="A1652" s="325">
        <v>1</v>
      </c>
      <c r="B1652" s="325">
        <f>TrialNumberDay2</f>
        <v>0</v>
      </c>
      <c r="C1652" s="325" t="s">
        <v>23</v>
      </c>
      <c r="D1652" s="325">
        <f>Excellent!C70</f>
        <v>0</v>
      </c>
      <c r="E1652" s="325" t="str">
        <f>IF(Excellent!B70="W","W","A")</f>
        <v>A</v>
      </c>
      <c r="F1652" s="325" t="s">
        <v>1742</v>
      </c>
      <c r="G1652" s="325" t="str">
        <f>IF(Excellent!W70="e","Y","")</f>
        <v/>
      </c>
      <c r="H1652" s="325" t="str">
        <f>IFERROR(VLOOKUP($D1652,'SDDA Dogs'!$A:$AE,2,FALSE),"")</f>
        <v/>
      </c>
      <c r="I1652" s="325" t="str">
        <f>IFERROR(VLOOKUP($D1652,'SDDA Dogs'!$A:$AE,3,FALSE),"")</f>
        <v/>
      </c>
      <c r="J1652" s="325" t="str">
        <f>IFERROR(VLOOKUP($D1652,'SDDA Dogs'!$A:$AE,6,FALSE),"")</f>
        <v/>
      </c>
      <c r="K1652" s="325" t="str">
        <f>IF(Excellent!AS70="","",Excellent!AS70)</f>
        <v/>
      </c>
      <c r="L1652" s="325" t="str">
        <f>IF(Excellent!AT70="","",Excellent!AT70)</f>
        <v/>
      </c>
      <c r="M1652" s="326" t="str">
        <f>TrialDateDay2</f>
        <v/>
      </c>
      <c r="N1652" s="325" t="str">
        <f t="shared" si="1315"/>
        <v/>
      </c>
      <c r="O1652" s="325">
        <f t="shared" si="1336"/>
        <v>0</v>
      </c>
    </row>
    <row r="1653" spans="1:15" x14ac:dyDescent="0.25">
      <c r="A1653" s="2">
        <v>2</v>
      </c>
      <c r="B1653" s="2">
        <f t="shared" si="1335"/>
        <v>0</v>
      </c>
      <c r="C1653" s="2" t="str">
        <f t="shared" si="1335"/>
        <v>ESE</v>
      </c>
      <c r="D1653" s="2">
        <f t="shared" si="1335"/>
        <v>0</v>
      </c>
      <c r="E1653" s="2" t="str">
        <f t="shared" si="1335"/>
        <v>A</v>
      </c>
      <c r="F1653" s="2" t="str">
        <f t="shared" si="1335"/>
        <v>Exterior Excellent</v>
      </c>
      <c r="G1653" s="2" t="str">
        <f t="shared" si="1335"/>
        <v/>
      </c>
      <c r="H1653" s="2" t="str">
        <f t="shared" si="1335"/>
        <v/>
      </c>
      <c r="I1653" s="2" t="str">
        <f t="shared" si="1335"/>
        <v/>
      </c>
      <c r="J1653" s="2" t="str">
        <f t="shared" si="1335"/>
        <v/>
      </c>
      <c r="K1653" s="2" t="str">
        <f t="shared" si="1335"/>
        <v/>
      </c>
      <c r="L1653" s="2" t="str">
        <f t="shared" si="1335"/>
        <v/>
      </c>
      <c r="M1653" s="180" t="str">
        <f t="shared" si="1335"/>
        <v/>
      </c>
      <c r="N1653" s="2" t="str">
        <f t="shared" si="1315"/>
        <v/>
      </c>
      <c r="O1653" s="2">
        <f t="shared" si="1335"/>
        <v>0</v>
      </c>
    </row>
    <row r="1654" spans="1:15" x14ac:dyDescent="0.25">
      <c r="A1654" s="325">
        <v>1</v>
      </c>
      <c r="B1654" s="325">
        <f>TrialNumberDay2</f>
        <v>0</v>
      </c>
      <c r="C1654" s="325" t="s">
        <v>23</v>
      </c>
      <c r="D1654" s="325">
        <f>Excellent!C71</f>
        <v>0</v>
      </c>
      <c r="E1654" s="325" t="str">
        <f>IF(Excellent!B71="W","W","A")</f>
        <v>A</v>
      </c>
      <c r="F1654" s="325" t="s">
        <v>1742</v>
      </c>
      <c r="G1654" s="325" t="str">
        <f>IF(Excellent!W71="e","Y","")</f>
        <v/>
      </c>
      <c r="H1654" s="325" t="str">
        <f>IFERROR(VLOOKUP($D1654,'SDDA Dogs'!$A:$AE,2,FALSE),"")</f>
        <v/>
      </c>
      <c r="I1654" s="325" t="str">
        <f>IFERROR(VLOOKUP($D1654,'SDDA Dogs'!$A:$AE,3,FALSE),"")</f>
        <v/>
      </c>
      <c r="J1654" s="325" t="str">
        <f>IFERROR(VLOOKUP($D1654,'SDDA Dogs'!$A:$AE,6,FALSE),"")</f>
        <v/>
      </c>
      <c r="K1654" s="325" t="str">
        <f>IF(Excellent!AS71="","",Excellent!AS71)</f>
        <v/>
      </c>
      <c r="L1654" s="325" t="str">
        <f>IF(Excellent!AT71="","",Excellent!AT71)</f>
        <v/>
      </c>
      <c r="M1654" s="326" t="str">
        <f>TrialDateDay2</f>
        <v/>
      </c>
      <c r="N1654" s="325" t="str">
        <f t="shared" si="1315"/>
        <v/>
      </c>
      <c r="O1654" s="325">
        <f t="shared" si="1336"/>
        <v>0</v>
      </c>
    </row>
    <row r="1655" spans="1:15" x14ac:dyDescent="0.25">
      <c r="A1655" s="2">
        <v>2</v>
      </c>
      <c r="B1655" s="2">
        <f t="shared" si="1335"/>
        <v>0</v>
      </c>
      <c r="C1655" s="2" t="str">
        <f t="shared" si="1335"/>
        <v>ESE</v>
      </c>
      <c r="D1655" s="2">
        <f t="shared" si="1335"/>
        <v>0</v>
      </c>
      <c r="E1655" s="2" t="str">
        <f t="shared" si="1335"/>
        <v>A</v>
      </c>
      <c r="F1655" s="2" t="str">
        <f t="shared" si="1335"/>
        <v>Exterior Excellent</v>
      </c>
      <c r="G1655" s="2" t="str">
        <f t="shared" si="1335"/>
        <v/>
      </c>
      <c r="H1655" s="2" t="str">
        <f t="shared" si="1335"/>
        <v/>
      </c>
      <c r="I1655" s="2" t="str">
        <f t="shared" si="1335"/>
        <v/>
      </c>
      <c r="J1655" s="2" t="str">
        <f t="shared" si="1335"/>
        <v/>
      </c>
      <c r="K1655" s="2" t="str">
        <f t="shared" si="1335"/>
        <v/>
      </c>
      <c r="L1655" s="2" t="str">
        <f t="shared" si="1335"/>
        <v/>
      </c>
      <c r="M1655" s="180" t="str">
        <f t="shared" si="1335"/>
        <v/>
      </c>
      <c r="N1655" s="2" t="str">
        <f t="shared" si="1315"/>
        <v/>
      </c>
      <c r="O1655" s="2">
        <f t="shared" si="1335"/>
        <v>0</v>
      </c>
    </row>
    <row r="1656" spans="1:15" x14ac:dyDescent="0.25">
      <c r="A1656" s="325">
        <v>1</v>
      </c>
      <c r="B1656" s="325">
        <f>TrialNumberDay2</f>
        <v>0</v>
      </c>
      <c r="C1656" s="325" t="s">
        <v>23</v>
      </c>
      <c r="D1656" s="325">
        <f>Excellent!C72</f>
        <v>0</v>
      </c>
      <c r="E1656" s="325" t="str">
        <f>IF(Excellent!B72="W","W","A")</f>
        <v>A</v>
      </c>
      <c r="F1656" s="325" t="s">
        <v>1742</v>
      </c>
      <c r="G1656" s="325" t="str">
        <f>IF(Excellent!W72="e","Y","")</f>
        <v/>
      </c>
      <c r="H1656" s="325" t="str">
        <f>IFERROR(VLOOKUP($D1656,'SDDA Dogs'!$A:$AE,2,FALSE),"")</f>
        <v/>
      </c>
      <c r="I1656" s="325" t="str">
        <f>IFERROR(VLOOKUP($D1656,'SDDA Dogs'!$A:$AE,3,FALSE),"")</f>
        <v/>
      </c>
      <c r="J1656" s="325" t="str">
        <f>IFERROR(VLOOKUP($D1656,'SDDA Dogs'!$A:$AE,6,FALSE),"")</f>
        <v/>
      </c>
      <c r="K1656" s="325" t="str">
        <f>IF(Excellent!AS72="","",Excellent!AS72)</f>
        <v/>
      </c>
      <c r="L1656" s="325" t="str">
        <f>IF(Excellent!AT72="","",Excellent!AT72)</f>
        <v/>
      </c>
      <c r="M1656" s="326" t="str">
        <f>TrialDateDay2</f>
        <v/>
      </c>
      <c r="N1656" s="325" t="str">
        <f t="shared" si="1315"/>
        <v/>
      </c>
      <c r="O1656" s="325">
        <f t="shared" si="1336"/>
        <v>0</v>
      </c>
    </row>
    <row r="1657" spans="1:15" x14ac:dyDescent="0.25">
      <c r="A1657" s="2">
        <v>2</v>
      </c>
      <c r="B1657" s="2">
        <f t="shared" si="1335"/>
        <v>0</v>
      </c>
      <c r="C1657" s="2" t="str">
        <f t="shared" si="1335"/>
        <v>ESE</v>
      </c>
      <c r="D1657" s="2">
        <f t="shared" si="1335"/>
        <v>0</v>
      </c>
      <c r="E1657" s="2" t="str">
        <f t="shared" si="1335"/>
        <v>A</v>
      </c>
      <c r="F1657" s="2" t="str">
        <f t="shared" si="1335"/>
        <v>Exterior Excellent</v>
      </c>
      <c r="G1657" s="2" t="str">
        <f t="shared" si="1335"/>
        <v/>
      </c>
      <c r="H1657" s="2" t="str">
        <f t="shared" si="1335"/>
        <v/>
      </c>
      <c r="I1657" s="2" t="str">
        <f t="shared" si="1335"/>
        <v/>
      </c>
      <c r="J1657" s="2" t="str">
        <f t="shared" si="1335"/>
        <v/>
      </c>
      <c r="K1657" s="2" t="str">
        <f t="shared" si="1335"/>
        <v/>
      </c>
      <c r="L1657" s="2" t="str">
        <f t="shared" si="1335"/>
        <v/>
      </c>
      <c r="M1657" s="180" t="str">
        <f t="shared" si="1335"/>
        <v/>
      </c>
      <c r="N1657" s="2" t="str">
        <f t="shared" si="1315"/>
        <v/>
      </c>
      <c r="O1657" s="2">
        <f t="shared" si="1335"/>
        <v>0</v>
      </c>
    </row>
    <row r="1658" spans="1:15" x14ac:dyDescent="0.25">
      <c r="A1658" s="325">
        <v>1</v>
      </c>
      <c r="B1658" s="325">
        <f>TrialNumberDay2</f>
        <v>0</v>
      </c>
      <c r="C1658" s="325" t="s">
        <v>23</v>
      </c>
      <c r="D1658" s="325">
        <f>Excellent!C73</f>
        <v>0</v>
      </c>
      <c r="E1658" s="325" t="str">
        <f>IF(Excellent!B73="W","W","A")</f>
        <v>A</v>
      </c>
      <c r="F1658" s="325" t="s">
        <v>1742</v>
      </c>
      <c r="G1658" s="325" t="str">
        <f>IF(Excellent!W73="e","Y","")</f>
        <v/>
      </c>
      <c r="H1658" s="325" t="str">
        <f>IFERROR(VLOOKUP($D1658,'SDDA Dogs'!$A:$AE,2,FALSE),"")</f>
        <v/>
      </c>
      <c r="I1658" s="325" t="str">
        <f>IFERROR(VLOOKUP($D1658,'SDDA Dogs'!$A:$AE,3,FALSE),"")</f>
        <v/>
      </c>
      <c r="J1658" s="325" t="str">
        <f>IFERROR(VLOOKUP($D1658,'SDDA Dogs'!$A:$AE,6,FALSE),"")</f>
        <v/>
      </c>
      <c r="K1658" s="325" t="str">
        <f>IF(Excellent!AS73="","",Excellent!AS73)</f>
        <v/>
      </c>
      <c r="L1658" s="325" t="str">
        <f>IF(Excellent!AT73="","",Excellent!AT73)</f>
        <v/>
      </c>
      <c r="M1658" s="326" t="str">
        <f>TrialDateDay2</f>
        <v/>
      </c>
      <c r="N1658" s="325" t="str">
        <f t="shared" si="1315"/>
        <v/>
      </c>
      <c r="O1658" s="325">
        <f t="shared" si="1336"/>
        <v>0</v>
      </c>
    </row>
    <row r="1659" spans="1:15" x14ac:dyDescent="0.25">
      <c r="A1659" s="2">
        <v>2</v>
      </c>
      <c r="B1659" s="2">
        <f t="shared" si="1335"/>
        <v>0</v>
      </c>
      <c r="C1659" s="2" t="str">
        <f t="shared" si="1335"/>
        <v>ESE</v>
      </c>
      <c r="D1659" s="2">
        <f t="shared" si="1335"/>
        <v>0</v>
      </c>
      <c r="E1659" s="2" t="str">
        <f t="shared" si="1335"/>
        <v>A</v>
      </c>
      <c r="F1659" s="2" t="str">
        <f t="shared" si="1335"/>
        <v>Exterior Excellent</v>
      </c>
      <c r="G1659" s="2" t="str">
        <f t="shared" si="1335"/>
        <v/>
      </c>
      <c r="H1659" s="2" t="str">
        <f t="shared" si="1335"/>
        <v/>
      </c>
      <c r="I1659" s="2" t="str">
        <f t="shared" si="1335"/>
        <v/>
      </c>
      <c r="J1659" s="2" t="str">
        <f t="shared" si="1335"/>
        <v/>
      </c>
      <c r="K1659" s="2" t="str">
        <f t="shared" si="1335"/>
        <v/>
      </c>
      <c r="L1659" s="2" t="str">
        <f t="shared" si="1335"/>
        <v/>
      </c>
      <c r="M1659" s="180" t="str">
        <f t="shared" si="1335"/>
        <v/>
      </c>
      <c r="N1659" s="2" t="str">
        <f t="shared" si="1315"/>
        <v/>
      </c>
      <c r="O1659" s="2">
        <f t="shared" si="1335"/>
        <v>0</v>
      </c>
    </row>
    <row r="1660" spans="1:15" x14ac:dyDescent="0.25">
      <c r="A1660" s="325">
        <v>1</v>
      </c>
      <c r="B1660" s="325">
        <f>TrialNumberDay2</f>
        <v>0</v>
      </c>
      <c r="C1660" s="325" t="s">
        <v>23</v>
      </c>
      <c r="D1660" s="325">
        <f>Excellent!C74</f>
        <v>0</v>
      </c>
      <c r="E1660" s="325" t="str">
        <f>IF(Excellent!B74="W","W","A")</f>
        <v>A</v>
      </c>
      <c r="F1660" s="325" t="s">
        <v>1742</v>
      </c>
      <c r="G1660" s="325" t="str">
        <f>IF(Excellent!W74="e","Y","")</f>
        <v/>
      </c>
      <c r="H1660" s="325" t="str">
        <f>IFERROR(VLOOKUP($D1660,'SDDA Dogs'!$A:$AE,2,FALSE),"")</f>
        <v/>
      </c>
      <c r="I1660" s="325" t="str">
        <f>IFERROR(VLOOKUP($D1660,'SDDA Dogs'!$A:$AE,3,FALSE),"")</f>
        <v/>
      </c>
      <c r="J1660" s="325" t="str">
        <f>IFERROR(VLOOKUP($D1660,'SDDA Dogs'!$A:$AE,6,FALSE),"")</f>
        <v/>
      </c>
      <c r="K1660" s="325" t="str">
        <f>IF(Excellent!AS74="","",Excellent!AS74)</f>
        <v/>
      </c>
      <c r="L1660" s="325" t="str">
        <f>IF(Excellent!AT74="","",Excellent!AT74)</f>
        <v/>
      </c>
      <c r="M1660" s="326" t="str">
        <f>TrialDateDay2</f>
        <v/>
      </c>
      <c r="N1660" s="325" t="str">
        <f t="shared" si="1315"/>
        <v/>
      </c>
      <c r="O1660" s="325">
        <f t="shared" si="1336"/>
        <v>0</v>
      </c>
    </row>
    <row r="1661" spans="1:15" x14ac:dyDescent="0.25">
      <c r="A1661" s="2">
        <v>2</v>
      </c>
      <c r="B1661" s="2">
        <f t="shared" si="1335"/>
        <v>0</v>
      </c>
      <c r="C1661" s="2" t="str">
        <f t="shared" si="1335"/>
        <v>ESE</v>
      </c>
      <c r="D1661" s="2">
        <f t="shared" si="1335"/>
        <v>0</v>
      </c>
      <c r="E1661" s="2" t="str">
        <f t="shared" si="1335"/>
        <v>A</v>
      </c>
      <c r="F1661" s="2" t="str">
        <f t="shared" si="1335"/>
        <v>Exterior Excellent</v>
      </c>
      <c r="G1661" s="2" t="str">
        <f t="shared" si="1335"/>
        <v/>
      </c>
      <c r="H1661" s="2" t="str">
        <f t="shared" si="1335"/>
        <v/>
      </c>
      <c r="I1661" s="2" t="str">
        <f t="shared" si="1335"/>
        <v/>
      </c>
      <c r="J1661" s="2" t="str">
        <f t="shared" si="1335"/>
        <v/>
      </c>
      <c r="K1661" s="2" t="str">
        <f t="shared" si="1335"/>
        <v/>
      </c>
      <c r="L1661" s="2" t="str">
        <f t="shared" si="1335"/>
        <v/>
      </c>
      <c r="M1661" s="180" t="str">
        <f t="shared" si="1335"/>
        <v/>
      </c>
      <c r="N1661" s="2" t="str">
        <f t="shared" si="1315"/>
        <v/>
      </c>
      <c r="O1661" s="2">
        <f t="shared" si="1335"/>
        <v>0</v>
      </c>
    </row>
    <row r="1662" spans="1:15" x14ac:dyDescent="0.25">
      <c r="A1662" s="325">
        <v>1</v>
      </c>
      <c r="B1662" s="325">
        <f>TrialNumberDay2</f>
        <v>0</v>
      </c>
      <c r="C1662" s="325" t="s">
        <v>23</v>
      </c>
      <c r="D1662" s="325">
        <f>Excellent!C75</f>
        <v>0</v>
      </c>
      <c r="E1662" s="325" t="str">
        <f>IF(Excellent!B75="W","W","A")</f>
        <v>A</v>
      </c>
      <c r="F1662" s="325" t="s">
        <v>1742</v>
      </c>
      <c r="G1662" s="325" t="str">
        <f>IF(Excellent!W75="e","Y","")</f>
        <v/>
      </c>
      <c r="H1662" s="325" t="str">
        <f>IFERROR(VLOOKUP($D1662,'SDDA Dogs'!$A:$AE,2,FALSE),"")</f>
        <v/>
      </c>
      <c r="I1662" s="325" t="str">
        <f>IFERROR(VLOOKUP($D1662,'SDDA Dogs'!$A:$AE,3,FALSE),"")</f>
        <v/>
      </c>
      <c r="J1662" s="325" t="str">
        <f>IFERROR(VLOOKUP($D1662,'SDDA Dogs'!$A:$AE,6,FALSE),"")</f>
        <v/>
      </c>
      <c r="K1662" s="325" t="str">
        <f>IF(Excellent!AS75="","",Excellent!AS75)</f>
        <v/>
      </c>
      <c r="L1662" s="325" t="str">
        <f>IF(Excellent!AT75="","",Excellent!AT75)</f>
        <v/>
      </c>
      <c r="M1662" s="326" t="str">
        <f>TrialDateDay2</f>
        <v/>
      </c>
      <c r="N1662" s="325" t="str">
        <f t="shared" si="1315"/>
        <v/>
      </c>
      <c r="O1662" s="325">
        <f t="shared" si="1336"/>
        <v>0</v>
      </c>
    </row>
    <row r="1663" spans="1:15" x14ac:dyDescent="0.25">
      <c r="A1663" s="2">
        <v>2</v>
      </c>
      <c r="B1663" s="2">
        <f t="shared" si="1335"/>
        <v>0</v>
      </c>
      <c r="C1663" s="2" t="str">
        <f t="shared" si="1335"/>
        <v>ESE</v>
      </c>
      <c r="D1663" s="2">
        <f t="shared" si="1335"/>
        <v>0</v>
      </c>
      <c r="E1663" s="2" t="str">
        <f t="shared" si="1335"/>
        <v>A</v>
      </c>
      <c r="F1663" s="2" t="str">
        <f t="shared" si="1335"/>
        <v>Exterior Excellent</v>
      </c>
      <c r="G1663" s="2" t="str">
        <f t="shared" si="1335"/>
        <v/>
      </c>
      <c r="H1663" s="2" t="str">
        <f t="shared" si="1335"/>
        <v/>
      </c>
      <c r="I1663" s="2" t="str">
        <f t="shared" si="1335"/>
        <v/>
      </c>
      <c r="J1663" s="2" t="str">
        <f t="shared" si="1335"/>
        <v/>
      </c>
      <c r="K1663" s="2" t="str">
        <f t="shared" si="1335"/>
        <v/>
      </c>
      <c r="L1663" s="2" t="str">
        <f t="shared" si="1335"/>
        <v/>
      </c>
      <c r="M1663" s="180" t="str">
        <f t="shared" si="1335"/>
        <v/>
      </c>
      <c r="N1663" s="2" t="str">
        <f t="shared" si="1315"/>
        <v/>
      </c>
      <c r="O1663" s="2">
        <f t="shared" si="1335"/>
        <v>0</v>
      </c>
    </row>
    <row r="1664" spans="1:15" x14ac:dyDescent="0.25">
      <c r="A1664" s="325">
        <v>1</v>
      </c>
      <c r="B1664" s="325">
        <f>TrialNumberDay2</f>
        <v>0</v>
      </c>
      <c r="C1664" s="325" t="s">
        <v>23</v>
      </c>
      <c r="D1664" s="325">
        <f>Excellent!C76</f>
        <v>0</v>
      </c>
      <c r="E1664" s="325" t="str">
        <f>IF(Excellent!B76="W","W","A")</f>
        <v>A</v>
      </c>
      <c r="F1664" s="325" t="s">
        <v>1742</v>
      </c>
      <c r="G1664" s="325" t="str">
        <f>IF(Excellent!W76="e","Y","")</f>
        <v/>
      </c>
      <c r="H1664" s="325" t="str">
        <f>IFERROR(VLOOKUP($D1664,'SDDA Dogs'!$A:$AE,2,FALSE),"")</f>
        <v/>
      </c>
      <c r="I1664" s="325" t="str">
        <f>IFERROR(VLOOKUP($D1664,'SDDA Dogs'!$A:$AE,3,FALSE),"")</f>
        <v/>
      </c>
      <c r="J1664" s="325" t="str">
        <f>IFERROR(VLOOKUP($D1664,'SDDA Dogs'!$A:$AE,6,FALSE),"")</f>
        <v/>
      </c>
      <c r="K1664" s="325" t="str">
        <f>IF(Excellent!AS76="","",Excellent!AS76)</f>
        <v/>
      </c>
      <c r="L1664" s="325" t="str">
        <f>IF(Excellent!AT76="","",Excellent!AT76)</f>
        <v/>
      </c>
      <c r="M1664" s="326" t="str">
        <f>TrialDateDay2</f>
        <v/>
      </c>
      <c r="N1664" s="325" t="str">
        <f t="shared" si="1315"/>
        <v/>
      </c>
      <c r="O1664" s="325">
        <f t="shared" si="1336"/>
        <v>0</v>
      </c>
    </row>
    <row r="1665" spans="1:15" x14ac:dyDescent="0.25">
      <c r="A1665" s="2">
        <v>2</v>
      </c>
      <c r="B1665" s="2">
        <f t="shared" si="1335"/>
        <v>0</v>
      </c>
      <c r="C1665" s="2" t="str">
        <f t="shared" si="1335"/>
        <v>ESE</v>
      </c>
      <c r="D1665" s="2">
        <f t="shared" si="1335"/>
        <v>0</v>
      </c>
      <c r="E1665" s="2" t="str">
        <f t="shared" si="1335"/>
        <v>A</v>
      </c>
      <c r="F1665" s="2" t="str">
        <f t="shared" si="1335"/>
        <v>Exterior Excellent</v>
      </c>
      <c r="G1665" s="2" t="str">
        <f t="shared" si="1335"/>
        <v/>
      </c>
      <c r="H1665" s="2" t="str">
        <f t="shared" si="1335"/>
        <v/>
      </c>
      <c r="I1665" s="2" t="str">
        <f t="shared" si="1335"/>
        <v/>
      </c>
      <c r="J1665" s="2" t="str">
        <f t="shared" si="1335"/>
        <v/>
      </c>
      <c r="K1665" s="2" t="str">
        <f t="shared" si="1335"/>
        <v/>
      </c>
      <c r="L1665" s="2" t="str">
        <f t="shared" si="1335"/>
        <v/>
      </c>
      <c r="M1665" s="180" t="str">
        <f t="shared" si="1335"/>
        <v/>
      </c>
      <c r="N1665" s="2" t="str">
        <f t="shared" si="1315"/>
        <v/>
      </c>
      <c r="O1665" s="2">
        <f t="shared" si="1335"/>
        <v>0</v>
      </c>
    </row>
    <row r="1666" spans="1:15" x14ac:dyDescent="0.25">
      <c r="A1666" s="325">
        <v>1</v>
      </c>
      <c r="B1666" s="325">
        <f>TrialNumberDay2</f>
        <v>0</v>
      </c>
      <c r="C1666" s="325" t="s">
        <v>23</v>
      </c>
      <c r="D1666" s="325">
        <f>Excellent!C77</f>
        <v>0</v>
      </c>
      <c r="E1666" s="325" t="str">
        <f>IF(Excellent!B77="W","W","A")</f>
        <v>A</v>
      </c>
      <c r="F1666" s="325" t="s">
        <v>1742</v>
      </c>
      <c r="G1666" s="325" t="str">
        <f>IF(Excellent!W77="e","Y","")</f>
        <v/>
      </c>
      <c r="H1666" s="325" t="str">
        <f>IFERROR(VLOOKUP($D1666,'SDDA Dogs'!$A:$AE,2,FALSE),"")</f>
        <v/>
      </c>
      <c r="I1666" s="325" t="str">
        <f>IFERROR(VLOOKUP($D1666,'SDDA Dogs'!$A:$AE,3,FALSE),"")</f>
        <v/>
      </c>
      <c r="J1666" s="325" t="str">
        <f>IFERROR(VLOOKUP($D1666,'SDDA Dogs'!$A:$AE,6,FALSE),"")</f>
        <v/>
      </c>
      <c r="K1666" s="325" t="str">
        <f>IF(Excellent!AS77="","",Excellent!AS77)</f>
        <v/>
      </c>
      <c r="L1666" s="325" t="str">
        <f>IF(Excellent!AT77="","",Excellent!AT77)</f>
        <v/>
      </c>
      <c r="M1666" s="326" t="str">
        <f>TrialDateDay2</f>
        <v/>
      </c>
      <c r="N1666" s="325" t="str">
        <f t="shared" si="1315"/>
        <v/>
      </c>
      <c r="O1666" s="325">
        <f t="shared" si="1336"/>
        <v>0</v>
      </c>
    </row>
    <row r="1667" spans="1:15" x14ac:dyDescent="0.25">
      <c r="A1667" s="2">
        <v>2</v>
      </c>
      <c r="B1667" s="2">
        <f t="shared" si="1335"/>
        <v>0</v>
      </c>
      <c r="C1667" s="2" t="str">
        <f t="shared" si="1335"/>
        <v>ESE</v>
      </c>
      <c r="D1667" s="2">
        <f t="shared" si="1335"/>
        <v>0</v>
      </c>
      <c r="E1667" s="2" t="str">
        <f t="shared" si="1335"/>
        <v>A</v>
      </c>
      <c r="F1667" s="2" t="str">
        <f t="shared" si="1335"/>
        <v>Exterior Excellent</v>
      </c>
      <c r="G1667" s="2" t="str">
        <f t="shared" si="1335"/>
        <v/>
      </c>
      <c r="H1667" s="2" t="str">
        <f t="shared" si="1335"/>
        <v/>
      </c>
      <c r="I1667" s="2" t="str">
        <f t="shared" si="1335"/>
        <v/>
      </c>
      <c r="J1667" s="2" t="str">
        <f t="shared" si="1335"/>
        <v/>
      </c>
      <c r="K1667" s="2" t="str">
        <f t="shared" si="1335"/>
        <v/>
      </c>
      <c r="L1667" s="2" t="str">
        <f t="shared" si="1335"/>
        <v/>
      </c>
      <c r="M1667" s="180" t="str">
        <f t="shared" si="1335"/>
        <v/>
      </c>
      <c r="N1667" s="2" t="str">
        <f t="shared" si="1315"/>
        <v/>
      </c>
      <c r="O1667" s="2">
        <f t="shared" si="1335"/>
        <v>0</v>
      </c>
    </row>
    <row r="1668" spans="1:15" x14ac:dyDescent="0.25">
      <c r="A1668" s="325">
        <v>1</v>
      </c>
      <c r="B1668" s="325">
        <f>TrialNumberDay2</f>
        <v>0</v>
      </c>
      <c r="C1668" s="325" t="s">
        <v>23</v>
      </c>
      <c r="D1668" s="325">
        <f>Excellent!C78</f>
        <v>0</v>
      </c>
      <c r="E1668" s="325" t="str">
        <f>IF(Excellent!B78="W","W","A")</f>
        <v>A</v>
      </c>
      <c r="F1668" s="325" t="s">
        <v>1742</v>
      </c>
      <c r="G1668" s="325" t="str">
        <f>IF(Excellent!W78="e","Y","")</f>
        <v/>
      </c>
      <c r="H1668" s="325" t="str">
        <f>IFERROR(VLOOKUP($D1668,'SDDA Dogs'!$A:$AE,2,FALSE),"")</f>
        <v/>
      </c>
      <c r="I1668" s="325" t="str">
        <f>IFERROR(VLOOKUP($D1668,'SDDA Dogs'!$A:$AE,3,FALSE),"")</f>
        <v/>
      </c>
      <c r="J1668" s="325" t="str">
        <f>IFERROR(VLOOKUP($D1668,'SDDA Dogs'!$A:$AE,6,FALSE),"")</f>
        <v/>
      </c>
      <c r="K1668" s="325" t="str">
        <f>IF(Excellent!AS78="","",Excellent!AS78)</f>
        <v/>
      </c>
      <c r="L1668" s="325" t="str">
        <f>IF(Excellent!AT78="","",Excellent!AT78)</f>
        <v/>
      </c>
      <c r="M1668" s="326" t="str">
        <f>TrialDateDay2</f>
        <v/>
      </c>
      <c r="N1668" s="325" t="str">
        <f t="shared" ref="N1668:N1731" si="1337">N1667</f>
        <v/>
      </c>
      <c r="O1668" s="325">
        <f t="shared" si="1336"/>
        <v>0</v>
      </c>
    </row>
    <row r="1669" spans="1:15" x14ac:dyDescent="0.25">
      <c r="A1669" s="2">
        <v>2</v>
      </c>
      <c r="B1669" s="2">
        <f t="shared" si="1335"/>
        <v>0</v>
      </c>
      <c r="C1669" s="2" t="str">
        <f t="shared" si="1335"/>
        <v>ESE</v>
      </c>
      <c r="D1669" s="2">
        <f t="shared" si="1335"/>
        <v>0</v>
      </c>
      <c r="E1669" s="2" t="str">
        <f t="shared" si="1335"/>
        <v>A</v>
      </c>
      <c r="F1669" s="2" t="str">
        <f t="shared" si="1335"/>
        <v>Exterior Excellent</v>
      </c>
      <c r="G1669" s="2" t="str">
        <f t="shared" si="1335"/>
        <v/>
      </c>
      <c r="H1669" s="2" t="str">
        <f t="shared" si="1335"/>
        <v/>
      </c>
      <c r="I1669" s="2" t="str">
        <f t="shared" si="1335"/>
        <v/>
      </c>
      <c r="J1669" s="2" t="str">
        <f t="shared" si="1335"/>
        <v/>
      </c>
      <c r="K1669" s="2" t="str">
        <f t="shared" si="1335"/>
        <v/>
      </c>
      <c r="L1669" s="2" t="str">
        <f t="shared" si="1335"/>
        <v/>
      </c>
      <c r="M1669" s="180" t="str">
        <f t="shared" si="1335"/>
        <v/>
      </c>
      <c r="N1669" s="2" t="str">
        <f t="shared" si="1337"/>
        <v/>
      </c>
      <c r="O1669" s="2">
        <f t="shared" si="1335"/>
        <v>0</v>
      </c>
    </row>
    <row r="1670" spans="1:15" x14ac:dyDescent="0.25">
      <c r="A1670" s="325">
        <v>1</v>
      </c>
      <c r="B1670" s="325">
        <f>TrialNumberDay2</f>
        <v>0</v>
      </c>
      <c r="C1670" s="325" t="s">
        <v>23</v>
      </c>
      <c r="D1670" s="325">
        <f>Excellent!C79</f>
        <v>0</v>
      </c>
      <c r="E1670" s="325" t="str">
        <f>IF(Excellent!B79="W","W","A")</f>
        <v>A</v>
      </c>
      <c r="F1670" s="325" t="s">
        <v>1742</v>
      </c>
      <c r="G1670" s="325" t="str">
        <f>IF(Excellent!W79="e","Y","")</f>
        <v/>
      </c>
      <c r="H1670" s="325" t="str">
        <f>IFERROR(VLOOKUP($D1670,'SDDA Dogs'!$A:$AE,2,FALSE),"")</f>
        <v/>
      </c>
      <c r="I1670" s="325" t="str">
        <f>IFERROR(VLOOKUP($D1670,'SDDA Dogs'!$A:$AE,3,FALSE),"")</f>
        <v/>
      </c>
      <c r="J1670" s="325" t="str">
        <f>IFERROR(VLOOKUP($D1670,'SDDA Dogs'!$A:$AE,6,FALSE),"")</f>
        <v/>
      </c>
      <c r="K1670" s="325" t="str">
        <f>IF(Excellent!AS79="","",Excellent!AS79)</f>
        <v/>
      </c>
      <c r="L1670" s="325" t="str">
        <f>IF(Excellent!AT79="","",Excellent!AT79)</f>
        <v/>
      </c>
      <c r="M1670" s="326" t="str">
        <f>TrialDateDay2</f>
        <v/>
      </c>
      <c r="N1670" s="325" t="str">
        <f t="shared" si="1337"/>
        <v/>
      </c>
      <c r="O1670" s="325">
        <f t="shared" si="1336"/>
        <v>0</v>
      </c>
    </row>
    <row r="1671" spans="1:15" x14ac:dyDescent="0.25">
      <c r="A1671" s="2">
        <v>2</v>
      </c>
      <c r="B1671" s="2">
        <f t="shared" si="1335"/>
        <v>0</v>
      </c>
      <c r="C1671" s="2" t="str">
        <f t="shared" si="1335"/>
        <v>ESE</v>
      </c>
      <c r="D1671" s="2">
        <f t="shared" si="1335"/>
        <v>0</v>
      </c>
      <c r="E1671" s="2" t="str">
        <f t="shared" si="1335"/>
        <v>A</v>
      </c>
      <c r="F1671" s="2" t="str">
        <f t="shared" si="1335"/>
        <v>Exterior Excellent</v>
      </c>
      <c r="G1671" s="2" t="str">
        <f t="shared" si="1335"/>
        <v/>
      </c>
      <c r="H1671" s="2" t="str">
        <f t="shared" si="1335"/>
        <v/>
      </c>
      <c r="I1671" s="2" t="str">
        <f t="shared" si="1335"/>
        <v/>
      </c>
      <c r="J1671" s="2" t="str">
        <f t="shared" si="1335"/>
        <v/>
      </c>
      <c r="K1671" s="2" t="str">
        <f t="shared" si="1335"/>
        <v/>
      </c>
      <c r="L1671" s="2" t="str">
        <f t="shared" si="1335"/>
        <v/>
      </c>
      <c r="M1671" s="180" t="str">
        <f t="shared" si="1335"/>
        <v/>
      </c>
      <c r="N1671" s="2" t="str">
        <f t="shared" si="1337"/>
        <v/>
      </c>
      <c r="O1671" s="2">
        <f t="shared" si="1335"/>
        <v>0</v>
      </c>
    </row>
    <row r="1672" spans="1:15" x14ac:dyDescent="0.25">
      <c r="A1672" s="325">
        <v>1</v>
      </c>
      <c r="B1672" s="325">
        <f>TrialNumberDay2</f>
        <v>0</v>
      </c>
      <c r="C1672" s="325" t="s">
        <v>23</v>
      </c>
      <c r="D1672" s="325">
        <f>Excellent!C80</f>
        <v>0</v>
      </c>
      <c r="E1672" s="325" t="str">
        <f>IF(Excellent!B80="W","W","A")</f>
        <v>A</v>
      </c>
      <c r="F1672" s="325" t="s">
        <v>1742</v>
      </c>
      <c r="G1672" s="325" t="str">
        <f>IF(Excellent!W80="e","Y","")</f>
        <v/>
      </c>
      <c r="H1672" s="325" t="str">
        <f>IFERROR(VLOOKUP($D1672,'SDDA Dogs'!$A:$AE,2,FALSE),"")</f>
        <v/>
      </c>
      <c r="I1672" s="325" t="str">
        <f>IFERROR(VLOOKUP($D1672,'SDDA Dogs'!$A:$AE,3,FALSE),"")</f>
        <v/>
      </c>
      <c r="J1672" s="325" t="str">
        <f>IFERROR(VLOOKUP($D1672,'SDDA Dogs'!$A:$AE,6,FALSE),"")</f>
        <v/>
      </c>
      <c r="K1672" s="325" t="str">
        <f>IF(Excellent!AS80="","",Excellent!AS80)</f>
        <v/>
      </c>
      <c r="L1672" s="325" t="str">
        <f>IF(Excellent!AT80="","",Excellent!AT80)</f>
        <v/>
      </c>
      <c r="M1672" s="326" t="str">
        <f>TrialDateDay2</f>
        <v/>
      </c>
      <c r="N1672" s="325" t="str">
        <f t="shared" si="1337"/>
        <v/>
      </c>
      <c r="O1672" s="325">
        <f t="shared" si="1336"/>
        <v>0</v>
      </c>
    </row>
    <row r="1673" spans="1:15" x14ac:dyDescent="0.25">
      <c r="A1673" s="2">
        <v>2</v>
      </c>
      <c r="B1673" s="2">
        <f t="shared" si="1335"/>
        <v>0</v>
      </c>
      <c r="C1673" s="2" t="str">
        <f t="shared" si="1335"/>
        <v>ESE</v>
      </c>
      <c r="D1673" s="2">
        <f t="shared" si="1335"/>
        <v>0</v>
      </c>
      <c r="E1673" s="2" t="str">
        <f t="shared" si="1335"/>
        <v>A</v>
      </c>
      <c r="F1673" s="2" t="str">
        <f t="shared" si="1335"/>
        <v>Exterior Excellent</v>
      </c>
      <c r="G1673" s="2" t="str">
        <f t="shared" si="1335"/>
        <v/>
      </c>
      <c r="H1673" s="2" t="str">
        <f t="shared" si="1335"/>
        <v/>
      </c>
      <c r="I1673" s="2" t="str">
        <f t="shared" si="1335"/>
        <v/>
      </c>
      <c r="J1673" s="2" t="str">
        <f t="shared" si="1335"/>
        <v/>
      </c>
      <c r="K1673" s="2" t="str">
        <f t="shared" si="1335"/>
        <v/>
      </c>
      <c r="L1673" s="2" t="str">
        <f t="shared" si="1335"/>
        <v/>
      </c>
      <c r="M1673" s="180" t="str">
        <f t="shared" si="1335"/>
        <v/>
      </c>
      <c r="N1673" s="2" t="str">
        <f t="shared" si="1337"/>
        <v/>
      </c>
      <c r="O1673" s="2">
        <f t="shared" si="1335"/>
        <v>0</v>
      </c>
    </row>
    <row r="1674" spans="1:15" x14ac:dyDescent="0.25">
      <c r="A1674" s="325">
        <v>1</v>
      </c>
      <c r="B1674" s="325">
        <f>TrialNumberDay2</f>
        <v>0</v>
      </c>
      <c r="C1674" s="325" t="s">
        <v>23</v>
      </c>
      <c r="D1674" s="325">
        <f>Excellent!C81</f>
        <v>0</v>
      </c>
      <c r="E1674" s="325" t="str">
        <f>IF(Excellent!B81="W","W","A")</f>
        <v>A</v>
      </c>
      <c r="F1674" s="325" t="s">
        <v>1742</v>
      </c>
      <c r="G1674" s="325" t="str">
        <f>IF(Excellent!W81="e","Y","")</f>
        <v/>
      </c>
      <c r="H1674" s="325" t="str">
        <f>IFERROR(VLOOKUP($D1674,'SDDA Dogs'!$A:$AE,2,FALSE),"")</f>
        <v/>
      </c>
      <c r="I1674" s="325" t="str">
        <f>IFERROR(VLOOKUP($D1674,'SDDA Dogs'!$A:$AE,3,FALSE),"")</f>
        <v/>
      </c>
      <c r="J1674" s="325" t="str">
        <f>IFERROR(VLOOKUP($D1674,'SDDA Dogs'!$A:$AE,6,FALSE),"")</f>
        <v/>
      </c>
      <c r="K1674" s="325" t="str">
        <f>IF(Excellent!AS81="","",Excellent!AS81)</f>
        <v/>
      </c>
      <c r="L1674" s="325" t="str">
        <f>IF(Excellent!AT81="","",Excellent!AT81)</f>
        <v/>
      </c>
      <c r="M1674" s="326" t="str">
        <f>TrialDateDay2</f>
        <v/>
      </c>
      <c r="N1674" s="325" t="str">
        <f t="shared" si="1337"/>
        <v/>
      </c>
      <c r="O1674" s="325">
        <f t="shared" si="1336"/>
        <v>0</v>
      </c>
    </row>
    <row r="1675" spans="1:15" x14ac:dyDescent="0.25">
      <c r="A1675" s="2">
        <v>2</v>
      </c>
      <c r="B1675" s="2">
        <f t="shared" si="1335"/>
        <v>0</v>
      </c>
      <c r="C1675" s="2" t="str">
        <f t="shared" si="1335"/>
        <v>ESE</v>
      </c>
      <c r="D1675" s="2">
        <f t="shared" si="1335"/>
        <v>0</v>
      </c>
      <c r="E1675" s="2" t="str">
        <f t="shared" si="1335"/>
        <v>A</v>
      </c>
      <c r="F1675" s="2" t="str">
        <f t="shared" si="1335"/>
        <v>Exterior Excellent</v>
      </c>
      <c r="G1675" s="2" t="str">
        <f t="shared" si="1335"/>
        <v/>
      </c>
      <c r="H1675" s="2" t="str">
        <f t="shared" si="1335"/>
        <v/>
      </c>
      <c r="I1675" s="2" t="str">
        <f t="shared" si="1335"/>
        <v/>
      </c>
      <c r="J1675" s="2" t="str">
        <f t="shared" si="1335"/>
        <v/>
      </c>
      <c r="K1675" s="2" t="str">
        <f t="shared" si="1335"/>
        <v/>
      </c>
      <c r="L1675" s="2" t="str">
        <f t="shared" si="1335"/>
        <v/>
      </c>
      <c r="M1675" s="180" t="str">
        <f t="shared" si="1335"/>
        <v/>
      </c>
      <c r="N1675" s="2" t="str">
        <f t="shared" si="1337"/>
        <v/>
      </c>
      <c r="O1675" s="2">
        <f t="shared" si="1335"/>
        <v>0</v>
      </c>
    </row>
    <row r="1676" spans="1:15" x14ac:dyDescent="0.25">
      <c r="A1676" s="325">
        <v>1</v>
      </c>
      <c r="B1676" s="325">
        <f>TrialNumberDay2</f>
        <v>0</v>
      </c>
      <c r="C1676" s="325" t="s">
        <v>23</v>
      </c>
      <c r="D1676" s="325">
        <f>Excellent!C82</f>
        <v>0</v>
      </c>
      <c r="E1676" s="325" t="str">
        <f>IF(Excellent!B82="W","W","A")</f>
        <v>A</v>
      </c>
      <c r="F1676" s="325" t="s">
        <v>1742</v>
      </c>
      <c r="G1676" s="325" t="str">
        <f>IF(Excellent!W82="e","Y","")</f>
        <v/>
      </c>
      <c r="H1676" s="325" t="str">
        <f>IFERROR(VLOOKUP($D1676,'SDDA Dogs'!$A:$AE,2,FALSE),"")</f>
        <v/>
      </c>
      <c r="I1676" s="325" t="str">
        <f>IFERROR(VLOOKUP($D1676,'SDDA Dogs'!$A:$AE,3,FALSE),"")</f>
        <v/>
      </c>
      <c r="J1676" s="325" t="str">
        <f>IFERROR(VLOOKUP($D1676,'SDDA Dogs'!$A:$AE,6,FALSE),"")</f>
        <v/>
      </c>
      <c r="K1676" s="325" t="str">
        <f>IF(Excellent!AS82="","",Excellent!AS82)</f>
        <v/>
      </c>
      <c r="L1676" s="325" t="str">
        <f>IF(Excellent!AT82="","",Excellent!AT82)</f>
        <v/>
      </c>
      <c r="M1676" s="326" t="str">
        <f>TrialDateDay2</f>
        <v/>
      </c>
      <c r="N1676" s="325" t="str">
        <f t="shared" si="1337"/>
        <v/>
      </c>
      <c r="O1676" s="325">
        <f t="shared" si="1336"/>
        <v>0</v>
      </c>
    </row>
    <row r="1677" spans="1:15" x14ac:dyDescent="0.25">
      <c r="A1677" s="2">
        <v>2</v>
      </c>
      <c r="B1677" s="2">
        <f t="shared" si="1335"/>
        <v>0</v>
      </c>
      <c r="C1677" s="2" t="str">
        <f t="shared" si="1335"/>
        <v>ESE</v>
      </c>
      <c r="D1677" s="2">
        <f t="shared" si="1335"/>
        <v>0</v>
      </c>
      <c r="E1677" s="2" t="str">
        <f t="shared" ref="E1677:O1683" si="1338">E1676</f>
        <v>A</v>
      </c>
      <c r="F1677" s="2" t="str">
        <f t="shared" si="1338"/>
        <v>Exterior Excellent</v>
      </c>
      <c r="G1677" s="2" t="str">
        <f t="shared" si="1338"/>
        <v/>
      </c>
      <c r="H1677" s="2" t="str">
        <f t="shared" si="1338"/>
        <v/>
      </c>
      <c r="I1677" s="2" t="str">
        <f t="shared" si="1338"/>
        <v/>
      </c>
      <c r="J1677" s="2" t="str">
        <f t="shared" si="1338"/>
        <v/>
      </c>
      <c r="K1677" s="2" t="str">
        <f t="shared" si="1338"/>
        <v/>
      </c>
      <c r="L1677" s="2" t="str">
        <f t="shared" si="1338"/>
        <v/>
      </c>
      <c r="M1677" s="180" t="str">
        <f t="shared" si="1338"/>
        <v/>
      </c>
      <c r="N1677" s="2" t="str">
        <f t="shared" si="1337"/>
        <v/>
      </c>
      <c r="O1677" s="2">
        <f t="shared" si="1338"/>
        <v>0</v>
      </c>
    </row>
    <row r="1678" spans="1:15" x14ac:dyDescent="0.25">
      <c r="A1678" s="325">
        <v>1</v>
      </c>
      <c r="B1678" s="325">
        <f>TrialNumberDay2</f>
        <v>0</v>
      </c>
      <c r="C1678" s="325" t="s">
        <v>23</v>
      </c>
      <c r="D1678" s="325">
        <f>Excellent!C83</f>
        <v>0</v>
      </c>
      <c r="E1678" s="325" t="str">
        <f>IF(Excellent!B83="W","W","A")</f>
        <v>A</v>
      </c>
      <c r="F1678" s="325" t="s">
        <v>1742</v>
      </c>
      <c r="G1678" s="325" t="str">
        <f>IF(Excellent!W83="e","Y","")</f>
        <v/>
      </c>
      <c r="H1678" s="325" t="str">
        <f>IFERROR(VLOOKUP($D1678,'SDDA Dogs'!$A:$AE,2,FALSE),"")</f>
        <v/>
      </c>
      <c r="I1678" s="325" t="str">
        <f>IFERROR(VLOOKUP($D1678,'SDDA Dogs'!$A:$AE,3,FALSE),"")</f>
        <v/>
      </c>
      <c r="J1678" s="325" t="str">
        <f>IFERROR(VLOOKUP($D1678,'SDDA Dogs'!$A:$AE,6,FALSE),"")</f>
        <v/>
      </c>
      <c r="K1678" s="325" t="str">
        <f>IF(Excellent!AS83="","",Excellent!AS83)</f>
        <v/>
      </c>
      <c r="L1678" s="325" t="str">
        <f>IF(Excellent!AT83="","",Excellent!AT83)</f>
        <v/>
      </c>
      <c r="M1678" s="326" t="str">
        <f>TrialDateDay2</f>
        <v/>
      </c>
      <c r="N1678" s="325" t="str">
        <f t="shared" si="1337"/>
        <v/>
      </c>
      <c r="O1678" s="325">
        <f t="shared" si="1336"/>
        <v>0</v>
      </c>
    </row>
    <row r="1679" spans="1:15" x14ac:dyDescent="0.25">
      <c r="A1679" s="2">
        <v>2</v>
      </c>
      <c r="B1679" s="2">
        <f t="shared" ref="B1679:D1683" si="1339">B1678</f>
        <v>0</v>
      </c>
      <c r="C1679" s="2" t="str">
        <f t="shared" si="1339"/>
        <v>ESE</v>
      </c>
      <c r="D1679" s="2">
        <f t="shared" si="1339"/>
        <v>0</v>
      </c>
      <c r="E1679" s="2" t="str">
        <f t="shared" si="1338"/>
        <v>A</v>
      </c>
      <c r="F1679" s="2" t="str">
        <f t="shared" si="1338"/>
        <v>Exterior Excellent</v>
      </c>
      <c r="G1679" s="2" t="str">
        <f t="shared" si="1338"/>
        <v/>
      </c>
      <c r="H1679" s="2" t="str">
        <f t="shared" si="1338"/>
        <v/>
      </c>
      <c r="I1679" s="2" t="str">
        <f t="shared" si="1338"/>
        <v/>
      </c>
      <c r="J1679" s="2" t="str">
        <f t="shared" si="1338"/>
        <v/>
      </c>
      <c r="K1679" s="2" t="str">
        <f t="shared" si="1338"/>
        <v/>
      </c>
      <c r="L1679" s="2" t="str">
        <f t="shared" si="1338"/>
        <v/>
      </c>
      <c r="M1679" s="180" t="str">
        <f t="shared" si="1338"/>
        <v/>
      </c>
      <c r="N1679" s="2" t="str">
        <f t="shared" si="1337"/>
        <v/>
      </c>
      <c r="O1679" s="2">
        <f t="shared" si="1338"/>
        <v>0</v>
      </c>
    </row>
    <row r="1680" spans="1:15" x14ac:dyDescent="0.25">
      <c r="A1680" s="325">
        <v>1</v>
      </c>
      <c r="B1680" s="325">
        <f>TrialNumberDay2</f>
        <v>0</v>
      </c>
      <c r="C1680" s="325" t="s">
        <v>23</v>
      </c>
      <c r="D1680" s="325">
        <f>Excellent!C84</f>
        <v>0</v>
      </c>
      <c r="E1680" s="325" t="str">
        <f>IF(Excellent!B84="W","W","A")</f>
        <v>A</v>
      </c>
      <c r="F1680" s="325" t="s">
        <v>1742</v>
      </c>
      <c r="G1680" s="325" t="str">
        <f>IF(Excellent!W84="e","Y","")</f>
        <v/>
      </c>
      <c r="H1680" s="325" t="str">
        <f>IFERROR(VLOOKUP($D1680,'SDDA Dogs'!$A:$AE,2,FALSE),"")</f>
        <v/>
      </c>
      <c r="I1680" s="325" t="str">
        <f>IFERROR(VLOOKUP($D1680,'SDDA Dogs'!$A:$AE,3,FALSE),"")</f>
        <v/>
      </c>
      <c r="J1680" s="325" t="str">
        <f>IFERROR(VLOOKUP($D1680,'SDDA Dogs'!$A:$AE,6,FALSE),"")</f>
        <v/>
      </c>
      <c r="K1680" s="325" t="str">
        <f>IF(Excellent!AS84="","",Excellent!AS84)</f>
        <v/>
      </c>
      <c r="L1680" s="325" t="str">
        <f>IF(Excellent!AT84="","",Excellent!AT84)</f>
        <v/>
      </c>
      <c r="M1680" s="326" t="str">
        <f>TrialDateDay2</f>
        <v/>
      </c>
      <c r="N1680" s="325" t="str">
        <f t="shared" si="1337"/>
        <v/>
      </c>
      <c r="O1680" s="325">
        <f t="shared" si="1336"/>
        <v>0</v>
      </c>
    </row>
    <row r="1681" spans="1:15" x14ac:dyDescent="0.25">
      <c r="A1681" s="2">
        <v>2</v>
      </c>
      <c r="B1681" s="2">
        <f t="shared" si="1339"/>
        <v>0</v>
      </c>
      <c r="C1681" s="2" t="str">
        <f t="shared" si="1339"/>
        <v>ESE</v>
      </c>
      <c r="D1681" s="2">
        <f t="shared" si="1339"/>
        <v>0</v>
      </c>
      <c r="E1681" s="2" t="str">
        <f t="shared" si="1338"/>
        <v>A</v>
      </c>
      <c r="F1681" s="2" t="str">
        <f t="shared" si="1338"/>
        <v>Exterior Excellent</v>
      </c>
      <c r="G1681" s="2" t="str">
        <f t="shared" si="1338"/>
        <v/>
      </c>
      <c r="H1681" s="2" t="str">
        <f t="shared" si="1338"/>
        <v/>
      </c>
      <c r="I1681" s="2" t="str">
        <f t="shared" si="1338"/>
        <v/>
      </c>
      <c r="J1681" s="2" t="str">
        <f t="shared" si="1338"/>
        <v/>
      </c>
      <c r="K1681" s="2" t="str">
        <f t="shared" si="1338"/>
        <v/>
      </c>
      <c r="L1681" s="2" t="str">
        <f t="shared" si="1338"/>
        <v/>
      </c>
      <c r="M1681" s="180" t="str">
        <f t="shared" si="1338"/>
        <v/>
      </c>
      <c r="N1681" s="2" t="str">
        <f t="shared" si="1337"/>
        <v/>
      </c>
      <c r="O1681" s="2">
        <f t="shared" si="1338"/>
        <v>0</v>
      </c>
    </row>
    <row r="1682" spans="1:15" x14ac:dyDescent="0.25">
      <c r="A1682" s="325">
        <v>1</v>
      </c>
      <c r="B1682" s="325">
        <f>TrialNumberDay2</f>
        <v>0</v>
      </c>
      <c r="C1682" s="325" t="s">
        <v>23</v>
      </c>
      <c r="D1682" s="325">
        <f>Excellent!C85</f>
        <v>0</v>
      </c>
      <c r="E1682" s="325" t="str">
        <f>IF(Excellent!B85="W","W","A")</f>
        <v>A</v>
      </c>
      <c r="F1682" s="325" t="s">
        <v>1742</v>
      </c>
      <c r="G1682" s="325" t="str">
        <f>IF(Excellent!W85="e","Y","")</f>
        <v/>
      </c>
      <c r="H1682" s="325" t="str">
        <f>IFERROR(VLOOKUP($D1682,'SDDA Dogs'!$A:$AE,2,FALSE),"")</f>
        <v/>
      </c>
      <c r="I1682" s="325" t="str">
        <f>IFERROR(VLOOKUP($D1682,'SDDA Dogs'!$A:$AE,3,FALSE),"")</f>
        <v/>
      </c>
      <c r="J1682" s="325" t="str">
        <f>IFERROR(VLOOKUP($D1682,'SDDA Dogs'!$A:$AE,6,FALSE),"")</f>
        <v/>
      </c>
      <c r="K1682" s="325" t="str">
        <f>IF(Excellent!AS85="","",Excellent!AS85)</f>
        <v/>
      </c>
      <c r="L1682" s="325" t="str">
        <f>IF(Excellent!AT85="","",Excellent!AT85)</f>
        <v/>
      </c>
      <c r="M1682" s="326" t="str">
        <f>TrialDateDay2</f>
        <v/>
      </c>
      <c r="N1682" s="325" t="str">
        <f t="shared" si="1337"/>
        <v/>
      </c>
      <c r="O1682" s="325">
        <f t="shared" si="1336"/>
        <v>0</v>
      </c>
    </row>
    <row r="1683" spans="1:15" x14ac:dyDescent="0.25">
      <c r="A1683" s="2">
        <v>2</v>
      </c>
      <c r="B1683" s="2">
        <f t="shared" si="1339"/>
        <v>0</v>
      </c>
      <c r="C1683" s="2" t="str">
        <f t="shared" si="1339"/>
        <v>ESE</v>
      </c>
      <c r="D1683" s="2">
        <f t="shared" si="1339"/>
        <v>0</v>
      </c>
      <c r="E1683" s="2" t="str">
        <f t="shared" si="1338"/>
        <v>A</v>
      </c>
      <c r="F1683" s="2" t="str">
        <f t="shared" si="1338"/>
        <v>Exterior Excellent</v>
      </c>
      <c r="G1683" s="2" t="str">
        <f t="shared" si="1338"/>
        <v/>
      </c>
      <c r="H1683" s="2" t="str">
        <f t="shared" si="1338"/>
        <v/>
      </c>
      <c r="I1683" s="2" t="str">
        <f t="shared" si="1338"/>
        <v/>
      </c>
      <c r="J1683" s="2" t="str">
        <f t="shared" si="1338"/>
        <v/>
      </c>
      <c r="K1683" s="2" t="str">
        <f t="shared" si="1338"/>
        <v/>
      </c>
      <c r="L1683" s="2" t="str">
        <f t="shared" si="1338"/>
        <v/>
      </c>
      <c r="M1683" s="180" t="str">
        <f t="shared" si="1338"/>
        <v/>
      </c>
      <c r="N1683" s="2" t="str">
        <f t="shared" si="1337"/>
        <v/>
      </c>
      <c r="O1683" s="2">
        <f t="shared" si="1338"/>
        <v>0</v>
      </c>
    </row>
    <row r="1684" spans="1:15" x14ac:dyDescent="0.25">
      <c r="A1684" s="325">
        <v>1</v>
      </c>
      <c r="B1684" s="325">
        <f>TrialNumberDay2</f>
        <v>0</v>
      </c>
      <c r="C1684" s="325" t="s">
        <v>23</v>
      </c>
      <c r="D1684" s="325">
        <f>Excellent!C86</f>
        <v>0</v>
      </c>
      <c r="E1684" s="325" t="str">
        <f>IF(Excellent!B86="W","W","A")</f>
        <v>A</v>
      </c>
      <c r="F1684" s="325" t="s">
        <v>1742</v>
      </c>
      <c r="G1684" s="325" t="str">
        <f>IF(Excellent!W86="e","Y","")</f>
        <v/>
      </c>
      <c r="H1684" s="325" t="str">
        <f>IFERROR(VLOOKUP($D1684,'SDDA Dogs'!$A:$AE,2,FALSE),"")</f>
        <v/>
      </c>
      <c r="I1684" s="325" t="str">
        <f>IFERROR(VLOOKUP($D1684,'SDDA Dogs'!$A:$AE,3,FALSE),"")</f>
        <v/>
      </c>
      <c r="J1684" s="325" t="str">
        <f>IFERROR(VLOOKUP($D1684,'SDDA Dogs'!$A:$AE,6,FALSE),"")</f>
        <v/>
      </c>
      <c r="K1684" s="325" t="str">
        <f>IF(Excellent!AS86="","",Excellent!AS86)</f>
        <v/>
      </c>
      <c r="L1684" s="325" t="str">
        <f>IF(Excellent!AT86="","",Excellent!AT86)</f>
        <v/>
      </c>
      <c r="M1684" s="326" t="str">
        <f>TrialDateDay2</f>
        <v/>
      </c>
      <c r="N1684" s="325" t="str">
        <f t="shared" si="1337"/>
        <v/>
      </c>
      <c r="O1684" s="325">
        <f t="shared" si="1336"/>
        <v>0</v>
      </c>
    </row>
    <row r="1685" spans="1:15" x14ac:dyDescent="0.25">
      <c r="A1685" s="2">
        <v>2</v>
      </c>
      <c r="B1685" s="2">
        <f t="shared" ref="B1685:M1685" si="1340">B1684</f>
        <v>0</v>
      </c>
      <c r="C1685" s="2" t="str">
        <f t="shared" si="1340"/>
        <v>ESE</v>
      </c>
      <c r="D1685" s="2">
        <f t="shared" si="1340"/>
        <v>0</v>
      </c>
      <c r="E1685" s="2" t="str">
        <f t="shared" si="1340"/>
        <v>A</v>
      </c>
      <c r="F1685" s="2" t="str">
        <f t="shared" si="1340"/>
        <v>Exterior Excellent</v>
      </c>
      <c r="G1685" s="2" t="str">
        <f t="shared" si="1340"/>
        <v/>
      </c>
      <c r="H1685" s="2" t="str">
        <f t="shared" si="1340"/>
        <v/>
      </c>
      <c r="I1685" s="2" t="str">
        <f t="shared" si="1340"/>
        <v/>
      </c>
      <c r="J1685" s="2" t="str">
        <f t="shared" si="1340"/>
        <v/>
      </c>
      <c r="K1685" s="2" t="str">
        <f t="shared" si="1340"/>
        <v/>
      </c>
      <c r="L1685" s="2" t="str">
        <f t="shared" si="1340"/>
        <v/>
      </c>
      <c r="M1685" s="180" t="str">
        <f t="shared" si="1340"/>
        <v/>
      </c>
      <c r="N1685" s="2" t="str">
        <f t="shared" si="1337"/>
        <v/>
      </c>
      <c r="O1685" s="2">
        <f t="shared" si="1336"/>
        <v>0</v>
      </c>
    </row>
    <row r="1686" spans="1:15" x14ac:dyDescent="0.25">
      <c r="A1686" s="325">
        <v>1</v>
      </c>
      <c r="B1686" s="325">
        <f>TrialNumberDay2</f>
        <v>0</v>
      </c>
      <c r="C1686" s="325" t="s">
        <v>23</v>
      </c>
      <c r="D1686" s="325">
        <f>Excellent!C87</f>
        <v>0</v>
      </c>
      <c r="E1686" s="325" t="str">
        <f>IF(Excellent!B87="W","W","A")</f>
        <v>A</v>
      </c>
      <c r="F1686" s="325" t="s">
        <v>1742</v>
      </c>
      <c r="G1686" s="325" t="str">
        <f>IF(Excellent!W87="e","Y","")</f>
        <v/>
      </c>
      <c r="H1686" s="325" t="str">
        <f>IFERROR(VLOOKUP($D1686,'SDDA Dogs'!$A:$AE,2,FALSE),"")</f>
        <v/>
      </c>
      <c r="I1686" s="325" t="str">
        <f>IFERROR(VLOOKUP($D1686,'SDDA Dogs'!$A:$AE,3,FALSE),"")</f>
        <v/>
      </c>
      <c r="J1686" s="325" t="str">
        <f>IFERROR(VLOOKUP($D1686,'SDDA Dogs'!$A:$AE,6,FALSE),"")</f>
        <v/>
      </c>
      <c r="K1686" s="325" t="str">
        <f>IF(Excellent!AS87="","",Excellent!AS87)</f>
        <v/>
      </c>
      <c r="L1686" s="325" t="str">
        <f>IF(Excellent!AT87="","",Excellent!AT87)</f>
        <v/>
      </c>
      <c r="M1686" s="326" t="str">
        <f>TrialDateDay2</f>
        <v/>
      </c>
      <c r="N1686" s="325" t="str">
        <f t="shared" si="1337"/>
        <v/>
      </c>
      <c r="O1686" s="325">
        <f t="shared" si="1336"/>
        <v>0</v>
      </c>
    </row>
    <row r="1687" spans="1:15" x14ac:dyDescent="0.25">
      <c r="A1687" s="2">
        <v>2</v>
      </c>
      <c r="B1687" s="2">
        <f t="shared" ref="B1687:M1687" si="1341">B1686</f>
        <v>0</v>
      </c>
      <c r="C1687" s="2" t="str">
        <f t="shared" si="1341"/>
        <v>ESE</v>
      </c>
      <c r="D1687" s="2">
        <f t="shared" si="1341"/>
        <v>0</v>
      </c>
      <c r="E1687" s="2" t="str">
        <f t="shared" si="1341"/>
        <v>A</v>
      </c>
      <c r="F1687" s="2" t="str">
        <f t="shared" si="1341"/>
        <v>Exterior Excellent</v>
      </c>
      <c r="G1687" s="2" t="str">
        <f t="shared" si="1341"/>
        <v/>
      </c>
      <c r="H1687" s="2" t="str">
        <f t="shared" si="1341"/>
        <v/>
      </c>
      <c r="I1687" s="2" t="str">
        <f t="shared" si="1341"/>
        <v/>
      </c>
      <c r="J1687" s="2" t="str">
        <f t="shared" si="1341"/>
        <v/>
      </c>
      <c r="K1687" s="2" t="str">
        <f t="shared" si="1341"/>
        <v/>
      </c>
      <c r="L1687" s="2" t="str">
        <f t="shared" si="1341"/>
        <v/>
      </c>
      <c r="M1687" s="180" t="str">
        <f t="shared" si="1341"/>
        <v/>
      </c>
      <c r="N1687" s="2" t="str">
        <f t="shared" si="1337"/>
        <v/>
      </c>
      <c r="O1687" s="2">
        <f t="shared" si="1336"/>
        <v>0</v>
      </c>
    </row>
    <row r="1688" spans="1:15" x14ac:dyDescent="0.25">
      <c r="A1688" s="325">
        <v>1</v>
      </c>
      <c r="B1688" s="325">
        <f>TrialNumberDay2</f>
        <v>0</v>
      </c>
      <c r="C1688" s="325" t="s">
        <v>23</v>
      </c>
      <c r="D1688" s="325">
        <f>Excellent!C88</f>
        <v>0</v>
      </c>
      <c r="E1688" s="325" t="str">
        <f>IF(Excellent!B88="W","W","A")</f>
        <v>A</v>
      </c>
      <c r="F1688" s="325" t="s">
        <v>1742</v>
      </c>
      <c r="G1688" s="325" t="str">
        <f>IF(Excellent!W88="e","Y","")</f>
        <v/>
      </c>
      <c r="H1688" s="325" t="str">
        <f>IFERROR(VLOOKUP($D1688,'SDDA Dogs'!$A:$AE,2,FALSE),"")</f>
        <v/>
      </c>
      <c r="I1688" s="325" t="str">
        <f>IFERROR(VLOOKUP($D1688,'SDDA Dogs'!$A:$AE,3,FALSE),"")</f>
        <v/>
      </c>
      <c r="J1688" s="325" t="str">
        <f>IFERROR(VLOOKUP($D1688,'SDDA Dogs'!$A:$AE,6,FALSE),"")</f>
        <v/>
      </c>
      <c r="K1688" s="325" t="str">
        <f>IF(Excellent!AS88="","",Excellent!AS88)</f>
        <v/>
      </c>
      <c r="L1688" s="325" t="str">
        <f>IF(Excellent!AT88="","",Excellent!AT88)</f>
        <v/>
      </c>
      <c r="M1688" s="326" t="str">
        <f>TrialDateDay2</f>
        <v/>
      </c>
      <c r="N1688" s="325" t="str">
        <f t="shared" si="1337"/>
        <v/>
      </c>
      <c r="O1688" s="325">
        <f t="shared" si="1336"/>
        <v>0</v>
      </c>
    </row>
    <row r="1689" spans="1:15" x14ac:dyDescent="0.25">
      <c r="A1689" s="2">
        <v>2</v>
      </c>
      <c r="B1689" s="2">
        <f t="shared" ref="B1689:M1689" si="1342">B1688</f>
        <v>0</v>
      </c>
      <c r="C1689" s="2" t="str">
        <f t="shared" si="1342"/>
        <v>ESE</v>
      </c>
      <c r="D1689" s="2">
        <f t="shared" si="1342"/>
        <v>0</v>
      </c>
      <c r="E1689" s="2" t="str">
        <f t="shared" si="1342"/>
        <v>A</v>
      </c>
      <c r="F1689" s="2" t="str">
        <f t="shared" si="1342"/>
        <v>Exterior Excellent</v>
      </c>
      <c r="G1689" s="2" t="str">
        <f t="shared" si="1342"/>
        <v/>
      </c>
      <c r="H1689" s="2" t="str">
        <f t="shared" si="1342"/>
        <v/>
      </c>
      <c r="I1689" s="2" t="str">
        <f t="shared" si="1342"/>
        <v/>
      </c>
      <c r="J1689" s="2" t="str">
        <f t="shared" si="1342"/>
        <v/>
      </c>
      <c r="K1689" s="2" t="str">
        <f t="shared" si="1342"/>
        <v/>
      </c>
      <c r="L1689" s="2" t="str">
        <f t="shared" si="1342"/>
        <v/>
      </c>
      <c r="M1689" s="180" t="str">
        <f t="shared" si="1342"/>
        <v/>
      </c>
      <c r="N1689" s="2" t="str">
        <f t="shared" si="1337"/>
        <v/>
      </c>
      <c r="O1689" s="2">
        <f t="shared" si="1336"/>
        <v>0</v>
      </c>
    </row>
    <row r="1690" spans="1:15" x14ac:dyDescent="0.25">
      <c r="A1690" s="325">
        <v>1</v>
      </c>
      <c r="B1690" s="325">
        <f>TrialNumberDay2</f>
        <v>0</v>
      </c>
      <c r="C1690" s="325" t="s">
        <v>23</v>
      </c>
      <c r="D1690" s="325">
        <f>Excellent!C89</f>
        <v>0</v>
      </c>
      <c r="E1690" s="325" t="str">
        <f>IF(Excellent!B89="W","W","A")</f>
        <v>A</v>
      </c>
      <c r="F1690" s="325" t="s">
        <v>1742</v>
      </c>
      <c r="G1690" s="325" t="str">
        <f>IF(Excellent!W89="e","Y","")</f>
        <v/>
      </c>
      <c r="H1690" s="325" t="str">
        <f>IFERROR(VLOOKUP($D1690,'SDDA Dogs'!$A:$AE,2,FALSE),"")</f>
        <v/>
      </c>
      <c r="I1690" s="325" t="str">
        <f>IFERROR(VLOOKUP($D1690,'SDDA Dogs'!$A:$AE,3,FALSE),"")</f>
        <v/>
      </c>
      <c r="J1690" s="325" t="str">
        <f>IFERROR(VLOOKUP($D1690,'SDDA Dogs'!$A:$AE,6,FALSE),"")</f>
        <v/>
      </c>
      <c r="K1690" s="325" t="str">
        <f>IF(Excellent!AS89="","",Excellent!AS89)</f>
        <v/>
      </c>
      <c r="L1690" s="325" t="str">
        <f>IF(Excellent!AT89="","",Excellent!AT89)</f>
        <v/>
      </c>
      <c r="M1690" s="326" t="str">
        <f>TrialDateDay2</f>
        <v/>
      </c>
      <c r="N1690" s="325" t="str">
        <f t="shared" si="1337"/>
        <v/>
      </c>
      <c r="O1690" s="325">
        <f t="shared" si="1336"/>
        <v>0</v>
      </c>
    </row>
    <row r="1691" spans="1:15" x14ac:dyDescent="0.25">
      <c r="A1691" s="2">
        <v>2</v>
      </c>
      <c r="B1691" s="2">
        <f t="shared" ref="B1691:M1691" si="1343">B1690</f>
        <v>0</v>
      </c>
      <c r="C1691" s="2" t="str">
        <f t="shared" si="1343"/>
        <v>ESE</v>
      </c>
      <c r="D1691" s="2">
        <f t="shared" si="1343"/>
        <v>0</v>
      </c>
      <c r="E1691" s="2" t="str">
        <f t="shared" si="1343"/>
        <v>A</v>
      </c>
      <c r="F1691" s="2" t="str">
        <f t="shared" si="1343"/>
        <v>Exterior Excellent</v>
      </c>
      <c r="G1691" s="2" t="str">
        <f t="shared" si="1343"/>
        <v/>
      </c>
      <c r="H1691" s="2" t="str">
        <f t="shared" si="1343"/>
        <v/>
      </c>
      <c r="I1691" s="2" t="str">
        <f t="shared" si="1343"/>
        <v/>
      </c>
      <c r="J1691" s="2" t="str">
        <f t="shared" si="1343"/>
        <v/>
      </c>
      <c r="K1691" s="2" t="str">
        <f t="shared" si="1343"/>
        <v/>
      </c>
      <c r="L1691" s="2" t="str">
        <f t="shared" si="1343"/>
        <v/>
      </c>
      <c r="M1691" s="180" t="str">
        <f t="shared" si="1343"/>
        <v/>
      </c>
      <c r="N1691" s="2" t="str">
        <f t="shared" si="1337"/>
        <v/>
      </c>
      <c r="O1691" s="2">
        <f t="shared" si="1336"/>
        <v>0</v>
      </c>
    </row>
    <row r="1692" spans="1:15" x14ac:dyDescent="0.25">
      <c r="A1692" s="325">
        <v>1</v>
      </c>
      <c r="B1692" s="325">
        <f>TrialNumberDay2</f>
        <v>0</v>
      </c>
      <c r="C1692" s="325" t="s">
        <v>23</v>
      </c>
      <c r="D1692" s="325">
        <f>Excellent!C90</f>
        <v>0</v>
      </c>
      <c r="E1692" s="325" t="str">
        <f>IF(Excellent!B90="W","W","A")</f>
        <v>A</v>
      </c>
      <c r="F1692" s="325" t="s">
        <v>1742</v>
      </c>
      <c r="G1692" s="325" t="str">
        <f>IF(Excellent!W90="e","Y","")</f>
        <v/>
      </c>
      <c r="H1692" s="325" t="str">
        <f>IFERROR(VLOOKUP($D1692,'SDDA Dogs'!$A:$AE,2,FALSE),"")</f>
        <v/>
      </c>
      <c r="I1692" s="325" t="str">
        <f>IFERROR(VLOOKUP($D1692,'SDDA Dogs'!$A:$AE,3,FALSE),"")</f>
        <v/>
      </c>
      <c r="J1692" s="325" t="str">
        <f>IFERROR(VLOOKUP($D1692,'SDDA Dogs'!$A:$AE,6,FALSE),"")</f>
        <v/>
      </c>
      <c r="K1692" s="325" t="str">
        <f>IF(Excellent!AS90="","",Excellent!AS90)</f>
        <v/>
      </c>
      <c r="L1692" s="325" t="str">
        <f>IF(Excellent!AT90="","",Excellent!AT90)</f>
        <v/>
      </c>
      <c r="M1692" s="326" t="str">
        <f>TrialDateDay2</f>
        <v/>
      </c>
      <c r="N1692" s="325" t="str">
        <f t="shared" si="1337"/>
        <v/>
      </c>
      <c r="O1692" s="325">
        <f t="shared" si="1336"/>
        <v>0</v>
      </c>
    </row>
    <row r="1693" spans="1:15" x14ac:dyDescent="0.25">
      <c r="A1693" s="2">
        <v>2</v>
      </c>
      <c r="B1693" s="2">
        <f t="shared" ref="B1693:M1693" si="1344">B1692</f>
        <v>0</v>
      </c>
      <c r="C1693" s="2" t="str">
        <f t="shared" si="1344"/>
        <v>ESE</v>
      </c>
      <c r="D1693" s="2">
        <f t="shared" si="1344"/>
        <v>0</v>
      </c>
      <c r="E1693" s="2" t="str">
        <f t="shared" si="1344"/>
        <v>A</v>
      </c>
      <c r="F1693" s="2" t="str">
        <f t="shared" si="1344"/>
        <v>Exterior Excellent</v>
      </c>
      <c r="G1693" s="2" t="str">
        <f t="shared" si="1344"/>
        <v/>
      </c>
      <c r="H1693" s="2" t="str">
        <f t="shared" si="1344"/>
        <v/>
      </c>
      <c r="I1693" s="2" t="str">
        <f t="shared" si="1344"/>
        <v/>
      </c>
      <c r="J1693" s="2" t="str">
        <f t="shared" si="1344"/>
        <v/>
      </c>
      <c r="K1693" s="2" t="str">
        <f t="shared" si="1344"/>
        <v/>
      </c>
      <c r="L1693" s="2" t="str">
        <f t="shared" si="1344"/>
        <v/>
      </c>
      <c r="M1693" s="180" t="str">
        <f t="shared" si="1344"/>
        <v/>
      </c>
      <c r="N1693" s="2" t="str">
        <f t="shared" si="1337"/>
        <v/>
      </c>
      <c r="O1693" s="2">
        <f t="shared" si="1336"/>
        <v>0</v>
      </c>
    </row>
    <row r="1694" spans="1:15" x14ac:dyDescent="0.25">
      <c r="A1694" s="325">
        <v>1</v>
      </c>
      <c r="B1694" s="325">
        <f>TrialNumberDay2</f>
        <v>0</v>
      </c>
      <c r="C1694" s="325" t="s">
        <v>23</v>
      </c>
      <c r="D1694" s="325">
        <f>Excellent!C91</f>
        <v>0</v>
      </c>
      <c r="E1694" s="325" t="str">
        <f>IF(Excellent!B91="W","W","A")</f>
        <v>A</v>
      </c>
      <c r="F1694" s="325" t="s">
        <v>1742</v>
      </c>
      <c r="G1694" s="325" t="str">
        <f>IF(Excellent!W91="e","Y","")</f>
        <v/>
      </c>
      <c r="H1694" s="325" t="str">
        <f>IFERROR(VLOOKUP($D1694,'SDDA Dogs'!$A:$AE,2,FALSE),"")</f>
        <v/>
      </c>
      <c r="I1694" s="325" t="str">
        <f>IFERROR(VLOOKUP($D1694,'SDDA Dogs'!$A:$AE,3,FALSE),"")</f>
        <v/>
      </c>
      <c r="J1694" s="325" t="str">
        <f>IFERROR(VLOOKUP($D1694,'SDDA Dogs'!$A:$AE,6,FALSE),"")</f>
        <v/>
      </c>
      <c r="K1694" s="325" t="str">
        <f>IF(Excellent!AS91="","",Excellent!AS91)</f>
        <v/>
      </c>
      <c r="L1694" s="325" t="str">
        <f>IF(Excellent!AT91="","",Excellent!AT91)</f>
        <v/>
      </c>
      <c r="M1694" s="326" t="str">
        <f>TrialDateDay2</f>
        <v/>
      </c>
      <c r="N1694" s="325" t="str">
        <f t="shared" si="1337"/>
        <v/>
      </c>
      <c r="O1694" s="325">
        <f t="shared" si="1336"/>
        <v>0</v>
      </c>
    </row>
    <row r="1695" spans="1:15" x14ac:dyDescent="0.25">
      <c r="A1695" s="2">
        <v>2</v>
      </c>
      <c r="B1695" s="2">
        <f t="shared" ref="B1695:M1695" si="1345">B1694</f>
        <v>0</v>
      </c>
      <c r="C1695" s="2" t="str">
        <f t="shared" si="1345"/>
        <v>ESE</v>
      </c>
      <c r="D1695" s="2">
        <f t="shared" si="1345"/>
        <v>0</v>
      </c>
      <c r="E1695" s="2" t="str">
        <f t="shared" si="1345"/>
        <v>A</v>
      </c>
      <c r="F1695" s="2" t="str">
        <f t="shared" si="1345"/>
        <v>Exterior Excellent</v>
      </c>
      <c r="G1695" s="2" t="str">
        <f t="shared" si="1345"/>
        <v/>
      </c>
      <c r="H1695" s="2" t="str">
        <f t="shared" si="1345"/>
        <v/>
      </c>
      <c r="I1695" s="2" t="str">
        <f t="shared" si="1345"/>
        <v/>
      </c>
      <c r="J1695" s="2" t="str">
        <f t="shared" si="1345"/>
        <v/>
      </c>
      <c r="K1695" s="2" t="str">
        <f t="shared" si="1345"/>
        <v/>
      </c>
      <c r="L1695" s="2" t="str">
        <f t="shared" si="1345"/>
        <v/>
      </c>
      <c r="M1695" s="180" t="str">
        <f t="shared" si="1345"/>
        <v/>
      </c>
      <c r="N1695" s="2" t="str">
        <f t="shared" si="1337"/>
        <v/>
      </c>
      <c r="O1695" s="2">
        <f t="shared" si="1336"/>
        <v>0</v>
      </c>
    </row>
    <row r="1696" spans="1:15" x14ac:dyDescent="0.25">
      <c r="A1696" s="325">
        <v>1</v>
      </c>
      <c r="B1696" s="325">
        <f>TrialNumberDay2</f>
        <v>0</v>
      </c>
      <c r="C1696" s="325" t="s">
        <v>23</v>
      </c>
      <c r="D1696" s="325">
        <f>Excellent!C92</f>
        <v>0</v>
      </c>
      <c r="E1696" s="325" t="str">
        <f>IF(Excellent!B92="W","W","A")</f>
        <v>A</v>
      </c>
      <c r="F1696" s="325" t="s">
        <v>1742</v>
      </c>
      <c r="G1696" s="325" t="str">
        <f>IF(Excellent!W92="e","Y","")</f>
        <v/>
      </c>
      <c r="H1696" s="325" t="str">
        <f>IFERROR(VLOOKUP($D1696,'SDDA Dogs'!$A:$AE,2,FALSE),"")</f>
        <v/>
      </c>
      <c r="I1696" s="325" t="str">
        <f>IFERROR(VLOOKUP($D1696,'SDDA Dogs'!$A:$AE,3,FALSE),"")</f>
        <v/>
      </c>
      <c r="J1696" s="325" t="str">
        <f>IFERROR(VLOOKUP($D1696,'SDDA Dogs'!$A:$AE,6,FALSE),"")</f>
        <v/>
      </c>
      <c r="K1696" s="325" t="str">
        <f>IF(Excellent!AS92="","",Excellent!AS92)</f>
        <v/>
      </c>
      <c r="L1696" s="325" t="str">
        <f>IF(Excellent!AT92="","",Excellent!AT92)</f>
        <v/>
      </c>
      <c r="M1696" s="326" t="str">
        <f>TrialDateDay2</f>
        <v/>
      </c>
      <c r="N1696" s="325" t="str">
        <f t="shared" si="1337"/>
        <v/>
      </c>
      <c r="O1696" s="325">
        <f t="shared" si="1336"/>
        <v>0</v>
      </c>
    </row>
    <row r="1697" spans="1:15" x14ac:dyDescent="0.25">
      <c r="A1697" s="2">
        <v>2</v>
      </c>
      <c r="B1697" s="2">
        <f t="shared" ref="B1697:M1697" si="1346">B1696</f>
        <v>0</v>
      </c>
      <c r="C1697" s="2" t="str">
        <f t="shared" si="1346"/>
        <v>ESE</v>
      </c>
      <c r="D1697" s="2">
        <f t="shared" si="1346"/>
        <v>0</v>
      </c>
      <c r="E1697" s="2" t="str">
        <f t="shared" si="1346"/>
        <v>A</v>
      </c>
      <c r="F1697" s="2" t="str">
        <f t="shared" si="1346"/>
        <v>Exterior Excellent</v>
      </c>
      <c r="G1697" s="2" t="str">
        <f t="shared" si="1346"/>
        <v/>
      </c>
      <c r="H1697" s="2" t="str">
        <f t="shared" si="1346"/>
        <v/>
      </c>
      <c r="I1697" s="2" t="str">
        <f t="shared" si="1346"/>
        <v/>
      </c>
      <c r="J1697" s="2" t="str">
        <f t="shared" si="1346"/>
        <v/>
      </c>
      <c r="K1697" s="2" t="str">
        <f t="shared" si="1346"/>
        <v/>
      </c>
      <c r="L1697" s="2" t="str">
        <f t="shared" si="1346"/>
        <v/>
      </c>
      <c r="M1697" s="180" t="str">
        <f t="shared" si="1346"/>
        <v/>
      </c>
      <c r="N1697" s="2" t="str">
        <f t="shared" si="1337"/>
        <v/>
      </c>
      <c r="O1697" s="2">
        <f t="shared" si="1336"/>
        <v>0</v>
      </c>
    </row>
    <row r="1698" spans="1:15" x14ac:dyDescent="0.25">
      <c r="A1698" s="325">
        <v>1</v>
      </c>
      <c r="B1698" s="325">
        <f>TrialNumberDay2</f>
        <v>0</v>
      </c>
      <c r="C1698" s="325" t="s">
        <v>23</v>
      </c>
      <c r="D1698" s="325">
        <f>Excellent!C93</f>
        <v>0</v>
      </c>
      <c r="E1698" s="325" t="str">
        <f>IF(Excellent!B93="W","W","A")</f>
        <v>A</v>
      </c>
      <c r="F1698" s="325" t="s">
        <v>1742</v>
      </c>
      <c r="G1698" s="325" t="str">
        <f>IF(Excellent!W93="e","Y","")</f>
        <v/>
      </c>
      <c r="H1698" s="325" t="str">
        <f>IFERROR(VLOOKUP($D1698,'SDDA Dogs'!$A:$AE,2,FALSE),"")</f>
        <v/>
      </c>
      <c r="I1698" s="325" t="str">
        <f>IFERROR(VLOOKUP($D1698,'SDDA Dogs'!$A:$AE,3,FALSE),"")</f>
        <v/>
      </c>
      <c r="J1698" s="325" t="str">
        <f>IFERROR(VLOOKUP($D1698,'SDDA Dogs'!$A:$AE,6,FALSE),"")</f>
        <v/>
      </c>
      <c r="K1698" s="325" t="str">
        <f>IF(Excellent!AS93="","",Excellent!AS93)</f>
        <v/>
      </c>
      <c r="L1698" s="325" t="str">
        <f>IF(Excellent!AT93="","",Excellent!AT93)</f>
        <v/>
      </c>
      <c r="M1698" s="326" t="str">
        <f>TrialDateDay2</f>
        <v/>
      </c>
      <c r="N1698" s="325" t="str">
        <f t="shared" si="1337"/>
        <v/>
      </c>
      <c r="O1698" s="325">
        <f t="shared" si="1336"/>
        <v>0</v>
      </c>
    </row>
    <row r="1699" spans="1:15" x14ac:dyDescent="0.25">
      <c r="A1699" s="2">
        <v>2</v>
      </c>
      <c r="B1699" s="2">
        <f t="shared" ref="B1699:M1699" si="1347">B1698</f>
        <v>0</v>
      </c>
      <c r="C1699" s="2" t="str">
        <f t="shared" si="1347"/>
        <v>ESE</v>
      </c>
      <c r="D1699" s="2">
        <f t="shared" si="1347"/>
        <v>0</v>
      </c>
      <c r="E1699" s="2" t="str">
        <f t="shared" si="1347"/>
        <v>A</v>
      </c>
      <c r="F1699" s="2" t="str">
        <f t="shared" si="1347"/>
        <v>Exterior Excellent</v>
      </c>
      <c r="G1699" s="2" t="str">
        <f t="shared" si="1347"/>
        <v/>
      </c>
      <c r="H1699" s="2" t="str">
        <f t="shared" si="1347"/>
        <v/>
      </c>
      <c r="I1699" s="2" t="str">
        <f t="shared" si="1347"/>
        <v/>
      </c>
      <c r="J1699" s="2" t="str">
        <f t="shared" si="1347"/>
        <v/>
      </c>
      <c r="K1699" s="2" t="str">
        <f t="shared" si="1347"/>
        <v/>
      </c>
      <c r="L1699" s="2" t="str">
        <f t="shared" si="1347"/>
        <v/>
      </c>
      <c r="M1699" s="180" t="str">
        <f t="shared" si="1347"/>
        <v/>
      </c>
      <c r="N1699" s="2" t="str">
        <f t="shared" si="1337"/>
        <v/>
      </c>
      <c r="O1699" s="2">
        <f t="shared" si="1336"/>
        <v>0</v>
      </c>
    </row>
    <row r="1700" spans="1:15" x14ac:dyDescent="0.25">
      <c r="A1700" s="325">
        <v>1</v>
      </c>
      <c r="B1700" s="325">
        <f>TrialNumberDay2</f>
        <v>0</v>
      </c>
      <c r="C1700" s="325" t="s">
        <v>23</v>
      </c>
      <c r="D1700" s="325">
        <f>Excellent!C94</f>
        <v>0</v>
      </c>
      <c r="E1700" s="325" t="str">
        <f>IF(Excellent!B94="W","W","A")</f>
        <v>A</v>
      </c>
      <c r="F1700" s="325" t="s">
        <v>1742</v>
      </c>
      <c r="G1700" s="325" t="str">
        <f>IF(Excellent!W94="e","Y","")</f>
        <v/>
      </c>
      <c r="H1700" s="325" t="str">
        <f>IFERROR(VLOOKUP($D1700,'SDDA Dogs'!$A:$AE,2,FALSE),"")</f>
        <v/>
      </c>
      <c r="I1700" s="325" t="str">
        <f>IFERROR(VLOOKUP($D1700,'SDDA Dogs'!$A:$AE,3,FALSE),"")</f>
        <v/>
      </c>
      <c r="J1700" s="325" t="str">
        <f>IFERROR(VLOOKUP($D1700,'SDDA Dogs'!$A:$AE,6,FALSE),"")</f>
        <v/>
      </c>
      <c r="K1700" s="325" t="str">
        <f>IF(Excellent!AS94="","",Excellent!AS94)</f>
        <v/>
      </c>
      <c r="L1700" s="325" t="str">
        <f>IF(Excellent!AT94="","",Excellent!AT94)</f>
        <v/>
      </c>
      <c r="M1700" s="326" t="str">
        <f>TrialDateDay2</f>
        <v/>
      </c>
      <c r="N1700" s="325" t="str">
        <f t="shared" si="1337"/>
        <v/>
      </c>
      <c r="O1700" s="325">
        <f t="shared" si="1336"/>
        <v>0</v>
      </c>
    </row>
    <row r="1701" spans="1:15" x14ac:dyDescent="0.25">
      <c r="A1701" s="2">
        <v>2</v>
      </c>
      <c r="B1701" s="2">
        <f t="shared" ref="B1701:M1701" si="1348">B1700</f>
        <v>0</v>
      </c>
      <c r="C1701" s="2" t="str">
        <f t="shared" si="1348"/>
        <v>ESE</v>
      </c>
      <c r="D1701" s="2">
        <f t="shared" si="1348"/>
        <v>0</v>
      </c>
      <c r="E1701" s="2" t="str">
        <f t="shared" si="1348"/>
        <v>A</v>
      </c>
      <c r="F1701" s="2" t="str">
        <f t="shared" si="1348"/>
        <v>Exterior Excellent</v>
      </c>
      <c r="G1701" s="2" t="str">
        <f t="shared" si="1348"/>
        <v/>
      </c>
      <c r="H1701" s="2" t="str">
        <f t="shared" si="1348"/>
        <v/>
      </c>
      <c r="I1701" s="2" t="str">
        <f t="shared" si="1348"/>
        <v/>
      </c>
      <c r="J1701" s="2" t="str">
        <f t="shared" si="1348"/>
        <v/>
      </c>
      <c r="K1701" s="2" t="str">
        <f t="shared" si="1348"/>
        <v/>
      </c>
      <c r="L1701" s="2" t="str">
        <f t="shared" si="1348"/>
        <v/>
      </c>
      <c r="M1701" s="180" t="str">
        <f t="shared" si="1348"/>
        <v/>
      </c>
      <c r="N1701" s="2" t="str">
        <f t="shared" si="1337"/>
        <v/>
      </c>
      <c r="O1701" s="2">
        <f t="shared" si="1336"/>
        <v>0</v>
      </c>
    </row>
    <row r="1702" spans="1:15" x14ac:dyDescent="0.25">
      <c r="A1702" s="325">
        <v>1</v>
      </c>
      <c r="B1702" s="325">
        <f>TrialNumberDay2</f>
        <v>0</v>
      </c>
      <c r="C1702" s="325" t="s">
        <v>23</v>
      </c>
      <c r="D1702" s="325">
        <f>Excellent!C95</f>
        <v>0</v>
      </c>
      <c r="E1702" s="325" t="str">
        <f>IF(Excellent!B95="W","W","A")</f>
        <v>A</v>
      </c>
      <c r="F1702" s="325" t="s">
        <v>1742</v>
      </c>
      <c r="G1702" s="325" t="str">
        <f>IF(Excellent!W95="e","Y","")</f>
        <v/>
      </c>
      <c r="H1702" s="325" t="str">
        <f>IFERROR(VLOOKUP($D1702,'SDDA Dogs'!$A:$AE,2,FALSE),"")</f>
        <v/>
      </c>
      <c r="I1702" s="325" t="str">
        <f>IFERROR(VLOOKUP($D1702,'SDDA Dogs'!$A:$AE,3,FALSE),"")</f>
        <v/>
      </c>
      <c r="J1702" s="325" t="str">
        <f>IFERROR(VLOOKUP($D1702,'SDDA Dogs'!$A:$AE,6,FALSE),"")</f>
        <v/>
      </c>
      <c r="K1702" s="325" t="str">
        <f>IF(Excellent!AS95="","",Excellent!AS95)</f>
        <v/>
      </c>
      <c r="L1702" s="325" t="str">
        <f>IF(Excellent!AT95="","",Excellent!AT95)</f>
        <v/>
      </c>
      <c r="M1702" s="326" t="str">
        <f>TrialDateDay2</f>
        <v/>
      </c>
      <c r="N1702" s="325" t="str">
        <f t="shared" si="1337"/>
        <v/>
      </c>
      <c r="O1702" s="325">
        <f t="shared" si="1336"/>
        <v>0</v>
      </c>
    </row>
    <row r="1703" spans="1:15" x14ac:dyDescent="0.25">
      <c r="A1703" s="2">
        <v>2</v>
      </c>
      <c r="B1703" s="2">
        <f t="shared" ref="B1703:M1703" si="1349">B1702</f>
        <v>0</v>
      </c>
      <c r="C1703" s="2" t="str">
        <f t="shared" si="1349"/>
        <v>ESE</v>
      </c>
      <c r="D1703" s="2">
        <f t="shared" si="1349"/>
        <v>0</v>
      </c>
      <c r="E1703" s="2" t="str">
        <f t="shared" si="1349"/>
        <v>A</v>
      </c>
      <c r="F1703" s="2" t="str">
        <f t="shared" si="1349"/>
        <v>Exterior Excellent</v>
      </c>
      <c r="G1703" s="2" t="str">
        <f t="shared" si="1349"/>
        <v/>
      </c>
      <c r="H1703" s="2" t="str">
        <f t="shared" si="1349"/>
        <v/>
      </c>
      <c r="I1703" s="2" t="str">
        <f t="shared" si="1349"/>
        <v/>
      </c>
      <c r="J1703" s="2" t="str">
        <f t="shared" si="1349"/>
        <v/>
      </c>
      <c r="K1703" s="2" t="str">
        <f t="shared" si="1349"/>
        <v/>
      </c>
      <c r="L1703" s="2" t="str">
        <f t="shared" si="1349"/>
        <v/>
      </c>
      <c r="M1703" s="180" t="str">
        <f t="shared" si="1349"/>
        <v/>
      </c>
      <c r="N1703" s="2" t="str">
        <f t="shared" si="1337"/>
        <v/>
      </c>
      <c r="O1703" s="2">
        <f t="shared" si="1336"/>
        <v>0</v>
      </c>
    </row>
    <row r="1704" spans="1:15" x14ac:dyDescent="0.25">
      <c r="A1704" s="325">
        <v>1</v>
      </c>
      <c r="B1704" s="325">
        <f>TrialNumberDay2</f>
        <v>0</v>
      </c>
      <c r="C1704" s="325" t="s">
        <v>23</v>
      </c>
      <c r="D1704" s="325">
        <f>Excellent!C96</f>
        <v>0</v>
      </c>
      <c r="E1704" s="325" t="str">
        <f>IF(Excellent!B96="W","W","A")</f>
        <v>A</v>
      </c>
      <c r="F1704" s="325" t="s">
        <v>1742</v>
      </c>
      <c r="G1704" s="325" t="str">
        <f>IF(Excellent!W96="e","Y","")</f>
        <v/>
      </c>
      <c r="H1704" s="325" t="str">
        <f>IFERROR(VLOOKUP($D1704,'SDDA Dogs'!$A:$AE,2,FALSE),"")</f>
        <v/>
      </c>
      <c r="I1704" s="325" t="str">
        <f>IFERROR(VLOOKUP($D1704,'SDDA Dogs'!$A:$AE,3,FALSE),"")</f>
        <v/>
      </c>
      <c r="J1704" s="325" t="str">
        <f>IFERROR(VLOOKUP($D1704,'SDDA Dogs'!$A:$AE,6,FALSE),"")</f>
        <v/>
      </c>
      <c r="K1704" s="325" t="str">
        <f>IF(Excellent!AS96="","",Excellent!AS96)</f>
        <v/>
      </c>
      <c r="L1704" s="325" t="str">
        <f>IF(Excellent!AT96="","",Excellent!AT96)</f>
        <v/>
      </c>
      <c r="M1704" s="326" t="str">
        <f>TrialDateDay2</f>
        <v/>
      </c>
      <c r="N1704" s="325" t="str">
        <f t="shared" si="1337"/>
        <v/>
      </c>
      <c r="O1704" s="325">
        <f t="shared" si="1336"/>
        <v>0</v>
      </c>
    </row>
    <row r="1705" spans="1:15" x14ac:dyDescent="0.25">
      <c r="A1705" s="2">
        <v>2</v>
      </c>
      <c r="B1705" s="2">
        <f t="shared" ref="B1705:M1705" si="1350">B1704</f>
        <v>0</v>
      </c>
      <c r="C1705" s="2" t="str">
        <f t="shared" si="1350"/>
        <v>ESE</v>
      </c>
      <c r="D1705" s="2">
        <f t="shared" si="1350"/>
        <v>0</v>
      </c>
      <c r="E1705" s="2" t="str">
        <f t="shared" si="1350"/>
        <v>A</v>
      </c>
      <c r="F1705" s="2" t="str">
        <f t="shared" si="1350"/>
        <v>Exterior Excellent</v>
      </c>
      <c r="G1705" s="2" t="str">
        <f t="shared" si="1350"/>
        <v/>
      </c>
      <c r="H1705" s="2" t="str">
        <f t="shared" si="1350"/>
        <v/>
      </c>
      <c r="I1705" s="2" t="str">
        <f t="shared" si="1350"/>
        <v/>
      </c>
      <c r="J1705" s="2" t="str">
        <f t="shared" si="1350"/>
        <v/>
      </c>
      <c r="K1705" s="2" t="str">
        <f t="shared" si="1350"/>
        <v/>
      </c>
      <c r="L1705" s="2" t="str">
        <f t="shared" si="1350"/>
        <v/>
      </c>
      <c r="M1705" s="180" t="str">
        <f t="shared" si="1350"/>
        <v/>
      </c>
      <c r="N1705" s="2" t="str">
        <f t="shared" si="1337"/>
        <v/>
      </c>
      <c r="O1705" s="2">
        <f t="shared" si="1336"/>
        <v>0</v>
      </c>
    </row>
    <row r="1706" spans="1:15" x14ac:dyDescent="0.25">
      <c r="A1706" s="325">
        <v>1</v>
      </c>
      <c r="B1706" s="325">
        <f>TrialNumberDay2</f>
        <v>0</v>
      </c>
      <c r="C1706" s="325" t="s">
        <v>23</v>
      </c>
      <c r="D1706" s="325">
        <f>Excellent!C97</f>
        <v>0</v>
      </c>
      <c r="E1706" s="325" t="str">
        <f>IF(Excellent!B97="W","W","A")</f>
        <v>A</v>
      </c>
      <c r="F1706" s="325" t="s">
        <v>1742</v>
      </c>
      <c r="G1706" s="325" t="str">
        <f>IF(Excellent!W97="e","Y","")</f>
        <v/>
      </c>
      <c r="H1706" s="325" t="str">
        <f>IFERROR(VLOOKUP($D1706,'SDDA Dogs'!$A:$AE,2,FALSE),"")</f>
        <v/>
      </c>
      <c r="I1706" s="325" t="str">
        <f>IFERROR(VLOOKUP($D1706,'SDDA Dogs'!$A:$AE,3,FALSE),"")</f>
        <v/>
      </c>
      <c r="J1706" s="325" t="str">
        <f>IFERROR(VLOOKUP($D1706,'SDDA Dogs'!$A:$AE,6,FALSE),"")</f>
        <v/>
      </c>
      <c r="K1706" s="325" t="str">
        <f>IF(Excellent!AS97="","",Excellent!AS97)</f>
        <v/>
      </c>
      <c r="L1706" s="325" t="str">
        <f>IF(Excellent!AT97="","",Excellent!AT97)</f>
        <v/>
      </c>
      <c r="M1706" s="326" t="str">
        <f>TrialDateDay2</f>
        <v/>
      </c>
      <c r="N1706" s="325" t="str">
        <f t="shared" si="1337"/>
        <v/>
      </c>
      <c r="O1706" s="325">
        <f t="shared" si="1336"/>
        <v>0</v>
      </c>
    </row>
    <row r="1707" spans="1:15" x14ac:dyDescent="0.25">
      <c r="A1707" s="2">
        <v>2</v>
      </c>
      <c r="B1707" s="2">
        <f t="shared" ref="B1707:M1707" si="1351">B1706</f>
        <v>0</v>
      </c>
      <c r="C1707" s="2" t="str">
        <f t="shared" si="1351"/>
        <v>ESE</v>
      </c>
      <c r="D1707" s="2">
        <f t="shared" si="1351"/>
        <v>0</v>
      </c>
      <c r="E1707" s="2" t="str">
        <f t="shared" si="1351"/>
        <v>A</v>
      </c>
      <c r="F1707" s="2" t="str">
        <f t="shared" si="1351"/>
        <v>Exterior Excellent</v>
      </c>
      <c r="G1707" s="2" t="str">
        <f t="shared" si="1351"/>
        <v/>
      </c>
      <c r="H1707" s="2" t="str">
        <f t="shared" si="1351"/>
        <v/>
      </c>
      <c r="I1707" s="2" t="str">
        <f t="shared" si="1351"/>
        <v/>
      </c>
      <c r="J1707" s="2" t="str">
        <f t="shared" si="1351"/>
        <v/>
      </c>
      <c r="K1707" s="2" t="str">
        <f t="shared" si="1351"/>
        <v/>
      </c>
      <c r="L1707" s="2" t="str">
        <f t="shared" si="1351"/>
        <v/>
      </c>
      <c r="M1707" s="180" t="str">
        <f t="shared" si="1351"/>
        <v/>
      </c>
      <c r="N1707" s="2" t="str">
        <f t="shared" si="1337"/>
        <v/>
      </c>
      <c r="O1707" s="2">
        <f t="shared" si="1336"/>
        <v>0</v>
      </c>
    </row>
    <row r="1708" spans="1:15" x14ac:dyDescent="0.25">
      <c r="A1708" s="325">
        <v>1</v>
      </c>
      <c r="B1708" s="325">
        <f>TrialNumberDay2</f>
        <v>0</v>
      </c>
      <c r="C1708" s="325" t="s">
        <v>23</v>
      </c>
      <c r="D1708" s="325">
        <f>Excellent!C98</f>
        <v>0</v>
      </c>
      <c r="E1708" s="325" t="str">
        <f>IF(Excellent!B98="W","W","A")</f>
        <v>A</v>
      </c>
      <c r="F1708" s="325" t="s">
        <v>1742</v>
      </c>
      <c r="G1708" s="325" t="str">
        <f>IF(Excellent!W98="e","Y","")</f>
        <v/>
      </c>
      <c r="H1708" s="325" t="str">
        <f>IFERROR(VLOOKUP($D1708,'SDDA Dogs'!$A:$AE,2,FALSE),"")</f>
        <v/>
      </c>
      <c r="I1708" s="325" t="str">
        <f>IFERROR(VLOOKUP($D1708,'SDDA Dogs'!$A:$AE,3,FALSE),"")</f>
        <v/>
      </c>
      <c r="J1708" s="325" t="str">
        <f>IFERROR(VLOOKUP($D1708,'SDDA Dogs'!$A:$AE,6,FALSE),"")</f>
        <v/>
      </c>
      <c r="K1708" s="325" t="str">
        <f>IF(Excellent!AS98="","",Excellent!AS98)</f>
        <v/>
      </c>
      <c r="L1708" s="325" t="str">
        <f>IF(Excellent!AT98="","",Excellent!AT98)</f>
        <v/>
      </c>
      <c r="M1708" s="326" t="str">
        <f>TrialDateDay2</f>
        <v/>
      </c>
      <c r="N1708" s="325" t="str">
        <f t="shared" si="1337"/>
        <v/>
      </c>
      <c r="O1708" s="325">
        <f t="shared" si="1336"/>
        <v>0</v>
      </c>
    </row>
    <row r="1709" spans="1:15" x14ac:dyDescent="0.25">
      <c r="A1709" s="2">
        <v>2</v>
      </c>
      <c r="B1709" s="2">
        <f t="shared" ref="B1709:M1709" si="1352">B1708</f>
        <v>0</v>
      </c>
      <c r="C1709" s="2" t="str">
        <f t="shared" si="1352"/>
        <v>ESE</v>
      </c>
      <c r="D1709" s="2">
        <f t="shared" si="1352"/>
        <v>0</v>
      </c>
      <c r="E1709" s="2" t="str">
        <f t="shared" si="1352"/>
        <v>A</v>
      </c>
      <c r="F1709" s="2" t="str">
        <f t="shared" si="1352"/>
        <v>Exterior Excellent</v>
      </c>
      <c r="G1709" s="2" t="str">
        <f t="shared" si="1352"/>
        <v/>
      </c>
      <c r="H1709" s="2" t="str">
        <f t="shared" si="1352"/>
        <v/>
      </c>
      <c r="I1709" s="2" t="str">
        <f t="shared" si="1352"/>
        <v/>
      </c>
      <c r="J1709" s="2" t="str">
        <f t="shared" si="1352"/>
        <v/>
      </c>
      <c r="K1709" s="2" t="str">
        <f t="shared" si="1352"/>
        <v/>
      </c>
      <c r="L1709" s="2" t="str">
        <f t="shared" si="1352"/>
        <v/>
      </c>
      <c r="M1709" s="180" t="str">
        <f t="shared" si="1352"/>
        <v/>
      </c>
      <c r="N1709" s="2" t="str">
        <f t="shared" si="1337"/>
        <v/>
      </c>
      <c r="O1709" s="2">
        <f t="shared" si="1336"/>
        <v>0</v>
      </c>
    </row>
    <row r="1710" spans="1:15" x14ac:dyDescent="0.25">
      <c r="A1710" s="325">
        <v>1</v>
      </c>
      <c r="B1710" s="325">
        <f>TrialNumberDay2</f>
        <v>0</v>
      </c>
      <c r="C1710" s="325" t="s">
        <v>23</v>
      </c>
      <c r="D1710" s="325">
        <f>Excellent!C99</f>
        <v>0</v>
      </c>
      <c r="E1710" s="325" t="str">
        <f>IF(Excellent!B99="W","W","A")</f>
        <v>A</v>
      </c>
      <c r="F1710" s="325" t="s">
        <v>1742</v>
      </c>
      <c r="G1710" s="325" t="str">
        <f>IF(Excellent!W99="e","Y","")</f>
        <v/>
      </c>
      <c r="H1710" s="325" t="str">
        <f>IFERROR(VLOOKUP($D1710,'SDDA Dogs'!$A:$AE,2,FALSE),"")</f>
        <v/>
      </c>
      <c r="I1710" s="325" t="str">
        <f>IFERROR(VLOOKUP($D1710,'SDDA Dogs'!$A:$AE,3,FALSE),"")</f>
        <v/>
      </c>
      <c r="J1710" s="325" t="str">
        <f>IFERROR(VLOOKUP($D1710,'SDDA Dogs'!$A:$AE,6,FALSE),"")</f>
        <v/>
      </c>
      <c r="K1710" s="325" t="str">
        <f>IF(Excellent!AS99="","",Excellent!AS99)</f>
        <v/>
      </c>
      <c r="L1710" s="325" t="str">
        <f>IF(Excellent!AT99="","",Excellent!AT99)</f>
        <v/>
      </c>
      <c r="M1710" s="326" t="str">
        <f>TrialDateDay2</f>
        <v/>
      </c>
      <c r="N1710" s="325" t="str">
        <f t="shared" si="1337"/>
        <v/>
      </c>
      <c r="O1710" s="325">
        <f t="shared" si="1336"/>
        <v>0</v>
      </c>
    </row>
    <row r="1711" spans="1:15" x14ac:dyDescent="0.25">
      <c r="A1711" s="2">
        <v>2</v>
      </c>
      <c r="B1711" s="2">
        <f t="shared" ref="B1711:M1711" si="1353">B1710</f>
        <v>0</v>
      </c>
      <c r="C1711" s="2" t="str">
        <f t="shared" si="1353"/>
        <v>ESE</v>
      </c>
      <c r="D1711" s="2">
        <f t="shared" si="1353"/>
        <v>0</v>
      </c>
      <c r="E1711" s="2" t="str">
        <f t="shared" si="1353"/>
        <v>A</v>
      </c>
      <c r="F1711" s="2" t="str">
        <f t="shared" si="1353"/>
        <v>Exterior Excellent</v>
      </c>
      <c r="G1711" s="2" t="str">
        <f t="shared" si="1353"/>
        <v/>
      </c>
      <c r="H1711" s="2" t="str">
        <f t="shared" si="1353"/>
        <v/>
      </c>
      <c r="I1711" s="2" t="str">
        <f t="shared" si="1353"/>
        <v/>
      </c>
      <c r="J1711" s="2" t="str">
        <f t="shared" si="1353"/>
        <v/>
      </c>
      <c r="K1711" s="2" t="str">
        <f t="shared" si="1353"/>
        <v/>
      </c>
      <c r="L1711" s="2" t="str">
        <f t="shared" si="1353"/>
        <v/>
      </c>
      <c r="M1711" s="180" t="str">
        <f t="shared" si="1353"/>
        <v/>
      </c>
      <c r="N1711" s="2" t="str">
        <f t="shared" si="1337"/>
        <v/>
      </c>
      <c r="O1711" s="2">
        <f t="shared" si="1336"/>
        <v>0</v>
      </c>
    </row>
    <row r="1712" spans="1:15" x14ac:dyDescent="0.25">
      <c r="A1712" s="325">
        <v>1</v>
      </c>
      <c r="B1712" s="325">
        <f>TrialNumberDay2</f>
        <v>0</v>
      </c>
      <c r="C1712" s="325" t="s">
        <v>23</v>
      </c>
      <c r="D1712" s="325">
        <f>Excellent!C100</f>
        <v>0</v>
      </c>
      <c r="E1712" s="325" t="str">
        <f>IF(Excellent!B100="W","W","A")</f>
        <v>A</v>
      </c>
      <c r="F1712" s="325" t="s">
        <v>1742</v>
      </c>
      <c r="G1712" s="325" t="str">
        <f>IF(Excellent!W100="e","Y","")</f>
        <v/>
      </c>
      <c r="H1712" s="325" t="str">
        <f>IFERROR(VLOOKUP($D1712,'SDDA Dogs'!$A:$AE,2,FALSE),"")</f>
        <v/>
      </c>
      <c r="I1712" s="325" t="str">
        <f>IFERROR(VLOOKUP($D1712,'SDDA Dogs'!$A:$AE,3,FALSE),"")</f>
        <v/>
      </c>
      <c r="J1712" s="325" t="str">
        <f>IFERROR(VLOOKUP($D1712,'SDDA Dogs'!$A:$AE,6,FALSE),"")</f>
        <v/>
      </c>
      <c r="K1712" s="325" t="str">
        <f>IF(Excellent!AS100="","",Excellent!AS100)</f>
        <v/>
      </c>
      <c r="L1712" s="325" t="str">
        <f>IF(Excellent!AT100="","",Excellent!AT100)</f>
        <v/>
      </c>
      <c r="M1712" s="326" t="str">
        <f>TrialDateDay2</f>
        <v/>
      </c>
      <c r="N1712" s="325" t="str">
        <f t="shared" si="1337"/>
        <v/>
      </c>
      <c r="O1712" s="325">
        <f t="shared" si="1336"/>
        <v>0</v>
      </c>
    </row>
    <row r="1713" spans="1:15" x14ac:dyDescent="0.25">
      <c r="A1713" s="2">
        <v>2</v>
      </c>
      <c r="B1713" s="2">
        <f t="shared" ref="B1713:M1713" si="1354">B1712</f>
        <v>0</v>
      </c>
      <c r="C1713" s="2" t="str">
        <f t="shared" si="1354"/>
        <v>ESE</v>
      </c>
      <c r="D1713" s="2">
        <f t="shared" si="1354"/>
        <v>0</v>
      </c>
      <c r="E1713" s="2" t="str">
        <f t="shared" si="1354"/>
        <v>A</v>
      </c>
      <c r="F1713" s="2" t="str">
        <f t="shared" si="1354"/>
        <v>Exterior Excellent</v>
      </c>
      <c r="G1713" s="2" t="str">
        <f t="shared" si="1354"/>
        <v/>
      </c>
      <c r="H1713" s="2" t="str">
        <f t="shared" si="1354"/>
        <v/>
      </c>
      <c r="I1713" s="2" t="str">
        <f t="shared" si="1354"/>
        <v/>
      </c>
      <c r="J1713" s="2" t="str">
        <f t="shared" si="1354"/>
        <v/>
      </c>
      <c r="K1713" s="2" t="str">
        <f t="shared" si="1354"/>
        <v/>
      </c>
      <c r="L1713" s="2" t="str">
        <f t="shared" si="1354"/>
        <v/>
      </c>
      <c r="M1713" s="180" t="str">
        <f t="shared" si="1354"/>
        <v/>
      </c>
      <c r="N1713" s="2" t="str">
        <f t="shared" si="1337"/>
        <v/>
      </c>
      <c r="O1713" s="2">
        <f t="shared" si="1336"/>
        <v>0</v>
      </c>
    </row>
    <row r="1714" spans="1:15" x14ac:dyDescent="0.25">
      <c r="A1714" s="325">
        <v>1</v>
      </c>
      <c r="B1714" s="325">
        <f>TrialNumberDay2</f>
        <v>0</v>
      </c>
      <c r="C1714" s="325" t="s">
        <v>23</v>
      </c>
      <c r="D1714" s="325">
        <f>Excellent!C101</f>
        <v>0</v>
      </c>
      <c r="E1714" s="325" t="str">
        <f>IF(Excellent!B101="W","W","A")</f>
        <v>A</v>
      </c>
      <c r="F1714" s="325" t="s">
        <v>1742</v>
      </c>
      <c r="G1714" s="325" t="str">
        <f>IF(Excellent!W101="e","Y","")</f>
        <v/>
      </c>
      <c r="H1714" s="325" t="str">
        <f>IFERROR(VLOOKUP($D1714,'SDDA Dogs'!$A:$AE,2,FALSE),"")</f>
        <v/>
      </c>
      <c r="I1714" s="325" t="str">
        <f>IFERROR(VLOOKUP($D1714,'SDDA Dogs'!$A:$AE,3,FALSE),"")</f>
        <v/>
      </c>
      <c r="J1714" s="325" t="str">
        <f>IFERROR(VLOOKUP($D1714,'SDDA Dogs'!$A:$AE,6,FALSE),"")</f>
        <v/>
      </c>
      <c r="K1714" s="325" t="str">
        <f>IF(Excellent!AS101="","",Excellent!AS101)</f>
        <v/>
      </c>
      <c r="L1714" s="325" t="str">
        <f>IF(Excellent!AT101="","",Excellent!AT101)</f>
        <v/>
      </c>
      <c r="M1714" s="326" t="str">
        <f>TrialDateDay2</f>
        <v/>
      </c>
      <c r="N1714" s="325" t="str">
        <f t="shared" si="1337"/>
        <v/>
      </c>
      <c r="O1714" s="325">
        <f t="shared" ref="O1714:O1740" si="1355">JudgeD2ESE</f>
        <v>0</v>
      </c>
    </row>
    <row r="1715" spans="1:15" x14ac:dyDescent="0.25">
      <c r="A1715" s="2">
        <v>2</v>
      </c>
      <c r="B1715" s="2">
        <f t="shared" ref="B1715:M1715" si="1356">B1714</f>
        <v>0</v>
      </c>
      <c r="C1715" s="2" t="str">
        <f t="shared" si="1356"/>
        <v>ESE</v>
      </c>
      <c r="D1715" s="2">
        <f t="shared" si="1356"/>
        <v>0</v>
      </c>
      <c r="E1715" s="2" t="str">
        <f t="shared" si="1356"/>
        <v>A</v>
      </c>
      <c r="F1715" s="2" t="str">
        <f t="shared" si="1356"/>
        <v>Exterior Excellent</v>
      </c>
      <c r="G1715" s="2" t="str">
        <f t="shared" si="1356"/>
        <v/>
      </c>
      <c r="H1715" s="2" t="str">
        <f t="shared" si="1356"/>
        <v/>
      </c>
      <c r="I1715" s="2" t="str">
        <f t="shared" si="1356"/>
        <v/>
      </c>
      <c r="J1715" s="2" t="str">
        <f t="shared" si="1356"/>
        <v/>
      </c>
      <c r="K1715" s="2" t="str">
        <f t="shared" si="1356"/>
        <v/>
      </c>
      <c r="L1715" s="2" t="str">
        <f t="shared" si="1356"/>
        <v/>
      </c>
      <c r="M1715" s="180" t="str">
        <f t="shared" si="1356"/>
        <v/>
      </c>
      <c r="N1715" s="2" t="str">
        <f t="shared" si="1337"/>
        <v/>
      </c>
      <c r="O1715" s="2">
        <f t="shared" si="1355"/>
        <v>0</v>
      </c>
    </row>
    <row r="1716" spans="1:15" x14ac:dyDescent="0.25">
      <c r="A1716" s="325">
        <v>1</v>
      </c>
      <c r="B1716" s="325">
        <f>TrialNumberDay2</f>
        <v>0</v>
      </c>
      <c r="C1716" s="325" t="s">
        <v>23</v>
      </c>
      <c r="D1716" s="325">
        <f>Excellent!C102</f>
        <v>0</v>
      </c>
      <c r="E1716" s="325" t="str">
        <f>IF(Excellent!B102="W","W","A")</f>
        <v>A</v>
      </c>
      <c r="F1716" s="325" t="s">
        <v>1742</v>
      </c>
      <c r="G1716" s="325" t="str">
        <f>IF(Excellent!W102="e","Y","")</f>
        <v/>
      </c>
      <c r="H1716" s="325" t="str">
        <f>IFERROR(VLOOKUP($D1716,'SDDA Dogs'!$A:$AE,2,FALSE),"")</f>
        <v/>
      </c>
      <c r="I1716" s="325" t="str">
        <f>IFERROR(VLOOKUP($D1716,'SDDA Dogs'!$A:$AE,3,FALSE),"")</f>
        <v/>
      </c>
      <c r="J1716" s="325" t="str">
        <f>IFERROR(VLOOKUP($D1716,'SDDA Dogs'!$A:$AE,6,FALSE),"")</f>
        <v/>
      </c>
      <c r="K1716" s="325" t="str">
        <f>IF(Excellent!AS102="","",Excellent!AS102)</f>
        <v/>
      </c>
      <c r="L1716" s="325" t="str">
        <f>IF(Excellent!AT102="","",Excellent!AT102)</f>
        <v/>
      </c>
      <c r="M1716" s="326" t="str">
        <f>TrialDateDay2</f>
        <v/>
      </c>
      <c r="N1716" s="325" t="str">
        <f t="shared" si="1337"/>
        <v/>
      </c>
      <c r="O1716" s="325">
        <f t="shared" si="1355"/>
        <v>0</v>
      </c>
    </row>
    <row r="1717" spans="1:15" x14ac:dyDescent="0.25">
      <c r="A1717" s="2">
        <v>2</v>
      </c>
      <c r="B1717" s="2">
        <f t="shared" ref="B1717:M1717" si="1357">B1716</f>
        <v>0</v>
      </c>
      <c r="C1717" s="2" t="str">
        <f t="shared" si="1357"/>
        <v>ESE</v>
      </c>
      <c r="D1717" s="2">
        <f t="shared" si="1357"/>
        <v>0</v>
      </c>
      <c r="E1717" s="2" t="str">
        <f t="shared" si="1357"/>
        <v>A</v>
      </c>
      <c r="F1717" s="2" t="str">
        <f t="shared" si="1357"/>
        <v>Exterior Excellent</v>
      </c>
      <c r="G1717" s="2" t="str">
        <f t="shared" si="1357"/>
        <v/>
      </c>
      <c r="H1717" s="2" t="str">
        <f t="shared" si="1357"/>
        <v/>
      </c>
      <c r="I1717" s="2" t="str">
        <f t="shared" si="1357"/>
        <v/>
      </c>
      <c r="J1717" s="2" t="str">
        <f t="shared" si="1357"/>
        <v/>
      </c>
      <c r="K1717" s="2" t="str">
        <f t="shared" si="1357"/>
        <v/>
      </c>
      <c r="L1717" s="2" t="str">
        <f t="shared" si="1357"/>
        <v/>
      </c>
      <c r="M1717" s="180" t="str">
        <f t="shared" si="1357"/>
        <v/>
      </c>
      <c r="N1717" s="2" t="str">
        <f t="shared" si="1337"/>
        <v/>
      </c>
      <c r="O1717" s="2">
        <f t="shared" si="1355"/>
        <v>0</v>
      </c>
    </row>
    <row r="1718" spans="1:15" x14ac:dyDescent="0.25">
      <c r="A1718" s="325">
        <v>1</v>
      </c>
      <c r="B1718" s="325">
        <f>TrialNumberDay2</f>
        <v>0</v>
      </c>
      <c r="C1718" s="325" t="s">
        <v>23</v>
      </c>
      <c r="D1718" s="325">
        <f>Excellent!C103</f>
        <v>0</v>
      </c>
      <c r="E1718" s="325" t="str">
        <f>IF(Excellent!B103="W","W","A")</f>
        <v>A</v>
      </c>
      <c r="F1718" s="325" t="s">
        <v>1742</v>
      </c>
      <c r="G1718" s="325" t="str">
        <f>IF(Excellent!W103="e","Y","")</f>
        <v/>
      </c>
      <c r="H1718" s="325" t="str">
        <f>IFERROR(VLOOKUP($D1718,'SDDA Dogs'!$A:$AE,2,FALSE),"")</f>
        <v/>
      </c>
      <c r="I1718" s="325" t="str">
        <f>IFERROR(VLOOKUP($D1718,'SDDA Dogs'!$A:$AE,3,FALSE),"")</f>
        <v/>
      </c>
      <c r="J1718" s="325" t="str">
        <f>IFERROR(VLOOKUP($D1718,'SDDA Dogs'!$A:$AE,6,FALSE),"")</f>
        <v/>
      </c>
      <c r="K1718" s="325" t="str">
        <f>IF(Excellent!AS103="","",Excellent!AS103)</f>
        <v/>
      </c>
      <c r="L1718" s="325" t="str">
        <f>IF(Excellent!AT103="","",Excellent!AT103)</f>
        <v/>
      </c>
      <c r="M1718" s="326" t="str">
        <f>TrialDateDay2</f>
        <v/>
      </c>
      <c r="N1718" s="325" t="str">
        <f t="shared" si="1337"/>
        <v/>
      </c>
      <c r="O1718" s="325">
        <f t="shared" si="1355"/>
        <v>0</v>
      </c>
    </row>
    <row r="1719" spans="1:15" x14ac:dyDescent="0.25">
      <c r="A1719" s="2">
        <v>2</v>
      </c>
      <c r="B1719" s="2">
        <f t="shared" ref="B1719:M1719" si="1358">B1718</f>
        <v>0</v>
      </c>
      <c r="C1719" s="2" t="str">
        <f t="shared" si="1358"/>
        <v>ESE</v>
      </c>
      <c r="D1719" s="2">
        <f t="shared" si="1358"/>
        <v>0</v>
      </c>
      <c r="E1719" s="2" t="str">
        <f t="shared" si="1358"/>
        <v>A</v>
      </c>
      <c r="F1719" s="2" t="str">
        <f t="shared" si="1358"/>
        <v>Exterior Excellent</v>
      </c>
      <c r="G1719" s="2" t="str">
        <f t="shared" si="1358"/>
        <v/>
      </c>
      <c r="H1719" s="2" t="str">
        <f t="shared" si="1358"/>
        <v/>
      </c>
      <c r="I1719" s="2" t="str">
        <f t="shared" si="1358"/>
        <v/>
      </c>
      <c r="J1719" s="2" t="str">
        <f t="shared" si="1358"/>
        <v/>
      </c>
      <c r="K1719" s="2" t="str">
        <f t="shared" si="1358"/>
        <v/>
      </c>
      <c r="L1719" s="2" t="str">
        <f t="shared" si="1358"/>
        <v/>
      </c>
      <c r="M1719" s="180" t="str">
        <f t="shared" si="1358"/>
        <v/>
      </c>
      <c r="N1719" s="2" t="str">
        <f t="shared" si="1337"/>
        <v/>
      </c>
      <c r="O1719" s="2">
        <f t="shared" si="1355"/>
        <v>0</v>
      </c>
    </row>
    <row r="1720" spans="1:15" x14ac:dyDescent="0.25">
      <c r="A1720" s="325">
        <v>1</v>
      </c>
      <c r="B1720" s="325">
        <f>TrialNumberDay2</f>
        <v>0</v>
      </c>
      <c r="C1720" s="325" t="s">
        <v>23</v>
      </c>
      <c r="D1720" s="325">
        <f>Excellent!C104</f>
        <v>0</v>
      </c>
      <c r="E1720" s="325" t="str">
        <f>IF(Excellent!B104="W","W","A")</f>
        <v>A</v>
      </c>
      <c r="F1720" s="325" t="s">
        <v>1742</v>
      </c>
      <c r="G1720" s="325" t="str">
        <f>IF(Excellent!W104="e","Y","")</f>
        <v/>
      </c>
      <c r="H1720" s="325" t="str">
        <f>IFERROR(VLOOKUP($D1720,'SDDA Dogs'!$A:$AE,2,FALSE),"")</f>
        <v/>
      </c>
      <c r="I1720" s="325" t="str">
        <f>IFERROR(VLOOKUP($D1720,'SDDA Dogs'!$A:$AE,3,FALSE),"")</f>
        <v/>
      </c>
      <c r="J1720" s="325" t="str">
        <f>IFERROR(VLOOKUP($D1720,'SDDA Dogs'!$A:$AE,6,FALSE),"")</f>
        <v/>
      </c>
      <c r="K1720" s="325" t="str">
        <f>IF(Excellent!AS104="","",Excellent!AS104)</f>
        <v/>
      </c>
      <c r="L1720" s="325" t="str">
        <f>IF(Excellent!AT104="","",Excellent!AT104)</f>
        <v/>
      </c>
      <c r="M1720" s="326" t="str">
        <f>TrialDateDay2</f>
        <v/>
      </c>
      <c r="N1720" s="325" t="str">
        <f t="shared" si="1337"/>
        <v/>
      </c>
      <c r="O1720" s="325">
        <f t="shared" si="1355"/>
        <v>0</v>
      </c>
    </row>
    <row r="1721" spans="1:15" x14ac:dyDescent="0.25">
      <c r="A1721" s="2">
        <v>2</v>
      </c>
      <c r="B1721" s="2">
        <f t="shared" ref="B1721:M1721" si="1359">B1720</f>
        <v>0</v>
      </c>
      <c r="C1721" s="2" t="str">
        <f t="shared" si="1359"/>
        <v>ESE</v>
      </c>
      <c r="D1721" s="2">
        <f t="shared" si="1359"/>
        <v>0</v>
      </c>
      <c r="E1721" s="2" t="str">
        <f t="shared" si="1359"/>
        <v>A</v>
      </c>
      <c r="F1721" s="2" t="str">
        <f t="shared" si="1359"/>
        <v>Exterior Excellent</v>
      </c>
      <c r="G1721" s="2" t="str">
        <f t="shared" si="1359"/>
        <v/>
      </c>
      <c r="H1721" s="2" t="str">
        <f t="shared" si="1359"/>
        <v/>
      </c>
      <c r="I1721" s="2" t="str">
        <f t="shared" si="1359"/>
        <v/>
      </c>
      <c r="J1721" s="2" t="str">
        <f t="shared" si="1359"/>
        <v/>
      </c>
      <c r="K1721" s="2" t="str">
        <f t="shared" si="1359"/>
        <v/>
      </c>
      <c r="L1721" s="2" t="str">
        <f t="shared" si="1359"/>
        <v/>
      </c>
      <c r="M1721" s="180" t="str">
        <f t="shared" si="1359"/>
        <v/>
      </c>
      <c r="N1721" s="2" t="str">
        <f t="shared" si="1337"/>
        <v/>
      </c>
      <c r="O1721" s="2">
        <f t="shared" si="1355"/>
        <v>0</v>
      </c>
    </row>
    <row r="1722" spans="1:15" x14ac:dyDescent="0.25">
      <c r="A1722" s="325">
        <v>1</v>
      </c>
      <c r="B1722" s="325">
        <f>TrialNumberDay2</f>
        <v>0</v>
      </c>
      <c r="C1722" s="325" t="s">
        <v>23</v>
      </c>
      <c r="D1722" s="325">
        <f>Excellent!C105</f>
        <v>0</v>
      </c>
      <c r="E1722" s="325" t="str">
        <f>IF(Excellent!B105="W","W","A")</f>
        <v>A</v>
      </c>
      <c r="F1722" s="325" t="s">
        <v>1742</v>
      </c>
      <c r="G1722" s="325" t="str">
        <f>IF(Excellent!W105="e","Y","")</f>
        <v/>
      </c>
      <c r="H1722" s="325" t="str">
        <f>IFERROR(VLOOKUP($D1722,'SDDA Dogs'!$A:$AE,2,FALSE),"")</f>
        <v/>
      </c>
      <c r="I1722" s="325" t="str">
        <f>IFERROR(VLOOKUP($D1722,'SDDA Dogs'!$A:$AE,3,FALSE),"")</f>
        <v/>
      </c>
      <c r="J1722" s="325" t="str">
        <f>IFERROR(VLOOKUP($D1722,'SDDA Dogs'!$A:$AE,6,FALSE),"")</f>
        <v/>
      </c>
      <c r="K1722" s="325" t="str">
        <f>IF(Excellent!AS105="","",Excellent!AS105)</f>
        <v/>
      </c>
      <c r="L1722" s="325" t="str">
        <f>IF(Excellent!AT105="","",Excellent!AT105)</f>
        <v/>
      </c>
      <c r="M1722" s="326" t="str">
        <f>TrialDateDay2</f>
        <v/>
      </c>
      <c r="N1722" s="325" t="str">
        <f t="shared" si="1337"/>
        <v/>
      </c>
      <c r="O1722" s="325">
        <f t="shared" si="1355"/>
        <v>0</v>
      </c>
    </row>
    <row r="1723" spans="1:15" x14ac:dyDescent="0.25">
      <c r="A1723" s="2">
        <v>2</v>
      </c>
      <c r="B1723" s="2">
        <f t="shared" ref="B1723:M1723" si="1360">B1722</f>
        <v>0</v>
      </c>
      <c r="C1723" s="2" t="str">
        <f t="shared" si="1360"/>
        <v>ESE</v>
      </c>
      <c r="D1723" s="2">
        <f t="shared" si="1360"/>
        <v>0</v>
      </c>
      <c r="E1723" s="2" t="str">
        <f t="shared" si="1360"/>
        <v>A</v>
      </c>
      <c r="F1723" s="2" t="str">
        <f t="shared" si="1360"/>
        <v>Exterior Excellent</v>
      </c>
      <c r="G1723" s="2" t="str">
        <f t="shared" si="1360"/>
        <v/>
      </c>
      <c r="H1723" s="2" t="str">
        <f t="shared" si="1360"/>
        <v/>
      </c>
      <c r="I1723" s="2" t="str">
        <f t="shared" si="1360"/>
        <v/>
      </c>
      <c r="J1723" s="2" t="str">
        <f t="shared" si="1360"/>
        <v/>
      </c>
      <c r="K1723" s="2" t="str">
        <f t="shared" si="1360"/>
        <v/>
      </c>
      <c r="L1723" s="2" t="str">
        <f t="shared" si="1360"/>
        <v/>
      </c>
      <c r="M1723" s="180" t="str">
        <f t="shared" si="1360"/>
        <v/>
      </c>
      <c r="N1723" s="2" t="str">
        <f t="shared" si="1337"/>
        <v/>
      </c>
      <c r="O1723" s="2">
        <f t="shared" si="1355"/>
        <v>0</v>
      </c>
    </row>
    <row r="1724" spans="1:15" x14ac:dyDescent="0.25">
      <c r="A1724" s="325">
        <v>1</v>
      </c>
      <c r="B1724" s="325">
        <f>TrialNumberDay2</f>
        <v>0</v>
      </c>
      <c r="C1724" s="325" t="s">
        <v>23</v>
      </c>
      <c r="D1724" s="325">
        <f>Excellent!C106</f>
        <v>0</v>
      </c>
      <c r="E1724" s="325" t="str">
        <f>IF(Excellent!B106="W","W","A")</f>
        <v>A</v>
      </c>
      <c r="F1724" s="325" t="s">
        <v>1742</v>
      </c>
      <c r="G1724" s="325" t="str">
        <f>IF(Excellent!W106="e","Y","")</f>
        <v/>
      </c>
      <c r="H1724" s="325" t="str">
        <f>IFERROR(VLOOKUP($D1724,'SDDA Dogs'!$A:$AE,2,FALSE),"")</f>
        <v/>
      </c>
      <c r="I1724" s="325" t="str">
        <f>IFERROR(VLOOKUP($D1724,'SDDA Dogs'!$A:$AE,3,FALSE),"")</f>
        <v/>
      </c>
      <c r="J1724" s="325" t="str">
        <f>IFERROR(VLOOKUP($D1724,'SDDA Dogs'!$A:$AE,6,FALSE),"")</f>
        <v/>
      </c>
      <c r="K1724" s="325" t="str">
        <f>IF(Excellent!AS106="","",Excellent!AS106)</f>
        <v/>
      </c>
      <c r="L1724" s="325" t="str">
        <f>IF(Excellent!AT106="","",Excellent!AT106)</f>
        <v/>
      </c>
      <c r="M1724" s="326" t="str">
        <f>TrialDateDay2</f>
        <v/>
      </c>
      <c r="N1724" s="325" t="str">
        <f t="shared" si="1337"/>
        <v/>
      </c>
      <c r="O1724" s="325">
        <f t="shared" si="1355"/>
        <v>0</v>
      </c>
    </row>
    <row r="1725" spans="1:15" x14ac:dyDescent="0.25">
      <c r="A1725" s="2">
        <v>2</v>
      </c>
      <c r="B1725" s="2">
        <f t="shared" ref="B1725:M1725" si="1361">B1724</f>
        <v>0</v>
      </c>
      <c r="C1725" s="2" t="str">
        <f t="shared" si="1361"/>
        <v>ESE</v>
      </c>
      <c r="D1725" s="2">
        <f t="shared" si="1361"/>
        <v>0</v>
      </c>
      <c r="E1725" s="2" t="str">
        <f t="shared" si="1361"/>
        <v>A</v>
      </c>
      <c r="F1725" s="2" t="str">
        <f t="shared" si="1361"/>
        <v>Exterior Excellent</v>
      </c>
      <c r="G1725" s="2" t="str">
        <f t="shared" si="1361"/>
        <v/>
      </c>
      <c r="H1725" s="2" t="str">
        <f t="shared" si="1361"/>
        <v/>
      </c>
      <c r="I1725" s="2" t="str">
        <f t="shared" si="1361"/>
        <v/>
      </c>
      <c r="J1725" s="2" t="str">
        <f t="shared" si="1361"/>
        <v/>
      </c>
      <c r="K1725" s="2" t="str">
        <f t="shared" si="1361"/>
        <v/>
      </c>
      <c r="L1725" s="2" t="str">
        <f t="shared" si="1361"/>
        <v/>
      </c>
      <c r="M1725" s="180" t="str">
        <f t="shared" si="1361"/>
        <v/>
      </c>
      <c r="N1725" s="2" t="str">
        <f t="shared" si="1337"/>
        <v/>
      </c>
      <c r="O1725" s="2">
        <f t="shared" si="1355"/>
        <v>0</v>
      </c>
    </row>
    <row r="1726" spans="1:15" x14ac:dyDescent="0.25">
      <c r="A1726" s="325">
        <v>1</v>
      </c>
      <c r="B1726" s="325">
        <f>TrialNumberDay2</f>
        <v>0</v>
      </c>
      <c r="C1726" s="325" t="s">
        <v>23</v>
      </c>
      <c r="D1726" s="325">
        <f>Excellent!C107</f>
        <v>0</v>
      </c>
      <c r="E1726" s="325" t="str">
        <f>IF(Excellent!B107="W","W","A")</f>
        <v>A</v>
      </c>
      <c r="F1726" s="325" t="s">
        <v>1742</v>
      </c>
      <c r="G1726" s="325" t="str">
        <f>IF(Excellent!W107="e","Y","")</f>
        <v/>
      </c>
      <c r="H1726" s="325" t="str">
        <f>IFERROR(VLOOKUP($D1726,'SDDA Dogs'!$A:$AE,2,FALSE),"")</f>
        <v/>
      </c>
      <c r="I1726" s="325" t="str">
        <f>IFERROR(VLOOKUP($D1726,'SDDA Dogs'!$A:$AE,3,FALSE),"")</f>
        <v/>
      </c>
      <c r="J1726" s="325" t="str">
        <f>IFERROR(VLOOKUP($D1726,'SDDA Dogs'!$A:$AE,6,FALSE),"")</f>
        <v/>
      </c>
      <c r="K1726" s="325" t="str">
        <f>IF(Excellent!AS107="","",Excellent!AS107)</f>
        <v/>
      </c>
      <c r="L1726" s="325" t="str">
        <f>IF(Excellent!AT107="","",Excellent!AT107)</f>
        <v/>
      </c>
      <c r="M1726" s="326" t="str">
        <f>TrialDateDay2</f>
        <v/>
      </c>
      <c r="N1726" s="325" t="str">
        <f t="shared" si="1337"/>
        <v/>
      </c>
      <c r="O1726" s="325">
        <f t="shared" si="1355"/>
        <v>0</v>
      </c>
    </row>
    <row r="1727" spans="1:15" x14ac:dyDescent="0.25">
      <c r="A1727" s="2">
        <v>2</v>
      </c>
      <c r="B1727" s="2">
        <f t="shared" ref="B1727:M1727" si="1362">B1726</f>
        <v>0</v>
      </c>
      <c r="C1727" s="2" t="str">
        <f t="shared" si="1362"/>
        <v>ESE</v>
      </c>
      <c r="D1727" s="2">
        <f t="shared" si="1362"/>
        <v>0</v>
      </c>
      <c r="E1727" s="2" t="str">
        <f t="shared" si="1362"/>
        <v>A</v>
      </c>
      <c r="F1727" s="2" t="str">
        <f t="shared" si="1362"/>
        <v>Exterior Excellent</v>
      </c>
      <c r="G1727" s="2" t="str">
        <f t="shared" si="1362"/>
        <v/>
      </c>
      <c r="H1727" s="2" t="str">
        <f t="shared" si="1362"/>
        <v/>
      </c>
      <c r="I1727" s="2" t="str">
        <f t="shared" si="1362"/>
        <v/>
      </c>
      <c r="J1727" s="2" t="str">
        <f t="shared" si="1362"/>
        <v/>
      </c>
      <c r="K1727" s="2" t="str">
        <f t="shared" si="1362"/>
        <v/>
      </c>
      <c r="L1727" s="2" t="str">
        <f t="shared" si="1362"/>
        <v/>
      </c>
      <c r="M1727" s="180" t="str">
        <f t="shared" si="1362"/>
        <v/>
      </c>
      <c r="N1727" s="2" t="str">
        <f t="shared" si="1337"/>
        <v/>
      </c>
      <c r="O1727" s="2">
        <f t="shared" si="1355"/>
        <v>0</v>
      </c>
    </row>
    <row r="1728" spans="1:15" x14ac:dyDescent="0.25">
      <c r="A1728" s="325">
        <v>1</v>
      </c>
      <c r="B1728" s="325">
        <f>TrialNumberDay2</f>
        <v>0</v>
      </c>
      <c r="C1728" s="325" t="s">
        <v>23</v>
      </c>
      <c r="D1728" s="325">
        <f>Excellent!C108</f>
        <v>0</v>
      </c>
      <c r="E1728" s="325" t="str">
        <f>IF(Excellent!B108="W","W","A")</f>
        <v>A</v>
      </c>
      <c r="F1728" s="325" t="s">
        <v>1742</v>
      </c>
      <c r="G1728" s="325" t="str">
        <f>IF(Excellent!W108="e","Y","")</f>
        <v/>
      </c>
      <c r="H1728" s="325" t="str">
        <f>IFERROR(VLOOKUP($D1728,'SDDA Dogs'!$A:$AE,2,FALSE),"")</f>
        <v/>
      </c>
      <c r="I1728" s="325" t="str">
        <f>IFERROR(VLOOKUP($D1728,'SDDA Dogs'!$A:$AE,3,FALSE),"")</f>
        <v/>
      </c>
      <c r="J1728" s="325" t="str">
        <f>IFERROR(VLOOKUP($D1728,'SDDA Dogs'!$A:$AE,6,FALSE),"")</f>
        <v/>
      </c>
      <c r="K1728" s="325" t="str">
        <f>IF(Excellent!AS108="","",Excellent!AS108)</f>
        <v/>
      </c>
      <c r="L1728" s="325" t="str">
        <f>IF(Excellent!AT108="","",Excellent!AT108)</f>
        <v/>
      </c>
      <c r="M1728" s="326" t="str">
        <f>TrialDateDay2</f>
        <v/>
      </c>
      <c r="N1728" s="325" t="str">
        <f t="shared" si="1337"/>
        <v/>
      </c>
      <c r="O1728" s="325">
        <f t="shared" si="1355"/>
        <v>0</v>
      </c>
    </row>
    <row r="1729" spans="1:15" x14ac:dyDescent="0.25">
      <c r="A1729" s="2">
        <v>2</v>
      </c>
      <c r="B1729" s="2">
        <f t="shared" ref="B1729:M1729" si="1363">B1728</f>
        <v>0</v>
      </c>
      <c r="C1729" s="2" t="str">
        <f t="shared" si="1363"/>
        <v>ESE</v>
      </c>
      <c r="D1729" s="2">
        <f t="shared" si="1363"/>
        <v>0</v>
      </c>
      <c r="E1729" s="2" t="str">
        <f t="shared" si="1363"/>
        <v>A</v>
      </c>
      <c r="F1729" s="2" t="str">
        <f t="shared" si="1363"/>
        <v>Exterior Excellent</v>
      </c>
      <c r="G1729" s="2" t="str">
        <f t="shared" si="1363"/>
        <v/>
      </c>
      <c r="H1729" s="2" t="str">
        <f t="shared" si="1363"/>
        <v/>
      </c>
      <c r="I1729" s="2" t="str">
        <f t="shared" si="1363"/>
        <v/>
      </c>
      <c r="J1729" s="2" t="str">
        <f t="shared" si="1363"/>
        <v/>
      </c>
      <c r="K1729" s="2" t="str">
        <f t="shared" si="1363"/>
        <v/>
      </c>
      <c r="L1729" s="2" t="str">
        <f t="shared" si="1363"/>
        <v/>
      </c>
      <c r="M1729" s="180" t="str">
        <f t="shared" si="1363"/>
        <v/>
      </c>
      <c r="N1729" s="2" t="str">
        <f t="shared" si="1337"/>
        <v/>
      </c>
      <c r="O1729" s="2">
        <f t="shared" si="1355"/>
        <v>0</v>
      </c>
    </row>
    <row r="1730" spans="1:15" x14ac:dyDescent="0.25">
      <c r="A1730" s="325">
        <v>1</v>
      </c>
      <c r="B1730" s="325">
        <f>TrialNumberDay2</f>
        <v>0</v>
      </c>
      <c r="C1730" s="325" t="s">
        <v>23</v>
      </c>
      <c r="D1730" s="325">
        <f>Excellent!C109</f>
        <v>0</v>
      </c>
      <c r="E1730" s="325" t="str">
        <f>IF(Excellent!B109="W","W","A")</f>
        <v>A</v>
      </c>
      <c r="F1730" s="325" t="s">
        <v>1742</v>
      </c>
      <c r="G1730" s="325" t="str">
        <f>IF(Excellent!W109="e","Y","")</f>
        <v/>
      </c>
      <c r="H1730" s="325" t="str">
        <f>IFERROR(VLOOKUP($D1730,'SDDA Dogs'!$A:$AE,2,FALSE),"")</f>
        <v/>
      </c>
      <c r="I1730" s="325" t="str">
        <f>IFERROR(VLOOKUP($D1730,'SDDA Dogs'!$A:$AE,3,FALSE),"")</f>
        <v/>
      </c>
      <c r="J1730" s="325" t="str">
        <f>IFERROR(VLOOKUP($D1730,'SDDA Dogs'!$A:$AE,6,FALSE),"")</f>
        <v/>
      </c>
      <c r="K1730" s="325" t="str">
        <f>IF(Excellent!AS109="","",Excellent!AS109)</f>
        <v/>
      </c>
      <c r="L1730" s="325" t="str">
        <f>IF(Excellent!AT109="","",Excellent!AT109)</f>
        <v/>
      </c>
      <c r="M1730" s="326" t="str">
        <f>TrialDateDay2</f>
        <v/>
      </c>
      <c r="N1730" s="325" t="str">
        <f t="shared" si="1337"/>
        <v/>
      </c>
      <c r="O1730" s="325">
        <f t="shared" si="1355"/>
        <v>0</v>
      </c>
    </row>
    <row r="1731" spans="1:15" x14ac:dyDescent="0.25">
      <c r="A1731" s="2">
        <v>2</v>
      </c>
      <c r="B1731" s="2">
        <f t="shared" ref="B1731:M1731" si="1364">B1730</f>
        <v>0</v>
      </c>
      <c r="C1731" s="2" t="str">
        <f t="shared" si="1364"/>
        <v>ESE</v>
      </c>
      <c r="D1731" s="2">
        <f t="shared" si="1364"/>
        <v>0</v>
      </c>
      <c r="E1731" s="2" t="str">
        <f t="shared" si="1364"/>
        <v>A</v>
      </c>
      <c r="F1731" s="2" t="str">
        <f t="shared" si="1364"/>
        <v>Exterior Excellent</v>
      </c>
      <c r="G1731" s="2" t="str">
        <f t="shared" si="1364"/>
        <v/>
      </c>
      <c r="H1731" s="2" t="str">
        <f t="shared" si="1364"/>
        <v/>
      </c>
      <c r="I1731" s="2" t="str">
        <f t="shared" si="1364"/>
        <v/>
      </c>
      <c r="J1731" s="2" t="str">
        <f t="shared" si="1364"/>
        <v/>
      </c>
      <c r="K1731" s="2" t="str">
        <f t="shared" si="1364"/>
        <v/>
      </c>
      <c r="L1731" s="2" t="str">
        <f t="shared" si="1364"/>
        <v/>
      </c>
      <c r="M1731" s="180" t="str">
        <f t="shared" si="1364"/>
        <v/>
      </c>
      <c r="N1731" s="2" t="str">
        <f t="shared" si="1337"/>
        <v/>
      </c>
      <c r="O1731" s="2">
        <f t="shared" si="1355"/>
        <v>0</v>
      </c>
    </row>
    <row r="1732" spans="1:15" x14ac:dyDescent="0.25">
      <c r="A1732" s="325">
        <v>1</v>
      </c>
      <c r="B1732" s="325">
        <f>TrialNumberDay2</f>
        <v>0</v>
      </c>
      <c r="C1732" s="325" t="s">
        <v>23</v>
      </c>
      <c r="D1732" s="325">
        <f>Excellent!C110</f>
        <v>0</v>
      </c>
      <c r="E1732" s="325" t="str">
        <f>IF(Excellent!B110="W","W","A")</f>
        <v>A</v>
      </c>
      <c r="F1732" s="325" t="s">
        <v>1742</v>
      </c>
      <c r="G1732" s="325" t="str">
        <f>IF(Excellent!W110="e","Y","")</f>
        <v/>
      </c>
      <c r="H1732" s="325" t="str">
        <f>IFERROR(VLOOKUP($D1732,'SDDA Dogs'!$A:$AE,2,FALSE),"")</f>
        <v/>
      </c>
      <c r="I1732" s="325" t="str">
        <f>IFERROR(VLOOKUP($D1732,'SDDA Dogs'!$A:$AE,3,FALSE),"")</f>
        <v/>
      </c>
      <c r="J1732" s="325" t="str">
        <f>IFERROR(VLOOKUP($D1732,'SDDA Dogs'!$A:$AE,6,FALSE),"")</f>
        <v/>
      </c>
      <c r="K1732" s="325" t="str">
        <f>IF(Excellent!AS110="","",Excellent!AS110)</f>
        <v/>
      </c>
      <c r="L1732" s="325" t="str">
        <f>IF(Excellent!AT110="","",Excellent!AT110)</f>
        <v/>
      </c>
      <c r="M1732" s="326" t="str">
        <f>TrialDateDay2</f>
        <v/>
      </c>
      <c r="N1732" s="325" t="str">
        <f t="shared" ref="N1732:N1900" si="1365">N1731</f>
        <v/>
      </c>
      <c r="O1732" s="325">
        <f t="shared" si="1355"/>
        <v>0</v>
      </c>
    </row>
    <row r="1733" spans="1:15" x14ac:dyDescent="0.25">
      <c r="A1733" s="2">
        <v>2</v>
      </c>
      <c r="B1733" s="2">
        <f t="shared" ref="B1733:M1733" si="1366">B1732</f>
        <v>0</v>
      </c>
      <c r="C1733" s="2" t="str">
        <f t="shared" si="1366"/>
        <v>ESE</v>
      </c>
      <c r="D1733" s="2">
        <f t="shared" si="1366"/>
        <v>0</v>
      </c>
      <c r="E1733" s="2" t="str">
        <f t="shared" si="1366"/>
        <v>A</v>
      </c>
      <c r="F1733" s="2" t="str">
        <f t="shared" si="1366"/>
        <v>Exterior Excellent</v>
      </c>
      <c r="G1733" s="2" t="str">
        <f t="shared" si="1366"/>
        <v/>
      </c>
      <c r="H1733" s="2" t="str">
        <f t="shared" si="1366"/>
        <v/>
      </c>
      <c r="I1733" s="2" t="str">
        <f t="shared" si="1366"/>
        <v/>
      </c>
      <c r="J1733" s="2" t="str">
        <f t="shared" si="1366"/>
        <v/>
      </c>
      <c r="K1733" s="2" t="str">
        <f t="shared" si="1366"/>
        <v/>
      </c>
      <c r="L1733" s="2" t="str">
        <f t="shared" si="1366"/>
        <v/>
      </c>
      <c r="M1733" s="180" t="str">
        <f t="shared" si="1366"/>
        <v/>
      </c>
      <c r="N1733" s="2" t="str">
        <f t="shared" si="1365"/>
        <v/>
      </c>
      <c r="O1733" s="2">
        <f t="shared" si="1355"/>
        <v>0</v>
      </c>
    </row>
    <row r="1734" spans="1:15" x14ac:dyDescent="0.25">
      <c r="A1734" s="325">
        <v>1</v>
      </c>
      <c r="B1734" s="325">
        <f>TrialNumberDay2</f>
        <v>0</v>
      </c>
      <c r="C1734" s="325" t="s">
        <v>23</v>
      </c>
      <c r="D1734" s="325">
        <f>Excellent!C111</f>
        <v>0</v>
      </c>
      <c r="E1734" s="325" t="str">
        <f>IF(Excellent!B111="W","W","A")</f>
        <v>A</v>
      </c>
      <c r="F1734" s="325" t="s">
        <v>1742</v>
      </c>
      <c r="G1734" s="325" t="str">
        <f>IF(Excellent!W111="e","Y","")</f>
        <v/>
      </c>
      <c r="H1734" s="325" t="str">
        <f>IFERROR(VLOOKUP($D1734,'SDDA Dogs'!$A:$AE,2,FALSE),"")</f>
        <v/>
      </c>
      <c r="I1734" s="325" t="str">
        <f>IFERROR(VLOOKUP($D1734,'SDDA Dogs'!$A:$AE,3,FALSE),"")</f>
        <v/>
      </c>
      <c r="J1734" s="325" t="str">
        <f>IFERROR(VLOOKUP($D1734,'SDDA Dogs'!$A:$AE,6,FALSE),"")</f>
        <v/>
      </c>
      <c r="K1734" s="325" t="str">
        <f>IF(Excellent!AS111="","",Excellent!AS111)</f>
        <v/>
      </c>
      <c r="L1734" s="325" t="str">
        <f>IF(Excellent!AT111="","",Excellent!AT111)</f>
        <v/>
      </c>
      <c r="M1734" s="326" t="str">
        <f>TrialDateDay2</f>
        <v/>
      </c>
      <c r="N1734" s="325" t="str">
        <f t="shared" si="1365"/>
        <v/>
      </c>
      <c r="O1734" s="325">
        <f t="shared" si="1355"/>
        <v>0</v>
      </c>
    </row>
    <row r="1735" spans="1:15" x14ac:dyDescent="0.25">
      <c r="A1735" s="2">
        <v>2</v>
      </c>
      <c r="B1735" s="2">
        <f t="shared" ref="B1735:M1735" si="1367">B1734</f>
        <v>0</v>
      </c>
      <c r="C1735" s="2" t="str">
        <f t="shared" si="1367"/>
        <v>ESE</v>
      </c>
      <c r="D1735" s="2">
        <f t="shared" si="1367"/>
        <v>0</v>
      </c>
      <c r="E1735" s="2" t="str">
        <f t="shared" si="1367"/>
        <v>A</v>
      </c>
      <c r="F1735" s="2" t="str">
        <f t="shared" si="1367"/>
        <v>Exterior Excellent</v>
      </c>
      <c r="G1735" s="2" t="str">
        <f t="shared" si="1367"/>
        <v/>
      </c>
      <c r="H1735" s="2" t="str">
        <f t="shared" si="1367"/>
        <v/>
      </c>
      <c r="I1735" s="2" t="str">
        <f t="shared" si="1367"/>
        <v/>
      </c>
      <c r="J1735" s="2" t="str">
        <f t="shared" si="1367"/>
        <v/>
      </c>
      <c r="K1735" s="2" t="str">
        <f t="shared" si="1367"/>
        <v/>
      </c>
      <c r="L1735" s="2" t="str">
        <f t="shared" si="1367"/>
        <v/>
      </c>
      <c r="M1735" s="180" t="str">
        <f t="shared" si="1367"/>
        <v/>
      </c>
      <c r="N1735" s="2" t="str">
        <f t="shared" si="1365"/>
        <v/>
      </c>
      <c r="O1735" s="2">
        <f t="shared" si="1355"/>
        <v>0</v>
      </c>
    </row>
    <row r="1736" spans="1:15" x14ac:dyDescent="0.25">
      <c r="A1736" s="325">
        <v>1</v>
      </c>
      <c r="B1736" s="325">
        <f>TrialNumberDay2</f>
        <v>0</v>
      </c>
      <c r="C1736" s="325" t="s">
        <v>23</v>
      </c>
      <c r="D1736" s="325">
        <f>Excellent!C112</f>
        <v>0</v>
      </c>
      <c r="E1736" s="325" t="str">
        <f>IF(Excellent!B112="W","W","A")</f>
        <v>A</v>
      </c>
      <c r="F1736" s="325" t="s">
        <v>1742</v>
      </c>
      <c r="G1736" s="325" t="str">
        <f>IF(Excellent!W112="e","Y","")</f>
        <v/>
      </c>
      <c r="H1736" s="325" t="str">
        <f>IFERROR(VLOOKUP($D1736,'SDDA Dogs'!$A:$AE,2,FALSE),"")</f>
        <v/>
      </c>
      <c r="I1736" s="325" t="str">
        <f>IFERROR(VLOOKUP($D1736,'SDDA Dogs'!$A:$AE,3,FALSE),"")</f>
        <v/>
      </c>
      <c r="J1736" s="325" t="str">
        <f>IFERROR(VLOOKUP($D1736,'SDDA Dogs'!$A:$AE,6,FALSE),"")</f>
        <v/>
      </c>
      <c r="K1736" s="325" t="str">
        <f>IF(Excellent!AS112="","",Excellent!AS112)</f>
        <v/>
      </c>
      <c r="L1736" s="325" t="str">
        <f>IF(Excellent!AT112="","",Excellent!AT112)</f>
        <v/>
      </c>
      <c r="M1736" s="326" t="str">
        <f>TrialDateDay2</f>
        <v/>
      </c>
      <c r="N1736" s="325" t="str">
        <f t="shared" si="1365"/>
        <v/>
      </c>
      <c r="O1736" s="325">
        <f t="shared" si="1355"/>
        <v>0</v>
      </c>
    </row>
    <row r="1737" spans="1:15" x14ac:dyDescent="0.25">
      <c r="A1737" s="2">
        <v>2</v>
      </c>
      <c r="B1737" s="2">
        <f t="shared" ref="B1737:M1737" si="1368">B1736</f>
        <v>0</v>
      </c>
      <c r="C1737" s="2" t="str">
        <f t="shared" si="1368"/>
        <v>ESE</v>
      </c>
      <c r="D1737" s="2">
        <f t="shared" si="1368"/>
        <v>0</v>
      </c>
      <c r="E1737" s="2" t="str">
        <f t="shared" si="1368"/>
        <v>A</v>
      </c>
      <c r="F1737" s="2" t="str">
        <f t="shared" si="1368"/>
        <v>Exterior Excellent</v>
      </c>
      <c r="G1737" s="2" t="str">
        <f t="shared" si="1368"/>
        <v/>
      </c>
      <c r="H1737" s="2" t="str">
        <f t="shared" si="1368"/>
        <v/>
      </c>
      <c r="I1737" s="2" t="str">
        <f t="shared" si="1368"/>
        <v/>
      </c>
      <c r="J1737" s="2" t="str">
        <f t="shared" si="1368"/>
        <v/>
      </c>
      <c r="K1737" s="2" t="str">
        <f t="shared" si="1368"/>
        <v/>
      </c>
      <c r="L1737" s="2" t="str">
        <f t="shared" si="1368"/>
        <v/>
      </c>
      <c r="M1737" s="180" t="str">
        <f t="shared" si="1368"/>
        <v/>
      </c>
      <c r="N1737" s="2" t="str">
        <f t="shared" si="1365"/>
        <v/>
      </c>
      <c r="O1737" s="2">
        <f t="shared" si="1355"/>
        <v>0</v>
      </c>
    </row>
    <row r="1738" spans="1:15" x14ac:dyDescent="0.25">
      <c r="A1738" s="325">
        <v>1</v>
      </c>
      <c r="B1738" s="325">
        <f>TrialNumberDay2</f>
        <v>0</v>
      </c>
      <c r="C1738" s="325" t="s">
        <v>23</v>
      </c>
      <c r="D1738" s="325">
        <f>Excellent!C113</f>
        <v>0</v>
      </c>
      <c r="E1738" s="325" t="str">
        <f>IF(Excellent!B113="W","W","A")</f>
        <v>A</v>
      </c>
      <c r="F1738" s="325" t="s">
        <v>1742</v>
      </c>
      <c r="G1738" s="325" t="str">
        <f>IF(Excellent!W113="e","Y","")</f>
        <v/>
      </c>
      <c r="H1738" s="325" t="str">
        <f>IFERROR(VLOOKUP($D1738,'SDDA Dogs'!$A:$AE,2,FALSE),"")</f>
        <v/>
      </c>
      <c r="I1738" s="325" t="str">
        <f>IFERROR(VLOOKUP($D1738,'SDDA Dogs'!$A:$AE,3,FALSE),"")</f>
        <v/>
      </c>
      <c r="J1738" s="325" t="str">
        <f>IFERROR(VLOOKUP($D1738,'SDDA Dogs'!$A:$AE,6,FALSE),"")</f>
        <v/>
      </c>
      <c r="K1738" s="325" t="str">
        <f>IF(Excellent!AS113="","",Excellent!AS113)</f>
        <v/>
      </c>
      <c r="L1738" s="325" t="str">
        <f>IF(Excellent!AT113="","",Excellent!AT113)</f>
        <v/>
      </c>
      <c r="M1738" s="326" t="str">
        <f>TrialDateDay2</f>
        <v/>
      </c>
      <c r="N1738" s="325" t="str">
        <f t="shared" si="1365"/>
        <v/>
      </c>
      <c r="O1738" s="325">
        <f t="shared" si="1355"/>
        <v>0</v>
      </c>
    </row>
    <row r="1739" spans="1:15" x14ac:dyDescent="0.25">
      <c r="A1739" s="2">
        <v>2</v>
      </c>
      <c r="B1739" s="2">
        <f t="shared" ref="B1739:M1739" si="1369">B1738</f>
        <v>0</v>
      </c>
      <c r="C1739" s="2" t="str">
        <f t="shared" si="1369"/>
        <v>ESE</v>
      </c>
      <c r="D1739" s="2">
        <f t="shared" si="1369"/>
        <v>0</v>
      </c>
      <c r="E1739" s="2" t="str">
        <f t="shared" si="1369"/>
        <v>A</v>
      </c>
      <c r="F1739" s="2" t="str">
        <f t="shared" si="1369"/>
        <v>Exterior Excellent</v>
      </c>
      <c r="G1739" s="2" t="str">
        <f t="shared" si="1369"/>
        <v/>
      </c>
      <c r="H1739" s="2" t="str">
        <f t="shared" si="1369"/>
        <v/>
      </c>
      <c r="I1739" s="2" t="str">
        <f t="shared" si="1369"/>
        <v/>
      </c>
      <c r="J1739" s="2" t="str">
        <f t="shared" si="1369"/>
        <v/>
      </c>
      <c r="K1739" s="2" t="str">
        <f t="shared" si="1369"/>
        <v/>
      </c>
      <c r="L1739" s="2" t="str">
        <f t="shared" si="1369"/>
        <v/>
      </c>
      <c r="M1739" s="180" t="str">
        <f t="shared" si="1369"/>
        <v/>
      </c>
      <c r="N1739" s="2" t="str">
        <f t="shared" si="1365"/>
        <v/>
      </c>
      <c r="O1739" s="2">
        <f t="shared" si="1355"/>
        <v>0</v>
      </c>
    </row>
    <row r="1740" spans="1:15" x14ac:dyDescent="0.25">
      <c r="A1740" s="325">
        <v>1</v>
      </c>
      <c r="B1740" s="325">
        <f>TrialNumberDay2</f>
        <v>0</v>
      </c>
      <c r="C1740" s="325" t="s">
        <v>23</v>
      </c>
      <c r="D1740" s="325">
        <f>Excellent!C114</f>
        <v>0</v>
      </c>
      <c r="E1740" s="325" t="str">
        <f>IF(Excellent!B114="W","W","A")</f>
        <v>A</v>
      </c>
      <c r="F1740" s="325" t="s">
        <v>1742</v>
      </c>
      <c r="G1740" s="325" t="str">
        <f>IF(Excellent!W114="e","Y","")</f>
        <v/>
      </c>
      <c r="H1740" s="325" t="str">
        <f>IFERROR(VLOOKUP($D1740,'SDDA Dogs'!$A:$AE,2,FALSE),"")</f>
        <v/>
      </c>
      <c r="I1740" s="325" t="str">
        <f>IFERROR(VLOOKUP($D1740,'SDDA Dogs'!$A:$AE,3,FALSE),"")</f>
        <v/>
      </c>
      <c r="J1740" s="325" t="str">
        <f>IFERROR(VLOOKUP($D1740,'SDDA Dogs'!$A:$AE,6,FALSE),"")</f>
        <v/>
      </c>
      <c r="K1740" s="325" t="str">
        <f>IF(Excellent!AS114="","",Excellent!AS114)</f>
        <v/>
      </c>
      <c r="L1740" s="325" t="str">
        <f>IF(Excellent!AT114="","",Excellent!AT114)</f>
        <v/>
      </c>
      <c r="M1740" s="326" t="str">
        <f>TrialDateDay2</f>
        <v/>
      </c>
      <c r="N1740" s="325" t="str">
        <f t="shared" si="1365"/>
        <v/>
      </c>
      <c r="O1740" s="325">
        <f t="shared" si="1355"/>
        <v>0</v>
      </c>
    </row>
    <row r="1741" spans="1:15" x14ac:dyDescent="0.25">
      <c r="A1741" s="2">
        <v>2</v>
      </c>
      <c r="B1741" s="2">
        <f t="shared" ref="B1741:O1741" si="1370">B1740</f>
        <v>0</v>
      </c>
      <c r="C1741" s="2" t="str">
        <f t="shared" si="1370"/>
        <v>ESE</v>
      </c>
      <c r="D1741" s="2">
        <f t="shared" si="1370"/>
        <v>0</v>
      </c>
      <c r="E1741" s="2" t="str">
        <f t="shared" si="1370"/>
        <v>A</v>
      </c>
      <c r="F1741" s="2" t="str">
        <f t="shared" si="1370"/>
        <v>Exterior Excellent</v>
      </c>
      <c r="G1741" s="2" t="str">
        <f t="shared" si="1370"/>
        <v/>
      </c>
      <c r="H1741" s="2" t="str">
        <f t="shared" si="1370"/>
        <v/>
      </c>
      <c r="I1741" s="2" t="str">
        <f t="shared" si="1370"/>
        <v/>
      </c>
      <c r="J1741" s="2" t="str">
        <f t="shared" si="1370"/>
        <v/>
      </c>
      <c r="K1741" s="2" t="str">
        <f t="shared" si="1370"/>
        <v/>
      </c>
      <c r="L1741" s="2" t="str">
        <f t="shared" si="1370"/>
        <v/>
      </c>
      <c r="M1741" s="180" t="str">
        <f t="shared" si="1370"/>
        <v/>
      </c>
      <c r="N1741" s="2" t="str">
        <f t="shared" si="1365"/>
        <v/>
      </c>
      <c r="O1741" s="2">
        <f t="shared" si="1370"/>
        <v>0</v>
      </c>
    </row>
    <row r="1742" spans="1:15" s="149" customFormat="1" x14ac:dyDescent="0.25">
      <c r="A1742" s="327">
        <v>1</v>
      </c>
      <c r="B1742" s="327">
        <f>TrialNumberDay2</f>
        <v>0</v>
      </c>
      <c r="C1742" s="327" t="s">
        <v>2034</v>
      </c>
      <c r="D1742" s="327">
        <f>Elite!C45</f>
        <v>0</v>
      </c>
      <c r="E1742" s="327" t="str">
        <f>IF(Elite!B45="W","W","A")</f>
        <v>W</v>
      </c>
      <c r="F1742" s="327" t="s">
        <v>2034</v>
      </c>
      <c r="G1742" s="327" t="str">
        <f>IF(Elite!F45="e","Y","")</f>
        <v/>
      </c>
      <c r="H1742" s="327" t="str">
        <f>IFERROR(VLOOKUP($D1742,'SDDA Dogs'!$A:$AE,2,FALSE),"")</f>
        <v/>
      </c>
      <c r="I1742" s="327" t="str">
        <f>IFERROR(VLOOKUP($D1742,'SDDA Dogs'!$A:$AE,3,FALSE),"")</f>
        <v/>
      </c>
      <c r="J1742" s="327" t="str">
        <f>IFERROR(VLOOKUP($D1742,'SDDA Dogs'!$A:$AE,6,FALSE),"")</f>
        <v/>
      </c>
      <c r="K1742" s="327" t="str">
        <f>IF(Elite!AR45="","",Elite!AR45)</f>
        <v/>
      </c>
      <c r="L1742" s="327" t="str">
        <f>IF(Elite!AS45="","",Elite!AS45)</f>
        <v/>
      </c>
      <c r="M1742" s="328" t="str">
        <f>TrialDateDay2</f>
        <v/>
      </c>
      <c r="N1742" s="325" t="str">
        <f t="shared" si="1365"/>
        <v/>
      </c>
      <c r="O1742" s="327">
        <f t="shared" ref="O1742:O1834" si="1371">IF(JudgeD2CSL = JudgeD2ISL, IF(JudgeD2ESL = JudgeD2CSL, JudgeD2CSL, "Multiple Judges"),"Multiple Judges")</f>
        <v>0</v>
      </c>
    </row>
    <row r="1743" spans="1:15" x14ac:dyDescent="0.25">
      <c r="A1743" s="2">
        <v>2</v>
      </c>
      <c r="B1743" s="2">
        <f>B1742</f>
        <v>0</v>
      </c>
      <c r="C1743" s="2" t="str">
        <f>C1742</f>
        <v>Elite</v>
      </c>
      <c r="D1743" s="2">
        <f>D1742</f>
        <v>0</v>
      </c>
      <c r="E1743" s="2" t="str">
        <f>E1742</f>
        <v>W</v>
      </c>
      <c r="F1743" s="2" t="str">
        <f t="shared" ref="F1743:M1917" si="1372">F1742</f>
        <v>Elite</v>
      </c>
      <c r="G1743" s="2" t="str">
        <f t="shared" ref="G1743:M1743" si="1373">G1742</f>
        <v/>
      </c>
      <c r="H1743" s="2" t="str">
        <f t="shared" si="1373"/>
        <v/>
      </c>
      <c r="I1743" s="2" t="str">
        <f t="shared" si="1373"/>
        <v/>
      </c>
      <c r="J1743" s="2" t="str">
        <f t="shared" si="1373"/>
        <v/>
      </c>
      <c r="K1743" s="2" t="str">
        <f t="shared" si="1373"/>
        <v/>
      </c>
      <c r="L1743" s="2" t="str">
        <f t="shared" si="1373"/>
        <v/>
      </c>
      <c r="M1743" s="180" t="str">
        <f t="shared" si="1373"/>
        <v/>
      </c>
      <c r="N1743" s="2" t="str">
        <f t="shared" si="1365"/>
        <v/>
      </c>
      <c r="O1743" s="2">
        <f t="shared" si="1371"/>
        <v>0</v>
      </c>
    </row>
    <row r="1744" spans="1:15" x14ac:dyDescent="0.25">
      <c r="A1744" s="327">
        <v>3</v>
      </c>
      <c r="B1744" s="2">
        <f t="shared" ref="B1744:B1747" si="1374">B1743</f>
        <v>0</v>
      </c>
      <c r="C1744" s="2" t="str">
        <f t="shared" ref="C1744:C1747" si="1375">C1743</f>
        <v>Elite</v>
      </c>
      <c r="D1744" s="2">
        <f t="shared" ref="D1744:D1747" si="1376">D1743</f>
        <v>0</v>
      </c>
      <c r="E1744" s="2" t="str">
        <f t="shared" ref="E1744:E1747" si="1377">E1743</f>
        <v>W</v>
      </c>
      <c r="F1744" s="2" t="str">
        <f t="shared" si="1372"/>
        <v>Elite</v>
      </c>
      <c r="G1744" s="2" t="str">
        <f t="shared" si="1372"/>
        <v/>
      </c>
      <c r="H1744" s="2" t="str">
        <f t="shared" si="1372"/>
        <v/>
      </c>
      <c r="I1744" s="2" t="str">
        <f t="shared" si="1372"/>
        <v/>
      </c>
      <c r="J1744" s="2" t="str">
        <f t="shared" si="1372"/>
        <v/>
      </c>
      <c r="K1744" s="2" t="str">
        <f t="shared" si="1372"/>
        <v/>
      </c>
      <c r="L1744" s="2" t="str">
        <f t="shared" si="1372"/>
        <v/>
      </c>
      <c r="M1744" s="180" t="str">
        <f t="shared" si="1372"/>
        <v/>
      </c>
      <c r="N1744" s="2" t="str">
        <f t="shared" si="1365"/>
        <v/>
      </c>
      <c r="O1744" s="2">
        <f t="shared" si="1371"/>
        <v>0</v>
      </c>
    </row>
    <row r="1745" spans="1:15" x14ac:dyDescent="0.25">
      <c r="A1745" s="2">
        <v>4</v>
      </c>
      <c r="B1745" s="2">
        <f t="shared" si="1374"/>
        <v>0</v>
      </c>
      <c r="C1745" s="2" t="str">
        <f t="shared" si="1375"/>
        <v>Elite</v>
      </c>
      <c r="D1745" s="2">
        <f t="shared" si="1376"/>
        <v>0</v>
      </c>
      <c r="E1745" s="2" t="str">
        <f t="shared" si="1377"/>
        <v>W</v>
      </c>
      <c r="F1745" s="2" t="str">
        <f t="shared" si="1372"/>
        <v>Elite</v>
      </c>
      <c r="G1745" s="2" t="str">
        <f t="shared" si="1372"/>
        <v/>
      </c>
      <c r="H1745" s="2" t="str">
        <f t="shared" si="1372"/>
        <v/>
      </c>
      <c r="I1745" s="2" t="str">
        <f t="shared" si="1372"/>
        <v/>
      </c>
      <c r="J1745" s="2" t="str">
        <f t="shared" si="1372"/>
        <v/>
      </c>
      <c r="K1745" s="2" t="str">
        <f t="shared" si="1372"/>
        <v/>
      </c>
      <c r="L1745" s="2" t="str">
        <f t="shared" si="1372"/>
        <v/>
      </c>
      <c r="M1745" s="180" t="str">
        <f t="shared" si="1372"/>
        <v/>
      </c>
      <c r="N1745" s="2" t="str">
        <f t="shared" si="1365"/>
        <v/>
      </c>
      <c r="O1745" s="2">
        <f t="shared" si="1371"/>
        <v>0</v>
      </c>
    </row>
    <row r="1746" spans="1:15" x14ac:dyDescent="0.25">
      <c r="A1746" s="327">
        <v>5</v>
      </c>
      <c r="B1746" s="2">
        <f t="shared" si="1374"/>
        <v>0</v>
      </c>
      <c r="C1746" s="2" t="str">
        <f t="shared" si="1375"/>
        <v>Elite</v>
      </c>
      <c r="D1746" s="2">
        <f t="shared" si="1376"/>
        <v>0</v>
      </c>
      <c r="E1746" s="2" t="str">
        <f t="shared" si="1377"/>
        <v>W</v>
      </c>
      <c r="F1746" s="2" t="str">
        <f t="shared" si="1372"/>
        <v>Elite</v>
      </c>
      <c r="G1746" s="2" t="str">
        <f t="shared" si="1372"/>
        <v/>
      </c>
      <c r="H1746" s="2" t="str">
        <f t="shared" si="1372"/>
        <v/>
      </c>
      <c r="I1746" s="2" t="str">
        <f t="shared" si="1372"/>
        <v/>
      </c>
      <c r="J1746" s="2" t="str">
        <f t="shared" si="1372"/>
        <v/>
      </c>
      <c r="K1746" s="2" t="str">
        <f t="shared" si="1372"/>
        <v/>
      </c>
      <c r="L1746" s="2" t="str">
        <f t="shared" si="1372"/>
        <v/>
      </c>
      <c r="M1746" s="180" t="str">
        <f t="shared" si="1372"/>
        <v/>
      </c>
      <c r="N1746" s="2" t="str">
        <f t="shared" si="1365"/>
        <v/>
      </c>
      <c r="O1746" s="2">
        <f t="shared" si="1371"/>
        <v>0</v>
      </c>
    </row>
    <row r="1747" spans="1:15" x14ac:dyDescent="0.25">
      <c r="A1747" s="2">
        <v>6</v>
      </c>
      <c r="B1747" s="2">
        <f t="shared" si="1374"/>
        <v>0</v>
      </c>
      <c r="C1747" s="2" t="str">
        <f t="shared" si="1375"/>
        <v>Elite</v>
      </c>
      <c r="D1747" s="2">
        <f t="shared" si="1376"/>
        <v>0</v>
      </c>
      <c r="E1747" s="2" t="str">
        <f t="shared" si="1377"/>
        <v>W</v>
      </c>
      <c r="F1747" s="2" t="str">
        <f t="shared" si="1372"/>
        <v>Elite</v>
      </c>
      <c r="G1747" s="2" t="str">
        <f t="shared" si="1372"/>
        <v/>
      </c>
      <c r="H1747" s="2" t="str">
        <f t="shared" si="1372"/>
        <v/>
      </c>
      <c r="I1747" s="2" t="str">
        <f t="shared" si="1372"/>
        <v/>
      </c>
      <c r="J1747" s="2" t="str">
        <f t="shared" si="1372"/>
        <v/>
      </c>
      <c r="K1747" s="2" t="str">
        <f t="shared" si="1372"/>
        <v/>
      </c>
      <c r="L1747" s="2" t="str">
        <f t="shared" si="1372"/>
        <v/>
      </c>
      <c r="M1747" s="180" t="str">
        <f t="shared" si="1372"/>
        <v/>
      </c>
      <c r="N1747" s="2" t="str">
        <f t="shared" si="1365"/>
        <v/>
      </c>
      <c r="O1747" s="2">
        <f t="shared" si="1371"/>
        <v>0</v>
      </c>
    </row>
    <row r="1748" spans="1:15" x14ac:dyDescent="0.25">
      <c r="A1748" s="325">
        <v>1</v>
      </c>
      <c r="B1748" s="325">
        <f>TrialNumberDay2</f>
        <v>0</v>
      </c>
      <c r="C1748" s="325" t="s">
        <v>2034</v>
      </c>
      <c r="D1748" s="325">
        <f>Elite!C46</f>
        <v>0</v>
      </c>
      <c r="E1748" s="325" t="str">
        <f>IF(Elite!B46="W","W","A")</f>
        <v>W</v>
      </c>
      <c r="F1748" s="325" t="s">
        <v>2034</v>
      </c>
      <c r="G1748" s="325" t="str">
        <f>IF(Elite!F46="e","Y","")</f>
        <v/>
      </c>
      <c r="H1748" s="325" t="str">
        <f>IFERROR(VLOOKUP($D1748,'SDDA Dogs'!$A:$AE,2,FALSE),"")</f>
        <v/>
      </c>
      <c r="I1748" s="325" t="str">
        <f>IFERROR(VLOOKUP($D1748,'SDDA Dogs'!$A:$AE,3,FALSE),"")</f>
        <v/>
      </c>
      <c r="J1748" s="325" t="str">
        <f>IFERROR(VLOOKUP($D1748,'SDDA Dogs'!$A:$AE,6,FALSE),"")</f>
        <v/>
      </c>
      <c r="K1748" s="325" t="str">
        <f>IF(Elite!AR46="","",Elite!AR46)</f>
        <v/>
      </c>
      <c r="L1748" s="325" t="str">
        <f>IF(Elite!AS456="","",Elite!AS46)</f>
        <v/>
      </c>
      <c r="M1748" s="326" t="str">
        <f>TrialDateDay2</f>
        <v/>
      </c>
      <c r="N1748" s="325" t="str">
        <f>N1743</f>
        <v/>
      </c>
      <c r="O1748" s="325">
        <f t="shared" si="1371"/>
        <v>0</v>
      </c>
    </row>
    <row r="1749" spans="1:15" x14ac:dyDescent="0.25">
      <c r="A1749" s="2">
        <v>2</v>
      </c>
      <c r="B1749" s="2">
        <f>B1748</f>
        <v>0</v>
      </c>
      <c r="C1749" s="2" t="str">
        <f>C1748</f>
        <v>Elite</v>
      </c>
      <c r="D1749" s="2">
        <f>D1748</f>
        <v>0</v>
      </c>
      <c r="E1749" s="2" t="str">
        <f>E1748</f>
        <v>W</v>
      </c>
      <c r="F1749" s="2" t="str">
        <f t="shared" si="1372"/>
        <v>Elite</v>
      </c>
      <c r="G1749" s="2" t="str">
        <f t="shared" ref="G1749:M1749" si="1378">G1748</f>
        <v/>
      </c>
      <c r="H1749" s="2" t="str">
        <f t="shared" si="1378"/>
        <v/>
      </c>
      <c r="I1749" s="2" t="str">
        <f t="shared" si="1378"/>
        <v/>
      </c>
      <c r="J1749" s="2" t="str">
        <f t="shared" si="1378"/>
        <v/>
      </c>
      <c r="K1749" s="2" t="str">
        <f t="shared" si="1378"/>
        <v/>
      </c>
      <c r="L1749" s="2" t="str">
        <f t="shared" si="1378"/>
        <v/>
      </c>
      <c r="M1749" s="180" t="str">
        <f t="shared" si="1378"/>
        <v/>
      </c>
      <c r="N1749" s="2" t="str">
        <f t="shared" si="1365"/>
        <v/>
      </c>
      <c r="O1749" s="2">
        <f t="shared" si="1371"/>
        <v>0</v>
      </c>
    </row>
    <row r="1750" spans="1:15" x14ac:dyDescent="0.25">
      <c r="A1750" s="327">
        <v>3</v>
      </c>
      <c r="B1750" s="2">
        <f t="shared" ref="B1750:B1753" si="1379">B1749</f>
        <v>0</v>
      </c>
      <c r="C1750" s="2" t="str">
        <f t="shared" ref="C1750:C1753" si="1380">C1749</f>
        <v>Elite</v>
      </c>
      <c r="D1750" s="2">
        <f t="shared" ref="D1750:D1753" si="1381">D1749</f>
        <v>0</v>
      </c>
      <c r="E1750" s="2" t="str">
        <f t="shared" ref="E1750:M1753" si="1382">E1749</f>
        <v>W</v>
      </c>
      <c r="F1750" s="2" t="str">
        <f t="shared" si="1382"/>
        <v>Elite</v>
      </c>
      <c r="G1750" s="2" t="str">
        <f t="shared" si="1382"/>
        <v/>
      </c>
      <c r="H1750" s="2" t="str">
        <f t="shared" si="1382"/>
        <v/>
      </c>
      <c r="I1750" s="2" t="str">
        <f t="shared" si="1382"/>
        <v/>
      </c>
      <c r="J1750" s="2" t="str">
        <f t="shared" si="1382"/>
        <v/>
      </c>
      <c r="K1750" s="2" t="str">
        <f t="shared" si="1382"/>
        <v/>
      </c>
      <c r="L1750" s="2" t="str">
        <f t="shared" si="1382"/>
        <v/>
      </c>
      <c r="M1750" s="180" t="str">
        <f t="shared" si="1382"/>
        <v/>
      </c>
      <c r="N1750" s="2" t="str">
        <f t="shared" si="1365"/>
        <v/>
      </c>
      <c r="O1750" s="2">
        <f t="shared" si="1371"/>
        <v>0</v>
      </c>
    </row>
    <row r="1751" spans="1:15" x14ac:dyDescent="0.25">
      <c r="A1751" s="2">
        <v>4</v>
      </c>
      <c r="B1751" s="2">
        <f t="shared" si="1379"/>
        <v>0</v>
      </c>
      <c r="C1751" s="2" t="str">
        <f t="shared" si="1380"/>
        <v>Elite</v>
      </c>
      <c r="D1751" s="2">
        <f t="shared" si="1381"/>
        <v>0</v>
      </c>
      <c r="E1751" s="2" t="str">
        <f t="shared" si="1382"/>
        <v>W</v>
      </c>
      <c r="F1751" s="2" t="str">
        <f t="shared" si="1382"/>
        <v>Elite</v>
      </c>
      <c r="G1751" s="2" t="str">
        <f t="shared" si="1382"/>
        <v/>
      </c>
      <c r="H1751" s="2" t="str">
        <f t="shared" si="1382"/>
        <v/>
      </c>
      <c r="I1751" s="2" t="str">
        <f t="shared" si="1382"/>
        <v/>
      </c>
      <c r="J1751" s="2" t="str">
        <f t="shared" si="1382"/>
        <v/>
      </c>
      <c r="K1751" s="2" t="str">
        <f t="shared" si="1382"/>
        <v/>
      </c>
      <c r="L1751" s="2" t="str">
        <f t="shared" si="1382"/>
        <v/>
      </c>
      <c r="M1751" s="180" t="str">
        <f t="shared" si="1382"/>
        <v/>
      </c>
      <c r="N1751" s="2" t="str">
        <f t="shared" si="1365"/>
        <v/>
      </c>
      <c r="O1751" s="2">
        <f t="shared" si="1371"/>
        <v>0</v>
      </c>
    </row>
    <row r="1752" spans="1:15" x14ac:dyDescent="0.25">
      <c r="A1752" s="327">
        <v>5</v>
      </c>
      <c r="B1752" s="2">
        <f t="shared" si="1379"/>
        <v>0</v>
      </c>
      <c r="C1752" s="2" t="str">
        <f t="shared" si="1380"/>
        <v>Elite</v>
      </c>
      <c r="D1752" s="2">
        <f t="shared" si="1381"/>
        <v>0</v>
      </c>
      <c r="E1752" s="2" t="str">
        <f t="shared" si="1382"/>
        <v>W</v>
      </c>
      <c r="F1752" s="2" t="str">
        <f t="shared" si="1382"/>
        <v>Elite</v>
      </c>
      <c r="G1752" s="2" t="str">
        <f t="shared" si="1382"/>
        <v/>
      </c>
      <c r="H1752" s="2" t="str">
        <f t="shared" si="1382"/>
        <v/>
      </c>
      <c r="I1752" s="2" t="str">
        <f t="shared" si="1382"/>
        <v/>
      </c>
      <c r="J1752" s="2" t="str">
        <f t="shared" si="1382"/>
        <v/>
      </c>
      <c r="K1752" s="2" t="str">
        <f t="shared" si="1382"/>
        <v/>
      </c>
      <c r="L1752" s="2" t="str">
        <f t="shared" si="1382"/>
        <v/>
      </c>
      <c r="M1752" s="180" t="str">
        <f t="shared" si="1382"/>
        <v/>
      </c>
      <c r="N1752" s="2" t="str">
        <f t="shared" si="1365"/>
        <v/>
      </c>
      <c r="O1752" s="2">
        <f t="shared" si="1371"/>
        <v>0</v>
      </c>
    </row>
    <row r="1753" spans="1:15" x14ac:dyDescent="0.25">
      <c r="A1753" s="2">
        <v>6</v>
      </c>
      <c r="B1753" s="2">
        <f t="shared" si="1379"/>
        <v>0</v>
      </c>
      <c r="C1753" s="2" t="str">
        <f t="shared" si="1380"/>
        <v>Elite</v>
      </c>
      <c r="D1753" s="2">
        <f t="shared" si="1381"/>
        <v>0</v>
      </c>
      <c r="E1753" s="2" t="str">
        <f t="shared" si="1382"/>
        <v>W</v>
      </c>
      <c r="F1753" s="2" t="str">
        <f t="shared" si="1382"/>
        <v>Elite</v>
      </c>
      <c r="G1753" s="2" t="str">
        <f t="shared" si="1382"/>
        <v/>
      </c>
      <c r="H1753" s="2" t="str">
        <f t="shared" si="1382"/>
        <v/>
      </c>
      <c r="I1753" s="2" t="str">
        <f t="shared" si="1382"/>
        <v/>
      </c>
      <c r="J1753" s="2" t="str">
        <f t="shared" si="1382"/>
        <v/>
      </c>
      <c r="K1753" s="2" t="str">
        <f t="shared" si="1382"/>
        <v/>
      </c>
      <c r="L1753" s="2" t="str">
        <f t="shared" si="1382"/>
        <v/>
      </c>
      <c r="M1753" s="180" t="str">
        <f t="shared" si="1382"/>
        <v/>
      </c>
      <c r="N1753" s="2" t="str">
        <f t="shared" si="1365"/>
        <v/>
      </c>
      <c r="O1753" s="2">
        <f t="shared" si="1371"/>
        <v>0</v>
      </c>
    </row>
    <row r="1754" spans="1:15" x14ac:dyDescent="0.25">
      <c r="A1754" s="325">
        <v>1</v>
      </c>
      <c r="B1754" s="325">
        <f>TrialNumberDay2</f>
        <v>0</v>
      </c>
      <c r="C1754" s="325" t="s">
        <v>2034</v>
      </c>
      <c r="D1754" s="325">
        <f>Elite!C47</f>
        <v>0</v>
      </c>
      <c r="E1754" s="325" t="str">
        <f>IF(Elite!B47="W","W","A")</f>
        <v>W</v>
      </c>
      <c r="F1754" s="325" t="s">
        <v>2034</v>
      </c>
      <c r="G1754" s="325" t="str">
        <f>IF(Elite!F47="e","Y","")</f>
        <v/>
      </c>
      <c r="H1754" s="325" t="str">
        <f>IFERROR(VLOOKUP($D1754,'SDDA Dogs'!$A:$AE,2,FALSE),"")</f>
        <v/>
      </c>
      <c r="I1754" s="325" t="str">
        <f>IFERROR(VLOOKUP($D1754,'SDDA Dogs'!$A:$AE,3,FALSE),"")</f>
        <v/>
      </c>
      <c r="J1754" s="325" t="str">
        <f>IFERROR(VLOOKUP($D1754,'SDDA Dogs'!$A:$AE,6,FALSE),"")</f>
        <v/>
      </c>
      <c r="K1754" s="325" t="str">
        <f>IF(Elite!AR47="","",Elite!AR47)</f>
        <v/>
      </c>
      <c r="L1754" s="325" t="str">
        <f>IF(Elite!AS457="","",Elite!AS47)</f>
        <v/>
      </c>
      <c r="M1754" s="326" t="str">
        <f>TrialDateDay2</f>
        <v/>
      </c>
      <c r="N1754" s="325" t="str">
        <f>N1749</f>
        <v/>
      </c>
      <c r="O1754" s="325">
        <f t="shared" si="1371"/>
        <v>0</v>
      </c>
    </row>
    <row r="1755" spans="1:15" x14ac:dyDescent="0.25">
      <c r="A1755" s="2">
        <v>2</v>
      </c>
      <c r="B1755" s="2">
        <f>B1754</f>
        <v>0</v>
      </c>
      <c r="C1755" s="2" t="str">
        <f>C1754</f>
        <v>Elite</v>
      </c>
      <c r="D1755" s="2">
        <f>D1754</f>
        <v>0</v>
      </c>
      <c r="E1755" s="2" t="str">
        <f>E1754</f>
        <v>W</v>
      </c>
      <c r="F1755" s="2" t="str">
        <f t="shared" si="1372"/>
        <v>Elite</v>
      </c>
      <c r="G1755" s="2" t="str">
        <f t="shared" ref="G1755:M1759" si="1383">G1754</f>
        <v/>
      </c>
      <c r="H1755" s="2" t="str">
        <f t="shared" si="1383"/>
        <v/>
      </c>
      <c r="I1755" s="2" t="str">
        <f t="shared" si="1383"/>
        <v/>
      </c>
      <c r="J1755" s="2" t="str">
        <f t="shared" si="1383"/>
        <v/>
      </c>
      <c r="K1755" s="2" t="str">
        <f t="shared" si="1383"/>
        <v/>
      </c>
      <c r="L1755" s="2" t="str">
        <f t="shared" si="1383"/>
        <v/>
      </c>
      <c r="M1755" s="180" t="str">
        <f t="shared" si="1383"/>
        <v/>
      </c>
      <c r="N1755" s="2" t="str">
        <f t="shared" si="1365"/>
        <v/>
      </c>
      <c r="O1755" s="2">
        <f t="shared" si="1371"/>
        <v>0</v>
      </c>
    </row>
    <row r="1756" spans="1:15" x14ac:dyDescent="0.25">
      <c r="A1756" s="327">
        <v>3</v>
      </c>
      <c r="B1756" s="2">
        <f t="shared" ref="B1756:B1759" si="1384">B1755</f>
        <v>0</v>
      </c>
      <c r="C1756" s="2" t="str">
        <f t="shared" ref="C1756:C1759" si="1385">C1755</f>
        <v>Elite</v>
      </c>
      <c r="D1756" s="2">
        <f t="shared" ref="D1756:D1759" si="1386">D1755</f>
        <v>0</v>
      </c>
      <c r="E1756" s="2" t="str">
        <f t="shared" ref="E1756:E1759" si="1387">E1755</f>
        <v>W</v>
      </c>
      <c r="F1756" s="2" t="str">
        <f t="shared" si="1372"/>
        <v>Elite</v>
      </c>
      <c r="G1756" s="2" t="str">
        <f t="shared" si="1383"/>
        <v/>
      </c>
      <c r="H1756" s="2" t="str">
        <f t="shared" si="1383"/>
        <v/>
      </c>
      <c r="I1756" s="2" t="str">
        <f t="shared" si="1383"/>
        <v/>
      </c>
      <c r="J1756" s="2" t="str">
        <f t="shared" si="1383"/>
        <v/>
      </c>
      <c r="K1756" s="2" t="str">
        <f t="shared" si="1383"/>
        <v/>
      </c>
      <c r="L1756" s="2" t="str">
        <f t="shared" si="1383"/>
        <v/>
      </c>
      <c r="M1756" s="180" t="str">
        <f t="shared" si="1383"/>
        <v/>
      </c>
      <c r="N1756" s="2" t="str">
        <f t="shared" si="1365"/>
        <v/>
      </c>
      <c r="O1756" s="2">
        <f t="shared" si="1371"/>
        <v>0</v>
      </c>
    </row>
    <row r="1757" spans="1:15" x14ac:dyDescent="0.25">
      <c r="A1757" s="2">
        <v>4</v>
      </c>
      <c r="B1757" s="2">
        <f t="shared" si="1384"/>
        <v>0</v>
      </c>
      <c r="C1757" s="2" t="str">
        <f t="shared" si="1385"/>
        <v>Elite</v>
      </c>
      <c r="D1757" s="2">
        <f t="shared" si="1386"/>
        <v>0</v>
      </c>
      <c r="E1757" s="2" t="str">
        <f t="shared" si="1387"/>
        <v>W</v>
      </c>
      <c r="F1757" s="2" t="str">
        <f t="shared" si="1372"/>
        <v>Elite</v>
      </c>
      <c r="G1757" s="2" t="str">
        <f t="shared" si="1383"/>
        <v/>
      </c>
      <c r="H1757" s="2" t="str">
        <f t="shared" si="1383"/>
        <v/>
      </c>
      <c r="I1757" s="2" t="str">
        <f t="shared" si="1383"/>
        <v/>
      </c>
      <c r="J1757" s="2" t="str">
        <f t="shared" si="1383"/>
        <v/>
      </c>
      <c r="K1757" s="2" t="str">
        <f t="shared" si="1383"/>
        <v/>
      </c>
      <c r="L1757" s="2" t="str">
        <f t="shared" si="1383"/>
        <v/>
      </c>
      <c r="M1757" s="180" t="str">
        <f t="shared" si="1383"/>
        <v/>
      </c>
      <c r="N1757" s="2" t="str">
        <f t="shared" si="1365"/>
        <v/>
      </c>
      <c r="O1757" s="2">
        <f t="shared" si="1371"/>
        <v>0</v>
      </c>
    </row>
    <row r="1758" spans="1:15" x14ac:dyDescent="0.25">
      <c r="A1758" s="327">
        <v>5</v>
      </c>
      <c r="B1758" s="2">
        <f t="shared" si="1384"/>
        <v>0</v>
      </c>
      <c r="C1758" s="2" t="str">
        <f t="shared" si="1385"/>
        <v>Elite</v>
      </c>
      <c r="D1758" s="2">
        <f t="shared" si="1386"/>
        <v>0</v>
      </c>
      <c r="E1758" s="2" t="str">
        <f t="shared" si="1387"/>
        <v>W</v>
      </c>
      <c r="F1758" s="2" t="str">
        <f t="shared" si="1372"/>
        <v>Elite</v>
      </c>
      <c r="G1758" s="2" t="str">
        <f t="shared" si="1383"/>
        <v/>
      </c>
      <c r="H1758" s="2" t="str">
        <f t="shared" si="1383"/>
        <v/>
      </c>
      <c r="I1758" s="2" t="str">
        <f t="shared" si="1383"/>
        <v/>
      </c>
      <c r="J1758" s="2" t="str">
        <f t="shared" si="1383"/>
        <v/>
      </c>
      <c r="K1758" s="2" t="str">
        <f t="shared" si="1383"/>
        <v/>
      </c>
      <c r="L1758" s="2" t="str">
        <f t="shared" si="1383"/>
        <v/>
      </c>
      <c r="M1758" s="180" t="str">
        <f t="shared" si="1383"/>
        <v/>
      </c>
      <c r="N1758" s="2" t="str">
        <f t="shared" si="1365"/>
        <v/>
      </c>
      <c r="O1758" s="2">
        <f t="shared" si="1371"/>
        <v>0</v>
      </c>
    </row>
    <row r="1759" spans="1:15" x14ac:dyDescent="0.25">
      <c r="A1759" s="2">
        <v>6</v>
      </c>
      <c r="B1759" s="2">
        <f t="shared" si="1384"/>
        <v>0</v>
      </c>
      <c r="C1759" s="2" t="str">
        <f t="shared" si="1385"/>
        <v>Elite</v>
      </c>
      <c r="D1759" s="2">
        <f t="shared" si="1386"/>
        <v>0</v>
      </c>
      <c r="E1759" s="2" t="str">
        <f t="shared" si="1387"/>
        <v>W</v>
      </c>
      <c r="F1759" s="2" t="str">
        <f t="shared" si="1372"/>
        <v>Elite</v>
      </c>
      <c r="G1759" s="2" t="str">
        <f t="shared" si="1383"/>
        <v/>
      </c>
      <c r="H1759" s="2" t="str">
        <f t="shared" si="1383"/>
        <v/>
      </c>
      <c r="I1759" s="2" t="str">
        <f t="shared" si="1383"/>
        <v/>
      </c>
      <c r="J1759" s="2" t="str">
        <f t="shared" si="1383"/>
        <v/>
      </c>
      <c r="K1759" s="2" t="str">
        <f t="shared" si="1383"/>
        <v/>
      </c>
      <c r="L1759" s="2" t="str">
        <f t="shared" si="1383"/>
        <v/>
      </c>
      <c r="M1759" s="180" t="str">
        <f t="shared" si="1383"/>
        <v/>
      </c>
      <c r="N1759" s="2" t="str">
        <f t="shared" si="1365"/>
        <v/>
      </c>
      <c r="O1759" s="2">
        <f t="shared" si="1371"/>
        <v>0</v>
      </c>
    </row>
    <row r="1760" spans="1:15" x14ac:dyDescent="0.25">
      <c r="A1760" s="325">
        <v>1</v>
      </c>
      <c r="B1760" s="325">
        <f>TrialNumberDay2</f>
        <v>0</v>
      </c>
      <c r="C1760" s="325" t="s">
        <v>2034</v>
      </c>
      <c r="D1760" s="325">
        <f>Elite!C48</f>
        <v>0</v>
      </c>
      <c r="E1760" s="325" t="str">
        <f>IF(Elite!B48="W","W","A")</f>
        <v>W</v>
      </c>
      <c r="F1760" s="325" t="s">
        <v>2034</v>
      </c>
      <c r="G1760" s="325" t="str">
        <f>IF(Elite!F48="e","Y","")</f>
        <v/>
      </c>
      <c r="H1760" s="325" t="str">
        <f>IFERROR(VLOOKUP($D1760,'SDDA Dogs'!$A:$AE,2,FALSE),"")</f>
        <v/>
      </c>
      <c r="I1760" s="325" t="str">
        <f>IFERROR(VLOOKUP($D1760,'SDDA Dogs'!$A:$AE,3,FALSE),"")</f>
        <v/>
      </c>
      <c r="J1760" s="325" t="str">
        <f>IFERROR(VLOOKUP($D1760,'SDDA Dogs'!$A:$AE,6,FALSE),"")</f>
        <v/>
      </c>
      <c r="K1760" s="325" t="str">
        <f>IF(Elite!AR48="","",Elite!AR48)</f>
        <v/>
      </c>
      <c r="L1760" s="325" t="str">
        <f>IF(Elite!AS458="","",Elite!AS48)</f>
        <v/>
      </c>
      <c r="M1760" s="326" t="str">
        <f>TrialDateDay2</f>
        <v/>
      </c>
      <c r="N1760" s="325" t="str">
        <f>N1755</f>
        <v/>
      </c>
      <c r="O1760" s="325">
        <f t="shared" si="1371"/>
        <v>0</v>
      </c>
    </row>
    <row r="1761" spans="1:15" x14ac:dyDescent="0.25">
      <c r="A1761" s="2">
        <v>2</v>
      </c>
      <c r="B1761" s="2">
        <f>B1760</f>
        <v>0</v>
      </c>
      <c r="C1761" s="2" t="str">
        <f>C1760</f>
        <v>Elite</v>
      </c>
      <c r="D1761" s="2">
        <f>D1760</f>
        <v>0</v>
      </c>
      <c r="E1761" s="2" t="str">
        <f>E1760</f>
        <v>W</v>
      </c>
      <c r="F1761" s="2" t="str">
        <f t="shared" si="1372"/>
        <v>Elite</v>
      </c>
      <c r="G1761" s="2" t="str">
        <f t="shared" ref="G1761:M1761" si="1388">G1760</f>
        <v/>
      </c>
      <c r="H1761" s="2" t="str">
        <f t="shared" si="1388"/>
        <v/>
      </c>
      <c r="I1761" s="2" t="str">
        <f t="shared" si="1388"/>
        <v/>
      </c>
      <c r="J1761" s="2" t="str">
        <f t="shared" si="1388"/>
        <v/>
      </c>
      <c r="K1761" s="2" t="str">
        <f t="shared" si="1388"/>
        <v/>
      </c>
      <c r="L1761" s="2" t="str">
        <f t="shared" si="1388"/>
        <v/>
      </c>
      <c r="M1761" s="180" t="str">
        <f t="shared" si="1388"/>
        <v/>
      </c>
      <c r="N1761" s="2" t="str">
        <f t="shared" si="1365"/>
        <v/>
      </c>
      <c r="O1761" s="2">
        <f t="shared" si="1371"/>
        <v>0</v>
      </c>
    </row>
    <row r="1762" spans="1:15" x14ac:dyDescent="0.25">
      <c r="A1762" s="327">
        <v>3</v>
      </c>
      <c r="B1762" s="2">
        <f t="shared" ref="B1762:B1765" si="1389">B1761</f>
        <v>0</v>
      </c>
      <c r="C1762" s="2" t="str">
        <f t="shared" ref="C1762:C1765" si="1390">C1761</f>
        <v>Elite</v>
      </c>
      <c r="D1762" s="2">
        <f t="shared" ref="D1762:D1765" si="1391">D1761</f>
        <v>0</v>
      </c>
      <c r="E1762" s="2" t="str">
        <f t="shared" ref="E1762:M1765" si="1392">E1761</f>
        <v>W</v>
      </c>
      <c r="F1762" s="2" t="str">
        <f t="shared" si="1392"/>
        <v>Elite</v>
      </c>
      <c r="G1762" s="2" t="str">
        <f t="shared" si="1392"/>
        <v/>
      </c>
      <c r="H1762" s="2" t="str">
        <f t="shared" si="1392"/>
        <v/>
      </c>
      <c r="I1762" s="2" t="str">
        <f t="shared" si="1392"/>
        <v/>
      </c>
      <c r="J1762" s="2" t="str">
        <f t="shared" si="1392"/>
        <v/>
      </c>
      <c r="K1762" s="2" t="str">
        <f t="shared" si="1392"/>
        <v/>
      </c>
      <c r="L1762" s="2" t="str">
        <f t="shared" si="1392"/>
        <v/>
      </c>
      <c r="M1762" s="180" t="str">
        <f t="shared" si="1392"/>
        <v/>
      </c>
      <c r="N1762" s="2" t="str">
        <f t="shared" si="1365"/>
        <v/>
      </c>
      <c r="O1762" s="2">
        <f t="shared" si="1371"/>
        <v>0</v>
      </c>
    </row>
    <row r="1763" spans="1:15" x14ac:dyDescent="0.25">
      <c r="A1763" s="2">
        <v>4</v>
      </c>
      <c r="B1763" s="2">
        <f t="shared" si="1389"/>
        <v>0</v>
      </c>
      <c r="C1763" s="2" t="str">
        <f t="shared" si="1390"/>
        <v>Elite</v>
      </c>
      <c r="D1763" s="2">
        <f t="shared" si="1391"/>
        <v>0</v>
      </c>
      <c r="E1763" s="2" t="str">
        <f t="shared" si="1392"/>
        <v>W</v>
      </c>
      <c r="F1763" s="2" t="str">
        <f t="shared" si="1392"/>
        <v>Elite</v>
      </c>
      <c r="G1763" s="2" t="str">
        <f t="shared" si="1392"/>
        <v/>
      </c>
      <c r="H1763" s="2" t="str">
        <f t="shared" si="1392"/>
        <v/>
      </c>
      <c r="I1763" s="2" t="str">
        <f t="shared" si="1392"/>
        <v/>
      </c>
      <c r="J1763" s="2" t="str">
        <f t="shared" si="1392"/>
        <v/>
      </c>
      <c r="K1763" s="2" t="str">
        <f t="shared" si="1392"/>
        <v/>
      </c>
      <c r="L1763" s="2" t="str">
        <f t="shared" si="1392"/>
        <v/>
      </c>
      <c r="M1763" s="180" t="str">
        <f t="shared" si="1392"/>
        <v/>
      </c>
      <c r="N1763" s="2" t="str">
        <f t="shared" si="1365"/>
        <v/>
      </c>
      <c r="O1763" s="2">
        <f t="shared" si="1371"/>
        <v>0</v>
      </c>
    </row>
    <row r="1764" spans="1:15" x14ac:dyDescent="0.25">
      <c r="A1764" s="327">
        <v>5</v>
      </c>
      <c r="B1764" s="2">
        <f t="shared" si="1389"/>
        <v>0</v>
      </c>
      <c r="C1764" s="2" t="str">
        <f t="shared" si="1390"/>
        <v>Elite</v>
      </c>
      <c r="D1764" s="2">
        <f t="shared" si="1391"/>
        <v>0</v>
      </c>
      <c r="E1764" s="2" t="str">
        <f t="shared" si="1392"/>
        <v>W</v>
      </c>
      <c r="F1764" s="2" t="str">
        <f t="shared" si="1392"/>
        <v>Elite</v>
      </c>
      <c r="G1764" s="2" t="str">
        <f t="shared" si="1392"/>
        <v/>
      </c>
      <c r="H1764" s="2" t="str">
        <f t="shared" si="1392"/>
        <v/>
      </c>
      <c r="I1764" s="2" t="str">
        <f t="shared" si="1392"/>
        <v/>
      </c>
      <c r="J1764" s="2" t="str">
        <f t="shared" si="1392"/>
        <v/>
      </c>
      <c r="K1764" s="2" t="str">
        <f t="shared" si="1392"/>
        <v/>
      </c>
      <c r="L1764" s="2" t="str">
        <f t="shared" si="1392"/>
        <v/>
      </c>
      <c r="M1764" s="180" t="str">
        <f t="shared" si="1392"/>
        <v/>
      </c>
      <c r="N1764" s="2" t="str">
        <f t="shared" si="1365"/>
        <v/>
      </c>
      <c r="O1764" s="2">
        <f t="shared" si="1371"/>
        <v>0</v>
      </c>
    </row>
    <row r="1765" spans="1:15" x14ac:dyDescent="0.25">
      <c r="A1765" s="2">
        <v>6</v>
      </c>
      <c r="B1765" s="2">
        <f t="shared" si="1389"/>
        <v>0</v>
      </c>
      <c r="C1765" s="2" t="str">
        <f t="shared" si="1390"/>
        <v>Elite</v>
      </c>
      <c r="D1765" s="2">
        <f t="shared" si="1391"/>
        <v>0</v>
      </c>
      <c r="E1765" s="2" t="str">
        <f t="shared" si="1392"/>
        <v>W</v>
      </c>
      <c r="F1765" s="2" t="str">
        <f t="shared" si="1392"/>
        <v>Elite</v>
      </c>
      <c r="G1765" s="2" t="str">
        <f t="shared" si="1392"/>
        <v/>
      </c>
      <c r="H1765" s="2" t="str">
        <f t="shared" si="1392"/>
        <v/>
      </c>
      <c r="I1765" s="2" t="str">
        <f t="shared" si="1392"/>
        <v/>
      </c>
      <c r="J1765" s="2" t="str">
        <f t="shared" si="1392"/>
        <v/>
      </c>
      <c r="K1765" s="2" t="str">
        <f t="shared" si="1392"/>
        <v/>
      </c>
      <c r="L1765" s="2" t="str">
        <f t="shared" si="1392"/>
        <v/>
      </c>
      <c r="M1765" s="180" t="str">
        <f t="shared" si="1392"/>
        <v/>
      </c>
      <c r="N1765" s="2" t="str">
        <f t="shared" si="1365"/>
        <v/>
      </c>
      <c r="O1765" s="2">
        <f t="shared" si="1371"/>
        <v>0</v>
      </c>
    </row>
    <row r="1766" spans="1:15" x14ac:dyDescent="0.25">
      <c r="A1766" s="325">
        <v>1</v>
      </c>
      <c r="B1766" s="325">
        <f>TrialNumberDay2</f>
        <v>0</v>
      </c>
      <c r="C1766" s="325" t="s">
        <v>2034</v>
      </c>
      <c r="D1766" s="325">
        <f>Elite!C49</f>
        <v>0</v>
      </c>
      <c r="E1766" s="325" t="str">
        <f>IF(Elite!B49="W","W","A")</f>
        <v>W</v>
      </c>
      <c r="F1766" s="325" t="s">
        <v>2034</v>
      </c>
      <c r="G1766" s="325" t="str">
        <f>IF(Elite!F49="e","Y","")</f>
        <v/>
      </c>
      <c r="H1766" s="325" t="str">
        <f>IFERROR(VLOOKUP($D1766,'SDDA Dogs'!$A:$AE,2,FALSE),"")</f>
        <v/>
      </c>
      <c r="I1766" s="325" t="str">
        <f>IFERROR(VLOOKUP($D1766,'SDDA Dogs'!$A:$AE,3,FALSE),"")</f>
        <v/>
      </c>
      <c r="J1766" s="325" t="str">
        <f>IFERROR(VLOOKUP($D1766,'SDDA Dogs'!$A:$AE,6,FALSE),"")</f>
        <v/>
      </c>
      <c r="K1766" s="325" t="str">
        <f>IF(Elite!AR49="","",Elite!AR49)</f>
        <v/>
      </c>
      <c r="L1766" s="325" t="str">
        <f>IF(Elite!AS49="","",Elite!AS49)</f>
        <v/>
      </c>
      <c r="M1766" s="326" t="str">
        <f>TrialDateDay2</f>
        <v/>
      </c>
      <c r="N1766" s="325" t="str">
        <f>N1761</f>
        <v/>
      </c>
      <c r="O1766" s="325">
        <f t="shared" si="1371"/>
        <v>0</v>
      </c>
    </row>
    <row r="1767" spans="1:15" x14ac:dyDescent="0.25">
      <c r="A1767" s="2">
        <v>2</v>
      </c>
      <c r="B1767" s="2">
        <f>B1766</f>
        <v>0</v>
      </c>
      <c r="C1767" s="2" t="str">
        <f>C1766</f>
        <v>Elite</v>
      </c>
      <c r="D1767" s="2">
        <f>D1766</f>
        <v>0</v>
      </c>
      <c r="E1767" s="2" t="str">
        <f>E1766</f>
        <v>W</v>
      </c>
      <c r="F1767" s="2" t="str">
        <f t="shared" si="1372"/>
        <v>Elite</v>
      </c>
      <c r="G1767" s="2" t="str">
        <f t="shared" ref="G1767:M1771" si="1393">G1766</f>
        <v/>
      </c>
      <c r="H1767" s="2" t="str">
        <f t="shared" si="1393"/>
        <v/>
      </c>
      <c r="I1767" s="2" t="str">
        <f t="shared" si="1393"/>
        <v/>
      </c>
      <c r="J1767" s="2" t="str">
        <f t="shared" si="1393"/>
        <v/>
      </c>
      <c r="K1767" s="2" t="str">
        <f t="shared" si="1393"/>
        <v/>
      </c>
      <c r="L1767" s="2" t="str">
        <f t="shared" si="1393"/>
        <v/>
      </c>
      <c r="M1767" s="180" t="str">
        <f t="shared" si="1393"/>
        <v/>
      </c>
      <c r="N1767" s="2" t="str">
        <f t="shared" si="1365"/>
        <v/>
      </c>
      <c r="O1767" s="2">
        <f t="shared" si="1371"/>
        <v>0</v>
      </c>
    </row>
    <row r="1768" spans="1:15" x14ac:dyDescent="0.25">
      <c r="A1768" s="327">
        <v>3</v>
      </c>
      <c r="B1768" s="2">
        <f t="shared" ref="B1768:B1771" si="1394">B1767</f>
        <v>0</v>
      </c>
      <c r="C1768" s="2" t="str">
        <f t="shared" ref="C1768:C1771" si="1395">C1767</f>
        <v>Elite</v>
      </c>
      <c r="D1768" s="2">
        <f t="shared" ref="D1768:D1771" si="1396">D1767</f>
        <v>0</v>
      </c>
      <c r="E1768" s="2" t="str">
        <f t="shared" ref="E1768:E1771" si="1397">E1767</f>
        <v>W</v>
      </c>
      <c r="F1768" s="2" t="str">
        <f t="shared" si="1372"/>
        <v>Elite</v>
      </c>
      <c r="G1768" s="2" t="str">
        <f t="shared" si="1393"/>
        <v/>
      </c>
      <c r="H1768" s="2" t="str">
        <f t="shared" si="1393"/>
        <v/>
      </c>
      <c r="I1768" s="2" t="str">
        <f t="shared" si="1393"/>
        <v/>
      </c>
      <c r="J1768" s="2" t="str">
        <f t="shared" si="1393"/>
        <v/>
      </c>
      <c r="K1768" s="2" t="str">
        <f t="shared" si="1393"/>
        <v/>
      </c>
      <c r="L1768" s="2" t="str">
        <f t="shared" si="1393"/>
        <v/>
      </c>
      <c r="M1768" s="180" t="str">
        <f t="shared" si="1393"/>
        <v/>
      </c>
      <c r="N1768" s="2" t="str">
        <f t="shared" si="1365"/>
        <v/>
      </c>
      <c r="O1768" s="2">
        <f t="shared" si="1371"/>
        <v>0</v>
      </c>
    </row>
    <row r="1769" spans="1:15" x14ac:dyDescent="0.25">
      <c r="A1769" s="2">
        <v>4</v>
      </c>
      <c r="B1769" s="2">
        <f t="shared" si="1394"/>
        <v>0</v>
      </c>
      <c r="C1769" s="2" t="str">
        <f t="shared" si="1395"/>
        <v>Elite</v>
      </c>
      <c r="D1769" s="2">
        <f t="shared" si="1396"/>
        <v>0</v>
      </c>
      <c r="E1769" s="2" t="str">
        <f t="shared" si="1397"/>
        <v>W</v>
      </c>
      <c r="F1769" s="2" t="str">
        <f t="shared" si="1372"/>
        <v>Elite</v>
      </c>
      <c r="G1769" s="2" t="str">
        <f t="shared" si="1393"/>
        <v/>
      </c>
      <c r="H1769" s="2" t="str">
        <f t="shared" si="1393"/>
        <v/>
      </c>
      <c r="I1769" s="2" t="str">
        <f t="shared" si="1393"/>
        <v/>
      </c>
      <c r="J1769" s="2" t="str">
        <f t="shared" si="1393"/>
        <v/>
      </c>
      <c r="K1769" s="2" t="str">
        <f t="shared" si="1393"/>
        <v/>
      </c>
      <c r="L1769" s="2" t="str">
        <f t="shared" si="1393"/>
        <v/>
      </c>
      <c r="M1769" s="180" t="str">
        <f t="shared" si="1393"/>
        <v/>
      </c>
      <c r="N1769" s="2" t="str">
        <f t="shared" si="1365"/>
        <v/>
      </c>
      <c r="O1769" s="2">
        <f t="shared" si="1371"/>
        <v>0</v>
      </c>
    </row>
    <row r="1770" spans="1:15" x14ac:dyDescent="0.25">
      <c r="A1770" s="327">
        <v>5</v>
      </c>
      <c r="B1770" s="2">
        <f t="shared" si="1394"/>
        <v>0</v>
      </c>
      <c r="C1770" s="2" t="str">
        <f t="shared" si="1395"/>
        <v>Elite</v>
      </c>
      <c r="D1770" s="2">
        <f t="shared" si="1396"/>
        <v>0</v>
      </c>
      <c r="E1770" s="2" t="str">
        <f t="shared" si="1397"/>
        <v>W</v>
      </c>
      <c r="F1770" s="2" t="str">
        <f t="shared" si="1372"/>
        <v>Elite</v>
      </c>
      <c r="G1770" s="2" t="str">
        <f t="shared" si="1393"/>
        <v/>
      </c>
      <c r="H1770" s="2" t="str">
        <f t="shared" si="1393"/>
        <v/>
      </c>
      <c r="I1770" s="2" t="str">
        <f t="shared" si="1393"/>
        <v/>
      </c>
      <c r="J1770" s="2" t="str">
        <f t="shared" si="1393"/>
        <v/>
      </c>
      <c r="K1770" s="2" t="str">
        <f t="shared" si="1393"/>
        <v/>
      </c>
      <c r="L1770" s="2" t="str">
        <f t="shared" si="1393"/>
        <v/>
      </c>
      <c r="M1770" s="180" t="str">
        <f t="shared" si="1393"/>
        <v/>
      </c>
      <c r="N1770" s="2" t="str">
        <f t="shared" si="1365"/>
        <v/>
      </c>
      <c r="O1770" s="2">
        <f t="shared" si="1371"/>
        <v>0</v>
      </c>
    </row>
    <row r="1771" spans="1:15" x14ac:dyDescent="0.25">
      <c r="A1771" s="2">
        <v>6</v>
      </c>
      <c r="B1771" s="2">
        <f t="shared" si="1394"/>
        <v>0</v>
      </c>
      <c r="C1771" s="2" t="str">
        <f t="shared" si="1395"/>
        <v>Elite</v>
      </c>
      <c r="D1771" s="2">
        <f t="shared" si="1396"/>
        <v>0</v>
      </c>
      <c r="E1771" s="2" t="str">
        <f t="shared" si="1397"/>
        <v>W</v>
      </c>
      <c r="F1771" s="2" t="str">
        <f t="shared" si="1372"/>
        <v>Elite</v>
      </c>
      <c r="G1771" s="2" t="str">
        <f t="shared" si="1393"/>
        <v/>
      </c>
      <c r="H1771" s="2" t="str">
        <f t="shared" si="1393"/>
        <v/>
      </c>
      <c r="I1771" s="2" t="str">
        <f t="shared" si="1393"/>
        <v/>
      </c>
      <c r="J1771" s="2" t="str">
        <f t="shared" si="1393"/>
        <v/>
      </c>
      <c r="K1771" s="2" t="str">
        <f t="shared" si="1393"/>
        <v/>
      </c>
      <c r="L1771" s="2" t="str">
        <f t="shared" si="1393"/>
        <v/>
      </c>
      <c r="M1771" s="180" t="str">
        <f t="shared" si="1393"/>
        <v/>
      </c>
      <c r="N1771" s="2" t="str">
        <f t="shared" si="1365"/>
        <v/>
      </c>
      <c r="O1771" s="2">
        <f t="shared" si="1371"/>
        <v>0</v>
      </c>
    </row>
    <row r="1772" spans="1:15" x14ac:dyDescent="0.25">
      <c r="A1772" s="325">
        <v>1</v>
      </c>
      <c r="B1772" s="325">
        <f>TrialNumberDay2</f>
        <v>0</v>
      </c>
      <c r="C1772" s="325" t="s">
        <v>2034</v>
      </c>
      <c r="D1772" s="325">
        <f>Elite!C50</f>
        <v>0</v>
      </c>
      <c r="E1772" s="325" t="str">
        <f>IF(Elite!B50="W","W","A")</f>
        <v>W</v>
      </c>
      <c r="F1772" s="325" t="s">
        <v>2034</v>
      </c>
      <c r="G1772" s="325" t="str">
        <f>IF(Elite!F50="e","Y","")</f>
        <v/>
      </c>
      <c r="H1772" s="325" t="str">
        <f>IFERROR(VLOOKUP($D1772,'SDDA Dogs'!$A:$AE,2,FALSE),"")</f>
        <v/>
      </c>
      <c r="I1772" s="325" t="str">
        <f>IFERROR(VLOOKUP($D1772,'SDDA Dogs'!$A:$AE,3,FALSE),"")</f>
        <v/>
      </c>
      <c r="J1772" s="325" t="str">
        <f>IFERROR(VLOOKUP($D1772,'SDDA Dogs'!$A:$AE,6,FALSE),"")</f>
        <v/>
      </c>
      <c r="K1772" s="325" t="str">
        <f>IF(Elite!AR50="","",Elite!AR50)</f>
        <v/>
      </c>
      <c r="L1772" s="325" t="str">
        <f>IF(Elite!AS50="","",Elite!AS50)</f>
        <v/>
      </c>
      <c r="M1772" s="326" t="str">
        <f>TrialDateDay2</f>
        <v/>
      </c>
      <c r="N1772" s="325" t="str">
        <f>N1767</f>
        <v/>
      </c>
      <c r="O1772" s="325">
        <f t="shared" si="1371"/>
        <v>0</v>
      </c>
    </row>
    <row r="1773" spans="1:15" x14ac:dyDescent="0.25">
      <c r="A1773" s="2">
        <v>2</v>
      </c>
      <c r="B1773" s="2">
        <f>B1772</f>
        <v>0</v>
      </c>
      <c r="C1773" s="2" t="str">
        <f>C1772</f>
        <v>Elite</v>
      </c>
      <c r="D1773" s="2">
        <f>D1772</f>
        <v>0</v>
      </c>
      <c r="E1773" s="2" t="str">
        <f>E1772</f>
        <v>W</v>
      </c>
      <c r="F1773" s="2" t="str">
        <f t="shared" si="1372"/>
        <v>Elite</v>
      </c>
      <c r="G1773" s="2" t="str">
        <f t="shared" ref="G1773:M1773" si="1398">G1772</f>
        <v/>
      </c>
      <c r="H1773" s="2" t="str">
        <f t="shared" si="1398"/>
        <v/>
      </c>
      <c r="I1773" s="2" t="str">
        <f t="shared" si="1398"/>
        <v/>
      </c>
      <c r="J1773" s="2" t="str">
        <f t="shared" si="1398"/>
        <v/>
      </c>
      <c r="K1773" s="2" t="str">
        <f t="shared" si="1398"/>
        <v/>
      </c>
      <c r="L1773" s="2" t="str">
        <f t="shared" si="1398"/>
        <v/>
      </c>
      <c r="M1773" s="180" t="str">
        <f t="shared" si="1398"/>
        <v/>
      </c>
      <c r="N1773" s="2" t="str">
        <f t="shared" si="1365"/>
        <v/>
      </c>
      <c r="O1773" s="2">
        <f t="shared" si="1371"/>
        <v>0</v>
      </c>
    </row>
    <row r="1774" spans="1:15" x14ac:dyDescent="0.25">
      <c r="A1774" s="327">
        <v>3</v>
      </c>
      <c r="B1774" s="2">
        <f t="shared" ref="B1774:B1777" si="1399">B1773</f>
        <v>0</v>
      </c>
      <c r="C1774" s="2" t="str">
        <f t="shared" ref="C1774:C1777" si="1400">C1773</f>
        <v>Elite</v>
      </c>
      <c r="D1774" s="2">
        <f t="shared" ref="D1774:D1777" si="1401">D1773</f>
        <v>0</v>
      </c>
      <c r="E1774" s="2" t="str">
        <f t="shared" ref="E1774:M1777" si="1402">E1773</f>
        <v>W</v>
      </c>
      <c r="F1774" s="2" t="str">
        <f t="shared" si="1402"/>
        <v>Elite</v>
      </c>
      <c r="G1774" s="2" t="str">
        <f t="shared" si="1402"/>
        <v/>
      </c>
      <c r="H1774" s="2" t="str">
        <f t="shared" si="1402"/>
        <v/>
      </c>
      <c r="I1774" s="2" t="str">
        <f t="shared" si="1402"/>
        <v/>
      </c>
      <c r="J1774" s="2" t="str">
        <f t="shared" si="1402"/>
        <v/>
      </c>
      <c r="K1774" s="2" t="str">
        <f t="shared" si="1402"/>
        <v/>
      </c>
      <c r="L1774" s="2" t="str">
        <f t="shared" si="1402"/>
        <v/>
      </c>
      <c r="M1774" s="180" t="str">
        <f t="shared" si="1402"/>
        <v/>
      </c>
      <c r="N1774" s="2" t="str">
        <f t="shared" si="1365"/>
        <v/>
      </c>
      <c r="O1774" s="2">
        <f t="shared" si="1371"/>
        <v>0</v>
      </c>
    </row>
    <row r="1775" spans="1:15" x14ac:dyDescent="0.25">
      <c r="A1775" s="2">
        <v>4</v>
      </c>
      <c r="B1775" s="2">
        <f t="shared" si="1399"/>
        <v>0</v>
      </c>
      <c r="C1775" s="2" t="str">
        <f t="shared" si="1400"/>
        <v>Elite</v>
      </c>
      <c r="D1775" s="2">
        <f t="shared" si="1401"/>
        <v>0</v>
      </c>
      <c r="E1775" s="2" t="str">
        <f t="shared" si="1402"/>
        <v>W</v>
      </c>
      <c r="F1775" s="2" t="str">
        <f t="shared" si="1402"/>
        <v>Elite</v>
      </c>
      <c r="G1775" s="2" t="str">
        <f t="shared" si="1402"/>
        <v/>
      </c>
      <c r="H1775" s="2" t="str">
        <f t="shared" si="1402"/>
        <v/>
      </c>
      <c r="I1775" s="2" t="str">
        <f t="shared" si="1402"/>
        <v/>
      </c>
      <c r="J1775" s="2" t="str">
        <f t="shared" si="1402"/>
        <v/>
      </c>
      <c r="K1775" s="2" t="str">
        <f t="shared" si="1402"/>
        <v/>
      </c>
      <c r="L1775" s="2" t="str">
        <f t="shared" si="1402"/>
        <v/>
      </c>
      <c r="M1775" s="180" t="str">
        <f t="shared" si="1402"/>
        <v/>
      </c>
      <c r="N1775" s="2" t="str">
        <f t="shared" si="1365"/>
        <v/>
      </c>
      <c r="O1775" s="2">
        <f t="shared" si="1371"/>
        <v>0</v>
      </c>
    </row>
    <row r="1776" spans="1:15" x14ac:dyDescent="0.25">
      <c r="A1776" s="327">
        <v>5</v>
      </c>
      <c r="B1776" s="2">
        <f t="shared" si="1399"/>
        <v>0</v>
      </c>
      <c r="C1776" s="2" t="str">
        <f t="shared" si="1400"/>
        <v>Elite</v>
      </c>
      <c r="D1776" s="2">
        <f t="shared" si="1401"/>
        <v>0</v>
      </c>
      <c r="E1776" s="2" t="str">
        <f t="shared" si="1402"/>
        <v>W</v>
      </c>
      <c r="F1776" s="2" t="str">
        <f t="shared" si="1402"/>
        <v>Elite</v>
      </c>
      <c r="G1776" s="2" t="str">
        <f t="shared" si="1402"/>
        <v/>
      </c>
      <c r="H1776" s="2" t="str">
        <f t="shared" si="1402"/>
        <v/>
      </c>
      <c r="I1776" s="2" t="str">
        <f t="shared" si="1402"/>
        <v/>
      </c>
      <c r="J1776" s="2" t="str">
        <f t="shared" si="1402"/>
        <v/>
      </c>
      <c r="K1776" s="2" t="str">
        <f t="shared" si="1402"/>
        <v/>
      </c>
      <c r="L1776" s="2" t="str">
        <f t="shared" si="1402"/>
        <v/>
      </c>
      <c r="M1776" s="180" t="str">
        <f t="shared" si="1402"/>
        <v/>
      </c>
      <c r="N1776" s="2" t="str">
        <f t="shared" si="1365"/>
        <v/>
      </c>
      <c r="O1776" s="2">
        <f t="shared" si="1371"/>
        <v>0</v>
      </c>
    </row>
    <row r="1777" spans="1:15" x14ac:dyDescent="0.25">
      <c r="A1777" s="2">
        <v>6</v>
      </c>
      <c r="B1777" s="2">
        <f t="shared" si="1399"/>
        <v>0</v>
      </c>
      <c r="C1777" s="2" t="str">
        <f t="shared" si="1400"/>
        <v>Elite</v>
      </c>
      <c r="D1777" s="2">
        <f t="shared" si="1401"/>
        <v>0</v>
      </c>
      <c r="E1777" s="2" t="str">
        <f t="shared" si="1402"/>
        <v>W</v>
      </c>
      <c r="F1777" s="2" t="str">
        <f t="shared" si="1402"/>
        <v>Elite</v>
      </c>
      <c r="G1777" s="2" t="str">
        <f t="shared" si="1402"/>
        <v/>
      </c>
      <c r="H1777" s="2" t="str">
        <f t="shared" si="1402"/>
        <v/>
      </c>
      <c r="I1777" s="2" t="str">
        <f t="shared" si="1402"/>
        <v/>
      </c>
      <c r="J1777" s="2" t="str">
        <f t="shared" si="1402"/>
        <v/>
      </c>
      <c r="K1777" s="2" t="str">
        <f t="shared" si="1402"/>
        <v/>
      </c>
      <c r="L1777" s="2" t="str">
        <f t="shared" si="1402"/>
        <v/>
      </c>
      <c r="M1777" s="180" t="str">
        <f t="shared" si="1402"/>
        <v/>
      </c>
      <c r="N1777" s="2" t="str">
        <f t="shared" si="1365"/>
        <v/>
      </c>
      <c r="O1777" s="2">
        <f t="shared" si="1371"/>
        <v>0</v>
      </c>
    </row>
    <row r="1778" spans="1:15" x14ac:dyDescent="0.25">
      <c r="A1778" s="325">
        <v>1</v>
      </c>
      <c r="B1778" s="325">
        <f>TrialNumberDay2</f>
        <v>0</v>
      </c>
      <c r="C1778" s="325" t="s">
        <v>2034</v>
      </c>
      <c r="D1778" s="325">
        <f>Elite!C51</f>
        <v>0</v>
      </c>
      <c r="E1778" s="325" t="str">
        <f>IF(Elite!B51="W","W","A")</f>
        <v>W</v>
      </c>
      <c r="F1778" s="325" t="s">
        <v>2034</v>
      </c>
      <c r="G1778" s="325" t="str">
        <f>IF(Elite!F51="e","Y","")</f>
        <v/>
      </c>
      <c r="H1778" s="325" t="str">
        <f>IFERROR(VLOOKUP($D1778,'SDDA Dogs'!$A:$AE,2,FALSE),"")</f>
        <v/>
      </c>
      <c r="I1778" s="325" t="str">
        <f>IFERROR(VLOOKUP($D1778,'SDDA Dogs'!$A:$AE,3,FALSE),"")</f>
        <v/>
      </c>
      <c r="J1778" s="325" t="str">
        <f>IFERROR(VLOOKUP($D1778,'SDDA Dogs'!$A:$AE,6,FALSE),"")</f>
        <v/>
      </c>
      <c r="K1778" s="325" t="str">
        <f>IF(Elite!AR51="","",Elite!AR51)</f>
        <v/>
      </c>
      <c r="L1778" s="325" t="str">
        <f>IF(Elite!AS51="","",Elite!AS51)</f>
        <v/>
      </c>
      <c r="M1778" s="326" t="str">
        <f>TrialDateDay2</f>
        <v/>
      </c>
      <c r="N1778" s="325" t="str">
        <f>N1773</f>
        <v/>
      </c>
      <c r="O1778" s="325">
        <f t="shared" si="1371"/>
        <v>0</v>
      </c>
    </row>
    <row r="1779" spans="1:15" x14ac:dyDescent="0.25">
      <c r="A1779" s="2">
        <v>2</v>
      </c>
      <c r="B1779" s="2">
        <f>B1778</f>
        <v>0</v>
      </c>
      <c r="C1779" s="2" t="str">
        <f>C1778</f>
        <v>Elite</v>
      </c>
      <c r="D1779" s="2">
        <f>D1778</f>
        <v>0</v>
      </c>
      <c r="E1779" s="2" t="str">
        <f>E1778</f>
        <v>W</v>
      </c>
      <c r="F1779" s="2" t="str">
        <f t="shared" si="1372"/>
        <v>Elite</v>
      </c>
      <c r="G1779" s="2" t="str">
        <f t="shared" ref="G1779:M1783" si="1403">G1778</f>
        <v/>
      </c>
      <c r="H1779" s="2" t="str">
        <f t="shared" si="1403"/>
        <v/>
      </c>
      <c r="I1779" s="2" t="str">
        <f t="shared" si="1403"/>
        <v/>
      </c>
      <c r="J1779" s="2" t="str">
        <f t="shared" si="1403"/>
        <v/>
      </c>
      <c r="K1779" s="2" t="str">
        <f t="shared" si="1403"/>
        <v/>
      </c>
      <c r="L1779" s="2" t="str">
        <f t="shared" si="1403"/>
        <v/>
      </c>
      <c r="M1779" s="180" t="str">
        <f t="shared" si="1403"/>
        <v/>
      </c>
      <c r="N1779" s="2" t="str">
        <f t="shared" si="1365"/>
        <v/>
      </c>
      <c r="O1779" s="2">
        <f t="shared" si="1371"/>
        <v>0</v>
      </c>
    </row>
    <row r="1780" spans="1:15" x14ac:dyDescent="0.25">
      <c r="A1780" s="327">
        <v>3</v>
      </c>
      <c r="B1780" s="2">
        <f t="shared" ref="B1780:B1783" si="1404">B1779</f>
        <v>0</v>
      </c>
      <c r="C1780" s="2" t="str">
        <f t="shared" ref="C1780:C1783" si="1405">C1779</f>
        <v>Elite</v>
      </c>
      <c r="D1780" s="2">
        <f t="shared" ref="D1780:D1783" si="1406">D1779</f>
        <v>0</v>
      </c>
      <c r="E1780" s="2" t="str">
        <f t="shared" ref="E1780:E1783" si="1407">E1779</f>
        <v>W</v>
      </c>
      <c r="F1780" s="2" t="str">
        <f t="shared" si="1372"/>
        <v>Elite</v>
      </c>
      <c r="G1780" s="2" t="str">
        <f t="shared" si="1403"/>
        <v/>
      </c>
      <c r="H1780" s="2" t="str">
        <f t="shared" si="1403"/>
        <v/>
      </c>
      <c r="I1780" s="2" t="str">
        <f t="shared" si="1403"/>
        <v/>
      </c>
      <c r="J1780" s="2" t="str">
        <f t="shared" si="1403"/>
        <v/>
      </c>
      <c r="K1780" s="2" t="str">
        <f t="shared" si="1403"/>
        <v/>
      </c>
      <c r="L1780" s="2" t="str">
        <f t="shared" si="1403"/>
        <v/>
      </c>
      <c r="M1780" s="180" t="str">
        <f t="shared" si="1403"/>
        <v/>
      </c>
      <c r="N1780" s="2" t="str">
        <f t="shared" si="1365"/>
        <v/>
      </c>
      <c r="O1780" s="2">
        <f t="shared" si="1371"/>
        <v>0</v>
      </c>
    </row>
    <row r="1781" spans="1:15" x14ac:dyDescent="0.25">
      <c r="A1781" s="2">
        <v>4</v>
      </c>
      <c r="B1781" s="2">
        <f t="shared" si="1404"/>
        <v>0</v>
      </c>
      <c r="C1781" s="2" t="str">
        <f t="shared" si="1405"/>
        <v>Elite</v>
      </c>
      <c r="D1781" s="2">
        <f t="shared" si="1406"/>
        <v>0</v>
      </c>
      <c r="E1781" s="2" t="str">
        <f t="shared" si="1407"/>
        <v>W</v>
      </c>
      <c r="F1781" s="2" t="str">
        <f t="shared" si="1372"/>
        <v>Elite</v>
      </c>
      <c r="G1781" s="2" t="str">
        <f t="shared" si="1403"/>
        <v/>
      </c>
      <c r="H1781" s="2" t="str">
        <f t="shared" si="1403"/>
        <v/>
      </c>
      <c r="I1781" s="2" t="str">
        <f t="shared" si="1403"/>
        <v/>
      </c>
      <c r="J1781" s="2" t="str">
        <f t="shared" si="1403"/>
        <v/>
      </c>
      <c r="K1781" s="2" t="str">
        <f t="shared" si="1403"/>
        <v/>
      </c>
      <c r="L1781" s="2" t="str">
        <f t="shared" si="1403"/>
        <v/>
      </c>
      <c r="M1781" s="180" t="str">
        <f t="shared" si="1403"/>
        <v/>
      </c>
      <c r="N1781" s="2" t="str">
        <f t="shared" si="1365"/>
        <v/>
      </c>
      <c r="O1781" s="2">
        <f t="shared" si="1371"/>
        <v>0</v>
      </c>
    </row>
    <row r="1782" spans="1:15" x14ac:dyDescent="0.25">
      <c r="A1782" s="327">
        <v>5</v>
      </c>
      <c r="B1782" s="2">
        <f t="shared" si="1404"/>
        <v>0</v>
      </c>
      <c r="C1782" s="2" t="str">
        <f t="shared" si="1405"/>
        <v>Elite</v>
      </c>
      <c r="D1782" s="2">
        <f t="shared" si="1406"/>
        <v>0</v>
      </c>
      <c r="E1782" s="2" t="str">
        <f t="shared" si="1407"/>
        <v>W</v>
      </c>
      <c r="F1782" s="2" t="str">
        <f t="shared" si="1372"/>
        <v>Elite</v>
      </c>
      <c r="G1782" s="2" t="str">
        <f t="shared" si="1403"/>
        <v/>
      </c>
      <c r="H1782" s="2" t="str">
        <f t="shared" si="1403"/>
        <v/>
      </c>
      <c r="I1782" s="2" t="str">
        <f t="shared" si="1403"/>
        <v/>
      </c>
      <c r="J1782" s="2" t="str">
        <f t="shared" si="1403"/>
        <v/>
      </c>
      <c r="K1782" s="2" t="str">
        <f t="shared" si="1403"/>
        <v/>
      </c>
      <c r="L1782" s="2" t="str">
        <f t="shared" si="1403"/>
        <v/>
      </c>
      <c r="M1782" s="180" t="str">
        <f t="shared" si="1403"/>
        <v/>
      </c>
      <c r="N1782" s="2" t="str">
        <f t="shared" si="1365"/>
        <v/>
      </c>
      <c r="O1782" s="2">
        <f t="shared" si="1371"/>
        <v>0</v>
      </c>
    </row>
    <row r="1783" spans="1:15" x14ac:dyDescent="0.25">
      <c r="A1783" s="2">
        <v>6</v>
      </c>
      <c r="B1783" s="2">
        <f t="shared" si="1404"/>
        <v>0</v>
      </c>
      <c r="C1783" s="2" t="str">
        <f t="shared" si="1405"/>
        <v>Elite</v>
      </c>
      <c r="D1783" s="2">
        <f t="shared" si="1406"/>
        <v>0</v>
      </c>
      <c r="E1783" s="2" t="str">
        <f t="shared" si="1407"/>
        <v>W</v>
      </c>
      <c r="F1783" s="2" t="str">
        <f t="shared" si="1372"/>
        <v>Elite</v>
      </c>
      <c r="G1783" s="2" t="str">
        <f t="shared" si="1403"/>
        <v/>
      </c>
      <c r="H1783" s="2" t="str">
        <f t="shared" si="1403"/>
        <v/>
      </c>
      <c r="I1783" s="2" t="str">
        <f t="shared" si="1403"/>
        <v/>
      </c>
      <c r="J1783" s="2" t="str">
        <f t="shared" si="1403"/>
        <v/>
      </c>
      <c r="K1783" s="2" t="str">
        <f t="shared" si="1403"/>
        <v/>
      </c>
      <c r="L1783" s="2" t="str">
        <f t="shared" si="1403"/>
        <v/>
      </c>
      <c r="M1783" s="180" t="str">
        <f t="shared" si="1403"/>
        <v/>
      </c>
      <c r="N1783" s="2" t="str">
        <f t="shared" si="1365"/>
        <v/>
      </c>
      <c r="O1783" s="2">
        <f t="shared" si="1371"/>
        <v>0</v>
      </c>
    </row>
    <row r="1784" spans="1:15" x14ac:dyDescent="0.25">
      <c r="A1784" s="325">
        <v>1</v>
      </c>
      <c r="B1784" s="325">
        <f>TrialNumberDay2</f>
        <v>0</v>
      </c>
      <c r="C1784" s="325" t="s">
        <v>2034</v>
      </c>
      <c r="D1784" s="325">
        <f>Elite!C52</f>
        <v>0</v>
      </c>
      <c r="E1784" s="325" t="str">
        <f>IF(Elite!B52="W","W","A")</f>
        <v>W</v>
      </c>
      <c r="F1784" s="325" t="s">
        <v>2034</v>
      </c>
      <c r="G1784" s="325" t="str">
        <f>IF(Elite!F52="e","Y","")</f>
        <v/>
      </c>
      <c r="H1784" s="325" t="str">
        <f>IFERROR(VLOOKUP($D1784,'SDDA Dogs'!$A:$AE,2,FALSE),"")</f>
        <v/>
      </c>
      <c r="I1784" s="325" t="str">
        <f>IFERROR(VLOOKUP($D1784,'SDDA Dogs'!$A:$AE,3,FALSE),"")</f>
        <v/>
      </c>
      <c r="J1784" s="325" t="str">
        <f>IFERROR(VLOOKUP($D1784,'SDDA Dogs'!$A:$AE,6,FALSE),"")</f>
        <v/>
      </c>
      <c r="K1784" s="325" t="str">
        <f>IF(Elite!AR52="","",Elite!AR52)</f>
        <v/>
      </c>
      <c r="L1784" s="325" t="str">
        <f>IF(Elite!AS52="","",Elite!AS52)</f>
        <v/>
      </c>
      <c r="M1784" s="326" t="str">
        <f>TrialDateDay2</f>
        <v/>
      </c>
      <c r="N1784" s="325" t="str">
        <f>N1779</f>
        <v/>
      </c>
      <c r="O1784" s="325">
        <f t="shared" si="1371"/>
        <v>0</v>
      </c>
    </row>
    <row r="1785" spans="1:15" x14ac:dyDescent="0.25">
      <c r="A1785" s="2">
        <v>2</v>
      </c>
      <c r="B1785" s="2">
        <f>B1784</f>
        <v>0</v>
      </c>
      <c r="C1785" s="2" t="str">
        <f>C1784</f>
        <v>Elite</v>
      </c>
      <c r="D1785" s="2">
        <f>D1784</f>
        <v>0</v>
      </c>
      <c r="E1785" s="2" t="str">
        <f>E1784</f>
        <v>W</v>
      </c>
      <c r="F1785" s="2" t="str">
        <f t="shared" si="1372"/>
        <v>Elite</v>
      </c>
      <c r="G1785" s="2" t="str">
        <f t="shared" ref="G1785:M1785" si="1408">G1784</f>
        <v/>
      </c>
      <c r="H1785" s="2" t="str">
        <f t="shared" si="1408"/>
        <v/>
      </c>
      <c r="I1785" s="2" t="str">
        <f t="shared" si="1408"/>
        <v/>
      </c>
      <c r="J1785" s="2" t="str">
        <f t="shared" si="1408"/>
        <v/>
      </c>
      <c r="K1785" s="2" t="str">
        <f t="shared" si="1408"/>
        <v/>
      </c>
      <c r="L1785" s="2" t="str">
        <f t="shared" si="1408"/>
        <v/>
      </c>
      <c r="M1785" s="180" t="str">
        <f t="shared" si="1408"/>
        <v/>
      </c>
      <c r="N1785" s="2" t="str">
        <f t="shared" si="1365"/>
        <v/>
      </c>
      <c r="O1785" s="2">
        <f t="shared" si="1371"/>
        <v>0</v>
      </c>
    </row>
    <row r="1786" spans="1:15" x14ac:dyDescent="0.25">
      <c r="A1786" s="327">
        <v>3</v>
      </c>
      <c r="B1786" s="2">
        <f t="shared" ref="B1786:B1789" si="1409">B1785</f>
        <v>0</v>
      </c>
      <c r="C1786" s="2" t="str">
        <f t="shared" ref="C1786:C1789" si="1410">C1785</f>
        <v>Elite</v>
      </c>
      <c r="D1786" s="2">
        <f t="shared" ref="D1786:D1789" si="1411">D1785</f>
        <v>0</v>
      </c>
      <c r="E1786" s="2" t="str">
        <f t="shared" ref="E1786:M1789" si="1412">E1785</f>
        <v>W</v>
      </c>
      <c r="F1786" s="2" t="str">
        <f t="shared" si="1412"/>
        <v>Elite</v>
      </c>
      <c r="G1786" s="2" t="str">
        <f t="shared" si="1412"/>
        <v/>
      </c>
      <c r="H1786" s="2" t="str">
        <f t="shared" si="1412"/>
        <v/>
      </c>
      <c r="I1786" s="2" t="str">
        <f t="shared" si="1412"/>
        <v/>
      </c>
      <c r="J1786" s="2" t="str">
        <f t="shared" si="1412"/>
        <v/>
      </c>
      <c r="K1786" s="2" t="str">
        <f t="shared" si="1412"/>
        <v/>
      </c>
      <c r="L1786" s="2" t="str">
        <f t="shared" si="1412"/>
        <v/>
      </c>
      <c r="M1786" s="180" t="str">
        <f t="shared" si="1412"/>
        <v/>
      </c>
      <c r="N1786" s="2" t="str">
        <f t="shared" si="1365"/>
        <v/>
      </c>
      <c r="O1786" s="2">
        <f t="shared" si="1371"/>
        <v>0</v>
      </c>
    </row>
    <row r="1787" spans="1:15" x14ac:dyDescent="0.25">
      <c r="A1787" s="2">
        <v>4</v>
      </c>
      <c r="B1787" s="2">
        <f t="shared" si="1409"/>
        <v>0</v>
      </c>
      <c r="C1787" s="2" t="str">
        <f t="shared" si="1410"/>
        <v>Elite</v>
      </c>
      <c r="D1787" s="2">
        <f t="shared" si="1411"/>
        <v>0</v>
      </c>
      <c r="E1787" s="2" t="str">
        <f t="shared" si="1412"/>
        <v>W</v>
      </c>
      <c r="F1787" s="2" t="str">
        <f t="shared" si="1412"/>
        <v>Elite</v>
      </c>
      <c r="G1787" s="2" t="str">
        <f t="shared" si="1412"/>
        <v/>
      </c>
      <c r="H1787" s="2" t="str">
        <f t="shared" si="1412"/>
        <v/>
      </c>
      <c r="I1787" s="2" t="str">
        <f t="shared" si="1412"/>
        <v/>
      </c>
      <c r="J1787" s="2" t="str">
        <f t="shared" si="1412"/>
        <v/>
      </c>
      <c r="K1787" s="2" t="str">
        <f t="shared" si="1412"/>
        <v/>
      </c>
      <c r="L1787" s="2" t="str">
        <f t="shared" si="1412"/>
        <v/>
      </c>
      <c r="M1787" s="180" t="str">
        <f t="shared" si="1412"/>
        <v/>
      </c>
      <c r="N1787" s="2" t="str">
        <f t="shared" si="1365"/>
        <v/>
      </c>
      <c r="O1787" s="2">
        <f t="shared" si="1371"/>
        <v>0</v>
      </c>
    </row>
    <row r="1788" spans="1:15" x14ac:dyDescent="0.25">
      <c r="A1788" s="327">
        <v>5</v>
      </c>
      <c r="B1788" s="2">
        <f t="shared" si="1409"/>
        <v>0</v>
      </c>
      <c r="C1788" s="2" t="str">
        <f t="shared" si="1410"/>
        <v>Elite</v>
      </c>
      <c r="D1788" s="2">
        <f t="shared" si="1411"/>
        <v>0</v>
      </c>
      <c r="E1788" s="2" t="str">
        <f t="shared" si="1412"/>
        <v>W</v>
      </c>
      <c r="F1788" s="2" t="str">
        <f t="shared" si="1412"/>
        <v>Elite</v>
      </c>
      <c r="G1788" s="2" t="str">
        <f t="shared" si="1412"/>
        <v/>
      </c>
      <c r="H1788" s="2" t="str">
        <f t="shared" si="1412"/>
        <v/>
      </c>
      <c r="I1788" s="2" t="str">
        <f t="shared" si="1412"/>
        <v/>
      </c>
      <c r="J1788" s="2" t="str">
        <f t="shared" si="1412"/>
        <v/>
      </c>
      <c r="K1788" s="2" t="str">
        <f t="shared" si="1412"/>
        <v/>
      </c>
      <c r="L1788" s="2" t="str">
        <f t="shared" si="1412"/>
        <v/>
      </c>
      <c r="M1788" s="180" t="str">
        <f t="shared" si="1412"/>
        <v/>
      </c>
      <c r="N1788" s="2" t="str">
        <f t="shared" si="1365"/>
        <v/>
      </c>
      <c r="O1788" s="2">
        <f t="shared" si="1371"/>
        <v>0</v>
      </c>
    </row>
    <row r="1789" spans="1:15" x14ac:dyDescent="0.25">
      <c r="A1789" s="2">
        <v>6</v>
      </c>
      <c r="B1789" s="2">
        <f t="shared" si="1409"/>
        <v>0</v>
      </c>
      <c r="C1789" s="2" t="str">
        <f t="shared" si="1410"/>
        <v>Elite</v>
      </c>
      <c r="D1789" s="2">
        <f t="shared" si="1411"/>
        <v>0</v>
      </c>
      <c r="E1789" s="2" t="str">
        <f t="shared" si="1412"/>
        <v>W</v>
      </c>
      <c r="F1789" s="2" t="str">
        <f t="shared" si="1412"/>
        <v>Elite</v>
      </c>
      <c r="G1789" s="2" t="str">
        <f t="shared" si="1412"/>
        <v/>
      </c>
      <c r="H1789" s="2" t="str">
        <f t="shared" si="1412"/>
        <v/>
      </c>
      <c r="I1789" s="2" t="str">
        <f t="shared" si="1412"/>
        <v/>
      </c>
      <c r="J1789" s="2" t="str">
        <f t="shared" si="1412"/>
        <v/>
      </c>
      <c r="K1789" s="2" t="str">
        <f t="shared" si="1412"/>
        <v/>
      </c>
      <c r="L1789" s="2" t="str">
        <f t="shared" si="1412"/>
        <v/>
      </c>
      <c r="M1789" s="180" t="str">
        <f t="shared" si="1412"/>
        <v/>
      </c>
      <c r="N1789" s="2" t="str">
        <f t="shared" si="1365"/>
        <v/>
      </c>
      <c r="O1789" s="2">
        <f t="shared" si="1371"/>
        <v>0</v>
      </c>
    </row>
    <row r="1790" spans="1:15" x14ac:dyDescent="0.25">
      <c r="A1790" s="325">
        <v>1</v>
      </c>
      <c r="B1790" s="325">
        <f>TrialNumberDay2</f>
        <v>0</v>
      </c>
      <c r="C1790" s="325" t="s">
        <v>2034</v>
      </c>
      <c r="D1790" s="325">
        <f>Elite!C53</f>
        <v>0</v>
      </c>
      <c r="E1790" s="325" t="str">
        <f>IF(Elite!B53="W","W","A")</f>
        <v>W</v>
      </c>
      <c r="F1790" s="325" t="s">
        <v>2034</v>
      </c>
      <c r="G1790" s="325" t="str">
        <f>IF(Elite!F53="e","Y","")</f>
        <v/>
      </c>
      <c r="H1790" s="325" t="str">
        <f>IFERROR(VLOOKUP($D1790,'SDDA Dogs'!$A:$AE,2,FALSE),"")</f>
        <v/>
      </c>
      <c r="I1790" s="325" t="str">
        <f>IFERROR(VLOOKUP($D1790,'SDDA Dogs'!$A:$AE,3,FALSE),"")</f>
        <v/>
      </c>
      <c r="J1790" s="325" t="str">
        <f>IFERROR(VLOOKUP($D1790,'SDDA Dogs'!$A:$AE,6,FALSE),"")</f>
        <v/>
      </c>
      <c r="K1790" s="325" t="str">
        <f>IF(Elite!AR53="","",Elite!AR53)</f>
        <v/>
      </c>
      <c r="L1790" s="325" t="str">
        <f>IF(Elite!AS53="","",Elite!AS53)</f>
        <v/>
      </c>
      <c r="M1790" s="326" t="str">
        <f>TrialDateDay2</f>
        <v/>
      </c>
      <c r="N1790" s="325" t="str">
        <f>N1785</f>
        <v/>
      </c>
      <c r="O1790" s="325">
        <f t="shared" si="1371"/>
        <v>0</v>
      </c>
    </row>
    <row r="1791" spans="1:15" x14ac:dyDescent="0.25">
      <c r="A1791" s="2">
        <v>2</v>
      </c>
      <c r="B1791" s="2">
        <f>B1790</f>
        <v>0</v>
      </c>
      <c r="C1791" s="2" t="str">
        <f>C1790</f>
        <v>Elite</v>
      </c>
      <c r="D1791" s="2">
        <f>D1790</f>
        <v>0</v>
      </c>
      <c r="E1791" s="2" t="str">
        <f>E1790</f>
        <v>W</v>
      </c>
      <c r="F1791" s="2" t="str">
        <f t="shared" si="1372"/>
        <v>Elite</v>
      </c>
      <c r="G1791" s="2" t="str">
        <f t="shared" ref="G1791:M1795" si="1413">G1790</f>
        <v/>
      </c>
      <c r="H1791" s="2" t="str">
        <f t="shared" si="1413"/>
        <v/>
      </c>
      <c r="I1791" s="2" t="str">
        <f t="shared" si="1413"/>
        <v/>
      </c>
      <c r="J1791" s="2" t="str">
        <f t="shared" si="1413"/>
        <v/>
      </c>
      <c r="K1791" s="2" t="str">
        <f t="shared" si="1413"/>
        <v/>
      </c>
      <c r="L1791" s="2" t="str">
        <f t="shared" si="1413"/>
        <v/>
      </c>
      <c r="M1791" s="180" t="str">
        <f t="shared" si="1413"/>
        <v/>
      </c>
      <c r="N1791" s="2" t="str">
        <f t="shared" si="1365"/>
        <v/>
      </c>
      <c r="O1791" s="2">
        <f t="shared" si="1371"/>
        <v>0</v>
      </c>
    </row>
    <row r="1792" spans="1:15" x14ac:dyDescent="0.25">
      <c r="A1792" s="327">
        <v>3</v>
      </c>
      <c r="B1792" s="2">
        <f t="shared" ref="B1792:B1795" si="1414">B1791</f>
        <v>0</v>
      </c>
      <c r="C1792" s="2" t="str">
        <f t="shared" ref="C1792:C1795" si="1415">C1791</f>
        <v>Elite</v>
      </c>
      <c r="D1792" s="2">
        <f t="shared" ref="D1792:D1795" si="1416">D1791</f>
        <v>0</v>
      </c>
      <c r="E1792" s="2" t="str">
        <f t="shared" ref="E1792:E1795" si="1417">E1791</f>
        <v>W</v>
      </c>
      <c r="F1792" s="2" t="str">
        <f t="shared" si="1372"/>
        <v>Elite</v>
      </c>
      <c r="G1792" s="2" t="str">
        <f t="shared" si="1413"/>
        <v/>
      </c>
      <c r="H1792" s="2" t="str">
        <f t="shared" si="1413"/>
        <v/>
      </c>
      <c r="I1792" s="2" t="str">
        <f t="shared" si="1413"/>
        <v/>
      </c>
      <c r="J1792" s="2" t="str">
        <f t="shared" si="1413"/>
        <v/>
      </c>
      <c r="K1792" s="2" t="str">
        <f t="shared" si="1413"/>
        <v/>
      </c>
      <c r="L1792" s="2" t="str">
        <f t="shared" si="1413"/>
        <v/>
      </c>
      <c r="M1792" s="180" t="str">
        <f t="shared" si="1413"/>
        <v/>
      </c>
      <c r="N1792" s="2" t="str">
        <f t="shared" si="1365"/>
        <v/>
      </c>
      <c r="O1792" s="2">
        <f t="shared" si="1371"/>
        <v>0</v>
      </c>
    </row>
    <row r="1793" spans="1:15" x14ac:dyDescent="0.25">
      <c r="A1793" s="2">
        <v>4</v>
      </c>
      <c r="B1793" s="2">
        <f t="shared" si="1414"/>
        <v>0</v>
      </c>
      <c r="C1793" s="2" t="str">
        <f t="shared" si="1415"/>
        <v>Elite</v>
      </c>
      <c r="D1793" s="2">
        <f t="shared" si="1416"/>
        <v>0</v>
      </c>
      <c r="E1793" s="2" t="str">
        <f t="shared" si="1417"/>
        <v>W</v>
      </c>
      <c r="F1793" s="2" t="str">
        <f t="shared" si="1372"/>
        <v>Elite</v>
      </c>
      <c r="G1793" s="2" t="str">
        <f t="shared" si="1413"/>
        <v/>
      </c>
      <c r="H1793" s="2" t="str">
        <f t="shared" si="1413"/>
        <v/>
      </c>
      <c r="I1793" s="2" t="str">
        <f t="shared" si="1413"/>
        <v/>
      </c>
      <c r="J1793" s="2" t="str">
        <f t="shared" si="1413"/>
        <v/>
      </c>
      <c r="K1793" s="2" t="str">
        <f t="shared" si="1413"/>
        <v/>
      </c>
      <c r="L1793" s="2" t="str">
        <f t="shared" si="1413"/>
        <v/>
      </c>
      <c r="M1793" s="180" t="str">
        <f t="shared" si="1413"/>
        <v/>
      </c>
      <c r="N1793" s="2" t="str">
        <f t="shared" si="1365"/>
        <v/>
      </c>
      <c r="O1793" s="2">
        <f t="shared" si="1371"/>
        <v>0</v>
      </c>
    </row>
    <row r="1794" spans="1:15" x14ac:dyDescent="0.25">
      <c r="A1794" s="327">
        <v>5</v>
      </c>
      <c r="B1794" s="2">
        <f t="shared" si="1414"/>
        <v>0</v>
      </c>
      <c r="C1794" s="2" t="str">
        <f t="shared" si="1415"/>
        <v>Elite</v>
      </c>
      <c r="D1794" s="2">
        <f t="shared" si="1416"/>
        <v>0</v>
      </c>
      <c r="E1794" s="2" t="str">
        <f t="shared" si="1417"/>
        <v>W</v>
      </c>
      <c r="F1794" s="2" t="str">
        <f t="shared" si="1372"/>
        <v>Elite</v>
      </c>
      <c r="G1794" s="2" t="str">
        <f t="shared" si="1413"/>
        <v/>
      </c>
      <c r="H1794" s="2" t="str">
        <f t="shared" si="1413"/>
        <v/>
      </c>
      <c r="I1794" s="2" t="str">
        <f t="shared" si="1413"/>
        <v/>
      </c>
      <c r="J1794" s="2" t="str">
        <f t="shared" si="1413"/>
        <v/>
      </c>
      <c r="K1794" s="2" t="str">
        <f t="shared" si="1413"/>
        <v/>
      </c>
      <c r="L1794" s="2" t="str">
        <f t="shared" si="1413"/>
        <v/>
      </c>
      <c r="M1794" s="180" t="str">
        <f t="shared" si="1413"/>
        <v/>
      </c>
      <c r="N1794" s="2" t="str">
        <f t="shared" si="1365"/>
        <v/>
      </c>
      <c r="O1794" s="2">
        <f t="shared" si="1371"/>
        <v>0</v>
      </c>
    </row>
    <row r="1795" spans="1:15" x14ac:dyDescent="0.25">
      <c r="A1795" s="2">
        <v>6</v>
      </c>
      <c r="B1795" s="2">
        <f t="shared" si="1414"/>
        <v>0</v>
      </c>
      <c r="C1795" s="2" t="str">
        <f t="shared" si="1415"/>
        <v>Elite</v>
      </c>
      <c r="D1795" s="2">
        <f t="shared" si="1416"/>
        <v>0</v>
      </c>
      <c r="E1795" s="2" t="str">
        <f t="shared" si="1417"/>
        <v>W</v>
      </c>
      <c r="F1795" s="2" t="str">
        <f t="shared" si="1372"/>
        <v>Elite</v>
      </c>
      <c r="G1795" s="2" t="str">
        <f t="shared" si="1413"/>
        <v/>
      </c>
      <c r="H1795" s="2" t="str">
        <f t="shared" si="1413"/>
        <v/>
      </c>
      <c r="I1795" s="2" t="str">
        <f t="shared" si="1413"/>
        <v/>
      </c>
      <c r="J1795" s="2" t="str">
        <f t="shared" si="1413"/>
        <v/>
      </c>
      <c r="K1795" s="2" t="str">
        <f t="shared" si="1413"/>
        <v/>
      </c>
      <c r="L1795" s="2" t="str">
        <f t="shared" si="1413"/>
        <v/>
      </c>
      <c r="M1795" s="180" t="str">
        <f t="shared" si="1413"/>
        <v/>
      </c>
      <c r="N1795" s="2" t="str">
        <f t="shared" si="1365"/>
        <v/>
      </c>
      <c r="O1795" s="2">
        <f t="shared" si="1371"/>
        <v>0</v>
      </c>
    </row>
    <row r="1796" spans="1:15" x14ac:dyDescent="0.25">
      <c r="A1796" s="325">
        <v>1</v>
      </c>
      <c r="B1796" s="325">
        <f>TrialNumberDay2</f>
        <v>0</v>
      </c>
      <c r="C1796" s="325" t="s">
        <v>2034</v>
      </c>
      <c r="D1796" s="325">
        <f>Elite!C54</f>
        <v>0</v>
      </c>
      <c r="E1796" s="325" t="str">
        <f>IF(Elite!B54="W","W","A")</f>
        <v>W</v>
      </c>
      <c r="F1796" s="325" t="s">
        <v>2034</v>
      </c>
      <c r="G1796" s="325" t="str">
        <f>IF(Elite!F54="e","Y","")</f>
        <v/>
      </c>
      <c r="H1796" s="325" t="str">
        <f>IFERROR(VLOOKUP($D1796,'SDDA Dogs'!$A:$AE,2,FALSE),"")</f>
        <v/>
      </c>
      <c r="I1796" s="325" t="str">
        <f>IFERROR(VLOOKUP($D1796,'SDDA Dogs'!$A:$AE,3,FALSE),"")</f>
        <v/>
      </c>
      <c r="J1796" s="325" t="str">
        <f>IFERROR(VLOOKUP($D1796,'SDDA Dogs'!$A:$AE,6,FALSE),"")</f>
        <v/>
      </c>
      <c r="K1796" s="325" t="str">
        <f>IF(Elite!AR54="","",Elite!AR54)</f>
        <v/>
      </c>
      <c r="L1796" s="325" t="str">
        <f>IF(Elite!AS54="","",Elite!AS54)</f>
        <v/>
      </c>
      <c r="M1796" s="326" t="str">
        <f>TrialDateDay2</f>
        <v/>
      </c>
      <c r="N1796" s="325" t="str">
        <f>N1791</f>
        <v/>
      </c>
      <c r="O1796" s="325">
        <f t="shared" si="1371"/>
        <v>0</v>
      </c>
    </row>
    <row r="1797" spans="1:15" x14ac:dyDescent="0.25">
      <c r="A1797" s="2">
        <v>2</v>
      </c>
      <c r="B1797" s="2">
        <f>B1796</f>
        <v>0</v>
      </c>
      <c r="C1797" s="2" t="str">
        <f>C1796</f>
        <v>Elite</v>
      </c>
      <c r="D1797" s="2">
        <f>D1796</f>
        <v>0</v>
      </c>
      <c r="E1797" s="2" t="str">
        <f>E1796</f>
        <v>W</v>
      </c>
      <c r="F1797" s="2" t="str">
        <f t="shared" si="1372"/>
        <v>Elite</v>
      </c>
      <c r="G1797" s="2" t="str">
        <f t="shared" ref="G1797:M1797" si="1418">G1796</f>
        <v/>
      </c>
      <c r="H1797" s="2" t="str">
        <f t="shared" si="1418"/>
        <v/>
      </c>
      <c r="I1797" s="2" t="str">
        <f t="shared" si="1418"/>
        <v/>
      </c>
      <c r="J1797" s="2" t="str">
        <f t="shared" si="1418"/>
        <v/>
      </c>
      <c r="K1797" s="2" t="str">
        <f t="shared" si="1418"/>
        <v/>
      </c>
      <c r="L1797" s="2" t="str">
        <f t="shared" si="1418"/>
        <v/>
      </c>
      <c r="M1797" s="180" t="str">
        <f t="shared" si="1418"/>
        <v/>
      </c>
      <c r="N1797" s="2" t="str">
        <f t="shared" si="1365"/>
        <v/>
      </c>
      <c r="O1797" s="2">
        <f t="shared" si="1371"/>
        <v>0</v>
      </c>
    </row>
    <row r="1798" spans="1:15" x14ac:dyDescent="0.25">
      <c r="A1798" s="327">
        <v>3</v>
      </c>
      <c r="B1798" s="2">
        <f t="shared" ref="B1798:B1801" si="1419">B1797</f>
        <v>0</v>
      </c>
      <c r="C1798" s="2" t="str">
        <f t="shared" ref="C1798:C1801" si="1420">C1797</f>
        <v>Elite</v>
      </c>
      <c r="D1798" s="2">
        <f t="shared" ref="D1798:D1801" si="1421">D1797</f>
        <v>0</v>
      </c>
      <c r="E1798" s="2" t="str">
        <f t="shared" ref="E1798:M1801" si="1422">E1797</f>
        <v>W</v>
      </c>
      <c r="F1798" s="2" t="str">
        <f t="shared" si="1422"/>
        <v>Elite</v>
      </c>
      <c r="G1798" s="2" t="str">
        <f t="shared" si="1422"/>
        <v/>
      </c>
      <c r="H1798" s="2" t="str">
        <f t="shared" si="1422"/>
        <v/>
      </c>
      <c r="I1798" s="2" t="str">
        <f t="shared" si="1422"/>
        <v/>
      </c>
      <c r="J1798" s="2" t="str">
        <f t="shared" si="1422"/>
        <v/>
      </c>
      <c r="K1798" s="2" t="str">
        <f t="shared" si="1422"/>
        <v/>
      </c>
      <c r="L1798" s="2" t="str">
        <f t="shared" si="1422"/>
        <v/>
      </c>
      <c r="M1798" s="180" t="str">
        <f t="shared" si="1422"/>
        <v/>
      </c>
      <c r="N1798" s="2" t="str">
        <f t="shared" si="1365"/>
        <v/>
      </c>
      <c r="O1798" s="2">
        <f t="shared" si="1371"/>
        <v>0</v>
      </c>
    </row>
    <row r="1799" spans="1:15" x14ac:dyDescent="0.25">
      <c r="A1799" s="2">
        <v>4</v>
      </c>
      <c r="B1799" s="2">
        <f t="shared" si="1419"/>
        <v>0</v>
      </c>
      <c r="C1799" s="2" t="str">
        <f t="shared" si="1420"/>
        <v>Elite</v>
      </c>
      <c r="D1799" s="2">
        <f t="shared" si="1421"/>
        <v>0</v>
      </c>
      <c r="E1799" s="2" t="str">
        <f t="shared" si="1422"/>
        <v>W</v>
      </c>
      <c r="F1799" s="2" t="str">
        <f t="shared" si="1422"/>
        <v>Elite</v>
      </c>
      <c r="G1799" s="2" t="str">
        <f t="shared" si="1422"/>
        <v/>
      </c>
      <c r="H1799" s="2" t="str">
        <f t="shared" si="1422"/>
        <v/>
      </c>
      <c r="I1799" s="2" t="str">
        <f t="shared" si="1422"/>
        <v/>
      </c>
      <c r="J1799" s="2" t="str">
        <f t="shared" si="1422"/>
        <v/>
      </c>
      <c r="K1799" s="2" t="str">
        <f t="shared" si="1422"/>
        <v/>
      </c>
      <c r="L1799" s="2" t="str">
        <f t="shared" si="1422"/>
        <v/>
      </c>
      <c r="M1799" s="180" t="str">
        <f t="shared" si="1422"/>
        <v/>
      </c>
      <c r="N1799" s="2" t="str">
        <f t="shared" si="1365"/>
        <v/>
      </c>
      <c r="O1799" s="2">
        <f t="shared" si="1371"/>
        <v>0</v>
      </c>
    </row>
    <row r="1800" spans="1:15" x14ac:dyDescent="0.25">
      <c r="A1800" s="327">
        <v>5</v>
      </c>
      <c r="B1800" s="2">
        <f t="shared" si="1419"/>
        <v>0</v>
      </c>
      <c r="C1800" s="2" t="str">
        <f t="shared" si="1420"/>
        <v>Elite</v>
      </c>
      <c r="D1800" s="2">
        <f t="shared" si="1421"/>
        <v>0</v>
      </c>
      <c r="E1800" s="2" t="str">
        <f t="shared" si="1422"/>
        <v>W</v>
      </c>
      <c r="F1800" s="2" t="str">
        <f t="shared" si="1422"/>
        <v>Elite</v>
      </c>
      <c r="G1800" s="2" t="str">
        <f t="shared" si="1422"/>
        <v/>
      </c>
      <c r="H1800" s="2" t="str">
        <f t="shared" si="1422"/>
        <v/>
      </c>
      <c r="I1800" s="2" t="str">
        <f t="shared" si="1422"/>
        <v/>
      </c>
      <c r="J1800" s="2" t="str">
        <f t="shared" si="1422"/>
        <v/>
      </c>
      <c r="K1800" s="2" t="str">
        <f t="shared" si="1422"/>
        <v/>
      </c>
      <c r="L1800" s="2" t="str">
        <f t="shared" si="1422"/>
        <v/>
      </c>
      <c r="M1800" s="180" t="str">
        <f t="shared" si="1422"/>
        <v/>
      </c>
      <c r="N1800" s="2" t="str">
        <f t="shared" si="1365"/>
        <v/>
      </c>
      <c r="O1800" s="2">
        <f t="shared" si="1371"/>
        <v>0</v>
      </c>
    </row>
    <row r="1801" spans="1:15" x14ac:dyDescent="0.25">
      <c r="A1801" s="2">
        <v>6</v>
      </c>
      <c r="B1801" s="2">
        <f t="shared" si="1419"/>
        <v>0</v>
      </c>
      <c r="C1801" s="2" t="str">
        <f t="shared" si="1420"/>
        <v>Elite</v>
      </c>
      <c r="D1801" s="2">
        <f t="shared" si="1421"/>
        <v>0</v>
      </c>
      <c r="E1801" s="2" t="str">
        <f t="shared" si="1422"/>
        <v>W</v>
      </c>
      <c r="F1801" s="2" t="str">
        <f t="shared" si="1422"/>
        <v>Elite</v>
      </c>
      <c r="G1801" s="2" t="str">
        <f t="shared" si="1422"/>
        <v/>
      </c>
      <c r="H1801" s="2" t="str">
        <f t="shared" si="1422"/>
        <v/>
      </c>
      <c r="I1801" s="2" t="str">
        <f t="shared" si="1422"/>
        <v/>
      </c>
      <c r="J1801" s="2" t="str">
        <f t="shared" si="1422"/>
        <v/>
      </c>
      <c r="K1801" s="2" t="str">
        <f t="shared" si="1422"/>
        <v/>
      </c>
      <c r="L1801" s="2" t="str">
        <f t="shared" si="1422"/>
        <v/>
      </c>
      <c r="M1801" s="180" t="str">
        <f t="shared" si="1422"/>
        <v/>
      </c>
      <c r="N1801" s="2" t="str">
        <f t="shared" si="1365"/>
        <v/>
      </c>
      <c r="O1801" s="2">
        <f t="shared" si="1371"/>
        <v>0</v>
      </c>
    </row>
    <row r="1802" spans="1:15" x14ac:dyDescent="0.25">
      <c r="A1802" s="325">
        <v>1</v>
      </c>
      <c r="B1802" s="325">
        <f>TrialNumberDay2</f>
        <v>0</v>
      </c>
      <c r="C1802" s="325" t="s">
        <v>2034</v>
      </c>
      <c r="D1802" s="325">
        <f>Elite!C55</f>
        <v>0</v>
      </c>
      <c r="E1802" s="325" t="str">
        <f>IF(Elite!B55="W","W","A")</f>
        <v>W</v>
      </c>
      <c r="F1802" s="325" t="s">
        <v>2034</v>
      </c>
      <c r="G1802" s="325" t="str">
        <f>IF(Elite!F55="e","Y","")</f>
        <v/>
      </c>
      <c r="H1802" s="325" t="str">
        <f>IFERROR(VLOOKUP($D1802,'SDDA Dogs'!$A:$AE,2,FALSE),"")</f>
        <v/>
      </c>
      <c r="I1802" s="325" t="str">
        <f>IFERROR(VLOOKUP($D1802,'SDDA Dogs'!$A:$AE,3,FALSE),"")</f>
        <v/>
      </c>
      <c r="J1802" s="325" t="str">
        <f>IFERROR(VLOOKUP($D1802,'SDDA Dogs'!$A:$AE,6,FALSE),"")</f>
        <v/>
      </c>
      <c r="K1802" s="325" t="str">
        <f>IF(Elite!AR55="","",Elite!AR55)</f>
        <v/>
      </c>
      <c r="L1802" s="325" t="str">
        <f>IF(Elite!AS55="","",Elite!AS55)</f>
        <v/>
      </c>
      <c r="M1802" s="326" t="str">
        <f>TrialDateDay2</f>
        <v/>
      </c>
      <c r="N1802" s="325" t="str">
        <f>N1797</f>
        <v/>
      </c>
      <c r="O1802" s="325">
        <f t="shared" si="1371"/>
        <v>0</v>
      </c>
    </row>
    <row r="1803" spans="1:15" x14ac:dyDescent="0.25">
      <c r="A1803" s="2">
        <v>2</v>
      </c>
      <c r="B1803" s="2">
        <f>B1802</f>
        <v>0</v>
      </c>
      <c r="C1803" s="2" t="str">
        <f>C1802</f>
        <v>Elite</v>
      </c>
      <c r="D1803" s="2">
        <f>D1802</f>
        <v>0</v>
      </c>
      <c r="E1803" s="2" t="str">
        <f>E1802</f>
        <v>W</v>
      </c>
      <c r="F1803" s="2" t="str">
        <f t="shared" si="1372"/>
        <v>Elite</v>
      </c>
      <c r="G1803" s="2" t="str">
        <f t="shared" ref="G1803:M1807" si="1423">G1802</f>
        <v/>
      </c>
      <c r="H1803" s="2" t="str">
        <f t="shared" si="1423"/>
        <v/>
      </c>
      <c r="I1803" s="2" t="str">
        <f t="shared" si="1423"/>
        <v/>
      </c>
      <c r="J1803" s="2" t="str">
        <f t="shared" si="1423"/>
        <v/>
      </c>
      <c r="K1803" s="2" t="str">
        <f t="shared" si="1423"/>
        <v/>
      </c>
      <c r="L1803" s="2" t="str">
        <f t="shared" si="1423"/>
        <v/>
      </c>
      <c r="M1803" s="180" t="str">
        <f t="shared" si="1423"/>
        <v/>
      </c>
      <c r="N1803" s="2" t="str">
        <f t="shared" si="1365"/>
        <v/>
      </c>
      <c r="O1803" s="2">
        <f t="shared" si="1371"/>
        <v>0</v>
      </c>
    </row>
    <row r="1804" spans="1:15" x14ac:dyDescent="0.25">
      <c r="A1804" s="327">
        <v>3</v>
      </c>
      <c r="B1804" s="2">
        <f t="shared" ref="B1804:B1807" si="1424">B1803</f>
        <v>0</v>
      </c>
      <c r="C1804" s="2" t="str">
        <f t="shared" ref="C1804:C1807" si="1425">C1803</f>
        <v>Elite</v>
      </c>
      <c r="D1804" s="2">
        <f t="shared" ref="D1804:D1807" si="1426">D1803</f>
        <v>0</v>
      </c>
      <c r="E1804" s="2" t="str">
        <f t="shared" ref="E1804:E1807" si="1427">E1803</f>
        <v>W</v>
      </c>
      <c r="F1804" s="2" t="str">
        <f t="shared" si="1372"/>
        <v>Elite</v>
      </c>
      <c r="G1804" s="2" t="str">
        <f t="shared" si="1423"/>
        <v/>
      </c>
      <c r="H1804" s="2" t="str">
        <f t="shared" si="1423"/>
        <v/>
      </c>
      <c r="I1804" s="2" t="str">
        <f t="shared" si="1423"/>
        <v/>
      </c>
      <c r="J1804" s="2" t="str">
        <f t="shared" si="1423"/>
        <v/>
      </c>
      <c r="K1804" s="2" t="str">
        <f t="shared" si="1423"/>
        <v/>
      </c>
      <c r="L1804" s="2" t="str">
        <f t="shared" si="1423"/>
        <v/>
      </c>
      <c r="M1804" s="180" t="str">
        <f t="shared" si="1423"/>
        <v/>
      </c>
      <c r="N1804" s="2" t="str">
        <f t="shared" si="1365"/>
        <v/>
      </c>
      <c r="O1804" s="2">
        <f t="shared" si="1371"/>
        <v>0</v>
      </c>
    </row>
    <row r="1805" spans="1:15" x14ac:dyDescent="0.25">
      <c r="A1805" s="2">
        <v>4</v>
      </c>
      <c r="B1805" s="2">
        <f t="shared" si="1424"/>
        <v>0</v>
      </c>
      <c r="C1805" s="2" t="str">
        <f t="shared" si="1425"/>
        <v>Elite</v>
      </c>
      <c r="D1805" s="2">
        <f t="shared" si="1426"/>
        <v>0</v>
      </c>
      <c r="E1805" s="2" t="str">
        <f t="shared" si="1427"/>
        <v>W</v>
      </c>
      <c r="F1805" s="2" t="str">
        <f t="shared" si="1372"/>
        <v>Elite</v>
      </c>
      <c r="G1805" s="2" t="str">
        <f t="shared" si="1423"/>
        <v/>
      </c>
      <c r="H1805" s="2" t="str">
        <f t="shared" si="1423"/>
        <v/>
      </c>
      <c r="I1805" s="2" t="str">
        <f t="shared" si="1423"/>
        <v/>
      </c>
      <c r="J1805" s="2" t="str">
        <f t="shared" si="1423"/>
        <v/>
      </c>
      <c r="K1805" s="2" t="str">
        <f t="shared" si="1423"/>
        <v/>
      </c>
      <c r="L1805" s="2" t="str">
        <f t="shared" si="1423"/>
        <v/>
      </c>
      <c r="M1805" s="180" t="str">
        <f t="shared" si="1423"/>
        <v/>
      </c>
      <c r="N1805" s="2" t="str">
        <f t="shared" si="1365"/>
        <v/>
      </c>
      <c r="O1805" s="2">
        <f t="shared" si="1371"/>
        <v>0</v>
      </c>
    </row>
    <row r="1806" spans="1:15" x14ac:dyDescent="0.25">
      <c r="A1806" s="327">
        <v>5</v>
      </c>
      <c r="B1806" s="2">
        <f t="shared" si="1424"/>
        <v>0</v>
      </c>
      <c r="C1806" s="2" t="str">
        <f t="shared" si="1425"/>
        <v>Elite</v>
      </c>
      <c r="D1806" s="2">
        <f t="shared" si="1426"/>
        <v>0</v>
      </c>
      <c r="E1806" s="2" t="str">
        <f t="shared" si="1427"/>
        <v>W</v>
      </c>
      <c r="F1806" s="2" t="str">
        <f t="shared" si="1372"/>
        <v>Elite</v>
      </c>
      <c r="G1806" s="2" t="str">
        <f t="shared" si="1423"/>
        <v/>
      </c>
      <c r="H1806" s="2" t="str">
        <f t="shared" si="1423"/>
        <v/>
      </c>
      <c r="I1806" s="2" t="str">
        <f t="shared" si="1423"/>
        <v/>
      </c>
      <c r="J1806" s="2" t="str">
        <f t="shared" si="1423"/>
        <v/>
      </c>
      <c r="K1806" s="2" t="str">
        <f t="shared" si="1423"/>
        <v/>
      </c>
      <c r="L1806" s="2" t="str">
        <f t="shared" si="1423"/>
        <v/>
      </c>
      <c r="M1806" s="180" t="str">
        <f t="shared" si="1423"/>
        <v/>
      </c>
      <c r="N1806" s="2" t="str">
        <f t="shared" si="1365"/>
        <v/>
      </c>
      <c r="O1806" s="2">
        <f t="shared" si="1371"/>
        <v>0</v>
      </c>
    </row>
    <row r="1807" spans="1:15" x14ac:dyDescent="0.25">
      <c r="A1807" s="2">
        <v>6</v>
      </c>
      <c r="B1807" s="2">
        <f t="shared" si="1424"/>
        <v>0</v>
      </c>
      <c r="C1807" s="2" t="str">
        <f t="shared" si="1425"/>
        <v>Elite</v>
      </c>
      <c r="D1807" s="2">
        <f t="shared" si="1426"/>
        <v>0</v>
      </c>
      <c r="E1807" s="2" t="str">
        <f t="shared" si="1427"/>
        <v>W</v>
      </c>
      <c r="F1807" s="2" t="str">
        <f t="shared" si="1372"/>
        <v>Elite</v>
      </c>
      <c r="G1807" s="2" t="str">
        <f t="shared" si="1423"/>
        <v/>
      </c>
      <c r="H1807" s="2" t="str">
        <f t="shared" si="1423"/>
        <v/>
      </c>
      <c r="I1807" s="2" t="str">
        <f t="shared" si="1423"/>
        <v/>
      </c>
      <c r="J1807" s="2" t="str">
        <f t="shared" si="1423"/>
        <v/>
      </c>
      <c r="K1807" s="2" t="str">
        <f t="shared" si="1423"/>
        <v/>
      </c>
      <c r="L1807" s="2" t="str">
        <f t="shared" si="1423"/>
        <v/>
      </c>
      <c r="M1807" s="180" t="str">
        <f t="shared" si="1423"/>
        <v/>
      </c>
      <c r="N1807" s="2" t="str">
        <f t="shared" si="1365"/>
        <v/>
      </c>
      <c r="O1807" s="2">
        <f t="shared" si="1371"/>
        <v>0</v>
      </c>
    </row>
    <row r="1808" spans="1:15" x14ac:dyDescent="0.25">
      <c r="A1808" s="325">
        <v>1</v>
      </c>
      <c r="B1808" s="325">
        <f>TrialNumberDay2</f>
        <v>0</v>
      </c>
      <c r="C1808" s="325" t="s">
        <v>2034</v>
      </c>
      <c r="D1808" s="325">
        <f>Elite!C56</f>
        <v>0</v>
      </c>
      <c r="E1808" s="325" t="str">
        <f>IF(Elite!B56="W","W","A")</f>
        <v>W</v>
      </c>
      <c r="F1808" s="325" t="s">
        <v>2034</v>
      </c>
      <c r="G1808" s="325" t="str">
        <f>IF(Elite!F56="e","Y","")</f>
        <v/>
      </c>
      <c r="H1808" s="325" t="str">
        <f>IFERROR(VLOOKUP($D1808,'SDDA Dogs'!$A:$AE,2,FALSE),"")</f>
        <v/>
      </c>
      <c r="I1808" s="325" t="str">
        <f>IFERROR(VLOOKUP($D1808,'SDDA Dogs'!$A:$AE,3,FALSE),"")</f>
        <v/>
      </c>
      <c r="J1808" s="325" t="str">
        <f>IFERROR(VLOOKUP($D1808,'SDDA Dogs'!$A:$AE,6,FALSE),"")</f>
        <v/>
      </c>
      <c r="K1808" s="325" t="str">
        <f>IF(Elite!AR56="","",Elite!AR56)</f>
        <v/>
      </c>
      <c r="L1808" s="325" t="str">
        <f>IF(Elite!AS56="","",Elite!AS56)</f>
        <v/>
      </c>
      <c r="M1808" s="326" t="str">
        <f>TrialDateDay2</f>
        <v/>
      </c>
      <c r="N1808" s="325" t="str">
        <f>N1803</f>
        <v/>
      </c>
      <c r="O1808" s="325">
        <f t="shared" si="1371"/>
        <v>0</v>
      </c>
    </row>
    <row r="1809" spans="1:15" x14ac:dyDescent="0.25">
      <c r="A1809" s="2">
        <v>2</v>
      </c>
      <c r="B1809" s="2">
        <f>B1808</f>
        <v>0</v>
      </c>
      <c r="C1809" s="2" t="str">
        <f>C1808</f>
        <v>Elite</v>
      </c>
      <c r="D1809" s="2">
        <f>D1808</f>
        <v>0</v>
      </c>
      <c r="E1809" s="2" t="str">
        <f>E1808</f>
        <v>W</v>
      </c>
      <c r="F1809" s="2" t="str">
        <f t="shared" si="1372"/>
        <v>Elite</v>
      </c>
      <c r="G1809" s="2" t="str">
        <f t="shared" ref="G1809:M1809" si="1428">G1808</f>
        <v/>
      </c>
      <c r="H1809" s="2" t="str">
        <f t="shared" si="1428"/>
        <v/>
      </c>
      <c r="I1809" s="2" t="str">
        <f t="shared" si="1428"/>
        <v/>
      </c>
      <c r="J1809" s="2" t="str">
        <f t="shared" si="1428"/>
        <v/>
      </c>
      <c r="K1809" s="2" t="str">
        <f t="shared" si="1428"/>
        <v/>
      </c>
      <c r="L1809" s="2" t="str">
        <f t="shared" si="1428"/>
        <v/>
      </c>
      <c r="M1809" s="180" t="str">
        <f t="shared" si="1428"/>
        <v/>
      </c>
      <c r="N1809" s="2" t="str">
        <f t="shared" si="1365"/>
        <v/>
      </c>
      <c r="O1809" s="2">
        <f t="shared" si="1371"/>
        <v>0</v>
      </c>
    </row>
    <row r="1810" spans="1:15" x14ac:dyDescent="0.25">
      <c r="A1810" s="327">
        <v>3</v>
      </c>
      <c r="B1810" s="2">
        <f t="shared" ref="B1810:B1813" si="1429">B1809</f>
        <v>0</v>
      </c>
      <c r="C1810" s="2" t="str">
        <f t="shared" ref="C1810:C1813" si="1430">C1809</f>
        <v>Elite</v>
      </c>
      <c r="D1810" s="2">
        <f t="shared" ref="D1810:D1813" si="1431">D1809</f>
        <v>0</v>
      </c>
      <c r="E1810" s="2" t="str">
        <f t="shared" ref="E1810:M1813" si="1432">E1809</f>
        <v>W</v>
      </c>
      <c r="F1810" s="2" t="str">
        <f t="shared" si="1432"/>
        <v>Elite</v>
      </c>
      <c r="G1810" s="2" t="str">
        <f t="shared" si="1432"/>
        <v/>
      </c>
      <c r="H1810" s="2" t="str">
        <f t="shared" si="1432"/>
        <v/>
      </c>
      <c r="I1810" s="2" t="str">
        <f t="shared" si="1432"/>
        <v/>
      </c>
      <c r="J1810" s="2" t="str">
        <f t="shared" si="1432"/>
        <v/>
      </c>
      <c r="K1810" s="2" t="str">
        <f t="shared" si="1432"/>
        <v/>
      </c>
      <c r="L1810" s="2" t="str">
        <f t="shared" si="1432"/>
        <v/>
      </c>
      <c r="M1810" s="180" t="str">
        <f t="shared" si="1432"/>
        <v/>
      </c>
      <c r="N1810" s="2" t="str">
        <f t="shared" si="1365"/>
        <v/>
      </c>
      <c r="O1810" s="2">
        <f t="shared" si="1371"/>
        <v>0</v>
      </c>
    </row>
    <row r="1811" spans="1:15" x14ac:dyDescent="0.25">
      <c r="A1811" s="2">
        <v>4</v>
      </c>
      <c r="B1811" s="2">
        <f t="shared" si="1429"/>
        <v>0</v>
      </c>
      <c r="C1811" s="2" t="str">
        <f t="shared" si="1430"/>
        <v>Elite</v>
      </c>
      <c r="D1811" s="2">
        <f t="shared" si="1431"/>
        <v>0</v>
      </c>
      <c r="E1811" s="2" t="str">
        <f t="shared" si="1432"/>
        <v>W</v>
      </c>
      <c r="F1811" s="2" t="str">
        <f t="shared" si="1432"/>
        <v>Elite</v>
      </c>
      <c r="G1811" s="2" t="str">
        <f t="shared" si="1432"/>
        <v/>
      </c>
      <c r="H1811" s="2" t="str">
        <f t="shared" si="1432"/>
        <v/>
      </c>
      <c r="I1811" s="2" t="str">
        <f t="shared" si="1432"/>
        <v/>
      </c>
      <c r="J1811" s="2" t="str">
        <f t="shared" si="1432"/>
        <v/>
      </c>
      <c r="K1811" s="2" t="str">
        <f t="shared" si="1432"/>
        <v/>
      </c>
      <c r="L1811" s="2" t="str">
        <f t="shared" si="1432"/>
        <v/>
      </c>
      <c r="M1811" s="180" t="str">
        <f t="shared" si="1432"/>
        <v/>
      </c>
      <c r="N1811" s="2" t="str">
        <f t="shared" si="1365"/>
        <v/>
      </c>
      <c r="O1811" s="2">
        <f t="shared" si="1371"/>
        <v>0</v>
      </c>
    </row>
    <row r="1812" spans="1:15" x14ac:dyDescent="0.25">
      <c r="A1812" s="327">
        <v>5</v>
      </c>
      <c r="B1812" s="2">
        <f t="shared" si="1429"/>
        <v>0</v>
      </c>
      <c r="C1812" s="2" t="str">
        <f t="shared" si="1430"/>
        <v>Elite</v>
      </c>
      <c r="D1812" s="2">
        <f t="shared" si="1431"/>
        <v>0</v>
      </c>
      <c r="E1812" s="2" t="str">
        <f t="shared" si="1432"/>
        <v>W</v>
      </c>
      <c r="F1812" s="2" t="str">
        <f t="shared" si="1432"/>
        <v>Elite</v>
      </c>
      <c r="G1812" s="2" t="str">
        <f t="shared" si="1432"/>
        <v/>
      </c>
      <c r="H1812" s="2" t="str">
        <f t="shared" si="1432"/>
        <v/>
      </c>
      <c r="I1812" s="2" t="str">
        <f t="shared" si="1432"/>
        <v/>
      </c>
      <c r="J1812" s="2" t="str">
        <f t="shared" si="1432"/>
        <v/>
      </c>
      <c r="K1812" s="2" t="str">
        <f t="shared" si="1432"/>
        <v/>
      </c>
      <c r="L1812" s="2" t="str">
        <f t="shared" si="1432"/>
        <v/>
      </c>
      <c r="M1812" s="180" t="str">
        <f t="shared" si="1432"/>
        <v/>
      </c>
      <c r="N1812" s="2" t="str">
        <f t="shared" si="1365"/>
        <v/>
      </c>
      <c r="O1812" s="2">
        <f t="shared" si="1371"/>
        <v>0</v>
      </c>
    </row>
    <row r="1813" spans="1:15" x14ac:dyDescent="0.25">
      <c r="A1813" s="2">
        <v>6</v>
      </c>
      <c r="B1813" s="2">
        <f t="shared" si="1429"/>
        <v>0</v>
      </c>
      <c r="C1813" s="2" t="str">
        <f t="shared" si="1430"/>
        <v>Elite</v>
      </c>
      <c r="D1813" s="2">
        <f t="shared" si="1431"/>
        <v>0</v>
      </c>
      <c r="E1813" s="2" t="str">
        <f t="shared" si="1432"/>
        <v>W</v>
      </c>
      <c r="F1813" s="2" t="str">
        <f t="shared" si="1432"/>
        <v>Elite</v>
      </c>
      <c r="G1813" s="2" t="str">
        <f t="shared" si="1432"/>
        <v/>
      </c>
      <c r="H1813" s="2" t="str">
        <f t="shared" si="1432"/>
        <v/>
      </c>
      <c r="I1813" s="2" t="str">
        <f t="shared" si="1432"/>
        <v/>
      </c>
      <c r="J1813" s="2" t="str">
        <f t="shared" si="1432"/>
        <v/>
      </c>
      <c r="K1813" s="2" t="str">
        <f t="shared" si="1432"/>
        <v/>
      </c>
      <c r="L1813" s="2" t="str">
        <f t="shared" si="1432"/>
        <v/>
      </c>
      <c r="M1813" s="180" t="str">
        <f t="shared" si="1432"/>
        <v/>
      </c>
      <c r="N1813" s="2" t="str">
        <f t="shared" si="1365"/>
        <v/>
      </c>
      <c r="O1813" s="2">
        <f t="shared" si="1371"/>
        <v>0</v>
      </c>
    </row>
    <row r="1814" spans="1:15" x14ac:dyDescent="0.25">
      <c r="A1814" s="325">
        <v>1</v>
      </c>
      <c r="B1814" s="325">
        <f>TrialNumberDay2</f>
        <v>0</v>
      </c>
      <c r="C1814" s="325" t="s">
        <v>2034</v>
      </c>
      <c r="D1814" s="325">
        <f>Elite!C57</f>
        <v>0</v>
      </c>
      <c r="E1814" s="325" t="str">
        <f>IF(Elite!B57="W","W","A")</f>
        <v>W</v>
      </c>
      <c r="F1814" s="325" t="s">
        <v>2034</v>
      </c>
      <c r="G1814" s="325" t="str">
        <f>IF(Elite!F57="e","Y","")</f>
        <v/>
      </c>
      <c r="H1814" s="325" t="str">
        <f>IFERROR(VLOOKUP($D1814,'SDDA Dogs'!$A:$AE,2,FALSE),"")</f>
        <v/>
      </c>
      <c r="I1814" s="325" t="str">
        <f>IFERROR(VLOOKUP($D1814,'SDDA Dogs'!$A:$AE,3,FALSE),"")</f>
        <v/>
      </c>
      <c r="J1814" s="325" t="str">
        <f>IFERROR(VLOOKUP($D1814,'SDDA Dogs'!$A:$AE,6,FALSE),"")</f>
        <v/>
      </c>
      <c r="K1814" s="325" t="str">
        <f>IF(Elite!AR57="","",Elite!AR57)</f>
        <v/>
      </c>
      <c r="L1814" s="325" t="str">
        <f>IF(Elite!AS57="","",Elite!AS57)</f>
        <v/>
      </c>
      <c r="M1814" s="326" t="str">
        <f>TrialDateDay2</f>
        <v/>
      </c>
      <c r="N1814" s="325" t="str">
        <f>N1809</f>
        <v/>
      </c>
      <c r="O1814" s="325">
        <f t="shared" si="1371"/>
        <v>0</v>
      </c>
    </row>
    <row r="1815" spans="1:15" x14ac:dyDescent="0.25">
      <c r="A1815" s="2">
        <v>2</v>
      </c>
      <c r="B1815" s="2">
        <f>B1814</f>
        <v>0</v>
      </c>
      <c r="C1815" s="2" t="str">
        <f>C1814</f>
        <v>Elite</v>
      </c>
      <c r="D1815" s="2">
        <f>D1814</f>
        <v>0</v>
      </c>
      <c r="E1815" s="2" t="str">
        <f>E1814</f>
        <v>W</v>
      </c>
      <c r="F1815" s="2" t="str">
        <f t="shared" si="1372"/>
        <v>Elite</v>
      </c>
      <c r="G1815" s="2" t="str">
        <f t="shared" ref="G1815:M1819" si="1433">G1814</f>
        <v/>
      </c>
      <c r="H1815" s="2" t="str">
        <f t="shared" si="1433"/>
        <v/>
      </c>
      <c r="I1815" s="2" t="str">
        <f t="shared" si="1433"/>
        <v/>
      </c>
      <c r="J1815" s="2" t="str">
        <f t="shared" si="1433"/>
        <v/>
      </c>
      <c r="K1815" s="2" t="str">
        <f t="shared" si="1433"/>
        <v/>
      </c>
      <c r="L1815" s="2" t="str">
        <f t="shared" si="1433"/>
        <v/>
      </c>
      <c r="M1815" s="180" t="str">
        <f t="shared" si="1433"/>
        <v/>
      </c>
      <c r="N1815" s="2" t="str">
        <f t="shared" si="1365"/>
        <v/>
      </c>
      <c r="O1815" s="2">
        <f t="shared" si="1371"/>
        <v>0</v>
      </c>
    </row>
    <row r="1816" spans="1:15" x14ac:dyDescent="0.25">
      <c r="A1816" s="327">
        <v>3</v>
      </c>
      <c r="B1816" s="2">
        <f t="shared" ref="B1816:B1819" si="1434">B1815</f>
        <v>0</v>
      </c>
      <c r="C1816" s="2" t="str">
        <f t="shared" ref="C1816:C1819" si="1435">C1815</f>
        <v>Elite</v>
      </c>
      <c r="D1816" s="2">
        <f t="shared" ref="D1816:D1819" si="1436">D1815</f>
        <v>0</v>
      </c>
      <c r="E1816" s="2" t="str">
        <f t="shared" ref="E1816:E1819" si="1437">E1815</f>
        <v>W</v>
      </c>
      <c r="F1816" s="2" t="str">
        <f t="shared" si="1372"/>
        <v>Elite</v>
      </c>
      <c r="G1816" s="2" t="str">
        <f t="shared" si="1433"/>
        <v/>
      </c>
      <c r="H1816" s="2" t="str">
        <f t="shared" si="1433"/>
        <v/>
      </c>
      <c r="I1816" s="2" t="str">
        <f t="shared" si="1433"/>
        <v/>
      </c>
      <c r="J1816" s="2" t="str">
        <f t="shared" si="1433"/>
        <v/>
      </c>
      <c r="K1816" s="2" t="str">
        <f t="shared" si="1433"/>
        <v/>
      </c>
      <c r="L1816" s="2" t="str">
        <f t="shared" si="1433"/>
        <v/>
      </c>
      <c r="M1816" s="180" t="str">
        <f t="shared" si="1433"/>
        <v/>
      </c>
      <c r="N1816" s="2" t="str">
        <f t="shared" si="1365"/>
        <v/>
      </c>
      <c r="O1816" s="2">
        <f t="shared" si="1371"/>
        <v>0</v>
      </c>
    </row>
    <row r="1817" spans="1:15" x14ac:dyDescent="0.25">
      <c r="A1817" s="2">
        <v>4</v>
      </c>
      <c r="B1817" s="2">
        <f t="shared" si="1434"/>
        <v>0</v>
      </c>
      <c r="C1817" s="2" t="str">
        <f t="shared" si="1435"/>
        <v>Elite</v>
      </c>
      <c r="D1817" s="2">
        <f t="shared" si="1436"/>
        <v>0</v>
      </c>
      <c r="E1817" s="2" t="str">
        <f t="shared" si="1437"/>
        <v>W</v>
      </c>
      <c r="F1817" s="2" t="str">
        <f t="shared" si="1372"/>
        <v>Elite</v>
      </c>
      <c r="G1817" s="2" t="str">
        <f t="shared" si="1433"/>
        <v/>
      </c>
      <c r="H1817" s="2" t="str">
        <f t="shared" si="1433"/>
        <v/>
      </c>
      <c r="I1817" s="2" t="str">
        <f t="shared" si="1433"/>
        <v/>
      </c>
      <c r="J1817" s="2" t="str">
        <f t="shared" si="1433"/>
        <v/>
      </c>
      <c r="K1817" s="2" t="str">
        <f t="shared" si="1433"/>
        <v/>
      </c>
      <c r="L1817" s="2" t="str">
        <f t="shared" si="1433"/>
        <v/>
      </c>
      <c r="M1817" s="180" t="str">
        <f t="shared" si="1433"/>
        <v/>
      </c>
      <c r="N1817" s="2" t="str">
        <f t="shared" si="1365"/>
        <v/>
      </c>
      <c r="O1817" s="2">
        <f t="shared" si="1371"/>
        <v>0</v>
      </c>
    </row>
    <row r="1818" spans="1:15" x14ac:dyDescent="0.25">
      <c r="A1818" s="327">
        <v>5</v>
      </c>
      <c r="B1818" s="2">
        <f t="shared" si="1434"/>
        <v>0</v>
      </c>
      <c r="C1818" s="2" t="str">
        <f t="shared" si="1435"/>
        <v>Elite</v>
      </c>
      <c r="D1818" s="2">
        <f t="shared" si="1436"/>
        <v>0</v>
      </c>
      <c r="E1818" s="2" t="str">
        <f t="shared" si="1437"/>
        <v>W</v>
      </c>
      <c r="F1818" s="2" t="str">
        <f t="shared" si="1372"/>
        <v>Elite</v>
      </c>
      <c r="G1818" s="2" t="str">
        <f t="shared" si="1433"/>
        <v/>
      </c>
      <c r="H1818" s="2" t="str">
        <f t="shared" si="1433"/>
        <v/>
      </c>
      <c r="I1818" s="2" t="str">
        <f t="shared" si="1433"/>
        <v/>
      </c>
      <c r="J1818" s="2" t="str">
        <f t="shared" si="1433"/>
        <v/>
      </c>
      <c r="K1818" s="2" t="str">
        <f t="shared" si="1433"/>
        <v/>
      </c>
      <c r="L1818" s="2" t="str">
        <f t="shared" si="1433"/>
        <v/>
      </c>
      <c r="M1818" s="180" t="str">
        <f t="shared" si="1433"/>
        <v/>
      </c>
      <c r="N1818" s="2" t="str">
        <f t="shared" si="1365"/>
        <v/>
      </c>
      <c r="O1818" s="2">
        <f t="shared" si="1371"/>
        <v>0</v>
      </c>
    </row>
    <row r="1819" spans="1:15" x14ac:dyDescent="0.25">
      <c r="A1819" s="2">
        <v>6</v>
      </c>
      <c r="B1819" s="2">
        <f t="shared" si="1434"/>
        <v>0</v>
      </c>
      <c r="C1819" s="2" t="str">
        <f t="shared" si="1435"/>
        <v>Elite</v>
      </c>
      <c r="D1819" s="2">
        <f t="shared" si="1436"/>
        <v>0</v>
      </c>
      <c r="E1819" s="2" t="str">
        <f t="shared" si="1437"/>
        <v>W</v>
      </c>
      <c r="F1819" s="2" t="str">
        <f t="shared" si="1372"/>
        <v>Elite</v>
      </c>
      <c r="G1819" s="2" t="str">
        <f t="shared" si="1433"/>
        <v/>
      </c>
      <c r="H1819" s="2" t="str">
        <f t="shared" si="1433"/>
        <v/>
      </c>
      <c r="I1819" s="2" t="str">
        <f t="shared" si="1433"/>
        <v/>
      </c>
      <c r="J1819" s="2" t="str">
        <f t="shared" si="1433"/>
        <v/>
      </c>
      <c r="K1819" s="2" t="str">
        <f t="shared" si="1433"/>
        <v/>
      </c>
      <c r="L1819" s="2" t="str">
        <f t="shared" si="1433"/>
        <v/>
      </c>
      <c r="M1819" s="180" t="str">
        <f t="shared" si="1433"/>
        <v/>
      </c>
      <c r="N1819" s="2" t="str">
        <f t="shared" si="1365"/>
        <v/>
      </c>
      <c r="O1819" s="2">
        <f t="shared" si="1371"/>
        <v>0</v>
      </c>
    </row>
    <row r="1820" spans="1:15" x14ac:dyDescent="0.25">
      <c r="A1820" s="325">
        <v>1</v>
      </c>
      <c r="B1820" s="325">
        <f>TrialNumberDay2</f>
        <v>0</v>
      </c>
      <c r="C1820" s="325" t="s">
        <v>2034</v>
      </c>
      <c r="D1820" s="325">
        <f>Elite!C58</f>
        <v>0</v>
      </c>
      <c r="E1820" s="325" t="str">
        <f>IF(Elite!B58="W","W","A")</f>
        <v>W</v>
      </c>
      <c r="F1820" s="325" t="s">
        <v>2034</v>
      </c>
      <c r="G1820" s="325" t="str">
        <f>IF(Elite!F58="e","Y","")</f>
        <v/>
      </c>
      <c r="H1820" s="325" t="str">
        <f>IFERROR(VLOOKUP($D1820,'SDDA Dogs'!$A:$AE,2,FALSE),"")</f>
        <v/>
      </c>
      <c r="I1820" s="325" t="str">
        <f>IFERROR(VLOOKUP($D1820,'SDDA Dogs'!$A:$AE,3,FALSE),"")</f>
        <v/>
      </c>
      <c r="J1820" s="325" t="str">
        <f>IFERROR(VLOOKUP($D1820,'SDDA Dogs'!$A:$AE,6,FALSE),"")</f>
        <v/>
      </c>
      <c r="K1820" s="325" t="str">
        <f>IF(Elite!AR58="","",Elite!AR58)</f>
        <v/>
      </c>
      <c r="L1820" s="325" t="str">
        <f>IF(Elite!AS58="","",Elite!AS58)</f>
        <v/>
      </c>
      <c r="M1820" s="326" t="str">
        <f>TrialDateDay2</f>
        <v/>
      </c>
      <c r="N1820" s="325" t="str">
        <f>N1815</f>
        <v/>
      </c>
      <c r="O1820" s="325">
        <f t="shared" si="1371"/>
        <v>0</v>
      </c>
    </row>
    <row r="1821" spans="1:15" x14ac:dyDescent="0.25">
      <c r="A1821" s="2">
        <v>2</v>
      </c>
      <c r="B1821" s="2">
        <f>B1820</f>
        <v>0</v>
      </c>
      <c r="C1821" s="2" t="str">
        <f>C1820</f>
        <v>Elite</v>
      </c>
      <c r="D1821" s="2">
        <f>D1820</f>
        <v>0</v>
      </c>
      <c r="E1821" s="2" t="str">
        <f>E1820</f>
        <v>W</v>
      </c>
      <c r="F1821" s="2" t="str">
        <f t="shared" si="1372"/>
        <v>Elite</v>
      </c>
      <c r="G1821" s="2" t="str">
        <f t="shared" ref="G1821:M1821" si="1438">G1820</f>
        <v/>
      </c>
      <c r="H1821" s="2" t="str">
        <f t="shared" si="1438"/>
        <v/>
      </c>
      <c r="I1821" s="2" t="str">
        <f t="shared" si="1438"/>
        <v/>
      </c>
      <c r="J1821" s="2" t="str">
        <f t="shared" si="1438"/>
        <v/>
      </c>
      <c r="K1821" s="2" t="str">
        <f t="shared" si="1438"/>
        <v/>
      </c>
      <c r="L1821" s="2" t="str">
        <f t="shared" si="1438"/>
        <v/>
      </c>
      <c r="M1821" s="180" t="str">
        <f t="shared" si="1438"/>
        <v/>
      </c>
      <c r="N1821" s="2" t="str">
        <f t="shared" si="1365"/>
        <v/>
      </c>
      <c r="O1821" s="2">
        <f t="shared" si="1371"/>
        <v>0</v>
      </c>
    </row>
    <row r="1822" spans="1:15" x14ac:dyDescent="0.25">
      <c r="A1822" s="327">
        <v>3</v>
      </c>
      <c r="B1822" s="2">
        <f t="shared" ref="B1822:B1825" si="1439">B1821</f>
        <v>0</v>
      </c>
      <c r="C1822" s="2" t="str">
        <f t="shared" ref="C1822:C1825" si="1440">C1821</f>
        <v>Elite</v>
      </c>
      <c r="D1822" s="2">
        <f t="shared" ref="D1822:D1825" si="1441">D1821</f>
        <v>0</v>
      </c>
      <c r="E1822" s="2" t="str">
        <f t="shared" ref="E1822:M1825" si="1442">E1821</f>
        <v>W</v>
      </c>
      <c r="F1822" s="2" t="str">
        <f t="shared" si="1442"/>
        <v>Elite</v>
      </c>
      <c r="G1822" s="2" t="str">
        <f t="shared" si="1442"/>
        <v/>
      </c>
      <c r="H1822" s="2" t="str">
        <f t="shared" si="1442"/>
        <v/>
      </c>
      <c r="I1822" s="2" t="str">
        <f t="shared" si="1442"/>
        <v/>
      </c>
      <c r="J1822" s="2" t="str">
        <f t="shared" si="1442"/>
        <v/>
      </c>
      <c r="K1822" s="2" t="str">
        <f t="shared" si="1442"/>
        <v/>
      </c>
      <c r="L1822" s="2" t="str">
        <f t="shared" si="1442"/>
        <v/>
      </c>
      <c r="M1822" s="180" t="str">
        <f t="shared" si="1442"/>
        <v/>
      </c>
      <c r="N1822" s="2" t="str">
        <f t="shared" si="1365"/>
        <v/>
      </c>
      <c r="O1822" s="2">
        <f t="shared" si="1371"/>
        <v>0</v>
      </c>
    </row>
    <row r="1823" spans="1:15" x14ac:dyDescent="0.25">
      <c r="A1823" s="2">
        <v>4</v>
      </c>
      <c r="B1823" s="2">
        <f t="shared" si="1439"/>
        <v>0</v>
      </c>
      <c r="C1823" s="2" t="str">
        <f t="shared" si="1440"/>
        <v>Elite</v>
      </c>
      <c r="D1823" s="2">
        <f t="shared" si="1441"/>
        <v>0</v>
      </c>
      <c r="E1823" s="2" t="str">
        <f t="shared" si="1442"/>
        <v>W</v>
      </c>
      <c r="F1823" s="2" t="str">
        <f t="shared" si="1442"/>
        <v>Elite</v>
      </c>
      <c r="G1823" s="2" t="str">
        <f t="shared" si="1442"/>
        <v/>
      </c>
      <c r="H1823" s="2" t="str">
        <f t="shared" si="1442"/>
        <v/>
      </c>
      <c r="I1823" s="2" t="str">
        <f t="shared" si="1442"/>
        <v/>
      </c>
      <c r="J1823" s="2" t="str">
        <f t="shared" si="1442"/>
        <v/>
      </c>
      <c r="K1823" s="2" t="str">
        <f t="shared" si="1442"/>
        <v/>
      </c>
      <c r="L1823" s="2" t="str">
        <f t="shared" si="1442"/>
        <v/>
      </c>
      <c r="M1823" s="180" t="str">
        <f t="shared" si="1442"/>
        <v/>
      </c>
      <c r="N1823" s="2" t="str">
        <f t="shared" si="1365"/>
        <v/>
      </c>
      <c r="O1823" s="2">
        <f t="shared" si="1371"/>
        <v>0</v>
      </c>
    </row>
    <row r="1824" spans="1:15" x14ac:dyDescent="0.25">
      <c r="A1824" s="327">
        <v>5</v>
      </c>
      <c r="B1824" s="2">
        <f t="shared" si="1439"/>
        <v>0</v>
      </c>
      <c r="C1824" s="2" t="str">
        <f t="shared" si="1440"/>
        <v>Elite</v>
      </c>
      <c r="D1824" s="2">
        <f t="shared" si="1441"/>
        <v>0</v>
      </c>
      <c r="E1824" s="2" t="str">
        <f t="shared" si="1442"/>
        <v>W</v>
      </c>
      <c r="F1824" s="2" t="str">
        <f t="shared" si="1442"/>
        <v>Elite</v>
      </c>
      <c r="G1824" s="2" t="str">
        <f t="shared" si="1442"/>
        <v/>
      </c>
      <c r="H1824" s="2" t="str">
        <f t="shared" si="1442"/>
        <v/>
      </c>
      <c r="I1824" s="2" t="str">
        <f t="shared" si="1442"/>
        <v/>
      </c>
      <c r="J1824" s="2" t="str">
        <f t="shared" si="1442"/>
        <v/>
      </c>
      <c r="K1824" s="2" t="str">
        <f t="shared" si="1442"/>
        <v/>
      </c>
      <c r="L1824" s="2" t="str">
        <f t="shared" si="1442"/>
        <v/>
      </c>
      <c r="M1824" s="180" t="str">
        <f t="shared" si="1442"/>
        <v/>
      </c>
      <c r="N1824" s="2" t="str">
        <f t="shared" si="1365"/>
        <v/>
      </c>
      <c r="O1824" s="2">
        <f t="shared" si="1371"/>
        <v>0</v>
      </c>
    </row>
    <row r="1825" spans="1:15" x14ac:dyDescent="0.25">
      <c r="A1825" s="2">
        <v>6</v>
      </c>
      <c r="B1825" s="2">
        <f t="shared" si="1439"/>
        <v>0</v>
      </c>
      <c r="C1825" s="2" t="str">
        <f t="shared" si="1440"/>
        <v>Elite</v>
      </c>
      <c r="D1825" s="2">
        <f t="shared" si="1441"/>
        <v>0</v>
      </c>
      <c r="E1825" s="2" t="str">
        <f t="shared" si="1442"/>
        <v>W</v>
      </c>
      <c r="F1825" s="2" t="str">
        <f t="shared" si="1442"/>
        <v>Elite</v>
      </c>
      <c r="G1825" s="2" t="str">
        <f t="shared" si="1442"/>
        <v/>
      </c>
      <c r="H1825" s="2" t="str">
        <f t="shared" si="1442"/>
        <v/>
      </c>
      <c r="I1825" s="2" t="str">
        <f t="shared" si="1442"/>
        <v/>
      </c>
      <c r="J1825" s="2" t="str">
        <f t="shared" si="1442"/>
        <v/>
      </c>
      <c r="K1825" s="2" t="str">
        <f t="shared" si="1442"/>
        <v/>
      </c>
      <c r="L1825" s="2" t="str">
        <f t="shared" si="1442"/>
        <v/>
      </c>
      <c r="M1825" s="180" t="str">
        <f t="shared" si="1442"/>
        <v/>
      </c>
      <c r="N1825" s="2" t="str">
        <f t="shared" si="1365"/>
        <v/>
      </c>
      <c r="O1825" s="2">
        <f t="shared" si="1371"/>
        <v>0</v>
      </c>
    </row>
    <row r="1826" spans="1:15" x14ac:dyDescent="0.25">
      <c r="A1826" s="325">
        <v>1</v>
      </c>
      <c r="B1826" s="325">
        <f>TrialNumberDay2</f>
        <v>0</v>
      </c>
      <c r="C1826" s="325" t="s">
        <v>2034</v>
      </c>
      <c r="D1826" s="325">
        <f>Elite!C59</f>
        <v>0</v>
      </c>
      <c r="E1826" s="325" t="str">
        <f>IF(Elite!B59="W","W","A")</f>
        <v>W</v>
      </c>
      <c r="F1826" s="325" t="s">
        <v>2034</v>
      </c>
      <c r="G1826" s="325" t="str">
        <f>IF(Elite!F59="e","Y","")</f>
        <v/>
      </c>
      <c r="H1826" s="325" t="str">
        <f>IFERROR(VLOOKUP($D1826,'SDDA Dogs'!$A:$AE,2,FALSE),"")</f>
        <v/>
      </c>
      <c r="I1826" s="325" t="str">
        <f>IFERROR(VLOOKUP($D1826,'SDDA Dogs'!$A:$AE,3,FALSE),"")</f>
        <v/>
      </c>
      <c r="J1826" s="325" t="str">
        <f>IFERROR(VLOOKUP($D1826,'SDDA Dogs'!$A:$AE,6,FALSE),"")</f>
        <v/>
      </c>
      <c r="K1826" s="325" t="str">
        <f>IF(Elite!AR59="","",Elite!AR59)</f>
        <v/>
      </c>
      <c r="L1826" s="325" t="str">
        <f>IF(Elite!AS59="","",Elite!AS59)</f>
        <v/>
      </c>
      <c r="M1826" s="326" t="str">
        <f>TrialDateDay2</f>
        <v/>
      </c>
      <c r="N1826" s="325" t="str">
        <f>N1821</f>
        <v/>
      </c>
      <c r="O1826" s="325">
        <f t="shared" si="1371"/>
        <v>0</v>
      </c>
    </row>
    <row r="1827" spans="1:15" x14ac:dyDescent="0.25">
      <c r="A1827" s="2">
        <v>2</v>
      </c>
      <c r="B1827" s="2">
        <f>B1826</f>
        <v>0</v>
      </c>
      <c r="C1827" s="2" t="str">
        <f>C1826</f>
        <v>Elite</v>
      </c>
      <c r="D1827" s="2">
        <f>D1826</f>
        <v>0</v>
      </c>
      <c r="E1827" s="2" t="str">
        <f>E1826</f>
        <v>W</v>
      </c>
      <c r="F1827" s="2" t="str">
        <f t="shared" si="1372"/>
        <v>Elite</v>
      </c>
      <c r="G1827" s="2" t="str">
        <f t="shared" ref="G1827:M1831" si="1443">G1826</f>
        <v/>
      </c>
      <c r="H1827" s="2" t="str">
        <f t="shared" si="1443"/>
        <v/>
      </c>
      <c r="I1827" s="2" t="str">
        <f t="shared" si="1443"/>
        <v/>
      </c>
      <c r="J1827" s="2" t="str">
        <f t="shared" si="1443"/>
        <v/>
      </c>
      <c r="K1827" s="2" t="str">
        <f t="shared" si="1443"/>
        <v/>
      </c>
      <c r="L1827" s="2" t="str">
        <f t="shared" si="1443"/>
        <v/>
      </c>
      <c r="M1827" s="180" t="str">
        <f t="shared" si="1443"/>
        <v/>
      </c>
      <c r="N1827" s="2" t="str">
        <f t="shared" si="1365"/>
        <v/>
      </c>
      <c r="O1827" s="2">
        <f t="shared" si="1371"/>
        <v>0</v>
      </c>
    </row>
    <row r="1828" spans="1:15" x14ac:dyDescent="0.25">
      <c r="A1828" s="327">
        <v>3</v>
      </c>
      <c r="B1828" s="2">
        <f t="shared" ref="B1828:B1831" si="1444">B1827</f>
        <v>0</v>
      </c>
      <c r="C1828" s="2" t="str">
        <f t="shared" ref="C1828:C1831" si="1445">C1827</f>
        <v>Elite</v>
      </c>
      <c r="D1828" s="2">
        <f t="shared" ref="D1828:D1831" si="1446">D1827</f>
        <v>0</v>
      </c>
      <c r="E1828" s="2" t="str">
        <f t="shared" ref="E1828:E1831" si="1447">E1827</f>
        <v>W</v>
      </c>
      <c r="F1828" s="2" t="str">
        <f t="shared" si="1372"/>
        <v>Elite</v>
      </c>
      <c r="G1828" s="2" t="str">
        <f t="shared" si="1443"/>
        <v/>
      </c>
      <c r="H1828" s="2" t="str">
        <f t="shared" si="1443"/>
        <v/>
      </c>
      <c r="I1828" s="2" t="str">
        <f t="shared" si="1443"/>
        <v/>
      </c>
      <c r="J1828" s="2" t="str">
        <f t="shared" si="1443"/>
        <v/>
      </c>
      <c r="K1828" s="2" t="str">
        <f t="shared" si="1443"/>
        <v/>
      </c>
      <c r="L1828" s="2" t="str">
        <f t="shared" si="1443"/>
        <v/>
      </c>
      <c r="M1828" s="180" t="str">
        <f t="shared" si="1443"/>
        <v/>
      </c>
      <c r="N1828" s="2" t="str">
        <f t="shared" si="1365"/>
        <v/>
      </c>
      <c r="O1828" s="2">
        <f t="shared" si="1371"/>
        <v>0</v>
      </c>
    </row>
    <row r="1829" spans="1:15" x14ac:dyDescent="0.25">
      <c r="A1829" s="2">
        <v>4</v>
      </c>
      <c r="B1829" s="2">
        <f t="shared" si="1444"/>
        <v>0</v>
      </c>
      <c r="C1829" s="2" t="str">
        <f t="shared" si="1445"/>
        <v>Elite</v>
      </c>
      <c r="D1829" s="2">
        <f t="shared" si="1446"/>
        <v>0</v>
      </c>
      <c r="E1829" s="2" t="str">
        <f t="shared" si="1447"/>
        <v>W</v>
      </c>
      <c r="F1829" s="2" t="str">
        <f t="shared" si="1372"/>
        <v>Elite</v>
      </c>
      <c r="G1829" s="2" t="str">
        <f t="shared" si="1443"/>
        <v/>
      </c>
      <c r="H1829" s="2" t="str">
        <f t="shared" si="1443"/>
        <v/>
      </c>
      <c r="I1829" s="2" t="str">
        <f t="shared" si="1443"/>
        <v/>
      </c>
      <c r="J1829" s="2" t="str">
        <f t="shared" si="1443"/>
        <v/>
      </c>
      <c r="K1829" s="2" t="str">
        <f t="shared" si="1443"/>
        <v/>
      </c>
      <c r="L1829" s="2" t="str">
        <f t="shared" si="1443"/>
        <v/>
      </c>
      <c r="M1829" s="180" t="str">
        <f t="shared" si="1443"/>
        <v/>
      </c>
      <c r="N1829" s="2" t="str">
        <f t="shared" si="1365"/>
        <v/>
      </c>
      <c r="O1829" s="2">
        <f t="shared" si="1371"/>
        <v>0</v>
      </c>
    </row>
    <row r="1830" spans="1:15" x14ac:dyDescent="0.25">
      <c r="A1830" s="327">
        <v>5</v>
      </c>
      <c r="B1830" s="2">
        <f t="shared" si="1444"/>
        <v>0</v>
      </c>
      <c r="C1830" s="2" t="str">
        <f t="shared" si="1445"/>
        <v>Elite</v>
      </c>
      <c r="D1830" s="2">
        <f t="shared" si="1446"/>
        <v>0</v>
      </c>
      <c r="E1830" s="2" t="str">
        <f t="shared" si="1447"/>
        <v>W</v>
      </c>
      <c r="F1830" s="2" t="str">
        <f t="shared" si="1372"/>
        <v>Elite</v>
      </c>
      <c r="G1830" s="2" t="str">
        <f t="shared" si="1443"/>
        <v/>
      </c>
      <c r="H1830" s="2" t="str">
        <f t="shared" si="1443"/>
        <v/>
      </c>
      <c r="I1830" s="2" t="str">
        <f t="shared" si="1443"/>
        <v/>
      </c>
      <c r="J1830" s="2" t="str">
        <f t="shared" si="1443"/>
        <v/>
      </c>
      <c r="K1830" s="2" t="str">
        <f t="shared" si="1443"/>
        <v/>
      </c>
      <c r="L1830" s="2" t="str">
        <f t="shared" si="1443"/>
        <v/>
      </c>
      <c r="M1830" s="180" t="str">
        <f t="shared" si="1443"/>
        <v/>
      </c>
      <c r="N1830" s="2" t="str">
        <f t="shared" si="1365"/>
        <v/>
      </c>
      <c r="O1830" s="2">
        <f t="shared" si="1371"/>
        <v>0</v>
      </c>
    </row>
    <row r="1831" spans="1:15" x14ac:dyDescent="0.25">
      <c r="A1831" s="2">
        <v>6</v>
      </c>
      <c r="B1831" s="2">
        <f t="shared" si="1444"/>
        <v>0</v>
      </c>
      <c r="C1831" s="2" t="str">
        <f t="shared" si="1445"/>
        <v>Elite</v>
      </c>
      <c r="D1831" s="2">
        <f t="shared" si="1446"/>
        <v>0</v>
      </c>
      <c r="E1831" s="2" t="str">
        <f t="shared" si="1447"/>
        <v>W</v>
      </c>
      <c r="F1831" s="2" t="str">
        <f t="shared" si="1372"/>
        <v>Elite</v>
      </c>
      <c r="G1831" s="2" t="str">
        <f t="shared" si="1443"/>
        <v/>
      </c>
      <c r="H1831" s="2" t="str">
        <f t="shared" si="1443"/>
        <v/>
      </c>
      <c r="I1831" s="2" t="str">
        <f t="shared" si="1443"/>
        <v/>
      </c>
      <c r="J1831" s="2" t="str">
        <f t="shared" si="1443"/>
        <v/>
      </c>
      <c r="K1831" s="2" t="str">
        <f t="shared" si="1443"/>
        <v/>
      </c>
      <c r="L1831" s="2" t="str">
        <f t="shared" si="1443"/>
        <v/>
      </c>
      <c r="M1831" s="180" t="str">
        <f t="shared" si="1443"/>
        <v/>
      </c>
      <c r="N1831" s="2" t="str">
        <f t="shared" si="1365"/>
        <v/>
      </c>
      <c r="O1831" s="2">
        <f t="shared" si="1371"/>
        <v>0</v>
      </c>
    </row>
    <row r="1832" spans="1:15" x14ac:dyDescent="0.25">
      <c r="A1832" s="325">
        <v>1</v>
      </c>
      <c r="B1832" s="325">
        <f>TrialNumberDay2</f>
        <v>0</v>
      </c>
      <c r="C1832" s="325" t="s">
        <v>2034</v>
      </c>
      <c r="D1832" s="325">
        <f>Elite!C60</f>
        <v>0</v>
      </c>
      <c r="E1832" s="325" t="str">
        <f>IF(Elite!B60="W","W","A")</f>
        <v>W</v>
      </c>
      <c r="F1832" s="325" t="s">
        <v>2034</v>
      </c>
      <c r="G1832" s="325" t="str">
        <f>IF(Elite!F60="e","Y","")</f>
        <v/>
      </c>
      <c r="H1832" s="325" t="str">
        <f>IFERROR(VLOOKUP($D1832,'SDDA Dogs'!$A:$AE,2,FALSE),"")</f>
        <v/>
      </c>
      <c r="I1832" s="325" t="str">
        <f>IFERROR(VLOOKUP($D1832,'SDDA Dogs'!$A:$AE,3,FALSE),"")</f>
        <v/>
      </c>
      <c r="J1832" s="325" t="str">
        <f>IFERROR(VLOOKUP($D1832,'SDDA Dogs'!$A:$AE,6,FALSE),"")</f>
        <v/>
      </c>
      <c r="K1832" s="325" t="str">
        <f>IF(Elite!AR60="","",Elite!AR60)</f>
        <v/>
      </c>
      <c r="L1832" s="325" t="str">
        <f>IF(Elite!AS60="","",Elite!AS60)</f>
        <v/>
      </c>
      <c r="M1832" s="326" t="str">
        <f>TrialDateDay2</f>
        <v/>
      </c>
      <c r="N1832" s="325" t="str">
        <f>N1827</f>
        <v/>
      </c>
      <c r="O1832" s="325">
        <f t="shared" si="1371"/>
        <v>0</v>
      </c>
    </row>
    <row r="1833" spans="1:15" x14ac:dyDescent="0.25">
      <c r="A1833" s="2">
        <v>2</v>
      </c>
      <c r="B1833" s="2">
        <f>B1832</f>
        <v>0</v>
      </c>
      <c r="C1833" s="2" t="str">
        <f>C1832</f>
        <v>Elite</v>
      </c>
      <c r="D1833" s="2">
        <f>D1832</f>
        <v>0</v>
      </c>
      <c r="E1833" s="2" t="str">
        <f>E1832</f>
        <v>W</v>
      </c>
      <c r="F1833" s="2" t="str">
        <f t="shared" si="1372"/>
        <v>Elite</v>
      </c>
      <c r="G1833" s="2" t="str">
        <f t="shared" ref="G1833:M1833" si="1448">G1832</f>
        <v/>
      </c>
      <c r="H1833" s="2" t="str">
        <f t="shared" si="1448"/>
        <v/>
      </c>
      <c r="I1833" s="2" t="str">
        <f t="shared" si="1448"/>
        <v/>
      </c>
      <c r="J1833" s="2" t="str">
        <f t="shared" si="1448"/>
        <v/>
      </c>
      <c r="K1833" s="2" t="str">
        <f t="shared" si="1448"/>
        <v/>
      </c>
      <c r="L1833" s="2" t="str">
        <f t="shared" si="1448"/>
        <v/>
      </c>
      <c r="M1833" s="180" t="str">
        <f t="shared" si="1448"/>
        <v/>
      </c>
      <c r="N1833" s="2" t="str">
        <f t="shared" si="1365"/>
        <v/>
      </c>
      <c r="O1833" s="2">
        <f t="shared" si="1371"/>
        <v>0</v>
      </c>
    </row>
    <row r="1834" spans="1:15" x14ac:dyDescent="0.25">
      <c r="A1834" s="327">
        <v>3</v>
      </c>
      <c r="B1834" s="2">
        <f t="shared" ref="B1834:B1837" si="1449">B1833</f>
        <v>0</v>
      </c>
      <c r="C1834" s="2" t="str">
        <f t="shared" ref="C1834:C1837" si="1450">C1833</f>
        <v>Elite</v>
      </c>
      <c r="D1834" s="2">
        <f t="shared" ref="D1834:D1837" si="1451">D1833</f>
        <v>0</v>
      </c>
      <c r="E1834" s="2" t="str">
        <f t="shared" ref="E1834:M1837" si="1452">E1833</f>
        <v>W</v>
      </c>
      <c r="F1834" s="2" t="str">
        <f t="shared" si="1452"/>
        <v>Elite</v>
      </c>
      <c r="G1834" s="2" t="str">
        <f t="shared" si="1452"/>
        <v/>
      </c>
      <c r="H1834" s="2" t="str">
        <f t="shared" si="1452"/>
        <v/>
      </c>
      <c r="I1834" s="2" t="str">
        <f t="shared" si="1452"/>
        <v/>
      </c>
      <c r="J1834" s="2" t="str">
        <f t="shared" si="1452"/>
        <v/>
      </c>
      <c r="K1834" s="2" t="str">
        <f t="shared" si="1452"/>
        <v/>
      </c>
      <c r="L1834" s="2" t="str">
        <f t="shared" si="1452"/>
        <v/>
      </c>
      <c r="M1834" s="180" t="str">
        <f t="shared" si="1452"/>
        <v/>
      </c>
      <c r="N1834" s="2" t="str">
        <f t="shared" si="1365"/>
        <v/>
      </c>
      <c r="O1834" s="2">
        <f t="shared" si="1371"/>
        <v>0</v>
      </c>
    </row>
    <row r="1835" spans="1:15" x14ac:dyDescent="0.25">
      <c r="A1835" s="2">
        <v>4</v>
      </c>
      <c r="B1835" s="2">
        <f t="shared" si="1449"/>
        <v>0</v>
      </c>
      <c r="C1835" s="2" t="str">
        <f t="shared" si="1450"/>
        <v>Elite</v>
      </c>
      <c r="D1835" s="2">
        <f t="shared" si="1451"/>
        <v>0</v>
      </c>
      <c r="E1835" s="2" t="str">
        <f t="shared" si="1452"/>
        <v>W</v>
      </c>
      <c r="F1835" s="2" t="str">
        <f t="shared" si="1452"/>
        <v>Elite</v>
      </c>
      <c r="G1835" s="2" t="str">
        <f t="shared" si="1452"/>
        <v/>
      </c>
      <c r="H1835" s="2" t="str">
        <f t="shared" si="1452"/>
        <v/>
      </c>
      <c r="I1835" s="2" t="str">
        <f t="shared" si="1452"/>
        <v/>
      </c>
      <c r="J1835" s="2" t="str">
        <f t="shared" si="1452"/>
        <v/>
      </c>
      <c r="K1835" s="2" t="str">
        <f t="shared" si="1452"/>
        <v/>
      </c>
      <c r="L1835" s="2" t="str">
        <f t="shared" si="1452"/>
        <v/>
      </c>
      <c r="M1835" s="180" t="str">
        <f t="shared" si="1452"/>
        <v/>
      </c>
      <c r="N1835" s="2" t="str">
        <f t="shared" si="1365"/>
        <v/>
      </c>
      <c r="O1835" s="2">
        <f t="shared" ref="O1835:O1837" si="1453">IF(JudgeD2CSL = JudgeD2ISL, IF(JudgeD2ESL = JudgeD2CSL, JudgeD2CSL, "Multiple Judges"),"Multiple Judges")</f>
        <v>0</v>
      </c>
    </row>
    <row r="1836" spans="1:15" x14ac:dyDescent="0.25">
      <c r="A1836" s="327">
        <v>5</v>
      </c>
      <c r="B1836" s="2">
        <f t="shared" si="1449"/>
        <v>0</v>
      </c>
      <c r="C1836" s="2" t="str">
        <f t="shared" si="1450"/>
        <v>Elite</v>
      </c>
      <c r="D1836" s="2">
        <f t="shared" si="1451"/>
        <v>0</v>
      </c>
      <c r="E1836" s="2" t="str">
        <f t="shared" si="1452"/>
        <v>W</v>
      </c>
      <c r="F1836" s="2" t="str">
        <f t="shared" si="1452"/>
        <v>Elite</v>
      </c>
      <c r="G1836" s="2" t="str">
        <f t="shared" si="1452"/>
        <v/>
      </c>
      <c r="H1836" s="2" t="str">
        <f t="shared" si="1452"/>
        <v/>
      </c>
      <c r="I1836" s="2" t="str">
        <f t="shared" si="1452"/>
        <v/>
      </c>
      <c r="J1836" s="2" t="str">
        <f t="shared" si="1452"/>
        <v/>
      </c>
      <c r="K1836" s="2" t="str">
        <f t="shared" si="1452"/>
        <v/>
      </c>
      <c r="L1836" s="2" t="str">
        <f t="shared" si="1452"/>
        <v/>
      </c>
      <c r="M1836" s="180" t="str">
        <f t="shared" si="1452"/>
        <v/>
      </c>
      <c r="N1836" s="2" t="str">
        <f t="shared" si="1365"/>
        <v/>
      </c>
      <c r="O1836" s="2">
        <f t="shared" si="1453"/>
        <v>0</v>
      </c>
    </row>
    <row r="1837" spans="1:15" x14ac:dyDescent="0.25">
      <c r="A1837" s="2">
        <v>6</v>
      </c>
      <c r="B1837" s="2">
        <f t="shared" si="1449"/>
        <v>0</v>
      </c>
      <c r="C1837" s="2" t="str">
        <f t="shared" si="1450"/>
        <v>Elite</v>
      </c>
      <c r="D1837" s="2">
        <f t="shared" si="1451"/>
        <v>0</v>
      </c>
      <c r="E1837" s="2" t="str">
        <f t="shared" si="1452"/>
        <v>W</v>
      </c>
      <c r="F1837" s="2" t="str">
        <f t="shared" si="1452"/>
        <v>Elite</v>
      </c>
      <c r="G1837" s="2" t="str">
        <f t="shared" si="1452"/>
        <v/>
      </c>
      <c r="H1837" s="2" t="str">
        <f t="shared" si="1452"/>
        <v/>
      </c>
      <c r="I1837" s="2" t="str">
        <f t="shared" si="1452"/>
        <v/>
      </c>
      <c r="J1837" s="2" t="str">
        <f t="shared" si="1452"/>
        <v/>
      </c>
      <c r="K1837" s="2" t="str">
        <f t="shared" si="1452"/>
        <v/>
      </c>
      <c r="L1837" s="2" t="str">
        <f t="shared" si="1452"/>
        <v/>
      </c>
      <c r="M1837" s="180" t="str">
        <f t="shared" si="1452"/>
        <v/>
      </c>
      <c r="N1837" s="2" t="str">
        <f t="shared" si="1365"/>
        <v/>
      </c>
      <c r="O1837" s="2">
        <f t="shared" si="1453"/>
        <v>0</v>
      </c>
    </row>
    <row r="1838" spans="1:15" x14ac:dyDescent="0.25">
      <c r="A1838" s="325">
        <v>1</v>
      </c>
      <c r="B1838" s="325">
        <f>TrialNumberDay2</f>
        <v>0</v>
      </c>
      <c r="C1838" s="325" t="s">
        <v>2034</v>
      </c>
      <c r="D1838" s="325">
        <f>Elite!C61</f>
        <v>0</v>
      </c>
      <c r="E1838" s="325" t="str">
        <f>IF(Elite!B61="W","W","A")</f>
        <v>W</v>
      </c>
      <c r="F1838" s="325" t="s">
        <v>2034</v>
      </c>
      <c r="G1838" s="325" t="str">
        <f>IF(Elite!F61="e","Y","")</f>
        <v/>
      </c>
      <c r="H1838" s="325" t="str">
        <f>IFERROR(VLOOKUP($D1838,'SDDA Dogs'!$A:$AE,2,FALSE),"")</f>
        <v/>
      </c>
      <c r="I1838" s="325" t="str">
        <f>IFERROR(VLOOKUP($D1838,'SDDA Dogs'!$A:$AE,3,FALSE),"")</f>
        <v/>
      </c>
      <c r="J1838" s="325" t="str">
        <f>IFERROR(VLOOKUP($D1838,'SDDA Dogs'!$A:$AE,6,FALSE),"")</f>
        <v/>
      </c>
      <c r="K1838" s="325" t="str">
        <f>IF(Elite!AR61="","",Elite!AR61)</f>
        <v/>
      </c>
      <c r="L1838" s="325" t="str">
        <f>IF(Elite!AS61="","",Elite!AS61)</f>
        <v/>
      </c>
      <c r="M1838" s="326" t="str">
        <f>TrialDateDay2</f>
        <v/>
      </c>
      <c r="N1838" s="325" t="str">
        <f>N1833</f>
        <v/>
      </c>
      <c r="O1838" s="325">
        <f t="shared" ref="O1838:O1918" si="1454">IF(JudgeD2CSL = JudgeD2ISL, IF(JudgeD2ESL = JudgeD2CSL, JudgeD2CSL, "Multiple Judges"),"Multiple Judges")</f>
        <v>0</v>
      </c>
    </row>
    <row r="1839" spans="1:15" x14ac:dyDescent="0.25">
      <c r="A1839" s="2">
        <v>2</v>
      </c>
      <c r="B1839" s="2">
        <f>B1838</f>
        <v>0</v>
      </c>
      <c r="C1839" s="2" t="str">
        <f>C1838</f>
        <v>Elite</v>
      </c>
      <c r="D1839" s="2">
        <f>D1838</f>
        <v>0</v>
      </c>
      <c r="E1839" s="2" t="str">
        <f>E1838</f>
        <v>W</v>
      </c>
      <c r="F1839" s="2" t="str">
        <f t="shared" si="1372"/>
        <v>Elite</v>
      </c>
      <c r="G1839" s="2" t="str">
        <f t="shared" ref="G1839:M1843" si="1455">G1838</f>
        <v/>
      </c>
      <c r="H1839" s="2" t="str">
        <f t="shared" si="1455"/>
        <v/>
      </c>
      <c r="I1839" s="2" t="str">
        <f t="shared" si="1455"/>
        <v/>
      </c>
      <c r="J1839" s="2" t="str">
        <f t="shared" si="1455"/>
        <v/>
      </c>
      <c r="K1839" s="2" t="str">
        <f t="shared" si="1455"/>
        <v/>
      </c>
      <c r="L1839" s="2" t="str">
        <f t="shared" si="1455"/>
        <v/>
      </c>
      <c r="M1839" s="180" t="str">
        <f t="shared" si="1455"/>
        <v/>
      </c>
      <c r="N1839" s="2" t="str">
        <f t="shared" si="1365"/>
        <v/>
      </c>
      <c r="O1839" s="2">
        <f t="shared" si="1454"/>
        <v>0</v>
      </c>
    </row>
    <row r="1840" spans="1:15" x14ac:dyDescent="0.25">
      <c r="A1840" s="327">
        <v>3</v>
      </c>
      <c r="B1840" s="2">
        <f t="shared" ref="B1840:B1843" si="1456">B1839</f>
        <v>0</v>
      </c>
      <c r="C1840" s="2" t="str">
        <f t="shared" ref="C1840:C1843" si="1457">C1839</f>
        <v>Elite</v>
      </c>
      <c r="D1840" s="2">
        <f t="shared" ref="D1840:D1843" si="1458">D1839</f>
        <v>0</v>
      </c>
      <c r="E1840" s="2" t="str">
        <f t="shared" ref="E1840:E1843" si="1459">E1839</f>
        <v>W</v>
      </c>
      <c r="F1840" s="2" t="str">
        <f t="shared" si="1372"/>
        <v>Elite</v>
      </c>
      <c r="G1840" s="2" t="str">
        <f t="shared" si="1455"/>
        <v/>
      </c>
      <c r="H1840" s="2" t="str">
        <f t="shared" si="1455"/>
        <v/>
      </c>
      <c r="I1840" s="2" t="str">
        <f t="shared" si="1455"/>
        <v/>
      </c>
      <c r="J1840" s="2" t="str">
        <f t="shared" si="1455"/>
        <v/>
      </c>
      <c r="K1840" s="2" t="str">
        <f t="shared" si="1455"/>
        <v/>
      </c>
      <c r="L1840" s="2" t="str">
        <f t="shared" si="1455"/>
        <v/>
      </c>
      <c r="M1840" s="180" t="str">
        <f t="shared" si="1455"/>
        <v/>
      </c>
      <c r="N1840" s="2" t="str">
        <f t="shared" si="1365"/>
        <v/>
      </c>
      <c r="O1840" s="2">
        <f t="shared" si="1454"/>
        <v>0</v>
      </c>
    </row>
    <row r="1841" spans="1:15" x14ac:dyDescent="0.25">
      <c r="A1841" s="2">
        <v>4</v>
      </c>
      <c r="B1841" s="2">
        <f t="shared" si="1456"/>
        <v>0</v>
      </c>
      <c r="C1841" s="2" t="str">
        <f t="shared" si="1457"/>
        <v>Elite</v>
      </c>
      <c r="D1841" s="2">
        <f t="shared" si="1458"/>
        <v>0</v>
      </c>
      <c r="E1841" s="2" t="str">
        <f t="shared" si="1459"/>
        <v>W</v>
      </c>
      <c r="F1841" s="2" t="str">
        <f t="shared" si="1372"/>
        <v>Elite</v>
      </c>
      <c r="G1841" s="2" t="str">
        <f t="shared" si="1455"/>
        <v/>
      </c>
      <c r="H1841" s="2" t="str">
        <f t="shared" si="1455"/>
        <v/>
      </c>
      <c r="I1841" s="2" t="str">
        <f t="shared" si="1455"/>
        <v/>
      </c>
      <c r="J1841" s="2" t="str">
        <f t="shared" si="1455"/>
        <v/>
      </c>
      <c r="K1841" s="2" t="str">
        <f t="shared" si="1455"/>
        <v/>
      </c>
      <c r="L1841" s="2" t="str">
        <f t="shared" si="1455"/>
        <v/>
      </c>
      <c r="M1841" s="180" t="str">
        <f t="shared" si="1455"/>
        <v/>
      </c>
      <c r="N1841" s="2" t="str">
        <f t="shared" si="1365"/>
        <v/>
      </c>
      <c r="O1841" s="2">
        <f t="shared" si="1454"/>
        <v>0</v>
      </c>
    </row>
    <row r="1842" spans="1:15" x14ac:dyDescent="0.25">
      <c r="A1842" s="327">
        <v>5</v>
      </c>
      <c r="B1842" s="2">
        <f t="shared" si="1456"/>
        <v>0</v>
      </c>
      <c r="C1842" s="2" t="str">
        <f t="shared" si="1457"/>
        <v>Elite</v>
      </c>
      <c r="D1842" s="2">
        <f t="shared" si="1458"/>
        <v>0</v>
      </c>
      <c r="E1842" s="2" t="str">
        <f t="shared" si="1459"/>
        <v>W</v>
      </c>
      <c r="F1842" s="2" t="str">
        <f t="shared" si="1372"/>
        <v>Elite</v>
      </c>
      <c r="G1842" s="2" t="str">
        <f t="shared" si="1455"/>
        <v/>
      </c>
      <c r="H1842" s="2" t="str">
        <f t="shared" si="1455"/>
        <v/>
      </c>
      <c r="I1842" s="2" t="str">
        <f t="shared" si="1455"/>
        <v/>
      </c>
      <c r="J1842" s="2" t="str">
        <f t="shared" si="1455"/>
        <v/>
      </c>
      <c r="K1842" s="2" t="str">
        <f t="shared" si="1455"/>
        <v/>
      </c>
      <c r="L1842" s="2" t="str">
        <f t="shared" si="1455"/>
        <v/>
      </c>
      <c r="M1842" s="180" t="str">
        <f t="shared" si="1455"/>
        <v/>
      </c>
      <c r="N1842" s="2" t="str">
        <f t="shared" si="1365"/>
        <v/>
      </c>
      <c r="O1842" s="2">
        <f t="shared" si="1454"/>
        <v>0</v>
      </c>
    </row>
    <row r="1843" spans="1:15" x14ac:dyDescent="0.25">
      <c r="A1843" s="2">
        <v>6</v>
      </c>
      <c r="B1843" s="2">
        <f t="shared" si="1456"/>
        <v>0</v>
      </c>
      <c r="C1843" s="2" t="str">
        <f t="shared" si="1457"/>
        <v>Elite</v>
      </c>
      <c r="D1843" s="2">
        <f t="shared" si="1458"/>
        <v>0</v>
      </c>
      <c r="E1843" s="2" t="str">
        <f t="shared" si="1459"/>
        <v>W</v>
      </c>
      <c r="F1843" s="2" t="str">
        <f t="shared" si="1372"/>
        <v>Elite</v>
      </c>
      <c r="G1843" s="2" t="str">
        <f t="shared" si="1455"/>
        <v/>
      </c>
      <c r="H1843" s="2" t="str">
        <f t="shared" si="1455"/>
        <v/>
      </c>
      <c r="I1843" s="2" t="str">
        <f t="shared" si="1455"/>
        <v/>
      </c>
      <c r="J1843" s="2" t="str">
        <f t="shared" si="1455"/>
        <v/>
      </c>
      <c r="K1843" s="2" t="str">
        <f t="shared" si="1455"/>
        <v/>
      </c>
      <c r="L1843" s="2" t="str">
        <f t="shared" si="1455"/>
        <v/>
      </c>
      <c r="M1843" s="180" t="str">
        <f t="shared" si="1455"/>
        <v/>
      </c>
      <c r="N1843" s="2" t="str">
        <f t="shared" si="1365"/>
        <v/>
      </c>
      <c r="O1843" s="2">
        <f t="shared" si="1454"/>
        <v>0</v>
      </c>
    </row>
    <row r="1844" spans="1:15" x14ac:dyDescent="0.25">
      <c r="A1844" s="325">
        <v>1</v>
      </c>
      <c r="B1844" s="325">
        <f>TrialNumberDay2</f>
        <v>0</v>
      </c>
      <c r="C1844" s="325" t="s">
        <v>2034</v>
      </c>
      <c r="D1844" s="325">
        <f>Elite!C62</f>
        <v>0</v>
      </c>
      <c r="E1844" s="325" t="str">
        <f>IF(Elite!B62="W","W","A")</f>
        <v>W</v>
      </c>
      <c r="F1844" s="325" t="s">
        <v>2034</v>
      </c>
      <c r="G1844" s="325" t="str">
        <f>IF(Elite!F62="e","Y","")</f>
        <v/>
      </c>
      <c r="H1844" s="325" t="str">
        <f>IFERROR(VLOOKUP($D1844,'SDDA Dogs'!$A:$AE,2,FALSE),"")</f>
        <v/>
      </c>
      <c r="I1844" s="325" t="str">
        <f>IFERROR(VLOOKUP($D1844,'SDDA Dogs'!$A:$AE,3,FALSE),"")</f>
        <v/>
      </c>
      <c r="J1844" s="325" t="str">
        <f>IFERROR(VLOOKUP($D1844,'SDDA Dogs'!$A:$AE,6,FALSE),"")</f>
        <v/>
      </c>
      <c r="K1844" s="325" t="str">
        <f>IF(Elite!AR62="","",Elite!AR62)</f>
        <v/>
      </c>
      <c r="L1844" s="325" t="str">
        <f>IF(Elite!AS62="","",Elite!AS62)</f>
        <v/>
      </c>
      <c r="M1844" s="326" t="str">
        <f>TrialDateDay2</f>
        <v/>
      </c>
      <c r="N1844" s="325" t="str">
        <f>N1839</f>
        <v/>
      </c>
      <c r="O1844" s="325">
        <f t="shared" si="1454"/>
        <v>0</v>
      </c>
    </row>
    <row r="1845" spans="1:15" x14ac:dyDescent="0.25">
      <c r="A1845" s="2">
        <v>2</v>
      </c>
      <c r="B1845" s="2">
        <f>B1844</f>
        <v>0</v>
      </c>
      <c r="C1845" s="2" t="str">
        <f>C1844</f>
        <v>Elite</v>
      </c>
      <c r="D1845" s="2">
        <f>D1844</f>
        <v>0</v>
      </c>
      <c r="E1845" s="2" t="str">
        <f>E1844</f>
        <v>W</v>
      </c>
      <c r="F1845" s="2" t="str">
        <f t="shared" si="1372"/>
        <v>Elite</v>
      </c>
      <c r="G1845" s="2" t="str">
        <f t="shared" ref="G1845:M1845" si="1460">G1844</f>
        <v/>
      </c>
      <c r="H1845" s="2" t="str">
        <f t="shared" si="1460"/>
        <v/>
      </c>
      <c r="I1845" s="2" t="str">
        <f t="shared" si="1460"/>
        <v/>
      </c>
      <c r="J1845" s="2" t="str">
        <f t="shared" si="1460"/>
        <v/>
      </c>
      <c r="K1845" s="2" t="str">
        <f t="shared" si="1460"/>
        <v/>
      </c>
      <c r="L1845" s="2" t="str">
        <f t="shared" si="1460"/>
        <v/>
      </c>
      <c r="M1845" s="180" t="str">
        <f t="shared" si="1460"/>
        <v/>
      </c>
      <c r="N1845" s="2" t="str">
        <f t="shared" si="1365"/>
        <v/>
      </c>
      <c r="O1845" s="2">
        <f t="shared" si="1454"/>
        <v>0</v>
      </c>
    </row>
    <row r="1846" spans="1:15" x14ac:dyDescent="0.25">
      <c r="A1846" s="327">
        <v>3</v>
      </c>
      <c r="B1846" s="2">
        <f t="shared" ref="B1846:B1849" si="1461">B1845</f>
        <v>0</v>
      </c>
      <c r="C1846" s="2" t="str">
        <f t="shared" ref="C1846:C1849" si="1462">C1845</f>
        <v>Elite</v>
      </c>
      <c r="D1846" s="2">
        <f t="shared" ref="D1846:D1849" si="1463">D1845</f>
        <v>0</v>
      </c>
      <c r="E1846" s="2" t="str">
        <f t="shared" ref="E1846:M1849" si="1464">E1845</f>
        <v>W</v>
      </c>
      <c r="F1846" s="2" t="str">
        <f t="shared" si="1464"/>
        <v>Elite</v>
      </c>
      <c r="G1846" s="2" t="str">
        <f t="shared" si="1464"/>
        <v/>
      </c>
      <c r="H1846" s="2" t="str">
        <f t="shared" si="1464"/>
        <v/>
      </c>
      <c r="I1846" s="2" t="str">
        <f t="shared" si="1464"/>
        <v/>
      </c>
      <c r="J1846" s="2" t="str">
        <f t="shared" si="1464"/>
        <v/>
      </c>
      <c r="K1846" s="2" t="str">
        <f t="shared" si="1464"/>
        <v/>
      </c>
      <c r="L1846" s="2" t="str">
        <f t="shared" si="1464"/>
        <v/>
      </c>
      <c r="M1846" s="180" t="str">
        <f t="shared" si="1464"/>
        <v/>
      </c>
      <c r="N1846" s="2" t="str">
        <f t="shared" si="1365"/>
        <v/>
      </c>
      <c r="O1846" s="2">
        <f t="shared" si="1454"/>
        <v>0</v>
      </c>
    </row>
    <row r="1847" spans="1:15" x14ac:dyDescent="0.25">
      <c r="A1847" s="2">
        <v>4</v>
      </c>
      <c r="B1847" s="2">
        <f t="shared" si="1461"/>
        <v>0</v>
      </c>
      <c r="C1847" s="2" t="str">
        <f t="shared" si="1462"/>
        <v>Elite</v>
      </c>
      <c r="D1847" s="2">
        <f t="shared" si="1463"/>
        <v>0</v>
      </c>
      <c r="E1847" s="2" t="str">
        <f t="shared" si="1464"/>
        <v>W</v>
      </c>
      <c r="F1847" s="2" t="str">
        <f t="shared" si="1464"/>
        <v>Elite</v>
      </c>
      <c r="G1847" s="2" t="str">
        <f t="shared" si="1464"/>
        <v/>
      </c>
      <c r="H1847" s="2" t="str">
        <f t="shared" si="1464"/>
        <v/>
      </c>
      <c r="I1847" s="2" t="str">
        <f t="shared" si="1464"/>
        <v/>
      </c>
      <c r="J1847" s="2" t="str">
        <f t="shared" si="1464"/>
        <v/>
      </c>
      <c r="K1847" s="2" t="str">
        <f t="shared" si="1464"/>
        <v/>
      </c>
      <c r="L1847" s="2" t="str">
        <f t="shared" si="1464"/>
        <v/>
      </c>
      <c r="M1847" s="180" t="str">
        <f t="shared" si="1464"/>
        <v/>
      </c>
      <c r="N1847" s="2" t="str">
        <f t="shared" si="1365"/>
        <v/>
      </c>
      <c r="O1847" s="2">
        <f t="shared" si="1454"/>
        <v>0</v>
      </c>
    </row>
    <row r="1848" spans="1:15" x14ac:dyDescent="0.25">
      <c r="A1848" s="327">
        <v>5</v>
      </c>
      <c r="B1848" s="2">
        <f t="shared" si="1461"/>
        <v>0</v>
      </c>
      <c r="C1848" s="2" t="str">
        <f t="shared" si="1462"/>
        <v>Elite</v>
      </c>
      <c r="D1848" s="2">
        <f t="shared" si="1463"/>
        <v>0</v>
      </c>
      <c r="E1848" s="2" t="str">
        <f t="shared" si="1464"/>
        <v>W</v>
      </c>
      <c r="F1848" s="2" t="str">
        <f t="shared" si="1464"/>
        <v>Elite</v>
      </c>
      <c r="G1848" s="2" t="str">
        <f t="shared" si="1464"/>
        <v/>
      </c>
      <c r="H1848" s="2" t="str">
        <f t="shared" si="1464"/>
        <v/>
      </c>
      <c r="I1848" s="2" t="str">
        <f t="shared" si="1464"/>
        <v/>
      </c>
      <c r="J1848" s="2" t="str">
        <f t="shared" si="1464"/>
        <v/>
      </c>
      <c r="K1848" s="2" t="str">
        <f t="shared" si="1464"/>
        <v/>
      </c>
      <c r="L1848" s="2" t="str">
        <f t="shared" si="1464"/>
        <v/>
      </c>
      <c r="M1848" s="180" t="str">
        <f t="shared" si="1464"/>
        <v/>
      </c>
      <c r="N1848" s="2" t="str">
        <f t="shared" si="1365"/>
        <v/>
      </c>
      <c r="O1848" s="2">
        <f t="shared" si="1454"/>
        <v>0</v>
      </c>
    </row>
    <row r="1849" spans="1:15" x14ac:dyDescent="0.25">
      <c r="A1849" s="2">
        <v>6</v>
      </c>
      <c r="B1849" s="2">
        <f t="shared" si="1461"/>
        <v>0</v>
      </c>
      <c r="C1849" s="2" t="str">
        <f t="shared" si="1462"/>
        <v>Elite</v>
      </c>
      <c r="D1849" s="2">
        <f t="shared" si="1463"/>
        <v>0</v>
      </c>
      <c r="E1849" s="2" t="str">
        <f t="shared" si="1464"/>
        <v>W</v>
      </c>
      <c r="F1849" s="2" t="str">
        <f t="shared" si="1464"/>
        <v>Elite</v>
      </c>
      <c r="G1849" s="2" t="str">
        <f t="shared" si="1464"/>
        <v/>
      </c>
      <c r="H1849" s="2" t="str">
        <f t="shared" si="1464"/>
        <v/>
      </c>
      <c r="I1849" s="2" t="str">
        <f t="shared" si="1464"/>
        <v/>
      </c>
      <c r="J1849" s="2" t="str">
        <f t="shared" si="1464"/>
        <v/>
      </c>
      <c r="K1849" s="2" t="str">
        <f t="shared" si="1464"/>
        <v/>
      </c>
      <c r="L1849" s="2" t="str">
        <f t="shared" si="1464"/>
        <v/>
      </c>
      <c r="M1849" s="180" t="str">
        <f t="shared" si="1464"/>
        <v/>
      </c>
      <c r="N1849" s="2" t="str">
        <f t="shared" si="1365"/>
        <v/>
      </c>
      <c r="O1849" s="2">
        <f t="shared" si="1454"/>
        <v>0</v>
      </c>
    </row>
    <row r="1850" spans="1:15" x14ac:dyDescent="0.25">
      <c r="A1850" s="325">
        <v>1</v>
      </c>
      <c r="B1850" s="325">
        <f>TrialNumberDay2</f>
        <v>0</v>
      </c>
      <c r="C1850" s="325" t="s">
        <v>2034</v>
      </c>
      <c r="D1850" s="325">
        <f>Elite!C63</f>
        <v>0</v>
      </c>
      <c r="E1850" s="325" t="str">
        <f>IF(Elite!B63="W","W","A")</f>
        <v>W</v>
      </c>
      <c r="F1850" s="325" t="s">
        <v>2034</v>
      </c>
      <c r="G1850" s="325" t="str">
        <f>IF(Elite!F63="e","Y","")</f>
        <v/>
      </c>
      <c r="H1850" s="325" t="str">
        <f>IFERROR(VLOOKUP($D1850,'SDDA Dogs'!$A:$AE,2,FALSE),"")</f>
        <v/>
      </c>
      <c r="I1850" s="325" t="str">
        <f>IFERROR(VLOOKUP($D1850,'SDDA Dogs'!$A:$AE,3,FALSE),"")</f>
        <v/>
      </c>
      <c r="J1850" s="325" t="str">
        <f>IFERROR(VLOOKUP($D1850,'SDDA Dogs'!$A:$AE,6,FALSE),"")</f>
        <v/>
      </c>
      <c r="K1850" s="325" t="str">
        <f>IF(Elite!AR63="","",Elite!AR63)</f>
        <v/>
      </c>
      <c r="L1850" s="325" t="str">
        <f>IF(Elite!AS63="","",Elite!AS63)</f>
        <v/>
      </c>
      <c r="M1850" s="326" t="str">
        <f>TrialDateDay2</f>
        <v/>
      </c>
      <c r="N1850" s="325" t="str">
        <f>N1845</f>
        <v/>
      </c>
      <c r="O1850" s="325">
        <f t="shared" si="1454"/>
        <v>0</v>
      </c>
    </row>
    <row r="1851" spans="1:15" x14ac:dyDescent="0.25">
      <c r="A1851" s="2">
        <v>2</v>
      </c>
      <c r="B1851" s="2">
        <f>B1850</f>
        <v>0</v>
      </c>
      <c r="C1851" s="2" t="str">
        <f>C1850</f>
        <v>Elite</v>
      </c>
      <c r="D1851" s="2">
        <f>D1850</f>
        <v>0</v>
      </c>
      <c r="E1851" s="2" t="str">
        <f>E1850</f>
        <v>W</v>
      </c>
      <c r="F1851" s="2" t="str">
        <f t="shared" si="1372"/>
        <v>Elite</v>
      </c>
      <c r="G1851" s="2" t="str">
        <f t="shared" ref="G1851:M1855" si="1465">G1850</f>
        <v/>
      </c>
      <c r="H1851" s="2" t="str">
        <f t="shared" si="1465"/>
        <v/>
      </c>
      <c r="I1851" s="2" t="str">
        <f t="shared" si="1465"/>
        <v/>
      </c>
      <c r="J1851" s="2" t="str">
        <f t="shared" si="1465"/>
        <v/>
      </c>
      <c r="K1851" s="2" t="str">
        <f t="shared" si="1465"/>
        <v/>
      </c>
      <c r="L1851" s="2" t="str">
        <f t="shared" si="1465"/>
        <v/>
      </c>
      <c r="M1851" s="180" t="str">
        <f t="shared" si="1465"/>
        <v/>
      </c>
      <c r="N1851" s="2" t="str">
        <f t="shared" si="1365"/>
        <v/>
      </c>
      <c r="O1851" s="2">
        <f t="shared" si="1454"/>
        <v>0</v>
      </c>
    </row>
    <row r="1852" spans="1:15" x14ac:dyDescent="0.25">
      <c r="A1852" s="327">
        <v>3</v>
      </c>
      <c r="B1852" s="2">
        <f t="shared" ref="B1852:B1855" si="1466">B1851</f>
        <v>0</v>
      </c>
      <c r="C1852" s="2" t="str">
        <f t="shared" ref="C1852:C1855" si="1467">C1851</f>
        <v>Elite</v>
      </c>
      <c r="D1852" s="2">
        <f t="shared" ref="D1852:D1855" si="1468">D1851</f>
        <v>0</v>
      </c>
      <c r="E1852" s="2" t="str">
        <f t="shared" ref="E1852:E1855" si="1469">E1851</f>
        <v>W</v>
      </c>
      <c r="F1852" s="2" t="str">
        <f t="shared" si="1372"/>
        <v>Elite</v>
      </c>
      <c r="G1852" s="2" t="str">
        <f t="shared" si="1465"/>
        <v/>
      </c>
      <c r="H1852" s="2" t="str">
        <f t="shared" si="1465"/>
        <v/>
      </c>
      <c r="I1852" s="2" t="str">
        <f t="shared" si="1465"/>
        <v/>
      </c>
      <c r="J1852" s="2" t="str">
        <f t="shared" si="1465"/>
        <v/>
      </c>
      <c r="K1852" s="2" t="str">
        <f t="shared" si="1465"/>
        <v/>
      </c>
      <c r="L1852" s="2" t="str">
        <f t="shared" si="1465"/>
        <v/>
      </c>
      <c r="M1852" s="180" t="str">
        <f t="shared" si="1465"/>
        <v/>
      </c>
      <c r="N1852" s="2" t="str">
        <f t="shared" si="1365"/>
        <v/>
      </c>
      <c r="O1852" s="2">
        <f t="shared" si="1454"/>
        <v>0</v>
      </c>
    </row>
    <row r="1853" spans="1:15" x14ac:dyDescent="0.25">
      <c r="A1853" s="2">
        <v>4</v>
      </c>
      <c r="B1853" s="2">
        <f t="shared" si="1466"/>
        <v>0</v>
      </c>
      <c r="C1853" s="2" t="str">
        <f t="shared" si="1467"/>
        <v>Elite</v>
      </c>
      <c r="D1853" s="2">
        <f t="shared" si="1468"/>
        <v>0</v>
      </c>
      <c r="E1853" s="2" t="str">
        <f t="shared" si="1469"/>
        <v>W</v>
      </c>
      <c r="F1853" s="2" t="str">
        <f t="shared" si="1372"/>
        <v>Elite</v>
      </c>
      <c r="G1853" s="2" t="str">
        <f t="shared" si="1465"/>
        <v/>
      </c>
      <c r="H1853" s="2" t="str">
        <f t="shared" si="1465"/>
        <v/>
      </c>
      <c r="I1853" s="2" t="str">
        <f t="shared" si="1465"/>
        <v/>
      </c>
      <c r="J1853" s="2" t="str">
        <f t="shared" si="1465"/>
        <v/>
      </c>
      <c r="K1853" s="2" t="str">
        <f t="shared" si="1465"/>
        <v/>
      </c>
      <c r="L1853" s="2" t="str">
        <f t="shared" si="1465"/>
        <v/>
      </c>
      <c r="M1853" s="180" t="str">
        <f t="shared" si="1465"/>
        <v/>
      </c>
      <c r="N1853" s="2" t="str">
        <f t="shared" si="1365"/>
        <v/>
      </c>
      <c r="O1853" s="2">
        <f t="shared" si="1454"/>
        <v>0</v>
      </c>
    </row>
    <row r="1854" spans="1:15" x14ac:dyDescent="0.25">
      <c r="A1854" s="327">
        <v>5</v>
      </c>
      <c r="B1854" s="2">
        <f t="shared" si="1466"/>
        <v>0</v>
      </c>
      <c r="C1854" s="2" t="str">
        <f t="shared" si="1467"/>
        <v>Elite</v>
      </c>
      <c r="D1854" s="2">
        <f t="shared" si="1468"/>
        <v>0</v>
      </c>
      <c r="E1854" s="2" t="str">
        <f t="shared" si="1469"/>
        <v>W</v>
      </c>
      <c r="F1854" s="2" t="str">
        <f t="shared" si="1372"/>
        <v>Elite</v>
      </c>
      <c r="G1854" s="2" t="str">
        <f t="shared" si="1465"/>
        <v/>
      </c>
      <c r="H1854" s="2" t="str">
        <f t="shared" si="1465"/>
        <v/>
      </c>
      <c r="I1854" s="2" t="str">
        <f t="shared" si="1465"/>
        <v/>
      </c>
      <c r="J1854" s="2" t="str">
        <f t="shared" si="1465"/>
        <v/>
      </c>
      <c r="K1854" s="2" t="str">
        <f t="shared" si="1465"/>
        <v/>
      </c>
      <c r="L1854" s="2" t="str">
        <f t="shared" si="1465"/>
        <v/>
      </c>
      <c r="M1854" s="180" t="str">
        <f t="shared" si="1465"/>
        <v/>
      </c>
      <c r="N1854" s="2" t="str">
        <f t="shared" si="1365"/>
        <v/>
      </c>
      <c r="O1854" s="2">
        <f t="shared" si="1454"/>
        <v>0</v>
      </c>
    </row>
    <row r="1855" spans="1:15" x14ac:dyDescent="0.25">
      <c r="A1855" s="2">
        <v>6</v>
      </c>
      <c r="B1855" s="2">
        <f t="shared" si="1466"/>
        <v>0</v>
      </c>
      <c r="C1855" s="2" t="str">
        <f t="shared" si="1467"/>
        <v>Elite</v>
      </c>
      <c r="D1855" s="2">
        <f t="shared" si="1468"/>
        <v>0</v>
      </c>
      <c r="E1855" s="2" t="str">
        <f t="shared" si="1469"/>
        <v>W</v>
      </c>
      <c r="F1855" s="2" t="str">
        <f t="shared" si="1372"/>
        <v>Elite</v>
      </c>
      <c r="G1855" s="2" t="str">
        <f t="shared" si="1465"/>
        <v/>
      </c>
      <c r="H1855" s="2" t="str">
        <f t="shared" si="1465"/>
        <v/>
      </c>
      <c r="I1855" s="2" t="str">
        <f t="shared" si="1465"/>
        <v/>
      </c>
      <c r="J1855" s="2" t="str">
        <f t="shared" si="1465"/>
        <v/>
      </c>
      <c r="K1855" s="2" t="str">
        <f t="shared" si="1465"/>
        <v/>
      </c>
      <c r="L1855" s="2" t="str">
        <f t="shared" si="1465"/>
        <v/>
      </c>
      <c r="M1855" s="180" t="str">
        <f t="shared" si="1465"/>
        <v/>
      </c>
      <c r="N1855" s="2" t="str">
        <f t="shared" si="1365"/>
        <v/>
      </c>
      <c r="O1855" s="2">
        <f t="shared" si="1454"/>
        <v>0</v>
      </c>
    </row>
    <row r="1856" spans="1:15" x14ac:dyDescent="0.25">
      <c r="A1856" s="325">
        <v>1</v>
      </c>
      <c r="B1856" s="325">
        <f>TrialNumberDay2</f>
        <v>0</v>
      </c>
      <c r="C1856" s="325" t="s">
        <v>2034</v>
      </c>
      <c r="D1856" s="325">
        <f>Elite!C64</f>
        <v>0</v>
      </c>
      <c r="E1856" s="325" t="str">
        <f>IF(Elite!B64="W","W","A")</f>
        <v>W</v>
      </c>
      <c r="F1856" s="325" t="s">
        <v>2034</v>
      </c>
      <c r="G1856" s="325" t="str">
        <f>IF(Elite!F64="e","Y","")</f>
        <v/>
      </c>
      <c r="H1856" s="325" t="str">
        <f>IFERROR(VLOOKUP($D1856,'SDDA Dogs'!$A:$AE,2,FALSE),"")</f>
        <v/>
      </c>
      <c r="I1856" s="325" t="str">
        <f>IFERROR(VLOOKUP($D1856,'SDDA Dogs'!$A:$AE,3,FALSE),"")</f>
        <v/>
      </c>
      <c r="J1856" s="325" t="str">
        <f>IFERROR(VLOOKUP($D1856,'SDDA Dogs'!$A:$AE,6,FALSE),"")</f>
        <v/>
      </c>
      <c r="K1856" s="325" t="str">
        <f>IF(Elite!AR64="","",Elite!AR64)</f>
        <v/>
      </c>
      <c r="L1856" s="325" t="str">
        <f>IF(Elite!AS64="","",Elite!AS64)</f>
        <v/>
      </c>
      <c r="M1856" s="326" t="str">
        <f>TrialDateDay2</f>
        <v/>
      </c>
      <c r="N1856" s="325" t="str">
        <f>N1851</f>
        <v/>
      </c>
      <c r="O1856" s="325">
        <f t="shared" si="1454"/>
        <v>0</v>
      </c>
    </row>
    <row r="1857" spans="1:15" x14ac:dyDescent="0.25">
      <c r="A1857" s="2">
        <v>2</v>
      </c>
      <c r="B1857" s="2">
        <f>B1856</f>
        <v>0</v>
      </c>
      <c r="C1857" s="2" t="str">
        <f>C1856</f>
        <v>Elite</v>
      </c>
      <c r="D1857" s="2">
        <f>D1856</f>
        <v>0</v>
      </c>
      <c r="E1857" s="2" t="str">
        <f>E1856</f>
        <v>W</v>
      </c>
      <c r="F1857" s="2" t="str">
        <f t="shared" si="1372"/>
        <v>Elite</v>
      </c>
      <c r="G1857" s="2" t="str">
        <f t="shared" ref="G1857:M1857" si="1470">G1856</f>
        <v/>
      </c>
      <c r="H1857" s="2" t="str">
        <f t="shared" si="1470"/>
        <v/>
      </c>
      <c r="I1857" s="2" t="str">
        <f t="shared" si="1470"/>
        <v/>
      </c>
      <c r="J1857" s="2" t="str">
        <f t="shared" si="1470"/>
        <v/>
      </c>
      <c r="K1857" s="2" t="str">
        <f t="shared" si="1470"/>
        <v/>
      </c>
      <c r="L1857" s="2" t="str">
        <f t="shared" si="1470"/>
        <v/>
      </c>
      <c r="M1857" s="180" t="str">
        <f t="shared" si="1470"/>
        <v/>
      </c>
      <c r="N1857" s="2" t="str">
        <f t="shared" si="1365"/>
        <v/>
      </c>
      <c r="O1857" s="2">
        <f t="shared" si="1454"/>
        <v>0</v>
      </c>
    </row>
    <row r="1858" spans="1:15" x14ac:dyDescent="0.25">
      <c r="A1858" s="327">
        <v>3</v>
      </c>
      <c r="B1858" s="2">
        <f t="shared" ref="B1858:B1861" si="1471">B1857</f>
        <v>0</v>
      </c>
      <c r="C1858" s="2" t="str">
        <f t="shared" ref="C1858:C1861" si="1472">C1857</f>
        <v>Elite</v>
      </c>
      <c r="D1858" s="2">
        <f t="shared" ref="D1858:D1861" si="1473">D1857</f>
        <v>0</v>
      </c>
      <c r="E1858" s="2" t="str">
        <f t="shared" ref="E1858:M1861" si="1474">E1857</f>
        <v>W</v>
      </c>
      <c r="F1858" s="2" t="str">
        <f t="shared" si="1474"/>
        <v>Elite</v>
      </c>
      <c r="G1858" s="2" t="str">
        <f t="shared" si="1474"/>
        <v/>
      </c>
      <c r="H1858" s="2" t="str">
        <f t="shared" si="1474"/>
        <v/>
      </c>
      <c r="I1858" s="2" t="str">
        <f t="shared" si="1474"/>
        <v/>
      </c>
      <c r="J1858" s="2" t="str">
        <f t="shared" si="1474"/>
        <v/>
      </c>
      <c r="K1858" s="2" t="str">
        <f t="shared" si="1474"/>
        <v/>
      </c>
      <c r="L1858" s="2" t="str">
        <f t="shared" si="1474"/>
        <v/>
      </c>
      <c r="M1858" s="180" t="str">
        <f t="shared" si="1474"/>
        <v/>
      </c>
      <c r="N1858" s="2" t="str">
        <f t="shared" si="1365"/>
        <v/>
      </c>
      <c r="O1858" s="2">
        <f t="shared" si="1454"/>
        <v>0</v>
      </c>
    </row>
    <row r="1859" spans="1:15" x14ac:dyDescent="0.25">
      <c r="A1859" s="2">
        <v>4</v>
      </c>
      <c r="B1859" s="2">
        <f t="shared" si="1471"/>
        <v>0</v>
      </c>
      <c r="C1859" s="2" t="str">
        <f t="shared" si="1472"/>
        <v>Elite</v>
      </c>
      <c r="D1859" s="2">
        <f t="shared" si="1473"/>
        <v>0</v>
      </c>
      <c r="E1859" s="2" t="str">
        <f t="shared" si="1474"/>
        <v>W</v>
      </c>
      <c r="F1859" s="2" t="str">
        <f t="shared" si="1474"/>
        <v>Elite</v>
      </c>
      <c r="G1859" s="2" t="str">
        <f t="shared" si="1474"/>
        <v/>
      </c>
      <c r="H1859" s="2" t="str">
        <f t="shared" si="1474"/>
        <v/>
      </c>
      <c r="I1859" s="2" t="str">
        <f t="shared" si="1474"/>
        <v/>
      </c>
      <c r="J1859" s="2" t="str">
        <f t="shared" si="1474"/>
        <v/>
      </c>
      <c r="K1859" s="2" t="str">
        <f t="shared" si="1474"/>
        <v/>
      </c>
      <c r="L1859" s="2" t="str">
        <f t="shared" si="1474"/>
        <v/>
      </c>
      <c r="M1859" s="180" t="str">
        <f t="shared" si="1474"/>
        <v/>
      </c>
      <c r="N1859" s="2" t="str">
        <f t="shared" si="1365"/>
        <v/>
      </c>
      <c r="O1859" s="2">
        <f t="shared" si="1454"/>
        <v>0</v>
      </c>
    </row>
    <row r="1860" spans="1:15" x14ac:dyDescent="0.25">
      <c r="A1860" s="327">
        <v>5</v>
      </c>
      <c r="B1860" s="2">
        <f t="shared" si="1471"/>
        <v>0</v>
      </c>
      <c r="C1860" s="2" t="str">
        <f t="shared" si="1472"/>
        <v>Elite</v>
      </c>
      <c r="D1860" s="2">
        <f t="shared" si="1473"/>
        <v>0</v>
      </c>
      <c r="E1860" s="2" t="str">
        <f t="shared" si="1474"/>
        <v>W</v>
      </c>
      <c r="F1860" s="2" t="str">
        <f t="shared" si="1474"/>
        <v>Elite</v>
      </c>
      <c r="G1860" s="2" t="str">
        <f t="shared" si="1474"/>
        <v/>
      </c>
      <c r="H1860" s="2" t="str">
        <f t="shared" si="1474"/>
        <v/>
      </c>
      <c r="I1860" s="2" t="str">
        <f t="shared" si="1474"/>
        <v/>
      </c>
      <c r="J1860" s="2" t="str">
        <f t="shared" si="1474"/>
        <v/>
      </c>
      <c r="K1860" s="2" t="str">
        <f t="shared" si="1474"/>
        <v/>
      </c>
      <c r="L1860" s="2" t="str">
        <f t="shared" si="1474"/>
        <v/>
      </c>
      <c r="M1860" s="180" t="str">
        <f t="shared" si="1474"/>
        <v/>
      </c>
      <c r="N1860" s="2" t="str">
        <f t="shared" si="1365"/>
        <v/>
      </c>
      <c r="O1860" s="2">
        <f t="shared" si="1454"/>
        <v>0</v>
      </c>
    </row>
    <row r="1861" spans="1:15" x14ac:dyDescent="0.25">
      <c r="A1861" s="2">
        <v>6</v>
      </c>
      <c r="B1861" s="2">
        <f t="shared" si="1471"/>
        <v>0</v>
      </c>
      <c r="C1861" s="2" t="str">
        <f t="shared" si="1472"/>
        <v>Elite</v>
      </c>
      <c r="D1861" s="2">
        <f t="shared" si="1473"/>
        <v>0</v>
      </c>
      <c r="E1861" s="2" t="str">
        <f t="shared" si="1474"/>
        <v>W</v>
      </c>
      <c r="F1861" s="2" t="str">
        <f t="shared" si="1474"/>
        <v>Elite</v>
      </c>
      <c r="G1861" s="2" t="str">
        <f t="shared" si="1474"/>
        <v/>
      </c>
      <c r="H1861" s="2" t="str">
        <f t="shared" si="1474"/>
        <v/>
      </c>
      <c r="I1861" s="2" t="str">
        <f t="shared" si="1474"/>
        <v/>
      </c>
      <c r="J1861" s="2" t="str">
        <f t="shared" si="1474"/>
        <v/>
      </c>
      <c r="K1861" s="2" t="str">
        <f t="shared" si="1474"/>
        <v/>
      </c>
      <c r="L1861" s="2" t="str">
        <f t="shared" si="1474"/>
        <v/>
      </c>
      <c r="M1861" s="180" t="str">
        <f t="shared" si="1474"/>
        <v/>
      </c>
      <c r="N1861" s="2" t="str">
        <f t="shared" si="1365"/>
        <v/>
      </c>
      <c r="O1861" s="2">
        <f t="shared" si="1454"/>
        <v>0</v>
      </c>
    </row>
    <row r="1862" spans="1:15" x14ac:dyDescent="0.25">
      <c r="A1862" s="325">
        <v>1</v>
      </c>
      <c r="B1862" s="325">
        <f>TrialNumberDay2</f>
        <v>0</v>
      </c>
      <c r="C1862" s="325" t="s">
        <v>2034</v>
      </c>
      <c r="D1862" s="325">
        <f>Elite!C65</f>
        <v>0</v>
      </c>
      <c r="E1862" s="325" t="str">
        <f>IF(Elite!B65="W","W","A")</f>
        <v>W</v>
      </c>
      <c r="F1862" s="325" t="s">
        <v>2034</v>
      </c>
      <c r="G1862" s="325" t="str">
        <f>IF(Elite!F65="e","Y","")</f>
        <v/>
      </c>
      <c r="H1862" s="325" t="str">
        <f>IFERROR(VLOOKUP($D1862,'SDDA Dogs'!$A:$AE,2,FALSE),"")</f>
        <v/>
      </c>
      <c r="I1862" s="325" t="str">
        <f>IFERROR(VLOOKUP($D1862,'SDDA Dogs'!$A:$AE,3,FALSE),"")</f>
        <v/>
      </c>
      <c r="J1862" s="325" t="str">
        <f>IFERROR(VLOOKUP($D1862,'SDDA Dogs'!$A:$AE,6,FALSE),"")</f>
        <v/>
      </c>
      <c r="K1862" s="325" t="str">
        <f>IF(Elite!AR65="","",Elite!AR65)</f>
        <v/>
      </c>
      <c r="L1862" s="325" t="str">
        <f>IF(Elite!AS65="","",Elite!AS65)</f>
        <v/>
      </c>
      <c r="M1862" s="326" t="str">
        <f>TrialDateDay2</f>
        <v/>
      </c>
      <c r="N1862" s="325" t="str">
        <f>N1857</f>
        <v/>
      </c>
      <c r="O1862" s="325">
        <f t="shared" si="1454"/>
        <v>0</v>
      </c>
    </row>
    <row r="1863" spans="1:15" x14ac:dyDescent="0.25">
      <c r="A1863" s="2">
        <v>2</v>
      </c>
      <c r="B1863" s="2">
        <f>B1862</f>
        <v>0</v>
      </c>
      <c r="C1863" s="2" t="str">
        <f>C1862</f>
        <v>Elite</v>
      </c>
      <c r="D1863" s="2">
        <f>D1862</f>
        <v>0</v>
      </c>
      <c r="E1863" s="2" t="str">
        <f>E1862</f>
        <v>W</v>
      </c>
      <c r="F1863" s="2" t="str">
        <f t="shared" si="1372"/>
        <v>Elite</v>
      </c>
      <c r="G1863" s="2" t="str">
        <f t="shared" ref="G1863:M1867" si="1475">G1862</f>
        <v/>
      </c>
      <c r="H1863" s="2" t="str">
        <f t="shared" si="1475"/>
        <v/>
      </c>
      <c r="I1863" s="2" t="str">
        <f t="shared" si="1475"/>
        <v/>
      </c>
      <c r="J1863" s="2" t="str">
        <f t="shared" si="1475"/>
        <v/>
      </c>
      <c r="K1863" s="2" t="str">
        <f t="shared" si="1475"/>
        <v/>
      </c>
      <c r="L1863" s="2" t="str">
        <f t="shared" si="1475"/>
        <v/>
      </c>
      <c r="M1863" s="180" t="str">
        <f t="shared" si="1475"/>
        <v/>
      </c>
      <c r="N1863" s="2" t="str">
        <f t="shared" si="1365"/>
        <v/>
      </c>
      <c r="O1863" s="2">
        <f t="shared" si="1454"/>
        <v>0</v>
      </c>
    </row>
    <row r="1864" spans="1:15" x14ac:dyDescent="0.25">
      <c r="A1864" s="327">
        <v>3</v>
      </c>
      <c r="B1864" s="2">
        <f t="shared" ref="B1864:B1867" si="1476">B1863</f>
        <v>0</v>
      </c>
      <c r="C1864" s="2" t="str">
        <f t="shared" ref="C1864:C1867" si="1477">C1863</f>
        <v>Elite</v>
      </c>
      <c r="D1864" s="2">
        <f t="shared" ref="D1864:D1867" si="1478">D1863</f>
        <v>0</v>
      </c>
      <c r="E1864" s="2" t="str">
        <f t="shared" ref="E1864:E1867" si="1479">E1863</f>
        <v>W</v>
      </c>
      <c r="F1864" s="2" t="str">
        <f t="shared" si="1372"/>
        <v>Elite</v>
      </c>
      <c r="G1864" s="2" t="str">
        <f t="shared" si="1475"/>
        <v/>
      </c>
      <c r="H1864" s="2" t="str">
        <f t="shared" si="1475"/>
        <v/>
      </c>
      <c r="I1864" s="2" t="str">
        <f t="shared" si="1475"/>
        <v/>
      </c>
      <c r="J1864" s="2" t="str">
        <f t="shared" si="1475"/>
        <v/>
      </c>
      <c r="K1864" s="2" t="str">
        <f t="shared" si="1475"/>
        <v/>
      </c>
      <c r="L1864" s="2" t="str">
        <f t="shared" si="1475"/>
        <v/>
      </c>
      <c r="M1864" s="180" t="str">
        <f t="shared" si="1475"/>
        <v/>
      </c>
      <c r="N1864" s="2" t="str">
        <f t="shared" si="1365"/>
        <v/>
      </c>
      <c r="O1864" s="2">
        <f t="shared" si="1454"/>
        <v>0</v>
      </c>
    </row>
    <row r="1865" spans="1:15" x14ac:dyDescent="0.25">
      <c r="A1865" s="2">
        <v>4</v>
      </c>
      <c r="B1865" s="2">
        <f t="shared" si="1476"/>
        <v>0</v>
      </c>
      <c r="C1865" s="2" t="str">
        <f t="shared" si="1477"/>
        <v>Elite</v>
      </c>
      <c r="D1865" s="2">
        <f t="shared" si="1478"/>
        <v>0</v>
      </c>
      <c r="E1865" s="2" t="str">
        <f t="shared" si="1479"/>
        <v>W</v>
      </c>
      <c r="F1865" s="2" t="str">
        <f t="shared" si="1372"/>
        <v>Elite</v>
      </c>
      <c r="G1865" s="2" t="str">
        <f t="shared" si="1475"/>
        <v/>
      </c>
      <c r="H1865" s="2" t="str">
        <f t="shared" si="1475"/>
        <v/>
      </c>
      <c r="I1865" s="2" t="str">
        <f t="shared" si="1475"/>
        <v/>
      </c>
      <c r="J1865" s="2" t="str">
        <f t="shared" si="1475"/>
        <v/>
      </c>
      <c r="K1865" s="2" t="str">
        <f t="shared" si="1475"/>
        <v/>
      </c>
      <c r="L1865" s="2" t="str">
        <f t="shared" si="1475"/>
        <v/>
      </c>
      <c r="M1865" s="180" t="str">
        <f t="shared" si="1475"/>
        <v/>
      </c>
      <c r="N1865" s="2" t="str">
        <f t="shared" si="1365"/>
        <v/>
      </c>
      <c r="O1865" s="2">
        <f t="shared" si="1454"/>
        <v>0</v>
      </c>
    </row>
    <row r="1866" spans="1:15" x14ac:dyDescent="0.25">
      <c r="A1866" s="327">
        <v>5</v>
      </c>
      <c r="B1866" s="2">
        <f t="shared" si="1476"/>
        <v>0</v>
      </c>
      <c r="C1866" s="2" t="str">
        <f t="shared" si="1477"/>
        <v>Elite</v>
      </c>
      <c r="D1866" s="2">
        <f t="shared" si="1478"/>
        <v>0</v>
      </c>
      <c r="E1866" s="2" t="str">
        <f t="shared" si="1479"/>
        <v>W</v>
      </c>
      <c r="F1866" s="2" t="str">
        <f t="shared" si="1372"/>
        <v>Elite</v>
      </c>
      <c r="G1866" s="2" t="str">
        <f t="shared" si="1475"/>
        <v/>
      </c>
      <c r="H1866" s="2" t="str">
        <f t="shared" si="1475"/>
        <v/>
      </c>
      <c r="I1866" s="2" t="str">
        <f t="shared" si="1475"/>
        <v/>
      </c>
      <c r="J1866" s="2" t="str">
        <f t="shared" si="1475"/>
        <v/>
      </c>
      <c r="K1866" s="2" t="str">
        <f t="shared" si="1475"/>
        <v/>
      </c>
      <c r="L1866" s="2" t="str">
        <f t="shared" si="1475"/>
        <v/>
      </c>
      <c r="M1866" s="180" t="str">
        <f t="shared" si="1475"/>
        <v/>
      </c>
      <c r="N1866" s="2" t="str">
        <f t="shared" si="1365"/>
        <v/>
      </c>
      <c r="O1866" s="2">
        <f t="shared" si="1454"/>
        <v>0</v>
      </c>
    </row>
    <row r="1867" spans="1:15" x14ac:dyDescent="0.25">
      <c r="A1867" s="2">
        <v>6</v>
      </c>
      <c r="B1867" s="2">
        <f t="shared" si="1476"/>
        <v>0</v>
      </c>
      <c r="C1867" s="2" t="str">
        <f t="shared" si="1477"/>
        <v>Elite</v>
      </c>
      <c r="D1867" s="2">
        <f t="shared" si="1478"/>
        <v>0</v>
      </c>
      <c r="E1867" s="2" t="str">
        <f t="shared" si="1479"/>
        <v>W</v>
      </c>
      <c r="F1867" s="2" t="str">
        <f t="shared" si="1372"/>
        <v>Elite</v>
      </c>
      <c r="G1867" s="2" t="str">
        <f t="shared" si="1475"/>
        <v/>
      </c>
      <c r="H1867" s="2" t="str">
        <f t="shared" si="1475"/>
        <v/>
      </c>
      <c r="I1867" s="2" t="str">
        <f t="shared" si="1475"/>
        <v/>
      </c>
      <c r="J1867" s="2" t="str">
        <f t="shared" si="1475"/>
        <v/>
      </c>
      <c r="K1867" s="2" t="str">
        <f t="shared" si="1475"/>
        <v/>
      </c>
      <c r="L1867" s="2" t="str">
        <f t="shared" si="1475"/>
        <v/>
      </c>
      <c r="M1867" s="180" t="str">
        <f t="shared" si="1475"/>
        <v/>
      </c>
      <c r="N1867" s="2" t="str">
        <f t="shared" si="1365"/>
        <v/>
      </c>
      <c r="O1867" s="2">
        <f t="shared" si="1454"/>
        <v>0</v>
      </c>
    </row>
    <row r="1868" spans="1:15" x14ac:dyDescent="0.25">
      <c r="A1868" s="325">
        <v>1</v>
      </c>
      <c r="B1868" s="325">
        <f>TrialNumberDay2</f>
        <v>0</v>
      </c>
      <c r="C1868" s="325" t="s">
        <v>2034</v>
      </c>
      <c r="D1868" s="325">
        <f>Elite!C66</f>
        <v>0</v>
      </c>
      <c r="E1868" s="325" t="str">
        <f>IF(Elite!B66="W","W","A")</f>
        <v>W</v>
      </c>
      <c r="F1868" s="325" t="s">
        <v>2034</v>
      </c>
      <c r="G1868" s="325" t="str">
        <f>IF(Elite!F66="e","Y","")</f>
        <v/>
      </c>
      <c r="H1868" s="325" t="str">
        <f>IFERROR(VLOOKUP($D1868,'SDDA Dogs'!$A:$AE,2,FALSE),"")</f>
        <v/>
      </c>
      <c r="I1868" s="325" t="str">
        <f>IFERROR(VLOOKUP($D1868,'SDDA Dogs'!$A:$AE,3,FALSE),"")</f>
        <v/>
      </c>
      <c r="J1868" s="325" t="str">
        <f>IFERROR(VLOOKUP($D1868,'SDDA Dogs'!$A:$AE,6,FALSE),"")</f>
        <v/>
      </c>
      <c r="K1868" s="325" t="str">
        <f>IF(Elite!AR66="","",Elite!AR66)</f>
        <v/>
      </c>
      <c r="L1868" s="325" t="str">
        <f>IF(Elite!AS66="","",Elite!AS66)</f>
        <v/>
      </c>
      <c r="M1868" s="326" t="str">
        <f>TrialDateDay2</f>
        <v/>
      </c>
      <c r="N1868" s="325" t="str">
        <f>N1863</f>
        <v/>
      </c>
      <c r="O1868" s="325">
        <f t="shared" si="1454"/>
        <v>0</v>
      </c>
    </row>
    <row r="1869" spans="1:15" x14ac:dyDescent="0.25">
      <c r="A1869" s="2">
        <v>2</v>
      </c>
      <c r="B1869" s="2">
        <f>B1868</f>
        <v>0</v>
      </c>
      <c r="C1869" s="2" t="str">
        <f>C1868</f>
        <v>Elite</v>
      </c>
      <c r="D1869" s="2">
        <f>D1868</f>
        <v>0</v>
      </c>
      <c r="E1869" s="2" t="str">
        <f>E1868</f>
        <v>W</v>
      </c>
      <c r="F1869" s="2" t="str">
        <f t="shared" si="1372"/>
        <v>Elite</v>
      </c>
      <c r="G1869" s="2" t="str">
        <f t="shared" ref="G1869:M1869" si="1480">G1868</f>
        <v/>
      </c>
      <c r="H1869" s="2" t="str">
        <f t="shared" si="1480"/>
        <v/>
      </c>
      <c r="I1869" s="2" t="str">
        <f t="shared" si="1480"/>
        <v/>
      </c>
      <c r="J1869" s="2" t="str">
        <f t="shared" si="1480"/>
        <v/>
      </c>
      <c r="K1869" s="2" t="str">
        <f t="shared" si="1480"/>
        <v/>
      </c>
      <c r="L1869" s="2" t="str">
        <f t="shared" si="1480"/>
        <v/>
      </c>
      <c r="M1869" s="180" t="str">
        <f t="shared" si="1480"/>
        <v/>
      </c>
      <c r="N1869" s="2" t="str">
        <f t="shared" si="1365"/>
        <v/>
      </c>
      <c r="O1869" s="2">
        <f t="shared" si="1454"/>
        <v>0</v>
      </c>
    </row>
    <row r="1870" spans="1:15" x14ac:dyDescent="0.25">
      <c r="A1870" s="327">
        <v>3</v>
      </c>
      <c r="B1870" s="2">
        <f t="shared" ref="B1870:B1873" si="1481">B1869</f>
        <v>0</v>
      </c>
      <c r="C1870" s="2" t="str">
        <f t="shared" ref="C1870:C1873" si="1482">C1869</f>
        <v>Elite</v>
      </c>
      <c r="D1870" s="2">
        <f t="shared" ref="D1870:D1873" si="1483">D1869</f>
        <v>0</v>
      </c>
      <c r="E1870" s="2" t="str">
        <f t="shared" ref="E1870:M1873" si="1484">E1869</f>
        <v>W</v>
      </c>
      <c r="F1870" s="2" t="str">
        <f t="shared" si="1484"/>
        <v>Elite</v>
      </c>
      <c r="G1870" s="2" t="str">
        <f t="shared" si="1484"/>
        <v/>
      </c>
      <c r="H1870" s="2" t="str">
        <f t="shared" si="1484"/>
        <v/>
      </c>
      <c r="I1870" s="2" t="str">
        <f t="shared" si="1484"/>
        <v/>
      </c>
      <c r="J1870" s="2" t="str">
        <f t="shared" si="1484"/>
        <v/>
      </c>
      <c r="K1870" s="2" t="str">
        <f t="shared" si="1484"/>
        <v/>
      </c>
      <c r="L1870" s="2" t="str">
        <f t="shared" si="1484"/>
        <v/>
      </c>
      <c r="M1870" s="180" t="str">
        <f t="shared" si="1484"/>
        <v/>
      </c>
      <c r="N1870" s="2" t="str">
        <f t="shared" si="1365"/>
        <v/>
      </c>
      <c r="O1870" s="2">
        <f t="shared" si="1454"/>
        <v>0</v>
      </c>
    </row>
    <row r="1871" spans="1:15" x14ac:dyDescent="0.25">
      <c r="A1871" s="2">
        <v>4</v>
      </c>
      <c r="B1871" s="2">
        <f t="shared" si="1481"/>
        <v>0</v>
      </c>
      <c r="C1871" s="2" t="str">
        <f t="shared" si="1482"/>
        <v>Elite</v>
      </c>
      <c r="D1871" s="2">
        <f t="shared" si="1483"/>
        <v>0</v>
      </c>
      <c r="E1871" s="2" t="str">
        <f t="shared" si="1484"/>
        <v>W</v>
      </c>
      <c r="F1871" s="2" t="str">
        <f t="shared" si="1484"/>
        <v>Elite</v>
      </c>
      <c r="G1871" s="2" t="str">
        <f t="shared" si="1484"/>
        <v/>
      </c>
      <c r="H1871" s="2" t="str">
        <f t="shared" si="1484"/>
        <v/>
      </c>
      <c r="I1871" s="2" t="str">
        <f t="shared" si="1484"/>
        <v/>
      </c>
      <c r="J1871" s="2" t="str">
        <f t="shared" si="1484"/>
        <v/>
      </c>
      <c r="K1871" s="2" t="str">
        <f t="shared" si="1484"/>
        <v/>
      </c>
      <c r="L1871" s="2" t="str">
        <f t="shared" si="1484"/>
        <v/>
      </c>
      <c r="M1871" s="180" t="str">
        <f t="shared" si="1484"/>
        <v/>
      </c>
      <c r="N1871" s="2" t="str">
        <f t="shared" si="1365"/>
        <v/>
      </c>
      <c r="O1871" s="2">
        <f t="shared" si="1454"/>
        <v>0</v>
      </c>
    </row>
    <row r="1872" spans="1:15" x14ac:dyDescent="0.25">
      <c r="A1872" s="327">
        <v>5</v>
      </c>
      <c r="B1872" s="2">
        <f t="shared" si="1481"/>
        <v>0</v>
      </c>
      <c r="C1872" s="2" t="str">
        <f t="shared" si="1482"/>
        <v>Elite</v>
      </c>
      <c r="D1872" s="2">
        <f t="shared" si="1483"/>
        <v>0</v>
      </c>
      <c r="E1872" s="2" t="str">
        <f t="shared" si="1484"/>
        <v>W</v>
      </c>
      <c r="F1872" s="2" t="str">
        <f t="shared" si="1484"/>
        <v>Elite</v>
      </c>
      <c r="G1872" s="2" t="str">
        <f t="shared" si="1484"/>
        <v/>
      </c>
      <c r="H1872" s="2" t="str">
        <f t="shared" si="1484"/>
        <v/>
      </c>
      <c r="I1872" s="2" t="str">
        <f t="shared" si="1484"/>
        <v/>
      </c>
      <c r="J1872" s="2" t="str">
        <f t="shared" si="1484"/>
        <v/>
      </c>
      <c r="K1872" s="2" t="str">
        <f t="shared" si="1484"/>
        <v/>
      </c>
      <c r="L1872" s="2" t="str">
        <f t="shared" si="1484"/>
        <v/>
      </c>
      <c r="M1872" s="180" t="str">
        <f t="shared" si="1484"/>
        <v/>
      </c>
      <c r="N1872" s="2" t="str">
        <f t="shared" si="1365"/>
        <v/>
      </c>
      <c r="O1872" s="2">
        <f t="shared" si="1454"/>
        <v>0</v>
      </c>
    </row>
    <row r="1873" spans="1:15" x14ac:dyDescent="0.25">
      <c r="A1873" s="2">
        <v>6</v>
      </c>
      <c r="B1873" s="2">
        <f t="shared" si="1481"/>
        <v>0</v>
      </c>
      <c r="C1873" s="2" t="str">
        <f t="shared" si="1482"/>
        <v>Elite</v>
      </c>
      <c r="D1873" s="2">
        <f t="shared" si="1483"/>
        <v>0</v>
      </c>
      <c r="E1873" s="2" t="str">
        <f t="shared" si="1484"/>
        <v>W</v>
      </c>
      <c r="F1873" s="2" t="str">
        <f t="shared" si="1484"/>
        <v>Elite</v>
      </c>
      <c r="G1873" s="2" t="str">
        <f t="shared" si="1484"/>
        <v/>
      </c>
      <c r="H1873" s="2" t="str">
        <f t="shared" si="1484"/>
        <v/>
      </c>
      <c r="I1873" s="2" t="str">
        <f t="shared" si="1484"/>
        <v/>
      </c>
      <c r="J1873" s="2" t="str">
        <f t="shared" si="1484"/>
        <v/>
      </c>
      <c r="K1873" s="2" t="str">
        <f t="shared" si="1484"/>
        <v/>
      </c>
      <c r="L1873" s="2" t="str">
        <f t="shared" si="1484"/>
        <v/>
      </c>
      <c r="M1873" s="180" t="str">
        <f t="shared" si="1484"/>
        <v/>
      </c>
      <c r="N1873" s="2" t="str">
        <f t="shared" si="1365"/>
        <v/>
      </c>
      <c r="O1873" s="2">
        <f t="shared" si="1454"/>
        <v>0</v>
      </c>
    </row>
    <row r="1874" spans="1:15" x14ac:dyDescent="0.25">
      <c r="A1874" s="325">
        <v>1</v>
      </c>
      <c r="B1874" s="325">
        <f>TrialNumberDay2</f>
        <v>0</v>
      </c>
      <c r="C1874" s="325" t="s">
        <v>2034</v>
      </c>
      <c r="D1874" s="325">
        <f>Elite!C67</f>
        <v>0</v>
      </c>
      <c r="E1874" s="325" t="str">
        <f>IF(Elite!B67="W","W","A")</f>
        <v>W</v>
      </c>
      <c r="F1874" s="325" t="s">
        <v>2034</v>
      </c>
      <c r="G1874" s="325" t="str">
        <f>IF(Elite!F67="e","Y","")</f>
        <v/>
      </c>
      <c r="H1874" s="325" t="str">
        <f>IFERROR(VLOOKUP($D1874,'SDDA Dogs'!$A:$AE,2,FALSE),"")</f>
        <v/>
      </c>
      <c r="I1874" s="325" t="str">
        <f>IFERROR(VLOOKUP($D1874,'SDDA Dogs'!$A:$AE,3,FALSE),"")</f>
        <v/>
      </c>
      <c r="J1874" s="325" t="str">
        <f>IFERROR(VLOOKUP($D1874,'SDDA Dogs'!$A:$AE,6,FALSE),"")</f>
        <v/>
      </c>
      <c r="K1874" s="325" t="str">
        <f>IF(Elite!AR67="","",Elite!AR67)</f>
        <v/>
      </c>
      <c r="L1874" s="325" t="str">
        <f>IF(Elite!AS67="","",Elite!AS67)</f>
        <v/>
      </c>
      <c r="M1874" s="326" t="str">
        <f>TrialDateDay2</f>
        <v/>
      </c>
      <c r="N1874" s="325" t="str">
        <f>N1869</f>
        <v/>
      </c>
      <c r="O1874" s="325">
        <f t="shared" si="1454"/>
        <v>0</v>
      </c>
    </row>
    <row r="1875" spans="1:15" x14ac:dyDescent="0.25">
      <c r="A1875" s="2">
        <v>2</v>
      </c>
      <c r="B1875" s="2">
        <f>B1874</f>
        <v>0</v>
      </c>
      <c r="C1875" s="2" t="str">
        <f>C1874</f>
        <v>Elite</v>
      </c>
      <c r="D1875" s="2">
        <f>D1874</f>
        <v>0</v>
      </c>
      <c r="E1875" s="2" t="str">
        <f>E1874</f>
        <v>W</v>
      </c>
      <c r="F1875" s="2" t="str">
        <f t="shared" si="1372"/>
        <v>Elite</v>
      </c>
      <c r="G1875" s="2" t="str">
        <f t="shared" ref="G1875:M1879" si="1485">G1874</f>
        <v/>
      </c>
      <c r="H1875" s="2" t="str">
        <f t="shared" si="1485"/>
        <v/>
      </c>
      <c r="I1875" s="2" t="str">
        <f t="shared" si="1485"/>
        <v/>
      </c>
      <c r="J1875" s="2" t="str">
        <f t="shared" si="1485"/>
        <v/>
      </c>
      <c r="K1875" s="2" t="str">
        <f t="shared" si="1485"/>
        <v/>
      </c>
      <c r="L1875" s="2" t="str">
        <f t="shared" si="1485"/>
        <v/>
      </c>
      <c r="M1875" s="180" t="str">
        <f t="shared" si="1485"/>
        <v/>
      </c>
      <c r="N1875" s="2" t="str">
        <f t="shared" si="1365"/>
        <v/>
      </c>
      <c r="O1875" s="2">
        <f t="shared" si="1454"/>
        <v>0</v>
      </c>
    </row>
    <row r="1876" spans="1:15" x14ac:dyDescent="0.25">
      <c r="A1876" s="327">
        <v>3</v>
      </c>
      <c r="B1876" s="2">
        <f t="shared" ref="B1876:B1879" si="1486">B1875</f>
        <v>0</v>
      </c>
      <c r="C1876" s="2" t="str">
        <f t="shared" ref="C1876:C1879" si="1487">C1875</f>
        <v>Elite</v>
      </c>
      <c r="D1876" s="2">
        <f t="shared" ref="D1876:D1879" si="1488">D1875</f>
        <v>0</v>
      </c>
      <c r="E1876" s="2" t="str">
        <f t="shared" ref="E1876:E1879" si="1489">E1875</f>
        <v>W</v>
      </c>
      <c r="F1876" s="2" t="str">
        <f t="shared" si="1372"/>
        <v>Elite</v>
      </c>
      <c r="G1876" s="2" t="str">
        <f t="shared" si="1485"/>
        <v/>
      </c>
      <c r="H1876" s="2" t="str">
        <f t="shared" si="1485"/>
        <v/>
      </c>
      <c r="I1876" s="2" t="str">
        <f t="shared" si="1485"/>
        <v/>
      </c>
      <c r="J1876" s="2" t="str">
        <f t="shared" si="1485"/>
        <v/>
      </c>
      <c r="K1876" s="2" t="str">
        <f t="shared" si="1485"/>
        <v/>
      </c>
      <c r="L1876" s="2" t="str">
        <f t="shared" si="1485"/>
        <v/>
      </c>
      <c r="M1876" s="180" t="str">
        <f t="shared" si="1485"/>
        <v/>
      </c>
      <c r="N1876" s="2" t="str">
        <f t="shared" si="1365"/>
        <v/>
      </c>
      <c r="O1876" s="2">
        <f t="shared" si="1454"/>
        <v>0</v>
      </c>
    </row>
    <row r="1877" spans="1:15" x14ac:dyDescent="0.25">
      <c r="A1877" s="2">
        <v>4</v>
      </c>
      <c r="B1877" s="2">
        <f t="shared" si="1486"/>
        <v>0</v>
      </c>
      <c r="C1877" s="2" t="str">
        <f t="shared" si="1487"/>
        <v>Elite</v>
      </c>
      <c r="D1877" s="2">
        <f t="shared" si="1488"/>
        <v>0</v>
      </c>
      <c r="E1877" s="2" t="str">
        <f t="shared" si="1489"/>
        <v>W</v>
      </c>
      <c r="F1877" s="2" t="str">
        <f t="shared" si="1372"/>
        <v>Elite</v>
      </c>
      <c r="G1877" s="2" t="str">
        <f t="shared" si="1485"/>
        <v/>
      </c>
      <c r="H1877" s="2" t="str">
        <f t="shared" si="1485"/>
        <v/>
      </c>
      <c r="I1877" s="2" t="str">
        <f t="shared" si="1485"/>
        <v/>
      </c>
      <c r="J1877" s="2" t="str">
        <f t="shared" si="1485"/>
        <v/>
      </c>
      <c r="K1877" s="2" t="str">
        <f t="shared" si="1485"/>
        <v/>
      </c>
      <c r="L1877" s="2" t="str">
        <f t="shared" si="1485"/>
        <v/>
      </c>
      <c r="M1877" s="180" t="str">
        <f t="shared" si="1485"/>
        <v/>
      </c>
      <c r="N1877" s="2" t="str">
        <f t="shared" si="1365"/>
        <v/>
      </c>
      <c r="O1877" s="2">
        <f t="shared" si="1454"/>
        <v>0</v>
      </c>
    </row>
    <row r="1878" spans="1:15" x14ac:dyDescent="0.25">
      <c r="A1878" s="327">
        <v>5</v>
      </c>
      <c r="B1878" s="2">
        <f t="shared" si="1486"/>
        <v>0</v>
      </c>
      <c r="C1878" s="2" t="str">
        <f t="shared" si="1487"/>
        <v>Elite</v>
      </c>
      <c r="D1878" s="2">
        <f t="shared" si="1488"/>
        <v>0</v>
      </c>
      <c r="E1878" s="2" t="str">
        <f t="shared" si="1489"/>
        <v>W</v>
      </c>
      <c r="F1878" s="2" t="str">
        <f t="shared" si="1372"/>
        <v>Elite</v>
      </c>
      <c r="G1878" s="2" t="str">
        <f t="shared" si="1485"/>
        <v/>
      </c>
      <c r="H1878" s="2" t="str">
        <f t="shared" si="1485"/>
        <v/>
      </c>
      <c r="I1878" s="2" t="str">
        <f t="shared" si="1485"/>
        <v/>
      </c>
      <c r="J1878" s="2" t="str">
        <f t="shared" si="1485"/>
        <v/>
      </c>
      <c r="K1878" s="2" t="str">
        <f t="shared" si="1485"/>
        <v/>
      </c>
      <c r="L1878" s="2" t="str">
        <f t="shared" si="1485"/>
        <v/>
      </c>
      <c r="M1878" s="180" t="str">
        <f t="shared" si="1485"/>
        <v/>
      </c>
      <c r="N1878" s="2" t="str">
        <f t="shared" si="1365"/>
        <v/>
      </c>
      <c r="O1878" s="2">
        <f t="shared" si="1454"/>
        <v>0</v>
      </c>
    </row>
    <row r="1879" spans="1:15" x14ac:dyDescent="0.25">
      <c r="A1879" s="2">
        <v>6</v>
      </c>
      <c r="B1879" s="2">
        <f t="shared" si="1486"/>
        <v>0</v>
      </c>
      <c r="C1879" s="2" t="str">
        <f t="shared" si="1487"/>
        <v>Elite</v>
      </c>
      <c r="D1879" s="2">
        <f t="shared" si="1488"/>
        <v>0</v>
      </c>
      <c r="E1879" s="2" t="str">
        <f t="shared" si="1489"/>
        <v>W</v>
      </c>
      <c r="F1879" s="2" t="str">
        <f t="shared" si="1372"/>
        <v>Elite</v>
      </c>
      <c r="G1879" s="2" t="str">
        <f t="shared" si="1485"/>
        <v/>
      </c>
      <c r="H1879" s="2" t="str">
        <f t="shared" si="1485"/>
        <v/>
      </c>
      <c r="I1879" s="2" t="str">
        <f t="shared" si="1485"/>
        <v/>
      </c>
      <c r="J1879" s="2" t="str">
        <f t="shared" si="1485"/>
        <v/>
      </c>
      <c r="K1879" s="2" t="str">
        <f t="shared" si="1485"/>
        <v/>
      </c>
      <c r="L1879" s="2" t="str">
        <f t="shared" si="1485"/>
        <v/>
      </c>
      <c r="M1879" s="180" t="str">
        <f t="shared" si="1485"/>
        <v/>
      </c>
      <c r="N1879" s="2" t="str">
        <f t="shared" si="1365"/>
        <v/>
      </c>
      <c r="O1879" s="2">
        <f t="shared" si="1454"/>
        <v>0</v>
      </c>
    </row>
    <row r="1880" spans="1:15" x14ac:dyDescent="0.25">
      <c r="A1880" s="325">
        <v>1</v>
      </c>
      <c r="B1880" s="325">
        <f>TrialNumberDay2</f>
        <v>0</v>
      </c>
      <c r="C1880" s="325" t="s">
        <v>2034</v>
      </c>
      <c r="D1880" s="325">
        <f>Elite!C68</f>
        <v>0</v>
      </c>
      <c r="E1880" s="325" t="str">
        <f>IF(Elite!B68="W","W","A")</f>
        <v>W</v>
      </c>
      <c r="F1880" s="325" t="s">
        <v>2034</v>
      </c>
      <c r="G1880" s="325" t="str">
        <f>IF(Elite!F68="e","Y","")</f>
        <v/>
      </c>
      <c r="H1880" s="325" t="str">
        <f>IFERROR(VLOOKUP($D1880,'SDDA Dogs'!$A:$AE,2,FALSE),"")</f>
        <v/>
      </c>
      <c r="I1880" s="325" t="str">
        <f>IFERROR(VLOOKUP($D1880,'SDDA Dogs'!$A:$AE,3,FALSE),"")</f>
        <v/>
      </c>
      <c r="J1880" s="325" t="str">
        <f>IFERROR(VLOOKUP($D1880,'SDDA Dogs'!$A:$AE,6,FALSE),"")</f>
        <v/>
      </c>
      <c r="K1880" s="325" t="str">
        <f>IF(Elite!AR68="","",Elite!AR68)</f>
        <v/>
      </c>
      <c r="L1880" s="325" t="str">
        <f>IF(Elite!AS68="","",Elite!AS68)</f>
        <v/>
      </c>
      <c r="M1880" s="326" t="str">
        <f>TrialDateDay2</f>
        <v/>
      </c>
      <c r="N1880" s="325" t="str">
        <f>N1875</f>
        <v/>
      </c>
      <c r="O1880" s="325">
        <f t="shared" si="1454"/>
        <v>0</v>
      </c>
    </row>
    <row r="1881" spans="1:15" x14ac:dyDescent="0.25">
      <c r="A1881" s="2">
        <v>2</v>
      </c>
      <c r="B1881" s="2">
        <f>B1880</f>
        <v>0</v>
      </c>
      <c r="C1881" s="2" t="str">
        <f>C1880</f>
        <v>Elite</v>
      </c>
      <c r="D1881" s="2">
        <f>D1880</f>
        <v>0</v>
      </c>
      <c r="E1881" s="2" t="str">
        <f>E1880</f>
        <v>W</v>
      </c>
      <c r="F1881" s="2" t="str">
        <f t="shared" si="1372"/>
        <v>Elite</v>
      </c>
      <c r="G1881" s="2" t="str">
        <f t="shared" ref="G1881:M1881" si="1490">G1880</f>
        <v/>
      </c>
      <c r="H1881" s="2" t="str">
        <f t="shared" si="1490"/>
        <v/>
      </c>
      <c r="I1881" s="2" t="str">
        <f t="shared" si="1490"/>
        <v/>
      </c>
      <c r="J1881" s="2" t="str">
        <f t="shared" si="1490"/>
        <v/>
      </c>
      <c r="K1881" s="2" t="str">
        <f t="shared" si="1490"/>
        <v/>
      </c>
      <c r="L1881" s="2" t="str">
        <f t="shared" si="1490"/>
        <v/>
      </c>
      <c r="M1881" s="180" t="str">
        <f t="shared" si="1490"/>
        <v/>
      </c>
      <c r="N1881" s="2" t="str">
        <f t="shared" si="1365"/>
        <v/>
      </c>
      <c r="O1881" s="2">
        <f t="shared" si="1454"/>
        <v>0</v>
      </c>
    </row>
    <row r="1882" spans="1:15" x14ac:dyDescent="0.25">
      <c r="A1882" s="327">
        <v>3</v>
      </c>
      <c r="B1882" s="2">
        <f t="shared" ref="B1882:B1885" si="1491">B1881</f>
        <v>0</v>
      </c>
      <c r="C1882" s="2" t="str">
        <f t="shared" ref="C1882:C1885" si="1492">C1881</f>
        <v>Elite</v>
      </c>
      <c r="D1882" s="2">
        <f t="shared" ref="D1882:D1885" si="1493">D1881</f>
        <v>0</v>
      </c>
      <c r="E1882" s="2" t="str">
        <f t="shared" ref="E1882:M1885" si="1494">E1881</f>
        <v>W</v>
      </c>
      <c r="F1882" s="2" t="str">
        <f t="shared" si="1494"/>
        <v>Elite</v>
      </c>
      <c r="G1882" s="2" t="str">
        <f t="shared" si="1494"/>
        <v/>
      </c>
      <c r="H1882" s="2" t="str">
        <f t="shared" si="1494"/>
        <v/>
      </c>
      <c r="I1882" s="2" t="str">
        <f t="shared" si="1494"/>
        <v/>
      </c>
      <c r="J1882" s="2" t="str">
        <f t="shared" si="1494"/>
        <v/>
      </c>
      <c r="K1882" s="2" t="str">
        <f t="shared" si="1494"/>
        <v/>
      </c>
      <c r="L1882" s="2" t="str">
        <f t="shared" si="1494"/>
        <v/>
      </c>
      <c r="M1882" s="180" t="str">
        <f t="shared" si="1494"/>
        <v/>
      </c>
      <c r="N1882" s="2" t="str">
        <f t="shared" si="1365"/>
        <v/>
      </c>
      <c r="O1882" s="2">
        <f t="shared" si="1454"/>
        <v>0</v>
      </c>
    </row>
    <row r="1883" spans="1:15" x14ac:dyDescent="0.25">
      <c r="A1883" s="2">
        <v>4</v>
      </c>
      <c r="B1883" s="2">
        <f t="shared" si="1491"/>
        <v>0</v>
      </c>
      <c r="C1883" s="2" t="str">
        <f t="shared" si="1492"/>
        <v>Elite</v>
      </c>
      <c r="D1883" s="2">
        <f t="shared" si="1493"/>
        <v>0</v>
      </c>
      <c r="E1883" s="2" t="str">
        <f t="shared" si="1494"/>
        <v>W</v>
      </c>
      <c r="F1883" s="2" t="str">
        <f t="shared" si="1494"/>
        <v>Elite</v>
      </c>
      <c r="G1883" s="2" t="str">
        <f t="shared" si="1494"/>
        <v/>
      </c>
      <c r="H1883" s="2" t="str">
        <f t="shared" si="1494"/>
        <v/>
      </c>
      <c r="I1883" s="2" t="str">
        <f t="shared" si="1494"/>
        <v/>
      </c>
      <c r="J1883" s="2" t="str">
        <f t="shared" si="1494"/>
        <v/>
      </c>
      <c r="K1883" s="2" t="str">
        <f t="shared" si="1494"/>
        <v/>
      </c>
      <c r="L1883" s="2" t="str">
        <f t="shared" si="1494"/>
        <v/>
      </c>
      <c r="M1883" s="180" t="str">
        <f t="shared" si="1494"/>
        <v/>
      </c>
      <c r="N1883" s="2" t="str">
        <f t="shared" si="1365"/>
        <v/>
      </c>
      <c r="O1883" s="2">
        <f t="shared" si="1454"/>
        <v>0</v>
      </c>
    </row>
    <row r="1884" spans="1:15" x14ac:dyDescent="0.25">
      <c r="A1884" s="327">
        <v>5</v>
      </c>
      <c r="B1884" s="2">
        <f t="shared" si="1491"/>
        <v>0</v>
      </c>
      <c r="C1884" s="2" t="str">
        <f t="shared" si="1492"/>
        <v>Elite</v>
      </c>
      <c r="D1884" s="2">
        <f t="shared" si="1493"/>
        <v>0</v>
      </c>
      <c r="E1884" s="2" t="str">
        <f t="shared" si="1494"/>
        <v>W</v>
      </c>
      <c r="F1884" s="2" t="str">
        <f t="shared" si="1494"/>
        <v>Elite</v>
      </c>
      <c r="G1884" s="2" t="str">
        <f t="shared" si="1494"/>
        <v/>
      </c>
      <c r="H1884" s="2" t="str">
        <f t="shared" si="1494"/>
        <v/>
      </c>
      <c r="I1884" s="2" t="str">
        <f t="shared" si="1494"/>
        <v/>
      </c>
      <c r="J1884" s="2" t="str">
        <f t="shared" si="1494"/>
        <v/>
      </c>
      <c r="K1884" s="2" t="str">
        <f t="shared" si="1494"/>
        <v/>
      </c>
      <c r="L1884" s="2" t="str">
        <f t="shared" si="1494"/>
        <v/>
      </c>
      <c r="M1884" s="180" t="str">
        <f t="shared" si="1494"/>
        <v/>
      </c>
      <c r="N1884" s="2" t="str">
        <f t="shared" si="1365"/>
        <v/>
      </c>
      <c r="O1884" s="2">
        <f t="shared" si="1454"/>
        <v>0</v>
      </c>
    </row>
    <row r="1885" spans="1:15" x14ac:dyDescent="0.25">
      <c r="A1885" s="2">
        <v>6</v>
      </c>
      <c r="B1885" s="2">
        <f t="shared" si="1491"/>
        <v>0</v>
      </c>
      <c r="C1885" s="2" t="str">
        <f t="shared" si="1492"/>
        <v>Elite</v>
      </c>
      <c r="D1885" s="2">
        <f t="shared" si="1493"/>
        <v>0</v>
      </c>
      <c r="E1885" s="2" t="str">
        <f t="shared" si="1494"/>
        <v>W</v>
      </c>
      <c r="F1885" s="2" t="str">
        <f t="shared" si="1494"/>
        <v>Elite</v>
      </c>
      <c r="G1885" s="2" t="str">
        <f t="shared" si="1494"/>
        <v/>
      </c>
      <c r="H1885" s="2" t="str">
        <f t="shared" si="1494"/>
        <v/>
      </c>
      <c r="I1885" s="2" t="str">
        <f t="shared" si="1494"/>
        <v/>
      </c>
      <c r="J1885" s="2" t="str">
        <f t="shared" si="1494"/>
        <v/>
      </c>
      <c r="K1885" s="2" t="str">
        <f t="shared" si="1494"/>
        <v/>
      </c>
      <c r="L1885" s="2" t="str">
        <f t="shared" si="1494"/>
        <v/>
      </c>
      <c r="M1885" s="180" t="str">
        <f t="shared" si="1494"/>
        <v/>
      </c>
      <c r="N1885" s="2" t="str">
        <f t="shared" si="1365"/>
        <v/>
      </c>
      <c r="O1885" s="2">
        <f t="shared" si="1454"/>
        <v>0</v>
      </c>
    </row>
    <row r="1886" spans="1:15" x14ac:dyDescent="0.25">
      <c r="A1886" s="325">
        <v>1</v>
      </c>
      <c r="B1886" s="325">
        <f>TrialNumberDay2</f>
        <v>0</v>
      </c>
      <c r="C1886" s="325" t="s">
        <v>2034</v>
      </c>
      <c r="D1886" s="325">
        <f>Elite!C69</f>
        <v>0</v>
      </c>
      <c r="E1886" s="325" t="str">
        <f>IF(Elite!B69="W","W","A")</f>
        <v>W</v>
      </c>
      <c r="F1886" s="325" t="s">
        <v>2034</v>
      </c>
      <c r="G1886" s="325" t="str">
        <f>IF(Elite!F69="e","Y","")</f>
        <v/>
      </c>
      <c r="H1886" s="325" t="str">
        <f>IFERROR(VLOOKUP($D1886,'SDDA Dogs'!$A:$AE,2,FALSE),"")</f>
        <v/>
      </c>
      <c r="I1886" s="325" t="str">
        <f>IFERROR(VLOOKUP($D1886,'SDDA Dogs'!$A:$AE,3,FALSE),"")</f>
        <v/>
      </c>
      <c r="J1886" s="325" t="str">
        <f>IFERROR(VLOOKUP($D1886,'SDDA Dogs'!$A:$AE,6,FALSE),"")</f>
        <v/>
      </c>
      <c r="K1886" s="325" t="str">
        <f>IF(Elite!AR69="","",Elite!AR69)</f>
        <v/>
      </c>
      <c r="L1886" s="325" t="str">
        <f>IF(Elite!AS69="","",Elite!AS69)</f>
        <v/>
      </c>
      <c r="M1886" s="326" t="str">
        <f>TrialDateDay2</f>
        <v/>
      </c>
      <c r="N1886" s="325" t="str">
        <f>N1881</f>
        <v/>
      </c>
      <c r="O1886" s="325">
        <f t="shared" si="1454"/>
        <v>0</v>
      </c>
    </row>
    <row r="1887" spans="1:15" x14ac:dyDescent="0.25">
      <c r="A1887" s="2">
        <v>2</v>
      </c>
      <c r="B1887" s="2">
        <f>B1886</f>
        <v>0</v>
      </c>
      <c r="C1887" s="2" t="str">
        <f>C1886</f>
        <v>Elite</v>
      </c>
      <c r="D1887" s="2">
        <f>D1886</f>
        <v>0</v>
      </c>
      <c r="E1887" s="2" t="str">
        <f>E1886</f>
        <v>W</v>
      </c>
      <c r="F1887" s="2" t="str">
        <f t="shared" si="1372"/>
        <v>Elite</v>
      </c>
      <c r="G1887" s="2" t="str">
        <f t="shared" ref="G1887:M1891" si="1495">G1886</f>
        <v/>
      </c>
      <c r="H1887" s="2" t="str">
        <f t="shared" si="1495"/>
        <v/>
      </c>
      <c r="I1887" s="2" t="str">
        <f t="shared" si="1495"/>
        <v/>
      </c>
      <c r="J1887" s="2" t="str">
        <f t="shared" si="1495"/>
        <v/>
      </c>
      <c r="K1887" s="2" t="str">
        <f t="shared" si="1495"/>
        <v/>
      </c>
      <c r="L1887" s="2" t="str">
        <f t="shared" si="1495"/>
        <v/>
      </c>
      <c r="M1887" s="180" t="str">
        <f t="shared" si="1495"/>
        <v/>
      </c>
      <c r="N1887" s="2" t="str">
        <f t="shared" si="1365"/>
        <v/>
      </c>
      <c r="O1887" s="2">
        <f t="shared" si="1454"/>
        <v>0</v>
      </c>
    </row>
    <row r="1888" spans="1:15" x14ac:dyDescent="0.25">
      <c r="A1888" s="327">
        <v>3</v>
      </c>
      <c r="B1888" s="2">
        <f t="shared" ref="B1888:B1891" si="1496">B1887</f>
        <v>0</v>
      </c>
      <c r="C1888" s="2" t="str">
        <f t="shared" ref="C1888:C1891" si="1497">C1887</f>
        <v>Elite</v>
      </c>
      <c r="D1888" s="2">
        <f t="shared" ref="D1888:D1891" si="1498">D1887</f>
        <v>0</v>
      </c>
      <c r="E1888" s="2" t="str">
        <f t="shared" ref="E1888:E1891" si="1499">E1887</f>
        <v>W</v>
      </c>
      <c r="F1888" s="2" t="str">
        <f t="shared" si="1372"/>
        <v>Elite</v>
      </c>
      <c r="G1888" s="2" t="str">
        <f t="shared" si="1495"/>
        <v/>
      </c>
      <c r="H1888" s="2" t="str">
        <f t="shared" si="1495"/>
        <v/>
      </c>
      <c r="I1888" s="2" t="str">
        <f t="shared" si="1495"/>
        <v/>
      </c>
      <c r="J1888" s="2" t="str">
        <f t="shared" si="1495"/>
        <v/>
      </c>
      <c r="K1888" s="2" t="str">
        <f t="shared" si="1495"/>
        <v/>
      </c>
      <c r="L1888" s="2" t="str">
        <f t="shared" si="1495"/>
        <v/>
      </c>
      <c r="M1888" s="180" t="str">
        <f t="shared" si="1495"/>
        <v/>
      </c>
      <c r="N1888" s="2" t="str">
        <f t="shared" si="1365"/>
        <v/>
      </c>
      <c r="O1888" s="2">
        <f t="shared" si="1454"/>
        <v>0</v>
      </c>
    </row>
    <row r="1889" spans="1:15" x14ac:dyDescent="0.25">
      <c r="A1889" s="2">
        <v>4</v>
      </c>
      <c r="B1889" s="2">
        <f t="shared" si="1496"/>
        <v>0</v>
      </c>
      <c r="C1889" s="2" t="str">
        <f t="shared" si="1497"/>
        <v>Elite</v>
      </c>
      <c r="D1889" s="2">
        <f t="shared" si="1498"/>
        <v>0</v>
      </c>
      <c r="E1889" s="2" t="str">
        <f t="shared" si="1499"/>
        <v>W</v>
      </c>
      <c r="F1889" s="2" t="str">
        <f t="shared" si="1372"/>
        <v>Elite</v>
      </c>
      <c r="G1889" s="2" t="str">
        <f t="shared" si="1495"/>
        <v/>
      </c>
      <c r="H1889" s="2" t="str">
        <f t="shared" si="1495"/>
        <v/>
      </c>
      <c r="I1889" s="2" t="str">
        <f t="shared" si="1495"/>
        <v/>
      </c>
      <c r="J1889" s="2" t="str">
        <f t="shared" si="1495"/>
        <v/>
      </c>
      <c r="K1889" s="2" t="str">
        <f t="shared" si="1495"/>
        <v/>
      </c>
      <c r="L1889" s="2" t="str">
        <f t="shared" si="1495"/>
        <v/>
      </c>
      <c r="M1889" s="180" t="str">
        <f t="shared" si="1495"/>
        <v/>
      </c>
      <c r="N1889" s="2" t="str">
        <f t="shared" si="1365"/>
        <v/>
      </c>
      <c r="O1889" s="2">
        <f t="shared" si="1454"/>
        <v>0</v>
      </c>
    </row>
    <row r="1890" spans="1:15" x14ac:dyDescent="0.25">
      <c r="A1890" s="327">
        <v>5</v>
      </c>
      <c r="B1890" s="2">
        <f t="shared" si="1496"/>
        <v>0</v>
      </c>
      <c r="C1890" s="2" t="str">
        <f t="shared" si="1497"/>
        <v>Elite</v>
      </c>
      <c r="D1890" s="2">
        <f t="shared" si="1498"/>
        <v>0</v>
      </c>
      <c r="E1890" s="2" t="str">
        <f t="shared" si="1499"/>
        <v>W</v>
      </c>
      <c r="F1890" s="2" t="str">
        <f t="shared" si="1372"/>
        <v>Elite</v>
      </c>
      <c r="G1890" s="2" t="str">
        <f t="shared" si="1495"/>
        <v/>
      </c>
      <c r="H1890" s="2" t="str">
        <f t="shared" si="1495"/>
        <v/>
      </c>
      <c r="I1890" s="2" t="str">
        <f t="shared" si="1495"/>
        <v/>
      </c>
      <c r="J1890" s="2" t="str">
        <f t="shared" si="1495"/>
        <v/>
      </c>
      <c r="K1890" s="2" t="str">
        <f t="shared" si="1495"/>
        <v/>
      </c>
      <c r="L1890" s="2" t="str">
        <f t="shared" si="1495"/>
        <v/>
      </c>
      <c r="M1890" s="180" t="str">
        <f t="shared" si="1495"/>
        <v/>
      </c>
      <c r="N1890" s="2" t="str">
        <f t="shared" si="1365"/>
        <v/>
      </c>
      <c r="O1890" s="2">
        <f t="shared" si="1454"/>
        <v>0</v>
      </c>
    </row>
    <row r="1891" spans="1:15" x14ac:dyDescent="0.25">
      <c r="A1891" s="2">
        <v>6</v>
      </c>
      <c r="B1891" s="2">
        <f t="shared" si="1496"/>
        <v>0</v>
      </c>
      <c r="C1891" s="2" t="str">
        <f t="shared" si="1497"/>
        <v>Elite</v>
      </c>
      <c r="D1891" s="2">
        <f t="shared" si="1498"/>
        <v>0</v>
      </c>
      <c r="E1891" s="2" t="str">
        <f t="shared" si="1499"/>
        <v>W</v>
      </c>
      <c r="F1891" s="2" t="str">
        <f t="shared" si="1372"/>
        <v>Elite</v>
      </c>
      <c r="G1891" s="2" t="str">
        <f t="shared" si="1495"/>
        <v/>
      </c>
      <c r="H1891" s="2" t="str">
        <f t="shared" si="1495"/>
        <v/>
      </c>
      <c r="I1891" s="2" t="str">
        <f t="shared" si="1495"/>
        <v/>
      </c>
      <c r="J1891" s="2" t="str">
        <f t="shared" si="1495"/>
        <v/>
      </c>
      <c r="K1891" s="2" t="str">
        <f t="shared" si="1495"/>
        <v/>
      </c>
      <c r="L1891" s="2" t="str">
        <f t="shared" si="1495"/>
        <v/>
      </c>
      <c r="M1891" s="180" t="str">
        <f t="shared" si="1495"/>
        <v/>
      </c>
      <c r="N1891" s="2" t="str">
        <f t="shared" si="1365"/>
        <v/>
      </c>
      <c r="O1891" s="2">
        <f t="shared" si="1454"/>
        <v>0</v>
      </c>
    </row>
    <row r="1892" spans="1:15" x14ac:dyDescent="0.25">
      <c r="A1892" s="325">
        <v>1</v>
      </c>
      <c r="B1892" s="325">
        <f>TrialNumberDay2</f>
        <v>0</v>
      </c>
      <c r="C1892" s="325" t="s">
        <v>2034</v>
      </c>
      <c r="D1892" s="325">
        <f>Elite!C70</f>
        <v>0</v>
      </c>
      <c r="E1892" s="325" t="str">
        <f>IF(Elite!B70="W","W","A")</f>
        <v>W</v>
      </c>
      <c r="F1892" s="325" t="s">
        <v>2034</v>
      </c>
      <c r="G1892" s="325" t="str">
        <f>IF(Elite!F70="e","Y","")</f>
        <v/>
      </c>
      <c r="H1892" s="325" t="str">
        <f>IFERROR(VLOOKUP($D1892,'SDDA Dogs'!$A:$AE,2,FALSE),"")</f>
        <v/>
      </c>
      <c r="I1892" s="325" t="str">
        <f>IFERROR(VLOOKUP($D1892,'SDDA Dogs'!$A:$AE,3,FALSE),"")</f>
        <v/>
      </c>
      <c r="J1892" s="325" t="str">
        <f>IFERROR(VLOOKUP($D1892,'SDDA Dogs'!$A:$AE,6,FALSE),"")</f>
        <v/>
      </c>
      <c r="K1892" s="325" t="str">
        <f>IF(Elite!AR70="","",Elite!AR70)</f>
        <v/>
      </c>
      <c r="L1892" s="325" t="str">
        <f>IF(Elite!AS70="","",Elite!AS70)</f>
        <v/>
      </c>
      <c r="M1892" s="326" t="str">
        <f>TrialDateDay2</f>
        <v/>
      </c>
      <c r="N1892" s="325" t="str">
        <f>N1887</f>
        <v/>
      </c>
      <c r="O1892" s="325">
        <f t="shared" si="1454"/>
        <v>0</v>
      </c>
    </row>
    <row r="1893" spans="1:15" x14ac:dyDescent="0.25">
      <c r="A1893" s="2">
        <v>2</v>
      </c>
      <c r="B1893" s="2">
        <f>B1892</f>
        <v>0</v>
      </c>
      <c r="C1893" s="2" t="str">
        <f>C1892</f>
        <v>Elite</v>
      </c>
      <c r="D1893" s="2">
        <f>D1892</f>
        <v>0</v>
      </c>
      <c r="E1893" s="2" t="str">
        <f>E1892</f>
        <v>W</v>
      </c>
      <c r="F1893" s="2" t="str">
        <f t="shared" si="1372"/>
        <v>Elite</v>
      </c>
      <c r="G1893" s="2" t="str">
        <f t="shared" ref="G1893:M1893" si="1500">G1892</f>
        <v/>
      </c>
      <c r="H1893" s="2" t="str">
        <f t="shared" si="1500"/>
        <v/>
      </c>
      <c r="I1893" s="2" t="str">
        <f t="shared" si="1500"/>
        <v/>
      </c>
      <c r="J1893" s="2" t="str">
        <f t="shared" si="1500"/>
        <v/>
      </c>
      <c r="K1893" s="2" t="str">
        <f t="shared" si="1500"/>
        <v/>
      </c>
      <c r="L1893" s="2" t="str">
        <f t="shared" si="1500"/>
        <v/>
      </c>
      <c r="M1893" s="180" t="str">
        <f t="shared" si="1500"/>
        <v/>
      </c>
      <c r="N1893" s="2" t="str">
        <f t="shared" si="1365"/>
        <v/>
      </c>
      <c r="O1893" s="2">
        <f t="shared" si="1454"/>
        <v>0</v>
      </c>
    </row>
    <row r="1894" spans="1:15" x14ac:dyDescent="0.25">
      <c r="A1894" s="327">
        <v>3</v>
      </c>
      <c r="B1894" s="2">
        <f t="shared" ref="B1894:B1897" si="1501">B1893</f>
        <v>0</v>
      </c>
      <c r="C1894" s="2" t="str">
        <f t="shared" ref="C1894:C1897" si="1502">C1893</f>
        <v>Elite</v>
      </c>
      <c r="D1894" s="2">
        <f t="shared" ref="D1894:D1897" si="1503">D1893</f>
        <v>0</v>
      </c>
      <c r="E1894" s="2" t="str">
        <f t="shared" ref="E1894:M1897" si="1504">E1893</f>
        <v>W</v>
      </c>
      <c r="F1894" s="2" t="str">
        <f t="shared" si="1504"/>
        <v>Elite</v>
      </c>
      <c r="G1894" s="2" t="str">
        <f t="shared" si="1504"/>
        <v/>
      </c>
      <c r="H1894" s="2" t="str">
        <f t="shared" si="1504"/>
        <v/>
      </c>
      <c r="I1894" s="2" t="str">
        <f t="shared" si="1504"/>
        <v/>
      </c>
      <c r="J1894" s="2" t="str">
        <f t="shared" si="1504"/>
        <v/>
      </c>
      <c r="K1894" s="2" t="str">
        <f t="shared" si="1504"/>
        <v/>
      </c>
      <c r="L1894" s="2" t="str">
        <f t="shared" si="1504"/>
        <v/>
      </c>
      <c r="M1894" s="180" t="str">
        <f t="shared" si="1504"/>
        <v/>
      </c>
      <c r="N1894" s="2" t="str">
        <f t="shared" si="1365"/>
        <v/>
      </c>
      <c r="O1894" s="2">
        <f t="shared" si="1454"/>
        <v>0</v>
      </c>
    </row>
    <row r="1895" spans="1:15" x14ac:dyDescent="0.25">
      <c r="A1895" s="2">
        <v>4</v>
      </c>
      <c r="B1895" s="2">
        <f t="shared" si="1501"/>
        <v>0</v>
      </c>
      <c r="C1895" s="2" t="str">
        <f t="shared" si="1502"/>
        <v>Elite</v>
      </c>
      <c r="D1895" s="2">
        <f t="shared" si="1503"/>
        <v>0</v>
      </c>
      <c r="E1895" s="2" t="str">
        <f t="shared" si="1504"/>
        <v>W</v>
      </c>
      <c r="F1895" s="2" t="str">
        <f t="shared" si="1504"/>
        <v>Elite</v>
      </c>
      <c r="G1895" s="2" t="str">
        <f t="shared" si="1504"/>
        <v/>
      </c>
      <c r="H1895" s="2" t="str">
        <f t="shared" si="1504"/>
        <v/>
      </c>
      <c r="I1895" s="2" t="str">
        <f t="shared" si="1504"/>
        <v/>
      </c>
      <c r="J1895" s="2" t="str">
        <f t="shared" si="1504"/>
        <v/>
      </c>
      <c r="K1895" s="2" t="str">
        <f t="shared" si="1504"/>
        <v/>
      </c>
      <c r="L1895" s="2" t="str">
        <f t="shared" si="1504"/>
        <v/>
      </c>
      <c r="M1895" s="180" t="str">
        <f t="shared" si="1504"/>
        <v/>
      </c>
      <c r="N1895" s="2" t="str">
        <f t="shared" si="1365"/>
        <v/>
      </c>
      <c r="O1895" s="2">
        <f t="shared" si="1454"/>
        <v>0</v>
      </c>
    </row>
    <row r="1896" spans="1:15" x14ac:dyDescent="0.25">
      <c r="A1896" s="327">
        <v>5</v>
      </c>
      <c r="B1896" s="2">
        <f t="shared" si="1501"/>
        <v>0</v>
      </c>
      <c r="C1896" s="2" t="str">
        <f t="shared" si="1502"/>
        <v>Elite</v>
      </c>
      <c r="D1896" s="2">
        <f t="shared" si="1503"/>
        <v>0</v>
      </c>
      <c r="E1896" s="2" t="str">
        <f t="shared" si="1504"/>
        <v>W</v>
      </c>
      <c r="F1896" s="2" t="str">
        <f t="shared" si="1504"/>
        <v>Elite</v>
      </c>
      <c r="G1896" s="2" t="str">
        <f t="shared" si="1504"/>
        <v/>
      </c>
      <c r="H1896" s="2" t="str">
        <f t="shared" si="1504"/>
        <v/>
      </c>
      <c r="I1896" s="2" t="str">
        <f t="shared" si="1504"/>
        <v/>
      </c>
      <c r="J1896" s="2" t="str">
        <f t="shared" si="1504"/>
        <v/>
      </c>
      <c r="K1896" s="2" t="str">
        <f t="shared" si="1504"/>
        <v/>
      </c>
      <c r="L1896" s="2" t="str">
        <f t="shared" si="1504"/>
        <v/>
      </c>
      <c r="M1896" s="180" t="str">
        <f t="shared" si="1504"/>
        <v/>
      </c>
      <c r="N1896" s="2" t="str">
        <f t="shared" si="1365"/>
        <v/>
      </c>
      <c r="O1896" s="2">
        <f t="shared" si="1454"/>
        <v>0</v>
      </c>
    </row>
    <row r="1897" spans="1:15" x14ac:dyDescent="0.25">
      <c r="A1897" s="2">
        <v>6</v>
      </c>
      <c r="B1897" s="2">
        <f t="shared" si="1501"/>
        <v>0</v>
      </c>
      <c r="C1897" s="2" t="str">
        <f t="shared" si="1502"/>
        <v>Elite</v>
      </c>
      <c r="D1897" s="2">
        <f t="shared" si="1503"/>
        <v>0</v>
      </c>
      <c r="E1897" s="2" t="str">
        <f t="shared" si="1504"/>
        <v>W</v>
      </c>
      <c r="F1897" s="2" t="str">
        <f t="shared" si="1504"/>
        <v>Elite</v>
      </c>
      <c r="G1897" s="2" t="str">
        <f t="shared" si="1504"/>
        <v/>
      </c>
      <c r="H1897" s="2" t="str">
        <f t="shared" si="1504"/>
        <v/>
      </c>
      <c r="I1897" s="2" t="str">
        <f t="shared" si="1504"/>
        <v/>
      </c>
      <c r="J1897" s="2" t="str">
        <f t="shared" si="1504"/>
        <v/>
      </c>
      <c r="K1897" s="2" t="str">
        <f t="shared" si="1504"/>
        <v/>
      </c>
      <c r="L1897" s="2" t="str">
        <f t="shared" si="1504"/>
        <v/>
      </c>
      <c r="M1897" s="180" t="str">
        <f t="shared" si="1504"/>
        <v/>
      </c>
      <c r="N1897" s="2" t="str">
        <f t="shared" si="1365"/>
        <v/>
      </c>
      <c r="O1897" s="2">
        <f t="shared" si="1454"/>
        <v>0</v>
      </c>
    </row>
    <row r="1898" spans="1:15" x14ac:dyDescent="0.25">
      <c r="A1898" s="325">
        <v>1</v>
      </c>
      <c r="B1898" s="325">
        <f>TrialNumberDay2</f>
        <v>0</v>
      </c>
      <c r="C1898" s="325" t="s">
        <v>2034</v>
      </c>
      <c r="D1898" s="325">
        <f>Elite!C71</f>
        <v>0</v>
      </c>
      <c r="E1898" s="325" t="str">
        <f>IF(Elite!B71="W","W","A")</f>
        <v>W</v>
      </c>
      <c r="F1898" s="325" t="s">
        <v>2034</v>
      </c>
      <c r="G1898" s="325" t="str">
        <f>IF(Elite!F71="e","Y","")</f>
        <v/>
      </c>
      <c r="H1898" s="325" t="str">
        <f>IFERROR(VLOOKUP($D1898,'SDDA Dogs'!$A:$AE,2,FALSE),"")</f>
        <v/>
      </c>
      <c r="I1898" s="325" t="str">
        <f>IFERROR(VLOOKUP($D1898,'SDDA Dogs'!$A:$AE,3,FALSE),"")</f>
        <v/>
      </c>
      <c r="J1898" s="325" t="str">
        <f>IFERROR(VLOOKUP($D1898,'SDDA Dogs'!$A:$AE,6,FALSE),"")</f>
        <v/>
      </c>
      <c r="K1898" s="325" t="str">
        <f>IF(Elite!AR71="","",Elite!AR71)</f>
        <v/>
      </c>
      <c r="L1898" s="325" t="str">
        <f>IF(Elite!AS71="","",Elite!AS71)</f>
        <v/>
      </c>
      <c r="M1898" s="326" t="str">
        <f>TrialDateDay2</f>
        <v/>
      </c>
      <c r="N1898" s="325" t="str">
        <f>N1893</f>
        <v/>
      </c>
      <c r="O1898" s="325">
        <f t="shared" si="1454"/>
        <v>0</v>
      </c>
    </row>
    <row r="1899" spans="1:15" x14ac:dyDescent="0.25">
      <c r="A1899" s="2">
        <v>2</v>
      </c>
      <c r="B1899" s="2">
        <f>B1898</f>
        <v>0</v>
      </c>
      <c r="C1899" s="2" t="str">
        <f>C1898</f>
        <v>Elite</v>
      </c>
      <c r="D1899" s="2">
        <f>D1898</f>
        <v>0</v>
      </c>
      <c r="E1899" s="2" t="str">
        <f>E1898</f>
        <v>W</v>
      </c>
      <c r="F1899" s="2" t="str">
        <f t="shared" si="1372"/>
        <v>Elite</v>
      </c>
      <c r="G1899" s="2" t="str">
        <f t="shared" ref="G1899:N1903" si="1505">G1898</f>
        <v/>
      </c>
      <c r="H1899" s="2" t="str">
        <f t="shared" si="1505"/>
        <v/>
      </c>
      <c r="I1899" s="2" t="str">
        <f t="shared" si="1505"/>
        <v/>
      </c>
      <c r="J1899" s="2" t="str">
        <f t="shared" si="1505"/>
        <v/>
      </c>
      <c r="K1899" s="2" t="str">
        <f t="shared" si="1505"/>
        <v/>
      </c>
      <c r="L1899" s="2" t="str">
        <f t="shared" si="1505"/>
        <v/>
      </c>
      <c r="M1899" s="180" t="str">
        <f t="shared" si="1505"/>
        <v/>
      </c>
      <c r="N1899" s="2" t="str">
        <f t="shared" si="1365"/>
        <v/>
      </c>
      <c r="O1899" s="2">
        <f t="shared" si="1454"/>
        <v>0</v>
      </c>
    </row>
    <row r="1900" spans="1:15" x14ac:dyDescent="0.25">
      <c r="A1900" s="327">
        <v>3</v>
      </c>
      <c r="B1900" s="2">
        <f t="shared" ref="B1900:B1903" si="1506">B1899</f>
        <v>0</v>
      </c>
      <c r="C1900" s="2" t="str">
        <f t="shared" ref="C1900:C1903" si="1507">C1899</f>
        <v>Elite</v>
      </c>
      <c r="D1900" s="2">
        <f t="shared" ref="D1900:D1903" si="1508">D1899</f>
        <v>0</v>
      </c>
      <c r="E1900" s="2" t="str">
        <f t="shared" ref="E1900:E1903" si="1509">E1899</f>
        <v>W</v>
      </c>
      <c r="F1900" s="2" t="str">
        <f t="shared" si="1372"/>
        <v>Elite</v>
      </c>
      <c r="G1900" s="2" t="str">
        <f t="shared" si="1505"/>
        <v/>
      </c>
      <c r="H1900" s="2" t="str">
        <f t="shared" si="1505"/>
        <v/>
      </c>
      <c r="I1900" s="2" t="str">
        <f t="shared" si="1505"/>
        <v/>
      </c>
      <c r="J1900" s="2" t="str">
        <f t="shared" si="1505"/>
        <v/>
      </c>
      <c r="K1900" s="2" t="str">
        <f t="shared" si="1505"/>
        <v/>
      </c>
      <c r="L1900" s="2" t="str">
        <f t="shared" si="1505"/>
        <v/>
      </c>
      <c r="M1900" s="180" t="str">
        <f t="shared" si="1505"/>
        <v/>
      </c>
      <c r="N1900" s="2" t="str">
        <f t="shared" si="1365"/>
        <v/>
      </c>
      <c r="O1900" s="2">
        <f t="shared" si="1454"/>
        <v>0</v>
      </c>
    </row>
    <row r="1901" spans="1:15" x14ac:dyDescent="0.25">
      <c r="A1901" s="2">
        <v>4</v>
      </c>
      <c r="B1901" s="2">
        <f t="shared" si="1506"/>
        <v>0</v>
      </c>
      <c r="C1901" s="2" t="str">
        <f t="shared" si="1507"/>
        <v>Elite</v>
      </c>
      <c r="D1901" s="2">
        <f t="shared" si="1508"/>
        <v>0</v>
      </c>
      <c r="E1901" s="2" t="str">
        <f t="shared" si="1509"/>
        <v>W</v>
      </c>
      <c r="F1901" s="2" t="str">
        <f t="shared" si="1372"/>
        <v>Elite</v>
      </c>
      <c r="G1901" s="2" t="str">
        <f t="shared" si="1505"/>
        <v/>
      </c>
      <c r="H1901" s="2" t="str">
        <f t="shared" si="1505"/>
        <v/>
      </c>
      <c r="I1901" s="2" t="str">
        <f t="shared" si="1505"/>
        <v/>
      </c>
      <c r="J1901" s="2" t="str">
        <f t="shared" si="1505"/>
        <v/>
      </c>
      <c r="K1901" s="2" t="str">
        <f t="shared" si="1505"/>
        <v/>
      </c>
      <c r="L1901" s="2" t="str">
        <f t="shared" si="1505"/>
        <v/>
      </c>
      <c r="M1901" s="180" t="str">
        <f t="shared" si="1505"/>
        <v/>
      </c>
      <c r="N1901" s="2" t="str">
        <f t="shared" si="1505"/>
        <v/>
      </c>
      <c r="O1901" s="2">
        <f t="shared" si="1454"/>
        <v>0</v>
      </c>
    </row>
    <row r="1902" spans="1:15" x14ac:dyDescent="0.25">
      <c r="A1902" s="327">
        <v>5</v>
      </c>
      <c r="B1902" s="2">
        <f t="shared" si="1506"/>
        <v>0</v>
      </c>
      <c r="C1902" s="2" t="str">
        <f t="shared" si="1507"/>
        <v>Elite</v>
      </c>
      <c r="D1902" s="2">
        <f t="shared" si="1508"/>
        <v>0</v>
      </c>
      <c r="E1902" s="2" t="str">
        <f t="shared" si="1509"/>
        <v>W</v>
      </c>
      <c r="F1902" s="2" t="str">
        <f t="shared" si="1372"/>
        <v>Elite</v>
      </c>
      <c r="G1902" s="2" t="str">
        <f t="shared" si="1505"/>
        <v/>
      </c>
      <c r="H1902" s="2" t="str">
        <f t="shared" si="1505"/>
        <v/>
      </c>
      <c r="I1902" s="2" t="str">
        <f t="shared" si="1505"/>
        <v/>
      </c>
      <c r="J1902" s="2" t="str">
        <f t="shared" si="1505"/>
        <v/>
      </c>
      <c r="K1902" s="2" t="str">
        <f t="shared" si="1505"/>
        <v/>
      </c>
      <c r="L1902" s="2" t="str">
        <f t="shared" si="1505"/>
        <v/>
      </c>
      <c r="M1902" s="180" t="str">
        <f t="shared" si="1505"/>
        <v/>
      </c>
      <c r="N1902" s="2" t="str">
        <f t="shared" si="1505"/>
        <v/>
      </c>
      <c r="O1902" s="2">
        <f t="shared" si="1454"/>
        <v>0</v>
      </c>
    </row>
    <row r="1903" spans="1:15" x14ac:dyDescent="0.25">
      <c r="A1903" s="2">
        <v>6</v>
      </c>
      <c r="B1903" s="2">
        <f t="shared" si="1506"/>
        <v>0</v>
      </c>
      <c r="C1903" s="2" t="str">
        <f t="shared" si="1507"/>
        <v>Elite</v>
      </c>
      <c r="D1903" s="2">
        <f t="shared" si="1508"/>
        <v>0</v>
      </c>
      <c r="E1903" s="2" t="str">
        <f t="shared" si="1509"/>
        <v>W</v>
      </c>
      <c r="F1903" s="2" t="str">
        <f t="shared" si="1372"/>
        <v>Elite</v>
      </c>
      <c r="G1903" s="2" t="str">
        <f t="shared" si="1505"/>
        <v/>
      </c>
      <c r="H1903" s="2" t="str">
        <f t="shared" si="1505"/>
        <v/>
      </c>
      <c r="I1903" s="2" t="str">
        <f t="shared" si="1505"/>
        <v/>
      </c>
      <c r="J1903" s="2" t="str">
        <f t="shared" si="1505"/>
        <v/>
      </c>
      <c r="K1903" s="2" t="str">
        <f t="shared" si="1505"/>
        <v/>
      </c>
      <c r="L1903" s="2" t="str">
        <f t="shared" si="1505"/>
        <v/>
      </c>
      <c r="M1903" s="180" t="str">
        <f t="shared" si="1505"/>
        <v/>
      </c>
      <c r="N1903" s="2" t="str">
        <f t="shared" si="1505"/>
        <v/>
      </c>
      <c r="O1903" s="2">
        <f t="shared" si="1454"/>
        <v>0</v>
      </c>
    </row>
    <row r="1904" spans="1:15" x14ac:dyDescent="0.25">
      <c r="A1904" s="325">
        <v>1</v>
      </c>
      <c r="B1904" s="325">
        <f>TrialNumberDay2</f>
        <v>0</v>
      </c>
      <c r="C1904" s="325" t="s">
        <v>2034</v>
      </c>
      <c r="D1904" s="325">
        <f>Elite!C72</f>
        <v>0</v>
      </c>
      <c r="E1904" s="325" t="str">
        <f>IF(Elite!B72="W","W","A")</f>
        <v>W</v>
      </c>
      <c r="F1904" s="325" t="s">
        <v>2034</v>
      </c>
      <c r="G1904" s="325" t="str">
        <f>IF(Elite!F72="e","Y","")</f>
        <v/>
      </c>
      <c r="H1904" s="325" t="str">
        <f>IFERROR(VLOOKUP($D1904,'SDDA Dogs'!$A:$AE,2,FALSE),"")</f>
        <v/>
      </c>
      <c r="I1904" s="325" t="str">
        <f>IFERROR(VLOOKUP($D1904,'SDDA Dogs'!$A:$AE,3,FALSE),"")</f>
        <v/>
      </c>
      <c r="J1904" s="325" t="str">
        <f>IFERROR(VLOOKUP($D1904,'SDDA Dogs'!$A:$AE,6,FALSE),"")</f>
        <v/>
      </c>
      <c r="K1904" s="325" t="str">
        <f>IF(Elite!AR72="","",Elite!AR72)</f>
        <v/>
      </c>
      <c r="L1904" s="325" t="str">
        <f>IF(Elite!AS72="","",Elite!AS72)</f>
        <v/>
      </c>
      <c r="M1904" s="326" t="str">
        <f>TrialDateDay2</f>
        <v/>
      </c>
      <c r="N1904" s="325" t="str">
        <f>N1899</f>
        <v/>
      </c>
      <c r="O1904" s="325">
        <f t="shared" si="1454"/>
        <v>0</v>
      </c>
    </row>
    <row r="1905" spans="1:15" x14ac:dyDescent="0.25">
      <c r="A1905" s="2">
        <v>2</v>
      </c>
      <c r="B1905" s="2">
        <f>B1904</f>
        <v>0</v>
      </c>
      <c r="C1905" s="2" t="str">
        <f>C1904</f>
        <v>Elite</v>
      </c>
      <c r="D1905" s="2">
        <f>D1904</f>
        <v>0</v>
      </c>
      <c r="E1905" s="2" t="str">
        <f>E1904</f>
        <v>W</v>
      </c>
      <c r="F1905" s="2" t="str">
        <f t="shared" si="1372"/>
        <v>Elite</v>
      </c>
      <c r="G1905" s="2" t="str">
        <f t="shared" ref="G1905:M1905" si="1510">G1904</f>
        <v/>
      </c>
      <c r="H1905" s="2" t="str">
        <f t="shared" si="1510"/>
        <v/>
      </c>
      <c r="I1905" s="2" t="str">
        <f t="shared" si="1510"/>
        <v/>
      </c>
      <c r="J1905" s="2" t="str">
        <f t="shared" si="1510"/>
        <v/>
      </c>
      <c r="K1905" s="2" t="str">
        <f t="shared" si="1510"/>
        <v/>
      </c>
      <c r="L1905" s="2" t="str">
        <f t="shared" si="1510"/>
        <v/>
      </c>
      <c r="M1905" s="180" t="str">
        <f t="shared" si="1510"/>
        <v/>
      </c>
      <c r="N1905" s="2" t="str">
        <f t="shared" ref="N1905:N1921" si="1511">N1904</f>
        <v/>
      </c>
      <c r="O1905" s="2">
        <f t="shared" si="1454"/>
        <v>0</v>
      </c>
    </row>
    <row r="1906" spans="1:15" x14ac:dyDescent="0.25">
      <c r="A1906" s="327">
        <v>3</v>
      </c>
      <c r="B1906" s="2">
        <f t="shared" ref="B1906:B1909" si="1512">B1905</f>
        <v>0</v>
      </c>
      <c r="C1906" s="2" t="str">
        <f t="shared" ref="C1906:C1909" si="1513">C1905</f>
        <v>Elite</v>
      </c>
      <c r="D1906" s="2">
        <f t="shared" ref="D1906:D1909" si="1514">D1905</f>
        <v>0</v>
      </c>
      <c r="E1906" s="2" t="str">
        <f t="shared" ref="E1906:N1909" si="1515">E1905</f>
        <v>W</v>
      </c>
      <c r="F1906" s="2" t="str">
        <f t="shared" si="1515"/>
        <v>Elite</v>
      </c>
      <c r="G1906" s="2" t="str">
        <f t="shared" si="1515"/>
        <v/>
      </c>
      <c r="H1906" s="2" t="str">
        <f t="shared" si="1515"/>
        <v/>
      </c>
      <c r="I1906" s="2" t="str">
        <f t="shared" si="1515"/>
        <v/>
      </c>
      <c r="J1906" s="2" t="str">
        <f t="shared" si="1515"/>
        <v/>
      </c>
      <c r="K1906" s="2" t="str">
        <f t="shared" si="1515"/>
        <v/>
      </c>
      <c r="L1906" s="2" t="str">
        <f t="shared" si="1515"/>
        <v/>
      </c>
      <c r="M1906" s="180" t="str">
        <f t="shared" si="1515"/>
        <v/>
      </c>
      <c r="N1906" s="2" t="str">
        <f t="shared" si="1511"/>
        <v/>
      </c>
      <c r="O1906" s="2">
        <f t="shared" si="1454"/>
        <v>0</v>
      </c>
    </row>
    <row r="1907" spans="1:15" x14ac:dyDescent="0.25">
      <c r="A1907" s="2">
        <v>4</v>
      </c>
      <c r="B1907" s="2">
        <f t="shared" si="1512"/>
        <v>0</v>
      </c>
      <c r="C1907" s="2" t="str">
        <f t="shared" si="1513"/>
        <v>Elite</v>
      </c>
      <c r="D1907" s="2">
        <f t="shared" si="1514"/>
        <v>0</v>
      </c>
      <c r="E1907" s="2" t="str">
        <f t="shared" si="1515"/>
        <v>W</v>
      </c>
      <c r="F1907" s="2" t="str">
        <f t="shared" si="1515"/>
        <v>Elite</v>
      </c>
      <c r="G1907" s="2" t="str">
        <f t="shared" si="1515"/>
        <v/>
      </c>
      <c r="H1907" s="2" t="str">
        <f t="shared" si="1515"/>
        <v/>
      </c>
      <c r="I1907" s="2" t="str">
        <f t="shared" si="1515"/>
        <v/>
      </c>
      <c r="J1907" s="2" t="str">
        <f t="shared" si="1515"/>
        <v/>
      </c>
      <c r="K1907" s="2" t="str">
        <f t="shared" si="1515"/>
        <v/>
      </c>
      <c r="L1907" s="2" t="str">
        <f t="shared" si="1515"/>
        <v/>
      </c>
      <c r="M1907" s="180" t="str">
        <f t="shared" si="1515"/>
        <v/>
      </c>
      <c r="N1907" s="2" t="str">
        <f t="shared" si="1515"/>
        <v/>
      </c>
      <c r="O1907" s="2">
        <f t="shared" si="1454"/>
        <v>0</v>
      </c>
    </row>
    <row r="1908" spans="1:15" x14ac:dyDescent="0.25">
      <c r="A1908" s="327">
        <v>5</v>
      </c>
      <c r="B1908" s="2">
        <f t="shared" si="1512"/>
        <v>0</v>
      </c>
      <c r="C1908" s="2" t="str">
        <f t="shared" si="1513"/>
        <v>Elite</v>
      </c>
      <c r="D1908" s="2">
        <f t="shared" si="1514"/>
        <v>0</v>
      </c>
      <c r="E1908" s="2" t="str">
        <f t="shared" si="1515"/>
        <v>W</v>
      </c>
      <c r="F1908" s="2" t="str">
        <f t="shared" si="1515"/>
        <v>Elite</v>
      </c>
      <c r="G1908" s="2" t="str">
        <f t="shared" si="1515"/>
        <v/>
      </c>
      <c r="H1908" s="2" t="str">
        <f t="shared" si="1515"/>
        <v/>
      </c>
      <c r="I1908" s="2" t="str">
        <f t="shared" si="1515"/>
        <v/>
      </c>
      <c r="J1908" s="2" t="str">
        <f t="shared" si="1515"/>
        <v/>
      </c>
      <c r="K1908" s="2" t="str">
        <f t="shared" si="1515"/>
        <v/>
      </c>
      <c r="L1908" s="2" t="str">
        <f t="shared" si="1515"/>
        <v/>
      </c>
      <c r="M1908" s="180" t="str">
        <f t="shared" si="1515"/>
        <v/>
      </c>
      <c r="N1908" s="2" t="str">
        <f t="shared" si="1515"/>
        <v/>
      </c>
      <c r="O1908" s="2">
        <f t="shared" si="1454"/>
        <v>0</v>
      </c>
    </row>
    <row r="1909" spans="1:15" x14ac:dyDescent="0.25">
      <c r="A1909" s="2">
        <v>6</v>
      </c>
      <c r="B1909" s="2">
        <f t="shared" si="1512"/>
        <v>0</v>
      </c>
      <c r="C1909" s="2" t="str">
        <f t="shared" si="1513"/>
        <v>Elite</v>
      </c>
      <c r="D1909" s="2">
        <f t="shared" si="1514"/>
        <v>0</v>
      </c>
      <c r="E1909" s="2" t="str">
        <f t="shared" si="1515"/>
        <v>W</v>
      </c>
      <c r="F1909" s="2" t="str">
        <f t="shared" si="1515"/>
        <v>Elite</v>
      </c>
      <c r="G1909" s="2" t="str">
        <f t="shared" si="1515"/>
        <v/>
      </c>
      <c r="H1909" s="2" t="str">
        <f t="shared" si="1515"/>
        <v/>
      </c>
      <c r="I1909" s="2" t="str">
        <f t="shared" si="1515"/>
        <v/>
      </c>
      <c r="J1909" s="2" t="str">
        <f t="shared" si="1515"/>
        <v/>
      </c>
      <c r="K1909" s="2" t="str">
        <f t="shared" si="1515"/>
        <v/>
      </c>
      <c r="L1909" s="2" t="str">
        <f t="shared" si="1515"/>
        <v/>
      </c>
      <c r="M1909" s="180" t="str">
        <f t="shared" si="1515"/>
        <v/>
      </c>
      <c r="N1909" s="2" t="str">
        <f t="shared" si="1515"/>
        <v/>
      </c>
      <c r="O1909" s="2">
        <f t="shared" si="1454"/>
        <v>0</v>
      </c>
    </row>
    <row r="1910" spans="1:15" x14ac:dyDescent="0.25">
      <c r="A1910" s="325">
        <v>1</v>
      </c>
      <c r="B1910" s="325">
        <f>TrialNumberDay2</f>
        <v>0</v>
      </c>
      <c r="C1910" s="325" t="s">
        <v>2034</v>
      </c>
      <c r="D1910" s="325">
        <f>Elite!C73</f>
        <v>0</v>
      </c>
      <c r="E1910" s="325" t="str">
        <f>IF(Elite!B73="W","W","A")</f>
        <v>W</v>
      </c>
      <c r="F1910" s="325" t="s">
        <v>2034</v>
      </c>
      <c r="G1910" s="325" t="str">
        <f>IF(Elite!F73="e","Y","")</f>
        <v/>
      </c>
      <c r="H1910" s="325" t="str">
        <f>IFERROR(VLOOKUP($D1910,'SDDA Dogs'!$A:$AE,2,FALSE),"")</f>
        <v/>
      </c>
      <c r="I1910" s="325" t="str">
        <f>IFERROR(VLOOKUP($D1910,'SDDA Dogs'!$A:$AE,3,FALSE),"")</f>
        <v/>
      </c>
      <c r="J1910" s="325" t="str">
        <f>IFERROR(VLOOKUP($D1910,'SDDA Dogs'!$A:$AE,6,FALSE),"")</f>
        <v/>
      </c>
      <c r="K1910" s="325" t="str">
        <f>IF(Elite!AR73="","",Elite!AR73)</f>
        <v/>
      </c>
      <c r="L1910" s="325" t="str">
        <f>IF(Elite!AS73="","",Elite!AS73)</f>
        <v/>
      </c>
      <c r="M1910" s="326" t="str">
        <f>TrialDateDay2</f>
        <v/>
      </c>
      <c r="N1910" s="325" t="str">
        <f>N1905</f>
        <v/>
      </c>
      <c r="O1910" s="325">
        <f t="shared" si="1454"/>
        <v>0</v>
      </c>
    </row>
    <row r="1911" spans="1:15" x14ac:dyDescent="0.25">
      <c r="A1911" s="2">
        <v>2</v>
      </c>
      <c r="B1911" s="2">
        <f>B1910</f>
        <v>0</v>
      </c>
      <c r="C1911" s="2" t="str">
        <f>C1910</f>
        <v>Elite</v>
      </c>
      <c r="D1911" s="2">
        <f>D1910</f>
        <v>0</v>
      </c>
      <c r="E1911" s="2" t="str">
        <f>E1910</f>
        <v>W</v>
      </c>
      <c r="F1911" s="2" t="str">
        <f t="shared" si="1372"/>
        <v>Elite</v>
      </c>
      <c r="G1911" s="2" t="str">
        <f t="shared" ref="G1911:M1915" si="1516">G1910</f>
        <v/>
      </c>
      <c r="H1911" s="2" t="str">
        <f t="shared" si="1516"/>
        <v/>
      </c>
      <c r="I1911" s="2" t="str">
        <f t="shared" si="1516"/>
        <v/>
      </c>
      <c r="J1911" s="2" t="str">
        <f t="shared" si="1516"/>
        <v/>
      </c>
      <c r="K1911" s="2" t="str">
        <f t="shared" si="1516"/>
        <v/>
      </c>
      <c r="L1911" s="2" t="str">
        <f t="shared" si="1516"/>
        <v/>
      </c>
      <c r="M1911" s="180" t="str">
        <f t="shared" si="1516"/>
        <v/>
      </c>
      <c r="N1911" s="2" t="str">
        <f t="shared" si="1511"/>
        <v/>
      </c>
      <c r="O1911" s="2">
        <f t="shared" si="1454"/>
        <v>0</v>
      </c>
    </row>
    <row r="1912" spans="1:15" x14ac:dyDescent="0.25">
      <c r="A1912" s="327">
        <v>3</v>
      </c>
      <c r="B1912" s="2">
        <f t="shared" ref="B1912:B1915" si="1517">B1911</f>
        <v>0</v>
      </c>
      <c r="C1912" s="2" t="str">
        <f t="shared" ref="C1912:C1915" si="1518">C1911</f>
        <v>Elite</v>
      </c>
      <c r="D1912" s="2">
        <f t="shared" ref="D1912:D1915" si="1519">D1911</f>
        <v>0</v>
      </c>
      <c r="E1912" s="2" t="str">
        <f t="shared" ref="E1912:E1915" si="1520">E1911</f>
        <v>W</v>
      </c>
      <c r="F1912" s="2" t="str">
        <f t="shared" si="1372"/>
        <v>Elite</v>
      </c>
      <c r="G1912" s="2" t="str">
        <f t="shared" si="1516"/>
        <v/>
      </c>
      <c r="H1912" s="2" t="str">
        <f t="shared" si="1516"/>
        <v/>
      </c>
      <c r="I1912" s="2" t="str">
        <f t="shared" si="1516"/>
        <v/>
      </c>
      <c r="J1912" s="2" t="str">
        <f t="shared" si="1516"/>
        <v/>
      </c>
      <c r="K1912" s="2" t="str">
        <f t="shared" si="1516"/>
        <v/>
      </c>
      <c r="L1912" s="2" t="str">
        <f t="shared" si="1516"/>
        <v/>
      </c>
      <c r="M1912" s="180" t="str">
        <f t="shared" si="1516"/>
        <v/>
      </c>
      <c r="N1912" s="2" t="str">
        <f t="shared" si="1511"/>
        <v/>
      </c>
      <c r="O1912" s="2">
        <f t="shared" si="1454"/>
        <v>0</v>
      </c>
    </row>
    <row r="1913" spans="1:15" x14ac:dyDescent="0.25">
      <c r="A1913" s="2">
        <v>4</v>
      </c>
      <c r="B1913" s="2">
        <f t="shared" si="1517"/>
        <v>0</v>
      </c>
      <c r="C1913" s="2" t="str">
        <f t="shared" si="1518"/>
        <v>Elite</v>
      </c>
      <c r="D1913" s="2">
        <f t="shared" si="1519"/>
        <v>0</v>
      </c>
      <c r="E1913" s="2" t="str">
        <f t="shared" si="1520"/>
        <v>W</v>
      </c>
      <c r="F1913" s="2" t="str">
        <f t="shared" si="1372"/>
        <v>Elite</v>
      </c>
      <c r="G1913" s="2" t="str">
        <f t="shared" si="1516"/>
        <v/>
      </c>
      <c r="H1913" s="2" t="str">
        <f t="shared" si="1516"/>
        <v/>
      </c>
      <c r="I1913" s="2" t="str">
        <f t="shared" si="1516"/>
        <v/>
      </c>
      <c r="J1913" s="2" t="str">
        <f t="shared" si="1516"/>
        <v/>
      </c>
      <c r="K1913" s="2" t="str">
        <f t="shared" si="1516"/>
        <v/>
      </c>
      <c r="L1913" s="2" t="str">
        <f t="shared" si="1516"/>
        <v/>
      </c>
      <c r="M1913" s="180" t="str">
        <f t="shared" si="1516"/>
        <v/>
      </c>
      <c r="N1913" s="2" t="str">
        <f t="shared" si="1511"/>
        <v/>
      </c>
      <c r="O1913" s="2">
        <f t="shared" si="1454"/>
        <v>0</v>
      </c>
    </row>
    <row r="1914" spans="1:15" x14ac:dyDescent="0.25">
      <c r="A1914" s="327">
        <v>5</v>
      </c>
      <c r="B1914" s="2">
        <f t="shared" si="1517"/>
        <v>0</v>
      </c>
      <c r="C1914" s="2" t="str">
        <f t="shared" si="1518"/>
        <v>Elite</v>
      </c>
      <c r="D1914" s="2">
        <f t="shared" si="1519"/>
        <v>0</v>
      </c>
      <c r="E1914" s="2" t="str">
        <f t="shared" si="1520"/>
        <v>W</v>
      </c>
      <c r="F1914" s="2" t="str">
        <f t="shared" si="1372"/>
        <v>Elite</v>
      </c>
      <c r="G1914" s="2" t="str">
        <f t="shared" si="1516"/>
        <v/>
      </c>
      <c r="H1914" s="2" t="str">
        <f t="shared" si="1516"/>
        <v/>
      </c>
      <c r="I1914" s="2" t="str">
        <f t="shared" si="1516"/>
        <v/>
      </c>
      <c r="J1914" s="2" t="str">
        <f t="shared" si="1516"/>
        <v/>
      </c>
      <c r="K1914" s="2" t="str">
        <f t="shared" si="1516"/>
        <v/>
      </c>
      <c r="L1914" s="2" t="str">
        <f t="shared" si="1516"/>
        <v/>
      </c>
      <c r="M1914" s="180" t="str">
        <f t="shared" si="1516"/>
        <v/>
      </c>
      <c r="N1914" s="2" t="str">
        <f t="shared" si="1511"/>
        <v/>
      </c>
      <c r="O1914" s="2">
        <f t="shared" si="1454"/>
        <v>0</v>
      </c>
    </row>
    <row r="1915" spans="1:15" x14ac:dyDescent="0.25">
      <c r="A1915" s="2">
        <v>6</v>
      </c>
      <c r="B1915" s="2">
        <f t="shared" si="1517"/>
        <v>0</v>
      </c>
      <c r="C1915" s="2" t="str">
        <f t="shared" si="1518"/>
        <v>Elite</v>
      </c>
      <c r="D1915" s="2">
        <f t="shared" si="1519"/>
        <v>0</v>
      </c>
      <c r="E1915" s="2" t="str">
        <f t="shared" si="1520"/>
        <v>W</v>
      </c>
      <c r="F1915" s="2" t="str">
        <f t="shared" si="1372"/>
        <v>Elite</v>
      </c>
      <c r="G1915" s="2" t="str">
        <f t="shared" si="1516"/>
        <v/>
      </c>
      <c r="H1915" s="2" t="str">
        <f t="shared" si="1516"/>
        <v/>
      </c>
      <c r="I1915" s="2" t="str">
        <f t="shared" si="1516"/>
        <v/>
      </c>
      <c r="J1915" s="2" t="str">
        <f t="shared" si="1516"/>
        <v/>
      </c>
      <c r="K1915" s="2" t="str">
        <f t="shared" si="1516"/>
        <v/>
      </c>
      <c r="L1915" s="2" t="str">
        <f t="shared" si="1516"/>
        <v/>
      </c>
      <c r="M1915" s="180" t="str">
        <f t="shared" si="1516"/>
        <v/>
      </c>
      <c r="N1915" s="2" t="str">
        <f t="shared" si="1511"/>
        <v/>
      </c>
      <c r="O1915" s="2">
        <f t="shared" si="1454"/>
        <v>0</v>
      </c>
    </row>
    <row r="1916" spans="1:15" x14ac:dyDescent="0.25">
      <c r="A1916" s="325">
        <v>1</v>
      </c>
      <c r="B1916" s="325">
        <f>TrialNumberDay2</f>
        <v>0</v>
      </c>
      <c r="C1916" s="325" t="s">
        <v>2034</v>
      </c>
      <c r="D1916" s="325">
        <f>Elite!C74</f>
        <v>0</v>
      </c>
      <c r="E1916" s="325" t="str">
        <f>IF(Elite!B74="W","W","A")</f>
        <v>W</v>
      </c>
      <c r="F1916" s="325" t="s">
        <v>2034</v>
      </c>
      <c r="G1916" s="325" t="str">
        <f>IF(Elite!F74="e","Y","")</f>
        <v/>
      </c>
      <c r="H1916" s="325" t="str">
        <f>IFERROR(VLOOKUP($D1916,'SDDA Dogs'!$A:$AE,2,FALSE),"")</f>
        <v/>
      </c>
      <c r="I1916" s="325" t="str">
        <f>IFERROR(VLOOKUP($D1916,'SDDA Dogs'!$A:$AE,3,FALSE),"")</f>
        <v/>
      </c>
      <c r="J1916" s="325" t="str">
        <f>IFERROR(VLOOKUP($D1916,'SDDA Dogs'!$A:$AE,6,FALSE),"")</f>
        <v/>
      </c>
      <c r="K1916" s="325" t="str">
        <f>IF(Elite!AR74="","",Elite!AR74)</f>
        <v/>
      </c>
      <c r="L1916" s="325" t="str">
        <f>IF(Elite!AS74="","",Elite!AS74)</f>
        <v/>
      </c>
      <c r="M1916" s="326" t="str">
        <f>TrialDateDay2</f>
        <v/>
      </c>
      <c r="N1916" s="325" t="str">
        <f>N1911</f>
        <v/>
      </c>
      <c r="O1916" s="325">
        <f t="shared" si="1454"/>
        <v>0</v>
      </c>
    </row>
    <row r="1917" spans="1:15" x14ac:dyDescent="0.25">
      <c r="A1917" s="2">
        <v>2</v>
      </c>
      <c r="B1917" s="2">
        <f>B1916</f>
        <v>0</v>
      </c>
      <c r="C1917" s="2" t="str">
        <f>C1916</f>
        <v>Elite</v>
      </c>
      <c r="D1917" s="2">
        <f>D1916</f>
        <v>0</v>
      </c>
      <c r="E1917" s="2" t="str">
        <f>E1916</f>
        <v>W</v>
      </c>
      <c r="F1917" s="2" t="str">
        <f t="shared" si="1372"/>
        <v>Elite</v>
      </c>
      <c r="G1917" s="2" t="str">
        <f t="shared" ref="G1917:O1917" si="1521">G1916</f>
        <v/>
      </c>
      <c r="H1917" s="2" t="str">
        <f t="shared" si="1521"/>
        <v/>
      </c>
      <c r="I1917" s="2" t="str">
        <f t="shared" si="1521"/>
        <v/>
      </c>
      <c r="J1917" s="2" t="str">
        <f t="shared" si="1521"/>
        <v/>
      </c>
      <c r="K1917" s="2" t="str">
        <f t="shared" si="1521"/>
        <v/>
      </c>
      <c r="L1917" s="2" t="str">
        <f t="shared" si="1521"/>
        <v/>
      </c>
      <c r="M1917" s="180" t="str">
        <f t="shared" si="1521"/>
        <v/>
      </c>
      <c r="N1917" s="2" t="str">
        <f t="shared" si="1511"/>
        <v/>
      </c>
      <c r="O1917" s="2">
        <f t="shared" si="1521"/>
        <v>0</v>
      </c>
    </row>
    <row r="1918" spans="1:15" x14ac:dyDescent="0.25">
      <c r="A1918" s="327">
        <v>3</v>
      </c>
      <c r="B1918" s="2">
        <f t="shared" ref="B1918:B1921" si="1522">B1917</f>
        <v>0</v>
      </c>
      <c r="C1918" s="2" t="str">
        <f t="shared" ref="C1918:C1921" si="1523">C1917</f>
        <v>Elite</v>
      </c>
      <c r="D1918" s="2">
        <f t="shared" ref="D1918:D1921" si="1524">D1917</f>
        <v>0</v>
      </c>
      <c r="E1918" s="2" t="str">
        <f t="shared" ref="E1918:M1921" si="1525">E1917</f>
        <v>W</v>
      </c>
      <c r="F1918" s="2" t="str">
        <f t="shared" si="1525"/>
        <v>Elite</v>
      </c>
      <c r="G1918" s="2" t="str">
        <f t="shared" si="1525"/>
        <v/>
      </c>
      <c r="H1918" s="2" t="str">
        <f t="shared" si="1525"/>
        <v/>
      </c>
      <c r="I1918" s="2" t="str">
        <f t="shared" si="1525"/>
        <v/>
      </c>
      <c r="J1918" s="2" t="str">
        <f t="shared" si="1525"/>
        <v/>
      </c>
      <c r="K1918" s="2" t="str">
        <f t="shared" si="1525"/>
        <v/>
      </c>
      <c r="L1918" s="2" t="str">
        <f t="shared" si="1525"/>
        <v/>
      </c>
      <c r="M1918" s="180" t="str">
        <f t="shared" si="1525"/>
        <v/>
      </c>
      <c r="N1918" s="2" t="str">
        <f t="shared" si="1511"/>
        <v/>
      </c>
      <c r="O1918" s="2">
        <f t="shared" si="1454"/>
        <v>0</v>
      </c>
    </row>
    <row r="1919" spans="1:15" x14ac:dyDescent="0.25">
      <c r="A1919" s="2">
        <v>4</v>
      </c>
      <c r="B1919" s="2">
        <f t="shared" si="1522"/>
        <v>0</v>
      </c>
      <c r="C1919" s="2" t="str">
        <f t="shared" si="1523"/>
        <v>Elite</v>
      </c>
      <c r="D1919" s="2">
        <f t="shared" si="1524"/>
        <v>0</v>
      </c>
      <c r="E1919" s="2" t="str">
        <f t="shared" si="1525"/>
        <v>W</v>
      </c>
      <c r="F1919" s="2" t="str">
        <f t="shared" si="1525"/>
        <v>Elite</v>
      </c>
      <c r="G1919" s="2" t="str">
        <f t="shared" si="1525"/>
        <v/>
      </c>
      <c r="H1919" s="2" t="str">
        <f t="shared" si="1525"/>
        <v/>
      </c>
      <c r="I1919" s="2" t="str">
        <f t="shared" si="1525"/>
        <v/>
      </c>
      <c r="J1919" s="2" t="str">
        <f t="shared" si="1525"/>
        <v/>
      </c>
      <c r="K1919" s="2" t="str">
        <f t="shared" si="1525"/>
        <v/>
      </c>
      <c r="L1919" s="2" t="str">
        <f t="shared" si="1525"/>
        <v/>
      </c>
      <c r="M1919" s="180" t="str">
        <f t="shared" si="1525"/>
        <v/>
      </c>
      <c r="N1919" s="2" t="str">
        <f t="shared" si="1511"/>
        <v/>
      </c>
      <c r="O1919" s="2">
        <f t="shared" ref="O1919:O1921" si="1526">IF(JudgeD2CSL = JudgeD2ISL, IF(JudgeD2ESL = JudgeD2CSL, JudgeD2CSL, "Multiple Judges"),"Multiple Judges")</f>
        <v>0</v>
      </c>
    </row>
    <row r="1920" spans="1:15" x14ac:dyDescent="0.25">
      <c r="A1920" s="327">
        <v>5</v>
      </c>
      <c r="B1920" s="2">
        <f t="shared" si="1522"/>
        <v>0</v>
      </c>
      <c r="C1920" s="2" t="str">
        <f t="shared" si="1523"/>
        <v>Elite</v>
      </c>
      <c r="D1920" s="2">
        <f t="shared" si="1524"/>
        <v>0</v>
      </c>
      <c r="E1920" s="2" t="str">
        <f t="shared" si="1525"/>
        <v>W</v>
      </c>
      <c r="F1920" s="2" t="str">
        <f t="shared" si="1525"/>
        <v>Elite</v>
      </c>
      <c r="G1920" s="2" t="str">
        <f t="shared" si="1525"/>
        <v/>
      </c>
      <c r="H1920" s="2" t="str">
        <f t="shared" si="1525"/>
        <v/>
      </c>
      <c r="I1920" s="2" t="str">
        <f t="shared" si="1525"/>
        <v/>
      </c>
      <c r="J1920" s="2" t="str">
        <f t="shared" si="1525"/>
        <v/>
      </c>
      <c r="K1920" s="2" t="str">
        <f t="shared" si="1525"/>
        <v/>
      </c>
      <c r="L1920" s="2" t="str">
        <f t="shared" si="1525"/>
        <v/>
      </c>
      <c r="M1920" s="180" t="str">
        <f t="shared" si="1525"/>
        <v/>
      </c>
      <c r="N1920" s="2" t="str">
        <f t="shared" si="1511"/>
        <v/>
      </c>
      <c r="O1920" s="2">
        <f t="shared" si="1526"/>
        <v>0</v>
      </c>
    </row>
    <row r="1921" spans="1:15" x14ac:dyDescent="0.25">
      <c r="A1921" s="2">
        <v>6</v>
      </c>
      <c r="B1921" s="2">
        <f t="shared" si="1522"/>
        <v>0</v>
      </c>
      <c r="C1921" s="2" t="str">
        <f t="shared" si="1523"/>
        <v>Elite</v>
      </c>
      <c r="D1921" s="2">
        <f t="shared" si="1524"/>
        <v>0</v>
      </c>
      <c r="E1921" s="2" t="str">
        <f t="shared" si="1525"/>
        <v>W</v>
      </c>
      <c r="F1921" s="2" t="str">
        <f t="shared" si="1525"/>
        <v>Elite</v>
      </c>
      <c r="G1921" s="2" t="str">
        <f t="shared" si="1525"/>
        <v/>
      </c>
      <c r="H1921" s="2" t="str">
        <f t="shared" si="1525"/>
        <v/>
      </c>
      <c r="I1921" s="2" t="str">
        <f t="shared" si="1525"/>
        <v/>
      </c>
      <c r="J1921" s="2" t="str">
        <f t="shared" si="1525"/>
        <v/>
      </c>
      <c r="K1921" s="2" t="str">
        <f t="shared" si="1525"/>
        <v/>
      </c>
      <c r="L1921" s="2" t="str">
        <f t="shared" si="1525"/>
        <v/>
      </c>
      <c r="M1921" s="180" t="str">
        <f t="shared" si="1525"/>
        <v/>
      </c>
      <c r="N1921" s="2" t="str">
        <f t="shared" si="1511"/>
        <v/>
      </c>
      <c r="O1921" s="2">
        <f t="shared" si="1526"/>
        <v>0</v>
      </c>
    </row>
    <row r="1922" spans="1:15" x14ac:dyDescent="0.25">
      <c r="A1922" s="329">
        <v>1</v>
      </c>
      <c r="B1922" s="329">
        <f t="shared" ref="B1922:B1984" si="1527">TrialNumber</f>
        <v>0</v>
      </c>
      <c r="C1922" s="329" t="s">
        <v>3721</v>
      </c>
      <c r="D1922" s="329">
        <f>Games!D7</f>
        <v>0</v>
      </c>
      <c r="E1922" s="329"/>
      <c r="F1922" s="329" t="s">
        <v>3720</v>
      </c>
      <c r="G1922" s="329" t="str">
        <f>IF(Games!O7="e","Y","")</f>
        <v/>
      </c>
      <c r="H1922" s="329" t="str">
        <f>Games!E7</f>
        <v/>
      </c>
      <c r="I1922" s="329" t="str">
        <f>Games!F7</f>
        <v/>
      </c>
      <c r="J1922" s="329" t="str">
        <f>Games!G7</f>
        <v/>
      </c>
      <c r="K1922" s="329"/>
      <c r="L1922" s="329"/>
      <c r="M1922" s="330" t="str">
        <f t="shared" ref="M1922:M1984" si="1528">TrialDate</f>
        <v/>
      </c>
      <c r="N1922" s="325" t="str">
        <f>TrialCityDay1</f>
        <v/>
      </c>
      <c r="O1922" s="329">
        <f t="shared" ref="O1922:O1984" si="1529">JudgeD1GamesAerial</f>
        <v>0</v>
      </c>
    </row>
    <row r="1923" spans="1:15" x14ac:dyDescent="0.25">
      <c r="A1923" s="2">
        <v>2</v>
      </c>
      <c r="B1923" s="2">
        <f>B1922</f>
        <v>0</v>
      </c>
      <c r="C1923" s="2" t="str">
        <f>C1922</f>
        <v>GA</v>
      </c>
      <c r="D1923" s="2">
        <f>D1922</f>
        <v>0</v>
      </c>
      <c r="F1923" s="2" t="str">
        <f>F1922</f>
        <v>Games Aerial</v>
      </c>
      <c r="G1923" s="2" t="str">
        <f>G1922</f>
        <v/>
      </c>
      <c r="H1923" s="2" t="str">
        <f>H1922</f>
        <v/>
      </c>
      <c r="I1923" s="2" t="str">
        <f>I1922</f>
        <v/>
      </c>
      <c r="J1923" s="2" t="str">
        <f>J1922</f>
        <v/>
      </c>
      <c r="M1923" s="180" t="str">
        <f>M1922</f>
        <v/>
      </c>
      <c r="N1923" s="2" t="str">
        <f>N2020</f>
        <v/>
      </c>
      <c r="O1923" s="2">
        <f>O1922</f>
        <v>0</v>
      </c>
    </row>
    <row r="1924" spans="1:15" x14ac:dyDescent="0.25">
      <c r="A1924" s="325">
        <v>1</v>
      </c>
      <c r="B1924" s="325">
        <f t="shared" si="1527"/>
        <v>0</v>
      </c>
      <c r="C1924" s="325" t="s">
        <v>3721</v>
      </c>
      <c r="D1924" s="325">
        <f>Games!D8</f>
        <v>0</v>
      </c>
      <c r="E1924" s="325"/>
      <c r="F1924" s="325" t="s">
        <v>3720</v>
      </c>
      <c r="G1924" s="325" t="str">
        <f>IF(Games!O8="e","Y","")</f>
        <v/>
      </c>
      <c r="H1924" s="325" t="str">
        <f>Games!E8</f>
        <v/>
      </c>
      <c r="I1924" s="325" t="str">
        <f>Games!F8</f>
        <v/>
      </c>
      <c r="J1924" s="325" t="str">
        <f>Games!G8</f>
        <v/>
      </c>
      <c r="K1924" s="325"/>
      <c r="L1924" s="325"/>
      <c r="M1924" s="326" t="str">
        <f t="shared" si="1528"/>
        <v/>
      </c>
      <c r="N1924" s="325" t="str">
        <f t="shared" ref="N1924" si="1530">N1922</f>
        <v/>
      </c>
      <c r="O1924" s="325">
        <f t="shared" si="1529"/>
        <v>0</v>
      </c>
    </row>
    <row r="1925" spans="1:15" x14ac:dyDescent="0.25">
      <c r="A1925" s="2">
        <v>2</v>
      </c>
      <c r="B1925" s="2">
        <f>B1924</f>
        <v>0</v>
      </c>
      <c r="C1925" s="2" t="str">
        <f>C1924</f>
        <v>GA</v>
      </c>
      <c r="D1925" s="2">
        <f>D1924</f>
        <v>0</v>
      </c>
      <c r="F1925" s="2" t="str">
        <f>F1924</f>
        <v>Games Aerial</v>
      </c>
      <c r="G1925" s="2" t="str">
        <f>G1924</f>
        <v/>
      </c>
      <c r="H1925" s="2" t="str">
        <f>H1924</f>
        <v/>
      </c>
      <c r="I1925" s="2" t="str">
        <f>I1924</f>
        <v/>
      </c>
      <c r="J1925" s="2" t="str">
        <f>J1924</f>
        <v/>
      </c>
      <c r="M1925" s="180" t="str">
        <f>M1924</f>
        <v/>
      </c>
      <c r="N1925" s="2" t="str">
        <f>N1923</f>
        <v/>
      </c>
      <c r="O1925" s="2">
        <f>O1924</f>
        <v>0</v>
      </c>
    </row>
    <row r="1926" spans="1:15" x14ac:dyDescent="0.25">
      <c r="A1926" s="325">
        <v>1</v>
      </c>
      <c r="B1926" s="325">
        <f t="shared" si="1527"/>
        <v>0</v>
      </c>
      <c r="C1926" s="325" t="s">
        <v>3721</v>
      </c>
      <c r="D1926" s="325">
        <f>Games!D9</f>
        <v>0</v>
      </c>
      <c r="E1926" s="325"/>
      <c r="F1926" s="325" t="s">
        <v>3720</v>
      </c>
      <c r="G1926" s="325" t="str">
        <f>IF(Games!O9="e","Y","")</f>
        <v/>
      </c>
      <c r="H1926" s="325" t="str">
        <f>Games!E9</f>
        <v/>
      </c>
      <c r="I1926" s="325" t="str">
        <f>Games!F9</f>
        <v/>
      </c>
      <c r="J1926" s="325" t="str">
        <f>Games!G9</f>
        <v/>
      </c>
      <c r="K1926" s="325"/>
      <c r="L1926" s="325"/>
      <c r="M1926" s="326" t="str">
        <f t="shared" si="1528"/>
        <v/>
      </c>
      <c r="N1926" s="325" t="str">
        <f t="shared" ref="N1926" si="1531">N1924</f>
        <v/>
      </c>
      <c r="O1926" s="325">
        <f t="shared" si="1529"/>
        <v>0</v>
      </c>
    </row>
    <row r="1927" spans="1:15" x14ac:dyDescent="0.25">
      <c r="A1927" s="2">
        <v>2</v>
      </c>
      <c r="B1927" s="2">
        <f>B1926</f>
        <v>0</v>
      </c>
      <c r="C1927" s="2" t="str">
        <f>C1926</f>
        <v>GA</v>
      </c>
      <c r="D1927" s="2">
        <f>D1926</f>
        <v>0</v>
      </c>
      <c r="F1927" s="2" t="str">
        <f>F1926</f>
        <v>Games Aerial</v>
      </c>
      <c r="G1927" s="2" t="str">
        <f>G1926</f>
        <v/>
      </c>
      <c r="H1927" s="2" t="str">
        <f>H1926</f>
        <v/>
      </c>
      <c r="I1927" s="2" t="str">
        <f>I1926</f>
        <v/>
      </c>
      <c r="J1927" s="2" t="str">
        <f>J1926</f>
        <v/>
      </c>
      <c r="M1927" s="180" t="str">
        <f>M1926</f>
        <v/>
      </c>
      <c r="N1927" s="2" t="str">
        <f>N1925</f>
        <v/>
      </c>
      <c r="O1927" s="2">
        <f>O1926</f>
        <v>0</v>
      </c>
    </row>
    <row r="1928" spans="1:15" x14ac:dyDescent="0.25">
      <c r="A1928" s="325">
        <v>1</v>
      </c>
      <c r="B1928" s="325">
        <f t="shared" si="1527"/>
        <v>0</v>
      </c>
      <c r="C1928" s="325" t="s">
        <v>3721</v>
      </c>
      <c r="D1928" s="325">
        <f>Games!D10</f>
        <v>0</v>
      </c>
      <c r="E1928" s="325"/>
      <c r="F1928" s="325" t="s">
        <v>3720</v>
      </c>
      <c r="G1928" s="325" t="str">
        <f>IF(Games!O10="e","Y","")</f>
        <v/>
      </c>
      <c r="H1928" s="325" t="str">
        <f>Games!E10</f>
        <v/>
      </c>
      <c r="I1928" s="325" t="str">
        <f>Games!F10</f>
        <v/>
      </c>
      <c r="J1928" s="325" t="str">
        <f>Games!G10</f>
        <v/>
      </c>
      <c r="K1928" s="325"/>
      <c r="L1928" s="325"/>
      <c r="M1928" s="326" t="str">
        <f t="shared" si="1528"/>
        <v/>
      </c>
      <c r="N1928" s="325" t="str">
        <f t="shared" ref="N1928" si="1532">N1926</f>
        <v/>
      </c>
      <c r="O1928" s="325">
        <f t="shared" si="1529"/>
        <v>0</v>
      </c>
    </row>
    <row r="1929" spans="1:15" x14ac:dyDescent="0.25">
      <c r="A1929" s="2">
        <v>2</v>
      </c>
      <c r="B1929" s="2">
        <f>B1928</f>
        <v>0</v>
      </c>
      <c r="C1929" s="2" t="str">
        <f>C1928</f>
        <v>GA</v>
      </c>
      <c r="D1929" s="2">
        <f>D1928</f>
        <v>0</v>
      </c>
      <c r="F1929" s="2" t="str">
        <f>F1928</f>
        <v>Games Aerial</v>
      </c>
      <c r="G1929" s="2" t="str">
        <f>G1928</f>
        <v/>
      </c>
      <c r="H1929" s="2" t="str">
        <f>H1928</f>
        <v/>
      </c>
      <c r="I1929" s="2" t="str">
        <f>I1928</f>
        <v/>
      </c>
      <c r="J1929" s="2" t="str">
        <f>J1928</f>
        <v/>
      </c>
      <c r="M1929" s="180" t="str">
        <f>M1928</f>
        <v/>
      </c>
      <c r="N1929" s="2" t="str">
        <f>N1927</f>
        <v/>
      </c>
      <c r="O1929" s="2">
        <f>O1928</f>
        <v>0</v>
      </c>
    </row>
    <row r="1930" spans="1:15" x14ac:dyDescent="0.25">
      <c r="A1930" s="325">
        <v>1</v>
      </c>
      <c r="B1930" s="325">
        <f t="shared" si="1527"/>
        <v>0</v>
      </c>
      <c r="C1930" s="325" t="s">
        <v>3721</v>
      </c>
      <c r="D1930" s="325">
        <f>Games!D11</f>
        <v>0</v>
      </c>
      <c r="E1930" s="325"/>
      <c r="F1930" s="325" t="s">
        <v>3720</v>
      </c>
      <c r="G1930" s="325" t="str">
        <f>IF(Games!O11="e","Y","")</f>
        <v/>
      </c>
      <c r="H1930" s="325" t="str">
        <f>Games!E11</f>
        <v/>
      </c>
      <c r="I1930" s="325" t="str">
        <f>Games!F11</f>
        <v/>
      </c>
      <c r="J1930" s="325" t="str">
        <f>Games!G11</f>
        <v/>
      </c>
      <c r="K1930" s="325"/>
      <c r="L1930" s="325"/>
      <c r="M1930" s="326" t="str">
        <f t="shared" si="1528"/>
        <v/>
      </c>
      <c r="N1930" s="325" t="str">
        <f t="shared" ref="N1930" si="1533">N1928</f>
        <v/>
      </c>
      <c r="O1930" s="325">
        <f t="shared" si="1529"/>
        <v>0</v>
      </c>
    </row>
    <row r="1931" spans="1:15" x14ac:dyDescent="0.25">
      <c r="A1931" s="2">
        <v>2</v>
      </c>
      <c r="B1931" s="2">
        <f>B1930</f>
        <v>0</v>
      </c>
      <c r="C1931" s="2" t="str">
        <f>C1930</f>
        <v>GA</v>
      </c>
      <c r="D1931" s="2">
        <f>D1930</f>
        <v>0</v>
      </c>
      <c r="F1931" s="2" t="str">
        <f>F1930</f>
        <v>Games Aerial</v>
      </c>
      <c r="G1931" s="2" t="str">
        <f>G1930</f>
        <v/>
      </c>
      <c r="H1931" s="2" t="str">
        <f>H1930</f>
        <v/>
      </c>
      <c r="I1931" s="2" t="str">
        <f>I1930</f>
        <v/>
      </c>
      <c r="J1931" s="2" t="str">
        <f>J1930</f>
        <v/>
      </c>
      <c r="M1931" s="180" t="str">
        <f>M1930</f>
        <v/>
      </c>
      <c r="N1931" s="2" t="str">
        <f>N1929</f>
        <v/>
      </c>
      <c r="O1931" s="2">
        <f>O1930</f>
        <v>0</v>
      </c>
    </row>
    <row r="1932" spans="1:15" x14ac:dyDescent="0.25">
      <c r="A1932" s="325">
        <v>1</v>
      </c>
      <c r="B1932" s="325">
        <f t="shared" si="1527"/>
        <v>0</v>
      </c>
      <c r="C1932" s="325" t="s">
        <v>3721</v>
      </c>
      <c r="D1932" s="325">
        <f>Games!D12</f>
        <v>0</v>
      </c>
      <c r="E1932" s="325"/>
      <c r="F1932" s="325" t="s">
        <v>3720</v>
      </c>
      <c r="G1932" s="325" t="str">
        <f>IF(Games!O12="e","Y","")</f>
        <v/>
      </c>
      <c r="H1932" s="325" t="str">
        <f>Games!E12</f>
        <v/>
      </c>
      <c r="I1932" s="325" t="str">
        <f>Games!F12</f>
        <v/>
      </c>
      <c r="J1932" s="325" t="str">
        <f>Games!G12</f>
        <v/>
      </c>
      <c r="K1932" s="325"/>
      <c r="L1932" s="325"/>
      <c r="M1932" s="326" t="str">
        <f t="shared" si="1528"/>
        <v/>
      </c>
      <c r="N1932" s="325" t="str">
        <f t="shared" ref="N1932" si="1534">N1930</f>
        <v/>
      </c>
      <c r="O1932" s="325">
        <f t="shared" si="1529"/>
        <v>0</v>
      </c>
    </row>
    <row r="1933" spans="1:15" x14ac:dyDescent="0.25">
      <c r="A1933" s="2">
        <v>2</v>
      </c>
      <c r="B1933" s="2">
        <f>B1932</f>
        <v>0</v>
      </c>
      <c r="C1933" s="2" t="str">
        <f>C1932</f>
        <v>GA</v>
      </c>
      <c r="D1933" s="2">
        <f>D1932</f>
        <v>0</v>
      </c>
      <c r="F1933" s="2" t="str">
        <f>F1932</f>
        <v>Games Aerial</v>
      </c>
      <c r="G1933" s="2" t="str">
        <f>G1932</f>
        <v/>
      </c>
      <c r="H1933" s="2" t="str">
        <f>H1932</f>
        <v/>
      </c>
      <c r="I1933" s="2" t="str">
        <f>I1932</f>
        <v/>
      </c>
      <c r="J1933" s="2" t="str">
        <f>J1932</f>
        <v/>
      </c>
      <c r="M1933" s="180" t="str">
        <f>M1932</f>
        <v/>
      </c>
      <c r="N1933" s="2" t="str">
        <f>N1931</f>
        <v/>
      </c>
      <c r="O1933" s="2">
        <f>O1932</f>
        <v>0</v>
      </c>
    </row>
    <row r="1934" spans="1:15" x14ac:dyDescent="0.25">
      <c r="A1934" s="325">
        <v>1</v>
      </c>
      <c r="B1934" s="325">
        <f t="shared" si="1527"/>
        <v>0</v>
      </c>
      <c r="C1934" s="325" t="s">
        <v>3721</v>
      </c>
      <c r="D1934" s="325">
        <f>Games!D13</f>
        <v>0</v>
      </c>
      <c r="E1934" s="325"/>
      <c r="F1934" s="325" t="s">
        <v>3720</v>
      </c>
      <c r="G1934" s="325" t="str">
        <f>IF(Games!O13="e","Y","")</f>
        <v/>
      </c>
      <c r="H1934" s="325" t="str">
        <f>Games!E13</f>
        <v/>
      </c>
      <c r="I1934" s="325" t="str">
        <f>Games!F13</f>
        <v/>
      </c>
      <c r="J1934" s="325" t="str">
        <f>Games!G13</f>
        <v/>
      </c>
      <c r="K1934" s="325"/>
      <c r="L1934" s="325"/>
      <c r="M1934" s="326" t="str">
        <f t="shared" si="1528"/>
        <v/>
      </c>
      <c r="N1934" s="325" t="str">
        <f t="shared" ref="N1934" si="1535">N1932</f>
        <v/>
      </c>
      <c r="O1934" s="325">
        <f t="shared" si="1529"/>
        <v>0</v>
      </c>
    </row>
    <row r="1935" spans="1:15" x14ac:dyDescent="0.25">
      <c r="A1935" s="2">
        <v>2</v>
      </c>
      <c r="B1935" s="2">
        <f>B1934</f>
        <v>0</v>
      </c>
      <c r="C1935" s="2" t="str">
        <f>C1934</f>
        <v>GA</v>
      </c>
      <c r="D1935" s="2">
        <f>D1934</f>
        <v>0</v>
      </c>
      <c r="F1935" s="2" t="str">
        <f>F1934</f>
        <v>Games Aerial</v>
      </c>
      <c r="G1935" s="2" t="str">
        <f>G1934</f>
        <v/>
      </c>
      <c r="H1935" s="2" t="str">
        <f>H1934</f>
        <v/>
      </c>
      <c r="I1935" s="2" t="str">
        <f>I1934</f>
        <v/>
      </c>
      <c r="J1935" s="2" t="str">
        <f>J1934</f>
        <v/>
      </c>
      <c r="M1935" s="180" t="str">
        <f>M1934</f>
        <v/>
      </c>
      <c r="N1935" s="2" t="str">
        <f>N1933</f>
        <v/>
      </c>
      <c r="O1935" s="2">
        <f>O1934</f>
        <v>0</v>
      </c>
    </row>
    <row r="1936" spans="1:15" x14ac:dyDescent="0.25">
      <c r="A1936" s="325">
        <v>1</v>
      </c>
      <c r="B1936" s="325">
        <f t="shared" si="1527"/>
        <v>0</v>
      </c>
      <c r="C1936" s="325" t="s">
        <v>3721</v>
      </c>
      <c r="D1936" s="325">
        <f>Games!D14</f>
        <v>0</v>
      </c>
      <c r="E1936" s="325"/>
      <c r="F1936" s="325" t="s">
        <v>3720</v>
      </c>
      <c r="G1936" s="325" t="str">
        <f>IF(Games!O14="e","Y","")</f>
        <v/>
      </c>
      <c r="H1936" s="325" t="str">
        <f>Games!E14</f>
        <v/>
      </c>
      <c r="I1936" s="325" t="str">
        <f>Games!F14</f>
        <v/>
      </c>
      <c r="J1936" s="325" t="str">
        <f>Games!G14</f>
        <v/>
      </c>
      <c r="K1936" s="325"/>
      <c r="L1936" s="325"/>
      <c r="M1936" s="326" t="str">
        <f t="shared" si="1528"/>
        <v/>
      </c>
      <c r="N1936" s="325" t="str">
        <f t="shared" ref="N1936" si="1536">N1934</f>
        <v/>
      </c>
      <c r="O1936" s="325">
        <f t="shared" si="1529"/>
        <v>0</v>
      </c>
    </row>
    <row r="1937" spans="1:15" x14ac:dyDescent="0.25">
      <c r="A1937" s="2">
        <v>2</v>
      </c>
      <c r="B1937" s="2">
        <f>B1936</f>
        <v>0</v>
      </c>
      <c r="C1937" s="2" t="str">
        <f>C1936</f>
        <v>GA</v>
      </c>
      <c r="D1937" s="2">
        <f>D1936</f>
        <v>0</v>
      </c>
      <c r="F1937" s="2" t="str">
        <f>F1936</f>
        <v>Games Aerial</v>
      </c>
      <c r="G1937" s="2" t="str">
        <f>G1936</f>
        <v/>
      </c>
      <c r="H1937" s="2" t="str">
        <f>H1936</f>
        <v/>
      </c>
      <c r="I1937" s="2" t="str">
        <f>I1936</f>
        <v/>
      </c>
      <c r="J1937" s="2" t="str">
        <f>J1936</f>
        <v/>
      </c>
      <c r="M1937" s="180" t="str">
        <f>M1936</f>
        <v/>
      </c>
      <c r="N1937" s="2" t="str">
        <f>N1935</f>
        <v/>
      </c>
      <c r="O1937" s="2">
        <f>O1936</f>
        <v>0</v>
      </c>
    </row>
    <row r="1938" spans="1:15" x14ac:dyDescent="0.25">
      <c r="A1938" s="325">
        <v>1</v>
      </c>
      <c r="B1938" s="325">
        <f t="shared" si="1527"/>
        <v>0</v>
      </c>
      <c r="C1938" s="325" t="s">
        <v>3721</v>
      </c>
      <c r="D1938" s="325">
        <f>Games!D15</f>
        <v>0</v>
      </c>
      <c r="E1938" s="325"/>
      <c r="F1938" s="325" t="s">
        <v>3720</v>
      </c>
      <c r="G1938" s="325" t="str">
        <f>IF(Games!O15="e","Y","")</f>
        <v/>
      </c>
      <c r="H1938" s="325" t="str">
        <f>Games!E15</f>
        <v/>
      </c>
      <c r="I1938" s="325" t="str">
        <f>Games!F15</f>
        <v/>
      </c>
      <c r="J1938" s="325" t="str">
        <f>Games!G15</f>
        <v/>
      </c>
      <c r="K1938" s="325"/>
      <c r="L1938" s="325"/>
      <c r="M1938" s="326" t="str">
        <f t="shared" si="1528"/>
        <v/>
      </c>
      <c r="N1938" s="325" t="str">
        <f t="shared" ref="N1938" si="1537">N1936</f>
        <v/>
      </c>
      <c r="O1938" s="325">
        <f t="shared" si="1529"/>
        <v>0</v>
      </c>
    </row>
    <row r="1939" spans="1:15" x14ac:dyDescent="0.25">
      <c r="A1939" s="2">
        <v>2</v>
      </c>
      <c r="B1939" s="2">
        <f>B1938</f>
        <v>0</v>
      </c>
      <c r="C1939" s="2" t="str">
        <f>C1938</f>
        <v>GA</v>
      </c>
      <c r="D1939" s="2">
        <f>D1938</f>
        <v>0</v>
      </c>
      <c r="F1939" s="2" t="str">
        <f>F1938</f>
        <v>Games Aerial</v>
      </c>
      <c r="G1939" s="2" t="str">
        <f>G1938</f>
        <v/>
      </c>
      <c r="H1939" s="2" t="str">
        <f>H1938</f>
        <v/>
      </c>
      <c r="I1939" s="2" t="str">
        <f>I1938</f>
        <v/>
      </c>
      <c r="J1939" s="2" t="str">
        <f>J1938</f>
        <v/>
      </c>
      <c r="M1939" s="180" t="str">
        <f>M1938</f>
        <v/>
      </c>
      <c r="N1939" s="2" t="str">
        <f>N1937</f>
        <v/>
      </c>
      <c r="O1939" s="2">
        <f>O1938</f>
        <v>0</v>
      </c>
    </row>
    <row r="1940" spans="1:15" x14ac:dyDescent="0.25">
      <c r="A1940" s="325">
        <v>1</v>
      </c>
      <c r="B1940" s="325">
        <f t="shared" si="1527"/>
        <v>0</v>
      </c>
      <c r="C1940" s="325" t="s">
        <v>3721</v>
      </c>
      <c r="D1940" s="325">
        <f>Games!D16</f>
        <v>0</v>
      </c>
      <c r="E1940" s="325"/>
      <c r="F1940" s="325" t="s">
        <v>3720</v>
      </c>
      <c r="G1940" s="325" t="str">
        <f>IF(Games!O16="e","Y","")</f>
        <v/>
      </c>
      <c r="H1940" s="325" t="str">
        <f>Games!E16</f>
        <v/>
      </c>
      <c r="I1940" s="325" t="str">
        <f>Games!F16</f>
        <v/>
      </c>
      <c r="J1940" s="325" t="str">
        <f>Games!G16</f>
        <v/>
      </c>
      <c r="K1940" s="325"/>
      <c r="L1940" s="325"/>
      <c r="M1940" s="326" t="str">
        <f t="shared" si="1528"/>
        <v/>
      </c>
      <c r="N1940" s="325" t="str">
        <f t="shared" ref="N1940" si="1538">N1938</f>
        <v/>
      </c>
      <c r="O1940" s="325">
        <f t="shared" si="1529"/>
        <v>0</v>
      </c>
    </row>
    <row r="1941" spans="1:15" x14ac:dyDescent="0.25">
      <c r="A1941" s="2">
        <v>2</v>
      </c>
      <c r="B1941" s="2">
        <f>B1940</f>
        <v>0</v>
      </c>
      <c r="C1941" s="2" t="str">
        <f>C1940</f>
        <v>GA</v>
      </c>
      <c r="D1941" s="2">
        <f>D1940</f>
        <v>0</v>
      </c>
      <c r="F1941" s="2" t="str">
        <f>F1940</f>
        <v>Games Aerial</v>
      </c>
      <c r="G1941" s="2" t="str">
        <f>G1940</f>
        <v/>
      </c>
      <c r="H1941" s="2" t="str">
        <f>H1940</f>
        <v/>
      </c>
      <c r="I1941" s="2" t="str">
        <f>I1940</f>
        <v/>
      </c>
      <c r="J1941" s="2" t="str">
        <f>J1940</f>
        <v/>
      </c>
      <c r="M1941" s="180" t="str">
        <f>M1940</f>
        <v/>
      </c>
      <c r="N1941" s="2" t="str">
        <f>N1939</f>
        <v/>
      </c>
      <c r="O1941" s="2">
        <f>O1940</f>
        <v>0</v>
      </c>
    </row>
    <row r="1942" spans="1:15" x14ac:dyDescent="0.25">
      <c r="A1942" s="325">
        <v>1</v>
      </c>
      <c r="B1942" s="325">
        <f t="shared" si="1527"/>
        <v>0</v>
      </c>
      <c r="C1942" s="325" t="s">
        <v>3721</v>
      </c>
      <c r="D1942" s="325">
        <f>Games!D17</f>
        <v>0</v>
      </c>
      <c r="E1942" s="325"/>
      <c r="F1942" s="325" t="s">
        <v>3720</v>
      </c>
      <c r="G1942" s="325" t="str">
        <f>IF(Games!O17="e","Y","")</f>
        <v/>
      </c>
      <c r="H1942" s="325" t="str">
        <f>Games!E17</f>
        <v/>
      </c>
      <c r="I1942" s="325" t="str">
        <f>Games!F17</f>
        <v/>
      </c>
      <c r="J1942" s="325" t="str">
        <f>Games!G17</f>
        <v/>
      </c>
      <c r="K1942" s="325"/>
      <c r="L1942" s="325"/>
      <c r="M1942" s="326" t="str">
        <f t="shared" si="1528"/>
        <v/>
      </c>
      <c r="N1942" s="325" t="str">
        <f t="shared" ref="N1942" si="1539">N1940</f>
        <v/>
      </c>
      <c r="O1942" s="325">
        <f t="shared" si="1529"/>
        <v>0</v>
      </c>
    </row>
    <row r="1943" spans="1:15" x14ac:dyDescent="0.25">
      <c r="A1943" s="2">
        <v>2</v>
      </c>
      <c r="B1943" s="2">
        <f>B1942</f>
        <v>0</v>
      </c>
      <c r="C1943" s="2" t="str">
        <f>C1942</f>
        <v>GA</v>
      </c>
      <c r="D1943" s="2">
        <f>D1942</f>
        <v>0</v>
      </c>
      <c r="F1943" s="2" t="str">
        <f>F1942</f>
        <v>Games Aerial</v>
      </c>
      <c r="G1943" s="2" t="str">
        <f>G1942</f>
        <v/>
      </c>
      <c r="H1943" s="2" t="str">
        <f>H1942</f>
        <v/>
      </c>
      <c r="I1943" s="2" t="str">
        <f>I1942</f>
        <v/>
      </c>
      <c r="J1943" s="2" t="str">
        <f>J1942</f>
        <v/>
      </c>
      <c r="M1943" s="180" t="str">
        <f>M1942</f>
        <v/>
      </c>
      <c r="N1943" s="2" t="str">
        <f>N1941</f>
        <v/>
      </c>
      <c r="O1943" s="2">
        <f>O1942</f>
        <v>0</v>
      </c>
    </row>
    <row r="1944" spans="1:15" x14ac:dyDescent="0.25">
      <c r="A1944" s="325">
        <v>1</v>
      </c>
      <c r="B1944" s="325">
        <f t="shared" si="1527"/>
        <v>0</v>
      </c>
      <c r="C1944" s="325" t="s">
        <v>3721</v>
      </c>
      <c r="D1944" s="325">
        <f>Games!D18</f>
        <v>0</v>
      </c>
      <c r="E1944" s="325"/>
      <c r="F1944" s="325" t="s">
        <v>3720</v>
      </c>
      <c r="G1944" s="325" t="str">
        <f>IF(Games!O18="e","Y","")</f>
        <v/>
      </c>
      <c r="H1944" s="325" t="str">
        <f>Games!E18</f>
        <v/>
      </c>
      <c r="I1944" s="325" t="str">
        <f>Games!F18</f>
        <v/>
      </c>
      <c r="J1944" s="325" t="str">
        <f>Games!G18</f>
        <v/>
      </c>
      <c r="K1944" s="325"/>
      <c r="L1944" s="325"/>
      <c r="M1944" s="326" t="str">
        <f t="shared" si="1528"/>
        <v/>
      </c>
      <c r="N1944" s="325" t="str">
        <f t="shared" ref="N1944" si="1540">N1942</f>
        <v/>
      </c>
      <c r="O1944" s="325">
        <f t="shared" si="1529"/>
        <v>0</v>
      </c>
    </row>
    <row r="1945" spans="1:15" x14ac:dyDescent="0.25">
      <c r="A1945" s="2">
        <v>2</v>
      </c>
      <c r="B1945" s="2">
        <f>B1944</f>
        <v>0</v>
      </c>
      <c r="C1945" s="2" t="str">
        <f>C1944</f>
        <v>GA</v>
      </c>
      <c r="D1945" s="2">
        <f>D1944</f>
        <v>0</v>
      </c>
      <c r="F1945" s="2" t="str">
        <f>F1944</f>
        <v>Games Aerial</v>
      </c>
      <c r="G1945" s="2" t="str">
        <f>G1944</f>
        <v/>
      </c>
      <c r="H1945" s="2" t="str">
        <f>H1944</f>
        <v/>
      </c>
      <c r="I1945" s="2" t="str">
        <f>I1944</f>
        <v/>
      </c>
      <c r="J1945" s="2" t="str">
        <f>J1944</f>
        <v/>
      </c>
      <c r="M1945" s="180" t="str">
        <f>M1944</f>
        <v/>
      </c>
      <c r="N1945" s="2" t="str">
        <f>N1943</f>
        <v/>
      </c>
      <c r="O1945" s="2">
        <f>O1944</f>
        <v>0</v>
      </c>
    </row>
    <row r="1946" spans="1:15" x14ac:dyDescent="0.25">
      <c r="A1946" s="325">
        <v>1</v>
      </c>
      <c r="B1946" s="325">
        <f t="shared" si="1527"/>
        <v>0</v>
      </c>
      <c r="C1946" s="325" t="s">
        <v>3721</v>
      </c>
      <c r="D1946" s="325">
        <f>Games!D19</f>
        <v>0</v>
      </c>
      <c r="E1946" s="325"/>
      <c r="F1946" s="325" t="s">
        <v>3720</v>
      </c>
      <c r="G1946" s="325" t="str">
        <f>IF(Games!O19="e","Y","")</f>
        <v/>
      </c>
      <c r="H1946" s="325" t="str">
        <f>Games!E19</f>
        <v/>
      </c>
      <c r="I1946" s="325" t="str">
        <f>Games!F19</f>
        <v/>
      </c>
      <c r="J1946" s="325" t="str">
        <f>Games!G19</f>
        <v/>
      </c>
      <c r="K1946" s="325"/>
      <c r="L1946" s="325"/>
      <c r="M1946" s="326" t="str">
        <f t="shared" si="1528"/>
        <v/>
      </c>
      <c r="N1946" s="325" t="str">
        <f t="shared" ref="N1946" si="1541">N1944</f>
        <v/>
      </c>
      <c r="O1946" s="325">
        <f t="shared" si="1529"/>
        <v>0</v>
      </c>
    </row>
    <row r="1947" spans="1:15" x14ac:dyDescent="0.25">
      <c r="A1947" s="2">
        <v>2</v>
      </c>
      <c r="B1947" s="2">
        <f>B1946</f>
        <v>0</v>
      </c>
      <c r="C1947" s="2" t="str">
        <f>C1946</f>
        <v>GA</v>
      </c>
      <c r="D1947" s="2">
        <f>D1946</f>
        <v>0</v>
      </c>
      <c r="F1947" s="2" t="str">
        <f>F1946</f>
        <v>Games Aerial</v>
      </c>
      <c r="G1947" s="2" t="str">
        <f>G1946</f>
        <v/>
      </c>
      <c r="H1947" s="2" t="str">
        <f>H1946</f>
        <v/>
      </c>
      <c r="I1947" s="2" t="str">
        <f>I1946</f>
        <v/>
      </c>
      <c r="J1947" s="2" t="str">
        <f>J1946</f>
        <v/>
      </c>
      <c r="M1947" s="180" t="str">
        <f>M1946</f>
        <v/>
      </c>
      <c r="N1947" s="2" t="str">
        <f>N1945</f>
        <v/>
      </c>
      <c r="O1947" s="2">
        <f>O1946</f>
        <v>0</v>
      </c>
    </row>
    <row r="1948" spans="1:15" x14ac:dyDescent="0.25">
      <c r="A1948" s="325">
        <v>1</v>
      </c>
      <c r="B1948" s="325">
        <f t="shared" si="1527"/>
        <v>0</v>
      </c>
      <c r="C1948" s="325" t="s">
        <v>3721</v>
      </c>
      <c r="D1948" s="325">
        <f>Games!D20</f>
        <v>0</v>
      </c>
      <c r="E1948" s="325"/>
      <c r="F1948" s="325" t="s">
        <v>3720</v>
      </c>
      <c r="G1948" s="325" t="str">
        <f>IF(Games!O20="e","Y","")</f>
        <v/>
      </c>
      <c r="H1948" s="325" t="str">
        <f>Games!E20</f>
        <v/>
      </c>
      <c r="I1948" s="325" t="str">
        <f>Games!F20</f>
        <v/>
      </c>
      <c r="J1948" s="325" t="str">
        <f>Games!G20</f>
        <v/>
      </c>
      <c r="K1948" s="325"/>
      <c r="L1948" s="325"/>
      <c r="M1948" s="326" t="str">
        <f t="shared" si="1528"/>
        <v/>
      </c>
      <c r="N1948" s="325" t="str">
        <f t="shared" ref="N1948" si="1542">N1946</f>
        <v/>
      </c>
      <c r="O1948" s="325">
        <f t="shared" si="1529"/>
        <v>0</v>
      </c>
    </row>
    <row r="1949" spans="1:15" x14ac:dyDescent="0.25">
      <c r="A1949" s="2">
        <v>2</v>
      </c>
      <c r="B1949" s="2">
        <f>B1948</f>
        <v>0</v>
      </c>
      <c r="C1949" s="2" t="str">
        <f>C1948</f>
        <v>GA</v>
      </c>
      <c r="D1949" s="2">
        <f>D1948</f>
        <v>0</v>
      </c>
      <c r="F1949" s="2" t="str">
        <f>F1948</f>
        <v>Games Aerial</v>
      </c>
      <c r="G1949" s="2" t="str">
        <f>G1948</f>
        <v/>
      </c>
      <c r="H1949" s="2" t="str">
        <f>H1948</f>
        <v/>
      </c>
      <c r="I1949" s="2" t="str">
        <f>I1948</f>
        <v/>
      </c>
      <c r="J1949" s="2" t="str">
        <f>J1948</f>
        <v/>
      </c>
      <c r="M1949" s="180" t="str">
        <f>M1948</f>
        <v/>
      </c>
      <c r="N1949" s="2" t="str">
        <f>N1947</f>
        <v/>
      </c>
      <c r="O1949" s="2">
        <f>O1948</f>
        <v>0</v>
      </c>
    </row>
    <row r="1950" spans="1:15" x14ac:dyDescent="0.25">
      <c r="A1950" s="325">
        <v>1</v>
      </c>
      <c r="B1950" s="325">
        <f t="shared" si="1527"/>
        <v>0</v>
      </c>
      <c r="C1950" s="325" t="s">
        <v>3721</v>
      </c>
      <c r="D1950" s="325">
        <f>Games!D21</f>
        <v>0</v>
      </c>
      <c r="E1950" s="325"/>
      <c r="F1950" s="325" t="s">
        <v>3720</v>
      </c>
      <c r="G1950" s="325" t="str">
        <f>IF(Games!O21="e","Y","")</f>
        <v/>
      </c>
      <c r="H1950" s="325" t="str">
        <f>Games!E21</f>
        <v/>
      </c>
      <c r="I1950" s="325" t="str">
        <f>Games!F21</f>
        <v/>
      </c>
      <c r="J1950" s="325" t="str">
        <f>Games!G21</f>
        <v/>
      </c>
      <c r="K1950" s="325"/>
      <c r="L1950" s="325"/>
      <c r="M1950" s="326" t="str">
        <f t="shared" si="1528"/>
        <v/>
      </c>
      <c r="N1950" s="325" t="str">
        <f t="shared" ref="N1950" si="1543">N1948</f>
        <v/>
      </c>
      <c r="O1950" s="325">
        <f t="shared" si="1529"/>
        <v>0</v>
      </c>
    </row>
    <row r="1951" spans="1:15" x14ac:dyDescent="0.25">
      <c r="A1951" s="2">
        <v>2</v>
      </c>
      <c r="B1951" s="2">
        <f>B1950</f>
        <v>0</v>
      </c>
      <c r="C1951" s="2" t="str">
        <f>C1950</f>
        <v>GA</v>
      </c>
      <c r="D1951" s="2">
        <f>D1950</f>
        <v>0</v>
      </c>
      <c r="F1951" s="2" t="str">
        <f>F1950</f>
        <v>Games Aerial</v>
      </c>
      <c r="G1951" s="2" t="str">
        <f>G1950</f>
        <v/>
      </c>
      <c r="H1951" s="2" t="str">
        <f>H1950</f>
        <v/>
      </c>
      <c r="I1951" s="2" t="str">
        <f>I1950</f>
        <v/>
      </c>
      <c r="J1951" s="2" t="str">
        <f>J1950</f>
        <v/>
      </c>
      <c r="M1951" s="180" t="str">
        <f>M1950</f>
        <v/>
      </c>
      <c r="N1951" s="2" t="str">
        <f>N1949</f>
        <v/>
      </c>
      <c r="O1951" s="2">
        <f>O1950</f>
        <v>0</v>
      </c>
    </row>
    <row r="1952" spans="1:15" x14ac:dyDescent="0.25">
      <c r="A1952" s="325">
        <v>1</v>
      </c>
      <c r="B1952" s="325">
        <f t="shared" si="1527"/>
        <v>0</v>
      </c>
      <c r="C1952" s="325" t="s">
        <v>3721</v>
      </c>
      <c r="D1952" s="325">
        <f>Games!D22</f>
        <v>0</v>
      </c>
      <c r="E1952" s="325"/>
      <c r="F1952" s="325" t="s">
        <v>3720</v>
      </c>
      <c r="G1952" s="325" t="str">
        <f>IF(Games!O22="e","Y","")</f>
        <v/>
      </c>
      <c r="H1952" s="325" t="str">
        <f>Games!E22</f>
        <v/>
      </c>
      <c r="I1952" s="325" t="str">
        <f>Games!F22</f>
        <v/>
      </c>
      <c r="J1952" s="325" t="str">
        <f>Games!G22</f>
        <v/>
      </c>
      <c r="K1952" s="325"/>
      <c r="L1952" s="325"/>
      <c r="M1952" s="326" t="str">
        <f t="shared" si="1528"/>
        <v/>
      </c>
      <c r="N1952" s="325" t="str">
        <f t="shared" ref="N1952" si="1544">N1950</f>
        <v/>
      </c>
      <c r="O1952" s="325">
        <f t="shared" si="1529"/>
        <v>0</v>
      </c>
    </row>
    <row r="1953" spans="1:15" x14ac:dyDescent="0.25">
      <c r="A1953" s="2">
        <v>2</v>
      </c>
      <c r="B1953" s="2">
        <f>B1952</f>
        <v>0</v>
      </c>
      <c r="C1953" s="2" t="str">
        <f>C1952</f>
        <v>GA</v>
      </c>
      <c r="D1953" s="2">
        <f>D1952</f>
        <v>0</v>
      </c>
      <c r="F1953" s="2" t="str">
        <f>F1952</f>
        <v>Games Aerial</v>
      </c>
      <c r="G1953" s="2" t="str">
        <f>G1952</f>
        <v/>
      </c>
      <c r="H1953" s="2" t="str">
        <f>H1952</f>
        <v/>
      </c>
      <c r="I1953" s="2" t="str">
        <f>I1952</f>
        <v/>
      </c>
      <c r="J1953" s="2" t="str">
        <f>J1952</f>
        <v/>
      </c>
      <c r="M1953" s="180" t="str">
        <f>M1952</f>
        <v/>
      </c>
      <c r="N1953" s="2" t="str">
        <f>N1951</f>
        <v/>
      </c>
      <c r="O1953" s="2">
        <f>O1952</f>
        <v>0</v>
      </c>
    </row>
    <row r="1954" spans="1:15" x14ac:dyDescent="0.25">
      <c r="A1954" s="325">
        <v>1</v>
      </c>
      <c r="B1954" s="325">
        <f t="shared" si="1527"/>
        <v>0</v>
      </c>
      <c r="C1954" s="325" t="s">
        <v>3721</v>
      </c>
      <c r="D1954" s="325">
        <f>Games!D23</f>
        <v>0</v>
      </c>
      <c r="E1954" s="325"/>
      <c r="F1954" s="325" t="s">
        <v>3720</v>
      </c>
      <c r="G1954" s="325" t="str">
        <f>IF(Games!O23="e","Y","")</f>
        <v/>
      </c>
      <c r="H1954" s="325" t="str">
        <f>Games!E23</f>
        <v/>
      </c>
      <c r="I1954" s="325" t="str">
        <f>Games!F23</f>
        <v/>
      </c>
      <c r="J1954" s="325" t="str">
        <f>Games!G23</f>
        <v/>
      </c>
      <c r="K1954" s="325"/>
      <c r="L1954" s="325"/>
      <c r="M1954" s="326" t="str">
        <f t="shared" si="1528"/>
        <v/>
      </c>
      <c r="N1954" s="325" t="str">
        <f t="shared" ref="N1954" si="1545">N1952</f>
        <v/>
      </c>
      <c r="O1954" s="325">
        <f t="shared" si="1529"/>
        <v>0</v>
      </c>
    </row>
    <row r="1955" spans="1:15" x14ac:dyDescent="0.25">
      <c r="A1955" s="2">
        <v>2</v>
      </c>
      <c r="B1955" s="2">
        <f>B1954</f>
        <v>0</v>
      </c>
      <c r="C1955" s="2" t="str">
        <f>C1954</f>
        <v>GA</v>
      </c>
      <c r="D1955" s="2">
        <f>D1954</f>
        <v>0</v>
      </c>
      <c r="F1955" s="2" t="str">
        <f>F1954</f>
        <v>Games Aerial</v>
      </c>
      <c r="G1955" s="2" t="str">
        <f>G1954</f>
        <v/>
      </c>
      <c r="H1955" s="2" t="str">
        <f>H1954</f>
        <v/>
      </c>
      <c r="I1955" s="2" t="str">
        <f>I1954</f>
        <v/>
      </c>
      <c r="J1955" s="2" t="str">
        <f>J1954</f>
        <v/>
      </c>
      <c r="M1955" s="180" t="str">
        <f>M1954</f>
        <v/>
      </c>
      <c r="N1955" s="2" t="str">
        <f>N1953</f>
        <v/>
      </c>
      <c r="O1955" s="2">
        <f>O1954</f>
        <v>0</v>
      </c>
    </row>
    <row r="1956" spans="1:15" x14ac:dyDescent="0.25">
      <c r="A1956" s="325">
        <v>1</v>
      </c>
      <c r="B1956" s="325">
        <f t="shared" si="1527"/>
        <v>0</v>
      </c>
      <c r="C1956" s="325" t="s">
        <v>3721</v>
      </c>
      <c r="D1956" s="325">
        <f>Games!D24</f>
        <v>0</v>
      </c>
      <c r="E1956" s="325"/>
      <c r="F1956" s="325" t="s">
        <v>3720</v>
      </c>
      <c r="G1956" s="325" t="str">
        <f>IF(Games!O24="e","Y","")</f>
        <v/>
      </c>
      <c r="H1956" s="325" t="str">
        <f>Games!E24</f>
        <v/>
      </c>
      <c r="I1956" s="325" t="str">
        <f>Games!F24</f>
        <v/>
      </c>
      <c r="J1956" s="325" t="str">
        <f>Games!G24</f>
        <v/>
      </c>
      <c r="K1956" s="325"/>
      <c r="L1956" s="325"/>
      <c r="M1956" s="326" t="str">
        <f t="shared" si="1528"/>
        <v/>
      </c>
      <c r="N1956" s="325" t="str">
        <f t="shared" ref="N1956" si="1546">N1954</f>
        <v/>
      </c>
      <c r="O1956" s="325">
        <f t="shared" si="1529"/>
        <v>0</v>
      </c>
    </row>
    <row r="1957" spans="1:15" x14ac:dyDescent="0.25">
      <c r="A1957" s="2">
        <v>2</v>
      </c>
      <c r="B1957" s="2">
        <f>B1956</f>
        <v>0</v>
      </c>
      <c r="C1957" s="2" t="str">
        <f>C1956</f>
        <v>GA</v>
      </c>
      <c r="D1957" s="2">
        <f>D1956</f>
        <v>0</v>
      </c>
      <c r="F1957" s="2" t="str">
        <f>F1956</f>
        <v>Games Aerial</v>
      </c>
      <c r="G1957" s="2" t="str">
        <f>G1956</f>
        <v/>
      </c>
      <c r="H1957" s="2" t="str">
        <f>H1956</f>
        <v/>
      </c>
      <c r="I1957" s="2" t="str">
        <f>I1956</f>
        <v/>
      </c>
      <c r="J1957" s="2" t="str">
        <f>J1956</f>
        <v/>
      </c>
      <c r="M1957" s="180" t="str">
        <f>M1956</f>
        <v/>
      </c>
      <c r="N1957" s="2" t="str">
        <f>N1955</f>
        <v/>
      </c>
      <c r="O1957" s="2">
        <f>O1956</f>
        <v>0</v>
      </c>
    </row>
    <row r="1958" spans="1:15" x14ac:dyDescent="0.25">
      <c r="A1958" s="325">
        <v>1</v>
      </c>
      <c r="B1958" s="325">
        <f t="shared" si="1527"/>
        <v>0</v>
      </c>
      <c r="C1958" s="325" t="s">
        <v>3721</v>
      </c>
      <c r="D1958" s="325">
        <f>Games!D25</f>
        <v>0</v>
      </c>
      <c r="E1958" s="325"/>
      <c r="F1958" s="325" t="s">
        <v>3720</v>
      </c>
      <c r="G1958" s="325" t="str">
        <f>IF(Games!O25="e","Y","")</f>
        <v/>
      </c>
      <c r="H1958" s="325" t="str">
        <f>Games!E25</f>
        <v/>
      </c>
      <c r="I1958" s="325" t="str">
        <f>Games!F25</f>
        <v/>
      </c>
      <c r="J1958" s="325" t="str">
        <f>Games!G25</f>
        <v/>
      </c>
      <c r="K1958" s="325"/>
      <c r="L1958" s="325"/>
      <c r="M1958" s="326" t="str">
        <f t="shared" si="1528"/>
        <v/>
      </c>
      <c r="N1958" s="325" t="str">
        <f t="shared" ref="N1958" si="1547">N1956</f>
        <v/>
      </c>
      <c r="O1958" s="325">
        <f t="shared" si="1529"/>
        <v>0</v>
      </c>
    </row>
    <row r="1959" spans="1:15" x14ac:dyDescent="0.25">
      <c r="A1959" s="2">
        <v>2</v>
      </c>
      <c r="B1959" s="2">
        <f>B1958</f>
        <v>0</v>
      </c>
      <c r="C1959" s="2" t="str">
        <f>C1958</f>
        <v>GA</v>
      </c>
      <c r="D1959" s="2">
        <f>D1958</f>
        <v>0</v>
      </c>
      <c r="F1959" s="2" t="str">
        <f>F1958</f>
        <v>Games Aerial</v>
      </c>
      <c r="G1959" s="2" t="str">
        <f>G1958</f>
        <v/>
      </c>
      <c r="H1959" s="2" t="str">
        <f>H1958</f>
        <v/>
      </c>
      <c r="I1959" s="2" t="str">
        <f>I1958</f>
        <v/>
      </c>
      <c r="J1959" s="2" t="str">
        <f>J1958</f>
        <v/>
      </c>
      <c r="M1959" s="180" t="str">
        <f>M1958</f>
        <v/>
      </c>
      <c r="N1959" s="2" t="str">
        <f>N1957</f>
        <v/>
      </c>
      <c r="O1959" s="2">
        <f>O1958</f>
        <v>0</v>
      </c>
    </row>
    <row r="1960" spans="1:15" x14ac:dyDescent="0.25">
      <c r="A1960" s="325">
        <v>1</v>
      </c>
      <c r="B1960" s="325">
        <f t="shared" si="1527"/>
        <v>0</v>
      </c>
      <c r="C1960" s="325" t="s">
        <v>3721</v>
      </c>
      <c r="D1960" s="325">
        <f>Games!D26</f>
        <v>0</v>
      </c>
      <c r="E1960" s="325"/>
      <c r="F1960" s="325" t="s">
        <v>3720</v>
      </c>
      <c r="G1960" s="325" t="str">
        <f>IF(Games!O26="e","Y","")</f>
        <v/>
      </c>
      <c r="H1960" s="325" t="str">
        <f>Games!E26</f>
        <v/>
      </c>
      <c r="I1960" s="325" t="str">
        <f>Games!F26</f>
        <v/>
      </c>
      <c r="J1960" s="325" t="str">
        <f>Games!G26</f>
        <v/>
      </c>
      <c r="K1960" s="325"/>
      <c r="L1960" s="325"/>
      <c r="M1960" s="326" t="str">
        <f t="shared" si="1528"/>
        <v/>
      </c>
      <c r="N1960" s="325" t="str">
        <f t="shared" ref="N1960" si="1548">N1958</f>
        <v/>
      </c>
      <c r="O1960" s="325">
        <f t="shared" si="1529"/>
        <v>0</v>
      </c>
    </row>
    <row r="1961" spans="1:15" x14ac:dyDescent="0.25">
      <c r="A1961" s="2">
        <v>2</v>
      </c>
      <c r="B1961" s="2">
        <f>B1960</f>
        <v>0</v>
      </c>
      <c r="C1961" s="2" t="str">
        <f>C1960</f>
        <v>GA</v>
      </c>
      <c r="D1961" s="2">
        <f>D1960</f>
        <v>0</v>
      </c>
      <c r="F1961" s="2" t="str">
        <f>F1960</f>
        <v>Games Aerial</v>
      </c>
      <c r="G1961" s="2" t="str">
        <f>G1960</f>
        <v/>
      </c>
      <c r="H1961" s="2" t="str">
        <f>H1960</f>
        <v/>
      </c>
      <c r="I1961" s="2" t="str">
        <f>I1960</f>
        <v/>
      </c>
      <c r="J1961" s="2" t="str">
        <f>J1960</f>
        <v/>
      </c>
      <c r="M1961" s="180" t="str">
        <f>M1960</f>
        <v/>
      </c>
      <c r="N1961" s="2" t="str">
        <f>N1959</f>
        <v/>
      </c>
      <c r="O1961" s="2">
        <f>O1960</f>
        <v>0</v>
      </c>
    </row>
    <row r="1962" spans="1:15" x14ac:dyDescent="0.25">
      <c r="A1962" s="325">
        <v>1</v>
      </c>
      <c r="B1962" s="325">
        <f t="shared" si="1527"/>
        <v>0</v>
      </c>
      <c r="C1962" s="325" t="s">
        <v>3721</v>
      </c>
      <c r="D1962" s="325">
        <f>Games!D27</f>
        <v>0</v>
      </c>
      <c r="E1962" s="325"/>
      <c r="F1962" s="325" t="s">
        <v>3720</v>
      </c>
      <c r="G1962" s="325" t="str">
        <f>IF(Games!O27="e","Y","")</f>
        <v/>
      </c>
      <c r="H1962" s="325" t="str">
        <f>Games!E27</f>
        <v/>
      </c>
      <c r="I1962" s="325" t="str">
        <f>Games!F27</f>
        <v/>
      </c>
      <c r="J1962" s="325" t="str">
        <f>Games!G27</f>
        <v/>
      </c>
      <c r="K1962" s="325"/>
      <c r="L1962" s="325"/>
      <c r="M1962" s="326" t="str">
        <f t="shared" si="1528"/>
        <v/>
      </c>
      <c r="N1962" s="325" t="str">
        <f t="shared" ref="N1962" si="1549">N1960</f>
        <v/>
      </c>
      <c r="O1962" s="325">
        <f t="shared" si="1529"/>
        <v>0</v>
      </c>
    </row>
    <row r="1963" spans="1:15" x14ac:dyDescent="0.25">
      <c r="A1963" s="2">
        <v>2</v>
      </c>
      <c r="B1963" s="2">
        <f>B1962</f>
        <v>0</v>
      </c>
      <c r="C1963" s="2" t="str">
        <f>C1962</f>
        <v>GA</v>
      </c>
      <c r="D1963" s="2">
        <f>D1962</f>
        <v>0</v>
      </c>
      <c r="F1963" s="2" t="str">
        <f>F1962</f>
        <v>Games Aerial</v>
      </c>
      <c r="G1963" s="2" t="str">
        <f>G1962</f>
        <v/>
      </c>
      <c r="H1963" s="2" t="str">
        <f>H1962</f>
        <v/>
      </c>
      <c r="I1963" s="2" t="str">
        <f>I1962</f>
        <v/>
      </c>
      <c r="J1963" s="2" t="str">
        <f>J1962</f>
        <v/>
      </c>
      <c r="M1963" s="180" t="str">
        <f>M1962</f>
        <v/>
      </c>
      <c r="N1963" s="2" t="str">
        <f>N1961</f>
        <v/>
      </c>
      <c r="O1963" s="2">
        <f>O1962</f>
        <v>0</v>
      </c>
    </row>
    <row r="1964" spans="1:15" x14ac:dyDescent="0.25">
      <c r="A1964" s="325">
        <v>1</v>
      </c>
      <c r="B1964" s="325">
        <f t="shared" si="1527"/>
        <v>0</v>
      </c>
      <c r="C1964" s="325" t="s">
        <v>3721</v>
      </c>
      <c r="D1964" s="325">
        <f>Games!D28</f>
        <v>0</v>
      </c>
      <c r="E1964" s="325"/>
      <c r="F1964" s="325" t="s">
        <v>3720</v>
      </c>
      <c r="G1964" s="325" t="str">
        <f>IF(Games!O28="e","Y","")</f>
        <v/>
      </c>
      <c r="H1964" s="325" t="str">
        <f>Games!E28</f>
        <v/>
      </c>
      <c r="I1964" s="325" t="str">
        <f>Games!F28</f>
        <v/>
      </c>
      <c r="J1964" s="325" t="str">
        <f>Games!G28</f>
        <v/>
      </c>
      <c r="K1964" s="325"/>
      <c r="L1964" s="325"/>
      <c r="M1964" s="326" t="str">
        <f t="shared" si="1528"/>
        <v/>
      </c>
      <c r="N1964" s="325" t="str">
        <f t="shared" ref="N1964" si="1550">N1962</f>
        <v/>
      </c>
      <c r="O1964" s="325">
        <f t="shared" si="1529"/>
        <v>0</v>
      </c>
    </row>
    <row r="1965" spans="1:15" x14ac:dyDescent="0.25">
      <c r="A1965" s="2">
        <v>2</v>
      </c>
      <c r="B1965" s="2">
        <f>B1964</f>
        <v>0</v>
      </c>
      <c r="C1965" s="2" t="str">
        <f>C1964</f>
        <v>GA</v>
      </c>
      <c r="D1965" s="2">
        <f>D1964</f>
        <v>0</v>
      </c>
      <c r="F1965" s="2" t="str">
        <f>F1964</f>
        <v>Games Aerial</v>
      </c>
      <c r="G1965" s="2" t="str">
        <f>G1964</f>
        <v/>
      </c>
      <c r="H1965" s="2" t="str">
        <f>H1964</f>
        <v/>
      </c>
      <c r="I1965" s="2" t="str">
        <f>I1964</f>
        <v/>
      </c>
      <c r="J1965" s="2" t="str">
        <f>J1964</f>
        <v/>
      </c>
      <c r="M1965" s="180" t="str">
        <f>M1964</f>
        <v/>
      </c>
      <c r="N1965" s="2" t="str">
        <f>N1963</f>
        <v/>
      </c>
      <c r="O1965" s="2">
        <f>O1964</f>
        <v>0</v>
      </c>
    </row>
    <row r="1966" spans="1:15" x14ac:dyDescent="0.25">
      <c r="A1966" s="325">
        <v>1</v>
      </c>
      <c r="B1966" s="325">
        <f t="shared" si="1527"/>
        <v>0</v>
      </c>
      <c r="C1966" s="325" t="s">
        <v>3721</v>
      </c>
      <c r="D1966" s="325">
        <f>Games!D29</f>
        <v>0</v>
      </c>
      <c r="E1966" s="325"/>
      <c r="F1966" s="325" t="s">
        <v>3720</v>
      </c>
      <c r="G1966" s="325" t="str">
        <f>IF(Games!O29="e","Y","")</f>
        <v/>
      </c>
      <c r="H1966" s="325" t="str">
        <f>Games!E29</f>
        <v/>
      </c>
      <c r="I1966" s="325" t="str">
        <f>Games!F29</f>
        <v/>
      </c>
      <c r="J1966" s="325" t="str">
        <f>Games!G29</f>
        <v/>
      </c>
      <c r="K1966" s="325"/>
      <c r="L1966" s="325"/>
      <c r="M1966" s="326" t="str">
        <f t="shared" si="1528"/>
        <v/>
      </c>
      <c r="N1966" s="325" t="str">
        <f t="shared" ref="N1966" si="1551">N1964</f>
        <v/>
      </c>
      <c r="O1966" s="325">
        <f t="shared" si="1529"/>
        <v>0</v>
      </c>
    </row>
    <row r="1967" spans="1:15" x14ac:dyDescent="0.25">
      <c r="A1967" s="2">
        <v>2</v>
      </c>
      <c r="B1967" s="2">
        <f>B1966</f>
        <v>0</v>
      </c>
      <c r="C1967" s="2" t="str">
        <f>C1966</f>
        <v>GA</v>
      </c>
      <c r="D1967" s="2">
        <f>D1966</f>
        <v>0</v>
      </c>
      <c r="F1967" s="2" t="str">
        <f>F1966</f>
        <v>Games Aerial</v>
      </c>
      <c r="G1967" s="2" t="str">
        <f>G1966</f>
        <v/>
      </c>
      <c r="H1967" s="2" t="str">
        <f>H1966</f>
        <v/>
      </c>
      <c r="I1967" s="2" t="str">
        <f>I1966</f>
        <v/>
      </c>
      <c r="J1967" s="2" t="str">
        <f>J1966</f>
        <v/>
      </c>
      <c r="M1967" s="180" t="str">
        <f>M1966</f>
        <v/>
      </c>
      <c r="N1967" s="2" t="str">
        <f>N1965</f>
        <v/>
      </c>
      <c r="O1967" s="2">
        <f>O1966</f>
        <v>0</v>
      </c>
    </row>
    <row r="1968" spans="1:15" x14ac:dyDescent="0.25">
      <c r="A1968" s="325">
        <v>1</v>
      </c>
      <c r="B1968" s="325">
        <f t="shared" si="1527"/>
        <v>0</v>
      </c>
      <c r="C1968" s="325" t="s">
        <v>3721</v>
      </c>
      <c r="D1968" s="325">
        <f>Games!D30</f>
        <v>0</v>
      </c>
      <c r="E1968" s="325"/>
      <c r="F1968" s="325" t="s">
        <v>3720</v>
      </c>
      <c r="G1968" s="325" t="str">
        <f>IF(Games!O30="e","Y","")</f>
        <v/>
      </c>
      <c r="H1968" s="325" t="str">
        <f>Games!E30</f>
        <v/>
      </c>
      <c r="I1968" s="325" t="str">
        <f>Games!F30</f>
        <v/>
      </c>
      <c r="J1968" s="325" t="str">
        <f>Games!G30</f>
        <v/>
      </c>
      <c r="K1968" s="325"/>
      <c r="L1968" s="325"/>
      <c r="M1968" s="326" t="str">
        <f t="shared" si="1528"/>
        <v/>
      </c>
      <c r="N1968" s="325" t="str">
        <f t="shared" ref="N1968" si="1552">N1966</f>
        <v/>
      </c>
      <c r="O1968" s="325">
        <f t="shared" si="1529"/>
        <v>0</v>
      </c>
    </row>
    <row r="1969" spans="1:15" x14ac:dyDescent="0.25">
      <c r="A1969" s="2">
        <v>2</v>
      </c>
      <c r="B1969" s="2">
        <f>B1968</f>
        <v>0</v>
      </c>
      <c r="C1969" s="2" t="str">
        <f>C1968</f>
        <v>GA</v>
      </c>
      <c r="D1969" s="2">
        <f>D1968</f>
        <v>0</v>
      </c>
      <c r="F1969" s="2" t="str">
        <f>F1968</f>
        <v>Games Aerial</v>
      </c>
      <c r="G1969" s="2" t="str">
        <f>G1968</f>
        <v/>
      </c>
      <c r="H1969" s="2" t="str">
        <f>H1968</f>
        <v/>
      </c>
      <c r="I1969" s="2" t="str">
        <f>I1968</f>
        <v/>
      </c>
      <c r="J1969" s="2" t="str">
        <f>J1968</f>
        <v/>
      </c>
      <c r="M1969" s="180" t="str">
        <f>M1968</f>
        <v/>
      </c>
      <c r="N1969" s="2" t="str">
        <f>N1967</f>
        <v/>
      </c>
      <c r="O1969" s="2">
        <f>O1968</f>
        <v>0</v>
      </c>
    </row>
    <row r="1970" spans="1:15" x14ac:dyDescent="0.25">
      <c r="A1970" s="325">
        <v>1</v>
      </c>
      <c r="B1970" s="325">
        <f t="shared" si="1527"/>
        <v>0</v>
      </c>
      <c r="C1970" s="325" t="s">
        <v>3721</v>
      </c>
      <c r="D1970" s="325">
        <f>Games!D31</f>
        <v>0</v>
      </c>
      <c r="E1970" s="325"/>
      <c r="F1970" s="325" t="s">
        <v>3720</v>
      </c>
      <c r="G1970" s="325" t="str">
        <f>IF(Games!O31="e","Y","")</f>
        <v/>
      </c>
      <c r="H1970" s="325" t="str">
        <f>Games!E31</f>
        <v/>
      </c>
      <c r="I1970" s="325" t="str">
        <f>Games!F31</f>
        <v/>
      </c>
      <c r="J1970" s="325" t="str">
        <f>Games!G31</f>
        <v/>
      </c>
      <c r="K1970" s="325"/>
      <c r="L1970" s="325"/>
      <c r="M1970" s="326" t="str">
        <f t="shared" si="1528"/>
        <v/>
      </c>
      <c r="N1970" s="325" t="str">
        <f t="shared" ref="N1970" si="1553">N1968</f>
        <v/>
      </c>
      <c r="O1970" s="325">
        <f t="shared" si="1529"/>
        <v>0</v>
      </c>
    </row>
    <row r="1971" spans="1:15" x14ac:dyDescent="0.25">
      <c r="A1971" s="2">
        <v>2</v>
      </c>
      <c r="B1971" s="2">
        <f>B1970</f>
        <v>0</v>
      </c>
      <c r="C1971" s="2" t="str">
        <f>C1970</f>
        <v>GA</v>
      </c>
      <c r="D1971" s="2">
        <f>D1970</f>
        <v>0</v>
      </c>
      <c r="F1971" s="2" t="str">
        <f>F1970</f>
        <v>Games Aerial</v>
      </c>
      <c r="G1971" s="2" t="str">
        <f>G1970</f>
        <v/>
      </c>
      <c r="H1971" s="2" t="str">
        <f>H1970</f>
        <v/>
      </c>
      <c r="I1971" s="2" t="str">
        <f>I1970</f>
        <v/>
      </c>
      <c r="J1971" s="2" t="str">
        <f>J1970</f>
        <v/>
      </c>
      <c r="M1971" s="180" t="str">
        <f>M1970</f>
        <v/>
      </c>
      <c r="N1971" s="2" t="str">
        <f>N1969</f>
        <v/>
      </c>
      <c r="O1971" s="2">
        <f>O1970</f>
        <v>0</v>
      </c>
    </row>
    <row r="1972" spans="1:15" x14ac:dyDescent="0.25">
      <c r="A1972" s="325">
        <v>1</v>
      </c>
      <c r="B1972" s="325">
        <f t="shared" si="1527"/>
        <v>0</v>
      </c>
      <c r="C1972" s="325" t="s">
        <v>3721</v>
      </c>
      <c r="D1972" s="325">
        <f>Games!D32</f>
        <v>0</v>
      </c>
      <c r="E1972" s="325"/>
      <c r="F1972" s="325" t="s">
        <v>3720</v>
      </c>
      <c r="G1972" s="325" t="str">
        <f>IF(Games!O32="e","Y","")</f>
        <v/>
      </c>
      <c r="H1972" s="325" t="str">
        <f>Games!E32</f>
        <v/>
      </c>
      <c r="I1972" s="325" t="str">
        <f>Games!F32</f>
        <v/>
      </c>
      <c r="J1972" s="325" t="str">
        <f>Games!G32</f>
        <v/>
      </c>
      <c r="K1972" s="325"/>
      <c r="L1972" s="325"/>
      <c r="M1972" s="326" t="str">
        <f t="shared" si="1528"/>
        <v/>
      </c>
      <c r="N1972" s="325" t="str">
        <f t="shared" ref="N1972" si="1554">N1970</f>
        <v/>
      </c>
      <c r="O1972" s="325">
        <f t="shared" si="1529"/>
        <v>0</v>
      </c>
    </row>
    <row r="1973" spans="1:15" x14ac:dyDescent="0.25">
      <c r="A1973" s="2">
        <v>2</v>
      </c>
      <c r="B1973" s="2">
        <f>B1972</f>
        <v>0</v>
      </c>
      <c r="C1973" s="2" t="str">
        <f>C1972</f>
        <v>GA</v>
      </c>
      <c r="D1973" s="2">
        <f>D1972</f>
        <v>0</v>
      </c>
      <c r="F1973" s="2" t="str">
        <f>F1972</f>
        <v>Games Aerial</v>
      </c>
      <c r="G1973" s="2" t="str">
        <f>G1972</f>
        <v/>
      </c>
      <c r="H1973" s="2" t="str">
        <f>H1972</f>
        <v/>
      </c>
      <c r="I1973" s="2" t="str">
        <f>I1972</f>
        <v/>
      </c>
      <c r="J1973" s="2" t="str">
        <f>J1972</f>
        <v/>
      </c>
      <c r="M1973" s="180" t="str">
        <f>M1972</f>
        <v/>
      </c>
      <c r="N1973" s="2" t="str">
        <f>N1971</f>
        <v/>
      </c>
      <c r="O1973" s="2">
        <f>O1972</f>
        <v>0</v>
      </c>
    </row>
    <row r="1974" spans="1:15" x14ac:dyDescent="0.25">
      <c r="A1974" s="325">
        <v>1</v>
      </c>
      <c r="B1974" s="325">
        <f t="shared" si="1527"/>
        <v>0</v>
      </c>
      <c r="C1974" s="325" t="s">
        <v>3721</v>
      </c>
      <c r="D1974" s="325">
        <f>Games!D33</f>
        <v>0</v>
      </c>
      <c r="E1974" s="325"/>
      <c r="F1974" s="325" t="s">
        <v>3720</v>
      </c>
      <c r="G1974" s="325" t="str">
        <f>IF(Games!O33="e","Y","")</f>
        <v/>
      </c>
      <c r="H1974" s="325" t="str">
        <f>Games!E33</f>
        <v/>
      </c>
      <c r="I1974" s="325" t="str">
        <f>Games!F33</f>
        <v/>
      </c>
      <c r="J1974" s="325" t="str">
        <f>Games!G33</f>
        <v/>
      </c>
      <c r="K1974" s="325"/>
      <c r="L1974" s="325"/>
      <c r="M1974" s="326" t="str">
        <f t="shared" si="1528"/>
        <v/>
      </c>
      <c r="N1974" s="325" t="str">
        <f t="shared" ref="N1974" si="1555">N1972</f>
        <v/>
      </c>
      <c r="O1974" s="325">
        <f t="shared" si="1529"/>
        <v>0</v>
      </c>
    </row>
    <row r="1975" spans="1:15" x14ac:dyDescent="0.25">
      <c r="A1975" s="2">
        <v>2</v>
      </c>
      <c r="B1975" s="2">
        <f>B1974</f>
        <v>0</v>
      </c>
      <c r="C1975" s="2" t="str">
        <f>C1974</f>
        <v>GA</v>
      </c>
      <c r="D1975" s="2">
        <f>D1974</f>
        <v>0</v>
      </c>
      <c r="F1975" s="2" t="str">
        <f>F1974</f>
        <v>Games Aerial</v>
      </c>
      <c r="G1975" s="2" t="str">
        <f>G1974</f>
        <v/>
      </c>
      <c r="H1975" s="2" t="str">
        <f>H1974</f>
        <v/>
      </c>
      <c r="I1975" s="2" t="str">
        <f>I1974</f>
        <v/>
      </c>
      <c r="J1975" s="2" t="str">
        <f>J1974</f>
        <v/>
      </c>
      <c r="M1975" s="180" t="str">
        <f>M1974</f>
        <v/>
      </c>
      <c r="N1975" s="2" t="str">
        <f>N1973</f>
        <v/>
      </c>
      <c r="O1975" s="2">
        <f>O1974</f>
        <v>0</v>
      </c>
    </row>
    <row r="1976" spans="1:15" x14ac:dyDescent="0.25">
      <c r="A1976" s="325">
        <v>1</v>
      </c>
      <c r="B1976" s="325">
        <f t="shared" si="1527"/>
        <v>0</v>
      </c>
      <c r="C1976" s="325" t="s">
        <v>3721</v>
      </c>
      <c r="D1976" s="325">
        <f>Games!D34</f>
        <v>0</v>
      </c>
      <c r="E1976" s="325"/>
      <c r="F1976" s="325" t="s">
        <v>3720</v>
      </c>
      <c r="G1976" s="325" t="str">
        <f>IF(Games!O34="e","Y","")</f>
        <v/>
      </c>
      <c r="H1976" s="325" t="str">
        <f>Games!E34</f>
        <v/>
      </c>
      <c r="I1976" s="325" t="str">
        <f>Games!F34</f>
        <v/>
      </c>
      <c r="J1976" s="325" t="str">
        <f>Games!G34</f>
        <v/>
      </c>
      <c r="K1976" s="325"/>
      <c r="L1976" s="325"/>
      <c r="M1976" s="326" t="str">
        <f t="shared" si="1528"/>
        <v/>
      </c>
      <c r="N1976" s="325" t="str">
        <f t="shared" ref="N1976" si="1556">N1974</f>
        <v/>
      </c>
      <c r="O1976" s="325">
        <f t="shared" si="1529"/>
        <v>0</v>
      </c>
    </row>
    <row r="1977" spans="1:15" x14ac:dyDescent="0.25">
      <c r="A1977" s="2">
        <v>2</v>
      </c>
      <c r="B1977" s="2">
        <f>B1976</f>
        <v>0</v>
      </c>
      <c r="C1977" s="2" t="str">
        <f>C1976</f>
        <v>GA</v>
      </c>
      <c r="D1977" s="2">
        <f>D1976</f>
        <v>0</v>
      </c>
      <c r="F1977" s="2" t="str">
        <f>F1976</f>
        <v>Games Aerial</v>
      </c>
      <c r="G1977" s="2" t="str">
        <f>G1976</f>
        <v/>
      </c>
      <c r="H1977" s="2" t="str">
        <f>H1976</f>
        <v/>
      </c>
      <c r="I1977" s="2" t="str">
        <f>I1976</f>
        <v/>
      </c>
      <c r="J1977" s="2" t="str">
        <f>J1976</f>
        <v/>
      </c>
      <c r="M1977" s="180" t="str">
        <f>M1976</f>
        <v/>
      </c>
      <c r="N1977" s="2" t="str">
        <f>N1975</f>
        <v/>
      </c>
      <c r="O1977" s="2">
        <f>O1976</f>
        <v>0</v>
      </c>
    </row>
    <row r="1978" spans="1:15" x14ac:dyDescent="0.25">
      <c r="A1978" s="325">
        <v>1</v>
      </c>
      <c r="B1978" s="325">
        <f t="shared" si="1527"/>
        <v>0</v>
      </c>
      <c r="C1978" s="325" t="s">
        <v>3721</v>
      </c>
      <c r="D1978" s="325">
        <f>Games!D35</f>
        <v>0</v>
      </c>
      <c r="E1978" s="325"/>
      <c r="F1978" s="325" t="s">
        <v>3720</v>
      </c>
      <c r="G1978" s="325" t="str">
        <f>IF(Games!O35="e","Y","")</f>
        <v/>
      </c>
      <c r="H1978" s="325" t="str">
        <f>Games!E35</f>
        <v/>
      </c>
      <c r="I1978" s="325" t="str">
        <f>Games!F35</f>
        <v/>
      </c>
      <c r="J1978" s="325" t="str">
        <f>Games!G35</f>
        <v/>
      </c>
      <c r="K1978" s="325"/>
      <c r="L1978" s="325"/>
      <c r="M1978" s="326" t="str">
        <f t="shared" si="1528"/>
        <v/>
      </c>
      <c r="N1978" s="325" t="str">
        <f t="shared" ref="N1978" si="1557">N1976</f>
        <v/>
      </c>
      <c r="O1978" s="325">
        <f t="shared" si="1529"/>
        <v>0</v>
      </c>
    </row>
    <row r="1979" spans="1:15" x14ac:dyDescent="0.25">
      <c r="A1979" s="2">
        <v>2</v>
      </c>
      <c r="B1979" s="2">
        <f>B1978</f>
        <v>0</v>
      </c>
      <c r="C1979" s="2" t="str">
        <f>C1978</f>
        <v>GA</v>
      </c>
      <c r="D1979" s="2">
        <f>D1978</f>
        <v>0</v>
      </c>
      <c r="F1979" s="2" t="str">
        <f>F1978</f>
        <v>Games Aerial</v>
      </c>
      <c r="G1979" s="2" t="str">
        <f>G1978</f>
        <v/>
      </c>
      <c r="H1979" s="2" t="str">
        <f>H1978</f>
        <v/>
      </c>
      <c r="I1979" s="2" t="str">
        <f>I1978</f>
        <v/>
      </c>
      <c r="J1979" s="2" t="str">
        <f>J1978</f>
        <v/>
      </c>
      <c r="M1979" s="180" t="str">
        <f>M1978</f>
        <v/>
      </c>
      <c r="N1979" s="2" t="str">
        <f>N1977</f>
        <v/>
      </c>
      <c r="O1979" s="2">
        <f>O1978</f>
        <v>0</v>
      </c>
    </row>
    <row r="1980" spans="1:15" x14ac:dyDescent="0.25">
      <c r="A1980" s="325">
        <v>1</v>
      </c>
      <c r="B1980" s="325">
        <f t="shared" si="1527"/>
        <v>0</v>
      </c>
      <c r="C1980" s="325" t="s">
        <v>3721</v>
      </c>
      <c r="D1980" s="325">
        <f>Games!D36</f>
        <v>0</v>
      </c>
      <c r="E1980" s="325"/>
      <c r="F1980" s="325" t="s">
        <v>3720</v>
      </c>
      <c r="G1980" s="325" t="str">
        <f>IF(Games!O36="e","Y","")</f>
        <v/>
      </c>
      <c r="H1980" s="325" t="str">
        <f>Games!E36</f>
        <v/>
      </c>
      <c r="I1980" s="325" t="str">
        <f>Games!F36</f>
        <v/>
      </c>
      <c r="J1980" s="325" t="str">
        <f>Games!G36</f>
        <v/>
      </c>
      <c r="K1980" s="325"/>
      <c r="L1980" s="325"/>
      <c r="M1980" s="326" t="str">
        <f t="shared" si="1528"/>
        <v/>
      </c>
      <c r="N1980" s="325" t="str">
        <f t="shared" ref="N1980" si="1558">N1978</f>
        <v/>
      </c>
      <c r="O1980" s="325">
        <f t="shared" si="1529"/>
        <v>0</v>
      </c>
    </row>
    <row r="1981" spans="1:15" x14ac:dyDescent="0.25">
      <c r="A1981" s="2">
        <v>2</v>
      </c>
      <c r="B1981" s="2">
        <f>B1980</f>
        <v>0</v>
      </c>
      <c r="C1981" s="2" t="str">
        <f>C1980</f>
        <v>GA</v>
      </c>
      <c r="D1981" s="2">
        <f>D1980</f>
        <v>0</v>
      </c>
      <c r="F1981" s="2" t="str">
        <f>F1980</f>
        <v>Games Aerial</v>
      </c>
      <c r="G1981" s="2" t="str">
        <f>G1980</f>
        <v/>
      </c>
      <c r="H1981" s="2" t="str">
        <f>H1980</f>
        <v/>
      </c>
      <c r="I1981" s="2" t="str">
        <f>I1980</f>
        <v/>
      </c>
      <c r="J1981" s="2" t="str">
        <f>J1980</f>
        <v/>
      </c>
      <c r="M1981" s="180" t="str">
        <f>M1980</f>
        <v/>
      </c>
      <c r="N1981" s="2" t="str">
        <f>N1979</f>
        <v/>
      </c>
      <c r="O1981" s="2">
        <f>O1980</f>
        <v>0</v>
      </c>
    </row>
    <row r="1982" spans="1:15" x14ac:dyDescent="0.25">
      <c r="A1982" s="325">
        <v>1</v>
      </c>
      <c r="B1982" s="325">
        <f t="shared" si="1527"/>
        <v>0</v>
      </c>
      <c r="C1982" s="325" t="s">
        <v>3721</v>
      </c>
      <c r="D1982" s="325">
        <f>Games!D37</f>
        <v>0</v>
      </c>
      <c r="E1982" s="325"/>
      <c r="F1982" s="325" t="s">
        <v>3720</v>
      </c>
      <c r="G1982" s="325" t="str">
        <f>IF(Games!O37="e","Y","")</f>
        <v/>
      </c>
      <c r="H1982" s="325" t="str">
        <f>Games!E37</f>
        <v/>
      </c>
      <c r="I1982" s="325" t="str">
        <f>Games!F37</f>
        <v/>
      </c>
      <c r="J1982" s="325" t="str">
        <f>Games!G37</f>
        <v/>
      </c>
      <c r="K1982" s="325"/>
      <c r="L1982" s="325"/>
      <c r="M1982" s="326" t="str">
        <f t="shared" si="1528"/>
        <v/>
      </c>
      <c r="N1982" s="325" t="str">
        <f t="shared" ref="N1982" si="1559">N1980</f>
        <v/>
      </c>
      <c r="O1982" s="325">
        <f t="shared" si="1529"/>
        <v>0</v>
      </c>
    </row>
    <row r="1983" spans="1:15" x14ac:dyDescent="0.25">
      <c r="A1983" s="2">
        <v>2</v>
      </c>
      <c r="B1983" s="2">
        <f>B1982</f>
        <v>0</v>
      </c>
      <c r="C1983" s="2" t="str">
        <f>C1982</f>
        <v>GA</v>
      </c>
      <c r="D1983" s="2">
        <f>D1982</f>
        <v>0</v>
      </c>
      <c r="F1983" s="2" t="str">
        <f>F1982</f>
        <v>Games Aerial</v>
      </c>
      <c r="G1983" s="2" t="str">
        <f>G1982</f>
        <v/>
      </c>
      <c r="H1983" s="2" t="str">
        <f>H1982</f>
        <v/>
      </c>
      <c r="I1983" s="2" t="str">
        <f>I1982</f>
        <v/>
      </c>
      <c r="J1983" s="2" t="str">
        <f>J1982</f>
        <v/>
      </c>
      <c r="M1983" s="180" t="str">
        <f>M1982</f>
        <v/>
      </c>
      <c r="N1983" s="2" t="str">
        <f>N1981</f>
        <v/>
      </c>
      <c r="O1983" s="2">
        <f>O1982</f>
        <v>0</v>
      </c>
    </row>
    <row r="1984" spans="1:15" x14ac:dyDescent="0.25">
      <c r="A1984" s="325">
        <v>1</v>
      </c>
      <c r="B1984" s="325">
        <f t="shared" si="1527"/>
        <v>0</v>
      </c>
      <c r="C1984" s="325" t="s">
        <v>3721</v>
      </c>
      <c r="D1984" s="325">
        <f>Games!D38</f>
        <v>0</v>
      </c>
      <c r="E1984" s="325"/>
      <c r="F1984" s="325" t="s">
        <v>3720</v>
      </c>
      <c r="G1984" s="325" t="str">
        <f>IF(Games!O38="e","Y","")</f>
        <v/>
      </c>
      <c r="H1984" s="325" t="str">
        <f>Games!E38</f>
        <v/>
      </c>
      <c r="I1984" s="325" t="str">
        <f>Games!F38</f>
        <v/>
      </c>
      <c r="J1984" s="325" t="str">
        <f>Games!G38</f>
        <v/>
      </c>
      <c r="K1984" s="325"/>
      <c r="L1984" s="325"/>
      <c r="M1984" s="326" t="str">
        <f t="shared" si="1528"/>
        <v/>
      </c>
      <c r="N1984" s="325" t="str">
        <f t="shared" ref="N1984" si="1560">N1982</f>
        <v/>
      </c>
      <c r="O1984" s="325">
        <f t="shared" si="1529"/>
        <v>0</v>
      </c>
    </row>
    <row r="1985" spans="1:15" x14ac:dyDescent="0.25">
      <c r="A1985" s="2">
        <v>2</v>
      </c>
      <c r="B1985" s="2">
        <f>B1984</f>
        <v>0</v>
      </c>
      <c r="C1985" s="2" t="str">
        <f>C1984</f>
        <v>GA</v>
      </c>
      <c r="D1985" s="2">
        <f>D1984</f>
        <v>0</v>
      </c>
      <c r="F1985" s="2" t="str">
        <f>F1984</f>
        <v>Games Aerial</v>
      </c>
      <c r="G1985" s="2" t="str">
        <f>G1984</f>
        <v/>
      </c>
      <c r="H1985" s="2" t="str">
        <f>H1984</f>
        <v/>
      </c>
      <c r="I1985" s="2" t="str">
        <f>I1984</f>
        <v/>
      </c>
      <c r="J1985" s="2" t="str">
        <f>J1984</f>
        <v/>
      </c>
      <c r="M1985" s="180" t="str">
        <f>M1984</f>
        <v/>
      </c>
      <c r="N1985" s="2" t="str">
        <f>N1983</f>
        <v/>
      </c>
      <c r="O1985" s="2">
        <f>O1984</f>
        <v>0</v>
      </c>
    </row>
    <row r="1986" spans="1:15" x14ac:dyDescent="0.25">
      <c r="A1986" s="325">
        <v>1</v>
      </c>
      <c r="B1986" s="325">
        <f t="shared" ref="B1986:B2020" si="1561">TrialNumber</f>
        <v>0</v>
      </c>
      <c r="C1986" s="325" t="s">
        <v>3721</v>
      </c>
      <c r="D1986" s="325">
        <f>Games!D39</f>
        <v>0</v>
      </c>
      <c r="E1986" s="325"/>
      <c r="F1986" s="325" t="s">
        <v>3720</v>
      </c>
      <c r="G1986" s="325" t="str">
        <f>IF(Games!O39="e","Y","")</f>
        <v/>
      </c>
      <c r="H1986" s="325" t="str">
        <f>Games!E39</f>
        <v/>
      </c>
      <c r="I1986" s="325" t="str">
        <f>Games!F39</f>
        <v/>
      </c>
      <c r="J1986" s="325" t="str">
        <f>Games!G39</f>
        <v/>
      </c>
      <c r="K1986" s="325"/>
      <c r="L1986" s="325"/>
      <c r="M1986" s="326" t="str">
        <f t="shared" ref="M1986:M2020" si="1562">TrialDate</f>
        <v/>
      </c>
      <c r="N1986" s="325" t="str">
        <f t="shared" ref="N1986" si="1563">N1984</f>
        <v/>
      </c>
      <c r="O1986" s="325">
        <f t="shared" ref="O1986:O2020" si="1564">JudgeD1GamesAerial</f>
        <v>0</v>
      </c>
    </row>
    <row r="1987" spans="1:15" x14ac:dyDescent="0.25">
      <c r="A1987" s="2">
        <v>2</v>
      </c>
      <c r="B1987" s="2">
        <f>B1986</f>
        <v>0</v>
      </c>
      <c r="C1987" s="2" t="str">
        <f>C1986</f>
        <v>GA</v>
      </c>
      <c r="D1987" s="2">
        <f>D1986</f>
        <v>0</v>
      </c>
      <c r="F1987" s="2" t="str">
        <f>F1986</f>
        <v>Games Aerial</v>
      </c>
      <c r="G1987" s="2" t="str">
        <f>G1986</f>
        <v/>
      </c>
      <c r="H1987" s="2" t="str">
        <f>H1986</f>
        <v/>
      </c>
      <c r="I1987" s="2" t="str">
        <f>I1986</f>
        <v/>
      </c>
      <c r="J1987" s="2" t="str">
        <f>J1986</f>
        <v/>
      </c>
      <c r="M1987" s="180" t="str">
        <f>M1986</f>
        <v/>
      </c>
      <c r="N1987" s="2" t="str">
        <f>N1985</f>
        <v/>
      </c>
      <c r="O1987" s="2">
        <f>O1986</f>
        <v>0</v>
      </c>
    </row>
    <row r="1988" spans="1:15" x14ac:dyDescent="0.25">
      <c r="A1988" s="325">
        <v>1</v>
      </c>
      <c r="B1988" s="325">
        <f t="shared" si="1561"/>
        <v>0</v>
      </c>
      <c r="C1988" s="325" t="s">
        <v>3721</v>
      </c>
      <c r="D1988" s="325">
        <f>Games!D40</f>
        <v>0</v>
      </c>
      <c r="E1988" s="325"/>
      <c r="F1988" s="325" t="s">
        <v>3720</v>
      </c>
      <c r="G1988" s="325" t="str">
        <f>IF(Games!O40="e","Y","")</f>
        <v/>
      </c>
      <c r="H1988" s="325" t="str">
        <f>Games!E40</f>
        <v/>
      </c>
      <c r="I1988" s="325" t="str">
        <f>Games!F40</f>
        <v/>
      </c>
      <c r="J1988" s="325" t="str">
        <f>Games!G40</f>
        <v/>
      </c>
      <c r="K1988" s="325"/>
      <c r="L1988" s="325"/>
      <c r="M1988" s="326" t="str">
        <f t="shared" si="1562"/>
        <v/>
      </c>
      <c r="N1988" s="325" t="str">
        <f t="shared" ref="N1988" si="1565">N1986</f>
        <v/>
      </c>
      <c r="O1988" s="325">
        <f t="shared" si="1564"/>
        <v>0</v>
      </c>
    </row>
    <row r="1989" spans="1:15" x14ac:dyDescent="0.25">
      <c r="A1989" s="2">
        <v>2</v>
      </c>
      <c r="B1989" s="2">
        <f>B1988</f>
        <v>0</v>
      </c>
      <c r="C1989" s="2" t="str">
        <f>C1988</f>
        <v>GA</v>
      </c>
      <c r="D1989" s="2">
        <f>D1988</f>
        <v>0</v>
      </c>
      <c r="F1989" s="2" t="str">
        <f>F1988</f>
        <v>Games Aerial</v>
      </c>
      <c r="G1989" s="2" t="str">
        <f>G1988</f>
        <v/>
      </c>
      <c r="H1989" s="2" t="str">
        <f>H1988</f>
        <v/>
      </c>
      <c r="I1989" s="2" t="str">
        <f>I1988</f>
        <v/>
      </c>
      <c r="J1989" s="2" t="str">
        <f>J1988</f>
        <v/>
      </c>
      <c r="M1989" s="180" t="str">
        <f>M1988</f>
        <v/>
      </c>
      <c r="N1989" s="2" t="str">
        <f>N1987</f>
        <v/>
      </c>
      <c r="O1989" s="2">
        <f>O1988</f>
        <v>0</v>
      </c>
    </row>
    <row r="1990" spans="1:15" x14ac:dyDescent="0.25">
      <c r="A1990" s="325">
        <v>1</v>
      </c>
      <c r="B1990" s="325">
        <f t="shared" si="1561"/>
        <v>0</v>
      </c>
      <c r="C1990" s="325" t="s">
        <v>3721</v>
      </c>
      <c r="D1990" s="325">
        <f>Games!D41</f>
        <v>0</v>
      </c>
      <c r="E1990" s="325"/>
      <c r="F1990" s="325" t="s">
        <v>3720</v>
      </c>
      <c r="G1990" s="325" t="str">
        <f>IF(Games!O41="e","Y","")</f>
        <v/>
      </c>
      <c r="H1990" s="325" t="str">
        <f>Games!E41</f>
        <v/>
      </c>
      <c r="I1990" s="325" t="str">
        <f>Games!F41</f>
        <v/>
      </c>
      <c r="J1990" s="325" t="str">
        <f>Games!G41</f>
        <v/>
      </c>
      <c r="K1990" s="325"/>
      <c r="L1990" s="325"/>
      <c r="M1990" s="326" t="str">
        <f t="shared" si="1562"/>
        <v/>
      </c>
      <c r="N1990" s="325" t="str">
        <f t="shared" ref="N1990" si="1566">N1988</f>
        <v/>
      </c>
      <c r="O1990" s="325">
        <f t="shared" si="1564"/>
        <v>0</v>
      </c>
    </row>
    <row r="1991" spans="1:15" x14ac:dyDescent="0.25">
      <c r="A1991" s="2">
        <v>2</v>
      </c>
      <c r="B1991" s="2">
        <f>B1990</f>
        <v>0</v>
      </c>
      <c r="C1991" s="2" t="str">
        <f>C1990</f>
        <v>GA</v>
      </c>
      <c r="D1991" s="2">
        <f>D1990</f>
        <v>0</v>
      </c>
      <c r="F1991" s="2" t="str">
        <f>F1990</f>
        <v>Games Aerial</v>
      </c>
      <c r="G1991" s="2" t="str">
        <f>G1990</f>
        <v/>
      </c>
      <c r="H1991" s="2" t="str">
        <f>H1990</f>
        <v/>
      </c>
      <c r="I1991" s="2" t="str">
        <f>I1990</f>
        <v/>
      </c>
      <c r="J1991" s="2" t="str">
        <f>J1990</f>
        <v/>
      </c>
      <c r="M1991" s="180" t="str">
        <f>M1990</f>
        <v/>
      </c>
      <c r="N1991" s="2" t="str">
        <f>N1989</f>
        <v/>
      </c>
      <c r="O1991" s="2">
        <f>O1990</f>
        <v>0</v>
      </c>
    </row>
    <row r="1992" spans="1:15" x14ac:dyDescent="0.25">
      <c r="A1992" s="325">
        <v>1</v>
      </c>
      <c r="B1992" s="325">
        <f t="shared" si="1561"/>
        <v>0</v>
      </c>
      <c r="C1992" s="325" t="s">
        <v>3721</v>
      </c>
      <c r="D1992" s="325">
        <f>Games!D42</f>
        <v>0</v>
      </c>
      <c r="E1992" s="325"/>
      <c r="F1992" s="325" t="s">
        <v>3720</v>
      </c>
      <c r="G1992" s="325" t="str">
        <f>IF(Games!O42="e","Y","")</f>
        <v/>
      </c>
      <c r="H1992" s="325" t="str">
        <f>Games!E42</f>
        <v/>
      </c>
      <c r="I1992" s="325" t="str">
        <f>Games!F42</f>
        <v/>
      </c>
      <c r="J1992" s="325" t="str">
        <f>Games!G42</f>
        <v/>
      </c>
      <c r="K1992" s="325"/>
      <c r="L1992" s="325"/>
      <c r="M1992" s="326" t="str">
        <f t="shared" si="1562"/>
        <v/>
      </c>
      <c r="N1992" s="325" t="str">
        <f t="shared" ref="N1992" si="1567">N1990</f>
        <v/>
      </c>
      <c r="O1992" s="325">
        <f t="shared" si="1564"/>
        <v>0</v>
      </c>
    </row>
    <row r="1993" spans="1:15" x14ac:dyDescent="0.25">
      <c r="A1993" s="2">
        <v>2</v>
      </c>
      <c r="B1993" s="2">
        <f>B1992</f>
        <v>0</v>
      </c>
      <c r="C1993" s="2" t="str">
        <f>C1992</f>
        <v>GA</v>
      </c>
      <c r="D1993" s="2">
        <f>D1992</f>
        <v>0</v>
      </c>
      <c r="F1993" s="2" t="str">
        <f>F1992</f>
        <v>Games Aerial</v>
      </c>
      <c r="G1993" s="2" t="str">
        <f>G1992</f>
        <v/>
      </c>
      <c r="H1993" s="2" t="str">
        <f>H1992</f>
        <v/>
      </c>
      <c r="I1993" s="2" t="str">
        <f>I1992</f>
        <v/>
      </c>
      <c r="J1993" s="2" t="str">
        <f>J1992</f>
        <v/>
      </c>
      <c r="M1993" s="180" t="str">
        <f>M1992</f>
        <v/>
      </c>
      <c r="N1993" s="2" t="str">
        <f>N1991</f>
        <v/>
      </c>
      <c r="O1993" s="2">
        <f>O1992</f>
        <v>0</v>
      </c>
    </row>
    <row r="1994" spans="1:15" x14ac:dyDescent="0.25">
      <c r="A1994" s="325">
        <v>1</v>
      </c>
      <c r="B1994" s="325">
        <f t="shared" si="1561"/>
        <v>0</v>
      </c>
      <c r="C1994" s="325" t="s">
        <v>3721</v>
      </c>
      <c r="D1994" s="325">
        <f>Games!D43</f>
        <v>0</v>
      </c>
      <c r="E1994" s="325"/>
      <c r="F1994" s="325" t="s">
        <v>3720</v>
      </c>
      <c r="G1994" s="325" t="str">
        <f>IF(Games!O43="e","Y","")</f>
        <v/>
      </c>
      <c r="H1994" s="325" t="str">
        <f>Games!E43</f>
        <v/>
      </c>
      <c r="I1994" s="325" t="str">
        <f>Games!F43</f>
        <v/>
      </c>
      <c r="J1994" s="325" t="str">
        <f>Games!G43</f>
        <v/>
      </c>
      <c r="K1994" s="325"/>
      <c r="L1994" s="325"/>
      <c r="M1994" s="326" t="str">
        <f t="shared" si="1562"/>
        <v/>
      </c>
      <c r="N1994" s="325" t="str">
        <f t="shared" ref="N1994" si="1568">N1992</f>
        <v/>
      </c>
      <c r="O1994" s="325">
        <f t="shared" si="1564"/>
        <v>0</v>
      </c>
    </row>
    <row r="1995" spans="1:15" x14ac:dyDescent="0.25">
      <c r="A1995" s="2">
        <v>2</v>
      </c>
      <c r="B1995" s="2">
        <f>B1994</f>
        <v>0</v>
      </c>
      <c r="C1995" s="2" t="str">
        <f>C1994</f>
        <v>GA</v>
      </c>
      <c r="D1995" s="2">
        <f>D1994</f>
        <v>0</v>
      </c>
      <c r="F1995" s="2" t="str">
        <f>F1994</f>
        <v>Games Aerial</v>
      </c>
      <c r="G1995" s="2" t="str">
        <f>G1994</f>
        <v/>
      </c>
      <c r="H1995" s="2" t="str">
        <f>H1994</f>
        <v/>
      </c>
      <c r="I1995" s="2" t="str">
        <f>I1994</f>
        <v/>
      </c>
      <c r="J1995" s="2" t="str">
        <f>J1994</f>
        <v/>
      </c>
      <c r="M1995" s="180" t="str">
        <f>M1994</f>
        <v/>
      </c>
      <c r="N1995" s="2" t="str">
        <f>N1993</f>
        <v/>
      </c>
      <c r="O1995" s="2">
        <f>O1994</f>
        <v>0</v>
      </c>
    </row>
    <row r="1996" spans="1:15" x14ac:dyDescent="0.25">
      <c r="A1996" s="325">
        <v>1</v>
      </c>
      <c r="B1996" s="325">
        <f t="shared" si="1561"/>
        <v>0</v>
      </c>
      <c r="C1996" s="325" t="s">
        <v>3721</v>
      </c>
      <c r="D1996" s="325">
        <f>Games!D44</f>
        <v>0</v>
      </c>
      <c r="E1996" s="325"/>
      <c r="F1996" s="325" t="s">
        <v>3720</v>
      </c>
      <c r="G1996" s="325" t="str">
        <f>IF(Games!O44="e","Y","")</f>
        <v/>
      </c>
      <c r="H1996" s="325" t="str">
        <f>Games!E44</f>
        <v/>
      </c>
      <c r="I1996" s="325" t="str">
        <f>Games!F44</f>
        <v/>
      </c>
      <c r="J1996" s="325" t="str">
        <f>Games!G44</f>
        <v/>
      </c>
      <c r="K1996" s="325"/>
      <c r="L1996" s="325"/>
      <c r="M1996" s="326" t="str">
        <f t="shared" si="1562"/>
        <v/>
      </c>
      <c r="N1996" s="325" t="str">
        <f t="shared" ref="N1996" si="1569">N1994</f>
        <v/>
      </c>
      <c r="O1996" s="325">
        <f t="shared" si="1564"/>
        <v>0</v>
      </c>
    </row>
    <row r="1997" spans="1:15" x14ac:dyDescent="0.25">
      <c r="A1997" s="2">
        <v>2</v>
      </c>
      <c r="B1997" s="2">
        <f>B1996</f>
        <v>0</v>
      </c>
      <c r="C1997" s="2" t="str">
        <f>C1996</f>
        <v>GA</v>
      </c>
      <c r="D1997" s="2">
        <f>D1996</f>
        <v>0</v>
      </c>
      <c r="F1997" s="2" t="str">
        <f>F1996</f>
        <v>Games Aerial</v>
      </c>
      <c r="G1997" s="2" t="str">
        <f>G1996</f>
        <v/>
      </c>
      <c r="H1997" s="2" t="str">
        <f>H1996</f>
        <v/>
      </c>
      <c r="I1997" s="2" t="str">
        <f>I1996</f>
        <v/>
      </c>
      <c r="J1997" s="2" t="str">
        <f>J1996</f>
        <v/>
      </c>
      <c r="M1997" s="180" t="str">
        <f>M1996</f>
        <v/>
      </c>
      <c r="N1997" s="2" t="str">
        <f>N1995</f>
        <v/>
      </c>
      <c r="O1997" s="2">
        <f>O1996</f>
        <v>0</v>
      </c>
    </row>
    <row r="1998" spans="1:15" x14ac:dyDescent="0.25">
      <c r="A1998" s="325">
        <v>1</v>
      </c>
      <c r="B1998" s="325">
        <f t="shared" si="1561"/>
        <v>0</v>
      </c>
      <c r="C1998" s="325" t="s">
        <v>3721</v>
      </c>
      <c r="D1998" s="325">
        <f>Games!D45</f>
        <v>0</v>
      </c>
      <c r="E1998" s="325"/>
      <c r="F1998" s="325" t="s">
        <v>3720</v>
      </c>
      <c r="G1998" s="325" t="str">
        <f>IF(Games!O45="e","Y","")</f>
        <v/>
      </c>
      <c r="H1998" s="325" t="str">
        <f>Games!E45</f>
        <v/>
      </c>
      <c r="I1998" s="325" t="str">
        <f>Games!F45</f>
        <v/>
      </c>
      <c r="J1998" s="325" t="str">
        <f>Games!G45</f>
        <v/>
      </c>
      <c r="K1998" s="325"/>
      <c r="L1998" s="325"/>
      <c r="M1998" s="326" t="str">
        <f t="shared" si="1562"/>
        <v/>
      </c>
      <c r="N1998" s="325" t="str">
        <f t="shared" ref="N1998" si="1570">N1996</f>
        <v/>
      </c>
      <c r="O1998" s="325">
        <f t="shared" si="1564"/>
        <v>0</v>
      </c>
    </row>
    <row r="1999" spans="1:15" x14ac:dyDescent="0.25">
      <c r="A1999" s="2">
        <v>2</v>
      </c>
      <c r="B1999" s="2">
        <f>B1998</f>
        <v>0</v>
      </c>
      <c r="C1999" s="2" t="str">
        <f>C1998</f>
        <v>GA</v>
      </c>
      <c r="D1999" s="2">
        <f>D1998</f>
        <v>0</v>
      </c>
      <c r="F1999" s="2" t="str">
        <f>F1998</f>
        <v>Games Aerial</v>
      </c>
      <c r="G1999" s="2" t="str">
        <f>G1998</f>
        <v/>
      </c>
      <c r="H1999" s="2" t="str">
        <f>H1998</f>
        <v/>
      </c>
      <c r="I1999" s="2" t="str">
        <f>I1998</f>
        <v/>
      </c>
      <c r="J1999" s="2" t="str">
        <f>J1998</f>
        <v/>
      </c>
      <c r="M1999" s="180" t="str">
        <f>M1998</f>
        <v/>
      </c>
      <c r="N1999" s="2" t="str">
        <f>N1997</f>
        <v/>
      </c>
      <c r="O1999" s="2">
        <f>O1998</f>
        <v>0</v>
      </c>
    </row>
    <row r="2000" spans="1:15" x14ac:dyDescent="0.25">
      <c r="A2000" s="325">
        <v>1</v>
      </c>
      <c r="B2000" s="325">
        <f t="shared" si="1561"/>
        <v>0</v>
      </c>
      <c r="C2000" s="325" t="s">
        <v>3721</v>
      </c>
      <c r="D2000" s="325">
        <f>Games!D46</f>
        <v>0</v>
      </c>
      <c r="E2000" s="325"/>
      <c r="F2000" s="325" t="s">
        <v>3720</v>
      </c>
      <c r="G2000" s="325" t="str">
        <f>IF(Games!O46="e","Y","")</f>
        <v/>
      </c>
      <c r="H2000" s="325" t="str">
        <f>Games!E46</f>
        <v/>
      </c>
      <c r="I2000" s="325" t="str">
        <f>Games!F46</f>
        <v/>
      </c>
      <c r="J2000" s="325" t="str">
        <f>Games!G46</f>
        <v/>
      </c>
      <c r="K2000" s="325"/>
      <c r="L2000" s="325"/>
      <c r="M2000" s="326" t="str">
        <f t="shared" si="1562"/>
        <v/>
      </c>
      <c r="N2000" s="325" t="str">
        <f t="shared" ref="N2000" si="1571">N1998</f>
        <v/>
      </c>
      <c r="O2000" s="325">
        <f t="shared" si="1564"/>
        <v>0</v>
      </c>
    </row>
    <row r="2001" spans="1:15" x14ac:dyDescent="0.25">
      <c r="A2001" s="2">
        <v>2</v>
      </c>
      <c r="B2001" s="2">
        <f>B2000</f>
        <v>0</v>
      </c>
      <c r="C2001" s="2" t="str">
        <f>C2000</f>
        <v>GA</v>
      </c>
      <c r="D2001" s="2">
        <f>D2000</f>
        <v>0</v>
      </c>
      <c r="F2001" s="2" t="str">
        <f>F2000</f>
        <v>Games Aerial</v>
      </c>
      <c r="G2001" s="2" t="str">
        <f>G2000</f>
        <v/>
      </c>
      <c r="H2001" s="2" t="str">
        <f>H2000</f>
        <v/>
      </c>
      <c r="I2001" s="2" t="str">
        <f>I2000</f>
        <v/>
      </c>
      <c r="J2001" s="2" t="str">
        <f>J2000</f>
        <v/>
      </c>
      <c r="M2001" s="180" t="str">
        <f>M2000</f>
        <v/>
      </c>
      <c r="N2001" s="2" t="str">
        <f>N1999</f>
        <v/>
      </c>
      <c r="O2001" s="2">
        <f>O2000</f>
        <v>0</v>
      </c>
    </row>
    <row r="2002" spans="1:15" x14ac:dyDescent="0.25">
      <c r="A2002" s="325">
        <v>1</v>
      </c>
      <c r="B2002" s="325">
        <f t="shared" si="1561"/>
        <v>0</v>
      </c>
      <c r="C2002" s="325" t="s">
        <v>3721</v>
      </c>
      <c r="D2002" s="325">
        <f>Games!D47</f>
        <v>0</v>
      </c>
      <c r="E2002" s="325"/>
      <c r="F2002" s="325" t="s">
        <v>3720</v>
      </c>
      <c r="G2002" s="325" t="str">
        <f>IF(Games!O47="e","Y","")</f>
        <v/>
      </c>
      <c r="H2002" s="325" t="str">
        <f>Games!E47</f>
        <v/>
      </c>
      <c r="I2002" s="325" t="str">
        <f>Games!F47</f>
        <v/>
      </c>
      <c r="J2002" s="325" t="str">
        <f>Games!G47</f>
        <v/>
      </c>
      <c r="K2002" s="325"/>
      <c r="L2002" s="325"/>
      <c r="M2002" s="326" t="str">
        <f t="shared" si="1562"/>
        <v/>
      </c>
      <c r="N2002" s="325" t="str">
        <f t="shared" ref="N2002" si="1572">N2000</f>
        <v/>
      </c>
      <c r="O2002" s="325">
        <f t="shared" si="1564"/>
        <v>0</v>
      </c>
    </row>
    <row r="2003" spans="1:15" x14ac:dyDescent="0.25">
      <c r="A2003" s="2">
        <v>2</v>
      </c>
      <c r="B2003" s="2">
        <f>B2002</f>
        <v>0</v>
      </c>
      <c r="C2003" s="2" t="str">
        <f>C2002</f>
        <v>GA</v>
      </c>
      <c r="D2003" s="2">
        <f>D2002</f>
        <v>0</v>
      </c>
      <c r="F2003" s="2" t="str">
        <f>F2002</f>
        <v>Games Aerial</v>
      </c>
      <c r="G2003" s="2" t="str">
        <f>G2002</f>
        <v/>
      </c>
      <c r="H2003" s="2" t="str">
        <f>H2002</f>
        <v/>
      </c>
      <c r="I2003" s="2" t="str">
        <f>I2002</f>
        <v/>
      </c>
      <c r="J2003" s="2" t="str">
        <f>J2002</f>
        <v/>
      </c>
      <c r="M2003" s="180" t="str">
        <f>M2002</f>
        <v/>
      </c>
      <c r="N2003" s="2" t="str">
        <f>N2001</f>
        <v/>
      </c>
      <c r="O2003" s="2">
        <f>O2002</f>
        <v>0</v>
      </c>
    </row>
    <row r="2004" spans="1:15" x14ac:dyDescent="0.25">
      <c r="A2004" s="325">
        <v>1</v>
      </c>
      <c r="B2004" s="325">
        <f t="shared" si="1561"/>
        <v>0</v>
      </c>
      <c r="C2004" s="325" t="s">
        <v>3721</v>
      </c>
      <c r="D2004" s="325">
        <f>Games!D48</f>
        <v>0</v>
      </c>
      <c r="E2004" s="325"/>
      <c r="F2004" s="325" t="s">
        <v>3720</v>
      </c>
      <c r="G2004" s="325" t="str">
        <f>IF(Games!O48="e","Y","")</f>
        <v/>
      </c>
      <c r="H2004" s="325" t="str">
        <f>Games!E48</f>
        <v/>
      </c>
      <c r="I2004" s="325" t="str">
        <f>Games!F48</f>
        <v/>
      </c>
      <c r="J2004" s="325" t="str">
        <f>Games!G48</f>
        <v/>
      </c>
      <c r="K2004" s="325"/>
      <c r="L2004" s="325"/>
      <c r="M2004" s="326" t="str">
        <f t="shared" si="1562"/>
        <v/>
      </c>
      <c r="N2004" s="325" t="str">
        <f t="shared" ref="N2004" si="1573">N2002</f>
        <v/>
      </c>
      <c r="O2004" s="325">
        <f t="shared" si="1564"/>
        <v>0</v>
      </c>
    </row>
    <row r="2005" spans="1:15" x14ac:dyDescent="0.25">
      <c r="A2005" s="2">
        <v>2</v>
      </c>
      <c r="B2005" s="2">
        <f>B2004</f>
        <v>0</v>
      </c>
      <c r="C2005" s="2" t="str">
        <f>C2004</f>
        <v>GA</v>
      </c>
      <c r="D2005" s="2">
        <f>D2004</f>
        <v>0</v>
      </c>
      <c r="F2005" s="2" t="str">
        <f>F2004</f>
        <v>Games Aerial</v>
      </c>
      <c r="G2005" s="2" t="str">
        <f>G2004</f>
        <v/>
      </c>
      <c r="H2005" s="2" t="str">
        <f>H2004</f>
        <v/>
      </c>
      <c r="I2005" s="2" t="str">
        <f>I2004</f>
        <v/>
      </c>
      <c r="J2005" s="2" t="str">
        <f>J2004</f>
        <v/>
      </c>
      <c r="M2005" s="180" t="str">
        <f>M2004</f>
        <v/>
      </c>
      <c r="N2005" s="2" t="str">
        <f>N2003</f>
        <v/>
      </c>
      <c r="O2005" s="2">
        <f>O2004</f>
        <v>0</v>
      </c>
    </row>
    <row r="2006" spans="1:15" x14ac:dyDescent="0.25">
      <c r="A2006" s="325">
        <v>1</v>
      </c>
      <c r="B2006" s="325">
        <f t="shared" si="1561"/>
        <v>0</v>
      </c>
      <c r="C2006" s="325" t="s">
        <v>3721</v>
      </c>
      <c r="D2006" s="325">
        <f>Games!D49</f>
        <v>0</v>
      </c>
      <c r="E2006" s="325"/>
      <c r="F2006" s="325" t="s">
        <v>3720</v>
      </c>
      <c r="G2006" s="325" t="str">
        <f>IF(Games!O49="e","Y","")</f>
        <v/>
      </c>
      <c r="H2006" s="325" t="str">
        <f>Games!E49</f>
        <v/>
      </c>
      <c r="I2006" s="325" t="str">
        <f>Games!F49</f>
        <v/>
      </c>
      <c r="J2006" s="325" t="str">
        <f>Games!G49</f>
        <v/>
      </c>
      <c r="K2006" s="325"/>
      <c r="L2006" s="325"/>
      <c r="M2006" s="326" t="str">
        <f t="shared" si="1562"/>
        <v/>
      </c>
      <c r="N2006" s="325" t="str">
        <f t="shared" ref="N2006" si="1574">N2004</f>
        <v/>
      </c>
      <c r="O2006" s="325">
        <f t="shared" si="1564"/>
        <v>0</v>
      </c>
    </row>
    <row r="2007" spans="1:15" x14ac:dyDescent="0.25">
      <c r="A2007" s="2">
        <v>2</v>
      </c>
      <c r="B2007" s="2">
        <f>B2006</f>
        <v>0</v>
      </c>
      <c r="C2007" s="2" t="str">
        <f>C2006</f>
        <v>GA</v>
      </c>
      <c r="D2007" s="2">
        <f>D2006</f>
        <v>0</v>
      </c>
      <c r="F2007" s="2" t="str">
        <f>F2006</f>
        <v>Games Aerial</v>
      </c>
      <c r="G2007" s="2" t="str">
        <f>G2006</f>
        <v/>
      </c>
      <c r="H2007" s="2" t="str">
        <f>H2006</f>
        <v/>
      </c>
      <c r="I2007" s="2" t="str">
        <f>I2006</f>
        <v/>
      </c>
      <c r="J2007" s="2" t="str">
        <f>J2006</f>
        <v/>
      </c>
      <c r="M2007" s="180" t="str">
        <f>M2006</f>
        <v/>
      </c>
      <c r="N2007" s="2" t="str">
        <f>N2005</f>
        <v/>
      </c>
      <c r="O2007" s="2">
        <f>O2006</f>
        <v>0</v>
      </c>
    </row>
    <row r="2008" spans="1:15" x14ac:dyDescent="0.25">
      <c r="A2008" s="325">
        <v>1</v>
      </c>
      <c r="B2008" s="325">
        <f t="shared" si="1561"/>
        <v>0</v>
      </c>
      <c r="C2008" s="325" t="s">
        <v>3721</v>
      </c>
      <c r="D2008" s="325">
        <f>Games!D50</f>
        <v>0</v>
      </c>
      <c r="E2008" s="325"/>
      <c r="F2008" s="325" t="s">
        <v>3720</v>
      </c>
      <c r="G2008" s="325" t="str">
        <f>IF(Games!O50="e","Y","")</f>
        <v/>
      </c>
      <c r="H2008" s="325" t="str">
        <f>Games!E50</f>
        <v/>
      </c>
      <c r="I2008" s="325" t="str">
        <f>Games!F50</f>
        <v/>
      </c>
      <c r="J2008" s="325" t="str">
        <f>Games!G50</f>
        <v/>
      </c>
      <c r="K2008" s="325"/>
      <c r="L2008" s="325"/>
      <c r="M2008" s="326" t="str">
        <f t="shared" si="1562"/>
        <v/>
      </c>
      <c r="N2008" s="325" t="str">
        <f t="shared" ref="N2008" si="1575">N2006</f>
        <v/>
      </c>
      <c r="O2008" s="325">
        <f t="shared" si="1564"/>
        <v>0</v>
      </c>
    </row>
    <row r="2009" spans="1:15" x14ac:dyDescent="0.25">
      <c r="A2009" s="2">
        <v>2</v>
      </c>
      <c r="B2009" s="2">
        <f>B2008</f>
        <v>0</v>
      </c>
      <c r="C2009" s="2" t="str">
        <f>C2008</f>
        <v>GA</v>
      </c>
      <c r="D2009" s="2">
        <f>D2008</f>
        <v>0</v>
      </c>
      <c r="F2009" s="2" t="str">
        <f>F2008</f>
        <v>Games Aerial</v>
      </c>
      <c r="G2009" s="2" t="str">
        <f>G2008</f>
        <v/>
      </c>
      <c r="H2009" s="2" t="str">
        <f>H2008</f>
        <v/>
      </c>
      <c r="I2009" s="2" t="str">
        <f>I2008</f>
        <v/>
      </c>
      <c r="J2009" s="2" t="str">
        <f>J2008</f>
        <v/>
      </c>
      <c r="M2009" s="180" t="str">
        <f>M2008</f>
        <v/>
      </c>
      <c r="N2009" s="2" t="str">
        <f>N2007</f>
        <v/>
      </c>
      <c r="O2009" s="2">
        <f>O2008</f>
        <v>0</v>
      </c>
    </row>
    <row r="2010" spans="1:15" x14ac:dyDescent="0.25">
      <c r="A2010" s="325">
        <v>1</v>
      </c>
      <c r="B2010" s="325">
        <f t="shared" si="1561"/>
        <v>0</v>
      </c>
      <c r="C2010" s="325" t="s">
        <v>3721</v>
      </c>
      <c r="D2010" s="325">
        <f>Games!D51</f>
        <v>0</v>
      </c>
      <c r="E2010" s="325"/>
      <c r="F2010" s="325" t="s">
        <v>3720</v>
      </c>
      <c r="G2010" s="325" t="str">
        <f>IF(Games!O51="e","Y","")</f>
        <v/>
      </c>
      <c r="H2010" s="325" t="str">
        <f>Games!E51</f>
        <v/>
      </c>
      <c r="I2010" s="325" t="str">
        <f>Games!F51</f>
        <v/>
      </c>
      <c r="J2010" s="325" t="str">
        <f>Games!G51</f>
        <v/>
      </c>
      <c r="K2010" s="325"/>
      <c r="L2010" s="325"/>
      <c r="M2010" s="326" t="str">
        <f t="shared" si="1562"/>
        <v/>
      </c>
      <c r="N2010" s="325" t="str">
        <f t="shared" ref="N2010" si="1576">N2008</f>
        <v/>
      </c>
      <c r="O2010" s="325">
        <f t="shared" si="1564"/>
        <v>0</v>
      </c>
    </row>
    <row r="2011" spans="1:15" x14ac:dyDescent="0.25">
      <c r="A2011" s="2">
        <v>2</v>
      </c>
      <c r="B2011" s="2">
        <f>B2010</f>
        <v>0</v>
      </c>
      <c r="C2011" s="2" t="str">
        <f>C2010</f>
        <v>GA</v>
      </c>
      <c r="D2011" s="2">
        <f>D2010</f>
        <v>0</v>
      </c>
      <c r="F2011" s="2" t="str">
        <f>F2010</f>
        <v>Games Aerial</v>
      </c>
      <c r="G2011" s="2" t="str">
        <f>G2010</f>
        <v/>
      </c>
      <c r="H2011" s="2" t="str">
        <f>H2010</f>
        <v/>
      </c>
      <c r="I2011" s="2" t="str">
        <f>I2010</f>
        <v/>
      </c>
      <c r="J2011" s="2" t="str">
        <f>J2010</f>
        <v/>
      </c>
      <c r="M2011" s="180" t="str">
        <f>M2010</f>
        <v/>
      </c>
      <c r="N2011" s="2" t="str">
        <f>N2009</f>
        <v/>
      </c>
      <c r="O2011" s="2">
        <f>O2010</f>
        <v>0</v>
      </c>
    </row>
    <row r="2012" spans="1:15" x14ac:dyDescent="0.25">
      <c r="A2012" s="325">
        <v>1</v>
      </c>
      <c r="B2012" s="325">
        <f t="shared" si="1561"/>
        <v>0</v>
      </c>
      <c r="C2012" s="325" t="s">
        <v>3721</v>
      </c>
      <c r="D2012" s="325">
        <f>Games!D52</f>
        <v>0</v>
      </c>
      <c r="E2012" s="325"/>
      <c r="F2012" s="325" t="s">
        <v>3720</v>
      </c>
      <c r="G2012" s="325" t="str">
        <f>IF(Games!O52="e","Y","")</f>
        <v/>
      </c>
      <c r="H2012" s="325" t="str">
        <f>Games!E52</f>
        <v/>
      </c>
      <c r="I2012" s="325" t="str">
        <f>Games!F52</f>
        <v/>
      </c>
      <c r="J2012" s="325" t="str">
        <f>Games!G52</f>
        <v/>
      </c>
      <c r="K2012" s="325"/>
      <c r="L2012" s="325"/>
      <c r="M2012" s="326" t="str">
        <f t="shared" si="1562"/>
        <v/>
      </c>
      <c r="N2012" s="325" t="str">
        <f t="shared" ref="N2012" si="1577">N2010</f>
        <v/>
      </c>
      <c r="O2012" s="325">
        <f t="shared" si="1564"/>
        <v>0</v>
      </c>
    </row>
    <row r="2013" spans="1:15" x14ac:dyDescent="0.25">
      <c r="A2013" s="2">
        <v>2</v>
      </c>
      <c r="B2013" s="2">
        <f>B2012</f>
        <v>0</v>
      </c>
      <c r="C2013" s="2" t="str">
        <f>C2012</f>
        <v>GA</v>
      </c>
      <c r="D2013" s="2">
        <f>D2012</f>
        <v>0</v>
      </c>
      <c r="F2013" s="2" t="str">
        <f>F2012</f>
        <v>Games Aerial</v>
      </c>
      <c r="G2013" s="2" t="str">
        <f>G2012</f>
        <v/>
      </c>
      <c r="H2013" s="2" t="str">
        <f>H2012</f>
        <v/>
      </c>
      <c r="I2013" s="2" t="str">
        <f>I2012</f>
        <v/>
      </c>
      <c r="J2013" s="2" t="str">
        <f>J2012</f>
        <v/>
      </c>
      <c r="M2013" s="180" t="str">
        <f>M2012</f>
        <v/>
      </c>
      <c r="N2013" s="2" t="str">
        <f>N2011</f>
        <v/>
      </c>
      <c r="O2013" s="2">
        <f>O2012</f>
        <v>0</v>
      </c>
    </row>
    <row r="2014" spans="1:15" x14ac:dyDescent="0.25">
      <c r="A2014" s="325">
        <v>1</v>
      </c>
      <c r="B2014" s="325">
        <f t="shared" si="1561"/>
        <v>0</v>
      </c>
      <c r="C2014" s="325" t="s">
        <v>3721</v>
      </c>
      <c r="D2014" s="325">
        <f>Games!D53</f>
        <v>0</v>
      </c>
      <c r="E2014" s="325"/>
      <c r="F2014" s="325" t="s">
        <v>3720</v>
      </c>
      <c r="G2014" s="325" t="str">
        <f>IF(Games!O53="e","Y","")</f>
        <v/>
      </c>
      <c r="H2014" s="325" t="str">
        <f>Games!E53</f>
        <v/>
      </c>
      <c r="I2014" s="325" t="str">
        <f>Games!F53</f>
        <v/>
      </c>
      <c r="J2014" s="325" t="str">
        <f>Games!G53</f>
        <v/>
      </c>
      <c r="K2014" s="325"/>
      <c r="L2014" s="325"/>
      <c r="M2014" s="326" t="str">
        <f t="shared" si="1562"/>
        <v/>
      </c>
      <c r="N2014" s="325" t="str">
        <f t="shared" ref="N2014" si="1578">N2012</f>
        <v/>
      </c>
      <c r="O2014" s="325">
        <f t="shared" si="1564"/>
        <v>0</v>
      </c>
    </row>
    <row r="2015" spans="1:15" x14ac:dyDescent="0.25">
      <c r="A2015" s="2">
        <v>2</v>
      </c>
      <c r="B2015" s="2">
        <f>B2014</f>
        <v>0</v>
      </c>
      <c r="C2015" s="2" t="str">
        <f>C2014</f>
        <v>GA</v>
      </c>
      <c r="D2015" s="2">
        <f>D2014</f>
        <v>0</v>
      </c>
      <c r="F2015" s="2" t="str">
        <f>F2014</f>
        <v>Games Aerial</v>
      </c>
      <c r="G2015" s="2" t="str">
        <f>G2014</f>
        <v/>
      </c>
      <c r="H2015" s="2" t="str">
        <f>H2014</f>
        <v/>
      </c>
      <c r="I2015" s="2" t="str">
        <f>I2014</f>
        <v/>
      </c>
      <c r="J2015" s="2" t="str">
        <f>J2014</f>
        <v/>
      </c>
      <c r="M2015" s="180" t="str">
        <f>M2014</f>
        <v/>
      </c>
      <c r="N2015" s="2" t="str">
        <f>N2013</f>
        <v/>
      </c>
      <c r="O2015" s="2">
        <f>O2014</f>
        <v>0</v>
      </c>
    </row>
    <row r="2016" spans="1:15" x14ac:dyDescent="0.25">
      <c r="A2016" s="325">
        <v>1</v>
      </c>
      <c r="B2016" s="325">
        <f t="shared" si="1561"/>
        <v>0</v>
      </c>
      <c r="C2016" s="325" t="s">
        <v>3721</v>
      </c>
      <c r="D2016" s="325">
        <f>Games!D54</f>
        <v>0</v>
      </c>
      <c r="E2016" s="325"/>
      <c r="F2016" s="325" t="s">
        <v>3720</v>
      </c>
      <c r="G2016" s="325" t="str">
        <f>IF(Games!O54="e","Y","")</f>
        <v/>
      </c>
      <c r="H2016" s="325" t="str">
        <f>Games!E54</f>
        <v/>
      </c>
      <c r="I2016" s="325" t="str">
        <f>Games!F54</f>
        <v/>
      </c>
      <c r="J2016" s="325" t="str">
        <f>Games!G54</f>
        <v/>
      </c>
      <c r="K2016" s="325"/>
      <c r="L2016" s="325"/>
      <c r="M2016" s="326" t="str">
        <f t="shared" si="1562"/>
        <v/>
      </c>
      <c r="N2016" s="325" t="str">
        <f t="shared" ref="N2016" si="1579">N2014</f>
        <v/>
      </c>
      <c r="O2016" s="325">
        <f t="shared" si="1564"/>
        <v>0</v>
      </c>
    </row>
    <row r="2017" spans="1:15" x14ac:dyDescent="0.25">
      <c r="A2017" s="2">
        <v>2</v>
      </c>
      <c r="B2017" s="2">
        <f>B2016</f>
        <v>0</v>
      </c>
      <c r="C2017" s="2" t="str">
        <f>C2016</f>
        <v>GA</v>
      </c>
      <c r="D2017" s="2">
        <f>D2016</f>
        <v>0</v>
      </c>
      <c r="F2017" s="2" t="str">
        <f>F2016</f>
        <v>Games Aerial</v>
      </c>
      <c r="G2017" s="2" t="str">
        <f>G2016</f>
        <v/>
      </c>
      <c r="H2017" s="2" t="str">
        <f>H2016</f>
        <v/>
      </c>
      <c r="I2017" s="2" t="str">
        <f>I2016</f>
        <v/>
      </c>
      <c r="J2017" s="2" t="str">
        <f>J2016</f>
        <v/>
      </c>
      <c r="M2017" s="180" t="str">
        <f>M2016</f>
        <v/>
      </c>
      <c r="N2017" s="2" t="str">
        <f>N2015</f>
        <v/>
      </c>
      <c r="O2017" s="2">
        <f>O2016</f>
        <v>0</v>
      </c>
    </row>
    <row r="2018" spans="1:15" x14ac:dyDescent="0.25">
      <c r="A2018" s="325">
        <v>1</v>
      </c>
      <c r="B2018" s="325">
        <f t="shared" si="1561"/>
        <v>0</v>
      </c>
      <c r="C2018" s="325" t="s">
        <v>3721</v>
      </c>
      <c r="D2018" s="325">
        <f>Games!D55</f>
        <v>0</v>
      </c>
      <c r="E2018" s="325"/>
      <c r="F2018" s="325" t="s">
        <v>3720</v>
      </c>
      <c r="G2018" s="325" t="str">
        <f>IF(Games!O55="e","Y","")</f>
        <v/>
      </c>
      <c r="H2018" s="325" t="str">
        <f>Games!E55</f>
        <v/>
      </c>
      <c r="I2018" s="325" t="str">
        <f>Games!F55</f>
        <v/>
      </c>
      <c r="J2018" s="325" t="str">
        <f>Games!G55</f>
        <v/>
      </c>
      <c r="K2018" s="325"/>
      <c r="L2018" s="325"/>
      <c r="M2018" s="326" t="str">
        <f t="shared" si="1562"/>
        <v/>
      </c>
      <c r="N2018" s="325" t="str">
        <f t="shared" ref="N2018" si="1580">N2016</f>
        <v/>
      </c>
      <c r="O2018" s="325">
        <f t="shared" si="1564"/>
        <v>0</v>
      </c>
    </row>
    <row r="2019" spans="1:15" x14ac:dyDescent="0.25">
      <c r="A2019" s="2">
        <v>2</v>
      </c>
      <c r="B2019" s="2">
        <f>B2018</f>
        <v>0</v>
      </c>
      <c r="C2019" s="2" t="str">
        <f>C2018</f>
        <v>GA</v>
      </c>
      <c r="D2019" s="2">
        <f>D2018</f>
        <v>0</v>
      </c>
      <c r="F2019" s="2" t="str">
        <f>F2018</f>
        <v>Games Aerial</v>
      </c>
      <c r="G2019" s="2" t="str">
        <f>G2018</f>
        <v/>
      </c>
      <c r="H2019" s="2" t="str">
        <f>H2018</f>
        <v/>
      </c>
      <c r="I2019" s="2" t="str">
        <f>I2018</f>
        <v/>
      </c>
      <c r="J2019" s="2" t="str">
        <f>J2018</f>
        <v/>
      </c>
      <c r="M2019" s="180" t="str">
        <f>M2018</f>
        <v/>
      </c>
      <c r="N2019" s="2" t="str">
        <f>N2017</f>
        <v/>
      </c>
      <c r="O2019" s="2">
        <f>O2018</f>
        <v>0</v>
      </c>
    </row>
    <row r="2020" spans="1:15" x14ac:dyDescent="0.25">
      <c r="A2020" s="325">
        <v>1</v>
      </c>
      <c r="B2020" s="325">
        <f t="shared" si="1561"/>
        <v>0</v>
      </c>
      <c r="C2020" s="325" t="s">
        <v>3721</v>
      </c>
      <c r="D2020" s="325">
        <f>Games!D56</f>
        <v>0</v>
      </c>
      <c r="E2020" s="325"/>
      <c r="F2020" s="325" t="s">
        <v>3720</v>
      </c>
      <c r="G2020" s="325" t="str">
        <f>IF(Games!O56="e","Y","")</f>
        <v/>
      </c>
      <c r="H2020" s="325" t="str">
        <f>Games!E56</f>
        <v/>
      </c>
      <c r="I2020" s="325" t="str">
        <f>Games!F56</f>
        <v/>
      </c>
      <c r="J2020" s="325" t="str">
        <f>Games!G56</f>
        <v/>
      </c>
      <c r="K2020" s="325"/>
      <c r="L2020" s="325"/>
      <c r="M2020" s="326" t="str">
        <f t="shared" si="1562"/>
        <v/>
      </c>
      <c r="N2020" s="325" t="str">
        <f t="shared" ref="N2020" si="1581">N2018</f>
        <v/>
      </c>
      <c r="O2020" s="325">
        <f t="shared" si="1564"/>
        <v>0</v>
      </c>
    </row>
    <row r="2021" spans="1:15" x14ac:dyDescent="0.25">
      <c r="A2021" s="2">
        <v>2</v>
      </c>
      <c r="B2021" s="2">
        <f>B2020</f>
        <v>0</v>
      </c>
      <c r="C2021" s="2" t="str">
        <f>C2020</f>
        <v>GA</v>
      </c>
      <c r="D2021" s="2">
        <f>D2020</f>
        <v>0</v>
      </c>
      <c r="F2021" s="2" t="str">
        <f>F2020</f>
        <v>Games Aerial</v>
      </c>
      <c r="G2021" s="2" t="str">
        <f>G2020</f>
        <v/>
      </c>
      <c r="H2021" s="2" t="str">
        <f>H2020</f>
        <v/>
      </c>
      <c r="I2021" s="2" t="str">
        <f>I2020</f>
        <v/>
      </c>
      <c r="J2021" s="2" t="str">
        <f>J2020</f>
        <v/>
      </c>
      <c r="M2021" s="180" t="str">
        <f>M2020</f>
        <v/>
      </c>
      <c r="N2021" s="2" t="str">
        <f>N2019</f>
        <v/>
      </c>
      <c r="O2021" s="2">
        <f>O2020</f>
        <v>0</v>
      </c>
    </row>
    <row r="2022" spans="1:15" x14ac:dyDescent="0.25">
      <c r="A2022" s="329">
        <v>1</v>
      </c>
      <c r="B2022" s="329">
        <f t="shared" ref="B2022:B2084" si="1582">TrialNumber</f>
        <v>0</v>
      </c>
      <c r="C2022" s="329" t="s">
        <v>3722</v>
      </c>
      <c r="D2022" s="329">
        <f>Games!D7</f>
        <v>0</v>
      </c>
      <c r="E2022" s="329"/>
      <c r="F2022" s="329" t="s">
        <v>3723</v>
      </c>
      <c r="G2022" s="329" t="str">
        <f>IF(Games!V7="e","Y","")</f>
        <v/>
      </c>
      <c r="H2022" s="329" t="str">
        <f>Games!E7</f>
        <v/>
      </c>
      <c r="I2022" s="329" t="str">
        <f>Games!F7</f>
        <v/>
      </c>
      <c r="J2022" s="329" t="str">
        <f>Games!G7</f>
        <v/>
      </c>
      <c r="K2022" s="329"/>
      <c r="L2022" s="329"/>
      <c r="M2022" s="330" t="str">
        <f t="shared" ref="M2022:M2084" si="1583">TrialDate</f>
        <v/>
      </c>
      <c r="N2022" s="325" t="str">
        <f t="shared" ref="N2022" si="1584">N2021</f>
        <v/>
      </c>
      <c r="O2022" s="329">
        <f t="shared" ref="O2022:O2084" si="1585">JudgeD1GamesDistance</f>
        <v>0</v>
      </c>
    </row>
    <row r="2023" spans="1:15" x14ac:dyDescent="0.25">
      <c r="A2023" s="2">
        <v>2</v>
      </c>
      <c r="B2023" s="2">
        <f>B2022</f>
        <v>0</v>
      </c>
      <c r="C2023" s="2" t="str">
        <f>C2022</f>
        <v>GD</v>
      </c>
      <c r="D2023" s="2">
        <f>D2022</f>
        <v>0</v>
      </c>
      <c r="F2023" s="2" t="str">
        <f>F2022</f>
        <v>Games Distance</v>
      </c>
      <c r="G2023" s="2" t="str">
        <f>G2022</f>
        <v/>
      </c>
      <c r="H2023" s="2" t="str">
        <f>H2022</f>
        <v/>
      </c>
      <c r="I2023" s="2" t="str">
        <f>I2022</f>
        <v/>
      </c>
      <c r="J2023" s="2" t="str">
        <f>J2022</f>
        <v/>
      </c>
      <c r="M2023" s="180" t="str">
        <f>M2022</f>
        <v/>
      </c>
      <c r="N2023" s="2" t="str">
        <f>N2120</f>
        <v/>
      </c>
      <c r="O2023" s="2">
        <f>O2022</f>
        <v>0</v>
      </c>
    </row>
    <row r="2024" spans="1:15" x14ac:dyDescent="0.25">
      <c r="A2024" s="325">
        <v>1</v>
      </c>
      <c r="B2024" s="325">
        <f t="shared" si="1582"/>
        <v>0</v>
      </c>
      <c r="C2024" s="325" t="s">
        <v>3722</v>
      </c>
      <c r="D2024" s="325">
        <f>Games!D8</f>
        <v>0</v>
      </c>
      <c r="E2024" s="325"/>
      <c r="F2024" s="325" t="s">
        <v>3723</v>
      </c>
      <c r="G2024" s="325" t="str">
        <f>IF(Games!V8="e","Y","")</f>
        <v/>
      </c>
      <c r="H2024" s="325" t="str">
        <f>Games!E8</f>
        <v/>
      </c>
      <c r="I2024" s="325" t="str">
        <f>Games!F8</f>
        <v/>
      </c>
      <c r="J2024" s="325" t="str">
        <f>Games!G8</f>
        <v/>
      </c>
      <c r="K2024" s="325"/>
      <c r="L2024" s="325"/>
      <c r="M2024" s="326" t="str">
        <f t="shared" si="1583"/>
        <v/>
      </c>
      <c r="N2024" s="325" t="str">
        <f t="shared" ref="N2024" si="1586">N2022</f>
        <v/>
      </c>
      <c r="O2024" s="325">
        <f t="shared" si="1585"/>
        <v>0</v>
      </c>
    </row>
    <row r="2025" spans="1:15" x14ac:dyDescent="0.25">
      <c r="A2025" s="2">
        <v>2</v>
      </c>
      <c r="B2025" s="2">
        <f>B2024</f>
        <v>0</v>
      </c>
      <c r="C2025" s="2" t="str">
        <f>C2024</f>
        <v>GD</v>
      </c>
      <c r="D2025" s="2">
        <f>D2024</f>
        <v>0</v>
      </c>
      <c r="F2025" s="2" t="str">
        <f>F2024</f>
        <v>Games Distance</v>
      </c>
      <c r="G2025" s="2" t="str">
        <f>G2024</f>
        <v/>
      </c>
      <c r="H2025" s="2" t="str">
        <f>H2024</f>
        <v/>
      </c>
      <c r="I2025" s="2" t="str">
        <f>I2024</f>
        <v/>
      </c>
      <c r="J2025" s="2" t="str">
        <f>J2024</f>
        <v/>
      </c>
      <c r="M2025" s="180" t="str">
        <f>M2024</f>
        <v/>
      </c>
      <c r="N2025" s="2" t="str">
        <f>N2023</f>
        <v/>
      </c>
      <c r="O2025" s="2">
        <f>O2024</f>
        <v>0</v>
      </c>
    </row>
    <row r="2026" spans="1:15" x14ac:dyDescent="0.25">
      <c r="A2026" s="325">
        <v>1</v>
      </c>
      <c r="B2026" s="325">
        <f t="shared" si="1582"/>
        <v>0</v>
      </c>
      <c r="C2026" s="325" t="s">
        <v>3722</v>
      </c>
      <c r="D2026" s="325">
        <f>Games!D9</f>
        <v>0</v>
      </c>
      <c r="E2026" s="325"/>
      <c r="F2026" s="325" t="s">
        <v>3723</v>
      </c>
      <c r="G2026" s="325" t="str">
        <f>IF(Games!V9="e","Y","")</f>
        <v/>
      </c>
      <c r="H2026" s="325" t="str">
        <f>Games!E9</f>
        <v/>
      </c>
      <c r="I2026" s="325" t="str">
        <f>Games!F9</f>
        <v/>
      </c>
      <c r="J2026" s="325" t="str">
        <f>Games!G9</f>
        <v/>
      </c>
      <c r="K2026" s="325"/>
      <c r="L2026" s="325"/>
      <c r="M2026" s="326" t="str">
        <f t="shared" si="1583"/>
        <v/>
      </c>
      <c r="N2026" s="325" t="str">
        <f t="shared" ref="N2026" si="1587">N2024</f>
        <v/>
      </c>
      <c r="O2026" s="325">
        <f t="shared" si="1585"/>
        <v>0</v>
      </c>
    </row>
    <row r="2027" spans="1:15" x14ac:dyDescent="0.25">
      <c r="A2027" s="2">
        <v>2</v>
      </c>
      <c r="B2027" s="2">
        <f>B2026</f>
        <v>0</v>
      </c>
      <c r="C2027" s="2" t="str">
        <f>C2026</f>
        <v>GD</v>
      </c>
      <c r="D2027" s="2">
        <f>D2026</f>
        <v>0</v>
      </c>
      <c r="F2027" s="2" t="str">
        <f>F2026</f>
        <v>Games Distance</v>
      </c>
      <c r="G2027" s="2" t="str">
        <f>G2026</f>
        <v/>
      </c>
      <c r="H2027" s="2" t="str">
        <f>H2026</f>
        <v/>
      </c>
      <c r="I2027" s="2" t="str">
        <f>I2026</f>
        <v/>
      </c>
      <c r="J2027" s="2" t="str">
        <f>J2026</f>
        <v/>
      </c>
      <c r="M2027" s="180" t="str">
        <f>M2026</f>
        <v/>
      </c>
      <c r="N2027" s="2" t="str">
        <f>N2025</f>
        <v/>
      </c>
      <c r="O2027" s="2">
        <f>O2026</f>
        <v>0</v>
      </c>
    </row>
    <row r="2028" spans="1:15" x14ac:dyDescent="0.25">
      <c r="A2028" s="325">
        <v>1</v>
      </c>
      <c r="B2028" s="325">
        <f t="shared" si="1582"/>
        <v>0</v>
      </c>
      <c r="C2028" s="325" t="s">
        <v>3722</v>
      </c>
      <c r="D2028" s="325">
        <f>Games!D10</f>
        <v>0</v>
      </c>
      <c r="E2028" s="325"/>
      <c r="F2028" s="325" t="s">
        <v>3723</v>
      </c>
      <c r="G2028" s="325" t="str">
        <f>IF(Games!V10="e","Y","")</f>
        <v/>
      </c>
      <c r="H2028" s="325" t="str">
        <f>Games!E10</f>
        <v/>
      </c>
      <c r="I2028" s="325" t="str">
        <f>Games!F10</f>
        <v/>
      </c>
      <c r="J2028" s="325" t="str">
        <f>Games!G10</f>
        <v/>
      </c>
      <c r="K2028" s="325"/>
      <c r="L2028" s="325"/>
      <c r="M2028" s="326" t="str">
        <f t="shared" si="1583"/>
        <v/>
      </c>
      <c r="N2028" s="325" t="str">
        <f t="shared" ref="N2028" si="1588">N2026</f>
        <v/>
      </c>
      <c r="O2028" s="325">
        <f t="shared" si="1585"/>
        <v>0</v>
      </c>
    </row>
    <row r="2029" spans="1:15" x14ac:dyDescent="0.25">
      <c r="A2029" s="2">
        <v>2</v>
      </c>
      <c r="B2029" s="2">
        <f>B2028</f>
        <v>0</v>
      </c>
      <c r="C2029" s="2" t="str">
        <f>C2028</f>
        <v>GD</v>
      </c>
      <c r="D2029" s="2">
        <f>D2028</f>
        <v>0</v>
      </c>
      <c r="F2029" s="2" t="str">
        <f>F2028</f>
        <v>Games Distance</v>
      </c>
      <c r="G2029" s="2" t="str">
        <f>G2028</f>
        <v/>
      </c>
      <c r="H2029" s="2" t="str">
        <f>H2028</f>
        <v/>
      </c>
      <c r="I2029" s="2" t="str">
        <f>I2028</f>
        <v/>
      </c>
      <c r="J2029" s="2" t="str">
        <f>J2028</f>
        <v/>
      </c>
      <c r="M2029" s="180" t="str">
        <f>M2028</f>
        <v/>
      </c>
      <c r="N2029" s="2" t="str">
        <f>N2027</f>
        <v/>
      </c>
      <c r="O2029" s="2">
        <f>O2028</f>
        <v>0</v>
      </c>
    </row>
    <row r="2030" spans="1:15" x14ac:dyDescent="0.25">
      <c r="A2030" s="325">
        <v>1</v>
      </c>
      <c r="B2030" s="325">
        <f t="shared" si="1582"/>
        <v>0</v>
      </c>
      <c r="C2030" s="325" t="s">
        <v>3722</v>
      </c>
      <c r="D2030" s="325">
        <f>Games!D11</f>
        <v>0</v>
      </c>
      <c r="E2030" s="325"/>
      <c r="F2030" s="325" t="s">
        <v>3723</v>
      </c>
      <c r="G2030" s="325" t="str">
        <f>IF(Games!V11="e","Y","")</f>
        <v/>
      </c>
      <c r="H2030" s="325" t="str">
        <f>Games!E11</f>
        <v/>
      </c>
      <c r="I2030" s="325" t="str">
        <f>Games!F11</f>
        <v/>
      </c>
      <c r="J2030" s="325" t="str">
        <f>Games!G11</f>
        <v/>
      </c>
      <c r="K2030" s="325"/>
      <c r="L2030" s="325"/>
      <c r="M2030" s="326" t="str">
        <f t="shared" si="1583"/>
        <v/>
      </c>
      <c r="N2030" s="325" t="str">
        <f t="shared" ref="N2030" si="1589">N2028</f>
        <v/>
      </c>
      <c r="O2030" s="325">
        <f t="shared" si="1585"/>
        <v>0</v>
      </c>
    </row>
    <row r="2031" spans="1:15" x14ac:dyDescent="0.25">
      <c r="A2031" s="2">
        <v>2</v>
      </c>
      <c r="B2031" s="2">
        <f>B2030</f>
        <v>0</v>
      </c>
      <c r="C2031" s="2" t="str">
        <f>C2030</f>
        <v>GD</v>
      </c>
      <c r="D2031" s="2">
        <f>D2030</f>
        <v>0</v>
      </c>
      <c r="F2031" s="2" t="str">
        <f>F2030</f>
        <v>Games Distance</v>
      </c>
      <c r="G2031" s="2" t="str">
        <f>G2030</f>
        <v/>
      </c>
      <c r="H2031" s="2" t="str">
        <f>H2030</f>
        <v/>
      </c>
      <c r="I2031" s="2" t="str">
        <f>I2030</f>
        <v/>
      </c>
      <c r="J2031" s="2" t="str">
        <f>J2030</f>
        <v/>
      </c>
      <c r="M2031" s="180" t="str">
        <f>M2030</f>
        <v/>
      </c>
      <c r="N2031" s="2" t="str">
        <f>N2029</f>
        <v/>
      </c>
      <c r="O2031" s="2">
        <f>O2030</f>
        <v>0</v>
      </c>
    </row>
    <row r="2032" spans="1:15" x14ac:dyDescent="0.25">
      <c r="A2032" s="325">
        <v>1</v>
      </c>
      <c r="B2032" s="325">
        <f t="shared" si="1582"/>
        <v>0</v>
      </c>
      <c r="C2032" s="325" t="s">
        <v>3722</v>
      </c>
      <c r="D2032" s="325">
        <f>Games!D12</f>
        <v>0</v>
      </c>
      <c r="E2032" s="325"/>
      <c r="F2032" s="325" t="s">
        <v>3723</v>
      </c>
      <c r="G2032" s="325" t="str">
        <f>IF(Games!V12="e","Y","")</f>
        <v/>
      </c>
      <c r="H2032" s="325" t="str">
        <f>Games!E12</f>
        <v/>
      </c>
      <c r="I2032" s="325" t="str">
        <f>Games!F12</f>
        <v/>
      </c>
      <c r="J2032" s="325" t="str">
        <f>Games!G12</f>
        <v/>
      </c>
      <c r="K2032" s="325"/>
      <c r="L2032" s="325"/>
      <c r="M2032" s="326" t="str">
        <f t="shared" si="1583"/>
        <v/>
      </c>
      <c r="N2032" s="325" t="str">
        <f t="shared" ref="N2032" si="1590">N2030</f>
        <v/>
      </c>
      <c r="O2032" s="325">
        <f t="shared" si="1585"/>
        <v>0</v>
      </c>
    </row>
    <row r="2033" spans="1:15" x14ac:dyDescent="0.25">
      <c r="A2033" s="2">
        <v>2</v>
      </c>
      <c r="B2033" s="2">
        <f>B2032</f>
        <v>0</v>
      </c>
      <c r="C2033" s="2" t="str">
        <f>C2032</f>
        <v>GD</v>
      </c>
      <c r="D2033" s="2">
        <f>D2032</f>
        <v>0</v>
      </c>
      <c r="F2033" s="2" t="str">
        <f>F2032</f>
        <v>Games Distance</v>
      </c>
      <c r="G2033" s="2" t="str">
        <f>G2032</f>
        <v/>
      </c>
      <c r="H2033" s="2" t="str">
        <f>H2032</f>
        <v/>
      </c>
      <c r="I2033" s="2" t="str">
        <f>I2032</f>
        <v/>
      </c>
      <c r="J2033" s="2" t="str">
        <f>J2032</f>
        <v/>
      </c>
      <c r="M2033" s="180" t="str">
        <f>M2032</f>
        <v/>
      </c>
      <c r="N2033" s="2" t="str">
        <f>N2031</f>
        <v/>
      </c>
      <c r="O2033" s="2">
        <f>O2032</f>
        <v>0</v>
      </c>
    </row>
    <row r="2034" spans="1:15" x14ac:dyDescent="0.25">
      <c r="A2034" s="325">
        <v>1</v>
      </c>
      <c r="B2034" s="325">
        <f t="shared" si="1582"/>
        <v>0</v>
      </c>
      <c r="C2034" s="325" t="s">
        <v>3722</v>
      </c>
      <c r="D2034" s="325">
        <f>Games!D13</f>
        <v>0</v>
      </c>
      <c r="E2034" s="325"/>
      <c r="F2034" s="325" t="s">
        <v>3723</v>
      </c>
      <c r="G2034" s="325" t="str">
        <f>IF(Games!V13="e","Y","")</f>
        <v/>
      </c>
      <c r="H2034" s="325" t="str">
        <f>Games!E13</f>
        <v/>
      </c>
      <c r="I2034" s="325" t="str">
        <f>Games!F13</f>
        <v/>
      </c>
      <c r="J2034" s="325" t="str">
        <f>Games!G13</f>
        <v/>
      </c>
      <c r="K2034" s="325"/>
      <c r="L2034" s="325"/>
      <c r="M2034" s="326" t="str">
        <f t="shared" si="1583"/>
        <v/>
      </c>
      <c r="N2034" s="325" t="str">
        <f t="shared" ref="N2034" si="1591">N2032</f>
        <v/>
      </c>
      <c r="O2034" s="325">
        <f t="shared" si="1585"/>
        <v>0</v>
      </c>
    </row>
    <row r="2035" spans="1:15" x14ac:dyDescent="0.25">
      <c r="A2035" s="2">
        <v>2</v>
      </c>
      <c r="B2035" s="2">
        <f>B2034</f>
        <v>0</v>
      </c>
      <c r="C2035" s="2" t="str">
        <f>C2034</f>
        <v>GD</v>
      </c>
      <c r="D2035" s="2">
        <f>D2034</f>
        <v>0</v>
      </c>
      <c r="F2035" s="2" t="str">
        <f>F2034</f>
        <v>Games Distance</v>
      </c>
      <c r="G2035" s="2" t="str">
        <f>G2034</f>
        <v/>
      </c>
      <c r="H2035" s="2" t="str">
        <f>H2034</f>
        <v/>
      </c>
      <c r="I2035" s="2" t="str">
        <f>I2034</f>
        <v/>
      </c>
      <c r="J2035" s="2" t="str">
        <f>J2034</f>
        <v/>
      </c>
      <c r="M2035" s="180" t="str">
        <f>M2034</f>
        <v/>
      </c>
      <c r="N2035" s="2" t="str">
        <f>N2033</f>
        <v/>
      </c>
      <c r="O2035" s="2">
        <f>O2034</f>
        <v>0</v>
      </c>
    </row>
    <row r="2036" spans="1:15" x14ac:dyDescent="0.25">
      <c r="A2036" s="325">
        <v>1</v>
      </c>
      <c r="B2036" s="325">
        <f t="shared" si="1582"/>
        <v>0</v>
      </c>
      <c r="C2036" s="325" t="s">
        <v>3722</v>
      </c>
      <c r="D2036" s="325">
        <f>Games!D14</f>
        <v>0</v>
      </c>
      <c r="E2036" s="325"/>
      <c r="F2036" s="325" t="s">
        <v>3723</v>
      </c>
      <c r="G2036" s="325" t="str">
        <f>IF(Games!V14="e","Y","")</f>
        <v/>
      </c>
      <c r="H2036" s="325" t="str">
        <f>Games!E14</f>
        <v/>
      </c>
      <c r="I2036" s="325" t="str">
        <f>Games!F14</f>
        <v/>
      </c>
      <c r="J2036" s="325" t="str">
        <f>Games!G14</f>
        <v/>
      </c>
      <c r="K2036" s="325"/>
      <c r="L2036" s="325"/>
      <c r="M2036" s="326" t="str">
        <f t="shared" si="1583"/>
        <v/>
      </c>
      <c r="N2036" s="325" t="str">
        <f t="shared" ref="N2036" si="1592">N2034</f>
        <v/>
      </c>
      <c r="O2036" s="325">
        <f t="shared" si="1585"/>
        <v>0</v>
      </c>
    </row>
    <row r="2037" spans="1:15" x14ac:dyDescent="0.25">
      <c r="A2037" s="2">
        <v>2</v>
      </c>
      <c r="B2037" s="2">
        <f>B2036</f>
        <v>0</v>
      </c>
      <c r="C2037" s="2" t="str">
        <f>C2036</f>
        <v>GD</v>
      </c>
      <c r="D2037" s="2">
        <f>D2036</f>
        <v>0</v>
      </c>
      <c r="F2037" s="2" t="str">
        <f>F2036</f>
        <v>Games Distance</v>
      </c>
      <c r="G2037" s="2" t="str">
        <f>G2036</f>
        <v/>
      </c>
      <c r="H2037" s="2" t="str">
        <f>H2036</f>
        <v/>
      </c>
      <c r="I2037" s="2" t="str">
        <f>I2036</f>
        <v/>
      </c>
      <c r="J2037" s="2" t="str">
        <f>J2036</f>
        <v/>
      </c>
      <c r="M2037" s="180" t="str">
        <f>M2036</f>
        <v/>
      </c>
      <c r="N2037" s="2" t="str">
        <f>N2035</f>
        <v/>
      </c>
      <c r="O2037" s="2">
        <f>O2036</f>
        <v>0</v>
      </c>
    </row>
    <row r="2038" spans="1:15" x14ac:dyDescent="0.25">
      <c r="A2038" s="325">
        <v>1</v>
      </c>
      <c r="B2038" s="325">
        <f t="shared" si="1582"/>
        <v>0</v>
      </c>
      <c r="C2038" s="325" t="s">
        <v>3722</v>
      </c>
      <c r="D2038" s="325">
        <f>Games!D15</f>
        <v>0</v>
      </c>
      <c r="E2038" s="325"/>
      <c r="F2038" s="325" t="s">
        <v>3723</v>
      </c>
      <c r="G2038" s="325" t="str">
        <f>IF(Games!V15="e","Y","")</f>
        <v/>
      </c>
      <c r="H2038" s="325" t="str">
        <f>Games!E15</f>
        <v/>
      </c>
      <c r="I2038" s="325" t="str">
        <f>Games!F15</f>
        <v/>
      </c>
      <c r="J2038" s="325" t="str">
        <f>Games!G15</f>
        <v/>
      </c>
      <c r="K2038" s="325"/>
      <c r="L2038" s="325"/>
      <c r="M2038" s="326" t="str">
        <f t="shared" si="1583"/>
        <v/>
      </c>
      <c r="N2038" s="325" t="str">
        <f t="shared" ref="N2038" si="1593">N2036</f>
        <v/>
      </c>
      <c r="O2038" s="325">
        <f t="shared" si="1585"/>
        <v>0</v>
      </c>
    </row>
    <row r="2039" spans="1:15" x14ac:dyDescent="0.25">
      <c r="A2039" s="2">
        <v>2</v>
      </c>
      <c r="B2039" s="2">
        <f>B2038</f>
        <v>0</v>
      </c>
      <c r="C2039" s="2" t="str">
        <f>C2038</f>
        <v>GD</v>
      </c>
      <c r="D2039" s="2">
        <f>D2038</f>
        <v>0</v>
      </c>
      <c r="F2039" s="2" t="str">
        <f>F2038</f>
        <v>Games Distance</v>
      </c>
      <c r="G2039" s="2" t="str">
        <f>G2038</f>
        <v/>
      </c>
      <c r="H2039" s="2" t="str">
        <f>H2038</f>
        <v/>
      </c>
      <c r="I2039" s="2" t="str">
        <f>I2038</f>
        <v/>
      </c>
      <c r="J2039" s="2" t="str">
        <f>J2038</f>
        <v/>
      </c>
      <c r="M2039" s="180" t="str">
        <f>M2038</f>
        <v/>
      </c>
      <c r="N2039" s="2" t="str">
        <f>N2037</f>
        <v/>
      </c>
      <c r="O2039" s="2">
        <f>O2038</f>
        <v>0</v>
      </c>
    </row>
    <row r="2040" spans="1:15" x14ac:dyDescent="0.25">
      <c r="A2040" s="325">
        <v>1</v>
      </c>
      <c r="B2040" s="325">
        <f t="shared" si="1582"/>
        <v>0</v>
      </c>
      <c r="C2040" s="325" t="s">
        <v>3722</v>
      </c>
      <c r="D2040" s="325">
        <f>Games!D16</f>
        <v>0</v>
      </c>
      <c r="E2040" s="325"/>
      <c r="F2040" s="325" t="s">
        <v>3723</v>
      </c>
      <c r="G2040" s="325" t="str">
        <f>IF(Games!V16="e","Y","")</f>
        <v/>
      </c>
      <c r="H2040" s="325" t="str">
        <f>Games!E16</f>
        <v/>
      </c>
      <c r="I2040" s="325" t="str">
        <f>Games!F16</f>
        <v/>
      </c>
      <c r="J2040" s="325" t="str">
        <f>Games!G16</f>
        <v/>
      </c>
      <c r="K2040" s="325"/>
      <c r="L2040" s="325"/>
      <c r="M2040" s="326" t="str">
        <f t="shared" si="1583"/>
        <v/>
      </c>
      <c r="N2040" s="325" t="str">
        <f t="shared" ref="N2040" si="1594">N2038</f>
        <v/>
      </c>
      <c r="O2040" s="325">
        <f t="shared" si="1585"/>
        <v>0</v>
      </c>
    </row>
    <row r="2041" spans="1:15" x14ac:dyDescent="0.25">
      <c r="A2041" s="2">
        <v>2</v>
      </c>
      <c r="B2041" s="2">
        <f>B2040</f>
        <v>0</v>
      </c>
      <c r="C2041" s="2" t="str">
        <f>C2040</f>
        <v>GD</v>
      </c>
      <c r="D2041" s="2">
        <f>D2040</f>
        <v>0</v>
      </c>
      <c r="F2041" s="2" t="str">
        <f>F2040</f>
        <v>Games Distance</v>
      </c>
      <c r="G2041" s="2" t="str">
        <f>G2040</f>
        <v/>
      </c>
      <c r="H2041" s="2" t="str">
        <f>H2040</f>
        <v/>
      </c>
      <c r="I2041" s="2" t="str">
        <f>I2040</f>
        <v/>
      </c>
      <c r="J2041" s="2" t="str">
        <f>J2040</f>
        <v/>
      </c>
      <c r="M2041" s="180" t="str">
        <f>M2040</f>
        <v/>
      </c>
      <c r="N2041" s="2" t="str">
        <f>N2039</f>
        <v/>
      </c>
      <c r="O2041" s="2">
        <f>O2040</f>
        <v>0</v>
      </c>
    </row>
    <row r="2042" spans="1:15" x14ac:dyDescent="0.25">
      <c r="A2042" s="325">
        <v>1</v>
      </c>
      <c r="B2042" s="325">
        <f t="shared" si="1582"/>
        <v>0</v>
      </c>
      <c r="C2042" s="325" t="s">
        <v>3722</v>
      </c>
      <c r="D2042" s="325">
        <f>Games!D17</f>
        <v>0</v>
      </c>
      <c r="E2042" s="325"/>
      <c r="F2042" s="325" t="s">
        <v>3723</v>
      </c>
      <c r="G2042" s="325" t="str">
        <f>IF(Games!V17="e","Y","")</f>
        <v/>
      </c>
      <c r="H2042" s="325" t="str">
        <f>Games!E17</f>
        <v/>
      </c>
      <c r="I2042" s="325" t="str">
        <f>Games!F17</f>
        <v/>
      </c>
      <c r="J2042" s="325" t="str">
        <f>Games!G17</f>
        <v/>
      </c>
      <c r="K2042" s="325"/>
      <c r="L2042" s="325"/>
      <c r="M2042" s="326" t="str">
        <f t="shared" si="1583"/>
        <v/>
      </c>
      <c r="N2042" s="325" t="str">
        <f t="shared" ref="N2042" si="1595">N2040</f>
        <v/>
      </c>
      <c r="O2042" s="325">
        <f t="shared" si="1585"/>
        <v>0</v>
      </c>
    </row>
    <row r="2043" spans="1:15" x14ac:dyDescent="0.25">
      <c r="A2043" s="2">
        <v>2</v>
      </c>
      <c r="B2043" s="2">
        <f>B2042</f>
        <v>0</v>
      </c>
      <c r="C2043" s="2" t="str">
        <f>C2042</f>
        <v>GD</v>
      </c>
      <c r="D2043" s="2">
        <f>D2042</f>
        <v>0</v>
      </c>
      <c r="F2043" s="2" t="str">
        <f>F2042</f>
        <v>Games Distance</v>
      </c>
      <c r="G2043" s="2" t="str">
        <f>G2042</f>
        <v/>
      </c>
      <c r="H2043" s="2" t="str">
        <f>H2042</f>
        <v/>
      </c>
      <c r="I2043" s="2" t="str">
        <f>I2042</f>
        <v/>
      </c>
      <c r="J2043" s="2" t="str">
        <f>J2042</f>
        <v/>
      </c>
      <c r="M2043" s="180" t="str">
        <f>M2042</f>
        <v/>
      </c>
      <c r="N2043" s="2" t="str">
        <f>N2041</f>
        <v/>
      </c>
      <c r="O2043" s="2">
        <f>O2042</f>
        <v>0</v>
      </c>
    </row>
    <row r="2044" spans="1:15" x14ac:dyDescent="0.25">
      <c r="A2044" s="325">
        <v>1</v>
      </c>
      <c r="B2044" s="325">
        <f t="shared" si="1582"/>
        <v>0</v>
      </c>
      <c r="C2044" s="325" t="s">
        <v>3722</v>
      </c>
      <c r="D2044" s="325">
        <f>Games!D18</f>
        <v>0</v>
      </c>
      <c r="E2044" s="325"/>
      <c r="F2044" s="325" t="s">
        <v>3723</v>
      </c>
      <c r="G2044" s="325" t="str">
        <f>IF(Games!V18="e","Y","")</f>
        <v/>
      </c>
      <c r="H2044" s="325" t="str">
        <f>Games!E18</f>
        <v/>
      </c>
      <c r="I2044" s="325" t="str">
        <f>Games!F18</f>
        <v/>
      </c>
      <c r="J2044" s="325" t="str">
        <f>Games!G18</f>
        <v/>
      </c>
      <c r="K2044" s="325"/>
      <c r="L2044" s="325"/>
      <c r="M2044" s="326" t="str">
        <f t="shared" si="1583"/>
        <v/>
      </c>
      <c r="N2044" s="325" t="str">
        <f t="shared" ref="N2044" si="1596">N2042</f>
        <v/>
      </c>
      <c r="O2044" s="325">
        <f t="shared" si="1585"/>
        <v>0</v>
      </c>
    </row>
    <row r="2045" spans="1:15" x14ac:dyDescent="0.25">
      <c r="A2045" s="2">
        <v>2</v>
      </c>
      <c r="B2045" s="2">
        <f>B2044</f>
        <v>0</v>
      </c>
      <c r="C2045" s="2" t="str">
        <f>C2044</f>
        <v>GD</v>
      </c>
      <c r="D2045" s="2">
        <f>D2044</f>
        <v>0</v>
      </c>
      <c r="F2045" s="2" t="str">
        <f>F2044</f>
        <v>Games Distance</v>
      </c>
      <c r="G2045" s="2" t="str">
        <f>G2044</f>
        <v/>
      </c>
      <c r="H2045" s="2" t="str">
        <f>H2044</f>
        <v/>
      </c>
      <c r="I2045" s="2" t="str">
        <f>I2044</f>
        <v/>
      </c>
      <c r="J2045" s="2" t="str">
        <f>J2044</f>
        <v/>
      </c>
      <c r="M2045" s="180" t="str">
        <f>M2044</f>
        <v/>
      </c>
      <c r="N2045" s="2" t="str">
        <f>N2043</f>
        <v/>
      </c>
      <c r="O2045" s="2">
        <f>O2044</f>
        <v>0</v>
      </c>
    </row>
    <row r="2046" spans="1:15" x14ac:dyDescent="0.25">
      <c r="A2046" s="325">
        <v>1</v>
      </c>
      <c r="B2046" s="325">
        <f t="shared" si="1582"/>
        <v>0</v>
      </c>
      <c r="C2046" s="325" t="s">
        <v>3722</v>
      </c>
      <c r="D2046" s="325">
        <f>Games!D19</f>
        <v>0</v>
      </c>
      <c r="E2046" s="325"/>
      <c r="F2046" s="325" t="s">
        <v>3723</v>
      </c>
      <c r="G2046" s="325" t="str">
        <f>IF(Games!V19="e","Y","")</f>
        <v/>
      </c>
      <c r="H2046" s="325" t="str">
        <f>Games!E19</f>
        <v/>
      </c>
      <c r="I2046" s="325" t="str">
        <f>Games!F19</f>
        <v/>
      </c>
      <c r="J2046" s="325" t="str">
        <f>Games!G19</f>
        <v/>
      </c>
      <c r="K2046" s="325"/>
      <c r="L2046" s="325"/>
      <c r="M2046" s="326" t="str">
        <f t="shared" si="1583"/>
        <v/>
      </c>
      <c r="N2046" s="325" t="str">
        <f t="shared" ref="N2046" si="1597">N2044</f>
        <v/>
      </c>
      <c r="O2046" s="325">
        <f t="shared" si="1585"/>
        <v>0</v>
      </c>
    </row>
    <row r="2047" spans="1:15" x14ac:dyDescent="0.25">
      <c r="A2047" s="2">
        <v>2</v>
      </c>
      <c r="B2047" s="2">
        <f>B2046</f>
        <v>0</v>
      </c>
      <c r="C2047" s="2" t="str">
        <f>C2046</f>
        <v>GD</v>
      </c>
      <c r="D2047" s="2">
        <f>D2046</f>
        <v>0</v>
      </c>
      <c r="F2047" s="2" t="str">
        <f>F2046</f>
        <v>Games Distance</v>
      </c>
      <c r="G2047" s="2" t="str">
        <f>G2046</f>
        <v/>
      </c>
      <c r="H2047" s="2" t="str">
        <f>H2046</f>
        <v/>
      </c>
      <c r="I2047" s="2" t="str">
        <f>I2046</f>
        <v/>
      </c>
      <c r="J2047" s="2" t="str">
        <f>J2046</f>
        <v/>
      </c>
      <c r="M2047" s="180" t="str">
        <f>M2046</f>
        <v/>
      </c>
      <c r="N2047" s="2" t="str">
        <f>N2045</f>
        <v/>
      </c>
      <c r="O2047" s="2">
        <f>O2046</f>
        <v>0</v>
      </c>
    </row>
    <row r="2048" spans="1:15" x14ac:dyDescent="0.25">
      <c r="A2048" s="325">
        <v>1</v>
      </c>
      <c r="B2048" s="325">
        <f t="shared" si="1582"/>
        <v>0</v>
      </c>
      <c r="C2048" s="325" t="s">
        <v>3722</v>
      </c>
      <c r="D2048" s="325">
        <f>Games!D20</f>
        <v>0</v>
      </c>
      <c r="E2048" s="325"/>
      <c r="F2048" s="325" t="s">
        <v>3723</v>
      </c>
      <c r="G2048" s="325" t="str">
        <f>IF(Games!V20="e","Y","")</f>
        <v/>
      </c>
      <c r="H2048" s="325" t="str">
        <f>Games!E20</f>
        <v/>
      </c>
      <c r="I2048" s="325" t="str">
        <f>Games!F20</f>
        <v/>
      </c>
      <c r="J2048" s="325" t="str">
        <f>Games!G20</f>
        <v/>
      </c>
      <c r="K2048" s="325"/>
      <c r="L2048" s="325"/>
      <c r="M2048" s="326" t="str">
        <f t="shared" si="1583"/>
        <v/>
      </c>
      <c r="N2048" s="325" t="str">
        <f t="shared" ref="N2048" si="1598">N2046</f>
        <v/>
      </c>
      <c r="O2048" s="325">
        <f t="shared" si="1585"/>
        <v>0</v>
      </c>
    </row>
    <row r="2049" spans="1:15" x14ac:dyDescent="0.25">
      <c r="A2049" s="2">
        <v>2</v>
      </c>
      <c r="B2049" s="2">
        <f>B2048</f>
        <v>0</v>
      </c>
      <c r="C2049" s="2" t="str">
        <f>C2048</f>
        <v>GD</v>
      </c>
      <c r="D2049" s="2">
        <f>D2048</f>
        <v>0</v>
      </c>
      <c r="F2049" s="2" t="str">
        <f>F2048</f>
        <v>Games Distance</v>
      </c>
      <c r="G2049" s="2" t="str">
        <f>G2048</f>
        <v/>
      </c>
      <c r="H2049" s="2" t="str">
        <f>H2048</f>
        <v/>
      </c>
      <c r="I2049" s="2" t="str">
        <f>I2048</f>
        <v/>
      </c>
      <c r="J2049" s="2" t="str">
        <f>J2048</f>
        <v/>
      </c>
      <c r="M2049" s="180" t="str">
        <f>M2048</f>
        <v/>
      </c>
      <c r="N2049" s="2" t="str">
        <f>N2047</f>
        <v/>
      </c>
      <c r="O2049" s="2">
        <f>O2048</f>
        <v>0</v>
      </c>
    </row>
    <row r="2050" spans="1:15" x14ac:dyDescent="0.25">
      <c r="A2050" s="325">
        <v>1</v>
      </c>
      <c r="B2050" s="325">
        <f t="shared" si="1582"/>
        <v>0</v>
      </c>
      <c r="C2050" s="325" t="s">
        <v>3722</v>
      </c>
      <c r="D2050" s="325">
        <f>Games!D21</f>
        <v>0</v>
      </c>
      <c r="E2050" s="325"/>
      <c r="F2050" s="325" t="s">
        <v>3723</v>
      </c>
      <c r="G2050" s="325" t="str">
        <f>IF(Games!V21="e","Y","")</f>
        <v/>
      </c>
      <c r="H2050" s="325" t="str">
        <f>Games!E21</f>
        <v/>
      </c>
      <c r="I2050" s="325" t="str">
        <f>Games!F21</f>
        <v/>
      </c>
      <c r="J2050" s="325" t="str">
        <f>Games!G21</f>
        <v/>
      </c>
      <c r="K2050" s="325"/>
      <c r="L2050" s="325"/>
      <c r="M2050" s="326" t="str">
        <f t="shared" si="1583"/>
        <v/>
      </c>
      <c r="N2050" s="325" t="str">
        <f t="shared" ref="N2050" si="1599">N2048</f>
        <v/>
      </c>
      <c r="O2050" s="325">
        <f t="shared" si="1585"/>
        <v>0</v>
      </c>
    </row>
    <row r="2051" spans="1:15" x14ac:dyDescent="0.25">
      <c r="A2051" s="2">
        <v>2</v>
      </c>
      <c r="B2051" s="2">
        <f>B2050</f>
        <v>0</v>
      </c>
      <c r="C2051" s="2" t="str">
        <f>C2050</f>
        <v>GD</v>
      </c>
      <c r="D2051" s="2">
        <f>D2050</f>
        <v>0</v>
      </c>
      <c r="F2051" s="2" t="str">
        <f>F2050</f>
        <v>Games Distance</v>
      </c>
      <c r="G2051" s="2" t="str">
        <f>G2050</f>
        <v/>
      </c>
      <c r="H2051" s="2" t="str">
        <f>H2050</f>
        <v/>
      </c>
      <c r="I2051" s="2" t="str">
        <f>I2050</f>
        <v/>
      </c>
      <c r="J2051" s="2" t="str">
        <f>J2050</f>
        <v/>
      </c>
      <c r="M2051" s="180" t="str">
        <f>M2050</f>
        <v/>
      </c>
      <c r="N2051" s="2" t="str">
        <f>N2049</f>
        <v/>
      </c>
      <c r="O2051" s="2">
        <f>O2050</f>
        <v>0</v>
      </c>
    </row>
    <row r="2052" spans="1:15" x14ac:dyDescent="0.25">
      <c r="A2052" s="325">
        <v>1</v>
      </c>
      <c r="B2052" s="325">
        <f t="shared" si="1582"/>
        <v>0</v>
      </c>
      <c r="C2052" s="325" t="s">
        <v>3722</v>
      </c>
      <c r="D2052" s="325">
        <f>Games!D22</f>
        <v>0</v>
      </c>
      <c r="E2052" s="325"/>
      <c r="F2052" s="325" t="s">
        <v>3723</v>
      </c>
      <c r="G2052" s="325" t="str">
        <f>IF(Games!V22="e","Y","")</f>
        <v/>
      </c>
      <c r="H2052" s="325" t="str">
        <f>Games!E22</f>
        <v/>
      </c>
      <c r="I2052" s="325" t="str">
        <f>Games!F22</f>
        <v/>
      </c>
      <c r="J2052" s="325" t="str">
        <f>Games!G22</f>
        <v/>
      </c>
      <c r="K2052" s="325"/>
      <c r="L2052" s="325"/>
      <c r="M2052" s="326" t="str">
        <f t="shared" si="1583"/>
        <v/>
      </c>
      <c r="N2052" s="325" t="str">
        <f t="shared" ref="N2052" si="1600">N2050</f>
        <v/>
      </c>
      <c r="O2052" s="325">
        <f t="shared" si="1585"/>
        <v>0</v>
      </c>
    </row>
    <row r="2053" spans="1:15" x14ac:dyDescent="0.25">
      <c r="A2053" s="2">
        <v>2</v>
      </c>
      <c r="B2053" s="2">
        <f>B2052</f>
        <v>0</v>
      </c>
      <c r="C2053" s="2" t="str">
        <f>C2052</f>
        <v>GD</v>
      </c>
      <c r="D2053" s="2">
        <f>D2052</f>
        <v>0</v>
      </c>
      <c r="F2053" s="2" t="str">
        <f>F2052</f>
        <v>Games Distance</v>
      </c>
      <c r="G2053" s="2" t="str">
        <f>G2052</f>
        <v/>
      </c>
      <c r="H2053" s="2" t="str">
        <f>H2052</f>
        <v/>
      </c>
      <c r="I2053" s="2" t="str">
        <f>I2052</f>
        <v/>
      </c>
      <c r="J2053" s="2" t="str">
        <f>J2052</f>
        <v/>
      </c>
      <c r="M2053" s="180" t="str">
        <f>M2052</f>
        <v/>
      </c>
      <c r="N2053" s="2" t="str">
        <f>N2051</f>
        <v/>
      </c>
      <c r="O2053" s="2">
        <f>O2052</f>
        <v>0</v>
      </c>
    </row>
    <row r="2054" spans="1:15" x14ac:dyDescent="0.25">
      <c r="A2054" s="325">
        <v>1</v>
      </c>
      <c r="B2054" s="325">
        <f t="shared" si="1582"/>
        <v>0</v>
      </c>
      <c r="C2054" s="325" t="s">
        <v>3722</v>
      </c>
      <c r="D2054" s="325">
        <f>Games!D23</f>
        <v>0</v>
      </c>
      <c r="E2054" s="325"/>
      <c r="F2054" s="325" t="s">
        <v>3723</v>
      </c>
      <c r="G2054" s="325" t="str">
        <f>IF(Games!V23="e","Y","")</f>
        <v/>
      </c>
      <c r="H2054" s="325" t="str">
        <f>Games!E23</f>
        <v/>
      </c>
      <c r="I2054" s="325" t="str">
        <f>Games!F23</f>
        <v/>
      </c>
      <c r="J2054" s="325" t="str">
        <f>Games!G23</f>
        <v/>
      </c>
      <c r="K2054" s="325"/>
      <c r="L2054" s="325"/>
      <c r="M2054" s="326" t="str">
        <f t="shared" si="1583"/>
        <v/>
      </c>
      <c r="N2054" s="325" t="str">
        <f t="shared" ref="N2054" si="1601">N2052</f>
        <v/>
      </c>
      <c r="O2054" s="325">
        <f t="shared" si="1585"/>
        <v>0</v>
      </c>
    </row>
    <row r="2055" spans="1:15" x14ac:dyDescent="0.25">
      <c r="A2055" s="2">
        <v>2</v>
      </c>
      <c r="B2055" s="2">
        <f>B2054</f>
        <v>0</v>
      </c>
      <c r="C2055" s="2" t="str">
        <f>C2054</f>
        <v>GD</v>
      </c>
      <c r="D2055" s="2">
        <f>D2054</f>
        <v>0</v>
      </c>
      <c r="F2055" s="2" t="str">
        <f>F2054</f>
        <v>Games Distance</v>
      </c>
      <c r="G2055" s="2" t="str">
        <f>G2054</f>
        <v/>
      </c>
      <c r="H2055" s="2" t="str">
        <f>H2054</f>
        <v/>
      </c>
      <c r="I2055" s="2" t="str">
        <f>I2054</f>
        <v/>
      </c>
      <c r="J2055" s="2" t="str">
        <f>J2054</f>
        <v/>
      </c>
      <c r="M2055" s="180" t="str">
        <f>M2054</f>
        <v/>
      </c>
      <c r="N2055" s="2" t="str">
        <f>N2053</f>
        <v/>
      </c>
      <c r="O2055" s="2">
        <f>O2054</f>
        <v>0</v>
      </c>
    </row>
    <row r="2056" spans="1:15" x14ac:dyDescent="0.25">
      <c r="A2056" s="325">
        <v>1</v>
      </c>
      <c r="B2056" s="325">
        <f t="shared" si="1582"/>
        <v>0</v>
      </c>
      <c r="C2056" s="325" t="s">
        <v>3722</v>
      </c>
      <c r="D2056" s="325">
        <f>Games!D24</f>
        <v>0</v>
      </c>
      <c r="E2056" s="325"/>
      <c r="F2056" s="325" t="s">
        <v>3723</v>
      </c>
      <c r="G2056" s="325" t="str">
        <f>IF(Games!V24="e","Y","")</f>
        <v/>
      </c>
      <c r="H2056" s="325" t="str">
        <f>Games!E24</f>
        <v/>
      </c>
      <c r="I2056" s="325" t="str">
        <f>Games!F24</f>
        <v/>
      </c>
      <c r="J2056" s="325" t="str">
        <f>Games!G24</f>
        <v/>
      </c>
      <c r="K2056" s="325"/>
      <c r="L2056" s="325"/>
      <c r="M2056" s="326" t="str">
        <f t="shared" si="1583"/>
        <v/>
      </c>
      <c r="N2056" s="325" t="str">
        <f t="shared" ref="N2056" si="1602">N2054</f>
        <v/>
      </c>
      <c r="O2056" s="325">
        <f t="shared" si="1585"/>
        <v>0</v>
      </c>
    </row>
    <row r="2057" spans="1:15" x14ac:dyDescent="0.25">
      <c r="A2057" s="2">
        <v>2</v>
      </c>
      <c r="B2057" s="2">
        <f>B2056</f>
        <v>0</v>
      </c>
      <c r="C2057" s="2" t="str">
        <f>C2056</f>
        <v>GD</v>
      </c>
      <c r="D2057" s="2">
        <f>D2056</f>
        <v>0</v>
      </c>
      <c r="F2057" s="2" t="str">
        <f>F2056</f>
        <v>Games Distance</v>
      </c>
      <c r="G2057" s="2" t="str">
        <f>G2056</f>
        <v/>
      </c>
      <c r="H2057" s="2" t="str">
        <f>H2056</f>
        <v/>
      </c>
      <c r="I2057" s="2" t="str">
        <f>I2056</f>
        <v/>
      </c>
      <c r="J2057" s="2" t="str">
        <f>J2056</f>
        <v/>
      </c>
      <c r="M2057" s="180" t="str">
        <f>M2056</f>
        <v/>
      </c>
      <c r="N2057" s="2" t="str">
        <f>N2055</f>
        <v/>
      </c>
      <c r="O2057" s="2">
        <f>O2056</f>
        <v>0</v>
      </c>
    </row>
    <row r="2058" spans="1:15" x14ac:dyDescent="0.25">
      <c r="A2058" s="325">
        <v>1</v>
      </c>
      <c r="B2058" s="325">
        <f t="shared" si="1582"/>
        <v>0</v>
      </c>
      <c r="C2058" s="325" t="s">
        <v>3722</v>
      </c>
      <c r="D2058" s="325">
        <f>Games!D25</f>
        <v>0</v>
      </c>
      <c r="E2058" s="325"/>
      <c r="F2058" s="325" t="s">
        <v>3723</v>
      </c>
      <c r="G2058" s="325" t="str">
        <f>IF(Games!V25="e","Y","")</f>
        <v/>
      </c>
      <c r="H2058" s="325" t="str">
        <f>Games!E25</f>
        <v/>
      </c>
      <c r="I2058" s="325" t="str">
        <f>Games!F25</f>
        <v/>
      </c>
      <c r="J2058" s="325" t="str">
        <f>Games!G25</f>
        <v/>
      </c>
      <c r="K2058" s="325"/>
      <c r="L2058" s="325"/>
      <c r="M2058" s="326" t="str">
        <f t="shared" si="1583"/>
        <v/>
      </c>
      <c r="N2058" s="325" t="str">
        <f t="shared" ref="N2058" si="1603">N2056</f>
        <v/>
      </c>
      <c r="O2058" s="325">
        <f t="shared" si="1585"/>
        <v>0</v>
      </c>
    </row>
    <row r="2059" spans="1:15" x14ac:dyDescent="0.25">
      <c r="A2059" s="2">
        <v>2</v>
      </c>
      <c r="B2059" s="2">
        <f>B2058</f>
        <v>0</v>
      </c>
      <c r="C2059" s="2" t="str">
        <f>C2058</f>
        <v>GD</v>
      </c>
      <c r="D2059" s="2">
        <f>D2058</f>
        <v>0</v>
      </c>
      <c r="F2059" s="2" t="str">
        <f>F2058</f>
        <v>Games Distance</v>
      </c>
      <c r="G2059" s="2" t="str">
        <f>G2058</f>
        <v/>
      </c>
      <c r="H2059" s="2" t="str">
        <f>H2058</f>
        <v/>
      </c>
      <c r="I2059" s="2" t="str">
        <f>I2058</f>
        <v/>
      </c>
      <c r="J2059" s="2" t="str">
        <f>J2058</f>
        <v/>
      </c>
      <c r="M2059" s="180" t="str">
        <f>M2058</f>
        <v/>
      </c>
      <c r="N2059" s="2" t="str">
        <f>N2057</f>
        <v/>
      </c>
      <c r="O2059" s="2">
        <f>O2058</f>
        <v>0</v>
      </c>
    </row>
    <row r="2060" spans="1:15" x14ac:dyDescent="0.25">
      <c r="A2060" s="325">
        <v>1</v>
      </c>
      <c r="B2060" s="325">
        <f t="shared" si="1582"/>
        <v>0</v>
      </c>
      <c r="C2060" s="325" t="s">
        <v>3722</v>
      </c>
      <c r="D2060" s="325">
        <f>Games!D26</f>
        <v>0</v>
      </c>
      <c r="E2060" s="325"/>
      <c r="F2060" s="325" t="s">
        <v>3723</v>
      </c>
      <c r="G2060" s="325" t="str">
        <f>IF(Games!V26="e","Y","")</f>
        <v/>
      </c>
      <c r="H2060" s="325" t="str">
        <f>Games!E26</f>
        <v/>
      </c>
      <c r="I2060" s="325" t="str">
        <f>Games!F26</f>
        <v/>
      </c>
      <c r="J2060" s="325" t="str">
        <f>Games!G26</f>
        <v/>
      </c>
      <c r="K2060" s="325"/>
      <c r="L2060" s="325"/>
      <c r="M2060" s="326" t="str">
        <f t="shared" si="1583"/>
        <v/>
      </c>
      <c r="N2060" s="325" t="str">
        <f t="shared" ref="N2060" si="1604">N2058</f>
        <v/>
      </c>
      <c r="O2060" s="325">
        <f t="shared" si="1585"/>
        <v>0</v>
      </c>
    </row>
    <row r="2061" spans="1:15" x14ac:dyDescent="0.25">
      <c r="A2061" s="2">
        <v>2</v>
      </c>
      <c r="B2061" s="2">
        <f>B2060</f>
        <v>0</v>
      </c>
      <c r="C2061" s="2" t="str">
        <f>C2060</f>
        <v>GD</v>
      </c>
      <c r="D2061" s="2">
        <f>D2060</f>
        <v>0</v>
      </c>
      <c r="F2061" s="2" t="str">
        <f>F2060</f>
        <v>Games Distance</v>
      </c>
      <c r="G2061" s="2" t="str">
        <f>G2060</f>
        <v/>
      </c>
      <c r="H2061" s="2" t="str">
        <f>H2060</f>
        <v/>
      </c>
      <c r="I2061" s="2" t="str">
        <f>I2060</f>
        <v/>
      </c>
      <c r="J2061" s="2" t="str">
        <f>J2060</f>
        <v/>
      </c>
      <c r="M2061" s="180" t="str">
        <f>M2060</f>
        <v/>
      </c>
      <c r="N2061" s="2" t="str">
        <f>N2059</f>
        <v/>
      </c>
      <c r="O2061" s="2">
        <f>O2060</f>
        <v>0</v>
      </c>
    </row>
    <row r="2062" spans="1:15" x14ac:dyDescent="0.25">
      <c r="A2062" s="325">
        <v>1</v>
      </c>
      <c r="B2062" s="325">
        <f t="shared" si="1582"/>
        <v>0</v>
      </c>
      <c r="C2062" s="325" t="s">
        <v>3722</v>
      </c>
      <c r="D2062" s="325">
        <f>Games!D27</f>
        <v>0</v>
      </c>
      <c r="E2062" s="325"/>
      <c r="F2062" s="325" t="s">
        <v>3723</v>
      </c>
      <c r="G2062" s="325" t="str">
        <f>IF(Games!V27="e","Y","")</f>
        <v/>
      </c>
      <c r="H2062" s="325" t="str">
        <f>Games!E27</f>
        <v/>
      </c>
      <c r="I2062" s="325" t="str">
        <f>Games!F27</f>
        <v/>
      </c>
      <c r="J2062" s="325" t="str">
        <f>Games!G27</f>
        <v/>
      </c>
      <c r="K2062" s="325"/>
      <c r="L2062" s="325"/>
      <c r="M2062" s="326" t="str">
        <f t="shared" si="1583"/>
        <v/>
      </c>
      <c r="N2062" s="325" t="str">
        <f t="shared" ref="N2062" si="1605">N2060</f>
        <v/>
      </c>
      <c r="O2062" s="325">
        <f t="shared" si="1585"/>
        <v>0</v>
      </c>
    </row>
    <row r="2063" spans="1:15" x14ac:dyDescent="0.25">
      <c r="A2063" s="2">
        <v>2</v>
      </c>
      <c r="B2063" s="2">
        <f>B2062</f>
        <v>0</v>
      </c>
      <c r="C2063" s="2" t="str">
        <f>C2062</f>
        <v>GD</v>
      </c>
      <c r="D2063" s="2">
        <f>D2062</f>
        <v>0</v>
      </c>
      <c r="F2063" s="2" t="str">
        <f>F2062</f>
        <v>Games Distance</v>
      </c>
      <c r="G2063" s="2" t="str">
        <f>G2062</f>
        <v/>
      </c>
      <c r="H2063" s="2" t="str">
        <f>H2062</f>
        <v/>
      </c>
      <c r="I2063" s="2" t="str">
        <f>I2062</f>
        <v/>
      </c>
      <c r="J2063" s="2" t="str">
        <f>J2062</f>
        <v/>
      </c>
      <c r="M2063" s="180" t="str">
        <f>M2062</f>
        <v/>
      </c>
      <c r="N2063" s="2" t="str">
        <f>N2061</f>
        <v/>
      </c>
      <c r="O2063" s="2">
        <f>O2062</f>
        <v>0</v>
      </c>
    </row>
    <row r="2064" spans="1:15" x14ac:dyDescent="0.25">
      <c r="A2064" s="325">
        <v>1</v>
      </c>
      <c r="B2064" s="325">
        <f t="shared" si="1582"/>
        <v>0</v>
      </c>
      <c r="C2064" s="325" t="s">
        <v>3722</v>
      </c>
      <c r="D2064" s="325">
        <f>Games!D28</f>
        <v>0</v>
      </c>
      <c r="E2064" s="325"/>
      <c r="F2064" s="325" t="s">
        <v>3723</v>
      </c>
      <c r="G2064" s="325" t="str">
        <f>IF(Games!V28="e","Y","")</f>
        <v/>
      </c>
      <c r="H2064" s="325" t="str">
        <f>Games!E28</f>
        <v/>
      </c>
      <c r="I2064" s="325" t="str">
        <f>Games!F28</f>
        <v/>
      </c>
      <c r="J2064" s="325" t="str">
        <f>Games!G28</f>
        <v/>
      </c>
      <c r="K2064" s="325"/>
      <c r="L2064" s="325"/>
      <c r="M2064" s="326" t="str">
        <f t="shared" si="1583"/>
        <v/>
      </c>
      <c r="N2064" s="325" t="str">
        <f t="shared" ref="N2064" si="1606">N2062</f>
        <v/>
      </c>
      <c r="O2064" s="325">
        <f t="shared" si="1585"/>
        <v>0</v>
      </c>
    </row>
    <row r="2065" spans="1:15" x14ac:dyDescent="0.25">
      <c r="A2065" s="2">
        <v>2</v>
      </c>
      <c r="B2065" s="2">
        <f>B2064</f>
        <v>0</v>
      </c>
      <c r="C2065" s="2" t="str">
        <f>C2064</f>
        <v>GD</v>
      </c>
      <c r="D2065" s="2">
        <f>D2064</f>
        <v>0</v>
      </c>
      <c r="F2065" s="2" t="str">
        <f>F2064</f>
        <v>Games Distance</v>
      </c>
      <c r="G2065" s="2" t="str">
        <f>G2064</f>
        <v/>
      </c>
      <c r="H2065" s="2" t="str">
        <f>H2064</f>
        <v/>
      </c>
      <c r="I2065" s="2" t="str">
        <f>I2064</f>
        <v/>
      </c>
      <c r="J2065" s="2" t="str">
        <f>J2064</f>
        <v/>
      </c>
      <c r="M2065" s="180" t="str">
        <f>M2064</f>
        <v/>
      </c>
      <c r="N2065" s="2" t="str">
        <f>N2063</f>
        <v/>
      </c>
      <c r="O2065" s="2">
        <f>O2064</f>
        <v>0</v>
      </c>
    </row>
    <row r="2066" spans="1:15" x14ac:dyDescent="0.25">
      <c r="A2066" s="325">
        <v>1</v>
      </c>
      <c r="B2066" s="325">
        <f t="shared" si="1582"/>
        <v>0</v>
      </c>
      <c r="C2066" s="325" t="s">
        <v>3722</v>
      </c>
      <c r="D2066" s="325">
        <f>Games!D29</f>
        <v>0</v>
      </c>
      <c r="E2066" s="325"/>
      <c r="F2066" s="325" t="s">
        <v>3723</v>
      </c>
      <c r="G2066" s="325" t="str">
        <f>IF(Games!V29="e","Y","")</f>
        <v/>
      </c>
      <c r="H2066" s="325" t="str">
        <f>Games!E29</f>
        <v/>
      </c>
      <c r="I2066" s="325" t="str">
        <f>Games!F29</f>
        <v/>
      </c>
      <c r="J2066" s="325" t="str">
        <f>Games!G29</f>
        <v/>
      </c>
      <c r="K2066" s="325"/>
      <c r="L2066" s="325"/>
      <c r="M2066" s="326" t="str">
        <f t="shared" si="1583"/>
        <v/>
      </c>
      <c r="N2066" s="325" t="str">
        <f t="shared" ref="N2066" si="1607">N2064</f>
        <v/>
      </c>
      <c r="O2066" s="325">
        <f t="shared" si="1585"/>
        <v>0</v>
      </c>
    </row>
    <row r="2067" spans="1:15" x14ac:dyDescent="0.25">
      <c r="A2067" s="2">
        <v>2</v>
      </c>
      <c r="B2067" s="2">
        <f>B2066</f>
        <v>0</v>
      </c>
      <c r="C2067" s="2" t="str">
        <f>C2066</f>
        <v>GD</v>
      </c>
      <c r="D2067" s="2">
        <f>D2066</f>
        <v>0</v>
      </c>
      <c r="F2067" s="2" t="str">
        <f>F2066</f>
        <v>Games Distance</v>
      </c>
      <c r="G2067" s="2" t="str">
        <f>G2066</f>
        <v/>
      </c>
      <c r="H2067" s="2" t="str">
        <f>H2066</f>
        <v/>
      </c>
      <c r="I2067" s="2" t="str">
        <f>I2066</f>
        <v/>
      </c>
      <c r="J2067" s="2" t="str">
        <f>J2066</f>
        <v/>
      </c>
      <c r="M2067" s="180" t="str">
        <f>M2066</f>
        <v/>
      </c>
      <c r="N2067" s="2" t="str">
        <f>N2065</f>
        <v/>
      </c>
      <c r="O2067" s="2">
        <f>O2066</f>
        <v>0</v>
      </c>
    </row>
    <row r="2068" spans="1:15" x14ac:dyDescent="0.25">
      <c r="A2068" s="325">
        <v>1</v>
      </c>
      <c r="B2068" s="325">
        <f t="shared" si="1582"/>
        <v>0</v>
      </c>
      <c r="C2068" s="325" t="s">
        <v>3722</v>
      </c>
      <c r="D2068" s="325">
        <f>Games!D30</f>
        <v>0</v>
      </c>
      <c r="E2068" s="325"/>
      <c r="F2068" s="325" t="s">
        <v>3723</v>
      </c>
      <c r="G2068" s="325" t="str">
        <f>IF(Games!V30="e","Y","")</f>
        <v/>
      </c>
      <c r="H2068" s="325" t="str">
        <f>Games!E30</f>
        <v/>
      </c>
      <c r="I2068" s="325" t="str">
        <f>Games!F30</f>
        <v/>
      </c>
      <c r="J2068" s="325" t="str">
        <f>Games!G30</f>
        <v/>
      </c>
      <c r="K2068" s="325"/>
      <c r="L2068" s="325"/>
      <c r="M2068" s="326" t="str">
        <f t="shared" si="1583"/>
        <v/>
      </c>
      <c r="N2068" s="325" t="str">
        <f t="shared" ref="N2068" si="1608">N2066</f>
        <v/>
      </c>
      <c r="O2068" s="325">
        <f t="shared" si="1585"/>
        <v>0</v>
      </c>
    </row>
    <row r="2069" spans="1:15" x14ac:dyDescent="0.25">
      <c r="A2069" s="2">
        <v>2</v>
      </c>
      <c r="B2069" s="2">
        <f>B2068</f>
        <v>0</v>
      </c>
      <c r="C2069" s="2" t="str">
        <f>C2068</f>
        <v>GD</v>
      </c>
      <c r="D2069" s="2">
        <f>D2068</f>
        <v>0</v>
      </c>
      <c r="F2069" s="2" t="str">
        <f>F2068</f>
        <v>Games Distance</v>
      </c>
      <c r="G2069" s="2" t="str">
        <f>G2068</f>
        <v/>
      </c>
      <c r="H2069" s="2" t="str">
        <f>H2068</f>
        <v/>
      </c>
      <c r="I2069" s="2" t="str">
        <f>I2068</f>
        <v/>
      </c>
      <c r="J2069" s="2" t="str">
        <f>J2068</f>
        <v/>
      </c>
      <c r="M2069" s="180" t="str">
        <f>M2068</f>
        <v/>
      </c>
      <c r="N2069" s="2" t="str">
        <f>N2067</f>
        <v/>
      </c>
      <c r="O2069" s="2">
        <f>O2068</f>
        <v>0</v>
      </c>
    </row>
    <row r="2070" spans="1:15" x14ac:dyDescent="0.25">
      <c r="A2070" s="325">
        <v>1</v>
      </c>
      <c r="B2070" s="325">
        <f t="shared" si="1582"/>
        <v>0</v>
      </c>
      <c r="C2070" s="325" t="s">
        <v>3722</v>
      </c>
      <c r="D2070" s="325">
        <f>Games!D31</f>
        <v>0</v>
      </c>
      <c r="E2070" s="325"/>
      <c r="F2070" s="325" t="s">
        <v>3723</v>
      </c>
      <c r="G2070" s="325" t="str">
        <f>IF(Games!V31="e","Y","")</f>
        <v/>
      </c>
      <c r="H2070" s="325" t="str">
        <f>Games!E31</f>
        <v/>
      </c>
      <c r="I2070" s="325" t="str">
        <f>Games!F31</f>
        <v/>
      </c>
      <c r="J2070" s="325" t="str">
        <f>Games!G31</f>
        <v/>
      </c>
      <c r="K2070" s="325"/>
      <c r="L2070" s="325"/>
      <c r="M2070" s="326" t="str">
        <f t="shared" si="1583"/>
        <v/>
      </c>
      <c r="N2070" s="325" t="str">
        <f t="shared" ref="N2070" si="1609">N2068</f>
        <v/>
      </c>
      <c r="O2070" s="325">
        <f t="shared" si="1585"/>
        <v>0</v>
      </c>
    </row>
    <row r="2071" spans="1:15" x14ac:dyDescent="0.25">
      <c r="A2071" s="2">
        <v>2</v>
      </c>
      <c r="B2071" s="2">
        <f>B2070</f>
        <v>0</v>
      </c>
      <c r="C2071" s="2" t="str">
        <f>C2070</f>
        <v>GD</v>
      </c>
      <c r="D2071" s="2">
        <f>D2070</f>
        <v>0</v>
      </c>
      <c r="F2071" s="2" t="str">
        <f>F2070</f>
        <v>Games Distance</v>
      </c>
      <c r="G2071" s="2" t="str">
        <f>G2070</f>
        <v/>
      </c>
      <c r="H2071" s="2" t="str">
        <f>H2070</f>
        <v/>
      </c>
      <c r="I2071" s="2" t="str">
        <f>I2070</f>
        <v/>
      </c>
      <c r="J2071" s="2" t="str">
        <f>J2070</f>
        <v/>
      </c>
      <c r="M2071" s="180" t="str">
        <f>M2070</f>
        <v/>
      </c>
      <c r="N2071" s="2" t="str">
        <f>N2069</f>
        <v/>
      </c>
      <c r="O2071" s="2">
        <f>O2070</f>
        <v>0</v>
      </c>
    </row>
    <row r="2072" spans="1:15" x14ac:dyDescent="0.25">
      <c r="A2072" s="325">
        <v>1</v>
      </c>
      <c r="B2072" s="325">
        <f t="shared" si="1582"/>
        <v>0</v>
      </c>
      <c r="C2072" s="325" t="s">
        <v>3722</v>
      </c>
      <c r="D2072" s="325">
        <f>Games!D32</f>
        <v>0</v>
      </c>
      <c r="E2072" s="325"/>
      <c r="F2072" s="325" t="s">
        <v>3723</v>
      </c>
      <c r="G2072" s="325" t="str">
        <f>IF(Games!V32="e","Y","")</f>
        <v/>
      </c>
      <c r="H2072" s="325" t="str">
        <f>Games!E32</f>
        <v/>
      </c>
      <c r="I2072" s="325" t="str">
        <f>Games!F32</f>
        <v/>
      </c>
      <c r="J2072" s="325" t="str">
        <f>Games!G32</f>
        <v/>
      </c>
      <c r="K2072" s="325"/>
      <c r="L2072" s="325"/>
      <c r="M2072" s="326" t="str">
        <f t="shared" si="1583"/>
        <v/>
      </c>
      <c r="N2072" s="325" t="str">
        <f t="shared" ref="N2072" si="1610">N2070</f>
        <v/>
      </c>
      <c r="O2072" s="325">
        <f t="shared" si="1585"/>
        <v>0</v>
      </c>
    </row>
    <row r="2073" spans="1:15" x14ac:dyDescent="0.25">
      <c r="A2073" s="2">
        <v>2</v>
      </c>
      <c r="B2073" s="2">
        <f>B2072</f>
        <v>0</v>
      </c>
      <c r="C2073" s="2" t="str">
        <f>C2072</f>
        <v>GD</v>
      </c>
      <c r="D2073" s="2">
        <f>D2072</f>
        <v>0</v>
      </c>
      <c r="F2073" s="2" t="str">
        <f>F2072</f>
        <v>Games Distance</v>
      </c>
      <c r="G2073" s="2" t="str">
        <f>G2072</f>
        <v/>
      </c>
      <c r="H2073" s="2" t="str">
        <f>H2072</f>
        <v/>
      </c>
      <c r="I2073" s="2" t="str">
        <f>I2072</f>
        <v/>
      </c>
      <c r="J2073" s="2" t="str">
        <f>J2072</f>
        <v/>
      </c>
      <c r="M2073" s="180" t="str">
        <f>M2072</f>
        <v/>
      </c>
      <c r="N2073" s="2" t="str">
        <f>N2071</f>
        <v/>
      </c>
      <c r="O2073" s="2">
        <f>O2072</f>
        <v>0</v>
      </c>
    </row>
    <row r="2074" spans="1:15" x14ac:dyDescent="0.25">
      <c r="A2074" s="325">
        <v>1</v>
      </c>
      <c r="B2074" s="325">
        <f t="shared" si="1582"/>
        <v>0</v>
      </c>
      <c r="C2074" s="325" t="s">
        <v>3722</v>
      </c>
      <c r="D2074" s="325">
        <f>Games!D33</f>
        <v>0</v>
      </c>
      <c r="E2074" s="325"/>
      <c r="F2074" s="325" t="s">
        <v>3723</v>
      </c>
      <c r="G2074" s="325" t="str">
        <f>IF(Games!V33="e","Y","")</f>
        <v/>
      </c>
      <c r="H2074" s="325" t="str">
        <f>Games!E33</f>
        <v/>
      </c>
      <c r="I2074" s="325" t="str">
        <f>Games!F33</f>
        <v/>
      </c>
      <c r="J2074" s="325" t="str">
        <f>Games!G33</f>
        <v/>
      </c>
      <c r="K2074" s="325"/>
      <c r="L2074" s="325"/>
      <c r="M2074" s="326" t="str">
        <f t="shared" si="1583"/>
        <v/>
      </c>
      <c r="N2074" s="325" t="str">
        <f t="shared" ref="N2074" si="1611">N2072</f>
        <v/>
      </c>
      <c r="O2074" s="325">
        <f t="shared" si="1585"/>
        <v>0</v>
      </c>
    </row>
    <row r="2075" spans="1:15" x14ac:dyDescent="0.25">
      <c r="A2075" s="2">
        <v>2</v>
      </c>
      <c r="B2075" s="2">
        <f>B2074</f>
        <v>0</v>
      </c>
      <c r="C2075" s="2" t="str">
        <f>C2074</f>
        <v>GD</v>
      </c>
      <c r="D2075" s="2">
        <f>D2074</f>
        <v>0</v>
      </c>
      <c r="F2075" s="2" t="str">
        <f>F2074</f>
        <v>Games Distance</v>
      </c>
      <c r="G2075" s="2" t="str">
        <f>G2074</f>
        <v/>
      </c>
      <c r="H2075" s="2" t="str">
        <f>H2074</f>
        <v/>
      </c>
      <c r="I2075" s="2" t="str">
        <f>I2074</f>
        <v/>
      </c>
      <c r="J2075" s="2" t="str">
        <f>J2074</f>
        <v/>
      </c>
      <c r="M2075" s="180" t="str">
        <f>M2074</f>
        <v/>
      </c>
      <c r="N2075" s="2" t="str">
        <f>N2073</f>
        <v/>
      </c>
      <c r="O2075" s="2">
        <f>O2074</f>
        <v>0</v>
      </c>
    </row>
    <row r="2076" spans="1:15" x14ac:dyDescent="0.25">
      <c r="A2076" s="325">
        <v>1</v>
      </c>
      <c r="B2076" s="325">
        <f t="shared" si="1582"/>
        <v>0</v>
      </c>
      <c r="C2076" s="325" t="s">
        <v>3722</v>
      </c>
      <c r="D2076" s="325">
        <f>Games!D34</f>
        <v>0</v>
      </c>
      <c r="E2076" s="325"/>
      <c r="F2076" s="325" t="s">
        <v>3723</v>
      </c>
      <c r="G2076" s="325" t="str">
        <f>IF(Games!V34="e","Y","")</f>
        <v/>
      </c>
      <c r="H2076" s="325" t="str">
        <f>Games!E34</f>
        <v/>
      </c>
      <c r="I2076" s="325" t="str">
        <f>Games!F34</f>
        <v/>
      </c>
      <c r="J2076" s="325" t="str">
        <f>Games!G34</f>
        <v/>
      </c>
      <c r="K2076" s="325"/>
      <c r="L2076" s="325"/>
      <c r="M2076" s="326" t="str">
        <f t="shared" si="1583"/>
        <v/>
      </c>
      <c r="N2076" s="325" t="str">
        <f t="shared" ref="N2076" si="1612">N2074</f>
        <v/>
      </c>
      <c r="O2076" s="325">
        <f t="shared" si="1585"/>
        <v>0</v>
      </c>
    </row>
    <row r="2077" spans="1:15" x14ac:dyDescent="0.25">
      <c r="A2077" s="2">
        <v>2</v>
      </c>
      <c r="B2077" s="2">
        <f>B2076</f>
        <v>0</v>
      </c>
      <c r="C2077" s="2" t="str">
        <f>C2076</f>
        <v>GD</v>
      </c>
      <c r="D2077" s="2">
        <f>D2076</f>
        <v>0</v>
      </c>
      <c r="F2077" s="2" t="str">
        <f>F2076</f>
        <v>Games Distance</v>
      </c>
      <c r="G2077" s="2" t="str">
        <f>G2076</f>
        <v/>
      </c>
      <c r="H2077" s="2" t="str">
        <f>H2076</f>
        <v/>
      </c>
      <c r="I2077" s="2" t="str">
        <f>I2076</f>
        <v/>
      </c>
      <c r="J2077" s="2" t="str">
        <f>J2076</f>
        <v/>
      </c>
      <c r="M2077" s="180" t="str">
        <f>M2076</f>
        <v/>
      </c>
      <c r="N2077" s="2" t="str">
        <f>N2075</f>
        <v/>
      </c>
      <c r="O2077" s="2">
        <f>O2076</f>
        <v>0</v>
      </c>
    </row>
    <row r="2078" spans="1:15" x14ac:dyDescent="0.25">
      <c r="A2078" s="325">
        <v>1</v>
      </c>
      <c r="B2078" s="325">
        <f t="shared" si="1582"/>
        <v>0</v>
      </c>
      <c r="C2078" s="325" t="s">
        <v>3722</v>
      </c>
      <c r="D2078" s="325">
        <f>Games!D35</f>
        <v>0</v>
      </c>
      <c r="E2078" s="325"/>
      <c r="F2078" s="325" t="s">
        <v>3723</v>
      </c>
      <c r="G2078" s="325" t="str">
        <f>IF(Games!V35="e","Y","")</f>
        <v/>
      </c>
      <c r="H2078" s="325" t="str">
        <f>Games!E35</f>
        <v/>
      </c>
      <c r="I2078" s="325" t="str">
        <f>Games!F35</f>
        <v/>
      </c>
      <c r="J2078" s="325" t="str">
        <f>Games!G35</f>
        <v/>
      </c>
      <c r="K2078" s="325"/>
      <c r="L2078" s="325"/>
      <c r="M2078" s="326" t="str">
        <f t="shared" si="1583"/>
        <v/>
      </c>
      <c r="N2078" s="325" t="str">
        <f t="shared" ref="N2078" si="1613">N2076</f>
        <v/>
      </c>
      <c r="O2078" s="325">
        <f t="shared" si="1585"/>
        <v>0</v>
      </c>
    </row>
    <row r="2079" spans="1:15" x14ac:dyDescent="0.25">
      <c r="A2079" s="2">
        <v>2</v>
      </c>
      <c r="B2079" s="2">
        <f>B2078</f>
        <v>0</v>
      </c>
      <c r="C2079" s="2" t="str">
        <f>C2078</f>
        <v>GD</v>
      </c>
      <c r="D2079" s="2">
        <f>D2078</f>
        <v>0</v>
      </c>
      <c r="F2079" s="2" t="str">
        <f>F2078</f>
        <v>Games Distance</v>
      </c>
      <c r="G2079" s="2" t="str">
        <f>G2078</f>
        <v/>
      </c>
      <c r="H2079" s="2" t="str">
        <f>H2078</f>
        <v/>
      </c>
      <c r="I2079" s="2" t="str">
        <f>I2078</f>
        <v/>
      </c>
      <c r="J2079" s="2" t="str">
        <f>J2078</f>
        <v/>
      </c>
      <c r="M2079" s="180" t="str">
        <f>M2078</f>
        <v/>
      </c>
      <c r="N2079" s="2" t="str">
        <f>N2077</f>
        <v/>
      </c>
      <c r="O2079" s="2">
        <f>O2078</f>
        <v>0</v>
      </c>
    </row>
    <row r="2080" spans="1:15" x14ac:dyDescent="0.25">
      <c r="A2080" s="325">
        <v>1</v>
      </c>
      <c r="B2080" s="325">
        <f t="shared" si="1582"/>
        <v>0</v>
      </c>
      <c r="C2080" s="325" t="s">
        <v>3722</v>
      </c>
      <c r="D2080" s="325">
        <f>Games!D36</f>
        <v>0</v>
      </c>
      <c r="E2080" s="325"/>
      <c r="F2080" s="325" t="s">
        <v>3723</v>
      </c>
      <c r="G2080" s="325" t="str">
        <f>IF(Games!V36="e","Y","")</f>
        <v/>
      </c>
      <c r="H2080" s="325" t="str">
        <f>Games!E36</f>
        <v/>
      </c>
      <c r="I2080" s="325" t="str">
        <f>Games!F36</f>
        <v/>
      </c>
      <c r="J2080" s="325" t="str">
        <f>Games!G36</f>
        <v/>
      </c>
      <c r="K2080" s="325"/>
      <c r="L2080" s="325"/>
      <c r="M2080" s="326" t="str">
        <f t="shared" si="1583"/>
        <v/>
      </c>
      <c r="N2080" s="325" t="str">
        <f t="shared" ref="N2080" si="1614">N2078</f>
        <v/>
      </c>
      <c r="O2080" s="325">
        <f t="shared" si="1585"/>
        <v>0</v>
      </c>
    </row>
    <row r="2081" spans="1:15" x14ac:dyDescent="0.25">
      <c r="A2081" s="2">
        <v>2</v>
      </c>
      <c r="B2081" s="2">
        <f>B2080</f>
        <v>0</v>
      </c>
      <c r="C2081" s="2" t="str">
        <f>C2080</f>
        <v>GD</v>
      </c>
      <c r="D2081" s="2">
        <f>D2080</f>
        <v>0</v>
      </c>
      <c r="F2081" s="2" t="str">
        <f>F2080</f>
        <v>Games Distance</v>
      </c>
      <c r="G2081" s="2" t="str">
        <f>G2080</f>
        <v/>
      </c>
      <c r="H2081" s="2" t="str">
        <f>H2080</f>
        <v/>
      </c>
      <c r="I2081" s="2" t="str">
        <f>I2080</f>
        <v/>
      </c>
      <c r="J2081" s="2" t="str">
        <f>J2080</f>
        <v/>
      </c>
      <c r="M2081" s="180" t="str">
        <f>M2080</f>
        <v/>
      </c>
      <c r="N2081" s="2" t="str">
        <f>N2079</f>
        <v/>
      </c>
      <c r="O2081" s="2">
        <f>O2080</f>
        <v>0</v>
      </c>
    </row>
    <row r="2082" spans="1:15" x14ac:dyDescent="0.25">
      <c r="A2082" s="325">
        <v>1</v>
      </c>
      <c r="B2082" s="325">
        <f t="shared" si="1582"/>
        <v>0</v>
      </c>
      <c r="C2082" s="325" t="s">
        <v>3722</v>
      </c>
      <c r="D2082" s="325">
        <f>Games!D37</f>
        <v>0</v>
      </c>
      <c r="E2082" s="325"/>
      <c r="F2082" s="325" t="s">
        <v>3723</v>
      </c>
      <c r="G2082" s="325" t="str">
        <f>IF(Games!V37="e","Y","")</f>
        <v/>
      </c>
      <c r="H2082" s="325" t="str">
        <f>Games!E37</f>
        <v/>
      </c>
      <c r="I2082" s="325" t="str">
        <f>Games!F37</f>
        <v/>
      </c>
      <c r="J2082" s="325" t="str">
        <f>Games!G37</f>
        <v/>
      </c>
      <c r="K2082" s="325"/>
      <c r="L2082" s="325"/>
      <c r="M2082" s="326" t="str">
        <f t="shared" si="1583"/>
        <v/>
      </c>
      <c r="N2082" s="325" t="str">
        <f t="shared" ref="N2082" si="1615">N2080</f>
        <v/>
      </c>
      <c r="O2082" s="325">
        <f t="shared" si="1585"/>
        <v>0</v>
      </c>
    </row>
    <row r="2083" spans="1:15" x14ac:dyDescent="0.25">
      <c r="A2083" s="2">
        <v>2</v>
      </c>
      <c r="B2083" s="2">
        <f>B2082</f>
        <v>0</v>
      </c>
      <c r="C2083" s="2" t="str">
        <f>C2082</f>
        <v>GD</v>
      </c>
      <c r="D2083" s="2">
        <f>D2082</f>
        <v>0</v>
      </c>
      <c r="F2083" s="2" t="str">
        <f>F2082</f>
        <v>Games Distance</v>
      </c>
      <c r="G2083" s="2" t="str">
        <f>G2082</f>
        <v/>
      </c>
      <c r="H2083" s="2" t="str">
        <f>H2082</f>
        <v/>
      </c>
      <c r="I2083" s="2" t="str">
        <f>I2082</f>
        <v/>
      </c>
      <c r="J2083" s="2" t="str">
        <f>J2082</f>
        <v/>
      </c>
      <c r="M2083" s="180" t="str">
        <f>M2082</f>
        <v/>
      </c>
      <c r="N2083" s="2" t="str">
        <f>N2081</f>
        <v/>
      </c>
      <c r="O2083" s="2">
        <f>O2082</f>
        <v>0</v>
      </c>
    </row>
    <row r="2084" spans="1:15" x14ac:dyDescent="0.25">
      <c r="A2084" s="325">
        <v>1</v>
      </c>
      <c r="B2084" s="325">
        <f t="shared" si="1582"/>
        <v>0</v>
      </c>
      <c r="C2084" s="325" t="s">
        <v>3722</v>
      </c>
      <c r="D2084" s="325">
        <f>Games!D38</f>
        <v>0</v>
      </c>
      <c r="E2084" s="325"/>
      <c r="F2084" s="325" t="s">
        <v>3723</v>
      </c>
      <c r="G2084" s="325" t="str">
        <f>IF(Games!V38="e","Y","")</f>
        <v/>
      </c>
      <c r="H2084" s="325" t="str">
        <f>Games!E38</f>
        <v/>
      </c>
      <c r="I2084" s="325" t="str">
        <f>Games!F38</f>
        <v/>
      </c>
      <c r="J2084" s="325" t="str">
        <f>Games!G38</f>
        <v/>
      </c>
      <c r="K2084" s="325"/>
      <c r="L2084" s="325"/>
      <c r="M2084" s="326" t="str">
        <f t="shared" si="1583"/>
        <v/>
      </c>
      <c r="N2084" s="325" t="str">
        <f t="shared" ref="N2084" si="1616">N2082</f>
        <v/>
      </c>
      <c r="O2084" s="325">
        <f t="shared" si="1585"/>
        <v>0</v>
      </c>
    </row>
    <row r="2085" spans="1:15" x14ac:dyDescent="0.25">
      <c r="A2085" s="2">
        <v>2</v>
      </c>
      <c r="B2085" s="2">
        <f>B2084</f>
        <v>0</v>
      </c>
      <c r="C2085" s="2" t="str">
        <f>C2084</f>
        <v>GD</v>
      </c>
      <c r="D2085" s="2">
        <f>D2084</f>
        <v>0</v>
      </c>
      <c r="F2085" s="2" t="str">
        <f>F2084</f>
        <v>Games Distance</v>
      </c>
      <c r="G2085" s="2" t="str">
        <f>G2084</f>
        <v/>
      </c>
      <c r="H2085" s="2" t="str">
        <f>H2084</f>
        <v/>
      </c>
      <c r="I2085" s="2" t="str">
        <f>I2084</f>
        <v/>
      </c>
      <c r="J2085" s="2" t="str">
        <f>J2084</f>
        <v/>
      </c>
      <c r="M2085" s="180" t="str">
        <f>M2084</f>
        <v/>
      </c>
      <c r="N2085" s="2" t="str">
        <f>N2083</f>
        <v/>
      </c>
      <c r="O2085" s="2">
        <f>O2084</f>
        <v>0</v>
      </c>
    </row>
    <row r="2086" spans="1:15" x14ac:dyDescent="0.25">
      <c r="A2086" s="325">
        <v>1</v>
      </c>
      <c r="B2086" s="325">
        <f t="shared" ref="B2086:B2120" si="1617">TrialNumber</f>
        <v>0</v>
      </c>
      <c r="C2086" s="325" t="s">
        <v>3722</v>
      </c>
      <c r="D2086" s="325">
        <f>Games!D39</f>
        <v>0</v>
      </c>
      <c r="E2086" s="325"/>
      <c r="F2086" s="325" t="s">
        <v>3723</v>
      </c>
      <c r="G2086" s="325" t="str">
        <f>IF(Games!V39="e","Y","")</f>
        <v/>
      </c>
      <c r="H2086" s="325" t="str">
        <f>Games!E39</f>
        <v/>
      </c>
      <c r="I2086" s="325" t="str">
        <f>Games!F39</f>
        <v/>
      </c>
      <c r="J2086" s="325" t="str">
        <f>Games!G39</f>
        <v/>
      </c>
      <c r="K2086" s="325"/>
      <c r="L2086" s="325"/>
      <c r="M2086" s="326" t="str">
        <f t="shared" ref="M2086:M2120" si="1618">TrialDate</f>
        <v/>
      </c>
      <c r="N2086" s="325" t="str">
        <f t="shared" ref="N2086" si="1619">N2084</f>
        <v/>
      </c>
      <c r="O2086" s="325">
        <f t="shared" ref="O2086:O2120" si="1620">JudgeD1GamesDistance</f>
        <v>0</v>
      </c>
    </row>
    <row r="2087" spans="1:15" x14ac:dyDescent="0.25">
      <c r="A2087" s="2">
        <v>2</v>
      </c>
      <c r="B2087" s="2">
        <f>B2086</f>
        <v>0</v>
      </c>
      <c r="C2087" s="2" t="str">
        <f>C2086</f>
        <v>GD</v>
      </c>
      <c r="D2087" s="2">
        <f>D2086</f>
        <v>0</v>
      </c>
      <c r="F2087" s="2" t="str">
        <f>F2086</f>
        <v>Games Distance</v>
      </c>
      <c r="G2087" s="2" t="str">
        <f>G2086</f>
        <v/>
      </c>
      <c r="H2087" s="2" t="str">
        <f>H2086</f>
        <v/>
      </c>
      <c r="I2087" s="2" t="str">
        <f>I2086</f>
        <v/>
      </c>
      <c r="J2087" s="2" t="str">
        <f>J2086</f>
        <v/>
      </c>
      <c r="M2087" s="180" t="str">
        <f>M2086</f>
        <v/>
      </c>
      <c r="N2087" s="2" t="str">
        <f>N2085</f>
        <v/>
      </c>
      <c r="O2087" s="2">
        <f>O2086</f>
        <v>0</v>
      </c>
    </row>
    <row r="2088" spans="1:15" x14ac:dyDescent="0.25">
      <c r="A2088" s="325">
        <v>1</v>
      </c>
      <c r="B2088" s="325">
        <f t="shared" si="1617"/>
        <v>0</v>
      </c>
      <c r="C2088" s="325" t="s">
        <v>3722</v>
      </c>
      <c r="D2088" s="325">
        <f>Games!D40</f>
        <v>0</v>
      </c>
      <c r="E2088" s="325"/>
      <c r="F2088" s="325" t="s">
        <v>3723</v>
      </c>
      <c r="G2088" s="325" t="str">
        <f>IF(Games!V40="e","Y","")</f>
        <v/>
      </c>
      <c r="H2088" s="325" t="str">
        <f>Games!E40</f>
        <v/>
      </c>
      <c r="I2088" s="325" t="str">
        <f>Games!F40</f>
        <v/>
      </c>
      <c r="J2088" s="325" t="str">
        <f>Games!G40</f>
        <v/>
      </c>
      <c r="K2088" s="325"/>
      <c r="L2088" s="325"/>
      <c r="M2088" s="326" t="str">
        <f t="shared" si="1618"/>
        <v/>
      </c>
      <c r="N2088" s="325" t="str">
        <f t="shared" ref="N2088" si="1621">N2086</f>
        <v/>
      </c>
      <c r="O2088" s="325">
        <f t="shared" si="1620"/>
        <v>0</v>
      </c>
    </row>
    <row r="2089" spans="1:15" x14ac:dyDescent="0.25">
      <c r="A2089" s="2">
        <v>2</v>
      </c>
      <c r="B2089" s="2">
        <f>B2088</f>
        <v>0</v>
      </c>
      <c r="C2089" s="2" t="str">
        <f>C2088</f>
        <v>GD</v>
      </c>
      <c r="D2089" s="2">
        <f>D2088</f>
        <v>0</v>
      </c>
      <c r="F2089" s="2" t="str">
        <f>F2088</f>
        <v>Games Distance</v>
      </c>
      <c r="G2089" s="2" t="str">
        <f>G2088</f>
        <v/>
      </c>
      <c r="H2089" s="2" t="str">
        <f>H2088</f>
        <v/>
      </c>
      <c r="I2089" s="2" t="str">
        <f>I2088</f>
        <v/>
      </c>
      <c r="J2089" s="2" t="str">
        <f>J2088</f>
        <v/>
      </c>
      <c r="M2089" s="180" t="str">
        <f>M2088</f>
        <v/>
      </c>
      <c r="N2089" s="2" t="str">
        <f>N2087</f>
        <v/>
      </c>
      <c r="O2089" s="2">
        <f>O2088</f>
        <v>0</v>
      </c>
    </row>
    <row r="2090" spans="1:15" x14ac:dyDescent="0.25">
      <c r="A2090" s="325">
        <v>1</v>
      </c>
      <c r="B2090" s="325">
        <f t="shared" si="1617"/>
        <v>0</v>
      </c>
      <c r="C2090" s="325" t="s">
        <v>3722</v>
      </c>
      <c r="D2090" s="325">
        <f>Games!D41</f>
        <v>0</v>
      </c>
      <c r="E2090" s="325"/>
      <c r="F2090" s="325" t="s">
        <v>3723</v>
      </c>
      <c r="G2090" s="325" t="str">
        <f>IF(Games!V41="e","Y","")</f>
        <v/>
      </c>
      <c r="H2090" s="325" t="str">
        <f>Games!E41</f>
        <v/>
      </c>
      <c r="I2090" s="325" t="str">
        <f>Games!F41</f>
        <v/>
      </c>
      <c r="J2090" s="325" t="str">
        <f>Games!G41</f>
        <v/>
      </c>
      <c r="K2090" s="325"/>
      <c r="L2090" s="325"/>
      <c r="M2090" s="326" t="str">
        <f t="shared" si="1618"/>
        <v/>
      </c>
      <c r="N2090" s="325" t="str">
        <f t="shared" ref="N2090" si="1622">N2088</f>
        <v/>
      </c>
      <c r="O2090" s="325">
        <f t="shared" si="1620"/>
        <v>0</v>
      </c>
    </row>
    <row r="2091" spans="1:15" x14ac:dyDescent="0.25">
      <c r="A2091" s="2">
        <v>2</v>
      </c>
      <c r="B2091" s="2">
        <f>B2090</f>
        <v>0</v>
      </c>
      <c r="C2091" s="2" t="str">
        <f>C2090</f>
        <v>GD</v>
      </c>
      <c r="D2091" s="2">
        <f>D2090</f>
        <v>0</v>
      </c>
      <c r="F2091" s="2" t="str">
        <f>F2090</f>
        <v>Games Distance</v>
      </c>
      <c r="G2091" s="2" t="str">
        <f>G2090</f>
        <v/>
      </c>
      <c r="H2091" s="2" t="str">
        <f>H2090</f>
        <v/>
      </c>
      <c r="I2091" s="2" t="str">
        <f>I2090</f>
        <v/>
      </c>
      <c r="J2091" s="2" t="str">
        <f>J2090</f>
        <v/>
      </c>
      <c r="M2091" s="180" t="str">
        <f>M2090</f>
        <v/>
      </c>
      <c r="N2091" s="2" t="str">
        <f>N2089</f>
        <v/>
      </c>
      <c r="O2091" s="2">
        <f>O2090</f>
        <v>0</v>
      </c>
    </row>
    <row r="2092" spans="1:15" x14ac:dyDescent="0.25">
      <c r="A2092" s="325">
        <v>1</v>
      </c>
      <c r="B2092" s="325">
        <f t="shared" si="1617"/>
        <v>0</v>
      </c>
      <c r="C2092" s="325" t="s">
        <v>3722</v>
      </c>
      <c r="D2092" s="325">
        <f>Games!D42</f>
        <v>0</v>
      </c>
      <c r="E2092" s="325"/>
      <c r="F2092" s="325" t="s">
        <v>3723</v>
      </c>
      <c r="G2092" s="325" t="str">
        <f>IF(Games!V42="e","Y","")</f>
        <v/>
      </c>
      <c r="H2092" s="325" t="str">
        <f>Games!E42</f>
        <v/>
      </c>
      <c r="I2092" s="325" t="str">
        <f>Games!F42</f>
        <v/>
      </c>
      <c r="J2092" s="325" t="str">
        <f>Games!G42</f>
        <v/>
      </c>
      <c r="K2092" s="325"/>
      <c r="L2092" s="325"/>
      <c r="M2092" s="326" t="str">
        <f t="shared" si="1618"/>
        <v/>
      </c>
      <c r="N2092" s="325" t="str">
        <f t="shared" ref="N2092" si="1623">N2090</f>
        <v/>
      </c>
      <c r="O2092" s="325">
        <f t="shared" si="1620"/>
        <v>0</v>
      </c>
    </row>
    <row r="2093" spans="1:15" x14ac:dyDescent="0.25">
      <c r="A2093" s="2">
        <v>2</v>
      </c>
      <c r="B2093" s="2">
        <f>B2092</f>
        <v>0</v>
      </c>
      <c r="C2093" s="2" t="str">
        <f>C2092</f>
        <v>GD</v>
      </c>
      <c r="D2093" s="2">
        <f>D2092</f>
        <v>0</v>
      </c>
      <c r="F2093" s="2" t="str">
        <f>F2092</f>
        <v>Games Distance</v>
      </c>
      <c r="G2093" s="2" t="str">
        <f>G2092</f>
        <v/>
      </c>
      <c r="H2093" s="2" t="str">
        <f>H2092</f>
        <v/>
      </c>
      <c r="I2093" s="2" t="str">
        <f>I2092</f>
        <v/>
      </c>
      <c r="J2093" s="2" t="str">
        <f>J2092</f>
        <v/>
      </c>
      <c r="M2093" s="180" t="str">
        <f>M2092</f>
        <v/>
      </c>
      <c r="N2093" s="2" t="str">
        <f>N2091</f>
        <v/>
      </c>
      <c r="O2093" s="2">
        <f>O2092</f>
        <v>0</v>
      </c>
    </row>
    <row r="2094" spans="1:15" x14ac:dyDescent="0.25">
      <c r="A2094" s="325">
        <v>1</v>
      </c>
      <c r="B2094" s="325">
        <f t="shared" si="1617"/>
        <v>0</v>
      </c>
      <c r="C2094" s="325" t="s">
        <v>3722</v>
      </c>
      <c r="D2094" s="325">
        <f>Games!D43</f>
        <v>0</v>
      </c>
      <c r="E2094" s="325"/>
      <c r="F2094" s="325" t="s">
        <v>3723</v>
      </c>
      <c r="G2094" s="325" t="str">
        <f>IF(Games!V43="e","Y","")</f>
        <v/>
      </c>
      <c r="H2094" s="325" t="str">
        <f>Games!E43</f>
        <v/>
      </c>
      <c r="I2094" s="325" t="str">
        <f>Games!F43</f>
        <v/>
      </c>
      <c r="J2094" s="325" t="str">
        <f>Games!G43</f>
        <v/>
      </c>
      <c r="K2094" s="325"/>
      <c r="L2094" s="325"/>
      <c r="M2094" s="326" t="str">
        <f t="shared" si="1618"/>
        <v/>
      </c>
      <c r="N2094" s="325" t="str">
        <f t="shared" ref="N2094" si="1624">N2092</f>
        <v/>
      </c>
      <c r="O2094" s="325">
        <f t="shared" si="1620"/>
        <v>0</v>
      </c>
    </row>
    <row r="2095" spans="1:15" x14ac:dyDescent="0.25">
      <c r="A2095" s="2">
        <v>2</v>
      </c>
      <c r="B2095" s="2">
        <f>B2094</f>
        <v>0</v>
      </c>
      <c r="C2095" s="2" t="str">
        <f>C2094</f>
        <v>GD</v>
      </c>
      <c r="D2095" s="2">
        <f>D2094</f>
        <v>0</v>
      </c>
      <c r="F2095" s="2" t="str">
        <f>F2094</f>
        <v>Games Distance</v>
      </c>
      <c r="G2095" s="2" t="str">
        <f>G2094</f>
        <v/>
      </c>
      <c r="H2095" s="2" t="str">
        <f>H2094</f>
        <v/>
      </c>
      <c r="I2095" s="2" t="str">
        <f>I2094</f>
        <v/>
      </c>
      <c r="J2095" s="2" t="str">
        <f>J2094</f>
        <v/>
      </c>
      <c r="M2095" s="180" t="str">
        <f>M2094</f>
        <v/>
      </c>
      <c r="N2095" s="2" t="str">
        <f>N2093</f>
        <v/>
      </c>
      <c r="O2095" s="2">
        <f>O2094</f>
        <v>0</v>
      </c>
    </row>
    <row r="2096" spans="1:15" x14ac:dyDescent="0.25">
      <c r="A2096" s="325">
        <v>1</v>
      </c>
      <c r="B2096" s="325">
        <f t="shared" si="1617"/>
        <v>0</v>
      </c>
      <c r="C2096" s="325" t="s">
        <v>3722</v>
      </c>
      <c r="D2096" s="325">
        <f>Games!D44</f>
        <v>0</v>
      </c>
      <c r="E2096" s="325"/>
      <c r="F2096" s="325" t="s">
        <v>3723</v>
      </c>
      <c r="G2096" s="325" t="str">
        <f>IF(Games!V44="e","Y","")</f>
        <v/>
      </c>
      <c r="H2096" s="325" t="str">
        <f>Games!E44</f>
        <v/>
      </c>
      <c r="I2096" s="325" t="str">
        <f>Games!F44</f>
        <v/>
      </c>
      <c r="J2096" s="325" t="str">
        <f>Games!G44</f>
        <v/>
      </c>
      <c r="K2096" s="325"/>
      <c r="L2096" s="325"/>
      <c r="M2096" s="326" t="str">
        <f t="shared" si="1618"/>
        <v/>
      </c>
      <c r="N2096" s="325" t="str">
        <f t="shared" ref="N2096" si="1625">N2094</f>
        <v/>
      </c>
      <c r="O2096" s="325">
        <f t="shared" si="1620"/>
        <v>0</v>
      </c>
    </row>
    <row r="2097" spans="1:15" x14ac:dyDescent="0.25">
      <c r="A2097" s="2">
        <v>2</v>
      </c>
      <c r="B2097" s="2">
        <f>B2096</f>
        <v>0</v>
      </c>
      <c r="C2097" s="2" t="str">
        <f>C2096</f>
        <v>GD</v>
      </c>
      <c r="D2097" s="2">
        <f>D2096</f>
        <v>0</v>
      </c>
      <c r="F2097" s="2" t="str">
        <f>F2096</f>
        <v>Games Distance</v>
      </c>
      <c r="G2097" s="2" t="str">
        <f>G2096</f>
        <v/>
      </c>
      <c r="H2097" s="2" t="str">
        <f>H2096</f>
        <v/>
      </c>
      <c r="I2097" s="2" t="str">
        <f>I2096</f>
        <v/>
      </c>
      <c r="J2097" s="2" t="str">
        <f>J2096</f>
        <v/>
      </c>
      <c r="M2097" s="180" t="str">
        <f>M2096</f>
        <v/>
      </c>
      <c r="N2097" s="2" t="str">
        <f>N2095</f>
        <v/>
      </c>
      <c r="O2097" s="2">
        <f>O2096</f>
        <v>0</v>
      </c>
    </row>
    <row r="2098" spans="1:15" x14ac:dyDescent="0.25">
      <c r="A2098" s="325">
        <v>1</v>
      </c>
      <c r="B2098" s="325">
        <f t="shared" si="1617"/>
        <v>0</v>
      </c>
      <c r="C2098" s="325" t="s">
        <v>3722</v>
      </c>
      <c r="D2098" s="325">
        <f>Games!D45</f>
        <v>0</v>
      </c>
      <c r="E2098" s="325"/>
      <c r="F2098" s="325" t="s">
        <v>3723</v>
      </c>
      <c r="G2098" s="325" t="str">
        <f>IF(Games!V45="e","Y","")</f>
        <v/>
      </c>
      <c r="H2098" s="325" t="str">
        <f>Games!E45</f>
        <v/>
      </c>
      <c r="I2098" s="325" t="str">
        <f>Games!F45</f>
        <v/>
      </c>
      <c r="J2098" s="325" t="str">
        <f>Games!G45</f>
        <v/>
      </c>
      <c r="K2098" s="325"/>
      <c r="L2098" s="325"/>
      <c r="M2098" s="326" t="str">
        <f t="shared" si="1618"/>
        <v/>
      </c>
      <c r="N2098" s="325" t="str">
        <f t="shared" ref="N2098" si="1626">N2096</f>
        <v/>
      </c>
      <c r="O2098" s="325">
        <f t="shared" si="1620"/>
        <v>0</v>
      </c>
    </row>
    <row r="2099" spans="1:15" x14ac:dyDescent="0.25">
      <c r="A2099" s="2">
        <v>2</v>
      </c>
      <c r="B2099" s="2">
        <f>B2098</f>
        <v>0</v>
      </c>
      <c r="C2099" s="2" t="str">
        <f>C2098</f>
        <v>GD</v>
      </c>
      <c r="D2099" s="2">
        <f>D2098</f>
        <v>0</v>
      </c>
      <c r="F2099" s="2" t="str">
        <f>F2098</f>
        <v>Games Distance</v>
      </c>
      <c r="G2099" s="2" t="str">
        <f>G2098</f>
        <v/>
      </c>
      <c r="H2099" s="2" t="str">
        <f>H2098</f>
        <v/>
      </c>
      <c r="I2099" s="2" t="str">
        <f>I2098</f>
        <v/>
      </c>
      <c r="J2099" s="2" t="str">
        <f>J2098</f>
        <v/>
      </c>
      <c r="M2099" s="180" t="str">
        <f>M2098</f>
        <v/>
      </c>
      <c r="N2099" s="2" t="str">
        <f>N2097</f>
        <v/>
      </c>
      <c r="O2099" s="2">
        <f>O2098</f>
        <v>0</v>
      </c>
    </row>
    <row r="2100" spans="1:15" x14ac:dyDescent="0.25">
      <c r="A2100" s="325">
        <v>1</v>
      </c>
      <c r="B2100" s="325">
        <f t="shared" si="1617"/>
        <v>0</v>
      </c>
      <c r="C2100" s="325" t="s">
        <v>3722</v>
      </c>
      <c r="D2100" s="325">
        <f>Games!D46</f>
        <v>0</v>
      </c>
      <c r="E2100" s="325"/>
      <c r="F2100" s="325" t="s">
        <v>3723</v>
      </c>
      <c r="G2100" s="325" t="str">
        <f>IF(Games!V46="e","Y","")</f>
        <v/>
      </c>
      <c r="H2100" s="325" t="str">
        <f>Games!E46</f>
        <v/>
      </c>
      <c r="I2100" s="325" t="str">
        <f>Games!F46</f>
        <v/>
      </c>
      <c r="J2100" s="325" t="str">
        <f>Games!G46</f>
        <v/>
      </c>
      <c r="K2100" s="325"/>
      <c r="L2100" s="325"/>
      <c r="M2100" s="326" t="str">
        <f t="shared" si="1618"/>
        <v/>
      </c>
      <c r="N2100" s="325" t="str">
        <f t="shared" ref="N2100" si="1627">N2098</f>
        <v/>
      </c>
      <c r="O2100" s="325">
        <f t="shared" si="1620"/>
        <v>0</v>
      </c>
    </row>
    <row r="2101" spans="1:15" x14ac:dyDescent="0.25">
      <c r="A2101" s="2">
        <v>2</v>
      </c>
      <c r="B2101" s="2">
        <f>B2100</f>
        <v>0</v>
      </c>
      <c r="C2101" s="2" t="str">
        <f>C2100</f>
        <v>GD</v>
      </c>
      <c r="D2101" s="2">
        <f>D2100</f>
        <v>0</v>
      </c>
      <c r="F2101" s="2" t="str">
        <f>F2100</f>
        <v>Games Distance</v>
      </c>
      <c r="G2101" s="2" t="str">
        <f>G2100</f>
        <v/>
      </c>
      <c r="H2101" s="2" t="str">
        <f>H2100</f>
        <v/>
      </c>
      <c r="I2101" s="2" t="str">
        <f>I2100</f>
        <v/>
      </c>
      <c r="J2101" s="2" t="str">
        <f>J2100</f>
        <v/>
      </c>
      <c r="M2101" s="180" t="str">
        <f>M2100</f>
        <v/>
      </c>
      <c r="N2101" s="2" t="str">
        <f>N2099</f>
        <v/>
      </c>
      <c r="O2101" s="2">
        <f>O2100</f>
        <v>0</v>
      </c>
    </row>
    <row r="2102" spans="1:15" x14ac:dyDescent="0.25">
      <c r="A2102" s="325">
        <v>1</v>
      </c>
      <c r="B2102" s="325">
        <f t="shared" si="1617"/>
        <v>0</v>
      </c>
      <c r="C2102" s="325" t="s">
        <v>3722</v>
      </c>
      <c r="D2102" s="325">
        <f>Games!D47</f>
        <v>0</v>
      </c>
      <c r="E2102" s="325"/>
      <c r="F2102" s="325" t="s">
        <v>3723</v>
      </c>
      <c r="G2102" s="325" t="str">
        <f>IF(Games!V47="e","Y","")</f>
        <v/>
      </c>
      <c r="H2102" s="325" t="str">
        <f>Games!E47</f>
        <v/>
      </c>
      <c r="I2102" s="325" t="str">
        <f>Games!F47</f>
        <v/>
      </c>
      <c r="J2102" s="325" t="str">
        <f>Games!G47</f>
        <v/>
      </c>
      <c r="K2102" s="325"/>
      <c r="L2102" s="325"/>
      <c r="M2102" s="326" t="str">
        <f t="shared" si="1618"/>
        <v/>
      </c>
      <c r="N2102" s="325" t="str">
        <f t="shared" ref="N2102" si="1628">N2100</f>
        <v/>
      </c>
      <c r="O2102" s="325">
        <f t="shared" si="1620"/>
        <v>0</v>
      </c>
    </row>
    <row r="2103" spans="1:15" x14ac:dyDescent="0.25">
      <c r="A2103" s="2">
        <v>2</v>
      </c>
      <c r="B2103" s="2">
        <f>B2102</f>
        <v>0</v>
      </c>
      <c r="C2103" s="2" t="str">
        <f>C2102</f>
        <v>GD</v>
      </c>
      <c r="D2103" s="2">
        <f>D2102</f>
        <v>0</v>
      </c>
      <c r="F2103" s="2" t="str">
        <f>F2102</f>
        <v>Games Distance</v>
      </c>
      <c r="G2103" s="2" t="str">
        <f>G2102</f>
        <v/>
      </c>
      <c r="H2103" s="2" t="str">
        <f>H2102</f>
        <v/>
      </c>
      <c r="I2103" s="2" t="str">
        <f>I2102</f>
        <v/>
      </c>
      <c r="J2103" s="2" t="str">
        <f>J2102</f>
        <v/>
      </c>
      <c r="M2103" s="180" t="str">
        <f>M2102</f>
        <v/>
      </c>
      <c r="N2103" s="2" t="str">
        <f>N2101</f>
        <v/>
      </c>
      <c r="O2103" s="2">
        <f>O2102</f>
        <v>0</v>
      </c>
    </row>
    <row r="2104" spans="1:15" x14ac:dyDescent="0.25">
      <c r="A2104" s="325">
        <v>1</v>
      </c>
      <c r="B2104" s="325">
        <f t="shared" si="1617"/>
        <v>0</v>
      </c>
      <c r="C2104" s="325" t="s">
        <v>3722</v>
      </c>
      <c r="D2104" s="325">
        <f>Games!D48</f>
        <v>0</v>
      </c>
      <c r="E2104" s="325"/>
      <c r="F2104" s="325" t="s">
        <v>3723</v>
      </c>
      <c r="G2104" s="325" t="str">
        <f>IF(Games!V48="e","Y","")</f>
        <v/>
      </c>
      <c r="H2104" s="325" t="str">
        <f>Games!E48</f>
        <v/>
      </c>
      <c r="I2104" s="325" t="str">
        <f>Games!F48</f>
        <v/>
      </c>
      <c r="J2104" s="325" t="str">
        <f>Games!G48</f>
        <v/>
      </c>
      <c r="K2104" s="325"/>
      <c r="L2104" s="325"/>
      <c r="M2104" s="326" t="str">
        <f t="shared" si="1618"/>
        <v/>
      </c>
      <c r="N2104" s="325" t="str">
        <f t="shared" ref="N2104" si="1629">N2102</f>
        <v/>
      </c>
      <c r="O2104" s="325">
        <f t="shared" si="1620"/>
        <v>0</v>
      </c>
    </row>
    <row r="2105" spans="1:15" x14ac:dyDescent="0.25">
      <c r="A2105" s="2">
        <v>2</v>
      </c>
      <c r="B2105" s="2">
        <f>B2104</f>
        <v>0</v>
      </c>
      <c r="C2105" s="2" t="str">
        <f>C2104</f>
        <v>GD</v>
      </c>
      <c r="D2105" s="2">
        <f>D2104</f>
        <v>0</v>
      </c>
      <c r="F2105" s="2" t="str">
        <f>F2104</f>
        <v>Games Distance</v>
      </c>
      <c r="G2105" s="2" t="str">
        <f>G2104</f>
        <v/>
      </c>
      <c r="H2105" s="2" t="str">
        <f>H2104</f>
        <v/>
      </c>
      <c r="I2105" s="2" t="str">
        <f>I2104</f>
        <v/>
      </c>
      <c r="J2105" s="2" t="str">
        <f>J2104</f>
        <v/>
      </c>
      <c r="M2105" s="180" t="str">
        <f>M2104</f>
        <v/>
      </c>
      <c r="N2105" s="2" t="str">
        <f>N2103</f>
        <v/>
      </c>
      <c r="O2105" s="2">
        <f>O2104</f>
        <v>0</v>
      </c>
    </row>
    <row r="2106" spans="1:15" x14ac:dyDescent="0.25">
      <c r="A2106" s="325">
        <v>1</v>
      </c>
      <c r="B2106" s="325">
        <f t="shared" si="1617"/>
        <v>0</v>
      </c>
      <c r="C2106" s="325" t="s">
        <v>3722</v>
      </c>
      <c r="D2106" s="325">
        <f>Games!D49</f>
        <v>0</v>
      </c>
      <c r="E2106" s="325"/>
      <c r="F2106" s="325" t="s">
        <v>3723</v>
      </c>
      <c r="G2106" s="325" t="str">
        <f>IF(Games!V49="e","Y","")</f>
        <v/>
      </c>
      <c r="H2106" s="325" t="str">
        <f>Games!E49</f>
        <v/>
      </c>
      <c r="I2106" s="325" t="str">
        <f>Games!F49</f>
        <v/>
      </c>
      <c r="J2106" s="325" t="str">
        <f>Games!G49</f>
        <v/>
      </c>
      <c r="K2106" s="325"/>
      <c r="L2106" s="325"/>
      <c r="M2106" s="326" t="str">
        <f t="shared" si="1618"/>
        <v/>
      </c>
      <c r="N2106" s="325" t="str">
        <f t="shared" ref="N2106" si="1630">N2104</f>
        <v/>
      </c>
      <c r="O2106" s="325">
        <f t="shared" si="1620"/>
        <v>0</v>
      </c>
    </row>
    <row r="2107" spans="1:15" x14ac:dyDescent="0.25">
      <c r="A2107" s="2">
        <v>2</v>
      </c>
      <c r="B2107" s="2">
        <f>B2106</f>
        <v>0</v>
      </c>
      <c r="C2107" s="2" t="str">
        <f>C2106</f>
        <v>GD</v>
      </c>
      <c r="D2107" s="2">
        <f>D2106</f>
        <v>0</v>
      </c>
      <c r="F2107" s="2" t="str">
        <f>F2106</f>
        <v>Games Distance</v>
      </c>
      <c r="G2107" s="2" t="str">
        <f>G2106</f>
        <v/>
      </c>
      <c r="H2107" s="2" t="str">
        <f>H2106</f>
        <v/>
      </c>
      <c r="I2107" s="2" t="str">
        <f>I2106</f>
        <v/>
      </c>
      <c r="J2107" s="2" t="str">
        <f>J2106</f>
        <v/>
      </c>
      <c r="M2107" s="180" t="str">
        <f>M2106</f>
        <v/>
      </c>
      <c r="N2107" s="2" t="str">
        <f>N2105</f>
        <v/>
      </c>
      <c r="O2107" s="2">
        <f>O2106</f>
        <v>0</v>
      </c>
    </row>
    <row r="2108" spans="1:15" x14ac:dyDescent="0.25">
      <c r="A2108" s="325">
        <v>1</v>
      </c>
      <c r="B2108" s="325">
        <f t="shared" si="1617"/>
        <v>0</v>
      </c>
      <c r="C2108" s="325" t="s">
        <v>3722</v>
      </c>
      <c r="D2108" s="325">
        <f>Games!D50</f>
        <v>0</v>
      </c>
      <c r="E2108" s="325"/>
      <c r="F2108" s="325" t="s">
        <v>3723</v>
      </c>
      <c r="G2108" s="325" t="str">
        <f>IF(Games!V50="e","Y","")</f>
        <v/>
      </c>
      <c r="H2108" s="325" t="str">
        <f>Games!E50</f>
        <v/>
      </c>
      <c r="I2108" s="325" t="str">
        <f>Games!F50</f>
        <v/>
      </c>
      <c r="J2108" s="325" t="str">
        <f>Games!G50</f>
        <v/>
      </c>
      <c r="K2108" s="325"/>
      <c r="L2108" s="325"/>
      <c r="M2108" s="326" t="str">
        <f t="shared" si="1618"/>
        <v/>
      </c>
      <c r="N2108" s="325" t="str">
        <f t="shared" ref="N2108" si="1631">N2106</f>
        <v/>
      </c>
      <c r="O2108" s="325">
        <f t="shared" si="1620"/>
        <v>0</v>
      </c>
    </row>
    <row r="2109" spans="1:15" x14ac:dyDescent="0.25">
      <c r="A2109" s="2">
        <v>2</v>
      </c>
      <c r="B2109" s="2">
        <f>B2108</f>
        <v>0</v>
      </c>
      <c r="C2109" s="2" t="str">
        <f>C2108</f>
        <v>GD</v>
      </c>
      <c r="D2109" s="2">
        <f>D2108</f>
        <v>0</v>
      </c>
      <c r="F2109" s="2" t="str">
        <f>F2108</f>
        <v>Games Distance</v>
      </c>
      <c r="G2109" s="2" t="str">
        <f>G2108</f>
        <v/>
      </c>
      <c r="H2109" s="2" t="str">
        <f>H2108</f>
        <v/>
      </c>
      <c r="I2109" s="2" t="str">
        <f>I2108</f>
        <v/>
      </c>
      <c r="J2109" s="2" t="str">
        <f>J2108</f>
        <v/>
      </c>
      <c r="M2109" s="180" t="str">
        <f>M2108</f>
        <v/>
      </c>
      <c r="N2109" s="2" t="str">
        <f>N2107</f>
        <v/>
      </c>
      <c r="O2109" s="2">
        <f>O2108</f>
        <v>0</v>
      </c>
    </row>
    <row r="2110" spans="1:15" x14ac:dyDescent="0.25">
      <c r="A2110" s="325">
        <v>1</v>
      </c>
      <c r="B2110" s="325">
        <f t="shared" si="1617"/>
        <v>0</v>
      </c>
      <c r="C2110" s="325" t="s">
        <v>3722</v>
      </c>
      <c r="D2110" s="325">
        <f>Games!D51</f>
        <v>0</v>
      </c>
      <c r="E2110" s="325"/>
      <c r="F2110" s="325" t="s">
        <v>3723</v>
      </c>
      <c r="G2110" s="325" t="str">
        <f>IF(Games!V51="e","Y","")</f>
        <v/>
      </c>
      <c r="H2110" s="325" t="str">
        <f>Games!E51</f>
        <v/>
      </c>
      <c r="I2110" s="325" t="str">
        <f>Games!F51</f>
        <v/>
      </c>
      <c r="J2110" s="325" t="str">
        <f>Games!G51</f>
        <v/>
      </c>
      <c r="K2110" s="325"/>
      <c r="L2110" s="325"/>
      <c r="M2110" s="326" t="str">
        <f t="shared" si="1618"/>
        <v/>
      </c>
      <c r="N2110" s="325" t="str">
        <f t="shared" ref="N2110" si="1632">N2108</f>
        <v/>
      </c>
      <c r="O2110" s="325">
        <f t="shared" si="1620"/>
        <v>0</v>
      </c>
    </row>
    <row r="2111" spans="1:15" x14ac:dyDescent="0.25">
      <c r="A2111" s="2">
        <v>2</v>
      </c>
      <c r="B2111" s="2">
        <f>B2110</f>
        <v>0</v>
      </c>
      <c r="C2111" s="2" t="str">
        <f>C2110</f>
        <v>GD</v>
      </c>
      <c r="D2111" s="2">
        <f>D2110</f>
        <v>0</v>
      </c>
      <c r="F2111" s="2" t="str">
        <f>F2110</f>
        <v>Games Distance</v>
      </c>
      <c r="G2111" s="2" t="str">
        <f>G2110</f>
        <v/>
      </c>
      <c r="H2111" s="2" t="str">
        <f>H2110</f>
        <v/>
      </c>
      <c r="I2111" s="2" t="str">
        <f>I2110</f>
        <v/>
      </c>
      <c r="J2111" s="2" t="str">
        <f>J2110</f>
        <v/>
      </c>
      <c r="M2111" s="180" t="str">
        <f>M2110</f>
        <v/>
      </c>
      <c r="N2111" s="2" t="str">
        <f>N2109</f>
        <v/>
      </c>
      <c r="O2111" s="2">
        <f>O2110</f>
        <v>0</v>
      </c>
    </row>
    <row r="2112" spans="1:15" x14ac:dyDescent="0.25">
      <c r="A2112" s="325">
        <v>1</v>
      </c>
      <c r="B2112" s="325">
        <f t="shared" si="1617"/>
        <v>0</v>
      </c>
      <c r="C2112" s="325" t="s">
        <v>3722</v>
      </c>
      <c r="D2112" s="325">
        <f>Games!D52</f>
        <v>0</v>
      </c>
      <c r="E2112" s="325"/>
      <c r="F2112" s="325" t="s">
        <v>3723</v>
      </c>
      <c r="G2112" s="325" t="str">
        <f>IF(Games!V52="e","Y","")</f>
        <v/>
      </c>
      <c r="H2112" s="325" t="str">
        <f>Games!E52</f>
        <v/>
      </c>
      <c r="I2112" s="325" t="str">
        <f>Games!F52</f>
        <v/>
      </c>
      <c r="J2112" s="325" t="str">
        <f>Games!G52</f>
        <v/>
      </c>
      <c r="K2112" s="325"/>
      <c r="L2112" s="325"/>
      <c r="M2112" s="326" t="str">
        <f t="shared" si="1618"/>
        <v/>
      </c>
      <c r="N2112" s="325" t="str">
        <f t="shared" ref="N2112" si="1633">N2110</f>
        <v/>
      </c>
      <c r="O2112" s="325">
        <f t="shared" si="1620"/>
        <v>0</v>
      </c>
    </row>
    <row r="2113" spans="1:15" x14ac:dyDescent="0.25">
      <c r="A2113" s="2">
        <v>2</v>
      </c>
      <c r="B2113" s="2">
        <f>B2112</f>
        <v>0</v>
      </c>
      <c r="C2113" s="2" t="str">
        <f>C2112</f>
        <v>GD</v>
      </c>
      <c r="D2113" s="2">
        <f>D2112</f>
        <v>0</v>
      </c>
      <c r="F2113" s="2" t="str">
        <f>F2112</f>
        <v>Games Distance</v>
      </c>
      <c r="G2113" s="2" t="str">
        <f>G2112</f>
        <v/>
      </c>
      <c r="H2113" s="2" t="str">
        <f>H2112</f>
        <v/>
      </c>
      <c r="I2113" s="2" t="str">
        <f>I2112</f>
        <v/>
      </c>
      <c r="J2113" s="2" t="str">
        <f>J2112</f>
        <v/>
      </c>
      <c r="M2113" s="180" t="str">
        <f>M2112</f>
        <v/>
      </c>
      <c r="N2113" s="2" t="str">
        <f>N2111</f>
        <v/>
      </c>
      <c r="O2113" s="2">
        <f>O2112</f>
        <v>0</v>
      </c>
    </row>
    <row r="2114" spans="1:15" x14ac:dyDescent="0.25">
      <c r="A2114" s="325">
        <v>1</v>
      </c>
      <c r="B2114" s="325">
        <f t="shared" si="1617"/>
        <v>0</v>
      </c>
      <c r="C2114" s="325" t="s">
        <v>3722</v>
      </c>
      <c r="D2114" s="325">
        <f>Games!D53</f>
        <v>0</v>
      </c>
      <c r="E2114" s="325"/>
      <c r="F2114" s="325" t="s">
        <v>3723</v>
      </c>
      <c r="G2114" s="325" t="str">
        <f>IF(Games!V53="e","Y","")</f>
        <v/>
      </c>
      <c r="H2114" s="325" t="str">
        <f>Games!E53</f>
        <v/>
      </c>
      <c r="I2114" s="325" t="str">
        <f>Games!F53</f>
        <v/>
      </c>
      <c r="J2114" s="325" t="str">
        <f>Games!G53</f>
        <v/>
      </c>
      <c r="K2114" s="325"/>
      <c r="L2114" s="325"/>
      <c r="M2114" s="326" t="str">
        <f t="shared" si="1618"/>
        <v/>
      </c>
      <c r="N2114" s="325" t="str">
        <f t="shared" ref="N2114" si="1634">N2112</f>
        <v/>
      </c>
      <c r="O2114" s="325">
        <f t="shared" si="1620"/>
        <v>0</v>
      </c>
    </row>
    <row r="2115" spans="1:15" x14ac:dyDescent="0.25">
      <c r="A2115" s="2">
        <v>2</v>
      </c>
      <c r="B2115" s="2">
        <f>B2114</f>
        <v>0</v>
      </c>
      <c r="C2115" s="2" t="str">
        <f>C2114</f>
        <v>GD</v>
      </c>
      <c r="D2115" s="2">
        <f>D2114</f>
        <v>0</v>
      </c>
      <c r="F2115" s="2" t="str">
        <f>F2114</f>
        <v>Games Distance</v>
      </c>
      <c r="G2115" s="2" t="str">
        <f>G2114</f>
        <v/>
      </c>
      <c r="H2115" s="2" t="str">
        <f>H2114</f>
        <v/>
      </c>
      <c r="I2115" s="2" t="str">
        <f>I2114</f>
        <v/>
      </c>
      <c r="J2115" s="2" t="str">
        <f>J2114</f>
        <v/>
      </c>
      <c r="M2115" s="180" t="str">
        <f>M2114</f>
        <v/>
      </c>
      <c r="N2115" s="2" t="str">
        <f>N2113</f>
        <v/>
      </c>
      <c r="O2115" s="2">
        <f>O2114</f>
        <v>0</v>
      </c>
    </row>
    <row r="2116" spans="1:15" x14ac:dyDescent="0.25">
      <c r="A2116" s="325">
        <v>1</v>
      </c>
      <c r="B2116" s="325">
        <f t="shared" si="1617"/>
        <v>0</v>
      </c>
      <c r="C2116" s="325" t="s">
        <v>3722</v>
      </c>
      <c r="D2116" s="325">
        <f>Games!D54</f>
        <v>0</v>
      </c>
      <c r="E2116" s="325"/>
      <c r="F2116" s="325" t="s">
        <v>3723</v>
      </c>
      <c r="G2116" s="325" t="str">
        <f>IF(Games!V54="e","Y","")</f>
        <v/>
      </c>
      <c r="H2116" s="325" t="str">
        <f>Games!E54</f>
        <v/>
      </c>
      <c r="I2116" s="325" t="str">
        <f>Games!F54</f>
        <v/>
      </c>
      <c r="J2116" s="325" t="str">
        <f>Games!G54</f>
        <v/>
      </c>
      <c r="K2116" s="325"/>
      <c r="L2116" s="325"/>
      <c r="M2116" s="326" t="str">
        <f t="shared" si="1618"/>
        <v/>
      </c>
      <c r="N2116" s="325" t="str">
        <f t="shared" ref="N2116" si="1635">N2114</f>
        <v/>
      </c>
      <c r="O2116" s="325">
        <f t="shared" si="1620"/>
        <v>0</v>
      </c>
    </row>
    <row r="2117" spans="1:15" x14ac:dyDescent="0.25">
      <c r="A2117" s="2">
        <v>2</v>
      </c>
      <c r="B2117" s="2">
        <f>B2116</f>
        <v>0</v>
      </c>
      <c r="C2117" s="2" t="str">
        <f>C2116</f>
        <v>GD</v>
      </c>
      <c r="D2117" s="2">
        <f>D2116</f>
        <v>0</v>
      </c>
      <c r="F2117" s="2" t="str">
        <f>F2116</f>
        <v>Games Distance</v>
      </c>
      <c r="G2117" s="2" t="str">
        <f>G2116</f>
        <v/>
      </c>
      <c r="H2117" s="2" t="str">
        <f>H2116</f>
        <v/>
      </c>
      <c r="I2117" s="2" t="str">
        <f>I2116</f>
        <v/>
      </c>
      <c r="J2117" s="2" t="str">
        <f>J2116</f>
        <v/>
      </c>
      <c r="M2117" s="180" t="str">
        <f>M2116</f>
        <v/>
      </c>
      <c r="N2117" s="2" t="str">
        <f>N2115</f>
        <v/>
      </c>
      <c r="O2117" s="2">
        <f>O2116</f>
        <v>0</v>
      </c>
    </row>
    <row r="2118" spans="1:15" x14ac:dyDescent="0.25">
      <c r="A2118" s="325">
        <v>1</v>
      </c>
      <c r="B2118" s="325">
        <f t="shared" si="1617"/>
        <v>0</v>
      </c>
      <c r="C2118" s="325" t="s">
        <v>3722</v>
      </c>
      <c r="D2118" s="325">
        <f>Games!D55</f>
        <v>0</v>
      </c>
      <c r="E2118" s="325"/>
      <c r="F2118" s="325" t="s">
        <v>3723</v>
      </c>
      <c r="G2118" s="325" t="str">
        <f>IF(Games!V55="e","Y","")</f>
        <v/>
      </c>
      <c r="H2118" s="325" t="str">
        <f>Games!E55</f>
        <v/>
      </c>
      <c r="I2118" s="325" t="str">
        <f>Games!F55</f>
        <v/>
      </c>
      <c r="J2118" s="325" t="str">
        <f>Games!G55</f>
        <v/>
      </c>
      <c r="K2118" s="325"/>
      <c r="L2118" s="325"/>
      <c r="M2118" s="326" t="str">
        <f t="shared" si="1618"/>
        <v/>
      </c>
      <c r="N2118" s="325" t="str">
        <f t="shared" ref="N2118" si="1636">N2116</f>
        <v/>
      </c>
      <c r="O2118" s="325">
        <f t="shared" si="1620"/>
        <v>0</v>
      </c>
    </row>
    <row r="2119" spans="1:15" x14ac:dyDescent="0.25">
      <c r="A2119" s="2">
        <v>2</v>
      </c>
      <c r="B2119" s="2">
        <f>B2118</f>
        <v>0</v>
      </c>
      <c r="C2119" s="2" t="str">
        <f>C2118</f>
        <v>GD</v>
      </c>
      <c r="D2119" s="2">
        <f>D2118</f>
        <v>0</v>
      </c>
      <c r="F2119" s="2" t="str">
        <f>F2118</f>
        <v>Games Distance</v>
      </c>
      <c r="G2119" s="2" t="str">
        <f>G2118</f>
        <v/>
      </c>
      <c r="H2119" s="2" t="str">
        <f>H2118</f>
        <v/>
      </c>
      <c r="I2119" s="2" t="str">
        <f>I2118</f>
        <v/>
      </c>
      <c r="J2119" s="2" t="str">
        <f>J2118</f>
        <v/>
      </c>
      <c r="M2119" s="180" t="str">
        <f>M2118</f>
        <v/>
      </c>
      <c r="N2119" s="2" t="str">
        <f>N2117</f>
        <v/>
      </c>
      <c r="O2119" s="2">
        <f>O2118</f>
        <v>0</v>
      </c>
    </row>
    <row r="2120" spans="1:15" x14ac:dyDescent="0.25">
      <c r="A2120" s="325">
        <v>1</v>
      </c>
      <c r="B2120" s="325">
        <f t="shared" si="1617"/>
        <v>0</v>
      </c>
      <c r="C2120" s="325" t="s">
        <v>3722</v>
      </c>
      <c r="D2120" s="325">
        <f>Games!D56</f>
        <v>0</v>
      </c>
      <c r="E2120" s="325"/>
      <c r="F2120" s="325" t="s">
        <v>3723</v>
      </c>
      <c r="G2120" s="325" t="str">
        <f>IF(Games!V56="e","Y","")</f>
        <v/>
      </c>
      <c r="H2120" s="325" t="str">
        <f>Games!E56</f>
        <v/>
      </c>
      <c r="I2120" s="325" t="str">
        <f>Games!F56</f>
        <v/>
      </c>
      <c r="J2120" s="325" t="str">
        <f>Games!G56</f>
        <v/>
      </c>
      <c r="K2120" s="325"/>
      <c r="L2120" s="325"/>
      <c r="M2120" s="326" t="str">
        <f t="shared" si="1618"/>
        <v/>
      </c>
      <c r="N2120" s="325" t="str">
        <f t="shared" ref="N2120" si="1637">N2118</f>
        <v/>
      </c>
      <c r="O2120" s="325">
        <f t="shared" si="1620"/>
        <v>0</v>
      </c>
    </row>
    <row r="2121" spans="1:15" x14ac:dyDescent="0.25">
      <c r="A2121" s="2">
        <v>2</v>
      </c>
      <c r="B2121" s="2">
        <f>B2120</f>
        <v>0</v>
      </c>
      <c r="C2121" s="2" t="str">
        <f>C2120</f>
        <v>GD</v>
      </c>
      <c r="D2121" s="2">
        <f>D2120</f>
        <v>0</v>
      </c>
      <c r="F2121" s="2" t="str">
        <f>F2120</f>
        <v>Games Distance</v>
      </c>
      <c r="G2121" s="2" t="str">
        <f>G2120</f>
        <v/>
      </c>
      <c r="H2121" s="2" t="str">
        <f>H2120</f>
        <v/>
      </c>
      <c r="I2121" s="2" t="str">
        <f>I2120</f>
        <v/>
      </c>
      <c r="J2121" s="2" t="str">
        <f>J2120</f>
        <v/>
      </c>
      <c r="M2121" s="180" t="str">
        <f>M2120</f>
        <v/>
      </c>
      <c r="N2121" s="2" t="str">
        <f>N2119</f>
        <v/>
      </c>
      <c r="O2121" s="2">
        <f>O2120</f>
        <v>0</v>
      </c>
    </row>
    <row r="2122" spans="1:15" x14ac:dyDescent="0.25">
      <c r="A2122" s="329">
        <v>1</v>
      </c>
      <c r="B2122" s="329">
        <f t="shared" ref="B2122:B2184" si="1638">TrialNumber</f>
        <v>0</v>
      </c>
      <c r="C2122" s="329" t="s">
        <v>3724</v>
      </c>
      <c r="D2122" s="329">
        <f>Games!D7</f>
        <v>0</v>
      </c>
      <c r="E2122" s="329"/>
      <c r="F2122" s="329" t="s">
        <v>3725</v>
      </c>
      <c r="G2122" s="329" t="str">
        <f>IF(Games!AC7="e","Y","")</f>
        <v/>
      </c>
      <c r="H2122" s="329" t="str">
        <f>Games!E7</f>
        <v/>
      </c>
      <c r="I2122" s="329" t="str">
        <f>Games!F7</f>
        <v/>
      </c>
      <c r="J2122" s="329" t="str">
        <f>Games!G7</f>
        <v/>
      </c>
      <c r="K2122" s="329"/>
      <c r="L2122" s="329"/>
      <c r="M2122" s="330" t="str">
        <f t="shared" ref="M2122:M2184" si="1639">TrialDate</f>
        <v/>
      </c>
      <c r="N2122" s="325" t="str">
        <f t="shared" ref="N2122" si="1640">N2121</f>
        <v/>
      </c>
      <c r="O2122" s="329">
        <f t="shared" ref="O2122:O2184" si="1641">JudgeD1GamesSpeed</f>
        <v>0</v>
      </c>
    </row>
    <row r="2123" spans="1:15" x14ac:dyDescent="0.25">
      <c r="A2123" s="2">
        <v>2</v>
      </c>
      <c r="B2123" s="2">
        <f>B2122</f>
        <v>0</v>
      </c>
      <c r="C2123" s="2" t="str">
        <f>C2122</f>
        <v>GS</v>
      </c>
      <c r="D2123" s="2">
        <f>D2122</f>
        <v>0</v>
      </c>
      <c r="F2123" s="2" t="str">
        <f>F2122</f>
        <v>Games Speed</v>
      </c>
      <c r="G2123" s="2" t="str">
        <f>G2122</f>
        <v/>
      </c>
      <c r="H2123" s="2" t="str">
        <f>H2122</f>
        <v/>
      </c>
      <c r="I2123" s="2" t="str">
        <f>I2122</f>
        <v/>
      </c>
      <c r="J2123" s="2" t="str">
        <f>J2122</f>
        <v/>
      </c>
      <c r="M2123" s="180" t="str">
        <f>M2122</f>
        <v/>
      </c>
      <c r="N2123" s="2" t="str">
        <f>N2220</f>
        <v/>
      </c>
      <c r="O2123" s="2">
        <f>O2122</f>
        <v>0</v>
      </c>
    </row>
    <row r="2124" spans="1:15" x14ac:dyDescent="0.25">
      <c r="A2124" s="325">
        <v>1</v>
      </c>
      <c r="B2124" s="325">
        <f t="shared" si="1638"/>
        <v>0</v>
      </c>
      <c r="C2124" s="325" t="s">
        <v>3724</v>
      </c>
      <c r="D2124" s="325">
        <f>Games!D8</f>
        <v>0</v>
      </c>
      <c r="E2124" s="325"/>
      <c r="F2124" s="325" t="s">
        <v>3725</v>
      </c>
      <c r="G2124" s="325" t="str">
        <f>IF(Games!AC8="e","Y","")</f>
        <v/>
      </c>
      <c r="H2124" s="325" t="str">
        <f>Games!E8</f>
        <v/>
      </c>
      <c r="I2124" s="325" t="str">
        <f>Games!F8</f>
        <v/>
      </c>
      <c r="J2124" s="325" t="str">
        <f>Games!G8</f>
        <v/>
      </c>
      <c r="K2124" s="325"/>
      <c r="L2124" s="325"/>
      <c r="M2124" s="326" t="str">
        <f t="shared" si="1639"/>
        <v/>
      </c>
      <c r="N2124" s="325" t="str">
        <f t="shared" ref="N2124" si="1642">N2122</f>
        <v/>
      </c>
      <c r="O2124" s="325">
        <f t="shared" si="1641"/>
        <v>0</v>
      </c>
    </row>
    <row r="2125" spans="1:15" x14ac:dyDescent="0.25">
      <c r="A2125" s="2">
        <v>2</v>
      </c>
      <c r="B2125" s="2">
        <f>B2124</f>
        <v>0</v>
      </c>
      <c r="C2125" s="2" t="str">
        <f>C2124</f>
        <v>GS</v>
      </c>
      <c r="D2125" s="2">
        <f>D2124</f>
        <v>0</v>
      </c>
      <c r="F2125" s="2" t="str">
        <f>F2124</f>
        <v>Games Speed</v>
      </c>
      <c r="G2125" s="2" t="str">
        <f>G2124</f>
        <v/>
      </c>
      <c r="H2125" s="2" t="str">
        <f>H2124</f>
        <v/>
      </c>
      <c r="I2125" s="2" t="str">
        <f>I2124</f>
        <v/>
      </c>
      <c r="J2125" s="2" t="str">
        <f>J2124</f>
        <v/>
      </c>
      <c r="M2125" s="180" t="str">
        <f>M2124</f>
        <v/>
      </c>
      <c r="N2125" s="2" t="str">
        <f>N2123</f>
        <v/>
      </c>
      <c r="O2125" s="2">
        <f>O2124</f>
        <v>0</v>
      </c>
    </row>
    <row r="2126" spans="1:15" x14ac:dyDescent="0.25">
      <c r="A2126" s="325">
        <v>1</v>
      </c>
      <c r="B2126" s="325">
        <f t="shared" si="1638"/>
        <v>0</v>
      </c>
      <c r="C2126" s="325" t="s">
        <v>3724</v>
      </c>
      <c r="D2126" s="325">
        <f>Games!D9</f>
        <v>0</v>
      </c>
      <c r="E2126" s="325"/>
      <c r="F2126" s="325" t="s">
        <v>3725</v>
      </c>
      <c r="G2126" s="325" t="str">
        <f>IF(Games!AC9="e","Y","")</f>
        <v/>
      </c>
      <c r="H2126" s="325" t="str">
        <f>Games!E9</f>
        <v/>
      </c>
      <c r="I2126" s="325" t="str">
        <f>Games!F9</f>
        <v/>
      </c>
      <c r="J2126" s="325" t="str">
        <f>Games!G9</f>
        <v/>
      </c>
      <c r="K2126" s="325"/>
      <c r="L2126" s="325"/>
      <c r="M2126" s="326" t="str">
        <f t="shared" si="1639"/>
        <v/>
      </c>
      <c r="N2126" s="325" t="str">
        <f t="shared" ref="N2126" si="1643">N2124</f>
        <v/>
      </c>
      <c r="O2126" s="325">
        <f t="shared" si="1641"/>
        <v>0</v>
      </c>
    </row>
    <row r="2127" spans="1:15" x14ac:dyDescent="0.25">
      <c r="A2127" s="2">
        <v>2</v>
      </c>
      <c r="B2127" s="2">
        <f>B2126</f>
        <v>0</v>
      </c>
      <c r="C2127" s="2" t="str">
        <f>C2126</f>
        <v>GS</v>
      </c>
      <c r="D2127" s="2">
        <f>D2126</f>
        <v>0</v>
      </c>
      <c r="F2127" s="2" t="str">
        <f>F2126</f>
        <v>Games Speed</v>
      </c>
      <c r="G2127" s="2" t="str">
        <f>G2126</f>
        <v/>
      </c>
      <c r="H2127" s="2" t="str">
        <f>H2126</f>
        <v/>
      </c>
      <c r="I2127" s="2" t="str">
        <f>I2126</f>
        <v/>
      </c>
      <c r="J2127" s="2" t="str">
        <f>J2126</f>
        <v/>
      </c>
      <c r="M2127" s="180" t="str">
        <f>M2126</f>
        <v/>
      </c>
      <c r="N2127" s="2" t="str">
        <f>N2125</f>
        <v/>
      </c>
      <c r="O2127" s="2">
        <f>O2126</f>
        <v>0</v>
      </c>
    </row>
    <row r="2128" spans="1:15" x14ac:dyDescent="0.25">
      <c r="A2128" s="325">
        <v>1</v>
      </c>
      <c r="B2128" s="325">
        <f t="shared" si="1638"/>
        <v>0</v>
      </c>
      <c r="C2128" s="325" t="s">
        <v>3724</v>
      </c>
      <c r="D2128" s="325">
        <f>Games!D10</f>
        <v>0</v>
      </c>
      <c r="E2128" s="325"/>
      <c r="F2128" s="325" t="s">
        <v>3725</v>
      </c>
      <c r="G2128" s="325" t="str">
        <f>IF(Games!AC10="e","Y","")</f>
        <v/>
      </c>
      <c r="H2128" s="325" t="str">
        <f>Games!E10</f>
        <v/>
      </c>
      <c r="I2128" s="325" t="str">
        <f>Games!F10</f>
        <v/>
      </c>
      <c r="J2128" s="325" t="str">
        <f>Games!G10</f>
        <v/>
      </c>
      <c r="K2128" s="325"/>
      <c r="L2128" s="325"/>
      <c r="M2128" s="326" t="str">
        <f t="shared" si="1639"/>
        <v/>
      </c>
      <c r="N2128" s="325" t="str">
        <f t="shared" ref="N2128" si="1644">N2126</f>
        <v/>
      </c>
      <c r="O2128" s="325">
        <f t="shared" si="1641"/>
        <v>0</v>
      </c>
    </row>
    <row r="2129" spans="1:15" x14ac:dyDescent="0.25">
      <c r="A2129" s="2">
        <v>2</v>
      </c>
      <c r="B2129" s="2">
        <f>B2128</f>
        <v>0</v>
      </c>
      <c r="C2129" s="2" t="str">
        <f>C2128</f>
        <v>GS</v>
      </c>
      <c r="D2129" s="2">
        <f>D2128</f>
        <v>0</v>
      </c>
      <c r="F2129" s="2" t="str">
        <f>F2128</f>
        <v>Games Speed</v>
      </c>
      <c r="G2129" s="2" t="str">
        <f>G2128</f>
        <v/>
      </c>
      <c r="H2129" s="2" t="str">
        <f>H2128</f>
        <v/>
      </c>
      <c r="I2129" s="2" t="str">
        <f>I2128</f>
        <v/>
      </c>
      <c r="J2129" s="2" t="str">
        <f>J2128</f>
        <v/>
      </c>
      <c r="M2129" s="180" t="str">
        <f>M2128</f>
        <v/>
      </c>
      <c r="N2129" s="2" t="str">
        <f>N2127</f>
        <v/>
      </c>
      <c r="O2129" s="2">
        <f>O2128</f>
        <v>0</v>
      </c>
    </row>
    <row r="2130" spans="1:15" x14ac:dyDescent="0.25">
      <c r="A2130" s="325">
        <v>1</v>
      </c>
      <c r="B2130" s="325">
        <f t="shared" si="1638"/>
        <v>0</v>
      </c>
      <c r="C2130" s="325" t="s">
        <v>3724</v>
      </c>
      <c r="D2130" s="325">
        <f>Games!D11</f>
        <v>0</v>
      </c>
      <c r="E2130" s="325"/>
      <c r="F2130" s="325" t="s">
        <v>3725</v>
      </c>
      <c r="G2130" s="325" t="str">
        <f>IF(Games!AC11="e","Y","")</f>
        <v/>
      </c>
      <c r="H2130" s="325" t="str">
        <f>Games!E11</f>
        <v/>
      </c>
      <c r="I2130" s="325" t="str">
        <f>Games!F11</f>
        <v/>
      </c>
      <c r="J2130" s="325" t="str">
        <f>Games!G11</f>
        <v/>
      </c>
      <c r="K2130" s="325"/>
      <c r="L2130" s="325"/>
      <c r="M2130" s="326" t="str">
        <f t="shared" si="1639"/>
        <v/>
      </c>
      <c r="N2130" s="325" t="str">
        <f t="shared" ref="N2130" si="1645">N2128</f>
        <v/>
      </c>
      <c r="O2130" s="325">
        <f t="shared" si="1641"/>
        <v>0</v>
      </c>
    </row>
    <row r="2131" spans="1:15" x14ac:dyDescent="0.25">
      <c r="A2131" s="2">
        <v>2</v>
      </c>
      <c r="B2131" s="2">
        <f>B2130</f>
        <v>0</v>
      </c>
      <c r="C2131" s="2" t="str">
        <f>C2130</f>
        <v>GS</v>
      </c>
      <c r="D2131" s="2">
        <f>D2130</f>
        <v>0</v>
      </c>
      <c r="F2131" s="2" t="str">
        <f>F2130</f>
        <v>Games Speed</v>
      </c>
      <c r="G2131" s="2" t="str">
        <f>G2130</f>
        <v/>
      </c>
      <c r="H2131" s="2" t="str">
        <f>H2130</f>
        <v/>
      </c>
      <c r="I2131" s="2" t="str">
        <f>I2130</f>
        <v/>
      </c>
      <c r="J2131" s="2" t="str">
        <f>J2130</f>
        <v/>
      </c>
      <c r="M2131" s="180" t="str">
        <f>M2130</f>
        <v/>
      </c>
      <c r="N2131" s="2" t="str">
        <f>N2129</f>
        <v/>
      </c>
      <c r="O2131" s="2">
        <f>O2130</f>
        <v>0</v>
      </c>
    </row>
    <row r="2132" spans="1:15" x14ac:dyDescent="0.25">
      <c r="A2132" s="325">
        <v>1</v>
      </c>
      <c r="B2132" s="325">
        <f t="shared" si="1638"/>
        <v>0</v>
      </c>
      <c r="C2132" s="325" t="s">
        <v>3724</v>
      </c>
      <c r="D2132" s="325">
        <f>Games!D12</f>
        <v>0</v>
      </c>
      <c r="E2132" s="325"/>
      <c r="F2132" s="325" t="s">
        <v>3725</v>
      </c>
      <c r="G2132" s="325" t="str">
        <f>IF(Games!AC12="e","Y","")</f>
        <v/>
      </c>
      <c r="H2132" s="325" t="str">
        <f>Games!E12</f>
        <v/>
      </c>
      <c r="I2132" s="325" t="str">
        <f>Games!F12</f>
        <v/>
      </c>
      <c r="J2132" s="325" t="str">
        <f>Games!G12</f>
        <v/>
      </c>
      <c r="K2132" s="325"/>
      <c r="L2132" s="325"/>
      <c r="M2132" s="326" t="str">
        <f t="shared" si="1639"/>
        <v/>
      </c>
      <c r="N2132" s="325" t="str">
        <f t="shared" ref="N2132" si="1646">N2130</f>
        <v/>
      </c>
      <c r="O2132" s="325">
        <f t="shared" si="1641"/>
        <v>0</v>
      </c>
    </row>
    <row r="2133" spans="1:15" x14ac:dyDescent="0.25">
      <c r="A2133" s="2">
        <v>2</v>
      </c>
      <c r="B2133" s="2">
        <f>B2132</f>
        <v>0</v>
      </c>
      <c r="C2133" s="2" t="str">
        <f>C2132</f>
        <v>GS</v>
      </c>
      <c r="D2133" s="2">
        <f>D2132</f>
        <v>0</v>
      </c>
      <c r="F2133" s="2" t="str">
        <f>F2132</f>
        <v>Games Speed</v>
      </c>
      <c r="G2133" s="2" t="str">
        <f>G2132</f>
        <v/>
      </c>
      <c r="H2133" s="2" t="str">
        <f>H2132</f>
        <v/>
      </c>
      <c r="I2133" s="2" t="str">
        <f>I2132</f>
        <v/>
      </c>
      <c r="J2133" s="2" t="str">
        <f>J2132</f>
        <v/>
      </c>
      <c r="M2133" s="180" t="str">
        <f>M2132</f>
        <v/>
      </c>
      <c r="N2133" s="2" t="str">
        <f>N2131</f>
        <v/>
      </c>
      <c r="O2133" s="2">
        <f>O2132</f>
        <v>0</v>
      </c>
    </row>
    <row r="2134" spans="1:15" x14ac:dyDescent="0.25">
      <c r="A2134" s="325">
        <v>1</v>
      </c>
      <c r="B2134" s="325">
        <f t="shared" si="1638"/>
        <v>0</v>
      </c>
      <c r="C2134" s="325" t="s">
        <v>3724</v>
      </c>
      <c r="D2134" s="325">
        <f>Games!D13</f>
        <v>0</v>
      </c>
      <c r="E2134" s="325"/>
      <c r="F2134" s="325" t="s">
        <v>3725</v>
      </c>
      <c r="G2134" s="325" t="str">
        <f>IF(Games!AC13="e","Y","")</f>
        <v/>
      </c>
      <c r="H2134" s="325" t="str">
        <f>Games!E13</f>
        <v/>
      </c>
      <c r="I2134" s="325" t="str">
        <f>Games!F13</f>
        <v/>
      </c>
      <c r="J2134" s="325" t="str">
        <f>Games!G13</f>
        <v/>
      </c>
      <c r="K2134" s="325"/>
      <c r="L2134" s="325"/>
      <c r="M2134" s="326" t="str">
        <f t="shared" si="1639"/>
        <v/>
      </c>
      <c r="N2134" s="325" t="str">
        <f t="shared" ref="N2134" si="1647">N2132</f>
        <v/>
      </c>
      <c r="O2134" s="325">
        <f t="shared" si="1641"/>
        <v>0</v>
      </c>
    </row>
    <row r="2135" spans="1:15" x14ac:dyDescent="0.25">
      <c r="A2135" s="2">
        <v>2</v>
      </c>
      <c r="B2135" s="2">
        <f>B2134</f>
        <v>0</v>
      </c>
      <c r="C2135" s="2" t="str">
        <f>C2134</f>
        <v>GS</v>
      </c>
      <c r="D2135" s="2">
        <f>D2134</f>
        <v>0</v>
      </c>
      <c r="F2135" s="2" t="str">
        <f>F2134</f>
        <v>Games Speed</v>
      </c>
      <c r="G2135" s="2" t="str">
        <f>G2134</f>
        <v/>
      </c>
      <c r="H2135" s="2" t="str">
        <f>H2134</f>
        <v/>
      </c>
      <c r="I2135" s="2" t="str">
        <f>I2134</f>
        <v/>
      </c>
      <c r="J2135" s="2" t="str">
        <f>J2134</f>
        <v/>
      </c>
      <c r="M2135" s="180" t="str">
        <f>M2134</f>
        <v/>
      </c>
      <c r="N2135" s="2" t="str">
        <f>N2133</f>
        <v/>
      </c>
      <c r="O2135" s="2">
        <f>O2134</f>
        <v>0</v>
      </c>
    </row>
    <row r="2136" spans="1:15" x14ac:dyDescent="0.25">
      <c r="A2136" s="325">
        <v>1</v>
      </c>
      <c r="B2136" s="325">
        <f t="shared" si="1638"/>
        <v>0</v>
      </c>
      <c r="C2136" s="325" t="s">
        <v>3724</v>
      </c>
      <c r="D2136" s="325">
        <f>Games!D14</f>
        <v>0</v>
      </c>
      <c r="E2136" s="325"/>
      <c r="F2136" s="325" t="s">
        <v>3725</v>
      </c>
      <c r="G2136" s="325" t="str">
        <f>IF(Games!AC14="e","Y","")</f>
        <v/>
      </c>
      <c r="H2136" s="325" t="str">
        <f>Games!E14</f>
        <v/>
      </c>
      <c r="I2136" s="325" t="str">
        <f>Games!F14</f>
        <v/>
      </c>
      <c r="J2136" s="325" t="str">
        <f>Games!G14</f>
        <v/>
      </c>
      <c r="K2136" s="325"/>
      <c r="L2136" s="325"/>
      <c r="M2136" s="326" t="str">
        <f t="shared" si="1639"/>
        <v/>
      </c>
      <c r="N2136" s="325" t="str">
        <f t="shared" ref="N2136" si="1648">N2134</f>
        <v/>
      </c>
      <c r="O2136" s="325">
        <f t="shared" si="1641"/>
        <v>0</v>
      </c>
    </row>
    <row r="2137" spans="1:15" x14ac:dyDescent="0.25">
      <c r="A2137" s="2">
        <v>2</v>
      </c>
      <c r="B2137" s="2">
        <f>B2136</f>
        <v>0</v>
      </c>
      <c r="C2137" s="2" t="str">
        <f>C2136</f>
        <v>GS</v>
      </c>
      <c r="D2137" s="2">
        <f>D2136</f>
        <v>0</v>
      </c>
      <c r="F2137" s="2" t="str">
        <f>F2136</f>
        <v>Games Speed</v>
      </c>
      <c r="G2137" s="2" t="str">
        <f>G2136</f>
        <v/>
      </c>
      <c r="H2137" s="2" t="str">
        <f>H2136</f>
        <v/>
      </c>
      <c r="I2137" s="2" t="str">
        <f>I2136</f>
        <v/>
      </c>
      <c r="J2137" s="2" t="str">
        <f>J2136</f>
        <v/>
      </c>
      <c r="M2137" s="180" t="str">
        <f>M2136</f>
        <v/>
      </c>
      <c r="N2137" s="2" t="str">
        <f>N2135</f>
        <v/>
      </c>
      <c r="O2137" s="2">
        <f>O2136</f>
        <v>0</v>
      </c>
    </row>
    <row r="2138" spans="1:15" x14ac:dyDescent="0.25">
      <c r="A2138" s="325">
        <v>1</v>
      </c>
      <c r="B2138" s="325">
        <f t="shared" si="1638"/>
        <v>0</v>
      </c>
      <c r="C2138" s="325" t="s">
        <v>3724</v>
      </c>
      <c r="D2138" s="325">
        <f>Games!D15</f>
        <v>0</v>
      </c>
      <c r="E2138" s="325"/>
      <c r="F2138" s="325" t="s">
        <v>3725</v>
      </c>
      <c r="G2138" s="325" t="str">
        <f>IF(Games!AC15="e","Y","")</f>
        <v/>
      </c>
      <c r="H2138" s="325" t="str">
        <f>Games!E15</f>
        <v/>
      </c>
      <c r="I2138" s="325" t="str">
        <f>Games!F15</f>
        <v/>
      </c>
      <c r="J2138" s="325" t="str">
        <f>Games!G15</f>
        <v/>
      </c>
      <c r="K2138" s="325"/>
      <c r="L2138" s="325"/>
      <c r="M2138" s="326" t="str">
        <f t="shared" si="1639"/>
        <v/>
      </c>
      <c r="N2138" s="325" t="str">
        <f t="shared" ref="N2138" si="1649">N2136</f>
        <v/>
      </c>
      <c r="O2138" s="325">
        <f t="shared" si="1641"/>
        <v>0</v>
      </c>
    </row>
    <row r="2139" spans="1:15" x14ac:dyDescent="0.25">
      <c r="A2139" s="2">
        <v>2</v>
      </c>
      <c r="B2139" s="2">
        <f>B2138</f>
        <v>0</v>
      </c>
      <c r="C2139" s="2" t="str">
        <f>C2138</f>
        <v>GS</v>
      </c>
      <c r="D2139" s="2">
        <f>D2138</f>
        <v>0</v>
      </c>
      <c r="F2139" s="2" t="str">
        <f>F2138</f>
        <v>Games Speed</v>
      </c>
      <c r="G2139" s="2" t="str">
        <f>G2138</f>
        <v/>
      </c>
      <c r="H2139" s="2" t="str">
        <f>H2138</f>
        <v/>
      </c>
      <c r="I2139" s="2" t="str">
        <f>I2138</f>
        <v/>
      </c>
      <c r="J2139" s="2" t="str">
        <f>J2138</f>
        <v/>
      </c>
      <c r="M2139" s="180" t="str">
        <f>M2138</f>
        <v/>
      </c>
      <c r="N2139" s="2" t="str">
        <f>N2137</f>
        <v/>
      </c>
      <c r="O2139" s="2">
        <f>O2138</f>
        <v>0</v>
      </c>
    </row>
    <row r="2140" spans="1:15" x14ac:dyDescent="0.25">
      <c r="A2140" s="325">
        <v>1</v>
      </c>
      <c r="B2140" s="325">
        <f t="shared" si="1638"/>
        <v>0</v>
      </c>
      <c r="C2140" s="325" t="s">
        <v>3724</v>
      </c>
      <c r="D2140" s="325">
        <f>Games!D16</f>
        <v>0</v>
      </c>
      <c r="E2140" s="325"/>
      <c r="F2140" s="325" t="s">
        <v>3725</v>
      </c>
      <c r="G2140" s="325" t="str">
        <f>IF(Games!AC16="e","Y","")</f>
        <v/>
      </c>
      <c r="H2140" s="325" t="str">
        <f>Games!E16</f>
        <v/>
      </c>
      <c r="I2140" s="325" t="str">
        <f>Games!F16</f>
        <v/>
      </c>
      <c r="J2140" s="325" t="str">
        <f>Games!G16</f>
        <v/>
      </c>
      <c r="K2140" s="325"/>
      <c r="L2140" s="325"/>
      <c r="M2140" s="326" t="str">
        <f t="shared" si="1639"/>
        <v/>
      </c>
      <c r="N2140" s="325" t="str">
        <f t="shared" ref="N2140" si="1650">N2138</f>
        <v/>
      </c>
      <c r="O2140" s="325">
        <f t="shared" si="1641"/>
        <v>0</v>
      </c>
    </row>
    <row r="2141" spans="1:15" x14ac:dyDescent="0.25">
      <c r="A2141" s="2">
        <v>2</v>
      </c>
      <c r="B2141" s="2">
        <f>B2140</f>
        <v>0</v>
      </c>
      <c r="C2141" s="2" t="str">
        <f>C2140</f>
        <v>GS</v>
      </c>
      <c r="D2141" s="2">
        <f>D2140</f>
        <v>0</v>
      </c>
      <c r="F2141" s="2" t="str">
        <f>F2140</f>
        <v>Games Speed</v>
      </c>
      <c r="G2141" s="2" t="str">
        <f>G2140</f>
        <v/>
      </c>
      <c r="H2141" s="2" t="str">
        <f>H2140</f>
        <v/>
      </c>
      <c r="I2141" s="2" t="str">
        <f>I2140</f>
        <v/>
      </c>
      <c r="J2141" s="2" t="str">
        <f>J2140</f>
        <v/>
      </c>
      <c r="M2141" s="180" t="str">
        <f>M2140</f>
        <v/>
      </c>
      <c r="N2141" s="2" t="str">
        <f>N2139</f>
        <v/>
      </c>
      <c r="O2141" s="2">
        <f>O2140</f>
        <v>0</v>
      </c>
    </row>
    <row r="2142" spans="1:15" x14ac:dyDescent="0.25">
      <c r="A2142" s="325">
        <v>1</v>
      </c>
      <c r="B2142" s="325">
        <f t="shared" si="1638"/>
        <v>0</v>
      </c>
      <c r="C2142" s="325" t="s">
        <v>3724</v>
      </c>
      <c r="D2142" s="325">
        <f>Games!D17</f>
        <v>0</v>
      </c>
      <c r="E2142" s="325"/>
      <c r="F2142" s="325" t="s">
        <v>3725</v>
      </c>
      <c r="G2142" s="325" t="str">
        <f>IF(Games!AC17="e","Y","")</f>
        <v/>
      </c>
      <c r="H2142" s="325" t="str">
        <f>Games!E17</f>
        <v/>
      </c>
      <c r="I2142" s="325" t="str">
        <f>Games!F17</f>
        <v/>
      </c>
      <c r="J2142" s="325" t="str">
        <f>Games!G17</f>
        <v/>
      </c>
      <c r="K2142" s="325"/>
      <c r="L2142" s="325"/>
      <c r="M2142" s="326" t="str">
        <f t="shared" si="1639"/>
        <v/>
      </c>
      <c r="N2142" s="325" t="str">
        <f t="shared" ref="N2142" si="1651">N2140</f>
        <v/>
      </c>
      <c r="O2142" s="325">
        <f t="shared" si="1641"/>
        <v>0</v>
      </c>
    </row>
    <row r="2143" spans="1:15" x14ac:dyDescent="0.25">
      <c r="A2143" s="2">
        <v>2</v>
      </c>
      <c r="B2143" s="2">
        <f>B2142</f>
        <v>0</v>
      </c>
      <c r="C2143" s="2" t="str">
        <f>C2142</f>
        <v>GS</v>
      </c>
      <c r="D2143" s="2">
        <f>D2142</f>
        <v>0</v>
      </c>
      <c r="F2143" s="2" t="str">
        <f>F2142</f>
        <v>Games Speed</v>
      </c>
      <c r="G2143" s="2" t="str">
        <f>G2142</f>
        <v/>
      </c>
      <c r="H2143" s="2" t="str">
        <f>H2142</f>
        <v/>
      </c>
      <c r="I2143" s="2" t="str">
        <f>I2142</f>
        <v/>
      </c>
      <c r="J2143" s="2" t="str">
        <f>J2142</f>
        <v/>
      </c>
      <c r="M2143" s="180" t="str">
        <f>M2142</f>
        <v/>
      </c>
      <c r="N2143" s="2" t="str">
        <f>N2141</f>
        <v/>
      </c>
      <c r="O2143" s="2">
        <f>O2142</f>
        <v>0</v>
      </c>
    </row>
    <row r="2144" spans="1:15" x14ac:dyDescent="0.25">
      <c r="A2144" s="325">
        <v>1</v>
      </c>
      <c r="B2144" s="325">
        <f t="shared" si="1638"/>
        <v>0</v>
      </c>
      <c r="C2144" s="325" t="s">
        <v>3724</v>
      </c>
      <c r="D2144" s="325">
        <f>Games!D18</f>
        <v>0</v>
      </c>
      <c r="E2144" s="325"/>
      <c r="F2144" s="325" t="s">
        <v>3725</v>
      </c>
      <c r="G2144" s="325" t="str">
        <f>IF(Games!AC18="e","Y","")</f>
        <v/>
      </c>
      <c r="H2144" s="325" t="str">
        <f>Games!E18</f>
        <v/>
      </c>
      <c r="I2144" s="325" t="str">
        <f>Games!F18</f>
        <v/>
      </c>
      <c r="J2144" s="325" t="str">
        <f>Games!G18</f>
        <v/>
      </c>
      <c r="K2144" s="325"/>
      <c r="L2144" s="325"/>
      <c r="M2144" s="326" t="str">
        <f t="shared" si="1639"/>
        <v/>
      </c>
      <c r="N2144" s="325" t="str">
        <f t="shared" ref="N2144" si="1652">N2142</f>
        <v/>
      </c>
      <c r="O2144" s="325">
        <f t="shared" si="1641"/>
        <v>0</v>
      </c>
    </row>
    <row r="2145" spans="1:15" x14ac:dyDescent="0.25">
      <c r="A2145" s="2">
        <v>2</v>
      </c>
      <c r="B2145" s="2">
        <f>B2144</f>
        <v>0</v>
      </c>
      <c r="C2145" s="2" t="str">
        <f>C2144</f>
        <v>GS</v>
      </c>
      <c r="D2145" s="2">
        <f>D2144</f>
        <v>0</v>
      </c>
      <c r="F2145" s="2" t="str">
        <f>F2144</f>
        <v>Games Speed</v>
      </c>
      <c r="G2145" s="2" t="str">
        <f>G2144</f>
        <v/>
      </c>
      <c r="H2145" s="2" t="str">
        <f>H2144</f>
        <v/>
      </c>
      <c r="I2145" s="2" t="str">
        <f>I2144</f>
        <v/>
      </c>
      <c r="J2145" s="2" t="str">
        <f>J2144</f>
        <v/>
      </c>
      <c r="M2145" s="180" t="str">
        <f>M2144</f>
        <v/>
      </c>
      <c r="N2145" s="2" t="str">
        <f>N2143</f>
        <v/>
      </c>
      <c r="O2145" s="2">
        <f>O2144</f>
        <v>0</v>
      </c>
    </row>
    <row r="2146" spans="1:15" x14ac:dyDescent="0.25">
      <c r="A2146" s="325">
        <v>1</v>
      </c>
      <c r="B2146" s="325">
        <f t="shared" si="1638"/>
        <v>0</v>
      </c>
      <c r="C2146" s="325" t="s">
        <v>3724</v>
      </c>
      <c r="D2146" s="325">
        <f>Games!D19</f>
        <v>0</v>
      </c>
      <c r="E2146" s="325"/>
      <c r="F2146" s="325" t="s">
        <v>3725</v>
      </c>
      <c r="G2146" s="325" t="str">
        <f>IF(Games!AC19="e","Y","")</f>
        <v/>
      </c>
      <c r="H2146" s="325" t="str">
        <f>Games!E19</f>
        <v/>
      </c>
      <c r="I2146" s="325" t="str">
        <f>Games!F19</f>
        <v/>
      </c>
      <c r="J2146" s="325" t="str">
        <f>Games!G19</f>
        <v/>
      </c>
      <c r="K2146" s="325"/>
      <c r="L2146" s="325"/>
      <c r="M2146" s="326" t="str">
        <f t="shared" si="1639"/>
        <v/>
      </c>
      <c r="N2146" s="325" t="str">
        <f t="shared" ref="N2146" si="1653">N2144</f>
        <v/>
      </c>
      <c r="O2146" s="325">
        <f t="shared" si="1641"/>
        <v>0</v>
      </c>
    </row>
    <row r="2147" spans="1:15" x14ac:dyDescent="0.25">
      <c r="A2147" s="2">
        <v>2</v>
      </c>
      <c r="B2147" s="2">
        <f>B2146</f>
        <v>0</v>
      </c>
      <c r="C2147" s="2" t="str">
        <f>C2146</f>
        <v>GS</v>
      </c>
      <c r="D2147" s="2">
        <f>D2146</f>
        <v>0</v>
      </c>
      <c r="F2147" s="2" t="str">
        <f>F2146</f>
        <v>Games Speed</v>
      </c>
      <c r="G2147" s="2" t="str">
        <f>G2146</f>
        <v/>
      </c>
      <c r="H2147" s="2" t="str">
        <f>H2146</f>
        <v/>
      </c>
      <c r="I2147" s="2" t="str">
        <f>I2146</f>
        <v/>
      </c>
      <c r="J2147" s="2" t="str">
        <f>J2146</f>
        <v/>
      </c>
      <c r="M2147" s="180" t="str">
        <f>M2146</f>
        <v/>
      </c>
      <c r="N2147" s="2" t="str">
        <f>N2145</f>
        <v/>
      </c>
      <c r="O2147" s="2">
        <f>O2146</f>
        <v>0</v>
      </c>
    </row>
    <row r="2148" spans="1:15" x14ac:dyDescent="0.25">
      <c r="A2148" s="325">
        <v>1</v>
      </c>
      <c r="B2148" s="325">
        <f t="shared" si="1638"/>
        <v>0</v>
      </c>
      <c r="C2148" s="325" t="s">
        <v>3724</v>
      </c>
      <c r="D2148" s="325">
        <f>Games!D20</f>
        <v>0</v>
      </c>
      <c r="E2148" s="325"/>
      <c r="F2148" s="325" t="s">
        <v>3725</v>
      </c>
      <c r="G2148" s="325" t="str">
        <f>IF(Games!AC20="e","Y","")</f>
        <v/>
      </c>
      <c r="H2148" s="325" t="str">
        <f>Games!E20</f>
        <v/>
      </c>
      <c r="I2148" s="325" t="str">
        <f>Games!F20</f>
        <v/>
      </c>
      <c r="J2148" s="325" t="str">
        <f>Games!G20</f>
        <v/>
      </c>
      <c r="K2148" s="325"/>
      <c r="L2148" s="325"/>
      <c r="M2148" s="326" t="str">
        <f t="shared" si="1639"/>
        <v/>
      </c>
      <c r="N2148" s="325" t="str">
        <f t="shared" ref="N2148" si="1654">N2146</f>
        <v/>
      </c>
      <c r="O2148" s="325">
        <f t="shared" si="1641"/>
        <v>0</v>
      </c>
    </row>
    <row r="2149" spans="1:15" x14ac:dyDescent="0.25">
      <c r="A2149" s="2">
        <v>2</v>
      </c>
      <c r="B2149" s="2">
        <f>B2148</f>
        <v>0</v>
      </c>
      <c r="C2149" s="2" t="str">
        <f>C2148</f>
        <v>GS</v>
      </c>
      <c r="D2149" s="2">
        <f>D2148</f>
        <v>0</v>
      </c>
      <c r="F2149" s="2" t="str">
        <f>F2148</f>
        <v>Games Speed</v>
      </c>
      <c r="G2149" s="2" t="str">
        <f>G2148</f>
        <v/>
      </c>
      <c r="H2149" s="2" t="str">
        <f>H2148</f>
        <v/>
      </c>
      <c r="I2149" s="2" t="str">
        <f>I2148</f>
        <v/>
      </c>
      <c r="J2149" s="2" t="str">
        <f>J2148</f>
        <v/>
      </c>
      <c r="M2149" s="180" t="str">
        <f>M2148</f>
        <v/>
      </c>
      <c r="N2149" s="2" t="str">
        <f>N2147</f>
        <v/>
      </c>
      <c r="O2149" s="2">
        <f>O2148</f>
        <v>0</v>
      </c>
    </row>
    <row r="2150" spans="1:15" x14ac:dyDescent="0.25">
      <c r="A2150" s="325">
        <v>1</v>
      </c>
      <c r="B2150" s="325">
        <f t="shared" si="1638"/>
        <v>0</v>
      </c>
      <c r="C2150" s="325" t="s">
        <v>3724</v>
      </c>
      <c r="D2150" s="325">
        <f>Games!D21</f>
        <v>0</v>
      </c>
      <c r="E2150" s="325"/>
      <c r="F2150" s="325" t="s">
        <v>3725</v>
      </c>
      <c r="G2150" s="325" t="str">
        <f>IF(Games!AC21="e","Y","")</f>
        <v/>
      </c>
      <c r="H2150" s="325" t="str">
        <f>Games!E21</f>
        <v/>
      </c>
      <c r="I2150" s="325" t="str">
        <f>Games!F21</f>
        <v/>
      </c>
      <c r="J2150" s="325" t="str">
        <f>Games!G21</f>
        <v/>
      </c>
      <c r="K2150" s="325"/>
      <c r="L2150" s="325"/>
      <c r="M2150" s="326" t="str">
        <f t="shared" si="1639"/>
        <v/>
      </c>
      <c r="N2150" s="325" t="str">
        <f t="shared" ref="N2150" si="1655">N2148</f>
        <v/>
      </c>
      <c r="O2150" s="325">
        <f t="shared" si="1641"/>
        <v>0</v>
      </c>
    </row>
    <row r="2151" spans="1:15" x14ac:dyDescent="0.25">
      <c r="A2151" s="2">
        <v>2</v>
      </c>
      <c r="B2151" s="2">
        <f>B2150</f>
        <v>0</v>
      </c>
      <c r="C2151" s="2" t="str">
        <f>C2150</f>
        <v>GS</v>
      </c>
      <c r="D2151" s="2">
        <f>D2150</f>
        <v>0</v>
      </c>
      <c r="F2151" s="2" t="str">
        <f>F2150</f>
        <v>Games Speed</v>
      </c>
      <c r="G2151" s="2" t="str">
        <f>G2150</f>
        <v/>
      </c>
      <c r="H2151" s="2" t="str">
        <f>H2150</f>
        <v/>
      </c>
      <c r="I2151" s="2" t="str">
        <f>I2150</f>
        <v/>
      </c>
      <c r="J2151" s="2" t="str">
        <f>J2150</f>
        <v/>
      </c>
      <c r="M2151" s="180" t="str">
        <f>M2150</f>
        <v/>
      </c>
      <c r="N2151" s="2" t="str">
        <f>N2149</f>
        <v/>
      </c>
      <c r="O2151" s="2">
        <f>O2150</f>
        <v>0</v>
      </c>
    </row>
    <row r="2152" spans="1:15" x14ac:dyDescent="0.25">
      <c r="A2152" s="325">
        <v>1</v>
      </c>
      <c r="B2152" s="325">
        <f t="shared" si="1638"/>
        <v>0</v>
      </c>
      <c r="C2152" s="325" t="s">
        <v>3724</v>
      </c>
      <c r="D2152" s="325">
        <f>Games!D22</f>
        <v>0</v>
      </c>
      <c r="E2152" s="325"/>
      <c r="F2152" s="325" t="s">
        <v>3725</v>
      </c>
      <c r="G2152" s="325" t="str">
        <f>IF(Games!AC22="e","Y","")</f>
        <v/>
      </c>
      <c r="H2152" s="325" t="str">
        <f>Games!E22</f>
        <v/>
      </c>
      <c r="I2152" s="325" t="str">
        <f>Games!F22</f>
        <v/>
      </c>
      <c r="J2152" s="325" t="str">
        <f>Games!G22</f>
        <v/>
      </c>
      <c r="K2152" s="325"/>
      <c r="L2152" s="325"/>
      <c r="M2152" s="326" t="str">
        <f t="shared" si="1639"/>
        <v/>
      </c>
      <c r="N2152" s="325" t="str">
        <f t="shared" ref="N2152" si="1656">N2150</f>
        <v/>
      </c>
      <c r="O2152" s="325">
        <f t="shared" si="1641"/>
        <v>0</v>
      </c>
    </row>
    <row r="2153" spans="1:15" x14ac:dyDescent="0.25">
      <c r="A2153" s="2">
        <v>2</v>
      </c>
      <c r="B2153" s="2">
        <f>B2152</f>
        <v>0</v>
      </c>
      <c r="C2153" s="2" t="str">
        <f>C2152</f>
        <v>GS</v>
      </c>
      <c r="D2153" s="2">
        <f>D2152</f>
        <v>0</v>
      </c>
      <c r="F2153" s="2" t="str">
        <f>F2152</f>
        <v>Games Speed</v>
      </c>
      <c r="G2153" s="2" t="str">
        <f>G2152</f>
        <v/>
      </c>
      <c r="H2153" s="2" t="str">
        <f>H2152</f>
        <v/>
      </c>
      <c r="I2153" s="2" t="str">
        <f>I2152</f>
        <v/>
      </c>
      <c r="J2153" s="2" t="str">
        <f>J2152</f>
        <v/>
      </c>
      <c r="M2153" s="180" t="str">
        <f>M2152</f>
        <v/>
      </c>
      <c r="N2153" s="2" t="str">
        <f>N2151</f>
        <v/>
      </c>
      <c r="O2153" s="2">
        <f>O2152</f>
        <v>0</v>
      </c>
    </row>
    <row r="2154" spans="1:15" x14ac:dyDescent="0.25">
      <c r="A2154" s="325">
        <v>1</v>
      </c>
      <c r="B2154" s="325">
        <f t="shared" si="1638"/>
        <v>0</v>
      </c>
      <c r="C2154" s="325" t="s">
        <v>3724</v>
      </c>
      <c r="D2154" s="325">
        <f>Games!D23</f>
        <v>0</v>
      </c>
      <c r="E2154" s="325"/>
      <c r="F2154" s="325" t="s">
        <v>3725</v>
      </c>
      <c r="G2154" s="325" t="str">
        <f>IF(Games!AC23="e","Y","")</f>
        <v/>
      </c>
      <c r="H2154" s="325" t="str">
        <f>Games!E23</f>
        <v/>
      </c>
      <c r="I2154" s="325" t="str">
        <f>Games!F23</f>
        <v/>
      </c>
      <c r="J2154" s="325" t="str">
        <f>Games!G23</f>
        <v/>
      </c>
      <c r="K2154" s="325"/>
      <c r="L2154" s="325"/>
      <c r="M2154" s="326" t="str">
        <f t="shared" si="1639"/>
        <v/>
      </c>
      <c r="N2154" s="325" t="str">
        <f t="shared" ref="N2154" si="1657">N2152</f>
        <v/>
      </c>
      <c r="O2154" s="325">
        <f t="shared" si="1641"/>
        <v>0</v>
      </c>
    </row>
    <row r="2155" spans="1:15" x14ac:dyDescent="0.25">
      <c r="A2155" s="2">
        <v>2</v>
      </c>
      <c r="B2155" s="2">
        <f>B2154</f>
        <v>0</v>
      </c>
      <c r="C2155" s="2" t="str">
        <f>C2154</f>
        <v>GS</v>
      </c>
      <c r="D2155" s="2">
        <f>D2154</f>
        <v>0</v>
      </c>
      <c r="F2155" s="2" t="str">
        <f>F2154</f>
        <v>Games Speed</v>
      </c>
      <c r="G2155" s="2" t="str">
        <f>G2154</f>
        <v/>
      </c>
      <c r="H2155" s="2" t="str">
        <f>H2154</f>
        <v/>
      </c>
      <c r="I2155" s="2" t="str">
        <f>I2154</f>
        <v/>
      </c>
      <c r="J2155" s="2" t="str">
        <f>J2154</f>
        <v/>
      </c>
      <c r="M2155" s="180" t="str">
        <f>M2154</f>
        <v/>
      </c>
      <c r="N2155" s="2" t="str">
        <f>N2153</f>
        <v/>
      </c>
      <c r="O2155" s="2">
        <f>O2154</f>
        <v>0</v>
      </c>
    </row>
    <row r="2156" spans="1:15" x14ac:dyDescent="0.25">
      <c r="A2156" s="325">
        <v>1</v>
      </c>
      <c r="B2156" s="325">
        <f t="shared" si="1638"/>
        <v>0</v>
      </c>
      <c r="C2156" s="325" t="s">
        <v>3724</v>
      </c>
      <c r="D2156" s="325">
        <f>Games!D24</f>
        <v>0</v>
      </c>
      <c r="E2156" s="325"/>
      <c r="F2156" s="325" t="s">
        <v>3725</v>
      </c>
      <c r="G2156" s="325" t="str">
        <f>IF(Games!AC24="e","Y","")</f>
        <v/>
      </c>
      <c r="H2156" s="325" t="str">
        <f>Games!E24</f>
        <v/>
      </c>
      <c r="I2156" s="325" t="str">
        <f>Games!F24</f>
        <v/>
      </c>
      <c r="J2156" s="325" t="str">
        <f>Games!G24</f>
        <v/>
      </c>
      <c r="K2156" s="325"/>
      <c r="L2156" s="325"/>
      <c r="M2156" s="326" t="str">
        <f t="shared" si="1639"/>
        <v/>
      </c>
      <c r="N2156" s="325" t="str">
        <f t="shared" ref="N2156" si="1658">N2154</f>
        <v/>
      </c>
      <c r="O2156" s="325">
        <f t="shared" si="1641"/>
        <v>0</v>
      </c>
    </row>
    <row r="2157" spans="1:15" x14ac:dyDescent="0.25">
      <c r="A2157" s="2">
        <v>2</v>
      </c>
      <c r="B2157" s="2">
        <f>B2156</f>
        <v>0</v>
      </c>
      <c r="C2157" s="2" t="str">
        <f>C2156</f>
        <v>GS</v>
      </c>
      <c r="D2157" s="2">
        <f>D2156</f>
        <v>0</v>
      </c>
      <c r="F2157" s="2" t="str">
        <f>F2156</f>
        <v>Games Speed</v>
      </c>
      <c r="G2157" s="2" t="str">
        <f>G2156</f>
        <v/>
      </c>
      <c r="H2157" s="2" t="str">
        <f>H2156</f>
        <v/>
      </c>
      <c r="I2157" s="2" t="str">
        <f>I2156</f>
        <v/>
      </c>
      <c r="J2157" s="2" t="str">
        <f>J2156</f>
        <v/>
      </c>
      <c r="M2157" s="180" t="str">
        <f>M2156</f>
        <v/>
      </c>
      <c r="N2157" s="2" t="str">
        <f>N2155</f>
        <v/>
      </c>
      <c r="O2157" s="2">
        <f>O2156</f>
        <v>0</v>
      </c>
    </row>
    <row r="2158" spans="1:15" x14ac:dyDescent="0.25">
      <c r="A2158" s="325">
        <v>1</v>
      </c>
      <c r="B2158" s="325">
        <f t="shared" si="1638"/>
        <v>0</v>
      </c>
      <c r="C2158" s="325" t="s">
        <v>3724</v>
      </c>
      <c r="D2158" s="325">
        <f>Games!D25</f>
        <v>0</v>
      </c>
      <c r="E2158" s="325"/>
      <c r="F2158" s="325" t="s">
        <v>3725</v>
      </c>
      <c r="G2158" s="325" t="str">
        <f>IF(Games!AC25="e","Y","")</f>
        <v/>
      </c>
      <c r="H2158" s="325" t="str">
        <f>Games!E25</f>
        <v/>
      </c>
      <c r="I2158" s="325" t="str">
        <f>Games!F25</f>
        <v/>
      </c>
      <c r="J2158" s="325" t="str">
        <f>Games!G25</f>
        <v/>
      </c>
      <c r="K2158" s="325"/>
      <c r="L2158" s="325"/>
      <c r="M2158" s="326" t="str">
        <f t="shared" si="1639"/>
        <v/>
      </c>
      <c r="N2158" s="325" t="str">
        <f t="shared" ref="N2158" si="1659">N2156</f>
        <v/>
      </c>
      <c r="O2158" s="325">
        <f t="shared" si="1641"/>
        <v>0</v>
      </c>
    </row>
    <row r="2159" spans="1:15" x14ac:dyDescent="0.25">
      <c r="A2159" s="2">
        <v>2</v>
      </c>
      <c r="B2159" s="2">
        <f>B2158</f>
        <v>0</v>
      </c>
      <c r="C2159" s="2" t="str">
        <f>C2158</f>
        <v>GS</v>
      </c>
      <c r="D2159" s="2">
        <f>D2158</f>
        <v>0</v>
      </c>
      <c r="F2159" s="2" t="str">
        <f>F2158</f>
        <v>Games Speed</v>
      </c>
      <c r="G2159" s="2" t="str">
        <f>G2158</f>
        <v/>
      </c>
      <c r="H2159" s="2" t="str">
        <f>H2158</f>
        <v/>
      </c>
      <c r="I2159" s="2" t="str">
        <f>I2158</f>
        <v/>
      </c>
      <c r="J2159" s="2" t="str">
        <f>J2158</f>
        <v/>
      </c>
      <c r="M2159" s="180" t="str">
        <f>M2158</f>
        <v/>
      </c>
      <c r="N2159" s="2" t="str">
        <f>N2157</f>
        <v/>
      </c>
      <c r="O2159" s="2">
        <f>O2158</f>
        <v>0</v>
      </c>
    </row>
    <row r="2160" spans="1:15" x14ac:dyDescent="0.25">
      <c r="A2160" s="325">
        <v>1</v>
      </c>
      <c r="B2160" s="325">
        <f t="shared" si="1638"/>
        <v>0</v>
      </c>
      <c r="C2160" s="325" t="s">
        <v>3724</v>
      </c>
      <c r="D2160" s="325">
        <f>Games!D26</f>
        <v>0</v>
      </c>
      <c r="E2160" s="325"/>
      <c r="F2160" s="325" t="s">
        <v>3725</v>
      </c>
      <c r="G2160" s="325" t="str">
        <f>IF(Games!AC26="e","Y","")</f>
        <v/>
      </c>
      <c r="H2160" s="325" t="str">
        <f>Games!E26</f>
        <v/>
      </c>
      <c r="I2160" s="325" t="str">
        <f>Games!F26</f>
        <v/>
      </c>
      <c r="J2160" s="325" t="str">
        <f>Games!G26</f>
        <v/>
      </c>
      <c r="K2160" s="325"/>
      <c r="L2160" s="325"/>
      <c r="M2160" s="326" t="str">
        <f t="shared" si="1639"/>
        <v/>
      </c>
      <c r="N2160" s="325" t="str">
        <f t="shared" ref="N2160" si="1660">N2158</f>
        <v/>
      </c>
      <c r="O2160" s="325">
        <f t="shared" si="1641"/>
        <v>0</v>
      </c>
    </row>
    <row r="2161" spans="1:15" x14ac:dyDescent="0.25">
      <c r="A2161" s="2">
        <v>2</v>
      </c>
      <c r="B2161" s="2">
        <f>B2160</f>
        <v>0</v>
      </c>
      <c r="C2161" s="2" t="str">
        <f>C2160</f>
        <v>GS</v>
      </c>
      <c r="D2161" s="2">
        <f>D2160</f>
        <v>0</v>
      </c>
      <c r="F2161" s="2" t="str">
        <f>F2160</f>
        <v>Games Speed</v>
      </c>
      <c r="G2161" s="2" t="str">
        <f>G2160</f>
        <v/>
      </c>
      <c r="H2161" s="2" t="str">
        <f>H2160</f>
        <v/>
      </c>
      <c r="I2161" s="2" t="str">
        <f>I2160</f>
        <v/>
      </c>
      <c r="J2161" s="2" t="str">
        <f>J2160</f>
        <v/>
      </c>
      <c r="M2161" s="180" t="str">
        <f>M2160</f>
        <v/>
      </c>
      <c r="N2161" s="2" t="str">
        <f>N2159</f>
        <v/>
      </c>
      <c r="O2161" s="2">
        <f>O2160</f>
        <v>0</v>
      </c>
    </row>
    <row r="2162" spans="1:15" x14ac:dyDescent="0.25">
      <c r="A2162" s="325">
        <v>1</v>
      </c>
      <c r="B2162" s="325">
        <f t="shared" si="1638"/>
        <v>0</v>
      </c>
      <c r="C2162" s="325" t="s">
        <v>3724</v>
      </c>
      <c r="D2162" s="325">
        <f>Games!D27</f>
        <v>0</v>
      </c>
      <c r="E2162" s="325"/>
      <c r="F2162" s="325" t="s">
        <v>3725</v>
      </c>
      <c r="G2162" s="325" t="str">
        <f>IF(Games!AC27="e","Y","")</f>
        <v/>
      </c>
      <c r="H2162" s="325" t="str">
        <f>Games!E27</f>
        <v/>
      </c>
      <c r="I2162" s="325" t="str">
        <f>Games!F27</f>
        <v/>
      </c>
      <c r="J2162" s="325" t="str">
        <f>Games!G27</f>
        <v/>
      </c>
      <c r="K2162" s="325"/>
      <c r="L2162" s="325"/>
      <c r="M2162" s="326" t="str">
        <f t="shared" si="1639"/>
        <v/>
      </c>
      <c r="N2162" s="325" t="str">
        <f t="shared" ref="N2162" si="1661">N2160</f>
        <v/>
      </c>
      <c r="O2162" s="325">
        <f t="shared" si="1641"/>
        <v>0</v>
      </c>
    </row>
    <row r="2163" spans="1:15" x14ac:dyDescent="0.25">
      <c r="A2163" s="2">
        <v>2</v>
      </c>
      <c r="B2163" s="2">
        <f>B2162</f>
        <v>0</v>
      </c>
      <c r="C2163" s="2" t="str">
        <f>C2162</f>
        <v>GS</v>
      </c>
      <c r="D2163" s="2">
        <f>D2162</f>
        <v>0</v>
      </c>
      <c r="F2163" s="2" t="str">
        <f>F2162</f>
        <v>Games Speed</v>
      </c>
      <c r="G2163" s="2" t="str">
        <f>G2162</f>
        <v/>
      </c>
      <c r="H2163" s="2" t="str">
        <f>H2162</f>
        <v/>
      </c>
      <c r="I2163" s="2" t="str">
        <f>I2162</f>
        <v/>
      </c>
      <c r="J2163" s="2" t="str">
        <f>J2162</f>
        <v/>
      </c>
      <c r="M2163" s="180" t="str">
        <f>M2162</f>
        <v/>
      </c>
      <c r="N2163" s="2" t="str">
        <f>N2161</f>
        <v/>
      </c>
      <c r="O2163" s="2">
        <f>O2162</f>
        <v>0</v>
      </c>
    </row>
    <row r="2164" spans="1:15" x14ac:dyDescent="0.25">
      <c r="A2164" s="325">
        <v>1</v>
      </c>
      <c r="B2164" s="325">
        <f t="shared" si="1638"/>
        <v>0</v>
      </c>
      <c r="C2164" s="325" t="s">
        <v>3724</v>
      </c>
      <c r="D2164" s="325">
        <f>Games!D28</f>
        <v>0</v>
      </c>
      <c r="E2164" s="325"/>
      <c r="F2164" s="325" t="s">
        <v>3725</v>
      </c>
      <c r="G2164" s="325" t="str">
        <f>IF(Games!AC28="e","Y","")</f>
        <v/>
      </c>
      <c r="H2164" s="325" t="str">
        <f>Games!E28</f>
        <v/>
      </c>
      <c r="I2164" s="325" t="str">
        <f>Games!F28</f>
        <v/>
      </c>
      <c r="J2164" s="325" t="str">
        <f>Games!G28</f>
        <v/>
      </c>
      <c r="K2164" s="325"/>
      <c r="L2164" s="325"/>
      <c r="M2164" s="326" t="str">
        <f t="shared" si="1639"/>
        <v/>
      </c>
      <c r="N2164" s="325" t="str">
        <f t="shared" ref="N2164" si="1662">N2162</f>
        <v/>
      </c>
      <c r="O2164" s="325">
        <f t="shared" si="1641"/>
        <v>0</v>
      </c>
    </row>
    <row r="2165" spans="1:15" x14ac:dyDescent="0.25">
      <c r="A2165" s="2">
        <v>2</v>
      </c>
      <c r="B2165" s="2">
        <f>B2164</f>
        <v>0</v>
      </c>
      <c r="C2165" s="2" t="str">
        <f>C2164</f>
        <v>GS</v>
      </c>
      <c r="D2165" s="2">
        <f>D2164</f>
        <v>0</v>
      </c>
      <c r="F2165" s="2" t="str">
        <f>F2164</f>
        <v>Games Speed</v>
      </c>
      <c r="G2165" s="2" t="str">
        <f>G2164</f>
        <v/>
      </c>
      <c r="H2165" s="2" t="str">
        <f>H2164</f>
        <v/>
      </c>
      <c r="I2165" s="2" t="str">
        <f>I2164</f>
        <v/>
      </c>
      <c r="J2165" s="2" t="str">
        <f>J2164</f>
        <v/>
      </c>
      <c r="M2165" s="180" t="str">
        <f>M2164</f>
        <v/>
      </c>
      <c r="N2165" s="2" t="str">
        <f>N2163</f>
        <v/>
      </c>
      <c r="O2165" s="2">
        <f>O2164</f>
        <v>0</v>
      </c>
    </row>
    <row r="2166" spans="1:15" x14ac:dyDescent="0.25">
      <c r="A2166" s="325">
        <v>1</v>
      </c>
      <c r="B2166" s="325">
        <f t="shared" si="1638"/>
        <v>0</v>
      </c>
      <c r="C2166" s="325" t="s">
        <v>3724</v>
      </c>
      <c r="D2166" s="325">
        <f>Games!D29</f>
        <v>0</v>
      </c>
      <c r="E2166" s="325"/>
      <c r="F2166" s="325" t="s">
        <v>3725</v>
      </c>
      <c r="G2166" s="325" t="str">
        <f>IF(Games!AC29="e","Y","")</f>
        <v/>
      </c>
      <c r="H2166" s="325" t="str">
        <f>Games!E29</f>
        <v/>
      </c>
      <c r="I2166" s="325" t="str">
        <f>Games!F29</f>
        <v/>
      </c>
      <c r="J2166" s="325" t="str">
        <f>Games!G29</f>
        <v/>
      </c>
      <c r="K2166" s="325"/>
      <c r="L2166" s="325"/>
      <c r="M2166" s="326" t="str">
        <f t="shared" si="1639"/>
        <v/>
      </c>
      <c r="N2166" s="325" t="str">
        <f t="shared" ref="N2166" si="1663">N2164</f>
        <v/>
      </c>
      <c r="O2166" s="325">
        <f t="shared" si="1641"/>
        <v>0</v>
      </c>
    </row>
    <row r="2167" spans="1:15" x14ac:dyDescent="0.25">
      <c r="A2167" s="2">
        <v>2</v>
      </c>
      <c r="B2167" s="2">
        <f>B2166</f>
        <v>0</v>
      </c>
      <c r="C2167" s="2" t="str">
        <f>C2166</f>
        <v>GS</v>
      </c>
      <c r="D2167" s="2">
        <f>D2166</f>
        <v>0</v>
      </c>
      <c r="F2167" s="2" t="str">
        <f>F2166</f>
        <v>Games Speed</v>
      </c>
      <c r="G2167" s="2" t="str">
        <f>G2166</f>
        <v/>
      </c>
      <c r="H2167" s="2" t="str">
        <f>H2166</f>
        <v/>
      </c>
      <c r="I2167" s="2" t="str">
        <f>I2166</f>
        <v/>
      </c>
      <c r="J2167" s="2" t="str">
        <f>J2166</f>
        <v/>
      </c>
      <c r="M2167" s="180" t="str">
        <f>M2166</f>
        <v/>
      </c>
      <c r="N2167" s="2" t="str">
        <f>N2165</f>
        <v/>
      </c>
      <c r="O2167" s="2">
        <f>O2166</f>
        <v>0</v>
      </c>
    </row>
    <row r="2168" spans="1:15" x14ac:dyDescent="0.25">
      <c r="A2168" s="325">
        <v>1</v>
      </c>
      <c r="B2168" s="325">
        <f t="shared" si="1638"/>
        <v>0</v>
      </c>
      <c r="C2168" s="325" t="s">
        <v>3724</v>
      </c>
      <c r="D2168" s="325">
        <f>Games!D30</f>
        <v>0</v>
      </c>
      <c r="E2168" s="325"/>
      <c r="F2168" s="325" t="s">
        <v>3725</v>
      </c>
      <c r="G2168" s="325" t="str">
        <f>IF(Games!AC30="e","Y","")</f>
        <v/>
      </c>
      <c r="H2168" s="325" t="str">
        <f>Games!E30</f>
        <v/>
      </c>
      <c r="I2168" s="325" t="str">
        <f>Games!F30</f>
        <v/>
      </c>
      <c r="J2168" s="325" t="str">
        <f>Games!G30</f>
        <v/>
      </c>
      <c r="K2168" s="325"/>
      <c r="L2168" s="325"/>
      <c r="M2168" s="326" t="str">
        <f t="shared" si="1639"/>
        <v/>
      </c>
      <c r="N2168" s="325" t="str">
        <f t="shared" ref="N2168" si="1664">N2166</f>
        <v/>
      </c>
      <c r="O2168" s="325">
        <f t="shared" si="1641"/>
        <v>0</v>
      </c>
    </row>
    <row r="2169" spans="1:15" x14ac:dyDescent="0.25">
      <c r="A2169" s="2">
        <v>2</v>
      </c>
      <c r="B2169" s="2">
        <f>B2168</f>
        <v>0</v>
      </c>
      <c r="C2169" s="2" t="str">
        <f>C2168</f>
        <v>GS</v>
      </c>
      <c r="D2169" s="2">
        <f>D2168</f>
        <v>0</v>
      </c>
      <c r="F2169" s="2" t="str">
        <f>F2168</f>
        <v>Games Speed</v>
      </c>
      <c r="G2169" s="2" t="str">
        <f>G2168</f>
        <v/>
      </c>
      <c r="H2169" s="2" t="str">
        <f>H2168</f>
        <v/>
      </c>
      <c r="I2169" s="2" t="str">
        <f>I2168</f>
        <v/>
      </c>
      <c r="J2169" s="2" t="str">
        <f>J2168</f>
        <v/>
      </c>
      <c r="M2169" s="180" t="str">
        <f>M2168</f>
        <v/>
      </c>
      <c r="N2169" s="2" t="str">
        <f>N2167</f>
        <v/>
      </c>
      <c r="O2169" s="2">
        <f>O2168</f>
        <v>0</v>
      </c>
    </row>
    <row r="2170" spans="1:15" x14ac:dyDescent="0.25">
      <c r="A2170" s="325">
        <v>1</v>
      </c>
      <c r="B2170" s="325">
        <f t="shared" si="1638"/>
        <v>0</v>
      </c>
      <c r="C2170" s="325" t="s">
        <v>3724</v>
      </c>
      <c r="D2170" s="325">
        <f>Games!D31</f>
        <v>0</v>
      </c>
      <c r="E2170" s="325"/>
      <c r="F2170" s="325" t="s">
        <v>3725</v>
      </c>
      <c r="G2170" s="325" t="str">
        <f>IF(Games!AC31="e","Y","")</f>
        <v/>
      </c>
      <c r="H2170" s="325" t="str">
        <f>Games!E31</f>
        <v/>
      </c>
      <c r="I2170" s="325" t="str">
        <f>Games!F31</f>
        <v/>
      </c>
      <c r="J2170" s="325" t="str">
        <f>Games!G31</f>
        <v/>
      </c>
      <c r="K2170" s="325"/>
      <c r="L2170" s="325"/>
      <c r="M2170" s="326" t="str">
        <f t="shared" si="1639"/>
        <v/>
      </c>
      <c r="N2170" s="325" t="str">
        <f t="shared" ref="N2170" si="1665">N2168</f>
        <v/>
      </c>
      <c r="O2170" s="325">
        <f t="shared" si="1641"/>
        <v>0</v>
      </c>
    </row>
    <row r="2171" spans="1:15" x14ac:dyDescent="0.25">
      <c r="A2171" s="2">
        <v>2</v>
      </c>
      <c r="B2171" s="2">
        <f>B2170</f>
        <v>0</v>
      </c>
      <c r="C2171" s="2" t="str">
        <f>C2170</f>
        <v>GS</v>
      </c>
      <c r="D2171" s="2">
        <f>D2170</f>
        <v>0</v>
      </c>
      <c r="F2171" s="2" t="str">
        <f>F2170</f>
        <v>Games Speed</v>
      </c>
      <c r="G2171" s="2" t="str">
        <f>G2170</f>
        <v/>
      </c>
      <c r="H2171" s="2" t="str">
        <f>H2170</f>
        <v/>
      </c>
      <c r="I2171" s="2" t="str">
        <f>I2170</f>
        <v/>
      </c>
      <c r="J2171" s="2" t="str">
        <f>J2170</f>
        <v/>
      </c>
      <c r="M2171" s="180" t="str">
        <f>M2170</f>
        <v/>
      </c>
      <c r="N2171" s="2" t="str">
        <f>N2169</f>
        <v/>
      </c>
      <c r="O2171" s="2">
        <f>O2170</f>
        <v>0</v>
      </c>
    </row>
    <row r="2172" spans="1:15" x14ac:dyDescent="0.25">
      <c r="A2172" s="325">
        <v>1</v>
      </c>
      <c r="B2172" s="325">
        <f t="shared" si="1638"/>
        <v>0</v>
      </c>
      <c r="C2172" s="325" t="s">
        <v>3724</v>
      </c>
      <c r="D2172" s="325">
        <f>Games!D32</f>
        <v>0</v>
      </c>
      <c r="E2172" s="325"/>
      <c r="F2172" s="325" t="s">
        <v>3725</v>
      </c>
      <c r="G2172" s="325" t="str">
        <f>IF(Games!AC32="e","Y","")</f>
        <v/>
      </c>
      <c r="H2172" s="325" t="str">
        <f>Games!E32</f>
        <v/>
      </c>
      <c r="I2172" s="325" t="str">
        <f>Games!F32</f>
        <v/>
      </c>
      <c r="J2172" s="325" t="str">
        <f>Games!G32</f>
        <v/>
      </c>
      <c r="K2172" s="325"/>
      <c r="L2172" s="325"/>
      <c r="M2172" s="326" t="str">
        <f t="shared" si="1639"/>
        <v/>
      </c>
      <c r="N2172" s="325" t="str">
        <f t="shared" ref="N2172" si="1666">N2170</f>
        <v/>
      </c>
      <c r="O2172" s="325">
        <f t="shared" si="1641"/>
        <v>0</v>
      </c>
    </row>
    <row r="2173" spans="1:15" x14ac:dyDescent="0.25">
      <c r="A2173" s="2">
        <v>2</v>
      </c>
      <c r="B2173" s="2">
        <f>B2172</f>
        <v>0</v>
      </c>
      <c r="C2173" s="2" t="str">
        <f>C2172</f>
        <v>GS</v>
      </c>
      <c r="D2173" s="2">
        <f>D2172</f>
        <v>0</v>
      </c>
      <c r="F2173" s="2" t="str">
        <f>F2172</f>
        <v>Games Speed</v>
      </c>
      <c r="G2173" s="2" t="str">
        <f>G2172</f>
        <v/>
      </c>
      <c r="H2173" s="2" t="str">
        <f>H2172</f>
        <v/>
      </c>
      <c r="I2173" s="2" t="str">
        <f>I2172</f>
        <v/>
      </c>
      <c r="J2173" s="2" t="str">
        <f>J2172</f>
        <v/>
      </c>
      <c r="M2173" s="180" t="str">
        <f>M2172</f>
        <v/>
      </c>
      <c r="N2173" s="2" t="str">
        <f>N2171</f>
        <v/>
      </c>
      <c r="O2173" s="2">
        <f>O2172</f>
        <v>0</v>
      </c>
    </row>
    <row r="2174" spans="1:15" x14ac:dyDescent="0.25">
      <c r="A2174" s="325">
        <v>1</v>
      </c>
      <c r="B2174" s="325">
        <f t="shared" si="1638"/>
        <v>0</v>
      </c>
      <c r="C2174" s="325" t="s">
        <v>3724</v>
      </c>
      <c r="D2174" s="325">
        <f>Games!D33</f>
        <v>0</v>
      </c>
      <c r="E2174" s="325"/>
      <c r="F2174" s="325" t="s">
        <v>3725</v>
      </c>
      <c r="G2174" s="325" t="str">
        <f>IF(Games!AC33="e","Y","")</f>
        <v/>
      </c>
      <c r="H2174" s="325" t="str">
        <f>Games!E33</f>
        <v/>
      </c>
      <c r="I2174" s="325" t="str">
        <f>Games!F33</f>
        <v/>
      </c>
      <c r="J2174" s="325" t="str">
        <f>Games!G33</f>
        <v/>
      </c>
      <c r="K2174" s="325"/>
      <c r="L2174" s="325"/>
      <c r="M2174" s="326" t="str">
        <f t="shared" si="1639"/>
        <v/>
      </c>
      <c r="N2174" s="325" t="str">
        <f t="shared" ref="N2174" si="1667">N2172</f>
        <v/>
      </c>
      <c r="O2174" s="325">
        <f t="shared" si="1641"/>
        <v>0</v>
      </c>
    </row>
    <row r="2175" spans="1:15" x14ac:dyDescent="0.25">
      <c r="A2175" s="2">
        <v>2</v>
      </c>
      <c r="B2175" s="2">
        <f>B2174</f>
        <v>0</v>
      </c>
      <c r="C2175" s="2" t="str">
        <f>C2174</f>
        <v>GS</v>
      </c>
      <c r="D2175" s="2">
        <f>D2174</f>
        <v>0</v>
      </c>
      <c r="F2175" s="2" t="str">
        <f>F2174</f>
        <v>Games Speed</v>
      </c>
      <c r="G2175" s="2" t="str">
        <f>G2174</f>
        <v/>
      </c>
      <c r="H2175" s="2" t="str">
        <f>H2174</f>
        <v/>
      </c>
      <c r="I2175" s="2" t="str">
        <f>I2174</f>
        <v/>
      </c>
      <c r="J2175" s="2" t="str">
        <f>J2174</f>
        <v/>
      </c>
      <c r="M2175" s="180" t="str">
        <f>M2174</f>
        <v/>
      </c>
      <c r="N2175" s="2" t="str">
        <f>N2173</f>
        <v/>
      </c>
      <c r="O2175" s="2">
        <f>O2174</f>
        <v>0</v>
      </c>
    </row>
    <row r="2176" spans="1:15" x14ac:dyDescent="0.25">
      <c r="A2176" s="325">
        <v>1</v>
      </c>
      <c r="B2176" s="325">
        <f t="shared" si="1638"/>
        <v>0</v>
      </c>
      <c r="C2176" s="325" t="s">
        <v>3724</v>
      </c>
      <c r="D2176" s="325">
        <f>Games!D34</f>
        <v>0</v>
      </c>
      <c r="E2176" s="325"/>
      <c r="F2176" s="325" t="s">
        <v>3725</v>
      </c>
      <c r="G2176" s="325" t="str">
        <f>IF(Games!AC34="e","Y","")</f>
        <v/>
      </c>
      <c r="H2176" s="325" t="str">
        <f>Games!E34</f>
        <v/>
      </c>
      <c r="I2176" s="325" t="str">
        <f>Games!F34</f>
        <v/>
      </c>
      <c r="J2176" s="325" t="str">
        <f>Games!G34</f>
        <v/>
      </c>
      <c r="K2176" s="325"/>
      <c r="L2176" s="325"/>
      <c r="M2176" s="326" t="str">
        <f t="shared" si="1639"/>
        <v/>
      </c>
      <c r="N2176" s="325" t="str">
        <f t="shared" ref="N2176" si="1668">N2174</f>
        <v/>
      </c>
      <c r="O2176" s="325">
        <f t="shared" si="1641"/>
        <v>0</v>
      </c>
    </row>
    <row r="2177" spans="1:15" x14ac:dyDescent="0.25">
      <c r="A2177" s="2">
        <v>2</v>
      </c>
      <c r="B2177" s="2">
        <f>B2176</f>
        <v>0</v>
      </c>
      <c r="C2177" s="2" t="str">
        <f>C2176</f>
        <v>GS</v>
      </c>
      <c r="D2177" s="2">
        <f>D2176</f>
        <v>0</v>
      </c>
      <c r="F2177" s="2" t="str">
        <f>F2176</f>
        <v>Games Speed</v>
      </c>
      <c r="G2177" s="2" t="str">
        <f>G2176</f>
        <v/>
      </c>
      <c r="H2177" s="2" t="str">
        <f>H2176</f>
        <v/>
      </c>
      <c r="I2177" s="2" t="str">
        <f>I2176</f>
        <v/>
      </c>
      <c r="J2177" s="2" t="str">
        <f>J2176</f>
        <v/>
      </c>
      <c r="M2177" s="180" t="str">
        <f>M2176</f>
        <v/>
      </c>
      <c r="N2177" s="2" t="str">
        <f>N2175</f>
        <v/>
      </c>
      <c r="O2177" s="2">
        <f>O2176</f>
        <v>0</v>
      </c>
    </row>
    <row r="2178" spans="1:15" x14ac:dyDescent="0.25">
      <c r="A2178" s="325">
        <v>1</v>
      </c>
      <c r="B2178" s="325">
        <f t="shared" si="1638"/>
        <v>0</v>
      </c>
      <c r="C2178" s="325" t="s">
        <v>3724</v>
      </c>
      <c r="D2178" s="325">
        <f>Games!D35</f>
        <v>0</v>
      </c>
      <c r="E2178" s="325"/>
      <c r="F2178" s="325" t="s">
        <v>3725</v>
      </c>
      <c r="G2178" s="325" t="str">
        <f>IF(Games!AC35="e","Y","")</f>
        <v/>
      </c>
      <c r="H2178" s="325" t="str">
        <f>Games!E35</f>
        <v/>
      </c>
      <c r="I2178" s="325" t="str">
        <f>Games!F35</f>
        <v/>
      </c>
      <c r="J2178" s="325" t="str">
        <f>Games!G35</f>
        <v/>
      </c>
      <c r="K2178" s="325"/>
      <c r="L2178" s="325"/>
      <c r="M2178" s="326" t="str">
        <f t="shared" si="1639"/>
        <v/>
      </c>
      <c r="N2178" s="325" t="str">
        <f t="shared" ref="N2178" si="1669">N2176</f>
        <v/>
      </c>
      <c r="O2178" s="325">
        <f t="shared" si="1641"/>
        <v>0</v>
      </c>
    </row>
    <row r="2179" spans="1:15" x14ac:dyDescent="0.25">
      <c r="A2179" s="2">
        <v>2</v>
      </c>
      <c r="B2179" s="2">
        <f>B2178</f>
        <v>0</v>
      </c>
      <c r="C2179" s="2" t="str">
        <f>C2178</f>
        <v>GS</v>
      </c>
      <c r="D2179" s="2">
        <f>D2178</f>
        <v>0</v>
      </c>
      <c r="F2179" s="2" t="str">
        <f>F2178</f>
        <v>Games Speed</v>
      </c>
      <c r="G2179" s="2" t="str">
        <f>G2178</f>
        <v/>
      </c>
      <c r="H2179" s="2" t="str">
        <f>H2178</f>
        <v/>
      </c>
      <c r="I2179" s="2" t="str">
        <f>I2178</f>
        <v/>
      </c>
      <c r="J2179" s="2" t="str">
        <f>J2178</f>
        <v/>
      </c>
      <c r="M2179" s="180" t="str">
        <f>M2178</f>
        <v/>
      </c>
      <c r="N2179" s="2" t="str">
        <f>N2177</f>
        <v/>
      </c>
      <c r="O2179" s="2">
        <f>O2178</f>
        <v>0</v>
      </c>
    </row>
    <row r="2180" spans="1:15" x14ac:dyDescent="0.25">
      <c r="A2180" s="325">
        <v>1</v>
      </c>
      <c r="B2180" s="325">
        <f t="shared" si="1638"/>
        <v>0</v>
      </c>
      <c r="C2180" s="325" t="s">
        <v>3724</v>
      </c>
      <c r="D2180" s="325">
        <f>Games!D36</f>
        <v>0</v>
      </c>
      <c r="E2180" s="325"/>
      <c r="F2180" s="325" t="s">
        <v>3725</v>
      </c>
      <c r="G2180" s="325" t="str">
        <f>IF(Games!AC36="e","Y","")</f>
        <v/>
      </c>
      <c r="H2180" s="325" t="str">
        <f>Games!E36</f>
        <v/>
      </c>
      <c r="I2180" s="325" t="str">
        <f>Games!F36</f>
        <v/>
      </c>
      <c r="J2180" s="325" t="str">
        <f>Games!G36</f>
        <v/>
      </c>
      <c r="K2180" s="325"/>
      <c r="L2180" s="325"/>
      <c r="M2180" s="326" t="str">
        <f t="shared" si="1639"/>
        <v/>
      </c>
      <c r="N2180" s="325" t="str">
        <f t="shared" ref="N2180" si="1670">N2178</f>
        <v/>
      </c>
      <c r="O2180" s="325">
        <f t="shared" si="1641"/>
        <v>0</v>
      </c>
    </row>
    <row r="2181" spans="1:15" x14ac:dyDescent="0.25">
      <c r="A2181" s="2">
        <v>2</v>
      </c>
      <c r="B2181" s="2">
        <f>B2180</f>
        <v>0</v>
      </c>
      <c r="C2181" s="2" t="str">
        <f>C2180</f>
        <v>GS</v>
      </c>
      <c r="D2181" s="2">
        <f>D2180</f>
        <v>0</v>
      </c>
      <c r="F2181" s="2" t="str">
        <f>F2180</f>
        <v>Games Speed</v>
      </c>
      <c r="G2181" s="2" t="str">
        <f>G2180</f>
        <v/>
      </c>
      <c r="H2181" s="2" t="str">
        <f>H2180</f>
        <v/>
      </c>
      <c r="I2181" s="2" t="str">
        <f>I2180</f>
        <v/>
      </c>
      <c r="J2181" s="2" t="str">
        <f>J2180</f>
        <v/>
      </c>
      <c r="M2181" s="180" t="str">
        <f>M2180</f>
        <v/>
      </c>
      <c r="N2181" s="2" t="str">
        <f>N2179</f>
        <v/>
      </c>
      <c r="O2181" s="2">
        <f>O2180</f>
        <v>0</v>
      </c>
    </row>
    <row r="2182" spans="1:15" x14ac:dyDescent="0.25">
      <c r="A2182" s="325">
        <v>1</v>
      </c>
      <c r="B2182" s="325">
        <f t="shared" si="1638"/>
        <v>0</v>
      </c>
      <c r="C2182" s="325" t="s">
        <v>3724</v>
      </c>
      <c r="D2182" s="325">
        <f>Games!D37</f>
        <v>0</v>
      </c>
      <c r="E2182" s="325"/>
      <c r="F2182" s="325" t="s">
        <v>3725</v>
      </c>
      <c r="G2182" s="325" t="str">
        <f>IF(Games!AC37="e","Y","")</f>
        <v/>
      </c>
      <c r="H2182" s="325" t="str">
        <f>Games!E37</f>
        <v/>
      </c>
      <c r="I2182" s="325" t="str">
        <f>Games!F37</f>
        <v/>
      </c>
      <c r="J2182" s="325" t="str">
        <f>Games!G37</f>
        <v/>
      </c>
      <c r="K2182" s="325"/>
      <c r="L2182" s="325"/>
      <c r="M2182" s="326" t="str">
        <f t="shared" si="1639"/>
        <v/>
      </c>
      <c r="N2182" s="325" t="str">
        <f t="shared" ref="N2182" si="1671">N2180</f>
        <v/>
      </c>
      <c r="O2182" s="325">
        <f t="shared" si="1641"/>
        <v>0</v>
      </c>
    </row>
    <row r="2183" spans="1:15" x14ac:dyDescent="0.25">
      <c r="A2183" s="2">
        <v>2</v>
      </c>
      <c r="B2183" s="2">
        <f>B2182</f>
        <v>0</v>
      </c>
      <c r="C2183" s="2" t="str">
        <f>C2182</f>
        <v>GS</v>
      </c>
      <c r="D2183" s="2">
        <f>D2182</f>
        <v>0</v>
      </c>
      <c r="F2183" s="2" t="str">
        <f>F2182</f>
        <v>Games Speed</v>
      </c>
      <c r="G2183" s="2" t="str">
        <f>G2182</f>
        <v/>
      </c>
      <c r="H2183" s="2" t="str">
        <f>H2182</f>
        <v/>
      </c>
      <c r="I2183" s="2" t="str">
        <f>I2182</f>
        <v/>
      </c>
      <c r="J2183" s="2" t="str">
        <f>J2182</f>
        <v/>
      </c>
      <c r="M2183" s="180" t="str">
        <f>M2182</f>
        <v/>
      </c>
      <c r="N2183" s="2" t="str">
        <f>N2181</f>
        <v/>
      </c>
      <c r="O2183" s="2">
        <f>O2182</f>
        <v>0</v>
      </c>
    </row>
    <row r="2184" spans="1:15" x14ac:dyDescent="0.25">
      <c r="A2184" s="325">
        <v>1</v>
      </c>
      <c r="B2184" s="325">
        <f t="shared" si="1638"/>
        <v>0</v>
      </c>
      <c r="C2184" s="325" t="s">
        <v>3724</v>
      </c>
      <c r="D2184" s="325">
        <f>Games!D38</f>
        <v>0</v>
      </c>
      <c r="E2184" s="325"/>
      <c r="F2184" s="325" t="s">
        <v>3725</v>
      </c>
      <c r="G2184" s="325" t="str">
        <f>IF(Games!AC38="e","Y","")</f>
        <v/>
      </c>
      <c r="H2184" s="325" t="str">
        <f>Games!E38</f>
        <v/>
      </c>
      <c r="I2184" s="325" t="str">
        <f>Games!F38</f>
        <v/>
      </c>
      <c r="J2184" s="325" t="str">
        <f>Games!G38</f>
        <v/>
      </c>
      <c r="K2184" s="325"/>
      <c r="L2184" s="325"/>
      <c r="M2184" s="326" t="str">
        <f t="shared" si="1639"/>
        <v/>
      </c>
      <c r="N2184" s="325" t="str">
        <f t="shared" ref="N2184" si="1672">N2182</f>
        <v/>
      </c>
      <c r="O2184" s="325">
        <f t="shared" si="1641"/>
        <v>0</v>
      </c>
    </row>
    <row r="2185" spans="1:15" x14ac:dyDescent="0.25">
      <c r="A2185" s="2">
        <v>2</v>
      </c>
      <c r="B2185" s="2">
        <f>B2184</f>
        <v>0</v>
      </c>
      <c r="C2185" s="2" t="str">
        <f>C2184</f>
        <v>GS</v>
      </c>
      <c r="D2185" s="2">
        <f>D2184</f>
        <v>0</v>
      </c>
      <c r="F2185" s="2" t="str">
        <f>F2184</f>
        <v>Games Speed</v>
      </c>
      <c r="G2185" s="2" t="str">
        <f>G2184</f>
        <v/>
      </c>
      <c r="H2185" s="2" t="str">
        <f>H2184</f>
        <v/>
      </c>
      <c r="I2185" s="2" t="str">
        <f>I2184</f>
        <v/>
      </c>
      <c r="J2185" s="2" t="str">
        <f>J2184</f>
        <v/>
      </c>
      <c r="M2185" s="180" t="str">
        <f>M2184</f>
        <v/>
      </c>
      <c r="N2185" s="2" t="str">
        <f>N2183</f>
        <v/>
      </c>
      <c r="O2185" s="2">
        <f>O2184</f>
        <v>0</v>
      </c>
    </row>
    <row r="2186" spans="1:15" x14ac:dyDescent="0.25">
      <c r="A2186" s="325">
        <v>1</v>
      </c>
      <c r="B2186" s="325">
        <f t="shared" ref="B2186:B2220" si="1673">TrialNumber</f>
        <v>0</v>
      </c>
      <c r="C2186" s="325" t="s">
        <v>3724</v>
      </c>
      <c r="D2186" s="325">
        <f>Games!D39</f>
        <v>0</v>
      </c>
      <c r="E2186" s="325"/>
      <c r="F2186" s="325" t="s">
        <v>3725</v>
      </c>
      <c r="G2186" s="325" t="str">
        <f>IF(Games!AC39="e","Y","")</f>
        <v/>
      </c>
      <c r="H2186" s="325" t="str">
        <f>Games!E39</f>
        <v/>
      </c>
      <c r="I2186" s="325" t="str">
        <f>Games!F39</f>
        <v/>
      </c>
      <c r="J2186" s="325" t="str">
        <f>Games!G39</f>
        <v/>
      </c>
      <c r="K2186" s="325"/>
      <c r="L2186" s="325"/>
      <c r="M2186" s="326" t="str">
        <f t="shared" ref="M2186:M2220" si="1674">TrialDate</f>
        <v/>
      </c>
      <c r="N2186" s="325" t="str">
        <f t="shared" ref="N2186" si="1675">N2184</f>
        <v/>
      </c>
      <c r="O2186" s="325">
        <f t="shared" ref="O2186:O2220" si="1676">JudgeD1GamesSpeed</f>
        <v>0</v>
      </c>
    </row>
    <row r="2187" spans="1:15" x14ac:dyDescent="0.25">
      <c r="A2187" s="2">
        <v>2</v>
      </c>
      <c r="B2187" s="2">
        <f>B2186</f>
        <v>0</v>
      </c>
      <c r="C2187" s="2" t="str">
        <f>C2186</f>
        <v>GS</v>
      </c>
      <c r="D2187" s="2">
        <f>D2186</f>
        <v>0</v>
      </c>
      <c r="F2187" s="2" t="str">
        <f>F2186</f>
        <v>Games Speed</v>
      </c>
      <c r="G2187" s="2" t="str">
        <f>G2186</f>
        <v/>
      </c>
      <c r="H2187" s="2" t="str">
        <f>H2186</f>
        <v/>
      </c>
      <c r="I2187" s="2" t="str">
        <f>I2186</f>
        <v/>
      </c>
      <c r="J2187" s="2" t="str">
        <f>J2186</f>
        <v/>
      </c>
      <c r="M2187" s="180" t="str">
        <f>M2186</f>
        <v/>
      </c>
      <c r="N2187" s="2" t="str">
        <f>N2185</f>
        <v/>
      </c>
      <c r="O2187" s="2">
        <f>O2186</f>
        <v>0</v>
      </c>
    </row>
    <row r="2188" spans="1:15" x14ac:dyDescent="0.25">
      <c r="A2188" s="325">
        <v>1</v>
      </c>
      <c r="B2188" s="325">
        <f t="shared" si="1673"/>
        <v>0</v>
      </c>
      <c r="C2188" s="325" t="s">
        <v>3724</v>
      </c>
      <c r="D2188" s="325">
        <f>Games!D40</f>
        <v>0</v>
      </c>
      <c r="E2188" s="325"/>
      <c r="F2188" s="325" t="s">
        <v>3725</v>
      </c>
      <c r="G2188" s="325" t="str">
        <f>IF(Games!AC40="e","Y","")</f>
        <v/>
      </c>
      <c r="H2188" s="325" t="str">
        <f>Games!E40</f>
        <v/>
      </c>
      <c r="I2188" s="325" t="str">
        <f>Games!F40</f>
        <v/>
      </c>
      <c r="J2188" s="325" t="str">
        <f>Games!G40</f>
        <v/>
      </c>
      <c r="K2188" s="325"/>
      <c r="L2188" s="325"/>
      <c r="M2188" s="326" t="str">
        <f t="shared" si="1674"/>
        <v/>
      </c>
      <c r="N2188" s="325" t="str">
        <f t="shared" ref="N2188" si="1677">N2186</f>
        <v/>
      </c>
      <c r="O2188" s="325">
        <f t="shared" si="1676"/>
        <v>0</v>
      </c>
    </row>
    <row r="2189" spans="1:15" x14ac:dyDescent="0.25">
      <c r="A2189" s="2">
        <v>2</v>
      </c>
      <c r="B2189" s="2">
        <f>B2188</f>
        <v>0</v>
      </c>
      <c r="C2189" s="2" t="str">
        <f>C2188</f>
        <v>GS</v>
      </c>
      <c r="D2189" s="2">
        <f>D2188</f>
        <v>0</v>
      </c>
      <c r="F2189" s="2" t="str">
        <f>F2188</f>
        <v>Games Speed</v>
      </c>
      <c r="G2189" s="2" t="str">
        <f>G2188</f>
        <v/>
      </c>
      <c r="H2189" s="2" t="str">
        <f>H2188</f>
        <v/>
      </c>
      <c r="I2189" s="2" t="str">
        <f>I2188</f>
        <v/>
      </c>
      <c r="J2189" s="2" t="str">
        <f>J2188</f>
        <v/>
      </c>
      <c r="M2189" s="180" t="str">
        <f>M2188</f>
        <v/>
      </c>
      <c r="N2189" s="2" t="str">
        <f>N2187</f>
        <v/>
      </c>
      <c r="O2189" s="2">
        <f>O2188</f>
        <v>0</v>
      </c>
    </row>
    <row r="2190" spans="1:15" x14ac:dyDescent="0.25">
      <c r="A2190" s="325">
        <v>1</v>
      </c>
      <c r="B2190" s="325">
        <f t="shared" si="1673"/>
        <v>0</v>
      </c>
      <c r="C2190" s="325" t="s">
        <v>3724</v>
      </c>
      <c r="D2190" s="325">
        <f>Games!D41</f>
        <v>0</v>
      </c>
      <c r="E2190" s="325"/>
      <c r="F2190" s="325" t="s">
        <v>3725</v>
      </c>
      <c r="G2190" s="325" t="str">
        <f>IF(Games!AC41="e","Y","")</f>
        <v/>
      </c>
      <c r="H2190" s="325" t="str">
        <f>Games!E41</f>
        <v/>
      </c>
      <c r="I2190" s="325" t="str">
        <f>Games!F41</f>
        <v/>
      </c>
      <c r="J2190" s="325" t="str">
        <f>Games!G41</f>
        <v/>
      </c>
      <c r="K2190" s="325"/>
      <c r="L2190" s="325"/>
      <c r="M2190" s="326" t="str">
        <f t="shared" si="1674"/>
        <v/>
      </c>
      <c r="N2190" s="325" t="str">
        <f t="shared" ref="N2190" si="1678">N2188</f>
        <v/>
      </c>
      <c r="O2190" s="325">
        <f t="shared" si="1676"/>
        <v>0</v>
      </c>
    </row>
    <row r="2191" spans="1:15" x14ac:dyDescent="0.25">
      <c r="A2191" s="2">
        <v>2</v>
      </c>
      <c r="B2191" s="2">
        <f>B2190</f>
        <v>0</v>
      </c>
      <c r="C2191" s="2" t="str">
        <f>C2190</f>
        <v>GS</v>
      </c>
      <c r="D2191" s="2">
        <f>D2190</f>
        <v>0</v>
      </c>
      <c r="F2191" s="2" t="str">
        <f>F2190</f>
        <v>Games Speed</v>
      </c>
      <c r="G2191" s="2" t="str">
        <f>G2190</f>
        <v/>
      </c>
      <c r="H2191" s="2" t="str">
        <f>H2190</f>
        <v/>
      </c>
      <c r="I2191" s="2" t="str">
        <f>I2190</f>
        <v/>
      </c>
      <c r="J2191" s="2" t="str">
        <f>J2190</f>
        <v/>
      </c>
      <c r="M2191" s="180" t="str">
        <f>M2190</f>
        <v/>
      </c>
      <c r="N2191" s="2" t="str">
        <f>N2189</f>
        <v/>
      </c>
      <c r="O2191" s="2">
        <f>O2190</f>
        <v>0</v>
      </c>
    </row>
    <row r="2192" spans="1:15" x14ac:dyDescent="0.25">
      <c r="A2192" s="325">
        <v>1</v>
      </c>
      <c r="B2192" s="325">
        <f t="shared" si="1673"/>
        <v>0</v>
      </c>
      <c r="C2192" s="325" t="s">
        <v>3724</v>
      </c>
      <c r="D2192" s="325">
        <f>Games!D42</f>
        <v>0</v>
      </c>
      <c r="E2192" s="325"/>
      <c r="F2192" s="325" t="s">
        <v>3725</v>
      </c>
      <c r="G2192" s="325" t="str">
        <f>IF(Games!AC42="e","Y","")</f>
        <v/>
      </c>
      <c r="H2192" s="325" t="str">
        <f>Games!E42</f>
        <v/>
      </c>
      <c r="I2192" s="325" t="str">
        <f>Games!F42</f>
        <v/>
      </c>
      <c r="J2192" s="325" t="str">
        <f>Games!G42</f>
        <v/>
      </c>
      <c r="K2192" s="325"/>
      <c r="L2192" s="325"/>
      <c r="M2192" s="326" t="str">
        <f t="shared" si="1674"/>
        <v/>
      </c>
      <c r="N2192" s="325" t="str">
        <f t="shared" ref="N2192" si="1679">N2190</f>
        <v/>
      </c>
      <c r="O2192" s="325">
        <f t="shared" si="1676"/>
        <v>0</v>
      </c>
    </row>
    <row r="2193" spans="1:15" x14ac:dyDescent="0.25">
      <c r="A2193" s="2">
        <v>2</v>
      </c>
      <c r="B2193" s="2">
        <f>B2192</f>
        <v>0</v>
      </c>
      <c r="C2193" s="2" t="str">
        <f>C2192</f>
        <v>GS</v>
      </c>
      <c r="D2193" s="2">
        <f>D2192</f>
        <v>0</v>
      </c>
      <c r="F2193" s="2" t="str">
        <f>F2192</f>
        <v>Games Speed</v>
      </c>
      <c r="G2193" s="2" t="str">
        <f>G2192</f>
        <v/>
      </c>
      <c r="H2193" s="2" t="str">
        <f>H2192</f>
        <v/>
      </c>
      <c r="I2193" s="2" t="str">
        <f>I2192</f>
        <v/>
      </c>
      <c r="J2193" s="2" t="str">
        <f>J2192</f>
        <v/>
      </c>
      <c r="M2193" s="180" t="str">
        <f>M2192</f>
        <v/>
      </c>
      <c r="N2193" s="2" t="str">
        <f>N2191</f>
        <v/>
      </c>
      <c r="O2193" s="2">
        <f>O2192</f>
        <v>0</v>
      </c>
    </row>
    <row r="2194" spans="1:15" x14ac:dyDescent="0.25">
      <c r="A2194" s="325">
        <v>1</v>
      </c>
      <c r="B2194" s="325">
        <f t="shared" si="1673"/>
        <v>0</v>
      </c>
      <c r="C2194" s="325" t="s">
        <v>3724</v>
      </c>
      <c r="D2194" s="325">
        <f>Games!D43</f>
        <v>0</v>
      </c>
      <c r="E2194" s="325"/>
      <c r="F2194" s="325" t="s">
        <v>3725</v>
      </c>
      <c r="G2194" s="325" t="str">
        <f>IF(Games!AC43="e","Y","")</f>
        <v/>
      </c>
      <c r="H2194" s="325" t="str">
        <f>Games!E43</f>
        <v/>
      </c>
      <c r="I2194" s="325" t="str">
        <f>Games!F43</f>
        <v/>
      </c>
      <c r="J2194" s="325" t="str">
        <f>Games!G43</f>
        <v/>
      </c>
      <c r="K2194" s="325"/>
      <c r="L2194" s="325"/>
      <c r="M2194" s="326" t="str">
        <f t="shared" si="1674"/>
        <v/>
      </c>
      <c r="N2194" s="325" t="str">
        <f t="shared" ref="N2194" si="1680">N2192</f>
        <v/>
      </c>
      <c r="O2194" s="325">
        <f t="shared" si="1676"/>
        <v>0</v>
      </c>
    </row>
    <row r="2195" spans="1:15" x14ac:dyDescent="0.25">
      <c r="A2195" s="2">
        <v>2</v>
      </c>
      <c r="B2195" s="2">
        <f>B2194</f>
        <v>0</v>
      </c>
      <c r="C2195" s="2" t="str">
        <f>C2194</f>
        <v>GS</v>
      </c>
      <c r="D2195" s="2">
        <f>D2194</f>
        <v>0</v>
      </c>
      <c r="F2195" s="2" t="str">
        <f>F2194</f>
        <v>Games Speed</v>
      </c>
      <c r="G2195" s="2" t="str">
        <f>G2194</f>
        <v/>
      </c>
      <c r="H2195" s="2" t="str">
        <f>H2194</f>
        <v/>
      </c>
      <c r="I2195" s="2" t="str">
        <f>I2194</f>
        <v/>
      </c>
      <c r="J2195" s="2" t="str">
        <f>J2194</f>
        <v/>
      </c>
      <c r="M2195" s="180" t="str">
        <f>M2194</f>
        <v/>
      </c>
      <c r="N2195" s="2" t="str">
        <f>N2193</f>
        <v/>
      </c>
      <c r="O2195" s="2">
        <f>O2194</f>
        <v>0</v>
      </c>
    </row>
    <row r="2196" spans="1:15" x14ac:dyDescent="0.25">
      <c r="A2196" s="325">
        <v>1</v>
      </c>
      <c r="B2196" s="325">
        <f t="shared" si="1673"/>
        <v>0</v>
      </c>
      <c r="C2196" s="325" t="s">
        <v>3724</v>
      </c>
      <c r="D2196" s="325">
        <f>Games!D44</f>
        <v>0</v>
      </c>
      <c r="E2196" s="325"/>
      <c r="F2196" s="325" t="s">
        <v>3725</v>
      </c>
      <c r="G2196" s="325" t="str">
        <f>IF(Games!AC44="e","Y","")</f>
        <v/>
      </c>
      <c r="H2196" s="325" t="str">
        <f>Games!E44</f>
        <v/>
      </c>
      <c r="I2196" s="325" t="str">
        <f>Games!F44</f>
        <v/>
      </c>
      <c r="J2196" s="325" t="str">
        <f>Games!G44</f>
        <v/>
      </c>
      <c r="K2196" s="325"/>
      <c r="L2196" s="325"/>
      <c r="M2196" s="326" t="str">
        <f t="shared" si="1674"/>
        <v/>
      </c>
      <c r="N2196" s="325" t="str">
        <f t="shared" ref="N2196" si="1681">N2194</f>
        <v/>
      </c>
      <c r="O2196" s="325">
        <f t="shared" si="1676"/>
        <v>0</v>
      </c>
    </row>
    <row r="2197" spans="1:15" x14ac:dyDescent="0.25">
      <c r="A2197" s="2">
        <v>2</v>
      </c>
      <c r="B2197" s="2">
        <f>B2196</f>
        <v>0</v>
      </c>
      <c r="C2197" s="2" t="str">
        <f>C2196</f>
        <v>GS</v>
      </c>
      <c r="D2197" s="2">
        <f>D2196</f>
        <v>0</v>
      </c>
      <c r="F2197" s="2" t="str">
        <f>F2196</f>
        <v>Games Speed</v>
      </c>
      <c r="G2197" s="2" t="str">
        <f>G2196</f>
        <v/>
      </c>
      <c r="H2197" s="2" t="str">
        <f>H2196</f>
        <v/>
      </c>
      <c r="I2197" s="2" t="str">
        <f>I2196</f>
        <v/>
      </c>
      <c r="J2197" s="2" t="str">
        <f>J2196</f>
        <v/>
      </c>
      <c r="M2197" s="180" t="str">
        <f>M2196</f>
        <v/>
      </c>
      <c r="N2197" s="2" t="str">
        <f>N2195</f>
        <v/>
      </c>
      <c r="O2197" s="2">
        <f>O2196</f>
        <v>0</v>
      </c>
    </row>
    <row r="2198" spans="1:15" x14ac:dyDescent="0.25">
      <c r="A2198" s="325">
        <v>1</v>
      </c>
      <c r="B2198" s="325">
        <f t="shared" si="1673"/>
        <v>0</v>
      </c>
      <c r="C2198" s="325" t="s">
        <v>3724</v>
      </c>
      <c r="D2198" s="325">
        <f>Games!D45</f>
        <v>0</v>
      </c>
      <c r="E2198" s="325"/>
      <c r="F2198" s="325" t="s">
        <v>3725</v>
      </c>
      <c r="G2198" s="325" t="str">
        <f>IF(Games!AC45="e","Y","")</f>
        <v/>
      </c>
      <c r="H2198" s="325" t="str">
        <f>Games!E45</f>
        <v/>
      </c>
      <c r="I2198" s="325" t="str">
        <f>Games!F45</f>
        <v/>
      </c>
      <c r="J2198" s="325" t="str">
        <f>Games!G45</f>
        <v/>
      </c>
      <c r="K2198" s="325"/>
      <c r="L2198" s="325"/>
      <c r="M2198" s="326" t="str">
        <f t="shared" si="1674"/>
        <v/>
      </c>
      <c r="N2198" s="325" t="str">
        <f t="shared" ref="N2198" si="1682">N2196</f>
        <v/>
      </c>
      <c r="O2198" s="325">
        <f t="shared" si="1676"/>
        <v>0</v>
      </c>
    </row>
    <row r="2199" spans="1:15" x14ac:dyDescent="0.25">
      <c r="A2199" s="2">
        <v>2</v>
      </c>
      <c r="B2199" s="2">
        <f>B2198</f>
        <v>0</v>
      </c>
      <c r="C2199" s="2" t="str">
        <f>C2198</f>
        <v>GS</v>
      </c>
      <c r="D2199" s="2">
        <f>D2198</f>
        <v>0</v>
      </c>
      <c r="F2199" s="2" t="str">
        <f>F2198</f>
        <v>Games Speed</v>
      </c>
      <c r="G2199" s="2" t="str">
        <f>G2198</f>
        <v/>
      </c>
      <c r="H2199" s="2" t="str">
        <f>H2198</f>
        <v/>
      </c>
      <c r="I2199" s="2" t="str">
        <f>I2198</f>
        <v/>
      </c>
      <c r="J2199" s="2" t="str">
        <f>J2198</f>
        <v/>
      </c>
      <c r="M2199" s="180" t="str">
        <f>M2198</f>
        <v/>
      </c>
      <c r="N2199" s="2" t="str">
        <f>N2197</f>
        <v/>
      </c>
      <c r="O2199" s="2">
        <f>O2198</f>
        <v>0</v>
      </c>
    </row>
    <row r="2200" spans="1:15" x14ac:dyDescent="0.25">
      <c r="A2200" s="325">
        <v>1</v>
      </c>
      <c r="B2200" s="325">
        <f t="shared" si="1673"/>
        <v>0</v>
      </c>
      <c r="C2200" s="325" t="s">
        <v>3724</v>
      </c>
      <c r="D2200" s="325">
        <f>Games!D46</f>
        <v>0</v>
      </c>
      <c r="E2200" s="325"/>
      <c r="F2200" s="325" t="s">
        <v>3725</v>
      </c>
      <c r="G2200" s="325" t="str">
        <f>IF(Games!AC46="e","Y","")</f>
        <v/>
      </c>
      <c r="H2200" s="325" t="str">
        <f>Games!E46</f>
        <v/>
      </c>
      <c r="I2200" s="325" t="str">
        <f>Games!F46</f>
        <v/>
      </c>
      <c r="J2200" s="325" t="str">
        <f>Games!G46</f>
        <v/>
      </c>
      <c r="K2200" s="325"/>
      <c r="L2200" s="325"/>
      <c r="M2200" s="326" t="str">
        <f t="shared" si="1674"/>
        <v/>
      </c>
      <c r="N2200" s="325" t="str">
        <f t="shared" ref="N2200" si="1683">N2198</f>
        <v/>
      </c>
      <c r="O2200" s="325">
        <f t="shared" si="1676"/>
        <v>0</v>
      </c>
    </row>
    <row r="2201" spans="1:15" x14ac:dyDescent="0.25">
      <c r="A2201" s="2">
        <v>2</v>
      </c>
      <c r="B2201" s="2">
        <f>B2200</f>
        <v>0</v>
      </c>
      <c r="C2201" s="2" t="str">
        <f>C2200</f>
        <v>GS</v>
      </c>
      <c r="D2201" s="2">
        <f>D2200</f>
        <v>0</v>
      </c>
      <c r="F2201" s="2" t="str">
        <f>F2200</f>
        <v>Games Speed</v>
      </c>
      <c r="G2201" s="2" t="str">
        <f>G2200</f>
        <v/>
      </c>
      <c r="H2201" s="2" t="str">
        <f>H2200</f>
        <v/>
      </c>
      <c r="I2201" s="2" t="str">
        <f>I2200</f>
        <v/>
      </c>
      <c r="J2201" s="2" t="str">
        <f>J2200</f>
        <v/>
      </c>
      <c r="M2201" s="180" t="str">
        <f>M2200</f>
        <v/>
      </c>
      <c r="N2201" s="2" t="str">
        <f>N2199</f>
        <v/>
      </c>
      <c r="O2201" s="2">
        <f>O2200</f>
        <v>0</v>
      </c>
    </row>
    <row r="2202" spans="1:15" x14ac:dyDescent="0.25">
      <c r="A2202" s="325">
        <v>1</v>
      </c>
      <c r="B2202" s="325">
        <f t="shared" si="1673"/>
        <v>0</v>
      </c>
      <c r="C2202" s="325" t="s">
        <v>3724</v>
      </c>
      <c r="D2202" s="325">
        <f>Games!D47</f>
        <v>0</v>
      </c>
      <c r="E2202" s="325"/>
      <c r="F2202" s="325" t="s">
        <v>3725</v>
      </c>
      <c r="G2202" s="325" t="str">
        <f>IF(Games!AC47="e","Y","")</f>
        <v/>
      </c>
      <c r="H2202" s="325" t="str">
        <f>Games!E47</f>
        <v/>
      </c>
      <c r="I2202" s="325" t="str">
        <f>Games!F47</f>
        <v/>
      </c>
      <c r="J2202" s="325" t="str">
        <f>Games!G47</f>
        <v/>
      </c>
      <c r="K2202" s="325"/>
      <c r="L2202" s="325"/>
      <c r="M2202" s="326" t="str">
        <f t="shared" si="1674"/>
        <v/>
      </c>
      <c r="N2202" s="325" t="str">
        <f t="shared" ref="N2202" si="1684">N2200</f>
        <v/>
      </c>
      <c r="O2202" s="325">
        <f t="shared" si="1676"/>
        <v>0</v>
      </c>
    </row>
    <row r="2203" spans="1:15" x14ac:dyDescent="0.25">
      <c r="A2203" s="2">
        <v>2</v>
      </c>
      <c r="B2203" s="2">
        <f>B2202</f>
        <v>0</v>
      </c>
      <c r="C2203" s="2" t="str">
        <f>C2202</f>
        <v>GS</v>
      </c>
      <c r="D2203" s="2">
        <f>D2202</f>
        <v>0</v>
      </c>
      <c r="F2203" s="2" t="str">
        <f>F2202</f>
        <v>Games Speed</v>
      </c>
      <c r="G2203" s="2" t="str">
        <f>G2202</f>
        <v/>
      </c>
      <c r="H2203" s="2" t="str">
        <f>H2202</f>
        <v/>
      </c>
      <c r="I2203" s="2" t="str">
        <f>I2202</f>
        <v/>
      </c>
      <c r="J2203" s="2" t="str">
        <f>J2202</f>
        <v/>
      </c>
      <c r="M2203" s="180" t="str">
        <f>M2202</f>
        <v/>
      </c>
      <c r="N2203" s="2" t="str">
        <f>N2201</f>
        <v/>
      </c>
      <c r="O2203" s="2">
        <f>O2202</f>
        <v>0</v>
      </c>
    </row>
    <row r="2204" spans="1:15" x14ac:dyDescent="0.25">
      <c r="A2204" s="325">
        <v>1</v>
      </c>
      <c r="B2204" s="325">
        <f t="shared" si="1673"/>
        <v>0</v>
      </c>
      <c r="C2204" s="325" t="s">
        <v>3724</v>
      </c>
      <c r="D2204" s="325">
        <f>Games!D48</f>
        <v>0</v>
      </c>
      <c r="E2204" s="325"/>
      <c r="F2204" s="325" t="s">
        <v>3725</v>
      </c>
      <c r="G2204" s="325" t="str">
        <f>IF(Games!AC48="e","Y","")</f>
        <v/>
      </c>
      <c r="H2204" s="325" t="str">
        <f>Games!E48</f>
        <v/>
      </c>
      <c r="I2204" s="325" t="str">
        <f>Games!F48</f>
        <v/>
      </c>
      <c r="J2204" s="325" t="str">
        <f>Games!G48</f>
        <v/>
      </c>
      <c r="K2204" s="325"/>
      <c r="L2204" s="325"/>
      <c r="M2204" s="326" t="str">
        <f t="shared" si="1674"/>
        <v/>
      </c>
      <c r="N2204" s="325" t="str">
        <f t="shared" ref="N2204" si="1685">N2202</f>
        <v/>
      </c>
      <c r="O2204" s="325">
        <f t="shared" si="1676"/>
        <v>0</v>
      </c>
    </row>
    <row r="2205" spans="1:15" x14ac:dyDescent="0.25">
      <c r="A2205" s="2">
        <v>2</v>
      </c>
      <c r="B2205" s="2">
        <f>B2204</f>
        <v>0</v>
      </c>
      <c r="C2205" s="2" t="str">
        <f>C2204</f>
        <v>GS</v>
      </c>
      <c r="D2205" s="2">
        <f>D2204</f>
        <v>0</v>
      </c>
      <c r="F2205" s="2" t="str">
        <f>F2204</f>
        <v>Games Speed</v>
      </c>
      <c r="G2205" s="2" t="str">
        <f>G2204</f>
        <v/>
      </c>
      <c r="H2205" s="2" t="str">
        <f>H2204</f>
        <v/>
      </c>
      <c r="I2205" s="2" t="str">
        <f>I2204</f>
        <v/>
      </c>
      <c r="J2205" s="2" t="str">
        <f>J2204</f>
        <v/>
      </c>
      <c r="M2205" s="180" t="str">
        <f>M2204</f>
        <v/>
      </c>
      <c r="N2205" s="2" t="str">
        <f>N2203</f>
        <v/>
      </c>
      <c r="O2205" s="2">
        <f>O2204</f>
        <v>0</v>
      </c>
    </row>
    <row r="2206" spans="1:15" x14ac:dyDescent="0.25">
      <c r="A2206" s="325">
        <v>1</v>
      </c>
      <c r="B2206" s="325">
        <f t="shared" si="1673"/>
        <v>0</v>
      </c>
      <c r="C2206" s="325" t="s">
        <v>3724</v>
      </c>
      <c r="D2206" s="325">
        <f>Games!D49</f>
        <v>0</v>
      </c>
      <c r="E2206" s="325"/>
      <c r="F2206" s="325" t="s">
        <v>3725</v>
      </c>
      <c r="G2206" s="325" t="str">
        <f>IF(Games!AC49="e","Y","")</f>
        <v/>
      </c>
      <c r="H2206" s="325" t="str">
        <f>Games!E49</f>
        <v/>
      </c>
      <c r="I2206" s="325" t="str">
        <f>Games!F49</f>
        <v/>
      </c>
      <c r="J2206" s="325" t="str">
        <f>Games!G49</f>
        <v/>
      </c>
      <c r="K2206" s="325"/>
      <c r="L2206" s="325"/>
      <c r="M2206" s="326" t="str">
        <f t="shared" si="1674"/>
        <v/>
      </c>
      <c r="N2206" s="325" t="str">
        <f t="shared" ref="N2206" si="1686">N2204</f>
        <v/>
      </c>
      <c r="O2206" s="325">
        <f t="shared" si="1676"/>
        <v>0</v>
      </c>
    </row>
    <row r="2207" spans="1:15" x14ac:dyDescent="0.25">
      <c r="A2207" s="2">
        <v>2</v>
      </c>
      <c r="B2207" s="2">
        <f>B2206</f>
        <v>0</v>
      </c>
      <c r="C2207" s="2" t="str">
        <f>C2206</f>
        <v>GS</v>
      </c>
      <c r="D2207" s="2">
        <f>D2206</f>
        <v>0</v>
      </c>
      <c r="F2207" s="2" t="str">
        <f>F2206</f>
        <v>Games Speed</v>
      </c>
      <c r="G2207" s="2" t="str">
        <f>G2206</f>
        <v/>
      </c>
      <c r="H2207" s="2" t="str">
        <f>H2206</f>
        <v/>
      </c>
      <c r="I2207" s="2" t="str">
        <f>I2206</f>
        <v/>
      </c>
      <c r="J2207" s="2" t="str">
        <f>J2206</f>
        <v/>
      </c>
      <c r="M2207" s="180" t="str">
        <f>M2206</f>
        <v/>
      </c>
      <c r="N2207" s="2" t="str">
        <f>N2205</f>
        <v/>
      </c>
      <c r="O2207" s="2">
        <f>O2206</f>
        <v>0</v>
      </c>
    </row>
    <row r="2208" spans="1:15" x14ac:dyDescent="0.25">
      <c r="A2208" s="325">
        <v>1</v>
      </c>
      <c r="B2208" s="325">
        <f t="shared" si="1673"/>
        <v>0</v>
      </c>
      <c r="C2208" s="325" t="s">
        <v>3724</v>
      </c>
      <c r="D2208" s="325">
        <f>Games!D50</f>
        <v>0</v>
      </c>
      <c r="E2208" s="325"/>
      <c r="F2208" s="325" t="s">
        <v>3725</v>
      </c>
      <c r="G2208" s="325" t="str">
        <f>IF(Games!AC50="e","Y","")</f>
        <v/>
      </c>
      <c r="H2208" s="325" t="str">
        <f>Games!E50</f>
        <v/>
      </c>
      <c r="I2208" s="325" t="str">
        <f>Games!F50</f>
        <v/>
      </c>
      <c r="J2208" s="325" t="str">
        <f>Games!G50</f>
        <v/>
      </c>
      <c r="K2208" s="325"/>
      <c r="L2208" s="325"/>
      <c r="M2208" s="326" t="str">
        <f t="shared" si="1674"/>
        <v/>
      </c>
      <c r="N2208" s="325" t="str">
        <f t="shared" ref="N2208" si="1687">N2206</f>
        <v/>
      </c>
      <c r="O2208" s="325">
        <f t="shared" si="1676"/>
        <v>0</v>
      </c>
    </row>
    <row r="2209" spans="1:15" x14ac:dyDescent="0.25">
      <c r="A2209" s="2">
        <v>2</v>
      </c>
      <c r="B2209" s="2">
        <f>B2208</f>
        <v>0</v>
      </c>
      <c r="C2209" s="2" t="str">
        <f>C2208</f>
        <v>GS</v>
      </c>
      <c r="D2209" s="2">
        <f>D2208</f>
        <v>0</v>
      </c>
      <c r="F2209" s="2" t="str">
        <f>F2208</f>
        <v>Games Speed</v>
      </c>
      <c r="G2209" s="2" t="str">
        <f>G2208</f>
        <v/>
      </c>
      <c r="H2209" s="2" t="str">
        <f>H2208</f>
        <v/>
      </c>
      <c r="I2209" s="2" t="str">
        <f>I2208</f>
        <v/>
      </c>
      <c r="J2209" s="2" t="str">
        <f>J2208</f>
        <v/>
      </c>
      <c r="M2209" s="180" t="str">
        <f>M2208</f>
        <v/>
      </c>
      <c r="N2209" s="2" t="str">
        <f>N2207</f>
        <v/>
      </c>
      <c r="O2209" s="2">
        <f>O2208</f>
        <v>0</v>
      </c>
    </row>
    <row r="2210" spans="1:15" x14ac:dyDescent="0.25">
      <c r="A2210" s="325">
        <v>1</v>
      </c>
      <c r="B2210" s="325">
        <f t="shared" si="1673"/>
        <v>0</v>
      </c>
      <c r="C2210" s="325" t="s">
        <v>3724</v>
      </c>
      <c r="D2210" s="325">
        <f>Games!D51</f>
        <v>0</v>
      </c>
      <c r="E2210" s="325"/>
      <c r="F2210" s="325" t="s">
        <v>3725</v>
      </c>
      <c r="G2210" s="325" t="str">
        <f>IF(Games!AC51="e","Y","")</f>
        <v/>
      </c>
      <c r="H2210" s="325" t="str">
        <f>Games!E51</f>
        <v/>
      </c>
      <c r="I2210" s="325" t="str">
        <f>Games!F51</f>
        <v/>
      </c>
      <c r="J2210" s="325" t="str">
        <f>Games!G51</f>
        <v/>
      </c>
      <c r="K2210" s="325"/>
      <c r="L2210" s="325"/>
      <c r="M2210" s="326" t="str">
        <f t="shared" si="1674"/>
        <v/>
      </c>
      <c r="N2210" s="325" t="str">
        <f t="shared" ref="N2210" si="1688">N2208</f>
        <v/>
      </c>
      <c r="O2210" s="325">
        <f t="shared" si="1676"/>
        <v>0</v>
      </c>
    </row>
    <row r="2211" spans="1:15" x14ac:dyDescent="0.25">
      <c r="A2211" s="2">
        <v>2</v>
      </c>
      <c r="B2211" s="2">
        <f>B2210</f>
        <v>0</v>
      </c>
      <c r="C2211" s="2" t="str">
        <f>C2210</f>
        <v>GS</v>
      </c>
      <c r="D2211" s="2">
        <f>D2210</f>
        <v>0</v>
      </c>
      <c r="F2211" s="2" t="str">
        <f>F2210</f>
        <v>Games Speed</v>
      </c>
      <c r="G2211" s="2" t="str">
        <f>G2210</f>
        <v/>
      </c>
      <c r="H2211" s="2" t="str">
        <f>H2210</f>
        <v/>
      </c>
      <c r="I2211" s="2" t="str">
        <f>I2210</f>
        <v/>
      </c>
      <c r="J2211" s="2" t="str">
        <f>J2210</f>
        <v/>
      </c>
      <c r="M2211" s="180" t="str">
        <f>M2210</f>
        <v/>
      </c>
      <c r="N2211" s="2" t="str">
        <f>N2209</f>
        <v/>
      </c>
      <c r="O2211" s="2">
        <f>O2210</f>
        <v>0</v>
      </c>
    </row>
    <row r="2212" spans="1:15" x14ac:dyDescent="0.25">
      <c r="A2212" s="325">
        <v>1</v>
      </c>
      <c r="B2212" s="325">
        <f t="shared" si="1673"/>
        <v>0</v>
      </c>
      <c r="C2212" s="325" t="s">
        <v>3724</v>
      </c>
      <c r="D2212" s="325">
        <f>Games!D52</f>
        <v>0</v>
      </c>
      <c r="E2212" s="325"/>
      <c r="F2212" s="325" t="s">
        <v>3725</v>
      </c>
      <c r="G2212" s="325" t="str">
        <f>IF(Games!AC52="e","Y","")</f>
        <v/>
      </c>
      <c r="H2212" s="325" t="str">
        <f>Games!E52</f>
        <v/>
      </c>
      <c r="I2212" s="325" t="str">
        <f>Games!F52</f>
        <v/>
      </c>
      <c r="J2212" s="325" t="str">
        <f>Games!G52</f>
        <v/>
      </c>
      <c r="K2212" s="325"/>
      <c r="L2212" s="325"/>
      <c r="M2212" s="326" t="str">
        <f t="shared" si="1674"/>
        <v/>
      </c>
      <c r="N2212" s="325" t="str">
        <f t="shared" ref="N2212" si="1689">N2210</f>
        <v/>
      </c>
      <c r="O2212" s="325">
        <f t="shared" si="1676"/>
        <v>0</v>
      </c>
    </row>
    <row r="2213" spans="1:15" x14ac:dyDescent="0.25">
      <c r="A2213" s="2">
        <v>2</v>
      </c>
      <c r="B2213" s="2">
        <f>B2212</f>
        <v>0</v>
      </c>
      <c r="C2213" s="2" t="str">
        <f>C2212</f>
        <v>GS</v>
      </c>
      <c r="D2213" s="2">
        <f>D2212</f>
        <v>0</v>
      </c>
      <c r="F2213" s="2" t="str">
        <f>F2212</f>
        <v>Games Speed</v>
      </c>
      <c r="G2213" s="2" t="str">
        <f>G2212</f>
        <v/>
      </c>
      <c r="H2213" s="2" t="str">
        <f>H2212</f>
        <v/>
      </c>
      <c r="I2213" s="2" t="str">
        <f>I2212</f>
        <v/>
      </c>
      <c r="J2213" s="2" t="str">
        <f>J2212</f>
        <v/>
      </c>
      <c r="M2213" s="180" t="str">
        <f>M2212</f>
        <v/>
      </c>
      <c r="N2213" s="2" t="str">
        <f>N2211</f>
        <v/>
      </c>
      <c r="O2213" s="2">
        <f>O2212</f>
        <v>0</v>
      </c>
    </row>
    <row r="2214" spans="1:15" x14ac:dyDescent="0.25">
      <c r="A2214" s="325">
        <v>1</v>
      </c>
      <c r="B2214" s="325">
        <f t="shared" si="1673"/>
        <v>0</v>
      </c>
      <c r="C2214" s="325" t="s">
        <v>3724</v>
      </c>
      <c r="D2214" s="325">
        <f>Games!D53</f>
        <v>0</v>
      </c>
      <c r="E2214" s="325"/>
      <c r="F2214" s="325" t="s">
        <v>3725</v>
      </c>
      <c r="G2214" s="325" t="str">
        <f>IF(Games!AC53="e","Y","")</f>
        <v/>
      </c>
      <c r="H2214" s="325" t="str">
        <f>Games!E53</f>
        <v/>
      </c>
      <c r="I2214" s="325" t="str">
        <f>Games!F53</f>
        <v/>
      </c>
      <c r="J2214" s="325" t="str">
        <f>Games!G53</f>
        <v/>
      </c>
      <c r="K2214" s="325"/>
      <c r="L2214" s="325"/>
      <c r="M2214" s="326" t="str">
        <f t="shared" si="1674"/>
        <v/>
      </c>
      <c r="N2214" s="325" t="str">
        <f t="shared" ref="N2214" si="1690">N2212</f>
        <v/>
      </c>
      <c r="O2214" s="325">
        <f t="shared" si="1676"/>
        <v>0</v>
      </c>
    </row>
    <row r="2215" spans="1:15" x14ac:dyDescent="0.25">
      <c r="A2215" s="2">
        <v>2</v>
      </c>
      <c r="B2215" s="2">
        <f>B2214</f>
        <v>0</v>
      </c>
      <c r="C2215" s="2" t="str">
        <f>C2214</f>
        <v>GS</v>
      </c>
      <c r="D2215" s="2">
        <f>D2214</f>
        <v>0</v>
      </c>
      <c r="F2215" s="2" t="str">
        <f>F2214</f>
        <v>Games Speed</v>
      </c>
      <c r="G2215" s="2" t="str">
        <f>G2214</f>
        <v/>
      </c>
      <c r="H2215" s="2" t="str">
        <f>H2214</f>
        <v/>
      </c>
      <c r="I2215" s="2" t="str">
        <f>I2214</f>
        <v/>
      </c>
      <c r="J2215" s="2" t="str">
        <f>J2214</f>
        <v/>
      </c>
      <c r="M2215" s="180" t="str">
        <f>M2214</f>
        <v/>
      </c>
      <c r="N2215" s="2" t="str">
        <f>N2213</f>
        <v/>
      </c>
      <c r="O2215" s="2">
        <f>O2214</f>
        <v>0</v>
      </c>
    </row>
    <row r="2216" spans="1:15" x14ac:dyDescent="0.25">
      <c r="A2216" s="325">
        <v>1</v>
      </c>
      <c r="B2216" s="325">
        <f t="shared" si="1673"/>
        <v>0</v>
      </c>
      <c r="C2216" s="325" t="s">
        <v>3724</v>
      </c>
      <c r="D2216" s="325">
        <f>Games!D54</f>
        <v>0</v>
      </c>
      <c r="E2216" s="325"/>
      <c r="F2216" s="325" t="s">
        <v>3725</v>
      </c>
      <c r="G2216" s="325" t="str">
        <f>IF(Games!AC54="e","Y","")</f>
        <v/>
      </c>
      <c r="H2216" s="325" t="str">
        <f>Games!E54</f>
        <v/>
      </c>
      <c r="I2216" s="325" t="str">
        <f>Games!F54</f>
        <v/>
      </c>
      <c r="J2216" s="325" t="str">
        <f>Games!G54</f>
        <v/>
      </c>
      <c r="K2216" s="325"/>
      <c r="L2216" s="325"/>
      <c r="M2216" s="326" t="str">
        <f t="shared" si="1674"/>
        <v/>
      </c>
      <c r="N2216" s="325" t="str">
        <f t="shared" ref="N2216" si="1691">N2214</f>
        <v/>
      </c>
      <c r="O2216" s="325">
        <f t="shared" si="1676"/>
        <v>0</v>
      </c>
    </row>
    <row r="2217" spans="1:15" x14ac:dyDescent="0.25">
      <c r="A2217" s="2">
        <v>2</v>
      </c>
      <c r="B2217" s="2">
        <f>B2216</f>
        <v>0</v>
      </c>
      <c r="C2217" s="2" t="str">
        <f>C2216</f>
        <v>GS</v>
      </c>
      <c r="D2217" s="2">
        <f>D2216</f>
        <v>0</v>
      </c>
      <c r="F2217" s="2" t="str">
        <f>F2216</f>
        <v>Games Speed</v>
      </c>
      <c r="G2217" s="2" t="str">
        <f>G2216</f>
        <v/>
      </c>
      <c r="H2217" s="2" t="str">
        <f>H2216</f>
        <v/>
      </c>
      <c r="I2217" s="2" t="str">
        <f>I2216</f>
        <v/>
      </c>
      <c r="J2217" s="2" t="str">
        <f>J2216</f>
        <v/>
      </c>
      <c r="M2217" s="180" t="str">
        <f>M2216</f>
        <v/>
      </c>
      <c r="N2217" s="2" t="str">
        <f>N2215</f>
        <v/>
      </c>
      <c r="O2217" s="2">
        <f>O2216</f>
        <v>0</v>
      </c>
    </row>
    <row r="2218" spans="1:15" x14ac:dyDescent="0.25">
      <c r="A2218" s="325">
        <v>1</v>
      </c>
      <c r="B2218" s="325">
        <f t="shared" si="1673"/>
        <v>0</v>
      </c>
      <c r="C2218" s="325" t="s">
        <v>3724</v>
      </c>
      <c r="D2218" s="325">
        <f>Games!D55</f>
        <v>0</v>
      </c>
      <c r="E2218" s="325"/>
      <c r="F2218" s="325" t="s">
        <v>3725</v>
      </c>
      <c r="G2218" s="325" t="str">
        <f>IF(Games!AC55="e","Y","")</f>
        <v/>
      </c>
      <c r="H2218" s="325" t="str">
        <f>Games!E55</f>
        <v/>
      </c>
      <c r="I2218" s="325" t="str">
        <f>Games!F55</f>
        <v/>
      </c>
      <c r="J2218" s="325" t="str">
        <f>Games!G55</f>
        <v/>
      </c>
      <c r="K2218" s="325"/>
      <c r="L2218" s="325"/>
      <c r="M2218" s="326" t="str">
        <f t="shared" si="1674"/>
        <v/>
      </c>
      <c r="N2218" s="325" t="str">
        <f t="shared" ref="N2218" si="1692">N2216</f>
        <v/>
      </c>
      <c r="O2218" s="325">
        <f t="shared" si="1676"/>
        <v>0</v>
      </c>
    </row>
    <row r="2219" spans="1:15" x14ac:dyDescent="0.25">
      <c r="A2219" s="2">
        <v>2</v>
      </c>
      <c r="B2219" s="2">
        <f>B2218</f>
        <v>0</v>
      </c>
      <c r="C2219" s="2" t="str">
        <f>C2218</f>
        <v>GS</v>
      </c>
      <c r="D2219" s="2">
        <f>D2218</f>
        <v>0</v>
      </c>
      <c r="F2219" s="2" t="str">
        <f>F2218</f>
        <v>Games Speed</v>
      </c>
      <c r="G2219" s="2" t="str">
        <f>G2218</f>
        <v/>
      </c>
      <c r="H2219" s="2" t="str">
        <f>H2218</f>
        <v/>
      </c>
      <c r="I2219" s="2" t="str">
        <f>I2218</f>
        <v/>
      </c>
      <c r="J2219" s="2" t="str">
        <f>J2218</f>
        <v/>
      </c>
      <c r="M2219" s="180" t="str">
        <f>M2218</f>
        <v/>
      </c>
      <c r="N2219" s="2" t="str">
        <f>N2217</f>
        <v/>
      </c>
      <c r="O2219" s="2">
        <f>O2218</f>
        <v>0</v>
      </c>
    </row>
    <row r="2220" spans="1:15" x14ac:dyDescent="0.25">
      <c r="A2220" s="325">
        <v>1</v>
      </c>
      <c r="B2220" s="325">
        <f t="shared" si="1673"/>
        <v>0</v>
      </c>
      <c r="C2220" s="325" t="s">
        <v>3724</v>
      </c>
      <c r="D2220" s="325">
        <f>Games!D56</f>
        <v>0</v>
      </c>
      <c r="E2220" s="325"/>
      <c r="F2220" s="325" t="s">
        <v>3725</v>
      </c>
      <c r="G2220" s="325" t="str">
        <f>IF(Games!AC56="e","Y","")</f>
        <v/>
      </c>
      <c r="H2220" s="325" t="str">
        <f>Games!E56</f>
        <v/>
      </c>
      <c r="I2220" s="325" t="str">
        <f>Games!F56</f>
        <v/>
      </c>
      <c r="J2220" s="325" t="str">
        <f>Games!G56</f>
        <v/>
      </c>
      <c r="K2220" s="325"/>
      <c r="L2220" s="325"/>
      <c r="M2220" s="326" t="str">
        <f t="shared" si="1674"/>
        <v/>
      </c>
      <c r="N2220" s="325" t="str">
        <f t="shared" ref="N2220" si="1693">N2218</f>
        <v/>
      </c>
      <c r="O2220" s="325">
        <f t="shared" si="1676"/>
        <v>0</v>
      </c>
    </row>
    <row r="2221" spans="1:15" x14ac:dyDescent="0.25">
      <c r="A2221" s="2">
        <v>2</v>
      </c>
      <c r="B2221" s="2">
        <f>B2220</f>
        <v>0</v>
      </c>
      <c r="C2221" s="2" t="str">
        <f>C2220</f>
        <v>GS</v>
      </c>
      <c r="D2221" s="2">
        <f>D2220</f>
        <v>0</v>
      </c>
      <c r="F2221" s="2" t="str">
        <f>F2220</f>
        <v>Games Speed</v>
      </c>
      <c r="G2221" s="2" t="str">
        <f>G2220</f>
        <v/>
      </c>
      <c r="H2221" s="2" t="str">
        <f>H2220</f>
        <v/>
      </c>
      <c r="I2221" s="2" t="str">
        <f>I2220</f>
        <v/>
      </c>
      <c r="J2221" s="2" t="str">
        <f>J2220</f>
        <v/>
      </c>
      <c r="M2221" s="180" t="str">
        <f>M2220</f>
        <v/>
      </c>
      <c r="N2221" s="2" t="str">
        <f>N2219</f>
        <v/>
      </c>
      <c r="O2221" s="2">
        <f>O2220</f>
        <v>0</v>
      </c>
    </row>
    <row r="2222" spans="1:15" x14ac:dyDescent="0.25">
      <c r="A2222" s="329">
        <v>1</v>
      </c>
      <c r="B2222" s="329">
        <f t="shared" ref="B2222:B2284" si="1694">TrialNumber</f>
        <v>0</v>
      </c>
      <c r="C2222" s="329" t="s">
        <v>3726</v>
      </c>
      <c r="D2222" s="329">
        <f>Games!D7</f>
        <v>0</v>
      </c>
      <c r="E2222" s="329"/>
      <c r="F2222" s="329" t="s">
        <v>3727</v>
      </c>
      <c r="G2222" s="329" t="str">
        <f>IF(Games!AJ7="e","Y","")</f>
        <v/>
      </c>
      <c r="H2222" s="329" t="str">
        <f>Games!E7</f>
        <v/>
      </c>
      <c r="I2222" s="329" t="str">
        <f>Games!F7</f>
        <v/>
      </c>
      <c r="J2222" s="329" t="str">
        <f>Games!G7</f>
        <v/>
      </c>
      <c r="K2222" s="329"/>
      <c r="L2222" s="329"/>
      <c r="M2222" s="330" t="str">
        <f t="shared" ref="M2222:M2284" si="1695">TrialDate</f>
        <v/>
      </c>
      <c r="N2222" s="325" t="str">
        <f t="shared" ref="N2222" si="1696">N2221</f>
        <v/>
      </c>
      <c r="O2222" s="329">
        <f t="shared" ref="O2222:O2284" si="1697">JudgeD1GamesTeam</f>
        <v>0</v>
      </c>
    </row>
    <row r="2223" spans="1:15" x14ac:dyDescent="0.25">
      <c r="A2223" s="2">
        <v>2</v>
      </c>
      <c r="B2223" s="2">
        <f>B2222</f>
        <v>0</v>
      </c>
      <c r="C2223" s="2" t="str">
        <f>C2222</f>
        <v>GT</v>
      </c>
      <c r="D2223" s="2">
        <f>D2222</f>
        <v>0</v>
      </c>
      <c r="F2223" s="2" t="str">
        <f>F2222</f>
        <v>Games Team</v>
      </c>
      <c r="G2223" s="2" t="str">
        <f>G2222</f>
        <v/>
      </c>
      <c r="H2223" s="2" t="str">
        <f>H2222</f>
        <v/>
      </c>
      <c r="I2223" s="2" t="str">
        <f>I2222</f>
        <v/>
      </c>
      <c r="J2223" s="2" t="str">
        <f>J2222</f>
        <v/>
      </c>
      <c r="M2223" s="180" t="str">
        <f>M2222</f>
        <v/>
      </c>
      <c r="N2223" s="2" t="str">
        <f>N2320</f>
        <v/>
      </c>
      <c r="O2223" s="2">
        <f>O2222</f>
        <v>0</v>
      </c>
    </row>
    <row r="2224" spans="1:15" x14ac:dyDescent="0.25">
      <c r="A2224" s="325">
        <v>1</v>
      </c>
      <c r="B2224" s="325">
        <f t="shared" si="1694"/>
        <v>0</v>
      </c>
      <c r="C2224" s="325" t="s">
        <v>3726</v>
      </c>
      <c r="D2224" s="325">
        <f>Games!D8</f>
        <v>0</v>
      </c>
      <c r="E2224" s="325"/>
      <c r="F2224" s="325" t="s">
        <v>3727</v>
      </c>
      <c r="G2224" s="325" t="str">
        <f>IF(Games!AJ8="e","Y","")</f>
        <v/>
      </c>
      <c r="H2224" s="325" t="str">
        <f>Games!E8</f>
        <v/>
      </c>
      <c r="I2224" s="325" t="str">
        <f>Games!F8</f>
        <v/>
      </c>
      <c r="J2224" s="325" t="str">
        <f>Games!G8</f>
        <v/>
      </c>
      <c r="K2224" s="325"/>
      <c r="L2224" s="325"/>
      <c r="M2224" s="326" t="str">
        <f t="shared" si="1695"/>
        <v/>
      </c>
      <c r="N2224" s="325" t="str">
        <f t="shared" ref="N2224" si="1698">N2222</f>
        <v/>
      </c>
      <c r="O2224" s="325">
        <f t="shared" si="1697"/>
        <v>0</v>
      </c>
    </row>
    <row r="2225" spans="1:15" x14ac:dyDescent="0.25">
      <c r="A2225" s="2">
        <v>2</v>
      </c>
      <c r="B2225" s="2">
        <f>B2224</f>
        <v>0</v>
      </c>
      <c r="C2225" s="2" t="str">
        <f>C2224</f>
        <v>GT</v>
      </c>
      <c r="D2225" s="2">
        <f>D2224</f>
        <v>0</v>
      </c>
      <c r="F2225" s="2" t="str">
        <f>F2224</f>
        <v>Games Team</v>
      </c>
      <c r="G2225" s="2" t="str">
        <f>G2224</f>
        <v/>
      </c>
      <c r="H2225" s="2" t="str">
        <f>H2224</f>
        <v/>
      </c>
      <c r="I2225" s="2" t="str">
        <f>I2224</f>
        <v/>
      </c>
      <c r="J2225" s="2" t="str">
        <f>J2224</f>
        <v/>
      </c>
      <c r="M2225" s="180" t="str">
        <f>M2224</f>
        <v/>
      </c>
      <c r="N2225" s="2" t="str">
        <f>N2223</f>
        <v/>
      </c>
      <c r="O2225" s="2">
        <f>O2224</f>
        <v>0</v>
      </c>
    </row>
    <row r="2226" spans="1:15" x14ac:dyDescent="0.25">
      <c r="A2226" s="325">
        <v>1</v>
      </c>
      <c r="B2226" s="325">
        <f t="shared" si="1694"/>
        <v>0</v>
      </c>
      <c r="C2226" s="325" t="s">
        <v>3726</v>
      </c>
      <c r="D2226" s="325">
        <f>Games!D9</f>
        <v>0</v>
      </c>
      <c r="E2226" s="325"/>
      <c r="F2226" s="325" t="s">
        <v>3727</v>
      </c>
      <c r="G2226" s="325" t="str">
        <f>IF(Games!AJ9="e","Y","")</f>
        <v/>
      </c>
      <c r="H2226" s="325" t="str">
        <f>Games!E9</f>
        <v/>
      </c>
      <c r="I2226" s="325" t="str">
        <f>Games!F9</f>
        <v/>
      </c>
      <c r="J2226" s="325" t="str">
        <f>Games!G9</f>
        <v/>
      </c>
      <c r="K2226" s="325"/>
      <c r="L2226" s="325"/>
      <c r="M2226" s="326" t="str">
        <f t="shared" si="1695"/>
        <v/>
      </c>
      <c r="N2226" s="325" t="str">
        <f t="shared" ref="N2226" si="1699">N2224</f>
        <v/>
      </c>
      <c r="O2226" s="325">
        <f t="shared" si="1697"/>
        <v>0</v>
      </c>
    </row>
    <row r="2227" spans="1:15" x14ac:dyDescent="0.25">
      <c r="A2227" s="2">
        <v>2</v>
      </c>
      <c r="B2227" s="2">
        <f>B2226</f>
        <v>0</v>
      </c>
      <c r="C2227" s="2" t="str">
        <f>C2226</f>
        <v>GT</v>
      </c>
      <c r="D2227" s="2">
        <f>D2226</f>
        <v>0</v>
      </c>
      <c r="F2227" s="2" t="str">
        <f>F2226</f>
        <v>Games Team</v>
      </c>
      <c r="G2227" s="2" t="str">
        <f>G2226</f>
        <v/>
      </c>
      <c r="H2227" s="2" t="str">
        <f>H2226</f>
        <v/>
      </c>
      <c r="I2227" s="2" t="str">
        <f>I2226</f>
        <v/>
      </c>
      <c r="J2227" s="2" t="str">
        <f>J2226</f>
        <v/>
      </c>
      <c r="M2227" s="180" t="str">
        <f>M2226</f>
        <v/>
      </c>
      <c r="N2227" s="2" t="str">
        <f>N2225</f>
        <v/>
      </c>
      <c r="O2227" s="2">
        <f>O2226</f>
        <v>0</v>
      </c>
    </row>
    <row r="2228" spans="1:15" x14ac:dyDescent="0.25">
      <c r="A2228" s="325">
        <v>1</v>
      </c>
      <c r="B2228" s="325">
        <f t="shared" si="1694"/>
        <v>0</v>
      </c>
      <c r="C2228" s="325" t="s">
        <v>3726</v>
      </c>
      <c r="D2228" s="325">
        <f>Games!D10</f>
        <v>0</v>
      </c>
      <c r="E2228" s="325"/>
      <c r="F2228" s="325" t="s">
        <v>3727</v>
      </c>
      <c r="G2228" s="325" t="str">
        <f>IF(Games!AJ10="e","Y","")</f>
        <v/>
      </c>
      <c r="H2228" s="325" t="str">
        <f>Games!E10</f>
        <v/>
      </c>
      <c r="I2228" s="325" t="str">
        <f>Games!F10</f>
        <v/>
      </c>
      <c r="J2228" s="325" t="str">
        <f>Games!G10</f>
        <v/>
      </c>
      <c r="K2228" s="325"/>
      <c r="L2228" s="325"/>
      <c r="M2228" s="326" t="str">
        <f t="shared" si="1695"/>
        <v/>
      </c>
      <c r="N2228" s="325" t="str">
        <f t="shared" ref="N2228" si="1700">N2226</f>
        <v/>
      </c>
      <c r="O2228" s="325">
        <f t="shared" si="1697"/>
        <v>0</v>
      </c>
    </row>
    <row r="2229" spans="1:15" x14ac:dyDescent="0.25">
      <c r="A2229" s="2">
        <v>2</v>
      </c>
      <c r="B2229" s="2">
        <f>B2228</f>
        <v>0</v>
      </c>
      <c r="C2229" s="2" t="str">
        <f>C2228</f>
        <v>GT</v>
      </c>
      <c r="D2229" s="2">
        <f>D2228</f>
        <v>0</v>
      </c>
      <c r="F2229" s="2" t="str">
        <f>F2228</f>
        <v>Games Team</v>
      </c>
      <c r="G2229" s="2" t="str">
        <f>G2228</f>
        <v/>
      </c>
      <c r="H2229" s="2" t="str">
        <f>H2228</f>
        <v/>
      </c>
      <c r="I2229" s="2" t="str">
        <f>I2228</f>
        <v/>
      </c>
      <c r="J2229" s="2" t="str">
        <f>J2228</f>
        <v/>
      </c>
      <c r="M2229" s="180" t="str">
        <f>M2228</f>
        <v/>
      </c>
      <c r="N2229" s="2" t="str">
        <f>N2227</f>
        <v/>
      </c>
      <c r="O2229" s="2">
        <f>O2228</f>
        <v>0</v>
      </c>
    </row>
    <row r="2230" spans="1:15" x14ac:dyDescent="0.25">
      <c r="A2230" s="325">
        <v>1</v>
      </c>
      <c r="B2230" s="325">
        <f t="shared" si="1694"/>
        <v>0</v>
      </c>
      <c r="C2230" s="325" t="s">
        <v>3726</v>
      </c>
      <c r="D2230" s="325">
        <f>Games!D11</f>
        <v>0</v>
      </c>
      <c r="E2230" s="325"/>
      <c r="F2230" s="325" t="s">
        <v>3727</v>
      </c>
      <c r="G2230" s="325" t="str">
        <f>IF(Games!AJ11="e","Y","")</f>
        <v/>
      </c>
      <c r="H2230" s="325" t="str">
        <f>Games!E11</f>
        <v/>
      </c>
      <c r="I2230" s="325" t="str">
        <f>Games!F11</f>
        <v/>
      </c>
      <c r="J2230" s="325" t="str">
        <f>Games!G11</f>
        <v/>
      </c>
      <c r="K2230" s="325"/>
      <c r="L2230" s="325"/>
      <c r="M2230" s="326" t="str">
        <f t="shared" si="1695"/>
        <v/>
      </c>
      <c r="N2230" s="325" t="str">
        <f t="shared" ref="N2230" si="1701">N2228</f>
        <v/>
      </c>
      <c r="O2230" s="325">
        <f t="shared" si="1697"/>
        <v>0</v>
      </c>
    </row>
    <row r="2231" spans="1:15" x14ac:dyDescent="0.25">
      <c r="A2231" s="2">
        <v>2</v>
      </c>
      <c r="B2231" s="2">
        <f>B2230</f>
        <v>0</v>
      </c>
      <c r="C2231" s="2" t="str">
        <f>C2230</f>
        <v>GT</v>
      </c>
      <c r="D2231" s="2">
        <f>D2230</f>
        <v>0</v>
      </c>
      <c r="F2231" s="2" t="str">
        <f>F2230</f>
        <v>Games Team</v>
      </c>
      <c r="G2231" s="2" t="str">
        <f>G2230</f>
        <v/>
      </c>
      <c r="H2231" s="2" t="str">
        <f>H2230</f>
        <v/>
      </c>
      <c r="I2231" s="2" t="str">
        <f>I2230</f>
        <v/>
      </c>
      <c r="J2231" s="2" t="str">
        <f>J2230</f>
        <v/>
      </c>
      <c r="M2231" s="180" t="str">
        <f>M2230</f>
        <v/>
      </c>
      <c r="N2231" s="2" t="str">
        <f>N2229</f>
        <v/>
      </c>
      <c r="O2231" s="2">
        <f>O2230</f>
        <v>0</v>
      </c>
    </row>
    <row r="2232" spans="1:15" x14ac:dyDescent="0.25">
      <c r="A2232" s="325">
        <v>1</v>
      </c>
      <c r="B2232" s="325">
        <f t="shared" si="1694"/>
        <v>0</v>
      </c>
      <c r="C2232" s="325" t="s">
        <v>3726</v>
      </c>
      <c r="D2232" s="325">
        <f>Games!D12</f>
        <v>0</v>
      </c>
      <c r="E2232" s="325"/>
      <c r="F2232" s="325" t="s">
        <v>3727</v>
      </c>
      <c r="G2232" s="325" t="str">
        <f>IF(Games!AJ12="e","Y","")</f>
        <v/>
      </c>
      <c r="H2232" s="325" t="str">
        <f>Games!E12</f>
        <v/>
      </c>
      <c r="I2232" s="325" t="str">
        <f>Games!F12</f>
        <v/>
      </c>
      <c r="J2232" s="325" t="str">
        <f>Games!G12</f>
        <v/>
      </c>
      <c r="K2232" s="325"/>
      <c r="L2232" s="325"/>
      <c r="M2232" s="326" t="str">
        <f t="shared" si="1695"/>
        <v/>
      </c>
      <c r="N2232" s="325" t="str">
        <f t="shared" ref="N2232" si="1702">N2230</f>
        <v/>
      </c>
      <c r="O2232" s="325">
        <f t="shared" si="1697"/>
        <v>0</v>
      </c>
    </row>
    <row r="2233" spans="1:15" x14ac:dyDescent="0.25">
      <c r="A2233" s="2">
        <v>2</v>
      </c>
      <c r="B2233" s="2">
        <f>B2232</f>
        <v>0</v>
      </c>
      <c r="C2233" s="2" t="str">
        <f>C2232</f>
        <v>GT</v>
      </c>
      <c r="D2233" s="2">
        <f>D2232</f>
        <v>0</v>
      </c>
      <c r="F2233" s="2" t="str">
        <f>F2232</f>
        <v>Games Team</v>
      </c>
      <c r="G2233" s="2" t="str">
        <f>G2232</f>
        <v/>
      </c>
      <c r="H2233" s="2" t="str">
        <f>H2232</f>
        <v/>
      </c>
      <c r="I2233" s="2" t="str">
        <f>I2232</f>
        <v/>
      </c>
      <c r="J2233" s="2" t="str">
        <f>J2232</f>
        <v/>
      </c>
      <c r="M2233" s="180" t="str">
        <f>M2232</f>
        <v/>
      </c>
      <c r="N2233" s="2" t="str">
        <f>N2231</f>
        <v/>
      </c>
      <c r="O2233" s="2">
        <f>O2232</f>
        <v>0</v>
      </c>
    </row>
    <row r="2234" spans="1:15" x14ac:dyDescent="0.25">
      <c r="A2234" s="325">
        <v>1</v>
      </c>
      <c r="B2234" s="325">
        <f t="shared" si="1694"/>
        <v>0</v>
      </c>
      <c r="C2234" s="325" t="s">
        <v>3726</v>
      </c>
      <c r="D2234" s="325">
        <f>Games!D13</f>
        <v>0</v>
      </c>
      <c r="E2234" s="325"/>
      <c r="F2234" s="325" t="s">
        <v>3727</v>
      </c>
      <c r="G2234" s="325" t="str">
        <f>IF(Games!AJ13="e","Y","")</f>
        <v/>
      </c>
      <c r="H2234" s="325" t="str">
        <f>Games!E13</f>
        <v/>
      </c>
      <c r="I2234" s="325" t="str">
        <f>Games!F13</f>
        <v/>
      </c>
      <c r="J2234" s="325" t="str">
        <f>Games!G13</f>
        <v/>
      </c>
      <c r="K2234" s="325"/>
      <c r="L2234" s="325"/>
      <c r="M2234" s="326" t="str">
        <f t="shared" si="1695"/>
        <v/>
      </c>
      <c r="N2234" s="325" t="str">
        <f t="shared" ref="N2234" si="1703">N2232</f>
        <v/>
      </c>
      <c r="O2234" s="325">
        <f t="shared" si="1697"/>
        <v>0</v>
      </c>
    </row>
    <row r="2235" spans="1:15" x14ac:dyDescent="0.25">
      <c r="A2235" s="2">
        <v>2</v>
      </c>
      <c r="B2235" s="2">
        <f>B2234</f>
        <v>0</v>
      </c>
      <c r="C2235" s="2" t="str">
        <f>C2234</f>
        <v>GT</v>
      </c>
      <c r="D2235" s="2">
        <f>D2234</f>
        <v>0</v>
      </c>
      <c r="F2235" s="2" t="str">
        <f>F2234</f>
        <v>Games Team</v>
      </c>
      <c r="G2235" s="2" t="str">
        <f>G2234</f>
        <v/>
      </c>
      <c r="H2235" s="2" t="str">
        <f>H2234</f>
        <v/>
      </c>
      <c r="I2235" s="2" t="str">
        <f>I2234</f>
        <v/>
      </c>
      <c r="J2235" s="2" t="str">
        <f>J2234</f>
        <v/>
      </c>
      <c r="M2235" s="180" t="str">
        <f>M2234</f>
        <v/>
      </c>
      <c r="N2235" s="2" t="str">
        <f>N2233</f>
        <v/>
      </c>
      <c r="O2235" s="2">
        <f>O2234</f>
        <v>0</v>
      </c>
    </row>
    <row r="2236" spans="1:15" x14ac:dyDescent="0.25">
      <c r="A2236" s="325">
        <v>1</v>
      </c>
      <c r="B2236" s="325">
        <f t="shared" si="1694"/>
        <v>0</v>
      </c>
      <c r="C2236" s="325" t="s">
        <v>3726</v>
      </c>
      <c r="D2236" s="325">
        <f>Games!D14</f>
        <v>0</v>
      </c>
      <c r="E2236" s="325"/>
      <c r="F2236" s="325" t="s">
        <v>3727</v>
      </c>
      <c r="G2236" s="325" t="str">
        <f>IF(Games!AJ14="e","Y","")</f>
        <v/>
      </c>
      <c r="H2236" s="325" t="str">
        <f>Games!E14</f>
        <v/>
      </c>
      <c r="I2236" s="325" t="str">
        <f>Games!F14</f>
        <v/>
      </c>
      <c r="J2236" s="325" t="str">
        <f>Games!G14</f>
        <v/>
      </c>
      <c r="K2236" s="325"/>
      <c r="L2236" s="325"/>
      <c r="M2236" s="326" t="str">
        <f t="shared" si="1695"/>
        <v/>
      </c>
      <c r="N2236" s="325" t="str">
        <f t="shared" ref="N2236" si="1704">N2234</f>
        <v/>
      </c>
      <c r="O2236" s="325">
        <f t="shared" si="1697"/>
        <v>0</v>
      </c>
    </row>
    <row r="2237" spans="1:15" x14ac:dyDescent="0.25">
      <c r="A2237" s="2">
        <v>2</v>
      </c>
      <c r="B2237" s="2">
        <f>B2236</f>
        <v>0</v>
      </c>
      <c r="C2237" s="2" t="str">
        <f>C2236</f>
        <v>GT</v>
      </c>
      <c r="D2237" s="2">
        <f>D2236</f>
        <v>0</v>
      </c>
      <c r="F2237" s="2" t="str">
        <f>F2236</f>
        <v>Games Team</v>
      </c>
      <c r="G2237" s="2" t="str">
        <f>G2236</f>
        <v/>
      </c>
      <c r="H2237" s="2" t="str">
        <f>H2236</f>
        <v/>
      </c>
      <c r="I2237" s="2" t="str">
        <f>I2236</f>
        <v/>
      </c>
      <c r="J2237" s="2" t="str">
        <f>J2236</f>
        <v/>
      </c>
      <c r="M2237" s="180" t="str">
        <f>M2236</f>
        <v/>
      </c>
      <c r="N2237" s="2" t="str">
        <f>N2235</f>
        <v/>
      </c>
      <c r="O2237" s="2">
        <f>O2236</f>
        <v>0</v>
      </c>
    </row>
    <row r="2238" spans="1:15" x14ac:dyDescent="0.25">
      <c r="A2238" s="325">
        <v>1</v>
      </c>
      <c r="B2238" s="325">
        <f t="shared" si="1694"/>
        <v>0</v>
      </c>
      <c r="C2238" s="325" t="s">
        <v>3726</v>
      </c>
      <c r="D2238" s="325">
        <f>Games!D15</f>
        <v>0</v>
      </c>
      <c r="E2238" s="325"/>
      <c r="F2238" s="325" t="s">
        <v>3727</v>
      </c>
      <c r="G2238" s="325" t="str">
        <f>IF(Games!AJ15="e","Y","")</f>
        <v/>
      </c>
      <c r="H2238" s="325" t="str">
        <f>Games!E15</f>
        <v/>
      </c>
      <c r="I2238" s="325" t="str">
        <f>Games!F15</f>
        <v/>
      </c>
      <c r="J2238" s="325" t="str">
        <f>Games!G15</f>
        <v/>
      </c>
      <c r="K2238" s="325"/>
      <c r="L2238" s="325"/>
      <c r="M2238" s="326" t="str">
        <f t="shared" si="1695"/>
        <v/>
      </c>
      <c r="N2238" s="325" t="str">
        <f t="shared" ref="N2238" si="1705">N2236</f>
        <v/>
      </c>
      <c r="O2238" s="325">
        <f t="shared" si="1697"/>
        <v>0</v>
      </c>
    </row>
    <row r="2239" spans="1:15" x14ac:dyDescent="0.25">
      <c r="A2239" s="2">
        <v>2</v>
      </c>
      <c r="B2239" s="2">
        <f>B2238</f>
        <v>0</v>
      </c>
      <c r="C2239" s="2" t="str">
        <f>C2238</f>
        <v>GT</v>
      </c>
      <c r="D2239" s="2">
        <f>D2238</f>
        <v>0</v>
      </c>
      <c r="F2239" s="2" t="str">
        <f>F2238</f>
        <v>Games Team</v>
      </c>
      <c r="G2239" s="2" t="str">
        <f>G2238</f>
        <v/>
      </c>
      <c r="H2239" s="2" t="str">
        <f>H2238</f>
        <v/>
      </c>
      <c r="I2239" s="2" t="str">
        <f>I2238</f>
        <v/>
      </c>
      <c r="J2239" s="2" t="str">
        <f>J2238</f>
        <v/>
      </c>
      <c r="M2239" s="180" t="str">
        <f>M2238</f>
        <v/>
      </c>
      <c r="N2239" s="2" t="str">
        <f>N2237</f>
        <v/>
      </c>
      <c r="O2239" s="2">
        <f>O2238</f>
        <v>0</v>
      </c>
    </row>
    <row r="2240" spans="1:15" x14ac:dyDescent="0.25">
      <c r="A2240" s="325">
        <v>1</v>
      </c>
      <c r="B2240" s="325">
        <f t="shared" si="1694"/>
        <v>0</v>
      </c>
      <c r="C2240" s="325" t="s">
        <v>3726</v>
      </c>
      <c r="D2240" s="325">
        <f>Games!D16</f>
        <v>0</v>
      </c>
      <c r="E2240" s="325"/>
      <c r="F2240" s="325" t="s">
        <v>3727</v>
      </c>
      <c r="G2240" s="325" t="str">
        <f>IF(Games!AJ16="e","Y","")</f>
        <v/>
      </c>
      <c r="H2240" s="325" t="str">
        <f>Games!E16</f>
        <v/>
      </c>
      <c r="I2240" s="325" t="str">
        <f>Games!F16</f>
        <v/>
      </c>
      <c r="J2240" s="325" t="str">
        <f>Games!G16</f>
        <v/>
      </c>
      <c r="K2240" s="325"/>
      <c r="L2240" s="325"/>
      <c r="M2240" s="326" t="str">
        <f t="shared" si="1695"/>
        <v/>
      </c>
      <c r="N2240" s="325" t="str">
        <f t="shared" ref="N2240" si="1706">N2238</f>
        <v/>
      </c>
      <c r="O2240" s="325">
        <f t="shared" si="1697"/>
        <v>0</v>
      </c>
    </row>
    <row r="2241" spans="1:15" x14ac:dyDescent="0.25">
      <c r="A2241" s="2">
        <v>2</v>
      </c>
      <c r="B2241" s="2">
        <f>B2240</f>
        <v>0</v>
      </c>
      <c r="C2241" s="2" t="str">
        <f>C2240</f>
        <v>GT</v>
      </c>
      <c r="D2241" s="2">
        <f>D2240</f>
        <v>0</v>
      </c>
      <c r="F2241" s="2" t="str">
        <f>F2240</f>
        <v>Games Team</v>
      </c>
      <c r="G2241" s="2" t="str">
        <f>G2240</f>
        <v/>
      </c>
      <c r="H2241" s="2" t="str">
        <f>H2240</f>
        <v/>
      </c>
      <c r="I2241" s="2" t="str">
        <f>I2240</f>
        <v/>
      </c>
      <c r="J2241" s="2" t="str">
        <f>J2240</f>
        <v/>
      </c>
      <c r="M2241" s="180" t="str">
        <f>M2240</f>
        <v/>
      </c>
      <c r="N2241" s="2" t="str">
        <f>N2239</f>
        <v/>
      </c>
      <c r="O2241" s="2">
        <f>O2240</f>
        <v>0</v>
      </c>
    </row>
    <row r="2242" spans="1:15" x14ac:dyDescent="0.25">
      <c r="A2242" s="325">
        <v>1</v>
      </c>
      <c r="B2242" s="325">
        <f t="shared" si="1694"/>
        <v>0</v>
      </c>
      <c r="C2242" s="325" t="s">
        <v>3726</v>
      </c>
      <c r="D2242" s="325">
        <f>Games!D17</f>
        <v>0</v>
      </c>
      <c r="E2242" s="325"/>
      <c r="F2242" s="325" t="s">
        <v>3727</v>
      </c>
      <c r="G2242" s="325" t="str">
        <f>IF(Games!AJ17="e","Y","")</f>
        <v/>
      </c>
      <c r="H2242" s="325" t="str">
        <f>Games!E17</f>
        <v/>
      </c>
      <c r="I2242" s="325" t="str">
        <f>Games!F17</f>
        <v/>
      </c>
      <c r="J2242" s="325" t="str">
        <f>Games!G17</f>
        <v/>
      </c>
      <c r="K2242" s="325"/>
      <c r="L2242" s="325"/>
      <c r="M2242" s="326" t="str">
        <f t="shared" si="1695"/>
        <v/>
      </c>
      <c r="N2242" s="325" t="str">
        <f t="shared" ref="N2242" si="1707">N2240</f>
        <v/>
      </c>
      <c r="O2242" s="325">
        <f t="shared" si="1697"/>
        <v>0</v>
      </c>
    </row>
    <row r="2243" spans="1:15" x14ac:dyDescent="0.25">
      <c r="A2243" s="2">
        <v>2</v>
      </c>
      <c r="B2243" s="2">
        <f>B2242</f>
        <v>0</v>
      </c>
      <c r="C2243" s="2" t="str">
        <f>C2242</f>
        <v>GT</v>
      </c>
      <c r="D2243" s="2">
        <f>D2242</f>
        <v>0</v>
      </c>
      <c r="F2243" s="2" t="str">
        <f>F2242</f>
        <v>Games Team</v>
      </c>
      <c r="G2243" s="2" t="str">
        <f>G2242</f>
        <v/>
      </c>
      <c r="H2243" s="2" t="str">
        <f>H2242</f>
        <v/>
      </c>
      <c r="I2243" s="2" t="str">
        <f>I2242</f>
        <v/>
      </c>
      <c r="J2243" s="2" t="str">
        <f>J2242</f>
        <v/>
      </c>
      <c r="M2243" s="180" t="str">
        <f>M2242</f>
        <v/>
      </c>
      <c r="N2243" s="2" t="str">
        <f>N2241</f>
        <v/>
      </c>
      <c r="O2243" s="2">
        <f>O2242</f>
        <v>0</v>
      </c>
    </row>
    <row r="2244" spans="1:15" x14ac:dyDescent="0.25">
      <c r="A2244" s="325">
        <v>1</v>
      </c>
      <c r="B2244" s="325">
        <f t="shared" si="1694"/>
        <v>0</v>
      </c>
      <c r="C2244" s="325" t="s">
        <v>3726</v>
      </c>
      <c r="D2244" s="325">
        <f>Games!D18</f>
        <v>0</v>
      </c>
      <c r="E2244" s="325"/>
      <c r="F2244" s="325" t="s">
        <v>3727</v>
      </c>
      <c r="G2244" s="325" t="str">
        <f>IF(Games!AJ18="e","Y","")</f>
        <v/>
      </c>
      <c r="H2244" s="325" t="str">
        <f>Games!E18</f>
        <v/>
      </c>
      <c r="I2244" s="325" t="str">
        <f>Games!F18</f>
        <v/>
      </c>
      <c r="J2244" s="325" t="str">
        <f>Games!G18</f>
        <v/>
      </c>
      <c r="K2244" s="325"/>
      <c r="L2244" s="325"/>
      <c r="M2244" s="326" t="str">
        <f t="shared" si="1695"/>
        <v/>
      </c>
      <c r="N2244" s="325" t="str">
        <f t="shared" ref="N2244" si="1708">N2242</f>
        <v/>
      </c>
      <c r="O2244" s="325">
        <f t="shared" si="1697"/>
        <v>0</v>
      </c>
    </row>
    <row r="2245" spans="1:15" x14ac:dyDescent="0.25">
      <c r="A2245" s="2">
        <v>2</v>
      </c>
      <c r="B2245" s="2">
        <f>B2244</f>
        <v>0</v>
      </c>
      <c r="C2245" s="2" t="str">
        <f>C2244</f>
        <v>GT</v>
      </c>
      <c r="D2245" s="2">
        <f>D2244</f>
        <v>0</v>
      </c>
      <c r="F2245" s="2" t="str">
        <f>F2244</f>
        <v>Games Team</v>
      </c>
      <c r="G2245" s="2" t="str">
        <f>G2244</f>
        <v/>
      </c>
      <c r="H2245" s="2" t="str">
        <f>H2244</f>
        <v/>
      </c>
      <c r="I2245" s="2" t="str">
        <f>I2244</f>
        <v/>
      </c>
      <c r="J2245" s="2" t="str">
        <f>J2244</f>
        <v/>
      </c>
      <c r="M2245" s="180" t="str">
        <f>M2244</f>
        <v/>
      </c>
      <c r="N2245" s="2" t="str">
        <f>N2243</f>
        <v/>
      </c>
      <c r="O2245" s="2">
        <f>O2244</f>
        <v>0</v>
      </c>
    </row>
    <row r="2246" spans="1:15" x14ac:dyDescent="0.25">
      <c r="A2246" s="325">
        <v>1</v>
      </c>
      <c r="B2246" s="325">
        <f t="shared" si="1694"/>
        <v>0</v>
      </c>
      <c r="C2246" s="325" t="s">
        <v>3726</v>
      </c>
      <c r="D2246" s="325">
        <f>Games!D19</f>
        <v>0</v>
      </c>
      <c r="E2246" s="325"/>
      <c r="F2246" s="325" t="s">
        <v>3727</v>
      </c>
      <c r="G2246" s="325" t="str">
        <f>IF(Games!AJ19="e","Y","")</f>
        <v/>
      </c>
      <c r="H2246" s="325" t="str">
        <f>Games!E19</f>
        <v/>
      </c>
      <c r="I2246" s="325" t="str">
        <f>Games!F19</f>
        <v/>
      </c>
      <c r="J2246" s="325" t="str">
        <f>Games!G19</f>
        <v/>
      </c>
      <c r="K2246" s="325"/>
      <c r="L2246" s="325"/>
      <c r="M2246" s="326" t="str">
        <f t="shared" si="1695"/>
        <v/>
      </c>
      <c r="N2246" s="325" t="str">
        <f t="shared" ref="N2246" si="1709">N2244</f>
        <v/>
      </c>
      <c r="O2246" s="325">
        <f t="shared" si="1697"/>
        <v>0</v>
      </c>
    </row>
    <row r="2247" spans="1:15" x14ac:dyDescent="0.25">
      <c r="A2247" s="2">
        <v>2</v>
      </c>
      <c r="B2247" s="2">
        <f>B2246</f>
        <v>0</v>
      </c>
      <c r="C2247" s="2" t="str">
        <f>C2246</f>
        <v>GT</v>
      </c>
      <c r="D2247" s="2">
        <f>D2246</f>
        <v>0</v>
      </c>
      <c r="F2247" s="2" t="str">
        <f>F2246</f>
        <v>Games Team</v>
      </c>
      <c r="G2247" s="2" t="str">
        <f>G2246</f>
        <v/>
      </c>
      <c r="H2247" s="2" t="str">
        <f>H2246</f>
        <v/>
      </c>
      <c r="I2247" s="2" t="str">
        <f>I2246</f>
        <v/>
      </c>
      <c r="J2247" s="2" t="str">
        <f>J2246</f>
        <v/>
      </c>
      <c r="M2247" s="180" t="str">
        <f>M2246</f>
        <v/>
      </c>
      <c r="N2247" s="2" t="str">
        <f>N2245</f>
        <v/>
      </c>
      <c r="O2247" s="2">
        <f>O2246</f>
        <v>0</v>
      </c>
    </row>
    <row r="2248" spans="1:15" x14ac:dyDescent="0.25">
      <c r="A2248" s="325">
        <v>1</v>
      </c>
      <c r="B2248" s="325">
        <f t="shared" si="1694"/>
        <v>0</v>
      </c>
      <c r="C2248" s="325" t="s">
        <v>3726</v>
      </c>
      <c r="D2248" s="325">
        <f>Games!D20</f>
        <v>0</v>
      </c>
      <c r="E2248" s="325"/>
      <c r="F2248" s="325" t="s">
        <v>3727</v>
      </c>
      <c r="G2248" s="325" t="str">
        <f>IF(Games!AJ20="e","Y","")</f>
        <v/>
      </c>
      <c r="H2248" s="325" t="str">
        <f>Games!E20</f>
        <v/>
      </c>
      <c r="I2248" s="325" t="str">
        <f>Games!F20</f>
        <v/>
      </c>
      <c r="J2248" s="325" t="str">
        <f>Games!G20</f>
        <v/>
      </c>
      <c r="K2248" s="325"/>
      <c r="L2248" s="325"/>
      <c r="M2248" s="326" t="str">
        <f t="shared" si="1695"/>
        <v/>
      </c>
      <c r="N2248" s="325" t="str">
        <f t="shared" ref="N2248" si="1710">N2246</f>
        <v/>
      </c>
      <c r="O2248" s="325">
        <f t="shared" si="1697"/>
        <v>0</v>
      </c>
    </row>
    <row r="2249" spans="1:15" x14ac:dyDescent="0.25">
      <c r="A2249" s="2">
        <v>2</v>
      </c>
      <c r="B2249" s="2">
        <f>B2248</f>
        <v>0</v>
      </c>
      <c r="C2249" s="2" t="str">
        <f>C2248</f>
        <v>GT</v>
      </c>
      <c r="D2249" s="2">
        <f>D2248</f>
        <v>0</v>
      </c>
      <c r="F2249" s="2" t="str">
        <f>F2248</f>
        <v>Games Team</v>
      </c>
      <c r="G2249" s="2" t="str">
        <f>G2248</f>
        <v/>
      </c>
      <c r="H2249" s="2" t="str">
        <f>H2248</f>
        <v/>
      </c>
      <c r="I2249" s="2" t="str">
        <f>I2248</f>
        <v/>
      </c>
      <c r="J2249" s="2" t="str">
        <f>J2248</f>
        <v/>
      </c>
      <c r="M2249" s="180" t="str">
        <f>M2248</f>
        <v/>
      </c>
      <c r="N2249" s="2" t="str">
        <f>N2247</f>
        <v/>
      </c>
      <c r="O2249" s="2">
        <f>O2248</f>
        <v>0</v>
      </c>
    </row>
    <row r="2250" spans="1:15" x14ac:dyDescent="0.25">
      <c r="A2250" s="325">
        <v>1</v>
      </c>
      <c r="B2250" s="325">
        <f t="shared" si="1694"/>
        <v>0</v>
      </c>
      <c r="C2250" s="325" t="s">
        <v>3726</v>
      </c>
      <c r="D2250" s="325">
        <f>Games!D21</f>
        <v>0</v>
      </c>
      <c r="E2250" s="325"/>
      <c r="F2250" s="325" t="s">
        <v>3727</v>
      </c>
      <c r="G2250" s="325" t="str">
        <f>IF(Games!AJ21="e","Y","")</f>
        <v/>
      </c>
      <c r="H2250" s="325" t="str">
        <f>Games!E21</f>
        <v/>
      </c>
      <c r="I2250" s="325" t="str">
        <f>Games!F21</f>
        <v/>
      </c>
      <c r="J2250" s="325" t="str">
        <f>Games!G21</f>
        <v/>
      </c>
      <c r="K2250" s="325"/>
      <c r="L2250" s="325"/>
      <c r="M2250" s="326" t="str">
        <f t="shared" si="1695"/>
        <v/>
      </c>
      <c r="N2250" s="325" t="str">
        <f t="shared" ref="N2250" si="1711">N2248</f>
        <v/>
      </c>
      <c r="O2250" s="325">
        <f t="shared" si="1697"/>
        <v>0</v>
      </c>
    </row>
    <row r="2251" spans="1:15" x14ac:dyDescent="0.25">
      <c r="A2251" s="2">
        <v>2</v>
      </c>
      <c r="B2251" s="2">
        <f>B2250</f>
        <v>0</v>
      </c>
      <c r="C2251" s="2" t="str">
        <f>C2250</f>
        <v>GT</v>
      </c>
      <c r="D2251" s="2">
        <f>D2250</f>
        <v>0</v>
      </c>
      <c r="F2251" s="2" t="str">
        <f>F2250</f>
        <v>Games Team</v>
      </c>
      <c r="G2251" s="2" t="str">
        <f>G2250</f>
        <v/>
      </c>
      <c r="H2251" s="2" t="str">
        <f>H2250</f>
        <v/>
      </c>
      <c r="I2251" s="2" t="str">
        <f>I2250</f>
        <v/>
      </c>
      <c r="J2251" s="2" t="str">
        <f>J2250</f>
        <v/>
      </c>
      <c r="M2251" s="180" t="str">
        <f>M2250</f>
        <v/>
      </c>
      <c r="N2251" s="2" t="str">
        <f>N2249</f>
        <v/>
      </c>
      <c r="O2251" s="2">
        <f>O2250</f>
        <v>0</v>
      </c>
    </row>
    <row r="2252" spans="1:15" x14ac:dyDescent="0.25">
      <c r="A2252" s="325">
        <v>1</v>
      </c>
      <c r="B2252" s="325">
        <f t="shared" si="1694"/>
        <v>0</v>
      </c>
      <c r="C2252" s="325" t="s">
        <v>3726</v>
      </c>
      <c r="D2252" s="325">
        <f>Games!D22</f>
        <v>0</v>
      </c>
      <c r="E2252" s="325"/>
      <c r="F2252" s="325" t="s">
        <v>3727</v>
      </c>
      <c r="G2252" s="325" t="str">
        <f>IF(Games!AJ22="e","Y","")</f>
        <v/>
      </c>
      <c r="H2252" s="325" t="str">
        <f>Games!E22</f>
        <v/>
      </c>
      <c r="I2252" s="325" t="str">
        <f>Games!F22</f>
        <v/>
      </c>
      <c r="J2252" s="325" t="str">
        <f>Games!G22</f>
        <v/>
      </c>
      <c r="K2252" s="325"/>
      <c r="L2252" s="325"/>
      <c r="M2252" s="326" t="str">
        <f t="shared" si="1695"/>
        <v/>
      </c>
      <c r="N2252" s="325" t="str">
        <f t="shared" ref="N2252" si="1712">N2250</f>
        <v/>
      </c>
      <c r="O2252" s="325">
        <f t="shared" si="1697"/>
        <v>0</v>
      </c>
    </row>
    <row r="2253" spans="1:15" x14ac:dyDescent="0.25">
      <c r="A2253" s="2">
        <v>2</v>
      </c>
      <c r="B2253" s="2">
        <f>B2252</f>
        <v>0</v>
      </c>
      <c r="C2253" s="2" t="str">
        <f>C2252</f>
        <v>GT</v>
      </c>
      <c r="D2253" s="2">
        <f>D2252</f>
        <v>0</v>
      </c>
      <c r="F2253" s="2" t="str">
        <f>F2252</f>
        <v>Games Team</v>
      </c>
      <c r="G2253" s="2" t="str">
        <f>G2252</f>
        <v/>
      </c>
      <c r="H2253" s="2" t="str">
        <f>H2252</f>
        <v/>
      </c>
      <c r="I2253" s="2" t="str">
        <f>I2252</f>
        <v/>
      </c>
      <c r="J2253" s="2" t="str">
        <f>J2252</f>
        <v/>
      </c>
      <c r="M2253" s="180" t="str">
        <f>M2252</f>
        <v/>
      </c>
      <c r="N2253" s="2" t="str">
        <f>N2251</f>
        <v/>
      </c>
      <c r="O2253" s="2">
        <f>O2252</f>
        <v>0</v>
      </c>
    </row>
    <row r="2254" spans="1:15" x14ac:dyDescent="0.25">
      <c r="A2254" s="325">
        <v>1</v>
      </c>
      <c r="B2254" s="325">
        <f t="shared" si="1694"/>
        <v>0</v>
      </c>
      <c r="C2254" s="325" t="s">
        <v>3726</v>
      </c>
      <c r="D2254" s="325">
        <f>Games!D23</f>
        <v>0</v>
      </c>
      <c r="E2254" s="325"/>
      <c r="F2254" s="325" t="s">
        <v>3727</v>
      </c>
      <c r="G2254" s="325" t="str">
        <f>IF(Games!AJ23="e","Y","")</f>
        <v/>
      </c>
      <c r="H2254" s="325" t="str">
        <f>Games!E23</f>
        <v/>
      </c>
      <c r="I2254" s="325" t="str">
        <f>Games!F23</f>
        <v/>
      </c>
      <c r="J2254" s="325" t="str">
        <f>Games!G23</f>
        <v/>
      </c>
      <c r="K2254" s="325"/>
      <c r="L2254" s="325"/>
      <c r="M2254" s="326" t="str">
        <f t="shared" si="1695"/>
        <v/>
      </c>
      <c r="N2254" s="325" t="str">
        <f t="shared" ref="N2254" si="1713">N2252</f>
        <v/>
      </c>
      <c r="O2254" s="325">
        <f t="shared" si="1697"/>
        <v>0</v>
      </c>
    </row>
    <row r="2255" spans="1:15" x14ac:dyDescent="0.25">
      <c r="A2255" s="2">
        <v>2</v>
      </c>
      <c r="B2255" s="2">
        <f>B2254</f>
        <v>0</v>
      </c>
      <c r="C2255" s="2" t="str">
        <f>C2254</f>
        <v>GT</v>
      </c>
      <c r="D2255" s="2">
        <f>D2254</f>
        <v>0</v>
      </c>
      <c r="F2255" s="2" t="str">
        <f>F2254</f>
        <v>Games Team</v>
      </c>
      <c r="G2255" s="2" t="str">
        <f>G2254</f>
        <v/>
      </c>
      <c r="H2255" s="2" t="str">
        <f>H2254</f>
        <v/>
      </c>
      <c r="I2255" s="2" t="str">
        <f>I2254</f>
        <v/>
      </c>
      <c r="J2255" s="2" t="str">
        <f>J2254</f>
        <v/>
      </c>
      <c r="M2255" s="180" t="str">
        <f>M2254</f>
        <v/>
      </c>
      <c r="N2255" s="2" t="str">
        <f>N2253</f>
        <v/>
      </c>
      <c r="O2255" s="2">
        <f>O2254</f>
        <v>0</v>
      </c>
    </row>
    <row r="2256" spans="1:15" x14ac:dyDescent="0.25">
      <c r="A2256" s="325">
        <v>1</v>
      </c>
      <c r="B2256" s="325">
        <f t="shared" si="1694"/>
        <v>0</v>
      </c>
      <c r="C2256" s="325" t="s">
        <v>3726</v>
      </c>
      <c r="D2256" s="325">
        <f>Games!D24</f>
        <v>0</v>
      </c>
      <c r="E2256" s="325"/>
      <c r="F2256" s="325" t="s">
        <v>3727</v>
      </c>
      <c r="G2256" s="325" t="str">
        <f>IF(Games!AJ24="e","Y","")</f>
        <v/>
      </c>
      <c r="H2256" s="325" t="str">
        <f>Games!E24</f>
        <v/>
      </c>
      <c r="I2256" s="325" t="str">
        <f>Games!F24</f>
        <v/>
      </c>
      <c r="J2256" s="325" t="str">
        <f>Games!G24</f>
        <v/>
      </c>
      <c r="K2256" s="325"/>
      <c r="L2256" s="325"/>
      <c r="M2256" s="326" t="str">
        <f t="shared" si="1695"/>
        <v/>
      </c>
      <c r="N2256" s="325" t="str">
        <f t="shared" ref="N2256" si="1714">N2254</f>
        <v/>
      </c>
      <c r="O2256" s="325">
        <f t="shared" si="1697"/>
        <v>0</v>
      </c>
    </row>
    <row r="2257" spans="1:15" x14ac:dyDescent="0.25">
      <c r="A2257" s="2">
        <v>2</v>
      </c>
      <c r="B2257" s="2">
        <f>B2256</f>
        <v>0</v>
      </c>
      <c r="C2257" s="2" t="str">
        <f>C2256</f>
        <v>GT</v>
      </c>
      <c r="D2257" s="2">
        <f>D2256</f>
        <v>0</v>
      </c>
      <c r="F2257" s="2" t="str">
        <f>F2256</f>
        <v>Games Team</v>
      </c>
      <c r="G2257" s="2" t="str">
        <f>G2256</f>
        <v/>
      </c>
      <c r="H2257" s="2" t="str">
        <f>H2256</f>
        <v/>
      </c>
      <c r="I2257" s="2" t="str">
        <f>I2256</f>
        <v/>
      </c>
      <c r="J2257" s="2" t="str">
        <f>J2256</f>
        <v/>
      </c>
      <c r="M2257" s="180" t="str">
        <f>M2256</f>
        <v/>
      </c>
      <c r="N2257" s="2" t="str">
        <f>N2255</f>
        <v/>
      </c>
      <c r="O2257" s="2">
        <f>O2256</f>
        <v>0</v>
      </c>
    </row>
    <row r="2258" spans="1:15" x14ac:dyDescent="0.25">
      <c r="A2258" s="325">
        <v>1</v>
      </c>
      <c r="B2258" s="325">
        <f t="shared" si="1694"/>
        <v>0</v>
      </c>
      <c r="C2258" s="325" t="s">
        <v>3726</v>
      </c>
      <c r="D2258" s="325">
        <f>Games!D25</f>
        <v>0</v>
      </c>
      <c r="E2258" s="325"/>
      <c r="F2258" s="325" t="s">
        <v>3727</v>
      </c>
      <c r="G2258" s="325" t="str">
        <f>IF(Games!AJ25="e","Y","")</f>
        <v/>
      </c>
      <c r="H2258" s="325" t="str">
        <f>Games!E25</f>
        <v/>
      </c>
      <c r="I2258" s="325" t="str">
        <f>Games!F25</f>
        <v/>
      </c>
      <c r="J2258" s="325" t="str">
        <f>Games!G25</f>
        <v/>
      </c>
      <c r="K2258" s="325"/>
      <c r="L2258" s="325"/>
      <c r="M2258" s="326" t="str">
        <f t="shared" si="1695"/>
        <v/>
      </c>
      <c r="N2258" s="325" t="str">
        <f t="shared" ref="N2258" si="1715">N2256</f>
        <v/>
      </c>
      <c r="O2258" s="325">
        <f t="shared" si="1697"/>
        <v>0</v>
      </c>
    </row>
    <row r="2259" spans="1:15" x14ac:dyDescent="0.25">
      <c r="A2259" s="2">
        <v>2</v>
      </c>
      <c r="B2259" s="2">
        <f>B2258</f>
        <v>0</v>
      </c>
      <c r="C2259" s="2" t="str">
        <f>C2258</f>
        <v>GT</v>
      </c>
      <c r="D2259" s="2">
        <f>D2258</f>
        <v>0</v>
      </c>
      <c r="F2259" s="2" t="str">
        <f>F2258</f>
        <v>Games Team</v>
      </c>
      <c r="G2259" s="2" t="str">
        <f>G2258</f>
        <v/>
      </c>
      <c r="H2259" s="2" t="str">
        <f>H2258</f>
        <v/>
      </c>
      <c r="I2259" s="2" t="str">
        <f>I2258</f>
        <v/>
      </c>
      <c r="J2259" s="2" t="str">
        <f>J2258</f>
        <v/>
      </c>
      <c r="M2259" s="180" t="str">
        <f>M2258</f>
        <v/>
      </c>
      <c r="N2259" s="2" t="str">
        <f>N2257</f>
        <v/>
      </c>
      <c r="O2259" s="2">
        <f>O2258</f>
        <v>0</v>
      </c>
    </row>
    <row r="2260" spans="1:15" x14ac:dyDescent="0.25">
      <c r="A2260" s="325">
        <v>1</v>
      </c>
      <c r="B2260" s="325">
        <f t="shared" si="1694"/>
        <v>0</v>
      </c>
      <c r="C2260" s="325" t="s">
        <v>3726</v>
      </c>
      <c r="D2260" s="325">
        <f>Games!D26</f>
        <v>0</v>
      </c>
      <c r="E2260" s="325"/>
      <c r="F2260" s="325" t="s">
        <v>3727</v>
      </c>
      <c r="G2260" s="325" t="str">
        <f>IF(Games!AJ26="e","Y","")</f>
        <v/>
      </c>
      <c r="H2260" s="325" t="str">
        <f>Games!E26</f>
        <v/>
      </c>
      <c r="I2260" s="325" t="str">
        <f>Games!F26</f>
        <v/>
      </c>
      <c r="J2260" s="325" t="str">
        <f>Games!G26</f>
        <v/>
      </c>
      <c r="K2260" s="325"/>
      <c r="L2260" s="325"/>
      <c r="M2260" s="326" t="str">
        <f t="shared" si="1695"/>
        <v/>
      </c>
      <c r="N2260" s="325" t="str">
        <f t="shared" ref="N2260" si="1716">N2258</f>
        <v/>
      </c>
      <c r="O2260" s="325">
        <f t="shared" si="1697"/>
        <v>0</v>
      </c>
    </row>
    <row r="2261" spans="1:15" x14ac:dyDescent="0.25">
      <c r="A2261" s="2">
        <v>2</v>
      </c>
      <c r="B2261" s="2">
        <f>B2260</f>
        <v>0</v>
      </c>
      <c r="C2261" s="2" t="str">
        <f>C2260</f>
        <v>GT</v>
      </c>
      <c r="D2261" s="2">
        <f>D2260</f>
        <v>0</v>
      </c>
      <c r="F2261" s="2" t="str">
        <f>F2260</f>
        <v>Games Team</v>
      </c>
      <c r="G2261" s="2" t="str">
        <f>G2260</f>
        <v/>
      </c>
      <c r="H2261" s="2" t="str">
        <f>H2260</f>
        <v/>
      </c>
      <c r="I2261" s="2" t="str">
        <f>I2260</f>
        <v/>
      </c>
      <c r="J2261" s="2" t="str">
        <f>J2260</f>
        <v/>
      </c>
      <c r="M2261" s="180" t="str">
        <f>M2260</f>
        <v/>
      </c>
      <c r="N2261" s="2" t="str">
        <f>N2259</f>
        <v/>
      </c>
      <c r="O2261" s="2">
        <f>O2260</f>
        <v>0</v>
      </c>
    </row>
    <row r="2262" spans="1:15" x14ac:dyDescent="0.25">
      <c r="A2262" s="325">
        <v>1</v>
      </c>
      <c r="B2262" s="325">
        <f t="shared" si="1694"/>
        <v>0</v>
      </c>
      <c r="C2262" s="325" t="s">
        <v>3726</v>
      </c>
      <c r="D2262" s="325">
        <f>Games!D27</f>
        <v>0</v>
      </c>
      <c r="E2262" s="325"/>
      <c r="F2262" s="325" t="s">
        <v>3727</v>
      </c>
      <c r="G2262" s="325" t="str">
        <f>IF(Games!AJ27="e","Y","")</f>
        <v/>
      </c>
      <c r="H2262" s="325" t="str">
        <f>Games!E27</f>
        <v/>
      </c>
      <c r="I2262" s="325" t="str">
        <f>Games!F27</f>
        <v/>
      </c>
      <c r="J2262" s="325" t="str">
        <f>Games!G27</f>
        <v/>
      </c>
      <c r="K2262" s="325"/>
      <c r="L2262" s="325"/>
      <c r="M2262" s="326" t="str">
        <f t="shared" si="1695"/>
        <v/>
      </c>
      <c r="N2262" s="325" t="str">
        <f t="shared" ref="N2262" si="1717">N2260</f>
        <v/>
      </c>
      <c r="O2262" s="325">
        <f t="shared" si="1697"/>
        <v>0</v>
      </c>
    </row>
    <row r="2263" spans="1:15" x14ac:dyDescent="0.25">
      <c r="A2263" s="2">
        <v>2</v>
      </c>
      <c r="B2263" s="2">
        <f>B2262</f>
        <v>0</v>
      </c>
      <c r="C2263" s="2" t="str">
        <f>C2262</f>
        <v>GT</v>
      </c>
      <c r="D2263" s="2">
        <f>D2262</f>
        <v>0</v>
      </c>
      <c r="F2263" s="2" t="str">
        <f>F2262</f>
        <v>Games Team</v>
      </c>
      <c r="G2263" s="2" t="str">
        <f>G2262</f>
        <v/>
      </c>
      <c r="H2263" s="2" t="str">
        <f>H2262</f>
        <v/>
      </c>
      <c r="I2263" s="2" t="str">
        <f>I2262</f>
        <v/>
      </c>
      <c r="J2263" s="2" t="str">
        <f>J2262</f>
        <v/>
      </c>
      <c r="M2263" s="180" t="str">
        <f>M2262</f>
        <v/>
      </c>
      <c r="N2263" s="2" t="str">
        <f>N2261</f>
        <v/>
      </c>
      <c r="O2263" s="2">
        <f>O2262</f>
        <v>0</v>
      </c>
    </row>
    <row r="2264" spans="1:15" x14ac:dyDescent="0.25">
      <c r="A2264" s="325">
        <v>1</v>
      </c>
      <c r="B2264" s="325">
        <f t="shared" si="1694"/>
        <v>0</v>
      </c>
      <c r="C2264" s="325" t="s">
        <v>3726</v>
      </c>
      <c r="D2264" s="325">
        <f>Games!D28</f>
        <v>0</v>
      </c>
      <c r="E2264" s="325"/>
      <c r="F2264" s="325" t="s">
        <v>3727</v>
      </c>
      <c r="G2264" s="325" t="str">
        <f>IF(Games!AJ28="e","Y","")</f>
        <v/>
      </c>
      <c r="H2264" s="325" t="str">
        <f>Games!E28</f>
        <v/>
      </c>
      <c r="I2264" s="325" t="str">
        <f>Games!F28</f>
        <v/>
      </c>
      <c r="J2264" s="325" t="str">
        <f>Games!G28</f>
        <v/>
      </c>
      <c r="K2264" s="325"/>
      <c r="L2264" s="325"/>
      <c r="M2264" s="326" t="str">
        <f t="shared" si="1695"/>
        <v/>
      </c>
      <c r="N2264" s="325" t="str">
        <f t="shared" ref="N2264" si="1718">N2262</f>
        <v/>
      </c>
      <c r="O2264" s="325">
        <f t="shared" si="1697"/>
        <v>0</v>
      </c>
    </row>
    <row r="2265" spans="1:15" x14ac:dyDescent="0.25">
      <c r="A2265" s="2">
        <v>2</v>
      </c>
      <c r="B2265" s="2">
        <f>B2264</f>
        <v>0</v>
      </c>
      <c r="C2265" s="2" t="str">
        <f>C2264</f>
        <v>GT</v>
      </c>
      <c r="D2265" s="2">
        <f>D2264</f>
        <v>0</v>
      </c>
      <c r="F2265" s="2" t="str">
        <f>F2264</f>
        <v>Games Team</v>
      </c>
      <c r="G2265" s="2" t="str">
        <f>G2264</f>
        <v/>
      </c>
      <c r="H2265" s="2" t="str">
        <f>H2264</f>
        <v/>
      </c>
      <c r="I2265" s="2" t="str">
        <f>I2264</f>
        <v/>
      </c>
      <c r="J2265" s="2" t="str">
        <f>J2264</f>
        <v/>
      </c>
      <c r="M2265" s="180" t="str">
        <f>M2264</f>
        <v/>
      </c>
      <c r="N2265" s="2" t="str">
        <f>N2263</f>
        <v/>
      </c>
      <c r="O2265" s="2">
        <f>O2264</f>
        <v>0</v>
      </c>
    </row>
    <row r="2266" spans="1:15" x14ac:dyDescent="0.25">
      <c r="A2266" s="325">
        <v>1</v>
      </c>
      <c r="B2266" s="325">
        <f t="shared" si="1694"/>
        <v>0</v>
      </c>
      <c r="C2266" s="325" t="s">
        <v>3726</v>
      </c>
      <c r="D2266" s="325">
        <f>Games!D29</f>
        <v>0</v>
      </c>
      <c r="E2266" s="325"/>
      <c r="F2266" s="325" t="s">
        <v>3727</v>
      </c>
      <c r="G2266" s="325" t="str">
        <f>IF(Games!AJ29="e","Y","")</f>
        <v/>
      </c>
      <c r="H2266" s="325" t="str">
        <f>Games!E29</f>
        <v/>
      </c>
      <c r="I2266" s="325" t="str">
        <f>Games!F29</f>
        <v/>
      </c>
      <c r="J2266" s="325" t="str">
        <f>Games!G29</f>
        <v/>
      </c>
      <c r="K2266" s="325"/>
      <c r="L2266" s="325"/>
      <c r="M2266" s="326" t="str">
        <f t="shared" si="1695"/>
        <v/>
      </c>
      <c r="N2266" s="325" t="str">
        <f t="shared" ref="N2266" si="1719">N2264</f>
        <v/>
      </c>
      <c r="O2266" s="325">
        <f t="shared" si="1697"/>
        <v>0</v>
      </c>
    </row>
    <row r="2267" spans="1:15" x14ac:dyDescent="0.25">
      <c r="A2267" s="2">
        <v>2</v>
      </c>
      <c r="B2267" s="2">
        <f>B2266</f>
        <v>0</v>
      </c>
      <c r="C2267" s="2" t="str">
        <f>C2266</f>
        <v>GT</v>
      </c>
      <c r="D2267" s="2">
        <f>D2266</f>
        <v>0</v>
      </c>
      <c r="F2267" s="2" t="str">
        <f>F2266</f>
        <v>Games Team</v>
      </c>
      <c r="G2267" s="2" t="str">
        <f>G2266</f>
        <v/>
      </c>
      <c r="H2267" s="2" t="str">
        <f>H2266</f>
        <v/>
      </c>
      <c r="I2267" s="2" t="str">
        <f>I2266</f>
        <v/>
      </c>
      <c r="J2267" s="2" t="str">
        <f>J2266</f>
        <v/>
      </c>
      <c r="M2267" s="180" t="str">
        <f>M2266</f>
        <v/>
      </c>
      <c r="N2267" s="2" t="str">
        <f>N2265</f>
        <v/>
      </c>
      <c r="O2267" s="2">
        <f>O2266</f>
        <v>0</v>
      </c>
    </row>
    <row r="2268" spans="1:15" x14ac:dyDescent="0.25">
      <c r="A2268" s="325">
        <v>1</v>
      </c>
      <c r="B2268" s="325">
        <f t="shared" si="1694"/>
        <v>0</v>
      </c>
      <c r="C2268" s="325" t="s">
        <v>3726</v>
      </c>
      <c r="D2268" s="325">
        <f>Games!D30</f>
        <v>0</v>
      </c>
      <c r="E2268" s="325"/>
      <c r="F2268" s="325" t="s">
        <v>3727</v>
      </c>
      <c r="G2268" s="325" t="str">
        <f>IF(Games!AJ30="e","Y","")</f>
        <v/>
      </c>
      <c r="H2268" s="325" t="str">
        <f>Games!E30</f>
        <v/>
      </c>
      <c r="I2268" s="325" t="str">
        <f>Games!F30</f>
        <v/>
      </c>
      <c r="J2268" s="325" t="str">
        <f>Games!G30</f>
        <v/>
      </c>
      <c r="K2268" s="325"/>
      <c r="L2268" s="325"/>
      <c r="M2268" s="326" t="str">
        <f t="shared" si="1695"/>
        <v/>
      </c>
      <c r="N2268" s="325" t="str">
        <f t="shared" ref="N2268" si="1720">N2266</f>
        <v/>
      </c>
      <c r="O2268" s="325">
        <f t="shared" si="1697"/>
        <v>0</v>
      </c>
    </row>
    <row r="2269" spans="1:15" x14ac:dyDescent="0.25">
      <c r="A2269" s="2">
        <v>2</v>
      </c>
      <c r="B2269" s="2">
        <f>B2268</f>
        <v>0</v>
      </c>
      <c r="C2269" s="2" t="str">
        <f>C2268</f>
        <v>GT</v>
      </c>
      <c r="D2269" s="2">
        <f>D2268</f>
        <v>0</v>
      </c>
      <c r="F2269" s="2" t="str">
        <f>F2268</f>
        <v>Games Team</v>
      </c>
      <c r="G2269" s="2" t="str">
        <f>G2268</f>
        <v/>
      </c>
      <c r="H2269" s="2" t="str">
        <f>H2268</f>
        <v/>
      </c>
      <c r="I2269" s="2" t="str">
        <f>I2268</f>
        <v/>
      </c>
      <c r="J2269" s="2" t="str">
        <f>J2268</f>
        <v/>
      </c>
      <c r="M2269" s="180" t="str">
        <f>M2268</f>
        <v/>
      </c>
      <c r="N2269" s="2" t="str">
        <f>N2267</f>
        <v/>
      </c>
      <c r="O2269" s="2">
        <f>O2268</f>
        <v>0</v>
      </c>
    </row>
    <row r="2270" spans="1:15" x14ac:dyDescent="0.25">
      <c r="A2270" s="325">
        <v>1</v>
      </c>
      <c r="B2270" s="325">
        <f t="shared" si="1694"/>
        <v>0</v>
      </c>
      <c r="C2270" s="325" t="s">
        <v>3726</v>
      </c>
      <c r="D2270" s="325">
        <f>Games!D31</f>
        <v>0</v>
      </c>
      <c r="E2270" s="325"/>
      <c r="F2270" s="325" t="s">
        <v>3727</v>
      </c>
      <c r="G2270" s="325" t="str">
        <f>IF(Games!AJ31="e","Y","")</f>
        <v/>
      </c>
      <c r="H2270" s="325" t="str">
        <f>Games!E31</f>
        <v/>
      </c>
      <c r="I2270" s="325" t="str">
        <f>Games!F31</f>
        <v/>
      </c>
      <c r="J2270" s="325" t="str">
        <f>Games!G31</f>
        <v/>
      </c>
      <c r="K2270" s="325"/>
      <c r="L2270" s="325"/>
      <c r="M2270" s="326" t="str">
        <f t="shared" si="1695"/>
        <v/>
      </c>
      <c r="N2270" s="325" t="str">
        <f t="shared" ref="N2270" si="1721">N2268</f>
        <v/>
      </c>
      <c r="O2270" s="325">
        <f t="shared" si="1697"/>
        <v>0</v>
      </c>
    </row>
    <row r="2271" spans="1:15" x14ac:dyDescent="0.25">
      <c r="A2271" s="2">
        <v>2</v>
      </c>
      <c r="B2271" s="2">
        <f>B2270</f>
        <v>0</v>
      </c>
      <c r="C2271" s="2" t="str">
        <f>C2270</f>
        <v>GT</v>
      </c>
      <c r="D2271" s="2">
        <f>D2270</f>
        <v>0</v>
      </c>
      <c r="F2271" s="2" t="str">
        <f>F2270</f>
        <v>Games Team</v>
      </c>
      <c r="G2271" s="2" t="str">
        <f>G2270</f>
        <v/>
      </c>
      <c r="H2271" s="2" t="str">
        <f>H2270</f>
        <v/>
      </c>
      <c r="I2271" s="2" t="str">
        <f>I2270</f>
        <v/>
      </c>
      <c r="J2271" s="2" t="str">
        <f>J2270</f>
        <v/>
      </c>
      <c r="M2271" s="180" t="str">
        <f>M2270</f>
        <v/>
      </c>
      <c r="N2271" s="2" t="str">
        <f>N2269</f>
        <v/>
      </c>
      <c r="O2271" s="2">
        <f>O2270</f>
        <v>0</v>
      </c>
    </row>
    <row r="2272" spans="1:15" x14ac:dyDescent="0.25">
      <c r="A2272" s="325">
        <v>1</v>
      </c>
      <c r="B2272" s="325">
        <f t="shared" si="1694"/>
        <v>0</v>
      </c>
      <c r="C2272" s="325" t="s">
        <v>3726</v>
      </c>
      <c r="D2272" s="325">
        <f>Games!D32</f>
        <v>0</v>
      </c>
      <c r="E2272" s="325"/>
      <c r="F2272" s="325" t="s">
        <v>3727</v>
      </c>
      <c r="G2272" s="325" t="str">
        <f>IF(Games!AJ32="e","Y","")</f>
        <v/>
      </c>
      <c r="H2272" s="325" t="str">
        <f>Games!E32</f>
        <v/>
      </c>
      <c r="I2272" s="325" t="str">
        <f>Games!F32</f>
        <v/>
      </c>
      <c r="J2272" s="325" t="str">
        <f>Games!G32</f>
        <v/>
      </c>
      <c r="K2272" s="325"/>
      <c r="L2272" s="325"/>
      <c r="M2272" s="326" t="str">
        <f t="shared" si="1695"/>
        <v/>
      </c>
      <c r="N2272" s="325" t="str">
        <f t="shared" ref="N2272" si="1722">N2270</f>
        <v/>
      </c>
      <c r="O2272" s="325">
        <f t="shared" si="1697"/>
        <v>0</v>
      </c>
    </row>
    <row r="2273" spans="1:15" x14ac:dyDescent="0.25">
      <c r="A2273" s="2">
        <v>2</v>
      </c>
      <c r="B2273" s="2">
        <f>B2272</f>
        <v>0</v>
      </c>
      <c r="C2273" s="2" t="str">
        <f>C2272</f>
        <v>GT</v>
      </c>
      <c r="D2273" s="2">
        <f>D2272</f>
        <v>0</v>
      </c>
      <c r="F2273" s="2" t="str">
        <f>F2272</f>
        <v>Games Team</v>
      </c>
      <c r="G2273" s="2" t="str">
        <f>G2272</f>
        <v/>
      </c>
      <c r="H2273" s="2" t="str">
        <f>H2272</f>
        <v/>
      </c>
      <c r="I2273" s="2" t="str">
        <f>I2272</f>
        <v/>
      </c>
      <c r="J2273" s="2" t="str">
        <f>J2272</f>
        <v/>
      </c>
      <c r="M2273" s="180" t="str">
        <f>M2272</f>
        <v/>
      </c>
      <c r="N2273" s="2" t="str">
        <f>N2271</f>
        <v/>
      </c>
      <c r="O2273" s="2">
        <f>O2272</f>
        <v>0</v>
      </c>
    </row>
    <row r="2274" spans="1:15" x14ac:dyDescent="0.25">
      <c r="A2274" s="325">
        <v>1</v>
      </c>
      <c r="B2274" s="325">
        <f t="shared" si="1694"/>
        <v>0</v>
      </c>
      <c r="C2274" s="325" t="s">
        <v>3726</v>
      </c>
      <c r="D2274" s="325">
        <f>Games!D33</f>
        <v>0</v>
      </c>
      <c r="E2274" s="325"/>
      <c r="F2274" s="325" t="s">
        <v>3727</v>
      </c>
      <c r="G2274" s="325" t="str">
        <f>IF(Games!AJ33="e","Y","")</f>
        <v/>
      </c>
      <c r="H2274" s="325" t="str">
        <f>Games!E33</f>
        <v/>
      </c>
      <c r="I2274" s="325" t="str">
        <f>Games!F33</f>
        <v/>
      </c>
      <c r="J2274" s="325" t="str">
        <f>Games!G33</f>
        <v/>
      </c>
      <c r="K2274" s="325"/>
      <c r="L2274" s="325"/>
      <c r="M2274" s="326" t="str">
        <f t="shared" si="1695"/>
        <v/>
      </c>
      <c r="N2274" s="325" t="str">
        <f t="shared" ref="N2274" si="1723">N2272</f>
        <v/>
      </c>
      <c r="O2274" s="325">
        <f t="shared" si="1697"/>
        <v>0</v>
      </c>
    </row>
    <row r="2275" spans="1:15" x14ac:dyDescent="0.25">
      <c r="A2275" s="2">
        <v>2</v>
      </c>
      <c r="B2275" s="2">
        <f>B2274</f>
        <v>0</v>
      </c>
      <c r="C2275" s="2" t="str">
        <f>C2274</f>
        <v>GT</v>
      </c>
      <c r="D2275" s="2">
        <f>D2274</f>
        <v>0</v>
      </c>
      <c r="F2275" s="2" t="str">
        <f>F2274</f>
        <v>Games Team</v>
      </c>
      <c r="G2275" s="2" t="str">
        <f>G2274</f>
        <v/>
      </c>
      <c r="H2275" s="2" t="str">
        <f>H2274</f>
        <v/>
      </c>
      <c r="I2275" s="2" t="str">
        <f>I2274</f>
        <v/>
      </c>
      <c r="J2275" s="2" t="str">
        <f>J2274</f>
        <v/>
      </c>
      <c r="M2275" s="180" t="str">
        <f>M2274</f>
        <v/>
      </c>
      <c r="N2275" s="2" t="str">
        <f>N2273</f>
        <v/>
      </c>
      <c r="O2275" s="2">
        <f>O2274</f>
        <v>0</v>
      </c>
    </row>
    <row r="2276" spans="1:15" x14ac:dyDescent="0.25">
      <c r="A2276" s="325">
        <v>1</v>
      </c>
      <c r="B2276" s="325">
        <f t="shared" si="1694"/>
        <v>0</v>
      </c>
      <c r="C2276" s="325" t="s">
        <v>3726</v>
      </c>
      <c r="D2276" s="325">
        <f>Games!D34</f>
        <v>0</v>
      </c>
      <c r="E2276" s="325"/>
      <c r="F2276" s="325" t="s">
        <v>3727</v>
      </c>
      <c r="G2276" s="325" t="str">
        <f>IF(Games!AJ34="e","Y","")</f>
        <v/>
      </c>
      <c r="H2276" s="325" t="str">
        <f>Games!E34</f>
        <v/>
      </c>
      <c r="I2276" s="325" t="str">
        <f>Games!F34</f>
        <v/>
      </c>
      <c r="J2276" s="325" t="str">
        <f>Games!G34</f>
        <v/>
      </c>
      <c r="K2276" s="325"/>
      <c r="L2276" s="325"/>
      <c r="M2276" s="326" t="str">
        <f t="shared" si="1695"/>
        <v/>
      </c>
      <c r="N2276" s="325" t="str">
        <f t="shared" ref="N2276" si="1724">N2274</f>
        <v/>
      </c>
      <c r="O2276" s="325">
        <f t="shared" si="1697"/>
        <v>0</v>
      </c>
    </row>
    <row r="2277" spans="1:15" x14ac:dyDescent="0.25">
      <c r="A2277" s="2">
        <v>2</v>
      </c>
      <c r="B2277" s="2">
        <f>B2276</f>
        <v>0</v>
      </c>
      <c r="C2277" s="2" t="str">
        <f>C2276</f>
        <v>GT</v>
      </c>
      <c r="D2277" s="2">
        <f>D2276</f>
        <v>0</v>
      </c>
      <c r="F2277" s="2" t="str">
        <f>F2276</f>
        <v>Games Team</v>
      </c>
      <c r="G2277" s="2" t="str">
        <f>G2276</f>
        <v/>
      </c>
      <c r="H2277" s="2" t="str">
        <f>H2276</f>
        <v/>
      </c>
      <c r="I2277" s="2" t="str">
        <f>I2276</f>
        <v/>
      </c>
      <c r="J2277" s="2" t="str">
        <f>J2276</f>
        <v/>
      </c>
      <c r="M2277" s="180" t="str">
        <f>M2276</f>
        <v/>
      </c>
      <c r="N2277" s="2" t="str">
        <f>N2275</f>
        <v/>
      </c>
      <c r="O2277" s="2">
        <f>O2276</f>
        <v>0</v>
      </c>
    </row>
    <row r="2278" spans="1:15" x14ac:dyDescent="0.25">
      <c r="A2278" s="325">
        <v>1</v>
      </c>
      <c r="B2278" s="325">
        <f t="shared" si="1694"/>
        <v>0</v>
      </c>
      <c r="C2278" s="325" t="s">
        <v>3726</v>
      </c>
      <c r="D2278" s="325">
        <f>Games!D35</f>
        <v>0</v>
      </c>
      <c r="E2278" s="325"/>
      <c r="F2278" s="325" t="s">
        <v>3727</v>
      </c>
      <c r="G2278" s="325" t="str">
        <f>IF(Games!AJ35="e","Y","")</f>
        <v/>
      </c>
      <c r="H2278" s="325" t="str">
        <f>Games!E35</f>
        <v/>
      </c>
      <c r="I2278" s="325" t="str">
        <f>Games!F35</f>
        <v/>
      </c>
      <c r="J2278" s="325" t="str">
        <f>Games!G35</f>
        <v/>
      </c>
      <c r="K2278" s="325"/>
      <c r="L2278" s="325"/>
      <c r="M2278" s="326" t="str">
        <f t="shared" si="1695"/>
        <v/>
      </c>
      <c r="N2278" s="325" t="str">
        <f t="shared" ref="N2278" si="1725">N2276</f>
        <v/>
      </c>
      <c r="O2278" s="325">
        <f t="shared" si="1697"/>
        <v>0</v>
      </c>
    </row>
    <row r="2279" spans="1:15" x14ac:dyDescent="0.25">
      <c r="A2279" s="2">
        <v>2</v>
      </c>
      <c r="B2279" s="2">
        <f>B2278</f>
        <v>0</v>
      </c>
      <c r="C2279" s="2" t="str">
        <f>C2278</f>
        <v>GT</v>
      </c>
      <c r="D2279" s="2">
        <f>D2278</f>
        <v>0</v>
      </c>
      <c r="F2279" s="2" t="str">
        <f>F2278</f>
        <v>Games Team</v>
      </c>
      <c r="G2279" s="2" t="str">
        <f>G2278</f>
        <v/>
      </c>
      <c r="H2279" s="2" t="str">
        <f>H2278</f>
        <v/>
      </c>
      <c r="I2279" s="2" t="str">
        <f>I2278</f>
        <v/>
      </c>
      <c r="J2279" s="2" t="str">
        <f>J2278</f>
        <v/>
      </c>
      <c r="M2279" s="180" t="str">
        <f>M2278</f>
        <v/>
      </c>
      <c r="N2279" s="2" t="str">
        <f>N2277</f>
        <v/>
      </c>
      <c r="O2279" s="2">
        <f>O2278</f>
        <v>0</v>
      </c>
    </row>
    <row r="2280" spans="1:15" x14ac:dyDescent="0.25">
      <c r="A2280" s="325">
        <v>1</v>
      </c>
      <c r="B2280" s="325">
        <f t="shared" si="1694"/>
        <v>0</v>
      </c>
      <c r="C2280" s="325" t="s">
        <v>3726</v>
      </c>
      <c r="D2280" s="325">
        <f>Games!D36</f>
        <v>0</v>
      </c>
      <c r="E2280" s="325"/>
      <c r="F2280" s="325" t="s">
        <v>3727</v>
      </c>
      <c r="G2280" s="325" t="str">
        <f>IF(Games!AJ36="e","Y","")</f>
        <v/>
      </c>
      <c r="H2280" s="325" t="str">
        <f>Games!E36</f>
        <v/>
      </c>
      <c r="I2280" s="325" t="str">
        <f>Games!F36</f>
        <v/>
      </c>
      <c r="J2280" s="325" t="str">
        <f>Games!G36</f>
        <v/>
      </c>
      <c r="K2280" s="325"/>
      <c r="L2280" s="325"/>
      <c r="M2280" s="326" t="str">
        <f t="shared" si="1695"/>
        <v/>
      </c>
      <c r="N2280" s="325" t="str">
        <f t="shared" ref="N2280" si="1726">N2278</f>
        <v/>
      </c>
      <c r="O2280" s="325">
        <f t="shared" si="1697"/>
        <v>0</v>
      </c>
    </row>
    <row r="2281" spans="1:15" x14ac:dyDescent="0.25">
      <c r="A2281" s="2">
        <v>2</v>
      </c>
      <c r="B2281" s="2">
        <f>B2280</f>
        <v>0</v>
      </c>
      <c r="C2281" s="2" t="str">
        <f>C2280</f>
        <v>GT</v>
      </c>
      <c r="D2281" s="2">
        <f>D2280</f>
        <v>0</v>
      </c>
      <c r="F2281" s="2" t="str">
        <f>F2280</f>
        <v>Games Team</v>
      </c>
      <c r="G2281" s="2" t="str">
        <f>G2280</f>
        <v/>
      </c>
      <c r="H2281" s="2" t="str">
        <f>H2280</f>
        <v/>
      </c>
      <c r="I2281" s="2" t="str">
        <f>I2280</f>
        <v/>
      </c>
      <c r="J2281" s="2" t="str">
        <f>J2280</f>
        <v/>
      </c>
      <c r="M2281" s="180" t="str">
        <f>M2280</f>
        <v/>
      </c>
      <c r="N2281" s="2" t="str">
        <f>N2279</f>
        <v/>
      </c>
      <c r="O2281" s="2">
        <f>O2280</f>
        <v>0</v>
      </c>
    </row>
    <row r="2282" spans="1:15" x14ac:dyDescent="0.25">
      <c r="A2282" s="325">
        <v>1</v>
      </c>
      <c r="B2282" s="325">
        <f t="shared" si="1694"/>
        <v>0</v>
      </c>
      <c r="C2282" s="325" t="s">
        <v>3726</v>
      </c>
      <c r="D2282" s="325">
        <f>Games!D37</f>
        <v>0</v>
      </c>
      <c r="E2282" s="325"/>
      <c r="F2282" s="325" t="s">
        <v>3727</v>
      </c>
      <c r="G2282" s="325" t="str">
        <f>IF(Games!AJ37="e","Y","")</f>
        <v/>
      </c>
      <c r="H2282" s="325" t="str">
        <f>Games!E37</f>
        <v/>
      </c>
      <c r="I2282" s="325" t="str">
        <f>Games!F37</f>
        <v/>
      </c>
      <c r="J2282" s="325" t="str">
        <f>Games!G37</f>
        <v/>
      </c>
      <c r="K2282" s="325"/>
      <c r="L2282" s="325"/>
      <c r="M2282" s="326" t="str">
        <f t="shared" si="1695"/>
        <v/>
      </c>
      <c r="N2282" s="325" t="str">
        <f t="shared" ref="N2282" si="1727">N2280</f>
        <v/>
      </c>
      <c r="O2282" s="325">
        <f t="shared" si="1697"/>
        <v>0</v>
      </c>
    </row>
    <row r="2283" spans="1:15" x14ac:dyDescent="0.25">
      <c r="A2283" s="2">
        <v>2</v>
      </c>
      <c r="B2283" s="2">
        <f>B2282</f>
        <v>0</v>
      </c>
      <c r="C2283" s="2" t="str">
        <f>C2282</f>
        <v>GT</v>
      </c>
      <c r="D2283" s="2">
        <f>D2282</f>
        <v>0</v>
      </c>
      <c r="F2283" s="2" t="str">
        <f>F2282</f>
        <v>Games Team</v>
      </c>
      <c r="G2283" s="2" t="str">
        <f>G2282</f>
        <v/>
      </c>
      <c r="H2283" s="2" t="str">
        <f>H2282</f>
        <v/>
      </c>
      <c r="I2283" s="2" t="str">
        <f>I2282</f>
        <v/>
      </c>
      <c r="J2283" s="2" t="str">
        <f>J2282</f>
        <v/>
      </c>
      <c r="M2283" s="180" t="str">
        <f>M2282</f>
        <v/>
      </c>
      <c r="N2283" s="2" t="str">
        <f>N2281</f>
        <v/>
      </c>
      <c r="O2283" s="2">
        <f>O2282</f>
        <v>0</v>
      </c>
    </row>
    <row r="2284" spans="1:15" x14ac:dyDescent="0.25">
      <c r="A2284" s="325">
        <v>1</v>
      </c>
      <c r="B2284" s="325">
        <f t="shared" si="1694"/>
        <v>0</v>
      </c>
      <c r="C2284" s="325" t="s">
        <v>3726</v>
      </c>
      <c r="D2284" s="325">
        <f>Games!D38</f>
        <v>0</v>
      </c>
      <c r="E2284" s="325"/>
      <c r="F2284" s="325" t="s">
        <v>3727</v>
      </c>
      <c r="G2284" s="325" t="str">
        <f>IF(Games!AJ38="e","Y","")</f>
        <v/>
      </c>
      <c r="H2284" s="325" t="str">
        <f>Games!E38</f>
        <v/>
      </c>
      <c r="I2284" s="325" t="str">
        <f>Games!F38</f>
        <v/>
      </c>
      <c r="J2284" s="325" t="str">
        <f>Games!G38</f>
        <v/>
      </c>
      <c r="K2284" s="325"/>
      <c r="L2284" s="325"/>
      <c r="M2284" s="326" t="str">
        <f t="shared" si="1695"/>
        <v/>
      </c>
      <c r="N2284" s="325" t="str">
        <f t="shared" ref="N2284" si="1728">N2282</f>
        <v/>
      </c>
      <c r="O2284" s="325">
        <f t="shared" si="1697"/>
        <v>0</v>
      </c>
    </row>
    <row r="2285" spans="1:15" x14ac:dyDescent="0.25">
      <c r="A2285" s="2">
        <v>2</v>
      </c>
      <c r="B2285" s="2">
        <f>B2284</f>
        <v>0</v>
      </c>
      <c r="C2285" s="2" t="str">
        <f>C2284</f>
        <v>GT</v>
      </c>
      <c r="D2285" s="2">
        <f>D2284</f>
        <v>0</v>
      </c>
      <c r="F2285" s="2" t="str">
        <f>F2284</f>
        <v>Games Team</v>
      </c>
      <c r="G2285" s="2" t="str">
        <f>G2284</f>
        <v/>
      </c>
      <c r="H2285" s="2" t="str">
        <f>H2284</f>
        <v/>
      </c>
      <c r="I2285" s="2" t="str">
        <f>I2284</f>
        <v/>
      </c>
      <c r="J2285" s="2" t="str">
        <f>J2284</f>
        <v/>
      </c>
      <c r="M2285" s="180" t="str">
        <f>M2284</f>
        <v/>
      </c>
      <c r="N2285" s="2" t="str">
        <f>N2283</f>
        <v/>
      </c>
      <c r="O2285" s="2">
        <f>O2284</f>
        <v>0</v>
      </c>
    </row>
    <row r="2286" spans="1:15" x14ac:dyDescent="0.25">
      <c r="A2286" s="325">
        <v>1</v>
      </c>
      <c r="B2286" s="325">
        <f t="shared" ref="B2286:B2320" si="1729">TrialNumber</f>
        <v>0</v>
      </c>
      <c r="C2286" s="325" t="s">
        <v>3726</v>
      </c>
      <c r="D2286" s="325">
        <f>Games!D39</f>
        <v>0</v>
      </c>
      <c r="E2286" s="325"/>
      <c r="F2286" s="325" t="s">
        <v>3727</v>
      </c>
      <c r="G2286" s="325" t="str">
        <f>IF(Games!AJ39="e","Y","")</f>
        <v/>
      </c>
      <c r="H2286" s="325" t="str">
        <f>Games!E39</f>
        <v/>
      </c>
      <c r="I2286" s="325" t="str">
        <f>Games!F39</f>
        <v/>
      </c>
      <c r="J2286" s="325" t="str">
        <f>Games!G39</f>
        <v/>
      </c>
      <c r="K2286" s="325"/>
      <c r="L2286" s="325"/>
      <c r="M2286" s="326" t="str">
        <f t="shared" ref="M2286:M2320" si="1730">TrialDate</f>
        <v/>
      </c>
      <c r="N2286" s="325" t="str">
        <f t="shared" ref="N2286" si="1731">N2284</f>
        <v/>
      </c>
      <c r="O2286" s="325">
        <f t="shared" ref="O2286:O2320" si="1732">JudgeD1GamesTeam</f>
        <v>0</v>
      </c>
    </row>
    <row r="2287" spans="1:15" x14ac:dyDescent="0.25">
      <c r="A2287" s="2">
        <v>2</v>
      </c>
      <c r="B2287" s="2">
        <f>B2286</f>
        <v>0</v>
      </c>
      <c r="C2287" s="2" t="str">
        <f>C2286</f>
        <v>GT</v>
      </c>
      <c r="D2287" s="2">
        <f>D2286</f>
        <v>0</v>
      </c>
      <c r="F2287" s="2" t="str">
        <f>F2286</f>
        <v>Games Team</v>
      </c>
      <c r="G2287" s="2" t="str">
        <f>G2286</f>
        <v/>
      </c>
      <c r="H2287" s="2" t="str">
        <f>H2286</f>
        <v/>
      </c>
      <c r="I2287" s="2" t="str">
        <f>I2286</f>
        <v/>
      </c>
      <c r="J2287" s="2" t="str">
        <f>J2286</f>
        <v/>
      </c>
      <c r="M2287" s="180" t="str">
        <f>M2286</f>
        <v/>
      </c>
      <c r="N2287" s="2" t="str">
        <f>N2285</f>
        <v/>
      </c>
      <c r="O2287" s="2">
        <f>O2286</f>
        <v>0</v>
      </c>
    </row>
    <row r="2288" spans="1:15" x14ac:dyDescent="0.25">
      <c r="A2288" s="325">
        <v>1</v>
      </c>
      <c r="B2288" s="325">
        <f t="shared" si="1729"/>
        <v>0</v>
      </c>
      <c r="C2288" s="325" t="s">
        <v>3726</v>
      </c>
      <c r="D2288" s="325">
        <f>Games!D40</f>
        <v>0</v>
      </c>
      <c r="E2288" s="325"/>
      <c r="F2288" s="325" t="s">
        <v>3727</v>
      </c>
      <c r="G2288" s="325" t="str">
        <f>IF(Games!AJ40="e","Y","")</f>
        <v/>
      </c>
      <c r="H2288" s="325" t="str">
        <f>Games!E40</f>
        <v/>
      </c>
      <c r="I2288" s="325" t="str">
        <f>Games!F40</f>
        <v/>
      </c>
      <c r="J2288" s="325" t="str">
        <f>Games!G40</f>
        <v/>
      </c>
      <c r="K2288" s="325"/>
      <c r="L2288" s="325"/>
      <c r="M2288" s="326" t="str">
        <f t="shared" si="1730"/>
        <v/>
      </c>
      <c r="N2288" s="325" t="str">
        <f t="shared" ref="N2288" si="1733">N2286</f>
        <v/>
      </c>
      <c r="O2288" s="325">
        <f t="shared" si="1732"/>
        <v>0</v>
      </c>
    </row>
    <row r="2289" spans="1:15" x14ac:dyDescent="0.25">
      <c r="A2289" s="2">
        <v>2</v>
      </c>
      <c r="B2289" s="2">
        <f>B2288</f>
        <v>0</v>
      </c>
      <c r="C2289" s="2" t="str">
        <f>C2288</f>
        <v>GT</v>
      </c>
      <c r="D2289" s="2">
        <f>D2288</f>
        <v>0</v>
      </c>
      <c r="F2289" s="2" t="str">
        <f>F2288</f>
        <v>Games Team</v>
      </c>
      <c r="G2289" s="2" t="str">
        <f>G2288</f>
        <v/>
      </c>
      <c r="H2289" s="2" t="str">
        <f>H2288</f>
        <v/>
      </c>
      <c r="I2289" s="2" t="str">
        <f>I2288</f>
        <v/>
      </c>
      <c r="J2289" s="2" t="str">
        <f>J2288</f>
        <v/>
      </c>
      <c r="M2289" s="180" t="str">
        <f>M2288</f>
        <v/>
      </c>
      <c r="N2289" s="2" t="str">
        <f>N2287</f>
        <v/>
      </c>
      <c r="O2289" s="2">
        <f>O2288</f>
        <v>0</v>
      </c>
    </row>
    <row r="2290" spans="1:15" x14ac:dyDescent="0.25">
      <c r="A2290" s="325">
        <v>1</v>
      </c>
      <c r="B2290" s="325">
        <f t="shared" si="1729"/>
        <v>0</v>
      </c>
      <c r="C2290" s="325" t="s">
        <v>3726</v>
      </c>
      <c r="D2290" s="325">
        <f>Games!D41</f>
        <v>0</v>
      </c>
      <c r="E2290" s="325"/>
      <c r="F2290" s="325" t="s">
        <v>3727</v>
      </c>
      <c r="G2290" s="325" t="str">
        <f>IF(Games!AJ41="e","Y","")</f>
        <v/>
      </c>
      <c r="H2290" s="325" t="str">
        <f>Games!E41</f>
        <v/>
      </c>
      <c r="I2290" s="325" t="str">
        <f>Games!F41</f>
        <v/>
      </c>
      <c r="J2290" s="325" t="str">
        <f>Games!G41</f>
        <v/>
      </c>
      <c r="K2290" s="325"/>
      <c r="L2290" s="325"/>
      <c r="M2290" s="326" t="str">
        <f t="shared" si="1730"/>
        <v/>
      </c>
      <c r="N2290" s="325" t="str">
        <f t="shared" ref="N2290" si="1734">N2288</f>
        <v/>
      </c>
      <c r="O2290" s="325">
        <f t="shared" si="1732"/>
        <v>0</v>
      </c>
    </row>
    <row r="2291" spans="1:15" x14ac:dyDescent="0.25">
      <c r="A2291" s="2">
        <v>2</v>
      </c>
      <c r="B2291" s="2">
        <f>B2290</f>
        <v>0</v>
      </c>
      <c r="C2291" s="2" t="str">
        <f>C2290</f>
        <v>GT</v>
      </c>
      <c r="D2291" s="2">
        <f>D2290</f>
        <v>0</v>
      </c>
      <c r="F2291" s="2" t="str">
        <f>F2290</f>
        <v>Games Team</v>
      </c>
      <c r="G2291" s="2" t="str">
        <f>G2290</f>
        <v/>
      </c>
      <c r="H2291" s="2" t="str">
        <f>H2290</f>
        <v/>
      </c>
      <c r="I2291" s="2" t="str">
        <f>I2290</f>
        <v/>
      </c>
      <c r="J2291" s="2" t="str">
        <f>J2290</f>
        <v/>
      </c>
      <c r="M2291" s="180" t="str">
        <f>M2290</f>
        <v/>
      </c>
      <c r="N2291" s="2" t="str">
        <f>N2289</f>
        <v/>
      </c>
      <c r="O2291" s="2">
        <f>O2290</f>
        <v>0</v>
      </c>
    </row>
    <row r="2292" spans="1:15" x14ac:dyDescent="0.25">
      <c r="A2292" s="325">
        <v>1</v>
      </c>
      <c r="B2292" s="325">
        <f t="shared" si="1729"/>
        <v>0</v>
      </c>
      <c r="C2292" s="325" t="s">
        <v>3726</v>
      </c>
      <c r="D2292" s="325">
        <f>Games!D42</f>
        <v>0</v>
      </c>
      <c r="E2292" s="325"/>
      <c r="F2292" s="325" t="s">
        <v>3727</v>
      </c>
      <c r="G2292" s="325" t="str">
        <f>IF(Games!AJ42="e","Y","")</f>
        <v/>
      </c>
      <c r="H2292" s="325" t="str">
        <f>Games!E42</f>
        <v/>
      </c>
      <c r="I2292" s="325" t="str">
        <f>Games!F42</f>
        <v/>
      </c>
      <c r="J2292" s="325" t="str">
        <f>Games!G42</f>
        <v/>
      </c>
      <c r="K2292" s="325"/>
      <c r="L2292" s="325"/>
      <c r="M2292" s="326" t="str">
        <f t="shared" si="1730"/>
        <v/>
      </c>
      <c r="N2292" s="325" t="str">
        <f t="shared" ref="N2292" si="1735">N2290</f>
        <v/>
      </c>
      <c r="O2292" s="325">
        <f t="shared" si="1732"/>
        <v>0</v>
      </c>
    </row>
    <row r="2293" spans="1:15" x14ac:dyDescent="0.25">
      <c r="A2293" s="2">
        <v>2</v>
      </c>
      <c r="B2293" s="2">
        <f>B2292</f>
        <v>0</v>
      </c>
      <c r="C2293" s="2" t="str">
        <f>C2292</f>
        <v>GT</v>
      </c>
      <c r="D2293" s="2">
        <f>D2292</f>
        <v>0</v>
      </c>
      <c r="F2293" s="2" t="str">
        <f>F2292</f>
        <v>Games Team</v>
      </c>
      <c r="G2293" s="2" t="str">
        <f>G2292</f>
        <v/>
      </c>
      <c r="H2293" s="2" t="str">
        <f>H2292</f>
        <v/>
      </c>
      <c r="I2293" s="2" t="str">
        <f>I2292</f>
        <v/>
      </c>
      <c r="J2293" s="2" t="str">
        <f>J2292</f>
        <v/>
      </c>
      <c r="M2293" s="180" t="str">
        <f>M2292</f>
        <v/>
      </c>
      <c r="N2293" s="2" t="str">
        <f>N2291</f>
        <v/>
      </c>
      <c r="O2293" s="2">
        <f>O2292</f>
        <v>0</v>
      </c>
    </row>
    <row r="2294" spans="1:15" x14ac:dyDescent="0.25">
      <c r="A2294" s="325">
        <v>1</v>
      </c>
      <c r="B2294" s="325">
        <f t="shared" si="1729"/>
        <v>0</v>
      </c>
      <c r="C2294" s="325" t="s">
        <v>3726</v>
      </c>
      <c r="D2294" s="325">
        <f>Games!D43</f>
        <v>0</v>
      </c>
      <c r="E2294" s="325"/>
      <c r="F2294" s="325" t="s">
        <v>3727</v>
      </c>
      <c r="G2294" s="325" t="str">
        <f>IF(Games!AJ43="e","Y","")</f>
        <v/>
      </c>
      <c r="H2294" s="325" t="str">
        <f>Games!E43</f>
        <v/>
      </c>
      <c r="I2294" s="325" t="str">
        <f>Games!F43</f>
        <v/>
      </c>
      <c r="J2294" s="325" t="str">
        <f>Games!G43</f>
        <v/>
      </c>
      <c r="K2294" s="325"/>
      <c r="L2294" s="325"/>
      <c r="M2294" s="326" t="str">
        <f t="shared" si="1730"/>
        <v/>
      </c>
      <c r="N2294" s="325" t="str">
        <f t="shared" ref="N2294" si="1736">N2292</f>
        <v/>
      </c>
      <c r="O2294" s="325">
        <f t="shared" si="1732"/>
        <v>0</v>
      </c>
    </row>
    <row r="2295" spans="1:15" x14ac:dyDescent="0.25">
      <c r="A2295" s="2">
        <v>2</v>
      </c>
      <c r="B2295" s="2">
        <f>B2294</f>
        <v>0</v>
      </c>
      <c r="C2295" s="2" t="str">
        <f>C2294</f>
        <v>GT</v>
      </c>
      <c r="D2295" s="2">
        <f>D2294</f>
        <v>0</v>
      </c>
      <c r="F2295" s="2" t="str">
        <f>F2294</f>
        <v>Games Team</v>
      </c>
      <c r="G2295" s="2" t="str">
        <f>G2294</f>
        <v/>
      </c>
      <c r="H2295" s="2" t="str">
        <f>H2294</f>
        <v/>
      </c>
      <c r="I2295" s="2" t="str">
        <f>I2294</f>
        <v/>
      </c>
      <c r="J2295" s="2" t="str">
        <f>J2294</f>
        <v/>
      </c>
      <c r="M2295" s="180" t="str">
        <f>M2294</f>
        <v/>
      </c>
      <c r="N2295" s="2" t="str">
        <f>N2293</f>
        <v/>
      </c>
      <c r="O2295" s="2">
        <f>O2294</f>
        <v>0</v>
      </c>
    </row>
    <row r="2296" spans="1:15" x14ac:dyDescent="0.25">
      <c r="A2296" s="325">
        <v>1</v>
      </c>
      <c r="B2296" s="325">
        <f t="shared" si="1729"/>
        <v>0</v>
      </c>
      <c r="C2296" s="325" t="s">
        <v>3726</v>
      </c>
      <c r="D2296" s="325">
        <f>Games!D44</f>
        <v>0</v>
      </c>
      <c r="E2296" s="325"/>
      <c r="F2296" s="325" t="s">
        <v>3727</v>
      </c>
      <c r="G2296" s="325" t="str">
        <f>IF(Games!AJ44="e","Y","")</f>
        <v/>
      </c>
      <c r="H2296" s="325" t="str">
        <f>Games!E44</f>
        <v/>
      </c>
      <c r="I2296" s="325" t="str">
        <f>Games!F44</f>
        <v/>
      </c>
      <c r="J2296" s="325" t="str">
        <f>Games!G44</f>
        <v/>
      </c>
      <c r="K2296" s="325"/>
      <c r="L2296" s="325"/>
      <c r="M2296" s="326" t="str">
        <f t="shared" si="1730"/>
        <v/>
      </c>
      <c r="N2296" s="325" t="str">
        <f t="shared" ref="N2296" si="1737">N2294</f>
        <v/>
      </c>
      <c r="O2296" s="325">
        <f t="shared" si="1732"/>
        <v>0</v>
      </c>
    </row>
    <row r="2297" spans="1:15" x14ac:dyDescent="0.25">
      <c r="A2297" s="2">
        <v>2</v>
      </c>
      <c r="B2297" s="2">
        <f>B2296</f>
        <v>0</v>
      </c>
      <c r="C2297" s="2" t="str">
        <f>C2296</f>
        <v>GT</v>
      </c>
      <c r="D2297" s="2">
        <f>D2296</f>
        <v>0</v>
      </c>
      <c r="F2297" s="2" t="str">
        <f>F2296</f>
        <v>Games Team</v>
      </c>
      <c r="G2297" s="2" t="str">
        <f>G2296</f>
        <v/>
      </c>
      <c r="H2297" s="2" t="str">
        <f>H2296</f>
        <v/>
      </c>
      <c r="I2297" s="2" t="str">
        <f>I2296</f>
        <v/>
      </c>
      <c r="J2297" s="2" t="str">
        <f>J2296</f>
        <v/>
      </c>
      <c r="M2297" s="180" t="str">
        <f>M2296</f>
        <v/>
      </c>
      <c r="N2297" s="2" t="str">
        <f>N2295</f>
        <v/>
      </c>
      <c r="O2297" s="2">
        <f>O2296</f>
        <v>0</v>
      </c>
    </row>
    <row r="2298" spans="1:15" x14ac:dyDescent="0.25">
      <c r="A2298" s="325">
        <v>1</v>
      </c>
      <c r="B2298" s="325">
        <f t="shared" si="1729"/>
        <v>0</v>
      </c>
      <c r="C2298" s="325" t="s">
        <v>3726</v>
      </c>
      <c r="D2298" s="325">
        <f>Games!D45</f>
        <v>0</v>
      </c>
      <c r="E2298" s="325"/>
      <c r="F2298" s="325" t="s">
        <v>3727</v>
      </c>
      <c r="G2298" s="325" t="str">
        <f>IF(Games!AJ45="e","Y","")</f>
        <v/>
      </c>
      <c r="H2298" s="325" t="str">
        <f>Games!E45</f>
        <v/>
      </c>
      <c r="I2298" s="325" t="str">
        <f>Games!F45</f>
        <v/>
      </c>
      <c r="J2298" s="325" t="str">
        <f>Games!G45</f>
        <v/>
      </c>
      <c r="K2298" s="325"/>
      <c r="L2298" s="325"/>
      <c r="M2298" s="326" t="str">
        <f t="shared" si="1730"/>
        <v/>
      </c>
      <c r="N2298" s="325" t="str">
        <f t="shared" ref="N2298" si="1738">N2296</f>
        <v/>
      </c>
      <c r="O2298" s="325">
        <f t="shared" si="1732"/>
        <v>0</v>
      </c>
    </row>
    <row r="2299" spans="1:15" x14ac:dyDescent="0.25">
      <c r="A2299" s="2">
        <v>2</v>
      </c>
      <c r="B2299" s="2">
        <f>B2298</f>
        <v>0</v>
      </c>
      <c r="C2299" s="2" t="str">
        <f>C2298</f>
        <v>GT</v>
      </c>
      <c r="D2299" s="2">
        <f>D2298</f>
        <v>0</v>
      </c>
      <c r="F2299" s="2" t="str">
        <f>F2298</f>
        <v>Games Team</v>
      </c>
      <c r="G2299" s="2" t="str">
        <f>G2298</f>
        <v/>
      </c>
      <c r="H2299" s="2" t="str">
        <f>H2298</f>
        <v/>
      </c>
      <c r="I2299" s="2" t="str">
        <f>I2298</f>
        <v/>
      </c>
      <c r="J2299" s="2" t="str">
        <f>J2298</f>
        <v/>
      </c>
      <c r="M2299" s="180" t="str">
        <f>M2298</f>
        <v/>
      </c>
      <c r="N2299" s="2" t="str">
        <f>N2297</f>
        <v/>
      </c>
      <c r="O2299" s="2">
        <f>O2298</f>
        <v>0</v>
      </c>
    </row>
    <row r="2300" spans="1:15" x14ac:dyDescent="0.25">
      <c r="A2300" s="325">
        <v>1</v>
      </c>
      <c r="B2300" s="325">
        <f t="shared" si="1729"/>
        <v>0</v>
      </c>
      <c r="C2300" s="325" t="s">
        <v>3726</v>
      </c>
      <c r="D2300" s="325">
        <f>Games!D46</f>
        <v>0</v>
      </c>
      <c r="E2300" s="325"/>
      <c r="F2300" s="325" t="s">
        <v>3727</v>
      </c>
      <c r="G2300" s="325" t="str">
        <f>IF(Games!AJ46="e","Y","")</f>
        <v/>
      </c>
      <c r="H2300" s="325" t="str">
        <f>Games!E46</f>
        <v/>
      </c>
      <c r="I2300" s="325" t="str">
        <f>Games!F46</f>
        <v/>
      </c>
      <c r="J2300" s="325" t="str">
        <f>Games!G46</f>
        <v/>
      </c>
      <c r="K2300" s="325"/>
      <c r="L2300" s="325"/>
      <c r="M2300" s="326" t="str">
        <f t="shared" si="1730"/>
        <v/>
      </c>
      <c r="N2300" s="325" t="str">
        <f t="shared" ref="N2300" si="1739">N2298</f>
        <v/>
      </c>
      <c r="O2300" s="325">
        <f t="shared" si="1732"/>
        <v>0</v>
      </c>
    </row>
    <row r="2301" spans="1:15" x14ac:dyDescent="0.25">
      <c r="A2301" s="2">
        <v>2</v>
      </c>
      <c r="B2301" s="2">
        <f>B2300</f>
        <v>0</v>
      </c>
      <c r="C2301" s="2" t="str">
        <f>C2300</f>
        <v>GT</v>
      </c>
      <c r="D2301" s="2">
        <f>D2300</f>
        <v>0</v>
      </c>
      <c r="F2301" s="2" t="str">
        <f>F2300</f>
        <v>Games Team</v>
      </c>
      <c r="G2301" s="2" t="str">
        <f>G2300</f>
        <v/>
      </c>
      <c r="H2301" s="2" t="str">
        <f>H2300</f>
        <v/>
      </c>
      <c r="I2301" s="2" t="str">
        <f>I2300</f>
        <v/>
      </c>
      <c r="J2301" s="2" t="str">
        <f>J2300</f>
        <v/>
      </c>
      <c r="M2301" s="180" t="str">
        <f>M2300</f>
        <v/>
      </c>
      <c r="N2301" s="2" t="str">
        <f>N2299</f>
        <v/>
      </c>
      <c r="O2301" s="2">
        <f>O2300</f>
        <v>0</v>
      </c>
    </row>
    <row r="2302" spans="1:15" x14ac:dyDescent="0.25">
      <c r="A2302" s="325">
        <v>1</v>
      </c>
      <c r="B2302" s="325">
        <f t="shared" si="1729"/>
        <v>0</v>
      </c>
      <c r="C2302" s="325" t="s">
        <v>3726</v>
      </c>
      <c r="D2302" s="325">
        <f>Games!D47</f>
        <v>0</v>
      </c>
      <c r="E2302" s="325"/>
      <c r="F2302" s="325" t="s">
        <v>3727</v>
      </c>
      <c r="G2302" s="325" t="str">
        <f>IF(Games!AJ47="e","Y","")</f>
        <v/>
      </c>
      <c r="H2302" s="325" t="str">
        <f>Games!E47</f>
        <v/>
      </c>
      <c r="I2302" s="325" t="str">
        <f>Games!F47</f>
        <v/>
      </c>
      <c r="J2302" s="325" t="str">
        <f>Games!G47</f>
        <v/>
      </c>
      <c r="K2302" s="325"/>
      <c r="L2302" s="325"/>
      <c r="M2302" s="326" t="str">
        <f t="shared" si="1730"/>
        <v/>
      </c>
      <c r="N2302" s="325" t="str">
        <f t="shared" ref="N2302" si="1740">N2300</f>
        <v/>
      </c>
      <c r="O2302" s="325">
        <f t="shared" si="1732"/>
        <v>0</v>
      </c>
    </row>
    <row r="2303" spans="1:15" x14ac:dyDescent="0.25">
      <c r="A2303" s="2">
        <v>2</v>
      </c>
      <c r="B2303" s="2">
        <f>B2302</f>
        <v>0</v>
      </c>
      <c r="C2303" s="2" t="str">
        <f>C2302</f>
        <v>GT</v>
      </c>
      <c r="D2303" s="2">
        <f>D2302</f>
        <v>0</v>
      </c>
      <c r="F2303" s="2" t="str">
        <f>F2302</f>
        <v>Games Team</v>
      </c>
      <c r="G2303" s="2" t="str">
        <f>G2302</f>
        <v/>
      </c>
      <c r="H2303" s="2" t="str">
        <f>H2302</f>
        <v/>
      </c>
      <c r="I2303" s="2" t="str">
        <f>I2302</f>
        <v/>
      </c>
      <c r="J2303" s="2" t="str">
        <f>J2302</f>
        <v/>
      </c>
      <c r="M2303" s="180" t="str">
        <f>M2302</f>
        <v/>
      </c>
      <c r="N2303" s="2" t="str">
        <f>N2301</f>
        <v/>
      </c>
      <c r="O2303" s="2">
        <f>O2302</f>
        <v>0</v>
      </c>
    </row>
    <row r="2304" spans="1:15" x14ac:dyDescent="0.25">
      <c r="A2304" s="325">
        <v>1</v>
      </c>
      <c r="B2304" s="325">
        <f t="shared" si="1729"/>
        <v>0</v>
      </c>
      <c r="C2304" s="325" t="s">
        <v>3726</v>
      </c>
      <c r="D2304" s="325">
        <f>Games!D48</f>
        <v>0</v>
      </c>
      <c r="E2304" s="325"/>
      <c r="F2304" s="325" t="s">
        <v>3727</v>
      </c>
      <c r="G2304" s="325" t="str">
        <f>IF(Games!AJ48="e","Y","")</f>
        <v/>
      </c>
      <c r="H2304" s="325" t="str">
        <f>Games!E48</f>
        <v/>
      </c>
      <c r="I2304" s="325" t="str">
        <f>Games!F48</f>
        <v/>
      </c>
      <c r="J2304" s="325" t="str">
        <f>Games!G48</f>
        <v/>
      </c>
      <c r="K2304" s="325"/>
      <c r="L2304" s="325"/>
      <c r="M2304" s="326" t="str">
        <f t="shared" si="1730"/>
        <v/>
      </c>
      <c r="N2304" s="325" t="str">
        <f t="shared" ref="N2304" si="1741">N2302</f>
        <v/>
      </c>
      <c r="O2304" s="325">
        <f t="shared" si="1732"/>
        <v>0</v>
      </c>
    </row>
    <row r="2305" spans="1:15" x14ac:dyDescent="0.25">
      <c r="A2305" s="2">
        <v>2</v>
      </c>
      <c r="B2305" s="2">
        <f>B2304</f>
        <v>0</v>
      </c>
      <c r="C2305" s="2" t="str">
        <f>C2304</f>
        <v>GT</v>
      </c>
      <c r="D2305" s="2">
        <f>D2304</f>
        <v>0</v>
      </c>
      <c r="F2305" s="2" t="str">
        <f>F2304</f>
        <v>Games Team</v>
      </c>
      <c r="G2305" s="2" t="str">
        <f>G2304</f>
        <v/>
      </c>
      <c r="H2305" s="2" t="str">
        <f>H2304</f>
        <v/>
      </c>
      <c r="I2305" s="2" t="str">
        <f>I2304</f>
        <v/>
      </c>
      <c r="J2305" s="2" t="str">
        <f>J2304</f>
        <v/>
      </c>
      <c r="M2305" s="180" t="str">
        <f>M2304</f>
        <v/>
      </c>
      <c r="N2305" s="2" t="str">
        <f>N2303</f>
        <v/>
      </c>
      <c r="O2305" s="2">
        <f>O2304</f>
        <v>0</v>
      </c>
    </row>
    <row r="2306" spans="1:15" x14ac:dyDescent="0.25">
      <c r="A2306" s="325">
        <v>1</v>
      </c>
      <c r="B2306" s="325">
        <f t="shared" si="1729"/>
        <v>0</v>
      </c>
      <c r="C2306" s="325" t="s">
        <v>3726</v>
      </c>
      <c r="D2306" s="325">
        <f>Games!D49</f>
        <v>0</v>
      </c>
      <c r="E2306" s="325"/>
      <c r="F2306" s="325" t="s">
        <v>3727</v>
      </c>
      <c r="G2306" s="325" t="str">
        <f>IF(Games!AJ49="e","Y","")</f>
        <v/>
      </c>
      <c r="H2306" s="325" t="str">
        <f>Games!E49</f>
        <v/>
      </c>
      <c r="I2306" s="325" t="str">
        <f>Games!F49</f>
        <v/>
      </c>
      <c r="J2306" s="325" t="str">
        <f>Games!G49</f>
        <v/>
      </c>
      <c r="K2306" s="325"/>
      <c r="L2306" s="325"/>
      <c r="M2306" s="326" t="str">
        <f t="shared" si="1730"/>
        <v/>
      </c>
      <c r="N2306" s="325" t="str">
        <f t="shared" ref="N2306" si="1742">N2304</f>
        <v/>
      </c>
      <c r="O2306" s="325">
        <f t="shared" si="1732"/>
        <v>0</v>
      </c>
    </row>
    <row r="2307" spans="1:15" x14ac:dyDescent="0.25">
      <c r="A2307" s="2">
        <v>2</v>
      </c>
      <c r="B2307" s="2">
        <f>B2306</f>
        <v>0</v>
      </c>
      <c r="C2307" s="2" t="str">
        <f>C2306</f>
        <v>GT</v>
      </c>
      <c r="D2307" s="2">
        <f>D2306</f>
        <v>0</v>
      </c>
      <c r="F2307" s="2" t="str">
        <f>F2306</f>
        <v>Games Team</v>
      </c>
      <c r="G2307" s="2" t="str">
        <f>G2306</f>
        <v/>
      </c>
      <c r="H2307" s="2" t="str">
        <f>H2306</f>
        <v/>
      </c>
      <c r="I2307" s="2" t="str">
        <f>I2306</f>
        <v/>
      </c>
      <c r="J2307" s="2" t="str">
        <f>J2306</f>
        <v/>
      </c>
      <c r="M2307" s="180" t="str">
        <f>M2306</f>
        <v/>
      </c>
      <c r="N2307" s="2" t="str">
        <f>N2305</f>
        <v/>
      </c>
      <c r="O2307" s="2">
        <f>O2306</f>
        <v>0</v>
      </c>
    </row>
    <row r="2308" spans="1:15" x14ac:dyDescent="0.25">
      <c r="A2308" s="325">
        <v>1</v>
      </c>
      <c r="B2308" s="325">
        <f t="shared" si="1729"/>
        <v>0</v>
      </c>
      <c r="C2308" s="325" t="s">
        <v>3726</v>
      </c>
      <c r="D2308" s="325">
        <f>Games!D50</f>
        <v>0</v>
      </c>
      <c r="E2308" s="325"/>
      <c r="F2308" s="325" t="s">
        <v>3727</v>
      </c>
      <c r="G2308" s="325" t="str">
        <f>IF(Games!AJ50="e","Y","")</f>
        <v/>
      </c>
      <c r="H2308" s="325" t="str">
        <f>Games!E50</f>
        <v/>
      </c>
      <c r="I2308" s="325" t="str">
        <f>Games!F50</f>
        <v/>
      </c>
      <c r="J2308" s="325" t="str">
        <f>Games!G50</f>
        <v/>
      </c>
      <c r="K2308" s="325"/>
      <c r="L2308" s="325"/>
      <c r="M2308" s="326" t="str">
        <f t="shared" si="1730"/>
        <v/>
      </c>
      <c r="N2308" s="325" t="str">
        <f t="shared" ref="N2308" si="1743">N2306</f>
        <v/>
      </c>
      <c r="O2308" s="325">
        <f t="shared" si="1732"/>
        <v>0</v>
      </c>
    </row>
    <row r="2309" spans="1:15" x14ac:dyDescent="0.25">
      <c r="A2309" s="2">
        <v>2</v>
      </c>
      <c r="B2309" s="2">
        <f>B2308</f>
        <v>0</v>
      </c>
      <c r="C2309" s="2" t="str">
        <f>C2308</f>
        <v>GT</v>
      </c>
      <c r="D2309" s="2">
        <f>D2308</f>
        <v>0</v>
      </c>
      <c r="F2309" s="2" t="str">
        <f>F2308</f>
        <v>Games Team</v>
      </c>
      <c r="G2309" s="2" t="str">
        <f>G2308</f>
        <v/>
      </c>
      <c r="H2309" s="2" t="str">
        <f>H2308</f>
        <v/>
      </c>
      <c r="I2309" s="2" t="str">
        <f>I2308</f>
        <v/>
      </c>
      <c r="J2309" s="2" t="str">
        <f>J2308</f>
        <v/>
      </c>
      <c r="M2309" s="180" t="str">
        <f>M2308</f>
        <v/>
      </c>
      <c r="N2309" s="2" t="str">
        <f>N2307</f>
        <v/>
      </c>
      <c r="O2309" s="2">
        <f>O2308</f>
        <v>0</v>
      </c>
    </row>
    <row r="2310" spans="1:15" x14ac:dyDescent="0.25">
      <c r="A2310" s="325">
        <v>1</v>
      </c>
      <c r="B2310" s="325">
        <f t="shared" si="1729"/>
        <v>0</v>
      </c>
      <c r="C2310" s="325" t="s">
        <v>3726</v>
      </c>
      <c r="D2310" s="325">
        <f>Games!D51</f>
        <v>0</v>
      </c>
      <c r="E2310" s="325"/>
      <c r="F2310" s="325" t="s">
        <v>3727</v>
      </c>
      <c r="G2310" s="325" t="str">
        <f>IF(Games!AJ51="e","Y","")</f>
        <v/>
      </c>
      <c r="H2310" s="325" t="str">
        <f>Games!E51</f>
        <v/>
      </c>
      <c r="I2310" s="325" t="str">
        <f>Games!F51</f>
        <v/>
      </c>
      <c r="J2310" s="325" t="str">
        <f>Games!G51</f>
        <v/>
      </c>
      <c r="K2310" s="325"/>
      <c r="L2310" s="325"/>
      <c r="M2310" s="326" t="str">
        <f t="shared" si="1730"/>
        <v/>
      </c>
      <c r="N2310" s="325" t="str">
        <f t="shared" ref="N2310" si="1744">N2308</f>
        <v/>
      </c>
      <c r="O2310" s="325">
        <f t="shared" si="1732"/>
        <v>0</v>
      </c>
    </row>
    <row r="2311" spans="1:15" x14ac:dyDescent="0.25">
      <c r="A2311" s="2">
        <v>2</v>
      </c>
      <c r="B2311" s="2">
        <f>B2310</f>
        <v>0</v>
      </c>
      <c r="C2311" s="2" t="str">
        <f>C2310</f>
        <v>GT</v>
      </c>
      <c r="D2311" s="2">
        <f>D2310</f>
        <v>0</v>
      </c>
      <c r="F2311" s="2" t="str">
        <f>F2310</f>
        <v>Games Team</v>
      </c>
      <c r="G2311" s="2" t="str">
        <f>G2310</f>
        <v/>
      </c>
      <c r="H2311" s="2" t="str">
        <f>H2310</f>
        <v/>
      </c>
      <c r="I2311" s="2" t="str">
        <f>I2310</f>
        <v/>
      </c>
      <c r="J2311" s="2" t="str">
        <f>J2310</f>
        <v/>
      </c>
      <c r="M2311" s="180" t="str">
        <f>M2310</f>
        <v/>
      </c>
      <c r="N2311" s="2" t="str">
        <f>N2309</f>
        <v/>
      </c>
      <c r="O2311" s="2">
        <f>O2310</f>
        <v>0</v>
      </c>
    </row>
    <row r="2312" spans="1:15" x14ac:dyDescent="0.25">
      <c r="A2312" s="325">
        <v>1</v>
      </c>
      <c r="B2312" s="325">
        <f t="shared" si="1729"/>
        <v>0</v>
      </c>
      <c r="C2312" s="325" t="s">
        <v>3726</v>
      </c>
      <c r="D2312" s="325">
        <f>Games!D52</f>
        <v>0</v>
      </c>
      <c r="E2312" s="325"/>
      <c r="F2312" s="325" t="s">
        <v>3727</v>
      </c>
      <c r="G2312" s="325" t="str">
        <f>IF(Games!AJ52="e","Y","")</f>
        <v/>
      </c>
      <c r="H2312" s="325" t="str">
        <f>Games!E52</f>
        <v/>
      </c>
      <c r="I2312" s="325" t="str">
        <f>Games!F52</f>
        <v/>
      </c>
      <c r="J2312" s="325" t="str">
        <f>Games!G52</f>
        <v/>
      </c>
      <c r="K2312" s="325"/>
      <c r="L2312" s="325"/>
      <c r="M2312" s="326" t="str">
        <f t="shared" si="1730"/>
        <v/>
      </c>
      <c r="N2312" s="325" t="str">
        <f t="shared" ref="N2312" si="1745">N2310</f>
        <v/>
      </c>
      <c r="O2312" s="325">
        <f t="shared" si="1732"/>
        <v>0</v>
      </c>
    </row>
    <row r="2313" spans="1:15" x14ac:dyDescent="0.25">
      <c r="A2313" s="2">
        <v>2</v>
      </c>
      <c r="B2313" s="2">
        <f>B2312</f>
        <v>0</v>
      </c>
      <c r="C2313" s="2" t="str">
        <f>C2312</f>
        <v>GT</v>
      </c>
      <c r="D2313" s="2">
        <f>D2312</f>
        <v>0</v>
      </c>
      <c r="F2313" s="2" t="str">
        <f>F2312</f>
        <v>Games Team</v>
      </c>
      <c r="G2313" s="2" t="str">
        <f>G2312</f>
        <v/>
      </c>
      <c r="H2313" s="2" t="str">
        <f>H2312</f>
        <v/>
      </c>
      <c r="I2313" s="2" t="str">
        <f>I2312</f>
        <v/>
      </c>
      <c r="J2313" s="2" t="str">
        <f>J2312</f>
        <v/>
      </c>
      <c r="M2313" s="180" t="str">
        <f>M2312</f>
        <v/>
      </c>
      <c r="N2313" s="2" t="str">
        <f>N2311</f>
        <v/>
      </c>
      <c r="O2313" s="2">
        <f>O2312</f>
        <v>0</v>
      </c>
    </row>
    <row r="2314" spans="1:15" x14ac:dyDescent="0.25">
      <c r="A2314" s="325">
        <v>1</v>
      </c>
      <c r="B2314" s="325">
        <f t="shared" si="1729"/>
        <v>0</v>
      </c>
      <c r="C2314" s="325" t="s">
        <v>3726</v>
      </c>
      <c r="D2314" s="325">
        <f>Games!D53</f>
        <v>0</v>
      </c>
      <c r="E2314" s="325"/>
      <c r="F2314" s="325" t="s">
        <v>3727</v>
      </c>
      <c r="G2314" s="325" t="str">
        <f>IF(Games!AJ53="e","Y","")</f>
        <v/>
      </c>
      <c r="H2314" s="325" t="str">
        <f>Games!E53</f>
        <v/>
      </c>
      <c r="I2314" s="325" t="str">
        <f>Games!F53</f>
        <v/>
      </c>
      <c r="J2314" s="325" t="str">
        <f>Games!G53</f>
        <v/>
      </c>
      <c r="K2314" s="325"/>
      <c r="L2314" s="325"/>
      <c r="M2314" s="326" t="str">
        <f t="shared" si="1730"/>
        <v/>
      </c>
      <c r="N2314" s="325" t="str">
        <f t="shared" ref="N2314" si="1746">N2312</f>
        <v/>
      </c>
      <c r="O2314" s="325">
        <f t="shared" si="1732"/>
        <v>0</v>
      </c>
    </row>
    <row r="2315" spans="1:15" x14ac:dyDescent="0.25">
      <c r="A2315" s="2">
        <v>2</v>
      </c>
      <c r="B2315" s="2">
        <f>B2314</f>
        <v>0</v>
      </c>
      <c r="C2315" s="2" t="str">
        <f>C2314</f>
        <v>GT</v>
      </c>
      <c r="D2315" s="2">
        <f>D2314</f>
        <v>0</v>
      </c>
      <c r="F2315" s="2" t="str">
        <f>F2314</f>
        <v>Games Team</v>
      </c>
      <c r="G2315" s="2" t="str">
        <f>G2314</f>
        <v/>
      </c>
      <c r="H2315" s="2" t="str">
        <f>H2314</f>
        <v/>
      </c>
      <c r="I2315" s="2" t="str">
        <f>I2314</f>
        <v/>
      </c>
      <c r="J2315" s="2" t="str">
        <f>J2314</f>
        <v/>
      </c>
      <c r="M2315" s="180" t="str">
        <f>M2314</f>
        <v/>
      </c>
      <c r="N2315" s="2" t="str">
        <f>N2313</f>
        <v/>
      </c>
      <c r="O2315" s="2">
        <f>O2314</f>
        <v>0</v>
      </c>
    </row>
    <row r="2316" spans="1:15" x14ac:dyDescent="0.25">
      <c r="A2316" s="325">
        <v>1</v>
      </c>
      <c r="B2316" s="325">
        <f t="shared" si="1729"/>
        <v>0</v>
      </c>
      <c r="C2316" s="325" t="s">
        <v>3726</v>
      </c>
      <c r="D2316" s="325">
        <f>Games!D54</f>
        <v>0</v>
      </c>
      <c r="E2316" s="325"/>
      <c r="F2316" s="325" t="s">
        <v>3727</v>
      </c>
      <c r="G2316" s="325" t="str">
        <f>IF(Games!AJ54="e","Y","")</f>
        <v/>
      </c>
      <c r="H2316" s="325" t="str">
        <f>Games!E54</f>
        <v/>
      </c>
      <c r="I2316" s="325" t="str">
        <f>Games!F54</f>
        <v/>
      </c>
      <c r="J2316" s="325" t="str">
        <f>Games!G54</f>
        <v/>
      </c>
      <c r="K2316" s="325"/>
      <c r="L2316" s="325"/>
      <c r="M2316" s="326" t="str">
        <f t="shared" si="1730"/>
        <v/>
      </c>
      <c r="N2316" s="325" t="str">
        <f t="shared" ref="N2316" si="1747">N2314</f>
        <v/>
      </c>
      <c r="O2316" s="325">
        <f t="shared" si="1732"/>
        <v>0</v>
      </c>
    </row>
    <row r="2317" spans="1:15" x14ac:dyDescent="0.25">
      <c r="A2317" s="2">
        <v>2</v>
      </c>
      <c r="B2317" s="2">
        <f>B2316</f>
        <v>0</v>
      </c>
      <c r="C2317" s="2" t="str">
        <f>C2316</f>
        <v>GT</v>
      </c>
      <c r="D2317" s="2">
        <f>D2316</f>
        <v>0</v>
      </c>
      <c r="F2317" s="2" t="str">
        <f>F2316</f>
        <v>Games Team</v>
      </c>
      <c r="G2317" s="2" t="str">
        <f>G2316</f>
        <v/>
      </c>
      <c r="H2317" s="2" t="str">
        <f>H2316</f>
        <v/>
      </c>
      <c r="I2317" s="2" t="str">
        <f>I2316</f>
        <v/>
      </c>
      <c r="J2317" s="2" t="str">
        <f>J2316</f>
        <v/>
      </c>
      <c r="M2317" s="180" t="str">
        <f>M2316</f>
        <v/>
      </c>
      <c r="N2317" s="2" t="str">
        <f>N2315</f>
        <v/>
      </c>
      <c r="O2317" s="2">
        <f>O2316</f>
        <v>0</v>
      </c>
    </row>
    <row r="2318" spans="1:15" x14ac:dyDescent="0.25">
      <c r="A2318" s="325">
        <v>1</v>
      </c>
      <c r="B2318" s="325">
        <f t="shared" si="1729"/>
        <v>0</v>
      </c>
      <c r="C2318" s="325" t="s">
        <v>3726</v>
      </c>
      <c r="D2318" s="325">
        <f>Games!D55</f>
        <v>0</v>
      </c>
      <c r="E2318" s="325"/>
      <c r="F2318" s="325" t="s">
        <v>3727</v>
      </c>
      <c r="G2318" s="325" t="str">
        <f>IF(Games!AJ55="e","Y","")</f>
        <v/>
      </c>
      <c r="H2318" s="325" t="str">
        <f>Games!E55</f>
        <v/>
      </c>
      <c r="I2318" s="325" t="str">
        <f>Games!F55</f>
        <v/>
      </c>
      <c r="J2318" s="325" t="str">
        <f>Games!G55</f>
        <v/>
      </c>
      <c r="K2318" s="325"/>
      <c r="L2318" s="325"/>
      <c r="M2318" s="326" t="str">
        <f t="shared" si="1730"/>
        <v/>
      </c>
      <c r="N2318" s="325" t="str">
        <f t="shared" ref="N2318" si="1748">N2316</f>
        <v/>
      </c>
      <c r="O2318" s="325">
        <f t="shared" si="1732"/>
        <v>0</v>
      </c>
    </row>
    <row r="2319" spans="1:15" x14ac:dyDescent="0.25">
      <c r="A2319" s="2">
        <v>2</v>
      </c>
      <c r="B2319" s="2">
        <f>B2318</f>
        <v>0</v>
      </c>
      <c r="C2319" s="2" t="str">
        <f>C2318</f>
        <v>GT</v>
      </c>
      <c r="D2319" s="2">
        <f>D2318</f>
        <v>0</v>
      </c>
      <c r="F2319" s="2" t="str">
        <f>F2318</f>
        <v>Games Team</v>
      </c>
      <c r="G2319" s="2" t="str">
        <f>G2318</f>
        <v/>
      </c>
      <c r="H2319" s="2" t="str">
        <f>H2318</f>
        <v/>
      </c>
      <c r="I2319" s="2" t="str">
        <f>I2318</f>
        <v/>
      </c>
      <c r="J2319" s="2" t="str">
        <f>J2318</f>
        <v/>
      </c>
      <c r="M2319" s="180" t="str">
        <f>M2318</f>
        <v/>
      </c>
      <c r="N2319" s="2" t="str">
        <f>N2317</f>
        <v/>
      </c>
      <c r="O2319" s="2">
        <f>O2318</f>
        <v>0</v>
      </c>
    </row>
    <row r="2320" spans="1:15" x14ac:dyDescent="0.25">
      <c r="A2320" s="325">
        <v>1</v>
      </c>
      <c r="B2320" s="325">
        <f t="shared" si="1729"/>
        <v>0</v>
      </c>
      <c r="C2320" s="325" t="s">
        <v>3726</v>
      </c>
      <c r="D2320" s="325">
        <f>Games!D56</f>
        <v>0</v>
      </c>
      <c r="E2320" s="325"/>
      <c r="F2320" s="325" t="s">
        <v>3727</v>
      </c>
      <c r="G2320" s="325" t="str">
        <f>IF(Games!AJ56="e","Y","")</f>
        <v/>
      </c>
      <c r="H2320" s="325" t="str">
        <f>Games!E56</f>
        <v/>
      </c>
      <c r="I2320" s="325" t="str">
        <f>Games!F56</f>
        <v/>
      </c>
      <c r="J2320" s="325" t="str">
        <f>Games!G56</f>
        <v/>
      </c>
      <c r="K2320" s="325"/>
      <c r="L2320" s="325"/>
      <c r="M2320" s="326" t="str">
        <f t="shared" si="1730"/>
        <v/>
      </c>
      <c r="N2320" s="325" t="str">
        <f t="shared" ref="N2320" si="1749">N2318</f>
        <v/>
      </c>
      <c r="O2320" s="325">
        <f t="shared" si="1732"/>
        <v>0</v>
      </c>
    </row>
    <row r="2321" spans="1:15" x14ac:dyDescent="0.25">
      <c r="A2321" s="2">
        <v>2</v>
      </c>
      <c r="B2321" s="2">
        <f>B2320</f>
        <v>0</v>
      </c>
      <c r="C2321" s="2" t="str">
        <f>C2320</f>
        <v>GT</v>
      </c>
      <c r="D2321" s="2">
        <f>D2320</f>
        <v>0</v>
      </c>
      <c r="F2321" s="2" t="str">
        <f>F2320</f>
        <v>Games Team</v>
      </c>
      <c r="G2321" s="2" t="str">
        <f>G2320</f>
        <v/>
      </c>
      <c r="H2321" s="2" t="str">
        <f>H2320</f>
        <v/>
      </c>
      <c r="I2321" s="2" t="str">
        <f>I2320</f>
        <v/>
      </c>
      <c r="J2321" s="2" t="str">
        <f>J2320</f>
        <v/>
      </c>
      <c r="M2321" s="180" t="str">
        <f>M2320</f>
        <v/>
      </c>
      <c r="N2321" s="2" t="str">
        <f>N2319</f>
        <v/>
      </c>
      <c r="O2321" s="2">
        <f>O2320</f>
        <v>0</v>
      </c>
    </row>
    <row r="2322" spans="1:15" x14ac:dyDescent="0.25">
      <c r="A2322" s="329">
        <v>1</v>
      </c>
      <c r="B2322" s="329">
        <f t="shared" ref="B2322:B2384" si="1750">TrialNumberDay2</f>
        <v>0</v>
      </c>
      <c r="C2322" s="329" t="s">
        <v>3721</v>
      </c>
      <c r="D2322" s="329">
        <f>Games!D66</f>
        <v>0</v>
      </c>
      <c r="E2322" s="329"/>
      <c r="F2322" s="329" t="s">
        <v>3720</v>
      </c>
      <c r="G2322" s="329" t="str">
        <f>IF(Games!O66="e","Y","")</f>
        <v/>
      </c>
      <c r="H2322" s="329" t="str">
        <f>Games!E66</f>
        <v/>
      </c>
      <c r="I2322" s="329" t="str">
        <f>Games!F66</f>
        <v/>
      </c>
      <c r="J2322" s="329" t="str">
        <f>Games!G66</f>
        <v/>
      </c>
      <c r="K2322" s="329"/>
      <c r="L2322" s="329"/>
      <c r="M2322" s="330" t="str">
        <f t="shared" ref="M2322:M2384" si="1751">TrialDateDay2</f>
        <v/>
      </c>
      <c r="N2322" s="329" t="str">
        <f t="shared" ref="N2322:N2420" si="1752">TrialCityDay2</f>
        <v/>
      </c>
      <c r="O2322" s="329">
        <f t="shared" ref="O2322:O2384" si="1753">JudgeD2GamesAerial</f>
        <v>0</v>
      </c>
    </row>
    <row r="2323" spans="1:15" x14ac:dyDescent="0.25">
      <c r="A2323" s="325">
        <v>2</v>
      </c>
      <c r="B2323" s="325">
        <f>B2322</f>
        <v>0</v>
      </c>
      <c r="C2323" s="325" t="str">
        <f>C2322</f>
        <v>GA</v>
      </c>
      <c r="D2323" s="325">
        <f>D2322</f>
        <v>0</v>
      </c>
      <c r="E2323" s="325"/>
      <c r="F2323" s="325" t="str">
        <f>F2322</f>
        <v>Games Aerial</v>
      </c>
      <c r="G2323" s="325" t="str">
        <f>G2322</f>
        <v/>
      </c>
      <c r="H2323" s="325" t="str">
        <f>H2322</f>
        <v/>
      </c>
      <c r="I2323" s="325" t="str">
        <f>I2322</f>
        <v/>
      </c>
      <c r="J2323" s="325" t="str">
        <f>J2322</f>
        <v/>
      </c>
      <c r="K2323" s="325"/>
      <c r="L2323" s="325"/>
      <c r="M2323" s="326" t="str">
        <f>M2322</f>
        <v/>
      </c>
      <c r="N2323" s="329" t="str">
        <f t="shared" si="1752"/>
        <v/>
      </c>
      <c r="O2323" s="325">
        <f>O2322</f>
        <v>0</v>
      </c>
    </row>
    <row r="2324" spans="1:15" x14ac:dyDescent="0.25">
      <c r="A2324" s="2">
        <v>1</v>
      </c>
      <c r="B2324" s="2">
        <f t="shared" si="1750"/>
        <v>0</v>
      </c>
      <c r="C2324" s="2" t="s">
        <v>3721</v>
      </c>
      <c r="D2324" s="2">
        <f>Games!D67</f>
        <v>0</v>
      </c>
      <c r="F2324" s="2" t="s">
        <v>3720</v>
      </c>
      <c r="G2324" s="2" t="str">
        <f>IF(Games!O67="e","Y","")</f>
        <v/>
      </c>
      <c r="H2324" s="2" t="str">
        <f>Games!E67</f>
        <v/>
      </c>
      <c r="I2324" s="2" t="str">
        <f>Games!F67</f>
        <v/>
      </c>
      <c r="J2324" s="2" t="str">
        <f>Games!G67</f>
        <v/>
      </c>
      <c r="M2324" s="180" t="str">
        <f t="shared" si="1751"/>
        <v/>
      </c>
      <c r="N2324" s="329" t="str">
        <f t="shared" si="1752"/>
        <v/>
      </c>
      <c r="O2324" s="2">
        <f t="shared" si="1753"/>
        <v>0</v>
      </c>
    </row>
    <row r="2325" spans="1:15" x14ac:dyDescent="0.25">
      <c r="A2325" s="2">
        <v>2</v>
      </c>
      <c r="B2325" s="2">
        <f>B2324</f>
        <v>0</v>
      </c>
      <c r="C2325" s="2" t="str">
        <f>C2324</f>
        <v>GA</v>
      </c>
      <c r="D2325" s="2">
        <f>D2324</f>
        <v>0</v>
      </c>
      <c r="F2325" s="2" t="str">
        <f>F2324</f>
        <v>Games Aerial</v>
      </c>
      <c r="G2325" s="2" t="str">
        <f>G2324</f>
        <v/>
      </c>
      <c r="H2325" s="2" t="str">
        <f>H2324</f>
        <v/>
      </c>
      <c r="I2325" s="2" t="str">
        <f>I2324</f>
        <v/>
      </c>
      <c r="J2325" s="2" t="str">
        <f>J2324</f>
        <v/>
      </c>
      <c r="M2325" s="180" t="str">
        <f>M2324</f>
        <v/>
      </c>
      <c r="N2325" s="329" t="str">
        <f t="shared" si="1752"/>
        <v/>
      </c>
      <c r="O2325" s="2">
        <f>O2324</f>
        <v>0</v>
      </c>
    </row>
    <row r="2326" spans="1:15" x14ac:dyDescent="0.25">
      <c r="A2326" s="325">
        <v>1</v>
      </c>
      <c r="B2326" s="325">
        <f t="shared" si="1750"/>
        <v>0</v>
      </c>
      <c r="C2326" s="325" t="s">
        <v>3721</v>
      </c>
      <c r="D2326" s="325">
        <f>Games!D68</f>
        <v>0</v>
      </c>
      <c r="E2326" s="325"/>
      <c r="F2326" s="325" t="s">
        <v>3720</v>
      </c>
      <c r="G2326" s="325" t="str">
        <f>IF(Games!O68="e","Y","")</f>
        <v/>
      </c>
      <c r="H2326" s="325" t="str">
        <f>Games!E68</f>
        <v/>
      </c>
      <c r="I2326" s="325" t="str">
        <f>Games!F68</f>
        <v/>
      </c>
      <c r="J2326" s="325" t="str">
        <f>Games!G68</f>
        <v/>
      </c>
      <c r="K2326" s="325"/>
      <c r="L2326" s="325"/>
      <c r="M2326" s="326" t="str">
        <f t="shared" si="1751"/>
        <v/>
      </c>
      <c r="N2326" s="329" t="str">
        <f t="shared" si="1752"/>
        <v/>
      </c>
      <c r="O2326" s="325">
        <f t="shared" si="1753"/>
        <v>0</v>
      </c>
    </row>
    <row r="2327" spans="1:15" x14ac:dyDescent="0.25">
      <c r="A2327" s="325">
        <v>2</v>
      </c>
      <c r="B2327" s="325">
        <f>B2326</f>
        <v>0</v>
      </c>
      <c r="C2327" s="325" t="str">
        <f>C2326</f>
        <v>GA</v>
      </c>
      <c r="D2327" s="325">
        <f>D2326</f>
        <v>0</v>
      </c>
      <c r="E2327" s="325"/>
      <c r="F2327" s="325" t="str">
        <f>F2326</f>
        <v>Games Aerial</v>
      </c>
      <c r="G2327" s="325" t="str">
        <f>G2326</f>
        <v/>
      </c>
      <c r="H2327" s="325" t="str">
        <f>H2326</f>
        <v/>
      </c>
      <c r="I2327" s="325" t="str">
        <f>I2326</f>
        <v/>
      </c>
      <c r="J2327" s="325" t="str">
        <f>J2326</f>
        <v/>
      </c>
      <c r="K2327" s="325"/>
      <c r="L2327" s="325"/>
      <c r="M2327" s="326" t="str">
        <f>M2326</f>
        <v/>
      </c>
      <c r="N2327" s="329" t="str">
        <f t="shared" si="1752"/>
        <v/>
      </c>
      <c r="O2327" s="325">
        <f>O2326</f>
        <v>0</v>
      </c>
    </row>
    <row r="2328" spans="1:15" x14ac:dyDescent="0.25">
      <c r="A2328" s="2">
        <v>1</v>
      </c>
      <c r="B2328" s="2">
        <f t="shared" si="1750"/>
        <v>0</v>
      </c>
      <c r="C2328" s="2" t="s">
        <v>3721</v>
      </c>
      <c r="D2328" s="2">
        <f>Games!D69</f>
        <v>0</v>
      </c>
      <c r="F2328" s="2" t="s">
        <v>3720</v>
      </c>
      <c r="G2328" s="2" t="str">
        <f>IF(Games!O69="e","Y","")</f>
        <v/>
      </c>
      <c r="H2328" s="2" t="str">
        <f>Games!E69</f>
        <v/>
      </c>
      <c r="I2328" s="2" t="str">
        <f>Games!F69</f>
        <v/>
      </c>
      <c r="J2328" s="2" t="str">
        <f>Games!G69</f>
        <v/>
      </c>
      <c r="M2328" s="180" t="str">
        <f t="shared" si="1751"/>
        <v/>
      </c>
      <c r="N2328" s="329" t="str">
        <f t="shared" si="1752"/>
        <v/>
      </c>
      <c r="O2328" s="2">
        <f t="shared" si="1753"/>
        <v>0</v>
      </c>
    </row>
    <row r="2329" spans="1:15" x14ac:dyDescent="0.25">
      <c r="A2329" s="2">
        <v>2</v>
      </c>
      <c r="B2329" s="2">
        <f>B2328</f>
        <v>0</v>
      </c>
      <c r="C2329" s="2" t="str">
        <f>C2328</f>
        <v>GA</v>
      </c>
      <c r="D2329" s="2">
        <f>D2328</f>
        <v>0</v>
      </c>
      <c r="F2329" s="2" t="str">
        <f>F2328</f>
        <v>Games Aerial</v>
      </c>
      <c r="G2329" s="2" t="str">
        <f>G2328</f>
        <v/>
      </c>
      <c r="H2329" s="2" t="str">
        <f>H2328</f>
        <v/>
      </c>
      <c r="I2329" s="2" t="str">
        <f>I2328</f>
        <v/>
      </c>
      <c r="J2329" s="2" t="str">
        <f>J2328</f>
        <v/>
      </c>
      <c r="M2329" s="180" t="str">
        <f>M2328</f>
        <v/>
      </c>
      <c r="N2329" s="329" t="str">
        <f t="shared" si="1752"/>
        <v/>
      </c>
      <c r="O2329" s="2">
        <f>O2328</f>
        <v>0</v>
      </c>
    </row>
    <row r="2330" spans="1:15" x14ac:dyDescent="0.25">
      <c r="A2330" s="325">
        <v>1</v>
      </c>
      <c r="B2330" s="325">
        <f t="shared" si="1750"/>
        <v>0</v>
      </c>
      <c r="C2330" s="325" t="s">
        <v>3721</v>
      </c>
      <c r="D2330" s="325">
        <f>Games!D70</f>
        <v>0</v>
      </c>
      <c r="E2330" s="325"/>
      <c r="F2330" s="325" t="s">
        <v>3720</v>
      </c>
      <c r="G2330" s="325" t="str">
        <f>IF(Games!O70="e","Y","")</f>
        <v/>
      </c>
      <c r="H2330" s="325" t="str">
        <f>Games!E70</f>
        <v/>
      </c>
      <c r="I2330" s="325" t="str">
        <f>Games!F70</f>
        <v/>
      </c>
      <c r="J2330" s="325" t="str">
        <f>Games!G70</f>
        <v/>
      </c>
      <c r="K2330" s="325"/>
      <c r="L2330" s="325"/>
      <c r="M2330" s="326" t="str">
        <f t="shared" si="1751"/>
        <v/>
      </c>
      <c r="N2330" s="329" t="str">
        <f t="shared" si="1752"/>
        <v/>
      </c>
      <c r="O2330" s="325">
        <f t="shared" si="1753"/>
        <v>0</v>
      </c>
    </row>
    <row r="2331" spans="1:15" x14ac:dyDescent="0.25">
      <c r="A2331" s="325">
        <v>2</v>
      </c>
      <c r="B2331" s="325">
        <f>B2330</f>
        <v>0</v>
      </c>
      <c r="C2331" s="325" t="str">
        <f>C2330</f>
        <v>GA</v>
      </c>
      <c r="D2331" s="325">
        <f>D2330</f>
        <v>0</v>
      </c>
      <c r="E2331" s="325"/>
      <c r="F2331" s="325" t="str">
        <f>F2330</f>
        <v>Games Aerial</v>
      </c>
      <c r="G2331" s="325" t="str">
        <f>G2330</f>
        <v/>
      </c>
      <c r="H2331" s="325" t="str">
        <f>H2330</f>
        <v/>
      </c>
      <c r="I2331" s="325" t="str">
        <f>I2330</f>
        <v/>
      </c>
      <c r="J2331" s="325" t="str">
        <f>J2330</f>
        <v/>
      </c>
      <c r="K2331" s="325"/>
      <c r="L2331" s="325"/>
      <c r="M2331" s="326" t="str">
        <f>M2330</f>
        <v/>
      </c>
      <c r="N2331" s="329" t="str">
        <f t="shared" si="1752"/>
        <v/>
      </c>
      <c r="O2331" s="325">
        <f>O2330</f>
        <v>0</v>
      </c>
    </row>
    <row r="2332" spans="1:15" x14ac:dyDescent="0.25">
      <c r="A2332" s="2">
        <v>1</v>
      </c>
      <c r="B2332" s="2">
        <f t="shared" si="1750"/>
        <v>0</v>
      </c>
      <c r="C2332" s="2" t="s">
        <v>3721</v>
      </c>
      <c r="D2332" s="2">
        <f>Games!D71</f>
        <v>0</v>
      </c>
      <c r="F2332" s="2" t="s">
        <v>3720</v>
      </c>
      <c r="G2332" s="2" t="str">
        <f>IF(Games!O71="e","Y","")</f>
        <v/>
      </c>
      <c r="H2332" s="2" t="str">
        <f>Games!E71</f>
        <v/>
      </c>
      <c r="I2332" s="2" t="str">
        <f>Games!F71</f>
        <v/>
      </c>
      <c r="J2332" s="2" t="str">
        <f>Games!G71</f>
        <v/>
      </c>
      <c r="M2332" s="180" t="str">
        <f t="shared" si="1751"/>
        <v/>
      </c>
      <c r="N2332" s="329" t="str">
        <f t="shared" si="1752"/>
        <v/>
      </c>
      <c r="O2332" s="2">
        <f t="shared" si="1753"/>
        <v>0</v>
      </c>
    </row>
    <row r="2333" spans="1:15" x14ac:dyDescent="0.25">
      <c r="A2333" s="2">
        <v>2</v>
      </c>
      <c r="B2333" s="2">
        <f>B2332</f>
        <v>0</v>
      </c>
      <c r="C2333" s="2" t="str">
        <f>C2332</f>
        <v>GA</v>
      </c>
      <c r="D2333" s="2">
        <f>D2332</f>
        <v>0</v>
      </c>
      <c r="F2333" s="2" t="str">
        <f>F2332</f>
        <v>Games Aerial</v>
      </c>
      <c r="G2333" s="2" t="str">
        <f>G2332</f>
        <v/>
      </c>
      <c r="H2333" s="2" t="str">
        <f>H2332</f>
        <v/>
      </c>
      <c r="I2333" s="2" t="str">
        <f>I2332</f>
        <v/>
      </c>
      <c r="J2333" s="2" t="str">
        <f>J2332</f>
        <v/>
      </c>
      <c r="M2333" s="180" t="str">
        <f>M2332</f>
        <v/>
      </c>
      <c r="N2333" s="329" t="str">
        <f t="shared" si="1752"/>
        <v/>
      </c>
      <c r="O2333" s="2">
        <f>O2332</f>
        <v>0</v>
      </c>
    </row>
    <row r="2334" spans="1:15" x14ac:dyDescent="0.25">
      <c r="A2334" s="325">
        <v>1</v>
      </c>
      <c r="B2334" s="325">
        <f t="shared" si="1750"/>
        <v>0</v>
      </c>
      <c r="C2334" s="325" t="s">
        <v>3721</v>
      </c>
      <c r="D2334" s="325">
        <f>Games!D72</f>
        <v>0</v>
      </c>
      <c r="E2334" s="325"/>
      <c r="F2334" s="325" t="s">
        <v>3720</v>
      </c>
      <c r="G2334" s="325" t="str">
        <f>IF(Games!O72="e","Y","")</f>
        <v/>
      </c>
      <c r="H2334" s="325" t="str">
        <f>Games!E72</f>
        <v/>
      </c>
      <c r="I2334" s="325" t="str">
        <f>Games!F72</f>
        <v/>
      </c>
      <c r="J2334" s="325" t="str">
        <f>Games!G72</f>
        <v/>
      </c>
      <c r="K2334" s="325"/>
      <c r="L2334" s="325"/>
      <c r="M2334" s="326" t="str">
        <f t="shared" si="1751"/>
        <v/>
      </c>
      <c r="N2334" s="329" t="str">
        <f t="shared" si="1752"/>
        <v/>
      </c>
      <c r="O2334" s="325">
        <f t="shared" si="1753"/>
        <v>0</v>
      </c>
    </row>
    <row r="2335" spans="1:15" x14ac:dyDescent="0.25">
      <c r="A2335" s="325">
        <v>2</v>
      </c>
      <c r="B2335" s="325">
        <f>B2334</f>
        <v>0</v>
      </c>
      <c r="C2335" s="325" t="str">
        <f>C2334</f>
        <v>GA</v>
      </c>
      <c r="D2335" s="325">
        <f>D2334</f>
        <v>0</v>
      </c>
      <c r="E2335" s="325"/>
      <c r="F2335" s="325" t="str">
        <f>F2334</f>
        <v>Games Aerial</v>
      </c>
      <c r="G2335" s="325" t="str">
        <f>G2334</f>
        <v/>
      </c>
      <c r="H2335" s="325" t="str">
        <f>H2334</f>
        <v/>
      </c>
      <c r="I2335" s="325" t="str">
        <f>I2334</f>
        <v/>
      </c>
      <c r="J2335" s="325" t="str">
        <f>J2334</f>
        <v/>
      </c>
      <c r="K2335" s="325"/>
      <c r="L2335" s="325"/>
      <c r="M2335" s="326" t="str">
        <f>M2334</f>
        <v/>
      </c>
      <c r="N2335" s="329" t="str">
        <f t="shared" si="1752"/>
        <v/>
      </c>
      <c r="O2335" s="325">
        <f>O2334</f>
        <v>0</v>
      </c>
    </row>
    <row r="2336" spans="1:15" x14ac:dyDescent="0.25">
      <c r="A2336" s="2">
        <v>1</v>
      </c>
      <c r="B2336" s="2">
        <f t="shared" si="1750"/>
        <v>0</v>
      </c>
      <c r="C2336" s="2" t="s">
        <v>3721</v>
      </c>
      <c r="D2336" s="2">
        <f>Games!D73</f>
        <v>0</v>
      </c>
      <c r="F2336" s="2" t="s">
        <v>3720</v>
      </c>
      <c r="G2336" s="2" t="str">
        <f>IF(Games!O73="e","Y","")</f>
        <v/>
      </c>
      <c r="H2336" s="2" t="str">
        <f>Games!E73</f>
        <v/>
      </c>
      <c r="I2336" s="2" t="str">
        <f>Games!F73</f>
        <v/>
      </c>
      <c r="J2336" s="2" t="str">
        <f>Games!G73</f>
        <v/>
      </c>
      <c r="M2336" s="180" t="str">
        <f t="shared" si="1751"/>
        <v/>
      </c>
      <c r="N2336" s="329" t="str">
        <f t="shared" si="1752"/>
        <v/>
      </c>
      <c r="O2336" s="2">
        <f t="shared" si="1753"/>
        <v>0</v>
      </c>
    </row>
    <row r="2337" spans="1:15" x14ac:dyDescent="0.25">
      <c r="A2337" s="2">
        <v>2</v>
      </c>
      <c r="B2337" s="2">
        <f>B2336</f>
        <v>0</v>
      </c>
      <c r="C2337" s="2" t="str">
        <f>C2336</f>
        <v>GA</v>
      </c>
      <c r="D2337" s="2">
        <f>D2336</f>
        <v>0</v>
      </c>
      <c r="F2337" s="2" t="str">
        <f>F2336</f>
        <v>Games Aerial</v>
      </c>
      <c r="G2337" s="2" t="str">
        <f>G2336</f>
        <v/>
      </c>
      <c r="H2337" s="2" t="str">
        <f>H2336</f>
        <v/>
      </c>
      <c r="I2337" s="2" t="str">
        <f>I2336</f>
        <v/>
      </c>
      <c r="J2337" s="2" t="str">
        <f>J2336</f>
        <v/>
      </c>
      <c r="M2337" s="180" t="str">
        <f>M2336</f>
        <v/>
      </c>
      <c r="N2337" s="329" t="str">
        <f t="shared" si="1752"/>
        <v/>
      </c>
      <c r="O2337" s="2">
        <f>O2336</f>
        <v>0</v>
      </c>
    </row>
    <row r="2338" spans="1:15" x14ac:dyDescent="0.25">
      <c r="A2338" s="325">
        <v>1</v>
      </c>
      <c r="B2338" s="325">
        <f t="shared" si="1750"/>
        <v>0</v>
      </c>
      <c r="C2338" s="325" t="s">
        <v>3721</v>
      </c>
      <c r="D2338" s="325">
        <f>Games!D74</f>
        <v>0</v>
      </c>
      <c r="E2338" s="325"/>
      <c r="F2338" s="325" t="s">
        <v>3720</v>
      </c>
      <c r="G2338" s="325" t="str">
        <f>IF(Games!O74="e","Y","")</f>
        <v/>
      </c>
      <c r="H2338" s="325" t="str">
        <f>Games!E74</f>
        <v/>
      </c>
      <c r="I2338" s="325" t="str">
        <f>Games!F74</f>
        <v/>
      </c>
      <c r="J2338" s="325" t="str">
        <f>Games!G74</f>
        <v/>
      </c>
      <c r="K2338" s="325"/>
      <c r="L2338" s="325"/>
      <c r="M2338" s="326" t="str">
        <f t="shared" si="1751"/>
        <v/>
      </c>
      <c r="N2338" s="329" t="str">
        <f t="shared" si="1752"/>
        <v/>
      </c>
      <c r="O2338" s="325">
        <f t="shared" si="1753"/>
        <v>0</v>
      </c>
    </row>
    <row r="2339" spans="1:15" x14ac:dyDescent="0.25">
      <c r="A2339" s="325">
        <v>2</v>
      </c>
      <c r="B2339" s="325">
        <f>B2338</f>
        <v>0</v>
      </c>
      <c r="C2339" s="325" t="str">
        <f>C2338</f>
        <v>GA</v>
      </c>
      <c r="D2339" s="325">
        <f>D2338</f>
        <v>0</v>
      </c>
      <c r="E2339" s="325"/>
      <c r="F2339" s="325" t="str">
        <f>F2338</f>
        <v>Games Aerial</v>
      </c>
      <c r="G2339" s="325" t="str">
        <f>G2338</f>
        <v/>
      </c>
      <c r="H2339" s="325" t="str">
        <f>H2338</f>
        <v/>
      </c>
      <c r="I2339" s="325" t="str">
        <f>I2338</f>
        <v/>
      </c>
      <c r="J2339" s="325" t="str">
        <f>J2338</f>
        <v/>
      </c>
      <c r="K2339" s="325"/>
      <c r="L2339" s="325"/>
      <c r="M2339" s="326" t="str">
        <f>M2338</f>
        <v/>
      </c>
      <c r="N2339" s="329" t="str">
        <f t="shared" si="1752"/>
        <v/>
      </c>
      <c r="O2339" s="325">
        <f>O2338</f>
        <v>0</v>
      </c>
    </row>
    <row r="2340" spans="1:15" x14ac:dyDescent="0.25">
      <c r="A2340" s="2">
        <v>1</v>
      </c>
      <c r="B2340" s="2">
        <f t="shared" si="1750"/>
        <v>0</v>
      </c>
      <c r="C2340" s="2" t="s">
        <v>3721</v>
      </c>
      <c r="D2340" s="2">
        <f>Games!D75</f>
        <v>0</v>
      </c>
      <c r="F2340" s="2" t="s">
        <v>3720</v>
      </c>
      <c r="G2340" s="2" t="str">
        <f>IF(Games!O75="e","Y","")</f>
        <v/>
      </c>
      <c r="H2340" s="2" t="str">
        <f>Games!E75</f>
        <v/>
      </c>
      <c r="I2340" s="2" t="str">
        <f>Games!F75</f>
        <v/>
      </c>
      <c r="J2340" s="2" t="str">
        <f>Games!G75</f>
        <v/>
      </c>
      <c r="M2340" s="180" t="str">
        <f t="shared" si="1751"/>
        <v/>
      </c>
      <c r="N2340" s="329" t="str">
        <f t="shared" si="1752"/>
        <v/>
      </c>
      <c r="O2340" s="2">
        <f t="shared" si="1753"/>
        <v>0</v>
      </c>
    </row>
    <row r="2341" spans="1:15" x14ac:dyDescent="0.25">
      <c r="A2341" s="2">
        <v>2</v>
      </c>
      <c r="B2341" s="2">
        <f>B2340</f>
        <v>0</v>
      </c>
      <c r="C2341" s="2" t="str">
        <f>C2340</f>
        <v>GA</v>
      </c>
      <c r="D2341" s="2">
        <f>D2340</f>
        <v>0</v>
      </c>
      <c r="F2341" s="2" t="str">
        <f>F2340</f>
        <v>Games Aerial</v>
      </c>
      <c r="G2341" s="2" t="str">
        <f>G2340</f>
        <v/>
      </c>
      <c r="H2341" s="2" t="str">
        <f>H2340</f>
        <v/>
      </c>
      <c r="I2341" s="2" t="str">
        <f>I2340</f>
        <v/>
      </c>
      <c r="J2341" s="2" t="str">
        <f>J2340</f>
        <v/>
      </c>
      <c r="M2341" s="180" t="str">
        <f>M2340</f>
        <v/>
      </c>
      <c r="N2341" s="329" t="str">
        <f t="shared" si="1752"/>
        <v/>
      </c>
      <c r="O2341" s="2">
        <f>O2340</f>
        <v>0</v>
      </c>
    </row>
    <row r="2342" spans="1:15" x14ac:dyDescent="0.25">
      <c r="A2342" s="325">
        <v>1</v>
      </c>
      <c r="B2342" s="325">
        <f t="shared" si="1750"/>
        <v>0</v>
      </c>
      <c r="C2342" s="325" t="s">
        <v>3721</v>
      </c>
      <c r="D2342" s="325">
        <f>Games!D76</f>
        <v>0</v>
      </c>
      <c r="E2342" s="325"/>
      <c r="F2342" s="325" t="s">
        <v>3720</v>
      </c>
      <c r="G2342" s="325" t="str">
        <f>IF(Games!O76="e","Y","")</f>
        <v/>
      </c>
      <c r="H2342" s="325" t="str">
        <f>Games!E76</f>
        <v/>
      </c>
      <c r="I2342" s="325" t="str">
        <f>Games!F76</f>
        <v/>
      </c>
      <c r="J2342" s="325" t="str">
        <f>Games!G76</f>
        <v/>
      </c>
      <c r="K2342" s="325"/>
      <c r="L2342" s="325"/>
      <c r="M2342" s="326" t="str">
        <f t="shared" si="1751"/>
        <v/>
      </c>
      <c r="N2342" s="329" t="str">
        <f t="shared" si="1752"/>
        <v/>
      </c>
      <c r="O2342" s="325">
        <f t="shared" si="1753"/>
        <v>0</v>
      </c>
    </row>
    <row r="2343" spans="1:15" x14ac:dyDescent="0.25">
      <c r="A2343" s="325">
        <v>2</v>
      </c>
      <c r="B2343" s="325">
        <f>B2342</f>
        <v>0</v>
      </c>
      <c r="C2343" s="325" t="str">
        <f>C2342</f>
        <v>GA</v>
      </c>
      <c r="D2343" s="325">
        <f>D2342</f>
        <v>0</v>
      </c>
      <c r="E2343" s="325"/>
      <c r="F2343" s="325" t="str">
        <f>F2342</f>
        <v>Games Aerial</v>
      </c>
      <c r="G2343" s="325" t="str">
        <f>G2342</f>
        <v/>
      </c>
      <c r="H2343" s="325" t="str">
        <f>H2342</f>
        <v/>
      </c>
      <c r="I2343" s="325" t="str">
        <f>I2342</f>
        <v/>
      </c>
      <c r="J2343" s="325" t="str">
        <f>J2342</f>
        <v/>
      </c>
      <c r="K2343" s="325"/>
      <c r="L2343" s="325"/>
      <c r="M2343" s="326" t="str">
        <f>M2342</f>
        <v/>
      </c>
      <c r="N2343" s="329" t="str">
        <f t="shared" si="1752"/>
        <v/>
      </c>
      <c r="O2343" s="325">
        <f>O2342</f>
        <v>0</v>
      </c>
    </row>
    <row r="2344" spans="1:15" x14ac:dyDescent="0.25">
      <c r="A2344" s="2">
        <v>1</v>
      </c>
      <c r="B2344" s="2">
        <f t="shared" si="1750"/>
        <v>0</v>
      </c>
      <c r="C2344" s="2" t="s">
        <v>3721</v>
      </c>
      <c r="D2344" s="2">
        <f>Games!D77</f>
        <v>0</v>
      </c>
      <c r="F2344" s="2" t="s">
        <v>3720</v>
      </c>
      <c r="G2344" s="2" t="str">
        <f>IF(Games!O77="e","Y","")</f>
        <v/>
      </c>
      <c r="H2344" s="2" t="str">
        <f>Games!E77</f>
        <v/>
      </c>
      <c r="I2344" s="2" t="str">
        <f>Games!F77</f>
        <v/>
      </c>
      <c r="J2344" s="2" t="str">
        <f>Games!G77</f>
        <v/>
      </c>
      <c r="M2344" s="180" t="str">
        <f t="shared" si="1751"/>
        <v/>
      </c>
      <c r="N2344" s="329" t="str">
        <f t="shared" si="1752"/>
        <v/>
      </c>
      <c r="O2344" s="2">
        <f t="shared" si="1753"/>
        <v>0</v>
      </c>
    </row>
    <row r="2345" spans="1:15" x14ac:dyDescent="0.25">
      <c r="A2345" s="2">
        <v>2</v>
      </c>
      <c r="B2345" s="2">
        <f>B2344</f>
        <v>0</v>
      </c>
      <c r="C2345" s="2" t="str">
        <f>C2344</f>
        <v>GA</v>
      </c>
      <c r="D2345" s="2">
        <f>D2344</f>
        <v>0</v>
      </c>
      <c r="F2345" s="2" t="str">
        <f>F2344</f>
        <v>Games Aerial</v>
      </c>
      <c r="G2345" s="2" t="str">
        <f>G2344</f>
        <v/>
      </c>
      <c r="H2345" s="2" t="str">
        <f>H2344</f>
        <v/>
      </c>
      <c r="I2345" s="2" t="str">
        <f>I2344</f>
        <v/>
      </c>
      <c r="J2345" s="2" t="str">
        <f>J2344</f>
        <v/>
      </c>
      <c r="M2345" s="180" t="str">
        <f>M2344</f>
        <v/>
      </c>
      <c r="N2345" s="329" t="str">
        <f t="shared" si="1752"/>
        <v/>
      </c>
      <c r="O2345" s="2">
        <f>O2344</f>
        <v>0</v>
      </c>
    </row>
    <row r="2346" spans="1:15" x14ac:dyDescent="0.25">
      <c r="A2346" s="325">
        <v>1</v>
      </c>
      <c r="B2346" s="325">
        <f t="shared" si="1750"/>
        <v>0</v>
      </c>
      <c r="C2346" s="325" t="s">
        <v>3721</v>
      </c>
      <c r="D2346" s="325">
        <f>Games!D78</f>
        <v>0</v>
      </c>
      <c r="E2346" s="325"/>
      <c r="F2346" s="325" t="s">
        <v>3720</v>
      </c>
      <c r="G2346" s="325" t="str">
        <f>IF(Games!O78="e","Y","")</f>
        <v/>
      </c>
      <c r="H2346" s="325" t="str">
        <f>Games!E78</f>
        <v/>
      </c>
      <c r="I2346" s="325" t="str">
        <f>Games!F78</f>
        <v/>
      </c>
      <c r="J2346" s="325" t="str">
        <f>Games!G78</f>
        <v/>
      </c>
      <c r="K2346" s="325"/>
      <c r="L2346" s="325"/>
      <c r="M2346" s="326" t="str">
        <f t="shared" si="1751"/>
        <v/>
      </c>
      <c r="N2346" s="329" t="str">
        <f t="shared" si="1752"/>
        <v/>
      </c>
      <c r="O2346" s="325">
        <f t="shared" si="1753"/>
        <v>0</v>
      </c>
    </row>
    <row r="2347" spans="1:15" x14ac:dyDescent="0.25">
      <c r="A2347" s="325">
        <v>2</v>
      </c>
      <c r="B2347" s="325">
        <f>B2346</f>
        <v>0</v>
      </c>
      <c r="C2347" s="325" t="str">
        <f>C2346</f>
        <v>GA</v>
      </c>
      <c r="D2347" s="325">
        <f>D2346</f>
        <v>0</v>
      </c>
      <c r="E2347" s="325"/>
      <c r="F2347" s="325" t="str">
        <f>F2346</f>
        <v>Games Aerial</v>
      </c>
      <c r="G2347" s="325" t="str">
        <f>G2346</f>
        <v/>
      </c>
      <c r="H2347" s="325" t="str">
        <f>H2346</f>
        <v/>
      </c>
      <c r="I2347" s="325" t="str">
        <f>I2346</f>
        <v/>
      </c>
      <c r="J2347" s="325" t="str">
        <f>J2346</f>
        <v/>
      </c>
      <c r="K2347" s="325"/>
      <c r="L2347" s="325"/>
      <c r="M2347" s="326" t="str">
        <f>M2346</f>
        <v/>
      </c>
      <c r="N2347" s="329" t="str">
        <f t="shared" si="1752"/>
        <v/>
      </c>
      <c r="O2347" s="325">
        <f>O2346</f>
        <v>0</v>
      </c>
    </row>
    <row r="2348" spans="1:15" x14ac:dyDescent="0.25">
      <c r="A2348" s="2">
        <v>1</v>
      </c>
      <c r="B2348" s="2">
        <f t="shared" si="1750"/>
        <v>0</v>
      </c>
      <c r="C2348" s="2" t="s">
        <v>3721</v>
      </c>
      <c r="D2348" s="2">
        <f>Games!D79</f>
        <v>0</v>
      </c>
      <c r="F2348" s="2" t="s">
        <v>3720</v>
      </c>
      <c r="G2348" s="2" t="str">
        <f>IF(Games!O79="e","Y","")</f>
        <v/>
      </c>
      <c r="H2348" s="2" t="str">
        <f>Games!E79</f>
        <v/>
      </c>
      <c r="I2348" s="2" t="str">
        <f>Games!F79</f>
        <v/>
      </c>
      <c r="J2348" s="2" t="str">
        <f>Games!G79</f>
        <v/>
      </c>
      <c r="M2348" s="180" t="str">
        <f t="shared" si="1751"/>
        <v/>
      </c>
      <c r="N2348" s="329" t="str">
        <f t="shared" si="1752"/>
        <v/>
      </c>
      <c r="O2348" s="2">
        <f t="shared" si="1753"/>
        <v>0</v>
      </c>
    </row>
    <row r="2349" spans="1:15" x14ac:dyDescent="0.25">
      <c r="A2349" s="2">
        <v>2</v>
      </c>
      <c r="B2349" s="2">
        <f>B2348</f>
        <v>0</v>
      </c>
      <c r="C2349" s="2" t="str">
        <f>C2348</f>
        <v>GA</v>
      </c>
      <c r="D2349" s="2">
        <f>D2348</f>
        <v>0</v>
      </c>
      <c r="F2349" s="2" t="str">
        <f>F2348</f>
        <v>Games Aerial</v>
      </c>
      <c r="G2349" s="2" t="str">
        <f>G2348</f>
        <v/>
      </c>
      <c r="H2349" s="2" t="str">
        <f>H2348</f>
        <v/>
      </c>
      <c r="I2349" s="2" t="str">
        <f>I2348</f>
        <v/>
      </c>
      <c r="J2349" s="2" t="str">
        <f>J2348</f>
        <v/>
      </c>
      <c r="M2349" s="180" t="str">
        <f>M2348</f>
        <v/>
      </c>
      <c r="N2349" s="329" t="str">
        <f t="shared" si="1752"/>
        <v/>
      </c>
      <c r="O2349" s="2">
        <f>O2348</f>
        <v>0</v>
      </c>
    </row>
    <row r="2350" spans="1:15" x14ac:dyDescent="0.25">
      <c r="A2350" s="325">
        <v>1</v>
      </c>
      <c r="B2350" s="325">
        <f t="shared" si="1750"/>
        <v>0</v>
      </c>
      <c r="C2350" s="325" t="s">
        <v>3721</v>
      </c>
      <c r="D2350" s="325">
        <f>Games!D80</f>
        <v>0</v>
      </c>
      <c r="E2350" s="325"/>
      <c r="F2350" s="325" t="s">
        <v>3720</v>
      </c>
      <c r="G2350" s="325" t="str">
        <f>IF(Games!O80="e","Y","")</f>
        <v/>
      </c>
      <c r="H2350" s="325" t="str">
        <f>Games!E80</f>
        <v/>
      </c>
      <c r="I2350" s="325" t="str">
        <f>Games!F80</f>
        <v/>
      </c>
      <c r="J2350" s="325" t="str">
        <f>Games!G80</f>
        <v/>
      </c>
      <c r="K2350" s="325"/>
      <c r="L2350" s="325"/>
      <c r="M2350" s="326" t="str">
        <f t="shared" si="1751"/>
        <v/>
      </c>
      <c r="N2350" s="329" t="str">
        <f t="shared" si="1752"/>
        <v/>
      </c>
      <c r="O2350" s="325">
        <f t="shared" si="1753"/>
        <v>0</v>
      </c>
    </row>
    <row r="2351" spans="1:15" x14ac:dyDescent="0.25">
      <c r="A2351" s="325">
        <v>2</v>
      </c>
      <c r="B2351" s="325">
        <f>B2350</f>
        <v>0</v>
      </c>
      <c r="C2351" s="325" t="str">
        <f>C2350</f>
        <v>GA</v>
      </c>
      <c r="D2351" s="325">
        <f>D2350</f>
        <v>0</v>
      </c>
      <c r="E2351" s="325"/>
      <c r="F2351" s="325" t="str">
        <f>F2350</f>
        <v>Games Aerial</v>
      </c>
      <c r="G2351" s="325" t="str">
        <f>G2350</f>
        <v/>
      </c>
      <c r="H2351" s="325" t="str">
        <f>H2350</f>
        <v/>
      </c>
      <c r="I2351" s="325" t="str">
        <f>I2350</f>
        <v/>
      </c>
      <c r="J2351" s="325" t="str">
        <f>J2350</f>
        <v/>
      </c>
      <c r="K2351" s="325"/>
      <c r="L2351" s="325"/>
      <c r="M2351" s="326" t="str">
        <f>M2350</f>
        <v/>
      </c>
      <c r="N2351" s="329" t="str">
        <f t="shared" ref="N2351:N2421" si="1754">TrialCityDay2</f>
        <v/>
      </c>
      <c r="O2351" s="325">
        <f>O2350</f>
        <v>0</v>
      </c>
    </row>
    <row r="2352" spans="1:15" x14ac:dyDescent="0.25">
      <c r="A2352" s="2">
        <v>1</v>
      </c>
      <c r="B2352" s="2">
        <f t="shared" si="1750"/>
        <v>0</v>
      </c>
      <c r="C2352" s="2" t="s">
        <v>3721</v>
      </c>
      <c r="D2352" s="2">
        <f>Games!D81</f>
        <v>0</v>
      </c>
      <c r="F2352" s="2" t="s">
        <v>3720</v>
      </c>
      <c r="G2352" s="2" t="str">
        <f>IF(Games!O81="e","Y","")</f>
        <v/>
      </c>
      <c r="H2352" s="2" t="str">
        <f>Games!E81</f>
        <v/>
      </c>
      <c r="I2352" s="2" t="str">
        <f>Games!F81</f>
        <v/>
      </c>
      <c r="J2352" s="2" t="str">
        <f>Games!G81</f>
        <v/>
      </c>
      <c r="M2352" s="180" t="str">
        <f t="shared" si="1751"/>
        <v/>
      </c>
      <c r="N2352" s="329" t="str">
        <f t="shared" si="1752"/>
        <v/>
      </c>
      <c r="O2352" s="2">
        <f t="shared" si="1753"/>
        <v>0</v>
      </c>
    </row>
    <row r="2353" spans="1:15" x14ac:dyDescent="0.25">
      <c r="A2353" s="2">
        <v>2</v>
      </c>
      <c r="B2353" s="2">
        <f>B2352</f>
        <v>0</v>
      </c>
      <c r="C2353" s="2" t="str">
        <f>C2352</f>
        <v>GA</v>
      </c>
      <c r="D2353" s="2">
        <f>D2352</f>
        <v>0</v>
      </c>
      <c r="F2353" s="2" t="str">
        <f>F2352</f>
        <v>Games Aerial</v>
      </c>
      <c r="G2353" s="2" t="str">
        <f>G2352</f>
        <v/>
      </c>
      <c r="H2353" s="2" t="str">
        <f>H2352</f>
        <v/>
      </c>
      <c r="I2353" s="2" t="str">
        <f>I2352</f>
        <v/>
      </c>
      <c r="J2353" s="2" t="str">
        <f>J2352</f>
        <v/>
      </c>
      <c r="M2353" s="180" t="str">
        <f>M2352</f>
        <v/>
      </c>
      <c r="N2353" s="329" t="str">
        <f t="shared" si="1754"/>
        <v/>
      </c>
      <c r="O2353" s="2">
        <f>O2352</f>
        <v>0</v>
      </c>
    </row>
    <row r="2354" spans="1:15" x14ac:dyDescent="0.25">
      <c r="A2354" s="325">
        <v>1</v>
      </c>
      <c r="B2354" s="325">
        <f t="shared" si="1750"/>
        <v>0</v>
      </c>
      <c r="C2354" s="325" t="s">
        <v>3721</v>
      </c>
      <c r="D2354" s="325">
        <f>Games!D82</f>
        <v>0</v>
      </c>
      <c r="E2354" s="325"/>
      <c r="F2354" s="325" t="s">
        <v>3720</v>
      </c>
      <c r="G2354" s="325" t="str">
        <f>IF(Games!O82="e","Y","")</f>
        <v/>
      </c>
      <c r="H2354" s="325" t="str">
        <f>Games!E82</f>
        <v/>
      </c>
      <c r="I2354" s="325" t="str">
        <f>Games!F82</f>
        <v/>
      </c>
      <c r="J2354" s="325" t="str">
        <f>Games!G82</f>
        <v/>
      </c>
      <c r="K2354" s="325"/>
      <c r="L2354" s="325"/>
      <c r="M2354" s="326" t="str">
        <f t="shared" si="1751"/>
        <v/>
      </c>
      <c r="N2354" s="329" t="str">
        <f t="shared" si="1752"/>
        <v/>
      </c>
      <c r="O2354" s="325">
        <f t="shared" si="1753"/>
        <v>0</v>
      </c>
    </row>
    <row r="2355" spans="1:15" x14ac:dyDescent="0.25">
      <c r="A2355" s="325">
        <v>2</v>
      </c>
      <c r="B2355" s="325">
        <f>B2354</f>
        <v>0</v>
      </c>
      <c r="C2355" s="325" t="str">
        <f>C2354</f>
        <v>GA</v>
      </c>
      <c r="D2355" s="325">
        <f>D2354</f>
        <v>0</v>
      </c>
      <c r="E2355" s="325"/>
      <c r="F2355" s="325" t="str">
        <f>F2354</f>
        <v>Games Aerial</v>
      </c>
      <c r="G2355" s="325" t="str">
        <f>G2354</f>
        <v/>
      </c>
      <c r="H2355" s="325" t="str">
        <f>H2354</f>
        <v/>
      </c>
      <c r="I2355" s="325" t="str">
        <f>I2354</f>
        <v/>
      </c>
      <c r="J2355" s="325" t="str">
        <f>J2354</f>
        <v/>
      </c>
      <c r="K2355" s="325"/>
      <c r="L2355" s="325"/>
      <c r="M2355" s="326" t="str">
        <f>M2354</f>
        <v/>
      </c>
      <c r="N2355" s="329" t="str">
        <f t="shared" si="1754"/>
        <v/>
      </c>
      <c r="O2355" s="325">
        <f>O2354</f>
        <v>0</v>
      </c>
    </row>
    <row r="2356" spans="1:15" x14ac:dyDescent="0.25">
      <c r="A2356" s="2">
        <v>1</v>
      </c>
      <c r="B2356" s="2">
        <f t="shared" si="1750"/>
        <v>0</v>
      </c>
      <c r="C2356" s="2" t="s">
        <v>3721</v>
      </c>
      <c r="D2356" s="2">
        <f>Games!D83</f>
        <v>0</v>
      </c>
      <c r="F2356" s="2" t="s">
        <v>3720</v>
      </c>
      <c r="G2356" s="2" t="str">
        <f>IF(Games!O83="e","Y","")</f>
        <v/>
      </c>
      <c r="H2356" s="2" t="str">
        <f>Games!E83</f>
        <v/>
      </c>
      <c r="I2356" s="2" t="str">
        <f>Games!F83</f>
        <v/>
      </c>
      <c r="J2356" s="2" t="str">
        <f>Games!G83</f>
        <v/>
      </c>
      <c r="M2356" s="180" t="str">
        <f t="shared" si="1751"/>
        <v/>
      </c>
      <c r="N2356" s="329" t="str">
        <f t="shared" si="1752"/>
        <v/>
      </c>
      <c r="O2356" s="2">
        <f t="shared" si="1753"/>
        <v>0</v>
      </c>
    </row>
    <row r="2357" spans="1:15" x14ac:dyDescent="0.25">
      <c r="A2357" s="2">
        <v>2</v>
      </c>
      <c r="B2357" s="2">
        <f>B2356</f>
        <v>0</v>
      </c>
      <c r="C2357" s="2" t="str">
        <f>C2356</f>
        <v>GA</v>
      </c>
      <c r="D2357" s="2">
        <f>D2356</f>
        <v>0</v>
      </c>
      <c r="F2357" s="2" t="str">
        <f>F2356</f>
        <v>Games Aerial</v>
      </c>
      <c r="G2357" s="2" t="str">
        <f>G2356</f>
        <v/>
      </c>
      <c r="H2357" s="2" t="str">
        <f>H2356</f>
        <v/>
      </c>
      <c r="I2357" s="2" t="str">
        <f>I2356</f>
        <v/>
      </c>
      <c r="J2357" s="2" t="str">
        <f>J2356</f>
        <v/>
      </c>
      <c r="M2357" s="180" t="str">
        <f>M2356</f>
        <v/>
      </c>
      <c r="N2357" s="329" t="str">
        <f t="shared" si="1754"/>
        <v/>
      </c>
      <c r="O2357" s="2">
        <f>O2356</f>
        <v>0</v>
      </c>
    </row>
    <row r="2358" spans="1:15" x14ac:dyDescent="0.25">
      <c r="A2358" s="325">
        <v>1</v>
      </c>
      <c r="B2358" s="325">
        <f t="shared" si="1750"/>
        <v>0</v>
      </c>
      <c r="C2358" s="325" t="s">
        <v>3721</v>
      </c>
      <c r="D2358" s="325">
        <f>Games!D84</f>
        <v>0</v>
      </c>
      <c r="E2358" s="325"/>
      <c r="F2358" s="325" t="s">
        <v>3720</v>
      </c>
      <c r="G2358" s="325" t="str">
        <f>IF(Games!O84="e","Y","")</f>
        <v/>
      </c>
      <c r="H2358" s="325" t="str">
        <f>Games!E84</f>
        <v/>
      </c>
      <c r="I2358" s="325" t="str">
        <f>Games!F84</f>
        <v/>
      </c>
      <c r="J2358" s="325" t="str">
        <f>Games!G84</f>
        <v/>
      </c>
      <c r="K2358" s="325"/>
      <c r="L2358" s="325"/>
      <c r="M2358" s="326" t="str">
        <f t="shared" si="1751"/>
        <v/>
      </c>
      <c r="N2358" s="329" t="str">
        <f t="shared" si="1752"/>
        <v/>
      </c>
      <c r="O2358" s="325">
        <f t="shared" si="1753"/>
        <v>0</v>
      </c>
    </row>
    <row r="2359" spans="1:15" x14ac:dyDescent="0.25">
      <c r="A2359" s="325">
        <v>2</v>
      </c>
      <c r="B2359" s="325">
        <f>B2358</f>
        <v>0</v>
      </c>
      <c r="C2359" s="325" t="str">
        <f>C2358</f>
        <v>GA</v>
      </c>
      <c r="D2359" s="325">
        <f>D2358</f>
        <v>0</v>
      </c>
      <c r="E2359" s="325"/>
      <c r="F2359" s="325" t="str">
        <f>F2358</f>
        <v>Games Aerial</v>
      </c>
      <c r="G2359" s="325" t="str">
        <f>G2358</f>
        <v/>
      </c>
      <c r="H2359" s="325" t="str">
        <f>H2358</f>
        <v/>
      </c>
      <c r="I2359" s="325" t="str">
        <f>I2358</f>
        <v/>
      </c>
      <c r="J2359" s="325" t="str">
        <f>J2358</f>
        <v/>
      </c>
      <c r="K2359" s="325"/>
      <c r="L2359" s="325"/>
      <c r="M2359" s="326" t="str">
        <f>M2358</f>
        <v/>
      </c>
      <c r="N2359" s="329" t="str">
        <f t="shared" si="1754"/>
        <v/>
      </c>
      <c r="O2359" s="325">
        <f>O2358</f>
        <v>0</v>
      </c>
    </row>
    <row r="2360" spans="1:15" x14ac:dyDescent="0.25">
      <c r="A2360" s="2">
        <v>1</v>
      </c>
      <c r="B2360" s="2">
        <f t="shared" si="1750"/>
        <v>0</v>
      </c>
      <c r="C2360" s="2" t="s">
        <v>3721</v>
      </c>
      <c r="D2360" s="2">
        <f>Games!D85</f>
        <v>0</v>
      </c>
      <c r="F2360" s="2" t="s">
        <v>3720</v>
      </c>
      <c r="G2360" s="2" t="str">
        <f>IF(Games!O85="e","Y","")</f>
        <v/>
      </c>
      <c r="H2360" s="2" t="str">
        <f>Games!E85</f>
        <v/>
      </c>
      <c r="I2360" s="2" t="str">
        <f>Games!F85</f>
        <v/>
      </c>
      <c r="J2360" s="2" t="str">
        <f>Games!G85</f>
        <v/>
      </c>
      <c r="M2360" s="180" t="str">
        <f t="shared" si="1751"/>
        <v/>
      </c>
      <c r="N2360" s="329" t="str">
        <f t="shared" si="1752"/>
        <v/>
      </c>
      <c r="O2360" s="2">
        <f t="shared" si="1753"/>
        <v>0</v>
      </c>
    </row>
    <row r="2361" spans="1:15" x14ac:dyDescent="0.25">
      <c r="A2361" s="2">
        <v>2</v>
      </c>
      <c r="B2361" s="2">
        <f>B2360</f>
        <v>0</v>
      </c>
      <c r="C2361" s="2" t="str">
        <f>C2360</f>
        <v>GA</v>
      </c>
      <c r="D2361" s="2">
        <f>D2360</f>
        <v>0</v>
      </c>
      <c r="F2361" s="2" t="str">
        <f>F2360</f>
        <v>Games Aerial</v>
      </c>
      <c r="G2361" s="2" t="str">
        <f>G2360</f>
        <v/>
      </c>
      <c r="H2361" s="2" t="str">
        <f>H2360</f>
        <v/>
      </c>
      <c r="I2361" s="2" t="str">
        <f>I2360</f>
        <v/>
      </c>
      <c r="J2361" s="2" t="str">
        <f>J2360</f>
        <v/>
      </c>
      <c r="M2361" s="180" t="str">
        <f>M2360</f>
        <v/>
      </c>
      <c r="N2361" s="329" t="str">
        <f t="shared" si="1754"/>
        <v/>
      </c>
      <c r="O2361" s="2">
        <f>O2360</f>
        <v>0</v>
      </c>
    </row>
    <row r="2362" spans="1:15" x14ac:dyDescent="0.25">
      <c r="A2362" s="325">
        <v>1</v>
      </c>
      <c r="B2362" s="325">
        <f t="shared" si="1750"/>
        <v>0</v>
      </c>
      <c r="C2362" s="325" t="s">
        <v>3721</v>
      </c>
      <c r="D2362" s="325">
        <f>Games!D86</f>
        <v>0</v>
      </c>
      <c r="E2362" s="325"/>
      <c r="F2362" s="325" t="s">
        <v>3720</v>
      </c>
      <c r="G2362" s="325" t="str">
        <f>IF(Games!O86="e","Y","")</f>
        <v/>
      </c>
      <c r="H2362" s="325" t="str">
        <f>Games!E86</f>
        <v/>
      </c>
      <c r="I2362" s="325" t="str">
        <f>Games!F86</f>
        <v/>
      </c>
      <c r="J2362" s="325" t="str">
        <f>Games!G86</f>
        <v/>
      </c>
      <c r="K2362" s="325"/>
      <c r="L2362" s="325"/>
      <c r="M2362" s="326" t="str">
        <f t="shared" si="1751"/>
        <v/>
      </c>
      <c r="N2362" s="329" t="str">
        <f t="shared" si="1752"/>
        <v/>
      </c>
      <c r="O2362" s="325">
        <f t="shared" si="1753"/>
        <v>0</v>
      </c>
    </row>
    <row r="2363" spans="1:15" x14ac:dyDescent="0.25">
      <c r="A2363" s="325">
        <v>2</v>
      </c>
      <c r="B2363" s="325">
        <f>B2362</f>
        <v>0</v>
      </c>
      <c r="C2363" s="325" t="str">
        <f>C2362</f>
        <v>GA</v>
      </c>
      <c r="D2363" s="325">
        <f>D2362</f>
        <v>0</v>
      </c>
      <c r="E2363" s="325"/>
      <c r="F2363" s="325" t="str">
        <f>F2362</f>
        <v>Games Aerial</v>
      </c>
      <c r="G2363" s="325" t="str">
        <f>G2362</f>
        <v/>
      </c>
      <c r="H2363" s="325" t="str">
        <f>H2362</f>
        <v/>
      </c>
      <c r="I2363" s="325" t="str">
        <f>I2362</f>
        <v/>
      </c>
      <c r="J2363" s="325" t="str">
        <f>J2362</f>
        <v/>
      </c>
      <c r="K2363" s="325"/>
      <c r="L2363" s="325"/>
      <c r="M2363" s="326" t="str">
        <f>M2362</f>
        <v/>
      </c>
      <c r="N2363" s="329" t="str">
        <f t="shared" si="1754"/>
        <v/>
      </c>
      <c r="O2363" s="325">
        <f>O2362</f>
        <v>0</v>
      </c>
    </row>
    <row r="2364" spans="1:15" x14ac:dyDescent="0.25">
      <c r="A2364" s="2">
        <v>1</v>
      </c>
      <c r="B2364" s="2">
        <f t="shared" si="1750"/>
        <v>0</v>
      </c>
      <c r="C2364" s="2" t="s">
        <v>3721</v>
      </c>
      <c r="D2364" s="2">
        <f>Games!D87</f>
        <v>0</v>
      </c>
      <c r="F2364" s="2" t="s">
        <v>3720</v>
      </c>
      <c r="G2364" s="2" t="str">
        <f>IF(Games!O87="e","Y","")</f>
        <v/>
      </c>
      <c r="H2364" s="2" t="str">
        <f>Games!E87</f>
        <v/>
      </c>
      <c r="I2364" s="2" t="str">
        <f>Games!F87</f>
        <v/>
      </c>
      <c r="J2364" s="2" t="str">
        <f>Games!G87</f>
        <v/>
      </c>
      <c r="M2364" s="180" t="str">
        <f t="shared" si="1751"/>
        <v/>
      </c>
      <c r="N2364" s="329" t="str">
        <f t="shared" si="1752"/>
        <v/>
      </c>
      <c r="O2364" s="2">
        <f t="shared" si="1753"/>
        <v>0</v>
      </c>
    </row>
    <row r="2365" spans="1:15" x14ac:dyDescent="0.25">
      <c r="A2365" s="2">
        <v>2</v>
      </c>
      <c r="B2365" s="2">
        <f>B2364</f>
        <v>0</v>
      </c>
      <c r="C2365" s="2" t="str">
        <f>C2364</f>
        <v>GA</v>
      </c>
      <c r="D2365" s="2">
        <f>D2364</f>
        <v>0</v>
      </c>
      <c r="F2365" s="2" t="str">
        <f>F2364</f>
        <v>Games Aerial</v>
      </c>
      <c r="G2365" s="2" t="str">
        <f>G2364</f>
        <v/>
      </c>
      <c r="H2365" s="2" t="str">
        <f>H2364</f>
        <v/>
      </c>
      <c r="I2365" s="2" t="str">
        <f>I2364</f>
        <v/>
      </c>
      <c r="J2365" s="2" t="str">
        <f>J2364</f>
        <v/>
      </c>
      <c r="M2365" s="180" t="str">
        <f>M2364</f>
        <v/>
      </c>
      <c r="N2365" s="329" t="str">
        <f t="shared" si="1754"/>
        <v/>
      </c>
      <c r="O2365" s="2">
        <f>O2364</f>
        <v>0</v>
      </c>
    </row>
    <row r="2366" spans="1:15" x14ac:dyDescent="0.25">
      <c r="A2366" s="325">
        <v>1</v>
      </c>
      <c r="B2366" s="325">
        <f t="shared" si="1750"/>
        <v>0</v>
      </c>
      <c r="C2366" s="325" t="s">
        <v>3721</v>
      </c>
      <c r="D2366" s="325">
        <f>Games!D88</f>
        <v>0</v>
      </c>
      <c r="E2366" s="325"/>
      <c r="F2366" s="325" t="s">
        <v>3720</v>
      </c>
      <c r="G2366" s="325" t="str">
        <f>IF(Games!O88="e","Y","")</f>
        <v/>
      </c>
      <c r="H2366" s="325" t="str">
        <f>Games!E88</f>
        <v/>
      </c>
      <c r="I2366" s="325" t="str">
        <f>Games!F88</f>
        <v/>
      </c>
      <c r="J2366" s="325" t="str">
        <f>Games!G88</f>
        <v/>
      </c>
      <c r="K2366" s="325"/>
      <c r="L2366" s="325"/>
      <c r="M2366" s="326" t="str">
        <f t="shared" si="1751"/>
        <v/>
      </c>
      <c r="N2366" s="329" t="str">
        <f t="shared" si="1752"/>
        <v/>
      </c>
      <c r="O2366" s="325">
        <f t="shared" si="1753"/>
        <v>0</v>
      </c>
    </row>
    <row r="2367" spans="1:15" x14ac:dyDescent="0.25">
      <c r="A2367" s="325">
        <v>2</v>
      </c>
      <c r="B2367" s="325">
        <f>B2366</f>
        <v>0</v>
      </c>
      <c r="C2367" s="325" t="str">
        <f>C2366</f>
        <v>GA</v>
      </c>
      <c r="D2367" s="325">
        <f>D2366</f>
        <v>0</v>
      </c>
      <c r="E2367" s="325"/>
      <c r="F2367" s="325" t="str">
        <f>F2366</f>
        <v>Games Aerial</v>
      </c>
      <c r="G2367" s="325" t="str">
        <f>G2366</f>
        <v/>
      </c>
      <c r="H2367" s="325" t="str">
        <f>H2366</f>
        <v/>
      </c>
      <c r="I2367" s="325" t="str">
        <f>I2366</f>
        <v/>
      </c>
      <c r="J2367" s="325" t="str">
        <f>J2366</f>
        <v/>
      </c>
      <c r="K2367" s="325"/>
      <c r="L2367" s="325"/>
      <c r="M2367" s="326" t="str">
        <f>M2366</f>
        <v/>
      </c>
      <c r="N2367" s="329" t="str">
        <f t="shared" si="1754"/>
        <v/>
      </c>
      <c r="O2367" s="325">
        <f>O2366</f>
        <v>0</v>
      </c>
    </row>
    <row r="2368" spans="1:15" x14ac:dyDescent="0.25">
      <c r="A2368" s="2">
        <v>1</v>
      </c>
      <c r="B2368" s="2">
        <f t="shared" si="1750"/>
        <v>0</v>
      </c>
      <c r="C2368" s="2" t="s">
        <v>3721</v>
      </c>
      <c r="D2368" s="2">
        <f>Games!D89</f>
        <v>0</v>
      </c>
      <c r="F2368" s="2" t="s">
        <v>3720</v>
      </c>
      <c r="G2368" s="2" t="str">
        <f>IF(Games!O89="e","Y","")</f>
        <v/>
      </c>
      <c r="H2368" s="2" t="str">
        <f>Games!E89</f>
        <v/>
      </c>
      <c r="I2368" s="2" t="str">
        <f>Games!F89</f>
        <v/>
      </c>
      <c r="J2368" s="2" t="str">
        <f>Games!G89</f>
        <v/>
      </c>
      <c r="M2368" s="180" t="str">
        <f t="shared" si="1751"/>
        <v/>
      </c>
      <c r="N2368" s="329" t="str">
        <f t="shared" si="1752"/>
        <v/>
      </c>
      <c r="O2368" s="2">
        <f t="shared" si="1753"/>
        <v>0</v>
      </c>
    </row>
    <row r="2369" spans="1:15" x14ac:dyDescent="0.25">
      <c r="A2369" s="2">
        <v>2</v>
      </c>
      <c r="B2369" s="2">
        <f>B2368</f>
        <v>0</v>
      </c>
      <c r="C2369" s="2" t="str">
        <f>C2368</f>
        <v>GA</v>
      </c>
      <c r="D2369" s="2">
        <f>D2368</f>
        <v>0</v>
      </c>
      <c r="F2369" s="2" t="str">
        <f>F2368</f>
        <v>Games Aerial</v>
      </c>
      <c r="G2369" s="2" t="str">
        <f>G2368</f>
        <v/>
      </c>
      <c r="H2369" s="2" t="str">
        <f>H2368</f>
        <v/>
      </c>
      <c r="I2369" s="2" t="str">
        <f>I2368</f>
        <v/>
      </c>
      <c r="J2369" s="2" t="str">
        <f>J2368</f>
        <v/>
      </c>
      <c r="M2369" s="180" t="str">
        <f>M2368</f>
        <v/>
      </c>
      <c r="N2369" s="329" t="str">
        <f t="shared" si="1754"/>
        <v/>
      </c>
      <c r="O2369" s="2">
        <f>O2368</f>
        <v>0</v>
      </c>
    </row>
    <row r="2370" spans="1:15" x14ac:dyDescent="0.25">
      <c r="A2370" s="325">
        <v>1</v>
      </c>
      <c r="B2370" s="325">
        <f t="shared" si="1750"/>
        <v>0</v>
      </c>
      <c r="C2370" s="325" t="s">
        <v>3721</v>
      </c>
      <c r="D2370" s="325">
        <f>Games!D90</f>
        <v>0</v>
      </c>
      <c r="E2370" s="325"/>
      <c r="F2370" s="325" t="s">
        <v>3720</v>
      </c>
      <c r="G2370" s="325" t="str">
        <f>IF(Games!O90="e","Y","")</f>
        <v/>
      </c>
      <c r="H2370" s="325" t="str">
        <f>Games!E90</f>
        <v/>
      </c>
      <c r="I2370" s="325" t="str">
        <f>Games!F90</f>
        <v/>
      </c>
      <c r="J2370" s="325" t="str">
        <f>Games!G90</f>
        <v/>
      </c>
      <c r="K2370" s="325"/>
      <c r="L2370" s="325"/>
      <c r="M2370" s="326" t="str">
        <f t="shared" si="1751"/>
        <v/>
      </c>
      <c r="N2370" s="329" t="str">
        <f t="shared" si="1752"/>
        <v/>
      </c>
      <c r="O2370" s="325">
        <f t="shared" si="1753"/>
        <v>0</v>
      </c>
    </row>
    <row r="2371" spans="1:15" x14ac:dyDescent="0.25">
      <c r="A2371" s="325">
        <v>2</v>
      </c>
      <c r="B2371" s="325">
        <f>B2370</f>
        <v>0</v>
      </c>
      <c r="C2371" s="325" t="str">
        <f>C2370</f>
        <v>GA</v>
      </c>
      <c r="D2371" s="325">
        <f>D2370</f>
        <v>0</v>
      </c>
      <c r="E2371" s="325"/>
      <c r="F2371" s="325" t="str">
        <f>F2370</f>
        <v>Games Aerial</v>
      </c>
      <c r="G2371" s="325" t="str">
        <f>G2370</f>
        <v/>
      </c>
      <c r="H2371" s="325" t="str">
        <f>H2370</f>
        <v/>
      </c>
      <c r="I2371" s="325" t="str">
        <f>I2370</f>
        <v/>
      </c>
      <c r="J2371" s="325" t="str">
        <f>J2370</f>
        <v/>
      </c>
      <c r="K2371" s="325"/>
      <c r="L2371" s="325"/>
      <c r="M2371" s="326" t="str">
        <f>M2370</f>
        <v/>
      </c>
      <c r="N2371" s="329" t="str">
        <f t="shared" si="1754"/>
        <v/>
      </c>
      <c r="O2371" s="325">
        <f>O2370</f>
        <v>0</v>
      </c>
    </row>
    <row r="2372" spans="1:15" x14ac:dyDescent="0.25">
      <c r="A2372" s="2">
        <v>1</v>
      </c>
      <c r="B2372" s="2">
        <f t="shared" si="1750"/>
        <v>0</v>
      </c>
      <c r="C2372" s="2" t="s">
        <v>3721</v>
      </c>
      <c r="D2372" s="2">
        <f>Games!D91</f>
        <v>0</v>
      </c>
      <c r="F2372" s="2" t="s">
        <v>3720</v>
      </c>
      <c r="G2372" s="2" t="str">
        <f>IF(Games!O91="e","Y","")</f>
        <v/>
      </c>
      <c r="H2372" s="2" t="str">
        <f>Games!E91</f>
        <v/>
      </c>
      <c r="I2372" s="2" t="str">
        <f>Games!F91</f>
        <v/>
      </c>
      <c r="J2372" s="2" t="str">
        <f>Games!G91</f>
        <v/>
      </c>
      <c r="M2372" s="180" t="str">
        <f t="shared" si="1751"/>
        <v/>
      </c>
      <c r="N2372" s="329" t="str">
        <f t="shared" si="1752"/>
        <v/>
      </c>
      <c r="O2372" s="2">
        <f t="shared" si="1753"/>
        <v>0</v>
      </c>
    </row>
    <row r="2373" spans="1:15" x14ac:dyDescent="0.25">
      <c r="A2373" s="2">
        <v>2</v>
      </c>
      <c r="B2373" s="2">
        <f>B2372</f>
        <v>0</v>
      </c>
      <c r="C2373" s="2" t="str">
        <f>C2372</f>
        <v>GA</v>
      </c>
      <c r="D2373" s="2">
        <f>D2372</f>
        <v>0</v>
      </c>
      <c r="F2373" s="2" t="str">
        <f>F2372</f>
        <v>Games Aerial</v>
      </c>
      <c r="G2373" s="2" t="str">
        <f>G2372</f>
        <v/>
      </c>
      <c r="H2373" s="2" t="str">
        <f>H2372</f>
        <v/>
      </c>
      <c r="I2373" s="2" t="str">
        <f>I2372</f>
        <v/>
      </c>
      <c r="J2373" s="2" t="str">
        <f>J2372</f>
        <v/>
      </c>
      <c r="M2373" s="180" t="str">
        <f>M2372</f>
        <v/>
      </c>
      <c r="N2373" s="329" t="str">
        <f t="shared" si="1754"/>
        <v/>
      </c>
      <c r="O2373" s="2">
        <f>O2372</f>
        <v>0</v>
      </c>
    </row>
    <row r="2374" spans="1:15" x14ac:dyDescent="0.25">
      <c r="A2374" s="325">
        <v>1</v>
      </c>
      <c r="B2374" s="325">
        <f t="shared" si="1750"/>
        <v>0</v>
      </c>
      <c r="C2374" s="325" t="s">
        <v>3721</v>
      </c>
      <c r="D2374" s="325">
        <f>Games!D92</f>
        <v>0</v>
      </c>
      <c r="E2374" s="325"/>
      <c r="F2374" s="325" t="s">
        <v>3720</v>
      </c>
      <c r="G2374" s="325" t="str">
        <f>IF(Games!O92="e","Y","")</f>
        <v/>
      </c>
      <c r="H2374" s="325" t="str">
        <f>Games!E92</f>
        <v/>
      </c>
      <c r="I2374" s="325" t="str">
        <f>Games!F92</f>
        <v/>
      </c>
      <c r="J2374" s="325" t="str">
        <f>Games!G92</f>
        <v/>
      </c>
      <c r="K2374" s="325"/>
      <c r="L2374" s="325"/>
      <c r="M2374" s="326" t="str">
        <f t="shared" si="1751"/>
        <v/>
      </c>
      <c r="N2374" s="329" t="str">
        <f t="shared" si="1752"/>
        <v/>
      </c>
      <c r="O2374" s="325">
        <f t="shared" si="1753"/>
        <v>0</v>
      </c>
    </row>
    <row r="2375" spans="1:15" x14ac:dyDescent="0.25">
      <c r="A2375" s="325">
        <v>2</v>
      </c>
      <c r="B2375" s="325">
        <f>B2374</f>
        <v>0</v>
      </c>
      <c r="C2375" s="325" t="str">
        <f>C2374</f>
        <v>GA</v>
      </c>
      <c r="D2375" s="325">
        <f>D2374</f>
        <v>0</v>
      </c>
      <c r="E2375" s="325"/>
      <c r="F2375" s="325" t="str">
        <f>F2374</f>
        <v>Games Aerial</v>
      </c>
      <c r="G2375" s="325" t="str">
        <f>G2374</f>
        <v/>
      </c>
      <c r="H2375" s="325" t="str">
        <f>H2374</f>
        <v/>
      </c>
      <c r="I2375" s="325" t="str">
        <f>I2374</f>
        <v/>
      </c>
      <c r="J2375" s="325" t="str">
        <f>J2374</f>
        <v/>
      </c>
      <c r="K2375" s="325"/>
      <c r="L2375" s="325"/>
      <c r="M2375" s="326" t="str">
        <f>M2374</f>
        <v/>
      </c>
      <c r="N2375" s="329" t="str">
        <f t="shared" si="1754"/>
        <v/>
      </c>
      <c r="O2375" s="325">
        <f>O2374</f>
        <v>0</v>
      </c>
    </row>
    <row r="2376" spans="1:15" x14ac:dyDescent="0.25">
      <c r="A2376" s="2">
        <v>1</v>
      </c>
      <c r="B2376" s="2">
        <f t="shared" si="1750"/>
        <v>0</v>
      </c>
      <c r="C2376" s="2" t="s">
        <v>3721</v>
      </c>
      <c r="D2376" s="2">
        <f>Games!D93</f>
        <v>0</v>
      </c>
      <c r="F2376" s="2" t="s">
        <v>3720</v>
      </c>
      <c r="G2376" s="2" t="str">
        <f>IF(Games!O93="e","Y","")</f>
        <v/>
      </c>
      <c r="H2376" s="2" t="str">
        <f>Games!E93</f>
        <v/>
      </c>
      <c r="I2376" s="2" t="str">
        <f>Games!F93</f>
        <v/>
      </c>
      <c r="J2376" s="2" t="str">
        <f>Games!G93</f>
        <v/>
      </c>
      <c r="M2376" s="180" t="str">
        <f t="shared" si="1751"/>
        <v/>
      </c>
      <c r="N2376" s="329" t="str">
        <f t="shared" si="1752"/>
        <v/>
      </c>
      <c r="O2376" s="2">
        <f t="shared" si="1753"/>
        <v>0</v>
      </c>
    </row>
    <row r="2377" spans="1:15" x14ac:dyDescent="0.25">
      <c r="A2377" s="2">
        <v>2</v>
      </c>
      <c r="B2377" s="2">
        <f>B2376</f>
        <v>0</v>
      </c>
      <c r="C2377" s="2" t="str">
        <f>C2376</f>
        <v>GA</v>
      </c>
      <c r="D2377" s="2">
        <f>D2376</f>
        <v>0</v>
      </c>
      <c r="F2377" s="2" t="str">
        <f>F2376</f>
        <v>Games Aerial</v>
      </c>
      <c r="G2377" s="2" t="str">
        <f>G2376</f>
        <v/>
      </c>
      <c r="H2377" s="2" t="str">
        <f>H2376</f>
        <v/>
      </c>
      <c r="I2377" s="2" t="str">
        <f>I2376</f>
        <v/>
      </c>
      <c r="J2377" s="2" t="str">
        <f>J2376</f>
        <v/>
      </c>
      <c r="M2377" s="180" t="str">
        <f>M2376</f>
        <v/>
      </c>
      <c r="N2377" s="329" t="str">
        <f t="shared" si="1754"/>
        <v/>
      </c>
      <c r="O2377" s="2">
        <f>O2376</f>
        <v>0</v>
      </c>
    </row>
    <row r="2378" spans="1:15" x14ac:dyDescent="0.25">
      <c r="A2378" s="325">
        <v>1</v>
      </c>
      <c r="B2378" s="325">
        <f t="shared" si="1750"/>
        <v>0</v>
      </c>
      <c r="C2378" s="325" t="s">
        <v>3721</v>
      </c>
      <c r="D2378" s="325">
        <f>Games!D94</f>
        <v>0</v>
      </c>
      <c r="E2378" s="325"/>
      <c r="F2378" s="325" t="s">
        <v>3720</v>
      </c>
      <c r="G2378" s="325" t="str">
        <f>IF(Games!O94="e","Y","")</f>
        <v/>
      </c>
      <c r="H2378" s="325" t="str">
        <f>Games!E94</f>
        <v/>
      </c>
      <c r="I2378" s="325" t="str">
        <f>Games!F94</f>
        <v/>
      </c>
      <c r="J2378" s="325" t="str">
        <f>Games!G94</f>
        <v/>
      </c>
      <c r="K2378" s="325"/>
      <c r="L2378" s="325"/>
      <c r="M2378" s="326" t="str">
        <f t="shared" si="1751"/>
        <v/>
      </c>
      <c r="N2378" s="329" t="str">
        <f t="shared" si="1752"/>
        <v/>
      </c>
      <c r="O2378" s="325">
        <f t="shared" si="1753"/>
        <v>0</v>
      </c>
    </row>
    <row r="2379" spans="1:15" x14ac:dyDescent="0.25">
      <c r="A2379" s="325">
        <v>2</v>
      </c>
      <c r="B2379" s="325">
        <f>B2378</f>
        <v>0</v>
      </c>
      <c r="C2379" s="325" t="str">
        <f>C2378</f>
        <v>GA</v>
      </c>
      <c r="D2379" s="325">
        <f>D2378</f>
        <v>0</v>
      </c>
      <c r="E2379" s="325"/>
      <c r="F2379" s="325" t="str">
        <f>F2378</f>
        <v>Games Aerial</v>
      </c>
      <c r="G2379" s="325" t="str">
        <f>G2378</f>
        <v/>
      </c>
      <c r="H2379" s="325" t="str">
        <f>H2378</f>
        <v/>
      </c>
      <c r="I2379" s="325" t="str">
        <f>I2378</f>
        <v/>
      </c>
      <c r="J2379" s="325" t="str">
        <f>J2378</f>
        <v/>
      </c>
      <c r="K2379" s="325"/>
      <c r="L2379" s="325"/>
      <c r="M2379" s="326" t="str">
        <f>M2378</f>
        <v/>
      </c>
      <c r="N2379" s="329" t="str">
        <f t="shared" si="1754"/>
        <v/>
      </c>
      <c r="O2379" s="325">
        <f>O2378</f>
        <v>0</v>
      </c>
    </row>
    <row r="2380" spans="1:15" x14ac:dyDescent="0.25">
      <c r="A2380" s="2">
        <v>1</v>
      </c>
      <c r="B2380" s="2">
        <f t="shared" si="1750"/>
        <v>0</v>
      </c>
      <c r="C2380" s="2" t="s">
        <v>3721</v>
      </c>
      <c r="D2380" s="2">
        <f>Games!D95</f>
        <v>0</v>
      </c>
      <c r="F2380" s="2" t="s">
        <v>3720</v>
      </c>
      <c r="G2380" s="2" t="str">
        <f>IF(Games!O95="e","Y","")</f>
        <v/>
      </c>
      <c r="H2380" s="2" t="str">
        <f>Games!E95</f>
        <v/>
      </c>
      <c r="I2380" s="2" t="str">
        <f>Games!F95</f>
        <v/>
      </c>
      <c r="J2380" s="2" t="str">
        <f>Games!G95</f>
        <v/>
      </c>
      <c r="M2380" s="180" t="str">
        <f t="shared" si="1751"/>
        <v/>
      </c>
      <c r="N2380" s="329" t="str">
        <f t="shared" si="1752"/>
        <v/>
      </c>
      <c r="O2380" s="2">
        <f t="shared" si="1753"/>
        <v>0</v>
      </c>
    </row>
    <row r="2381" spans="1:15" x14ac:dyDescent="0.25">
      <c r="A2381" s="2">
        <v>2</v>
      </c>
      <c r="B2381" s="2">
        <f>B2380</f>
        <v>0</v>
      </c>
      <c r="C2381" s="2" t="str">
        <f>C2380</f>
        <v>GA</v>
      </c>
      <c r="D2381" s="2">
        <f>D2380</f>
        <v>0</v>
      </c>
      <c r="F2381" s="2" t="str">
        <f>F2380</f>
        <v>Games Aerial</v>
      </c>
      <c r="G2381" s="2" t="str">
        <f>G2380</f>
        <v/>
      </c>
      <c r="H2381" s="2" t="str">
        <f>H2380</f>
        <v/>
      </c>
      <c r="I2381" s="2" t="str">
        <f>I2380</f>
        <v/>
      </c>
      <c r="J2381" s="2" t="str">
        <f>J2380</f>
        <v/>
      </c>
      <c r="M2381" s="180" t="str">
        <f>M2380</f>
        <v/>
      </c>
      <c r="N2381" s="329" t="str">
        <f t="shared" si="1754"/>
        <v/>
      </c>
      <c r="O2381" s="2">
        <f>O2380</f>
        <v>0</v>
      </c>
    </row>
    <row r="2382" spans="1:15" x14ac:dyDescent="0.25">
      <c r="A2382" s="325">
        <v>1</v>
      </c>
      <c r="B2382" s="325">
        <f t="shared" si="1750"/>
        <v>0</v>
      </c>
      <c r="C2382" s="325" t="s">
        <v>3721</v>
      </c>
      <c r="D2382" s="325">
        <f>Games!D96</f>
        <v>0</v>
      </c>
      <c r="E2382" s="325"/>
      <c r="F2382" s="325" t="s">
        <v>3720</v>
      </c>
      <c r="G2382" s="325" t="str">
        <f>IF(Games!O96="e","Y","")</f>
        <v/>
      </c>
      <c r="H2382" s="325" t="str">
        <f>Games!E96</f>
        <v/>
      </c>
      <c r="I2382" s="325" t="str">
        <f>Games!F96</f>
        <v/>
      </c>
      <c r="J2382" s="325" t="str">
        <f>Games!G96</f>
        <v/>
      </c>
      <c r="K2382" s="325"/>
      <c r="L2382" s="325"/>
      <c r="M2382" s="326" t="str">
        <f t="shared" si="1751"/>
        <v/>
      </c>
      <c r="N2382" s="329" t="str">
        <f t="shared" si="1752"/>
        <v/>
      </c>
      <c r="O2382" s="325">
        <f t="shared" si="1753"/>
        <v>0</v>
      </c>
    </row>
    <row r="2383" spans="1:15" x14ac:dyDescent="0.25">
      <c r="A2383" s="325">
        <v>2</v>
      </c>
      <c r="B2383" s="325">
        <f>B2382</f>
        <v>0</v>
      </c>
      <c r="C2383" s="325" t="str">
        <f>C2382</f>
        <v>GA</v>
      </c>
      <c r="D2383" s="325">
        <f>D2382</f>
        <v>0</v>
      </c>
      <c r="E2383" s="325"/>
      <c r="F2383" s="325" t="str">
        <f>F2382</f>
        <v>Games Aerial</v>
      </c>
      <c r="G2383" s="325" t="str">
        <f>G2382</f>
        <v/>
      </c>
      <c r="H2383" s="325" t="str">
        <f>H2382</f>
        <v/>
      </c>
      <c r="I2383" s="325" t="str">
        <f>I2382</f>
        <v/>
      </c>
      <c r="J2383" s="325" t="str">
        <f>J2382</f>
        <v/>
      </c>
      <c r="K2383" s="325"/>
      <c r="L2383" s="325"/>
      <c r="M2383" s="326" t="str">
        <f>M2382</f>
        <v/>
      </c>
      <c r="N2383" s="329" t="str">
        <f t="shared" si="1754"/>
        <v/>
      </c>
      <c r="O2383" s="325">
        <f>O2382</f>
        <v>0</v>
      </c>
    </row>
    <row r="2384" spans="1:15" x14ac:dyDescent="0.25">
      <c r="A2384" s="2">
        <v>1</v>
      </c>
      <c r="B2384" s="2">
        <f t="shared" si="1750"/>
        <v>0</v>
      </c>
      <c r="C2384" s="2" t="s">
        <v>3721</v>
      </c>
      <c r="D2384" s="2">
        <f>Games!D97</f>
        <v>0</v>
      </c>
      <c r="F2384" s="2" t="s">
        <v>3720</v>
      </c>
      <c r="G2384" s="2" t="str">
        <f>IF(Games!O97="e","Y","")</f>
        <v/>
      </c>
      <c r="H2384" s="2" t="str">
        <f>Games!E97</f>
        <v/>
      </c>
      <c r="I2384" s="2" t="str">
        <f>Games!F97</f>
        <v/>
      </c>
      <c r="J2384" s="2" t="str">
        <f>Games!G97</f>
        <v/>
      </c>
      <c r="M2384" s="180" t="str">
        <f t="shared" si="1751"/>
        <v/>
      </c>
      <c r="N2384" s="329" t="str">
        <f t="shared" si="1752"/>
        <v/>
      </c>
      <c r="O2384" s="2">
        <f t="shared" si="1753"/>
        <v>0</v>
      </c>
    </row>
    <row r="2385" spans="1:15" x14ac:dyDescent="0.25">
      <c r="A2385" s="2">
        <v>2</v>
      </c>
      <c r="B2385" s="2">
        <f>B2384</f>
        <v>0</v>
      </c>
      <c r="C2385" s="2" t="str">
        <f>C2384</f>
        <v>GA</v>
      </c>
      <c r="D2385" s="2">
        <f>D2384</f>
        <v>0</v>
      </c>
      <c r="F2385" s="2" t="str">
        <f>F2384</f>
        <v>Games Aerial</v>
      </c>
      <c r="G2385" s="2" t="str">
        <f>G2384</f>
        <v/>
      </c>
      <c r="H2385" s="2" t="str">
        <f>H2384</f>
        <v/>
      </c>
      <c r="I2385" s="2" t="str">
        <f>I2384</f>
        <v/>
      </c>
      <c r="J2385" s="2" t="str">
        <f>J2384</f>
        <v/>
      </c>
      <c r="M2385" s="180" t="str">
        <f>M2384</f>
        <v/>
      </c>
      <c r="N2385" s="329" t="str">
        <f t="shared" si="1754"/>
        <v/>
      </c>
      <c r="O2385" s="2">
        <f>O2384</f>
        <v>0</v>
      </c>
    </row>
    <row r="2386" spans="1:15" x14ac:dyDescent="0.25">
      <c r="A2386" s="325">
        <v>1</v>
      </c>
      <c r="B2386" s="325">
        <f t="shared" ref="B2386:B2420" si="1755">TrialNumberDay2</f>
        <v>0</v>
      </c>
      <c r="C2386" s="325" t="s">
        <v>3721</v>
      </c>
      <c r="D2386" s="325">
        <f>Games!D98</f>
        <v>0</v>
      </c>
      <c r="E2386" s="325"/>
      <c r="F2386" s="325" t="s">
        <v>3720</v>
      </c>
      <c r="G2386" s="325" t="str">
        <f>IF(Games!O98="e","Y","")</f>
        <v/>
      </c>
      <c r="H2386" s="325" t="str">
        <f>Games!E98</f>
        <v/>
      </c>
      <c r="I2386" s="325" t="str">
        <f>Games!F98</f>
        <v/>
      </c>
      <c r="J2386" s="325" t="str">
        <f>Games!G98</f>
        <v/>
      </c>
      <c r="K2386" s="325"/>
      <c r="L2386" s="325"/>
      <c r="M2386" s="326" t="str">
        <f t="shared" ref="M2386:M2420" si="1756">TrialDateDay2</f>
        <v/>
      </c>
      <c r="N2386" s="329" t="str">
        <f t="shared" si="1752"/>
        <v/>
      </c>
      <c r="O2386" s="325">
        <f t="shared" ref="O2386:O2420" si="1757">JudgeD2GamesAerial</f>
        <v>0</v>
      </c>
    </row>
    <row r="2387" spans="1:15" x14ac:dyDescent="0.25">
      <c r="A2387" s="325">
        <v>2</v>
      </c>
      <c r="B2387" s="325">
        <f>B2386</f>
        <v>0</v>
      </c>
      <c r="C2387" s="325" t="str">
        <f>C2386</f>
        <v>GA</v>
      </c>
      <c r="D2387" s="325">
        <f>D2386</f>
        <v>0</v>
      </c>
      <c r="E2387" s="325"/>
      <c r="F2387" s="325" t="str">
        <f>F2386</f>
        <v>Games Aerial</v>
      </c>
      <c r="G2387" s="325" t="str">
        <f>G2386</f>
        <v/>
      </c>
      <c r="H2387" s="325" t="str">
        <f>H2386</f>
        <v/>
      </c>
      <c r="I2387" s="325" t="str">
        <f>I2386</f>
        <v/>
      </c>
      <c r="J2387" s="325" t="str">
        <f>J2386</f>
        <v/>
      </c>
      <c r="K2387" s="325"/>
      <c r="L2387" s="325"/>
      <c r="M2387" s="326" t="str">
        <f>M2386</f>
        <v/>
      </c>
      <c r="N2387" s="329" t="str">
        <f t="shared" si="1754"/>
        <v/>
      </c>
      <c r="O2387" s="325">
        <f>O2386</f>
        <v>0</v>
      </c>
    </row>
    <row r="2388" spans="1:15" x14ac:dyDescent="0.25">
      <c r="A2388" s="2">
        <v>1</v>
      </c>
      <c r="B2388" s="2">
        <f t="shared" si="1755"/>
        <v>0</v>
      </c>
      <c r="C2388" s="2" t="s">
        <v>3721</v>
      </c>
      <c r="D2388" s="2">
        <f>Games!D99</f>
        <v>0</v>
      </c>
      <c r="F2388" s="2" t="s">
        <v>3720</v>
      </c>
      <c r="G2388" s="2" t="str">
        <f>IF(Games!O99="e","Y","")</f>
        <v/>
      </c>
      <c r="H2388" s="2" t="str">
        <f>Games!E99</f>
        <v/>
      </c>
      <c r="I2388" s="2" t="str">
        <f>Games!F99</f>
        <v/>
      </c>
      <c r="J2388" s="2" t="str">
        <f>Games!G99</f>
        <v/>
      </c>
      <c r="M2388" s="180" t="str">
        <f t="shared" si="1756"/>
        <v/>
      </c>
      <c r="N2388" s="329" t="str">
        <f t="shared" si="1752"/>
        <v/>
      </c>
      <c r="O2388" s="2">
        <f t="shared" si="1757"/>
        <v>0</v>
      </c>
    </row>
    <row r="2389" spans="1:15" x14ac:dyDescent="0.25">
      <c r="A2389" s="2">
        <v>2</v>
      </c>
      <c r="B2389" s="2">
        <f>B2388</f>
        <v>0</v>
      </c>
      <c r="C2389" s="2" t="str">
        <f>C2388</f>
        <v>GA</v>
      </c>
      <c r="D2389" s="2">
        <f>D2388</f>
        <v>0</v>
      </c>
      <c r="F2389" s="2" t="str">
        <f>F2388</f>
        <v>Games Aerial</v>
      </c>
      <c r="G2389" s="2" t="str">
        <f>G2388</f>
        <v/>
      </c>
      <c r="H2389" s="2" t="str">
        <f>H2388</f>
        <v/>
      </c>
      <c r="I2389" s="2" t="str">
        <f>I2388</f>
        <v/>
      </c>
      <c r="J2389" s="2" t="str">
        <f>J2388</f>
        <v/>
      </c>
      <c r="M2389" s="180" t="str">
        <f>M2388</f>
        <v/>
      </c>
      <c r="N2389" s="329" t="str">
        <f t="shared" si="1754"/>
        <v/>
      </c>
      <c r="O2389" s="2">
        <f>O2388</f>
        <v>0</v>
      </c>
    </row>
    <row r="2390" spans="1:15" x14ac:dyDescent="0.25">
      <c r="A2390" s="325">
        <v>1</v>
      </c>
      <c r="B2390" s="325">
        <f t="shared" si="1755"/>
        <v>0</v>
      </c>
      <c r="C2390" s="325" t="s">
        <v>3721</v>
      </c>
      <c r="D2390" s="325">
        <f>Games!D100</f>
        <v>0</v>
      </c>
      <c r="E2390" s="325"/>
      <c r="F2390" s="325" t="s">
        <v>3720</v>
      </c>
      <c r="G2390" s="325" t="str">
        <f>IF(Games!O100="e","Y","")</f>
        <v/>
      </c>
      <c r="H2390" s="325" t="str">
        <f>Games!E100</f>
        <v/>
      </c>
      <c r="I2390" s="325" t="str">
        <f>Games!F100</f>
        <v/>
      </c>
      <c r="J2390" s="325" t="str">
        <f>Games!G100</f>
        <v/>
      </c>
      <c r="K2390" s="325"/>
      <c r="L2390" s="325"/>
      <c r="M2390" s="326" t="str">
        <f t="shared" si="1756"/>
        <v/>
      </c>
      <c r="N2390" s="329" t="str">
        <f t="shared" si="1752"/>
        <v/>
      </c>
      <c r="O2390" s="325">
        <f t="shared" si="1757"/>
        <v>0</v>
      </c>
    </row>
    <row r="2391" spans="1:15" x14ac:dyDescent="0.25">
      <c r="A2391" s="325">
        <v>2</v>
      </c>
      <c r="B2391" s="325">
        <f>B2390</f>
        <v>0</v>
      </c>
      <c r="C2391" s="325" t="str">
        <f>C2390</f>
        <v>GA</v>
      </c>
      <c r="D2391" s="325">
        <f>D2390</f>
        <v>0</v>
      </c>
      <c r="E2391" s="325"/>
      <c r="F2391" s="325" t="str">
        <f>F2390</f>
        <v>Games Aerial</v>
      </c>
      <c r="G2391" s="325" t="str">
        <f>G2390</f>
        <v/>
      </c>
      <c r="H2391" s="325" t="str">
        <f>H2390</f>
        <v/>
      </c>
      <c r="I2391" s="325" t="str">
        <f>I2390</f>
        <v/>
      </c>
      <c r="J2391" s="325" t="str">
        <f>J2390</f>
        <v/>
      </c>
      <c r="K2391" s="325"/>
      <c r="L2391" s="325"/>
      <c r="M2391" s="326" t="str">
        <f>M2390</f>
        <v/>
      </c>
      <c r="N2391" s="329" t="str">
        <f t="shared" si="1754"/>
        <v/>
      </c>
      <c r="O2391" s="325">
        <f>O2390</f>
        <v>0</v>
      </c>
    </row>
    <row r="2392" spans="1:15" x14ac:dyDescent="0.25">
      <c r="A2392" s="2">
        <v>1</v>
      </c>
      <c r="B2392" s="2">
        <f t="shared" si="1755"/>
        <v>0</v>
      </c>
      <c r="C2392" s="2" t="s">
        <v>3721</v>
      </c>
      <c r="D2392" s="2">
        <f>Games!D101</f>
        <v>0</v>
      </c>
      <c r="F2392" s="2" t="s">
        <v>3720</v>
      </c>
      <c r="G2392" s="2" t="str">
        <f>IF(Games!O101="e","Y","")</f>
        <v/>
      </c>
      <c r="H2392" s="2" t="str">
        <f>Games!E101</f>
        <v/>
      </c>
      <c r="I2392" s="2" t="str">
        <f>Games!F101</f>
        <v/>
      </c>
      <c r="J2392" s="2" t="str">
        <f>Games!G101</f>
        <v/>
      </c>
      <c r="M2392" s="180" t="str">
        <f t="shared" si="1756"/>
        <v/>
      </c>
      <c r="N2392" s="329" t="str">
        <f t="shared" si="1752"/>
        <v/>
      </c>
      <c r="O2392" s="2">
        <f t="shared" si="1757"/>
        <v>0</v>
      </c>
    </row>
    <row r="2393" spans="1:15" x14ac:dyDescent="0.25">
      <c r="A2393" s="2">
        <v>2</v>
      </c>
      <c r="B2393" s="2">
        <f>B2392</f>
        <v>0</v>
      </c>
      <c r="C2393" s="2" t="str">
        <f>C2392</f>
        <v>GA</v>
      </c>
      <c r="D2393" s="2">
        <f>D2392</f>
        <v>0</v>
      </c>
      <c r="F2393" s="2" t="str">
        <f>F2392</f>
        <v>Games Aerial</v>
      </c>
      <c r="G2393" s="2" t="str">
        <f>G2392</f>
        <v/>
      </c>
      <c r="H2393" s="2" t="str">
        <f>H2392</f>
        <v/>
      </c>
      <c r="I2393" s="2" t="str">
        <f>I2392</f>
        <v/>
      </c>
      <c r="J2393" s="2" t="str">
        <f>J2392</f>
        <v/>
      </c>
      <c r="M2393" s="180" t="str">
        <f>M2392</f>
        <v/>
      </c>
      <c r="N2393" s="329" t="str">
        <f t="shared" si="1754"/>
        <v/>
      </c>
      <c r="O2393" s="2">
        <f>O2392</f>
        <v>0</v>
      </c>
    </row>
    <row r="2394" spans="1:15" x14ac:dyDescent="0.25">
      <c r="A2394" s="325">
        <v>1</v>
      </c>
      <c r="B2394" s="325">
        <f t="shared" si="1755"/>
        <v>0</v>
      </c>
      <c r="C2394" s="325" t="s">
        <v>3721</v>
      </c>
      <c r="D2394" s="325">
        <f>Games!D102</f>
        <v>0</v>
      </c>
      <c r="E2394" s="325"/>
      <c r="F2394" s="325" t="s">
        <v>3720</v>
      </c>
      <c r="G2394" s="325" t="str">
        <f>IF(Games!O102="e","Y","")</f>
        <v/>
      </c>
      <c r="H2394" s="325" t="str">
        <f>Games!E102</f>
        <v/>
      </c>
      <c r="I2394" s="325" t="str">
        <f>Games!F102</f>
        <v/>
      </c>
      <c r="J2394" s="325" t="str">
        <f>Games!G102</f>
        <v/>
      </c>
      <c r="K2394" s="325"/>
      <c r="L2394" s="325"/>
      <c r="M2394" s="326" t="str">
        <f t="shared" si="1756"/>
        <v/>
      </c>
      <c r="N2394" s="329" t="str">
        <f t="shared" si="1752"/>
        <v/>
      </c>
      <c r="O2394" s="325">
        <f t="shared" si="1757"/>
        <v>0</v>
      </c>
    </row>
    <row r="2395" spans="1:15" x14ac:dyDescent="0.25">
      <c r="A2395" s="325">
        <v>2</v>
      </c>
      <c r="B2395" s="325">
        <f>B2394</f>
        <v>0</v>
      </c>
      <c r="C2395" s="325" t="str">
        <f>C2394</f>
        <v>GA</v>
      </c>
      <c r="D2395" s="325">
        <f>D2394</f>
        <v>0</v>
      </c>
      <c r="E2395" s="325"/>
      <c r="F2395" s="325" t="str">
        <f>F2394</f>
        <v>Games Aerial</v>
      </c>
      <c r="G2395" s="325" t="str">
        <f>G2394</f>
        <v/>
      </c>
      <c r="H2395" s="325" t="str">
        <f>H2394</f>
        <v/>
      </c>
      <c r="I2395" s="325" t="str">
        <f>I2394</f>
        <v/>
      </c>
      <c r="J2395" s="325" t="str">
        <f>J2394</f>
        <v/>
      </c>
      <c r="K2395" s="325"/>
      <c r="L2395" s="325"/>
      <c r="M2395" s="326" t="str">
        <f>M2394</f>
        <v/>
      </c>
      <c r="N2395" s="329" t="str">
        <f t="shared" si="1754"/>
        <v/>
      </c>
      <c r="O2395" s="325">
        <f>O2394</f>
        <v>0</v>
      </c>
    </row>
    <row r="2396" spans="1:15" x14ac:dyDescent="0.25">
      <c r="A2396" s="2">
        <v>1</v>
      </c>
      <c r="B2396" s="2">
        <f t="shared" si="1755"/>
        <v>0</v>
      </c>
      <c r="C2396" s="2" t="s">
        <v>3721</v>
      </c>
      <c r="D2396" s="2">
        <f>Games!D103</f>
        <v>0</v>
      </c>
      <c r="F2396" s="2" t="s">
        <v>3720</v>
      </c>
      <c r="G2396" s="2" t="str">
        <f>IF(Games!O103="e","Y","")</f>
        <v/>
      </c>
      <c r="H2396" s="2" t="str">
        <f>Games!E103</f>
        <v/>
      </c>
      <c r="I2396" s="2" t="str">
        <f>Games!F103</f>
        <v/>
      </c>
      <c r="J2396" s="2" t="str">
        <f>Games!G103</f>
        <v/>
      </c>
      <c r="M2396" s="180" t="str">
        <f t="shared" si="1756"/>
        <v/>
      </c>
      <c r="N2396" s="329" t="str">
        <f t="shared" si="1752"/>
        <v/>
      </c>
      <c r="O2396" s="2">
        <f t="shared" si="1757"/>
        <v>0</v>
      </c>
    </row>
    <row r="2397" spans="1:15" x14ac:dyDescent="0.25">
      <c r="A2397" s="2">
        <v>2</v>
      </c>
      <c r="B2397" s="2">
        <f>B2396</f>
        <v>0</v>
      </c>
      <c r="C2397" s="2" t="str">
        <f>C2396</f>
        <v>GA</v>
      </c>
      <c r="D2397" s="2">
        <f>D2396</f>
        <v>0</v>
      </c>
      <c r="F2397" s="2" t="str">
        <f>F2396</f>
        <v>Games Aerial</v>
      </c>
      <c r="G2397" s="2" t="str">
        <f>G2396</f>
        <v/>
      </c>
      <c r="H2397" s="2" t="str">
        <f>H2396</f>
        <v/>
      </c>
      <c r="I2397" s="2" t="str">
        <f>I2396</f>
        <v/>
      </c>
      <c r="J2397" s="2" t="str">
        <f>J2396</f>
        <v/>
      </c>
      <c r="M2397" s="180" t="str">
        <f>M2396</f>
        <v/>
      </c>
      <c r="N2397" s="329" t="str">
        <f t="shared" si="1754"/>
        <v/>
      </c>
      <c r="O2397" s="2">
        <f>O2396</f>
        <v>0</v>
      </c>
    </row>
    <row r="2398" spans="1:15" x14ac:dyDescent="0.25">
      <c r="A2398" s="325">
        <v>1</v>
      </c>
      <c r="B2398" s="325">
        <f t="shared" si="1755"/>
        <v>0</v>
      </c>
      <c r="C2398" s="325" t="s">
        <v>3721</v>
      </c>
      <c r="D2398" s="325">
        <f>Games!D104</f>
        <v>0</v>
      </c>
      <c r="E2398" s="325"/>
      <c r="F2398" s="325" t="s">
        <v>3720</v>
      </c>
      <c r="G2398" s="325" t="str">
        <f>IF(Games!O104="e","Y","")</f>
        <v/>
      </c>
      <c r="H2398" s="325" t="str">
        <f>Games!E104</f>
        <v/>
      </c>
      <c r="I2398" s="325" t="str">
        <f>Games!F104</f>
        <v/>
      </c>
      <c r="J2398" s="325" t="str">
        <f>Games!G104</f>
        <v/>
      </c>
      <c r="K2398" s="325"/>
      <c r="L2398" s="325"/>
      <c r="M2398" s="326" t="str">
        <f t="shared" si="1756"/>
        <v/>
      </c>
      <c r="N2398" s="329" t="str">
        <f t="shared" si="1752"/>
        <v/>
      </c>
      <c r="O2398" s="325">
        <f t="shared" si="1757"/>
        <v>0</v>
      </c>
    </row>
    <row r="2399" spans="1:15" x14ac:dyDescent="0.25">
      <c r="A2399" s="325">
        <v>2</v>
      </c>
      <c r="B2399" s="325">
        <f>B2398</f>
        <v>0</v>
      </c>
      <c r="C2399" s="325" t="str">
        <f>C2398</f>
        <v>GA</v>
      </c>
      <c r="D2399" s="325">
        <f>D2398</f>
        <v>0</v>
      </c>
      <c r="E2399" s="325"/>
      <c r="F2399" s="325" t="str">
        <f>F2398</f>
        <v>Games Aerial</v>
      </c>
      <c r="G2399" s="325" t="str">
        <f>G2398</f>
        <v/>
      </c>
      <c r="H2399" s="325" t="str">
        <f>H2398</f>
        <v/>
      </c>
      <c r="I2399" s="325" t="str">
        <f>I2398</f>
        <v/>
      </c>
      <c r="J2399" s="325" t="str">
        <f>J2398</f>
        <v/>
      </c>
      <c r="K2399" s="325"/>
      <c r="L2399" s="325"/>
      <c r="M2399" s="326" t="str">
        <f>M2398</f>
        <v/>
      </c>
      <c r="N2399" s="329" t="str">
        <f t="shared" si="1754"/>
        <v/>
      </c>
      <c r="O2399" s="325">
        <f>O2398</f>
        <v>0</v>
      </c>
    </row>
    <row r="2400" spans="1:15" x14ac:dyDescent="0.25">
      <c r="A2400" s="2">
        <v>1</v>
      </c>
      <c r="B2400" s="2">
        <f t="shared" si="1755"/>
        <v>0</v>
      </c>
      <c r="C2400" s="2" t="s">
        <v>3721</v>
      </c>
      <c r="D2400" s="2">
        <f>Games!D105</f>
        <v>0</v>
      </c>
      <c r="F2400" s="2" t="s">
        <v>3720</v>
      </c>
      <c r="G2400" s="2" t="str">
        <f>IF(Games!O105="e","Y","")</f>
        <v/>
      </c>
      <c r="H2400" s="2" t="str">
        <f>Games!E105</f>
        <v/>
      </c>
      <c r="I2400" s="2" t="str">
        <f>Games!F105</f>
        <v/>
      </c>
      <c r="J2400" s="2" t="str">
        <f>Games!G105</f>
        <v/>
      </c>
      <c r="M2400" s="180" t="str">
        <f t="shared" si="1756"/>
        <v/>
      </c>
      <c r="N2400" s="329" t="str">
        <f t="shared" si="1752"/>
        <v/>
      </c>
      <c r="O2400" s="2">
        <f t="shared" si="1757"/>
        <v>0</v>
      </c>
    </row>
    <row r="2401" spans="1:15" x14ac:dyDescent="0.25">
      <c r="A2401" s="2">
        <v>2</v>
      </c>
      <c r="B2401" s="2">
        <f>B2400</f>
        <v>0</v>
      </c>
      <c r="C2401" s="2" t="str">
        <f>C2400</f>
        <v>GA</v>
      </c>
      <c r="D2401" s="2">
        <f>D2400</f>
        <v>0</v>
      </c>
      <c r="F2401" s="2" t="str">
        <f>F2400</f>
        <v>Games Aerial</v>
      </c>
      <c r="G2401" s="2" t="str">
        <f>G2400</f>
        <v/>
      </c>
      <c r="H2401" s="2" t="str">
        <f>H2400</f>
        <v/>
      </c>
      <c r="I2401" s="2" t="str">
        <f>I2400</f>
        <v/>
      </c>
      <c r="J2401" s="2" t="str">
        <f>J2400</f>
        <v/>
      </c>
      <c r="M2401" s="180" t="str">
        <f>M2400</f>
        <v/>
      </c>
      <c r="N2401" s="329" t="str">
        <f t="shared" si="1754"/>
        <v/>
      </c>
      <c r="O2401" s="2">
        <f>O2400</f>
        <v>0</v>
      </c>
    </row>
    <row r="2402" spans="1:15" x14ac:dyDescent="0.25">
      <c r="A2402" s="325">
        <v>1</v>
      </c>
      <c r="B2402" s="325">
        <f t="shared" si="1755"/>
        <v>0</v>
      </c>
      <c r="C2402" s="325" t="s">
        <v>3721</v>
      </c>
      <c r="D2402" s="325">
        <f>Games!D106</f>
        <v>0</v>
      </c>
      <c r="E2402" s="325"/>
      <c r="F2402" s="325" t="s">
        <v>3720</v>
      </c>
      <c r="G2402" s="325" t="str">
        <f>IF(Games!O106="e","Y","")</f>
        <v/>
      </c>
      <c r="H2402" s="325" t="str">
        <f>Games!E106</f>
        <v/>
      </c>
      <c r="I2402" s="325" t="str">
        <f>Games!F106</f>
        <v/>
      </c>
      <c r="J2402" s="325" t="str">
        <f>Games!G106</f>
        <v/>
      </c>
      <c r="K2402" s="325"/>
      <c r="L2402" s="325"/>
      <c r="M2402" s="326" t="str">
        <f t="shared" si="1756"/>
        <v/>
      </c>
      <c r="N2402" s="329" t="str">
        <f t="shared" si="1752"/>
        <v/>
      </c>
      <c r="O2402" s="325">
        <f t="shared" si="1757"/>
        <v>0</v>
      </c>
    </row>
    <row r="2403" spans="1:15" x14ac:dyDescent="0.25">
      <c r="A2403" s="325">
        <v>2</v>
      </c>
      <c r="B2403" s="325">
        <f>B2402</f>
        <v>0</v>
      </c>
      <c r="C2403" s="325" t="str">
        <f>C2402</f>
        <v>GA</v>
      </c>
      <c r="D2403" s="325">
        <f>D2402</f>
        <v>0</v>
      </c>
      <c r="E2403" s="325"/>
      <c r="F2403" s="325" t="str">
        <f>F2402</f>
        <v>Games Aerial</v>
      </c>
      <c r="G2403" s="325" t="str">
        <f>G2402</f>
        <v/>
      </c>
      <c r="H2403" s="325" t="str">
        <f>H2402</f>
        <v/>
      </c>
      <c r="I2403" s="325" t="str">
        <f>I2402</f>
        <v/>
      </c>
      <c r="J2403" s="325" t="str">
        <f>J2402</f>
        <v/>
      </c>
      <c r="K2403" s="325"/>
      <c r="L2403" s="325"/>
      <c r="M2403" s="326" t="str">
        <f>M2402</f>
        <v/>
      </c>
      <c r="N2403" s="329" t="str">
        <f t="shared" si="1754"/>
        <v/>
      </c>
      <c r="O2403" s="325">
        <f>O2402</f>
        <v>0</v>
      </c>
    </row>
    <row r="2404" spans="1:15" x14ac:dyDescent="0.25">
      <c r="A2404" s="2">
        <v>1</v>
      </c>
      <c r="B2404" s="2">
        <f t="shared" si="1755"/>
        <v>0</v>
      </c>
      <c r="C2404" s="2" t="s">
        <v>3721</v>
      </c>
      <c r="D2404" s="2">
        <f>Games!D107</f>
        <v>0</v>
      </c>
      <c r="F2404" s="2" t="s">
        <v>3720</v>
      </c>
      <c r="G2404" s="2" t="str">
        <f>IF(Games!O107="e","Y","")</f>
        <v/>
      </c>
      <c r="H2404" s="2" t="str">
        <f>Games!E107</f>
        <v/>
      </c>
      <c r="I2404" s="2" t="str">
        <f>Games!F107</f>
        <v/>
      </c>
      <c r="J2404" s="2" t="str">
        <f>Games!G107</f>
        <v/>
      </c>
      <c r="M2404" s="180" t="str">
        <f t="shared" si="1756"/>
        <v/>
      </c>
      <c r="N2404" s="329" t="str">
        <f t="shared" si="1752"/>
        <v/>
      </c>
      <c r="O2404" s="2">
        <f t="shared" si="1757"/>
        <v>0</v>
      </c>
    </row>
    <row r="2405" spans="1:15" x14ac:dyDescent="0.25">
      <c r="A2405" s="2">
        <v>2</v>
      </c>
      <c r="B2405" s="2">
        <f>B2404</f>
        <v>0</v>
      </c>
      <c r="C2405" s="2" t="str">
        <f>C2404</f>
        <v>GA</v>
      </c>
      <c r="D2405" s="2">
        <f>D2404</f>
        <v>0</v>
      </c>
      <c r="F2405" s="2" t="str">
        <f>F2404</f>
        <v>Games Aerial</v>
      </c>
      <c r="G2405" s="2" t="str">
        <f>G2404</f>
        <v/>
      </c>
      <c r="H2405" s="2" t="str">
        <f>H2404</f>
        <v/>
      </c>
      <c r="I2405" s="2" t="str">
        <f>I2404</f>
        <v/>
      </c>
      <c r="J2405" s="2" t="str">
        <f>J2404</f>
        <v/>
      </c>
      <c r="M2405" s="180" t="str">
        <f>M2404</f>
        <v/>
      </c>
      <c r="N2405" s="329" t="str">
        <f t="shared" si="1754"/>
        <v/>
      </c>
      <c r="O2405" s="2">
        <f>O2404</f>
        <v>0</v>
      </c>
    </row>
    <row r="2406" spans="1:15" x14ac:dyDescent="0.25">
      <c r="A2406" s="325">
        <v>1</v>
      </c>
      <c r="B2406" s="325">
        <f t="shared" si="1755"/>
        <v>0</v>
      </c>
      <c r="C2406" s="325" t="s">
        <v>3721</v>
      </c>
      <c r="D2406" s="325">
        <f>Games!D108</f>
        <v>0</v>
      </c>
      <c r="E2406" s="325"/>
      <c r="F2406" s="325" t="s">
        <v>3720</v>
      </c>
      <c r="G2406" s="325" t="str">
        <f>IF(Games!O108="e","Y","")</f>
        <v/>
      </c>
      <c r="H2406" s="325" t="str">
        <f>Games!E108</f>
        <v/>
      </c>
      <c r="I2406" s="325" t="str">
        <f>Games!F108</f>
        <v/>
      </c>
      <c r="J2406" s="325" t="str">
        <f>Games!G108</f>
        <v/>
      </c>
      <c r="K2406" s="325"/>
      <c r="L2406" s="325"/>
      <c r="M2406" s="326" t="str">
        <f t="shared" si="1756"/>
        <v/>
      </c>
      <c r="N2406" s="329" t="str">
        <f t="shared" si="1752"/>
        <v/>
      </c>
      <c r="O2406" s="325">
        <f t="shared" si="1757"/>
        <v>0</v>
      </c>
    </row>
    <row r="2407" spans="1:15" x14ac:dyDescent="0.25">
      <c r="A2407" s="325">
        <v>2</v>
      </c>
      <c r="B2407" s="325">
        <f>B2406</f>
        <v>0</v>
      </c>
      <c r="C2407" s="325" t="str">
        <f>C2406</f>
        <v>GA</v>
      </c>
      <c r="D2407" s="325">
        <f>D2406</f>
        <v>0</v>
      </c>
      <c r="E2407" s="325"/>
      <c r="F2407" s="325" t="str">
        <f>F2406</f>
        <v>Games Aerial</v>
      </c>
      <c r="G2407" s="325" t="str">
        <f>G2406</f>
        <v/>
      </c>
      <c r="H2407" s="325" t="str">
        <f>H2406</f>
        <v/>
      </c>
      <c r="I2407" s="325" t="str">
        <f>I2406</f>
        <v/>
      </c>
      <c r="J2407" s="325" t="str">
        <f>J2406</f>
        <v/>
      </c>
      <c r="K2407" s="325"/>
      <c r="L2407" s="325"/>
      <c r="M2407" s="326" t="str">
        <f>M2406</f>
        <v/>
      </c>
      <c r="N2407" s="329" t="str">
        <f t="shared" si="1754"/>
        <v/>
      </c>
      <c r="O2407" s="325">
        <f>O2406</f>
        <v>0</v>
      </c>
    </row>
    <row r="2408" spans="1:15" x14ac:dyDescent="0.25">
      <c r="A2408" s="2">
        <v>1</v>
      </c>
      <c r="B2408" s="2">
        <f t="shared" si="1755"/>
        <v>0</v>
      </c>
      <c r="C2408" s="2" t="s">
        <v>3721</v>
      </c>
      <c r="D2408" s="2">
        <f>Games!D109</f>
        <v>0</v>
      </c>
      <c r="F2408" s="2" t="s">
        <v>3720</v>
      </c>
      <c r="G2408" s="2" t="str">
        <f>IF(Games!O109="e","Y","")</f>
        <v/>
      </c>
      <c r="H2408" s="2" t="str">
        <f>Games!E109</f>
        <v/>
      </c>
      <c r="I2408" s="2" t="str">
        <f>Games!F109</f>
        <v/>
      </c>
      <c r="J2408" s="2" t="str">
        <f>Games!G109</f>
        <v/>
      </c>
      <c r="M2408" s="180" t="str">
        <f t="shared" si="1756"/>
        <v/>
      </c>
      <c r="N2408" s="329" t="str">
        <f t="shared" si="1752"/>
        <v/>
      </c>
      <c r="O2408" s="2">
        <f t="shared" si="1757"/>
        <v>0</v>
      </c>
    </row>
    <row r="2409" spans="1:15" x14ac:dyDescent="0.25">
      <c r="A2409" s="2">
        <v>2</v>
      </c>
      <c r="B2409" s="2">
        <f>B2408</f>
        <v>0</v>
      </c>
      <c r="C2409" s="2" t="str">
        <f>C2408</f>
        <v>GA</v>
      </c>
      <c r="D2409" s="2">
        <f>D2408</f>
        <v>0</v>
      </c>
      <c r="F2409" s="2" t="str">
        <f>F2408</f>
        <v>Games Aerial</v>
      </c>
      <c r="G2409" s="2" t="str">
        <f>G2408</f>
        <v/>
      </c>
      <c r="H2409" s="2" t="str">
        <f>H2408</f>
        <v/>
      </c>
      <c r="I2409" s="2" t="str">
        <f>I2408</f>
        <v/>
      </c>
      <c r="J2409" s="2" t="str">
        <f>J2408</f>
        <v/>
      </c>
      <c r="M2409" s="180" t="str">
        <f>M2408</f>
        <v/>
      </c>
      <c r="N2409" s="329" t="str">
        <f t="shared" si="1754"/>
        <v/>
      </c>
      <c r="O2409" s="2">
        <f>O2408</f>
        <v>0</v>
      </c>
    </row>
    <row r="2410" spans="1:15" x14ac:dyDescent="0.25">
      <c r="A2410" s="325">
        <v>1</v>
      </c>
      <c r="B2410" s="325">
        <f t="shared" si="1755"/>
        <v>0</v>
      </c>
      <c r="C2410" s="325" t="s">
        <v>3721</v>
      </c>
      <c r="D2410" s="325">
        <f>Games!D110</f>
        <v>0</v>
      </c>
      <c r="E2410" s="325"/>
      <c r="F2410" s="325" t="s">
        <v>3720</v>
      </c>
      <c r="G2410" s="325" t="str">
        <f>IF(Games!O110="e","Y","")</f>
        <v/>
      </c>
      <c r="H2410" s="325" t="str">
        <f>Games!E110</f>
        <v/>
      </c>
      <c r="I2410" s="325" t="str">
        <f>Games!F110</f>
        <v/>
      </c>
      <c r="J2410" s="325" t="str">
        <f>Games!G110</f>
        <v/>
      </c>
      <c r="K2410" s="325"/>
      <c r="L2410" s="325"/>
      <c r="M2410" s="326" t="str">
        <f t="shared" si="1756"/>
        <v/>
      </c>
      <c r="N2410" s="329" t="str">
        <f t="shared" si="1752"/>
        <v/>
      </c>
      <c r="O2410" s="325">
        <f t="shared" si="1757"/>
        <v>0</v>
      </c>
    </row>
    <row r="2411" spans="1:15" x14ac:dyDescent="0.25">
      <c r="A2411" s="325">
        <v>2</v>
      </c>
      <c r="B2411" s="325">
        <f>B2410</f>
        <v>0</v>
      </c>
      <c r="C2411" s="325" t="str">
        <f>C2410</f>
        <v>GA</v>
      </c>
      <c r="D2411" s="325">
        <f>D2410</f>
        <v>0</v>
      </c>
      <c r="E2411" s="325"/>
      <c r="F2411" s="325" t="str">
        <f>F2410</f>
        <v>Games Aerial</v>
      </c>
      <c r="G2411" s="325" t="str">
        <f>G2410</f>
        <v/>
      </c>
      <c r="H2411" s="325" t="str">
        <f>H2410</f>
        <v/>
      </c>
      <c r="I2411" s="325" t="str">
        <f>I2410</f>
        <v/>
      </c>
      <c r="J2411" s="325" t="str">
        <f>J2410</f>
        <v/>
      </c>
      <c r="K2411" s="325"/>
      <c r="L2411" s="325"/>
      <c r="M2411" s="326" t="str">
        <f>M2410</f>
        <v/>
      </c>
      <c r="N2411" s="329" t="str">
        <f t="shared" si="1754"/>
        <v/>
      </c>
      <c r="O2411" s="325">
        <f>O2410</f>
        <v>0</v>
      </c>
    </row>
    <row r="2412" spans="1:15" x14ac:dyDescent="0.25">
      <c r="A2412" s="2">
        <v>1</v>
      </c>
      <c r="B2412" s="2">
        <f t="shared" si="1755"/>
        <v>0</v>
      </c>
      <c r="C2412" s="2" t="s">
        <v>3721</v>
      </c>
      <c r="D2412" s="2">
        <f>Games!D111</f>
        <v>0</v>
      </c>
      <c r="F2412" s="2" t="s">
        <v>3720</v>
      </c>
      <c r="G2412" s="2" t="str">
        <f>IF(Games!O111="e","Y","")</f>
        <v/>
      </c>
      <c r="H2412" s="2" t="str">
        <f>Games!E111</f>
        <v/>
      </c>
      <c r="I2412" s="2" t="str">
        <f>Games!F111</f>
        <v/>
      </c>
      <c r="J2412" s="2" t="str">
        <f>Games!G111</f>
        <v/>
      </c>
      <c r="M2412" s="180" t="str">
        <f t="shared" si="1756"/>
        <v/>
      </c>
      <c r="N2412" s="329" t="str">
        <f t="shared" si="1752"/>
        <v/>
      </c>
      <c r="O2412" s="2">
        <f t="shared" si="1757"/>
        <v>0</v>
      </c>
    </row>
    <row r="2413" spans="1:15" x14ac:dyDescent="0.25">
      <c r="A2413" s="2">
        <v>2</v>
      </c>
      <c r="B2413" s="2">
        <f>B2412</f>
        <v>0</v>
      </c>
      <c r="C2413" s="2" t="str">
        <f>C2412</f>
        <v>GA</v>
      </c>
      <c r="D2413" s="2">
        <f>D2412</f>
        <v>0</v>
      </c>
      <c r="F2413" s="2" t="str">
        <f>F2412</f>
        <v>Games Aerial</v>
      </c>
      <c r="G2413" s="2" t="str">
        <f>G2412</f>
        <v/>
      </c>
      <c r="H2413" s="2" t="str">
        <f>H2412</f>
        <v/>
      </c>
      <c r="I2413" s="2" t="str">
        <f>I2412</f>
        <v/>
      </c>
      <c r="J2413" s="2" t="str">
        <f>J2412</f>
        <v/>
      </c>
      <c r="M2413" s="180" t="str">
        <f>M2412</f>
        <v/>
      </c>
      <c r="N2413" s="329" t="str">
        <f t="shared" si="1754"/>
        <v/>
      </c>
      <c r="O2413" s="2">
        <f>O2412</f>
        <v>0</v>
      </c>
    </row>
    <row r="2414" spans="1:15" x14ac:dyDescent="0.25">
      <c r="A2414" s="325">
        <v>1</v>
      </c>
      <c r="B2414" s="325">
        <f t="shared" si="1755"/>
        <v>0</v>
      </c>
      <c r="C2414" s="325" t="s">
        <v>3721</v>
      </c>
      <c r="D2414" s="325">
        <f>Games!D112</f>
        <v>0</v>
      </c>
      <c r="E2414" s="325"/>
      <c r="F2414" s="325" t="s">
        <v>3720</v>
      </c>
      <c r="G2414" s="325" t="str">
        <f>IF(Games!O112="e","Y","")</f>
        <v/>
      </c>
      <c r="H2414" s="325" t="str">
        <f>Games!E112</f>
        <v/>
      </c>
      <c r="I2414" s="325" t="str">
        <f>Games!F112</f>
        <v/>
      </c>
      <c r="J2414" s="325" t="str">
        <f>Games!G112</f>
        <v/>
      </c>
      <c r="K2414" s="325"/>
      <c r="L2414" s="325"/>
      <c r="M2414" s="326" t="str">
        <f t="shared" si="1756"/>
        <v/>
      </c>
      <c r="N2414" s="329" t="str">
        <f t="shared" si="1752"/>
        <v/>
      </c>
      <c r="O2414" s="325">
        <f t="shared" si="1757"/>
        <v>0</v>
      </c>
    </row>
    <row r="2415" spans="1:15" x14ac:dyDescent="0.25">
      <c r="A2415" s="325">
        <v>2</v>
      </c>
      <c r="B2415" s="325">
        <f>B2414</f>
        <v>0</v>
      </c>
      <c r="C2415" s="325" t="str">
        <f>C2414</f>
        <v>GA</v>
      </c>
      <c r="D2415" s="325">
        <f>D2414</f>
        <v>0</v>
      </c>
      <c r="E2415" s="325"/>
      <c r="F2415" s="325" t="str">
        <f>F2414</f>
        <v>Games Aerial</v>
      </c>
      <c r="G2415" s="325" t="str">
        <f>G2414</f>
        <v/>
      </c>
      <c r="H2415" s="325" t="str">
        <f>H2414</f>
        <v/>
      </c>
      <c r="I2415" s="325" t="str">
        <f>I2414</f>
        <v/>
      </c>
      <c r="J2415" s="325" t="str">
        <f>J2414</f>
        <v/>
      </c>
      <c r="K2415" s="325"/>
      <c r="L2415" s="325"/>
      <c r="M2415" s="326" t="str">
        <f>M2414</f>
        <v/>
      </c>
      <c r="N2415" s="329" t="str">
        <f t="shared" si="1754"/>
        <v/>
      </c>
      <c r="O2415" s="325">
        <f>O2414</f>
        <v>0</v>
      </c>
    </row>
    <row r="2416" spans="1:15" x14ac:dyDescent="0.25">
      <c r="A2416" s="2">
        <v>1</v>
      </c>
      <c r="B2416" s="2">
        <f t="shared" si="1755"/>
        <v>0</v>
      </c>
      <c r="C2416" s="2" t="s">
        <v>3721</v>
      </c>
      <c r="D2416" s="2">
        <f>Games!D113</f>
        <v>0</v>
      </c>
      <c r="F2416" s="2" t="s">
        <v>3720</v>
      </c>
      <c r="G2416" s="2" t="str">
        <f>IF(Games!O113="e","Y","")</f>
        <v/>
      </c>
      <c r="H2416" s="2" t="str">
        <f>Games!E113</f>
        <v/>
      </c>
      <c r="I2416" s="2" t="str">
        <f>Games!F113</f>
        <v/>
      </c>
      <c r="J2416" s="2" t="str">
        <f>Games!G113</f>
        <v/>
      </c>
      <c r="M2416" s="180" t="str">
        <f t="shared" si="1756"/>
        <v/>
      </c>
      <c r="N2416" s="329" t="str">
        <f t="shared" si="1752"/>
        <v/>
      </c>
      <c r="O2416" s="2">
        <f t="shared" si="1757"/>
        <v>0</v>
      </c>
    </row>
    <row r="2417" spans="1:15" x14ac:dyDescent="0.25">
      <c r="A2417" s="2">
        <v>2</v>
      </c>
      <c r="B2417" s="2">
        <f>B2416</f>
        <v>0</v>
      </c>
      <c r="C2417" s="2" t="str">
        <f>C2416</f>
        <v>GA</v>
      </c>
      <c r="D2417" s="2">
        <f>D2416</f>
        <v>0</v>
      </c>
      <c r="F2417" s="2" t="str">
        <f>F2416</f>
        <v>Games Aerial</v>
      </c>
      <c r="G2417" s="2" t="str">
        <f>G2416</f>
        <v/>
      </c>
      <c r="H2417" s="2" t="str">
        <f>H2416</f>
        <v/>
      </c>
      <c r="I2417" s="2" t="str">
        <f>I2416</f>
        <v/>
      </c>
      <c r="J2417" s="2" t="str">
        <f>J2416</f>
        <v/>
      </c>
      <c r="M2417" s="180" t="str">
        <f>M2416</f>
        <v/>
      </c>
      <c r="N2417" s="329" t="str">
        <f t="shared" si="1754"/>
        <v/>
      </c>
      <c r="O2417" s="2">
        <f>O2416</f>
        <v>0</v>
      </c>
    </row>
    <row r="2418" spans="1:15" x14ac:dyDescent="0.25">
      <c r="A2418" s="325">
        <v>1</v>
      </c>
      <c r="B2418" s="325">
        <f t="shared" si="1755"/>
        <v>0</v>
      </c>
      <c r="C2418" s="325" t="s">
        <v>3721</v>
      </c>
      <c r="D2418" s="325">
        <f>Games!D114</f>
        <v>0</v>
      </c>
      <c r="E2418" s="325"/>
      <c r="F2418" s="325" t="s">
        <v>3720</v>
      </c>
      <c r="G2418" s="325" t="str">
        <f>IF(Games!O114="e","Y","")</f>
        <v/>
      </c>
      <c r="H2418" s="325" t="str">
        <f>Games!E114</f>
        <v/>
      </c>
      <c r="I2418" s="325" t="str">
        <f>Games!F114</f>
        <v/>
      </c>
      <c r="J2418" s="325" t="str">
        <f>Games!G114</f>
        <v/>
      </c>
      <c r="K2418" s="325"/>
      <c r="L2418" s="325"/>
      <c r="M2418" s="326" t="str">
        <f t="shared" si="1756"/>
        <v/>
      </c>
      <c r="N2418" s="329" t="str">
        <f t="shared" si="1752"/>
        <v/>
      </c>
      <c r="O2418" s="325">
        <f t="shared" si="1757"/>
        <v>0</v>
      </c>
    </row>
    <row r="2419" spans="1:15" x14ac:dyDescent="0.25">
      <c r="A2419" s="325">
        <v>2</v>
      </c>
      <c r="B2419" s="325">
        <f>B2418</f>
        <v>0</v>
      </c>
      <c r="C2419" s="325" t="str">
        <f>C2418</f>
        <v>GA</v>
      </c>
      <c r="D2419" s="325">
        <f>D2418</f>
        <v>0</v>
      </c>
      <c r="E2419" s="325"/>
      <c r="F2419" s="325" t="str">
        <f>F2418</f>
        <v>Games Aerial</v>
      </c>
      <c r="G2419" s="325" t="str">
        <f>G2418</f>
        <v/>
      </c>
      <c r="H2419" s="325" t="str">
        <f>H2418</f>
        <v/>
      </c>
      <c r="I2419" s="325" t="str">
        <f>I2418</f>
        <v/>
      </c>
      <c r="J2419" s="325" t="str">
        <f>J2418</f>
        <v/>
      </c>
      <c r="K2419" s="325"/>
      <c r="L2419" s="325"/>
      <c r="M2419" s="326" t="str">
        <f>M2418</f>
        <v/>
      </c>
      <c r="N2419" s="329" t="str">
        <f t="shared" si="1754"/>
        <v/>
      </c>
      <c r="O2419" s="325">
        <f>O2418</f>
        <v>0</v>
      </c>
    </row>
    <row r="2420" spans="1:15" x14ac:dyDescent="0.25">
      <c r="A2420" s="2">
        <v>1</v>
      </c>
      <c r="B2420" s="2">
        <f t="shared" si="1755"/>
        <v>0</v>
      </c>
      <c r="C2420" s="2" t="s">
        <v>3721</v>
      </c>
      <c r="D2420" s="2">
        <f>Games!D115</f>
        <v>0</v>
      </c>
      <c r="F2420" s="2" t="s">
        <v>3720</v>
      </c>
      <c r="G2420" s="2" t="str">
        <f>IF(Games!O115="e","Y","")</f>
        <v/>
      </c>
      <c r="H2420" s="2" t="str">
        <f>Games!E115</f>
        <v/>
      </c>
      <c r="I2420" s="2" t="str">
        <f>Games!F115</f>
        <v/>
      </c>
      <c r="J2420" s="2" t="str">
        <f>Games!G115</f>
        <v/>
      </c>
      <c r="M2420" s="180" t="str">
        <f t="shared" si="1756"/>
        <v/>
      </c>
      <c r="N2420" s="329" t="str">
        <f t="shared" si="1752"/>
        <v/>
      </c>
      <c r="O2420" s="2">
        <f t="shared" si="1757"/>
        <v>0</v>
      </c>
    </row>
    <row r="2421" spans="1:15" x14ac:dyDescent="0.25">
      <c r="A2421" s="2">
        <v>2</v>
      </c>
      <c r="B2421" s="2">
        <f t="shared" ref="B2421:D2421" si="1758">B2420</f>
        <v>0</v>
      </c>
      <c r="C2421" s="2" t="str">
        <f t="shared" si="1758"/>
        <v>GA</v>
      </c>
      <c r="D2421" s="2">
        <f t="shared" si="1758"/>
        <v>0</v>
      </c>
      <c r="F2421" s="2" t="str">
        <f t="shared" ref="F2421:J2421" si="1759">F2420</f>
        <v>Games Aerial</v>
      </c>
      <c r="G2421" s="2" t="str">
        <f t="shared" si="1759"/>
        <v/>
      </c>
      <c r="H2421" s="2" t="str">
        <f t="shared" si="1759"/>
        <v/>
      </c>
      <c r="I2421" s="2" t="str">
        <f t="shared" si="1759"/>
        <v/>
      </c>
      <c r="J2421" s="2" t="str">
        <f t="shared" si="1759"/>
        <v/>
      </c>
      <c r="M2421" s="180" t="str">
        <f t="shared" ref="M2421:O2421" si="1760">M2420</f>
        <v/>
      </c>
      <c r="N2421" s="329" t="str">
        <f t="shared" si="1754"/>
        <v/>
      </c>
      <c r="O2421" s="2">
        <f t="shared" si="1760"/>
        <v>0</v>
      </c>
    </row>
    <row r="2422" spans="1:15" x14ac:dyDescent="0.25">
      <c r="A2422" s="329">
        <v>1</v>
      </c>
      <c r="B2422" s="329">
        <f>TrialNumberDay2</f>
        <v>0</v>
      </c>
      <c r="C2422" s="329" t="s">
        <v>3722</v>
      </c>
      <c r="D2422" s="329">
        <f>Games!D66</f>
        <v>0</v>
      </c>
      <c r="E2422" s="329"/>
      <c r="F2422" s="329" t="s">
        <v>3723</v>
      </c>
      <c r="G2422" s="329" t="str">
        <f>IF(Games!V66="e","Y","")</f>
        <v/>
      </c>
      <c r="H2422" s="329" t="str">
        <f>Games!E66</f>
        <v/>
      </c>
      <c r="I2422" s="329" t="str">
        <f>Games!F66</f>
        <v/>
      </c>
      <c r="J2422" s="329" t="str">
        <f>Games!G66</f>
        <v/>
      </c>
      <c r="K2422" s="329"/>
      <c r="L2422" s="329"/>
      <c r="M2422" s="330" t="str">
        <f>TrialDateDay2</f>
        <v/>
      </c>
      <c r="N2422" s="329" t="str">
        <f t="shared" ref="N2422:N2453" si="1761">TrialCityDay2</f>
        <v/>
      </c>
      <c r="O2422" s="329">
        <f>JudgeD2GamesDistance</f>
        <v>0</v>
      </c>
    </row>
    <row r="2423" spans="1:15" x14ac:dyDescent="0.25">
      <c r="A2423" s="325">
        <v>2</v>
      </c>
      <c r="B2423" s="325">
        <f>B2422</f>
        <v>0</v>
      </c>
      <c r="C2423" s="325" t="str">
        <f>C2422</f>
        <v>GD</v>
      </c>
      <c r="D2423" s="325">
        <f>D2422</f>
        <v>0</v>
      </c>
      <c r="E2423" s="325"/>
      <c r="F2423" s="325" t="str">
        <f>F2422</f>
        <v>Games Distance</v>
      </c>
      <c r="G2423" s="325" t="str">
        <f>G2422</f>
        <v/>
      </c>
      <c r="H2423" s="325" t="str">
        <f>H2422</f>
        <v/>
      </c>
      <c r="I2423" s="325" t="str">
        <f>I2422</f>
        <v/>
      </c>
      <c r="J2423" s="325" t="str">
        <f>J2422</f>
        <v/>
      </c>
      <c r="K2423" s="325"/>
      <c r="L2423" s="325"/>
      <c r="M2423" s="326" t="str">
        <f>M2422</f>
        <v/>
      </c>
      <c r="N2423" s="329" t="str">
        <f t="shared" si="1761"/>
        <v/>
      </c>
      <c r="O2423" s="325">
        <f>O2422</f>
        <v>0</v>
      </c>
    </row>
    <row r="2424" spans="1:15" x14ac:dyDescent="0.25">
      <c r="A2424" s="2">
        <v>1</v>
      </c>
      <c r="B2424" s="2">
        <f>TrialNumberDay2</f>
        <v>0</v>
      </c>
      <c r="C2424" s="2" t="s">
        <v>3722</v>
      </c>
      <c r="D2424" s="2">
        <f>Games!D67</f>
        <v>0</v>
      </c>
      <c r="F2424" s="2" t="s">
        <v>3723</v>
      </c>
      <c r="G2424" s="2" t="str">
        <f>IF(Games!V67="e","Y","")</f>
        <v/>
      </c>
      <c r="H2424" s="2" t="str">
        <f>Games!E67</f>
        <v/>
      </c>
      <c r="I2424" s="2" t="str">
        <f>Games!F67</f>
        <v/>
      </c>
      <c r="J2424" s="2" t="str">
        <f>Games!G67</f>
        <v/>
      </c>
      <c r="M2424" s="180" t="str">
        <f>TrialDateDay2</f>
        <v/>
      </c>
      <c r="N2424" s="329" t="str">
        <f t="shared" si="1761"/>
        <v/>
      </c>
      <c r="O2424" s="2">
        <f>JudgeD2GamesDistance</f>
        <v>0</v>
      </c>
    </row>
    <row r="2425" spans="1:15" x14ac:dyDescent="0.25">
      <c r="A2425" s="2">
        <v>2</v>
      </c>
      <c r="B2425" s="2">
        <f>B2424</f>
        <v>0</v>
      </c>
      <c r="C2425" s="2" t="str">
        <f>C2424</f>
        <v>GD</v>
      </c>
      <c r="D2425" s="2">
        <f>D2424</f>
        <v>0</v>
      </c>
      <c r="F2425" s="2" t="str">
        <f>F2424</f>
        <v>Games Distance</v>
      </c>
      <c r="G2425" s="2" t="str">
        <f>G2424</f>
        <v/>
      </c>
      <c r="H2425" s="2" t="str">
        <f>H2424</f>
        <v/>
      </c>
      <c r="I2425" s="2" t="str">
        <f>I2424</f>
        <v/>
      </c>
      <c r="J2425" s="2" t="str">
        <f>J2424</f>
        <v/>
      </c>
      <c r="M2425" s="180" t="str">
        <f>M2424</f>
        <v/>
      </c>
      <c r="N2425" s="329" t="str">
        <f t="shared" si="1761"/>
        <v/>
      </c>
      <c r="O2425" s="2">
        <f>O2424</f>
        <v>0</v>
      </c>
    </row>
    <row r="2426" spans="1:15" x14ac:dyDescent="0.25">
      <c r="A2426" s="325">
        <v>1</v>
      </c>
      <c r="B2426" s="325">
        <f>TrialNumberDay2</f>
        <v>0</v>
      </c>
      <c r="C2426" s="325" t="s">
        <v>3722</v>
      </c>
      <c r="D2426" s="325">
        <f>Games!D68</f>
        <v>0</v>
      </c>
      <c r="E2426" s="325"/>
      <c r="F2426" s="325" t="s">
        <v>3723</v>
      </c>
      <c r="G2426" s="325" t="str">
        <f>IF(Games!V68="e","Y","")</f>
        <v/>
      </c>
      <c r="H2426" s="325" t="str">
        <f>Games!E68</f>
        <v/>
      </c>
      <c r="I2426" s="325" t="str">
        <f>Games!F68</f>
        <v/>
      </c>
      <c r="J2426" s="325" t="str">
        <f>Games!G68</f>
        <v/>
      </c>
      <c r="K2426" s="325"/>
      <c r="L2426" s="325"/>
      <c r="M2426" s="326" t="str">
        <f>TrialDateDay2</f>
        <v/>
      </c>
      <c r="N2426" s="329" t="str">
        <f t="shared" si="1761"/>
        <v/>
      </c>
      <c r="O2426" s="325">
        <f>JudgeD2GamesDistance</f>
        <v>0</v>
      </c>
    </row>
    <row r="2427" spans="1:15" x14ac:dyDescent="0.25">
      <c r="A2427" s="325">
        <v>2</v>
      </c>
      <c r="B2427" s="325">
        <f>B2426</f>
        <v>0</v>
      </c>
      <c r="C2427" s="325" t="str">
        <f>C2426</f>
        <v>GD</v>
      </c>
      <c r="D2427" s="325">
        <f>D2426</f>
        <v>0</v>
      </c>
      <c r="E2427" s="325"/>
      <c r="F2427" s="325" t="str">
        <f>F2426</f>
        <v>Games Distance</v>
      </c>
      <c r="G2427" s="325" t="str">
        <f>G2426</f>
        <v/>
      </c>
      <c r="H2427" s="325" t="str">
        <f>H2426</f>
        <v/>
      </c>
      <c r="I2427" s="325" t="str">
        <f>I2426</f>
        <v/>
      </c>
      <c r="J2427" s="325" t="str">
        <f>J2426</f>
        <v/>
      </c>
      <c r="K2427" s="325"/>
      <c r="L2427" s="325"/>
      <c r="M2427" s="326" t="str">
        <f>M2426</f>
        <v/>
      </c>
      <c r="N2427" s="329" t="str">
        <f t="shared" si="1761"/>
        <v/>
      </c>
      <c r="O2427" s="325">
        <f>O2426</f>
        <v>0</v>
      </c>
    </row>
    <row r="2428" spans="1:15" x14ac:dyDescent="0.25">
      <c r="A2428" s="2">
        <v>1</v>
      </c>
      <c r="B2428" s="2">
        <f>TrialNumberDay2</f>
        <v>0</v>
      </c>
      <c r="C2428" s="2" t="s">
        <v>3722</v>
      </c>
      <c r="D2428" s="2">
        <f>Games!D69</f>
        <v>0</v>
      </c>
      <c r="F2428" s="2" t="s">
        <v>3723</v>
      </c>
      <c r="G2428" s="2" t="str">
        <f>IF(Games!V69="e","Y","")</f>
        <v/>
      </c>
      <c r="H2428" s="2" t="str">
        <f>Games!E69</f>
        <v/>
      </c>
      <c r="I2428" s="2" t="str">
        <f>Games!F69</f>
        <v/>
      </c>
      <c r="J2428" s="2" t="str">
        <f>Games!G69</f>
        <v/>
      </c>
      <c r="M2428" s="180" t="str">
        <f>TrialDateDay2</f>
        <v/>
      </c>
      <c r="N2428" s="329" t="str">
        <f t="shared" si="1761"/>
        <v/>
      </c>
      <c r="O2428" s="2">
        <f>JudgeD2GamesDistance</f>
        <v>0</v>
      </c>
    </row>
    <row r="2429" spans="1:15" x14ac:dyDescent="0.25">
      <c r="A2429" s="2">
        <v>2</v>
      </c>
      <c r="B2429" s="2">
        <f>B2428</f>
        <v>0</v>
      </c>
      <c r="C2429" s="2" t="str">
        <f>C2428</f>
        <v>GD</v>
      </c>
      <c r="D2429" s="2">
        <f>D2428</f>
        <v>0</v>
      </c>
      <c r="F2429" s="2" t="str">
        <f>F2428</f>
        <v>Games Distance</v>
      </c>
      <c r="G2429" s="2" t="str">
        <f>G2428</f>
        <v/>
      </c>
      <c r="H2429" s="2" t="str">
        <f>H2428</f>
        <v/>
      </c>
      <c r="I2429" s="2" t="str">
        <f>I2428</f>
        <v/>
      </c>
      <c r="J2429" s="2" t="str">
        <f>J2428</f>
        <v/>
      </c>
      <c r="M2429" s="180" t="str">
        <f>M2428</f>
        <v/>
      </c>
      <c r="N2429" s="329" t="str">
        <f t="shared" si="1761"/>
        <v/>
      </c>
      <c r="O2429" s="2">
        <f>O2428</f>
        <v>0</v>
      </c>
    </row>
    <row r="2430" spans="1:15" x14ac:dyDescent="0.25">
      <c r="A2430" s="325">
        <v>1</v>
      </c>
      <c r="B2430" s="325">
        <f>TrialNumberDay2</f>
        <v>0</v>
      </c>
      <c r="C2430" s="325" t="s">
        <v>3722</v>
      </c>
      <c r="D2430" s="325">
        <f>Games!D70</f>
        <v>0</v>
      </c>
      <c r="E2430" s="325"/>
      <c r="F2430" s="325" t="s">
        <v>3723</v>
      </c>
      <c r="G2430" s="325" t="str">
        <f>IF(Games!V70="e","Y","")</f>
        <v/>
      </c>
      <c r="H2430" s="325" t="str">
        <f>Games!E70</f>
        <v/>
      </c>
      <c r="I2430" s="325" t="str">
        <f>Games!F70</f>
        <v/>
      </c>
      <c r="J2430" s="325" t="str">
        <f>Games!G70</f>
        <v/>
      </c>
      <c r="K2430" s="325"/>
      <c r="L2430" s="325"/>
      <c r="M2430" s="326" t="str">
        <f>TrialDateDay2</f>
        <v/>
      </c>
      <c r="N2430" s="329" t="str">
        <f t="shared" si="1761"/>
        <v/>
      </c>
      <c r="O2430" s="325">
        <f>JudgeD2GamesDistance</f>
        <v>0</v>
      </c>
    </row>
    <row r="2431" spans="1:15" x14ac:dyDescent="0.25">
      <c r="A2431" s="325">
        <v>2</v>
      </c>
      <c r="B2431" s="325">
        <f>B2430</f>
        <v>0</v>
      </c>
      <c r="C2431" s="325" t="str">
        <f>C2430</f>
        <v>GD</v>
      </c>
      <c r="D2431" s="325">
        <f>D2430</f>
        <v>0</v>
      </c>
      <c r="E2431" s="325"/>
      <c r="F2431" s="325" t="str">
        <f>F2430</f>
        <v>Games Distance</v>
      </c>
      <c r="G2431" s="325" t="str">
        <f>G2430</f>
        <v/>
      </c>
      <c r="H2431" s="325" t="str">
        <f>H2430</f>
        <v/>
      </c>
      <c r="I2431" s="325" t="str">
        <f>I2430</f>
        <v/>
      </c>
      <c r="J2431" s="325" t="str">
        <f>J2430</f>
        <v/>
      </c>
      <c r="K2431" s="325"/>
      <c r="L2431" s="325"/>
      <c r="M2431" s="326" t="str">
        <f>M2430</f>
        <v/>
      </c>
      <c r="N2431" s="329" t="str">
        <f t="shared" si="1761"/>
        <v/>
      </c>
      <c r="O2431" s="325">
        <f>O2430</f>
        <v>0</v>
      </c>
    </row>
    <row r="2432" spans="1:15" x14ac:dyDescent="0.25">
      <c r="A2432" s="2">
        <v>1</v>
      </c>
      <c r="B2432" s="2">
        <f>TrialNumberDay2</f>
        <v>0</v>
      </c>
      <c r="C2432" s="2" t="s">
        <v>3722</v>
      </c>
      <c r="D2432" s="2">
        <f>Games!D71</f>
        <v>0</v>
      </c>
      <c r="F2432" s="2" t="s">
        <v>3723</v>
      </c>
      <c r="G2432" s="2" t="str">
        <f>IF(Games!V71="e","Y","")</f>
        <v/>
      </c>
      <c r="H2432" s="2" t="str">
        <f>Games!E71</f>
        <v/>
      </c>
      <c r="I2432" s="2" t="str">
        <f>Games!F71</f>
        <v/>
      </c>
      <c r="J2432" s="2" t="str">
        <f>Games!G71</f>
        <v/>
      </c>
      <c r="M2432" s="180" t="str">
        <f>TrialDateDay2</f>
        <v/>
      </c>
      <c r="N2432" s="329" t="str">
        <f t="shared" si="1761"/>
        <v/>
      </c>
      <c r="O2432" s="2">
        <f>JudgeD2GamesDistance</f>
        <v>0</v>
      </c>
    </row>
    <row r="2433" spans="1:15" x14ac:dyDescent="0.25">
      <c r="A2433" s="2">
        <v>2</v>
      </c>
      <c r="B2433" s="2">
        <f>B2432</f>
        <v>0</v>
      </c>
      <c r="C2433" s="2" t="str">
        <f>C2432</f>
        <v>GD</v>
      </c>
      <c r="D2433" s="2">
        <f>D2432</f>
        <v>0</v>
      </c>
      <c r="F2433" s="2" t="str">
        <f>F2432</f>
        <v>Games Distance</v>
      </c>
      <c r="G2433" s="2" t="str">
        <f>G2432</f>
        <v/>
      </c>
      <c r="H2433" s="2" t="str">
        <f>H2432</f>
        <v/>
      </c>
      <c r="I2433" s="2" t="str">
        <f>I2432</f>
        <v/>
      </c>
      <c r="J2433" s="2" t="str">
        <f>J2432</f>
        <v/>
      </c>
      <c r="M2433" s="180" t="str">
        <f>M2432</f>
        <v/>
      </c>
      <c r="N2433" s="329" t="str">
        <f t="shared" si="1761"/>
        <v/>
      </c>
      <c r="O2433" s="2">
        <f>O2432</f>
        <v>0</v>
      </c>
    </row>
    <row r="2434" spans="1:15" x14ac:dyDescent="0.25">
      <c r="A2434" s="325">
        <v>1</v>
      </c>
      <c r="B2434" s="325">
        <f>TrialNumberDay2</f>
        <v>0</v>
      </c>
      <c r="C2434" s="325" t="s">
        <v>3722</v>
      </c>
      <c r="D2434" s="325">
        <f>Games!D72</f>
        <v>0</v>
      </c>
      <c r="E2434" s="325"/>
      <c r="F2434" s="325" t="s">
        <v>3723</v>
      </c>
      <c r="G2434" s="325" t="str">
        <f>IF(Games!V72="e","Y","")</f>
        <v/>
      </c>
      <c r="H2434" s="325" t="str">
        <f>Games!E72</f>
        <v/>
      </c>
      <c r="I2434" s="325" t="str">
        <f>Games!F72</f>
        <v/>
      </c>
      <c r="J2434" s="325" t="str">
        <f>Games!G72</f>
        <v/>
      </c>
      <c r="K2434" s="325"/>
      <c r="L2434" s="325"/>
      <c r="M2434" s="326" t="str">
        <f>TrialDateDay2</f>
        <v/>
      </c>
      <c r="N2434" s="329" t="str">
        <f t="shared" si="1761"/>
        <v/>
      </c>
      <c r="O2434" s="325">
        <f>JudgeD2GamesDistance</f>
        <v>0</v>
      </c>
    </row>
    <row r="2435" spans="1:15" x14ac:dyDescent="0.25">
      <c r="A2435" s="325">
        <v>2</v>
      </c>
      <c r="B2435" s="325">
        <f>B2434</f>
        <v>0</v>
      </c>
      <c r="C2435" s="325" t="str">
        <f>C2434</f>
        <v>GD</v>
      </c>
      <c r="D2435" s="325">
        <f>D2434</f>
        <v>0</v>
      </c>
      <c r="E2435" s="325"/>
      <c r="F2435" s="325" t="str">
        <f>F2434</f>
        <v>Games Distance</v>
      </c>
      <c r="G2435" s="325" t="str">
        <f>G2434</f>
        <v/>
      </c>
      <c r="H2435" s="325" t="str">
        <f>H2434</f>
        <v/>
      </c>
      <c r="I2435" s="325" t="str">
        <f>I2434</f>
        <v/>
      </c>
      <c r="J2435" s="325" t="str">
        <f>J2434</f>
        <v/>
      </c>
      <c r="K2435" s="325"/>
      <c r="L2435" s="325"/>
      <c r="M2435" s="326" t="str">
        <f>M2434</f>
        <v/>
      </c>
      <c r="N2435" s="329" t="str">
        <f t="shared" si="1761"/>
        <v/>
      </c>
      <c r="O2435" s="325">
        <f>O2434</f>
        <v>0</v>
      </c>
    </row>
    <row r="2436" spans="1:15" x14ac:dyDescent="0.25">
      <c r="A2436" s="2">
        <v>1</v>
      </c>
      <c r="B2436" s="2">
        <f>TrialNumberDay2</f>
        <v>0</v>
      </c>
      <c r="C2436" s="2" t="s">
        <v>3722</v>
      </c>
      <c r="D2436" s="2">
        <f>Games!D73</f>
        <v>0</v>
      </c>
      <c r="F2436" s="2" t="s">
        <v>3723</v>
      </c>
      <c r="G2436" s="2" t="str">
        <f>IF(Games!V73="e","Y","")</f>
        <v/>
      </c>
      <c r="H2436" s="2" t="str">
        <f>Games!E73</f>
        <v/>
      </c>
      <c r="I2436" s="2" t="str">
        <f>Games!F73</f>
        <v/>
      </c>
      <c r="J2436" s="2" t="str">
        <f>Games!G73</f>
        <v/>
      </c>
      <c r="M2436" s="180" t="str">
        <f>TrialDateDay2</f>
        <v/>
      </c>
      <c r="N2436" s="329" t="str">
        <f t="shared" si="1761"/>
        <v/>
      </c>
      <c r="O2436" s="2">
        <f>JudgeD2GamesDistance</f>
        <v>0</v>
      </c>
    </row>
    <row r="2437" spans="1:15" x14ac:dyDescent="0.25">
      <c r="A2437" s="2">
        <v>2</v>
      </c>
      <c r="B2437" s="2">
        <f>B2436</f>
        <v>0</v>
      </c>
      <c r="C2437" s="2" t="str">
        <f>C2436</f>
        <v>GD</v>
      </c>
      <c r="D2437" s="2">
        <f>D2436</f>
        <v>0</v>
      </c>
      <c r="F2437" s="2" t="str">
        <f>F2436</f>
        <v>Games Distance</v>
      </c>
      <c r="G2437" s="2" t="str">
        <f>G2436</f>
        <v/>
      </c>
      <c r="H2437" s="2" t="str">
        <f>H2436</f>
        <v/>
      </c>
      <c r="I2437" s="2" t="str">
        <f>I2436</f>
        <v/>
      </c>
      <c r="J2437" s="2" t="str">
        <f>J2436</f>
        <v/>
      </c>
      <c r="M2437" s="180" t="str">
        <f>M2436</f>
        <v/>
      </c>
      <c r="N2437" s="329" t="str">
        <f t="shared" si="1761"/>
        <v/>
      </c>
      <c r="O2437" s="2">
        <f>O2436</f>
        <v>0</v>
      </c>
    </row>
    <row r="2438" spans="1:15" x14ac:dyDescent="0.25">
      <c r="A2438" s="325">
        <v>1</v>
      </c>
      <c r="B2438" s="325">
        <f>TrialNumberDay2</f>
        <v>0</v>
      </c>
      <c r="C2438" s="325" t="s">
        <v>3722</v>
      </c>
      <c r="D2438" s="325">
        <f>Games!D74</f>
        <v>0</v>
      </c>
      <c r="E2438" s="325"/>
      <c r="F2438" s="325" t="s">
        <v>3723</v>
      </c>
      <c r="G2438" s="325" t="str">
        <f>IF(Games!V74="e","Y","")</f>
        <v/>
      </c>
      <c r="H2438" s="325" t="str">
        <f>Games!E74</f>
        <v/>
      </c>
      <c r="I2438" s="325" t="str">
        <f>Games!F74</f>
        <v/>
      </c>
      <c r="J2438" s="325" t="str">
        <f>Games!G74</f>
        <v/>
      </c>
      <c r="K2438" s="325"/>
      <c r="L2438" s="325"/>
      <c r="M2438" s="326" t="str">
        <f>TrialDateDay2</f>
        <v/>
      </c>
      <c r="N2438" s="329" t="str">
        <f t="shared" si="1761"/>
        <v/>
      </c>
      <c r="O2438" s="325">
        <f>JudgeD2GamesDistance</f>
        <v>0</v>
      </c>
    </row>
    <row r="2439" spans="1:15" x14ac:dyDescent="0.25">
      <c r="A2439" s="325">
        <v>2</v>
      </c>
      <c r="B2439" s="325">
        <f>B2438</f>
        <v>0</v>
      </c>
      <c r="C2439" s="325" t="str">
        <f>C2438</f>
        <v>GD</v>
      </c>
      <c r="D2439" s="325">
        <f>D2438</f>
        <v>0</v>
      </c>
      <c r="E2439" s="325"/>
      <c r="F2439" s="325" t="str">
        <f>F2438</f>
        <v>Games Distance</v>
      </c>
      <c r="G2439" s="325" t="str">
        <f>G2438</f>
        <v/>
      </c>
      <c r="H2439" s="325" t="str">
        <f>H2438</f>
        <v/>
      </c>
      <c r="I2439" s="325" t="str">
        <f>I2438</f>
        <v/>
      </c>
      <c r="J2439" s="325" t="str">
        <f>J2438</f>
        <v/>
      </c>
      <c r="K2439" s="325"/>
      <c r="L2439" s="325"/>
      <c r="M2439" s="326" t="str">
        <f>M2438</f>
        <v/>
      </c>
      <c r="N2439" s="329" t="str">
        <f t="shared" si="1761"/>
        <v/>
      </c>
      <c r="O2439" s="325">
        <f>O2438</f>
        <v>0</v>
      </c>
    </row>
    <row r="2440" spans="1:15" x14ac:dyDescent="0.25">
      <c r="A2440" s="2">
        <v>1</v>
      </c>
      <c r="B2440" s="2">
        <f>TrialNumberDay2</f>
        <v>0</v>
      </c>
      <c r="C2440" s="2" t="s">
        <v>3722</v>
      </c>
      <c r="D2440" s="2">
        <f>Games!D75</f>
        <v>0</v>
      </c>
      <c r="F2440" s="2" t="s">
        <v>3723</v>
      </c>
      <c r="G2440" s="2" t="str">
        <f>IF(Games!V75="e","Y","")</f>
        <v/>
      </c>
      <c r="H2440" s="2" t="str">
        <f>Games!E75</f>
        <v/>
      </c>
      <c r="I2440" s="2" t="str">
        <f>Games!F75</f>
        <v/>
      </c>
      <c r="J2440" s="2" t="str">
        <f>Games!G75</f>
        <v/>
      </c>
      <c r="M2440" s="180" t="str">
        <f>TrialDateDay2</f>
        <v/>
      </c>
      <c r="N2440" s="329" t="str">
        <f t="shared" si="1761"/>
        <v/>
      </c>
      <c r="O2440" s="2">
        <f>JudgeD2GamesDistance</f>
        <v>0</v>
      </c>
    </row>
    <row r="2441" spans="1:15" x14ac:dyDescent="0.25">
      <c r="A2441" s="2">
        <v>2</v>
      </c>
      <c r="B2441" s="2">
        <f>B2440</f>
        <v>0</v>
      </c>
      <c r="C2441" s="2" t="str">
        <f>C2440</f>
        <v>GD</v>
      </c>
      <c r="D2441" s="2">
        <f>D2440</f>
        <v>0</v>
      </c>
      <c r="F2441" s="2" t="str">
        <f>F2440</f>
        <v>Games Distance</v>
      </c>
      <c r="G2441" s="2" t="str">
        <f>G2440</f>
        <v/>
      </c>
      <c r="H2441" s="2" t="str">
        <f>H2440</f>
        <v/>
      </c>
      <c r="I2441" s="2" t="str">
        <f>I2440</f>
        <v/>
      </c>
      <c r="J2441" s="2" t="str">
        <f>J2440</f>
        <v/>
      </c>
      <c r="M2441" s="180" t="str">
        <f>M2440</f>
        <v/>
      </c>
      <c r="N2441" s="329" t="str">
        <f t="shared" si="1761"/>
        <v/>
      </c>
      <c r="O2441" s="2">
        <f>O2440</f>
        <v>0</v>
      </c>
    </row>
    <row r="2442" spans="1:15" x14ac:dyDescent="0.25">
      <c r="A2442" s="325">
        <v>1</v>
      </c>
      <c r="B2442" s="325">
        <f>TrialNumberDay2</f>
        <v>0</v>
      </c>
      <c r="C2442" s="325" t="s">
        <v>3722</v>
      </c>
      <c r="D2442" s="325">
        <f>Games!D76</f>
        <v>0</v>
      </c>
      <c r="E2442" s="325"/>
      <c r="F2442" s="325" t="s">
        <v>3723</v>
      </c>
      <c r="G2442" s="325" t="str">
        <f>IF(Games!V76="e","Y","")</f>
        <v/>
      </c>
      <c r="H2442" s="325" t="str">
        <f>Games!E76</f>
        <v/>
      </c>
      <c r="I2442" s="325" t="str">
        <f>Games!F76</f>
        <v/>
      </c>
      <c r="J2442" s="325" t="str">
        <f>Games!G76</f>
        <v/>
      </c>
      <c r="K2442" s="325"/>
      <c r="L2442" s="325"/>
      <c r="M2442" s="326" t="str">
        <f>TrialDateDay2</f>
        <v/>
      </c>
      <c r="N2442" s="329" t="str">
        <f t="shared" si="1761"/>
        <v/>
      </c>
      <c r="O2442" s="325">
        <f>JudgeD2GamesDistance</f>
        <v>0</v>
      </c>
    </row>
    <row r="2443" spans="1:15" x14ac:dyDescent="0.25">
      <c r="A2443" s="325">
        <v>2</v>
      </c>
      <c r="B2443" s="325">
        <f>B2442</f>
        <v>0</v>
      </c>
      <c r="C2443" s="325" t="str">
        <f>C2442</f>
        <v>GD</v>
      </c>
      <c r="D2443" s="325">
        <f>D2442</f>
        <v>0</v>
      </c>
      <c r="E2443" s="325"/>
      <c r="F2443" s="325" t="str">
        <f>F2442</f>
        <v>Games Distance</v>
      </c>
      <c r="G2443" s="325" t="str">
        <f>G2442</f>
        <v/>
      </c>
      <c r="H2443" s="325" t="str">
        <f>H2442</f>
        <v/>
      </c>
      <c r="I2443" s="325" t="str">
        <f>I2442</f>
        <v/>
      </c>
      <c r="J2443" s="325" t="str">
        <f>J2442</f>
        <v/>
      </c>
      <c r="K2443" s="325"/>
      <c r="L2443" s="325"/>
      <c r="M2443" s="326" t="str">
        <f>M2442</f>
        <v/>
      </c>
      <c r="N2443" s="329" t="str">
        <f t="shared" si="1761"/>
        <v/>
      </c>
      <c r="O2443" s="325">
        <f>O2442</f>
        <v>0</v>
      </c>
    </row>
    <row r="2444" spans="1:15" x14ac:dyDescent="0.25">
      <c r="A2444" s="2">
        <v>1</v>
      </c>
      <c r="B2444" s="2">
        <f>TrialNumberDay2</f>
        <v>0</v>
      </c>
      <c r="C2444" s="2" t="s">
        <v>3722</v>
      </c>
      <c r="D2444" s="2">
        <f>Games!D77</f>
        <v>0</v>
      </c>
      <c r="F2444" s="2" t="s">
        <v>3723</v>
      </c>
      <c r="G2444" s="2" t="str">
        <f>IF(Games!V77="e","Y","")</f>
        <v/>
      </c>
      <c r="H2444" s="2" t="str">
        <f>Games!E77</f>
        <v/>
      </c>
      <c r="I2444" s="2" t="str">
        <f>Games!F77</f>
        <v/>
      </c>
      <c r="J2444" s="2" t="str">
        <f>Games!G77</f>
        <v/>
      </c>
      <c r="M2444" s="180" t="str">
        <f>TrialDateDay2</f>
        <v/>
      </c>
      <c r="N2444" s="329" t="str">
        <f t="shared" si="1761"/>
        <v/>
      </c>
      <c r="O2444" s="2">
        <f>JudgeD2GamesDistance</f>
        <v>0</v>
      </c>
    </row>
    <row r="2445" spans="1:15" x14ac:dyDescent="0.25">
      <c r="A2445" s="2">
        <v>2</v>
      </c>
      <c r="B2445" s="2">
        <f>B2444</f>
        <v>0</v>
      </c>
      <c r="C2445" s="2" t="str">
        <f>C2444</f>
        <v>GD</v>
      </c>
      <c r="D2445" s="2">
        <f>D2444</f>
        <v>0</v>
      </c>
      <c r="F2445" s="2" t="str">
        <f>F2444</f>
        <v>Games Distance</v>
      </c>
      <c r="G2445" s="2" t="str">
        <f>G2444</f>
        <v/>
      </c>
      <c r="H2445" s="2" t="str">
        <f>H2444</f>
        <v/>
      </c>
      <c r="I2445" s="2" t="str">
        <f>I2444</f>
        <v/>
      </c>
      <c r="J2445" s="2" t="str">
        <f>J2444</f>
        <v/>
      </c>
      <c r="M2445" s="180" t="str">
        <f>M2444</f>
        <v/>
      </c>
      <c r="N2445" s="329" t="str">
        <f t="shared" si="1761"/>
        <v/>
      </c>
      <c r="O2445" s="2">
        <f>O2444</f>
        <v>0</v>
      </c>
    </row>
    <row r="2446" spans="1:15" x14ac:dyDescent="0.25">
      <c r="A2446" s="325">
        <v>1</v>
      </c>
      <c r="B2446" s="325">
        <f>TrialNumberDay2</f>
        <v>0</v>
      </c>
      <c r="C2446" s="325" t="s">
        <v>3722</v>
      </c>
      <c r="D2446" s="325">
        <f>Games!D78</f>
        <v>0</v>
      </c>
      <c r="E2446" s="325"/>
      <c r="F2446" s="325" t="s">
        <v>3723</v>
      </c>
      <c r="G2446" s="325" t="str">
        <f>IF(Games!V78="e","Y","")</f>
        <v/>
      </c>
      <c r="H2446" s="325" t="str">
        <f>Games!E78</f>
        <v/>
      </c>
      <c r="I2446" s="325" t="str">
        <f>Games!F78</f>
        <v/>
      </c>
      <c r="J2446" s="325" t="str">
        <f>Games!G78</f>
        <v/>
      </c>
      <c r="K2446" s="325"/>
      <c r="L2446" s="325"/>
      <c r="M2446" s="326" t="str">
        <f>TrialDateDay2</f>
        <v/>
      </c>
      <c r="N2446" s="329" t="str">
        <f t="shared" si="1761"/>
        <v/>
      </c>
      <c r="O2446" s="325">
        <f>JudgeD2GamesDistance</f>
        <v>0</v>
      </c>
    </row>
    <row r="2447" spans="1:15" x14ac:dyDescent="0.25">
      <c r="A2447" s="325">
        <v>2</v>
      </c>
      <c r="B2447" s="325">
        <f>B2446</f>
        <v>0</v>
      </c>
      <c r="C2447" s="325" t="str">
        <f>C2446</f>
        <v>GD</v>
      </c>
      <c r="D2447" s="325">
        <f>D2446</f>
        <v>0</v>
      </c>
      <c r="E2447" s="325"/>
      <c r="F2447" s="325" t="str">
        <f>F2446</f>
        <v>Games Distance</v>
      </c>
      <c r="G2447" s="325" t="str">
        <f>G2446</f>
        <v/>
      </c>
      <c r="H2447" s="325" t="str">
        <f>H2446</f>
        <v/>
      </c>
      <c r="I2447" s="325" t="str">
        <f>I2446</f>
        <v/>
      </c>
      <c r="J2447" s="325" t="str">
        <f>J2446</f>
        <v/>
      </c>
      <c r="K2447" s="325"/>
      <c r="L2447" s="325"/>
      <c r="M2447" s="326" t="str">
        <f>M2446</f>
        <v/>
      </c>
      <c r="N2447" s="329" t="str">
        <f t="shared" si="1761"/>
        <v/>
      </c>
      <c r="O2447" s="325">
        <f>O2446</f>
        <v>0</v>
      </c>
    </row>
    <row r="2448" spans="1:15" x14ac:dyDescent="0.25">
      <c r="A2448" s="2">
        <v>1</v>
      </c>
      <c r="B2448" s="2">
        <f>TrialNumberDay2</f>
        <v>0</v>
      </c>
      <c r="C2448" s="2" t="s">
        <v>3722</v>
      </c>
      <c r="D2448" s="2">
        <f>Games!D79</f>
        <v>0</v>
      </c>
      <c r="F2448" s="2" t="s">
        <v>3723</v>
      </c>
      <c r="G2448" s="2" t="str">
        <f>IF(Games!V79="e","Y","")</f>
        <v/>
      </c>
      <c r="H2448" s="2" t="str">
        <f>Games!E79</f>
        <v/>
      </c>
      <c r="I2448" s="2" t="str">
        <f>Games!F79</f>
        <v/>
      </c>
      <c r="J2448" s="2" t="str">
        <f>Games!G79</f>
        <v/>
      </c>
      <c r="M2448" s="180" t="str">
        <f>TrialDateDay2</f>
        <v/>
      </c>
      <c r="N2448" s="329" t="str">
        <f t="shared" si="1761"/>
        <v/>
      </c>
      <c r="O2448" s="2">
        <f>JudgeD2GamesDistance</f>
        <v>0</v>
      </c>
    </row>
    <row r="2449" spans="1:15" x14ac:dyDescent="0.25">
      <c r="A2449" s="2">
        <v>2</v>
      </c>
      <c r="B2449" s="2">
        <f>B2448</f>
        <v>0</v>
      </c>
      <c r="C2449" s="2" t="str">
        <f>C2448</f>
        <v>GD</v>
      </c>
      <c r="D2449" s="2">
        <f>D2448</f>
        <v>0</v>
      </c>
      <c r="F2449" s="2" t="str">
        <f>F2448</f>
        <v>Games Distance</v>
      </c>
      <c r="G2449" s="2" t="str">
        <f>G2448</f>
        <v/>
      </c>
      <c r="H2449" s="2" t="str">
        <f>H2448</f>
        <v/>
      </c>
      <c r="I2449" s="2" t="str">
        <f>I2448</f>
        <v/>
      </c>
      <c r="J2449" s="2" t="str">
        <f>J2448</f>
        <v/>
      </c>
      <c r="M2449" s="180" t="str">
        <f>M2448</f>
        <v/>
      </c>
      <c r="N2449" s="329" t="str">
        <f t="shared" si="1761"/>
        <v/>
      </c>
      <c r="O2449" s="2">
        <f>O2448</f>
        <v>0</v>
      </c>
    </row>
    <row r="2450" spans="1:15" x14ac:dyDescent="0.25">
      <c r="A2450" s="325">
        <v>1</v>
      </c>
      <c r="B2450" s="325">
        <f>TrialNumberDay2</f>
        <v>0</v>
      </c>
      <c r="C2450" s="325" t="s">
        <v>3722</v>
      </c>
      <c r="D2450" s="325">
        <f>Games!D80</f>
        <v>0</v>
      </c>
      <c r="E2450" s="325"/>
      <c r="F2450" s="325" t="s">
        <v>3723</v>
      </c>
      <c r="G2450" s="325" t="str">
        <f>IF(Games!V80="e","Y","")</f>
        <v/>
      </c>
      <c r="H2450" s="325" t="str">
        <f>Games!E80</f>
        <v/>
      </c>
      <c r="I2450" s="325" t="str">
        <f>Games!F80</f>
        <v/>
      </c>
      <c r="J2450" s="325" t="str">
        <f>Games!G80</f>
        <v/>
      </c>
      <c r="K2450" s="325"/>
      <c r="L2450" s="325"/>
      <c r="M2450" s="326" t="str">
        <f>TrialDateDay2</f>
        <v/>
      </c>
      <c r="N2450" s="329" t="str">
        <f t="shared" si="1761"/>
        <v/>
      </c>
      <c r="O2450" s="325">
        <f>JudgeD2GamesDistance</f>
        <v>0</v>
      </c>
    </row>
    <row r="2451" spans="1:15" x14ac:dyDescent="0.25">
      <c r="A2451" s="325">
        <v>2</v>
      </c>
      <c r="B2451" s="325">
        <f>B2450</f>
        <v>0</v>
      </c>
      <c r="C2451" s="325" t="str">
        <f>C2450</f>
        <v>GD</v>
      </c>
      <c r="D2451" s="325">
        <f>D2450</f>
        <v>0</v>
      </c>
      <c r="E2451" s="325"/>
      <c r="F2451" s="325" t="str">
        <f>F2450</f>
        <v>Games Distance</v>
      </c>
      <c r="G2451" s="325" t="str">
        <f>G2450</f>
        <v/>
      </c>
      <c r="H2451" s="325" t="str">
        <f>H2450</f>
        <v/>
      </c>
      <c r="I2451" s="325" t="str">
        <f>I2450</f>
        <v/>
      </c>
      <c r="J2451" s="325" t="str">
        <f>J2450</f>
        <v/>
      </c>
      <c r="K2451" s="325"/>
      <c r="L2451" s="325"/>
      <c r="M2451" s="326" t="str">
        <f>M2450</f>
        <v/>
      </c>
      <c r="N2451" s="329" t="str">
        <f t="shared" si="1761"/>
        <v/>
      </c>
      <c r="O2451" s="325">
        <f>O2450</f>
        <v>0</v>
      </c>
    </row>
    <row r="2452" spans="1:15" x14ac:dyDescent="0.25">
      <c r="A2452" s="2">
        <v>1</v>
      </c>
      <c r="B2452" s="2">
        <f>TrialNumberDay2</f>
        <v>0</v>
      </c>
      <c r="C2452" s="2" t="s">
        <v>3722</v>
      </c>
      <c r="D2452" s="2">
        <f>Games!D81</f>
        <v>0</v>
      </c>
      <c r="F2452" s="2" t="s">
        <v>3723</v>
      </c>
      <c r="G2452" s="2" t="str">
        <f>IF(Games!V81="e","Y","")</f>
        <v/>
      </c>
      <c r="H2452" s="2" t="str">
        <f>Games!E81</f>
        <v/>
      </c>
      <c r="I2452" s="2" t="str">
        <f>Games!F81</f>
        <v/>
      </c>
      <c r="J2452" s="2" t="str">
        <f>Games!G81</f>
        <v/>
      </c>
      <c r="M2452" s="180" t="str">
        <f>TrialDateDay2</f>
        <v/>
      </c>
      <c r="N2452" s="329" t="str">
        <f t="shared" si="1761"/>
        <v/>
      </c>
      <c r="O2452" s="2">
        <f>JudgeD2GamesDistance</f>
        <v>0</v>
      </c>
    </row>
    <row r="2453" spans="1:15" x14ac:dyDescent="0.25">
      <c r="A2453" s="2">
        <v>2</v>
      </c>
      <c r="B2453" s="2">
        <f>B2452</f>
        <v>0</v>
      </c>
      <c r="C2453" s="2" t="str">
        <f>C2452</f>
        <v>GD</v>
      </c>
      <c r="D2453" s="2">
        <f>D2452</f>
        <v>0</v>
      </c>
      <c r="F2453" s="2" t="str">
        <f>F2452</f>
        <v>Games Distance</v>
      </c>
      <c r="G2453" s="2" t="str">
        <f>G2452</f>
        <v/>
      </c>
      <c r="H2453" s="2" t="str">
        <f>H2452</f>
        <v/>
      </c>
      <c r="I2453" s="2" t="str">
        <f>I2452</f>
        <v/>
      </c>
      <c r="J2453" s="2" t="str">
        <f>J2452</f>
        <v/>
      </c>
      <c r="M2453" s="180" t="str">
        <f>M2452</f>
        <v/>
      </c>
      <c r="N2453" s="329" t="str">
        <f t="shared" si="1761"/>
        <v/>
      </c>
      <c r="O2453" s="2">
        <f>O2452</f>
        <v>0</v>
      </c>
    </row>
    <row r="2454" spans="1:15" x14ac:dyDescent="0.25">
      <c r="A2454" s="325">
        <v>1</v>
      </c>
      <c r="B2454" s="325">
        <f>TrialNumberDay2</f>
        <v>0</v>
      </c>
      <c r="C2454" s="325" t="s">
        <v>3722</v>
      </c>
      <c r="D2454" s="325">
        <f>Games!D82</f>
        <v>0</v>
      </c>
      <c r="E2454" s="325"/>
      <c r="F2454" s="325" t="s">
        <v>3723</v>
      </c>
      <c r="G2454" s="325" t="str">
        <f>IF(Games!V82="e","Y","")</f>
        <v/>
      </c>
      <c r="H2454" s="325" t="str">
        <f>Games!E82</f>
        <v/>
      </c>
      <c r="I2454" s="325" t="str">
        <f>Games!F82</f>
        <v/>
      </c>
      <c r="J2454" s="325" t="str">
        <f>Games!G82</f>
        <v/>
      </c>
      <c r="K2454" s="325"/>
      <c r="L2454" s="325"/>
      <c r="M2454" s="326" t="str">
        <f>TrialDateDay2</f>
        <v/>
      </c>
      <c r="N2454" s="329" t="str">
        <f t="shared" ref="N2454:N2485" si="1762">TrialCityDay2</f>
        <v/>
      </c>
      <c r="O2454" s="325">
        <f>JudgeD2GamesDistance</f>
        <v>0</v>
      </c>
    </row>
    <row r="2455" spans="1:15" x14ac:dyDescent="0.25">
      <c r="A2455" s="325">
        <v>2</v>
      </c>
      <c r="B2455" s="325">
        <f>B2454</f>
        <v>0</v>
      </c>
      <c r="C2455" s="325" t="str">
        <f>C2454</f>
        <v>GD</v>
      </c>
      <c r="D2455" s="325">
        <f>D2454</f>
        <v>0</v>
      </c>
      <c r="E2455" s="325"/>
      <c r="F2455" s="325" t="str">
        <f>F2454</f>
        <v>Games Distance</v>
      </c>
      <c r="G2455" s="325" t="str">
        <f>G2454</f>
        <v/>
      </c>
      <c r="H2455" s="325" t="str">
        <f>H2454</f>
        <v/>
      </c>
      <c r="I2455" s="325" t="str">
        <f>I2454</f>
        <v/>
      </c>
      <c r="J2455" s="325" t="str">
        <f>J2454</f>
        <v/>
      </c>
      <c r="K2455" s="325"/>
      <c r="L2455" s="325"/>
      <c r="M2455" s="326" t="str">
        <f>M2454</f>
        <v/>
      </c>
      <c r="N2455" s="329" t="str">
        <f t="shared" si="1762"/>
        <v/>
      </c>
      <c r="O2455" s="325">
        <f>O2454</f>
        <v>0</v>
      </c>
    </row>
    <row r="2456" spans="1:15" x14ac:dyDescent="0.25">
      <c r="A2456" s="2">
        <v>1</v>
      </c>
      <c r="B2456" s="2">
        <f>TrialNumberDay2</f>
        <v>0</v>
      </c>
      <c r="C2456" s="2" t="s">
        <v>3722</v>
      </c>
      <c r="D2456" s="2">
        <f>Games!D83</f>
        <v>0</v>
      </c>
      <c r="F2456" s="2" t="s">
        <v>3723</v>
      </c>
      <c r="G2456" s="2" t="str">
        <f>IF(Games!V83="e","Y","")</f>
        <v/>
      </c>
      <c r="H2456" s="2" t="str">
        <f>Games!E83</f>
        <v/>
      </c>
      <c r="I2456" s="2" t="str">
        <f>Games!F83</f>
        <v/>
      </c>
      <c r="J2456" s="2" t="str">
        <f>Games!G83</f>
        <v/>
      </c>
      <c r="M2456" s="180" t="str">
        <f>TrialDateDay2</f>
        <v/>
      </c>
      <c r="N2456" s="329" t="str">
        <f t="shared" si="1762"/>
        <v/>
      </c>
      <c r="O2456" s="2">
        <f>JudgeD2GamesDistance</f>
        <v>0</v>
      </c>
    </row>
    <row r="2457" spans="1:15" x14ac:dyDescent="0.25">
      <c r="A2457" s="2">
        <v>2</v>
      </c>
      <c r="B2457" s="2">
        <f>B2456</f>
        <v>0</v>
      </c>
      <c r="C2457" s="2" t="str">
        <f>C2456</f>
        <v>GD</v>
      </c>
      <c r="D2457" s="2">
        <f>D2456</f>
        <v>0</v>
      </c>
      <c r="F2457" s="2" t="str">
        <f>F2456</f>
        <v>Games Distance</v>
      </c>
      <c r="G2457" s="2" t="str">
        <f>G2456</f>
        <v/>
      </c>
      <c r="H2457" s="2" t="str">
        <f>H2456</f>
        <v/>
      </c>
      <c r="I2457" s="2" t="str">
        <f>I2456</f>
        <v/>
      </c>
      <c r="J2457" s="2" t="str">
        <f>J2456</f>
        <v/>
      </c>
      <c r="M2457" s="180" t="str">
        <f>M2456</f>
        <v/>
      </c>
      <c r="N2457" s="329" t="str">
        <f t="shared" si="1762"/>
        <v/>
      </c>
      <c r="O2457" s="2">
        <f>O2456</f>
        <v>0</v>
      </c>
    </row>
    <row r="2458" spans="1:15" x14ac:dyDescent="0.25">
      <c r="A2458" s="325">
        <v>1</v>
      </c>
      <c r="B2458" s="325">
        <f>TrialNumberDay2</f>
        <v>0</v>
      </c>
      <c r="C2458" s="325" t="s">
        <v>3722</v>
      </c>
      <c r="D2458" s="325">
        <f>Games!D84</f>
        <v>0</v>
      </c>
      <c r="E2458" s="325"/>
      <c r="F2458" s="325" t="s">
        <v>3723</v>
      </c>
      <c r="G2458" s="325" t="str">
        <f>IF(Games!V84="e","Y","")</f>
        <v/>
      </c>
      <c r="H2458" s="325" t="str">
        <f>Games!E84</f>
        <v/>
      </c>
      <c r="I2458" s="325" t="str">
        <f>Games!F84</f>
        <v/>
      </c>
      <c r="J2458" s="325" t="str">
        <f>Games!G84</f>
        <v/>
      </c>
      <c r="K2458" s="325"/>
      <c r="L2458" s="325"/>
      <c r="M2458" s="326" t="str">
        <f>TrialDateDay2</f>
        <v/>
      </c>
      <c r="N2458" s="329" t="str">
        <f t="shared" si="1762"/>
        <v/>
      </c>
      <c r="O2458" s="325">
        <f>JudgeD2GamesDistance</f>
        <v>0</v>
      </c>
    </row>
    <row r="2459" spans="1:15" x14ac:dyDescent="0.25">
      <c r="A2459" s="325">
        <v>2</v>
      </c>
      <c r="B2459" s="325">
        <f>B2458</f>
        <v>0</v>
      </c>
      <c r="C2459" s="325" t="str">
        <f>C2458</f>
        <v>GD</v>
      </c>
      <c r="D2459" s="325">
        <f>D2458</f>
        <v>0</v>
      </c>
      <c r="E2459" s="325"/>
      <c r="F2459" s="325" t="str">
        <f>F2458</f>
        <v>Games Distance</v>
      </c>
      <c r="G2459" s="325" t="str">
        <f>G2458</f>
        <v/>
      </c>
      <c r="H2459" s="325" t="str">
        <f>H2458</f>
        <v/>
      </c>
      <c r="I2459" s="325" t="str">
        <f>I2458</f>
        <v/>
      </c>
      <c r="J2459" s="325" t="str">
        <f>J2458</f>
        <v/>
      </c>
      <c r="K2459" s="325"/>
      <c r="L2459" s="325"/>
      <c r="M2459" s="326" t="str">
        <f>M2458</f>
        <v/>
      </c>
      <c r="N2459" s="329" t="str">
        <f t="shared" si="1762"/>
        <v/>
      </c>
      <c r="O2459" s="325">
        <f>O2458</f>
        <v>0</v>
      </c>
    </row>
    <row r="2460" spans="1:15" x14ac:dyDescent="0.25">
      <c r="A2460" s="2">
        <v>1</v>
      </c>
      <c r="B2460" s="2">
        <f>TrialNumberDay2</f>
        <v>0</v>
      </c>
      <c r="C2460" s="2" t="s">
        <v>3722</v>
      </c>
      <c r="D2460" s="2">
        <f>Games!D85</f>
        <v>0</v>
      </c>
      <c r="F2460" s="2" t="s">
        <v>3723</v>
      </c>
      <c r="G2460" s="2" t="str">
        <f>IF(Games!V85="e","Y","")</f>
        <v/>
      </c>
      <c r="H2460" s="2" t="str">
        <f>Games!E85</f>
        <v/>
      </c>
      <c r="I2460" s="2" t="str">
        <f>Games!F85</f>
        <v/>
      </c>
      <c r="J2460" s="2" t="str">
        <f>Games!G85</f>
        <v/>
      </c>
      <c r="M2460" s="180" t="str">
        <f>TrialDateDay2</f>
        <v/>
      </c>
      <c r="N2460" s="329" t="str">
        <f t="shared" si="1762"/>
        <v/>
      </c>
      <c r="O2460" s="2">
        <f>JudgeD2GamesDistance</f>
        <v>0</v>
      </c>
    </row>
    <row r="2461" spans="1:15" x14ac:dyDescent="0.25">
      <c r="A2461" s="2">
        <v>2</v>
      </c>
      <c r="B2461" s="2">
        <f>B2460</f>
        <v>0</v>
      </c>
      <c r="C2461" s="2" t="str">
        <f>C2460</f>
        <v>GD</v>
      </c>
      <c r="D2461" s="2">
        <f>D2460</f>
        <v>0</v>
      </c>
      <c r="F2461" s="2" t="str">
        <f>F2460</f>
        <v>Games Distance</v>
      </c>
      <c r="G2461" s="2" t="str">
        <f>G2460</f>
        <v/>
      </c>
      <c r="H2461" s="2" t="str">
        <f>H2460</f>
        <v/>
      </c>
      <c r="I2461" s="2" t="str">
        <f>I2460</f>
        <v/>
      </c>
      <c r="J2461" s="2" t="str">
        <f>J2460</f>
        <v/>
      </c>
      <c r="M2461" s="180" t="str">
        <f>M2460</f>
        <v/>
      </c>
      <c r="N2461" s="329" t="str">
        <f t="shared" si="1762"/>
        <v/>
      </c>
      <c r="O2461" s="2">
        <f>O2460</f>
        <v>0</v>
      </c>
    </row>
    <row r="2462" spans="1:15" x14ac:dyDescent="0.25">
      <c r="A2462" s="325">
        <v>1</v>
      </c>
      <c r="B2462" s="325">
        <f>TrialNumberDay2</f>
        <v>0</v>
      </c>
      <c r="C2462" s="325" t="s">
        <v>3722</v>
      </c>
      <c r="D2462" s="325">
        <f>Games!D86</f>
        <v>0</v>
      </c>
      <c r="E2462" s="325"/>
      <c r="F2462" s="325" t="s">
        <v>3723</v>
      </c>
      <c r="G2462" s="325" t="str">
        <f>IF(Games!V86="e","Y","")</f>
        <v/>
      </c>
      <c r="H2462" s="325" t="str">
        <f>Games!E86</f>
        <v/>
      </c>
      <c r="I2462" s="325" t="str">
        <f>Games!F86</f>
        <v/>
      </c>
      <c r="J2462" s="325" t="str">
        <f>Games!G86</f>
        <v/>
      </c>
      <c r="K2462" s="325"/>
      <c r="L2462" s="325"/>
      <c r="M2462" s="326" t="str">
        <f>TrialDateDay2</f>
        <v/>
      </c>
      <c r="N2462" s="329" t="str">
        <f t="shared" si="1762"/>
        <v/>
      </c>
      <c r="O2462" s="325">
        <f>JudgeD2GamesDistance</f>
        <v>0</v>
      </c>
    </row>
    <row r="2463" spans="1:15" x14ac:dyDescent="0.25">
      <c r="A2463" s="325">
        <v>2</v>
      </c>
      <c r="B2463" s="325">
        <f>B2462</f>
        <v>0</v>
      </c>
      <c r="C2463" s="325" t="str">
        <f>C2462</f>
        <v>GD</v>
      </c>
      <c r="D2463" s="325">
        <f>D2462</f>
        <v>0</v>
      </c>
      <c r="E2463" s="325"/>
      <c r="F2463" s="325" t="str">
        <f>F2462</f>
        <v>Games Distance</v>
      </c>
      <c r="G2463" s="325" t="str">
        <f>G2462</f>
        <v/>
      </c>
      <c r="H2463" s="325" t="str">
        <f>H2462</f>
        <v/>
      </c>
      <c r="I2463" s="325" t="str">
        <f>I2462</f>
        <v/>
      </c>
      <c r="J2463" s="325" t="str">
        <f>J2462</f>
        <v/>
      </c>
      <c r="K2463" s="325"/>
      <c r="L2463" s="325"/>
      <c r="M2463" s="326" t="str">
        <f>M2462</f>
        <v/>
      </c>
      <c r="N2463" s="329" t="str">
        <f t="shared" si="1762"/>
        <v/>
      </c>
      <c r="O2463" s="325">
        <f>O2462</f>
        <v>0</v>
      </c>
    </row>
    <row r="2464" spans="1:15" x14ac:dyDescent="0.25">
      <c r="A2464" s="2">
        <v>1</v>
      </c>
      <c r="B2464" s="2">
        <f>TrialNumberDay2</f>
        <v>0</v>
      </c>
      <c r="C2464" s="2" t="s">
        <v>3722</v>
      </c>
      <c r="D2464" s="2">
        <f>Games!D87</f>
        <v>0</v>
      </c>
      <c r="F2464" s="2" t="s">
        <v>3723</v>
      </c>
      <c r="G2464" s="2" t="str">
        <f>IF(Games!V87="e","Y","")</f>
        <v/>
      </c>
      <c r="H2464" s="2" t="str">
        <f>Games!E87</f>
        <v/>
      </c>
      <c r="I2464" s="2" t="str">
        <f>Games!F87</f>
        <v/>
      </c>
      <c r="J2464" s="2" t="str">
        <f>Games!G87</f>
        <v/>
      </c>
      <c r="M2464" s="180" t="str">
        <f>TrialDateDay2</f>
        <v/>
      </c>
      <c r="N2464" s="329" t="str">
        <f t="shared" si="1762"/>
        <v/>
      </c>
      <c r="O2464" s="2">
        <f>JudgeD2GamesDistance</f>
        <v>0</v>
      </c>
    </row>
    <row r="2465" spans="1:15" x14ac:dyDescent="0.25">
      <c r="A2465" s="2">
        <v>2</v>
      </c>
      <c r="B2465" s="2">
        <f>B2464</f>
        <v>0</v>
      </c>
      <c r="C2465" s="2" t="str">
        <f>C2464</f>
        <v>GD</v>
      </c>
      <c r="D2465" s="2">
        <f>D2464</f>
        <v>0</v>
      </c>
      <c r="F2465" s="2" t="str">
        <f>F2464</f>
        <v>Games Distance</v>
      </c>
      <c r="G2465" s="2" t="str">
        <f>G2464</f>
        <v/>
      </c>
      <c r="H2465" s="2" t="str">
        <f>H2464</f>
        <v/>
      </c>
      <c r="I2465" s="2" t="str">
        <f>I2464</f>
        <v/>
      </c>
      <c r="J2465" s="2" t="str">
        <f>J2464</f>
        <v/>
      </c>
      <c r="M2465" s="180" t="str">
        <f>M2464</f>
        <v/>
      </c>
      <c r="N2465" s="329" t="str">
        <f t="shared" si="1762"/>
        <v/>
      </c>
      <c r="O2465" s="2">
        <f>O2464</f>
        <v>0</v>
      </c>
    </row>
    <row r="2466" spans="1:15" x14ac:dyDescent="0.25">
      <c r="A2466" s="325">
        <v>1</v>
      </c>
      <c r="B2466" s="325">
        <f>TrialNumberDay2</f>
        <v>0</v>
      </c>
      <c r="C2466" s="325" t="s">
        <v>3722</v>
      </c>
      <c r="D2466" s="325">
        <f>Games!D88</f>
        <v>0</v>
      </c>
      <c r="E2466" s="325"/>
      <c r="F2466" s="325" t="s">
        <v>3723</v>
      </c>
      <c r="G2466" s="325" t="str">
        <f>IF(Games!V88="e","Y","")</f>
        <v/>
      </c>
      <c r="H2466" s="325" t="str">
        <f>Games!E88</f>
        <v/>
      </c>
      <c r="I2466" s="325" t="str">
        <f>Games!F88</f>
        <v/>
      </c>
      <c r="J2466" s="325" t="str">
        <f>Games!G88</f>
        <v/>
      </c>
      <c r="K2466" s="325"/>
      <c r="L2466" s="325"/>
      <c r="M2466" s="326" t="str">
        <f>TrialDateDay2</f>
        <v/>
      </c>
      <c r="N2466" s="329" t="str">
        <f t="shared" si="1762"/>
        <v/>
      </c>
      <c r="O2466" s="325">
        <f>JudgeD2GamesDistance</f>
        <v>0</v>
      </c>
    </row>
    <row r="2467" spans="1:15" x14ac:dyDescent="0.25">
      <c r="A2467" s="325">
        <v>2</v>
      </c>
      <c r="B2467" s="325">
        <f>B2466</f>
        <v>0</v>
      </c>
      <c r="C2467" s="325" t="str">
        <f>C2466</f>
        <v>GD</v>
      </c>
      <c r="D2467" s="325">
        <f>D2466</f>
        <v>0</v>
      </c>
      <c r="E2467" s="325"/>
      <c r="F2467" s="325" t="str">
        <f>F2466</f>
        <v>Games Distance</v>
      </c>
      <c r="G2467" s="325" t="str">
        <f>G2466</f>
        <v/>
      </c>
      <c r="H2467" s="325" t="str">
        <f>H2466</f>
        <v/>
      </c>
      <c r="I2467" s="325" t="str">
        <f>I2466</f>
        <v/>
      </c>
      <c r="J2467" s="325" t="str">
        <f>J2466</f>
        <v/>
      </c>
      <c r="K2467" s="325"/>
      <c r="L2467" s="325"/>
      <c r="M2467" s="326" t="str">
        <f>M2466</f>
        <v/>
      </c>
      <c r="N2467" s="329" t="str">
        <f t="shared" si="1762"/>
        <v/>
      </c>
      <c r="O2467" s="325">
        <f>O2466</f>
        <v>0</v>
      </c>
    </row>
    <row r="2468" spans="1:15" x14ac:dyDescent="0.25">
      <c r="A2468" s="2">
        <v>1</v>
      </c>
      <c r="B2468" s="2">
        <f>TrialNumberDay2</f>
        <v>0</v>
      </c>
      <c r="C2468" s="2" t="s">
        <v>3722</v>
      </c>
      <c r="D2468" s="2">
        <f>Games!D89</f>
        <v>0</v>
      </c>
      <c r="F2468" s="2" t="s">
        <v>3723</v>
      </c>
      <c r="G2468" s="2" t="str">
        <f>IF(Games!V89="e","Y","")</f>
        <v/>
      </c>
      <c r="H2468" s="2" t="str">
        <f>Games!E89</f>
        <v/>
      </c>
      <c r="I2468" s="2" t="str">
        <f>Games!F89</f>
        <v/>
      </c>
      <c r="J2468" s="2" t="str">
        <f>Games!G89</f>
        <v/>
      </c>
      <c r="M2468" s="180" t="str">
        <f>TrialDateDay2</f>
        <v/>
      </c>
      <c r="N2468" s="329" t="str">
        <f t="shared" si="1762"/>
        <v/>
      </c>
      <c r="O2468" s="2">
        <f>JudgeD2GamesDistance</f>
        <v>0</v>
      </c>
    </row>
    <row r="2469" spans="1:15" x14ac:dyDescent="0.25">
      <c r="A2469" s="2">
        <v>2</v>
      </c>
      <c r="B2469" s="2">
        <f>B2468</f>
        <v>0</v>
      </c>
      <c r="C2469" s="2" t="str">
        <f>C2468</f>
        <v>GD</v>
      </c>
      <c r="D2469" s="2">
        <f>D2468</f>
        <v>0</v>
      </c>
      <c r="F2469" s="2" t="str">
        <f>F2468</f>
        <v>Games Distance</v>
      </c>
      <c r="G2469" s="2" t="str">
        <f>G2468</f>
        <v/>
      </c>
      <c r="H2469" s="2" t="str">
        <f>H2468</f>
        <v/>
      </c>
      <c r="I2469" s="2" t="str">
        <f>I2468</f>
        <v/>
      </c>
      <c r="J2469" s="2" t="str">
        <f>J2468</f>
        <v/>
      </c>
      <c r="M2469" s="180" t="str">
        <f>M2468</f>
        <v/>
      </c>
      <c r="N2469" s="329" t="str">
        <f t="shared" si="1762"/>
        <v/>
      </c>
      <c r="O2469" s="2">
        <f>O2468</f>
        <v>0</v>
      </c>
    </row>
    <row r="2470" spans="1:15" x14ac:dyDescent="0.25">
      <c r="A2470" s="325">
        <v>1</v>
      </c>
      <c r="B2470" s="325">
        <f>TrialNumberDay2</f>
        <v>0</v>
      </c>
      <c r="C2470" s="325" t="s">
        <v>3722</v>
      </c>
      <c r="D2470" s="325">
        <f>Games!D90</f>
        <v>0</v>
      </c>
      <c r="E2470" s="325"/>
      <c r="F2470" s="325" t="s">
        <v>3723</v>
      </c>
      <c r="G2470" s="325" t="str">
        <f>IF(Games!V90="e","Y","")</f>
        <v/>
      </c>
      <c r="H2470" s="325" t="str">
        <f>Games!E90</f>
        <v/>
      </c>
      <c r="I2470" s="325" t="str">
        <f>Games!F90</f>
        <v/>
      </c>
      <c r="J2470" s="325" t="str">
        <f>Games!G90</f>
        <v/>
      </c>
      <c r="K2470" s="325"/>
      <c r="L2470" s="325"/>
      <c r="M2470" s="326" t="str">
        <f>TrialDateDay2</f>
        <v/>
      </c>
      <c r="N2470" s="329" t="str">
        <f t="shared" si="1762"/>
        <v/>
      </c>
      <c r="O2470" s="325">
        <f>JudgeD2GamesDistance</f>
        <v>0</v>
      </c>
    </row>
    <row r="2471" spans="1:15" x14ac:dyDescent="0.25">
      <c r="A2471" s="325">
        <v>2</v>
      </c>
      <c r="B2471" s="325">
        <f>B2470</f>
        <v>0</v>
      </c>
      <c r="C2471" s="325" t="str">
        <f>C2470</f>
        <v>GD</v>
      </c>
      <c r="D2471" s="325">
        <f>D2470</f>
        <v>0</v>
      </c>
      <c r="E2471" s="325"/>
      <c r="F2471" s="325" t="str">
        <f>F2470</f>
        <v>Games Distance</v>
      </c>
      <c r="G2471" s="325" t="str">
        <f>G2470</f>
        <v/>
      </c>
      <c r="H2471" s="325" t="str">
        <f>H2470</f>
        <v/>
      </c>
      <c r="I2471" s="325" t="str">
        <f>I2470</f>
        <v/>
      </c>
      <c r="J2471" s="325" t="str">
        <f>J2470</f>
        <v/>
      </c>
      <c r="K2471" s="325"/>
      <c r="L2471" s="325"/>
      <c r="M2471" s="326" t="str">
        <f>M2470</f>
        <v/>
      </c>
      <c r="N2471" s="329" t="str">
        <f t="shared" si="1762"/>
        <v/>
      </c>
      <c r="O2471" s="325">
        <f>O2470</f>
        <v>0</v>
      </c>
    </row>
    <row r="2472" spans="1:15" x14ac:dyDescent="0.25">
      <c r="A2472" s="2">
        <v>1</v>
      </c>
      <c r="B2472" s="2">
        <f>TrialNumberDay2</f>
        <v>0</v>
      </c>
      <c r="C2472" s="2" t="s">
        <v>3722</v>
      </c>
      <c r="D2472" s="2">
        <f>Games!D91</f>
        <v>0</v>
      </c>
      <c r="F2472" s="2" t="s">
        <v>3723</v>
      </c>
      <c r="G2472" s="2" t="str">
        <f>IF(Games!V91="e","Y","")</f>
        <v/>
      </c>
      <c r="H2472" s="2" t="str">
        <f>Games!E91</f>
        <v/>
      </c>
      <c r="I2472" s="2" t="str">
        <f>Games!F91</f>
        <v/>
      </c>
      <c r="J2472" s="2" t="str">
        <f>Games!G91</f>
        <v/>
      </c>
      <c r="M2472" s="180" t="str">
        <f>TrialDateDay2</f>
        <v/>
      </c>
      <c r="N2472" s="329" t="str">
        <f t="shared" si="1762"/>
        <v/>
      </c>
      <c r="O2472" s="2">
        <f>JudgeD2GamesDistance</f>
        <v>0</v>
      </c>
    </row>
    <row r="2473" spans="1:15" x14ac:dyDescent="0.25">
      <c r="A2473" s="2">
        <v>2</v>
      </c>
      <c r="B2473" s="2">
        <f>B2472</f>
        <v>0</v>
      </c>
      <c r="C2473" s="2" t="str">
        <f>C2472</f>
        <v>GD</v>
      </c>
      <c r="D2473" s="2">
        <f>D2472</f>
        <v>0</v>
      </c>
      <c r="F2473" s="2" t="str">
        <f>F2472</f>
        <v>Games Distance</v>
      </c>
      <c r="G2473" s="2" t="str">
        <f>G2472</f>
        <v/>
      </c>
      <c r="H2473" s="2" t="str">
        <f>H2472</f>
        <v/>
      </c>
      <c r="I2473" s="2" t="str">
        <f>I2472</f>
        <v/>
      </c>
      <c r="J2473" s="2" t="str">
        <f>J2472</f>
        <v/>
      </c>
      <c r="M2473" s="180" t="str">
        <f>M2472</f>
        <v/>
      </c>
      <c r="N2473" s="329" t="str">
        <f t="shared" si="1762"/>
        <v/>
      </c>
      <c r="O2473" s="2">
        <f>O2472</f>
        <v>0</v>
      </c>
    </row>
    <row r="2474" spans="1:15" x14ac:dyDescent="0.25">
      <c r="A2474" s="325">
        <v>1</v>
      </c>
      <c r="B2474" s="325">
        <f>TrialNumberDay2</f>
        <v>0</v>
      </c>
      <c r="C2474" s="325" t="s">
        <v>3722</v>
      </c>
      <c r="D2474" s="325">
        <f>Games!D92</f>
        <v>0</v>
      </c>
      <c r="E2474" s="325"/>
      <c r="F2474" s="325" t="s">
        <v>3723</v>
      </c>
      <c r="G2474" s="325" t="str">
        <f>IF(Games!V92="e","Y","")</f>
        <v/>
      </c>
      <c r="H2474" s="325" t="str">
        <f>Games!E92</f>
        <v/>
      </c>
      <c r="I2474" s="325" t="str">
        <f>Games!F92</f>
        <v/>
      </c>
      <c r="J2474" s="325" t="str">
        <f>Games!G92</f>
        <v/>
      </c>
      <c r="K2474" s="325"/>
      <c r="L2474" s="325"/>
      <c r="M2474" s="326" t="str">
        <f>TrialDateDay2</f>
        <v/>
      </c>
      <c r="N2474" s="329" t="str">
        <f t="shared" si="1762"/>
        <v/>
      </c>
      <c r="O2474" s="325">
        <f>JudgeD2GamesDistance</f>
        <v>0</v>
      </c>
    </row>
    <row r="2475" spans="1:15" x14ac:dyDescent="0.25">
      <c r="A2475" s="325">
        <v>2</v>
      </c>
      <c r="B2475" s="325">
        <f>B2474</f>
        <v>0</v>
      </c>
      <c r="C2475" s="325" t="str">
        <f>C2474</f>
        <v>GD</v>
      </c>
      <c r="D2475" s="325">
        <f>D2474</f>
        <v>0</v>
      </c>
      <c r="E2475" s="325"/>
      <c r="F2475" s="325" t="str">
        <f>F2474</f>
        <v>Games Distance</v>
      </c>
      <c r="G2475" s="325" t="str">
        <f>G2474</f>
        <v/>
      </c>
      <c r="H2475" s="325" t="str">
        <f>H2474</f>
        <v/>
      </c>
      <c r="I2475" s="325" t="str">
        <f>I2474</f>
        <v/>
      </c>
      <c r="J2475" s="325" t="str">
        <f>J2474</f>
        <v/>
      </c>
      <c r="K2475" s="325"/>
      <c r="L2475" s="325"/>
      <c r="M2475" s="326" t="str">
        <f>M2474</f>
        <v/>
      </c>
      <c r="N2475" s="329" t="str">
        <f t="shared" si="1762"/>
        <v/>
      </c>
      <c r="O2475" s="325">
        <f>O2474</f>
        <v>0</v>
      </c>
    </row>
    <row r="2476" spans="1:15" x14ac:dyDescent="0.25">
      <c r="A2476" s="2">
        <v>1</v>
      </c>
      <c r="B2476" s="2">
        <f>TrialNumberDay2</f>
        <v>0</v>
      </c>
      <c r="C2476" s="2" t="s">
        <v>3722</v>
      </c>
      <c r="D2476" s="2">
        <f>Games!D93</f>
        <v>0</v>
      </c>
      <c r="F2476" s="2" t="s">
        <v>3723</v>
      </c>
      <c r="G2476" s="2" t="str">
        <f>IF(Games!V93="e","Y","")</f>
        <v/>
      </c>
      <c r="H2476" s="2" t="str">
        <f>Games!E93</f>
        <v/>
      </c>
      <c r="I2476" s="2" t="str">
        <f>Games!F93</f>
        <v/>
      </c>
      <c r="J2476" s="2" t="str">
        <f>Games!G93</f>
        <v/>
      </c>
      <c r="M2476" s="180" t="str">
        <f>TrialDateDay2</f>
        <v/>
      </c>
      <c r="N2476" s="329" t="str">
        <f t="shared" si="1762"/>
        <v/>
      </c>
      <c r="O2476" s="2">
        <f>JudgeD2GamesDistance</f>
        <v>0</v>
      </c>
    </row>
    <row r="2477" spans="1:15" x14ac:dyDescent="0.25">
      <c r="A2477" s="2">
        <v>2</v>
      </c>
      <c r="B2477" s="2">
        <f>B2476</f>
        <v>0</v>
      </c>
      <c r="C2477" s="2" t="str">
        <f>C2476</f>
        <v>GD</v>
      </c>
      <c r="D2477" s="2">
        <f>D2476</f>
        <v>0</v>
      </c>
      <c r="F2477" s="2" t="str">
        <f>F2476</f>
        <v>Games Distance</v>
      </c>
      <c r="G2477" s="2" t="str">
        <f>G2476</f>
        <v/>
      </c>
      <c r="H2477" s="2" t="str">
        <f>H2476</f>
        <v/>
      </c>
      <c r="I2477" s="2" t="str">
        <f>I2476</f>
        <v/>
      </c>
      <c r="J2477" s="2" t="str">
        <f>J2476</f>
        <v/>
      </c>
      <c r="M2477" s="180" t="str">
        <f>M2476</f>
        <v/>
      </c>
      <c r="N2477" s="329" t="str">
        <f t="shared" si="1762"/>
        <v/>
      </c>
      <c r="O2477" s="2">
        <f>O2476</f>
        <v>0</v>
      </c>
    </row>
    <row r="2478" spans="1:15" x14ac:dyDescent="0.25">
      <c r="A2478" s="325">
        <v>1</v>
      </c>
      <c r="B2478" s="325">
        <f>TrialNumberDay2</f>
        <v>0</v>
      </c>
      <c r="C2478" s="325" t="s">
        <v>3722</v>
      </c>
      <c r="D2478" s="325">
        <f>Games!D94</f>
        <v>0</v>
      </c>
      <c r="E2478" s="325"/>
      <c r="F2478" s="325" t="s">
        <v>3723</v>
      </c>
      <c r="G2478" s="325" t="str">
        <f>IF(Games!V94="e","Y","")</f>
        <v/>
      </c>
      <c r="H2478" s="325" t="str">
        <f>Games!E94</f>
        <v/>
      </c>
      <c r="I2478" s="325" t="str">
        <f>Games!F94</f>
        <v/>
      </c>
      <c r="J2478" s="325" t="str">
        <f>Games!G94</f>
        <v/>
      </c>
      <c r="K2478" s="325"/>
      <c r="L2478" s="325"/>
      <c r="M2478" s="326" t="str">
        <f>TrialDateDay2</f>
        <v/>
      </c>
      <c r="N2478" s="329" t="str">
        <f t="shared" si="1762"/>
        <v/>
      </c>
      <c r="O2478" s="325">
        <f>JudgeD2GamesDistance</f>
        <v>0</v>
      </c>
    </row>
    <row r="2479" spans="1:15" x14ac:dyDescent="0.25">
      <c r="A2479" s="325">
        <v>2</v>
      </c>
      <c r="B2479" s="325">
        <f>B2478</f>
        <v>0</v>
      </c>
      <c r="C2479" s="325" t="str">
        <f>C2478</f>
        <v>GD</v>
      </c>
      <c r="D2479" s="325">
        <f>D2478</f>
        <v>0</v>
      </c>
      <c r="E2479" s="325"/>
      <c r="F2479" s="325" t="str">
        <f>F2478</f>
        <v>Games Distance</v>
      </c>
      <c r="G2479" s="325" t="str">
        <f>G2478</f>
        <v/>
      </c>
      <c r="H2479" s="325" t="str">
        <f>H2478</f>
        <v/>
      </c>
      <c r="I2479" s="325" t="str">
        <f>I2478</f>
        <v/>
      </c>
      <c r="J2479" s="325" t="str">
        <f>J2478</f>
        <v/>
      </c>
      <c r="K2479" s="325"/>
      <c r="L2479" s="325"/>
      <c r="M2479" s="326" t="str">
        <f>M2478</f>
        <v/>
      </c>
      <c r="N2479" s="329" t="str">
        <f t="shared" si="1762"/>
        <v/>
      </c>
      <c r="O2479" s="325">
        <f>O2478</f>
        <v>0</v>
      </c>
    </row>
    <row r="2480" spans="1:15" x14ac:dyDescent="0.25">
      <c r="A2480" s="2">
        <v>1</v>
      </c>
      <c r="B2480" s="2">
        <f>TrialNumberDay2</f>
        <v>0</v>
      </c>
      <c r="C2480" s="2" t="s">
        <v>3722</v>
      </c>
      <c r="D2480" s="2">
        <f>Games!D95</f>
        <v>0</v>
      </c>
      <c r="F2480" s="2" t="s">
        <v>3723</v>
      </c>
      <c r="G2480" s="2" t="str">
        <f>IF(Games!V95="e","Y","")</f>
        <v/>
      </c>
      <c r="H2480" s="2" t="str">
        <f>Games!E95</f>
        <v/>
      </c>
      <c r="I2480" s="2" t="str">
        <f>Games!F95</f>
        <v/>
      </c>
      <c r="J2480" s="2" t="str">
        <f>Games!G95</f>
        <v/>
      </c>
      <c r="M2480" s="180" t="str">
        <f>TrialDateDay2</f>
        <v/>
      </c>
      <c r="N2480" s="329" t="str">
        <f t="shared" si="1762"/>
        <v/>
      </c>
      <c r="O2480" s="2">
        <f>JudgeD2GamesDistance</f>
        <v>0</v>
      </c>
    </row>
    <row r="2481" spans="1:15" x14ac:dyDescent="0.25">
      <c r="A2481" s="2">
        <v>2</v>
      </c>
      <c r="B2481" s="2">
        <f>B2480</f>
        <v>0</v>
      </c>
      <c r="C2481" s="2" t="str">
        <f>C2480</f>
        <v>GD</v>
      </c>
      <c r="D2481" s="2">
        <f>D2480</f>
        <v>0</v>
      </c>
      <c r="F2481" s="2" t="str">
        <f>F2480</f>
        <v>Games Distance</v>
      </c>
      <c r="G2481" s="2" t="str">
        <f>G2480</f>
        <v/>
      </c>
      <c r="H2481" s="2" t="str">
        <f>H2480</f>
        <v/>
      </c>
      <c r="I2481" s="2" t="str">
        <f>I2480</f>
        <v/>
      </c>
      <c r="J2481" s="2" t="str">
        <f>J2480</f>
        <v/>
      </c>
      <c r="M2481" s="180" t="str">
        <f>M2480</f>
        <v/>
      </c>
      <c r="N2481" s="329" t="str">
        <f t="shared" si="1762"/>
        <v/>
      </c>
      <c r="O2481" s="2">
        <f>O2480</f>
        <v>0</v>
      </c>
    </row>
    <row r="2482" spans="1:15" x14ac:dyDescent="0.25">
      <c r="A2482" s="325">
        <v>1</v>
      </c>
      <c r="B2482" s="325">
        <f>TrialNumberDay2</f>
        <v>0</v>
      </c>
      <c r="C2482" s="325" t="s">
        <v>3722</v>
      </c>
      <c r="D2482" s="325">
        <f>Games!D96</f>
        <v>0</v>
      </c>
      <c r="E2482" s="325"/>
      <c r="F2482" s="325" t="s">
        <v>3723</v>
      </c>
      <c r="G2482" s="325" t="str">
        <f>IF(Games!V96="e","Y","")</f>
        <v/>
      </c>
      <c r="H2482" s="325" t="str">
        <f>Games!E96</f>
        <v/>
      </c>
      <c r="I2482" s="325" t="str">
        <f>Games!F96</f>
        <v/>
      </c>
      <c r="J2482" s="325" t="str">
        <f>Games!G96</f>
        <v/>
      </c>
      <c r="K2482" s="325"/>
      <c r="L2482" s="325"/>
      <c r="M2482" s="326" t="str">
        <f>TrialDateDay2</f>
        <v/>
      </c>
      <c r="N2482" s="329" t="str">
        <f t="shared" si="1762"/>
        <v/>
      </c>
      <c r="O2482" s="325">
        <f>JudgeD2GamesDistance</f>
        <v>0</v>
      </c>
    </row>
    <row r="2483" spans="1:15" x14ac:dyDescent="0.25">
      <c r="A2483" s="325">
        <v>2</v>
      </c>
      <c r="B2483" s="325">
        <f>B2482</f>
        <v>0</v>
      </c>
      <c r="C2483" s="325" t="str">
        <f>C2482</f>
        <v>GD</v>
      </c>
      <c r="D2483" s="325">
        <f>D2482</f>
        <v>0</v>
      </c>
      <c r="E2483" s="325"/>
      <c r="F2483" s="325" t="str">
        <f>F2482</f>
        <v>Games Distance</v>
      </c>
      <c r="G2483" s="325" t="str">
        <f>G2482</f>
        <v/>
      </c>
      <c r="H2483" s="325" t="str">
        <f>H2482</f>
        <v/>
      </c>
      <c r="I2483" s="325" t="str">
        <f>I2482</f>
        <v/>
      </c>
      <c r="J2483" s="325" t="str">
        <f>J2482</f>
        <v/>
      </c>
      <c r="K2483" s="325"/>
      <c r="L2483" s="325"/>
      <c r="M2483" s="326" t="str">
        <f>M2482</f>
        <v/>
      </c>
      <c r="N2483" s="329" t="str">
        <f t="shared" si="1762"/>
        <v/>
      </c>
      <c r="O2483" s="325">
        <f>O2482</f>
        <v>0</v>
      </c>
    </row>
    <row r="2484" spans="1:15" x14ac:dyDescent="0.25">
      <c r="A2484" s="2">
        <v>1</v>
      </c>
      <c r="B2484" s="2">
        <f>TrialNumberDay2</f>
        <v>0</v>
      </c>
      <c r="C2484" s="2" t="s">
        <v>3722</v>
      </c>
      <c r="D2484" s="2">
        <f>Games!D97</f>
        <v>0</v>
      </c>
      <c r="F2484" s="2" t="s">
        <v>3723</v>
      </c>
      <c r="G2484" s="2" t="str">
        <f>IF(Games!V97="e","Y","")</f>
        <v/>
      </c>
      <c r="H2484" s="2" t="str">
        <f>Games!E97</f>
        <v/>
      </c>
      <c r="I2484" s="2" t="str">
        <f>Games!F97</f>
        <v/>
      </c>
      <c r="J2484" s="2" t="str">
        <f>Games!G97</f>
        <v/>
      </c>
      <c r="M2484" s="180" t="str">
        <f>TrialDateDay2</f>
        <v/>
      </c>
      <c r="N2484" s="329" t="str">
        <f t="shared" si="1762"/>
        <v/>
      </c>
      <c r="O2484" s="2">
        <f>JudgeD2GamesDistance</f>
        <v>0</v>
      </c>
    </row>
    <row r="2485" spans="1:15" x14ac:dyDescent="0.25">
      <c r="A2485" s="2">
        <v>2</v>
      </c>
      <c r="B2485" s="2">
        <f>B2484</f>
        <v>0</v>
      </c>
      <c r="C2485" s="2" t="str">
        <f>C2484</f>
        <v>GD</v>
      </c>
      <c r="D2485" s="2">
        <f>D2484</f>
        <v>0</v>
      </c>
      <c r="F2485" s="2" t="str">
        <f>F2484</f>
        <v>Games Distance</v>
      </c>
      <c r="G2485" s="2" t="str">
        <f>G2484</f>
        <v/>
      </c>
      <c r="H2485" s="2" t="str">
        <f>H2484</f>
        <v/>
      </c>
      <c r="I2485" s="2" t="str">
        <f>I2484</f>
        <v/>
      </c>
      <c r="J2485" s="2" t="str">
        <f>J2484</f>
        <v/>
      </c>
      <c r="M2485" s="180" t="str">
        <f>M2484</f>
        <v/>
      </c>
      <c r="N2485" s="329" t="str">
        <f t="shared" si="1762"/>
        <v/>
      </c>
      <c r="O2485" s="2">
        <f>O2484</f>
        <v>0</v>
      </c>
    </row>
    <row r="2486" spans="1:15" x14ac:dyDescent="0.25">
      <c r="A2486" s="325">
        <v>1</v>
      </c>
      <c r="B2486" s="325">
        <f>TrialNumberDay2</f>
        <v>0</v>
      </c>
      <c r="C2486" s="325" t="s">
        <v>3722</v>
      </c>
      <c r="D2486" s="325">
        <f>Games!D98</f>
        <v>0</v>
      </c>
      <c r="E2486" s="325"/>
      <c r="F2486" s="325" t="s">
        <v>3723</v>
      </c>
      <c r="G2486" s="325" t="str">
        <f>IF(Games!V98="e","Y","")</f>
        <v/>
      </c>
      <c r="H2486" s="325" t="str">
        <f>Games!E98</f>
        <v/>
      </c>
      <c r="I2486" s="325" t="str">
        <f>Games!F98</f>
        <v/>
      </c>
      <c r="J2486" s="325" t="str">
        <f>Games!G98</f>
        <v/>
      </c>
      <c r="K2486" s="325"/>
      <c r="L2486" s="325"/>
      <c r="M2486" s="326" t="str">
        <f>TrialDateDay2</f>
        <v/>
      </c>
      <c r="N2486" s="329" t="str">
        <f t="shared" ref="N2486:N2517" si="1763">TrialCityDay2</f>
        <v/>
      </c>
      <c r="O2486" s="325">
        <f>JudgeD2GamesDistance</f>
        <v>0</v>
      </c>
    </row>
    <row r="2487" spans="1:15" x14ac:dyDescent="0.25">
      <c r="A2487" s="325">
        <v>2</v>
      </c>
      <c r="B2487" s="325">
        <f>B2486</f>
        <v>0</v>
      </c>
      <c r="C2487" s="325" t="str">
        <f>C2486</f>
        <v>GD</v>
      </c>
      <c r="D2487" s="325">
        <f>D2486</f>
        <v>0</v>
      </c>
      <c r="E2487" s="325"/>
      <c r="F2487" s="325" t="str">
        <f>F2486</f>
        <v>Games Distance</v>
      </c>
      <c r="G2487" s="325" t="str">
        <f>G2486</f>
        <v/>
      </c>
      <c r="H2487" s="325" t="str">
        <f>H2486</f>
        <v/>
      </c>
      <c r="I2487" s="325" t="str">
        <f>I2486</f>
        <v/>
      </c>
      <c r="J2487" s="325" t="str">
        <f>J2486</f>
        <v/>
      </c>
      <c r="K2487" s="325"/>
      <c r="L2487" s="325"/>
      <c r="M2487" s="326" t="str">
        <f>M2486</f>
        <v/>
      </c>
      <c r="N2487" s="329" t="str">
        <f t="shared" si="1763"/>
        <v/>
      </c>
      <c r="O2487" s="325">
        <f>O2486</f>
        <v>0</v>
      </c>
    </row>
    <row r="2488" spans="1:15" x14ac:dyDescent="0.25">
      <c r="A2488" s="2">
        <v>1</v>
      </c>
      <c r="B2488" s="2">
        <f>TrialNumberDay2</f>
        <v>0</v>
      </c>
      <c r="C2488" s="2" t="s">
        <v>3722</v>
      </c>
      <c r="D2488" s="2">
        <f>Games!D99</f>
        <v>0</v>
      </c>
      <c r="F2488" s="2" t="s">
        <v>3723</v>
      </c>
      <c r="G2488" s="2" t="str">
        <f>IF(Games!V99="e","Y","")</f>
        <v/>
      </c>
      <c r="H2488" s="2" t="str">
        <f>Games!E99</f>
        <v/>
      </c>
      <c r="I2488" s="2" t="str">
        <f>Games!F99</f>
        <v/>
      </c>
      <c r="J2488" s="2" t="str">
        <f>Games!G99</f>
        <v/>
      </c>
      <c r="M2488" s="180" t="str">
        <f>TrialDateDay2</f>
        <v/>
      </c>
      <c r="N2488" s="329" t="str">
        <f t="shared" si="1763"/>
        <v/>
      </c>
      <c r="O2488" s="2">
        <f>JudgeD2GamesDistance</f>
        <v>0</v>
      </c>
    </row>
    <row r="2489" spans="1:15" x14ac:dyDescent="0.25">
      <c r="A2489" s="2">
        <v>2</v>
      </c>
      <c r="B2489" s="2">
        <f>B2488</f>
        <v>0</v>
      </c>
      <c r="C2489" s="2" t="str">
        <f>C2488</f>
        <v>GD</v>
      </c>
      <c r="D2489" s="2">
        <f>D2488</f>
        <v>0</v>
      </c>
      <c r="F2489" s="2" t="str">
        <f>F2488</f>
        <v>Games Distance</v>
      </c>
      <c r="G2489" s="2" t="str">
        <f>G2488</f>
        <v/>
      </c>
      <c r="H2489" s="2" t="str">
        <f>H2488</f>
        <v/>
      </c>
      <c r="I2489" s="2" t="str">
        <f>I2488</f>
        <v/>
      </c>
      <c r="J2489" s="2" t="str">
        <f>J2488</f>
        <v/>
      </c>
      <c r="M2489" s="180" t="str">
        <f>M2488</f>
        <v/>
      </c>
      <c r="N2489" s="329" t="str">
        <f t="shared" si="1763"/>
        <v/>
      </c>
      <c r="O2489" s="2">
        <f>O2488</f>
        <v>0</v>
      </c>
    </row>
    <row r="2490" spans="1:15" x14ac:dyDescent="0.25">
      <c r="A2490" s="325">
        <v>1</v>
      </c>
      <c r="B2490" s="325">
        <f>TrialNumberDay2</f>
        <v>0</v>
      </c>
      <c r="C2490" s="325" t="s">
        <v>3722</v>
      </c>
      <c r="D2490" s="325">
        <f>Games!D100</f>
        <v>0</v>
      </c>
      <c r="E2490" s="325"/>
      <c r="F2490" s="325" t="s">
        <v>3723</v>
      </c>
      <c r="G2490" s="325" t="str">
        <f>IF(Games!V100="e","Y","")</f>
        <v/>
      </c>
      <c r="H2490" s="325" t="str">
        <f>Games!E100</f>
        <v/>
      </c>
      <c r="I2490" s="325" t="str">
        <f>Games!F100</f>
        <v/>
      </c>
      <c r="J2490" s="325" t="str">
        <f>Games!G100</f>
        <v/>
      </c>
      <c r="K2490" s="325"/>
      <c r="L2490" s="325"/>
      <c r="M2490" s="326" t="str">
        <f>TrialDateDay2</f>
        <v/>
      </c>
      <c r="N2490" s="329" t="str">
        <f t="shared" si="1763"/>
        <v/>
      </c>
      <c r="O2490" s="325">
        <f>JudgeD2GamesDistance</f>
        <v>0</v>
      </c>
    </row>
    <row r="2491" spans="1:15" x14ac:dyDescent="0.25">
      <c r="A2491" s="325">
        <v>2</v>
      </c>
      <c r="B2491" s="325">
        <f>B2490</f>
        <v>0</v>
      </c>
      <c r="C2491" s="325" t="str">
        <f>C2490</f>
        <v>GD</v>
      </c>
      <c r="D2491" s="325">
        <f>D2490</f>
        <v>0</v>
      </c>
      <c r="E2491" s="325"/>
      <c r="F2491" s="325" t="str">
        <f>F2490</f>
        <v>Games Distance</v>
      </c>
      <c r="G2491" s="325" t="str">
        <f>G2490</f>
        <v/>
      </c>
      <c r="H2491" s="325" t="str">
        <f>H2490</f>
        <v/>
      </c>
      <c r="I2491" s="325" t="str">
        <f>I2490</f>
        <v/>
      </c>
      <c r="J2491" s="325" t="str">
        <f>J2490</f>
        <v/>
      </c>
      <c r="K2491" s="325"/>
      <c r="L2491" s="325"/>
      <c r="M2491" s="326" t="str">
        <f>M2490</f>
        <v/>
      </c>
      <c r="N2491" s="329" t="str">
        <f t="shared" si="1763"/>
        <v/>
      </c>
      <c r="O2491" s="325">
        <f>O2490</f>
        <v>0</v>
      </c>
    </row>
    <row r="2492" spans="1:15" x14ac:dyDescent="0.25">
      <c r="A2492" s="2">
        <v>1</v>
      </c>
      <c r="B2492" s="2">
        <f>TrialNumberDay2</f>
        <v>0</v>
      </c>
      <c r="C2492" s="2" t="s">
        <v>3722</v>
      </c>
      <c r="D2492" s="2">
        <f>Games!D101</f>
        <v>0</v>
      </c>
      <c r="F2492" s="2" t="s">
        <v>3723</v>
      </c>
      <c r="G2492" s="2" t="str">
        <f>IF(Games!V101="e","Y","")</f>
        <v/>
      </c>
      <c r="H2492" s="2" t="str">
        <f>Games!E101</f>
        <v/>
      </c>
      <c r="I2492" s="2" t="str">
        <f>Games!F101</f>
        <v/>
      </c>
      <c r="J2492" s="2" t="str">
        <f>Games!G101</f>
        <v/>
      </c>
      <c r="M2492" s="180" t="str">
        <f>TrialDateDay2</f>
        <v/>
      </c>
      <c r="N2492" s="329" t="str">
        <f t="shared" si="1763"/>
        <v/>
      </c>
      <c r="O2492" s="2">
        <f>JudgeD2GamesDistance</f>
        <v>0</v>
      </c>
    </row>
    <row r="2493" spans="1:15" x14ac:dyDescent="0.25">
      <c r="A2493" s="2">
        <v>2</v>
      </c>
      <c r="B2493" s="2">
        <f>B2492</f>
        <v>0</v>
      </c>
      <c r="C2493" s="2" t="str">
        <f>C2492</f>
        <v>GD</v>
      </c>
      <c r="D2493" s="2">
        <f>D2492</f>
        <v>0</v>
      </c>
      <c r="F2493" s="2" t="str">
        <f>F2492</f>
        <v>Games Distance</v>
      </c>
      <c r="G2493" s="2" t="str">
        <f>G2492</f>
        <v/>
      </c>
      <c r="H2493" s="2" t="str">
        <f>H2492</f>
        <v/>
      </c>
      <c r="I2493" s="2" t="str">
        <f>I2492</f>
        <v/>
      </c>
      <c r="J2493" s="2" t="str">
        <f>J2492</f>
        <v/>
      </c>
      <c r="M2493" s="180" t="str">
        <f>M2492</f>
        <v/>
      </c>
      <c r="N2493" s="329" t="str">
        <f t="shared" si="1763"/>
        <v/>
      </c>
      <c r="O2493" s="2">
        <f>O2492</f>
        <v>0</v>
      </c>
    </row>
    <row r="2494" spans="1:15" x14ac:dyDescent="0.25">
      <c r="A2494" s="325">
        <v>1</v>
      </c>
      <c r="B2494" s="325">
        <f>TrialNumberDay2</f>
        <v>0</v>
      </c>
      <c r="C2494" s="325" t="s">
        <v>3722</v>
      </c>
      <c r="D2494" s="325">
        <f>Games!D102</f>
        <v>0</v>
      </c>
      <c r="E2494" s="325"/>
      <c r="F2494" s="325" t="s">
        <v>3723</v>
      </c>
      <c r="G2494" s="325" t="str">
        <f>IF(Games!V102="e","Y","")</f>
        <v/>
      </c>
      <c r="H2494" s="325" t="str">
        <f>Games!E102</f>
        <v/>
      </c>
      <c r="I2494" s="325" t="str">
        <f>Games!F102</f>
        <v/>
      </c>
      <c r="J2494" s="325" t="str">
        <f>Games!G102</f>
        <v/>
      </c>
      <c r="K2494" s="325"/>
      <c r="L2494" s="325"/>
      <c r="M2494" s="326" t="str">
        <f>TrialDateDay2</f>
        <v/>
      </c>
      <c r="N2494" s="329" t="str">
        <f t="shared" si="1763"/>
        <v/>
      </c>
      <c r="O2494" s="325">
        <f>JudgeD2GamesDistance</f>
        <v>0</v>
      </c>
    </row>
    <row r="2495" spans="1:15" x14ac:dyDescent="0.25">
      <c r="A2495" s="325">
        <v>2</v>
      </c>
      <c r="B2495" s="325">
        <f>B2494</f>
        <v>0</v>
      </c>
      <c r="C2495" s="325" t="str">
        <f>C2494</f>
        <v>GD</v>
      </c>
      <c r="D2495" s="325">
        <f>D2494</f>
        <v>0</v>
      </c>
      <c r="E2495" s="325"/>
      <c r="F2495" s="325" t="str">
        <f>F2494</f>
        <v>Games Distance</v>
      </c>
      <c r="G2495" s="325" t="str">
        <f>G2494</f>
        <v/>
      </c>
      <c r="H2495" s="325" t="str">
        <f>H2494</f>
        <v/>
      </c>
      <c r="I2495" s="325" t="str">
        <f>I2494</f>
        <v/>
      </c>
      <c r="J2495" s="325" t="str">
        <f>J2494</f>
        <v/>
      </c>
      <c r="K2495" s="325"/>
      <c r="L2495" s="325"/>
      <c r="M2495" s="326" t="str">
        <f>M2494</f>
        <v/>
      </c>
      <c r="N2495" s="329" t="str">
        <f t="shared" si="1763"/>
        <v/>
      </c>
      <c r="O2495" s="325">
        <f>O2494</f>
        <v>0</v>
      </c>
    </row>
    <row r="2496" spans="1:15" x14ac:dyDescent="0.25">
      <c r="A2496" s="2">
        <v>1</v>
      </c>
      <c r="B2496" s="2">
        <f>TrialNumberDay2</f>
        <v>0</v>
      </c>
      <c r="C2496" s="2" t="s">
        <v>3722</v>
      </c>
      <c r="D2496" s="2">
        <f>Games!D103</f>
        <v>0</v>
      </c>
      <c r="F2496" s="2" t="s">
        <v>3723</v>
      </c>
      <c r="G2496" s="2" t="str">
        <f>IF(Games!V103="e","Y","")</f>
        <v/>
      </c>
      <c r="H2496" s="2" t="str">
        <f>Games!E103</f>
        <v/>
      </c>
      <c r="I2496" s="2" t="str">
        <f>Games!F103</f>
        <v/>
      </c>
      <c r="J2496" s="2" t="str">
        <f>Games!G103</f>
        <v/>
      </c>
      <c r="M2496" s="180" t="str">
        <f>TrialDateDay2</f>
        <v/>
      </c>
      <c r="N2496" s="329" t="str">
        <f t="shared" si="1763"/>
        <v/>
      </c>
      <c r="O2496" s="2">
        <f>JudgeD2GamesDistance</f>
        <v>0</v>
      </c>
    </row>
    <row r="2497" spans="1:15" x14ac:dyDescent="0.25">
      <c r="A2497" s="2">
        <v>2</v>
      </c>
      <c r="B2497" s="2">
        <f>B2496</f>
        <v>0</v>
      </c>
      <c r="C2497" s="2" t="str">
        <f>C2496</f>
        <v>GD</v>
      </c>
      <c r="D2497" s="2">
        <f>D2496</f>
        <v>0</v>
      </c>
      <c r="F2497" s="2" t="str">
        <f>F2496</f>
        <v>Games Distance</v>
      </c>
      <c r="G2497" s="2" t="str">
        <f>G2496</f>
        <v/>
      </c>
      <c r="H2497" s="2" t="str">
        <f>H2496</f>
        <v/>
      </c>
      <c r="I2497" s="2" t="str">
        <f>I2496</f>
        <v/>
      </c>
      <c r="J2497" s="2" t="str">
        <f>J2496</f>
        <v/>
      </c>
      <c r="M2497" s="180" t="str">
        <f>M2496</f>
        <v/>
      </c>
      <c r="N2497" s="329" t="str">
        <f t="shared" si="1763"/>
        <v/>
      </c>
      <c r="O2497" s="2">
        <f>O2496</f>
        <v>0</v>
      </c>
    </row>
    <row r="2498" spans="1:15" x14ac:dyDescent="0.25">
      <c r="A2498" s="325">
        <v>1</v>
      </c>
      <c r="B2498" s="325">
        <f>TrialNumberDay2</f>
        <v>0</v>
      </c>
      <c r="C2498" s="325" t="s">
        <v>3722</v>
      </c>
      <c r="D2498" s="325">
        <f>Games!D104</f>
        <v>0</v>
      </c>
      <c r="E2498" s="325"/>
      <c r="F2498" s="325" t="s">
        <v>3723</v>
      </c>
      <c r="G2498" s="325" t="str">
        <f>IF(Games!V104="e","Y","")</f>
        <v/>
      </c>
      <c r="H2498" s="325" t="str">
        <f>Games!E104</f>
        <v/>
      </c>
      <c r="I2498" s="325" t="str">
        <f>Games!F104</f>
        <v/>
      </c>
      <c r="J2498" s="325" t="str">
        <f>Games!G104</f>
        <v/>
      </c>
      <c r="K2498" s="325"/>
      <c r="L2498" s="325"/>
      <c r="M2498" s="326" t="str">
        <f>TrialDateDay2</f>
        <v/>
      </c>
      <c r="N2498" s="329" t="str">
        <f t="shared" si="1763"/>
        <v/>
      </c>
      <c r="O2498" s="325">
        <f>JudgeD2GamesDistance</f>
        <v>0</v>
      </c>
    </row>
    <row r="2499" spans="1:15" x14ac:dyDescent="0.25">
      <c r="A2499" s="325">
        <v>2</v>
      </c>
      <c r="B2499" s="325">
        <f>B2498</f>
        <v>0</v>
      </c>
      <c r="C2499" s="325" t="str">
        <f>C2498</f>
        <v>GD</v>
      </c>
      <c r="D2499" s="325">
        <f>D2498</f>
        <v>0</v>
      </c>
      <c r="E2499" s="325"/>
      <c r="F2499" s="325" t="str">
        <f>F2498</f>
        <v>Games Distance</v>
      </c>
      <c r="G2499" s="325" t="str">
        <f>G2498</f>
        <v/>
      </c>
      <c r="H2499" s="325" t="str">
        <f>H2498</f>
        <v/>
      </c>
      <c r="I2499" s="325" t="str">
        <f>I2498</f>
        <v/>
      </c>
      <c r="J2499" s="325" t="str">
        <f>J2498</f>
        <v/>
      </c>
      <c r="K2499" s="325"/>
      <c r="L2499" s="325"/>
      <c r="M2499" s="326" t="str">
        <f>M2498</f>
        <v/>
      </c>
      <c r="N2499" s="329" t="str">
        <f t="shared" si="1763"/>
        <v/>
      </c>
      <c r="O2499" s="325">
        <f>O2498</f>
        <v>0</v>
      </c>
    </row>
    <row r="2500" spans="1:15" x14ac:dyDescent="0.25">
      <c r="A2500" s="2">
        <v>1</v>
      </c>
      <c r="B2500" s="2">
        <f>TrialNumberDay2</f>
        <v>0</v>
      </c>
      <c r="C2500" s="2" t="s">
        <v>3722</v>
      </c>
      <c r="D2500" s="2">
        <f>Games!D105</f>
        <v>0</v>
      </c>
      <c r="F2500" s="2" t="s">
        <v>3723</v>
      </c>
      <c r="G2500" s="2" t="str">
        <f>IF(Games!V105="e","Y","")</f>
        <v/>
      </c>
      <c r="H2500" s="2" t="str">
        <f>Games!E105</f>
        <v/>
      </c>
      <c r="I2500" s="2" t="str">
        <f>Games!F105</f>
        <v/>
      </c>
      <c r="J2500" s="2" t="str">
        <f>Games!G105</f>
        <v/>
      </c>
      <c r="M2500" s="180" t="str">
        <f>TrialDateDay2</f>
        <v/>
      </c>
      <c r="N2500" s="329" t="str">
        <f t="shared" si="1763"/>
        <v/>
      </c>
      <c r="O2500" s="2">
        <f>JudgeD2GamesDistance</f>
        <v>0</v>
      </c>
    </row>
    <row r="2501" spans="1:15" x14ac:dyDescent="0.25">
      <c r="A2501" s="2">
        <v>2</v>
      </c>
      <c r="B2501" s="2">
        <f>B2500</f>
        <v>0</v>
      </c>
      <c r="C2501" s="2" t="str">
        <f>C2500</f>
        <v>GD</v>
      </c>
      <c r="D2501" s="2">
        <f>D2500</f>
        <v>0</v>
      </c>
      <c r="F2501" s="2" t="str">
        <f>F2500</f>
        <v>Games Distance</v>
      </c>
      <c r="G2501" s="2" t="str">
        <f>G2500</f>
        <v/>
      </c>
      <c r="H2501" s="2" t="str">
        <f>H2500</f>
        <v/>
      </c>
      <c r="I2501" s="2" t="str">
        <f>I2500</f>
        <v/>
      </c>
      <c r="J2501" s="2" t="str">
        <f>J2500</f>
        <v/>
      </c>
      <c r="M2501" s="180" t="str">
        <f>M2500</f>
        <v/>
      </c>
      <c r="N2501" s="329" t="str">
        <f t="shared" si="1763"/>
        <v/>
      </c>
      <c r="O2501" s="2">
        <f>O2500</f>
        <v>0</v>
      </c>
    </row>
    <row r="2502" spans="1:15" x14ac:dyDescent="0.25">
      <c r="A2502" s="325">
        <v>1</v>
      </c>
      <c r="B2502" s="325">
        <f>TrialNumberDay2</f>
        <v>0</v>
      </c>
      <c r="C2502" s="325" t="s">
        <v>3722</v>
      </c>
      <c r="D2502" s="325">
        <f>Games!D106</f>
        <v>0</v>
      </c>
      <c r="E2502" s="325"/>
      <c r="F2502" s="325" t="s">
        <v>3723</v>
      </c>
      <c r="G2502" s="325" t="str">
        <f>IF(Games!V106="e","Y","")</f>
        <v/>
      </c>
      <c r="H2502" s="325" t="str">
        <f>Games!E106</f>
        <v/>
      </c>
      <c r="I2502" s="325" t="str">
        <f>Games!F106</f>
        <v/>
      </c>
      <c r="J2502" s="325" t="str">
        <f>Games!G106</f>
        <v/>
      </c>
      <c r="K2502" s="325"/>
      <c r="L2502" s="325"/>
      <c r="M2502" s="326" t="str">
        <f>TrialDateDay2</f>
        <v/>
      </c>
      <c r="N2502" s="329" t="str">
        <f t="shared" si="1763"/>
        <v/>
      </c>
      <c r="O2502" s="325">
        <f>JudgeD2GamesDistance</f>
        <v>0</v>
      </c>
    </row>
    <row r="2503" spans="1:15" x14ac:dyDescent="0.25">
      <c r="A2503" s="325">
        <v>2</v>
      </c>
      <c r="B2503" s="325">
        <f>B2502</f>
        <v>0</v>
      </c>
      <c r="C2503" s="325" t="str">
        <f>C2502</f>
        <v>GD</v>
      </c>
      <c r="D2503" s="325">
        <f>D2502</f>
        <v>0</v>
      </c>
      <c r="E2503" s="325"/>
      <c r="F2503" s="325" t="str">
        <f>F2502</f>
        <v>Games Distance</v>
      </c>
      <c r="G2503" s="325" t="str">
        <f>G2502</f>
        <v/>
      </c>
      <c r="H2503" s="325" t="str">
        <f>H2502</f>
        <v/>
      </c>
      <c r="I2503" s="325" t="str">
        <f>I2502</f>
        <v/>
      </c>
      <c r="J2503" s="325" t="str">
        <f>J2502</f>
        <v/>
      </c>
      <c r="K2503" s="325"/>
      <c r="L2503" s="325"/>
      <c r="M2503" s="326" t="str">
        <f>M2502</f>
        <v/>
      </c>
      <c r="N2503" s="329" t="str">
        <f t="shared" si="1763"/>
        <v/>
      </c>
      <c r="O2503" s="325">
        <f>O2502</f>
        <v>0</v>
      </c>
    </row>
    <row r="2504" spans="1:15" x14ac:dyDescent="0.25">
      <c r="A2504" s="2">
        <v>1</v>
      </c>
      <c r="B2504" s="2">
        <f>TrialNumberDay2</f>
        <v>0</v>
      </c>
      <c r="C2504" s="2" t="s">
        <v>3722</v>
      </c>
      <c r="D2504" s="2">
        <f>Games!D107</f>
        <v>0</v>
      </c>
      <c r="F2504" s="2" t="s">
        <v>3723</v>
      </c>
      <c r="G2504" s="2" t="str">
        <f>IF(Games!V107="e","Y","")</f>
        <v/>
      </c>
      <c r="H2504" s="2" t="str">
        <f>Games!E107</f>
        <v/>
      </c>
      <c r="I2504" s="2" t="str">
        <f>Games!F107</f>
        <v/>
      </c>
      <c r="J2504" s="2" t="str">
        <f>Games!G107</f>
        <v/>
      </c>
      <c r="M2504" s="180" t="str">
        <f>TrialDateDay2</f>
        <v/>
      </c>
      <c r="N2504" s="329" t="str">
        <f t="shared" si="1763"/>
        <v/>
      </c>
      <c r="O2504" s="2">
        <f>JudgeD2GamesDistance</f>
        <v>0</v>
      </c>
    </row>
    <row r="2505" spans="1:15" x14ac:dyDescent="0.25">
      <c r="A2505" s="2">
        <v>2</v>
      </c>
      <c r="B2505" s="2">
        <f>B2504</f>
        <v>0</v>
      </c>
      <c r="C2505" s="2" t="str">
        <f>C2504</f>
        <v>GD</v>
      </c>
      <c r="D2505" s="2">
        <f>D2504</f>
        <v>0</v>
      </c>
      <c r="F2505" s="2" t="str">
        <f>F2504</f>
        <v>Games Distance</v>
      </c>
      <c r="G2505" s="2" t="str">
        <f>G2504</f>
        <v/>
      </c>
      <c r="H2505" s="2" t="str">
        <f>H2504</f>
        <v/>
      </c>
      <c r="I2505" s="2" t="str">
        <f>I2504</f>
        <v/>
      </c>
      <c r="J2505" s="2" t="str">
        <f>J2504</f>
        <v/>
      </c>
      <c r="M2505" s="180" t="str">
        <f>M2504</f>
        <v/>
      </c>
      <c r="N2505" s="329" t="str">
        <f t="shared" si="1763"/>
        <v/>
      </c>
      <c r="O2505" s="2">
        <f>O2504</f>
        <v>0</v>
      </c>
    </row>
    <row r="2506" spans="1:15" x14ac:dyDescent="0.25">
      <c r="A2506" s="325">
        <v>1</v>
      </c>
      <c r="B2506" s="325">
        <f>TrialNumberDay2</f>
        <v>0</v>
      </c>
      <c r="C2506" s="325" t="s">
        <v>3722</v>
      </c>
      <c r="D2506" s="325">
        <f>Games!D108</f>
        <v>0</v>
      </c>
      <c r="E2506" s="325"/>
      <c r="F2506" s="325" t="s">
        <v>3723</v>
      </c>
      <c r="G2506" s="325" t="str">
        <f>IF(Games!V108="e","Y","")</f>
        <v/>
      </c>
      <c r="H2506" s="325" t="str">
        <f>Games!E108</f>
        <v/>
      </c>
      <c r="I2506" s="325" t="str">
        <f>Games!F108</f>
        <v/>
      </c>
      <c r="J2506" s="325" t="str">
        <f>Games!G108</f>
        <v/>
      </c>
      <c r="K2506" s="325"/>
      <c r="L2506" s="325"/>
      <c r="M2506" s="326" t="str">
        <f>TrialDateDay2</f>
        <v/>
      </c>
      <c r="N2506" s="329" t="str">
        <f t="shared" si="1763"/>
        <v/>
      </c>
      <c r="O2506" s="325">
        <f>JudgeD2GamesDistance</f>
        <v>0</v>
      </c>
    </row>
    <row r="2507" spans="1:15" x14ac:dyDescent="0.25">
      <c r="A2507" s="325">
        <v>2</v>
      </c>
      <c r="B2507" s="325">
        <f>B2506</f>
        <v>0</v>
      </c>
      <c r="C2507" s="325" t="str">
        <f>C2506</f>
        <v>GD</v>
      </c>
      <c r="D2507" s="325">
        <f>D2506</f>
        <v>0</v>
      </c>
      <c r="E2507" s="325"/>
      <c r="F2507" s="325" t="str">
        <f>F2506</f>
        <v>Games Distance</v>
      </c>
      <c r="G2507" s="325" t="str">
        <f>G2506</f>
        <v/>
      </c>
      <c r="H2507" s="325" t="str">
        <f>H2506</f>
        <v/>
      </c>
      <c r="I2507" s="325" t="str">
        <f>I2506</f>
        <v/>
      </c>
      <c r="J2507" s="325" t="str">
        <f>J2506</f>
        <v/>
      </c>
      <c r="K2507" s="325"/>
      <c r="L2507" s="325"/>
      <c r="M2507" s="326" t="str">
        <f>M2506</f>
        <v/>
      </c>
      <c r="N2507" s="329" t="str">
        <f t="shared" si="1763"/>
        <v/>
      </c>
      <c r="O2507" s="325">
        <f>O2506</f>
        <v>0</v>
      </c>
    </row>
    <row r="2508" spans="1:15" x14ac:dyDescent="0.25">
      <c r="A2508" s="2">
        <v>1</v>
      </c>
      <c r="B2508" s="2">
        <f>TrialNumberDay2</f>
        <v>0</v>
      </c>
      <c r="C2508" s="2" t="s">
        <v>3722</v>
      </c>
      <c r="D2508" s="2">
        <f>Games!D109</f>
        <v>0</v>
      </c>
      <c r="F2508" s="2" t="s">
        <v>3723</v>
      </c>
      <c r="G2508" s="2" t="str">
        <f>IF(Games!V109="e","Y","")</f>
        <v/>
      </c>
      <c r="H2508" s="2" t="str">
        <f>Games!E109</f>
        <v/>
      </c>
      <c r="I2508" s="2" t="str">
        <f>Games!F109</f>
        <v/>
      </c>
      <c r="J2508" s="2" t="str">
        <f>Games!G109</f>
        <v/>
      </c>
      <c r="M2508" s="180" t="str">
        <f>TrialDateDay2</f>
        <v/>
      </c>
      <c r="N2508" s="329" t="str">
        <f t="shared" si="1763"/>
        <v/>
      </c>
      <c r="O2508" s="2">
        <f>JudgeD2GamesDistance</f>
        <v>0</v>
      </c>
    </row>
    <row r="2509" spans="1:15" x14ac:dyDescent="0.25">
      <c r="A2509" s="2">
        <v>2</v>
      </c>
      <c r="B2509" s="2">
        <f>B2508</f>
        <v>0</v>
      </c>
      <c r="C2509" s="2" t="str">
        <f>C2508</f>
        <v>GD</v>
      </c>
      <c r="D2509" s="2">
        <f>D2508</f>
        <v>0</v>
      </c>
      <c r="F2509" s="2" t="str">
        <f>F2508</f>
        <v>Games Distance</v>
      </c>
      <c r="G2509" s="2" t="str">
        <f>G2508</f>
        <v/>
      </c>
      <c r="H2509" s="2" t="str">
        <f>H2508</f>
        <v/>
      </c>
      <c r="I2509" s="2" t="str">
        <f>I2508</f>
        <v/>
      </c>
      <c r="J2509" s="2" t="str">
        <f>J2508</f>
        <v/>
      </c>
      <c r="M2509" s="180" t="str">
        <f>M2508</f>
        <v/>
      </c>
      <c r="N2509" s="329" t="str">
        <f t="shared" si="1763"/>
        <v/>
      </c>
      <c r="O2509" s="2">
        <f>O2508</f>
        <v>0</v>
      </c>
    </row>
    <row r="2510" spans="1:15" x14ac:dyDescent="0.25">
      <c r="A2510" s="325">
        <v>1</v>
      </c>
      <c r="B2510" s="325">
        <f>TrialNumberDay2</f>
        <v>0</v>
      </c>
      <c r="C2510" s="325" t="s">
        <v>3722</v>
      </c>
      <c r="D2510" s="325">
        <f>Games!D110</f>
        <v>0</v>
      </c>
      <c r="E2510" s="325"/>
      <c r="F2510" s="325" t="s">
        <v>3723</v>
      </c>
      <c r="G2510" s="325" t="str">
        <f>IF(Games!V110="e","Y","")</f>
        <v/>
      </c>
      <c r="H2510" s="325" t="str">
        <f>Games!E110</f>
        <v/>
      </c>
      <c r="I2510" s="325" t="str">
        <f>Games!F110</f>
        <v/>
      </c>
      <c r="J2510" s="325" t="str">
        <f>Games!G110</f>
        <v/>
      </c>
      <c r="K2510" s="325"/>
      <c r="L2510" s="325"/>
      <c r="M2510" s="326" t="str">
        <f>TrialDateDay2</f>
        <v/>
      </c>
      <c r="N2510" s="329" t="str">
        <f t="shared" si="1763"/>
        <v/>
      </c>
      <c r="O2510" s="325">
        <f>JudgeD2GamesDistance</f>
        <v>0</v>
      </c>
    </row>
    <row r="2511" spans="1:15" x14ac:dyDescent="0.25">
      <c r="A2511" s="325">
        <v>2</v>
      </c>
      <c r="B2511" s="325">
        <f>B2510</f>
        <v>0</v>
      </c>
      <c r="C2511" s="325" t="str">
        <f>C2510</f>
        <v>GD</v>
      </c>
      <c r="D2511" s="325">
        <f>D2510</f>
        <v>0</v>
      </c>
      <c r="E2511" s="325"/>
      <c r="F2511" s="325" t="str">
        <f>F2510</f>
        <v>Games Distance</v>
      </c>
      <c r="G2511" s="325" t="str">
        <f>G2510</f>
        <v/>
      </c>
      <c r="H2511" s="325" t="str">
        <f>H2510</f>
        <v/>
      </c>
      <c r="I2511" s="325" t="str">
        <f>I2510</f>
        <v/>
      </c>
      <c r="J2511" s="325" t="str">
        <f>J2510</f>
        <v/>
      </c>
      <c r="K2511" s="325"/>
      <c r="L2511" s="325"/>
      <c r="M2511" s="326" t="str">
        <f>M2510</f>
        <v/>
      </c>
      <c r="N2511" s="329" t="str">
        <f t="shared" si="1763"/>
        <v/>
      </c>
      <c r="O2511" s="325">
        <f>O2510</f>
        <v>0</v>
      </c>
    </row>
    <row r="2512" spans="1:15" x14ac:dyDescent="0.25">
      <c r="A2512" s="2">
        <v>1</v>
      </c>
      <c r="B2512" s="2">
        <f>TrialNumberDay2</f>
        <v>0</v>
      </c>
      <c r="C2512" s="2" t="s">
        <v>3722</v>
      </c>
      <c r="D2512" s="2">
        <f>Games!D111</f>
        <v>0</v>
      </c>
      <c r="F2512" s="2" t="s">
        <v>3723</v>
      </c>
      <c r="G2512" s="2" t="str">
        <f>IF(Games!V111="e","Y","")</f>
        <v/>
      </c>
      <c r="H2512" s="2" t="str">
        <f>Games!E111</f>
        <v/>
      </c>
      <c r="I2512" s="2" t="str">
        <f>Games!F111</f>
        <v/>
      </c>
      <c r="J2512" s="2" t="str">
        <f>Games!G111</f>
        <v/>
      </c>
      <c r="M2512" s="180" t="str">
        <f>TrialDateDay2</f>
        <v/>
      </c>
      <c r="N2512" s="329" t="str">
        <f t="shared" si="1763"/>
        <v/>
      </c>
      <c r="O2512" s="2">
        <f>JudgeD2GamesDistance</f>
        <v>0</v>
      </c>
    </row>
    <row r="2513" spans="1:15" x14ac:dyDescent="0.25">
      <c r="A2513" s="2">
        <v>2</v>
      </c>
      <c r="B2513" s="2">
        <f>B2512</f>
        <v>0</v>
      </c>
      <c r="C2513" s="2" t="str">
        <f>C2512</f>
        <v>GD</v>
      </c>
      <c r="D2513" s="2">
        <f>D2512</f>
        <v>0</v>
      </c>
      <c r="F2513" s="2" t="str">
        <f>F2512</f>
        <v>Games Distance</v>
      </c>
      <c r="G2513" s="2" t="str">
        <f>G2512</f>
        <v/>
      </c>
      <c r="H2513" s="2" t="str">
        <f>H2512</f>
        <v/>
      </c>
      <c r="I2513" s="2" t="str">
        <f>I2512</f>
        <v/>
      </c>
      <c r="J2513" s="2" t="str">
        <f>J2512</f>
        <v/>
      </c>
      <c r="M2513" s="180" t="str">
        <f>M2512</f>
        <v/>
      </c>
      <c r="N2513" s="329" t="str">
        <f t="shared" si="1763"/>
        <v/>
      </c>
      <c r="O2513" s="2">
        <f>O2512</f>
        <v>0</v>
      </c>
    </row>
    <row r="2514" spans="1:15" x14ac:dyDescent="0.25">
      <c r="A2514" s="325">
        <v>1</v>
      </c>
      <c r="B2514" s="325">
        <f>TrialNumberDay2</f>
        <v>0</v>
      </c>
      <c r="C2514" s="325" t="s">
        <v>3722</v>
      </c>
      <c r="D2514" s="325">
        <f>Games!D112</f>
        <v>0</v>
      </c>
      <c r="E2514" s="325"/>
      <c r="F2514" s="325" t="s">
        <v>3723</v>
      </c>
      <c r="G2514" s="325" t="str">
        <f>IF(Games!V112="e","Y","")</f>
        <v/>
      </c>
      <c r="H2514" s="325" t="str">
        <f>Games!E112</f>
        <v/>
      </c>
      <c r="I2514" s="325" t="str">
        <f>Games!F112</f>
        <v/>
      </c>
      <c r="J2514" s="325" t="str">
        <f>Games!G112</f>
        <v/>
      </c>
      <c r="K2514" s="325"/>
      <c r="L2514" s="325"/>
      <c r="M2514" s="326" t="str">
        <f>TrialDateDay2</f>
        <v/>
      </c>
      <c r="N2514" s="329" t="str">
        <f t="shared" si="1763"/>
        <v/>
      </c>
      <c r="O2514" s="325">
        <f>JudgeD2GamesDistance</f>
        <v>0</v>
      </c>
    </row>
    <row r="2515" spans="1:15" x14ac:dyDescent="0.25">
      <c r="A2515" s="325">
        <v>2</v>
      </c>
      <c r="B2515" s="325">
        <f>B2514</f>
        <v>0</v>
      </c>
      <c r="C2515" s="325" t="str">
        <f>C2514</f>
        <v>GD</v>
      </c>
      <c r="D2515" s="325">
        <f>D2514</f>
        <v>0</v>
      </c>
      <c r="E2515" s="325"/>
      <c r="F2515" s="325" t="str">
        <f>F2514</f>
        <v>Games Distance</v>
      </c>
      <c r="G2515" s="325" t="str">
        <f>G2514</f>
        <v/>
      </c>
      <c r="H2515" s="325" t="str">
        <f>H2514</f>
        <v/>
      </c>
      <c r="I2515" s="325" t="str">
        <f>I2514</f>
        <v/>
      </c>
      <c r="J2515" s="325" t="str">
        <f>J2514</f>
        <v/>
      </c>
      <c r="K2515" s="325"/>
      <c r="L2515" s="325"/>
      <c r="M2515" s="326" t="str">
        <f>M2514</f>
        <v/>
      </c>
      <c r="N2515" s="329" t="str">
        <f t="shared" si="1763"/>
        <v/>
      </c>
      <c r="O2515" s="325">
        <f>O2514</f>
        <v>0</v>
      </c>
    </row>
    <row r="2516" spans="1:15" x14ac:dyDescent="0.25">
      <c r="A2516" s="2">
        <v>1</v>
      </c>
      <c r="B2516" s="2">
        <f>TrialNumberDay2</f>
        <v>0</v>
      </c>
      <c r="C2516" s="2" t="s">
        <v>3722</v>
      </c>
      <c r="D2516" s="2">
        <f>Games!D113</f>
        <v>0</v>
      </c>
      <c r="F2516" s="2" t="s">
        <v>3723</v>
      </c>
      <c r="G2516" s="2" t="str">
        <f>IF(Games!V113="e","Y","")</f>
        <v/>
      </c>
      <c r="H2516" s="2" t="str">
        <f>Games!E113</f>
        <v/>
      </c>
      <c r="I2516" s="2" t="str">
        <f>Games!F113</f>
        <v/>
      </c>
      <c r="J2516" s="2" t="str">
        <f>Games!G113</f>
        <v/>
      </c>
      <c r="M2516" s="180" t="str">
        <f>TrialDateDay2</f>
        <v/>
      </c>
      <c r="N2516" s="329" t="str">
        <f t="shared" si="1763"/>
        <v/>
      </c>
      <c r="O2516" s="2">
        <f>JudgeD2GamesDistance</f>
        <v>0</v>
      </c>
    </row>
    <row r="2517" spans="1:15" x14ac:dyDescent="0.25">
      <c r="A2517" s="2">
        <v>2</v>
      </c>
      <c r="B2517" s="2">
        <f>B2516</f>
        <v>0</v>
      </c>
      <c r="C2517" s="2" t="str">
        <f>C2516</f>
        <v>GD</v>
      </c>
      <c r="D2517" s="2">
        <f>D2516</f>
        <v>0</v>
      </c>
      <c r="F2517" s="2" t="str">
        <f>F2516</f>
        <v>Games Distance</v>
      </c>
      <c r="G2517" s="2" t="str">
        <f>G2516</f>
        <v/>
      </c>
      <c r="H2517" s="2" t="str">
        <f>H2516</f>
        <v/>
      </c>
      <c r="I2517" s="2" t="str">
        <f>I2516</f>
        <v/>
      </c>
      <c r="J2517" s="2" t="str">
        <f>J2516</f>
        <v/>
      </c>
      <c r="M2517" s="180" t="str">
        <f>M2516</f>
        <v/>
      </c>
      <c r="N2517" s="329" t="str">
        <f t="shared" si="1763"/>
        <v/>
      </c>
      <c r="O2517" s="2">
        <f>O2516</f>
        <v>0</v>
      </c>
    </row>
    <row r="2518" spans="1:15" x14ac:dyDescent="0.25">
      <c r="A2518" s="325">
        <v>1</v>
      </c>
      <c r="B2518" s="325">
        <f>TrialNumberDay2</f>
        <v>0</v>
      </c>
      <c r="C2518" s="325" t="s">
        <v>3722</v>
      </c>
      <c r="D2518" s="325">
        <f>Games!D114</f>
        <v>0</v>
      </c>
      <c r="E2518" s="325"/>
      <c r="F2518" s="325" t="s">
        <v>3723</v>
      </c>
      <c r="G2518" s="325" t="str">
        <f>IF(Games!V114="e","Y","")</f>
        <v/>
      </c>
      <c r="H2518" s="325" t="str">
        <f>Games!E114</f>
        <v/>
      </c>
      <c r="I2518" s="325" t="str">
        <f>Games!F114</f>
        <v/>
      </c>
      <c r="J2518" s="325" t="str">
        <f>Games!G114</f>
        <v/>
      </c>
      <c r="K2518" s="325"/>
      <c r="L2518" s="325"/>
      <c r="M2518" s="326" t="str">
        <f>TrialDateDay2</f>
        <v/>
      </c>
      <c r="N2518" s="329" t="str">
        <f t="shared" ref="N2518:N2549" si="1764">TrialCityDay2</f>
        <v/>
      </c>
      <c r="O2518" s="325">
        <f>JudgeD2GamesDistance</f>
        <v>0</v>
      </c>
    </row>
    <row r="2519" spans="1:15" x14ac:dyDescent="0.25">
      <c r="A2519" s="325">
        <v>2</v>
      </c>
      <c r="B2519" s="325">
        <f>B2518</f>
        <v>0</v>
      </c>
      <c r="C2519" s="325" t="str">
        <f>C2518</f>
        <v>GD</v>
      </c>
      <c r="D2519" s="325">
        <f>D2518</f>
        <v>0</v>
      </c>
      <c r="E2519" s="325"/>
      <c r="F2519" s="325" t="str">
        <f>F2518</f>
        <v>Games Distance</v>
      </c>
      <c r="G2519" s="325" t="str">
        <f>G2518</f>
        <v/>
      </c>
      <c r="H2519" s="325" t="str">
        <f>H2518</f>
        <v/>
      </c>
      <c r="I2519" s="325" t="str">
        <f>I2518</f>
        <v/>
      </c>
      <c r="J2519" s="325" t="str">
        <f>J2518</f>
        <v/>
      </c>
      <c r="K2519" s="325"/>
      <c r="L2519" s="325"/>
      <c r="M2519" s="326" t="str">
        <f>M2518</f>
        <v/>
      </c>
      <c r="N2519" s="329" t="str">
        <f t="shared" si="1764"/>
        <v/>
      </c>
      <c r="O2519" s="325">
        <f>O2518</f>
        <v>0</v>
      </c>
    </row>
    <row r="2520" spans="1:15" x14ac:dyDescent="0.25">
      <c r="A2520" s="2">
        <v>1</v>
      </c>
      <c r="B2520" s="2">
        <f>TrialNumberDay2</f>
        <v>0</v>
      </c>
      <c r="C2520" s="2" t="s">
        <v>3722</v>
      </c>
      <c r="D2520" s="2">
        <f>Games!D115</f>
        <v>0</v>
      </c>
      <c r="F2520" s="2" t="s">
        <v>3723</v>
      </c>
      <c r="G2520" s="2" t="str">
        <f>IF(Games!V115="e","Y","")</f>
        <v/>
      </c>
      <c r="H2520" s="2" t="str">
        <f>Games!E115</f>
        <v/>
      </c>
      <c r="I2520" s="2" t="str">
        <f>Games!F115</f>
        <v/>
      </c>
      <c r="J2520" s="2" t="str">
        <f>Games!G115</f>
        <v/>
      </c>
      <c r="M2520" s="180" t="str">
        <f>TrialDateDay2</f>
        <v/>
      </c>
      <c r="N2520" s="329" t="str">
        <f t="shared" si="1764"/>
        <v/>
      </c>
      <c r="O2520" s="2">
        <f>JudgeD2GamesDistance</f>
        <v>0</v>
      </c>
    </row>
    <row r="2521" spans="1:15" x14ac:dyDescent="0.25">
      <c r="A2521" s="2">
        <v>2</v>
      </c>
      <c r="B2521" s="2">
        <f>B2520</f>
        <v>0</v>
      </c>
      <c r="C2521" s="2" t="str">
        <f>C2520</f>
        <v>GD</v>
      </c>
      <c r="D2521" s="2">
        <f>D2520</f>
        <v>0</v>
      </c>
      <c r="F2521" s="2" t="str">
        <f>F2520</f>
        <v>Games Distance</v>
      </c>
      <c r="G2521" s="2" t="str">
        <f>G2520</f>
        <v/>
      </c>
      <c r="H2521" s="2" t="str">
        <f>H2520</f>
        <v/>
      </c>
      <c r="I2521" s="2" t="str">
        <f>I2520</f>
        <v/>
      </c>
      <c r="J2521" s="2" t="str">
        <f>J2520</f>
        <v/>
      </c>
      <c r="M2521" s="180" t="str">
        <f>M2520</f>
        <v/>
      </c>
      <c r="N2521" s="329" t="str">
        <f t="shared" si="1764"/>
        <v/>
      </c>
      <c r="O2521" s="2">
        <f>O2520</f>
        <v>0</v>
      </c>
    </row>
    <row r="2522" spans="1:15" x14ac:dyDescent="0.25">
      <c r="A2522" s="329">
        <v>1</v>
      </c>
      <c r="B2522" s="329">
        <f>TrialNumberDay2</f>
        <v>0</v>
      </c>
      <c r="C2522" s="329" t="s">
        <v>3724</v>
      </c>
      <c r="D2522" s="329">
        <f>Games!D66</f>
        <v>0</v>
      </c>
      <c r="E2522" s="329"/>
      <c r="F2522" s="329" t="s">
        <v>3725</v>
      </c>
      <c r="G2522" s="329" t="str">
        <f>IF(Games!AC66="e","Y","")</f>
        <v/>
      </c>
      <c r="H2522" s="329" t="str">
        <f>Games!E66</f>
        <v/>
      </c>
      <c r="I2522" s="329" t="str">
        <f>Games!F66</f>
        <v/>
      </c>
      <c r="J2522" s="329" t="str">
        <f>Games!G66</f>
        <v/>
      </c>
      <c r="K2522" s="329"/>
      <c r="L2522" s="329"/>
      <c r="M2522" s="330" t="str">
        <f>TrialDateDay2</f>
        <v/>
      </c>
      <c r="N2522" s="329" t="str">
        <f t="shared" si="1764"/>
        <v/>
      </c>
      <c r="O2522" s="329">
        <f>JudgeD2GamesSpeed</f>
        <v>0</v>
      </c>
    </row>
    <row r="2523" spans="1:15" x14ac:dyDescent="0.25">
      <c r="A2523" s="325">
        <v>2</v>
      </c>
      <c r="B2523" s="325">
        <f>B2522</f>
        <v>0</v>
      </c>
      <c r="C2523" s="325" t="str">
        <f>C2522</f>
        <v>GS</v>
      </c>
      <c r="D2523" s="325">
        <f>D2522</f>
        <v>0</v>
      </c>
      <c r="E2523" s="325"/>
      <c r="F2523" s="325" t="str">
        <f>F2522</f>
        <v>Games Speed</v>
      </c>
      <c r="G2523" s="325" t="str">
        <f>G2522</f>
        <v/>
      </c>
      <c r="H2523" s="325" t="str">
        <f>H2522</f>
        <v/>
      </c>
      <c r="I2523" s="325" t="str">
        <f>I2522</f>
        <v/>
      </c>
      <c r="J2523" s="325" t="str">
        <f>J2522</f>
        <v/>
      </c>
      <c r="K2523" s="325"/>
      <c r="L2523" s="325"/>
      <c r="M2523" s="326" t="str">
        <f>M2522</f>
        <v/>
      </c>
      <c r="N2523" s="329" t="str">
        <f t="shared" si="1764"/>
        <v/>
      </c>
      <c r="O2523" s="325">
        <f>O2522</f>
        <v>0</v>
      </c>
    </row>
    <row r="2524" spans="1:15" x14ac:dyDescent="0.25">
      <c r="A2524" s="2">
        <v>1</v>
      </c>
      <c r="B2524" s="2">
        <f>TrialNumberDay2</f>
        <v>0</v>
      </c>
      <c r="C2524" s="2" t="s">
        <v>3724</v>
      </c>
      <c r="D2524" s="2">
        <f>Games!D67</f>
        <v>0</v>
      </c>
      <c r="F2524" s="2" t="s">
        <v>3725</v>
      </c>
      <c r="G2524" s="2" t="str">
        <f>IF(Games!AC67="e","Y","")</f>
        <v/>
      </c>
      <c r="H2524" s="2" t="str">
        <f>Games!E67</f>
        <v/>
      </c>
      <c r="I2524" s="2" t="str">
        <f>Games!F67</f>
        <v/>
      </c>
      <c r="J2524" s="2" t="str">
        <f>Games!G67</f>
        <v/>
      </c>
      <c r="M2524" s="180" t="str">
        <f>TrialDateDay2</f>
        <v/>
      </c>
      <c r="N2524" s="329" t="str">
        <f t="shared" si="1764"/>
        <v/>
      </c>
      <c r="O2524" s="2">
        <f>JudgeD2GamesSpeed</f>
        <v>0</v>
      </c>
    </row>
    <row r="2525" spans="1:15" x14ac:dyDescent="0.25">
      <c r="A2525" s="325">
        <v>2</v>
      </c>
      <c r="B2525" s="325">
        <f>B2524</f>
        <v>0</v>
      </c>
      <c r="C2525" s="325" t="str">
        <f>C2524</f>
        <v>GS</v>
      </c>
      <c r="D2525" s="325">
        <f>D2524</f>
        <v>0</v>
      </c>
      <c r="E2525" s="325"/>
      <c r="F2525" s="325" t="str">
        <f>F2524</f>
        <v>Games Speed</v>
      </c>
      <c r="G2525" s="325" t="str">
        <f>G2524</f>
        <v/>
      </c>
      <c r="H2525" s="325" t="str">
        <f>H2524</f>
        <v/>
      </c>
      <c r="I2525" s="325" t="str">
        <f>I2524</f>
        <v/>
      </c>
      <c r="J2525" s="325" t="str">
        <f>J2524</f>
        <v/>
      </c>
      <c r="K2525" s="325"/>
      <c r="L2525" s="325"/>
      <c r="M2525" s="326" t="str">
        <f>M2524</f>
        <v/>
      </c>
      <c r="N2525" s="329" t="str">
        <f t="shared" si="1764"/>
        <v/>
      </c>
      <c r="O2525" s="325">
        <f>O2524</f>
        <v>0</v>
      </c>
    </row>
    <row r="2526" spans="1:15" x14ac:dyDescent="0.25">
      <c r="A2526" s="325">
        <v>1</v>
      </c>
      <c r="B2526" s="325">
        <f>TrialNumberDay2</f>
        <v>0</v>
      </c>
      <c r="C2526" s="325" t="s">
        <v>3724</v>
      </c>
      <c r="D2526" s="325">
        <f>Games!D68</f>
        <v>0</v>
      </c>
      <c r="E2526" s="325"/>
      <c r="F2526" s="325" t="s">
        <v>3725</v>
      </c>
      <c r="G2526" s="325" t="str">
        <f>IF(Games!AC68="e","Y","")</f>
        <v/>
      </c>
      <c r="H2526" s="325" t="str">
        <f>Games!E68</f>
        <v/>
      </c>
      <c r="I2526" s="325" t="str">
        <f>Games!F68</f>
        <v/>
      </c>
      <c r="J2526" s="325" t="str">
        <f>Games!G68</f>
        <v/>
      </c>
      <c r="K2526" s="325"/>
      <c r="L2526" s="325"/>
      <c r="M2526" s="326" t="str">
        <f>TrialDateDay2</f>
        <v/>
      </c>
      <c r="N2526" s="329" t="str">
        <f t="shared" si="1764"/>
        <v/>
      </c>
      <c r="O2526" s="325">
        <f>JudgeD2GamesSpeed</f>
        <v>0</v>
      </c>
    </row>
    <row r="2527" spans="1:15" x14ac:dyDescent="0.25">
      <c r="A2527" s="325">
        <v>2</v>
      </c>
      <c r="B2527" s="325">
        <f>B2526</f>
        <v>0</v>
      </c>
      <c r="C2527" s="325" t="str">
        <f>C2526</f>
        <v>GS</v>
      </c>
      <c r="D2527" s="325">
        <f>D2526</f>
        <v>0</v>
      </c>
      <c r="E2527" s="325"/>
      <c r="F2527" s="325" t="str">
        <f>F2526</f>
        <v>Games Speed</v>
      </c>
      <c r="G2527" s="325" t="str">
        <f>G2526</f>
        <v/>
      </c>
      <c r="H2527" s="325" t="str">
        <f>H2526</f>
        <v/>
      </c>
      <c r="I2527" s="325" t="str">
        <f>I2526</f>
        <v/>
      </c>
      <c r="J2527" s="325" t="str">
        <f>J2526</f>
        <v/>
      </c>
      <c r="K2527" s="325"/>
      <c r="L2527" s="325"/>
      <c r="M2527" s="326" t="str">
        <f>M2526</f>
        <v/>
      </c>
      <c r="N2527" s="329" t="str">
        <f t="shared" si="1764"/>
        <v/>
      </c>
      <c r="O2527" s="325">
        <f>O2526</f>
        <v>0</v>
      </c>
    </row>
    <row r="2528" spans="1:15" x14ac:dyDescent="0.25">
      <c r="A2528" s="2">
        <v>1</v>
      </c>
      <c r="B2528" s="2">
        <f>TrialNumberDay2</f>
        <v>0</v>
      </c>
      <c r="C2528" s="2" t="s">
        <v>3724</v>
      </c>
      <c r="D2528" s="2">
        <f>Games!D69</f>
        <v>0</v>
      </c>
      <c r="F2528" s="2" t="s">
        <v>3725</v>
      </c>
      <c r="G2528" s="2" t="str">
        <f>IF(Games!AC69="e","Y","")</f>
        <v/>
      </c>
      <c r="H2528" s="2" t="str">
        <f>Games!E69</f>
        <v/>
      </c>
      <c r="I2528" s="2" t="str">
        <f>Games!F69</f>
        <v/>
      </c>
      <c r="J2528" s="2" t="str">
        <f>Games!G69</f>
        <v/>
      </c>
      <c r="M2528" s="180" t="str">
        <f>TrialDateDay2</f>
        <v/>
      </c>
      <c r="N2528" s="329" t="str">
        <f t="shared" si="1764"/>
        <v/>
      </c>
      <c r="O2528" s="2">
        <f>JudgeD2GamesSpeed</f>
        <v>0</v>
      </c>
    </row>
    <row r="2529" spans="1:15" x14ac:dyDescent="0.25">
      <c r="A2529" s="325">
        <v>2</v>
      </c>
      <c r="B2529" s="325">
        <f>B2528</f>
        <v>0</v>
      </c>
      <c r="C2529" s="325" t="str">
        <f>C2528</f>
        <v>GS</v>
      </c>
      <c r="D2529" s="325">
        <f>D2528</f>
        <v>0</v>
      </c>
      <c r="E2529" s="325"/>
      <c r="F2529" s="325" t="str">
        <f>F2528</f>
        <v>Games Speed</v>
      </c>
      <c r="G2529" s="325" t="str">
        <f>G2528</f>
        <v/>
      </c>
      <c r="H2529" s="325" t="str">
        <f>H2528</f>
        <v/>
      </c>
      <c r="I2529" s="325" t="str">
        <f>I2528</f>
        <v/>
      </c>
      <c r="J2529" s="325" t="str">
        <f>J2528</f>
        <v/>
      </c>
      <c r="K2529" s="325"/>
      <c r="L2529" s="325"/>
      <c r="M2529" s="326" t="str">
        <f>M2528</f>
        <v/>
      </c>
      <c r="N2529" s="329" t="str">
        <f t="shared" si="1764"/>
        <v/>
      </c>
      <c r="O2529" s="325">
        <f>O2528</f>
        <v>0</v>
      </c>
    </row>
    <row r="2530" spans="1:15" x14ac:dyDescent="0.25">
      <c r="A2530" s="325">
        <v>1</v>
      </c>
      <c r="B2530" s="325">
        <f>TrialNumberDay2</f>
        <v>0</v>
      </c>
      <c r="C2530" s="325" t="s">
        <v>3724</v>
      </c>
      <c r="D2530" s="325">
        <f>Games!D70</f>
        <v>0</v>
      </c>
      <c r="E2530" s="325"/>
      <c r="F2530" s="325" t="s">
        <v>3725</v>
      </c>
      <c r="G2530" s="325" t="str">
        <f>IF(Games!AC70="e","Y","")</f>
        <v/>
      </c>
      <c r="H2530" s="325" t="str">
        <f>Games!E70</f>
        <v/>
      </c>
      <c r="I2530" s="325" t="str">
        <f>Games!F70</f>
        <v/>
      </c>
      <c r="J2530" s="325" t="str">
        <f>Games!G70</f>
        <v/>
      </c>
      <c r="K2530" s="325"/>
      <c r="L2530" s="325"/>
      <c r="M2530" s="326" t="str">
        <f>TrialDateDay2</f>
        <v/>
      </c>
      <c r="N2530" s="329" t="str">
        <f t="shared" si="1764"/>
        <v/>
      </c>
      <c r="O2530" s="325">
        <f>JudgeD2GamesSpeed</f>
        <v>0</v>
      </c>
    </row>
    <row r="2531" spans="1:15" x14ac:dyDescent="0.25">
      <c r="A2531" s="325">
        <v>2</v>
      </c>
      <c r="B2531" s="325">
        <f>B2530</f>
        <v>0</v>
      </c>
      <c r="C2531" s="325" t="str">
        <f>C2530</f>
        <v>GS</v>
      </c>
      <c r="D2531" s="325">
        <f>D2530</f>
        <v>0</v>
      </c>
      <c r="E2531" s="325"/>
      <c r="F2531" s="325" t="str">
        <f>F2530</f>
        <v>Games Speed</v>
      </c>
      <c r="G2531" s="325" t="str">
        <f>G2530</f>
        <v/>
      </c>
      <c r="H2531" s="325" t="str">
        <f>H2530</f>
        <v/>
      </c>
      <c r="I2531" s="325" t="str">
        <f>I2530</f>
        <v/>
      </c>
      <c r="J2531" s="325" t="str">
        <f>J2530</f>
        <v/>
      </c>
      <c r="K2531" s="325"/>
      <c r="L2531" s="325"/>
      <c r="M2531" s="326" t="str">
        <f>M2530</f>
        <v/>
      </c>
      <c r="N2531" s="329" t="str">
        <f t="shared" si="1764"/>
        <v/>
      </c>
      <c r="O2531" s="325">
        <f>O2530</f>
        <v>0</v>
      </c>
    </row>
    <row r="2532" spans="1:15" x14ac:dyDescent="0.25">
      <c r="A2532" s="2">
        <v>1</v>
      </c>
      <c r="B2532" s="2">
        <f>TrialNumberDay2</f>
        <v>0</v>
      </c>
      <c r="C2532" s="2" t="s">
        <v>3724</v>
      </c>
      <c r="D2532" s="2">
        <f>Games!D71</f>
        <v>0</v>
      </c>
      <c r="F2532" s="2" t="s">
        <v>3725</v>
      </c>
      <c r="G2532" s="2" t="str">
        <f>IF(Games!AC71="e","Y","")</f>
        <v/>
      </c>
      <c r="H2532" s="2" t="str">
        <f>Games!E71</f>
        <v/>
      </c>
      <c r="I2532" s="2" t="str">
        <f>Games!F71</f>
        <v/>
      </c>
      <c r="J2532" s="2" t="str">
        <f>Games!G71</f>
        <v/>
      </c>
      <c r="M2532" s="180" t="str">
        <f>TrialDateDay2</f>
        <v/>
      </c>
      <c r="N2532" s="329" t="str">
        <f t="shared" si="1764"/>
        <v/>
      </c>
      <c r="O2532" s="2">
        <f>JudgeD2GamesSpeed</f>
        <v>0</v>
      </c>
    </row>
    <row r="2533" spans="1:15" x14ac:dyDescent="0.25">
      <c r="A2533" s="325">
        <v>2</v>
      </c>
      <c r="B2533" s="325">
        <f>B2532</f>
        <v>0</v>
      </c>
      <c r="C2533" s="325" t="str">
        <f>C2532</f>
        <v>GS</v>
      </c>
      <c r="D2533" s="325">
        <f>D2532</f>
        <v>0</v>
      </c>
      <c r="E2533" s="325"/>
      <c r="F2533" s="325" t="str">
        <f>F2532</f>
        <v>Games Speed</v>
      </c>
      <c r="G2533" s="325" t="str">
        <f>G2532</f>
        <v/>
      </c>
      <c r="H2533" s="325" t="str">
        <f>H2532</f>
        <v/>
      </c>
      <c r="I2533" s="325" t="str">
        <f>I2532</f>
        <v/>
      </c>
      <c r="J2533" s="325" t="str">
        <f>J2532</f>
        <v/>
      </c>
      <c r="K2533" s="325"/>
      <c r="L2533" s="325"/>
      <c r="M2533" s="326" t="str">
        <f>M2532</f>
        <v/>
      </c>
      <c r="N2533" s="329" t="str">
        <f t="shared" si="1764"/>
        <v/>
      </c>
      <c r="O2533" s="325">
        <f>O2532</f>
        <v>0</v>
      </c>
    </row>
    <row r="2534" spans="1:15" x14ac:dyDescent="0.25">
      <c r="A2534" s="325">
        <v>1</v>
      </c>
      <c r="B2534" s="325">
        <f>TrialNumberDay2</f>
        <v>0</v>
      </c>
      <c r="C2534" s="325" t="s">
        <v>3724</v>
      </c>
      <c r="D2534" s="325">
        <f>Games!D72</f>
        <v>0</v>
      </c>
      <c r="E2534" s="325"/>
      <c r="F2534" s="325" t="s">
        <v>3725</v>
      </c>
      <c r="G2534" s="325" t="str">
        <f>IF(Games!AC72="e","Y","")</f>
        <v/>
      </c>
      <c r="H2534" s="325" t="str">
        <f>Games!E72</f>
        <v/>
      </c>
      <c r="I2534" s="325" t="str">
        <f>Games!F72</f>
        <v/>
      </c>
      <c r="J2534" s="325" t="str">
        <f>Games!G72</f>
        <v/>
      </c>
      <c r="K2534" s="325"/>
      <c r="L2534" s="325"/>
      <c r="M2534" s="326" t="str">
        <f>TrialDateDay2</f>
        <v/>
      </c>
      <c r="N2534" s="329" t="str">
        <f t="shared" si="1764"/>
        <v/>
      </c>
      <c r="O2534" s="325">
        <f>JudgeD2GamesSpeed</f>
        <v>0</v>
      </c>
    </row>
    <row r="2535" spans="1:15" x14ac:dyDescent="0.25">
      <c r="A2535" s="325">
        <v>2</v>
      </c>
      <c r="B2535" s="325">
        <f>B2534</f>
        <v>0</v>
      </c>
      <c r="C2535" s="325" t="str">
        <f>C2534</f>
        <v>GS</v>
      </c>
      <c r="D2535" s="325">
        <f>D2534</f>
        <v>0</v>
      </c>
      <c r="E2535" s="325"/>
      <c r="F2535" s="325" t="str">
        <f>F2534</f>
        <v>Games Speed</v>
      </c>
      <c r="G2535" s="325" t="str">
        <f>G2534</f>
        <v/>
      </c>
      <c r="H2535" s="325" t="str">
        <f>H2534</f>
        <v/>
      </c>
      <c r="I2535" s="325" t="str">
        <f>I2534</f>
        <v/>
      </c>
      <c r="J2535" s="325" t="str">
        <f>J2534</f>
        <v/>
      </c>
      <c r="K2535" s="325"/>
      <c r="L2535" s="325"/>
      <c r="M2535" s="326" t="str">
        <f>M2534</f>
        <v/>
      </c>
      <c r="N2535" s="329" t="str">
        <f t="shared" si="1764"/>
        <v/>
      </c>
      <c r="O2535" s="325">
        <f>O2534</f>
        <v>0</v>
      </c>
    </row>
    <row r="2536" spans="1:15" x14ac:dyDescent="0.25">
      <c r="A2536" s="2">
        <v>1</v>
      </c>
      <c r="B2536" s="2">
        <f>TrialNumberDay2</f>
        <v>0</v>
      </c>
      <c r="C2536" s="2" t="s">
        <v>3724</v>
      </c>
      <c r="D2536" s="2">
        <f>Games!D73</f>
        <v>0</v>
      </c>
      <c r="F2536" s="2" t="s">
        <v>3725</v>
      </c>
      <c r="G2536" s="2" t="str">
        <f>IF(Games!AC73="e","Y","")</f>
        <v/>
      </c>
      <c r="H2536" s="2" t="str">
        <f>Games!E73</f>
        <v/>
      </c>
      <c r="I2536" s="2" t="str">
        <f>Games!F73</f>
        <v/>
      </c>
      <c r="J2536" s="2" t="str">
        <f>Games!G73</f>
        <v/>
      </c>
      <c r="M2536" s="180" t="str">
        <f>TrialDateDay2</f>
        <v/>
      </c>
      <c r="N2536" s="329" t="str">
        <f t="shared" si="1764"/>
        <v/>
      </c>
      <c r="O2536" s="2">
        <f>JudgeD2GamesSpeed</f>
        <v>0</v>
      </c>
    </row>
    <row r="2537" spans="1:15" x14ac:dyDescent="0.25">
      <c r="A2537" s="325">
        <v>2</v>
      </c>
      <c r="B2537" s="325">
        <f>B2536</f>
        <v>0</v>
      </c>
      <c r="C2537" s="325" t="str">
        <f>C2536</f>
        <v>GS</v>
      </c>
      <c r="D2537" s="325">
        <f>D2536</f>
        <v>0</v>
      </c>
      <c r="E2537" s="325"/>
      <c r="F2537" s="325" t="str">
        <f>F2536</f>
        <v>Games Speed</v>
      </c>
      <c r="G2537" s="325" t="str">
        <f>G2536</f>
        <v/>
      </c>
      <c r="H2537" s="325" t="str">
        <f>H2536</f>
        <v/>
      </c>
      <c r="I2537" s="325" t="str">
        <f>I2536</f>
        <v/>
      </c>
      <c r="J2537" s="325" t="str">
        <f>J2536</f>
        <v/>
      </c>
      <c r="K2537" s="325"/>
      <c r="L2537" s="325"/>
      <c r="M2537" s="326" t="str">
        <f>M2536</f>
        <v/>
      </c>
      <c r="N2537" s="329" t="str">
        <f t="shared" si="1764"/>
        <v/>
      </c>
      <c r="O2537" s="325">
        <f>O2536</f>
        <v>0</v>
      </c>
    </row>
    <row r="2538" spans="1:15" x14ac:dyDescent="0.25">
      <c r="A2538" s="325">
        <v>1</v>
      </c>
      <c r="B2538" s="325">
        <f>TrialNumberDay2</f>
        <v>0</v>
      </c>
      <c r="C2538" s="325" t="s">
        <v>3724</v>
      </c>
      <c r="D2538" s="325">
        <f>Games!D74</f>
        <v>0</v>
      </c>
      <c r="E2538" s="325"/>
      <c r="F2538" s="325" t="s">
        <v>3725</v>
      </c>
      <c r="G2538" s="325" t="str">
        <f>IF(Games!AC74="e","Y","")</f>
        <v/>
      </c>
      <c r="H2538" s="325" t="str">
        <f>Games!E74</f>
        <v/>
      </c>
      <c r="I2538" s="325" t="str">
        <f>Games!F74</f>
        <v/>
      </c>
      <c r="J2538" s="325" t="str">
        <f>Games!G74</f>
        <v/>
      </c>
      <c r="K2538" s="325"/>
      <c r="L2538" s="325"/>
      <c r="M2538" s="326" t="str">
        <f>TrialDateDay2</f>
        <v/>
      </c>
      <c r="N2538" s="329" t="str">
        <f t="shared" si="1764"/>
        <v/>
      </c>
      <c r="O2538" s="325">
        <f>JudgeD2GamesSpeed</f>
        <v>0</v>
      </c>
    </row>
    <row r="2539" spans="1:15" x14ac:dyDescent="0.25">
      <c r="A2539" s="325">
        <v>2</v>
      </c>
      <c r="B2539" s="325">
        <f>B2538</f>
        <v>0</v>
      </c>
      <c r="C2539" s="325" t="str">
        <f>C2538</f>
        <v>GS</v>
      </c>
      <c r="D2539" s="325">
        <f>D2538</f>
        <v>0</v>
      </c>
      <c r="E2539" s="325"/>
      <c r="F2539" s="325" t="str">
        <f>F2538</f>
        <v>Games Speed</v>
      </c>
      <c r="G2539" s="325" t="str">
        <f>G2538</f>
        <v/>
      </c>
      <c r="H2539" s="325" t="str">
        <f>H2538</f>
        <v/>
      </c>
      <c r="I2539" s="325" t="str">
        <f>I2538</f>
        <v/>
      </c>
      <c r="J2539" s="325" t="str">
        <f>J2538</f>
        <v/>
      </c>
      <c r="K2539" s="325"/>
      <c r="L2539" s="325"/>
      <c r="M2539" s="326" t="str">
        <f>M2538</f>
        <v/>
      </c>
      <c r="N2539" s="329" t="str">
        <f t="shared" si="1764"/>
        <v/>
      </c>
      <c r="O2539" s="325">
        <f>O2538</f>
        <v>0</v>
      </c>
    </row>
    <row r="2540" spans="1:15" x14ac:dyDescent="0.25">
      <c r="A2540" s="2">
        <v>1</v>
      </c>
      <c r="B2540" s="2">
        <f>TrialNumberDay2</f>
        <v>0</v>
      </c>
      <c r="C2540" s="2" t="s">
        <v>3724</v>
      </c>
      <c r="D2540" s="2">
        <f>Games!D75</f>
        <v>0</v>
      </c>
      <c r="F2540" s="2" t="s">
        <v>3725</v>
      </c>
      <c r="G2540" s="2" t="str">
        <f>IF(Games!AC75="e","Y","")</f>
        <v/>
      </c>
      <c r="H2540" s="2" t="str">
        <f>Games!E75</f>
        <v/>
      </c>
      <c r="I2540" s="2" t="str">
        <f>Games!F75</f>
        <v/>
      </c>
      <c r="J2540" s="2" t="str">
        <f>Games!G75</f>
        <v/>
      </c>
      <c r="M2540" s="180" t="str">
        <f>TrialDateDay2</f>
        <v/>
      </c>
      <c r="N2540" s="329" t="str">
        <f t="shared" si="1764"/>
        <v/>
      </c>
      <c r="O2540" s="2">
        <f>JudgeD2GamesSpeed</f>
        <v>0</v>
      </c>
    </row>
    <row r="2541" spans="1:15" x14ac:dyDescent="0.25">
      <c r="A2541" s="325">
        <v>2</v>
      </c>
      <c r="B2541" s="325">
        <f>B2540</f>
        <v>0</v>
      </c>
      <c r="C2541" s="325" t="str">
        <f>C2540</f>
        <v>GS</v>
      </c>
      <c r="D2541" s="325">
        <f>D2540</f>
        <v>0</v>
      </c>
      <c r="E2541" s="325"/>
      <c r="F2541" s="325" t="str">
        <f>F2540</f>
        <v>Games Speed</v>
      </c>
      <c r="G2541" s="325" t="str">
        <f>G2540</f>
        <v/>
      </c>
      <c r="H2541" s="325" t="str">
        <f>H2540</f>
        <v/>
      </c>
      <c r="I2541" s="325" t="str">
        <f>I2540</f>
        <v/>
      </c>
      <c r="J2541" s="325" t="str">
        <f>J2540</f>
        <v/>
      </c>
      <c r="K2541" s="325"/>
      <c r="L2541" s="325"/>
      <c r="M2541" s="326" t="str">
        <f>M2540</f>
        <v/>
      </c>
      <c r="N2541" s="329" t="str">
        <f t="shared" si="1764"/>
        <v/>
      </c>
      <c r="O2541" s="325">
        <f>O2540</f>
        <v>0</v>
      </c>
    </row>
    <row r="2542" spans="1:15" x14ac:dyDescent="0.25">
      <c r="A2542" s="325">
        <v>1</v>
      </c>
      <c r="B2542" s="325">
        <f>TrialNumberDay2</f>
        <v>0</v>
      </c>
      <c r="C2542" s="325" t="s">
        <v>3724</v>
      </c>
      <c r="D2542" s="325">
        <f>Games!D76</f>
        <v>0</v>
      </c>
      <c r="E2542" s="325"/>
      <c r="F2542" s="325" t="s">
        <v>3725</v>
      </c>
      <c r="G2542" s="325" t="str">
        <f>IF(Games!AC76="e","Y","")</f>
        <v/>
      </c>
      <c r="H2542" s="325" t="str">
        <f>Games!E76</f>
        <v/>
      </c>
      <c r="I2542" s="325" t="str">
        <f>Games!F76</f>
        <v/>
      </c>
      <c r="J2542" s="325" t="str">
        <f>Games!G76</f>
        <v/>
      </c>
      <c r="K2542" s="325"/>
      <c r="L2542" s="325"/>
      <c r="M2542" s="326" t="str">
        <f>TrialDateDay2</f>
        <v/>
      </c>
      <c r="N2542" s="329" t="str">
        <f t="shared" si="1764"/>
        <v/>
      </c>
      <c r="O2542" s="325">
        <f>JudgeD2GamesSpeed</f>
        <v>0</v>
      </c>
    </row>
    <row r="2543" spans="1:15" x14ac:dyDescent="0.25">
      <c r="A2543" s="325">
        <v>2</v>
      </c>
      <c r="B2543" s="325">
        <f>B2542</f>
        <v>0</v>
      </c>
      <c r="C2543" s="325" t="str">
        <f>C2542</f>
        <v>GS</v>
      </c>
      <c r="D2543" s="325">
        <f>D2542</f>
        <v>0</v>
      </c>
      <c r="E2543" s="325"/>
      <c r="F2543" s="325" t="str">
        <f>F2542</f>
        <v>Games Speed</v>
      </c>
      <c r="G2543" s="325" t="str">
        <f>G2542</f>
        <v/>
      </c>
      <c r="H2543" s="325" t="str">
        <f>H2542</f>
        <v/>
      </c>
      <c r="I2543" s="325" t="str">
        <f>I2542</f>
        <v/>
      </c>
      <c r="J2543" s="325" t="str">
        <f>J2542</f>
        <v/>
      </c>
      <c r="K2543" s="325"/>
      <c r="L2543" s="325"/>
      <c r="M2543" s="326" t="str">
        <f>M2542</f>
        <v/>
      </c>
      <c r="N2543" s="329" t="str">
        <f t="shared" si="1764"/>
        <v/>
      </c>
      <c r="O2543" s="325">
        <f>O2542</f>
        <v>0</v>
      </c>
    </row>
    <row r="2544" spans="1:15" x14ac:dyDescent="0.25">
      <c r="A2544" s="2">
        <v>1</v>
      </c>
      <c r="B2544" s="2">
        <f>TrialNumberDay2</f>
        <v>0</v>
      </c>
      <c r="C2544" s="2" t="s">
        <v>3724</v>
      </c>
      <c r="D2544" s="2">
        <f>Games!D77</f>
        <v>0</v>
      </c>
      <c r="F2544" s="2" t="s">
        <v>3725</v>
      </c>
      <c r="G2544" s="2" t="str">
        <f>IF(Games!AC77="e","Y","")</f>
        <v/>
      </c>
      <c r="H2544" s="2" t="str">
        <f>Games!E77</f>
        <v/>
      </c>
      <c r="I2544" s="2" t="str">
        <f>Games!F77</f>
        <v/>
      </c>
      <c r="J2544" s="2" t="str">
        <f>Games!G77</f>
        <v/>
      </c>
      <c r="M2544" s="180" t="str">
        <f>TrialDateDay2</f>
        <v/>
      </c>
      <c r="N2544" s="329" t="str">
        <f t="shared" si="1764"/>
        <v/>
      </c>
      <c r="O2544" s="2">
        <f>JudgeD2GamesSpeed</f>
        <v>0</v>
      </c>
    </row>
    <row r="2545" spans="1:15" x14ac:dyDescent="0.25">
      <c r="A2545" s="325">
        <v>2</v>
      </c>
      <c r="B2545" s="325">
        <f>B2544</f>
        <v>0</v>
      </c>
      <c r="C2545" s="325" t="str">
        <f>C2544</f>
        <v>GS</v>
      </c>
      <c r="D2545" s="325">
        <f>D2544</f>
        <v>0</v>
      </c>
      <c r="E2545" s="325"/>
      <c r="F2545" s="325" t="str">
        <f>F2544</f>
        <v>Games Speed</v>
      </c>
      <c r="G2545" s="325" t="str">
        <f>G2544</f>
        <v/>
      </c>
      <c r="H2545" s="325" t="str">
        <f>H2544</f>
        <v/>
      </c>
      <c r="I2545" s="325" t="str">
        <f>I2544</f>
        <v/>
      </c>
      <c r="J2545" s="325" t="str">
        <f>J2544</f>
        <v/>
      </c>
      <c r="K2545" s="325"/>
      <c r="L2545" s="325"/>
      <c r="M2545" s="326" t="str">
        <f>M2544</f>
        <v/>
      </c>
      <c r="N2545" s="329" t="str">
        <f t="shared" si="1764"/>
        <v/>
      </c>
      <c r="O2545" s="325">
        <f>O2544</f>
        <v>0</v>
      </c>
    </row>
    <row r="2546" spans="1:15" x14ac:dyDescent="0.25">
      <c r="A2546" s="325">
        <v>1</v>
      </c>
      <c r="B2546" s="325">
        <f>TrialNumberDay2</f>
        <v>0</v>
      </c>
      <c r="C2546" s="325" t="s">
        <v>3724</v>
      </c>
      <c r="D2546" s="325">
        <f>Games!D78</f>
        <v>0</v>
      </c>
      <c r="E2546" s="325"/>
      <c r="F2546" s="325" t="s">
        <v>3725</v>
      </c>
      <c r="G2546" s="325" t="str">
        <f>IF(Games!AC78="e","Y","")</f>
        <v/>
      </c>
      <c r="H2546" s="325" t="str">
        <f>Games!E78</f>
        <v/>
      </c>
      <c r="I2546" s="325" t="str">
        <f>Games!F78</f>
        <v/>
      </c>
      <c r="J2546" s="325" t="str">
        <f>Games!G78</f>
        <v/>
      </c>
      <c r="K2546" s="325"/>
      <c r="L2546" s="325"/>
      <c r="M2546" s="326" t="str">
        <f>TrialDateDay2</f>
        <v/>
      </c>
      <c r="N2546" s="329" t="str">
        <f t="shared" si="1764"/>
        <v/>
      </c>
      <c r="O2546" s="325">
        <f>JudgeD2GamesSpeed</f>
        <v>0</v>
      </c>
    </row>
    <row r="2547" spans="1:15" x14ac:dyDescent="0.25">
      <c r="A2547" s="325">
        <v>2</v>
      </c>
      <c r="B2547" s="325">
        <f>B2546</f>
        <v>0</v>
      </c>
      <c r="C2547" s="325" t="str">
        <f>C2546</f>
        <v>GS</v>
      </c>
      <c r="D2547" s="325">
        <f>D2546</f>
        <v>0</v>
      </c>
      <c r="E2547" s="325"/>
      <c r="F2547" s="325" t="str">
        <f>F2546</f>
        <v>Games Speed</v>
      </c>
      <c r="G2547" s="325" t="str">
        <f>G2546</f>
        <v/>
      </c>
      <c r="H2547" s="325" t="str">
        <f>H2546</f>
        <v/>
      </c>
      <c r="I2547" s="325" t="str">
        <f>I2546</f>
        <v/>
      </c>
      <c r="J2547" s="325" t="str">
        <f>J2546</f>
        <v/>
      </c>
      <c r="K2547" s="325"/>
      <c r="L2547" s="325"/>
      <c r="M2547" s="326" t="str">
        <f>M2546</f>
        <v/>
      </c>
      <c r="N2547" s="329" t="str">
        <f t="shared" si="1764"/>
        <v/>
      </c>
      <c r="O2547" s="325">
        <f>O2546</f>
        <v>0</v>
      </c>
    </row>
    <row r="2548" spans="1:15" x14ac:dyDescent="0.25">
      <c r="A2548" s="2">
        <v>1</v>
      </c>
      <c r="B2548" s="2">
        <f>TrialNumberDay2</f>
        <v>0</v>
      </c>
      <c r="C2548" s="2" t="s">
        <v>3724</v>
      </c>
      <c r="D2548" s="2">
        <f>Games!D79</f>
        <v>0</v>
      </c>
      <c r="F2548" s="2" t="s">
        <v>3725</v>
      </c>
      <c r="G2548" s="2" t="str">
        <f>IF(Games!AC79="e","Y","")</f>
        <v/>
      </c>
      <c r="H2548" s="2" t="str">
        <f>Games!E79</f>
        <v/>
      </c>
      <c r="I2548" s="2" t="str">
        <f>Games!F79</f>
        <v/>
      </c>
      <c r="J2548" s="2" t="str">
        <f>Games!G79</f>
        <v/>
      </c>
      <c r="M2548" s="180" t="str">
        <f>TrialDateDay2</f>
        <v/>
      </c>
      <c r="N2548" s="329" t="str">
        <f t="shared" si="1764"/>
        <v/>
      </c>
      <c r="O2548" s="2">
        <f>JudgeD2GamesSpeed</f>
        <v>0</v>
      </c>
    </row>
    <row r="2549" spans="1:15" x14ac:dyDescent="0.25">
      <c r="A2549" s="325">
        <v>2</v>
      </c>
      <c r="B2549" s="325">
        <f>B2548</f>
        <v>0</v>
      </c>
      <c r="C2549" s="325" t="str">
        <f>C2548</f>
        <v>GS</v>
      </c>
      <c r="D2549" s="325">
        <f>D2548</f>
        <v>0</v>
      </c>
      <c r="E2549" s="325"/>
      <c r="F2549" s="325" t="str">
        <f>F2548</f>
        <v>Games Speed</v>
      </c>
      <c r="G2549" s="325" t="str">
        <f>G2548</f>
        <v/>
      </c>
      <c r="H2549" s="325" t="str">
        <f>H2548</f>
        <v/>
      </c>
      <c r="I2549" s="325" t="str">
        <f>I2548</f>
        <v/>
      </c>
      <c r="J2549" s="325" t="str">
        <f>J2548</f>
        <v/>
      </c>
      <c r="K2549" s="325"/>
      <c r="L2549" s="325"/>
      <c r="M2549" s="326" t="str">
        <f>M2548</f>
        <v/>
      </c>
      <c r="N2549" s="329" t="str">
        <f t="shared" si="1764"/>
        <v/>
      </c>
      <c r="O2549" s="325">
        <f>O2548</f>
        <v>0</v>
      </c>
    </row>
    <row r="2550" spans="1:15" x14ac:dyDescent="0.25">
      <c r="A2550" s="325">
        <v>1</v>
      </c>
      <c r="B2550" s="325">
        <f>TrialNumberDay2</f>
        <v>0</v>
      </c>
      <c r="C2550" s="325" t="s">
        <v>3724</v>
      </c>
      <c r="D2550" s="325">
        <f>Games!D80</f>
        <v>0</v>
      </c>
      <c r="E2550" s="325"/>
      <c r="F2550" s="325" t="s">
        <v>3725</v>
      </c>
      <c r="G2550" s="325" t="str">
        <f>IF(Games!AC80="e","Y","")</f>
        <v/>
      </c>
      <c r="H2550" s="325" t="str">
        <f>Games!E80</f>
        <v/>
      </c>
      <c r="I2550" s="325" t="str">
        <f>Games!F80</f>
        <v/>
      </c>
      <c r="J2550" s="325" t="str">
        <f>Games!G80</f>
        <v/>
      </c>
      <c r="K2550" s="325"/>
      <c r="L2550" s="325"/>
      <c r="M2550" s="326" t="str">
        <f>TrialDateDay2</f>
        <v/>
      </c>
      <c r="N2550" s="329" t="str">
        <f t="shared" ref="N2550:N2581" si="1765">TrialCityDay2</f>
        <v/>
      </c>
      <c r="O2550" s="325">
        <f>JudgeD2GamesSpeed</f>
        <v>0</v>
      </c>
    </row>
    <row r="2551" spans="1:15" x14ac:dyDescent="0.25">
      <c r="A2551" s="325">
        <v>2</v>
      </c>
      <c r="B2551" s="325">
        <f>B2550</f>
        <v>0</v>
      </c>
      <c r="C2551" s="325" t="str">
        <f>C2550</f>
        <v>GS</v>
      </c>
      <c r="D2551" s="325">
        <f>D2550</f>
        <v>0</v>
      </c>
      <c r="E2551" s="325"/>
      <c r="F2551" s="325" t="str">
        <f>F2550</f>
        <v>Games Speed</v>
      </c>
      <c r="G2551" s="325" t="str">
        <f>G2550</f>
        <v/>
      </c>
      <c r="H2551" s="325" t="str">
        <f>H2550</f>
        <v/>
      </c>
      <c r="I2551" s="325" t="str">
        <f>I2550</f>
        <v/>
      </c>
      <c r="J2551" s="325" t="str">
        <f>J2550</f>
        <v/>
      </c>
      <c r="K2551" s="325"/>
      <c r="L2551" s="325"/>
      <c r="M2551" s="326" t="str">
        <f>M2550</f>
        <v/>
      </c>
      <c r="N2551" s="329" t="str">
        <f t="shared" si="1765"/>
        <v/>
      </c>
      <c r="O2551" s="325">
        <f>O2550</f>
        <v>0</v>
      </c>
    </row>
    <row r="2552" spans="1:15" x14ac:dyDescent="0.25">
      <c r="A2552" s="2">
        <v>1</v>
      </c>
      <c r="B2552" s="2">
        <f>TrialNumberDay2</f>
        <v>0</v>
      </c>
      <c r="C2552" s="2" t="s">
        <v>3724</v>
      </c>
      <c r="D2552" s="2">
        <f>Games!D81</f>
        <v>0</v>
      </c>
      <c r="F2552" s="2" t="s">
        <v>3725</v>
      </c>
      <c r="G2552" s="2" t="str">
        <f>IF(Games!AC81="e","Y","")</f>
        <v/>
      </c>
      <c r="H2552" s="2" t="str">
        <f>Games!E81</f>
        <v/>
      </c>
      <c r="I2552" s="2" t="str">
        <f>Games!F81</f>
        <v/>
      </c>
      <c r="J2552" s="2" t="str">
        <f>Games!G81</f>
        <v/>
      </c>
      <c r="M2552" s="180" t="str">
        <f>TrialDateDay2</f>
        <v/>
      </c>
      <c r="N2552" s="329" t="str">
        <f t="shared" si="1765"/>
        <v/>
      </c>
      <c r="O2552" s="2">
        <f>JudgeD2GamesSpeed</f>
        <v>0</v>
      </c>
    </row>
    <row r="2553" spans="1:15" x14ac:dyDescent="0.25">
      <c r="A2553" s="325">
        <v>2</v>
      </c>
      <c r="B2553" s="325">
        <f>B2552</f>
        <v>0</v>
      </c>
      <c r="C2553" s="325" t="str">
        <f>C2552</f>
        <v>GS</v>
      </c>
      <c r="D2553" s="325">
        <f>D2552</f>
        <v>0</v>
      </c>
      <c r="E2553" s="325"/>
      <c r="F2553" s="325" t="str">
        <f>F2552</f>
        <v>Games Speed</v>
      </c>
      <c r="G2553" s="325" t="str">
        <f>G2552</f>
        <v/>
      </c>
      <c r="H2553" s="325" t="str">
        <f>H2552</f>
        <v/>
      </c>
      <c r="I2553" s="325" t="str">
        <f>I2552</f>
        <v/>
      </c>
      <c r="J2553" s="325" t="str">
        <f>J2552</f>
        <v/>
      </c>
      <c r="K2553" s="325"/>
      <c r="L2553" s="325"/>
      <c r="M2553" s="326" t="str">
        <f>M2552</f>
        <v/>
      </c>
      <c r="N2553" s="329" t="str">
        <f t="shared" si="1765"/>
        <v/>
      </c>
      <c r="O2553" s="325">
        <f>O2552</f>
        <v>0</v>
      </c>
    </row>
    <row r="2554" spans="1:15" x14ac:dyDescent="0.25">
      <c r="A2554" s="325">
        <v>1</v>
      </c>
      <c r="B2554" s="325">
        <f>TrialNumberDay2</f>
        <v>0</v>
      </c>
      <c r="C2554" s="325" t="s">
        <v>3724</v>
      </c>
      <c r="D2554" s="325">
        <f>Games!D82</f>
        <v>0</v>
      </c>
      <c r="E2554" s="325"/>
      <c r="F2554" s="325" t="s">
        <v>3725</v>
      </c>
      <c r="G2554" s="325" t="str">
        <f>IF(Games!AC82="e","Y","")</f>
        <v/>
      </c>
      <c r="H2554" s="325" t="str">
        <f>Games!E82</f>
        <v/>
      </c>
      <c r="I2554" s="325" t="str">
        <f>Games!F82</f>
        <v/>
      </c>
      <c r="J2554" s="325" t="str">
        <f>Games!G82</f>
        <v/>
      </c>
      <c r="K2554" s="325"/>
      <c r="L2554" s="325"/>
      <c r="M2554" s="326" t="str">
        <f>TrialDateDay2</f>
        <v/>
      </c>
      <c r="N2554" s="329" t="str">
        <f t="shared" si="1765"/>
        <v/>
      </c>
      <c r="O2554" s="325">
        <f>JudgeD2GamesSpeed</f>
        <v>0</v>
      </c>
    </row>
    <row r="2555" spans="1:15" x14ac:dyDescent="0.25">
      <c r="A2555" s="325">
        <v>2</v>
      </c>
      <c r="B2555" s="325">
        <f>B2554</f>
        <v>0</v>
      </c>
      <c r="C2555" s="325" t="str">
        <f>C2554</f>
        <v>GS</v>
      </c>
      <c r="D2555" s="325">
        <f>D2554</f>
        <v>0</v>
      </c>
      <c r="E2555" s="325"/>
      <c r="F2555" s="325" t="str">
        <f>F2554</f>
        <v>Games Speed</v>
      </c>
      <c r="G2555" s="325" t="str">
        <f>G2554</f>
        <v/>
      </c>
      <c r="H2555" s="325" t="str">
        <f>H2554</f>
        <v/>
      </c>
      <c r="I2555" s="325" t="str">
        <f>I2554</f>
        <v/>
      </c>
      <c r="J2555" s="325" t="str">
        <f>J2554</f>
        <v/>
      </c>
      <c r="K2555" s="325"/>
      <c r="L2555" s="325"/>
      <c r="M2555" s="326" t="str">
        <f>M2554</f>
        <v/>
      </c>
      <c r="N2555" s="329" t="str">
        <f t="shared" si="1765"/>
        <v/>
      </c>
      <c r="O2555" s="325">
        <f>O2554</f>
        <v>0</v>
      </c>
    </row>
    <row r="2556" spans="1:15" x14ac:dyDescent="0.25">
      <c r="A2556" s="2">
        <v>1</v>
      </c>
      <c r="B2556" s="2">
        <f>TrialNumberDay2</f>
        <v>0</v>
      </c>
      <c r="C2556" s="2" t="s">
        <v>3724</v>
      </c>
      <c r="D2556" s="2">
        <f>Games!D83</f>
        <v>0</v>
      </c>
      <c r="F2556" s="2" t="s">
        <v>3725</v>
      </c>
      <c r="G2556" s="2" t="str">
        <f>IF(Games!AC83="e","Y","")</f>
        <v/>
      </c>
      <c r="H2556" s="2" t="str">
        <f>Games!E83</f>
        <v/>
      </c>
      <c r="I2556" s="2" t="str">
        <f>Games!F83</f>
        <v/>
      </c>
      <c r="J2556" s="2" t="str">
        <f>Games!G83</f>
        <v/>
      </c>
      <c r="M2556" s="180" t="str">
        <f>TrialDateDay2</f>
        <v/>
      </c>
      <c r="N2556" s="329" t="str">
        <f t="shared" si="1765"/>
        <v/>
      </c>
      <c r="O2556" s="2">
        <f>JudgeD2GamesSpeed</f>
        <v>0</v>
      </c>
    </row>
    <row r="2557" spans="1:15" x14ac:dyDescent="0.25">
      <c r="A2557" s="325">
        <v>2</v>
      </c>
      <c r="B2557" s="325">
        <f>B2556</f>
        <v>0</v>
      </c>
      <c r="C2557" s="325" t="str">
        <f>C2556</f>
        <v>GS</v>
      </c>
      <c r="D2557" s="325">
        <f>D2556</f>
        <v>0</v>
      </c>
      <c r="E2557" s="325"/>
      <c r="F2557" s="325" t="str">
        <f>F2556</f>
        <v>Games Speed</v>
      </c>
      <c r="G2557" s="325" t="str">
        <f>G2556</f>
        <v/>
      </c>
      <c r="H2557" s="325" t="str">
        <f>H2556</f>
        <v/>
      </c>
      <c r="I2557" s="325" t="str">
        <f>I2556</f>
        <v/>
      </c>
      <c r="J2557" s="325" t="str">
        <f>J2556</f>
        <v/>
      </c>
      <c r="K2557" s="325"/>
      <c r="L2557" s="325"/>
      <c r="M2557" s="326" t="str">
        <f>M2556</f>
        <v/>
      </c>
      <c r="N2557" s="329" t="str">
        <f t="shared" si="1765"/>
        <v/>
      </c>
      <c r="O2557" s="325">
        <f>O2556</f>
        <v>0</v>
      </c>
    </row>
    <row r="2558" spans="1:15" x14ac:dyDescent="0.25">
      <c r="A2558" s="325">
        <v>1</v>
      </c>
      <c r="B2558" s="325">
        <f>TrialNumberDay2</f>
        <v>0</v>
      </c>
      <c r="C2558" s="325" t="s">
        <v>3724</v>
      </c>
      <c r="D2558" s="325">
        <f>Games!D84</f>
        <v>0</v>
      </c>
      <c r="E2558" s="325"/>
      <c r="F2558" s="325" t="s">
        <v>3725</v>
      </c>
      <c r="G2558" s="325" t="str">
        <f>IF(Games!AC84="e","Y","")</f>
        <v/>
      </c>
      <c r="H2558" s="325" t="str">
        <f>Games!E84</f>
        <v/>
      </c>
      <c r="I2558" s="325" t="str">
        <f>Games!F84</f>
        <v/>
      </c>
      <c r="J2558" s="325" t="str">
        <f>Games!G84</f>
        <v/>
      </c>
      <c r="K2558" s="325"/>
      <c r="L2558" s="325"/>
      <c r="M2558" s="326" t="str">
        <f>TrialDateDay2</f>
        <v/>
      </c>
      <c r="N2558" s="329" t="str">
        <f t="shared" si="1765"/>
        <v/>
      </c>
      <c r="O2558" s="325">
        <f>JudgeD2GamesSpeed</f>
        <v>0</v>
      </c>
    </row>
    <row r="2559" spans="1:15" x14ac:dyDescent="0.25">
      <c r="A2559" s="325">
        <v>2</v>
      </c>
      <c r="B2559" s="325">
        <f>B2558</f>
        <v>0</v>
      </c>
      <c r="C2559" s="325" t="str">
        <f>C2558</f>
        <v>GS</v>
      </c>
      <c r="D2559" s="325">
        <f>D2558</f>
        <v>0</v>
      </c>
      <c r="E2559" s="325"/>
      <c r="F2559" s="325" t="str">
        <f>F2558</f>
        <v>Games Speed</v>
      </c>
      <c r="G2559" s="325" t="str">
        <f>G2558</f>
        <v/>
      </c>
      <c r="H2559" s="325" t="str">
        <f>H2558</f>
        <v/>
      </c>
      <c r="I2559" s="325" t="str">
        <f>I2558</f>
        <v/>
      </c>
      <c r="J2559" s="325" t="str">
        <f>J2558</f>
        <v/>
      </c>
      <c r="K2559" s="325"/>
      <c r="L2559" s="325"/>
      <c r="M2559" s="326" t="str">
        <f>M2558</f>
        <v/>
      </c>
      <c r="N2559" s="329" t="str">
        <f t="shared" si="1765"/>
        <v/>
      </c>
      <c r="O2559" s="325">
        <f>O2558</f>
        <v>0</v>
      </c>
    </row>
    <row r="2560" spans="1:15" x14ac:dyDescent="0.25">
      <c r="A2560" s="2">
        <v>1</v>
      </c>
      <c r="B2560" s="2">
        <f>TrialNumberDay2</f>
        <v>0</v>
      </c>
      <c r="C2560" s="2" t="s">
        <v>3724</v>
      </c>
      <c r="D2560" s="2">
        <f>Games!D85</f>
        <v>0</v>
      </c>
      <c r="F2560" s="2" t="s">
        <v>3725</v>
      </c>
      <c r="G2560" s="2" t="str">
        <f>IF(Games!AC85="e","Y","")</f>
        <v/>
      </c>
      <c r="H2560" s="2" t="str">
        <f>Games!E85</f>
        <v/>
      </c>
      <c r="I2560" s="2" t="str">
        <f>Games!F85</f>
        <v/>
      </c>
      <c r="J2560" s="2" t="str">
        <f>Games!G85</f>
        <v/>
      </c>
      <c r="M2560" s="180" t="str">
        <f>TrialDateDay2</f>
        <v/>
      </c>
      <c r="N2560" s="329" t="str">
        <f t="shared" si="1765"/>
        <v/>
      </c>
      <c r="O2560" s="2">
        <f>JudgeD2GamesSpeed</f>
        <v>0</v>
      </c>
    </row>
    <row r="2561" spans="1:15" x14ac:dyDescent="0.25">
      <c r="A2561" s="325">
        <v>2</v>
      </c>
      <c r="B2561" s="325">
        <f>B2560</f>
        <v>0</v>
      </c>
      <c r="C2561" s="325" t="str">
        <f>C2560</f>
        <v>GS</v>
      </c>
      <c r="D2561" s="325">
        <f>D2560</f>
        <v>0</v>
      </c>
      <c r="E2561" s="325"/>
      <c r="F2561" s="325" t="str">
        <f>F2560</f>
        <v>Games Speed</v>
      </c>
      <c r="G2561" s="325" t="str">
        <f>G2560</f>
        <v/>
      </c>
      <c r="H2561" s="325" t="str">
        <f>H2560</f>
        <v/>
      </c>
      <c r="I2561" s="325" t="str">
        <f>I2560</f>
        <v/>
      </c>
      <c r="J2561" s="325" t="str">
        <f>J2560</f>
        <v/>
      </c>
      <c r="K2561" s="325"/>
      <c r="L2561" s="325"/>
      <c r="M2561" s="326" t="str">
        <f>M2560</f>
        <v/>
      </c>
      <c r="N2561" s="329" t="str">
        <f t="shared" si="1765"/>
        <v/>
      </c>
      <c r="O2561" s="325">
        <f>O2560</f>
        <v>0</v>
      </c>
    </row>
    <row r="2562" spans="1:15" x14ac:dyDescent="0.25">
      <c r="A2562" s="325">
        <v>1</v>
      </c>
      <c r="B2562" s="325">
        <f>TrialNumberDay2</f>
        <v>0</v>
      </c>
      <c r="C2562" s="325" t="s">
        <v>3724</v>
      </c>
      <c r="D2562" s="325">
        <f>Games!D86</f>
        <v>0</v>
      </c>
      <c r="E2562" s="325"/>
      <c r="F2562" s="325" t="s">
        <v>3725</v>
      </c>
      <c r="G2562" s="325" t="str">
        <f>IF(Games!AC86="e","Y","")</f>
        <v/>
      </c>
      <c r="H2562" s="325" t="str">
        <f>Games!E86</f>
        <v/>
      </c>
      <c r="I2562" s="325" t="str">
        <f>Games!F86</f>
        <v/>
      </c>
      <c r="J2562" s="325" t="str">
        <f>Games!G86</f>
        <v/>
      </c>
      <c r="K2562" s="325"/>
      <c r="L2562" s="325"/>
      <c r="M2562" s="326" t="str">
        <f>TrialDateDay2</f>
        <v/>
      </c>
      <c r="N2562" s="329" t="str">
        <f t="shared" si="1765"/>
        <v/>
      </c>
      <c r="O2562" s="325">
        <f>JudgeD2GamesSpeed</f>
        <v>0</v>
      </c>
    </row>
    <row r="2563" spans="1:15" x14ac:dyDescent="0.25">
      <c r="A2563" s="325">
        <v>2</v>
      </c>
      <c r="B2563" s="325">
        <f>B2562</f>
        <v>0</v>
      </c>
      <c r="C2563" s="325" t="str">
        <f>C2562</f>
        <v>GS</v>
      </c>
      <c r="D2563" s="325">
        <f>D2562</f>
        <v>0</v>
      </c>
      <c r="E2563" s="325"/>
      <c r="F2563" s="325" t="str">
        <f>F2562</f>
        <v>Games Speed</v>
      </c>
      <c r="G2563" s="325" t="str">
        <f>G2562</f>
        <v/>
      </c>
      <c r="H2563" s="325" t="str">
        <f>H2562</f>
        <v/>
      </c>
      <c r="I2563" s="325" t="str">
        <f>I2562</f>
        <v/>
      </c>
      <c r="J2563" s="325" t="str">
        <f>J2562</f>
        <v/>
      </c>
      <c r="K2563" s="325"/>
      <c r="L2563" s="325"/>
      <c r="M2563" s="326" t="str">
        <f>M2562</f>
        <v/>
      </c>
      <c r="N2563" s="329" t="str">
        <f t="shared" si="1765"/>
        <v/>
      </c>
      <c r="O2563" s="325">
        <f>O2562</f>
        <v>0</v>
      </c>
    </row>
    <row r="2564" spans="1:15" x14ac:dyDescent="0.25">
      <c r="A2564" s="2">
        <v>1</v>
      </c>
      <c r="B2564" s="2">
        <f>TrialNumberDay2</f>
        <v>0</v>
      </c>
      <c r="C2564" s="2" t="s">
        <v>3724</v>
      </c>
      <c r="D2564" s="2">
        <f>Games!D87</f>
        <v>0</v>
      </c>
      <c r="F2564" s="2" t="s">
        <v>3725</v>
      </c>
      <c r="G2564" s="2" t="str">
        <f>IF(Games!AC87="e","Y","")</f>
        <v/>
      </c>
      <c r="H2564" s="2" t="str">
        <f>Games!E87</f>
        <v/>
      </c>
      <c r="I2564" s="2" t="str">
        <f>Games!F87</f>
        <v/>
      </c>
      <c r="J2564" s="2" t="str">
        <f>Games!G87</f>
        <v/>
      </c>
      <c r="M2564" s="180" t="str">
        <f>TrialDateDay2</f>
        <v/>
      </c>
      <c r="N2564" s="329" t="str">
        <f t="shared" si="1765"/>
        <v/>
      </c>
      <c r="O2564" s="2">
        <f>JudgeD2GamesSpeed</f>
        <v>0</v>
      </c>
    </row>
    <row r="2565" spans="1:15" x14ac:dyDescent="0.25">
      <c r="A2565" s="325">
        <v>2</v>
      </c>
      <c r="B2565" s="325">
        <f>B2564</f>
        <v>0</v>
      </c>
      <c r="C2565" s="325" t="str">
        <f>C2564</f>
        <v>GS</v>
      </c>
      <c r="D2565" s="325">
        <f>D2564</f>
        <v>0</v>
      </c>
      <c r="E2565" s="325"/>
      <c r="F2565" s="325" t="str">
        <f>F2564</f>
        <v>Games Speed</v>
      </c>
      <c r="G2565" s="325" t="str">
        <f>G2564</f>
        <v/>
      </c>
      <c r="H2565" s="325" t="str">
        <f>H2564</f>
        <v/>
      </c>
      <c r="I2565" s="325" t="str">
        <f>I2564</f>
        <v/>
      </c>
      <c r="J2565" s="325" t="str">
        <f>J2564</f>
        <v/>
      </c>
      <c r="K2565" s="325"/>
      <c r="L2565" s="325"/>
      <c r="M2565" s="326" t="str">
        <f>M2564</f>
        <v/>
      </c>
      <c r="N2565" s="329" t="str">
        <f t="shared" si="1765"/>
        <v/>
      </c>
      <c r="O2565" s="325">
        <f>O2564</f>
        <v>0</v>
      </c>
    </row>
    <row r="2566" spans="1:15" x14ac:dyDescent="0.25">
      <c r="A2566" s="325">
        <v>1</v>
      </c>
      <c r="B2566" s="325">
        <f>TrialNumberDay2</f>
        <v>0</v>
      </c>
      <c r="C2566" s="325" t="s">
        <v>3724</v>
      </c>
      <c r="D2566" s="325">
        <f>Games!D88</f>
        <v>0</v>
      </c>
      <c r="E2566" s="325"/>
      <c r="F2566" s="325" t="s">
        <v>3725</v>
      </c>
      <c r="G2566" s="325" t="str">
        <f>IF(Games!AC88="e","Y","")</f>
        <v/>
      </c>
      <c r="H2566" s="325" t="str">
        <f>Games!E88</f>
        <v/>
      </c>
      <c r="I2566" s="325" t="str">
        <f>Games!F88</f>
        <v/>
      </c>
      <c r="J2566" s="325" t="str">
        <f>Games!G88</f>
        <v/>
      </c>
      <c r="K2566" s="325"/>
      <c r="L2566" s="325"/>
      <c r="M2566" s="326" t="str">
        <f>TrialDateDay2</f>
        <v/>
      </c>
      <c r="N2566" s="329" t="str">
        <f t="shared" si="1765"/>
        <v/>
      </c>
      <c r="O2566" s="325">
        <f>JudgeD2GamesSpeed</f>
        <v>0</v>
      </c>
    </row>
    <row r="2567" spans="1:15" x14ac:dyDescent="0.25">
      <c r="A2567" s="325">
        <v>2</v>
      </c>
      <c r="B2567" s="325">
        <f>B2566</f>
        <v>0</v>
      </c>
      <c r="C2567" s="325" t="str">
        <f>C2566</f>
        <v>GS</v>
      </c>
      <c r="D2567" s="325">
        <f>D2566</f>
        <v>0</v>
      </c>
      <c r="E2567" s="325"/>
      <c r="F2567" s="325" t="str">
        <f>F2566</f>
        <v>Games Speed</v>
      </c>
      <c r="G2567" s="325" t="str">
        <f>G2566</f>
        <v/>
      </c>
      <c r="H2567" s="325" t="str">
        <f>H2566</f>
        <v/>
      </c>
      <c r="I2567" s="325" t="str">
        <f>I2566</f>
        <v/>
      </c>
      <c r="J2567" s="325" t="str">
        <f>J2566</f>
        <v/>
      </c>
      <c r="K2567" s="325"/>
      <c r="L2567" s="325"/>
      <c r="M2567" s="326" t="str">
        <f>M2566</f>
        <v/>
      </c>
      <c r="N2567" s="329" t="str">
        <f t="shared" si="1765"/>
        <v/>
      </c>
      <c r="O2567" s="325">
        <f>O2566</f>
        <v>0</v>
      </c>
    </row>
    <row r="2568" spans="1:15" x14ac:dyDescent="0.25">
      <c r="A2568" s="2">
        <v>1</v>
      </c>
      <c r="B2568" s="2">
        <f>TrialNumberDay2</f>
        <v>0</v>
      </c>
      <c r="C2568" s="2" t="s">
        <v>3724</v>
      </c>
      <c r="D2568" s="2">
        <f>Games!D89</f>
        <v>0</v>
      </c>
      <c r="F2568" s="2" t="s">
        <v>3725</v>
      </c>
      <c r="G2568" s="2" t="str">
        <f>IF(Games!AC89="e","Y","")</f>
        <v/>
      </c>
      <c r="H2568" s="2" t="str">
        <f>Games!E89</f>
        <v/>
      </c>
      <c r="I2568" s="2" t="str">
        <f>Games!F89</f>
        <v/>
      </c>
      <c r="J2568" s="2" t="str">
        <f>Games!G89</f>
        <v/>
      </c>
      <c r="M2568" s="180" t="str">
        <f>TrialDateDay2</f>
        <v/>
      </c>
      <c r="N2568" s="329" t="str">
        <f t="shared" si="1765"/>
        <v/>
      </c>
      <c r="O2568" s="2">
        <f>JudgeD2GamesSpeed</f>
        <v>0</v>
      </c>
    </row>
    <row r="2569" spans="1:15" x14ac:dyDescent="0.25">
      <c r="A2569" s="325">
        <v>2</v>
      </c>
      <c r="B2569" s="325">
        <f>B2568</f>
        <v>0</v>
      </c>
      <c r="C2569" s="325" t="str">
        <f>C2568</f>
        <v>GS</v>
      </c>
      <c r="D2569" s="325">
        <f>D2568</f>
        <v>0</v>
      </c>
      <c r="E2569" s="325"/>
      <c r="F2569" s="325" t="str">
        <f>F2568</f>
        <v>Games Speed</v>
      </c>
      <c r="G2569" s="325" t="str">
        <f>G2568</f>
        <v/>
      </c>
      <c r="H2569" s="325" t="str">
        <f>H2568</f>
        <v/>
      </c>
      <c r="I2569" s="325" t="str">
        <f>I2568</f>
        <v/>
      </c>
      <c r="J2569" s="325" t="str">
        <f>J2568</f>
        <v/>
      </c>
      <c r="K2569" s="325"/>
      <c r="L2569" s="325"/>
      <c r="M2569" s="326" t="str">
        <f>M2568</f>
        <v/>
      </c>
      <c r="N2569" s="329" t="str">
        <f t="shared" si="1765"/>
        <v/>
      </c>
      <c r="O2569" s="325">
        <f>O2568</f>
        <v>0</v>
      </c>
    </row>
    <row r="2570" spans="1:15" x14ac:dyDescent="0.25">
      <c r="A2570" s="325">
        <v>1</v>
      </c>
      <c r="B2570" s="325">
        <f>TrialNumberDay2</f>
        <v>0</v>
      </c>
      <c r="C2570" s="325" t="s">
        <v>3724</v>
      </c>
      <c r="D2570" s="325">
        <f>Games!D90</f>
        <v>0</v>
      </c>
      <c r="E2570" s="325"/>
      <c r="F2570" s="325" t="s">
        <v>3725</v>
      </c>
      <c r="G2570" s="325" t="str">
        <f>IF(Games!AC90="e","Y","")</f>
        <v/>
      </c>
      <c r="H2570" s="325" t="str">
        <f>Games!E90</f>
        <v/>
      </c>
      <c r="I2570" s="325" t="str">
        <f>Games!F90</f>
        <v/>
      </c>
      <c r="J2570" s="325" t="str">
        <f>Games!G90</f>
        <v/>
      </c>
      <c r="K2570" s="325"/>
      <c r="L2570" s="325"/>
      <c r="M2570" s="326" t="str">
        <f>TrialDateDay2</f>
        <v/>
      </c>
      <c r="N2570" s="329" t="str">
        <f t="shared" si="1765"/>
        <v/>
      </c>
      <c r="O2570" s="325">
        <f>JudgeD2GamesSpeed</f>
        <v>0</v>
      </c>
    </row>
    <row r="2571" spans="1:15" x14ac:dyDescent="0.25">
      <c r="A2571" s="325">
        <v>2</v>
      </c>
      <c r="B2571" s="325">
        <f>B2570</f>
        <v>0</v>
      </c>
      <c r="C2571" s="325" t="str">
        <f>C2570</f>
        <v>GS</v>
      </c>
      <c r="D2571" s="325">
        <f>D2570</f>
        <v>0</v>
      </c>
      <c r="E2571" s="325"/>
      <c r="F2571" s="325" t="str">
        <f>F2570</f>
        <v>Games Speed</v>
      </c>
      <c r="G2571" s="325" t="str">
        <f>G2570</f>
        <v/>
      </c>
      <c r="H2571" s="325" t="str">
        <f>H2570</f>
        <v/>
      </c>
      <c r="I2571" s="325" t="str">
        <f>I2570</f>
        <v/>
      </c>
      <c r="J2571" s="325" t="str">
        <f>J2570</f>
        <v/>
      </c>
      <c r="K2571" s="325"/>
      <c r="L2571" s="325"/>
      <c r="M2571" s="326" t="str">
        <f>M2570</f>
        <v/>
      </c>
      <c r="N2571" s="329" t="str">
        <f t="shared" si="1765"/>
        <v/>
      </c>
      <c r="O2571" s="325">
        <f>O2570</f>
        <v>0</v>
      </c>
    </row>
    <row r="2572" spans="1:15" x14ac:dyDescent="0.25">
      <c r="A2572" s="2">
        <v>1</v>
      </c>
      <c r="B2572" s="2">
        <f>TrialNumberDay2</f>
        <v>0</v>
      </c>
      <c r="C2572" s="2" t="s">
        <v>3724</v>
      </c>
      <c r="D2572" s="2">
        <f>Games!D91</f>
        <v>0</v>
      </c>
      <c r="F2572" s="2" t="s">
        <v>3725</v>
      </c>
      <c r="G2572" s="2" t="str">
        <f>IF(Games!AC91="e","Y","")</f>
        <v/>
      </c>
      <c r="H2572" s="2" t="str">
        <f>Games!E91</f>
        <v/>
      </c>
      <c r="I2572" s="2" t="str">
        <f>Games!F91</f>
        <v/>
      </c>
      <c r="J2572" s="2" t="str">
        <f>Games!G91</f>
        <v/>
      </c>
      <c r="M2572" s="180" t="str">
        <f>TrialDateDay2</f>
        <v/>
      </c>
      <c r="N2572" s="329" t="str">
        <f t="shared" si="1765"/>
        <v/>
      </c>
      <c r="O2572" s="2">
        <f>JudgeD2GamesSpeed</f>
        <v>0</v>
      </c>
    </row>
    <row r="2573" spans="1:15" x14ac:dyDescent="0.25">
      <c r="A2573" s="325">
        <v>2</v>
      </c>
      <c r="B2573" s="325">
        <f>B2572</f>
        <v>0</v>
      </c>
      <c r="C2573" s="325" t="str">
        <f>C2572</f>
        <v>GS</v>
      </c>
      <c r="D2573" s="325">
        <f>D2572</f>
        <v>0</v>
      </c>
      <c r="E2573" s="325"/>
      <c r="F2573" s="325" t="str">
        <f>F2572</f>
        <v>Games Speed</v>
      </c>
      <c r="G2573" s="325" t="str">
        <f>G2572</f>
        <v/>
      </c>
      <c r="H2573" s="325" t="str">
        <f>H2572</f>
        <v/>
      </c>
      <c r="I2573" s="325" t="str">
        <f>I2572</f>
        <v/>
      </c>
      <c r="J2573" s="325" t="str">
        <f>J2572</f>
        <v/>
      </c>
      <c r="K2573" s="325"/>
      <c r="L2573" s="325"/>
      <c r="M2573" s="326" t="str">
        <f>M2572</f>
        <v/>
      </c>
      <c r="N2573" s="329" t="str">
        <f t="shared" si="1765"/>
        <v/>
      </c>
      <c r="O2573" s="325">
        <f>O2572</f>
        <v>0</v>
      </c>
    </row>
    <row r="2574" spans="1:15" x14ac:dyDescent="0.25">
      <c r="A2574" s="325">
        <v>1</v>
      </c>
      <c r="B2574" s="325">
        <f>TrialNumberDay2</f>
        <v>0</v>
      </c>
      <c r="C2574" s="325" t="s">
        <v>3724</v>
      </c>
      <c r="D2574" s="325">
        <f>Games!D92</f>
        <v>0</v>
      </c>
      <c r="E2574" s="325"/>
      <c r="F2574" s="325" t="s">
        <v>3725</v>
      </c>
      <c r="G2574" s="325" t="str">
        <f>IF(Games!AC92="e","Y","")</f>
        <v/>
      </c>
      <c r="H2574" s="325" t="str">
        <f>Games!E92</f>
        <v/>
      </c>
      <c r="I2574" s="325" t="str">
        <f>Games!F92</f>
        <v/>
      </c>
      <c r="J2574" s="325" t="str">
        <f>Games!G92</f>
        <v/>
      </c>
      <c r="K2574" s="325"/>
      <c r="L2574" s="325"/>
      <c r="M2574" s="326" t="str">
        <f>TrialDateDay2</f>
        <v/>
      </c>
      <c r="N2574" s="329" t="str">
        <f t="shared" si="1765"/>
        <v/>
      </c>
      <c r="O2574" s="325">
        <f>JudgeD2GamesSpeed</f>
        <v>0</v>
      </c>
    </row>
    <row r="2575" spans="1:15" x14ac:dyDescent="0.25">
      <c r="A2575" s="325">
        <v>2</v>
      </c>
      <c r="B2575" s="325">
        <f>B2574</f>
        <v>0</v>
      </c>
      <c r="C2575" s="325" t="str">
        <f>C2574</f>
        <v>GS</v>
      </c>
      <c r="D2575" s="325">
        <f>D2574</f>
        <v>0</v>
      </c>
      <c r="E2575" s="325"/>
      <c r="F2575" s="325" t="str">
        <f>F2574</f>
        <v>Games Speed</v>
      </c>
      <c r="G2575" s="325" t="str">
        <f>G2574</f>
        <v/>
      </c>
      <c r="H2575" s="325" t="str">
        <f>H2574</f>
        <v/>
      </c>
      <c r="I2575" s="325" t="str">
        <f>I2574</f>
        <v/>
      </c>
      <c r="J2575" s="325" t="str">
        <f>J2574</f>
        <v/>
      </c>
      <c r="K2575" s="325"/>
      <c r="L2575" s="325"/>
      <c r="M2575" s="326" t="str">
        <f>M2574</f>
        <v/>
      </c>
      <c r="N2575" s="329" t="str">
        <f t="shared" si="1765"/>
        <v/>
      </c>
      <c r="O2575" s="325">
        <f>O2574</f>
        <v>0</v>
      </c>
    </row>
    <row r="2576" spans="1:15" x14ac:dyDescent="0.25">
      <c r="A2576" s="2">
        <v>1</v>
      </c>
      <c r="B2576" s="2">
        <f>TrialNumberDay2</f>
        <v>0</v>
      </c>
      <c r="C2576" s="2" t="s">
        <v>3724</v>
      </c>
      <c r="D2576" s="2">
        <f>Games!D93</f>
        <v>0</v>
      </c>
      <c r="F2576" s="2" t="s">
        <v>3725</v>
      </c>
      <c r="G2576" s="2" t="str">
        <f>IF(Games!AC93="e","Y","")</f>
        <v/>
      </c>
      <c r="H2576" s="2" t="str">
        <f>Games!E93</f>
        <v/>
      </c>
      <c r="I2576" s="2" t="str">
        <f>Games!F93</f>
        <v/>
      </c>
      <c r="J2576" s="2" t="str">
        <f>Games!G93</f>
        <v/>
      </c>
      <c r="M2576" s="180" t="str">
        <f>TrialDateDay2</f>
        <v/>
      </c>
      <c r="N2576" s="329" t="str">
        <f t="shared" si="1765"/>
        <v/>
      </c>
      <c r="O2576" s="2">
        <f>JudgeD2GamesSpeed</f>
        <v>0</v>
      </c>
    </row>
    <row r="2577" spans="1:15" x14ac:dyDescent="0.25">
      <c r="A2577" s="325">
        <v>2</v>
      </c>
      <c r="B2577" s="325">
        <f>B2576</f>
        <v>0</v>
      </c>
      <c r="C2577" s="325" t="str">
        <f>C2576</f>
        <v>GS</v>
      </c>
      <c r="D2577" s="325">
        <f>D2576</f>
        <v>0</v>
      </c>
      <c r="E2577" s="325"/>
      <c r="F2577" s="325" t="str">
        <f>F2576</f>
        <v>Games Speed</v>
      </c>
      <c r="G2577" s="325" t="str">
        <f>G2576</f>
        <v/>
      </c>
      <c r="H2577" s="325" t="str">
        <f>H2576</f>
        <v/>
      </c>
      <c r="I2577" s="325" t="str">
        <f>I2576</f>
        <v/>
      </c>
      <c r="J2577" s="325" t="str">
        <f>J2576</f>
        <v/>
      </c>
      <c r="K2577" s="325"/>
      <c r="L2577" s="325"/>
      <c r="M2577" s="326" t="str">
        <f>M2576</f>
        <v/>
      </c>
      <c r="N2577" s="329" t="str">
        <f t="shared" si="1765"/>
        <v/>
      </c>
      <c r="O2577" s="325">
        <f>O2576</f>
        <v>0</v>
      </c>
    </row>
    <row r="2578" spans="1:15" x14ac:dyDescent="0.25">
      <c r="A2578" s="325">
        <v>1</v>
      </c>
      <c r="B2578" s="325">
        <f>TrialNumberDay2</f>
        <v>0</v>
      </c>
      <c r="C2578" s="325" t="s">
        <v>3724</v>
      </c>
      <c r="D2578" s="325">
        <f>Games!D94</f>
        <v>0</v>
      </c>
      <c r="E2578" s="325"/>
      <c r="F2578" s="325" t="s">
        <v>3725</v>
      </c>
      <c r="G2578" s="325" t="str">
        <f>IF(Games!AC94="e","Y","")</f>
        <v/>
      </c>
      <c r="H2578" s="325" t="str">
        <f>Games!E94</f>
        <v/>
      </c>
      <c r="I2578" s="325" t="str">
        <f>Games!F94</f>
        <v/>
      </c>
      <c r="J2578" s="325" t="str">
        <f>Games!G94</f>
        <v/>
      </c>
      <c r="K2578" s="325"/>
      <c r="L2578" s="325"/>
      <c r="M2578" s="326" t="str">
        <f>TrialDateDay2</f>
        <v/>
      </c>
      <c r="N2578" s="329" t="str">
        <f t="shared" si="1765"/>
        <v/>
      </c>
      <c r="O2578" s="325">
        <f>JudgeD2GamesSpeed</f>
        <v>0</v>
      </c>
    </row>
    <row r="2579" spans="1:15" x14ac:dyDescent="0.25">
      <c r="A2579" s="325">
        <v>2</v>
      </c>
      <c r="B2579" s="325">
        <f>B2578</f>
        <v>0</v>
      </c>
      <c r="C2579" s="325" t="str">
        <f>C2578</f>
        <v>GS</v>
      </c>
      <c r="D2579" s="325">
        <f>D2578</f>
        <v>0</v>
      </c>
      <c r="E2579" s="325"/>
      <c r="F2579" s="325" t="str">
        <f>F2578</f>
        <v>Games Speed</v>
      </c>
      <c r="G2579" s="325" t="str">
        <f>G2578</f>
        <v/>
      </c>
      <c r="H2579" s="325" t="str">
        <f>H2578</f>
        <v/>
      </c>
      <c r="I2579" s="325" t="str">
        <f>I2578</f>
        <v/>
      </c>
      <c r="J2579" s="325" t="str">
        <f>J2578</f>
        <v/>
      </c>
      <c r="K2579" s="325"/>
      <c r="L2579" s="325"/>
      <c r="M2579" s="326" t="str">
        <f>M2578</f>
        <v/>
      </c>
      <c r="N2579" s="329" t="str">
        <f t="shared" si="1765"/>
        <v/>
      </c>
      <c r="O2579" s="325">
        <f>O2578</f>
        <v>0</v>
      </c>
    </row>
    <row r="2580" spans="1:15" x14ac:dyDescent="0.25">
      <c r="A2580" s="2">
        <v>1</v>
      </c>
      <c r="B2580" s="2">
        <f>TrialNumberDay2</f>
        <v>0</v>
      </c>
      <c r="C2580" s="2" t="s">
        <v>3724</v>
      </c>
      <c r="D2580" s="2">
        <f>Games!D95</f>
        <v>0</v>
      </c>
      <c r="F2580" s="2" t="s">
        <v>3725</v>
      </c>
      <c r="G2580" s="2" t="str">
        <f>IF(Games!AC95="e","Y","")</f>
        <v/>
      </c>
      <c r="H2580" s="2" t="str">
        <f>Games!E95</f>
        <v/>
      </c>
      <c r="I2580" s="2" t="str">
        <f>Games!F95</f>
        <v/>
      </c>
      <c r="J2580" s="2" t="str">
        <f>Games!G95</f>
        <v/>
      </c>
      <c r="M2580" s="180" t="str">
        <f>TrialDateDay2</f>
        <v/>
      </c>
      <c r="N2580" s="329" t="str">
        <f t="shared" si="1765"/>
        <v/>
      </c>
      <c r="O2580" s="2">
        <f>JudgeD2GamesSpeed</f>
        <v>0</v>
      </c>
    </row>
    <row r="2581" spans="1:15" x14ac:dyDescent="0.25">
      <c r="A2581" s="325">
        <v>2</v>
      </c>
      <c r="B2581" s="325">
        <f>B2580</f>
        <v>0</v>
      </c>
      <c r="C2581" s="325" t="str">
        <f>C2580</f>
        <v>GS</v>
      </c>
      <c r="D2581" s="325">
        <f>D2580</f>
        <v>0</v>
      </c>
      <c r="E2581" s="325"/>
      <c r="F2581" s="325" t="str">
        <f>F2580</f>
        <v>Games Speed</v>
      </c>
      <c r="G2581" s="325" t="str">
        <f>G2580</f>
        <v/>
      </c>
      <c r="H2581" s="325" t="str">
        <f>H2580</f>
        <v/>
      </c>
      <c r="I2581" s="325" t="str">
        <f>I2580</f>
        <v/>
      </c>
      <c r="J2581" s="325" t="str">
        <f>J2580</f>
        <v/>
      </c>
      <c r="K2581" s="325"/>
      <c r="L2581" s="325"/>
      <c r="M2581" s="326" t="str">
        <f>M2580</f>
        <v/>
      </c>
      <c r="N2581" s="329" t="str">
        <f t="shared" si="1765"/>
        <v/>
      </c>
      <c r="O2581" s="325">
        <f>O2580</f>
        <v>0</v>
      </c>
    </row>
    <row r="2582" spans="1:15" x14ac:dyDescent="0.25">
      <c r="A2582" s="325">
        <v>1</v>
      </c>
      <c r="B2582" s="325">
        <f>TrialNumberDay2</f>
        <v>0</v>
      </c>
      <c r="C2582" s="325" t="s">
        <v>3724</v>
      </c>
      <c r="D2582" s="325">
        <f>Games!D96</f>
        <v>0</v>
      </c>
      <c r="E2582" s="325"/>
      <c r="F2582" s="325" t="s">
        <v>3725</v>
      </c>
      <c r="G2582" s="325" t="str">
        <f>IF(Games!AC96="e","Y","")</f>
        <v/>
      </c>
      <c r="H2582" s="325" t="str">
        <f>Games!E96</f>
        <v/>
      </c>
      <c r="I2582" s="325" t="str">
        <f>Games!F96</f>
        <v/>
      </c>
      <c r="J2582" s="325" t="str">
        <f>Games!G96</f>
        <v/>
      </c>
      <c r="K2582" s="325"/>
      <c r="L2582" s="325"/>
      <c r="M2582" s="326" t="str">
        <f>TrialDateDay2</f>
        <v/>
      </c>
      <c r="N2582" s="329" t="str">
        <f t="shared" ref="N2582:N2613" si="1766">TrialCityDay2</f>
        <v/>
      </c>
      <c r="O2582" s="325">
        <f>JudgeD2GamesSpeed</f>
        <v>0</v>
      </c>
    </row>
    <row r="2583" spans="1:15" x14ac:dyDescent="0.25">
      <c r="A2583" s="325">
        <v>2</v>
      </c>
      <c r="B2583" s="325">
        <f>B2582</f>
        <v>0</v>
      </c>
      <c r="C2583" s="325" t="str">
        <f>C2582</f>
        <v>GS</v>
      </c>
      <c r="D2583" s="325">
        <f>D2582</f>
        <v>0</v>
      </c>
      <c r="E2583" s="325"/>
      <c r="F2583" s="325" t="str">
        <f>F2582</f>
        <v>Games Speed</v>
      </c>
      <c r="G2583" s="325" t="str">
        <f>G2582</f>
        <v/>
      </c>
      <c r="H2583" s="325" t="str">
        <f>H2582</f>
        <v/>
      </c>
      <c r="I2583" s="325" t="str">
        <f>I2582</f>
        <v/>
      </c>
      <c r="J2583" s="325" t="str">
        <f>J2582</f>
        <v/>
      </c>
      <c r="K2583" s="325"/>
      <c r="L2583" s="325"/>
      <c r="M2583" s="326" t="str">
        <f>M2582</f>
        <v/>
      </c>
      <c r="N2583" s="329" t="str">
        <f t="shared" si="1766"/>
        <v/>
      </c>
      <c r="O2583" s="325">
        <f>O2582</f>
        <v>0</v>
      </c>
    </row>
    <row r="2584" spans="1:15" x14ac:dyDescent="0.25">
      <c r="A2584" s="2">
        <v>1</v>
      </c>
      <c r="B2584" s="2">
        <f>TrialNumberDay2</f>
        <v>0</v>
      </c>
      <c r="C2584" s="2" t="s">
        <v>3724</v>
      </c>
      <c r="D2584" s="2">
        <f>Games!D97</f>
        <v>0</v>
      </c>
      <c r="F2584" s="2" t="s">
        <v>3725</v>
      </c>
      <c r="G2584" s="2" t="str">
        <f>IF(Games!AC97="e","Y","")</f>
        <v/>
      </c>
      <c r="H2584" s="2" t="str">
        <f>Games!E97</f>
        <v/>
      </c>
      <c r="I2584" s="2" t="str">
        <f>Games!F97</f>
        <v/>
      </c>
      <c r="J2584" s="2" t="str">
        <f>Games!G97</f>
        <v/>
      </c>
      <c r="M2584" s="180" t="str">
        <f>TrialDateDay2</f>
        <v/>
      </c>
      <c r="N2584" s="329" t="str">
        <f t="shared" si="1766"/>
        <v/>
      </c>
      <c r="O2584" s="2">
        <f>JudgeD2GamesSpeed</f>
        <v>0</v>
      </c>
    </row>
    <row r="2585" spans="1:15" x14ac:dyDescent="0.25">
      <c r="A2585" s="325">
        <v>2</v>
      </c>
      <c r="B2585" s="325">
        <f>B2584</f>
        <v>0</v>
      </c>
      <c r="C2585" s="325" t="str">
        <f>C2584</f>
        <v>GS</v>
      </c>
      <c r="D2585" s="325">
        <f>D2584</f>
        <v>0</v>
      </c>
      <c r="E2585" s="325"/>
      <c r="F2585" s="325" t="str">
        <f>F2584</f>
        <v>Games Speed</v>
      </c>
      <c r="G2585" s="325" t="str">
        <f>G2584</f>
        <v/>
      </c>
      <c r="H2585" s="325" t="str">
        <f>H2584</f>
        <v/>
      </c>
      <c r="I2585" s="325" t="str">
        <f>I2584</f>
        <v/>
      </c>
      <c r="J2585" s="325" t="str">
        <f>J2584</f>
        <v/>
      </c>
      <c r="K2585" s="325"/>
      <c r="L2585" s="325"/>
      <c r="M2585" s="326" t="str">
        <f>M2584</f>
        <v/>
      </c>
      <c r="N2585" s="329" t="str">
        <f t="shared" si="1766"/>
        <v/>
      </c>
      <c r="O2585" s="325">
        <f>O2584</f>
        <v>0</v>
      </c>
    </row>
    <row r="2586" spans="1:15" x14ac:dyDescent="0.25">
      <c r="A2586" s="325">
        <v>1</v>
      </c>
      <c r="B2586" s="325">
        <f>TrialNumberDay2</f>
        <v>0</v>
      </c>
      <c r="C2586" s="325" t="s">
        <v>3724</v>
      </c>
      <c r="D2586" s="325">
        <f>Games!D98</f>
        <v>0</v>
      </c>
      <c r="E2586" s="325"/>
      <c r="F2586" s="325" t="s">
        <v>3725</v>
      </c>
      <c r="G2586" s="325" t="str">
        <f>IF(Games!AC98="e","Y","")</f>
        <v/>
      </c>
      <c r="H2586" s="325" t="str">
        <f>Games!E98</f>
        <v/>
      </c>
      <c r="I2586" s="325" t="str">
        <f>Games!F98</f>
        <v/>
      </c>
      <c r="J2586" s="325" t="str">
        <f>Games!G98</f>
        <v/>
      </c>
      <c r="K2586" s="325"/>
      <c r="L2586" s="325"/>
      <c r="M2586" s="326" t="str">
        <f>TrialDateDay2</f>
        <v/>
      </c>
      <c r="N2586" s="329" t="str">
        <f t="shared" si="1766"/>
        <v/>
      </c>
      <c r="O2586" s="325">
        <f>JudgeD2GamesSpeed</f>
        <v>0</v>
      </c>
    </row>
    <row r="2587" spans="1:15" x14ac:dyDescent="0.25">
      <c r="A2587" s="325">
        <v>2</v>
      </c>
      <c r="B2587" s="325">
        <f>B2586</f>
        <v>0</v>
      </c>
      <c r="C2587" s="325" t="str">
        <f>C2586</f>
        <v>GS</v>
      </c>
      <c r="D2587" s="325">
        <f>D2586</f>
        <v>0</v>
      </c>
      <c r="E2587" s="325"/>
      <c r="F2587" s="325" t="str">
        <f>F2586</f>
        <v>Games Speed</v>
      </c>
      <c r="G2587" s="325" t="str">
        <f>G2586</f>
        <v/>
      </c>
      <c r="H2587" s="325" t="str">
        <f>H2586</f>
        <v/>
      </c>
      <c r="I2587" s="325" t="str">
        <f>I2586</f>
        <v/>
      </c>
      <c r="J2587" s="325" t="str">
        <f>J2586</f>
        <v/>
      </c>
      <c r="K2587" s="325"/>
      <c r="L2587" s="325"/>
      <c r="M2587" s="326" t="str">
        <f>M2586</f>
        <v/>
      </c>
      <c r="N2587" s="329" t="str">
        <f t="shared" si="1766"/>
        <v/>
      </c>
      <c r="O2587" s="325">
        <f>O2586</f>
        <v>0</v>
      </c>
    </row>
    <row r="2588" spans="1:15" x14ac:dyDescent="0.25">
      <c r="A2588" s="2">
        <v>1</v>
      </c>
      <c r="B2588" s="2">
        <f>TrialNumberDay2</f>
        <v>0</v>
      </c>
      <c r="C2588" s="2" t="s">
        <v>3724</v>
      </c>
      <c r="D2588" s="2">
        <f>Games!D99</f>
        <v>0</v>
      </c>
      <c r="F2588" s="2" t="s">
        <v>3725</v>
      </c>
      <c r="G2588" s="2" t="str">
        <f>IF(Games!AC99="e","Y","")</f>
        <v/>
      </c>
      <c r="H2588" s="2" t="str">
        <f>Games!E99</f>
        <v/>
      </c>
      <c r="I2588" s="2" t="str">
        <f>Games!F99</f>
        <v/>
      </c>
      <c r="J2588" s="2" t="str">
        <f>Games!G99</f>
        <v/>
      </c>
      <c r="M2588" s="180" t="str">
        <f>TrialDateDay2</f>
        <v/>
      </c>
      <c r="N2588" s="329" t="str">
        <f t="shared" si="1766"/>
        <v/>
      </c>
      <c r="O2588" s="2">
        <f>JudgeD2GamesSpeed</f>
        <v>0</v>
      </c>
    </row>
    <row r="2589" spans="1:15" x14ac:dyDescent="0.25">
      <c r="A2589" s="325">
        <v>2</v>
      </c>
      <c r="B2589" s="325">
        <f>B2588</f>
        <v>0</v>
      </c>
      <c r="C2589" s="325" t="str">
        <f>C2588</f>
        <v>GS</v>
      </c>
      <c r="D2589" s="325">
        <f>D2588</f>
        <v>0</v>
      </c>
      <c r="E2589" s="325"/>
      <c r="F2589" s="325" t="str">
        <f>F2588</f>
        <v>Games Speed</v>
      </c>
      <c r="G2589" s="325" t="str">
        <f>G2588</f>
        <v/>
      </c>
      <c r="H2589" s="325" t="str">
        <f>H2588</f>
        <v/>
      </c>
      <c r="I2589" s="325" t="str">
        <f>I2588</f>
        <v/>
      </c>
      <c r="J2589" s="325" t="str">
        <f>J2588</f>
        <v/>
      </c>
      <c r="K2589" s="325"/>
      <c r="L2589" s="325"/>
      <c r="M2589" s="326" t="str">
        <f>M2588</f>
        <v/>
      </c>
      <c r="N2589" s="329" t="str">
        <f t="shared" si="1766"/>
        <v/>
      </c>
      <c r="O2589" s="325">
        <f>O2588</f>
        <v>0</v>
      </c>
    </row>
    <row r="2590" spans="1:15" x14ac:dyDescent="0.25">
      <c r="A2590" s="325">
        <v>1</v>
      </c>
      <c r="B2590" s="325">
        <f>TrialNumberDay2</f>
        <v>0</v>
      </c>
      <c r="C2590" s="325" t="s">
        <v>3724</v>
      </c>
      <c r="D2590" s="325">
        <f>Games!D100</f>
        <v>0</v>
      </c>
      <c r="E2590" s="325"/>
      <c r="F2590" s="325" t="s">
        <v>3725</v>
      </c>
      <c r="G2590" s="325" t="str">
        <f>IF(Games!AC100="e","Y","")</f>
        <v/>
      </c>
      <c r="H2590" s="325" t="str">
        <f>Games!E100</f>
        <v/>
      </c>
      <c r="I2590" s="325" t="str">
        <f>Games!F100</f>
        <v/>
      </c>
      <c r="J2590" s="325" t="str">
        <f>Games!G100</f>
        <v/>
      </c>
      <c r="K2590" s="325"/>
      <c r="L2590" s="325"/>
      <c r="M2590" s="326" t="str">
        <f>TrialDateDay2</f>
        <v/>
      </c>
      <c r="N2590" s="329" t="str">
        <f t="shared" si="1766"/>
        <v/>
      </c>
      <c r="O2590" s="325">
        <f>JudgeD2GamesSpeed</f>
        <v>0</v>
      </c>
    </row>
    <row r="2591" spans="1:15" x14ac:dyDescent="0.25">
      <c r="A2591" s="325">
        <v>2</v>
      </c>
      <c r="B2591" s="325">
        <f>B2590</f>
        <v>0</v>
      </c>
      <c r="C2591" s="325" t="str">
        <f>C2590</f>
        <v>GS</v>
      </c>
      <c r="D2591" s="325">
        <f>D2590</f>
        <v>0</v>
      </c>
      <c r="E2591" s="325"/>
      <c r="F2591" s="325" t="str">
        <f>F2590</f>
        <v>Games Speed</v>
      </c>
      <c r="G2591" s="325" t="str">
        <f>G2590</f>
        <v/>
      </c>
      <c r="H2591" s="325" t="str">
        <f>H2590</f>
        <v/>
      </c>
      <c r="I2591" s="325" t="str">
        <f>I2590</f>
        <v/>
      </c>
      <c r="J2591" s="325" t="str">
        <f>J2590</f>
        <v/>
      </c>
      <c r="K2591" s="325"/>
      <c r="L2591" s="325"/>
      <c r="M2591" s="326" t="str">
        <f>M2590</f>
        <v/>
      </c>
      <c r="N2591" s="329" t="str">
        <f t="shared" si="1766"/>
        <v/>
      </c>
      <c r="O2591" s="325">
        <f>O2590</f>
        <v>0</v>
      </c>
    </row>
    <row r="2592" spans="1:15" x14ac:dyDescent="0.25">
      <c r="A2592" s="2">
        <v>1</v>
      </c>
      <c r="B2592" s="2">
        <f>TrialNumberDay2</f>
        <v>0</v>
      </c>
      <c r="C2592" s="2" t="s">
        <v>3724</v>
      </c>
      <c r="D2592" s="2">
        <f>Games!D101</f>
        <v>0</v>
      </c>
      <c r="F2592" s="2" t="s">
        <v>3725</v>
      </c>
      <c r="G2592" s="2" t="str">
        <f>IF(Games!AC101="e","Y","")</f>
        <v/>
      </c>
      <c r="H2592" s="2" t="str">
        <f>Games!E101</f>
        <v/>
      </c>
      <c r="I2592" s="2" t="str">
        <f>Games!F101</f>
        <v/>
      </c>
      <c r="J2592" s="2" t="str">
        <f>Games!G101</f>
        <v/>
      </c>
      <c r="M2592" s="180" t="str">
        <f>TrialDateDay2</f>
        <v/>
      </c>
      <c r="N2592" s="329" t="str">
        <f t="shared" si="1766"/>
        <v/>
      </c>
      <c r="O2592" s="2">
        <f>JudgeD2GamesSpeed</f>
        <v>0</v>
      </c>
    </row>
    <row r="2593" spans="1:15" x14ac:dyDescent="0.25">
      <c r="A2593" s="325">
        <v>2</v>
      </c>
      <c r="B2593" s="325">
        <f>B2592</f>
        <v>0</v>
      </c>
      <c r="C2593" s="325" t="str">
        <f>C2592</f>
        <v>GS</v>
      </c>
      <c r="D2593" s="325">
        <f>D2592</f>
        <v>0</v>
      </c>
      <c r="E2593" s="325"/>
      <c r="F2593" s="325" t="str">
        <f>F2592</f>
        <v>Games Speed</v>
      </c>
      <c r="G2593" s="325" t="str">
        <f>G2592</f>
        <v/>
      </c>
      <c r="H2593" s="325" t="str">
        <f>H2592</f>
        <v/>
      </c>
      <c r="I2593" s="325" t="str">
        <f>I2592</f>
        <v/>
      </c>
      <c r="J2593" s="325" t="str">
        <f>J2592</f>
        <v/>
      </c>
      <c r="K2593" s="325"/>
      <c r="L2593" s="325"/>
      <c r="M2593" s="326" t="str">
        <f>M2592</f>
        <v/>
      </c>
      <c r="N2593" s="329" t="str">
        <f t="shared" si="1766"/>
        <v/>
      </c>
      <c r="O2593" s="325">
        <f>O2592</f>
        <v>0</v>
      </c>
    </row>
    <row r="2594" spans="1:15" x14ac:dyDescent="0.25">
      <c r="A2594" s="325">
        <v>1</v>
      </c>
      <c r="B2594" s="325">
        <f>TrialNumberDay2</f>
        <v>0</v>
      </c>
      <c r="C2594" s="325" t="s">
        <v>3724</v>
      </c>
      <c r="D2594" s="325">
        <f>Games!D102</f>
        <v>0</v>
      </c>
      <c r="E2594" s="325"/>
      <c r="F2594" s="325" t="s">
        <v>3725</v>
      </c>
      <c r="G2594" s="325" t="str">
        <f>IF(Games!AC102="e","Y","")</f>
        <v/>
      </c>
      <c r="H2594" s="325" t="str">
        <f>Games!E102</f>
        <v/>
      </c>
      <c r="I2594" s="325" t="str">
        <f>Games!F102</f>
        <v/>
      </c>
      <c r="J2594" s="325" t="str">
        <f>Games!G102</f>
        <v/>
      </c>
      <c r="K2594" s="325"/>
      <c r="L2594" s="325"/>
      <c r="M2594" s="326" t="str">
        <f>TrialDateDay2</f>
        <v/>
      </c>
      <c r="N2594" s="329" t="str">
        <f t="shared" si="1766"/>
        <v/>
      </c>
      <c r="O2594" s="325">
        <f>JudgeD2GamesSpeed</f>
        <v>0</v>
      </c>
    </row>
    <row r="2595" spans="1:15" x14ac:dyDescent="0.25">
      <c r="A2595" s="325">
        <v>2</v>
      </c>
      <c r="B2595" s="325">
        <f>B2594</f>
        <v>0</v>
      </c>
      <c r="C2595" s="325" t="str">
        <f>C2594</f>
        <v>GS</v>
      </c>
      <c r="D2595" s="325">
        <f>D2594</f>
        <v>0</v>
      </c>
      <c r="E2595" s="325"/>
      <c r="F2595" s="325" t="str">
        <f>F2594</f>
        <v>Games Speed</v>
      </c>
      <c r="G2595" s="325" t="str">
        <f>G2594</f>
        <v/>
      </c>
      <c r="H2595" s="325" t="str">
        <f>H2594</f>
        <v/>
      </c>
      <c r="I2595" s="325" t="str">
        <f>I2594</f>
        <v/>
      </c>
      <c r="J2595" s="325" t="str">
        <f>J2594</f>
        <v/>
      </c>
      <c r="K2595" s="325"/>
      <c r="L2595" s="325"/>
      <c r="M2595" s="326" t="str">
        <f>M2594</f>
        <v/>
      </c>
      <c r="N2595" s="329" t="str">
        <f t="shared" si="1766"/>
        <v/>
      </c>
      <c r="O2595" s="325">
        <f>O2594</f>
        <v>0</v>
      </c>
    </row>
    <row r="2596" spans="1:15" x14ac:dyDescent="0.25">
      <c r="A2596" s="2">
        <v>1</v>
      </c>
      <c r="B2596" s="2">
        <f>TrialNumberDay2</f>
        <v>0</v>
      </c>
      <c r="C2596" s="2" t="s">
        <v>3724</v>
      </c>
      <c r="D2596" s="2">
        <f>Games!D103</f>
        <v>0</v>
      </c>
      <c r="F2596" s="2" t="s">
        <v>3725</v>
      </c>
      <c r="G2596" s="2" t="str">
        <f>IF(Games!AC103="e","Y","")</f>
        <v/>
      </c>
      <c r="H2596" s="2" t="str">
        <f>Games!E103</f>
        <v/>
      </c>
      <c r="I2596" s="2" t="str">
        <f>Games!F103</f>
        <v/>
      </c>
      <c r="J2596" s="2" t="str">
        <f>Games!G103</f>
        <v/>
      </c>
      <c r="M2596" s="180" t="str">
        <f>TrialDateDay2</f>
        <v/>
      </c>
      <c r="N2596" s="329" t="str">
        <f t="shared" si="1766"/>
        <v/>
      </c>
      <c r="O2596" s="2">
        <f>JudgeD2GamesSpeed</f>
        <v>0</v>
      </c>
    </row>
    <row r="2597" spans="1:15" x14ac:dyDescent="0.25">
      <c r="A2597" s="325">
        <v>2</v>
      </c>
      <c r="B2597" s="325">
        <f>B2596</f>
        <v>0</v>
      </c>
      <c r="C2597" s="325" t="str">
        <f>C2596</f>
        <v>GS</v>
      </c>
      <c r="D2597" s="325">
        <f>D2596</f>
        <v>0</v>
      </c>
      <c r="E2597" s="325"/>
      <c r="F2597" s="325" t="str">
        <f>F2596</f>
        <v>Games Speed</v>
      </c>
      <c r="G2597" s="325" t="str">
        <f>G2596</f>
        <v/>
      </c>
      <c r="H2597" s="325" t="str">
        <f>H2596</f>
        <v/>
      </c>
      <c r="I2597" s="325" t="str">
        <f>I2596</f>
        <v/>
      </c>
      <c r="J2597" s="325" t="str">
        <f>J2596</f>
        <v/>
      </c>
      <c r="K2597" s="325"/>
      <c r="L2597" s="325"/>
      <c r="M2597" s="326" t="str">
        <f>M2596</f>
        <v/>
      </c>
      <c r="N2597" s="329" t="str">
        <f t="shared" si="1766"/>
        <v/>
      </c>
      <c r="O2597" s="325">
        <f>O2596</f>
        <v>0</v>
      </c>
    </row>
    <row r="2598" spans="1:15" x14ac:dyDescent="0.25">
      <c r="A2598" s="325">
        <v>1</v>
      </c>
      <c r="B2598" s="325">
        <f>TrialNumberDay2</f>
        <v>0</v>
      </c>
      <c r="C2598" s="325" t="s">
        <v>3724</v>
      </c>
      <c r="D2598" s="325">
        <f>Games!D104</f>
        <v>0</v>
      </c>
      <c r="E2598" s="325"/>
      <c r="F2598" s="325" t="s">
        <v>3725</v>
      </c>
      <c r="G2598" s="325" t="str">
        <f>IF(Games!AC104="e","Y","")</f>
        <v/>
      </c>
      <c r="H2598" s="325" t="str">
        <f>Games!E104</f>
        <v/>
      </c>
      <c r="I2598" s="325" t="str">
        <f>Games!F104</f>
        <v/>
      </c>
      <c r="J2598" s="325" t="str">
        <f>Games!G104</f>
        <v/>
      </c>
      <c r="K2598" s="325"/>
      <c r="L2598" s="325"/>
      <c r="M2598" s="326" t="str">
        <f>TrialDateDay2</f>
        <v/>
      </c>
      <c r="N2598" s="329" t="str">
        <f t="shared" si="1766"/>
        <v/>
      </c>
      <c r="O2598" s="325">
        <f>JudgeD2GamesSpeed</f>
        <v>0</v>
      </c>
    </row>
    <row r="2599" spans="1:15" x14ac:dyDescent="0.25">
      <c r="A2599" s="325">
        <v>2</v>
      </c>
      <c r="B2599" s="325">
        <f>B2598</f>
        <v>0</v>
      </c>
      <c r="C2599" s="325" t="str">
        <f>C2598</f>
        <v>GS</v>
      </c>
      <c r="D2599" s="325">
        <f>D2598</f>
        <v>0</v>
      </c>
      <c r="E2599" s="325"/>
      <c r="F2599" s="325" t="str">
        <f>F2598</f>
        <v>Games Speed</v>
      </c>
      <c r="G2599" s="325" t="str">
        <f>G2598</f>
        <v/>
      </c>
      <c r="H2599" s="325" t="str">
        <f>H2598</f>
        <v/>
      </c>
      <c r="I2599" s="325" t="str">
        <f>I2598</f>
        <v/>
      </c>
      <c r="J2599" s="325" t="str">
        <f>J2598</f>
        <v/>
      </c>
      <c r="K2599" s="325"/>
      <c r="L2599" s="325"/>
      <c r="M2599" s="326" t="str">
        <f>M2598</f>
        <v/>
      </c>
      <c r="N2599" s="329" t="str">
        <f t="shared" si="1766"/>
        <v/>
      </c>
      <c r="O2599" s="325">
        <f>O2598</f>
        <v>0</v>
      </c>
    </row>
    <row r="2600" spans="1:15" x14ac:dyDescent="0.25">
      <c r="A2600" s="2">
        <v>1</v>
      </c>
      <c r="B2600" s="2">
        <f>TrialNumberDay2</f>
        <v>0</v>
      </c>
      <c r="C2600" s="2" t="s">
        <v>3724</v>
      </c>
      <c r="D2600" s="2">
        <f>Games!D105</f>
        <v>0</v>
      </c>
      <c r="F2600" s="2" t="s">
        <v>3725</v>
      </c>
      <c r="G2600" s="2" t="str">
        <f>IF(Games!AC105="e","Y","")</f>
        <v/>
      </c>
      <c r="H2600" s="2" t="str">
        <f>Games!E105</f>
        <v/>
      </c>
      <c r="I2600" s="2" t="str">
        <f>Games!F105</f>
        <v/>
      </c>
      <c r="J2600" s="2" t="str">
        <f>Games!G105</f>
        <v/>
      </c>
      <c r="M2600" s="180" t="str">
        <f>TrialDateDay2</f>
        <v/>
      </c>
      <c r="N2600" s="329" t="str">
        <f t="shared" si="1766"/>
        <v/>
      </c>
      <c r="O2600" s="2">
        <f>JudgeD2GamesSpeed</f>
        <v>0</v>
      </c>
    </row>
    <row r="2601" spans="1:15" x14ac:dyDescent="0.25">
      <c r="A2601" s="325">
        <v>2</v>
      </c>
      <c r="B2601" s="325">
        <f>B2600</f>
        <v>0</v>
      </c>
      <c r="C2601" s="325" t="str">
        <f>C2600</f>
        <v>GS</v>
      </c>
      <c r="D2601" s="325">
        <f>D2600</f>
        <v>0</v>
      </c>
      <c r="E2601" s="325"/>
      <c r="F2601" s="325" t="str">
        <f>F2600</f>
        <v>Games Speed</v>
      </c>
      <c r="G2601" s="325" t="str">
        <f>G2600</f>
        <v/>
      </c>
      <c r="H2601" s="325" t="str">
        <f>H2600</f>
        <v/>
      </c>
      <c r="I2601" s="325" t="str">
        <f>I2600</f>
        <v/>
      </c>
      <c r="J2601" s="325" t="str">
        <f>J2600</f>
        <v/>
      </c>
      <c r="K2601" s="325"/>
      <c r="L2601" s="325"/>
      <c r="M2601" s="326" t="str">
        <f>M2600</f>
        <v/>
      </c>
      <c r="N2601" s="329" t="str">
        <f t="shared" si="1766"/>
        <v/>
      </c>
      <c r="O2601" s="325">
        <f>O2600</f>
        <v>0</v>
      </c>
    </row>
    <row r="2602" spans="1:15" x14ac:dyDescent="0.25">
      <c r="A2602" s="325">
        <v>1</v>
      </c>
      <c r="B2602" s="325">
        <f>TrialNumberDay2</f>
        <v>0</v>
      </c>
      <c r="C2602" s="325" t="s">
        <v>3724</v>
      </c>
      <c r="D2602" s="325">
        <f>Games!D106</f>
        <v>0</v>
      </c>
      <c r="E2602" s="325"/>
      <c r="F2602" s="325" t="s">
        <v>3725</v>
      </c>
      <c r="G2602" s="325" t="str">
        <f>IF(Games!AC106="e","Y","")</f>
        <v/>
      </c>
      <c r="H2602" s="325" t="str">
        <f>Games!E106</f>
        <v/>
      </c>
      <c r="I2602" s="325" t="str">
        <f>Games!F106</f>
        <v/>
      </c>
      <c r="J2602" s="325" t="str">
        <f>Games!G106</f>
        <v/>
      </c>
      <c r="K2602" s="325"/>
      <c r="L2602" s="325"/>
      <c r="M2602" s="326" t="str">
        <f>TrialDateDay2</f>
        <v/>
      </c>
      <c r="N2602" s="329" t="str">
        <f t="shared" si="1766"/>
        <v/>
      </c>
      <c r="O2602" s="325">
        <f>JudgeD2GamesSpeed</f>
        <v>0</v>
      </c>
    </row>
    <row r="2603" spans="1:15" x14ac:dyDescent="0.25">
      <c r="A2603" s="325">
        <v>2</v>
      </c>
      <c r="B2603" s="325">
        <f>B2602</f>
        <v>0</v>
      </c>
      <c r="C2603" s="325" t="str">
        <f>C2602</f>
        <v>GS</v>
      </c>
      <c r="D2603" s="325">
        <f>D2602</f>
        <v>0</v>
      </c>
      <c r="E2603" s="325"/>
      <c r="F2603" s="325" t="str">
        <f>F2602</f>
        <v>Games Speed</v>
      </c>
      <c r="G2603" s="325" t="str">
        <f>G2602</f>
        <v/>
      </c>
      <c r="H2603" s="325" t="str">
        <f>H2602</f>
        <v/>
      </c>
      <c r="I2603" s="325" t="str">
        <f>I2602</f>
        <v/>
      </c>
      <c r="J2603" s="325" t="str">
        <f>J2602</f>
        <v/>
      </c>
      <c r="K2603" s="325"/>
      <c r="L2603" s="325"/>
      <c r="M2603" s="326" t="str">
        <f>M2602</f>
        <v/>
      </c>
      <c r="N2603" s="329" t="str">
        <f t="shared" si="1766"/>
        <v/>
      </c>
      <c r="O2603" s="325">
        <f>O2602</f>
        <v>0</v>
      </c>
    </row>
    <row r="2604" spans="1:15" x14ac:dyDescent="0.25">
      <c r="A2604" s="2">
        <v>1</v>
      </c>
      <c r="B2604" s="2">
        <f>TrialNumberDay2</f>
        <v>0</v>
      </c>
      <c r="C2604" s="2" t="s">
        <v>3724</v>
      </c>
      <c r="D2604" s="2">
        <f>Games!D107</f>
        <v>0</v>
      </c>
      <c r="F2604" s="2" t="s">
        <v>3725</v>
      </c>
      <c r="G2604" s="2" t="str">
        <f>IF(Games!AC107="e","Y","")</f>
        <v/>
      </c>
      <c r="H2604" s="2" t="str">
        <f>Games!E107</f>
        <v/>
      </c>
      <c r="I2604" s="2" t="str">
        <f>Games!F107</f>
        <v/>
      </c>
      <c r="J2604" s="2" t="str">
        <f>Games!G107</f>
        <v/>
      </c>
      <c r="M2604" s="180" t="str">
        <f>TrialDateDay2</f>
        <v/>
      </c>
      <c r="N2604" s="329" t="str">
        <f t="shared" si="1766"/>
        <v/>
      </c>
      <c r="O2604" s="2">
        <f>JudgeD2GamesSpeed</f>
        <v>0</v>
      </c>
    </row>
    <row r="2605" spans="1:15" x14ac:dyDescent="0.25">
      <c r="A2605" s="325">
        <v>2</v>
      </c>
      <c r="B2605" s="325">
        <f>B2604</f>
        <v>0</v>
      </c>
      <c r="C2605" s="325" t="str">
        <f>C2604</f>
        <v>GS</v>
      </c>
      <c r="D2605" s="325">
        <f>D2604</f>
        <v>0</v>
      </c>
      <c r="E2605" s="325"/>
      <c r="F2605" s="325" t="str">
        <f>F2604</f>
        <v>Games Speed</v>
      </c>
      <c r="G2605" s="325" t="str">
        <f>G2604</f>
        <v/>
      </c>
      <c r="H2605" s="325" t="str">
        <f>H2604</f>
        <v/>
      </c>
      <c r="I2605" s="325" t="str">
        <f>I2604</f>
        <v/>
      </c>
      <c r="J2605" s="325" t="str">
        <f>J2604</f>
        <v/>
      </c>
      <c r="K2605" s="325"/>
      <c r="L2605" s="325"/>
      <c r="M2605" s="326" t="str">
        <f>M2604</f>
        <v/>
      </c>
      <c r="N2605" s="329" t="str">
        <f t="shared" si="1766"/>
        <v/>
      </c>
      <c r="O2605" s="325">
        <f>O2604</f>
        <v>0</v>
      </c>
    </row>
    <row r="2606" spans="1:15" x14ac:dyDescent="0.25">
      <c r="A2606" s="325">
        <v>1</v>
      </c>
      <c r="B2606" s="325">
        <f>TrialNumberDay2</f>
        <v>0</v>
      </c>
      <c r="C2606" s="325" t="s">
        <v>3724</v>
      </c>
      <c r="D2606" s="325">
        <f>Games!D108</f>
        <v>0</v>
      </c>
      <c r="E2606" s="325"/>
      <c r="F2606" s="325" t="s">
        <v>3725</v>
      </c>
      <c r="G2606" s="325" t="str">
        <f>IF(Games!AC108="e","Y","")</f>
        <v/>
      </c>
      <c r="H2606" s="325" t="str">
        <f>Games!E108</f>
        <v/>
      </c>
      <c r="I2606" s="325" t="str">
        <f>Games!F108</f>
        <v/>
      </c>
      <c r="J2606" s="325" t="str">
        <f>Games!G108</f>
        <v/>
      </c>
      <c r="K2606" s="325"/>
      <c r="L2606" s="325"/>
      <c r="M2606" s="326" t="str">
        <f>TrialDateDay2</f>
        <v/>
      </c>
      <c r="N2606" s="329" t="str">
        <f t="shared" si="1766"/>
        <v/>
      </c>
      <c r="O2606" s="325">
        <f>JudgeD2GamesSpeed</f>
        <v>0</v>
      </c>
    </row>
    <row r="2607" spans="1:15" x14ac:dyDescent="0.25">
      <c r="A2607" s="325">
        <v>2</v>
      </c>
      <c r="B2607" s="325">
        <f>B2606</f>
        <v>0</v>
      </c>
      <c r="C2607" s="325" t="str">
        <f>C2606</f>
        <v>GS</v>
      </c>
      <c r="D2607" s="325">
        <f>D2606</f>
        <v>0</v>
      </c>
      <c r="E2607" s="325"/>
      <c r="F2607" s="325" t="str">
        <f>F2606</f>
        <v>Games Speed</v>
      </c>
      <c r="G2607" s="325" t="str">
        <f>G2606</f>
        <v/>
      </c>
      <c r="H2607" s="325" t="str">
        <f>H2606</f>
        <v/>
      </c>
      <c r="I2607" s="325" t="str">
        <f>I2606</f>
        <v/>
      </c>
      <c r="J2607" s="325" t="str">
        <f>J2606</f>
        <v/>
      </c>
      <c r="K2607" s="325"/>
      <c r="L2607" s="325"/>
      <c r="M2607" s="326" t="str">
        <f>M2606</f>
        <v/>
      </c>
      <c r="N2607" s="329" t="str">
        <f t="shared" si="1766"/>
        <v/>
      </c>
      <c r="O2607" s="325">
        <f>O2606</f>
        <v>0</v>
      </c>
    </row>
    <row r="2608" spans="1:15" x14ac:dyDescent="0.25">
      <c r="A2608" s="2">
        <v>1</v>
      </c>
      <c r="B2608" s="2">
        <f>TrialNumberDay2</f>
        <v>0</v>
      </c>
      <c r="C2608" s="2" t="s">
        <v>3724</v>
      </c>
      <c r="D2608" s="2">
        <f>Games!D109</f>
        <v>0</v>
      </c>
      <c r="F2608" s="2" t="s">
        <v>3725</v>
      </c>
      <c r="G2608" s="2" t="str">
        <f>IF(Games!AC109="e","Y","")</f>
        <v/>
      </c>
      <c r="H2608" s="2" t="str">
        <f>Games!E109</f>
        <v/>
      </c>
      <c r="I2608" s="2" t="str">
        <f>Games!F109</f>
        <v/>
      </c>
      <c r="J2608" s="2" t="str">
        <f>Games!G109</f>
        <v/>
      </c>
      <c r="M2608" s="180" t="str">
        <f>TrialDateDay2</f>
        <v/>
      </c>
      <c r="N2608" s="329" t="str">
        <f t="shared" si="1766"/>
        <v/>
      </c>
      <c r="O2608" s="2">
        <f>JudgeD2GamesSpeed</f>
        <v>0</v>
      </c>
    </row>
    <row r="2609" spans="1:15" x14ac:dyDescent="0.25">
      <c r="A2609" s="325">
        <v>2</v>
      </c>
      <c r="B2609" s="325">
        <f>B2608</f>
        <v>0</v>
      </c>
      <c r="C2609" s="325" t="str">
        <f>C2608</f>
        <v>GS</v>
      </c>
      <c r="D2609" s="325">
        <f>D2608</f>
        <v>0</v>
      </c>
      <c r="E2609" s="325"/>
      <c r="F2609" s="325" t="str">
        <f>F2608</f>
        <v>Games Speed</v>
      </c>
      <c r="G2609" s="325" t="str">
        <f>G2608</f>
        <v/>
      </c>
      <c r="H2609" s="325" t="str">
        <f>H2608</f>
        <v/>
      </c>
      <c r="I2609" s="325" t="str">
        <f>I2608</f>
        <v/>
      </c>
      <c r="J2609" s="325" t="str">
        <f>J2608</f>
        <v/>
      </c>
      <c r="K2609" s="325"/>
      <c r="L2609" s="325"/>
      <c r="M2609" s="326" t="str">
        <f>M2608</f>
        <v/>
      </c>
      <c r="N2609" s="329" t="str">
        <f t="shared" si="1766"/>
        <v/>
      </c>
      <c r="O2609" s="325">
        <f>O2608</f>
        <v>0</v>
      </c>
    </row>
    <row r="2610" spans="1:15" x14ac:dyDescent="0.25">
      <c r="A2610" s="325">
        <v>1</v>
      </c>
      <c r="B2610" s="325">
        <f>TrialNumberDay2</f>
        <v>0</v>
      </c>
      <c r="C2610" s="325" t="s">
        <v>3724</v>
      </c>
      <c r="D2610" s="325">
        <f>Games!D110</f>
        <v>0</v>
      </c>
      <c r="E2610" s="325"/>
      <c r="F2610" s="325" t="s">
        <v>3725</v>
      </c>
      <c r="G2610" s="325" t="str">
        <f>IF(Games!AC110="e","Y","")</f>
        <v/>
      </c>
      <c r="H2610" s="325" t="str">
        <f>Games!E110</f>
        <v/>
      </c>
      <c r="I2610" s="325" t="str">
        <f>Games!F110</f>
        <v/>
      </c>
      <c r="J2610" s="325" t="str">
        <f>Games!G110</f>
        <v/>
      </c>
      <c r="K2610" s="325"/>
      <c r="L2610" s="325"/>
      <c r="M2610" s="326" t="str">
        <f>TrialDateDay2</f>
        <v/>
      </c>
      <c r="N2610" s="329" t="str">
        <f t="shared" si="1766"/>
        <v/>
      </c>
      <c r="O2610" s="325">
        <f>JudgeD2GamesSpeed</f>
        <v>0</v>
      </c>
    </row>
    <row r="2611" spans="1:15" x14ac:dyDescent="0.25">
      <c r="A2611" s="325">
        <v>2</v>
      </c>
      <c r="B2611" s="325">
        <f>B2610</f>
        <v>0</v>
      </c>
      <c r="C2611" s="325" t="str">
        <f>C2610</f>
        <v>GS</v>
      </c>
      <c r="D2611" s="325">
        <f>D2610</f>
        <v>0</v>
      </c>
      <c r="E2611" s="325"/>
      <c r="F2611" s="325" t="str">
        <f>F2610</f>
        <v>Games Speed</v>
      </c>
      <c r="G2611" s="325" t="str">
        <f>G2610</f>
        <v/>
      </c>
      <c r="H2611" s="325" t="str">
        <f>H2610</f>
        <v/>
      </c>
      <c r="I2611" s="325" t="str">
        <f>I2610</f>
        <v/>
      </c>
      <c r="J2611" s="325" t="str">
        <f>J2610</f>
        <v/>
      </c>
      <c r="K2611" s="325"/>
      <c r="L2611" s="325"/>
      <c r="M2611" s="326" t="str">
        <f>M2610</f>
        <v/>
      </c>
      <c r="N2611" s="329" t="str">
        <f t="shared" si="1766"/>
        <v/>
      </c>
      <c r="O2611" s="325">
        <f>O2610</f>
        <v>0</v>
      </c>
    </row>
    <row r="2612" spans="1:15" x14ac:dyDescent="0.25">
      <c r="A2612" s="2">
        <v>1</v>
      </c>
      <c r="B2612" s="2">
        <f>TrialNumberDay2</f>
        <v>0</v>
      </c>
      <c r="C2612" s="2" t="s">
        <v>3724</v>
      </c>
      <c r="D2612" s="2">
        <f>Games!D111</f>
        <v>0</v>
      </c>
      <c r="F2612" s="2" t="s">
        <v>3725</v>
      </c>
      <c r="G2612" s="2" t="str">
        <f>IF(Games!AC111="e","Y","")</f>
        <v/>
      </c>
      <c r="H2612" s="2" t="str">
        <f>Games!E111</f>
        <v/>
      </c>
      <c r="I2612" s="2" t="str">
        <f>Games!F111</f>
        <v/>
      </c>
      <c r="J2612" s="2" t="str">
        <f>Games!G111</f>
        <v/>
      </c>
      <c r="M2612" s="180" t="str">
        <f>TrialDateDay2</f>
        <v/>
      </c>
      <c r="N2612" s="329" t="str">
        <f t="shared" si="1766"/>
        <v/>
      </c>
      <c r="O2612" s="2">
        <f>JudgeD2GamesSpeed</f>
        <v>0</v>
      </c>
    </row>
    <row r="2613" spans="1:15" x14ac:dyDescent="0.25">
      <c r="A2613" s="325">
        <v>2</v>
      </c>
      <c r="B2613" s="325">
        <f>B2612</f>
        <v>0</v>
      </c>
      <c r="C2613" s="325" t="str">
        <f>C2612</f>
        <v>GS</v>
      </c>
      <c r="D2613" s="325">
        <f>D2612</f>
        <v>0</v>
      </c>
      <c r="E2613" s="325"/>
      <c r="F2613" s="325" t="str">
        <f>F2612</f>
        <v>Games Speed</v>
      </c>
      <c r="G2613" s="325" t="str">
        <f>G2612</f>
        <v/>
      </c>
      <c r="H2613" s="325" t="str">
        <f>H2612</f>
        <v/>
      </c>
      <c r="I2613" s="325" t="str">
        <f>I2612</f>
        <v/>
      </c>
      <c r="J2613" s="325" t="str">
        <f>J2612</f>
        <v/>
      </c>
      <c r="K2613" s="325"/>
      <c r="L2613" s="325"/>
      <c r="M2613" s="326" t="str">
        <f>M2612</f>
        <v/>
      </c>
      <c r="N2613" s="329" t="str">
        <f t="shared" si="1766"/>
        <v/>
      </c>
      <c r="O2613" s="325">
        <f>O2612</f>
        <v>0</v>
      </c>
    </row>
    <row r="2614" spans="1:15" x14ac:dyDescent="0.25">
      <c r="A2614" s="325">
        <v>1</v>
      </c>
      <c r="B2614" s="325">
        <f>TrialNumberDay2</f>
        <v>0</v>
      </c>
      <c r="C2614" s="325" t="s">
        <v>3724</v>
      </c>
      <c r="D2614" s="325">
        <f>Games!D112</f>
        <v>0</v>
      </c>
      <c r="E2614" s="325"/>
      <c r="F2614" s="325" t="s">
        <v>3725</v>
      </c>
      <c r="G2614" s="325" t="str">
        <f>IF(Games!AC112="e","Y","")</f>
        <v/>
      </c>
      <c r="H2614" s="325" t="str">
        <f>Games!E112</f>
        <v/>
      </c>
      <c r="I2614" s="325" t="str">
        <f>Games!F112</f>
        <v/>
      </c>
      <c r="J2614" s="325" t="str">
        <f>Games!G112</f>
        <v/>
      </c>
      <c r="K2614" s="325"/>
      <c r="L2614" s="325"/>
      <c r="M2614" s="326" t="str">
        <f>TrialDateDay2</f>
        <v/>
      </c>
      <c r="N2614" s="329" t="str">
        <f t="shared" ref="N2614:N2621" si="1767">TrialCityDay2</f>
        <v/>
      </c>
      <c r="O2614" s="325">
        <f>JudgeD2GamesSpeed</f>
        <v>0</v>
      </c>
    </row>
    <row r="2615" spans="1:15" x14ac:dyDescent="0.25">
      <c r="A2615" s="325">
        <v>2</v>
      </c>
      <c r="B2615" s="325">
        <f>B2614</f>
        <v>0</v>
      </c>
      <c r="C2615" s="325" t="str">
        <f>C2614</f>
        <v>GS</v>
      </c>
      <c r="D2615" s="325">
        <f>D2614</f>
        <v>0</v>
      </c>
      <c r="E2615" s="325"/>
      <c r="F2615" s="325" t="str">
        <f>F2614</f>
        <v>Games Speed</v>
      </c>
      <c r="G2615" s="325" t="str">
        <f>G2614</f>
        <v/>
      </c>
      <c r="H2615" s="325" t="str">
        <f>H2614</f>
        <v/>
      </c>
      <c r="I2615" s="325" t="str">
        <f>I2614</f>
        <v/>
      </c>
      <c r="J2615" s="325" t="str">
        <f>J2614</f>
        <v/>
      </c>
      <c r="K2615" s="325"/>
      <c r="L2615" s="325"/>
      <c r="M2615" s="326" t="str">
        <f>M2614</f>
        <v/>
      </c>
      <c r="N2615" s="329" t="str">
        <f t="shared" si="1767"/>
        <v/>
      </c>
      <c r="O2615" s="325">
        <f>O2614</f>
        <v>0</v>
      </c>
    </row>
    <row r="2616" spans="1:15" x14ac:dyDescent="0.25">
      <c r="A2616" s="2">
        <v>1</v>
      </c>
      <c r="B2616" s="2">
        <f>TrialNumberDay2</f>
        <v>0</v>
      </c>
      <c r="C2616" s="2" t="s">
        <v>3724</v>
      </c>
      <c r="D2616" s="2">
        <f>Games!D113</f>
        <v>0</v>
      </c>
      <c r="F2616" s="2" t="s">
        <v>3725</v>
      </c>
      <c r="G2616" s="2" t="str">
        <f>IF(Games!AC113="e","Y","")</f>
        <v/>
      </c>
      <c r="H2616" s="2" t="str">
        <f>Games!E113</f>
        <v/>
      </c>
      <c r="I2616" s="2" t="str">
        <f>Games!F113</f>
        <v/>
      </c>
      <c r="J2616" s="2" t="str">
        <f>Games!G113</f>
        <v/>
      </c>
      <c r="M2616" s="180" t="str">
        <f>TrialDateDay2</f>
        <v/>
      </c>
      <c r="N2616" s="329" t="str">
        <f t="shared" si="1767"/>
        <v/>
      </c>
      <c r="O2616" s="2">
        <f>JudgeD2GamesSpeed</f>
        <v>0</v>
      </c>
    </row>
    <row r="2617" spans="1:15" x14ac:dyDescent="0.25">
      <c r="A2617" s="325">
        <v>2</v>
      </c>
      <c r="B2617" s="325">
        <f>B2616</f>
        <v>0</v>
      </c>
      <c r="C2617" s="325" t="str">
        <f>C2616</f>
        <v>GS</v>
      </c>
      <c r="D2617" s="325">
        <f>D2616</f>
        <v>0</v>
      </c>
      <c r="E2617" s="325"/>
      <c r="F2617" s="325" t="str">
        <f>F2616</f>
        <v>Games Speed</v>
      </c>
      <c r="G2617" s="325" t="str">
        <f>G2616</f>
        <v/>
      </c>
      <c r="H2617" s="325" t="str">
        <f>H2616</f>
        <v/>
      </c>
      <c r="I2617" s="325" t="str">
        <f>I2616</f>
        <v/>
      </c>
      <c r="J2617" s="325" t="str">
        <f>J2616</f>
        <v/>
      </c>
      <c r="K2617" s="325"/>
      <c r="L2617" s="325"/>
      <c r="M2617" s="326" t="str">
        <f>M2616</f>
        <v/>
      </c>
      <c r="N2617" s="329" t="str">
        <f t="shared" si="1767"/>
        <v/>
      </c>
      <c r="O2617" s="325">
        <f>O2616</f>
        <v>0</v>
      </c>
    </row>
    <row r="2618" spans="1:15" x14ac:dyDescent="0.25">
      <c r="A2618" s="325">
        <v>1</v>
      </c>
      <c r="B2618" s="325">
        <f>TrialNumberDay2</f>
        <v>0</v>
      </c>
      <c r="C2618" s="325" t="s">
        <v>3724</v>
      </c>
      <c r="D2618" s="325">
        <f>Games!D114</f>
        <v>0</v>
      </c>
      <c r="E2618" s="325"/>
      <c r="F2618" s="325" t="s">
        <v>3725</v>
      </c>
      <c r="G2618" s="325" t="str">
        <f>IF(Games!AC114="e","Y","")</f>
        <v/>
      </c>
      <c r="H2618" s="325" t="str">
        <f>Games!E114</f>
        <v/>
      </c>
      <c r="I2618" s="325" t="str">
        <f>Games!F114</f>
        <v/>
      </c>
      <c r="J2618" s="325" t="str">
        <f>Games!G114</f>
        <v/>
      </c>
      <c r="K2618" s="325"/>
      <c r="L2618" s="325"/>
      <c r="M2618" s="326" t="str">
        <f>TrialDateDay2</f>
        <v/>
      </c>
      <c r="N2618" s="329" t="str">
        <f t="shared" si="1767"/>
        <v/>
      </c>
      <c r="O2618" s="325">
        <f>JudgeD2GamesSpeed</f>
        <v>0</v>
      </c>
    </row>
    <row r="2619" spans="1:15" x14ac:dyDescent="0.25">
      <c r="A2619" s="325">
        <v>2</v>
      </c>
      <c r="B2619" s="325">
        <f>B2618</f>
        <v>0</v>
      </c>
      <c r="C2619" s="325" t="str">
        <f>C2618</f>
        <v>GS</v>
      </c>
      <c r="D2619" s="325">
        <f>D2618</f>
        <v>0</v>
      </c>
      <c r="E2619" s="325"/>
      <c r="F2619" s="325" t="str">
        <f>F2618</f>
        <v>Games Speed</v>
      </c>
      <c r="G2619" s="325" t="str">
        <f>G2618</f>
        <v/>
      </c>
      <c r="H2619" s="325" t="str">
        <f>H2618</f>
        <v/>
      </c>
      <c r="I2619" s="325" t="str">
        <f>I2618</f>
        <v/>
      </c>
      <c r="J2619" s="325" t="str">
        <f>J2618</f>
        <v/>
      </c>
      <c r="K2619" s="325"/>
      <c r="L2619" s="325"/>
      <c r="M2619" s="326" t="str">
        <f>M2618</f>
        <v/>
      </c>
      <c r="N2619" s="329" t="str">
        <f t="shared" si="1767"/>
        <v/>
      </c>
      <c r="O2619" s="325">
        <f>O2618</f>
        <v>0</v>
      </c>
    </row>
    <row r="2620" spans="1:15" x14ac:dyDescent="0.25">
      <c r="A2620" s="2">
        <v>1</v>
      </c>
      <c r="B2620" s="2">
        <f>TrialNumberDay2</f>
        <v>0</v>
      </c>
      <c r="C2620" s="2" t="s">
        <v>3724</v>
      </c>
      <c r="D2620" s="2">
        <f>Games!D115</f>
        <v>0</v>
      </c>
      <c r="F2620" s="2" t="s">
        <v>3725</v>
      </c>
      <c r="G2620" s="2" t="str">
        <f>IF(Games!AC115="e","Y","")</f>
        <v/>
      </c>
      <c r="H2620" s="2" t="str">
        <f>Games!E115</f>
        <v/>
      </c>
      <c r="I2620" s="2" t="str">
        <f>Games!F115</f>
        <v/>
      </c>
      <c r="J2620" s="2" t="str">
        <f>Games!G115</f>
        <v/>
      </c>
      <c r="M2620" s="180" t="str">
        <f>TrialDateDay2</f>
        <v/>
      </c>
      <c r="N2620" s="329" t="str">
        <f t="shared" si="1767"/>
        <v/>
      </c>
      <c r="O2620" s="2">
        <f>JudgeD2GamesSpeed</f>
        <v>0</v>
      </c>
    </row>
    <row r="2621" spans="1:15" x14ac:dyDescent="0.25">
      <c r="A2621" s="325">
        <v>2</v>
      </c>
      <c r="B2621" s="325">
        <f>B2620</f>
        <v>0</v>
      </c>
      <c r="C2621" s="325" t="str">
        <f>C2620</f>
        <v>GS</v>
      </c>
      <c r="D2621" s="325">
        <f>D2620</f>
        <v>0</v>
      </c>
      <c r="E2621" s="325"/>
      <c r="F2621" s="325" t="str">
        <f>F2620</f>
        <v>Games Speed</v>
      </c>
      <c r="G2621" s="325" t="str">
        <f>G2620</f>
        <v/>
      </c>
      <c r="H2621" s="325" t="str">
        <f>H2620</f>
        <v/>
      </c>
      <c r="I2621" s="325" t="str">
        <f>I2620</f>
        <v/>
      </c>
      <c r="J2621" s="325" t="str">
        <f>J2620</f>
        <v/>
      </c>
      <c r="K2621" s="325"/>
      <c r="L2621" s="325"/>
      <c r="M2621" s="326" t="str">
        <f>M2620</f>
        <v/>
      </c>
      <c r="N2621" s="329" t="str">
        <f t="shared" si="1767"/>
        <v/>
      </c>
      <c r="O2621" s="325">
        <f>O2620</f>
        <v>0</v>
      </c>
    </row>
    <row r="2622" spans="1:15" x14ac:dyDescent="0.25">
      <c r="A2622" s="329">
        <v>1</v>
      </c>
      <c r="B2622" s="329">
        <f t="shared" ref="B2622:B2684" si="1768">TrialNumberDay2</f>
        <v>0</v>
      </c>
      <c r="C2622" s="329" t="s">
        <v>3726</v>
      </c>
      <c r="D2622" s="329">
        <f>Games!D66</f>
        <v>0</v>
      </c>
      <c r="E2622" s="329"/>
      <c r="F2622" s="329" t="s">
        <v>3727</v>
      </c>
      <c r="G2622" s="329" t="str">
        <f>IF(Games!AJ66="e","Y","")</f>
        <v/>
      </c>
      <c r="H2622" s="329" t="str">
        <f>Games!E66</f>
        <v/>
      </c>
      <c r="I2622" s="329" t="str">
        <f>Games!F66</f>
        <v/>
      </c>
      <c r="J2622" s="329" t="str">
        <f>Games!G66</f>
        <v/>
      </c>
      <c r="K2622" s="329"/>
      <c r="L2622" s="329"/>
      <c r="M2622" s="330" t="str">
        <f t="shared" ref="M2622:M2684" si="1769">TrialDateDay2</f>
        <v/>
      </c>
      <c r="N2622" s="329" t="str">
        <f t="shared" ref="N2622:N2660" si="1770">TrialCityDay2</f>
        <v/>
      </c>
      <c r="O2622" s="329">
        <f t="shared" ref="O2622:O2684" si="1771">JudgeD2GamesTeam</f>
        <v>0</v>
      </c>
    </row>
    <row r="2623" spans="1:15" x14ac:dyDescent="0.25">
      <c r="A2623" s="325">
        <v>2</v>
      </c>
      <c r="B2623" s="325">
        <f>B2622</f>
        <v>0</v>
      </c>
      <c r="C2623" s="325" t="str">
        <f>C2622</f>
        <v>GT</v>
      </c>
      <c r="D2623" s="325">
        <f>D2622</f>
        <v>0</v>
      </c>
      <c r="E2623" s="325"/>
      <c r="F2623" s="325" t="str">
        <f>F2622</f>
        <v>Games Team</v>
      </c>
      <c r="G2623" s="325" t="str">
        <f>G2622</f>
        <v/>
      </c>
      <c r="H2623" s="325" t="str">
        <f>H2622</f>
        <v/>
      </c>
      <c r="I2623" s="325" t="str">
        <f>I2622</f>
        <v/>
      </c>
      <c r="J2623" s="325" t="str">
        <f>J2622</f>
        <v/>
      </c>
      <c r="K2623" s="325"/>
      <c r="L2623" s="325"/>
      <c r="M2623" s="326" t="str">
        <f>M2622</f>
        <v/>
      </c>
      <c r="N2623" s="329" t="str">
        <f t="shared" ref="N2623:N2720" si="1772">TrialCityDay2</f>
        <v/>
      </c>
      <c r="O2623" s="325">
        <f>O2622</f>
        <v>0</v>
      </c>
    </row>
    <row r="2624" spans="1:15" x14ac:dyDescent="0.25">
      <c r="A2624" s="2">
        <v>1</v>
      </c>
      <c r="B2624" s="2">
        <f t="shared" si="1768"/>
        <v>0</v>
      </c>
      <c r="C2624" s="2" t="s">
        <v>3726</v>
      </c>
      <c r="D2624" s="2">
        <f>Games!D67</f>
        <v>0</v>
      </c>
      <c r="F2624" s="2" t="s">
        <v>3727</v>
      </c>
      <c r="G2624" s="2" t="str">
        <f>IF(Games!AJ67="e","Y","")</f>
        <v/>
      </c>
      <c r="H2624" s="2" t="str">
        <f>Games!E67</f>
        <v/>
      </c>
      <c r="I2624" s="2" t="str">
        <f>Games!F67</f>
        <v/>
      </c>
      <c r="J2624" s="2" t="str">
        <f>Games!G67</f>
        <v/>
      </c>
      <c r="M2624" s="180" t="str">
        <f t="shared" si="1769"/>
        <v/>
      </c>
      <c r="N2624" s="329" t="str">
        <f t="shared" si="1770"/>
        <v/>
      </c>
      <c r="O2624" s="2">
        <f t="shared" si="1771"/>
        <v>0</v>
      </c>
    </row>
    <row r="2625" spans="1:15" x14ac:dyDescent="0.25">
      <c r="A2625" s="2">
        <v>2</v>
      </c>
      <c r="B2625" s="2">
        <f>B2624</f>
        <v>0</v>
      </c>
      <c r="C2625" s="2" t="str">
        <f>C2624</f>
        <v>GT</v>
      </c>
      <c r="D2625" s="2">
        <f>D2624</f>
        <v>0</v>
      </c>
      <c r="F2625" s="2" t="str">
        <f>F2624</f>
        <v>Games Team</v>
      </c>
      <c r="G2625" s="2" t="str">
        <f>G2624</f>
        <v/>
      </c>
      <c r="H2625" s="2" t="str">
        <f>H2624</f>
        <v/>
      </c>
      <c r="I2625" s="2" t="str">
        <f>I2624</f>
        <v/>
      </c>
      <c r="J2625" s="2" t="str">
        <f>J2624</f>
        <v/>
      </c>
      <c r="M2625" s="180" t="str">
        <f>M2624</f>
        <v/>
      </c>
      <c r="N2625" s="329" t="str">
        <f t="shared" si="1772"/>
        <v/>
      </c>
      <c r="O2625" s="2">
        <f>O2624</f>
        <v>0</v>
      </c>
    </row>
    <row r="2626" spans="1:15" x14ac:dyDescent="0.25">
      <c r="A2626" s="325">
        <v>1</v>
      </c>
      <c r="B2626" s="325">
        <f t="shared" si="1768"/>
        <v>0</v>
      </c>
      <c r="C2626" s="325" t="s">
        <v>3726</v>
      </c>
      <c r="D2626" s="325">
        <f>Games!D68</f>
        <v>0</v>
      </c>
      <c r="E2626" s="325"/>
      <c r="F2626" s="325" t="s">
        <v>3727</v>
      </c>
      <c r="G2626" s="325" t="str">
        <f>IF(Games!AJ68="e","Y","")</f>
        <v/>
      </c>
      <c r="H2626" s="325" t="str">
        <f>Games!E68</f>
        <v/>
      </c>
      <c r="I2626" s="325" t="str">
        <f>Games!F68</f>
        <v/>
      </c>
      <c r="J2626" s="325" t="str">
        <f>Games!G68</f>
        <v/>
      </c>
      <c r="K2626" s="325"/>
      <c r="L2626" s="325"/>
      <c r="M2626" s="326" t="str">
        <f t="shared" si="1769"/>
        <v/>
      </c>
      <c r="N2626" s="329" t="str">
        <f t="shared" si="1770"/>
        <v/>
      </c>
      <c r="O2626" s="325">
        <f t="shared" si="1771"/>
        <v>0</v>
      </c>
    </row>
    <row r="2627" spans="1:15" x14ac:dyDescent="0.25">
      <c r="A2627" s="325">
        <v>2</v>
      </c>
      <c r="B2627" s="325">
        <f>B2626</f>
        <v>0</v>
      </c>
      <c r="C2627" s="325" t="str">
        <f>C2626</f>
        <v>GT</v>
      </c>
      <c r="D2627" s="325">
        <f>D2626</f>
        <v>0</v>
      </c>
      <c r="E2627" s="325"/>
      <c r="F2627" s="325" t="str">
        <f>F2626</f>
        <v>Games Team</v>
      </c>
      <c r="G2627" s="325" t="str">
        <f>G2626</f>
        <v/>
      </c>
      <c r="H2627" s="325" t="str">
        <f>H2626</f>
        <v/>
      </c>
      <c r="I2627" s="325" t="str">
        <f>I2626</f>
        <v/>
      </c>
      <c r="J2627" s="325" t="str">
        <f>J2626</f>
        <v/>
      </c>
      <c r="K2627" s="325"/>
      <c r="L2627" s="325"/>
      <c r="M2627" s="326" t="str">
        <f>M2626</f>
        <v/>
      </c>
      <c r="N2627" s="329" t="str">
        <f t="shared" si="1772"/>
        <v/>
      </c>
      <c r="O2627" s="325">
        <f>O2626</f>
        <v>0</v>
      </c>
    </row>
    <row r="2628" spans="1:15" x14ac:dyDescent="0.25">
      <c r="A2628" s="2">
        <v>1</v>
      </c>
      <c r="B2628" s="2">
        <f t="shared" si="1768"/>
        <v>0</v>
      </c>
      <c r="C2628" s="2" t="s">
        <v>3726</v>
      </c>
      <c r="D2628" s="2">
        <f>Games!D69</f>
        <v>0</v>
      </c>
      <c r="F2628" s="2" t="s">
        <v>3727</v>
      </c>
      <c r="G2628" s="2" t="str">
        <f>IF(Games!AJ69="e","Y","")</f>
        <v/>
      </c>
      <c r="H2628" s="2" t="str">
        <f>Games!E69</f>
        <v/>
      </c>
      <c r="I2628" s="2" t="str">
        <f>Games!F69</f>
        <v/>
      </c>
      <c r="J2628" s="2" t="str">
        <f>Games!G69</f>
        <v/>
      </c>
      <c r="M2628" s="180" t="str">
        <f t="shared" si="1769"/>
        <v/>
      </c>
      <c r="N2628" s="329" t="str">
        <f t="shared" si="1770"/>
        <v/>
      </c>
      <c r="O2628" s="2">
        <f t="shared" si="1771"/>
        <v>0</v>
      </c>
    </row>
    <row r="2629" spans="1:15" x14ac:dyDescent="0.25">
      <c r="A2629" s="2">
        <v>2</v>
      </c>
      <c r="B2629" s="2">
        <f>B2628</f>
        <v>0</v>
      </c>
      <c r="C2629" s="2" t="str">
        <f>C2628</f>
        <v>GT</v>
      </c>
      <c r="D2629" s="2">
        <f>D2628</f>
        <v>0</v>
      </c>
      <c r="F2629" s="2" t="str">
        <f>F2628</f>
        <v>Games Team</v>
      </c>
      <c r="G2629" s="2" t="str">
        <f>G2628</f>
        <v/>
      </c>
      <c r="H2629" s="2" t="str">
        <f>H2628</f>
        <v/>
      </c>
      <c r="I2629" s="2" t="str">
        <f>I2628</f>
        <v/>
      </c>
      <c r="J2629" s="2" t="str">
        <f>J2628</f>
        <v/>
      </c>
      <c r="M2629" s="180" t="str">
        <f>M2628</f>
        <v/>
      </c>
      <c r="N2629" s="329" t="str">
        <f t="shared" si="1772"/>
        <v/>
      </c>
      <c r="O2629" s="2">
        <f>O2628</f>
        <v>0</v>
      </c>
    </row>
    <row r="2630" spans="1:15" x14ac:dyDescent="0.25">
      <c r="A2630" s="325">
        <v>1</v>
      </c>
      <c r="B2630" s="325">
        <f t="shared" si="1768"/>
        <v>0</v>
      </c>
      <c r="C2630" s="325" t="s">
        <v>3726</v>
      </c>
      <c r="D2630" s="325">
        <f>Games!D70</f>
        <v>0</v>
      </c>
      <c r="E2630" s="325"/>
      <c r="F2630" s="325" t="s">
        <v>3727</v>
      </c>
      <c r="G2630" s="325" t="str">
        <f>IF(Games!AJ70="e","Y","")</f>
        <v/>
      </c>
      <c r="H2630" s="325" t="str">
        <f>Games!E70</f>
        <v/>
      </c>
      <c r="I2630" s="325" t="str">
        <f>Games!F70</f>
        <v/>
      </c>
      <c r="J2630" s="325" t="str">
        <f>Games!G70</f>
        <v/>
      </c>
      <c r="K2630" s="325"/>
      <c r="L2630" s="325"/>
      <c r="M2630" s="326" t="str">
        <f t="shared" si="1769"/>
        <v/>
      </c>
      <c r="N2630" s="329" t="str">
        <f t="shared" si="1770"/>
        <v/>
      </c>
      <c r="O2630" s="325">
        <f t="shared" si="1771"/>
        <v>0</v>
      </c>
    </row>
    <row r="2631" spans="1:15" x14ac:dyDescent="0.25">
      <c r="A2631" s="325">
        <v>2</v>
      </c>
      <c r="B2631" s="325">
        <f>B2630</f>
        <v>0</v>
      </c>
      <c r="C2631" s="325" t="str">
        <f>C2630</f>
        <v>GT</v>
      </c>
      <c r="D2631" s="325">
        <f>D2630</f>
        <v>0</v>
      </c>
      <c r="E2631" s="325"/>
      <c r="F2631" s="325" t="str">
        <f>F2630</f>
        <v>Games Team</v>
      </c>
      <c r="G2631" s="325" t="str">
        <f>G2630</f>
        <v/>
      </c>
      <c r="H2631" s="325" t="str">
        <f>H2630</f>
        <v/>
      </c>
      <c r="I2631" s="325" t="str">
        <f>I2630</f>
        <v/>
      </c>
      <c r="J2631" s="325" t="str">
        <f>J2630</f>
        <v/>
      </c>
      <c r="K2631" s="325"/>
      <c r="L2631" s="325"/>
      <c r="M2631" s="326" t="str">
        <f>M2630</f>
        <v/>
      </c>
      <c r="N2631" s="329" t="str">
        <f t="shared" si="1772"/>
        <v/>
      </c>
      <c r="O2631" s="325">
        <f>O2630</f>
        <v>0</v>
      </c>
    </row>
    <row r="2632" spans="1:15" x14ac:dyDescent="0.25">
      <c r="A2632" s="2">
        <v>1</v>
      </c>
      <c r="B2632" s="2">
        <f t="shared" si="1768"/>
        <v>0</v>
      </c>
      <c r="C2632" s="2" t="s">
        <v>3726</v>
      </c>
      <c r="D2632" s="2">
        <f>Games!D71</f>
        <v>0</v>
      </c>
      <c r="F2632" s="2" t="s">
        <v>3727</v>
      </c>
      <c r="G2632" s="2" t="str">
        <f>IF(Games!AJ71="e","Y","")</f>
        <v/>
      </c>
      <c r="H2632" s="2" t="str">
        <f>Games!E71</f>
        <v/>
      </c>
      <c r="I2632" s="2" t="str">
        <f>Games!F71</f>
        <v/>
      </c>
      <c r="J2632" s="2" t="str">
        <f>Games!G71</f>
        <v/>
      </c>
      <c r="M2632" s="180" t="str">
        <f t="shared" si="1769"/>
        <v/>
      </c>
      <c r="N2632" s="329" t="str">
        <f t="shared" si="1770"/>
        <v/>
      </c>
      <c r="O2632" s="2">
        <f t="shared" si="1771"/>
        <v>0</v>
      </c>
    </row>
    <row r="2633" spans="1:15" x14ac:dyDescent="0.25">
      <c r="A2633" s="2">
        <v>2</v>
      </c>
      <c r="B2633" s="2">
        <f>B2632</f>
        <v>0</v>
      </c>
      <c r="C2633" s="2" t="str">
        <f>C2632</f>
        <v>GT</v>
      </c>
      <c r="D2633" s="2">
        <f>D2632</f>
        <v>0</v>
      </c>
      <c r="F2633" s="2" t="str">
        <f>F2632</f>
        <v>Games Team</v>
      </c>
      <c r="G2633" s="2" t="str">
        <f>G2632</f>
        <v/>
      </c>
      <c r="H2633" s="2" t="str">
        <f>H2632</f>
        <v/>
      </c>
      <c r="I2633" s="2" t="str">
        <f>I2632</f>
        <v/>
      </c>
      <c r="J2633" s="2" t="str">
        <f>J2632</f>
        <v/>
      </c>
      <c r="M2633" s="180" t="str">
        <f>M2632</f>
        <v/>
      </c>
      <c r="N2633" s="329" t="str">
        <f t="shared" si="1772"/>
        <v/>
      </c>
      <c r="O2633" s="2">
        <f>O2632</f>
        <v>0</v>
      </c>
    </row>
    <row r="2634" spans="1:15" x14ac:dyDescent="0.25">
      <c r="A2634" s="325">
        <v>1</v>
      </c>
      <c r="B2634" s="325">
        <f t="shared" si="1768"/>
        <v>0</v>
      </c>
      <c r="C2634" s="325" t="s">
        <v>3726</v>
      </c>
      <c r="D2634" s="325">
        <f>Games!D72</f>
        <v>0</v>
      </c>
      <c r="E2634" s="325"/>
      <c r="F2634" s="325" t="s">
        <v>3727</v>
      </c>
      <c r="G2634" s="325" t="str">
        <f>IF(Games!AJ72="e","Y","")</f>
        <v/>
      </c>
      <c r="H2634" s="325" t="str">
        <f>Games!E72</f>
        <v/>
      </c>
      <c r="I2634" s="325" t="str">
        <f>Games!F72</f>
        <v/>
      </c>
      <c r="J2634" s="325" t="str">
        <f>Games!G72</f>
        <v/>
      </c>
      <c r="K2634" s="325"/>
      <c r="L2634" s="325"/>
      <c r="M2634" s="326" t="str">
        <f t="shared" si="1769"/>
        <v/>
      </c>
      <c r="N2634" s="329" t="str">
        <f t="shared" si="1770"/>
        <v/>
      </c>
      <c r="O2634" s="325">
        <f t="shared" si="1771"/>
        <v>0</v>
      </c>
    </row>
    <row r="2635" spans="1:15" x14ac:dyDescent="0.25">
      <c r="A2635" s="325">
        <v>2</v>
      </c>
      <c r="B2635" s="325">
        <f>B2634</f>
        <v>0</v>
      </c>
      <c r="C2635" s="325" t="str">
        <f>C2634</f>
        <v>GT</v>
      </c>
      <c r="D2635" s="325">
        <f>D2634</f>
        <v>0</v>
      </c>
      <c r="E2635" s="325"/>
      <c r="F2635" s="325" t="str">
        <f>F2634</f>
        <v>Games Team</v>
      </c>
      <c r="G2635" s="325" t="str">
        <f>G2634</f>
        <v/>
      </c>
      <c r="H2635" s="325" t="str">
        <f>H2634</f>
        <v/>
      </c>
      <c r="I2635" s="325" t="str">
        <f>I2634</f>
        <v/>
      </c>
      <c r="J2635" s="325" t="str">
        <f>J2634</f>
        <v/>
      </c>
      <c r="K2635" s="325"/>
      <c r="L2635" s="325"/>
      <c r="M2635" s="326" t="str">
        <f>M2634</f>
        <v/>
      </c>
      <c r="N2635" s="329" t="str">
        <f t="shared" si="1772"/>
        <v/>
      </c>
      <c r="O2635" s="325">
        <f>O2634</f>
        <v>0</v>
      </c>
    </row>
    <row r="2636" spans="1:15" x14ac:dyDescent="0.25">
      <c r="A2636" s="2">
        <v>1</v>
      </c>
      <c r="B2636" s="2">
        <f t="shared" si="1768"/>
        <v>0</v>
      </c>
      <c r="C2636" s="2" t="s">
        <v>3726</v>
      </c>
      <c r="D2636" s="2">
        <f>Games!D73</f>
        <v>0</v>
      </c>
      <c r="F2636" s="2" t="s">
        <v>3727</v>
      </c>
      <c r="G2636" s="2" t="str">
        <f>IF(Games!AJ73="e","Y","")</f>
        <v/>
      </c>
      <c r="H2636" s="2" t="str">
        <f>Games!E73</f>
        <v/>
      </c>
      <c r="I2636" s="2" t="str">
        <f>Games!F73</f>
        <v/>
      </c>
      <c r="J2636" s="2" t="str">
        <f>Games!G73</f>
        <v/>
      </c>
      <c r="M2636" s="180" t="str">
        <f t="shared" si="1769"/>
        <v/>
      </c>
      <c r="N2636" s="329" t="str">
        <f t="shared" si="1770"/>
        <v/>
      </c>
      <c r="O2636" s="2">
        <f t="shared" si="1771"/>
        <v>0</v>
      </c>
    </row>
    <row r="2637" spans="1:15" x14ac:dyDescent="0.25">
      <c r="A2637" s="2">
        <v>2</v>
      </c>
      <c r="B2637" s="2">
        <f>B2636</f>
        <v>0</v>
      </c>
      <c r="C2637" s="2" t="str">
        <f>C2636</f>
        <v>GT</v>
      </c>
      <c r="D2637" s="2">
        <f>D2636</f>
        <v>0</v>
      </c>
      <c r="F2637" s="2" t="str">
        <f>F2636</f>
        <v>Games Team</v>
      </c>
      <c r="G2637" s="2" t="str">
        <f>G2636</f>
        <v/>
      </c>
      <c r="H2637" s="2" t="str">
        <f>H2636</f>
        <v/>
      </c>
      <c r="I2637" s="2" t="str">
        <f>I2636</f>
        <v/>
      </c>
      <c r="J2637" s="2" t="str">
        <f>J2636</f>
        <v/>
      </c>
      <c r="M2637" s="180" t="str">
        <f>M2636</f>
        <v/>
      </c>
      <c r="N2637" s="329" t="str">
        <f t="shared" si="1772"/>
        <v/>
      </c>
      <c r="O2637" s="2">
        <f>O2636</f>
        <v>0</v>
      </c>
    </row>
    <row r="2638" spans="1:15" x14ac:dyDescent="0.25">
      <c r="A2638" s="325">
        <v>1</v>
      </c>
      <c r="B2638" s="325">
        <f t="shared" si="1768"/>
        <v>0</v>
      </c>
      <c r="C2638" s="325" t="s">
        <v>3726</v>
      </c>
      <c r="D2638" s="325">
        <f>Games!D74</f>
        <v>0</v>
      </c>
      <c r="E2638" s="325"/>
      <c r="F2638" s="325" t="s">
        <v>3727</v>
      </c>
      <c r="G2638" s="325" t="str">
        <f>IF(Games!AJ74="e","Y","")</f>
        <v/>
      </c>
      <c r="H2638" s="325" t="str">
        <f>Games!E74</f>
        <v/>
      </c>
      <c r="I2638" s="325" t="str">
        <f>Games!F74</f>
        <v/>
      </c>
      <c r="J2638" s="325" t="str">
        <f>Games!G74</f>
        <v/>
      </c>
      <c r="K2638" s="325"/>
      <c r="L2638" s="325"/>
      <c r="M2638" s="326" t="str">
        <f t="shared" si="1769"/>
        <v/>
      </c>
      <c r="N2638" s="329" t="str">
        <f t="shared" si="1770"/>
        <v/>
      </c>
      <c r="O2638" s="325">
        <f t="shared" si="1771"/>
        <v>0</v>
      </c>
    </row>
    <row r="2639" spans="1:15" x14ac:dyDescent="0.25">
      <c r="A2639" s="325">
        <v>2</v>
      </c>
      <c r="B2639" s="325">
        <f>B2638</f>
        <v>0</v>
      </c>
      <c r="C2639" s="325" t="str">
        <f>C2638</f>
        <v>GT</v>
      </c>
      <c r="D2639" s="325">
        <f>D2638</f>
        <v>0</v>
      </c>
      <c r="E2639" s="325"/>
      <c r="F2639" s="325" t="str">
        <f>F2638</f>
        <v>Games Team</v>
      </c>
      <c r="G2639" s="325" t="str">
        <f>G2638</f>
        <v/>
      </c>
      <c r="H2639" s="325" t="str">
        <f>H2638</f>
        <v/>
      </c>
      <c r="I2639" s="325" t="str">
        <f>I2638</f>
        <v/>
      </c>
      <c r="J2639" s="325" t="str">
        <f>J2638</f>
        <v/>
      </c>
      <c r="K2639" s="325"/>
      <c r="L2639" s="325"/>
      <c r="M2639" s="326" t="str">
        <f>M2638</f>
        <v/>
      </c>
      <c r="N2639" s="329" t="str">
        <f t="shared" si="1772"/>
        <v/>
      </c>
      <c r="O2639" s="325">
        <f>O2638</f>
        <v>0</v>
      </c>
    </row>
    <row r="2640" spans="1:15" x14ac:dyDescent="0.25">
      <c r="A2640" s="2">
        <v>1</v>
      </c>
      <c r="B2640" s="2">
        <f t="shared" si="1768"/>
        <v>0</v>
      </c>
      <c r="C2640" s="2" t="s">
        <v>3726</v>
      </c>
      <c r="D2640" s="2">
        <f>Games!D75</f>
        <v>0</v>
      </c>
      <c r="F2640" s="2" t="s">
        <v>3727</v>
      </c>
      <c r="G2640" s="2" t="str">
        <f>IF(Games!AJ75="e","Y","")</f>
        <v/>
      </c>
      <c r="H2640" s="2" t="str">
        <f>Games!E75</f>
        <v/>
      </c>
      <c r="I2640" s="2" t="str">
        <f>Games!F75</f>
        <v/>
      </c>
      <c r="J2640" s="2" t="str">
        <f>Games!G75</f>
        <v/>
      </c>
      <c r="M2640" s="180" t="str">
        <f t="shared" si="1769"/>
        <v/>
      </c>
      <c r="N2640" s="329" t="str">
        <f t="shared" si="1770"/>
        <v/>
      </c>
      <c r="O2640" s="2">
        <f t="shared" si="1771"/>
        <v>0</v>
      </c>
    </row>
    <row r="2641" spans="1:15" x14ac:dyDescent="0.25">
      <c r="A2641" s="2">
        <v>2</v>
      </c>
      <c r="B2641" s="2">
        <f>B2640</f>
        <v>0</v>
      </c>
      <c r="C2641" s="2" t="str">
        <f>C2640</f>
        <v>GT</v>
      </c>
      <c r="D2641" s="2">
        <f>D2640</f>
        <v>0</v>
      </c>
      <c r="F2641" s="2" t="str">
        <f>F2640</f>
        <v>Games Team</v>
      </c>
      <c r="G2641" s="2" t="str">
        <f>G2640</f>
        <v/>
      </c>
      <c r="H2641" s="2" t="str">
        <f>H2640</f>
        <v/>
      </c>
      <c r="I2641" s="2" t="str">
        <f>I2640</f>
        <v/>
      </c>
      <c r="J2641" s="2" t="str">
        <f>J2640</f>
        <v/>
      </c>
      <c r="M2641" s="180" t="str">
        <f>M2640</f>
        <v/>
      </c>
      <c r="N2641" s="329" t="str">
        <f t="shared" si="1772"/>
        <v/>
      </c>
      <c r="O2641" s="2">
        <f>O2640</f>
        <v>0</v>
      </c>
    </row>
    <row r="2642" spans="1:15" x14ac:dyDescent="0.25">
      <c r="A2642" s="325">
        <v>1</v>
      </c>
      <c r="B2642" s="325">
        <f t="shared" si="1768"/>
        <v>0</v>
      </c>
      <c r="C2642" s="325" t="s">
        <v>3726</v>
      </c>
      <c r="D2642" s="325">
        <f>Games!D76</f>
        <v>0</v>
      </c>
      <c r="E2642" s="325"/>
      <c r="F2642" s="325" t="s">
        <v>3727</v>
      </c>
      <c r="G2642" s="325" t="str">
        <f>IF(Games!AJ76="e","Y","")</f>
        <v/>
      </c>
      <c r="H2642" s="325" t="str">
        <f>Games!E76</f>
        <v/>
      </c>
      <c r="I2642" s="325" t="str">
        <f>Games!F76</f>
        <v/>
      </c>
      <c r="J2642" s="325" t="str">
        <f>Games!G76</f>
        <v/>
      </c>
      <c r="K2642" s="325"/>
      <c r="L2642" s="325"/>
      <c r="M2642" s="326" t="str">
        <f t="shared" si="1769"/>
        <v/>
      </c>
      <c r="N2642" s="329" t="str">
        <f t="shared" si="1770"/>
        <v/>
      </c>
      <c r="O2642" s="325">
        <f t="shared" si="1771"/>
        <v>0</v>
      </c>
    </row>
    <row r="2643" spans="1:15" x14ac:dyDescent="0.25">
      <c r="A2643" s="325">
        <v>2</v>
      </c>
      <c r="B2643" s="325">
        <f>B2642</f>
        <v>0</v>
      </c>
      <c r="C2643" s="325" t="str">
        <f>C2642</f>
        <v>GT</v>
      </c>
      <c r="D2643" s="325">
        <f>D2642</f>
        <v>0</v>
      </c>
      <c r="E2643" s="325"/>
      <c r="F2643" s="325" t="str">
        <f>F2642</f>
        <v>Games Team</v>
      </c>
      <c r="G2643" s="325" t="str">
        <f>G2642</f>
        <v/>
      </c>
      <c r="H2643" s="325" t="str">
        <f>H2642</f>
        <v/>
      </c>
      <c r="I2643" s="325" t="str">
        <f>I2642</f>
        <v/>
      </c>
      <c r="J2643" s="325" t="str">
        <f>J2642</f>
        <v/>
      </c>
      <c r="K2643" s="325"/>
      <c r="L2643" s="325"/>
      <c r="M2643" s="326" t="str">
        <f>M2642</f>
        <v/>
      </c>
      <c r="N2643" s="329" t="str">
        <f t="shared" si="1772"/>
        <v/>
      </c>
      <c r="O2643" s="325">
        <f>O2642</f>
        <v>0</v>
      </c>
    </row>
    <row r="2644" spans="1:15" x14ac:dyDescent="0.25">
      <c r="A2644" s="2">
        <v>1</v>
      </c>
      <c r="B2644" s="2">
        <f t="shared" si="1768"/>
        <v>0</v>
      </c>
      <c r="C2644" s="2" t="s">
        <v>3726</v>
      </c>
      <c r="D2644" s="2">
        <f>Games!D77</f>
        <v>0</v>
      </c>
      <c r="F2644" s="2" t="s">
        <v>3727</v>
      </c>
      <c r="G2644" s="2" t="str">
        <f>IF(Games!AJ77="e","Y","")</f>
        <v/>
      </c>
      <c r="H2644" s="2" t="str">
        <f>Games!E77</f>
        <v/>
      </c>
      <c r="I2644" s="2" t="str">
        <f>Games!F77</f>
        <v/>
      </c>
      <c r="J2644" s="2" t="str">
        <f>Games!G77</f>
        <v/>
      </c>
      <c r="M2644" s="180" t="str">
        <f t="shared" si="1769"/>
        <v/>
      </c>
      <c r="N2644" s="329" t="str">
        <f t="shared" si="1770"/>
        <v/>
      </c>
      <c r="O2644" s="2">
        <f t="shared" si="1771"/>
        <v>0</v>
      </c>
    </row>
    <row r="2645" spans="1:15" x14ac:dyDescent="0.25">
      <c r="A2645" s="2">
        <v>2</v>
      </c>
      <c r="B2645" s="2">
        <f>B2644</f>
        <v>0</v>
      </c>
      <c r="C2645" s="2" t="str">
        <f>C2644</f>
        <v>GT</v>
      </c>
      <c r="D2645" s="2">
        <f>D2644</f>
        <v>0</v>
      </c>
      <c r="F2645" s="2" t="str">
        <f>F2644</f>
        <v>Games Team</v>
      </c>
      <c r="G2645" s="2" t="str">
        <f>G2644</f>
        <v/>
      </c>
      <c r="H2645" s="2" t="str">
        <f>H2644</f>
        <v/>
      </c>
      <c r="I2645" s="2" t="str">
        <f>I2644</f>
        <v/>
      </c>
      <c r="J2645" s="2" t="str">
        <f>J2644</f>
        <v/>
      </c>
      <c r="M2645" s="180" t="str">
        <f>M2644</f>
        <v/>
      </c>
      <c r="N2645" s="329" t="str">
        <f t="shared" si="1772"/>
        <v/>
      </c>
      <c r="O2645" s="2">
        <f>O2644</f>
        <v>0</v>
      </c>
    </row>
    <row r="2646" spans="1:15" x14ac:dyDescent="0.25">
      <c r="A2646" s="325">
        <v>1</v>
      </c>
      <c r="B2646" s="325">
        <f t="shared" si="1768"/>
        <v>0</v>
      </c>
      <c r="C2646" s="325" t="s">
        <v>3726</v>
      </c>
      <c r="D2646" s="325">
        <f>Games!D78</f>
        <v>0</v>
      </c>
      <c r="E2646" s="325"/>
      <c r="F2646" s="325" t="s">
        <v>3727</v>
      </c>
      <c r="G2646" s="325" t="str">
        <f>IF(Games!AJ78="e","Y","")</f>
        <v/>
      </c>
      <c r="H2646" s="325" t="str">
        <f>Games!E78</f>
        <v/>
      </c>
      <c r="I2646" s="325" t="str">
        <f>Games!F78</f>
        <v/>
      </c>
      <c r="J2646" s="325" t="str">
        <f>Games!G78</f>
        <v/>
      </c>
      <c r="K2646" s="325"/>
      <c r="L2646" s="325"/>
      <c r="M2646" s="326" t="str">
        <f t="shared" si="1769"/>
        <v/>
      </c>
      <c r="N2646" s="329" t="str">
        <f t="shared" si="1770"/>
        <v/>
      </c>
      <c r="O2646" s="325">
        <f t="shared" si="1771"/>
        <v>0</v>
      </c>
    </row>
    <row r="2647" spans="1:15" x14ac:dyDescent="0.25">
      <c r="A2647" s="325">
        <v>2</v>
      </c>
      <c r="B2647" s="325">
        <f>B2646</f>
        <v>0</v>
      </c>
      <c r="C2647" s="325" t="str">
        <f>C2646</f>
        <v>GT</v>
      </c>
      <c r="D2647" s="325">
        <f>D2646</f>
        <v>0</v>
      </c>
      <c r="E2647" s="325"/>
      <c r="F2647" s="325" t="str">
        <f>F2646</f>
        <v>Games Team</v>
      </c>
      <c r="G2647" s="325" t="str">
        <f>G2646</f>
        <v/>
      </c>
      <c r="H2647" s="325" t="str">
        <f>H2646</f>
        <v/>
      </c>
      <c r="I2647" s="325" t="str">
        <f>I2646</f>
        <v/>
      </c>
      <c r="J2647" s="325" t="str">
        <f>J2646</f>
        <v/>
      </c>
      <c r="K2647" s="325"/>
      <c r="L2647" s="325"/>
      <c r="M2647" s="326" t="str">
        <f>M2646</f>
        <v/>
      </c>
      <c r="N2647" s="329" t="str">
        <f t="shared" si="1772"/>
        <v/>
      </c>
      <c r="O2647" s="325">
        <f>O2646</f>
        <v>0</v>
      </c>
    </row>
    <row r="2648" spans="1:15" x14ac:dyDescent="0.25">
      <c r="A2648" s="2">
        <v>1</v>
      </c>
      <c r="B2648" s="2">
        <f t="shared" si="1768"/>
        <v>0</v>
      </c>
      <c r="C2648" s="2" t="s">
        <v>3726</v>
      </c>
      <c r="D2648" s="2">
        <f>Games!D79</f>
        <v>0</v>
      </c>
      <c r="F2648" s="2" t="s">
        <v>3727</v>
      </c>
      <c r="G2648" s="2" t="str">
        <f>IF(Games!AJ79="e","Y","")</f>
        <v/>
      </c>
      <c r="H2648" s="2" t="str">
        <f>Games!E79</f>
        <v/>
      </c>
      <c r="I2648" s="2" t="str">
        <f>Games!F79</f>
        <v/>
      </c>
      <c r="J2648" s="2" t="str">
        <f>Games!G79</f>
        <v/>
      </c>
      <c r="M2648" s="180" t="str">
        <f t="shared" si="1769"/>
        <v/>
      </c>
      <c r="N2648" s="329" t="str">
        <f t="shared" si="1770"/>
        <v/>
      </c>
      <c r="O2648" s="2">
        <f t="shared" si="1771"/>
        <v>0</v>
      </c>
    </row>
    <row r="2649" spans="1:15" x14ac:dyDescent="0.25">
      <c r="A2649" s="2">
        <v>2</v>
      </c>
      <c r="B2649" s="2">
        <f>B2648</f>
        <v>0</v>
      </c>
      <c r="C2649" s="2" t="str">
        <f>C2648</f>
        <v>GT</v>
      </c>
      <c r="D2649" s="2">
        <f>D2648</f>
        <v>0</v>
      </c>
      <c r="F2649" s="2" t="str">
        <f>F2648</f>
        <v>Games Team</v>
      </c>
      <c r="G2649" s="2" t="str">
        <f>G2648</f>
        <v/>
      </c>
      <c r="H2649" s="2" t="str">
        <f>H2648</f>
        <v/>
      </c>
      <c r="I2649" s="2" t="str">
        <f>I2648</f>
        <v/>
      </c>
      <c r="J2649" s="2" t="str">
        <f>J2648</f>
        <v/>
      </c>
      <c r="M2649" s="180" t="str">
        <f>M2648</f>
        <v/>
      </c>
      <c r="N2649" s="329" t="str">
        <f t="shared" si="1772"/>
        <v/>
      </c>
      <c r="O2649" s="2">
        <f>O2648</f>
        <v>0</v>
      </c>
    </row>
    <row r="2650" spans="1:15" x14ac:dyDescent="0.25">
      <c r="A2650" s="325">
        <v>1</v>
      </c>
      <c r="B2650" s="325">
        <f t="shared" si="1768"/>
        <v>0</v>
      </c>
      <c r="C2650" s="325" t="s">
        <v>3726</v>
      </c>
      <c r="D2650" s="325">
        <f>Games!D80</f>
        <v>0</v>
      </c>
      <c r="E2650" s="325"/>
      <c r="F2650" s="325" t="s">
        <v>3727</v>
      </c>
      <c r="G2650" s="325" t="str">
        <f>IF(Games!AJ80="e","Y","")</f>
        <v/>
      </c>
      <c r="H2650" s="325" t="str">
        <f>Games!E80</f>
        <v/>
      </c>
      <c r="I2650" s="325" t="str">
        <f>Games!F80</f>
        <v/>
      </c>
      <c r="J2650" s="325" t="str">
        <f>Games!G80</f>
        <v/>
      </c>
      <c r="K2650" s="325"/>
      <c r="L2650" s="325"/>
      <c r="M2650" s="326" t="str">
        <f t="shared" si="1769"/>
        <v/>
      </c>
      <c r="N2650" s="329" t="str">
        <f t="shared" si="1770"/>
        <v/>
      </c>
      <c r="O2650" s="325">
        <f t="shared" si="1771"/>
        <v>0</v>
      </c>
    </row>
    <row r="2651" spans="1:15" x14ac:dyDescent="0.25">
      <c r="A2651" s="325">
        <v>2</v>
      </c>
      <c r="B2651" s="325">
        <f>B2650</f>
        <v>0</v>
      </c>
      <c r="C2651" s="325" t="str">
        <f>C2650</f>
        <v>GT</v>
      </c>
      <c r="D2651" s="325">
        <f>D2650</f>
        <v>0</v>
      </c>
      <c r="E2651" s="325"/>
      <c r="F2651" s="325" t="str">
        <f>F2650</f>
        <v>Games Team</v>
      </c>
      <c r="G2651" s="325" t="str">
        <f>G2650</f>
        <v/>
      </c>
      <c r="H2651" s="325" t="str">
        <f>H2650</f>
        <v/>
      </c>
      <c r="I2651" s="325" t="str">
        <f>I2650</f>
        <v/>
      </c>
      <c r="J2651" s="325" t="str">
        <f>J2650</f>
        <v/>
      </c>
      <c r="K2651" s="325"/>
      <c r="L2651" s="325"/>
      <c r="M2651" s="326" t="str">
        <f>M2650</f>
        <v/>
      </c>
      <c r="N2651" s="329" t="str">
        <f t="shared" si="1772"/>
        <v/>
      </c>
      <c r="O2651" s="325">
        <f>O2650</f>
        <v>0</v>
      </c>
    </row>
    <row r="2652" spans="1:15" x14ac:dyDescent="0.25">
      <c r="A2652" s="2">
        <v>1</v>
      </c>
      <c r="B2652" s="2">
        <f t="shared" si="1768"/>
        <v>0</v>
      </c>
      <c r="C2652" s="2" t="s">
        <v>3726</v>
      </c>
      <c r="D2652" s="2">
        <f>Games!D81</f>
        <v>0</v>
      </c>
      <c r="F2652" s="2" t="s">
        <v>3727</v>
      </c>
      <c r="G2652" s="2" t="str">
        <f>IF(Games!AJ81="e","Y","")</f>
        <v/>
      </c>
      <c r="H2652" s="2" t="str">
        <f>Games!E81</f>
        <v/>
      </c>
      <c r="I2652" s="2" t="str">
        <f>Games!F81</f>
        <v/>
      </c>
      <c r="J2652" s="2" t="str">
        <f>Games!G81</f>
        <v/>
      </c>
      <c r="M2652" s="180" t="str">
        <f t="shared" si="1769"/>
        <v/>
      </c>
      <c r="N2652" s="329" t="str">
        <f t="shared" si="1770"/>
        <v/>
      </c>
      <c r="O2652" s="2">
        <f t="shared" si="1771"/>
        <v>0</v>
      </c>
    </row>
    <row r="2653" spans="1:15" x14ac:dyDescent="0.25">
      <c r="A2653" s="2">
        <v>2</v>
      </c>
      <c r="B2653" s="2">
        <f>B2652</f>
        <v>0</v>
      </c>
      <c r="C2653" s="2" t="str">
        <f>C2652</f>
        <v>GT</v>
      </c>
      <c r="D2653" s="2">
        <f>D2652</f>
        <v>0</v>
      </c>
      <c r="F2653" s="2" t="str">
        <f>F2652</f>
        <v>Games Team</v>
      </c>
      <c r="G2653" s="2" t="str">
        <f>G2652</f>
        <v/>
      </c>
      <c r="H2653" s="2" t="str">
        <f>H2652</f>
        <v/>
      </c>
      <c r="I2653" s="2" t="str">
        <f>I2652</f>
        <v/>
      </c>
      <c r="J2653" s="2" t="str">
        <f>J2652</f>
        <v/>
      </c>
      <c r="M2653" s="180" t="str">
        <f>M2652</f>
        <v/>
      </c>
      <c r="N2653" s="329" t="str">
        <f t="shared" si="1772"/>
        <v/>
      </c>
      <c r="O2653" s="2">
        <f>O2652</f>
        <v>0</v>
      </c>
    </row>
    <row r="2654" spans="1:15" x14ac:dyDescent="0.25">
      <c r="A2654" s="325">
        <v>1</v>
      </c>
      <c r="B2654" s="325">
        <f t="shared" si="1768"/>
        <v>0</v>
      </c>
      <c r="C2654" s="325" t="s">
        <v>3726</v>
      </c>
      <c r="D2654" s="325">
        <f>Games!D82</f>
        <v>0</v>
      </c>
      <c r="E2654" s="325"/>
      <c r="F2654" s="325" t="s">
        <v>3727</v>
      </c>
      <c r="G2654" s="325" t="str">
        <f>IF(Games!AJ82="e","Y","")</f>
        <v/>
      </c>
      <c r="H2654" s="325" t="str">
        <f>Games!E82</f>
        <v/>
      </c>
      <c r="I2654" s="325" t="str">
        <f>Games!F82</f>
        <v/>
      </c>
      <c r="J2654" s="325" t="str">
        <f>Games!G82</f>
        <v/>
      </c>
      <c r="K2654" s="325"/>
      <c r="L2654" s="325"/>
      <c r="M2654" s="326" t="str">
        <f t="shared" si="1769"/>
        <v/>
      </c>
      <c r="N2654" s="329" t="str">
        <f t="shared" si="1770"/>
        <v/>
      </c>
      <c r="O2654" s="325">
        <f t="shared" si="1771"/>
        <v>0</v>
      </c>
    </row>
    <row r="2655" spans="1:15" x14ac:dyDescent="0.25">
      <c r="A2655" s="325">
        <v>2</v>
      </c>
      <c r="B2655" s="325">
        <f>B2654</f>
        <v>0</v>
      </c>
      <c r="C2655" s="325" t="str">
        <f>C2654</f>
        <v>GT</v>
      </c>
      <c r="D2655" s="325">
        <f>D2654</f>
        <v>0</v>
      </c>
      <c r="E2655" s="325"/>
      <c r="F2655" s="325" t="str">
        <f>F2654</f>
        <v>Games Team</v>
      </c>
      <c r="G2655" s="325" t="str">
        <f>G2654</f>
        <v/>
      </c>
      <c r="H2655" s="325" t="str">
        <f>H2654</f>
        <v/>
      </c>
      <c r="I2655" s="325" t="str">
        <f>I2654</f>
        <v/>
      </c>
      <c r="J2655" s="325" t="str">
        <f>J2654</f>
        <v/>
      </c>
      <c r="K2655" s="325"/>
      <c r="L2655" s="325"/>
      <c r="M2655" s="326" t="str">
        <f>M2654</f>
        <v/>
      </c>
      <c r="N2655" s="329" t="str">
        <f t="shared" si="1772"/>
        <v/>
      </c>
      <c r="O2655" s="325">
        <f>O2654</f>
        <v>0</v>
      </c>
    </row>
    <row r="2656" spans="1:15" x14ac:dyDescent="0.25">
      <c r="A2656" s="2">
        <v>1</v>
      </c>
      <c r="B2656" s="2">
        <f t="shared" si="1768"/>
        <v>0</v>
      </c>
      <c r="C2656" s="2" t="s">
        <v>3726</v>
      </c>
      <c r="D2656" s="2">
        <f>Games!D83</f>
        <v>0</v>
      </c>
      <c r="F2656" s="2" t="s">
        <v>3727</v>
      </c>
      <c r="G2656" s="2" t="str">
        <f>IF(Games!AJ83="e","Y","")</f>
        <v/>
      </c>
      <c r="H2656" s="2" t="str">
        <f>Games!E83</f>
        <v/>
      </c>
      <c r="I2656" s="2" t="str">
        <f>Games!F83</f>
        <v/>
      </c>
      <c r="J2656" s="2" t="str">
        <f>Games!G83</f>
        <v/>
      </c>
      <c r="M2656" s="180" t="str">
        <f t="shared" si="1769"/>
        <v/>
      </c>
      <c r="N2656" s="329" t="str">
        <f t="shared" si="1770"/>
        <v/>
      </c>
      <c r="O2656" s="2">
        <f t="shared" si="1771"/>
        <v>0</v>
      </c>
    </row>
    <row r="2657" spans="1:15" x14ac:dyDescent="0.25">
      <c r="A2657" s="2">
        <v>2</v>
      </c>
      <c r="B2657" s="2">
        <f>B2656</f>
        <v>0</v>
      </c>
      <c r="C2657" s="2" t="str">
        <f>C2656</f>
        <v>GT</v>
      </c>
      <c r="D2657" s="2">
        <f>D2656</f>
        <v>0</v>
      </c>
      <c r="F2657" s="2" t="str">
        <f>F2656</f>
        <v>Games Team</v>
      </c>
      <c r="G2657" s="2" t="str">
        <f>G2656</f>
        <v/>
      </c>
      <c r="H2657" s="2" t="str">
        <f>H2656</f>
        <v/>
      </c>
      <c r="I2657" s="2" t="str">
        <f>I2656</f>
        <v/>
      </c>
      <c r="J2657" s="2" t="str">
        <f>J2656</f>
        <v/>
      </c>
      <c r="M2657" s="180" t="str">
        <f>M2656</f>
        <v/>
      </c>
      <c r="N2657" s="329" t="str">
        <f t="shared" si="1772"/>
        <v/>
      </c>
      <c r="O2657" s="2">
        <f>O2656</f>
        <v>0</v>
      </c>
    </row>
    <row r="2658" spans="1:15" x14ac:dyDescent="0.25">
      <c r="A2658" s="325">
        <v>1</v>
      </c>
      <c r="B2658" s="325">
        <f t="shared" si="1768"/>
        <v>0</v>
      </c>
      <c r="C2658" s="325" t="s">
        <v>3726</v>
      </c>
      <c r="D2658" s="325">
        <f>Games!D84</f>
        <v>0</v>
      </c>
      <c r="E2658" s="325"/>
      <c r="F2658" s="325" t="s">
        <v>3727</v>
      </c>
      <c r="G2658" s="325" t="str">
        <f>IF(Games!AJ84="e","Y","")</f>
        <v/>
      </c>
      <c r="H2658" s="325" t="str">
        <f>Games!E84</f>
        <v/>
      </c>
      <c r="I2658" s="325" t="str">
        <f>Games!F84</f>
        <v/>
      </c>
      <c r="J2658" s="325" t="str">
        <f>Games!G84</f>
        <v/>
      </c>
      <c r="K2658" s="325"/>
      <c r="L2658" s="325"/>
      <c r="M2658" s="326" t="str">
        <f t="shared" si="1769"/>
        <v/>
      </c>
      <c r="N2658" s="329" t="str">
        <f t="shared" si="1770"/>
        <v/>
      </c>
      <c r="O2658" s="325">
        <f t="shared" si="1771"/>
        <v>0</v>
      </c>
    </row>
    <row r="2659" spans="1:15" x14ac:dyDescent="0.25">
      <c r="A2659" s="325">
        <v>2</v>
      </c>
      <c r="B2659" s="325">
        <f>B2658</f>
        <v>0</v>
      </c>
      <c r="C2659" s="325" t="str">
        <f>C2658</f>
        <v>GT</v>
      </c>
      <c r="D2659" s="325">
        <f>D2658</f>
        <v>0</v>
      </c>
      <c r="E2659" s="325"/>
      <c r="F2659" s="325" t="str">
        <f>F2658</f>
        <v>Games Team</v>
      </c>
      <c r="G2659" s="325" t="str">
        <f>G2658</f>
        <v/>
      </c>
      <c r="H2659" s="325" t="str">
        <f>H2658</f>
        <v/>
      </c>
      <c r="I2659" s="325" t="str">
        <f>I2658</f>
        <v/>
      </c>
      <c r="J2659" s="325" t="str">
        <f>J2658</f>
        <v/>
      </c>
      <c r="K2659" s="325"/>
      <c r="L2659" s="325"/>
      <c r="M2659" s="326" t="str">
        <f>M2658</f>
        <v/>
      </c>
      <c r="N2659" s="329" t="str">
        <f t="shared" si="1772"/>
        <v/>
      </c>
      <c r="O2659" s="325">
        <f>O2658</f>
        <v>0</v>
      </c>
    </row>
    <row r="2660" spans="1:15" x14ac:dyDescent="0.25">
      <c r="A2660" s="2">
        <v>1</v>
      </c>
      <c r="B2660" s="2">
        <f t="shared" si="1768"/>
        <v>0</v>
      </c>
      <c r="C2660" s="2" t="s">
        <v>3726</v>
      </c>
      <c r="D2660" s="2">
        <f>Games!D85</f>
        <v>0</v>
      </c>
      <c r="F2660" s="2" t="s">
        <v>3727</v>
      </c>
      <c r="G2660" s="2" t="str">
        <f>IF(Games!AJ85="e","Y","")</f>
        <v/>
      </c>
      <c r="H2660" s="2" t="str">
        <f>Games!E85</f>
        <v/>
      </c>
      <c r="I2660" s="2" t="str">
        <f>Games!F85</f>
        <v/>
      </c>
      <c r="J2660" s="2" t="str">
        <f>Games!G85</f>
        <v/>
      </c>
      <c r="M2660" s="180" t="str">
        <f t="shared" si="1769"/>
        <v/>
      </c>
      <c r="N2660" s="329" t="str">
        <f t="shared" si="1770"/>
        <v/>
      </c>
      <c r="O2660" s="2">
        <f t="shared" si="1771"/>
        <v>0</v>
      </c>
    </row>
    <row r="2661" spans="1:15" x14ac:dyDescent="0.25">
      <c r="A2661" s="2">
        <v>2</v>
      </c>
      <c r="B2661" s="2">
        <f>B2660</f>
        <v>0</v>
      </c>
      <c r="C2661" s="2" t="str">
        <f>C2660</f>
        <v>GT</v>
      </c>
      <c r="D2661" s="2">
        <f>D2660</f>
        <v>0</v>
      </c>
      <c r="F2661" s="2" t="str">
        <f>F2660</f>
        <v>Games Team</v>
      </c>
      <c r="G2661" s="2" t="str">
        <f>G2660</f>
        <v/>
      </c>
      <c r="H2661" s="2" t="str">
        <f>H2660</f>
        <v/>
      </c>
      <c r="I2661" s="2" t="str">
        <f>I2660</f>
        <v/>
      </c>
      <c r="J2661" s="2" t="str">
        <f>J2660</f>
        <v/>
      </c>
      <c r="M2661" s="180" t="str">
        <f>M2660</f>
        <v/>
      </c>
      <c r="N2661" s="329" t="str">
        <f t="shared" si="1772"/>
        <v/>
      </c>
      <c r="O2661" s="2">
        <f>O2660</f>
        <v>0</v>
      </c>
    </row>
    <row r="2662" spans="1:15" x14ac:dyDescent="0.25">
      <c r="A2662" s="325">
        <v>1</v>
      </c>
      <c r="B2662" s="325">
        <f t="shared" si="1768"/>
        <v>0</v>
      </c>
      <c r="C2662" s="325" t="s">
        <v>3726</v>
      </c>
      <c r="D2662" s="325">
        <f>Games!D86</f>
        <v>0</v>
      </c>
      <c r="E2662" s="325"/>
      <c r="F2662" s="325" t="s">
        <v>3727</v>
      </c>
      <c r="G2662" s="325" t="str">
        <f>IF(Games!AJ86="e","Y","")</f>
        <v/>
      </c>
      <c r="H2662" s="325" t="str">
        <f>Games!E86</f>
        <v/>
      </c>
      <c r="I2662" s="325" t="str">
        <f>Games!F86</f>
        <v/>
      </c>
      <c r="J2662" s="325" t="str">
        <f>Games!G86</f>
        <v/>
      </c>
      <c r="K2662" s="325"/>
      <c r="L2662" s="325"/>
      <c r="M2662" s="326" t="str">
        <f t="shared" si="1769"/>
        <v/>
      </c>
      <c r="N2662" s="329" t="str">
        <f t="shared" si="1772"/>
        <v/>
      </c>
      <c r="O2662" s="325">
        <f t="shared" si="1771"/>
        <v>0</v>
      </c>
    </row>
    <row r="2663" spans="1:15" x14ac:dyDescent="0.25">
      <c r="A2663" s="325">
        <v>2</v>
      </c>
      <c r="B2663" s="325">
        <f>B2662</f>
        <v>0</v>
      </c>
      <c r="C2663" s="325" t="str">
        <f>C2662</f>
        <v>GT</v>
      </c>
      <c r="D2663" s="325">
        <f>D2662</f>
        <v>0</v>
      </c>
      <c r="E2663" s="325"/>
      <c r="F2663" s="325" t="str">
        <f>F2662</f>
        <v>Games Team</v>
      </c>
      <c r="G2663" s="325" t="str">
        <f>G2662</f>
        <v/>
      </c>
      <c r="H2663" s="325" t="str">
        <f>H2662</f>
        <v/>
      </c>
      <c r="I2663" s="325" t="str">
        <f>I2662</f>
        <v/>
      </c>
      <c r="J2663" s="325" t="str">
        <f>J2662</f>
        <v/>
      </c>
      <c r="K2663" s="325"/>
      <c r="L2663" s="325"/>
      <c r="M2663" s="326" t="str">
        <f>M2662</f>
        <v/>
      </c>
      <c r="N2663" s="329" t="str">
        <f t="shared" si="1772"/>
        <v/>
      </c>
      <c r="O2663" s="325">
        <f>O2662</f>
        <v>0</v>
      </c>
    </row>
    <row r="2664" spans="1:15" x14ac:dyDescent="0.25">
      <c r="A2664" s="2">
        <v>1</v>
      </c>
      <c r="B2664" s="2">
        <f t="shared" si="1768"/>
        <v>0</v>
      </c>
      <c r="C2664" s="2" t="s">
        <v>3726</v>
      </c>
      <c r="D2664" s="2">
        <f>Games!D87</f>
        <v>0</v>
      </c>
      <c r="F2664" s="2" t="s">
        <v>3727</v>
      </c>
      <c r="G2664" s="2" t="str">
        <f>IF(Games!AJ87="e","Y","")</f>
        <v/>
      </c>
      <c r="H2664" s="2" t="str">
        <f>Games!E87</f>
        <v/>
      </c>
      <c r="I2664" s="2" t="str">
        <f>Games!F87</f>
        <v/>
      </c>
      <c r="J2664" s="2" t="str">
        <f>Games!G87</f>
        <v/>
      </c>
      <c r="M2664" s="180" t="str">
        <f t="shared" si="1769"/>
        <v/>
      </c>
      <c r="N2664" s="329" t="str">
        <f t="shared" si="1772"/>
        <v/>
      </c>
      <c r="O2664" s="2">
        <f t="shared" si="1771"/>
        <v>0</v>
      </c>
    </row>
    <row r="2665" spans="1:15" x14ac:dyDescent="0.25">
      <c r="A2665" s="2">
        <v>2</v>
      </c>
      <c r="B2665" s="2">
        <f>B2664</f>
        <v>0</v>
      </c>
      <c r="C2665" s="2" t="str">
        <f>C2664</f>
        <v>GT</v>
      </c>
      <c r="D2665" s="2">
        <f>D2664</f>
        <v>0</v>
      </c>
      <c r="F2665" s="2" t="str">
        <f>F2664</f>
        <v>Games Team</v>
      </c>
      <c r="G2665" s="2" t="str">
        <f>G2664</f>
        <v/>
      </c>
      <c r="H2665" s="2" t="str">
        <f>H2664</f>
        <v/>
      </c>
      <c r="I2665" s="2" t="str">
        <f>I2664</f>
        <v/>
      </c>
      <c r="J2665" s="2" t="str">
        <f>J2664</f>
        <v/>
      </c>
      <c r="M2665" s="180" t="str">
        <f>M2664</f>
        <v/>
      </c>
      <c r="N2665" s="329" t="str">
        <f t="shared" si="1772"/>
        <v/>
      </c>
      <c r="O2665" s="2">
        <f>O2664</f>
        <v>0</v>
      </c>
    </row>
    <row r="2666" spans="1:15" x14ac:dyDescent="0.25">
      <c r="A2666" s="325">
        <v>1</v>
      </c>
      <c r="B2666" s="325">
        <f t="shared" si="1768"/>
        <v>0</v>
      </c>
      <c r="C2666" s="325" t="s">
        <v>3726</v>
      </c>
      <c r="D2666" s="325">
        <f>Games!D88</f>
        <v>0</v>
      </c>
      <c r="E2666" s="325"/>
      <c r="F2666" s="325" t="s">
        <v>3727</v>
      </c>
      <c r="G2666" s="325" t="str">
        <f>IF(Games!AJ88="e","Y","")</f>
        <v/>
      </c>
      <c r="H2666" s="325" t="str">
        <f>Games!E88</f>
        <v/>
      </c>
      <c r="I2666" s="325" t="str">
        <f>Games!F88</f>
        <v/>
      </c>
      <c r="J2666" s="325" t="str">
        <f>Games!G88</f>
        <v/>
      </c>
      <c r="K2666" s="325"/>
      <c r="L2666" s="325"/>
      <c r="M2666" s="326" t="str">
        <f t="shared" si="1769"/>
        <v/>
      </c>
      <c r="N2666" s="329" t="str">
        <f t="shared" si="1772"/>
        <v/>
      </c>
      <c r="O2666" s="325">
        <f t="shared" si="1771"/>
        <v>0</v>
      </c>
    </row>
    <row r="2667" spans="1:15" x14ac:dyDescent="0.25">
      <c r="A2667" s="325">
        <v>2</v>
      </c>
      <c r="B2667" s="325">
        <f>B2666</f>
        <v>0</v>
      </c>
      <c r="C2667" s="325" t="str">
        <f>C2666</f>
        <v>GT</v>
      </c>
      <c r="D2667" s="325">
        <f>D2666</f>
        <v>0</v>
      </c>
      <c r="E2667" s="325"/>
      <c r="F2667" s="325" t="str">
        <f>F2666</f>
        <v>Games Team</v>
      </c>
      <c r="G2667" s="325" t="str">
        <f>G2666</f>
        <v/>
      </c>
      <c r="H2667" s="325" t="str">
        <f>H2666</f>
        <v/>
      </c>
      <c r="I2667" s="325" t="str">
        <f>I2666</f>
        <v/>
      </c>
      <c r="J2667" s="325" t="str">
        <f>J2666</f>
        <v/>
      </c>
      <c r="K2667" s="325"/>
      <c r="L2667" s="325"/>
      <c r="M2667" s="326" t="str">
        <f>M2666</f>
        <v/>
      </c>
      <c r="N2667" s="329" t="str">
        <f t="shared" si="1772"/>
        <v/>
      </c>
      <c r="O2667" s="325">
        <f>O2666</f>
        <v>0</v>
      </c>
    </row>
    <row r="2668" spans="1:15" x14ac:dyDescent="0.25">
      <c r="A2668" s="2">
        <v>1</v>
      </c>
      <c r="B2668" s="2">
        <f t="shared" si="1768"/>
        <v>0</v>
      </c>
      <c r="C2668" s="2" t="s">
        <v>3726</v>
      </c>
      <c r="D2668" s="2">
        <f>Games!D89</f>
        <v>0</v>
      </c>
      <c r="F2668" s="2" t="s">
        <v>3727</v>
      </c>
      <c r="G2668" s="2" t="str">
        <f>IF(Games!AJ89="e","Y","")</f>
        <v/>
      </c>
      <c r="H2668" s="2" t="str">
        <f>Games!E89</f>
        <v/>
      </c>
      <c r="I2668" s="2" t="str">
        <f>Games!F89</f>
        <v/>
      </c>
      <c r="J2668" s="2" t="str">
        <f>Games!G89</f>
        <v/>
      </c>
      <c r="M2668" s="180" t="str">
        <f t="shared" si="1769"/>
        <v/>
      </c>
      <c r="N2668" s="329" t="str">
        <f t="shared" si="1772"/>
        <v/>
      </c>
      <c r="O2668" s="2">
        <f t="shared" si="1771"/>
        <v>0</v>
      </c>
    </row>
    <row r="2669" spans="1:15" ht="16.5" customHeight="1" x14ac:dyDescent="0.25">
      <c r="A2669" s="2">
        <v>2</v>
      </c>
      <c r="B2669" s="2">
        <f>B2668</f>
        <v>0</v>
      </c>
      <c r="C2669" s="2" t="str">
        <f>C2668</f>
        <v>GT</v>
      </c>
      <c r="D2669" s="2">
        <f>D2668</f>
        <v>0</v>
      </c>
      <c r="F2669" s="2" t="str">
        <f>F2668</f>
        <v>Games Team</v>
      </c>
      <c r="G2669" s="2" t="str">
        <f>G2668</f>
        <v/>
      </c>
      <c r="H2669" s="2" t="str">
        <f>H2668</f>
        <v/>
      </c>
      <c r="I2669" s="2" t="str">
        <f>I2668</f>
        <v/>
      </c>
      <c r="J2669" s="2" t="str">
        <f>J2668</f>
        <v/>
      </c>
      <c r="M2669" s="180" t="str">
        <f>M2668</f>
        <v/>
      </c>
      <c r="N2669" s="329" t="str">
        <f t="shared" si="1772"/>
        <v/>
      </c>
      <c r="O2669" s="2">
        <f>O2668</f>
        <v>0</v>
      </c>
    </row>
    <row r="2670" spans="1:15" x14ac:dyDescent="0.25">
      <c r="A2670" s="325">
        <v>1</v>
      </c>
      <c r="B2670" s="325">
        <f t="shared" si="1768"/>
        <v>0</v>
      </c>
      <c r="C2670" s="325" t="s">
        <v>3726</v>
      </c>
      <c r="D2670" s="325">
        <f>Games!D90</f>
        <v>0</v>
      </c>
      <c r="E2670" s="325"/>
      <c r="F2670" s="325" t="s">
        <v>3727</v>
      </c>
      <c r="G2670" s="325" t="str">
        <f>IF(Games!AJ90="e","Y","")</f>
        <v/>
      </c>
      <c r="H2670" s="325" t="str">
        <f>Games!E90</f>
        <v/>
      </c>
      <c r="I2670" s="325" t="str">
        <f>Games!F90</f>
        <v/>
      </c>
      <c r="J2670" s="325" t="str">
        <f>Games!G90</f>
        <v/>
      </c>
      <c r="K2670" s="325"/>
      <c r="L2670" s="325"/>
      <c r="M2670" s="326" t="str">
        <f t="shared" si="1769"/>
        <v/>
      </c>
      <c r="N2670" s="329" t="str">
        <f t="shared" si="1772"/>
        <v/>
      </c>
      <c r="O2670" s="325">
        <f t="shared" si="1771"/>
        <v>0</v>
      </c>
    </row>
    <row r="2671" spans="1:15" x14ac:dyDescent="0.25">
      <c r="A2671" s="325">
        <v>2</v>
      </c>
      <c r="B2671" s="325">
        <f>B2670</f>
        <v>0</v>
      </c>
      <c r="C2671" s="325" t="str">
        <f>C2670</f>
        <v>GT</v>
      </c>
      <c r="D2671" s="325">
        <f>D2670</f>
        <v>0</v>
      </c>
      <c r="E2671" s="325"/>
      <c r="F2671" s="325" t="str">
        <f>F2670</f>
        <v>Games Team</v>
      </c>
      <c r="G2671" s="325" t="str">
        <f>G2670</f>
        <v/>
      </c>
      <c r="H2671" s="325" t="str">
        <f>H2670</f>
        <v/>
      </c>
      <c r="I2671" s="325" t="str">
        <f>I2670</f>
        <v/>
      </c>
      <c r="J2671" s="325" t="str">
        <f>J2670</f>
        <v/>
      </c>
      <c r="K2671" s="325"/>
      <c r="L2671" s="325"/>
      <c r="M2671" s="326" t="str">
        <f>M2670</f>
        <v/>
      </c>
      <c r="N2671" s="329" t="str">
        <f t="shared" si="1772"/>
        <v/>
      </c>
      <c r="O2671" s="325">
        <f>O2670</f>
        <v>0</v>
      </c>
    </row>
    <row r="2672" spans="1:15" x14ac:dyDescent="0.25">
      <c r="A2672" s="2">
        <v>1</v>
      </c>
      <c r="B2672" s="2">
        <f t="shared" si="1768"/>
        <v>0</v>
      </c>
      <c r="C2672" s="2" t="s">
        <v>3726</v>
      </c>
      <c r="D2672" s="2">
        <f>Games!D91</f>
        <v>0</v>
      </c>
      <c r="F2672" s="2" t="s">
        <v>3727</v>
      </c>
      <c r="G2672" s="2" t="str">
        <f>IF(Games!AJ91="e","Y","")</f>
        <v/>
      </c>
      <c r="H2672" s="2" t="str">
        <f>Games!E91</f>
        <v/>
      </c>
      <c r="I2672" s="2" t="str">
        <f>Games!F91</f>
        <v/>
      </c>
      <c r="J2672" s="2" t="str">
        <f>Games!G91</f>
        <v/>
      </c>
      <c r="M2672" s="180" t="str">
        <f t="shared" si="1769"/>
        <v/>
      </c>
      <c r="N2672" s="329" t="str">
        <f t="shared" si="1772"/>
        <v/>
      </c>
      <c r="O2672" s="2">
        <f t="shared" si="1771"/>
        <v>0</v>
      </c>
    </row>
    <row r="2673" spans="1:15" x14ac:dyDescent="0.25">
      <c r="A2673" s="2">
        <v>2</v>
      </c>
      <c r="B2673" s="2">
        <f>B2672</f>
        <v>0</v>
      </c>
      <c r="C2673" s="2" t="str">
        <f>C2672</f>
        <v>GT</v>
      </c>
      <c r="D2673" s="2">
        <f>D2672</f>
        <v>0</v>
      </c>
      <c r="F2673" s="2" t="str">
        <f>F2672</f>
        <v>Games Team</v>
      </c>
      <c r="G2673" s="2" t="str">
        <f>G2672</f>
        <v/>
      </c>
      <c r="H2673" s="2" t="str">
        <f>H2672</f>
        <v/>
      </c>
      <c r="I2673" s="2" t="str">
        <f>I2672</f>
        <v/>
      </c>
      <c r="J2673" s="2" t="str">
        <f>J2672</f>
        <v/>
      </c>
      <c r="M2673" s="180" t="str">
        <f>M2672</f>
        <v/>
      </c>
      <c r="N2673" s="329" t="str">
        <f t="shared" si="1772"/>
        <v/>
      </c>
      <c r="O2673" s="2">
        <f>O2672</f>
        <v>0</v>
      </c>
    </row>
    <row r="2674" spans="1:15" x14ac:dyDescent="0.25">
      <c r="A2674" s="325">
        <v>1</v>
      </c>
      <c r="B2674" s="325">
        <f t="shared" si="1768"/>
        <v>0</v>
      </c>
      <c r="C2674" s="325" t="s">
        <v>3726</v>
      </c>
      <c r="D2674" s="325">
        <f>Games!D92</f>
        <v>0</v>
      </c>
      <c r="E2674" s="325"/>
      <c r="F2674" s="325" t="s">
        <v>3727</v>
      </c>
      <c r="G2674" s="325" t="str">
        <f>IF(Games!AJ92="e","Y","")</f>
        <v/>
      </c>
      <c r="H2674" s="325" t="str">
        <f>Games!E92</f>
        <v/>
      </c>
      <c r="I2674" s="325" t="str">
        <f>Games!F92</f>
        <v/>
      </c>
      <c r="J2674" s="325" t="str">
        <f>Games!G92</f>
        <v/>
      </c>
      <c r="K2674" s="325"/>
      <c r="L2674" s="325"/>
      <c r="M2674" s="326" t="str">
        <f t="shared" si="1769"/>
        <v/>
      </c>
      <c r="N2674" s="329" t="str">
        <f t="shared" si="1772"/>
        <v/>
      </c>
      <c r="O2674" s="325">
        <f t="shared" si="1771"/>
        <v>0</v>
      </c>
    </row>
    <row r="2675" spans="1:15" x14ac:dyDescent="0.25">
      <c r="A2675" s="325">
        <v>2</v>
      </c>
      <c r="B2675" s="325">
        <f>B2674</f>
        <v>0</v>
      </c>
      <c r="C2675" s="325" t="str">
        <f>C2674</f>
        <v>GT</v>
      </c>
      <c r="D2675" s="325">
        <f>D2674</f>
        <v>0</v>
      </c>
      <c r="E2675" s="325"/>
      <c r="F2675" s="325" t="str">
        <f>F2674</f>
        <v>Games Team</v>
      </c>
      <c r="G2675" s="325" t="str">
        <f>G2674</f>
        <v/>
      </c>
      <c r="H2675" s="325" t="str">
        <f>H2674</f>
        <v/>
      </c>
      <c r="I2675" s="325" t="str">
        <f>I2674</f>
        <v/>
      </c>
      <c r="J2675" s="325" t="str">
        <f>J2674</f>
        <v/>
      </c>
      <c r="K2675" s="325"/>
      <c r="L2675" s="325"/>
      <c r="M2675" s="326" t="str">
        <f>M2674</f>
        <v/>
      </c>
      <c r="N2675" s="329" t="str">
        <f t="shared" si="1772"/>
        <v/>
      </c>
      <c r="O2675" s="325">
        <f>O2674</f>
        <v>0</v>
      </c>
    </row>
    <row r="2676" spans="1:15" x14ac:dyDescent="0.25">
      <c r="A2676" s="2">
        <v>1</v>
      </c>
      <c r="B2676" s="2">
        <f t="shared" si="1768"/>
        <v>0</v>
      </c>
      <c r="C2676" s="2" t="s">
        <v>3726</v>
      </c>
      <c r="D2676" s="2">
        <f>Games!D93</f>
        <v>0</v>
      </c>
      <c r="F2676" s="2" t="s">
        <v>3727</v>
      </c>
      <c r="G2676" s="2" t="str">
        <f>IF(Games!AJ93="e","Y","")</f>
        <v/>
      </c>
      <c r="H2676" s="2" t="str">
        <f>Games!E93</f>
        <v/>
      </c>
      <c r="I2676" s="2" t="str">
        <f>Games!F93</f>
        <v/>
      </c>
      <c r="J2676" s="2" t="str">
        <f>Games!G93</f>
        <v/>
      </c>
      <c r="M2676" s="180" t="str">
        <f t="shared" si="1769"/>
        <v/>
      </c>
      <c r="N2676" s="329" t="str">
        <f t="shared" si="1772"/>
        <v/>
      </c>
      <c r="O2676" s="2">
        <f t="shared" si="1771"/>
        <v>0</v>
      </c>
    </row>
    <row r="2677" spans="1:15" x14ac:dyDescent="0.25">
      <c r="A2677" s="2">
        <v>2</v>
      </c>
      <c r="B2677" s="2">
        <f>B2676</f>
        <v>0</v>
      </c>
      <c r="C2677" s="2" t="str">
        <f>C2676</f>
        <v>GT</v>
      </c>
      <c r="D2677" s="2">
        <f>D2676</f>
        <v>0</v>
      </c>
      <c r="F2677" s="2" t="str">
        <f>F2676</f>
        <v>Games Team</v>
      </c>
      <c r="G2677" s="2" t="str">
        <f>G2676</f>
        <v/>
      </c>
      <c r="H2677" s="2" t="str">
        <f>H2676</f>
        <v/>
      </c>
      <c r="I2677" s="2" t="str">
        <f>I2676</f>
        <v/>
      </c>
      <c r="J2677" s="2" t="str">
        <f>J2676</f>
        <v/>
      </c>
      <c r="M2677" s="180" t="str">
        <f>M2676</f>
        <v/>
      </c>
      <c r="N2677" s="329" t="str">
        <f t="shared" si="1772"/>
        <v/>
      </c>
      <c r="O2677" s="2">
        <f>O2676</f>
        <v>0</v>
      </c>
    </row>
    <row r="2678" spans="1:15" x14ac:dyDescent="0.25">
      <c r="A2678" s="325">
        <v>1</v>
      </c>
      <c r="B2678" s="325">
        <f t="shared" si="1768"/>
        <v>0</v>
      </c>
      <c r="C2678" s="325" t="s">
        <v>3726</v>
      </c>
      <c r="D2678" s="325">
        <f>Games!D94</f>
        <v>0</v>
      </c>
      <c r="E2678" s="325"/>
      <c r="F2678" s="325" t="s">
        <v>3727</v>
      </c>
      <c r="G2678" s="325" t="str">
        <f>IF(Games!AJ94="e","Y","")</f>
        <v/>
      </c>
      <c r="H2678" s="325" t="str">
        <f>Games!E94</f>
        <v/>
      </c>
      <c r="I2678" s="325" t="str">
        <f>Games!F94</f>
        <v/>
      </c>
      <c r="J2678" s="325" t="str">
        <f>Games!G94</f>
        <v/>
      </c>
      <c r="K2678" s="325"/>
      <c r="L2678" s="325"/>
      <c r="M2678" s="326" t="str">
        <f t="shared" si="1769"/>
        <v/>
      </c>
      <c r="N2678" s="329" t="str">
        <f t="shared" si="1772"/>
        <v/>
      </c>
      <c r="O2678" s="325">
        <f t="shared" si="1771"/>
        <v>0</v>
      </c>
    </row>
    <row r="2679" spans="1:15" x14ac:dyDescent="0.25">
      <c r="A2679" s="325">
        <v>2</v>
      </c>
      <c r="B2679" s="325">
        <f>B2678</f>
        <v>0</v>
      </c>
      <c r="C2679" s="325" t="str">
        <f>C2678</f>
        <v>GT</v>
      </c>
      <c r="D2679" s="325">
        <f>D2678</f>
        <v>0</v>
      </c>
      <c r="E2679" s="325"/>
      <c r="F2679" s="325" t="str">
        <f>F2678</f>
        <v>Games Team</v>
      </c>
      <c r="G2679" s="325" t="str">
        <f>G2678</f>
        <v/>
      </c>
      <c r="H2679" s="325" t="str">
        <f>H2678</f>
        <v/>
      </c>
      <c r="I2679" s="325" t="str">
        <f>I2678</f>
        <v/>
      </c>
      <c r="J2679" s="325" t="str">
        <f>J2678</f>
        <v/>
      </c>
      <c r="K2679" s="325"/>
      <c r="L2679" s="325"/>
      <c r="M2679" s="326" t="str">
        <f>M2678</f>
        <v/>
      </c>
      <c r="N2679" s="329" t="str">
        <f t="shared" si="1772"/>
        <v/>
      </c>
      <c r="O2679" s="325">
        <f>O2678</f>
        <v>0</v>
      </c>
    </row>
    <row r="2680" spans="1:15" x14ac:dyDescent="0.25">
      <c r="A2680" s="2">
        <v>1</v>
      </c>
      <c r="B2680" s="2">
        <f t="shared" si="1768"/>
        <v>0</v>
      </c>
      <c r="C2680" s="2" t="s">
        <v>3726</v>
      </c>
      <c r="D2680" s="2">
        <f>Games!D95</f>
        <v>0</v>
      </c>
      <c r="F2680" s="2" t="s">
        <v>3727</v>
      </c>
      <c r="G2680" s="2" t="str">
        <f>IF(Games!AJ95="e","Y","")</f>
        <v/>
      </c>
      <c r="H2680" s="2" t="str">
        <f>Games!E95</f>
        <v/>
      </c>
      <c r="I2680" s="2" t="str">
        <f>Games!F95</f>
        <v/>
      </c>
      <c r="J2680" s="2" t="str">
        <f>Games!G95</f>
        <v/>
      </c>
      <c r="M2680" s="180" t="str">
        <f t="shared" si="1769"/>
        <v/>
      </c>
      <c r="N2680" s="329" t="str">
        <f t="shared" si="1772"/>
        <v/>
      </c>
      <c r="O2680" s="2">
        <f t="shared" si="1771"/>
        <v>0</v>
      </c>
    </row>
    <row r="2681" spans="1:15" x14ac:dyDescent="0.25">
      <c r="A2681" s="2">
        <v>2</v>
      </c>
      <c r="B2681" s="2">
        <f>B2680</f>
        <v>0</v>
      </c>
      <c r="C2681" s="2" t="str">
        <f>C2680</f>
        <v>GT</v>
      </c>
      <c r="D2681" s="2">
        <f>D2680</f>
        <v>0</v>
      </c>
      <c r="F2681" s="2" t="str">
        <f>F2680</f>
        <v>Games Team</v>
      </c>
      <c r="G2681" s="2" t="str">
        <f>G2680</f>
        <v/>
      </c>
      <c r="H2681" s="2" t="str">
        <f>H2680</f>
        <v/>
      </c>
      <c r="I2681" s="2" t="str">
        <f>I2680</f>
        <v/>
      </c>
      <c r="J2681" s="2" t="str">
        <f>J2680</f>
        <v/>
      </c>
      <c r="M2681" s="180" t="str">
        <f>M2680</f>
        <v/>
      </c>
      <c r="N2681" s="329" t="str">
        <f t="shared" si="1772"/>
        <v/>
      </c>
      <c r="O2681" s="2">
        <f>O2680</f>
        <v>0</v>
      </c>
    </row>
    <row r="2682" spans="1:15" x14ac:dyDescent="0.25">
      <c r="A2682" s="325">
        <v>1</v>
      </c>
      <c r="B2682" s="325">
        <f t="shared" si="1768"/>
        <v>0</v>
      </c>
      <c r="C2682" s="325" t="s">
        <v>3726</v>
      </c>
      <c r="D2682" s="325">
        <f>Games!D96</f>
        <v>0</v>
      </c>
      <c r="E2682" s="325"/>
      <c r="F2682" s="325" t="s">
        <v>3727</v>
      </c>
      <c r="G2682" s="325" t="str">
        <f>IF(Games!AJ96="e","Y","")</f>
        <v/>
      </c>
      <c r="H2682" s="325" t="str">
        <f>Games!E96</f>
        <v/>
      </c>
      <c r="I2682" s="325" t="str">
        <f>Games!F96</f>
        <v/>
      </c>
      <c r="J2682" s="325" t="str">
        <f>Games!G96</f>
        <v/>
      </c>
      <c r="K2682" s="325"/>
      <c r="L2682" s="325"/>
      <c r="M2682" s="326" t="str">
        <f t="shared" si="1769"/>
        <v/>
      </c>
      <c r="N2682" s="329" t="str">
        <f t="shared" si="1772"/>
        <v/>
      </c>
      <c r="O2682" s="325">
        <f t="shared" si="1771"/>
        <v>0</v>
      </c>
    </row>
    <row r="2683" spans="1:15" x14ac:dyDescent="0.25">
      <c r="A2683" s="325">
        <v>2</v>
      </c>
      <c r="B2683" s="325">
        <f>B2682</f>
        <v>0</v>
      </c>
      <c r="C2683" s="325" t="str">
        <f>C2682</f>
        <v>GT</v>
      </c>
      <c r="D2683" s="325">
        <f>D2682</f>
        <v>0</v>
      </c>
      <c r="E2683" s="325"/>
      <c r="F2683" s="325" t="str">
        <f>F2682</f>
        <v>Games Team</v>
      </c>
      <c r="G2683" s="325" t="str">
        <f>G2682</f>
        <v/>
      </c>
      <c r="H2683" s="325" t="str">
        <f>H2682</f>
        <v/>
      </c>
      <c r="I2683" s="325" t="str">
        <f>I2682</f>
        <v/>
      </c>
      <c r="J2683" s="325" t="str">
        <f>J2682</f>
        <v/>
      </c>
      <c r="K2683" s="325"/>
      <c r="L2683" s="325"/>
      <c r="M2683" s="326" t="str">
        <f>M2682</f>
        <v/>
      </c>
      <c r="N2683" s="329" t="str">
        <f t="shared" si="1772"/>
        <v/>
      </c>
      <c r="O2683" s="325">
        <f>O2682</f>
        <v>0</v>
      </c>
    </row>
    <row r="2684" spans="1:15" x14ac:dyDescent="0.25">
      <c r="A2684" s="2">
        <v>1</v>
      </c>
      <c r="B2684" s="2">
        <f t="shared" si="1768"/>
        <v>0</v>
      </c>
      <c r="C2684" s="2" t="s">
        <v>3726</v>
      </c>
      <c r="D2684" s="2">
        <f>Games!D97</f>
        <v>0</v>
      </c>
      <c r="F2684" s="2" t="s">
        <v>3727</v>
      </c>
      <c r="G2684" s="2" t="str">
        <f>IF(Games!AJ97="e","Y","")</f>
        <v/>
      </c>
      <c r="H2684" s="2" t="str">
        <f>Games!E97</f>
        <v/>
      </c>
      <c r="I2684" s="2" t="str">
        <f>Games!F97</f>
        <v/>
      </c>
      <c r="J2684" s="2" t="str">
        <f>Games!G97</f>
        <v/>
      </c>
      <c r="M2684" s="180" t="str">
        <f t="shared" si="1769"/>
        <v/>
      </c>
      <c r="N2684" s="329" t="str">
        <f t="shared" si="1772"/>
        <v/>
      </c>
      <c r="O2684" s="2">
        <f t="shared" si="1771"/>
        <v>0</v>
      </c>
    </row>
    <row r="2685" spans="1:15" x14ac:dyDescent="0.25">
      <c r="A2685" s="2">
        <v>2</v>
      </c>
      <c r="B2685" s="2">
        <f>B2684</f>
        <v>0</v>
      </c>
      <c r="C2685" s="2" t="str">
        <f>C2684</f>
        <v>GT</v>
      </c>
      <c r="D2685" s="2">
        <f>D2684</f>
        <v>0</v>
      </c>
      <c r="F2685" s="2" t="str">
        <f>F2684</f>
        <v>Games Team</v>
      </c>
      <c r="G2685" s="2" t="str">
        <f>G2684</f>
        <v/>
      </c>
      <c r="H2685" s="2" t="str">
        <f>H2684</f>
        <v/>
      </c>
      <c r="I2685" s="2" t="str">
        <f>I2684</f>
        <v/>
      </c>
      <c r="J2685" s="2" t="str">
        <f>J2684</f>
        <v/>
      </c>
      <c r="M2685" s="180" t="str">
        <f>M2684</f>
        <v/>
      </c>
      <c r="N2685" s="329" t="str">
        <f t="shared" si="1772"/>
        <v/>
      </c>
      <c r="O2685" s="2">
        <f>O2684</f>
        <v>0</v>
      </c>
    </row>
    <row r="2686" spans="1:15" x14ac:dyDescent="0.25">
      <c r="A2686" s="325">
        <v>1</v>
      </c>
      <c r="B2686" s="325">
        <f t="shared" ref="B2686:B2720" si="1773">TrialNumberDay2</f>
        <v>0</v>
      </c>
      <c r="C2686" s="325" t="s">
        <v>3726</v>
      </c>
      <c r="D2686" s="325">
        <f>Games!D98</f>
        <v>0</v>
      </c>
      <c r="E2686" s="325"/>
      <c r="F2686" s="325" t="s">
        <v>3727</v>
      </c>
      <c r="G2686" s="325" t="str">
        <f>IF(Games!AJ98="e","Y","")</f>
        <v/>
      </c>
      <c r="H2686" s="325" t="str">
        <f>Games!E98</f>
        <v/>
      </c>
      <c r="I2686" s="325" t="str">
        <f>Games!F98</f>
        <v/>
      </c>
      <c r="J2686" s="325" t="str">
        <f>Games!G98</f>
        <v/>
      </c>
      <c r="K2686" s="325"/>
      <c r="L2686" s="325"/>
      <c r="M2686" s="326" t="str">
        <f t="shared" ref="M2686:M2720" si="1774">TrialDateDay2</f>
        <v/>
      </c>
      <c r="N2686" s="329" t="str">
        <f t="shared" si="1772"/>
        <v/>
      </c>
      <c r="O2686" s="325">
        <f t="shared" ref="O2686:O2720" si="1775">JudgeD2GamesTeam</f>
        <v>0</v>
      </c>
    </row>
    <row r="2687" spans="1:15" x14ac:dyDescent="0.25">
      <c r="A2687" s="325">
        <v>2</v>
      </c>
      <c r="B2687" s="325">
        <f>B2686</f>
        <v>0</v>
      </c>
      <c r="C2687" s="325" t="str">
        <f>C2686</f>
        <v>GT</v>
      </c>
      <c r="D2687" s="325">
        <f>D2686</f>
        <v>0</v>
      </c>
      <c r="E2687" s="325"/>
      <c r="F2687" s="325" t="str">
        <f>F2686</f>
        <v>Games Team</v>
      </c>
      <c r="G2687" s="325" t="str">
        <f>G2686</f>
        <v/>
      </c>
      <c r="H2687" s="325" t="str">
        <f>H2686</f>
        <v/>
      </c>
      <c r="I2687" s="325" t="str">
        <f>I2686</f>
        <v/>
      </c>
      <c r="J2687" s="325" t="str">
        <f>J2686</f>
        <v/>
      </c>
      <c r="K2687" s="325"/>
      <c r="L2687" s="325"/>
      <c r="M2687" s="326" t="str">
        <f>M2686</f>
        <v/>
      </c>
      <c r="N2687" s="329" t="str">
        <f t="shared" si="1772"/>
        <v/>
      </c>
      <c r="O2687" s="325">
        <f>O2686</f>
        <v>0</v>
      </c>
    </row>
    <row r="2688" spans="1:15" x14ac:dyDescent="0.25">
      <c r="A2688" s="2">
        <v>1</v>
      </c>
      <c r="B2688" s="2">
        <f t="shared" si="1773"/>
        <v>0</v>
      </c>
      <c r="C2688" s="2" t="s">
        <v>3726</v>
      </c>
      <c r="D2688" s="2">
        <f>Games!D99</f>
        <v>0</v>
      </c>
      <c r="F2688" s="2" t="s">
        <v>3727</v>
      </c>
      <c r="G2688" s="2" t="str">
        <f>IF(Games!AJ99="e","Y","")</f>
        <v/>
      </c>
      <c r="H2688" s="2" t="str">
        <f>Games!E99</f>
        <v/>
      </c>
      <c r="I2688" s="2" t="str">
        <f>Games!F99</f>
        <v/>
      </c>
      <c r="J2688" s="2" t="str">
        <f>Games!G99</f>
        <v/>
      </c>
      <c r="M2688" s="180" t="str">
        <f t="shared" si="1774"/>
        <v/>
      </c>
      <c r="N2688" s="329" t="str">
        <f t="shared" si="1772"/>
        <v/>
      </c>
      <c r="O2688" s="2">
        <f t="shared" si="1775"/>
        <v>0</v>
      </c>
    </row>
    <row r="2689" spans="1:15" x14ac:dyDescent="0.25">
      <c r="A2689" s="2">
        <v>2</v>
      </c>
      <c r="B2689" s="2">
        <f>B2688</f>
        <v>0</v>
      </c>
      <c r="C2689" s="2" t="str">
        <f>C2688</f>
        <v>GT</v>
      </c>
      <c r="D2689" s="2">
        <f>D2688</f>
        <v>0</v>
      </c>
      <c r="F2689" s="2" t="str">
        <f>F2688</f>
        <v>Games Team</v>
      </c>
      <c r="G2689" s="2" t="str">
        <f>G2688</f>
        <v/>
      </c>
      <c r="H2689" s="2" t="str">
        <f>H2688</f>
        <v/>
      </c>
      <c r="I2689" s="2" t="str">
        <f>I2688</f>
        <v/>
      </c>
      <c r="J2689" s="2" t="str">
        <f>J2688</f>
        <v/>
      </c>
      <c r="M2689" s="180" t="str">
        <f>M2688</f>
        <v/>
      </c>
      <c r="N2689" s="329" t="str">
        <f t="shared" si="1772"/>
        <v/>
      </c>
      <c r="O2689" s="2">
        <f>O2688</f>
        <v>0</v>
      </c>
    </row>
    <row r="2690" spans="1:15" x14ac:dyDescent="0.25">
      <c r="A2690" s="325">
        <v>1</v>
      </c>
      <c r="B2690" s="325">
        <f t="shared" si="1773"/>
        <v>0</v>
      </c>
      <c r="C2690" s="325" t="s">
        <v>3726</v>
      </c>
      <c r="D2690" s="325">
        <f>Games!D100</f>
        <v>0</v>
      </c>
      <c r="E2690" s="325"/>
      <c r="F2690" s="325" t="s">
        <v>3727</v>
      </c>
      <c r="G2690" s="325" t="str">
        <f>IF(Games!AJ100="e","Y","")</f>
        <v/>
      </c>
      <c r="H2690" s="325" t="str">
        <f>Games!E100</f>
        <v/>
      </c>
      <c r="I2690" s="325" t="str">
        <f>Games!F100</f>
        <v/>
      </c>
      <c r="J2690" s="325" t="str">
        <f>Games!G100</f>
        <v/>
      </c>
      <c r="K2690" s="325"/>
      <c r="L2690" s="325"/>
      <c r="M2690" s="326" t="str">
        <f t="shared" si="1774"/>
        <v/>
      </c>
      <c r="N2690" s="329" t="str">
        <f t="shared" si="1772"/>
        <v/>
      </c>
      <c r="O2690" s="325">
        <f t="shared" si="1775"/>
        <v>0</v>
      </c>
    </row>
    <row r="2691" spans="1:15" x14ac:dyDescent="0.25">
      <c r="A2691" s="325">
        <v>2</v>
      </c>
      <c r="B2691" s="325">
        <f>B2690</f>
        <v>0</v>
      </c>
      <c r="C2691" s="325" t="str">
        <f>C2690</f>
        <v>GT</v>
      </c>
      <c r="D2691" s="325">
        <f>D2690</f>
        <v>0</v>
      </c>
      <c r="E2691" s="325"/>
      <c r="F2691" s="325" t="str">
        <f>F2690</f>
        <v>Games Team</v>
      </c>
      <c r="G2691" s="325" t="str">
        <f>G2690</f>
        <v/>
      </c>
      <c r="H2691" s="325" t="str">
        <f>H2690</f>
        <v/>
      </c>
      <c r="I2691" s="325" t="str">
        <f>I2690</f>
        <v/>
      </c>
      <c r="J2691" s="325" t="str">
        <f>J2690</f>
        <v/>
      </c>
      <c r="K2691" s="325"/>
      <c r="L2691" s="325"/>
      <c r="M2691" s="326" t="str">
        <f>M2690</f>
        <v/>
      </c>
      <c r="N2691" s="329" t="str">
        <f t="shared" ref="N2691:N2721" si="1776">TrialCityDay2</f>
        <v/>
      </c>
      <c r="O2691" s="325">
        <f>O2690</f>
        <v>0</v>
      </c>
    </row>
    <row r="2692" spans="1:15" x14ac:dyDescent="0.25">
      <c r="A2692" s="2">
        <v>1</v>
      </c>
      <c r="B2692" s="2">
        <f t="shared" si="1773"/>
        <v>0</v>
      </c>
      <c r="C2692" s="2" t="s">
        <v>3726</v>
      </c>
      <c r="D2692" s="2">
        <f>Games!D101</f>
        <v>0</v>
      </c>
      <c r="F2692" s="2" t="s">
        <v>3727</v>
      </c>
      <c r="G2692" s="2" t="str">
        <f>IF(Games!AJ101="e","Y","")</f>
        <v/>
      </c>
      <c r="H2692" s="2" t="str">
        <f>Games!E101</f>
        <v/>
      </c>
      <c r="I2692" s="2" t="str">
        <f>Games!F101</f>
        <v/>
      </c>
      <c r="J2692" s="2" t="str">
        <f>Games!G101</f>
        <v/>
      </c>
      <c r="M2692" s="180" t="str">
        <f t="shared" si="1774"/>
        <v/>
      </c>
      <c r="N2692" s="329" t="str">
        <f t="shared" si="1772"/>
        <v/>
      </c>
      <c r="O2692" s="2">
        <f t="shared" si="1775"/>
        <v>0</v>
      </c>
    </row>
    <row r="2693" spans="1:15" x14ac:dyDescent="0.25">
      <c r="A2693" s="2">
        <v>2</v>
      </c>
      <c r="B2693" s="2">
        <f>B2692</f>
        <v>0</v>
      </c>
      <c r="C2693" s="2" t="str">
        <f>C2692</f>
        <v>GT</v>
      </c>
      <c r="D2693" s="2">
        <f>D2692</f>
        <v>0</v>
      </c>
      <c r="F2693" s="2" t="str">
        <f>F2692</f>
        <v>Games Team</v>
      </c>
      <c r="G2693" s="2" t="str">
        <f>G2692</f>
        <v/>
      </c>
      <c r="H2693" s="2" t="str">
        <f>H2692</f>
        <v/>
      </c>
      <c r="I2693" s="2" t="str">
        <f>I2692</f>
        <v/>
      </c>
      <c r="J2693" s="2" t="str">
        <f>J2692</f>
        <v/>
      </c>
      <c r="M2693" s="180" t="str">
        <f>M2692</f>
        <v/>
      </c>
      <c r="N2693" s="329" t="str">
        <f t="shared" si="1776"/>
        <v/>
      </c>
      <c r="O2693" s="2">
        <f>O2692</f>
        <v>0</v>
      </c>
    </row>
    <row r="2694" spans="1:15" x14ac:dyDescent="0.25">
      <c r="A2694" s="325">
        <v>1</v>
      </c>
      <c r="B2694" s="325">
        <f t="shared" si="1773"/>
        <v>0</v>
      </c>
      <c r="C2694" s="325" t="s">
        <v>3726</v>
      </c>
      <c r="D2694" s="325">
        <f>Games!D102</f>
        <v>0</v>
      </c>
      <c r="E2694" s="325"/>
      <c r="F2694" s="325" t="s">
        <v>3727</v>
      </c>
      <c r="G2694" s="325" t="str">
        <f>IF(Games!AJ102="e","Y","")</f>
        <v/>
      </c>
      <c r="H2694" s="325" t="str">
        <f>Games!E102</f>
        <v/>
      </c>
      <c r="I2694" s="325" t="str">
        <f>Games!F102</f>
        <v/>
      </c>
      <c r="J2694" s="325" t="str">
        <f>Games!G102</f>
        <v/>
      </c>
      <c r="K2694" s="325"/>
      <c r="L2694" s="325"/>
      <c r="M2694" s="326" t="str">
        <f t="shared" si="1774"/>
        <v/>
      </c>
      <c r="N2694" s="329" t="str">
        <f t="shared" si="1772"/>
        <v/>
      </c>
      <c r="O2694" s="325">
        <f t="shared" si="1775"/>
        <v>0</v>
      </c>
    </row>
    <row r="2695" spans="1:15" x14ac:dyDescent="0.25">
      <c r="A2695" s="325">
        <v>2</v>
      </c>
      <c r="B2695" s="325">
        <f>B2694</f>
        <v>0</v>
      </c>
      <c r="C2695" s="325" t="str">
        <f>C2694</f>
        <v>GT</v>
      </c>
      <c r="D2695" s="325">
        <f>D2694</f>
        <v>0</v>
      </c>
      <c r="E2695" s="325"/>
      <c r="F2695" s="325" t="str">
        <f>F2694</f>
        <v>Games Team</v>
      </c>
      <c r="G2695" s="325" t="str">
        <f>G2694</f>
        <v/>
      </c>
      <c r="H2695" s="325" t="str">
        <f>H2694</f>
        <v/>
      </c>
      <c r="I2695" s="325" t="str">
        <f>I2694</f>
        <v/>
      </c>
      <c r="J2695" s="325" t="str">
        <f>J2694</f>
        <v/>
      </c>
      <c r="K2695" s="325"/>
      <c r="L2695" s="325"/>
      <c r="M2695" s="326" t="str">
        <f>M2694</f>
        <v/>
      </c>
      <c r="N2695" s="329" t="str">
        <f t="shared" si="1776"/>
        <v/>
      </c>
      <c r="O2695" s="325">
        <f>O2694</f>
        <v>0</v>
      </c>
    </row>
    <row r="2696" spans="1:15" x14ac:dyDescent="0.25">
      <c r="A2696" s="2">
        <v>1</v>
      </c>
      <c r="B2696" s="2">
        <f t="shared" si="1773"/>
        <v>0</v>
      </c>
      <c r="C2696" s="2" t="s">
        <v>3726</v>
      </c>
      <c r="D2696" s="2">
        <f>Games!D103</f>
        <v>0</v>
      </c>
      <c r="F2696" s="2" t="s">
        <v>3727</v>
      </c>
      <c r="G2696" s="2" t="str">
        <f>IF(Games!AJ103="e","Y","")</f>
        <v/>
      </c>
      <c r="H2696" s="2" t="str">
        <f>Games!E103</f>
        <v/>
      </c>
      <c r="I2696" s="2" t="str">
        <f>Games!F103</f>
        <v/>
      </c>
      <c r="J2696" s="2" t="str">
        <f>Games!G103</f>
        <v/>
      </c>
      <c r="M2696" s="180" t="str">
        <f t="shared" si="1774"/>
        <v/>
      </c>
      <c r="N2696" s="329" t="str">
        <f t="shared" si="1772"/>
        <v/>
      </c>
      <c r="O2696" s="2">
        <f t="shared" si="1775"/>
        <v>0</v>
      </c>
    </row>
    <row r="2697" spans="1:15" x14ac:dyDescent="0.25">
      <c r="A2697" s="2">
        <v>2</v>
      </c>
      <c r="B2697" s="2">
        <f>B2696</f>
        <v>0</v>
      </c>
      <c r="C2697" s="2" t="str">
        <f>C2696</f>
        <v>GT</v>
      </c>
      <c r="D2697" s="2">
        <f>D2696</f>
        <v>0</v>
      </c>
      <c r="F2697" s="2" t="str">
        <f>F2696</f>
        <v>Games Team</v>
      </c>
      <c r="G2697" s="2" t="str">
        <f>G2696</f>
        <v/>
      </c>
      <c r="H2697" s="2" t="str">
        <f>H2696</f>
        <v/>
      </c>
      <c r="I2697" s="2" t="str">
        <f>I2696</f>
        <v/>
      </c>
      <c r="J2697" s="2" t="str">
        <f>J2696</f>
        <v/>
      </c>
      <c r="M2697" s="180" t="str">
        <f>M2696</f>
        <v/>
      </c>
      <c r="N2697" s="329" t="str">
        <f t="shared" si="1776"/>
        <v/>
      </c>
      <c r="O2697" s="2">
        <f>O2696</f>
        <v>0</v>
      </c>
    </row>
    <row r="2698" spans="1:15" x14ac:dyDescent="0.25">
      <c r="A2698" s="325">
        <v>1</v>
      </c>
      <c r="B2698" s="325">
        <f t="shared" si="1773"/>
        <v>0</v>
      </c>
      <c r="C2698" s="325" t="s">
        <v>3726</v>
      </c>
      <c r="D2698" s="325">
        <f>Games!D104</f>
        <v>0</v>
      </c>
      <c r="E2698" s="325"/>
      <c r="F2698" s="325" t="s">
        <v>3727</v>
      </c>
      <c r="G2698" s="325" t="str">
        <f>IF(Games!AJ104="e","Y","")</f>
        <v/>
      </c>
      <c r="H2698" s="325" t="str">
        <f>Games!E104</f>
        <v/>
      </c>
      <c r="I2698" s="325" t="str">
        <f>Games!F104</f>
        <v/>
      </c>
      <c r="J2698" s="325" t="str">
        <f>Games!G104</f>
        <v/>
      </c>
      <c r="K2698" s="325"/>
      <c r="L2698" s="325"/>
      <c r="M2698" s="326" t="str">
        <f t="shared" si="1774"/>
        <v/>
      </c>
      <c r="N2698" s="329" t="str">
        <f t="shared" si="1772"/>
        <v/>
      </c>
      <c r="O2698" s="325">
        <f t="shared" si="1775"/>
        <v>0</v>
      </c>
    </row>
    <row r="2699" spans="1:15" x14ac:dyDescent="0.25">
      <c r="A2699" s="325">
        <v>2</v>
      </c>
      <c r="B2699" s="325">
        <f>B2698</f>
        <v>0</v>
      </c>
      <c r="C2699" s="325" t="str">
        <f>C2698</f>
        <v>GT</v>
      </c>
      <c r="D2699" s="325">
        <f>D2698</f>
        <v>0</v>
      </c>
      <c r="E2699" s="325"/>
      <c r="F2699" s="325" t="str">
        <f>F2698</f>
        <v>Games Team</v>
      </c>
      <c r="G2699" s="325" t="str">
        <f>G2698</f>
        <v/>
      </c>
      <c r="H2699" s="325" t="str">
        <f>H2698</f>
        <v/>
      </c>
      <c r="I2699" s="325" t="str">
        <f>I2698</f>
        <v/>
      </c>
      <c r="J2699" s="325" t="str">
        <f>J2698</f>
        <v/>
      </c>
      <c r="K2699" s="325"/>
      <c r="L2699" s="325"/>
      <c r="M2699" s="326" t="str">
        <f>M2698</f>
        <v/>
      </c>
      <c r="N2699" s="329" t="str">
        <f t="shared" si="1776"/>
        <v/>
      </c>
      <c r="O2699" s="325">
        <f>O2698</f>
        <v>0</v>
      </c>
    </row>
    <row r="2700" spans="1:15" x14ac:dyDescent="0.25">
      <c r="A2700" s="2">
        <v>1</v>
      </c>
      <c r="B2700" s="2">
        <f t="shared" si="1773"/>
        <v>0</v>
      </c>
      <c r="C2700" s="2" t="s">
        <v>3726</v>
      </c>
      <c r="D2700" s="2">
        <f>Games!D105</f>
        <v>0</v>
      </c>
      <c r="F2700" s="2" t="s">
        <v>3727</v>
      </c>
      <c r="G2700" s="2" t="str">
        <f>IF(Games!AJ105="e","Y","")</f>
        <v/>
      </c>
      <c r="H2700" s="2" t="str">
        <f>Games!E105</f>
        <v/>
      </c>
      <c r="I2700" s="2" t="str">
        <f>Games!F105</f>
        <v/>
      </c>
      <c r="J2700" s="2" t="str">
        <f>Games!G105</f>
        <v/>
      </c>
      <c r="M2700" s="180" t="str">
        <f t="shared" si="1774"/>
        <v/>
      </c>
      <c r="N2700" s="329" t="str">
        <f t="shared" si="1772"/>
        <v/>
      </c>
      <c r="O2700" s="2">
        <f t="shared" si="1775"/>
        <v>0</v>
      </c>
    </row>
    <row r="2701" spans="1:15" x14ac:dyDescent="0.25">
      <c r="A2701" s="2">
        <v>2</v>
      </c>
      <c r="B2701" s="2">
        <f>B2700</f>
        <v>0</v>
      </c>
      <c r="C2701" s="2" t="str">
        <f>C2700</f>
        <v>GT</v>
      </c>
      <c r="D2701" s="2">
        <f>D2700</f>
        <v>0</v>
      </c>
      <c r="F2701" s="2" t="str">
        <f>F2700</f>
        <v>Games Team</v>
      </c>
      <c r="G2701" s="2" t="str">
        <f>G2700</f>
        <v/>
      </c>
      <c r="H2701" s="2" t="str">
        <f>H2700</f>
        <v/>
      </c>
      <c r="I2701" s="2" t="str">
        <f>I2700</f>
        <v/>
      </c>
      <c r="J2701" s="2" t="str">
        <f>J2700</f>
        <v/>
      </c>
      <c r="M2701" s="180" t="str">
        <f>M2700</f>
        <v/>
      </c>
      <c r="N2701" s="329" t="str">
        <f t="shared" si="1776"/>
        <v/>
      </c>
      <c r="O2701" s="2">
        <f>O2700</f>
        <v>0</v>
      </c>
    </row>
    <row r="2702" spans="1:15" x14ac:dyDescent="0.25">
      <c r="A2702" s="325">
        <v>1</v>
      </c>
      <c r="B2702" s="325">
        <f t="shared" si="1773"/>
        <v>0</v>
      </c>
      <c r="C2702" s="325" t="s">
        <v>3726</v>
      </c>
      <c r="D2702" s="325">
        <f>Games!D106</f>
        <v>0</v>
      </c>
      <c r="E2702" s="325"/>
      <c r="F2702" s="325" t="s">
        <v>3727</v>
      </c>
      <c r="G2702" s="325" t="str">
        <f>IF(Games!AJ106="e","Y","")</f>
        <v/>
      </c>
      <c r="H2702" s="325" t="str">
        <f>Games!E106</f>
        <v/>
      </c>
      <c r="I2702" s="325" t="str">
        <f>Games!F106</f>
        <v/>
      </c>
      <c r="J2702" s="325" t="str">
        <f>Games!G106</f>
        <v/>
      </c>
      <c r="K2702" s="325"/>
      <c r="L2702" s="325"/>
      <c r="M2702" s="326" t="str">
        <f t="shared" si="1774"/>
        <v/>
      </c>
      <c r="N2702" s="329" t="str">
        <f t="shared" si="1772"/>
        <v/>
      </c>
      <c r="O2702" s="325">
        <f t="shared" si="1775"/>
        <v>0</v>
      </c>
    </row>
    <row r="2703" spans="1:15" x14ac:dyDescent="0.25">
      <c r="A2703" s="325">
        <v>2</v>
      </c>
      <c r="B2703" s="325">
        <f>B2702</f>
        <v>0</v>
      </c>
      <c r="C2703" s="325" t="str">
        <f>C2702</f>
        <v>GT</v>
      </c>
      <c r="D2703" s="325">
        <f>D2702</f>
        <v>0</v>
      </c>
      <c r="E2703" s="325"/>
      <c r="F2703" s="325" t="str">
        <f>F2702</f>
        <v>Games Team</v>
      </c>
      <c r="G2703" s="325" t="str">
        <f>G2702</f>
        <v/>
      </c>
      <c r="H2703" s="325" t="str">
        <f>H2702</f>
        <v/>
      </c>
      <c r="I2703" s="325" t="str">
        <f>I2702</f>
        <v/>
      </c>
      <c r="J2703" s="325" t="str">
        <f>J2702</f>
        <v/>
      </c>
      <c r="K2703" s="325"/>
      <c r="L2703" s="325"/>
      <c r="M2703" s="326" t="str">
        <f>M2702</f>
        <v/>
      </c>
      <c r="N2703" s="329" t="str">
        <f t="shared" si="1776"/>
        <v/>
      </c>
      <c r="O2703" s="325">
        <f>O2702</f>
        <v>0</v>
      </c>
    </row>
    <row r="2704" spans="1:15" x14ac:dyDescent="0.25">
      <c r="A2704" s="2">
        <v>1</v>
      </c>
      <c r="B2704" s="2">
        <f t="shared" si="1773"/>
        <v>0</v>
      </c>
      <c r="C2704" s="2" t="s">
        <v>3726</v>
      </c>
      <c r="D2704" s="2">
        <f>Games!D107</f>
        <v>0</v>
      </c>
      <c r="F2704" s="2" t="s">
        <v>3727</v>
      </c>
      <c r="G2704" s="2" t="str">
        <f>IF(Games!AJ107="e","Y","")</f>
        <v/>
      </c>
      <c r="H2704" s="2" t="str">
        <f>Games!E107</f>
        <v/>
      </c>
      <c r="I2704" s="2" t="str">
        <f>Games!F107</f>
        <v/>
      </c>
      <c r="J2704" s="2" t="str">
        <f>Games!G107</f>
        <v/>
      </c>
      <c r="M2704" s="180" t="str">
        <f t="shared" si="1774"/>
        <v/>
      </c>
      <c r="N2704" s="329" t="str">
        <f t="shared" si="1772"/>
        <v/>
      </c>
      <c r="O2704" s="2">
        <f t="shared" si="1775"/>
        <v>0</v>
      </c>
    </row>
    <row r="2705" spans="1:15" x14ac:dyDescent="0.25">
      <c r="A2705" s="2">
        <v>2</v>
      </c>
      <c r="B2705" s="2">
        <f>B2704</f>
        <v>0</v>
      </c>
      <c r="C2705" s="2" t="str">
        <f>C2704</f>
        <v>GT</v>
      </c>
      <c r="D2705" s="2">
        <f>D2704</f>
        <v>0</v>
      </c>
      <c r="F2705" s="2" t="str">
        <f>F2704</f>
        <v>Games Team</v>
      </c>
      <c r="G2705" s="2" t="str">
        <f>G2704</f>
        <v/>
      </c>
      <c r="H2705" s="2" t="str">
        <f>H2704</f>
        <v/>
      </c>
      <c r="I2705" s="2" t="str">
        <f>I2704</f>
        <v/>
      </c>
      <c r="J2705" s="2" t="str">
        <f>J2704</f>
        <v/>
      </c>
      <c r="M2705" s="180" t="str">
        <f>M2704</f>
        <v/>
      </c>
      <c r="N2705" s="329" t="str">
        <f t="shared" si="1776"/>
        <v/>
      </c>
      <c r="O2705" s="2">
        <f>O2704</f>
        <v>0</v>
      </c>
    </row>
    <row r="2706" spans="1:15" x14ac:dyDescent="0.25">
      <c r="A2706" s="325">
        <v>1</v>
      </c>
      <c r="B2706" s="325">
        <f t="shared" si="1773"/>
        <v>0</v>
      </c>
      <c r="C2706" s="325" t="s">
        <v>3726</v>
      </c>
      <c r="D2706" s="325">
        <f>Games!D108</f>
        <v>0</v>
      </c>
      <c r="E2706" s="325"/>
      <c r="F2706" s="325" t="s">
        <v>3727</v>
      </c>
      <c r="G2706" s="325" t="str">
        <f>IF(Games!AJ108="e","Y","")</f>
        <v/>
      </c>
      <c r="H2706" s="325" t="str">
        <f>Games!E108</f>
        <v/>
      </c>
      <c r="I2706" s="325" t="str">
        <f>Games!F108</f>
        <v/>
      </c>
      <c r="J2706" s="325" t="str">
        <f>Games!G108</f>
        <v/>
      </c>
      <c r="K2706" s="325"/>
      <c r="L2706" s="325"/>
      <c r="M2706" s="326" t="str">
        <f t="shared" si="1774"/>
        <v/>
      </c>
      <c r="N2706" s="329" t="str">
        <f t="shared" si="1772"/>
        <v/>
      </c>
      <c r="O2706" s="325">
        <f t="shared" si="1775"/>
        <v>0</v>
      </c>
    </row>
    <row r="2707" spans="1:15" x14ac:dyDescent="0.25">
      <c r="A2707" s="325">
        <v>2</v>
      </c>
      <c r="B2707" s="325">
        <f>B2706</f>
        <v>0</v>
      </c>
      <c r="C2707" s="325" t="str">
        <f>C2706</f>
        <v>GT</v>
      </c>
      <c r="D2707" s="325">
        <f>D2706</f>
        <v>0</v>
      </c>
      <c r="E2707" s="325"/>
      <c r="F2707" s="325" t="str">
        <f>F2706</f>
        <v>Games Team</v>
      </c>
      <c r="G2707" s="325" t="str">
        <f>G2706</f>
        <v/>
      </c>
      <c r="H2707" s="325" t="str">
        <f>H2706</f>
        <v/>
      </c>
      <c r="I2707" s="325" t="str">
        <f>I2706</f>
        <v/>
      </c>
      <c r="J2707" s="325" t="str">
        <f>J2706</f>
        <v/>
      </c>
      <c r="K2707" s="325"/>
      <c r="L2707" s="325"/>
      <c r="M2707" s="326" t="str">
        <f>M2706</f>
        <v/>
      </c>
      <c r="N2707" s="329" t="str">
        <f t="shared" si="1776"/>
        <v/>
      </c>
      <c r="O2707" s="325">
        <f>O2706</f>
        <v>0</v>
      </c>
    </row>
    <row r="2708" spans="1:15" x14ac:dyDescent="0.25">
      <c r="A2708" s="2">
        <v>1</v>
      </c>
      <c r="B2708" s="2">
        <f t="shared" si="1773"/>
        <v>0</v>
      </c>
      <c r="C2708" s="2" t="s">
        <v>3726</v>
      </c>
      <c r="D2708" s="2">
        <f>Games!D109</f>
        <v>0</v>
      </c>
      <c r="F2708" s="2" t="s">
        <v>3727</v>
      </c>
      <c r="G2708" s="2" t="str">
        <f>IF(Games!AJ109="e","Y","")</f>
        <v/>
      </c>
      <c r="H2708" s="2" t="str">
        <f>Games!E109</f>
        <v/>
      </c>
      <c r="I2708" s="2" t="str">
        <f>Games!F109</f>
        <v/>
      </c>
      <c r="J2708" s="2" t="str">
        <f>Games!G109</f>
        <v/>
      </c>
      <c r="M2708" s="180" t="str">
        <f t="shared" si="1774"/>
        <v/>
      </c>
      <c r="N2708" s="329" t="str">
        <f t="shared" si="1772"/>
        <v/>
      </c>
      <c r="O2708" s="2">
        <f t="shared" si="1775"/>
        <v>0</v>
      </c>
    </row>
    <row r="2709" spans="1:15" x14ac:dyDescent="0.25">
      <c r="A2709" s="2">
        <v>2</v>
      </c>
      <c r="B2709" s="2">
        <f>B2708</f>
        <v>0</v>
      </c>
      <c r="C2709" s="2" t="str">
        <f>C2708</f>
        <v>GT</v>
      </c>
      <c r="D2709" s="2">
        <f>D2708</f>
        <v>0</v>
      </c>
      <c r="F2709" s="2" t="str">
        <f>F2708</f>
        <v>Games Team</v>
      </c>
      <c r="G2709" s="2" t="str">
        <f>G2708</f>
        <v/>
      </c>
      <c r="H2709" s="2" t="str">
        <f>H2708</f>
        <v/>
      </c>
      <c r="I2709" s="2" t="str">
        <f>I2708</f>
        <v/>
      </c>
      <c r="J2709" s="2" t="str">
        <f>J2708</f>
        <v/>
      </c>
      <c r="M2709" s="180" t="str">
        <f>M2708</f>
        <v/>
      </c>
      <c r="N2709" s="329" t="str">
        <f t="shared" si="1776"/>
        <v/>
      </c>
      <c r="O2709" s="2">
        <f>O2708</f>
        <v>0</v>
      </c>
    </row>
    <row r="2710" spans="1:15" x14ac:dyDescent="0.25">
      <c r="A2710" s="325">
        <v>1</v>
      </c>
      <c r="B2710" s="325">
        <f t="shared" si="1773"/>
        <v>0</v>
      </c>
      <c r="C2710" s="325" t="s">
        <v>3726</v>
      </c>
      <c r="D2710" s="325">
        <f>Games!D110</f>
        <v>0</v>
      </c>
      <c r="E2710" s="325"/>
      <c r="F2710" s="325" t="s">
        <v>3727</v>
      </c>
      <c r="G2710" s="325" t="str">
        <f>IF(Games!AJ110="e","Y","")</f>
        <v/>
      </c>
      <c r="H2710" s="325" t="str">
        <f>Games!E110</f>
        <v/>
      </c>
      <c r="I2710" s="325" t="str">
        <f>Games!F110</f>
        <v/>
      </c>
      <c r="J2710" s="325" t="str">
        <f>Games!G110</f>
        <v/>
      </c>
      <c r="K2710" s="325"/>
      <c r="L2710" s="325"/>
      <c r="M2710" s="326" t="str">
        <f t="shared" si="1774"/>
        <v/>
      </c>
      <c r="N2710" s="329" t="str">
        <f t="shared" si="1772"/>
        <v/>
      </c>
      <c r="O2710" s="325">
        <f t="shared" si="1775"/>
        <v>0</v>
      </c>
    </row>
    <row r="2711" spans="1:15" x14ac:dyDescent="0.25">
      <c r="A2711" s="325">
        <v>2</v>
      </c>
      <c r="B2711" s="325">
        <f>B2710</f>
        <v>0</v>
      </c>
      <c r="C2711" s="325" t="str">
        <f>C2710</f>
        <v>GT</v>
      </c>
      <c r="D2711" s="325">
        <f>D2710</f>
        <v>0</v>
      </c>
      <c r="E2711" s="325"/>
      <c r="F2711" s="325" t="str">
        <f>F2710</f>
        <v>Games Team</v>
      </c>
      <c r="G2711" s="325" t="str">
        <f>G2710</f>
        <v/>
      </c>
      <c r="H2711" s="325" t="str">
        <f>H2710</f>
        <v/>
      </c>
      <c r="I2711" s="325" t="str">
        <f>I2710</f>
        <v/>
      </c>
      <c r="J2711" s="325" t="str">
        <f>J2710</f>
        <v/>
      </c>
      <c r="K2711" s="325"/>
      <c r="L2711" s="325"/>
      <c r="M2711" s="326" t="str">
        <f>M2710</f>
        <v/>
      </c>
      <c r="N2711" s="329" t="str">
        <f t="shared" si="1776"/>
        <v/>
      </c>
      <c r="O2711" s="325">
        <f>O2710</f>
        <v>0</v>
      </c>
    </row>
    <row r="2712" spans="1:15" x14ac:dyDescent="0.25">
      <c r="A2712" s="2">
        <v>1</v>
      </c>
      <c r="B2712" s="2">
        <f t="shared" si="1773"/>
        <v>0</v>
      </c>
      <c r="C2712" s="2" t="s">
        <v>3726</v>
      </c>
      <c r="D2712" s="2">
        <f>Games!D111</f>
        <v>0</v>
      </c>
      <c r="F2712" s="2" t="s">
        <v>3727</v>
      </c>
      <c r="G2712" s="2" t="str">
        <f>IF(Games!AJ111="e","Y","")</f>
        <v/>
      </c>
      <c r="H2712" s="2" t="str">
        <f>Games!E111</f>
        <v/>
      </c>
      <c r="I2712" s="2" t="str">
        <f>Games!F111</f>
        <v/>
      </c>
      <c r="J2712" s="2" t="str">
        <f>Games!G111</f>
        <v/>
      </c>
      <c r="M2712" s="180" t="str">
        <f t="shared" si="1774"/>
        <v/>
      </c>
      <c r="N2712" s="329" t="str">
        <f t="shared" si="1772"/>
        <v/>
      </c>
      <c r="O2712" s="2">
        <f t="shared" si="1775"/>
        <v>0</v>
      </c>
    </row>
    <row r="2713" spans="1:15" x14ac:dyDescent="0.25">
      <c r="A2713" s="2">
        <v>2</v>
      </c>
      <c r="B2713" s="2">
        <f>B2712</f>
        <v>0</v>
      </c>
      <c r="C2713" s="2" t="str">
        <f>C2712</f>
        <v>GT</v>
      </c>
      <c r="D2713" s="2">
        <f>D2712</f>
        <v>0</v>
      </c>
      <c r="F2713" s="2" t="str">
        <f>F2712</f>
        <v>Games Team</v>
      </c>
      <c r="G2713" s="2" t="str">
        <f>G2712</f>
        <v/>
      </c>
      <c r="H2713" s="2" t="str">
        <f>H2712</f>
        <v/>
      </c>
      <c r="I2713" s="2" t="str">
        <f>I2712</f>
        <v/>
      </c>
      <c r="J2713" s="2" t="str">
        <f>J2712</f>
        <v/>
      </c>
      <c r="M2713" s="180" t="str">
        <f>M2712</f>
        <v/>
      </c>
      <c r="N2713" s="329" t="str">
        <f t="shared" si="1776"/>
        <v/>
      </c>
      <c r="O2713" s="2">
        <f>O2712</f>
        <v>0</v>
      </c>
    </row>
    <row r="2714" spans="1:15" x14ac:dyDescent="0.25">
      <c r="A2714" s="325">
        <v>1</v>
      </c>
      <c r="B2714" s="325">
        <f t="shared" si="1773"/>
        <v>0</v>
      </c>
      <c r="C2714" s="325" t="s">
        <v>3726</v>
      </c>
      <c r="D2714" s="325">
        <f>Games!D112</f>
        <v>0</v>
      </c>
      <c r="E2714" s="325"/>
      <c r="F2714" s="325" t="s">
        <v>3727</v>
      </c>
      <c r="G2714" s="325" t="str">
        <f>IF(Games!AJ112="e","Y","")</f>
        <v/>
      </c>
      <c r="H2714" s="325" t="str">
        <f>Games!E112</f>
        <v/>
      </c>
      <c r="I2714" s="325" t="str">
        <f>Games!F112</f>
        <v/>
      </c>
      <c r="J2714" s="325" t="str">
        <f>Games!G112</f>
        <v/>
      </c>
      <c r="K2714" s="325"/>
      <c r="L2714" s="325"/>
      <c r="M2714" s="326" t="str">
        <f t="shared" si="1774"/>
        <v/>
      </c>
      <c r="N2714" s="329" t="str">
        <f t="shared" si="1772"/>
        <v/>
      </c>
      <c r="O2714" s="325">
        <f t="shared" si="1775"/>
        <v>0</v>
      </c>
    </row>
    <row r="2715" spans="1:15" x14ac:dyDescent="0.25">
      <c r="A2715" s="325">
        <v>2</v>
      </c>
      <c r="B2715" s="325">
        <f>B2714</f>
        <v>0</v>
      </c>
      <c r="C2715" s="325" t="str">
        <f>C2714</f>
        <v>GT</v>
      </c>
      <c r="D2715" s="325">
        <f>D2714</f>
        <v>0</v>
      </c>
      <c r="E2715" s="325"/>
      <c r="F2715" s="325" t="str">
        <f>F2714</f>
        <v>Games Team</v>
      </c>
      <c r="G2715" s="325" t="str">
        <f>G2714</f>
        <v/>
      </c>
      <c r="H2715" s="325" t="str">
        <f>H2714</f>
        <v/>
      </c>
      <c r="I2715" s="325" t="str">
        <f>I2714</f>
        <v/>
      </c>
      <c r="J2715" s="325" t="str">
        <f>J2714</f>
        <v/>
      </c>
      <c r="K2715" s="325"/>
      <c r="L2715" s="325"/>
      <c r="M2715" s="326" t="str">
        <f>M2714</f>
        <v/>
      </c>
      <c r="N2715" s="329" t="str">
        <f t="shared" si="1776"/>
        <v/>
      </c>
      <c r="O2715" s="325">
        <f>O2714</f>
        <v>0</v>
      </c>
    </row>
    <row r="2716" spans="1:15" x14ac:dyDescent="0.25">
      <c r="A2716" s="2">
        <v>1</v>
      </c>
      <c r="B2716" s="2">
        <f t="shared" si="1773"/>
        <v>0</v>
      </c>
      <c r="C2716" s="2" t="s">
        <v>3726</v>
      </c>
      <c r="D2716" s="2">
        <f>Games!D113</f>
        <v>0</v>
      </c>
      <c r="F2716" s="2" t="s">
        <v>3727</v>
      </c>
      <c r="G2716" s="2" t="str">
        <f>IF(Games!AJ113="e","Y","")</f>
        <v/>
      </c>
      <c r="H2716" s="2" t="str">
        <f>Games!E113</f>
        <v/>
      </c>
      <c r="I2716" s="2" t="str">
        <f>Games!F113</f>
        <v/>
      </c>
      <c r="J2716" s="2" t="str">
        <f>Games!G113</f>
        <v/>
      </c>
      <c r="M2716" s="180" t="str">
        <f t="shared" si="1774"/>
        <v/>
      </c>
      <c r="N2716" s="329" t="str">
        <f t="shared" si="1772"/>
        <v/>
      </c>
      <c r="O2716" s="2">
        <f t="shared" si="1775"/>
        <v>0</v>
      </c>
    </row>
    <row r="2717" spans="1:15" x14ac:dyDescent="0.25">
      <c r="A2717" s="2">
        <v>2</v>
      </c>
      <c r="B2717" s="2">
        <f>B2716</f>
        <v>0</v>
      </c>
      <c r="C2717" s="2" t="str">
        <f>C2716</f>
        <v>GT</v>
      </c>
      <c r="D2717" s="2">
        <f>D2716</f>
        <v>0</v>
      </c>
      <c r="F2717" s="2" t="str">
        <f>F2716</f>
        <v>Games Team</v>
      </c>
      <c r="G2717" s="2" t="str">
        <f>G2716</f>
        <v/>
      </c>
      <c r="H2717" s="2" t="str">
        <f>H2716</f>
        <v/>
      </c>
      <c r="I2717" s="2" t="str">
        <f>I2716</f>
        <v/>
      </c>
      <c r="J2717" s="2" t="str">
        <f>J2716</f>
        <v/>
      </c>
      <c r="M2717" s="180" t="str">
        <f>M2716</f>
        <v/>
      </c>
      <c r="N2717" s="329" t="str">
        <f t="shared" si="1776"/>
        <v/>
      </c>
      <c r="O2717" s="2">
        <f>O2716</f>
        <v>0</v>
      </c>
    </row>
    <row r="2718" spans="1:15" x14ac:dyDescent="0.25">
      <c r="A2718" s="325">
        <v>1</v>
      </c>
      <c r="B2718" s="325">
        <f t="shared" si="1773"/>
        <v>0</v>
      </c>
      <c r="C2718" s="325" t="s">
        <v>3726</v>
      </c>
      <c r="D2718" s="325">
        <f>Games!D114</f>
        <v>0</v>
      </c>
      <c r="E2718" s="325"/>
      <c r="F2718" s="325" t="s">
        <v>3727</v>
      </c>
      <c r="G2718" s="325" t="str">
        <f>IF(Games!AJ114="e","Y","")</f>
        <v/>
      </c>
      <c r="H2718" s="325" t="str">
        <f>Games!E114</f>
        <v/>
      </c>
      <c r="I2718" s="325" t="str">
        <f>Games!F114</f>
        <v/>
      </c>
      <c r="J2718" s="325" t="str">
        <f>Games!G114</f>
        <v/>
      </c>
      <c r="K2718" s="325"/>
      <c r="L2718" s="325"/>
      <c r="M2718" s="326" t="str">
        <f t="shared" si="1774"/>
        <v/>
      </c>
      <c r="N2718" s="329" t="str">
        <f t="shared" si="1772"/>
        <v/>
      </c>
      <c r="O2718" s="325">
        <f t="shared" si="1775"/>
        <v>0</v>
      </c>
    </row>
    <row r="2719" spans="1:15" x14ac:dyDescent="0.25">
      <c r="A2719" s="325">
        <v>2</v>
      </c>
      <c r="B2719" s="325">
        <f>B2718</f>
        <v>0</v>
      </c>
      <c r="C2719" s="325" t="str">
        <f>C2718</f>
        <v>GT</v>
      </c>
      <c r="D2719" s="325">
        <f>D2718</f>
        <v>0</v>
      </c>
      <c r="E2719" s="325"/>
      <c r="F2719" s="325" t="str">
        <f>F2718</f>
        <v>Games Team</v>
      </c>
      <c r="G2719" s="325" t="str">
        <f>G2718</f>
        <v/>
      </c>
      <c r="H2719" s="325" t="str">
        <f>H2718</f>
        <v/>
      </c>
      <c r="I2719" s="325" t="str">
        <f>I2718</f>
        <v/>
      </c>
      <c r="J2719" s="325" t="str">
        <f>J2718</f>
        <v/>
      </c>
      <c r="K2719" s="325"/>
      <c r="L2719" s="325"/>
      <c r="M2719" s="326" t="str">
        <f>M2718</f>
        <v/>
      </c>
      <c r="N2719" s="329" t="str">
        <f t="shared" si="1776"/>
        <v/>
      </c>
      <c r="O2719" s="325">
        <f>O2718</f>
        <v>0</v>
      </c>
    </row>
    <row r="2720" spans="1:15" x14ac:dyDescent="0.25">
      <c r="A2720" s="2">
        <v>1</v>
      </c>
      <c r="B2720" s="2">
        <f t="shared" si="1773"/>
        <v>0</v>
      </c>
      <c r="C2720" s="2" t="s">
        <v>3726</v>
      </c>
      <c r="D2720" s="2">
        <f>Games!D115</f>
        <v>0</v>
      </c>
      <c r="F2720" s="2" t="s">
        <v>3727</v>
      </c>
      <c r="G2720" s="2" t="str">
        <f>IF(Games!AJ115="e","Y","")</f>
        <v/>
      </c>
      <c r="H2720" s="2" t="str">
        <f>Games!E115</f>
        <v/>
      </c>
      <c r="I2720" s="2" t="str">
        <f>Games!F115</f>
        <v/>
      </c>
      <c r="J2720" s="2" t="str">
        <f>Games!G115</f>
        <v/>
      </c>
      <c r="M2720" s="180" t="str">
        <f t="shared" si="1774"/>
        <v/>
      </c>
      <c r="N2720" s="329" t="str">
        <f t="shared" si="1772"/>
        <v/>
      </c>
      <c r="O2720" s="2">
        <f t="shared" si="1775"/>
        <v>0</v>
      </c>
    </row>
    <row r="2721" spans="1:15" x14ac:dyDescent="0.25">
      <c r="A2721" s="331">
        <v>2</v>
      </c>
      <c r="B2721" s="331">
        <f t="shared" ref="B2721:D2721" si="1777">B2720</f>
        <v>0</v>
      </c>
      <c r="C2721" s="331" t="str">
        <f t="shared" si="1777"/>
        <v>GT</v>
      </c>
      <c r="D2721" s="331">
        <f t="shared" si="1777"/>
        <v>0</v>
      </c>
      <c r="E2721" s="331"/>
      <c r="F2721" s="331" t="str">
        <f t="shared" ref="F2721:J2721" si="1778">F2720</f>
        <v>Games Team</v>
      </c>
      <c r="G2721" s="331" t="str">
        <f t="shared" si="1778"/>
        <v/>
      </c>
      <c r="H2721" s="331" t="str">
        <f t="shared" si="1778"/>
        <v/>
      </c>
      <c r="I2721" s="331" t="str">
        <f t="shared" si="1778"/>
        <v/>
      </c>
      <c r="J2721" s="331" t="str">
        <f t="shared" si="1778"/>
        <v/>
      </c>
      <c r="K2721" s="331"/>
      <c r="L2721" s="331"/>
      <c r="M2721" s="332" t="str">
        <f t="shared" ref="M2721:O2721" si="1779">M2720</f>
        <v/>
      </c>
      <c r="N2721" s="333" t="str">
        <f t="shared" si="1776"/>
        <v/>
      </c>
      <c r="O2721" s="331">
        <f t="shared" si="1779"/>
        <v>0</v>
      </c>
    </row>
  </sheetData>
  <sheetProtection selectLockedCells="1"/>
  <pageMargins left="0.7" right="0.7" top="0.75" bottom="0.75" header="0.3" footer="0.3"/>
  <pageSetup orientation="portrait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1361"/>
  <sheetViews>
    <sheetView workbookViewId="0">
      <pane ySplit="1" topLeftCell="A1327" activePane="bottomLeft" state="frozen"/>
      <selection pane="bottomLeft" activeCell="K2" sqref="K2"/>
    </sheetView>
  </sheetViews>
  <sheetFormatPr defaultColWidth="10.7109375" defaultRowHeight="15" x14ac:dyDescent="0.25"/>
  <cols>
    <col min="5" max="6" width="10.7109375" style="2"/>
    <col min="8" max="8" width="10.7109375" bestFit="1" customWidth="1"/>
    <col min="9" max="9" width="8.140625" bestFit="1" customWidth="1"/>
    <col min="10" max="10" width="7.85546875" bestFit="1" customWidth="1"/>
    <col min="11" max="11" width="9.7109375" bestFit="1" customWidth="1"/>
    <col min="12" max="12" width="8.28515625" bestFit="1" customWidth="1"/>
    <col min="13" max="13" width="8.140625" bestFit="1" customWidth="1"/>
    <col min="14" max="14" width="9.85546875" bestFit="1" customWidth="1"/>
    <col min="15" max="15" width="8.140625" bestFit="1" customWidth="1"/>
    <col min="16" max="16" width="7.85546875" bestFit="1" customWidth="1"/>
    <col min="17" max="17" width="9.7109375" bestFit="1" customWidth="1"/>
    <col min="23" max="23" width="13.85546875" bestFit="1" customWidth="1"/>
    <col min="26" max="26" width="13.7109375" customWidth="1"/>
    <col min="27" max="27" width="10.7109375" style="113" bestFit="1" customWidth="1"/>
  </cols>
  <sheetData>
    <row r="1" spans="1:30" x14ac:dyDescent="0.25">
      <c r="A1" t="s">
        <v>11</v>
      </c>
      <c r="B1" t="s">
        <v>12</v>
      </c>
      <c r="C1" t="s">
        <v>13</v>
      </c>
      <c r="D1" t="s">
        <v>14</v>
      </c>
      <c r="E1" s="2" t="s">
        <v>24</v>
      </c>
      <c r="F1" s="2" t="s">
        <v>3379</v>
      </c>
      <c r="G1" t="s">
        <v>3283</v>
      </c>
      <c r="H1" t="s">
        <v>2368</v>
      </c>
      <c r="I1" t="s">
        <v>2369</v>
      </c>
      <c r="J1" t="s">
        <v>2370</v>
      </c>
      <c r="K1" t="s">
        <v>2371</v>
      </c>
      <c r="L1" t="s">
        <v>2372</v>
      </c>
      <c r="M1" t="s">
        <v>2373</v>
      </c>
      <c r="N1" t="s">
        <v>2374</v>
      </c>
      <c r="O1" t="s">
        <v>2375</v>
      </c>
      <c r="P1" t="s">
        <v>2376</v>
      </c>
      <c r="Q1" t="s">
        <v>2377</v>
      </c>
      <c r="R1" t="s">
        <v>3511</v>
      </c>
      <c r="S1" t="s">
        <v>3512</v>
      </c>
      <c r="U1" t="s">
        <v>1136</v>
      </c>
      <c r="V1" t="s">
        <v>3198</v>
      </c>
      <c r="W1" t="s">
        <v>12419</v>
      </c>
      <c r="Z1" t="s">
        <v>15199</v>
      </c>
      <c r="AA1" s="113" t="s">
        <v>15198</v>
      </c>
      <c r="AB1" t="s">
        <v>15200</v>
      </c>
      <c r="AC1" t="s">
        <v>15201</v>
      </c>
      <c r="AD1" t="s">
        <v>15202</v>
      </c>
    </row>
    <row r="2" spans="1:30" x14ac:dyDescent="0.25">
      <c r="A2">
        <f t="shared" ref="A2:A65" si="0">TrialNumber</f>
        <v>0</v>
      </c>
      <c r="B2" t="s">
        <v>15</v>
      </c>
      <c r="C2">
        <f>Started!C5</f>
        <v>0</v>
      </c>
      <c r="D2">
        <f>IF(Started!I5="Pass",Started!G5,0)</f>
        <v>0</v>
      </c>
      <c r="E2" s="2" t="str">
        <f>IF(Started!B5="W","W","A")</f>
        <v>A</v>
      </c>
      <c r="F2" s="2" t="e">
        <f>VLOOKUP(JudgeD1CSS,Judges!$A$2:$B$44,2,FALSE)</f>
        <v>#N/A</v>
      </c>
      <c r="G2" t="str">
        <f>Started!I5</f>
        <v/>
      </c>
      <c r="H2" s="113" t="str">
        <f t="shared" ref="H2:H31" si="1">TrialDate</f>
        <v/>
      </c>
      <c r="I2">
        <f>Started!C5</f>
        <v>0</v>
      </c>
      <c r="J2">
        <f>IF(AND(Started!AQ5=1, Started!AM5=0),Started!AD5,0)</f>
        <v>0</v>
      </c>
      <c r="K2">
        <f>IF(AND(Started!I5="Pass",Started!Q5="Pass",Started!Y5="Pass"),-1,0)</f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f>Elite!C5</f>
        <v>0</v>
      </c>
      <c r="S2">
        <f>IF(AND(Elite!AP5=1, Elite!AL5=0),Elite!AC5,0)</f>
        <v>0</v>
      </c>
      <c r="U2">
        <f>IF(Summary!I29="",0,Summary!I29)</f>
        <v>0</v>
      </c>
      <c r="V2" s="113">
        <f>IF(Summary!K29="",1,Summary!K29)</f>
        <v>1</v>
      </c>
      <c r="W2" s="113" t="str">
        <f>IF(Summary!L29="","",Summary!L29)</f>
        <v/>
      </c>
      <c r="Z2">
        <f>Games!$D7</f>
        <v>0</v>
      </c>
      <c r="AA2" s="113">
        <f>IF(AND(Games!N7=2,Games!S7=3),TrialDate,1)</f>
        <v>1</v>
      </c>
      <c r="AB2" s="113">
        <f>IF(AND(Games!U7=2,Games!Z7=3),TrialDate,1)</f>
        <v>1</v>
      </c>
      <c r="AC2" s="113">
        <f>IF(AND(Games!AB7=2,Games!AG7=3),TrialDate,1)</f>
        <v>1</v>
      </c>
      <c r="AD2" s="113">
        <f>IF(AND(Games!AI7=2,Games!AN7=3),TrialDate,1)</f>
        <v>1</v>
      </c>
    </row>
    <row r="3" spans="1:30" x14ac:dyDescent="0.25">
      <c r="A3">
        <f t="shared" si="0"/>
        <v>0</v>
      </c>
      <c r="B3" t="s">
        <v>15</v>
      </c>
      <c r="C3">
        <f>Started!C6</f>
        <v>0</v>
      </c>
      <c r="D3">
        <f>IF(Started!I6="Pass",Started!G6,0)</f>
        <v>0</v>
      </c>
      <c r="E3" s="2" t="str">
        <f>IF(Started!B6="W","W","A")</f>
        <v>A</v>
      </c>
      <c r="F3" s="2" t="e">
        <f>VLOOKUP(JudgeD1CSS,Judges!$A$2:$B$44,2,FALSE)</f>
        <v>#N/A</v>
      </c>
      <c r="G3" t="str">
        <f>Started!I6</f>
        <v/>
      </c>
      <c r="H3" s="113" t="str">
        <f t="shared" si="1"/>
        <v/>
      </c>
      <c r="I3">
        <f>Started!C6</f>
        <v>0</v>
      </c>
      <c r="J3">
        <f>IF(AND(Started!AQ6=1, Started!AM6=0),Started!AD6,0)</f>
        <v>0</v>
      </c>
      <c r="K3">
        <f>IF(AND(Started!I6="Pass",Started!Q6="Pass",Started!Y6="Pass"),-1,0)</f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f>Elite!C6</f>
        <v>0</v>
      </c>
      <c r="S3">
        <f>IF(AND(Elite!AP6=1, Elite!AL6=0),Elite!AC6,0)</f>
        <v>0</v>
      </c>
      <c r="U3">
        <f>IF(Summary!I30="",0,Summary!I30)</f>
        <v>0</v>
      </c>
      <c r="V3" s="113">
        <f>IF(Summary!K30="",1,Summary!K30)</f>
        <v>1</v>
      </c>
      <c r="W3" s="113" t="str">
        <f>IF(Summary!L30="","",Summary!L30)</f>
        <v/>
      </c>
      <c r="Z3">
        <f>Games!$D8</f>
        <v>0</v>
      </c>
      <c r="AA3" s="113">
        <f>IF(AND(Games!N8=2,Games!S8=3),TrialDate,1)</f>
        <v>1</v>
      </c>
      <c r="AB3" s="113">
        <f>IF(AND(Games!U8=2,Games!Z8=3),TrialDate,1)</f>
        <v>1</v>
      </c>
      <c r="AC3" s="113">
        <f>IF(AND(Games!AB8=2,Games!AG8=3),TrialDate,1)</f>
        <v>1</v>
      </c>
      <c r="AD3" s="113">
        <f>IF(AND(Games!AI8=2,Games!AN8=3),TrialDate,1)</f>
        <v>1</v>
      </c>
    </row>
    <row r="4" spans="1:30" x14ac:dyDescent="0.25">
      <c r="A4">
        <f t="shared" si="0"/>
        <v>0</v>
      </c>
      <c r="B4" t="s">
        <v>15</v>
      </c>
      <c r="C4">
        <f>Started!C7</f>
        <v>0</v>
      </c>
      <c r="D4">
        <f>IF(Started!I7="Pass",Started!G7,0)</f>
        <v>0</v>
      </c>
      <c r="E4" s="2" t="str">
        <f>IF(Started!B7="W","W","A")</f>
        <v>A</v>
      </c>
      <c r="F4" s="2" t="e">
        <f>VLOOKUP(JudgeD1CSS,Judges!$A$2:$B$44,2,FALSE)</f>
        <v>#N/A</v>
      </c>
      <c r="G4" t="str">
        <f>Started!I7</f>
        <v/>
      </c>
      <c r="H4" s="113" t="str">
        <f t="shared" si="1"/>
        <v/>
      </c>
      <c r="I4">
        <f>Started!C7</f>
        <v>0</v>
      </c>
      <c r="J4">
        <f>IF(AND(Started!AQ7=1, Started!AM7=0),Started!AD7,0)</f>
        <v>0</v>
      </c>
      <c r="K4">
        <f>IF(AND(Started!I7="Pass",Started!Q7="Pass",Started!Y7="Pass"),-1,0)</f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f>Elite!C7</f>
        <v>0</v>
      </c>
      <c r="S4">
        <f>IF(AND(Elite!AP7=1, Elite!AL7=0),Elite!AC7,0)</f>
        <v>0</v>
      </c>
      <c r="U4">
        <f>IF(Summary!I31="",0,Summary!I31)</f>
        <v>0</v>
      </c>
      <c r="V4" s="113">
        <f>IF(Summary!K31="",1,Summary!K31)</f>
        <v>1</v>
      </c>
      <c r="W4" s="113" t="str">
        <f>IF(Summary!L31="","",Summary!L31)</f>
        <v/>
      </c>
      <c r="Z4">
        <f>Games!$D9</f>
        <v>0</v>
      </c>
      <c r="AA4" s="113">
        <f>IF(AND(Games!N9=2,Games!S9=3),TrialDate,1)</f>
        <v>1</v>
      </c>
      <c r="AB4" s="113">
        <f>IF(AND(Games!U9=2,Games!Z9=3),TrialDate,1)</f>
        <v>1</v>
      </c>
      <c r="AC4" s="113">
        <f>IF(AND(Games!AB9=2,Games!AG9=3),TrialDate,1)</f>
        <v>1</v>
      </c>
      <c r="AD4" s="113">
        <f>IF(AND(Games!AI9=2,Games!AN9=3),TrialDate,1)</f>
        <v>1</v>
      </c>
    </row>
    <row r="5" spans="1:30" x14ac:dyDescent="0.25">
      <c r="A5">
        <f t="shared" si="0"/>
        <v>0</v>
      </c>
      <c r="B5" t="s">
        <v>15</v>
      </c>
      <c r="C5">
        <f>Started!C8</f>
        <v>0</v>
      </c>
      <c r="D5">
        <f>IF(Started!I8="Pass",Started!G8,0)</f>
        <v>0</v>
      </c>
      <c r="E5" s="2" t="str">
        <f>IF(Started!B8="W","W","A")</f>
        <v>A</v>
      </c>
      <c r="F5" s="2" t="e">
        <f>VLOOKUP(JudgeD1CSS,Judges!$A$2:$B$44,2,FALSE)</f>
        <v>#N/A</v>
      </c>
      <c r="G5" t="str">
        <f>Started!I8</f>
        <v/>
      </c>
      <c r="H5" s="113" t="str">
        <f t="shared" si="1"/>
        <v/>
      </c>
      <c r="I5">
        <f>Started!C8</f>
        <v>0</v>
      </c>
      <c r="J5">
        <f>IF(AND(Started!AQ8=1, Started!AM8=0),Started!AD8,0)</f>
        <v>0</v>
      </c>
      <c r="K5">
        <f>IF(AND(Started!I8="Pass",Started!Q8="Pass",Started!Y8="Pass"),-1,0)</f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f>Elite!C8</f>
        <v>0</v>
      </c>
      <c r="S5">
        <f>IF(AND(Elite!AP8=1, Elite!AL8=0),Elite!AC8,0)</f>
        <v>0</v>
      </c>
      <c r="U5">
        <f>IF(Summary!I32="",0,Summary!I32)</f>
        <v>0</v>
      </c>
      <c r="V5" s="113">
        <f>IF(Summary!K32="",1,Summary!K32)</f>
        <v>1</v>
      </c>
      <c r="W5" s="113" t="str">
        <f>IF(Summary!L32="","",Summary!L32)</f>
        <v/>
      </c>
      <c r="Z5">
        <f>Games!$D10</f>
        <v>0</v>
      </c>
      <c r="AA5" s="113">
        <f>IF(AND(Games!N10=2,Games!S10=3),TrialDate,1)</f>
        <v>1</v>
      </c>
      <c r="AB5" s="113">
        <f>IF(AND(Games!U10=2,Games!Z10=3),TrialDate,1)</f>
        <v>1</v>
      </c>
      <c r="AC5" s="113">
        <f>IF(AND(Games!AB10=2,Games!AG10=3),TrialDate,1)</f>
        <v>1</v>
      </c>
      <c r="AD5" s="113">
        <f>IF(AND(Games!AI10=2,Games!AN10=3),TrialDate,1)</f>
        <v>1</v>
      </c>
    </row>
    <row r="6" spans="1:30" x14ac:dyDescent="0.25">
      <c r="A6">
        <f t="shared" si="0"/>
        <v>0</v>
      </c>
      <c r="B6" t="s">
        <v>15</v>
      </c>
      <c r="C6">
        <f>Started!C9</f>
        <v>0</v>
      </c>
      <c r="D6">
        <f>IF(Started!I9="Pass",Started!G9,0)</f>
        <v>0</v>
      </c>
      <c r="E6" s="2" t="str">
        <f>IF(Started!B9="W","W","A")</f>
        <v>A</v>
      </c>
      <c r="F6" s="2" t="e">
        <f>VLOOKUP(JudgeD1CSS,Judges!$A$2:$B$44,2,FALSE)</f>
        <v>#N/A</v>
      </c>
      <c r="G6" t="str">
        <f>Started!I9</f>
        <v/>
      </c>
      <c r="H6" s="113" t="str">
        <f t="shared" si="1"/>
        <v/>
      </c>
      <c r="I6">
        <f>Started!C9</f>
        <v>0</v>
      </c>
      <c r="J6">
        <f>IF(AND(Started!AQ9=1, Started!AM9=0),Started!AD9,0)</f>
        <v>0</v>
      </c>
      <c r="K6">
        <f>IF(AND(Started!I9="Pass",Started!Q9="Pass",Started!Y9="Pass"),-1,0)</f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f>Elite!C9</f>
        <v>0</v>
      </c>
      <c r="S6">
        <f>IF(AND(Elite!AP9=1, Elite!AL9=0),Elite!AC9,0)</f>
        <v>0</v>
      </c>
      <c r="U6">
        <f>IF(Summary!I33="",0,Summary!I33)</f>
        <v>0</v>
      </c>
      <c r="V6" s="113">
        <f>IF(Summary!K33="",1,Summary!K33)</f>
        <v>1</v>
      </c>
      <c r="W6" s="113" t="str">
        <f>IF(Summary!L33="","",Summary!L33)</f>
        <v/>
      </c>
      <c r="Z6">
        <f>Games!$D11</f>
        <v>0</v>
      </c>
      <c r="AA6" s="113">
        <f>IF(AND(Games!N11=2,Games!S11=3),TrialDate,1)</f>
        <v>1</v>
      </c>
      <c r="AB6" s="113">
        <f>IF(AND(Games!U11=2,Games!Z11=3),TrialDate,1)</f>
        <v>1</v>
      </c>
      <c r="AC6" s="113">
        <f>IF(AND(Games!AB11=2,Games!AG11=3),TrialDate,1)</f>
        <v>1</v>
      </c>
      <c r="AD6" s="113">
        <f>IF(AND(Games!AI11=2,Games!AN11=3),TrialDate,1)</f>
        <v>1</v>
      </c>
    </row>
    <row r="7" spans="1:30" x14ac:dyDescent="0.25">
      <c r="A7">
        <f t="shared" si="0"/>
        <v>0</v>
      </c>
      <c r="B7" t="s">
        <v>15</v>
      </c>
      <c r="C7">
        <f>Started!C10</f>
        <v>0</v>
      </c>
      <c r="D7">
        <f>IF(Started!I10="Pass",Started!G10,0)</f>
        <v>0</v>
      </c>
      <c r="E7" s="2" t="str">
        <f>IF(Started!B10="W","W","A")</f>
        <v>A</v>
      </c>
      <c r="F7" s="2" t="e">
        <f>VLOOKUP(JudgeD1CSS,Judges!$A$2:$B$44,2,FALSE)</f>
        <v>#N/A</v>
      </c>
      <c r="G7" t="str">
        <f>Started!I10</f>
        <v/>
      </c>
      <c r="H7" s="113" t="str">
        <f t="shared" si="1"/>
        <v/>
      </c>
      <c r="I7">
        <f>Started!C10</f>
        <v>0</v>
      </c>
      <c r="J7">
        <f>IF(AND(Started!AQ10=1, Started!AM10=0),Started!AD10,0)</f>
        <v>0</v>
      </c>
      <c r="K7">
        <f>IF(AND(Started!I10="Pass",Started!Q10="Pass",Started!Y10="Pass"),-1,0)</f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f>Elite!C10</f>
        <v>0</v>
      </c>
      <c r="S7">
        <f>IF(AND(Elite!AP10=1, Elite!AL10=0),Elite!AC10,0)</f>
        <v>0</v>
      </c>
      <c r="U7">
        <f>IF(Summary!I34="",0,Summary!I34)</f>
        <v>0</v>
      </c>
      <c r="V7" s="113">
        <f>IF(Summary!K34="",1,Summary!K34)</f>
        <v>1</v>
      </c>
      <c r="W7" s="113" t="str">
        <f>IF(Summary!L34="","",Summary!L34)</f>
        <v/>
      </c>
      <c r="Z7">
        <f>Games!$D12</f>
        <v>0</v>
      </c>
      <c r="AA7" s="113">
        <f>IF(AND(Games!N12=2,Games!S12=3),TrialDate,1)</f>
        <v>1</v>
      </c>
      <c r="AB7" s="113">
        <f>IF(AND(Games!U12=2,Games!Z12=3),TrialDate,1)</f>
        <v>1</v>
      </c>
      <c r="AC7" s="113">
        <f>IF(AND(Games!AB12=2,Games!AG12=3),TrialDate,1)</f>
        <v>1</v>
      </c>
      <c r="AD7" s="113">
        <f>IF(AND(Games!AI12=2,Games!AN12=3),TrialDate,1)</f>
        <v>1</v>
      </c>
    </row>
    <row r="8" spans="1:30" x14ac:dyDescent="0.25">
      <c r="A8">
        <f t="shared" si="0"/>
        <v>0</v>
      </c>
      <c r="B8" t="s">
        <v>15</v>
      </c>
      <c r="C8">
        <f>Started!C11</f>
        <v>0</v>
      </c>
      <c r="D8">
        <f>IF(Started!I11="Pass",Started!G11,0)</f>
        <v>0</v>
      </c>
      <c r="E8" s="2" t="str">
        <f>IF(Started!B11="W","W","A")</f>
        <v>A</v>
      </c>
      <c r="F8" s="2" t="e">
        <f>VLOOKUP(JudgeD1CSS,Judges!$A$2:$B$44,2,FALSE)</f>
        <v>#N/A</v>
      </c>
      <c r="G8" t="str">
        <f>Started!I11</f>
        <v/>
      </c>
      <c r="H8" s="113" t="str">
        <f t="shared" si="1"/>
        <v/>
      </c>
      <c r="I8">
        <f>Started!C11</f>
        <v>0</v>
      </c>
      <c r="J8">
        <f>IF(AND(Started!AQ11=1, Started!AM11=0),Started!AD11,0)</f>
        <v>0</v>
      </c>
      <c r="K8">
        <f>IF(AND(Started!I11="Pass",Started!Q11="Pass",Started!Y11="Pass"),-1,0)</f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f>Elite!C11</f>
        <v>0</v>
      </c>
      <c r="S8">
        <f>IF(AND(Elite!AP11=1, Elite!AL11=0),Elite!AC11,0)</f>
        <v>0</v>
      </c>
      <c r="U8">
        <f>IF(Summary!I35="",0,Summary!I35)</f>
        <v>0</v>
      </c>
      <c r="V8" s="113">
        <f>IF(Summary!K35="",1,Summary!K35)</f>
        <v>1</v>
      </c>
      <c r="W8" s="113" t="str">
        <f>IF(Summary!L35="","",Summary!L35)</f>
        <v/>
      </c>
      <c r="Z8">
        <f>Games!$D13</f>
        <v>0</v>
      </c>
      <c r="AA8" s="113">
        <f>IF(AND(Games!N13=2,Games!S13=3),TrialDate,1)</f>
        <v>1</v>
      </c>
      <c r="AB8" s="113">
        <f>IF(AND(Games!U13=2,Games!Z13=3),TrialDate,1)</f>
        <v>1</v>
      </c>
      <c r="AC8" s="113">
        <f>IF(AND(Games!AB13=2,Games!AG13=3),TrialDate,1)</f>
        <v>1</v>
      </c>
      <c r="AD8" s="113">
        <f>IF(AND(Games!AI13=2,Games!AN13=3),TrialDate,1)</f>
        <v>1</v>
      </c>
    </row>
    <row r="9" spans="1:30" x14ac:dyDescent="0.25">
      <c r="A9">
        <f t="shared" si="0"/>
        <v>0</v>
      </c>
      <c r="B9" t="s">
        <v>15</v>
      </c>
      <c r="C9">
        <f>Started!C12</f>
        <v>0</v>
      </c>
      <c r="D9">
        <f>IF(Started!I12="Pass",Started!G12,0)</f>
        <v>0</v>
      </c>
      <c r="E9" s="2" t="str">
        <f>IF(Started!B12="W","W","A")</f>
        <v>A</v>
      </c>
      <c r="F9" s="2" t="e">
        <f>VLOOKUP(JudgeD1CSS,Judges!$A$2:$B$44,2,FALSE)</f>
        <v>#N/A</v>
      </c>
      <c r="G9" t="str">
        <f>Started!I12</f>
        <v/>
      </c>
      <c r="H9" s="113" t="str">
        <f t="shared" si="1"/>
        <v/>
      </c>
      <c r="I9">
        <f>Started!C12</f>
        <v>0</v>
      </c>
      <c r="J9">
        <f>IF(AND(Started!AQ12=1, Started!AM12=0),Started!AD12,0)</f>
        <v>0</v>
      </c>
      <c r="K9">
        <f>IF(AND(Started!I12="Pass",Started!Q12="Pass",Started!Y12="Pass"),-1,0)</f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f>Elite!C12</f>
        <v>0</v>
      </c>
      <c r="S9">
        <f>IF(AND(Elite!AP12=1, Elite!AL12=0),Elite!AC12,0)</f>
        <v>0</v>
      </c>
      <c r="U9">
        <f>IF(Summary!I36="",0,Summary!I36)</f>
        <v>0</v>
      </c>
      <c r="V9" s="113">
        <f>IF(Summary!K36="",1,Summary!K36)</f>
        <v>1</v>
      </c>
      <c r="W9" s="113" t="str">
        <f>IF(Summary!L36="","",Summary!L36)</f>
        <v/>
      </c>
      <c r="Z9">
        <f>Games!$D14</f>
        <v>0</v>
      </c>
      <c r="AA9" s="113">
        <f>IF(AND(Games!N14=2,Games!S14=3),TrialDate,1)</f>
        <v>1</v>
      </c>
      <c r="AB9" s="113">
        <f>IF(AND(Games!U14=2,Games!Z14=3),TrialDate,1)</f>
        <v>1</v>
      </c>
      <c r="AC9" s="113">
        <f>IF(AND(Games!AB14=2,Games!AG14=3),TrialDate,1)</f>
        <v>1</v>
      </c>
      <c r="AD9" s="113">
        <f>IF(AND(Games!AI14=2,Games!AN14=3),TrialDate,1)</f>
        <v>1</v>
      </c>
    </row>
    <row r="10" spans="1:30" x14ac:dyDescent="0.25">
      <c r="A10">
        <f t="shared" si="0"/>
        <v>0</v>
      </c>
      <c r="B10" t="s">
        <v>15</v>
      </c>
      <c r="C10">
        <f>Started!C13</f>
        <v>0</v>
      </c>
      <c r="D10">
        <f>IF(Started!I13="Pass",Started!G13,0)</f>
        <v>0</v>
      </c>
      <c r="E10" s="2" t="str">
        <f>IF(Started!B13="W","W","A")</f>
        <v>A</v>
      </c>
      <c r="F10" s="2" t="e">
        <f>VLOOKUP(JudgeD1CSS,Judges!$A$2:$B$44,2,FALSE)</f>
        <v>#N/A</v>
      </c>
      <c r="G10" t="str">
        <f>Started!I13</f>
        <v/>
      </c>
      <c r="H10" s="113" t="str">
        <f t="shared" si="1"/>
        <v/>
      </c>
      <c r="I10">
        <f>Started!C13</f>
        <v>0</v>
      </c>
      <c r="J10">
        <f>IF(AND(Started!AQ13=1, Started!AM13=0),Started!AD13,0)</f>
        <v>0</v>
      </c>
      <c r="K10">
        <f>IF(AND(Started!I13="Pass",Started!Q13="Pass",Started!Y13="Pass"),-1,0)</f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f>Elite!C13</f>
        <v>0</v>
      </c>
      <c r="S10">
        <f>IF(AND(Elite!AP13=1, Elite!AL13=0),Elite!AC13,0)</f>
        <v>0</v>
      </c>
      <c r="U10">
        <f>IF(Summary!I37="",0,Summary!I37)</f>
        <v>0</v>
      </c>
      <c r="V10" s="113">
        <f>IF(Summary!K37="",1,Summary!K37)</f>
        <v>1</v>
      </c>
      <c r="W10" s="113" t="str">
        <f>IF(Summary!L37="","",Summary!L37)</f>
        <v/>
      </c>
      <c r="Z10">
        <f>Games!$D15</f>
        <v>0</v>
      </c>
      <c r="AA10" s="113">
        <f>IF(AND(Games!N15=2,Games!S15=3),TrialDate,1)</f>
        <v>1</v>
      </c>
      <c r="AB10" s="113">
        <f>IF(AND(Games!U15=2,Games!Z15=3),TrialDate,1)</f>
        <v>1</v>
      </c>
      <c r="AC10" s="113">
        <f>IF(AND(Games!AB15=2,Games!AG15=3),TrialDate,1)</f>
        <v>1</v>
      </c>
      <c r="AD10" s="113">
        <f>IF(AND(Games!AI15=2,Games!AN15=3),TrialDate,1)</f>
        <v>1</v>
      </c>
    </row>
    <row r="11" spans="1:30" x14ac:dyDescent="0.25">
      <c r="A11">
        <f t="shared" si="0"/>
        <v>0</v>
      </c>
      <c r="B11" t="s">
        <v>15</v>
      </c>
      <c r="C11">
        <f>Started!C14</f>
        <v>0</v>
      </c>
      <c r="D11">
        <f>IF(Started!I14="Pass",Started!G14,0)</f>
        <v>0</v>
      </c>
      <c r="E11" s="2" t="str">
        <f>IF(Started!B14="W","W","A")</f>
        <v>A</v>
      </c>
      <c r="F11" s="2" t="e">
        <f>VLOOKUP(JudgeD1CSS,Judges!$A$2:$B$44,2,FALSE)</f>
        <v>#N/A</v>
      </c>
      <c r="G11" t="str">
        <f>Started!I14</f>
        <v/>
      </c>
      <c r="H11" s="113" t="str">
        <f t="shared" si="1"/>
        <v/>
      </c>
      <c r="I11">
        <f>Started!C14</f>
        <v>0</v>
      </c>
      <c r="J11">
        <f>IF(AND(Started!AQ14=1, Started!AM14=0),Started!AD14,0)</f>
        <v>0</v>
      </c>
      <c r="K11">
        <f>IF(AND(Started!I14="Pass",Started!Q14="Pass",Started!Y14="Pass"),-1,0)</f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f>Elite!C14</f>
        <v>0</v>
      </c>
      <c r="S11">
        <f>IF(AND(Elite!AP14=1, Elite!AL14=0),Elite!AC14,0)</f>
        <v>0</v>
      </c>
      <c r="U11">
        <f>IF(Summary!I38="",0,Summary!I38)</f>
        <v>0</v>
      </c>
      <c r="V11" s="113">
        <f>IF(Summary!K38="",1,Summary!K38)</f>
        <v>1</v>
      </c>
      <c r="W11" s="113" t="str">
        <f>IF(Summary!L38="","",Summary!L38)</f>
        <v/>
      </c>
      <c r="Z11">
        <f>Games!$D16</f>
        <v>0</v>
      </c>
      <c r="AA11" s="113">
        <f>IF(AND(Games!N16=2,Games!S16=3),TrialDate,1)</f>
        <v>1</v>
      </c>
      <c r="AB11" s="113">
        <f>IF(AND(Games!U16=2,Games!Z16=3),TrialDate,1)</f>
        <v>1</v>
      </c>
      <c r="AC11" s="113">
        <f>IF(AND(Games!AB16=2,Games!AG16=3),TrialDate,1)</f>
        <v>1</v>
      </c>
      <c r="AD11" s="113">
        <f>IF(AND(Games!AI16=2,Games!AN16=3),TrialDate,1)</f>
        <v>1</v>
      </c>
    </row>
    <row r="12" spans="1:30" x14ac:dyDescent="0.25">
      <c r="A12">
        <f t="shared" si="0"/>
        <v>0</v>
      </c>
      <c r="B12" t="s">
        <v>15</v>
      </c>
      <c r="C12">
        <f>Started!C15</f>
        <v>0</v>
      </c>
      <c r="D12">
        <f>IF(Started!I15="Pass",Started!G15,0)</f>
        <v>0</v>
      </c>
      <c r="E12" s="2" t="str">
        <f>IF(Started!B15="W","W","A")</f>
        <v>A</v>
      </c>
      <c r="F12" s="2" t="e">
        <f>VLOOKUP(JudgeD1CSS,Judges!$A$2:$B$44,2,FALSE)</f>
        <v>#N/A</v>
      </c>
      <c r="G12" t="str">
        <f>Started!I15</f>
        <v/>
      </c>
      <c r="H12" s="113" t="str">
        <f t="shared" si="1"/>
        <v/>
      </c>
      <c r="I12">
        <f>Started!C15</f>
        <v>0</v>
      </c>
      <c r="J12">
        <f>IF(AND(Started!AQ15=1, Started!AM15=0),Started!AD15,0)</f>
        <v>0</v>
      </c>
      <c r="K12">
        <f>IF(AND(Started!I15="Pass",Started!Q15="Pass",Started!Y15="Pass"),-1,0)</f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f>Elite!C15</f>
        <v>0</v>
      </c>
      <c r="S12">
        <f>IF(AND(Elite!AP15=1, Elite!AL15=0),Elite!AC15,0)</f>
        <v>0</v>
      </c>
      <c r="U12">
        <f>IF(Summary!I39="",0,Summary!I39)</f>
        <v>0</v>
      </c>
      <c r="V12" s="113">
        <f>IF(Summary!K39="",1,Summary!K39)</f>
        <v>1</v>
      </c>
      <c r="W12" s="113" t="str">
        <f>IF(Summary!L39="","",Summary!L39)</f>
        <v/>
      </c>
      <c r="Z12">
        <f>Games!$D17</f>
        <v>0</v>
      </c>
      <c r="AA12" s="113">
        <f>IF(AND(Games!N17=2,Games!S17=3),TrialDate,1)</f>
        <v>1</v>
      </c>
      <c r="AB12" s="113">
        <f>IF(AND(Games!U17=2,Games!Z17=3),TrialDate,1)</f>
        <v>1</v>
      </c>
      <c r="AC12" s="113">
        <f>IF(AND(Games!AB17=2,Games!AG17=3),TrialDate,1)</f>
        <v>1</v>
      </c>
      <c r="AD12" s="113">
        <f>IF(AND(Games!AI17=2,Games!AN17=3),TrialDate,1)</f>
        <v>1</v>
      </c>
    </row>
    <row r="13" spans="1:30" x14ac:dyDescent="0.25">
      <c r="A13">
        <f t="shared" si="0"/>
        <v>0</v>
      </c>
      <c r="B13" t="s">
        <v>15</v>
      </c>
      <c r="C13">
        <f>Started!C16</f>
        <v>0</v>
      </c>
      <c r="D13">
        <f>IF(Started!I16="Pass",Started!G16,0)</f>
        <v>0</v>
      </c>
      <c r="E13" s="2" t="str">
        <f>IF(Started!B16="W","W","A")</f>
        <v>A</v>
      </c>
      <c r="F13" s="2" t="e">
        <f>VLOOKUP(JudgeD1CSS,Judges!$A$2:$B$44,2,FALSE)</f>
        <v>#N/A</v>
      </c>
      <c r="G13" t="str">
        <f>Started!I16</f>
        <v/>
      </c>
      <c r="H13" s="113" t="str">
        <f t="shared" si="1"/>
        <v/>
      </c>
      <c r="I13">
        <f>Started!C16</f>
        <v>0</v>
      </c>
      <c r="J13">
        <f>IF(AND(Started!AQ16=1, Started!AM16=0),Started!AD16,0)</f>
        <v>0</v>
      </c>
      <c r="K13">
        <f>IF(AND(Started!I16="Pass",Started!Q16="Pass",Started!Y16="Pass"),-1,0)</f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f>Elite!C16</f>
        <v>0</v>
      </c>
      <c r="S13">
        <f>IF(AND(Elite!AP16=1, Elite!AL16=0),Elite!AC16,0)</f>
        <v>0</v>
      </c>
      <c r="U13">
        <f>IF(Summary!I40="",0,Summary!I40)</f>
        <v>0</v>
      </c>
      <c r="V13" s="113">
        <f>IF(Summary!K40="",1,Summary!K40)</f>
        <v>1</v>
      </c>
      <c r="W13" s="113" t="str">
        <f>IF(Summary!L40="","",Summary!L40)</f>
        <v/>
      </c>
      <c r="Z13">
        <f>Games!$D18</f>
        <v>0</v>
      </c>
      <c r="AA13" s="113">
        <f>IF(AND(Games!N18=2,Games!S18=3),TrialDate,1)</f>
        <v>1</v>
      </c>
      <c r="AB13" s="113">
        <f>IF(AND(Games!U18=2,Games!Z18=3),TrialDate,1)</f>
        <v>1</v>
      </c>
      <c r="AC13" s="113">
        <f>IF(AND(Games!AB18=2,Games!AG18=3),TrialDate,1)</f>
        <v>1</v>
      </c>
      <c r="AD13" s="113">
        <f>IF(AND(Games!AI18=2,Games!AN18=3),TrialDate,1)</f>
        <v>1</v>
      </c>
    </row>
    <row r="14" spans="1:30" x14ac:dyDescent="0.25">
      <c r="A14">
        <f t="shared" si="0"/>
        <v>0</v>
      </c>
      <c r="B14" t="s">
        <v>15</v>
      </c>
      <c r="C14">
        <f>Started!C17</f>
        <v>0</v>
      </c>
      <c r="D14">
        <f>IF(Started!I17="Pass",Started!G17,0)</f>
        <v>0</v>
      </c>
      <c r="E14" s="2" t="str">
        <f>IF(Started!B17="W","W","A")</f>
        <v>A</v>
      </c>
      <c r="F14" s="2" t="e">
        <f>VLOOKUP(JudgeD1CSS,Judges!$A$2:$B$44,2,FALSE)</f>
        <v>#N/A</v>
      </c>
      <c r="G14" t="str">
        <f>Started!I17</f>
        <v/>
      </c>
      <c r="H14" s="113" t="str">
        <f t="shared" si="1"/>
        <v/>
      </c>
      <c r="I14">
        <f>Started!C17</f>
        <v>0</v>
      </c>
      <c r="J14">
        <f>IF(AND(Started!AQ17=1, Started!AM17=0),Started!AD17,0)</f>
        <v>0</v>
      </c>
      <c r="K14">
        <f>IF(AND(Started!I17="Pass",Started!Q17="Pass",Started!Y17="Pass"),-1,0)</f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f>Elite!C17</f>
        <v>0</v>
      </c>
      <c r="S14">
        <f>IF(AND(Elite!AP17=1, Elite!AL17=0),Elite!AC17,0)</f>
        <v>0</v>
      </c>
      <c r="U14">
        <f>IF(Summary!I41="",0,Summary!I41)</f>
        <v>0</v>
      </c>
      <c r="V14" s="113">
        <f>IF(Summary!K41="",1,Summary!K41)</f>
        <v>1</v>
      </c>
      <c r="W14" s="113" t="str">
        <f>IF(Summary!L41="","",Summary!L41)</f>
        <v/>
      </c>
      <c r="Z14">
        <f>Games!$D19</f>
        <v>0</v>
      </c>
      <c r="AA14" s="113">
        <f>IF(AND(Games!N19=2,Games!S19=3),TrialDate,1)</f>
        <v>1</v>
      </c>
      <c r="AB14" s="113">
        <f>IF(AND(Games!U19=2,Games!Z19=3),TrialDate,1)</f>
        <v>1</v>
      </c>
      <c r="AC14" s="113">
        <f>IF(AND(Games!AB19=2,Games!AG19=3),TrialDate,1)</f>
        <v>1</v>
      </c>
      <c r="AD14" s="113">
        <f>IF(AND(Games!AI19=2,Games!AN19=3),TrialDate,1)</f>
        <v>1</v>
      </c>
    </row>
    <row r="15" spans="1:30" x14ac:dyDescent="0.25">
      <c r="A15">
        <f t="shared" si="0"/>
        <v>0</v>
      </c>
      <c r="B15" t="s">
        <v>15</v>
      </c>
      <c r="C15">
        <f>Started!C18</f>
        <v>0</v>
      </c>
      <c r="D15">
        <f>IF(Started!I18="Pass",Started!G18,0)</f>
        <v>0</v>
      </c>
      <c r="E15" s="2" t="str">
        <f>IF(Started!B18="W","W","A")</f>
        <v>A</v>
      </c>
      <c r="F15" s="2" t="e">
        <f>VLOOKUP(JudgeD1CSS,Judges!$A$2:$B$44,2,FALSE)</f>
        <v>#N/A</v>
      </c>
      <c r="G15" t="str">
        <f>Started!I18</f>
        <v/>
      </c>
      <c r="H15" s="113" t="str">
        <f t="shared" si="1"/>
        <v/>
      </c>
      <c r="I15">
        <f>Started!C18</f>
        <v>0</v>
      </c>
      <c r="J15">
        <f>IF(AND(Started!AQ18=1, Started!AM18=0),Started!AD18,0)</f>
        <v>0</v>
      </c>
      <c r="K15">
        <f>IF(AND(Started!I18="Pass",Started!Q18="Pass",Started!Y18="Pass"),-1,0)</f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f>Elite!C18</f>
        <v>0</v>
      </c>
      <c r="S15">
        <f>IF(AND(Elite!AP18=1, Elite!AL18=0),Elite!AC18,0)</f>
        <v>0</v>
      </c>
      <c r="U15">
        <f>IF(Summary!I42="",0,Summary!I42)</f>
        <v>0</v>
      </c>
      <c r="V15" s="113">
        <f>IF(Summary!K42="",1,Summary!K42)</f>
        <v>1</v>
      </c>
      <c r="W15" s="113" t="str">
        <f>IF(Summary!L42="","",Summary!L42)</f>
        <v/>
      </c>
      <c r="Z15">
        <f>Games!$D20</f>
        <v>0</v>
      </c>
      <c r="AA15" s="113">
        <f>IF(AND(Games!N20=2,Games!S20=3),TrialDate,1)</f>
        <v>1</v>
      </c>
      <c r="AB15" s="113">
        <f>IF(AND(Games!U20=2,Games!Z20=3),TrialDate,1)</f>
        <v>1</v>
      </c>
      <c r="AC15" s="113">
        <f>IF(AND(Games!AB20=2,Games!AG20=3),TrialDate,1)</f>
        <v>1</v>
      </c>
      <c r="AD15" s="113">
        <f>IF(AND(Games!AI20=2,Games!AN20=3),TrialDate,1)</f>
        <v>1</v>
      </c>
    </row>
    <row r="16" spans="1:30" x14ac:dyDescent="0.25">
      <c r="A16">
        <f t="shared" si="0"/>
        <v>0</v>
      </c>
      <c r="B16" t="s">
        <v>15</v>
      </c>
      <c r="C16">
        <f>Started!C19</f>
        <v>0</v>
      </c>
      <c r="D16">
        <f>IF(Started!I19="Pass",Started!G19,0)</f>
        <v>0</v>
      </c>
      <c r="E16" s="2" t="str">
        <f>IF(Started!B19="W","W","A")</f>
        <v>A</v>
      </c>
      <c r="F16" s="2" t="e">
        <f>VLOOKUP(JudgeD1CSS,Judges!$A$2:$B$44,2,FALSE)</f>
        <v>#N/A</v>
      </c>
      <c r="G16" t="str">
        <f>Started!I19</f>
        <v/>
      </c>
      <c r="H16" s="113" t="str">
        <f t="shared" si="1"/>
        <v/>
      </c>
      <c r="I16">
        <f>Started!C19</f>
        <v>0</v>
      </c>
      <c r="J16">
        <f>IF(AND(Started!AQ19=1, Started!AM19=0),Started!AD19,0)</f>
        <v>0</v>
      </c>
      <c r="K16">
        <f>IF(AND(Started!I19="Pass",Started!Q19="Pass",Started!Y19="Pass"),-1,0)</f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f>Elite!C19</f>
        <v>0</v>
      </c>
      <c r="S16">
        <f>IF(AND(Elite!AP19=1, Elite!AL19=0),Elite!AC19,0)</f>
        <v>0</v>
      </c>
      <c r="U16">
        <f>IF(Summary!I43="",0,Summary!I43)</f>
        <v>0</v>
      </c>
      <c r="V16" s="113">
        <f>IF(Summary!K43="",1,Summary!K43)</f>
        <v>1</v>
      </c>
      <c r="W16" s="113" t="str">
        <f>IF(Summary!L43="","",Summary!L43)</f>
        <v/>
      </c>
      <c r="Z16">
        <f>Games!$D21</f>
        <v>0</v>
      </c>
      <c r="AA16" s="113">
        <f>IF(AND(Games!N21=2,Games!S21=3),TrialDate,1)</f>
        <v>1</v>
      </c>
      <c r="AB16" s="113">
        <f>IF(AND(Games!U21=2,Games!Z21=3),TrialDate,1)</f>
        <v>1</v>
      </c>
      <c r="AC16" s="113">
        <f>IF(AND(Games!AB21=2,Games!AG21=3),TrialDate,1)</f>
        <v>1</v>
      </c>
      <c r="AD16" s="113">
        <f>IF(AND(Games!AI21=2,Games!AN21=3),TrialDate,1)</f>
        <v>1</v>
      </c>
    </row>
    <row r="17" spans="1:30" x14ac:dyDescent="0.25">
      <c r="A17">
        <f t="shared" si="0"/>
        <v>0</v>
      </c>
      <c r="B17" t="s">
        <v>15</v>
      </c>
      <c r="C17">
        <f>Started!C20</f>
        <v>0</v>
      </c>
      <c r="D17">
        <f>IF(Started!I20="Pass",Started!G20,0)</f>
        <v>0</v>
      </c>
      <c r="E17" s="2" t="str">
        <f>IF(Started!B20="W","W","A")</f>
        <v>A</v>
      </c>
      <c r="F17" s="2" t="e">
        <f>VLOOKUP(JudgeD1CSS,Judges!$A$2:$B$44,2,FALSE)</f>
        <v>#N/A</v>
      </c>
      <c r="G17" t="str">
        <f>Started!I20</f>
        <v/>
      </c>
      <c r="H17" s="113" t="str">
        <f t="shared" si="1"/>
        <v/>
      </c>
      <c r="I17">
        <f>Started!C20</f>
        <v>0</v>
      </c>
      <c r="J17">
        <f>IF(AND(Started!AQ20=1, Started!AM20=0),Started!AD20,0)</f>
        <v>0</v>
      </c>
      <c r="K17">
        <f>IF(AND(Started!I20="Pass",Started!Q20="Pass",Started!Y20="Pass"),-1,0)</f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f>Elite!C20</f>
        <v>0</v>
      </c>
      <c r="S17">
        <f>IF(AND(Elite!AP20=1, Elite!AL20=0),Elite!AC20,0)</f>
        <v>0</v>
      </c>
      <c r="U17">
        <f>IF(Summary!I44="",0,Summary!I44)</f>
        <v>0</v>
      </c>
      <c r="V17" s="113">
        <f>IF(Summary!K44="",1,Summary!K44)</f>
        <v>1</v>
      </c>
      <c r="W17" s="113" t="str">
        <f>IF(Summary!L44="","",Summary!L44)</f>
        <v/>
      </c>
      <c r="Z17">
        <f>Games!$D22</f>
        <v>0</v>
      </c>
      <c r="AA17" s="113">
        <f>IF(AND(Games!N22=2,Games!S22=3),TrialDate,1)</f>
        <v>1</v>
      </c>
      <c r="AB17" s="113">
        <f>IF(AND(Games!U22=2,Games!Z22=3),TrialDate,1)</f>
        <v>1</v>
      </c>
      <c r="AC17" s="113">
        <f>IF(AND(Games!AB22=2,Games!AG22=3),TrialDate,1)</f>
        <v>1</v>
      </c>
      <c r="AD17" s="113">
        <f>IF(AND(Games!AI22=2,Games!AN22=3),TrialDate,1)</f>
        <v>1</v>
      </c>
    </row>
    <row r="18" spans="1:30" x14ac:dyDescent="0.25">
      <c r="A18">
        <f t="shared" si="0"/>
        <v>0</v>
      </c>
      <c r="B18" t="s">
        <v>15</v>
      </c>
      <c r="C18">
        <f>Started!C21</f>
        <v>0</v>
      </c>
      <c r="D18">
        <f>IF(Started!I21="Pass",Started!G21,0)</f>
        <v>0</v>
      </c>
      <c r="E18" s="2" t="str">
        <f>IF(Started!B21="W","W","A")</f>
        <v>A</v>
      </c>
      <c r="F18" s="2" t="e">
        <f>VLOOKUP(JudgeD1CSS,Judges!$A$2:$B$44,2,FALSE)</f>
        <v>#N/A</v>
      </c>
      <c r="G18" t="str">
        <f>Started!I21</f>
        <v/>
      </c>
      <c r="H18" s="113" t="str">
        <f t="shared" si="1"/>
        <v/>
      </c>
      <c r="I18">
        <f>Started!C21</f>
        <v>0</v>
      </c>
      <c r="J18">
        <f>IF(AND(Started!AQ21=1, Started!AM21=0),Started!AD21,0)</f>
        <v>0</v>
      </c>
      <c r="K18">
        <f>IF(AND(Started!I21="Pass",Started!Q21="Pass",Started!Y21="Pass"),-1,0)</f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f>Elite!C21</f>
        <v>0</v>
      </c>
      <c r="S18">
        <f>IF(AND(Elite!AP21=1, Elite!AL21=0),Elite!AC21,0)</f>
        <v>0</v>
      </c>
      <c r="U18">
        <f>IF(Summary!I45="",0,Summary!I45)</f>
        <v>0</v>
      </c>
      <c r="V18" s="113">
        <f>IF(Summary!K45="",1,Summary!K45)</f>
        <v>1</v>
      </c>
      <c r="W18" s="113" t="str">
        <f>IF(Summary!L45="","",Summary!L45)</f>
        <v/>
      </c>
      <c r="Z18">
        <f>Games!$D23</f>
        <v>0</v>
      </c>
      <c r="AA18" s="113">
        <f>IF(AND(Games!N23=2,Games!S23=3),TrialDate,1)</f>
        <v>1</v>
      </c>
      <c r="AB18" s="113">
        <f>IF(AND(Games!U23=2,Games!Z23=3),TrialDate,1)</f>
        <v>1</v>
      </c>
      <c r="AC18" s="113">
        <f>IF(AND(Games!AB23=2,Games!AG23=3),TrialDate,1)</f>
        <v>1</v>
      </c>
      <c r="AD18" s="113">
        <f>IF(AND(Games!AI23=2,Games!AN23=3),TrialDate,1)</f>
        <v>1</v>
      </c>
    </row>
    <row r="19" spans="1:30" x14ac:dyDescent="0.25">
      <c r="A19">
        <f t="shared" si="0"/>
        <v>0</v>
      </c>
      <c r="B19" t="s">
        <v>15</v>
      </c>
      <c r="C19">
        <f>Started!C22</f>
        <v>0</v>
      </c>
      <c r="D19">
        <f>IF(Started!I22="Pass",Started!G22,0)</f>
        <v>0</v>
      </c>
      <c r="E19" s="2" t="str">
        <f>IF(Started!B22="W","W","A")</f>
        <v>A</v>
      </c>
      <c r="F19" s="2" t="e">
        <f>VLOOKUP(JudgeD1CSS,Judges!$A$2:$B$44,2,FALSE)</f>
        <v>#N/A</v>
      </c>
      <c r="G19" t="str">
        <f>Started!I22</f>
        <v/>
      </c>
      <c r="H19" s="113" t="str">
        <f t="shared" si="1"/>
        <v/>
      </c>
      <c r="I19">
        <f>Started!C22</f>
        <v>0</v>
      </c>
      <c r="J19">
        <f>IF(AND(Started!AQ22=1, Started!AM22=0),Started!AD22,0)</f>
        <v>0</v>
      </c>
      <c r="K19">
        <f>IF(AND(Started!I22="Pass",Started!Q22="Pass",Started!Y22="Pass"),-1,0)</f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f>Elite!C22</f>
        <v>0</v>
      </c>
      <c r="S19">
        <f>IF(AND(Elite!AP22=1, Elite!AL22=0),Elite!AC22,0)</f>
        <v>0</v>
      </c>
      <c r="U19">
        <f>IF(Summary!I46="",0,Summary!I46)</f>
        <v>0</v>
      </c>
      <c r="V19" s="113">
        <f>IF(Summary!K46="",1,Summary!K46)</f>
        <v>1</v>
      </c>
      <c r="W19" s="113" t="str">
        <f>IF(Summary!L46="","",Summary!L46)</f>
        <v/>
      </c>
      <c r="Z19">
        <f>Games!$D24</f>
        <v>0</v>
      </c>
      <c r="AA19" s="113">
        <f>IF(AND(Games!N24=2,Games!S24=3),TrialDate,1)</f>
        <v>1</v>
      </c>
      <c r="AB19" s="113">
        <f>IF(AND(Games!U24=2,Games!Z24=3),TrialDate,1)</f>
        <v>1</v>
      </c>
      <c r="AC19" s="113">
        <f>IF(AND(Games!AB24=2,Games!AG24=3),TrialDate,1)</f>
        <v>1</v>
      </c>
      <c r="AD19" s="113">
        <f>IF(AND(Games!AI24=2,Games!AN24=3),TrialDate,1)</f>
        <v>1</v>
      </c>
    </row>
    <row r="20" spans="1:30" x14ac:dyDescent="0.25">
      <c r="A20">
        <f t="shared" si="0"/>
        <v>0</v>
      </c>
      <c r="B20" t="s">
        <v>15</v>
      </c>
      <c r="C20">
        <f>Started!C23</f>
        <v>0</v>
      </c>
      <c r="D20">
        <f>IF(Started!I23="Pass",Started!G23,0)</f>
        <v>0</v>
      </c>
      <c r="E20" s="2" t="str">
        <f>IF(Started!B23="W","W","A")</f>
        <v>A</v>
      </c>
      <c r="F20" s="2" t="e">
        <f>VLOOKUP(JudgeD1CSS,Judges!$A$2:$B$44,2,FALSE)</f>
        <v>#N/A</v>
      </c>
      <c r="G20" t="str">
        <f>Started!I23</f>
        <v/>
      </c>
      <c r="H20" s="113" t="str">
        <f t="shared" si="1"/>
        <v/>
      </c>
      <c r="I20">
        <f>Started!C23</f>
        <v>0</v>
      </c>
      <c r="J20">
        <f>IF(AND(Started!AQ23=1, Started!AM23=0),Started!AD23,0)</f>
        <v>0</v>
      </c>
      <c r="K20">
        <f>IF(AND(Started!I23="Pass",Started!Q23="Pass",Started!Y23="Pass"),-1,0)</f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f>Elite!C23</f>
        <v>0</v>
      </c>
      <c r="S20">
        <f>IF(AND(Elite!AP23=1, Elite!AL23=0),Elite!AC23,0)</f>
        <v>0</v>
      </c>
      <c r="U20">
        <f>IF(Summary!I47="",0,Summary!I47)</f>
        <v>0</v>
      </c>
      <c r="V20" s="113">
        <f>IF(Summary!K47="",1,Summary!K47)</f>
        <v>1</v>
      </c>
      <c r="W20" s="113" t="str">
        <f>IF(Summary!L47="","",Summary!L47)</f>
        <v/>
      </c>
      <c r="Z20">
        <f>Games!$D25</f>
        <v>0</v>
      </c>
      <c r="AA20" s="113">
        <f>IF(AND(Games!N25=2,Games!S25=3),TrialDate,1)</f>
        <v>1</v>
      </c>
      <c r="AB20" s="113">
        <f>IF(AND(Games!U25=2,Games!Z25=3),TrialDate,1)</f>
        <v>1</v>
      </c>
      <c r="AC20" s="113">
        <f>IF(AND(Games!AB25=2,Games!AG25=3),TrialDate,1)</f>
        <v>1</v>
      </c>
      <c r="AD20" s="113">
        <f>IF(AND(Games!AI25=2,Games!AN25=3),TrialDate,1)</f>
        <v>1</v>
      </c>
    </row>
    <row r="21" spans="1:30" x14ac:dyDescent="0.25">
      <c r="A21">
        <f t="shared" si="0"/>
        <v>0</v>
      </c>
      <c r="B21" t="s">
        <v>15</v>
      </c>
      <c r="C21">
        <f>Started!C24</f>
        <v>0</v>
      </c>
      <c r="D21">
        <f>IF(Started!I24="Pass",Started!G24,0)</f>
        <v>0</v>
      </c>
      <c r="E21" s="2" t="str">
        <f>IF(Started!B24="W","W","A")</f>
        <v>A</v>
      </c>
      <c r="F21" s="2" t="e">
        <f>VLOOKUP(JudgeD1CSS,Judges!$A$2:$B$44,2,FALSE)</f>
        <v>#N/A</v>
      </c>
      <c r="G21" t="str">
        <f>Started!I24</f>
        <v/>
      </c>
      <c r="H21" s="113" t="str">
        <f t="shared" si="1"/>
        <v/>
      </c>
      <c r="I21">
        <f>Started!C24</f>
        <v>0</v>
      </c>
      <c r="J21">
        <f>IF(AND(Started!AQ24=1, Started!AM24=0),Started!AD24,0)</f>
        <v>0</v>
      </c>
      <c r="K21">
        <f>IF(AND(Started!I24="Pass",Started!Q24="Pass",Started!Y24="Pass"),-1,0)</f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f>Elite!C24</f>
        <v>0</v>
      </c>
      <c r="S21">
        <f>IF(AND(Elite!AP24=1, Elite!AL24=0),Elite!AC24,0)</f>
        <v>0</v>
      </c>
      <c r="U21">
        <f>IF(Summary!I48="",0,Summary!I48)</f>
        <v>0</v>
      </c>
      <c r="V21" s="113">
        <f>IF(Summary!K48="",1,Summary!K48)</f>
        <v>1</v>
      </c>
      <c r="W21" s="113" t="str">
        <f>IF(Summary!L48="","",Summary!L48)</f>
        <v/>
      </c>
      <c r="Z21">
        <f>Games!$D26</f>
        <v>0</v>
      </c>
      <c r="AA21" s="113">
        <f>IF(AND(Games!N26=2,Games!S26=3),TrialDate,1)</f>
        <v>1</v>
      </c>
      <c r="AB21" s="113">
        <f>IF(AND(Games!U26=2,Games!Z26=3),TrialDate,1)</f>
        <v>1</v>
      </c>
      <c r="AC21" s="113">
        <f>IF(AND(Games!AB26=2,Games!AG26=3),TrialDate,1)</f>
        <v>1</v>
      </c>
      <c r="AD21" s="113">
        <f>IF(AND(Games!AI26=2,Games!AN26=3),TrialDate,1)</f>
        <v>1</v>
      </c>
    </row>
    <row r="22" spans="1:30" x14ac:dyDescent="0.25">
      <c r="A22">
        <f t="shared" si="0"/>
        <v>0</v>
      </c>
      <c r="B22" t="s">
        <v>15</v>
      </c>
      <c r="C22">
        <f>Started!C25</f>
        <v>0</v>
      </c>
      <c r="D22">
        <f>IF(Started!I25="Pass",Started!G25,0)</f>
        <v>0</v>
      </c>
      <c r="E22" s="2" t="str">
        <f>IF(Started!B25="W","W","A")</f>
        <v>A</v>
      </c>
      <c r="F22" s="2" t="e">
        <f>VLOOKUP(JudgeD1CSS,Judges!$A$2:$B$44,2,FALSE)</f>
        <v>#N/A</v>
      </c>
      <c r="G22" t="str">
        <f>Started!I25</f>
        <v/>
      </c>
      <c r="H22" s="113" t="str">
        <f t="shared" si="1"/>
        <v/>
      </c>
      <c r="I22">
        <f>Started!C25</f>
        <v>0</v>
      </c>
      <c r="J22">
        <f>IF(AND(Started!AQ25=1, Started!AM25=0),Started!AD25,0)</f>
        <v>0</v>
      </c>
      <c r="K22">
        <f>IF(AND(Started!I25="Pass",Started!Q25="Pass",Started!Y25="Pass"),-1,0)</f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f>Elite!C25</f>
        <v>0</v>
      </c>
      <c r="S22">
        <f>IF(AND(Elite!AP25=1, Elite!AL25=0),Elite!AC25,0)</f>
        <v>0</v>
      </c>
      <c r="U22">
        <f>IF(Summary!I49="",0,Summary!I49)</f>
        <v>0</v>
      </c>
      <c r="V22" s="113">
        <f>IF(Summary!K49="",1,Summary!K49)</f>
        <v>1</v>
      </c>
      <c r="W22" s="113" t="str">
        <f>IF(Summary!L49="","",Summary!L49)</f>
        <v/>
      </c>
      <c r="Z22">
        <f>Games!$D27</f>
        <v>0</v>
      </c>
      <c r="AA22" s="113">
        <f>IF(AND(Games!N27=2,Games!S27=3),TrialDate,1)</f>
        <v>1</v>
      </c>
      <c r="AB22" s="113">
        <f>IF(AND(Games!U27=2,Games!Z27=3),TrialDate,1)</f>
        <v>1</v>
      </c>
      <c r="AC22" s="113">
        <f>IF(AND(Games!AB27=2,Games!AG27=3),TrialDate,1)</f>
        <v>1</v>
      </c>
      <c r="AD22" s="113">
        <f>IF(AND(Games!AI27=2,Games!AN27=3),TrialDate,1)</f>
        <v>1</v>
      </c>
    </row>
    <row r="23" spans="1:30" x14ac:dyDescent="0.25">
      <c r="A23">
        <f t="shared" si="0"/>
        <v>0</v>
      </c>
      <c r="B23" t="s">
        <v>15</v>
      </c>
      <c r="C23">
        <f>Started!C26</f>
        <v>0</v>
      </c>
      <c r="D23">
        <f>IF(Started!I26="Pass",Started!G26,0)</f>
        <v>0</v>
      </c>
      <c r="E23" s="2" t="str">
        <f>IF(Started!B26="W","W","A")</f>
        <v>A</v>
      </c>
      <c r="F23" s="2" t="e">
        <f>VLOOKUP(JudgeD1CSS,Judges!$A$2:$B$44,2,FALSE)</f>
        <v>#N/A</v>
      </c>
      <c r="G23" t="str">
        <f>Started!I26</f>
        <v/>
      </c>
      <c r="H23" s="113" t="str">
        <f t="shared" si="1"/>
        <v/>
      </c>
      <c r="I23">
        <f>Started!C26</f>
        <v>0</v>
      </c>
      <c r="J23">
        <f>IF(AND(Started!AQ26=1, Started!AM26=0),Started!AD26,0)</f>
        <v>0</v>
      </c>
      <c r="K23">
        <f>IF(AND(Started!I26="Pass",Started!Q26="Pass",Started!Y26="Pass"),-1,0)</f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f>Elite!C26</f>
        <v>0</v>
      </c>
      <c r="S23">
        <f>IF(AND(Elite!AP26=1, Elite!AL26=0),Elite!AC26,0)</f>
        <v>0</v>
      </c>
      <c r="U23">
        <f>IF(Summary!I50="",0,Summary!I50)</f>
        <v>0</v>
      </c>
      <c r="V23" s="113">
        <f>IF(Summary!K50="",1,Summary!K50)</f>
        <v>1</v>
      </c>
      <c r="W23" s="113" t="str">
        <f>IF(Summary!L50="","",Summary!L50)</f>
        <v/>
      </c>
      <c r="Z23">
        <f>Games!$D28</f>
        <v>0</v>
      </c>
      <c r="AA23" s="113">
        <f>IF(AND(Games!N28=2,Games!S28=3),TrialDate,1)</f>
        <v>1</v>
      </c>
      <c r="AB23" s="113">
        <f>IF(AND(Games!U28=2,Games!Z28=3),TrialDate,1)</f>
        <v>1</v>
      </c>
      <c r="AC23" s="113">
        <f>IF(AND(Games!AB28=2,Games!AG28=3),TrialDate,1)</f>
        <v>1</v>
      </c>
      <c r="AD23" s="113">
        <f>IF(AND(Games!AI28=2,Games!AN28=3),TrialDate,1)</f>
        <v>1</v>
      </c>
    </row>
    <row r="24" spans="1:30" x14ac:dyDescent="0.25">
      <c r="A24">
        <f t="shared" si="0"/>
        <v>0</v>
      </c>
      <c r="B24" t="s">
        <v>15</v>
      </c>
      <c r="C24">
        <f>Started!C27</f>
        <v>0</v>
      </c>
      <c r="D24">
        <f>IF(Started!I27="Pass",Started!G27,0)</f>
        <v>0</v>
      </c>
      <c r="E24" s="2" t="str">
        <f>IF(Started!B27="W","W","A")</f>
        <v>A</v>
      </c>
      <c r="F24" s="2" t="e">
        <f>VLOOKUP(JudgeD1CSS,Judges!$A$2:$B$44,2,FALSE)</f>
        <v>#N/A</v>
      </c>
      <c r="G24" t="str">
        <f>Started!I27</f>
        <v/>
      </c>
      <c r="H24" s="113" t="str">
        <f t="shared" si="1"/>
        <v/>
      </c>
      <c r="I24">
        <f>Started!C27</f>
        <v>0</v>
      </c>
      <c r="J24">
        <f>IF(AND(Started!AQ27=1, Started!AM27=0),Started!AD27,0)</f>
        <v>0</v>
      </c>
      <c r="K24">
        <f>IF(AND(Started!I27="Pass",Started!Q27="Pass",Started!Y27="Pass"),-1,0)</f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f>Elite!C27</f>
        <v>0</v>
      </c>
      <c r="S24">
        <f>IF(AND(Elite!AP27=1, Elite!AL27=0),Elite!AC27,0)</f>
        <v>0</v>
      </c>
      <c r="U24">
        <f>IF(Summary!I51="",0,Summary!I51)</f>
        <v>0</v>
      </c>
      <c r="V24" s="113">
        <f>IF(Summary!K51="",1,Summary!K51)</f>
        <v>1</v>
      </c>
      <c r="W24" s="113" t="str">
        <f>IF(Summary!L51="","",Summary!L51)</f>
        <v/>
      </c>
      <c r="Z24">
        <f>Games!$D29</f>
        <v>0</v>
      </c>
      <c r="AA24" s="113">
        <f>IF(AND(Games!N29=2,Games!S29=3),TrialDate,1)</f>
        <v>1</v>
      </c>
      <c r="AB24" s="113">
        <f>IF(AND(Games!U29=2,Games!Z29=3),TrialDate,1)</f>
        <v>1</v>
      </c>
      <c r="AC24" s="113">
        <f>IF(AND(Games!AB29=2,Games!AG29=3),TrialDate,1)</f>
        <v>1</v>
      </c>
      <c r="AD24" s="113">
        <f>IF(AND(Games!AI29=2,Games!AN29=3),TrialDate,1)</f>
        <v>1</v>
      </c>
    </row>
    <row r="25" spans="1:30" x14ac:dyDescent="0.25">
      <c r="A25">
        <f t="shared" si="0"/>
        <v>0</v>
      </c>
      <c r="B25" t="s">
        <v>15</v>
      </c>
      <c r="C25">
        <f>Started!C28</f>
        <v>0</v>
      </c>
      <c r="D25">
        <f>IF(Started!I28="Pass",Started!G28,0)</f>
        <v>0</v>
      </c>
      <c r="E25" s="2" t="str">
        <f>IF(Started!B28="W","W","A")</f>
        <v>A</v>
      </c>
      <c r="F25" s="2" t="e">
        <f>VLOOKUP(JudgeD1CSS,Judges!$A$2:$B$44,2,FALSE)</f>
        <v>#N/A</v>
      </c>
      <c r="G25" t="str">
        <f>Started!I28</f>
        <v/>
      </c>
      <c r="H25" s="113" t="str">
        <f t="shared" si="1"/>
        <v/>
      </c>
      <c r="I25">
        <f>Started!C28</f>
        <v>0</v>
      </c>
      <c r="J25">
        <f>IF(AND(Started!AQ28=1, Started!AM28=0),Started!AD28,0)</f>
        <v>0</v>
      </c>
      <c r="K25">
        <f>IF(AND(Started!I28="Pass",Started!Q28="Pass",Started!Y28="Pass"),-1,0)</f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f>Elite!C28</f>
        <v>0</v>
      </c>
      <c r="S25">
        <f>IF(AND(Elite!AP28=1, Elite!AL28=0),Elite!AC28,0)</f>
        <v>0</v>
      </c>
      <c r="U25">
        <f>IF(Summary!I52="",0,Summary!I52)</f>
        <v>0</v>
      </c>
      <c r="V25" s="113">
        <f>IF(Summary!K52="",1,Summary!K52)</f>
        <v>1</v>
      </c>
      <c r="W25" s="113" t="str">
        <f>IF(Summary!L52="","",Summary!L52)</f>
        <v/>
      </c>
      <c r="Z25">
        <f>Games!$D30</f>
        <v>0</v>
      </c>
      <c r="AA25" s="113">
        <f>IF(AND(Games!N30=2,Games!S30=3),TrialDate,1)</f>
        <v>1</v>
      </c>
      <c r="AB25" s="113">
        <f>IF(AND(Games!U30=2,Games!Z30=3),TrialDate,1)</f>
        <v>1</v>
      </c>
      <c r="AC25" s="113">
        <f>IF(AND(Games!AB30=2,Games!AG30=3),TrialDate,1)</f>
        <v>1</v>
      </c>
      <c r="AD25" s="113">
        <f>IF(AND(Games!AI30=2,Games!AN30=3),TrialDate,1)</f>
        <v>1</v>
      </c>
    </row>
    <row r="26" spans="1:30" x14ac:dyDescent="0.25">
      <c r="A26">
        <f t="shared" si="0"/>
        <v>0</v>
      </c>
      <c r="B26" t="s">
        <v>15</v>
      </c>
      <c r="C26">
        <f>Started!C29</f>
        <v>0</v>
      </c>
      <c r="D26">
        <f>IF(Started!I29="Pass",Started!G29,0)</f>
        <v>0</v>
      </c>
      <c r="E26" s="2" t="str">
        <f>IF(Started!B29="W","W","A")</f>
        <v>A</v>
      </c>
      <c r="F26" s="2" t="e">
        <f>VLOOKUP(JudgeD1CSS,Judges!$A$2:$B$44,2,FALSE)</f>
        <v>#N/A</v>
      </c>
      <c r="G26" t="str">
        <f>Started!I29</f>
        <v/>
      </c>
      <c r="H26" s="113" t="str">
        <f t="shared" si="1"/>
        <v/>
      </c>
      <c r="I26">
        <f>Started!C29</f>
        <v>0</v>
      </c>
      <c r="J26">
        <f>IF(AND(Started!AQ29=1, Started!AM29=0),Started!AD29,0)</f>
        <v>0</v>
      </c>
      <c r="K26">
        <f>IF(AND(Started!I29="Pass",Started!Q29="Pass",Started!Y29="Pass"),-1,0)</f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f>Elite!C29</f>
        <v>0</v>
      </c>
      <c r="S26">
        <f>IF(AND(Elite!AP29=1, Elite!AL29=0),Elite!AC29,0)</f>
        <v>0</v>
      </c>
      <c r="U26">
        <f>IF(Summary!I53="",0,Summary!I53)</f>
        <v>0</v>
      </c>
      <c r="V26" s="113">
        <f>IF(Summary!K53="",1,Summary!K53)</f>
        <v>1</v>
      </c>
      <c r="W26" s="113" t="str">
        <f>IF(Summary!L53="","",Summary!L53)</f>
        <v/>
      </c>
      <c r="Z26">
        <f>Games!$D31</f>
        <v>0</v>
      </c>
      <c r="AA26" s="113">
        <f>IF(AND(Games!N31=2,Games!S31=3),TrialDate,1)</f>
        <v>1</v>
      </c>
      <c r="AB26" s="113">
        <f>IF(AND(Games!U31=2,Games!Z31=3),TrialDate,1)</f>
        <v>1</v>
      </c>
      <c r="AC26" s="113">
        <f>IF(AND(Games!AB31=2,Games!AG31=3),TrialDate,1)</f>
        <v>1</v>
      </c>
      <c r="AD26" s="113">
        <f>IF(AND(Games!AI31=2,Games!AN31=3),TrialDate,1)</f>
        <v>1</v>
      </c>
    </row>
    <row r="27" spans="1:30" x14ac:dyDescent="0.25">
      <c r="A27">
        <f t="shared" si="0"/>
        <v>0</v>
      </c>
      <c r="B27" t="s">
        <v>15</v>
      </c>
      <c r="C27">
        <f>Started!C30</f>
        <v>0</v>
      </c>
      <c r="D27">
        <f>IF(Started!I30="Pass",Started!G30,0)</f>
        <v>0</v>
      </c>
      <c r="E27" s="2" t="str">
        <f>IF(Started!B30="W","W","A")</f>
        <v>A</v>
      </c>
      <c r="F27" s="2" t="e">
        <f>VLOOKUP(JudgeD1CSS,Judges!$A$2:$B$44,2,FALSE)</f>
        <v>#N/A</v>
      </c>
      <c r="G27" t="str">
        <f>Started!I30</f>
        <v/>
      </c>
      <c r="H27" s="113" t="str">
        <f t="shared" si="1"/>
        <v/>
      </c>
      <c r="I27">
        <f>Started!C30</f>
        <v>0</v>
      </c>
      <c r="J27">
        <f>IF(AND(Started!AQ30=1, Started!AM30=0),Started!AD30,0)</f>
        <v>0</v>
      </c>
      <c r="K27">
        <f>IF(AND(Started!I30="Pass",Started!Q30="Pass",Started!Y30="Pass"),-1,0)</f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f>Elite!C30</f>
        <v>0</v>
      </c>
      <c r="S27">
        <f>IF(AND(Elite!AP30=1, Elite!AL30=0),Elite!AC30,0)</f>
        <v>0</v>
      </c>
      <c r="U27">
        <f>IF(Summary!I54="",0,Summary!I54)</f>
        <v>0</v>
      </c>
      <c r="V27" s="113">
        <f>IF(Summary!K54="",1,Summary!K54)</f>
        <v>1</v>
      </c>
      <c r="W27" s="113" t="str">
        <f>IF(Summary!L54="","",Summary!L54)</f>
        <v/>
      </c>
      <c r="Z27">
        <f>Games!$D32</f>
        <v>0</v>
      </c>
      <c r="AA27" s="113">
        <f>IF(AND(Games!N32=2,Games!S32=3),TrialDate,1)</f>
        <v>1</v>
      </c>
      <c r="AB27" s="113">
        <f>IF(AND(Games!U32=2,Games!Z32=3),TrialDate,1)</f>
        <v>1</v>
      </c>
      <c r="AC27" s="113">
        <f>IF(AND(Games!AB32=2,Games!AG32=3),TrialDate,1)</f>
        <v>1</v>
      </c>
      <c r="AD27" s="113">
        <f>IF(AND(Games!AI32=2,Games!AN32=3),TrialDate,1)</f>
        <v>1</v>
      </c>
    </row>
    <row r="28" spans="1:30" x14ac:dyDescent="0.25">
      <c r="A28">
        <f t="shared" si="0"/>
        <v>0</v>
      </c>
      <c r="B28" t="s">
        <v>15</v>
      </c>
      <c r="C28">
        <f>Started!C31</f>
        <v>0</v>
      </c>
      <c r="D28">
        <f>IF(Started!I31="Pass",Started!G31,0)</f>
        <v>0</v>
      </c>
      <c r="E28" s="2" t="str">
        <f>IF(Started!B31="W","W","A")</f>
        <v>A</v>
      </c>
      <c r="F28" s="2" t="e">
        <f>VLOOKUP(JudgeD1CSS,Judges!$A$2:$B$44,2,FALSE)</f>
        <v>#N/A</v>
      </c>
      <c r="G28" t="str">
        <f>Started!I31</f>
        <v/>
      </c>
      <c r="H28" s="113" t="str">
        <f t="shared" si="1"/>
        <v/>
      </c>
      <c r="I28">
        <f>Started!C31</f>
        <v>0</v>
      </c>
      <c r="J28">
        <f>IF(AND(Started!AQ31=1, Started!AM31=0),Started!AD31,0)</f>
        <v>0</v>
      </c>
      <c r="K28">
        <f>IF(AND(Started!I31="Pass",Started!Q31="Pass",Started!Y31="Pass"),-1,0)</f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f>Elite!C31</f>
        <v>0</v>
      </c>
      <c r="S28">
        <f>IF(AND(Elite!AP31=1, Elite!AL31=0),Elite!AC31,0)</f>
        <v>0</v>
      </c>
      <c r="U28">
        <f>IF(Summary!I55="",0,Summary!I55)</f>
        <v>0</v>
      </c>
      <c r="V28" s="113">
        <f>IF(Summary!K55="",1,Summary!K55)</f>
        <v>1</v>
      </c>
      <c r="W28" s="113" t="str">
        <f>IF(Summary!L55="","",Summary!L55)</f>
        <v/>
      </c>
      <c r="Z28">
        <f>Games!$D33</f>
        <v>0</v>
      </c>
      <c r="AA28" s="113">
        <f>IF(AND(Games!N33=2,Games!S33=3),TrialDate,1)</f>
        <v>1</v>
      </c>
      <c r="AB28" s="113">
        <f>IF(AND(Games!U33=2,Games!Z33=3),TrialDate,1)</f>
        <v>1</v>
      </c>
      <c r="AC28" s="113">
        <f>IF(AND(Games!AB33=2,Games!AG33=3),TrialDate,1)</f>
        <v>1</v>
      </c>
      <c r="AD28" s="113">
        <f>IF(AND(Games!AI33=2,Games!AN33=3),TrialDate,1)</f>
        <v>1</v>
      </c>
    </row>
    <row r="29" spans="1:30" x14ac:dyDescent="0.25">
      <c r="A29">
        <f t="shared" si="0"/>
        <v>0</v>
      </c>
      <c r="B29" t="s">
        <v>15</v>
      </c>
      <c r="C29">
        <f>Started!C32</f>
        <v>0</v>
      </c>
      <c r="D29">
        <f>IF(Started!I32="Pass",Started!G32,0)</f>
        <v>0</v>
      </c>
      <c r="E29" s="2" t="str">
        <f>IF(Started!B32="W","W","A")</f>
        <v>A</v>
      </c>
      <c r="F29" s="2" t="e">
        <f>VLOOKUP(JudgeD1CSS,Judges!$A$2:$B$44,2,FALSE)</f>
        <v>#N/A</v>
      </c>
      <c r="G29" t="str">
        <f>Started!I32</f>
        <v/>
      </c>
      <c r="H29" s="113" t="str">
        <f t="shared" si="1"/>
        <v/>
      </c>
      <c r="I29">
        <f>Started!C32</f>
        <v>0</v>
      </c>
      <c r="J29">
        <f>IF(AND(Started!AQ32=1, Started!AM32=0),Started!AD32,0)</f>
        <v>0</v>
      </c>
      <c r="K29">
        <f>IF(AND(Started!I32="Pass",Started!Q32="Pass",Started!Y32="Pass"),-1,0)</f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f>Elite!C32</f>
        <v>0</v>
      </c>
      <c r="S29">
        <f>IF(AND(Elite!AP32=1, Elite!AL32=0),Elite!AC32,0)</f>
        <v>0</v>
      </c>
      <c r="Z29">
        <f>Games!$D34</f>
        <v>0</v>
      </c>
      <c r="AA29" s="113">
        <f>IF(AND(Games!N34=2,Games!S34=3),TrialDate,1)</f>
        <v>1</v>
      </c>
      <c r="AB29" s="113">
        <f>IF(AND(Games!U34=2,Games!Z34=3),TrialDate,1)</f>
        <v>1</v>
      </c>
      <c r="AC29" s="113">
        <f>IF(AND(Games!AB34=2,Games!AG34=3),TrialDate,1)</f>
        <v>1</v>
      </c>
      <c r="AD29" s="113">
        <f>IF(AND(Games!AI34=2,Games!AN34=3),TrialDate,1)</f>
        <v>1</v>
      </c>
    </row>
    <row r="30" spans="1:30" x14ac:dyDescent="0.25">
      <c r="A30">
        <f t="shared" si="0"/>
        <v>0</v>
      </c>
      <c r="B30" t="s">
        <v>15</v>
      </c>
      <c r="C30">
        <f>Started!C33</f>
        <v>0</v>
      </c>
      <c r="D30">
        <f>IF(Started!I33="Pass",Started!G33,0)</f>
        <v>0</v>
      </c>
      <c r="E30" s="2" t="str">
        <f>IF(Started!B33="W","W","A")</f>
        <v>A</v>
      </c>
      <c r="F30" s="2" t="e">
        <f>VLOOKUP(JudgeD1CSS,Judges!$A$2:$B$44,2,FALSE)</f>
        <v>#N/A</v>
      </c>
      <c r="G30" t="str">
        <f>Started!I33</f>
        <v/>
      </c>
      <c r="H30" s="113" t="str">
        <f t="shared" si="1"/>
        <v/>
      </c>
      <c r="I30">
        <f>Started!C33</f>
        <v>0</v>
      </c>
      <c r="J30">
        <f>IF(AND(Started!AQ33=1, Started!AM33=0),Started!AD33,0)</f>
        <v>0</v>
      </c>
      <c r="K30">
        <f>IF(AND(Started!I33="Pass",Started!Q33="Pass",Started!Y33="Pass"),-1,0)</f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f>Elite!C33</f>
        <v>0</v>
      </c>
      <c r="S30">
        <f>IF(AND(Elite!AP33=1, Elite!AL33=0),Elite!AC33,0)</f>
        <v>0</v>
      </c>
      <c r="Z30">
        <f>Games!$D35</f>
        <v>0</v>
      </c>
      <c r="AA30" s="113">
        <f>IF(AND(Games!N35=2,Games!S35=3),TrialDate,1)</f>
        <v>1</v>
      </c>
      <c r="AB30" s="113">
        <f>IF(AND(Games!U35=2,Games!Z35=3),TrialDate,1)</f>
        <v>1</v>
      </c>
      <c r="AC30" s="113">
        <f>IF(AND(Games!AB35=2,Games!AG35=3),TrialDate,1)</f>
        <v>1</v>
      </c>
      <c r="AD30" s="113">
        <f>IF(AND(Games!AI35=2,Games!AN35=3),TrialDate,1)</f>
        <v>1</v>
      </c>
    </row>
    <row r="31" spans="1:30" x14ac:dyDescent="0.25">
      <c r="A31">
        <f t="shared" si="0"/>
        <v>0</v>
      </c>
      <c r="B31" t="s">
        <v>15</v>
      </c>
      <c r="C31">
        <f>Started!C34</f>
        <v>0</v>
      </c>
      <c r="D31">
        <f>IF(Started!I34="Pass",Started!G34,0)</f>
        <v>0</v>
      </c>
      <c r="E31" s="2" t="str">
        <f>IF(Started!B34="W","W","A")</f>
        <v>A</v>
      </c>
      <c r="F31" s="2" t="e">
        <f>VLOOKUP(JudgeD1CSS,Judges!$A$2:$B$44,2,FALSE)</f>
        <v>#N/A</v>
      </c>
      <c r="G31" t="str">
        <f>Started!I34</f>
        <v/>
      </c>
      <c r="H31" s="113" t="str">
        <f t="shared" si="1"/>
        <v/>
      </c>
      <c r="I31">
        <f>Started!C34</f>
        <v>0</v>
      </c>
      <c r="J31">
        <f>IF(AND(Started!AQ34=1, Started!AM34=0),Started!AD34,0)</f>
        <v>0</v>
      </c>
      <c r="K31">
        <f>IF(AND(Started!I34="Pass",Started!Q34="Pass",Started!Y34="Pass"),-1,0)</f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f>Elite!C34</f>
        <v>0</v>
      </c>
      <c r="S31">
        <f>IF(AND(Elite!AP34=1, Elite!AL34=0),Elite!AC34,0)</f>
        <v>0</v>
      </c>
      <c r="Z31">
        <f>Games!$D36</f>
        <v>0</v>
      </c>
      <c r="AA31" s="113">
        <f>IF(AND(Games!N36=2,Games!S36=3),TrialDate,1)</f>
        <v>1</v>
      </c>
      <c r="AB31" s="113">
        <f>IF(AND(Games!U36=2,Games!Z36=3),TrialDate,1)</f>
        <v>1</v>
      </c>
      <c r="AC31" s="113">
        <f>IF(AND(Games!AB36=2,Games!AG36=3),TrialDate,1)</f>
        <v>1</v>
      </c>
      <c r="AD31" s="113">
        <f>IF(AND(Games!AI36=2,Games!AN36=3),TrialDate,1)</f>
        <v>1</v>
      </c>
    </row>
    <row r="32" spans="1:30" x14ac:dyDescent="0.25">
      <c r="A32">
        <f t="shared" si="0"/>
        <v>0</v>
      </c>
      <c r="B32" t="s">
        <v>16</v>
      </c>
      <c r="C32">
        <f>Started!C5</f>
        <v>0</v>
      </c>
      <c r="D32">
        <f>IF(Started!Q5="Pass",Started!O5,0)</f>
        <v>0</v>
      </c>
      <c r="E32" s="2" t="str">
        <f>IF(Started!B5="W","W","A")</f>
        <v>A</v>
      </c>
      <c r="F32" s="2" t="e">
        <f>VLOOKUP(JudgeD1ISS,Judges!$A$2:$B$44,2,FALSE)</f>
        <v>#N/A</v>
      </c>
      <c r="G32" t="str">
        <f>Started!Q5</f>
        <v/>
      </c>
      <c r="H32" s="113" t="str">
        <f t="shared" ref="H32:H61" si="2">TrialDateDay2</f>
        <v/>
      </c>
      <c r="I32">
        <f>Started!C45</f>
        <v>0</v>
      </c>
      <c r="J32">
        <f>IF(AND(Started!AQ45=1, Started!AM45=0),Started!AD45,0)</f>
        <v>0</v>
      </c>
      <c r="K32">
        <f>IF(AND(Started!I45="Pass",Started!Q45="Pass",Started!Y45="Pass"),-1,0)</f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f>Elite!C45</f>
        <v>0</v>
      </c>
      <c r="S32">
        <f>IF(AND(Elite!AP45=1, Elite!AL45=0),Elite!AC45,0)</f>
        <v>0</v>
      </c>
      <c r="Z32">
        <f>Games!$D37</f>
        <v>0</v>
      </c>
      <c r="AA32" s="113">
        <f>IF(AND(Games!N37=2,Games!S37=3),TrialDate,1)</f>
        <v>1</v>
      </c>
      <c r="AB32" s="113">
        <f>IF(AND(Games!U37=2,Games!Z37=3),TrialDate,1)</f>
        <v>1</v>
      </c>
      <c r="AC32" s="113">
        <f>IF(AND(Games!AB37=2,Games!AG37=3),TrialDate,1)</f>
        <v>1</v>
      </c>
      <c r="AD32" s="113">
        <f>IF(AND(Games!AI37=2,Games!AN37=3),TrialDate,1)</f>
        <v>1</v>
      </c>
    </row>
    <row r="33" spans="1:30" x14ac:dyDescent="0.25">
      <c r="A33">
        <f t="shared" si="0"/>
        <v>0</v>
      </c>
      <c r="B33" t="s">
        <v>16</v>
      </c>
      <c r="C33">
        <f>Started!C6</f>
        <v>0</v>
      </c>
      <c r="D33">
        <f>IF(Started!Q6="Pass",Started!O6,0)</f>
        <v>0</v>
      </c>
      <c r="E33" s="2" t="str">
        <f>IF(Started!B6="W","W","A")</f>
        <v>A</v>
      </c>
      <c r="F33" s="2" t="e">
        <f>VLOOKUP(JudgeD1ISS,Judges!$A$2:$B$44,2,FALSE)</f>
        <v>#N/A</v>
      </c>
      <c r="G33" t="str">
        <f>Started!Q6</f>
        <v/>
      </c>
      <c r="H33" s="113" t="str">
        <f t="shared" si="2"/>
        <v/>
      </c>
      <c r="I33">
        <f>Started!C46</f>
        <v>0</v>
      </c>
      <c r="J33">
        <f>IF(AND(Started!AQ46=1, Started!AM46=0),Started!AD46,0)</f>
        <v>0</v>
      </c>
      <c r="K33">
        <f>IF(AND(Started!I46="Pass",Started!Q46="Pass",Started!Y46="Pass"),-1,0)</f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f>Elite!C46</f>
        <v>0</v>
      </c>
      <c r="S33">
        <f>IF(AND(Elite!AP46=1, Elite!AL46=0),Elite!AC46,0)</f>
        <v>0</v>
      </c>
      <c r="Z33">
        <f>Games!$D38</f>
        <v>0</v>
      </c>
      <c r="AA33" s="113">
        <f>IF(AND(Games!N38=2,Games!S38=3),TrialDate,1)</f>
        <v>1</v>
      </c>
      <c r="AB33" s="113">
        <f>IF(AND(Games!U38=2,Games!Z38=3),TrialDate,1)</f>
        <v>1</v>
      </c>
      <c r="AC33" s="113">
        <f>IF(AND(Games!AB38=2,Games!AG38=3),TrialDate,1)</f>
        <v>1</v>
      </c>
      <c r="AD33" s="113">
        <f>IF(AND(Games!AI38=2,Games!AN38=3),TrialDate,1)</f>
        <v>1</v>
      </c>
    </row>
    <row r="34" spans="1:30" x14ac:dyDescent="0.25">
      <c r="A34">
        <f t="shared" si="0"/>
        <v>0</v>
      </c>
      <c r="B34" t="s">
        <v>16</v>
      </c>
      <c r="C34">
        <f>Started!C7</f>
        <v>0</v>
      </c>
      <c r="D34">
        <f>IF(Started!Q7="Pass",Started!O7,0)</f>
        <v>0</v>
      </c>
      <c r="E34" s="2" t="str">
        <f>IF(Started!B7="W","W","A")</f>
        <v>A</v>
      </c>
      <c r="F34" s="2" t="e">
        <f>VLOOKUP(JudgeD1ISS,Judges!$A$2:$B$44,2,FALSE)</f>
        <v>#N/A</v>
      </c>
      <c r="G34" t="str">
        <f>Started!Q7</f>
        <v/>
      </c>
      <c r="H34" s="113" t="str">
        <f t="shared" si="2"/>
        <v/>
      </c>
      <c r="I34">
        <f>Started!C47</f>
        <v>0</v>
      </c>
      <c r="J34">
        <f>IF(AND(Started!AQ47=1, Started!AM47=0),Started!AD47,0)</f>
        <v>0</v>
      </c>
      <c r="K34">
        <f>IF(AND(Started!I47="Pass",Started!Q47="Pass",Started!Y47="Pass"),-1,0)</f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f>Elite!C47</f>
        <v>0</v>
      </c>
      <c r="S34">
        <f>IF(AND(Elite!AP47=1, Elite!AL47=0),Elite!AC47,0)</f>
        <v>0</v>
      </c>
      <c r="Z34">
        <f>Games!$D39</f>
        <v>0</v>
      </c>
      <c r="AA34" s="113">
        <f>IF(AND(Games!N39=2,Games!S39=3),TrialDate,1)</f>
        <v>1</v>
      </c>
      <c r="AB34" s="113">
        <f>IF(AND(Games!U39=2,Games!Z39=3),TrialDate,1)</f>
        <v>1</v>
      </c>
      <c r="AC34" s="113">
        <f>IF(AND(Games!AB39=2,Games!AG39=3),TrialDate,1)</f>
        <v>1</v>
      </c>
      <c r="AD34" s="113">
        <f>IF(AND(Games!AI39=2,Games!AN39=3),TrialDate,1)</f>
        <v>1</v>
      </c>
    </row>
    <row r="35" spans="1:30" x14ac:dyDescent="0.25">
      <c r="A35">
        <f t="shared" si="0"/>
        <v>0</v>
      </c>
      <c r="B35" t="s">
        <v>16</v>
      </c>
      <c r="C35">
        <f>Started!C8</f>
        <v>0</v>
      </c>
      <c r="D35">
        <f>IF(Started!Q8="Pass",Started!O8,0)</f>
        <v>0</v>
      </c>
      <c r="E35" s="2" t="str">
        <f>IF(Started!B8="W","W","A")</f>
        <v>A</v>
      </c>
      <c r="F35" s="2" t="e">
        <f>VLOOKUP(JudgeD1ISS,Judges!$A$2:$B$44,2,FALSE)</f>
        <v>#N/A</v>
      </c>
      <c r="G35" t="str">
        <f>Started!Q8</f>
        <v/>
      </c>
      <c r="H35" s="113" t="str">
        <f t="shared" si="2"/>
        <v/>
      </c>
      <c r="I35">
        <f>Started!C48</f>
        <v>0</v>
      </c>
      <c r="J35">
        <f>IF(AND(Started!AQ48=1, Started!AM48=0),Started!AD48,0)</f>
        <v>0</v>
      </c>
      <c r="K35">
        <f>IF(AND(Started!I48="Pass",Started!Q48="Pass",Started!Y48="Pass"),-1,0)</f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f>Elite!C48</f>
        <v>0</v>
      </c>
      <c r="S35">
        <f>IF(AND(Elite!AP48=1, Elite!AL48=0),Elite!AC48,0)</f>
        <v>0</v>
      </c>
      <c r="Z35">
        <f>Games!$D40</f>
        <v>0</v>
      </c>
      <c r="AA35" s="113">
        <f>IF(AND(Games!N40=2,Games!S40=3),TrialDate,1)</f>
        <v>1</v>
      </c>
      <c r="AB35" s="113">
        <f>IF(AND(Games!U40=2,Games!Z40=3),TrialDate,1)</f>
        <v>1</v>
      </c>
      <c r="AC35" s="113">
        <f>IF(AND(Games!AB40=2,Games!AG40=3),TrialDate,1)</f>
        <v>1</v>
      </c>
      <c r="AD35" s="113">
        <f>IF(AND(Games!AI40=2,Games!AN40=3),TrialDate,1)</f>
        <v>1</v>
      </c>
    </row>
    <row r="36" spans="1:30" x14ac:dyDescent="0.25">
      <c r="A36">
        <f t="shared" si="0"/>
        <v>0</v>
      </c>
      <c r="B36" t="s">
        <v>16</v>
      </c>
      <c r="C36">
        <f>Started!C9</f>
        <v>0</v>
      </c>
      <c r="D36">
        <f>IF(Started!Q9="Pass",Started!O9,0)</f>
        <v>0</v>
      </c>
      <c r="E36" s="2" t="str">
        <f>IF(Started!B9="W","W","A")</f>
        <v>A</v>
      </c>
      <c r="F36" s="2" t="e">
        <f>VLOOKUP(JudgeD1ISS,Judges!$A$2:$B$44,2,FALSE)</f>
        <v>#N/A</v>
      </c>
      <c r="G36" t="str">
        <f>Started!Q9</f>
        <v/>
      </c>
      <c r="H36" s="113" t="str">
        <f t="shared" si="2"/>
        <v/>
      </c>
      <c r="I36">
        <f>Started!C49</f>
        <v>0</v>
      </c>
      <c r="J36">
        <f>IF(AND(Started!AQ49=1, Started!AM49=0),Started!AD49,0)</f>
        <v>0</v>
      </c>
      <c r="K36">
        <f>IF(AND(Started!I49="Pass",Started!Q49="Pass",Started!Y49="Pass"),-1,0)</f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f>Elite!C49</f>
        <v>0</v>
      </c>
      <c r="S36">
        <f>IF(AND(Elite!AP49=1, Elite!AL49=0),Elite!AC49,0)</f>
        <v>0</v>
      </c>
      <c r="Z36">
        <f>Games!$D41</f>
        <v>0</v>
      </c>
      <c r="AA36" s="113">
        <f>IF(AND(Games!N41=2,Games!S41=3),TrialDate,1)</f>
        <v>1</v>
      </c>
      <c r="AB36" s="113">
        <f>IF(AND(Games!U41=2,Games!Z41=3),TrialDate,1)</f>
        <v>1</v>
      </c>
      <c r="AC36" s="113">
        <f>IF(AND(Games!AB41=2,Games!AG41=3),TrialDate,1)</f>
        <v>1</v>
      </c>
      <c r="AD36" s="113">
        <f>IF(AND(Games!AI41=2,Games!AN41=3),TrialDate,1)</f>
        <v>1</v>
      </c>
    </row>
    <row r="37" spans="1:30" x14ac:dyDescent="0.25">
      <c r="A37">
        <f t="shared" si="0"/>
        <v>0</v>
      </c>
      <c r="B37" t="s">
        <v>16</v>
      </c>
      <c r="C37">
        <f>Started!C10</f>
        <v>0</v>
      </c>
      <c r="D37">
        <f>IF(Started!Q10="Pass",Started!O10,0)</f>
        <v>0</v>
      </c>
      <c r="E37" s="2" t="str">
        <f>IF(Started!B10="W","W","A")</f>
        <v>A</v>
      </c>
      <c r="F37" s="2" t="e">
        <f>VLOOKUP(JudgeD1ISS,Judges!$A$2:$B$44,2,FALSE)</f>
        <v>#N/A</v>
      </c>
      <c r="G37" t="str">
        <f>Started!Q10</f>
        <v/>
      </c>
      <c r="H37" s="113" t="str">
        <f t="shared" si="2"/>
        <v/>
      </c>
      <c r="I37">
        <f>Started!C50</f>
        <v>0</v>
      </c>
      <c r="J37">
        <f>IF(AND(Started!AQ50=1, Started!AM50=0),Started!AD50,0)</f>
        <v>0</v>
      </c>
      <c r="K37">
        <f>IF(AND(Started!I50="Pass",Started!Q50="Pass",Started!Y50="Pass"),-1,0)</f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f>Elite!C50</f>
        <v>0</v>
      </c>
      <c r="S37">
        <f>IF(AND(Elite!AP50=1, Elite!AL50=0),Elite!AC50,0)</f>
        <v>0</v>
      </c>
      <c r="Z37">
        <f>Games!$D42</f>
        <v>0</v>
      </c>
      <c r="AA37" s="113">
        <f>IF(AND(Games!N42=2,Games!S42=3),TrialDate,1)</f>
        <v>1</v>
      </c>
      <c r="AB37" s="113">
        <f>IF(AND(Games!U42=2,Games!Z42=3),TrialDate,1)</f>
        <v>1</v>
      </c>
      <c r="AC37" s="113">
        <f>IF(AND(Games!AB42=2,Games!AG42=3),TrialDate,1)</f>
        <v>1</v>
      </c>
      <c r="AD37" s="113">
        <f>IF(AND(Games!AI42=2,Games!AN42=3),TrialDate,1)</f>
        <v>1</v>
      </c>
    </row>
    <row r="38" spans="1:30" x14ac:dyDescent="0.25">
      <c r="A38">
        <f t="shared" si="0"/>
        <v>0</v>
      </c>
      <c r="B38" t="s">
        <v>16</v>
      </c>
      <c r="C38">
        <f>Started!C11</f>
        <v>0</v>
      </c>
      <c r="D38">
        <f>IF(Started!Q11="Pass",Started!O11,0)</f>
        <v>0</v>
      </c>
      <c r="E38" s="2" t="str">
        <f>IF(Started!B11="W","W","A")</f>
        <v>A</v>
      </c>
      <c r="F38" s="2" t="e">
        <f>VLOOKUP(JudgeD1ISS,Judges!$A$2:$B$44,2,FALSE)</f>
        <v>#N/A</v>
      </c>
      <c r="G38" t="str">
        <f>Started!Q11</f>
        <v/>
      </c>
      <c r="H38" s="113" t="str">
        <f t="shared" si="2"/>
        <v/>
      </c>
      <c r="I38">
        <f>Started!C51</f>
        <v>0</v>
      </c>
      <c r="J38">
        <f>IF(AND(Started!AQ51=1, Started!AM51=0),Started!AD51,0)</f>
        <v>0</v>
      </c>
      <c r="K38">
        <f>IF(AND(Started!I51="Pass",Started!Q51="Pass",Started!Y51="Pass"),-1,0)</f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f>Elite!C51</f>
        <v>0</v>
      </c>
      <c r="S38">
        <f>IF(AND(Elite!AP51=1, Elite!AL51=0),Elite!AC51,0)</f>
        <v>0</v>
      </c>
      <c r="Z38">
        <f>Games!$D43</f>
        <v>0</v>
      </c>
      <c r="AA38" s="113">
        <f>IF(AND(Games!N43=2,Games!S43=3),TrialDate,1)</f>
        <v>1</v>
      </c>
      <c r="AB38" s="113">
        <f>IF(AND(Games!U43=2,Games!Z43=3),TrialDate,1)</f>
        <v>1</v>
      </c>
      <c r="AC38" s="113">
        <f>IF(AND(Games!AB43=2,Games!AG43=3),TrialDate,1)</f>
        <v>1</v>
      </c>
      <c r="AD38" s="113">
        <f>IF(AND(Games!AI43=2,Games!AN43=3),TrialDate,1)</f>
        <v>1</v>
      </c>
    </row>
    <row r="39" spans="1:30" x14ac:dyDescent="0.25">
      <c r="A39">
        <f t="shared" si="0"/>
        <v>0</v>
      </c>
      <c r="B39" t="s">
        <v>16</v>
      </c>
      <c r="C39">
        <f>Started!C12</f>
        <v>0</v>
      </c>
      <c r="D39">
        <f>IF(Started!Q12="Pass",Started!O12,0)</f>
        <v>0</v>
      </c>
      <c r="E39" s="2" t="str">
        <f>IF(Started!B12="W","W","A")</f>
        <v>A</v>
      </c>
      <c r="F39" s="2" t="e">
        <f>VLOOKUP(JudgeD1ISS,Judges!$A$2:$B$44,2,FALSE)</f>
        <v>#N/A</v>
      </c>
      <c r="G39" t="str">
        <f>Started!Q12</f>
        <v/>
      </c>
      <c r="H39" s="113" t="str">
        <f t="shared" si="2"/>
        <v/>
      </c>
      <c r="I39">
        <f>Started!C52</f>
        <v>0</v>
      </c>
      <c r="J39">
        <f>IF(AND(Started!AQ52=1, Started!AM52=0),Started!AD52,0)</f>
        <v>0</v>
      </c>
      <c r="K39">
        <f>IF(AND(Started!I52="Pass",Started!Q52="Pass",Started!Y52="Pass"),-1,0)</f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f>Elite!C52</f>
        <v>0</v>
      </c>
      <c r="S39">
        <f>IF(AND(Elite!AP52=1, Elite!AL52=0),Elite!AC52,0)</f>
        <v>0</v>
      </c>
      <c r="Z39">
        <f>Games!$D44</f>
        <v>0</v>
      </c>
      <c r="AA39" s="113">
        <f>IF(AND(Games!N44=2,Games!S44=3),TrialDate,1)</f>
        <v>1</v>
      </c>
      <c r="AB39" s="113">
        <f>IF(AND(Games!U44=2,Games!Z44=3),TrialDate,1)</f>
        <v>1</v>
      </c>
      <c r="AC39" s="113">
        <f>IF(AND(Games!AB44=2,Games!AG44=3),TrialDate,1)</f>
        <v>1</v>
      </c>
      <c r="AD39" s="113">
        <f>IF(AND(Games!AI44=2,Games!AN44=3),TrialDate,1)</f>
        <v>1</v>
      </c>
    </row>
    <row r="40" spans="1:30" x14ac:dyDescent="0.25">
      <c r="A40">
        <f t="shared" si="0"/>
        <v>0</v>
      </c>
      <c r="B40" t="s">
        <v>16</v>
      </c>
      <c r="C40">
        <f>Started!C13</f>
        <v>0</v>
      </c>
      <c r="D40">
        <f>IF(Started!Q13="Pass",Started!O13,0)</f>
        <v>0</v>
      </c>
      <c r="E40" s="2" t="str">
        <f>IF(Started!B13="W","W","A")</f>
        <v>A</v>
      </c>
      <c r="F40" s="2" t="e">
        <f>VLOOKUP(JudgeD1ISS,Judges!$A$2:$B$44,2,FALSE)</f>
        <v>#N/A</v>
      </c>
      <c r="G40" t="str">
        <f>Started!Q13</f>
        <v/>
      </c>
      <c r="H40" s="113" t="str">
        <f t="shared" si="2"/>
        <v/>
      </c>
      <c r="I40">
        <f>Started!C53</f>
        <v>0</v>
      </c>
      <c r="J40">
        <f>IF(AND(Started!AQ53=1, Started!AM53=0),Started!AD53,0)</f>
        <v>0</v>
      </c>
      <c r="K40">
        <f>IF(AND(Started!I53="Pass",Started!Q53="Pass",Started!Y53="Pass"),-1,0)</f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f>Elite!C53</f>
        <v>0</v>
      </c>
      <c r="S40">
        <f>IF(AND(Elite!AP53=1, Elite!AL53=0),Elite!AC53,0)</f>
        <v>0</v>
      </c>
      <c r="Z40">
        <f>Games!$D45</f>
        <v>0</v>
      </c>
      <c r="AA40" s="113">
        <f>IF(AND(Games!N45=2,Games!S45=3),TrialDate,1)</f>
        <v>1</v>
      </c>
      <c r="AB40" s="113">
        <f>IF(AND(Games!U45=2,Games!Z45=3),TrialDate,1)</f>
        <v>1</v>
      </c>
      <c r="AC40" s="113">
        <f>IF(AND(Games!AB45=2,Games!AG45=3),TrialDate,1)</f>
        <v>1</v>
      </c>
      <c r="AD40" s="113">
        <f>IF(AND(Games!AI45=2,Games!AN45=3),TrialDate,1)</f>
        <v>1</v>
      </c>
    </row>
    <row r="41" spans="1:30" x14ac:dyDescent="0.25">
      <c r="A41">
        <f t="shared" si="0"/>
        <v>0</v>
      </c>
      <c r="B41" t="s">
        <v>16</v>
      </c>
      <c r="C41">
        <f>Started!C14</f>
        <v>0</v>
      </c>
      <c r="D41">
        <f>IF(Started!Q14="Pass",Started!O14,0)</f>
        <v>0</v>
      </c>
      <c r="E41" s="2" t="str">
        <f>IF(Started!B14="W","W","A")</f>
        <v>A</v>
      </c>
      <c r="F41" s="2" t="e">
        <f>VLOOKUP(JudgeD1ISS,Judges!$A$2:$B$44,2,FALSE)</f>
        <v>#N/A</v>
      </c>
      <c r="G41" t="str">
        <f>Started!Q14</f>
        <v/>
      </c>
      <c r="H41" s="113" t="str">
        <f t="shared" si="2"/>
        <v/>
      </c>
      <c r="I41">
        <f>Started!C54</f>
        <v>0</v>
      </c>
      <c r="J41">
        <f>IF(AND(Started!AQ54=1, Started!AM54=0),Started!AD54,0)</f>
        <v>0</v>
      </c>
      <c r="K41">
        <f>IF(AND(Started!I54="Pass",Started!Q54="Pass",Started!Y54="Pass"),-1,0)</f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f>Elite!C54</f>
        <v>0</v>
      </c>
      <c r="S41">
        <f>IF(AND(Elite!AP54=1, Elite!AL54=0),Elite!AC54,0)</f>
        <v>0</v>
      </c>
      <c r="Z41">
        <f>Games!$D46</f>
        <v>0</v>
      </c>
      <c r="AA41" s="113">
        <f>IF(AND(Games!N46=2,Games!S46=3),TrialDate,1)</f>
        <v>1</v>
      </c>
      <c r="AB41" s="113">
        <f>IF(AND(Games!U46=2,Games!Z46=3),TrialDate,1)</f>
        <v>1</v>
      </c>
      <c r="AC41" s="113">
        <f>IF(AND(Games!AB46=2,Games!AG46=3),TrialDate,1)</f>
        <v>1</v>
      </c>
      <c r="AD41" s="113">
        <f>IF(AND(Games!AI46=2,Games!AN46=3),TrialDate,1)</f>
        <v>1</v>
      </c>
    </row>
    <row r="42" spans="1:30" x14ac:dyDescent="0.25">
      <c r="A42">
        <f t="shared" si="0"/>
        <v>0</v>
      </c>
      <c r="B42" t="s">
        <v>16</v>
      </c>
      <c r="C42">
        <f>Started!C15</f>
        <v>0</v>
      </c>
      <c r="D42">
        <f>IF(Started!Q15="Pass",Started!O15,0)</f>
        <v>0</v>
      </c>
      <c r="E42" s="2" t="str">
        <f>IF(Started!B15="W","W","A")</f>
        <v>A</v>
      </c>
      <c r="F42" s="2" t="e">
        <f>VLOOKUP(JudgeD1ISS,Judges!$A$2:$B$44,2,FALSE)</f>
        <v>#N/A</v>
      </c>
      <c r="G42" t="str">
        <f>Started!Q15</f>
        <v/>
      </c>
      <c r="H42" s="113" t="str">
        <f t="shared" si="2"/>
        <v/>
      </c>
      <c r="I42">
        <f>Started!C55</f>
        <v>0</v>
      </c>
      <c r="J42">
        <f>IF(AND(Started!AQ55=1, Started!AM55=0),Started!AD55,0)</f>
        <v>0</v>
      </c>
      <c r="K42">
        <f>IF(AND(Started!I55="Pass",Started!Q55="Pass",Started!Y55="Pass"),-1,0)</f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f>Elite!C55</f>
        <v>0</v>
      </c>
      <c r="S42">
        <f>IF(AND(Elite!AP55=1, Elite!AL55=0),Elite!AC55,0)</f>
        <v>0</v>
      </c>
      <c r="Z42">
        <f>Games!$D47</f>
        <v>0</v>
      </c>
      <c r="AA42" s="113">
        <f>IF(AND(Games!N47=2,Games!S47=3),TrialDate,1)</f>
        <v>1</v>
      </c>
      <c r="AB42" s="113">
        <f>IF(AND(Games!U47=2,Games!Z47=3),TrialDate,1)</f>
        <v>1</v>
      </c>
      <c r="AC42" s="113">
        <f>IF(AND(Games!AB47=2,Games!AG47=3),TrialDate,1)</f>
        <v>1</v>
      </c>
      <c r="AD42" s="113">
        <f>IF(AND(Games!AI47=2,Games!AN47=3),TrialDate,1)</f>
        <v>1</v>
      </c>
    </row>
    <row r="43" spans="1:30" x14ac:dyDescent="0.25">
      <c r="A43">
        <f t="shared" si="0"/>
        <v>0</v>
      </c>
      <c r="B43" t="s">
        <v>16</v>
      </c>
      <c r="C43">
        <f>Started!C16</f>
        <v>0</v>
      </c>
      <c r="D43">
        <f>IF(Started!Q16="Pass",Started!O16,0)</f>
        <v>0</v>
      </c>
      <c r="E43" s="2" t="str">
        <f>IF(Started!B16="W","W","A")</f>
        <v>A</v>
      </c>
      <c r="F43" s="2" t="e">
        <f>VLOOKUP(JudgeD1ISS,Judges!$A$2:$B$44,2,FALSE)</f>
        <v>#N/A</v>
      </c>
      <c r="G43" t="str">
        <f>Started!Q16</f>
        <v/>
      </c>
      <c r="H43" s="113" t="str">
        <f t="shared" si="2"/>
        <v/>
      </c>
      <c r="I43">
        <f>Started!C56</f>
        <v>0</v>
      </c>
      <c r="J43">
        <f>IF(AND(Started!AQ56=1, Started!AM56=0),Started!AD56,0)</f>
        <v>0</v>
      </c>
      <c r="K43">
        <f>IF(AND(Started!I56="Pass",Started!Q56="Pass",Started!Y56="Pass"),-1,0)</f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f>Elite!C56</f>
        <v>0</v>
      </c>
      <c r="S43">
        <f>IF(AND(Elite!AP56=1, Elite!AL56=0),Elite!AC56,0)</f>
        <v>0</v>
      </c>
      <c r="Z43">
        <f>Games!$D48</f>
        <v>0</v>
      </c>
      <c r="AA43" s="113">
        <f>IF(AND(Games!N48=2,Games!S48=3),TrialDate,1)</f>
        <v>1</v>
      </c>
      <c r="AB43" s="113">
        <f>IF(AND(Games!U48=2,Games!Z48=3),TrialDate,1)</f>
        <v>1</v>
      </c>
      <c r="AC43" s="113">
        <f>IF(AND(Games!AB48=2,Games!AG48=3),TrialDate,1)</f>
        <v>1</v>
      </c>
      <c r="AD43" s="113">
        <f>IF(AND(Games!AI48=2,Games!AN48=3),TrialDate,1)</f>
        <v>1</v>
      </c>
    </row>
    <row r="44" spans="1:30" x14ac:dyDescent="0.25">
      <c r="A44">
        <f t="shared" si="0"/>
        <v>0</v>
      </c>
      <c r="B44" t="s">
        <v>16</v>
      </c>
      <c r="C44">
        <f>Started!C17</f>
        <v>0</v>
      </c>
      <c r="D44">
        <f>IF(Started!Q17="Pass",Started!O17,0)</f>
        <v>0</v>
      </c>
      <c r="E44" s="2" t="str">
        <f>IF(Started!B17="W","W","A")</f>
        <v>A</v>
      </c>
      <c r="F44" s="2" t="e">
        <f>VLOOKUP(JudgeD1ISS,Judges!$A$2:$B$44,2,FALSE)</f>
        <v>#N/A</v>
      </c>
      <c r="G44" t="str">
        <f>Started!Q17</f>
        <v/>
      </c>
      <c r="H44" s="113" t="str">
        <f t="shared" si="2"/>
        <v/>
      </c>
      <c r="I44">
        <f>Started!C57</f>
        <v>0</v>
      </c>
      <c r="J44">
        <f>IF(AND(Started!AQ57=1, Started!AM57=0),Started!AD57,0)</f>
        <v>0</v>
      </c>
      <c r="K44">
        <f>IF(AND(Started!I57="Pass",Started!Q57="Pass",Started!Y57="Pass"),-1,0)</f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f>Elite!C57</f>
        <v>0</v>
      </c>
      <c r="S44">
        <f>IF(AND(Elite!AP57=1, Elite!AL57=0),Elite!AC57,0)</f>
        <v>0</v>
      </c>
      <c r="Z44">
        <f>Games!$D49</f>
        <v>0</v>
      </c>
      <c r="AA44" s="113">
        <f>IF(AND(Games!N49=2,Games!S49=3),TrialDate,1)</f>
        <v>1</v>
      </c>
      <c r="AB44" s="113">
        <f>IF(AND(Games!U49=2,Games!Z49=3),TrialDate,1)</f>
        <v>1</v>
      </c>
      <c r="AC44" s="113">
        <f>IF(AND(Games!AB49=2,Games!AG49=3),TrialDate,1)</f>
        <v>1</v>
      </c>
      <c r="AD44" s="113">
        <f>IF(AND(Games!AI49=2,Games!AN49=3),TrialDate,1)</f>
        <v>1</v>
      </c>
    </row>
    <row r="45" spans="1:30" x14ac:dyDescent="0.25">
      <c r="A45">
        <f t="shared" si="0"/>
        <v>0</v>
      </c>
      <c r="B45" t="s">
        <v>16</v>
      </c>
      <c r="C45">
        <f>Started!C18</f>
        <v>0</v>
      </c>
      <c r="D45">
        <f>IF(Started!Q18="Pass",Started!O18,0)</f>
        <v>0</v>
      </c>
      <c r="E45" s="2" t="str">
        <f>IF(Started!B18="W","W","A")</f>
        <v>A</v>
      </c>
      <c r="F45" s="2" t="e">
        <f>VLOOKUP(JudgeD1ISS,Judges!$A$2:$B$44,2,FALSE)</f>
        <v>#N/A</v>
      </c>
      <c r="G45" t="str">
        <f>Started!Q18</f>
        <v/>
      </c>
      <c r="H45" s="113" t="str">
        <f t="shared" si="2"/>
        <v/>
      </c>
      <c r="I45">
        <f>Started!C58</f>
        <v>0</v>
      </c>
      <c r="J45">
        <f>IF(AND(Started!AQ58=1, Started!AM58=0),Started!AD58,0)</f>
        <v>0</v>
      </c>
      <c r="K45">
        <f>IF(AND(Started!I58="Pass",Started!Q58="Pass",Started!Y58="Pass"),-1,0)</f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f>Elite!C58</f>
        <v>0</v>
      </c>
      <c r="S45">
        <f>IF(AND(Elite!AP58=1, Elite!AL58=0),Elite!AC58,0)</f>
        <v>0</v>
      </c>
      <c r="Z45">
        <f>Games!$D50</f>
        <v>0</v>
      </c>
      <c r="AA45" s="113">
        <f>IF(AND(Games!N50=2,Games!S50=3),TrialDate,1)</f>
        <v>1</v>
      </c>
      <c r="AB45" s="113">
        <f>IF(AND(Games!U50=2,Games!Z50=3),TrialDate,1)</f>
        <v>1</v>
      </c>
      <c r="AC45" s="113">
        <f>IF(AND(Games!AB50=2,Games!AG50=3),TrialDate,1)</f>
        <v>1</v>
      </c>
      <c r="AD45" s="113">
        <f>IF(AND(Games!AI50=2,Games!AN50=3),TrialDate,1)</f>
        <v>1</v>
      </c>
    </row>
    <row r="46" spans="1:30" x14ac:dyDescent="0.25">
      <c r="A46">
        <f t="shared" si="0"/>
        <v>0</v>
      </c>
      <c r="B46" t="s">
        <v>16</v>
      </c>
      <c r="C46">
        <f>Started!C19</f>
        <v>0</v>
      </c>
      <c r="D46">
        <f>IF(Started!Q19="Pass",Started!O19,0)</f>
        <v>0</v>
      </c>
      <c r="E46" s="2" t="str">
        <f>IF(Started!B19="W","W","A")</f>
        <v>A</v>
      </c>
      <c r="F46" s="2" t="e">
        <f>VLOOKUP(JudgeD1ISS,Judges!$A$2:$B$44,2,FALSE)</f>
        <v>#N/A</v>
      </c>
      <c r="G46" t="str">
        <f>Started!Q19</f>
        <v/>
      </c>
      <c r="H46" s="113" t="str">
        <f t="shared" si="2"/>
        <v/>
      </c>
      <c r="I46">
        <f>Started!C59</f>
        <v>0</v>
      </c>
      <c r="J46">
        <f>IF(AND(Started!AQ59=1, Started!AM59=0),Started!AD59,0)</f>
        <v>0</v>
      </c>
      <c r="K46">
        <f>IF(AND(Started!I59="Pass",Started!Q59="Pass",Started!Y59="Pass"),-1,0)</f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f>Elite!C59</f>
        <v>0</v>
      </c>
      <c r="S46">
        <f>IF(AND(Elite!AP59=1, Elite!AL59=0),Elite!AC59,0)</f>
        <v>0</v>
      </c>
      <c r="Z46">
        <f>Games!$D51</f>
        <v>0</v>
      </c>
      <c r="AA46" s="113">
        <f>IF(AND(Games!N51=2,Games!S51=3),TrialDate,1)</f>
        <v>1</v>
      </c>
      <c r="AB46" s="113">
        <f>IF(AND(Games!U51=2,Games!Z51=3),TrialDate,1)</f>
        <v>1</v>
      </c>
      <c r="AC46" s="113">
        <f>IF(AND(Games!AB51=2,Games!AG51=3),TrialDate,1)</f>
        <v>1</v>
      </c>
      <c r="AD46" s="113">
        <f>IF(AND(Games!AI51=2,Games!AN51=3),TrialDate,1)</f>
        <v>1</v>
      </c>
    </row>
    <row r="47" spans="1:30" x14ac:dyDescent="0.25">
      <c r="A47">
        <f t="shared" si="0"/>
        <v>0</v>
      </c>
      <c r="B47" t="s">
        <v>16</v>
      </c>
      <c r="C47">
        <f>Started!C20</f>
        <v>0</v>
      </c>
      <c r="D47">
        <f>IF(Started!Q20="Pass",Started!O20,0)</f>
        <v>0</v>
      </c>
      <c r="E47" s="2" t="str">
        <f>IF(Started!B20="W","W","A")</f>
        <v>A</v>
      </c>
      <c r="F47" s="2" t="e">
        <f>VLOOKUP(JudgeD1ISS,Judges!$A$2:$B$44,2,FALSE)</f>
        <v>#N/A</v>
      </c>
      <c r="G47" t="str">
        <f>Started!Q20</f>
        <v/>
      </c>
      <c r="H47" s="113" t="str">
        <f t="shared" si="2"/>
        <v/>
      </c>
      <c r="I47">
        <f>Started!C60</f>
        <v>0</v>
      </c>
      <c r="J47">
        <f>IF(AND(Started!AQ60=1, Started!AM60=0),Started!AD60,0)</f>
        <v>0</v>
      </c>
      <c r="K47">
        <f>IF(AND(Started!I60="Pass",Started!Q60="Pass",Started!Y60="Pass"),-1,0)</f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f>Elite!C60</f>
        <v>0</v>
      </c>
      <c r="S47">
        <f>IF(AND(Elite!AP60=1, Elite!AL60=0),Elite!AC60,0)</f>
        <v>0</v>
      </c>
      <c r="Z47">
        <f>Games!$D52</f>
        <v>0</v>
      </c>
      <c r="AA47" s="113">
        <f>IF(AND(Games!N52=2,Games!S52=3),TrialDate,1)</f>
        <v>1</v>
      </c>
      <c r="AB47" s="113">
        <f>IF(AND(Games!U52=2,Games!Z52=3),TrialDate,1)</f>
        <v>1</v>
      </c>
      <c r="AC47" s="113">
        <f>IF(AND(Games!AB52=2,Games!AG52=3),TrialDate,1)</f>
        <v>1</v>
      </c>
      <c r="AD47" s="113">
        <f>IF(AND(Games!AI52=2,Games!AN52=3),TrialDate,1)</f>
        <v>1</v>
      </c>
    </row>
    <row r="48" spans="1:30" x14ac:dyDescent="0.25">
      <c r="A48">
        <f t="shared" si="0"/>
        <v>0</v>
      </c>
      <c r="B48" t="s">
        <v>16</v>
      </c>
      <c r="C48">
        <f>Started!C21</f>
        <v>0</v>
      </c>
      <c r="D48">
        <f>IF(Started!Q21="Pass",Started!O21,0)</f>
        <v>0</v>
      </c>
      <c r="E48" s="2" t="str">
        <f>IF(Started!B21="W","W","A")</f>
        <v>A</v>
      </c>
      <c r="F48" s="2" t="e">
        <f>VLOOKUP(JudgeD1ISS,Judges!$A$2:$B$44,2,FALSE)</f>
        <v>#N/A</v>
      </c>
      <c r="G48" t="str">
        <f>Started!Q21</f>
        <v/>
      </c>
      <c r="H48" s="113" t="str">
        <f t="shared" si="2"/>
        <v/>
      </c>
      <c r="I48">
        <f>Started!C61</f>
        <v>0</v>
      </c>
      <c r="J48">
        <f>IF(AND(Started!AQ61=1, Started!AM61=0),Started!AD61,0)</f>
        <v>0</v>
      </c>
      <c r="K48">
        <f>IF(AND(Started!I61="Pass",Started!Q61="Pass",Started!Y61="Pass"),-1,0)</f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f>Elite!C61</f>
        <v>0</v>
      </c>
      <c r="S48">
        <f>IF(AND(Elite!AP61=1, Elite!AL61=0),Elite!AC61,0)</f>
        <v>0</v>
      </c>
      <c r="Z48">
        <f>Games!$D53</f>
        <v>0</v>
      </c>
      <c r="AA48" s="113">
        <f>IF(AND(Games!N53=2,Games!S53=3),TrialDate,1)</f>
        <v>1</v>
      </c>
      <c r="AB48" s="113">
        <f>IF(AND(Games!U53=2,Games!Z53=3),TrialDate,1)</f>
        <v>1</v>
      </c>
      <c r="AC48" s="113">
        <f>IF(AND(Games!AB53=2,Games!AG53=3),TrialDate,1)</f>
        <v>1</v>
      </c>
      <c r="AD48" s="113">
        <f>IF(AND(Games!AI53=2,Games!AN53=3),TrialDate,1)</f>
        <v>1</v>
      </c>
    </row>
    <row r="49" spans="1:30" x14ac:dyDescent="0.25">
      <c r="A49">
        <f t="shared" si="0"/>
        <v>0</v>
      </c>
      <c r="B49" t="s">
        <v>16</v>
      </c>
      <c r="C49">
        <f>Started!C22</f>
        <v>0</v>
      </c>
      <c r="D49">
        <f>IF(Started!Q22="Pass",Started!O22,0)</f>
        <v>0</v>
      </c>
      <c r="E49" s="2" t="str">
        <f>IF(Started!B22="W","W","A")</f>
        <v>A</v>
      </c>
      <c r="F49" s="2" t="e">
        <f>VLOOKUP(JudgeD1ISS,Judges!$A$2:$B$44,2,FALSE)</f>
        <v>#N/A</v>
      </c>
      <c r="G49" t="str">
        <f>Started!Q22</f>
        <v/>
      </c>
      <c r="H49" s="113" t="str">
        <f t="shared" si="2"/>
        <v/>
      </c>
      <c r="I49">
        <f>Started!C62</f>
        <v>0</v>
      </c>
      <c r="J49">
        <f>IF(AND(Started!AQ62=1, Started!AM62=0),Started!AD62,0)</f>
        <v>0</v>
      </c>
      <c r="K49">
        <f>IF(AND(Started!I62="Pass",Started!Q62="Pass",Started!Y62="Pass"),-1,0)</f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f>Elite!C62</f>
        <v>0</v>
      </c>
      <c r="S49">
        <f>IF(AND(Elite!AP62=1, Elite!AL62=0),Elite!AC62,0)</f>
        <v>0</v>
      </c>
      <c r="Z49">
        <f>Games!$D54</f>
        <v>0</v>
      </c>
      <c r="AA49" s="113">
        <f>IF(AND(Games!N54=2,Games!S54=3),TrialDate,1)</f>
        <v>1</v>
      </c>
      <c r="AB49" s="113">
        <f>IF(AND(Games!U54=2,Games!Z54=3),TrialDate,1)</f>
        <v>1</v>
      </c>
      <c r="AC49" s="113">
        <f>IF(AND(Games!AB54=2,Games!AG54=3),TrialDate,1)</f>
        <v>1</v>
      </c>
      <c r="AD49" s="113">
        <f>IF(AND(Games!AI54=2,Games!AN54=3),TrialDate,1)</f>
        <v>1</v>
      </c>
    </row>
    <row r="50" spans="1:30" x14ac:dyDescent="0.25">
      <c r="A50">
        <f t="shared" si="0"/>
        <v>0</v>
      </c>
      <c r="B50" t="s">
        <v>16</v>
      </c>
      <c r="C50">
        <f>Started!C23</f>
        <v>0</v>
      </c>
      <c r="D50">
        <f>IF(Started!Q23="Pass",Started!O23,0)</f>
        <v>0</v>
      </c>
      <c r="E50" s="2" t="str">
        <f>IF(Started!B23="W","W","A")</f>
        <v>A</v>
      </c>
      <c r="F50" s="2" t="e">
        <f>VLOOKUP(JudgeD1ISS,Judges!$A$2:$B$44,2,FALSE)</f>
        <v>#N/A</v>
      </c>
      <c r="G50" t="str">
        <f>Started!Q23</f>
        <v/>
      </c>
      <c r="H50" s="113" t="str">
        <f t="shared" si="2"/>
        <v/>
      </c>
      <c r="I50">
        <f>Started!C63</f>
        <v>0</v>
      </c>
      <c r="J50">
        <f>IF(AND(Started!AQ63=1, Started!AM63=0),Started!AD63,0)</f>
        <v>0</v>
      </c>
      <c r="K50">
        <f>IF(AND(Started!I63="Pass",Started!Q63="Pass",Started!Y63="Pass"),-1,0)</f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f>Elite!C63</f>
        <v>0</v>
      </c>
      <c r="S50">
        <f>IF(AND(Elite!AP63=1, Elite!AL63=0),Elite!AC63,0)</f>
        <v>0</v>
      </c>
      <c r="Z50">
        <f>Games!$D55</f>
        <v>0</v>
      </c>
      <c r="AA50" s="113">
        <f>IF(AND(Games!N55=2,Games!S55=3),TrialDate,1)</f>
        <v>1</v>
      </c>
      <c r="AB50" s="113">
        <f>IF(AND(Games!U55=2,Games!Z55=3),TrialDate,1)</f>
        <v>1</v>
      </c>
      <c r="AC50" s="113">
        <f>IF(AND(Games!AB55=2,Games!AG55=3),TrialDate,1)</f>
        <v>1</v>
      </c>
      <c r="AD50" s="113">
        <f>IF(AND(Games!AI55=2,Games!AN55=3),TrialDate,1)</f>
        <v>1</v>
      </c>
    </row>
    <row r="51" spans="1:30" x14ac:dyDescent="0.25">
      <c r="A51">
        <f t="shared" si="0"/>
        <v>0</v>
      </c>
      <c r="B51" t="s">
        <v>16</v>
      </c>
      <c r="C51">
        <f>Started!C24</f>
        <v>0</v>
      </c>
      <c r="D51">
        <f>IF(Started!Q24="Pass",Started!O24,0)</f>
        <v>0</v>
      </c>
      <c r="E51" s="2" t="str">
        <f>IF(Started!B24="W","W","A")</f>
        <v>A</v>
      </c>
      <c r="F51" s="2" t="e">
        <f>VLOOKUP(JudgeD1ISS,Judges!$A$2:$B$44,2,FALSE)</f>
        <v>#N/A</v>
      </c>
      <c r="G51" t="str">
        <f>Started!Q24</f>
        <v/>
      </c>
      <c r="H51" s="113" t="str">
        <f t="shared" si="2"/>
        <v/>
      </c>
      <c r="I51">
        <f>Started!C64</f>
        <v>0</v>
      </c>
      <c r="J51">
        <f>IF(AND(Started!AQ64=1, Started!AM64=0),Started!AD64,0)</f>
        <v>0</v>
      </c>
      <c r="K51">
        <f>IF(AND(Started!I64="Pass",Started!Q64="Pass",Started!Y64="Pass"),-1,0)</f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f>Elite!C64</f>
        <v>0</v>
      </c>
      <c r="S51">
        <f>IF(AND(Elite!AP64=1, Elite!AL64=0),Elite!AC64,0)</f>
        <v>0</v>
      </c>
      <c r="Z51">
        <f>Games!$D56</f>
        <v>0</v>
      </c>
      <c r="AA51" s="113">
        <f>IF(AND(Games!N56=2,Games!S56=3),TrialDate,1)</f>
        <v>1</v>
      </c>
      <c r="AB51" s="113">
        <f>IF(AND(Games!U56=2,Games!Z56=3),TrialDate,1)</f>
        <v>1</v>
      </c>
      <c r="AC51" s="113">
        <f>IF(AND(Games!AB56=2,Games!AG56=3),TrialDate,1)</f>
        <v>1</v>
      </c>
      <c r="AD51" s="113">
        <f>IF(AND(Games!AI56=2,Games!AN56=3),TrialDate,1)</f>
        <v>1</v>
      </c>
    </row>
    <row r="52" spans="1:30" x14ac:dyDescent="0.25">
      <c r="A52">
        <f t="shared" si="0"/>
        <v>0</v>
      </c>
      <c r="B52" t="s">
        <v>16</v>
      </c>
      <c r="C52">
        <f>Started!C25</f>
        <v>0</v>
      </c>
      <c r="D52">
        <f>IF(Started!Q25="Pass",Started!O25,0)</f>
        <v>0</v>
      </c>
      <c r="E52" s="2" t="str">
        <f>IF(Started!B25="W","W","A")</f>
        <v>A</v>
      </c>
      <c r="F52" s="2" t="e">
        <f>VLOOKUP(JudgeD1ISS,Judges!$A$2:$B$44,2,FALSE)</f>
        <v>#N/A</v>
      </c>
      <c r="G52" t="str">
        <f>Started!Q25</f>
        <v/>
      </c>
      <c r="H52" s="113" t="str">
        <f t="shared" si="2"/>
        <v/>
      </c>
      <c r="I52">
        <f>Started!C65</f>
        <v>0</v>
      </c>
      <c r="J52">
        <f>IF(AND(Started!AQ65=1, Started!AM65=0),Started!AD65,0)</f>
        <v>0</v>
      </c>
      <c r="K52">
        <f>IF(AND(Started!I65="Pass",Started!Q65="Pass",Started!Y65="Pass"),-1,0)</f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f>Elite!C65</f>
        <v>0</v>
      </c>
      <c r="S52">
        <f>IF(AND(Elite!AP65=1, Elite!AL65=0),Elite!AC65,0)</f>
        <v>0</v>
      </c>
      <c r="Z52" s="254">
        <f>Games!D66</f>
        <v>0</v>
      </c>
      <c r="AA52" s="113">
        <f>IF(AND(Games!N66=2,Games!S66=3),TrialDateDay2,1)</f>
        <v>1</v>
      </c>
      <c r="AB52" s="113">
        <f>IF(AND(Games!U66=2,Games!Z66=3),TrialDateDay2,1)</f>
        <v>1</v>
      </c>
      <c r="AC52" s="113">
        <f>IF(AND(Games!AB66=2,Games!AG66=3),TrialDateDay2,1)</f>
        <v>1</v>
      </c>
      <c r="AD52" s="113">
        <f>IF(AND(Games!AI66=2,Games!AN66=3),TrialDateDay2,1)</f>
        <v>1</v>
      </c>
    </row>
    <row r="53" spans="1:30" x14ac:dyDescent="0.25">
      <c r="A53">
        <f t="shared" si="0"/>
        <v>0</v>
      </c>
      <c r="B53" t="s">
        <v>16</v>
      </c>
      <c r="C53">
        <f>Started!C26</f>
        <v>0</v>
      </c>
      <c r="D53">
        <f>IF(Started!Q26="Pass",Started!O26,0)</f>
        <v>0</v>
      </c>
      <c r="E53" s="2" t="str">
        <f>IF(Started!B26="W","W","A")</f>
        <v>A</v>
      </c>
      <c r="F53" s="2" t="e">
        <f>VLOOKUP(JudgeD1ISS,Judges!$A$2:$B$44,2,FALSE)</f>
        <v>#N/A</v>
      </c>
      <c r="G53" t="str">
        <f>Started!Q26</f>
        <v/>
      </c>
      <c r="H53" s="113" t="str">
        <f t="shared" si="2"/>
        <v/>
      </c>
      <c r="I53">
        <f>Started!C66</f>
        <v>0</v>
      </c>
      <c r="J53">
        <f>IF(AND(Started!AQ66=1, Started!AM66=0),Started!AD66,0)</f>
        <v>0</v>
      </c>
      <c r="K53">
        <f>IF(AND(Started!I66="Pass",Started!Q66="Pass",Started!Y66="Pass"),-1,0)</f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f>Elite!C66</f>
        <v>0</v>
      </c>
      <c r="S53">
        <f>IF(AND(Elite!AP66=1, Elite!AL66=0),Elite!AC66,0)</f>
        <v>0</v>
      </c>
      <c r="Z53" s="254">
        <f>Games!D67</f>
        <v>0</v>
      </c>
      <c r="AA53" s="113">
        <f>IF(AND(Games!N67=2,Games!S67=3),TrialDateDay2,1)</f>
        <v>1</v>
      </c>
      <c r="AB53" s="113">
        <f>IF(AND(Games!U67=2,Games!Z67=3),TrialDateDay2,1)</f>
        <v>1</v>
      </c>
      <c r="AC53" s="113">
        <f>IF(AND(Games!AB67=2,Games!AG67=3),TrialDateDay2,1)</f>
        <v>1</v>
      </c>
      <c r="AD53" s="113">
        <f>IF(AND(Games!AI67=2,Games!AN67=3),TrialDateDay2,1)</f>
        <v>1</v>
      </c>
    </row>
    <row r="54" spans="1:30" x14ac:dyDescent="0.25">
      <c r="A54">
        <f t="shared" si="0"/>
        <v>0</v>
      </c>
      <c r="B54" t="s">
        <v>16</v>
      </c>
      <c r="C54">
        <f>Started!C27</f>
        <v>0</v>
      </c>
      <c r="D54">
        <f>IF(Started!Q27="Pass",Started!O27,0)</f>
        <v>0</v>
      </c>
      <c r="E54" s="2" t="str">
        <f>IF(Started!B27="W","W","A")</f>
        <v>A</v>
      </c>
      <c r="F54" s="2" t="e">
        <f>VLOOKUP(JudgeD1ISS,Judges!$A$2:$B$44,2,FALSE)</f>
        <v>#N/A</v>
      </c>
      <c r="G54" t="str">
        <f>Started!Q27</f>
        <v/>
      </c>
      <c r="H54" s="113" t="str">
        <f t="shared" si="2"/>
        <v/>
      </c>
      <c r="I54">
        <f>Started!C67</f>
        <v>0</v>
      </c>
      <c r="J54">
        <f>IF(AND(Started!AQ67=1, Started!AM67=0),Started!AD67,0)</f>
        <v>0</v>
      </c>
      <c r="K54">
        <f>IF(AND(Started!I67="Pass",Started!Q67="Pass",Started!Y67="Pass"),-1,0)</f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f>Elite!C67</f>
        <v>0</v>
      </c>
      <c r="S54">
        <f>IF(AND(Elite!AP67=1, Elite!AL67=0),Elite!AC67,0)</f>
        <v>0</v>
      </c>
      <c r="Z54" s="254">
        <f>Games!D68</f>
        <v>0</v>
      </c>
      <c r="AA54" s="113">
        <f>IF(AND(Games!N68=2,Games!S68=3),TrialDateDay2,1)</f>
        <v>1</v>
      </c>
      <c r="AB54" s="113">
        <f>IF(AND(Games!U68=2,Games!Z68=3),TrialDateDay2,1)</f>
        <v>1</v>
      </c>
      <c r="AC54" s="113">
        <f>IF(AND(Games!AB68=2,Games!AG68=3),TrialDateDay2,1)</f>
        <v>1</v>
      </c>
      <c r="AD54" s="113">
        <f>IF(AND(Games!AI68=2,Games!AN68=3),TrialDateDay2,1)</f>
        <v>1</v>
      </c>
    </row>
    <row r="55" spans="1:30" x14ac:dyDescent="0.25">
      <c r="A55">
        <f t="shared" si="0"/>
        <v>0</v>
      </c>
      <c r="B55" t="s">
        <v>16</v>
      </c>
      <c r="C55">
        <f>Started!C28</f>
        <v>0</v>
      </c>
      <c r="D55">
        <f>IF(Started!Q28="Pass",Started!O28,0)</f>
        <v>0</v>
      </c>
      <c r="E55" s="2" t="str">
        <f>IF(Started!B28="W","W","A")</f>
        <v>A</v>
      </c>
      <c r="F55" s="2" t="e">
        <f>VLOOKUP(JudgeD1ISS,Judges!$A$2:$B$44,2,FALSE)</f>
        <v>#N/A</v>
      </c>
      <c r="G55" t="str">
        <f>Started!Q28</f>
        <v/>
      </c>
      <c r="H55" s="113" t="str">
        <f t="shared" si="2"/>
        <v/>
      </c>
      <c r="I55">
        <f>Started!C68</f>
        <v>0</v>
      </c>
      <c r="J55">
        <f>IF(AND(Started!AQ68=1, Started!AM68=0),Started!AD68,0)</f>
        <v>0</v>
      </c>
      <c r="K55">
        <f>IF(AND(Started!I68="Pass",Started!Q68="Pass",Started!Y68="Pass"),-1,0)</f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f>Elite!C68</f>
        <v>0</v>
      </c>
      <c r="S55">
        <f>IF(AND(Elite!AP68=1, Elite!AL68=0),Elite!AC68,0)</f>
        <v>0</v>
      </c>
      <c r="Z55" s="254">
        <f>Games!D69</f>
        <v>0</v>
      </c>
      <c r="AA55" s="113">
        <f>IF(AND(Games!N69=2,Games!S69=3),TrialDateDay2,1)</f>
        <v>1</v>
      </c>
      <c r="AB55" s="113">
        <f>IF(AND(Games!U69=2,Games!Z69=3),TrialDateDay2,1)</f>
        <v>1</v>
      </c>
      <c r="AC55" s="113">
        <f>IF(AND(Games!AB69=2,Games!AG69=3),TrialDateDay2,1)</f>
        <v>1</v>
      </c>
      <c r="AD55" s="113">
        <f>IF(AND(Games!AI69=2,Games!AN69=3),TrialDateDay2,1)</f>
        <v>1</v>
      </c>
    </row>
    <row r="56" spans="1:30" x14ac:dyDescent="0.25">
      <c r="A56">
        <f t="shared" si="0"/>
        <v>0</v>
      </c>
      <c r="B56" t="s">
        <v>16</v>
      </c>
      <c r="C56">
        <f>Started!C29</f>
        <v>0</v>
      </c>
      <c r="D56">
        <f>IF(Started!Q29="Pass",Started!O29,0)</f>
        <v>0</v>
      </c>
      <c r="E56" s="2" t="str">
        <f>IF(Started!B29="W","W","A")</f>
        <v>A</v>
      </c>
      <c r="F56" s="2" t="e">
        <f>VLOOKUP(JudgeD1ISS,Judges!$A$2:$B$44,2,FALSE)</f>
        <v>#N/A</v>
      </c>
      <c r="G56" t="str">
        <f>Started!Q29</f>
        <v/>
      </c>
      <c r="H56" s="113" t="str">
        <f t="shared" si="2"/>
        <v/>
      </c>
      <c r="I56">
        <f>Started!C69</f>
        <v>0</v>
      </c>
      <c r="J56">
        <f>IF(AND(Started!AQ69=1, Started!AM69=0),Started!AD69,0)</f>
        <v>0</v>
      </c>
      <c r="K56">
        <f>IF(AND(Started!I69="Pass",Started!Q69="Pass",Started!Y69="Pass"),-1,0)</f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f>Elite!C69</f>
        <v>0</v>
      </c>
      <c r="S56">
        <f>IF(AND(Elite!AP69=1, Elite!AL69=0),Elite!AC69,0)</f>
        <v>0</v>
      </c>
      <c r="Z56" s="254">
        <f>Games!D70</f>
        <v>0</v>
      </c>
      <c r="AA56" s="113">
        <f>IF(AND(Games!N70=2,Games!S70=3),TrialDateDay2,1)</f>
        <v>1</v>
      </c>
      <c r="AB56" s="113">
        <f>IF(AND(Games!U70=2,Games!Z70=3),TrialDateDay2,1)</f>
        <v>1</v>
      </c>
      <c r="AC56" s="113">
        <f>IF(AND(Games!AB70=2,Games!AG70=3),TrialDateDay2,1)</f>
        <v>1</v>
      </c>
      <c r="AD56" s="113">
        <f>IF(AND(Games!AI70=2,Games!AN70=3),TrialDateDay2,1)</f>
        <v>1</v>
      </c>
    </row>
    <row r="57" spans="1:30" x14ac:dyDescent="0.25">
      <c r="A57">
        <f t="shared" si="0"/>
        <v>0</v>
      </c>
      <c r="B57" t="s">
        <v>16</v>
      </c>
      <c r="C57">
        <f>Started!C30</f>
        <v>0</v>
      </c>
      <c r="D57">
        <f>IF(Started!Q30="Pass",Started!O30,0)</f>
        <v>0</v>
      </c>
      <c r="E57" s="2" t="str">
        <f>IF(Started!B30="W","W","A")</f>
        <v>A</v>
      </c>
      <c r="F57" s="2" t="e">
        <f>VLOOKUP(JudgeD1ISS,Judges!$A$2:$B$44,2,FALSE)</f>
        <v>#N/A</v>
      </c>
      <c r="G57" t="str">
        <f>Started!Q30</f>
        <v/>
      </c>
      <c r="H57" s="113" t="str">
        <f t="shared" si="2"/>
        <v/>
      </c>
      <c r="I57">
        <f>Started!C70</f>
        <v>0</v>
      </c>
      <c r="J57">
        <f>IF(AND(Started!AQ70=1, Started!AM70=0),Started!AD70,0)</f>
        <v>0</v>
      </c>
      <c r="K57">
        <f>IF(AND(Started!I70="Pass",Started!Q70="Pass",Started!Y70="Pass"),-1,0)</f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f>Elite!C70</f>
        <v>0</v>
      </c>
      <c r="S57">
        <f>IF(AND(Elite!AP70=1, Elite!AL70=0),Elite!AC70,0)</f>
        <v>0</v>
      </c>
      <c r="Z57" s="254">
        <f>Games!D71</f>
        <v>0</v>
      </c>
      <c r="AA57" s="113">
        <f>IF(AND(Games!N71=2,Games!S71=3),TrialDateDay2,1)</f>
        <v>1</v>
      </c>
      <c r="AB57" s="113">
        <f>IF(AND(Games!U71=2,Games!Z71=3),TrialDateDay2,1)</f>
        <v>1</v>
      </c>
      <c r="AC57" s="113">
        <f>IF(AND(Games!AB71=2,Games!AG71=3),TrialDateDay2,1)</f>
        <v>1</v>
      </c>
      <c r="AD57" s="113">
        <f>IF(AND(Games!AI71=2,Games!AN71=3),TrialDateDay2,1)</f>
        <v>1</v>
      </c>
    </row>
    <row r="58" spans="1:30" x14ac:dyDescent="0.25">
      <c r="A58">
        <f t="shared" si="0"/>
        <v>0</v>
      </c>
      <c r="B58" t="s">
        <v>16</v>
      </c>
      <c r="C58">
        <f>Started!C31</f>
        <v>0</v>
      </c>
      <c r="D58">
        <f>IF(Started!Q31="Pass",Started!O31,0)</f>
        <v>0</v>
      </c>
      <c r="E58" s="2" t="str">
        <f>IF(Started!B31="W","W","A")</f>
        <v>A</v>
      </c>
      <c r="F58" s="2" t="e">
        <f>VLOOKUP(JudgeD1ISS,Judges!$A$2:$B$44,2,FALSE)</f>
        <v>#N/A</v>
      </c>
      <c r="G58" t="str">
        <f>Started!Q31</f>
        <v/>
      </c>
      <c r="H58" s="113" t="str">
        <f t="shared" si="2"/>
        <v/>
      </c>
      <c r="I58">
        <f>Started!C71</f>
        <v>0</v>
      </c>
      <c r="J58">
        <f>IF(AND(Started!AQ71=1, Started!AM71=0),Started!AD71,0)</f>
        <v>0</v>
      </c>
      <c r="K58">
        <f>IF(AND(Started!I71="Pass",Started!Q71="Pass",Started!Y71="Pass"),-1,0)</f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f>Elite!C71</f>
        <v>0</v>
      </c>
      <c r="S58">
        <f>IF(AND(Elite!AP71=1, Elite!AL71=0),Elite!AC71,0)</f>
        <v>0</v>
      </c>
      <c r="Z58" s="254">
        <f>Games!D72</f>
        <v>0</v>
      </c>
      <c r="AA58" s="113">
        <f>IF(AND(Games!N72=2,Games!S72=3),TrialDateDay2,1)</f>
        <v>1</v>
      </c>
      <c r="AB58" s="113">
        <f>IF(AND(Games!U72=2,Games!Z72=3),TrialDateDay2,1)</f>
        <v>1</v>
      </c>
      <c r="AC58" s="113">
        <f>IF(AND(Games!AB72=2,Games!AG72=3),TrialDateDay2,1)</f>
        <v>1</v>
      </c>
      <c r="AD58" s="113">
        <f>IF(AND(Games!AI72=2,Games!AN72=3),TrialDateDay2,1)</f>
        <v>1</v>
      </c>
    </row>
    <row r="59" spans="1:30" x14ac:dyDescent="0.25">
      <c r="A59">
        <f t="shared" si="0"/>
        <v>0</v>
      </c>
      <c r="B59" t="s">
        <v>16</v>
      </c>
      <c r="C59">
        <f>Started!C32</f>
        <v>0</v>
      </c>
      <c r="D59">
        <f>IF(Started!Q32="Pass",Started!O32,0)</f>
        <v>0</v>
      </c>
      <c r="E59" s="2" t="str">
        <f>IF(Started!B32="W","W","A")</f>
        <v>A</v>
      </c>
      <c r="F59" s="2" t="e">
        <f>VLOOKUP(JudgeD1ISS,Judges!$A$2:$B$44,2,FALSE)</f>
        <v>#N/A</v>
      </c>
      <c r="G59" t="str">
        <f>Started!Q32</f>
        <v/>
      </c>
      <c r="H59" s="113" t="str">
        <f t="shared" si="2"/>
        <v/>
      </c>
      <c r="I59">
        <f>Started!C72</f>
        <v>0</v>
      </c>
      <c r="J59">
        <f>IF(AND(Started!AQ72=1, Started!AM72=0),Started!AD72,0)</f>
        <v>0</v>
      </c>
      <c r="K59">
        <f>IF(AND(Started!I72="Pass",Started!Q72="Pass",Started!Y72="Pass"),-1,0)</f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f>Elite!C72</f>
        <v>0</v>
      </c>
      <c r="S59">
        <f>IF(AND(Elite!AP72=1, Elite!AL72=0),Elite!AC72,0)</f>
        <v>0</v>
      </c>
      <c r="Z59" s="254">
        <f>Games!D73</f>
        <v>0</v>
      </c>
      <c r="AA59" s="113">
        <f>IF(AND(Games!N73=2,Games!S73=3),TrialDateDay2,1)</f>
        <v>1</v>
      </c>
      <c r="AB59" s="113">
        <f>IF(AND(Games!U73=2,Games!Z73=3),TrialDateDay2,1)</f>
        <v>1</v>
      </c>
      <c r="AC59" s="113">
        <f>IF(AND(Games!AB73=2,Games!AG73=3),TrialDateDay2,1)</f>
        <v>1</v>
      </c>
      <c r="AD59" s="113">
        <f>IF(AND(Games!AI73=2,Games!AN73=3),TrialDateDay2,1)</f>
        <v>1</v>
      </c>
    </row>
    <row r="60" spans="1:30" x14ac:dyDescent="0.25">
      <c r="A60">
        <f t="shared" si="0"/>
        <v>0</v>
      </c>
      <c r="B60" t="s">
        <v>16</v>
      </c>
      <c r="C60">
        <f>Started!C33</f>
        <v>0</v>
      </c>
      <c r="D60">
        <f>IF(Started!Q33="Pass",Started!O33,0)</f>
        <v>0</v>
      </c>
      <c r="E60" s="2" t="str">
        <f>IF(Started!B33="W","W","A")</f>
        <v>A</v>
      </c>
      <c r="F60" s="2" t="e">
        <f>VLOOKUP(JudgeD1ISS,Judges!$A$2:$B$44,2,FALSE)</f>
        <v>#N/A</v>
      </c>
      <c r="G60" t="str">
        <f>Started!Q33</f>
        <v/>
      </c>
      <c r="H60" s="113" t="str">
        <f t="shared" si="2"/>
        <v/>
      </c>
      <c r="I60">
        <f>Started!C73</f>
        <v>0</v>
      </c>
      <c r="J60">
        <f>IF(AND(Started!AQ73=1, Started!AM73=0),Started!AD73,0)</f>
        <v>0</v>
      </c>
      <c r="K60">
        <f>IF(AND(Started!I73="Pass",Started!Q73="Pass",Started!Y73="Pass"),-1,0)</f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f>Elite!C73</f>
        <v>0</v>
      </c>
      <c r="S60">
        <f>IF(AND(Elite!AP73=1, Elite!AL73=0),Elite!AC73,0)</f>
        <v>0</v>
      </c>
      <c r="Z60" s="254">
        <f>Games!D74</f>
        <v>0</v>
      </c>
      <c r="AA60" s="113">
        <f>IF(AND(Games!N74=2,Games!S74=3),TrialDateDay2,1)</f>
        <v>1</v>
      </c>
      <c r="AB60" s="113">
        <f>IF(AND(Games!U74=2,Games!Z74=3),TrialDateDay2,1)</f>
        <v>1</v>
      </c>
      <c r="AC60" s="113">
        <f>IF(AND(Games!AB74=2,Games!AG74=3),TrialDateDay2,1)</f>
        <v>1</v>
      </c>
      <c r="AD60" s="113">
        <f>IF(AND(Games!AI74=2,Games!AN74=3),TrialDateDay2,1)</f>
        <v>1</v>
      </c>
    </row>
    <row r="61" spans="1:30" x14ac:dyDescent="0.25">
      <c r="A61">
        <f t="shared" si="0"/>
        <v>0</v>
      </c>
      <c r="B61" t="s">
        <v>16</v>
      </c>
      <c r="C61">
        <f>Started!C34</f>
        <v>0</v>
      </c>
      <c r="D61">
        <f>IF(Started!Q34="Pass",Started!O34,0)</f>
        <v>0</v>
      </c>
      <c r="E61" s="2" t="str">
        <f>IF(Started!B34="W","W","A")</f>
        <v>A</v>
      </c>
      <c r="F61" s="2" t="e">
        <f>VLOOKUP(JudgeD1ISS,Judges!$A$2:$B$44,2,FALSE)</f>
        <v>#N/A</v>
      </c>
      <c r="G61" t="str">
        <f>Started!Q34</f>
        <v/>
      </c>
      <c r="H61" s="113" t="str">
        <f t="shared" si="2"/>
        <v/>
      </c>
      <c r="I61">
        <f>Started!C74</f>
        <v>0</v>
      </c>
      <c r="J61">
        <f>IF(AND(Started!AQ74=1, Started!AM74=0),Started!AD74,0)</f>
        <v>0</v>
      </c>
      <c r="K61">
        <f>IF(AND(Started!I74="Pass",Started!Q74="Pass",Started!Y74="Pass"),-1,0)</f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f>Elite!C74</f>
        <v>0</v>
      </c>
      <c r="S61">
        <f>IF(AND(Elite!AP74=1, Elite!AL74=0),Elite!AC74,0)</f>
        <v>0</v>
      </c>
      <c r="Z61" s="254">
        <f>Games!D75</f>
        <v>0</v>
      </c>
      <c r="AA61" s="113">
        <f>IF(AND(Games!N75=2,Games!S75=3),TrialDateDay2,1)</f>
        <v>1</v>
      </c>
      <c r="AB61" s="113">
        <f>IF(AND(Games!U75=2,Games!Z75=3),TrialDateDay2,1)</f>
        <v>1</v>
      </c>
      <c r="AC61" s="113">
        <f>IF(AND(Games!AB75=2,Games!AG75=3),TrialDateDay2,1)</f>
        <v>1</v>
      </c>
      <c r="AD61" s="113">
        <f>IF(AND(Games!AI75=2,Games!AN75=3),TrialDateDay2,1)</f>
        <v>1</v>
      </c>
    </row>
    <row r="62" spans="1:30" x14ac:dyDescent="0.25">
      <c r="A62">
        <f t="shared" si="0"/>
        <v>0</v>
      </c>
      <c r="B62" t="s">
        <v>17</v>
      </c>
      <c r="C62">
        <f>Started!C5</f>
        <v>0</v>
      </c>
      <c r="D62">
        <f>IF(Started!Y5="Pass",Started!W5,0)</f>
        <v>0</v>
      </c>
      <c r="E62" s="2" t="str">
        <f>IF(Started!B5="W","W","A")</f>
        <v>A</v>
      </c>
      <c r="F62" s="2" t="e">
        <f>VLOOKUP(JudgeD1ESS,Judges!$A$2:$B$44,2,FALSE)</f>
        <v>#N/A</v>
      </c>
      <c r="G62" t="str">
        <f>Started!Y5</f>
        <v/>
      </c>
      <c r="H62" s="113" t="str">
        <f t="shared" ref="H62:H93" si="3">TrialDate</f>
        <v/>
      </c>
      <c r="L62">
        <f>Advanced!C5</f>
        <v>0</v>
      </c>
      <c r="M62">
        <f>IF(AND(Advanced!AQ5=1, Advanced!AM5=0),Advanced!AD5,0)</f>
        <v>0</v>
      </c>
      <c r="N62">
        <f>IF(AND(Advanced!I5="Pass",Advanced!Q5="Pass",Advanced!Y5="Pass"),-1,0)</f>
        <v>0</v>
      </c>
      <c r="O62">
        <f>Excellent!C5</f>
        <v>0</v>
      </c>
      <c r="P62">
        <f>IF(AND(Excellent!AQ5=1, Excellent!AM5=0),Excellent!AD5,0)</f>
        <v>0</v>
      </c>
      <c r="Q62">
        <f>IF(AND(Excellent!I5="Pass",Excellent!Q5="Pass",Excellent!Y5="Pass"),-1,0)</f>
        <v>0</v>
      </c>
      <c r="Z62" s="254">
        <f>Games!D76</f>
        <v>0</v>
      </c>
      <c r="AA62" s="113">
        <f>IF(AND(Games!N76=2,Games!S76=3),TrialDateDay2,1)</f>
        <v>1</v>
      </c>
      <c r="AB62" s="113">
        <f>IF(AND(Games!U76=2,Games!Z76=3),TrialDateDay2,1)</f>
        <v>1</v>
      </c>
      <c r="AC62" s="113">
        <f>IF(AND(Games!AB76=2,Games!AG76=3),TrialDateDay2,1)</f>
        <v>1</v>
      </c>
      <c r="AD62" s="113">
        <f>IF(AND(Games!AI76=2,Games!AN76=3),TrialDateDay2,1)</f>
        <v>1</v>
      </c>
    </row>
    <row r="63" spans="1:30" x14ac:dyDescent="0.25">
      <c r="A63">
        <f t="shared" si="0"/>
        <v>0</v>
      </c>
      <c r="B63" t="s">
        <v>17</v>
      </c>
      <c r="C63">
        <f>Started!C6</f>
        <v>0</v>
      </c>
      <c r="D63">
        <f>IF(Started!Y6="Pass",Started!W6,0)</f>
        <v>0</v>
      </c>
      <c r="E63" s="2" t="str">
        <f>IF(Started!B6="W","W","A")</f>
        <v>A</v>
      </c>
      <c r="F63" s="2" t="e">
        <f>VLOOKUP(JudgeD1ESS,Judges!$A$2:$B$44,2,FALSE)</f>
        <v>#N/A</v>
      </c>
      <c r="G63" t="str">
        <f>Started!Y6</f>
        <v/>
      </c>
      <c r="H63" s="113" t="str">
        <f t="shared" si="3"/>
        <v/>
      </c>
      <c r="L63">
        <f>Advanced!C6</f>
        <v>0</v>
      </c>
      <c r="M63">
        <f>IF(AND(Advanced!AQ6=1, Advanced!AM6=0),Advanced!AD6,0)</f>
        <v>0</v>
      </c>
      <c r="N63">
        <f>IF(AND(Advanced!I6="Pass",Advanced!Q6="Pass",Advanced!Y6="Pass"),-1,0)</f>
        <v>0</v>
      </c>
      <c r="O63">
        <f>Excellent!C6</f>
        <v>0</v>
      </c>
      <c r="P63">
        <f>IF(AND(Excellent!AQ6=1, Excellent!AM6=0),Excellent!AD6,0)</f>
        <v>0</v>
      </c>
      <c r="Q63">
        <f>IF(AND(Excellent!I6="Pass",Excellent!Q6="Pass",Excellent!Y6="Pass"),-1,0)</f>
        <v>0</v>
      </c>
      <c r="Z63" s="254">
        <f>Games!D77</f>
        <v>0</v>
      </c>
      <c r="AA63" s="113">
        <f>IF(AND(Games!N77=2,Games!S77=3),TrialDateDay2,1)</f>
        <v>1</v>
      </c>
      <c r="AB63" s="113">
        <f>IF(AND(Games!U77=2,Games!Z77=3),TrialDateDay2,1)</f>
        <v>1</v>
      </c>
      <c r="AC63" s="113">
        <f>IF(AND(Games!AB77=2,Games!AG77=3),TrialDateDay2,1)</f>
        <v>1</v>
      </c>
      <c r="AD63" s="113">
        <f>IF(AND(Games!AI77=2,Games!AN77=3),TrialDateDay2,1)</f>
        <v>1</v>
      </c>
    </row>
    <row r="64" spans="1:30" x14ac:dyDescent="0.25">
      <c r="A64">
        <f t="shared" si="0"/>
        <v>0</v>
      </c>
      <c r="B64" t="s">
        <v>17</v>
      </c>
      <c r="C64">
        <f>Started!C7</f>
        <v>0</v>
      </c>
      <c r="D64">
        <f>IF(Started!Y7="Pass",Started!W7,0)</f>
        <v>0</v>
      </c>
      <c r="E64" s="2" t="str">
        <f>IF(Started!B7="W","W","A")</f>
        <v>A</v>
      </c>
      <c r="F64" s="2" t="e">
        <f>VLOOKUP(JudgeD1ESS,Judges!$A$2:$B$44,2,FALSE)</f>
        <v>#N/A</v>
      </c>
      <c r="G64" t="str">
        <f>Started!Y7</f>
        <v/>
      </c>
      <c r="H64" s="113" t="str">
        <f t="shared" si="3"/>
        <v/>
      </c>
      <c r="L64">
        <f>Advanced!C7</f>
        <v>0</v>
      </c>
      <c r="M64">
        <f>IF(AND(Advanced!AQ7=1, Advanced!AM7=0),Advanced!AD7,0)</f>
        <v>0</v>
      </c>
      <c r="N64">
        <f>IF(AND(Advanced!I7="Pass",Advanced!Q7="Pass",Advanced!Y7="Pass"),-1,0)</f>
        <v>0</v>
      </c>
      <c r="O64">
        <f>Excellent!C7</f>
        <v>0</v>
      </c>
      <c r="P64">
        <f>IF(AND(Excellent!AQ7=1, Excellent!AM7=0),Excellent!AD7,0)</f>
        <v>0</v>
      </c>
      <c r="Q64">
        <f>IF(AND(Excellent!I7="Pass",Excellent!Q7="Pass",Excellent!Y7="Pass"),-1,0)</f>
        <v>0</v>
      </c>
      <c r="Z64" s="254">
        <f>Games!D78</f>
        <v>0</v>
      </c>
      <c r="AA64" s="113">
        <f>IF(AND(Games!N78=2,Games!S78=3),TrialDateDay2,1)</f>
        <v>1</v>
      </c>
      <c r="AB64" s="113">
        <f>IF(AND(Games!U78=2,Games!Z78=3),TrialDateDay2,1)</f>
        <v>1</v>
      </c>
      <c r="AC64" s="113">
        <f>IF(AND(Games!AB78=2,Games!AG78=3),TrialDateDay2,1)</f>
        <v>1</v>
      </c>
      <c r="AD64" s="113">
        <f>IF(AND(Games!AI78=2,Games!AN78=3),TrialDateDay2,1)</f>
        <v>1</v>
      </c>
    </row>
    <row r="65" spans="1:30" x14ac:dyDescent="0.25">
      <c r="A65">
        <f t="shared" si="0"/>
        <v>0</v>
      </c>
      <c r="B65" t="s">
        <v>17</v>
      </c>
      <c r="C65">
        <f>Started!C8</f>
        <v>0</v>
      </c>
      <c r="D65">
        <f>IF(Started!Y8="Pass",Started!W8,0)</f>
        <v>0</v>
      </c>
      <c r="E65" s="2" t="str">
        <f>IF(Started!B8="W","W","A")</f>
        <v>A</v>
      </c>
      <c r="F65" s="2" t="e">
        <f>VLOOKUP(JudgeD1ESS,Judges!$A$2:$B$44,2,FALSE)</f>
        <v>#N/A</v>
      </c>
      <c r="G65" t="str">
        <f>Started!Y8</f>
        <v/>
      </c>
      <c r="H65" s="113" t="str">
        <f t="shared" si="3"/>
        <v/>
      </c>
      <c r="L65">
        <f>Advanced!C8</f>
        <v>0</v>
      </c>
      <c r="M65">
        <f>IF(AND(Advanced!AQ8=1, Advanced!AM8=0),Advanced!AD8,0)</f>
        <v>0</v>
      </c>
      <c r="N65">
        <f>IF(AND(Advanced!I8="Pass",Advanced!Q8="Pass",Advanced!Y8="Pass"),-1,0)</f>
        <v>0</v>
      </c>
      <c r="O65">
        <f>Excellent!C8</f>
        <v>0</v>
      </c>
      <c r="P65">
        <f>IF(AND(Excellent!AQ8=1, Excellent!AM8=0),Excellent!AD8,0)</f>
        <v>0</v>
      </c>
      <c r="Q65">
        <f>IF(AND(Excellent!I8="Pass",Excellent!Q8="Pass",Excellent!Y8="Pass"),-1,0)</f>
        <v>0</v>
      </c>
      <c r="Z65" s="254">
        <f>Games!D79</f>
        <v>0</v>
      </c>
      <c r="AA65" s="113">
        <f>IF(AND(Games!N79=2,Games!S79=3),TrialDateDay2,1)</f>
        <v>1</v>
      </c>
      <c r="AB65" s="113">
        <f>IF(AND(Games!U79=2,Games!Z79=3),TrialDateDay2,1)</f>
        <v>1</v>
      </c>
      <c r="AC65" s="113">
        <f>IF(AND(Games!AB79=2,Games!AG79=3),TrialDateDay2,1)</f>
        <v>1</v>
      </c>
      <c r="AD65" s="113">
        <f>IF(AND(Games!AI79=2,Games!AN79=3),TrialDateDay2,1)</f>
        <v>1</v>
      </c>
    </row>
    <row r="66" spans="1:30" x14ac:dyDescent="0.25">
      <c r="A66">
        <f t="shared" ref="A66:A169" si="4">TrialNumber</f>
        <v>0</v>
      </c>
      <c r="B66" t="s">
        <v>17</v>
      </c>
      <c r="C66">
        <f>Started!C9</f>
        <v>0</v>
      </c>
      <c r="D66">
        <f>IF(Started!Y9="Pass",Started!W9,0)</f>
        <v>0</v>
      </c>
      <c r="E66" s="2" t="str">
        <f>IF(Started!B9="W","W","A")</f>
        <v>A</v>
      </c>
      <c r="F66" s="2" t="e">
        <f>VLOOKUP(JudgeD1ESS,Judges!$A$2:$B$44,2,FALSE)</f>
        <v>#N/A</v>
      </c>
      <c r="G66" t="str">
        <f>Started!Y9</f>
        <v/>
      </c>
      <c r="H66" s="113" t="str">
        <f t="shared" si="3"/>
        <v/>
      </c>
      <c r="L66">
        <f>Advanced!C9</f>
        <v>0</v>
      </c>
      <c r="M66">
        <f>IF(AND(Advanced!AQ9=1, Advanced!AM9=0),Advanced!AD9,0)</f>
        <v>0</v>
      </c>
      <c r="N66">
        <f>IF(AND(Advanced!I9="Pass",Advanced!Q9="Pass",Advanced!Y9="Pass"),-1,0)</f>
        <v>0</v>
      </c>
      <c r="O66">
        <f>Excellent!C9</f>
        <v>0</v>
      </c>
      <c r="P66">
        <f>IF(AND(Excellent!AQ9=1, Excellent!AM9=0),Excellent!AD9,0)</f>
        <v>0</v>
      </c>
      <c r="Q66">
        <f>IF(AND(Excellent!I9="Pass",Excellent!Q9="Pass",Excellent!Y9="Pass"),-1,0)</f>
        <v>0</v>
      </c>
      <c r="Z66" s="254">
        <f>Games!D80</f>
        <v>0</v>
      </c>
      <c r="AA66" s="113">
        <f>IF(AND(Games!N80=2,Games!S80=3),TrialDateDay2,1)</f>
        <v>1</v>
      </c>
      <c r="AB66" s="113">
        <f>IF(AND(Games!U80=2,Games!Z80=3),TrialDateDay2,1)</f>
        <v>1</v>
      </c>
      <c r="AC66" s="113">
        <f>IF(AND(Games!AB80=2,Games!AG80=3),TrialDateDay2,1)</f>
        <v>1</v>
      </c>
      <c r="AD66" s="113">
        <f>IF(AND(Games!AI80=2,Games!AN80=3),TrialDateDay2,1)</f>
        <v>1</v>
      </c>
    </row>
    <row r="67" spans="1:30" x14ac:dyDescent="0.25">
      <c r="A67">
        <f t="shared" si="4"/>
        <v>0</v>
      </c>
      <c r="B67" t="s">
        <v>17</v>
      </c>
      <c r="C67">
        <f>Started!C10</f>
        <v>0</v>
      </c>
      <c r="D67">
        <f>IF(Started!Y10="Pass",Started!W10,0)</f>
        <v>0</v>
      </c>
      <c r="E67" s="2" t="str">
        <f>IF(Started!B10="W","W","A")</f>
        <v>A</v>
      </c>
      <c r="F67" s="2" t="e">
        <f>VLOOKUP(JudgeD1ESS,Judges!$A$2:$B$44,2,FALSE)</f>
        <v>#N/A</v>
      </c>
      <c r="G67" t="str">
        <f>Started!Y10</f>
        <v/>
      </c>
      <c r="H67" s="113" t="str">
        <f t="shared" si="3"/>
        <v/>
      </c>
      <c r="L67">
        <f>Advanced!C10</f>
        <v>0</v>
      </c>
      <c r="M67">
        <f>IF(AND(Advanced!AQ10=1, Advanced!AM10=0),Advanced!AD10,0)</f>
        <v>0</v>
      </c>
      <c r="N67">
        <f>IF(AND(Advanced!I10="Pass",Advanced!Q10="Pass",Advanced!Y10="Pass"),-1,0)</f>
        <v>0</v>
      </c>
      <c r="O67">
        <f>Excellent!C10</f>
        <v>0</v>
      </c>
      <c r="P67">
        <f>IF(AND(Excellent!AQ10=1, Excellent!AM10=0),Excellent!AD10,0)</f>
        <v>0</v>
      </c>
      <c r="Q67">
        <f>IF(AND(Excellent!I10="Pass",Excellent!Q10="Pass",Excellent!Y10="Pass"),-1,0)</f>
        <v>0</v>
      </c>
      <c r="Z67" s="254">
        <f>Games!D81</f>
        <v>0</v>
      </c>
      <c r="AA67" s="113">
        <f>IF(AND(Games!N81=2,Games!S81=3),TrialDateDay2,1)</f>
        <v>1</v>
      </c>
      <c r="AB67" s="113">
        <f>IF(AND(Games!U81=2,Games!Z81=3),TrialDateDay2,1)</f>
        <v>1</v>
      </c>
      <c r="AC67" s="113">
        <f>IF(AND(Games!AB81=2,Games!AG81=3),TrialDateDay2,1)</f>
        <v>1</v>
      </c>
      <c r="AD67" s="113">
        <f>IF(AND(Games!AI81=2,Games!AN81=3),TrialDateDay2,1)</f>
        <v>1</v>
      </c>
    </row>
    <row r="68" spans="1:30" x14ac:dyDescent="0.25">
      <c r="A68">
        <f t="shared" si="4"/>
        <v>0</v>
      </c>
      <c r="B68" t="s">
        <v>17</v>
      </c>
      <c r="C68">
        <f>Started!C11</f>
        <v>0</v>
      </c>
      <c r="D68">
        <f>IF(Started!Y11="Pass",Started!W11,0)</f>
        <v>0</v>
      </c>
      <c r="E68" s="2" t="str">
        <f>IF(Started!B11="W","W","A")</f>
        <v>A</v>
      </c>
      <c r="F68" s="2" t="e">
        <f>VLOOKUP(JudgeD1ESS,Judges!$A$2:$B$44,2,FALSE)</f>
        <v>#N/A</v>
      </c>
      <c r="G68" t="str">
        <f>Started!Y11</f>
        <v/>
      </c>
      <c r="H68" s="113" t="str">
        <f t="shared" si="3"/>
        <v/>
      </c>
      <c r="L68">
        <f>Advanced!C11</f>
        <v>0</v>
      </c>
      <c r="M68">
        <f>IF(AND(Advanced!AQ11=1, Advanced!AM11=0),Advanced!AD11,0)</f>
        <v>0</v>
      </c>
      <c r="N68">
        <f>IF(AND(Advanced!I11="Pass",Advanced!Q11="Pass",Advanced!Y11="Pass"),-1,0)</f>
        <v>0</v>
      </c>
      <c r="O68">
        <f>Excellent!C11</f>
        <v>0</v>
      </c>
      <c r="P68">
        <f>IF(AND(Excellent!AQ11=1, Excellent!AM11=0),Excellent!AD11,0)</f>
        <v>0</v>
      </c>
      <c r="Q68">
        <f>IF(AND(Excellent!I11="Pass",Excellent!Q11="Pass",Excellent!Y11="Pass"),-1,0)</f>
        <v>0</v>
      </c>
      <c r="Z68" s="254">
        <f>Games!D82</f>
        <v>0</v>
      </c>
      <c r="AA68" s="113">
        <f>IF(AND(Games!N82=2,Games!S82=3),TrialDateDay2,1)</f>
        <v>1</v>
      </c>
      <c r="AB68" s="113">
        <f>IF(AND(Games!U82=2,Games!Z82=3),TrialDateDay2,1)</f>
        <v>1</v>
      </c>
      <c r="AC68" s="113">
        <f>IF(AND(Games!AB82=2,Games!AG82=3),TrialDateDay2,1)</f>
        <v>1</v>
      </c>
      <c r="AD68" s="113">
        <f>IF(AND(Games!AI82=2,Games!AN82=3),TrialDateDay2,1)</f>
        <v>1</v>
      </c>
    </row>
    <row r="69" spans="1:30" x14ac:dyDescent="0.25">
      <c r="A69">
        <f t="shared" si="4"/>
        <v>0</v>
      </c>
      <c r="B69" t="s">
        <v>17</v>
      </c>
      <c r="C69">
        <f>Started!C12</f>
        <v>0</v>
      </c>
      <c r="D69">
        <f>IF(Started!Y12="Pass",Started!W12,0)</f>
        <v>0</v>
      </c>
      <c r="E69" s="2" t="str">
        <f>IF(Started!B12="W","W","A")</f>
        <v>A</v>
      </c>
      <c r="F69" s="2" t="e">
        <f>VLOOKUP(JudgeD1ESS,Judges!$A$2:$B$44,2,FALSE)</f>
        <v>#N/A</v>
      </c>
      <c r="G69" t="str">
        <f>Started!Y12</f>
        <v/>
      </c>
      <c r="H69" s="113" t="str">
        <f t="shared" si="3"/>
        <v/>
      </c>
      <c r="L69">
        <f>Advanced!C12</f>
        <v>0</v>
      </c>
      <c r="M69">
        <f>IF(AND(Advanced!AQ12=1, Advanced!AM12=0),Advanced!AD12,0)</f>
        <v>0</v>
      </c>
      <c r="N69">
        <f>IF(AND(Advanced!I12="Pass",Advanced!Q12="Pass",Advanced!Y12="Pass"),-1,0)</f>
        <v>0</v>
      </c>
      <c r="O69">
        <f>Excellent!C12</f>
        <v>0</v>
      </c>
      <c r="P69">
        <f>IF(AND(Excellent!AQ12=1, Excellent!AM12=0),Excellent!AD12,0)</f>
        <v>0</v>
      </c>
      <c r="Q69">
        <f>IF(AND(Excellent!I12="Pass",Excellent!Q12="Pass",Excellent!Y12="Pass"),-1,0)</f>
        <v>0</v>
      </c>
      <c r="Z69" s="254">
        <f>Games!D83</f>
        <v>0</v>
      </c>
      <c r="AA69" s="113">
        <f>IF(AND(Games!N83=2,Games!S83=3),TrialDateDay2,1)</f>
        <v>1</v>
      </c>
      <c r="AB69" s="113">
        <f>IF(AND(Games!U83=2,Games!Z83=3),TrialDateDay2,1)</f>
        <v>1</v>
      </c>
      <c r="AC69" s="113">
        <f>IF(AND(Games!AB83=2,Games!AG83=3),TrialDateDay2,1)</f>
        <v>1</v>
      </c>
      <c r="AD69" s="113">
        <f>IF(AND(Games!AI83=2,Games!AN83=3),TrialDateDay2,1)</f>
        <v>1</v>
      </c>
    </row>
    <row r="70" spans="1:30" x14ac:dyDescent="0.25">
      <c r="A70">
        <f t="shared" si="4"/>
        <v>0</v>
      </c>
      <c r="B70" t="s">
        <v>17</v>
      </c>
      <c r="C70">
        <f>Started!C13</f>
        <v>0</v>
      </c>
      <c r="D70">
        <f>IF(Started!Y13="Pass",Started!W13,0)</f>
        <v>0</v>
      </c>
      <c r="E70" s="2" t="str">
        <f>IF(Started!B13="W","W","A")</f>
        <v>A</v>
      </c>
      <c r="F70" s="2" t="e">
        <f>VLOOKUP(JudgeD1ESS,Judges!$A$2:$B$44,2,FALSE)</f>
        <v>#N/A</v>
      </c>
      <c r="G70" t="str">
        <f>Started!Y13</f>
        <v/>
      </c>
      <c r="H70" s="113" t="str">
        <f t="shared" si="3"/>
        <v/>
      </c>
      <c r="L70">
        <f>Advanced!C13</f>
        <v>0</v>
      </c>
      <c r="M70">
        <f>IF(AND(Advanced!AQ13=1, Advanced!AM13=0),Advanced!AD13,0)</f>
        <v>0</v>
      </c>
      <c r="N70">
        <f>IF(AND(Advanced!I13="Pass",Advanced!Q13="Pass",Advanced!Y13="Pass"),-1,0)</f>
        <v>0</v>
      </c>
      <c r="O70">
        <f>Excellent!C13</f>
        <v>0</v>
      </c>
      <c r="P70">
        <f>IF(AND(Excellent!AQ13=1, Excellent!AM13=0),Excellent!AD13,0)</f>
        <v>0</v>
      </c>
      <c r="Q70">
        <f>IF(AND(Excellent!I13="Pass",Excellent!Q13="Pass",Excellent!Y13="Pass"),-1,0)</f>
        <v>0</v>
      </c>
      <c r="Z70" s="254">
        <f>Games!D84</f>
        <v>0</v>
      </c>
      <c r="AA70" s="113">
        <f>IF(AND(Games!N84=2,Games!S84=3),TrialDateDay2,1)</f>
        <v>1</v>
      </c>
      <c r="AB70" s="113">
        <f>IF(AND(Games!U84=2,Games!Z84=3),TrialDateDay2,1)</f>
        <v>1</v>
      </c>
      <c r="AC70" s="113">
        <f>IF(AND(Games!AB84=2,Games!AG84=3),TrialDateDay2,1)</f>
        <v>1</v>
      </c>
      <c r="AD70" s="113">
        <f>IF(AND(Games!AI84=2,Games!AN84=3),TrialDateDay2,1)</f>
        <v>1</v>
      </c>
    </row>
    <row r="71" spans="1:30" x14ac:dyDescent="0.25">
      <c r="A71">
        <f t="shared" si="4"/>
        <v>0</v>
      </c>
      <c r="B71" t="s">
        <v>17</v>
      </c>
      <c r="C71">
        <f>Started!C14</f>
        <v>0</v>
      </c>
      <c r="D71">
        <f>IF(Started!Y14="Pass",Started!W14,0)</f>
        <v>0</v>
      </c>
      <c r="E71" s="2" t="str">
        <f>IF(Started!B14="W","W","A")</f>
        <v>A</v>
      </c>
      <c r="F71" s="2" t="e">
        <f>VLOOKUP(JudgeD1ESS,Judges!$A$2:$B$44,2,FALSE)</f>
        <v>#N/A</v>
      </c>
      <c r="G71" t="str">
        <f>Started!Y14</f>
        <v/>
      </c>
      <c r="H71" s="113" t="str">
        <f t="shared" si="3"/>
        <v/>
      </c>
      <c r="L71">
        <f>Advanced!C14</f>
        <v>0</v>
      </c>
      <c r="M71">
        <f>IF(AND(Advanced!AQ14=1, Advanced!AM14=0),Advanced!AD14,0)</f>
        <v>0</v>
      </c>
      <c r="N71">
        <f>IF(AND(Advanced!I14="Pass",Advanced!Q14="Pass",Advanced!Y14="Pass"),-1,0)</f>
        <v>0</v>
      </c>
      <c r="O71">
        <f>Excellent!C14</f>
        <v>0</v>
      </c>
      <c r="P71">
        <f>IF(AND(Excellent!AQ14=1, Excellent!AM14=0),Excellent!AD14,0)</f>
        <v>0</v>
      </c>
      <c r="Q71">
        <f>IF(AND(Excellent!I14="Pass",Excellent!Q14="Pass",Excellent!Y14="Pass"),-1,0)</f>
        <v>0</v>
      </c>
      <c r="Z71" s="254">
        <f>Games!D85</f>
        <v>0</v>
      </c>
      <c r="AA71" s="113">
        <f>IF(AND(Games!N85=2,Games!S85=3),TrialDateDay2,1)</f>
        <v>1</v>
      </c>
      <c r="AB71" s="113">
        <f>IF(AND(Games!U85=2,Games!Z85=3),TrialDateDay2,1)</f>
        <v>1</v>
      </c>
      <c r="AC71" s="113">
        <f>IF(AND(Games!AB85=2,Games!AG85=3),TrialDateDay2,1)</f>
        <v>1</v>
      </c>
      <c r="AD71" s="113">
        <f>IF(AND(Games!AI85=2,Games!AN85=3),TrialDateDay2,1)</f>
        <v>1</v>
      </c>
    </row>
    <row r="72" spans="1:30" x14ac:dyDescent="0.25">
      <c r="A72">
        <f t="shared" si="4"/>
        <v>0</v>
      </c>
      <c r="B72" t="s">
        <v>17</v>
      </c>
      <c r="C72">
        <f>Started!C15</f>
        <v>0</v>
      </c>
      <c r="D72">
        <f>IF(Started!Y15="Pass",Started!W15,0)</f>
        <v>0</v>
      </c>
      <c r="E72" s="2" t="str">
        <f>IF(Started!B15="W","W","A")</f>
        <v>A</v>
      </c>
      <c r="F72" s="2" t="e">
        <f>VLOOKUP(JudgeD1ESS,Judges!$A$2:$B$44,2,FALSE)</f>
        <v>#N/A</v>
      </c>
      <c r="G72" t="str">
        <f>Started!Y15</f>
        <v/>
      </c>
      <c r="H72" s="113" t="str">
        <f t="shared" si="3"/>
        <v/>
      </c>
      <c r="L72">
        <f>Advanced!C15</f>
        <v>0</v>
      </c>
      <c r="M72">
        <f>IF(AND(Advanced!AQ15=1, Advanced!AM15=0),Advanced!AD15,0)</f>
        <v>0</v>
      </c>
      <c r="N72">
        <f>IF(AND(Advanced!I15="Pass",Advanced!Q15="Pass",Advanced!Y15="Pass"),-1,0)</f>
        <v>0</v>
      </c>
      <c r="O72">
        <f>Excellent!C15</f>
        <v>0</v>
      </c>
      <c r="P72">
        <f>IF(AND(Excellent!AQ15=1, Excellent!AM15=0),Excellent!AD15,0)</f>
        <v>0</v>
      </c>
      <c r="Q72">
        <f>IF(AND(Excellent!I15="Pass",Excellent!Q15="Pass",Excellent!Y15="Pass"),-1,0)</f>
        <v>0</v>
      </c>
      <c r="Z72" s="254">
        <f>Games!D86</f>
        <v>0</v>
      </c>
      <c r="AA72" s="113">
        <f>IF(AND(Games!N86=2,Games!S86=3),TrialDateDay2,1)</f>
        <v>1</v>
      </c>
      <c r="AB72" s="113">
        <f>IF(AND(Games!U86=2,Games!Z86=3),TrialDateDay2,1)</f>
        <v>1</v>
      </c>
      <c r="AC72" s="113">
        <f>IF(AND(Games!AB86=2,Games!AG86=3),TrialDateDay2,1)</f>
        <v>1</v>
      </c>
      <c r="AD72" s="113">
        <f>IF(AND(Games!AI86=2,Games!AN86=3),TrialDateDay2,1)</f>
        <v>1</v>
      </c>
    </row>
    <row r="73" spans="1:30" x14ac:dyDescent="0.25">
      <c r="A73">
        <f t="shared" si="4"/>
        <v>0</v>
      </c>
      <c r="B73" t="s">
        <v>17</v>
      </c>
      <c r="C73">
        <f>Started!C16</f>
        <v>0</v>
      </c>
      <c r="D73">
        <f>IF(Started!Y16="Pass",Started!W16,0)</f>
        <v>0</v>
      </c>
      <c r="E73" s="2" t="str">
        <f>IF(Started!B16="W","W","A")</f>
        <v>A</v>
      </c>
      <c r="F73" s="2" t="e">
        <f>VLOOKUP(JudgeD1ESS,Judges!$A$2:$B$44,2,FALSE)</f>
        <v>#N/A</v>
      </c>
      <c r="G73" t="str">
        <f>Started!Y16</f>
        <v/>
      </c>
      <c r="H73" s="113" t="str">
        <f t="shared" si="3"/>
        <v/>
      </c>
      <c r="L73">
        <f>Advanced!C16</f>
        <v>0</v>
      </c>
      <c r="M73">
        <f>IF(AND(Advanced!AQ16=1, Advanced!AM16=0),Advanced!AD16,0)</f>
        <v>0</v>
      </c>
      <c r="N73">
        <f>IF(AND(Advanced!I16="Pass",Advanced!Q16="Pass",Advanced!Y16="Pass"),-1,0)</f>
        <v>0</v>
      </c>
      <c r="O73">
        <f>Excellent!C16</f>
        <v>0</v>
      </c>
      <c r="P73">
        <f>IF(AND(Excellent!AQ16=1, Excellent!AM16=0),Excellent!AD16,0)</f>
        <v>0</v>
      </c>
      <c r="Q73">
        <f>IF(AND(Excellent!I16="Pass",Excellent!Q16="Pass",Excellent!Y16="Pass"),-1,0)</f>
        <v>0</v>
      </c>
      <c r="Z73" s="254">
        <f>Games!D87</f>
        <v>0</v>
      </c>
      <c r="AA73" s="113">
        <f>IF(AND(Games!N87=2,Games!S87=3),TrialDateDay2,1)</f>
        <v>1</v>
      </c>
      <c r="AB73" s="113">
        <f>IF(AND(Games!U87=2,Games!Z87=3),TrialDateDay2,1)</f>
        <v>1</v>
      </c>
      <c r="AC73" s="113">
        <f>IF(AND(Games!AB87=2,Games!AG87=3),TrialDateDay2,1)</f>
        <v>1</v>
      </c>
      <c r="AD73" s="113">
        <f>IF(AND(Games!AI87=2,Games!AN87=3),TrialDateDay2,1)</f>
        <v>1</v>
      </c>
    </row>
    <row r="74" spans="1:30" x14ac:dyDescent="0.25">
      <c r="A74">
        <f t="shared" si="4"/>
        <v>0</v>
      </c>
      <c r="B74" t="s">
        <v>17</v>
      </c>
      <c r="C74">
        <f>Started!C17</f>
        <v>0</v>
      </c>
      <c r="D74">
        <f>IF(Started!Y17="Pass",Started!W17,0)</f>
        <v>0</v>
      </c>
      <c r="E74" s="2" t="str">
        <f>IF(Started!B17="W","W","A")</f>
        <v>A</v>
      </c>
      <c r="F74" s="2" t="e">
        <f>VLOOKUP(JudgeD1ESS,Judges!$A$2:$B$44,2,FALSE)</f>
        <v>#N/A</v>
      </c>
      <c r="G74" t="str">
        <f>Started!Y17</f>
        <v/>
      </c>
      <c r="H74" s="113" t="str">
        <f t="shared" si="3"/>
        <v/>
      </c>
      <c r="L74">
        <f>Advanced!C17</f>
        <v>0</v>
      </c>
      <c r="M74">
        <f>IF(AND(Advanced!AQ17=1, Advanced!AM17=0),Advanced!AD17,0)</f>
        <v>0</v>
      </c>
      <c r="N74">
        <f>IF(AND(Advanced!I17="Pass",Advanced!Q17="Pass",Advanced!Y17="Pass"),-1,0)</f>
        <v>0</v>
      </c>
      <c r="O74">
        <f>Excellent!C17</f>
        <v>0</v>
      </c>
      <c r="P74">
        <f>IF(AND(Excellent!AQ17=1, Excellent!AM17=0),Excellent!AD17,0)</f>
        <v>0</v>
      </c>
      <c r="Q74">
        <f>IF(AND(Excellent!I17="Pass",Excellent!Q17="Pass",Excellent!Y17="Pass"),-1,0)</f>
        <v>0</v>
      </c>
      <c r="Z74" s="254">
        <f>Games!D88</f>
        <v>0</v>
      </c>
      <c r="AA74" s="113">
        <f>IF(AND(Games!N88=2,Games!S88=3),TrialDateDay2,1)</f>
        <v>1</v>
      </c>
      <c r="AB74" s="113">
        <f>IF(AND(Games!U88=2,Games!Z88=3),TrialDateDay2,1)</f>
        <v>1</v>
      </c>
      <c r="AC74" s="113">
        <f>IF(AND(Games!AB88=2,Games!AG88=3),TrialDateDay2,1)</f>
        <v>1</v>
      </c>
      <c r="AD74" s="113">
        <f>IF(AND(Games!AI88=2,Games!AN88=3),TrialDateDay2,1)</f>
        <v>1</v>
      </c>
    </row>
    <row r="75" spans="1:30" x14ac:dyDescent="0.25">
      <c r="A75">
        <f t="shared" si="4"/>
        <v>0</v>
      </c>
      <c r="B75" t="s">
        <v>17</v>
      </c>
      <c r="C75">
        <f>Started!C18</f>
        <v>0</v>
      </c>
      <c r="D75">
        <f>IF(Started!Y18="Pass",Started!W18,0)</f>
        <v>0</v>
      </c>
      <c r="E75" s="2" t="str">
        <f>IF(Started!B18="W","W","A")</f>
        <v>A</v>
      </c>
      <c r="F75" s="2" t="e">
        <f>VLOOKUP(JudgeD1ESS,Judges!$A$2:$B$44,2,FALSE)</f>
        <v>#N/A</v>
      </c>
      <c r="G75" t="str">
        <f>Started!Y18</f>
        <v/>
      </c>
      <c r="H75" s="113" t="str">
        <f t="shared" si="3"/>
        <v/>
      </c>
      <c r="L75">
        <f>Advanced!C18</f>
        <v>0</v>
      </c>
      <c r="M75">
        <f>IF(AND(Advanced!AQ18=1, Advanced!AM18=0),Advanced!AD18,0)</f>
        <v>0</v>
      </c>
      <c r="N75">
        <f>IF(AND(Advanced!I18="Pass",Advanced!Q18="Pass",Advanced!Y18="Pass"),-1,0)</f>
        <v>0</v>
      </c>
      <c r="O75">
        <f>Excellent!C18</f>
        <v>0</v>
      </c>
      <c r="P75">
        <f>IF(AND(Excellent!AQ18=1, Excellent!AM18=0),Excellent!AD18,0)</f>
        <v>0</v>
      </c>
      <c r="Q75">
        <f>IF(AND(Excellent!I18="Pass",Excellent!Q18="Pass",Excellent!Y18="Pass"),-1,0)</f>
        <v>0</v>
      </c>
      <c r="Z75" s="254">
        <f>Games!D89</f>
        <v>0</v>
      </c>
      <c r="AA75" s="113">
        <f>IF(AND(Games!N89=2,Games!S89=3),TrialDateDay2,1)</f>
        <v>1</v>
      </c>
      <c r="AB75" s="113">
        <f>IF(AND(Games!U89=2,Games!Z89=3),TrialDateDay2,1)</f>
        <v>1</v>
      </c>
      <c r="AC75" s="113">
        <f>IF(AND(Games!AB89=2,Games!AG89=3),TrialDateDay2,1)</f>
        <v>1</v>
      </c>
      <c r="AD75" s="113">
        <f>IF(AND(Games!AI89=2,Games!AN89=3),TrialDateDay2,1)</f>
        <v>1</v>
      </c>
    </row>
    <row r="76" spans="1:30" x14ac:dyDescent="0.25">
      <c r="A76">
        <f t="shared" si="4"/>
        <v>0</v>
      </c>
      <c r="B76" t="s">
        <v>17</v>
      </c>
      <c r="C76">
        <f>Started!C19</f>
        <v>0</v>
      </c>
      <c r="D76">
        <f>IF(Started!Y19="Pass",Started!W19,0)</f>
        <v>0</v>
      </c>
      <c r="E76" s="2" t="str">
        <f>IF(Started!B19="W","W","A")</f>
        <v>A</v>
      </c>
      <c r="F76" s="2" t="e">
        <f>VLOOKUP(JudgeD1ESS,Judges!$A$2:$B$44,2,FALSE)</f>
        <v>#N/A</v>
      </c>
      <c r="G76" t="str">
        <f>Started!Y19</f>
        <v/>
      </c>
      <c r="H76" s="113" t="str">
        <f t="shared" si="3"/>
        <v/>
      </c>
      <c r="L76">
        <f>Advanced!C19</f>
        <v>0</v>
      </c>
      <c r="M76">
        <f>IF(AND(Advanced!AQ19=1, Advanced!AM19=0),Advanced!AD19,0)</f>
        <v>0</v>
      </c>
      <c r="N76">
        <f>IF(AND(Advanced!I19="Pass",Advanced!Q19="Pass",Advanced!Y19="Pass"),-1,0)</f>
        <v>0</v>
      </c>
      <c r="O76">
        <f>Excellent!C19</f>
        <v>0</v>
      </c>
      <c r="P76">
        <f>IF(AND(Excellent!AQ19=1, Excellent!AM19=0),Excellent!AD19,0)</f>
        <v>0</v>
      </c>
      <c r="Q76">
        <f>IF(AND(Excellent!I19="Pass",Excellent!Q19="Pass",Excellent!Y19="Pass"),-1,0)</f>
        <v>0</v>
      </c>
      <c r="Z76" s="254">
        <f>Games!D90</f>
        <v>0</v>
      </c>
      <c r="AA76" s="113">
        <f>IF(AND(Games!N90=2,Games!S90=3),TrialDateDay2,1)</f>
        <v>1</v>
      </c>
      <c r="AB76" s="113">
        <f>IF(AND(Games!U90=2,Games!Z90=3),TrialDateDay2,1)</f>
        <v>1</v>
      </c>
      <c r="AC76" s="113">
        <f>IF(AND(Games!AB90=2,Games!AG90=3),TrialDateDay2,1)</f>
        <v>1</v>
      </c>
      <c r="AD76" s="113">
        <f>IF(AND(Games!AI90=2,Games!AN90=3),TrialDateDay2,1)</f>
        <v>1</v>
      </c>
    </row>
    <row r="77" spans="1:30" x14ac:dyDescent="0.25">
      <c r="A77">
        <f t="shared" si="4"/>
        <v>0</v>
      </c>
      <c r="B77" t="s">
        <v>17</v>
      </c>
      <c r="C77">
        <f>Started!C20</f>
        <v>0</v>
      </c>
      <c r="D77">
        <f>IF(Started!Y20="Pass",Started!W20,0)</f>
        <v>0</v>
      </c>
      <c r="E77" s="2" t="str">
        <f>IF(Started!B20="W","W","A")</f>
        <v>A</v>
      </c>
      <c r="F77" s="2" t="e">
        <f>VLOOKUP(JudgeD1ESS,Judges!$A$2:$B$44,2,FALSE)</f>
        <v>#N/A</v>
      </c>
      <c r="G77" t="str">
        <f>Started!Y20</f>
        <v/>
      </c>
      <c r="H77" s="113" t="str">
        <f t="shared" si="3"/>
        <v/>
      </c>
      <c r="L77">
        <f>Advanced!C20</f>
        <v>0</v>
      </c>
      <c r="M77">
        <f>IF(AND(Advanced!AQ20=1, Advanced!AM20=0),Advanced!AD20,0)</f>
        <v>0</v>
      </c>
      <c r="N77">
        <f>IF(AND(Advanced!I20="Pass",Advanced!Q20="Pass",Advanced!Y20="Pass"),-1,0)</f>
        <v>0</v>
      </c>
      <c r="O77">
        <f>Excellent!C20</f>
        <v>0</v>
      </c>
      <c r="P77">
        <f>IF(AND(Excellent!AQ20=1, Excellent!AM20=0),Excellent!AD20,0)</f>
        <v>0</v>
      </c>
      <c r="Q77">
        <f>IF(AND(Excellent!I20="Pass",Excellent!Q20="Pass",Excellent!Y20="Pass"),-1,0)</f>
        <v>0</v>
      </c>
      <c r="Z77" s="254">
        <f>Games!D91</f>
        <v>0</v>
      </c>
      <c r="AA77" s="113">
        <f>IF(AND(Games!N91=2,Games!S91=3),TrialDateDay2,1)</f>
        <v>1</v>
      </c>
      <c r="AB77" s="113">
        <f>IF(AND(Games!U91=2,Games!Z91=3),TrialDateDay2,1)</f>
        <v>1</v>
      </c>
      <c r="AC77" s="113">
        <f>IF(AND(Games!AB91=2,Games!AG91=3),TrialDateDay2,1)</f>
        <v>1</v>
      </c>
      <c r="AD77" s="113">
        <f>IF(AND(Games!AI91=2,Games!AN91=3),TrialDateDay2,1)</f>
        <v>1</v>
      </c>
    </row>
    <row r="78" spans="1:30" x14ac:dyDescent="0.25">
      <c r="A78">
        <f t="shared" si="4"/>
        <v>0</v>
      </c>
      <c r="B78" t="s">
        <v>17</v>
      </c>
      <c r="C78">
        <f>Started!C21</f>
        <v>0</v>
      </c>
      <c r="D78">
        <f>IF(Started!Y21="Pass",Started!W21,0)</f>
        <v>0</v>
      </c>
      <c r="E78" s="2" t="str">
        <f>IF(Started!B21="W","W","A")</f>
        <v>A</v>
      </c>
      <c r="F78" s="2" t="e">
        <f>VLOOKUP(JudgeD1ESS,Judges!$A$2:$B$44,2,FALSE)</f>
        <v>#N/A</v>
      </c>
      <c r="G78" t="str">
        <f>Started!Y21</f>
        <v/>
      </c>
      <c r="H78" s="113" t="str">
        <f t="shared" si="3"/>
        <v/>
      </c>
      <c r="L78">
        <f>Advanced!C21</f>
        <v>0</v>
      </c>
      <c r="M78">
        <f>IF(AND(Advanced!AQ21=1, Advanced!AM21=0),Advanced!AD21,0)</f>
        <v>0</v>
      </c>
      <c r="N78">
        <f>IF(AND(Advanced!I21="Pass",Advanced!Q21="Pass",Advanced!Y21="Pass"),-1,0)</f>
        <v>0</v>
      </c>
      <c r="O78">
        <f>Excellent!C21</f>
        <v>0</v>
      </c>
      <c r="P78">
        <f>IF(AND(Excellent!AQ21=1, Excellent!AM21=0),Excellent!AD21,0)</f>
        <v>0</v>
      </c>
      <c r="Q78">
        <f>IF(AND(Excellent!I21="Pass",Excellent!Q21="Pass",Excellent!Y21="Pass"),-1,0)</f>
        <v>0</v>
      </c>
      <c r="Z78" s="254">
        <f>Games!D92</f>
        <v>0</v>
      </c>
      <c r="AA78" s="113">
        <f>IF(AND(Games!N92=2,Games!S92=3),TrialDateDay2,1)</f>
        <v>1</v>
      </c>
      <c r="AB78" s="113">
        <f>IF(AND(Games!U92=2,Games!Z92=3),TrialDateDay2,1)</f>
        <v>1</v>
      </c>
      <c r="AC78" s="113">
        <f>IF(AND(Games!AB92=2,Games!AG92=3),TrialDateDay2,1)</f>
        <v>1</v>
      </c>
      <c r="AD78" s="113">
        <f>IF(AND(Games!AI92=2,Games!AN92=3),TrialDateDay2,1)</f>
        <v>1</v>
      </c>
    </row>
    <row r="79" spans="1:30" x14ac:dyDescent="0.25">
      <c r="A79">
        <f t="shared" si="4"/>
        <v>0</v>
      </c>
      <c r="B79" t="s">
        <v>17</v>
      </c>
      <c r="C79">
        <f>Started!C22</f>
        <v>0</v>
      </c>
      <c r="D79">
        <f>IF(Started!Y22="Pass",Started!W22,0)</f>
        <v>0</v>
      </c>
      <c r="E79" s="2" t="str">
        <f>IF(Started!B22="W","W","A")</f>
        <v>A</v>
      </c>
      <c r="F79" s="2" t="e">
        <f>VLOOKUP(JudgeD1ESS,Judges!$A$2:$B$44,2,FALSE)</f>
        <v>#N/A</v>
      </c>
      <c r="G79" t="str">
        <f>Started!Y22</f>
        <v/>
      </c>
      <c r="H79" s="113" t="str">
        <f t="shared" si="3"/>
        <v/>
      </c>
      <c r="L79">
        <f>Advanced!C22</f>
        <v>0</v>
      </c>
      <c r="M79">
        <f>IF(AND(Advanced!AQ22=1, Advanced!AM22=0),Advanced!AD22,0)</f>
        <v>0</v>
      </c>
      <c r="N79">
        <f>IF(AND(Advanced!I22="Pass",Advanced!Q22="Pass",Advanced!Y22="Pass"),-1,0)</f>
        <v>0</v>
      </c>
      <c r="O79">
        <f>Excellent!C22</f>
        <v>0</v>
      </c>
      <c r="P79">
        <f>IF(AND(Excellent!AQ22=1, Excellent!AM22=0),Excellent!AD22,0)</f>
        <v>0</v>
      </c>
      <c r="Q79">
        <f>IF(AND(Excellent!I22="Pass",Excellent!Q22="Pass",Excellent!Y22="Pass"),-1,0)</f>
        <v>0</v>
      </c>
      <c r="Z79" s="254">
        <f>Games!D93</f>
        <v>0</v>
      </c>
      <c r="AA79" s="113">
        <f>IF(AND(Games!N93=2,Games!S93=3),TrialDateDay2,1)</f>
        <v>1</v>
      </c>
      <c r="AB79" s="113">
        <f>IF(AND(Games!U93=2,Games!Z93=3),TrialDateDay2,1)</f>
        <v>1</v>
      </c>
      <c r="AC79" s="113">
        <f>IF(AND(Games!AB93=2,Games!AG93=3),TrialDateDay2,1)</f>
        <v>1</v>
      </c>
      <c r="AD79" s="113">
        <f>IF(AND(Games!AI93=2,Games!AN93=3),TrialDateDay2,1)</f>
        <v>1</v>
      </c>
    </row>
    <row r="80" spans="1:30" x14ac:dyDescent="0.25">
      <c r="A80">
        <f t="shared" si="4"/>
        <v>0</v>
      </c>
      <c r="B80" t="s">
        <v>17</v>
      </c>
      <c r="C80">
        <f>Started!C23</f>
        <v>0</v>
      </c>
      <c r="D80">
        <f>IF(Started!Y23="Pass",Started!W23,0)</f>
        <v>0</v>
      </c>
      <c r="E80" s="2" t="str">
        <f>IF(Started!B23="W","W","A")</f>
        <v>A</v>
      </c>
      <c r="F80" s="2" t="e">
        <f>VLOOKUP(JudgeD1ESS,Judges!$A$2:$B$44,2,FALSE)</f>
        <v>#N/A</v>
      </c>
      <c r="G80" t="str">
        <f>Started!Y23</f>
        <v/>
      </c>
      <c r="H80" s="113" t="str">
        <f t="shared" si="3"/>
        <v/>
      </c>
      <c r="L80">
        <f>Advanced!C23</f>
        <v>0</v>
      </c>
      <c r="M80">
        <f>IF(AND(Advanced!AQ23=1, Advanced!AM23=0),Advanced!AD23,0)</f>
        <v>0</v>
      </c>
      <c r="N80">
        <f>IF(AND(Advanced!I23="Pass",Advanced!Q23="Pass",Advanced!Y23="Pass"),-1,0)</f>
        <v>0</v>
      </c>
      <c r="O80">
        <f>Excellent!C23</f>
        <v>0</v>
      </c>
      <c r="P80">
        <f>IF(AND(Excellent!AQ23=1, Excellent!AM23=0),Excellent!AD23,0)</f>
        <v>0</v>
      </c>
      <c r="Q80">
        <f>IF(AND(Excellent!I23="Pass",Excellent!Q23="Pass",Excellent!Y23="Pass"),-1,0)</f>
        <v>0</v>
      </c>
      <c r="Z80" s="254">
        <f>Games!D94</f>
        <v>0</v>
      </c>
      <c r="AA80" s="113">
        <f>IF(AND(Games!N94=2,Games!S94=3),TrialDateDay2,1)</f>
        <v>1</v>
      </c>
      <c r="AB80" s="113">
        <f>IF(AND(Games!U94=2,Games!Z94=3),TrialDateDay2,1)</f>
        <v>1</v>
      </c>
      <c r="AC80" s="113">
        <f>IF(AND(Games!AB94=2,Games!AG94=3),TrialDateDay2,1)</f>
        <v>1</v>
      </c>
      <c r="AD80" s="113">
        <f>IF(AND(Games!AI94=2,Games!AN94=3),TrialDateDay2,1)</f>
        <v>1</v>
      </c>
    </row>
    <row r="81" spans="1:30" x14ac:dyDescent="0.25">
      <c r="A81">
        <f t="shared" si="4"/>
        <v>0</v>
      </c>
      <c r="B81" t="s">
        <v>17</v>
      </c>
      <c r="C81">
        <f>Started!C24</f>
        <v>0</v>
      </c>
      <c r="D81">
        <f>IF(Started!Y24="Pass",Started!W24,0)</f>
        <v>0</v>
      </c>
      <c r="E81" s="2" t="str">
        <f>IF(Started!B24="W","W","A")</f>
        <v>A</v>
      </c>
      <c r="F81" s="2" t="e">
        <f>VLOOKUP(JudgeD1ESS,Judges!$A$2:$B$44,2,FALSE)</f>
        <v>#N/A</v>
      </c>
      <c r="G81" t="str">
        <f>Started!Y24</f>
        <v/>
      </c>
      <c r="H81" s="113" t="str">
        <f t="shared" si="3"/>
        <v/>
      </c>
      <c r="L81">
        <f>Advanced!C24</f>
        <v>0</v>
      </c>
      <c r="M81">
        <f>IF(AND(Advanced!AQ24=1, Advanced!AM24=0),Advanced!AD24,0)</f>
        <v>0</v>
      </c>
      <c r="N81">
        <f>IF(AND(Advanced!I24="Pass",Advanced!Q24="Pass",Advanced!Y24="Pass"),-1,0)</f>
        <v>0</v>
      </c>
      <c r="O81">
        <f>Excellent!C24</f>
        <v>0</v>
      </c>
      <c r="P81">
        <f>IF(AND(Excellent!AQ24=1, Excellent!AM24=0),Excellent!AD24,0)</f>
        <v>0</v>
      </c>
      <c r="Q81">
        <f>IF(AND(Excellent!I24="Pass",Excellent!Q24="Pass",Excellent!Y24="Pass"),-1,0)</f>
        <v>0</v>
      </c>
      <c r="Z81" s="254">
        <f>Games!D95</f>
        <v>0</v>
      </c>
      <c r="AA81" s="113">
        <f>IF(AND(Games!N95=2,Games!S95=3),TrialDateDay2,1)</f>
        <v>1</v>
      </c>
      <c r="AB81" s="113">
        <f>IF(AND(Games!U95=2,Games!Z95=3),TrialDateDay2,1)</f>
        <v>1</v>
      </c>
      <c r="AC81" s="113">
        <f>IF(AND(Games!AB95=2,Games!AG95=3),TrialDateDay2,1)</f>
        <v>1</v>
      </c>
      <c r="AD81" s="113">
        <f>IF(AND(Games!AI95=2,Games!AN95=3),TrialDateDay2,1)</f>
        <v>1</v>
      </c>
    </row>
    <row r="82" spans="1:30" x14ac:dyDescent="0.25">
      <c r="A82">
        <f t="shared" si="4"/>
        <v>0</v>
      </c>
      <c r="B82" t="s">
        <v>17</v>
      </c>
      <c r="C82">
        <f>Started!C25</f>
        <v>0</v>
      </c>
      <c r="D82">
        <f>IF(Started!Y25="Pass",Started!W25,0)</f>
        <v>0</v>
      </c>
      <c r="E82" s="2" t="str">
        <f>IF(Started!B25="W","W","A")</f>
        <v>A</v>
      </c>
      <c r="F82" s="2" t="e">
        <f>VLOOKUP(JudgeD1ESS,Judges!$A$2:$B$44,2,FALSE)</f>
        <v>#N/A</v>
      </c>
      <c r="G82" t="str">
        <f>Started!Y25</f>
        <v/>
      </c>
      <c r="H82" s="113" t="str">
        <f t="shared" si="3"/>
        <v/>
      </c>
      <c r="L82">
        <f>Advanced!C25</f>
        <v>0</v>
      </c>
      <c r="M82">
        <f>IF(AND(Advanced!AQ25=1, Advanced!AM25=0),Advanced!AD25,0)</f>
        <v>0</v>
      </c>
      <c r="N82">
        <f>IF(AND(Advanced!I25="Pass",Advanced!Q25="Pass",Advanced!Y25="Pass"),-1,0)</f>
        <v>0</v>
      </c>
      <c r="O82">
        <f>Excellent!C25</f>
        <v>0</v>
      </c>
      <c r="P82">
        <f>IF(AND(Excellent!AQ25=1, Excellent!AM25=0),Excellent!AD25,0)</f>
        <v>0</v>
      </c>
      <c r="Q82">
        <f>IF(AND(Excellent!I25="Pass",Excellent!Q25="Pass",Excellent!Y25="Pass"),-1,0)</f>
        <v>0</v>
      </c>
      <c r="Z82" s="254">
        <f>Games!D96</f>
        <v>0</v>
      </c>
      <c r="AA82" s="113">
        <f>IF(AND(Games!N96=2,Games!S96=3),TrialDateDay2,1)</f>
        <v>1</v>
      </c>
      <c r="AB82" s="113">
        <f>IF(AND(Games!U96=2,Games!Z96=3),TrialDateDay2,1)</f>
        <v>1</v>
      </c>
      <c r="AC82" s="113">
        <f>IF(AND(Games!AB96=2,Games!AG96=3),TrialDateDay2,1)</f>
        <v>1</v>
      </c>
      <c r="AD82" s="113">
        <f>IF(AND(Games!AI96=2,Games!AN96=3),TrialDateDay2,1)</f>
        <v>1</v>
      </c>
    </row>
    <row r="83" spans="1:30" x14ac:dyDescent="0.25">
      <c r="A83">
        <f t="shared" si="4"/>
        <v>0</v>
      </c>
      <c r="B83" t="s">
        <v>17</v>
      </c>
      <c r="C83">
        <f>Started!C26</f>
        <v>0</v>
      </c>
      <c r="D83">
        <f>IF(Started!Y26="Pass",Started!W26,0)</f>
        <v>0</v>
      </c>
      <c r="E83" s="2" t="str">
        <f>IF(Started!B26="W","W","A")</f>
        <v>A</v>
      </c>
      <c r="F83" s="2" t="e">
        <f>VLOOKUP(JudgeD1ESS,Judges!$A$2:$B$44,2,FALSE)</f>
        <v>#N/A</v>
      </c>
      <c r="G83" t="str">
        <f>Started!Y26</f>
        <v/>
      </c>
      <c r="H83" s="113" t="str">
        <f t="shared" si="3"/>
        <v/>
      </c>
      <c r="L83">
        <f>Advanced!C26</f>
        <v>0</v>
      </c>
      <c r="M83">
        <f>IF(AND(Advanced!AQ26=1, Advanced!AM26=0),Advanced!AD26,0)</f>
        <v>0</v>
      </c>
      <c r="N83">
        <f>IF(AND(Advanced!I26="Pass",Advanced!Q26="Pass",Advanced!Y26="Pass"),-1,0)</f>
        <v>0</v>
      </c>
      <c r="O83">
        <f>Excellent!C26</f>
        <v>0</v>
      </c>
      <c r="P83">
        <f>IF(AND(Excellent!AQ26=1, Excellent!AM26=0),Excellent!AD26,0)</f>
        <v>0</v>
      </c>
      <c r="Q83">
        <f>IF(AND(Excellent!I26="Pass",Excellent!Q26="Pass",Excellent!Y26="Pass"),-1,0)</f>
        <v>0</v>
      </c>
      <c r="Z83" s="254">
        <f>Games!D97</f>
        <v>0</v>
      </c>
      <c r="AA83" s="113">
        <f>IF(AND(Games!N97=2,Games!S97=3),TrialDateDay2,1)</f>
        <v>1</v>
      </c>
      <c r="AB83" s="113">
        <f>IF(AND(Games!U97=2,Games!Z97=3),TrialDateDay2,1)</f>
        <v>1</v>
      </c>
      <c r="AC83" s="113">
        <f>IF(AND(Games!AB97=2,Games!AG97=3),TrialDateDay2,1)</f>
        <v>1</v>
      </c>
      <c r="AD83" s="113">
        <f>IF(AND(Games!AI97=2,Games!AN97=3),TrialDateDay2,1)</f>
        <v>1</v>
      </c>
    </row>
    <row r="84" spans="1:30" x14ac:dyDescent="0.25">
      <c r="A84">
        <f t="shared" si="4"/>
        <v>0</v>
      </c>
      <c r="B84" t="s">
        <v>17</v>
      </c>
      <c r="C84">
        <f>Started!C27</f>
        <v>0</v>
      </c>
      <c r="D84">
        <f>IF(Started!Y27="Pass",Started!W27,0)</f>
        <v>0</v>
      </c>
      <c r="E84" s="2" t="str">
        <f>IF(Started!B27="W","W","A")</f>
        <v>A</v>
      </c>
      <c r="F84" s="2" t="e">
        <f>VLOOKUP(JudgeD1ESS,Judges!$A$2:$B$44,2,FALSE)</f>
        <v>#N/A</v>
      </c>
      <c r="G84" t="str">
        <f>Started!Y27</f>
        <v/>
      </c>
      <c r="H84" s="113" t="str">
        <f t="shared" si="3"/>
        <v/>
      </c>
      <c r="L84">
        <f>Advanced!C27</f>
        <v>0</v>
      </c>
      <c r="M84">
        <f>IF(AND(Advanced!AQ27=1, Advanced!AM27=0),Advanced!AD27,0)</f>
        <v>0</v>
      </c>
      <c r="N84">
        <f>IF(AND(Advanced!I27="Pass",Advanced!Q27="Pass",Advanced!Y27="Pass"),-1,0)</f>
        <v>0</v>
      </c>
      <c r="O84">
        <f>Excellent!C27</f>
        <v>0</v>
      </c>
      <c r="P84">
        <f>IF(AND(Excellent!AQ27=1, Excellent!AM27=0),Excellent!AD27,0)</f>
        <v>0</v>
      </c>
      <c r="Q84">
        <f>IF(AND(Excellent!I27="Pass",Excellent!Q27="Pass",Excellent!Y27="Pass"),-1,0)</f>
        <v>0</v>
      </c>
      <c r="Z84" s="254">
        <f>Games!D98</f>
        <v>0</v>
      </c>
      <c r="AA84" s="113">
        <f>IF(AND(Games!N98=2,Games!S98=3),TrialDateDay2,1)</f>
        <v>1</v>
      </c>
      <c r="AB84" s="113">
        <f>IF(AND(Games!U98=2,Games!Z98=3),TrialDateDay2,1)</f>
        <v>1</v>
      </c>
      <c r="AC84" s="113">
        <f>IF(AND(Games!AB98=2,Games!AG98=3),TrialDateDay2,1)</f>
        <v>1</v>
      </c>
      <c r="AD84" s="113">
        <f>IF(AND(Games!AI98=2,Games!AN98=3),TrialDateDay2,1)</f>
        <v>1</v>
      </c>
    </row>
    <row r="85" spans="1:30" x14ac:dyDescent="0.25">
      <c r="A85">
        <f t="shared" si="4"/>
        <v>0</v>
      </c>
      <c r="B85" t="s">
        <v>17</v>
      </c>
      <c r="C85">
        <f>Started!C28</f>
        <v>0</v>
      </c>
      <c r="D85">
        <f>IF(Started!Y28="Pass",Started!W28,0)</f>
        <v>0</v>
      </c>
      <c r="E85" s="2" t="str">
        <f>IF(Started!B28="W","W","A")</f>
        <v>A</v>
      </c>
      <c r="F85" s="2" t="e">
        <f>VLOOKUP(JudgeD1ESS,Judges!$A$2:$B$44,2,FALSE)</f>
        <v>#N/A</v>
      </c>
      <c r="G85" t="str">
        <f>Started!Y28</f>
        <v/>
      </c>
      <c r="H85" s="113" t="str">
        <f t="shared" si="3"/>
        <v/>
      </c>
      <c r="L85">
        <f>Advanced!C28</f>
        <v>0</v>
      </c>
      <c r="M85">
        <f>IF(AND(Advanced!AQ28=1, Advanced!AM28=0),Advanced!AD28,0)</f>
        <v>0</v>
      </c>
      <c r="N85">
        <f>IF(AND(Advanced!I28="Pass",Advanced!Q28="Pass",Advanced!Y28="Pass"),-1,0)</f>
        <v>0</v>
      </c>
      <c r="O85">
        <f>Excellent!C28</f>
        <v>0</v>
      </c>
      <c r="P85">
        <f>IF(AND(Excellent!AQ28=1, Excellent!AM28=0),Excellent!AD28,0)</f>
        <v>0</v>
      </c>
      <c r="Q85">
        <f>IF(AND(Excellent!I28="Pass",Excellent!Q28="Pass",Excellent!Y28="Pass"),-1,0)</f>
        <v>0</v>
      </c>
      <c r="Z85" s="254">
        <f>Games!D99</f>
        <v>0</v>
      </c>
      <c r="AA85" s="113">
        <f>IF(AND(Games!N99=2,Games!S99=3),TrialDateDay2,1)</f>
        <v>1</v>
      </c>
      <c r="AB85" s="113">
        <f>IF(AND(Games!U99=2,Games!Z99=3),TrialDateDay2,1)</f>
        <v>1</v>
      </c>
      <c r="AC85" s="113">
        <f>IF(AND(Games!AB99=2,Games!AG99=3),TrialDateDay2,1)</f>
        <v>1</v>
      </c>
      <c r="AD85" s="113">
        <f>IF(AND(Games!AI99=2,Games!AN99=3),TrialDateDay2,1)</f>
        <v>1</v>
      </c>
    </row>
    <row r="86" spans="1:30" x14ac:dyDescent="0.25">
      <c r="A86">
        <f t="shared" si="4"/>
        <v>0</v>
      </c>
      <c r="B86" t="s">
        <v>17</v>
      </c>
      <c r="C86">
        <f>Started!C29</f>
        <v>0</v>
      </c>
      <c r="D86">
        <f>IF(Started!Y29="Pass",Started!W29,0)</f>
        <v>0</v>
      </c>
      <c r="E86" s="2" t="str">
        <f>IF(Started!B29="W","W","A")</f>
        <v>A</v>
      </c>
      <c r="F86" s="2" t="e">
        <f>VLOOKUP(JudgeD1ESS,Judges!$A$2:$B$44,2,FALSE)</f>
        <v>#N/A</v>
      </c>
      <c r="G86" t="str">
        <f>Started!Y29</f>
        <v/>
      </c>
      <c r="H86" s="113" t="str">
        <f t="shared" si="3"/>
        <v/>
      </c>
      <c r="L86">
        <f>Advanced!C29</f>
        <v>0</v>
      </c>
      <c r="M86">
        <f>IF(AND(Advanced!AQ29=1, Advanced!AM29=0),Advanced!AD29,0)</f>
        <v>0</v>
      </c>
      <c r="N86">
        <f>IF(AND(Advanced!I29="Pass",Advanced!Q29="Pass",Advanced!Y29="Pass"),-1,0)</f>
        <v>0</v>
      </c>
      <c r="O86">
        <f>Excellent!C29</f>
        <v>0</v>
      </c>
      <c r="P86">
        <f>IF(AND(Excellent!AQ29=1, Excellent!AM29=0),Excellent!AD29,0)</f>
        <v>0</v>
      </c>
      <c r="Q86">
        <f>IF(AND(Excellent!I29="Pass",Excellent!Q29="Pass",Excellent!Y29="Pass"),-1,0)</f>
        <v>0</v>
      </c>
      <c r="Z86" s="254">
        <f>Games!D100</f>
        <v>0</v>
      </c>
      <c r="AA86" s="113">
        <f>IF(AND(Games!N100=2,Games!S100=3),TrialDateDay2,1)</f>
        <v>1</v>
      </c>
      <c r="AB86" s="113">
        <f>IF(AND(Games!U100=2,Games!Z100=3),TrialDateDay2,1)</f>
        <v>1</v>
      </c>
      <c r="AC86" s="113">
        <f>IF(AND(Games!AB100=2,Games!AG100=3),TrialDateDay2,1)</f>
        <v>1</v>
      </c>
      <c r="AD86" s="113">
        <f>IF(AND(Games!AI100=2,Games!AN100=3),TrialDateDay2,1)</f>
        <v>1</v>
      </c>
    </row>
    <row r="87" spans="1:30" x14ac:dyDescent="0.25">
      <c r="A87">
        <f t="shared" si="4"/>
        <v>0</v>
      </c>
      <c r="B87" t="s">
        <v>17</v>
      </c>
      <c r="C87">
        <f>Started!C30</f>
        <v>0</v>
      </c>
      <c r="D87">
        <f>IF(Started!Y30="Pass",Started!W30,0)</f>
        <v>0</v>
      </c>
      <c r="E87" s="2" t="str">
        <f>IF(Started!B30="W","W","A")</f>
        <v>A</v>
      </c>
      <c r="F87" s="2" t="e">
        <f>VLOOKUP(JudgeD1ESS,Judges!$A$2:$B$44,2,FALSE)</f>
        <v>#N/A</v>
      </c>
      <c r="G87" t="str">
        <f>Started!Y30</f>
        <v/>
      </c>
      <c r="H87" s="113" t="str">
        <f t="shared" si="3"/>
        <v/>
      </c>
      <c r="L87">
        <f>Advanced!C30</f>
        <v>0</v>
      </c>
      <c r="M87">
        <f>IF(AND(Advanced!AQ30=1, Advanced!AM30=0),Advanced!AD30,0)</f>
        <v>0</v>
      </c>
      <c r="N87">
        <f>IF(AND(Advanced!I30="Pass",Advanced!Q30="Pass",Advanced!Y30="Pass"),-1,0)</f>
        <v>0</v>
      </c>
      <c r="O87">
        <f>Excellent!C30</f>
        <v>0</v>
      </c>
      <c r="P87">
        <f>IF(AND(Excellent!AQ30=1, Excellent!AM30=0),Excellent!AD30,0)</f>
        <v>0</v>
      </c>
      <c r="Q87">
        <f>IF(AND(Excellent!I30="Pass",Excellent!Q30="Pass",Excellent!Y30="Pass"),-1,0)</f>
        <v>0</v>
      </c>
      <c r="Z87" s="254">
        <f>Games!D101</f>
        <v>0</v>
      </c>
      <c r="AA87" s="113">
        <f>IF(AND(Games!N101=2,Games!S101=3),TrialDateDay2,1)</f>
        <v>1</v>
      </c>
      <c r="AB87" s="113">
        <f>IF(AND(Games!U101=2,Games!Z101=3),TrialDateDay2,1)</f>
        <v>1</v>
      </c>
      <c r="AC87" s="113">
        <f>IF(AND(Games!AB101=2,Games!AG101=3),TrialDateDay2,1)</f>
        <v>1</v>
      </c>
      <c r="AD87" s="113">
        <f>IF(AND(Games!AI101=2,Games!AN101=3),TrialDateDay2,1)</f>
        <v>1</v>
      </c>
    </row>
    <row r="88" spans="1:30" x14ac:dyDescent="0.25">
      <c r="A88">
        <f t="shared" si="4"/>
        <v>0</v>
      </c>
      <c r="B88" t="s">
        <v>17</v>
      </c>
      <c r="C88">
        <f>Started!C31</f>
        <v>0</v>
      </c>
      <c r="D88">
        <f>IF(Started!Y31="Pass",Started!W31,0)</f>
        <v>0</v>
      </c>
      <c r="E88" s="2" t="str">
        <f>IF(Started!B31="W","W","A")</f>
        <v>A</v>
      </c>
      <c r="F88" s="2" t="e">
        <f>VLOOKUP(JudgeD1ESS,Judges!$A$2:$B$44,2,FALSE)</f>
        <v>#N/A</v>
      </c>
      <c r="G88" t="str">
        <f>Started!Y31</f>
        <v/>
      </c>
      <c r="H88" s="113" t="str">
        <f t="shared" si="3"/>
        <v/>
      </c>
      <c r="L88">
        <f>Advanced!C31</f>
        <v>0</v>
      </c>
      <c r="M88">
        <f>IF(AND(Advanced!AQ31=1, Advanced!AM31=0),Advanced!AD31,0)</f>
        <v>0</v>
      </c>
      <c r="N88">
        <f>IF(AND(Advanced!I31="Pass",Advanced!Q31="Pass",Advanced!Y31="Pass"),-1,0)</f>
        <v>0</v>
      </c>
      <c r="O88">
        <f>Excellent!C31</f>
        <v>0</v>
      </c>
      <c r="P88">
        <f>IF(AND(Excellent!AQ31=1, Excellent!AM31=0),Excellent!AD31,0)</f>
        <v>0</v>
      </c>
      <c r="Q88">
        <f>IF(AND(Excellent!I31="Pass",Excellent!Q31="Pass",Excellent!Y31="Pass"),-1,0)</f>
        <v>0</v>
      </c>
      <c r="Z88" s="254">
        <f>Games!D102</f>
        <v>0</v>
      </c>
      <c r="AA88" s="113">
        <f>IF(AND(Games!N102=2,Games!S102=3),TrialDateDay2,1)</f>
        <v>1</v>
      </c>
      <c r="AB88" s="113">
        <f>IF(AND(Games!U102=2,Games!Z102=3),TrialDateDay2,1)</f>
        <v>1</v>
      </c>
      <c r="AC88" s="113">
        <f>IF(AND(Games!AB102=2,Games!AG102=3),TrialDateDay2,1)</f>
        <v>1</v>
      </c>
      <c r="AD88" s="113">
        <f>IF(AND(Games!AI102=2,Games!AN102=3),TrialDateDay2,1)</f>
        <v>1</v>
      </c>
    </row>
    <row r="89" spans="1:30" x14ac:dyDescent="0.25">
      <c r="A89">
        <f t="shared" si="4"/>
        <v>0</v>
      </c>
      <c r="B89" t="s">
        <v>17</v>
      </c>
      <c r="C89">
        <f>Started!C32</f>
        <v>0</v>
      </c>
      <c r="D89">
        <f>IF(Started!Y32="Pass",Started!W32,0)</f>
        <v>0</v>
      </c>
      <c r="E89" s="2" t="str">
        <f>IF(Started!B32="W","W","A")</f>
        <v>A</v>
      </c>
      <c r="F89" s="2" t="e">
        <f>VLOOKUP(JudgeD1ESS,Judges!$A$2:$B$44,2,FALSE)</f>
        <v>#N/A</v>
      </c>
      <c r="G89" t="str">
        <f>Started!Y32</f>
        <v/>
      </c>
      <c r="H89" s="113" t="str">
        <f t="shared" si="3"/>
        <v/>
      </c>
      <c r="L89">
        <f>Advanced!C32</f>
        <v>0</v>
      </c>
      <c r="M89">
        <f>IF(AND(Advanced!AQ32=1, Advanced!AM32=0),Advanced!AD32,0)</f>
        <v>0</v>
      </c>
      <c r="N89">
        <f>IF(AND(Advanced!I32="Pass",Advanced!Q32="Pass",Advanced!Y32="Pass"),-1,0)</f>
        <v>0</v>
      </c>
      <c r="O89">
        <f>Excellent!C32</f>
        <v>0</v>
      </c>
      <c r="P89">
        <f>IF(AND(Excellent!AQ32=1, Excellent!AM32=0),Excellent!AD32,0)</f>
        <v>0</v>
      </c>
      <c r="Q89">
        <f>IF(AND(Excellent!I32="Pass",Excellent!Q32="Pass",Excellent!Y32="Pass"),-1,0)</f>
        <v>0</v>
      </c>
      <c r="Z89" s="254">
        <f>Games!D103</f>
        <v>0</v>
      </c>
      <c r="AA89" s="113">
        <f>IF(AND(Games!N103=2,Games!S103=3),TrialDateDay2,1)</f>
        <v>1</v>
      </c>
      <c r="AB89" s="113">
        <f>IF(AND(Games!U103=2,Games!Z103=3),TrialDateDay2,1)</f>
        <v>1</v>
      </c>
      <c r="AC89" s="113">
        <f>IF(AND(Games!AB103=2,Games!AG103=3),TrialDateDay2,1)</f>
        <v>1</v>
      </c>
      <c r="AD89" s="113">
        <f>IF(AND(Games!AI103=2,Games!AN103=3),TrialDateDay2,1)</f>
        <v>1</v>
      </c>
    </row>
    <row r="90" spans="1:30" x14ac:dyDescent="0.25">
      <c r="A90">
        <f t="shared" si="4"/>
        <v>0</v>
      </c>
      <c r="B90" t="s">
        <v>17</v>
      </c>
      <c r="C90">
        <f>Started!C33</f>
        <v>0</v>
      </c>
      <c r="D90">
        <f>IF(Started!Y33="Pass",Started!W33,0)</f>
        <v>0</v>
      </c>
      <c r="E90" s="2" t="str">
        <f>IF(Started!B33="W","W","A")</f>
        <v>A</v>
      </c>
      <c r="F90" s="2" t="e">
        <f>VLOOKUP(JudgeD1ESS,Judges!$A$2:$B$44,2,FALSE)</f>
        <v>#N/A</v>
      </c>
      <c r="G90" t="str">
        <f>Started!Y33</f>
        <v/>
      </c>
      <c r="H90" s="113" t="str">
        <f t="shared" si="3"/>
        <v/>
      </c>
      <c r="L90">
        <f>Advanced!C33</f>
        <v>0</v>
      </c>
      <c r="M90">
        <f>IF(AND(Advanced!AQ33=1, Advanced!AM33=0),Advanced!AD33,0)</f>
        <v>0</v>
      </c>
      <c r="N90">
        <f>IF(AND(Advanced!I33="Pass",Advanced!Q33="Pass",Advanced!Y33="Pass"),-1,0)</f>
        <v>0</v>
      </c>
      <c r="O90">
        <f>Excellent!C33</f>
        <v>0</v>
      </c>
      <c r="P90">
        <f>IF(AND(Excellent!AQ33=1, Excellent!AM33=0),Excellent!AD33,0)</f>
        <v>0</v>
      </c>
      <c r="Q90">
        <f>IF(AND(Excellent!I33="Pass",Excellent!Q33="Pass",Excellent!Y33="Pass"),-1,0)</f>
        <v>0</v>
      </c>
      <c r="Z90" s="254">
        <f>Games!D104</f>
        <v>0</v>
      </c>
      <c r="AA90" s="113">
        <f>IF(AND(Games!N104=2,Games!S104=3),TrialDateDay2,1)</f>
        <v>1</v>
      </c>
      <c r="AB90" s="113">
        <f>IF(AND(Games!U104=2,Games!Z104=3),TrialDateDay2,1)</f>
        <v>1</v>
      </c>
      <c r="AC90" s="113">
        <f>IF(AND(Games!AB104=2,Games!AG104=3),TrialDateDay2,1)</f>
        <v>1</v>
      </c>
      <c r="AD90" s="113">
        <f>IF(AND(Games!AI104=2,Games!AN104=3),TrialDateDay2,1)</f>
        <v>1</v>
      </c>
    </row>
    <row r="91" spans="1:30" x14ac:dyDescent="0.25">
      <c r="A91">
        <f t="shared" si="4"/>
        <v>0</v>
      </c>
      <c r="B91" t="s">
        <v>17</v>
      </c>
      <c r="C91">
        <f>Started!C34</f>
        <v>0</v>
      </c>
      <c r="D91">
        <f>IF(Started!Y34="Pass",Started!W34,0)</f>
        <v>0</v>
      </c>
      <c r="E91" s="2" t="str">
        <f>IF(Started!B34="W","W","A")</f>
        <v>A</v>
      </c>
      <c r="F91" s="2" t="e">
        <f>VLOOKUP(JudgeD1ESS,Judges!$A$2:$B$44,2,FALSE)</f>
        <v>#N/A</v>
      </c>
      <c r="G91" t="str">
        <f>Started!Y34</f>
        <v/>
      </c>
      <c r="H91" s="113" t="str">
        <f t="shared" si="3"/>
        <v/>
      </c>
      <c r="L91">
        <f>Advanced!C34</f>
        <v>0</v>
      </c>
      <c r="M91">
        <f>IF(AND(Advanced!AQ34=1, Advanced!AM34=0),Advanced!AD34,0)</f>
        <v>0</v>
      </c>
      <c r="N91">
        <f>IF(AND(Advanced!I34="Pass",Advanced!Q34="Pass",Advanced!Y34="Pass"),-1,0)</f>
        <v>0</v>
      </c>
      <c r="O91">
        <f>Excellent!C34</f>
        <v>0</v>
      </c>
      <c r="P91">
        <f>IF(AND(Excellent!AQ34=1, Excellent!AM34=0),Excellent!AD34,0)</f>
        <v>0</v>
      </c>
      <c r="Q91">
        <f>IF(AND(Excellent!I34="Pass",Excellent!Q34="Pass",Excellent!Y34="Pass"),-1,0)</f>
        <v>0</v>
      </c>
      <c r="Z91" s="254">
        <f>Games!D105</f>
        <v>0</v>
      </c>
      <c r="AA91" s="113">
        <f>IF(AND(Games!N105=2,Games!S105=3),TrialDateDay2,1)</f>
        <v>1</v>
      </c>
      <c r="AB91" s="113">
        <f>IF(AND(Games!U105=2,Games!Z105=3),TrialDateDay2,1)</f>
        <v>1</v>
      </c>
      <c r="AC91" s="113">
        <f>IF(AND(Games!AB105=2,Games!AG105=3),TrialDateDay2,1)</f>
        <v>1</v>
      </c>
      <c r="AD91" s="113">
        <f>IF(AND(Games!AI105=2,Games!AN105=3),TrialDateDay2,1)</f>
        <v>1</v>
      </c>
    </row>
    <row r="92" spans="1:30" x14ac:dyDescent="0.25">
      <c r="A92">
        <f t="shared" si="4"/>
        <v>0</v>
      </c>
      <c r="B92" t="s">
        <v>18</v>
      </c>
      <c r="C92">
        <f>Advanced!C5</f>
        <v>0</v>
      </c>
      <c r="D92">
        <f>IF(Advanced!I5="Pass",Advanced!G5,0)</f>
        <v>0</v>
      </c>
      <c r="E92" s="2" t="str">
        <f>IF(Advanced!B5="W","W","A")</f>
        <v>A</v>
      </c>
      <c r="F92" s="2" t="e">
        <f>VLOOKUP(JudgeD1CSA,Judges!$A$2:$B$44,2,FALSE)</f>
        <v>#N/A</v>
      </c>
      <c r="G92" t="str">
        <f>Advanced!I5</f>
        <v/>
      </c>
      <c r="H92" s="113" t="str">
        <f t="shared" si="3"/>
        <v/>
      </c>
      <c r="L92">
        <f>Advanced!C35</f>
        <v>0</v>
      </c>
      <c r="M92">
        <f>IF(AND(Advanced!AQ35=1, Advanced!AM35=0),Advanced!AD35,0)</f>
        <v>0</v>
      </c>
      <c r="N92">
        <f>IF(AND(Advanced!I35="Pass",Advanced!Q35="Pass",Advanced!Y35="Pass"),-1,0)</f>
        <v>0</v>
      </c>
      <c r="O92">
        <f>Excellent!C35</f>
        <v>0</v>
      </c>
      <c r="P92">
        <f>IF(AND(Excellent!AQ35=1, Excellent!AM35=0),Excellent!AD35,0)</f>
        <v>0</v>
      </c>
      <c r="Q92">
        <f>IF(AND(Excellent!I35="Pass",Excellent!Q35="Pass",Excellent!Y35="Pass"),-1,0)</f>
        <v>0</v>
      </c>
      <c r="Z92" s="254">
        <f>Games!D106</f>
        <v>0</v>
      </c>
      <c r="AA92" s="113">
        <f>IF(AND(Games!N106=2,Games!S106=3),TrialDateDay2,1)</f>
        <v>1</v>
      </c>
      <c r="AB92" s="113">
        <f>IF(AND(Games!U106=2,Games!Z106=3),TrialDateDay2,1)</f>
        <v>1</v>
      </c>
      <c r="AC92" s="113">
        <f>IF(AND(Games!AB106=2,Games!AG106=3),TrialDateDay2,1)</f>
        <v>1</v>
      </c>
      <c r="AD92" s="113">
        <f>IF(AND(Games!AI106=2,Games!AN106=3),TrialDateDay2,1)</f>
        <v>1</v>
      </c>
    </row>
    <row r="93" spans="1:30" x14ac:dyDescent="0.25">
      <c r="A93">
        <f t="shared" si="4"/>
        <v>0</v>
      </c>
      <c r="B93" t="s">
        <v>18</v>
      </c>
      <c r="C93">
        <f>Advanced!C6</f>
        <v>0</v>
      </c>
      <c r="D93">
        <f>IF(Advanced!I6="Pass",Advanced!G6,0)</f>
        <v>0</v>
      </c>
      <c r="E93" s="2" t="str">
        <f>IF(Advanced!B6="W","W","A")</f>
        <v>A</v>
      </c>
      <c r="F93" s="2" t="e">
        <f>VLOOKUP(JudgeD1CSA,Judges!$A$2:$B$44,2,FALSE)</f>
        <v>#N/A</v>
      </c>
      <c r="G93" t="str">
        <f>Advanced!I6</f>
        <v/>
      </c>
      <c r="H93" s="113" t="str">
        <f t="shared" si="3"/>
        <v/>
      </c>
      <c r="L93">
        <f>Advanced!C36</f>
        <v>0</v>
      </c>
      <c r="M93">
        <f>IF(AND(Advanced!AQ36=1, Advanced!AM36=0),Advanced!AD36,0)</f>
        <v>0</v>
      </c>
      <c r="N93">
        <f>IF(AND(Advanced!I36="Pass",Advanced!Q36="Pass",Advanced!Y36="Pass"),-1,0)</f>
        <v>0</v>
      </c>
      <c r="O93">
        <f>Excellent!C36</f>
        <v>0</v>
      </c>
      <c r="P93">
        <f>IF(AND(Excellent!AQ36=1, Excellent!AM36=0),Excellent!AD36,0)</f>
        <v>0</v>
      </c>
      <c r="Q93">
        <f>IF(AND(Excellent!I36="Pass",Excellent!Q36="Pass",Excellent!Y36="Pass"),-1,0)</f>
        <v>0</v>
      </c>
      <c r="Z93" s="254">
        <f>Games!D107</f>
        <v>0</v>
      </c>
      <c r="AA93" s="113">
        <f>IF(AND(Games!N107=2,Games!S107=3),TrialDateDay2,1)</f>
        <v>1</v>
      </c>
      <c r="AB93" s="113">
        <f>IF(AND(Games!U107=2,Games!Z107=3),TrialDateDay2,1)</f>
        <v>1</v>
      </c>
      <c r="AC93" s="113">
        <f>IF(AND(Games!AB107=2,Games!AG107=3),TrialDateDay2,1)</f>
        <v>1</v>
      </c>
      <c r="AD93" s="113">
        <f>IF(AND(Games!AI107=2,Games!AN107=3),TrialDateDay2,1)</f>
        <v>1</v>
      </c>
    </row>
    <row r="94" spans="1:30" x14ac:dyDescent="0.25">
      <c r="A94">
        <f t="shared" si="4"/>
        <v>0</v>
      </c>
      <c r="B94" t="s">
        <v>18</v>
      </c>
      <c r="C94">
        <f>Advanced!C7</f>
        <v>0</v>
      </c>
      <c r="D94">
        <f>IF(Advanced!I7="Pass",Advanced!G7,0)</f>
        <v>0</v>
      </c>
      <c r="E94" s="2" t="str">
        <f>IF(Advanced!B7="W","W","A")</f>
        <v>A</v>
      </c>
      <c r="F94" s="2" t="e">
        <f>VLOOKUP(JudgeD1CSA,Judges!$A$2:$B$44,2,FALSE)</f>
        <v>#N/A</v>
      </c>
      <c r="G94" t="str">
        <f>Advanced!I7</f>
        <v/>
      </c>
      <c r="H94" s="113" t="str">
        <f t="shared" ref="H94:H111" si="5">TrialDate</f>
        <v/>
      </c>
      <c r="L94">
        <f>Advanced!C37</f>
        <v>0</v>
      </c>
      <c r="M94">
        <f>IF(AND(Advanced!AQ37=1, Advanced!AM37=0),Advanced!AD37,0)</f>
        <v>0</v>
      </c>
      <c r="N94">
        <f>IF(AND(Advanced!I37="Pass",Advanced!Q37="Pass",Advanced!Y37="Pass"),-1,0)</f>
        <v>0</v>
      </c>
      <c r="O94">
        <f>Excellent!C37</f>
        <v>0</v>
      </c>
      <c r="P94">
        <f>IF(AND(Excellent!AQ37=1, Excellent!AM37=0),Excellent!AD37,0)</f>
        <v>0</v>
      </c>
      <c r="Q94">
        <f>IF(AND(Excellent!I37="Pass",Excellent!Q37="Pass",Excellent!Y37="Pass"),-1,0)</f>
        <v>0</v>
      </c>
      <c r="Z94" s="254">
        <f>Games!D108</f>
        <v>0</v>
      </c>
      <c r="AA94" s="113">
        <f>IF(AND(Games!N108=2,Games!S108=3),TrialDateDay2,1)</f>
        <v>1</v>
      </c>
      <c r="AB94" s="113">
        <f>IF(AND(Games!U108=2,Games!Z108=3),TrialDateDay2,1)</f>
        <v>1</v>
      </c>
      <c r="AC94" s="113">
        <f>IF(AND(Games!AB108=2,Games!AG108=3),TrialDateDay2,1)</f>
        <v>1</v>
      </c>
      <c r="AD94" s="113">
        <f>IF(AND(Games!AI108=2,Games!AN108=3),TrialDateDay2,1)</f>
        <v>1</v>
      </c>
    </row>
    <row r="95" spans="1:30" x14ac:dyDescent="0.25">
      <c r="A95">
        <f t="shared" si="4"/>
        <v>0</v>
      </c>
      <c r="B95" t="s">
        <v>18</v>
      </c>
      <c r="C95">
        <f>Advanced!C8</f>
        <v>0</v>
      </c>
      <c r="D95">
        <f>IF(Advanced!I8="Pass",Advanced!G8,0)</f>
        <v>0</v>
      </c>
      <c r="E95" s="2" t="str">
        <f>IF(Advanced!B8="W","W","A")</f>
        <v>A</v>
      </c>
      <c r="F95" s="2" t="e">
        <f>VLOOKUP(JudgeD1CSA,Judges!$A$2:$B$44,2,FALSE)</f>
        <v>#N/A</v>
      </c>
      <c r="G95" t="str">
        <f>Advanced!I8</f>
        <v/>
      </c>
      <c r="H95" s="113" t="str">
        <f t="shared" si="5"/>
        <v/>
      </c>
      <c r="L95">
        <f>Advanced!C38</f>
        <v>0</v>
      </c>
      <c r="M95">
        <f>IF(AND(Advanced!AQ38=1, Advanced!AM38=0),Advanced!AD38,0)</f>
        <v>0</v>
      </c>
      <c r="N95">
        <f>IF(AND(Advanced!I38="Pass",Advanced!Q38="Pass",Advanced!Y38="Pass"),-1,0)</f>
        <v>0</v>
      </c>
      <c r="O95">
        <f>Excellent!C38</f>
        <v>0</v>
      </c>
      <c r="P95">
        <f>IF(AND(Excellent!AQ38=1, Excellent!AM38=0),Excellent!AD38,0)</f>
        <v>0</v>
      </c>
      <c r="Q95">
        <f>IF(AND(Excellent!I38="Pass",Excellent!Q38="Pass",Excellent!Y38="Pass"),-1,0)</f>
        <v>0</v>
      </c>
      <c r="Z95" s="254">
        <f>Games!D109</f>
        <v>0</v>
      </c>
      <c r="AA95" s="113">
        <f>IF(AND(Games!N109=2,Games!S109=3),TrialDateDay2,1)</f>
        <v>1</v>
      </c>
      <c r="AB95" s="113">
        <f>IF(AND(Games!U109=2,Games!Z109=3),TrialDateDay2,1)</f>
        <v>1</v>
      </c>
      <c r="AC95" s="113">
        <f>IF(AND(Games!AB109=2,Games!AG109=3),TrialDateDay2,1)</f>
        <v>1</v>
      </c>
      <c r="AD95" s="113">
        <f>IF(AND(Games!AI109=2,Games!AN109=3),TrialDateDay2,1)</f>
        <v>1</v>
      </c>
    </row>
    <row r="96" spans="1:30" x14ac:dyDescent="0.25">
      <c r="A96">
        <f t="shared" si="4"/>
        <v>0</v>
      </c>
      <c r="B96" t="s">
        <v>18</v>
      </c>
      <c r="C96">
        <f>Advanced!C9</f>
        <v>0</v>
      </c>
      <c r="D96">
        <f>IF(Advanced!I9="Pass",Advanced!G9,0)</f>
        <v>0</v>
      </c>
      <c r="E96" s="2" t="str">
        <f>IF(Advanced!B9="W","W","A")</f>
        <v>A</v>
      </c>
      <c r="F96" s="2" t="e">
        <f>VLOOKUP(JudgeD1CSA,Judges!$A$2:$B$44,2,FALSE)</f>
        <v>#N/A</v>
      </c>
      <c r="G96" t="str">
        <f>Advanced!I9</f>
        <v/>
      </c>
      <c r="H96" s="113" t="str">
        <f t="shared" si="5"/>
        <v/>
      </c>
      <c r="L96">
        <f>Advanced!C39</f>
        <v>0</v>
      </c>
      <c r="M96">
        <f>IF(AND(Advanced!AQ39=1, Advanced!AM39=0),Advanced!AD39,0)</f>
        <v>0</v>
      </c>
      <c r="N96">
        <f>IF(AND(Advanced!I39="Pass",Advanced!Q39="Pass",Advanced!Y39="Pass"),-1,0)</f>
        <v>0</v>
      </c>
      <c r="O96">
        <f>Excellent!C39</f>
        <v>0</v>
      </c>
      <c r="P96">
        <f>IF(AND(Excellent!AQ39=1, Excellent!AM39=0),Excellent!AD39,0)</f>
        <v>0</v>
      </c>
      <c r="Q96">
        <f>IF(AND(Excellent!I39="Pass",Excellent!Q39="Pass",Excellent!Y39="Pass"),-1,0)</f>
        <v>0</v>
      </c>
      <c r="Z96" s="254">
        <f>Games!D110</f>
        <v>0</v>
      </c>
      <c r="AA96" s="113">
        <f>IF(AND(Games!N110=2,Games!S110=3),TrialDateDay2,1)</f>
        <v>1</v>
      </c>
      <c r="AB96" s="113">
        <f>IF(AND(Games!U110=2,Games!Z110=3),TrialDateDay2,1)</f>
        <v>1</v>
      </c>
      <c r="AC96" s="113">
        <f>IF(AND(Games!AB110=2,Games!AG110=3),TrialDateDay2,1)</f>
        <v>1</v>
      </c>
      <c r="AD96" s="113">
        <f>IF(AND(Games!AI110=2,Games!AN110=3),TrialDateDay2,1)</f>
        <v>1</v>
      </c>
    </row>
    <row r="97" spans="1:30" x14ac:dyDescent="0.25">
      <c r="A97">
        <f t="shared" si="4"/>
        <v>0</v>
      </c>
      <c r="B97" t="s">
        <v>18</v>
      </c>
      <c r="C97">
        <f>Advanced!C10</f>
        <v>0</v>
      </c>
      <c r="D97">
        <f>IF(Advanced!I10="Pass",Advanced!G10,0)</f>
        <v>0</v>
      </c>
      <c r="E97" s="2" t="str">
        <f>IF(Advanced!B10="W","W","A")</f>
        <v>A</v>
      </c>
      <c r="F97" s="2" t="e">
        <f>VLOOKUP(JudgeD1CSA,Judges!$A$2:$B$44,2,FALSE)</f>
        <v>#N/A</v>
      </c>
      <c r="G97" t="str">
        <f>Advanced!I10</f>
        <v/>
      </c>
      <c r="H97" s="113" t="str">
        <f t="shared" si="5"/>
        <v/>
      </c>
      <c r="L97">
        <f>Advanced!C40</f>
        <v>0</v>
      </c>
      <c r="M97">
        <f>IF(AND(Advanced!AQ40=1, Advanced!AM40=0),Advanced!AD40,0)</f>
        <v>0</v>
      </c>
      <c r="N97">
        <f>IF(AND(Advanced!I40="Pass",Advanced!Q40="Pass",Advanced!Y40="Pass"),-1,0)</f>
        <v>0</v>
      </c>
      <c r="O97">
        <f>Excellent!C40</f>
        <v>0</v>
      </c>
      <c r="P97">
        <f>IF(AND(Excellent!AQ40=1, Excellent!AM40=0),Excellent!AD40,0)</f>
        <v>0</v>
      </c>
      <c r="Q97">
        <f>IF(AND(Excellent!I40="Pass",Excellent!Q40="Pass",Excellent!Y40="Pass"),-1,0)</f>
        <v>0</v>
      </c>
      <c r="Z97" s="254">
        <f>Games!D111</f>
        <v>0</v>
      </c>
      <c r="AA97" s="113">
        <f>IF(AND(Games!N111=2,Games!S111=3),TrialDateDay2,1)</f>
        <v>1</v>
      </c>
      <c r="AB97" s="113">
        <f>IF(AND(Games!U111=2,Games!Z111=3),TrialDateDay2,1)</f>
        <v>1</v>
      </c>
      <c r="AC97" s="113">
        <f>IF(AND(Games!AB111=2,Games!AG111=3),TrialDateDay2,1)</f>
        <v>1</v>
      </c>
      <c r="AD97" s="113">
        <f>IF(AND(Games!AI111=2,Games!AN111=3),TrialDateDay2,1)</f>
        <v>1</v>
      </c>
    </row>
    <row r="98" spans="1:30" x14ac:dyDescent="0.25">
      <c r="A98">
        <f t="shared" si="4"/>
        <v>0</v>
      </c>
      <c r="B98" t="s">
        <v>18</v>
      </c>
      <c r="C98">
        <f>Advanced!C11</f>
        <v>0</v>
      </c>
      <c r="D98">
        <f>IF(Advanced!I11="Pass",Advanced!G11,0)</f>
        <v>0</v>
      </c>
      <c r="E98" s="2" t="str">
        <f>IF(Advanced!B11="W","W","A")</f>
        <v>A</v>
      </c>
      <c r="F98" s="2" t="e">
        <f>VLOOKUP(JudgeD1CSA,Judges!$A$2:$B$44,2,FALSE)</f>
        <v>#N/A</v>
      </c>
      <c r="G98" t="str">
        <f>Advanced!I11</f>
        <v/>
      </c>
      <c r="H98" s="113" t="str">
        <f t="shared" si="5"/>
        <v/>
      </c>
      <c r="L98">
        <f>Advanced!C41</f>
        <v>0</v>
      </c>
      <c r="M98">
        <f>IF(AND(Advanced!AQ41=1, Advanced!AM41=0),Advanced!AD41,0)</f>
        <v>0</v>
      </c>
      <c r="N98">
        <f>IF(AND(Advanced!I41="Pass",Advanced!Q41="Pass",Advanced!Y41="Pass"),-1,0)</f>
        <v>0</v>
      </c>
      <c r="O98">
        <f>Excellent!C41</f>
        <v>0</v>
      </c>
      <c r="P98">
        <f>IF(AND(Excellent!AQ41=1, Excellent!AM41=0),Excellent!AD41,0)</f>
        <v>0</v>
      </c>
      <c r="Q98">
        <f>IF(AND(Excellent!I41="Pass",Excellent!Q41="Pass",Excellent!Y41="Pass"),-1,0)</f>
        <v>0</v>
      </c>
      <c r="Z98" s="254">
        <f>Games!D112</f>
        <v>0</v>
      </c>
      <c r="AA98" s="113">
        <f>IF(AND(Games!N112=2,Games!S112=3),TrialDateDay2,1)</f>
        <v>1</v>
      </c>
      <c r="AB98" s="113">
        <f>IF(AND(Games!U112=2,Games!Z112=3),TrialDateDay2,1)</f>
        <v>1</v>
      </c>
      <c r="AC98" s="113">
        <f>IF(AND(Games!AB112=2,Games!AG112=3),TrialDateDay2,1)</f>
        <v>1</v>
      </c>
      <c r="AD98" s="113">
        <f>IF(AND(Games!AI112=2,Games!AN112=3),TrialDateDay2,1)</f>
        <v>1</v>
      </c>
    </row>
    <row r="99" spans="1:30" x14ac:dyDescent="0.25">
      <c r="A99">
        <f t="shared" si="4"/>
        <v>0</v>
      </c>
      <c r="B99" t="s">
        <v>18</v>
      </c>
      <c r="C99">
        <f>Advanced!C12</f>
        <v>0</v>
      </c>
      <c r="D99">
        <f>IF(Advanced!I12="Pass",Advanced!G12,0)</f>
        <v>0</v>
      </c>
      <c r="E99" s="2" t="str">
        <f>IF(Advanced!B12="W","W","A")</f>
        <v>A</v>
      </c>
      <c r="F99" s="2" t="e">
        <f>VLOOKUP(JudgeD1CSA,Judges!$A$2:$B$44,2,FALSE)</f>
        <v>#N/A</v>
      </c>
      <c r="G99" t="str">
        <f>Advanced!I12</f>
        <v/>
      </c>
      <c r="H99" s="113" t="str">
        <f t="shared" si="5"/>
        <v/>
      </c>
      <c r="L99">
        <f>Advanced!C42</f>
        <v>0</v>
      </c>
      <c r="M99">
        <f>IF(AND(Advanced!AQ42=1, Advanced!AM42=0),Advanced!AD42,0)</f>
        <v>0</v>
      </c>
      <c r="N99">
        <f>IF(AND(Advanced!I42="Pass",Advanced!Q42="Pass",Advanced!Y42="Pass"),-1,0)</f>
        <v>0</v>
      </c>
      <c r="O99">
        <f>Excellent!C42</f>
        <v>0</v>
      </c>
      <c r="P99">
        <f>IF(AND(Excellent!AQ42=1, Excellent!AM42=0),Excellent!AD42,0)</f>
        <v>0</v>
      </c>
      <c r="Q99">
        <f>IF(AND(Excellent!I42="Pass",Excellent!Q42="Pass",Excellent!Y42="Pass"),-1,0)</f>
        <v>0</v>
      </c>
      <c r="Z99" s="254">
        <f>Games!D113</f>
        <v>0</v>
      </c>
      <c r="AA99" s="113">
        <f>IF(AND(Games!N113=2,Games!S113=3),TrialDateDay2,1)</f>
        <v>1</v>
      </c>
      <c r="AB99" s="113">
        <f>IF(AND(Games!U113=2,Games!Z113=3),TrialDateDay2,1)</f>
        <v>1</v>
      </c>
      <c r="AC99" s="113">
        <f>IF(AND(Games!AB113=2,Games!AG113=3),TrialDateDay2,1)</f>
        <v>1</v>
      </c>
      <c r="AD99" s="113">
        <f>IF(AND(Games!AI113=2,Games!AN113=3),TrialDateDay2,1)</f>
        <v>1</v>
      </c>
    </row>
    <row r="100" spans="1:30" x14ac:dyDescent="0.25">
      <c r="A100">
        <f t="shared" si="4"/>
        <v>0</v>
      </c>
      <c r="B100" t="s">
        <v>18</v>
      </c>
      <c r="C100">
        <f>Advanced!C13</f>
        <v>0</v>
      </c>
      <c r="D100">
        <f>IF(Advanced!I13="Pass",Advanced!G13,0)</f>
        <v>0</v>
      </c>
      <c r="E100" s="2" t="str">
        <f>IF(Advanced!B13="W","W","A")</f>
        <v>A</v>
      </c>
      <c r="F100" s="2" t="e">
        <f>VLOOKUP(JudgeD1CSA,Judges!$A$2:$B$44,2,FALSE)</f>
        <v>#N/A</v>
      </c>
      <c r="G100" t="str">
        <f>Advanced!I13</f>
        <v/>
      </c>
      <c r="H100" s="113" t="str">
        <f t="shared" si="5"/>
        <v/>
      </c>
      <c r="L100">
        <f>Advanced!C43</f>
        <v>0</v>
      </c>
      <c r="M100">
        <f>IF(AND(Advanced!AQ43=1, Advanced!AM43=0),Advanced!AD43,0)</f>
        <v>0</v>
      </c>
      <c r="N100">
        <f>IF(AND(Advanced!I43="Pass",Advanced!Q43="Pass",Advanced!Y43="Pass"),-1,0)</f>
        <v>0</v>
      </c>
      <c r="O100">
        <f>Excellent!C43</f>
        <v>0</v>
      </c>
      <c r="P100">
        <f>IF(AND(Excellent!AQ43=1, Excellent!AM43=0),Excellent!AD43,0)</f>
        <v>0</v>
      </c>
      <c r="Q100">
        <f>IF(AND(Excellent!I43="Pass",Excellent!Q43="Pass",Excellent!Y43="Pass"),-1,0)</f>
        <v>0</v>
      </c>
      <c r="Z100" s="254">
        <f>Games!D114</f>
        <v>0</v>
      </c>
      <c r="AA100" s="113">
        <f>IF(AND(Games!N114=2,Games!S114=3),TrialDateDay2,1)</f>
        <v>1</v>
      </c>
      <c r="AB100" s="113">
        <f>IF(AND(Games!U114=2,Games!Z114=3),TrialDateDay2,1)</f>
        <v>1</v>
      </c>
      <c r="AC100" s="113">
        <f>IF(AND(Games!AB114=2,Games!AG114=3),TrialDateDay2,1)</f>
        <v>1</v>
      </c>
      <c r="AD100" s="113">
        <f>IF(AND(Games!AI114=2,Games!AN114=3),TrialDateDay2,1)</f>
        <v>1</v>
      </c>
    </row>
    <row r="101" spans="1:30" x14ac:dyDescent="0.25">
      <c r="A101">
        <f t="shared" si="4"/>
        <v>0</v>
      </c>
      <c r="B101" t="s">
        <v>18</v>
      </c>
      <c r="C101">
        <f>Advanced!C14</f>
        <v>0</v>
      </c>
      <c r="D101">
        <f>IF(Advanced!I14="Pass",Advanced!G14,0)</f>
        <v>0</v>
      </c>
      <c r="E101" s="2" t="str">
        <f>IF(Advanced!B14="W","W","A")</f>
        <v>A</v>
      </c>
      <c r="F101" s="2" t="e">
        <f>VLOOKUP(JudgeD1CSA,Judges!$A$2:$B$44,2,FALSE)</f>
        <v>#N/A</v>
      </c>
      <c r="G101" t="str">
        <f>Advanced!I14</f>
        <v/>
      </c>
      <c r="H101" s="113" t="str">
        <f t="shared" si="5"/>
        <v/>
      </c>
      <c r="L101">
        <f>Advanced!C44</f>
        <v>0</v>
      </c>
      <c r="M101">
        <f>IF(AND(Advanced!AQ44=1, Advanced!AM44=0),Advanced!AD44,0)</f>
        <v>0</v>
      </c>
      <c r="N101">
        <f>IF(AND(Advanced!I44="Pass",Advanced!Q44="Pass",Advanced!Y44="Pass"),-1,0)</f>
        <v>0</v>
      </c>
      <c r="O101">
        <f>Excellent!C44</f>
        <v>0</v>
      </c>
      <c r="P101">
        <f>IF(AND(Excellent!AQ44=1, Excellent!AM44=0),Excellent!AD44,0)</f>
        <v>0</v>
      </c>
      <c r="Q101">
        <f>IF(AND(Excellent!I44="Pass",Excellent!Q44="Pass",Excellent!Y44="Pass"),-1,0)</f>
        <v>0</v>
      </c>
      <c r="Z101" s="254">
        <f>Games!D115</f>
        <v>0</v>
      </c>
      <c r="AA101" s="113">
        <f>IF(AND(Games!N115=2,Games!S115=3),TrialDateDay2,1)</f>
        <v>1</v>
      </c>
      <c r="AB101" s="113">
        <f>IF(AND(Games!U115=2,Games!Z115=3),TrialDateDay2,1)</f>
        <v>1</v>
      </c>
      <c r="AC101" s="113">
        <f>IF(AND(Games!AB115=2,Games!AG115=3),TrialDateDay2,1)</f>
        <v>1</v>
      </c>
      <c r="AD101" s="113">
        <f>IF(AND(Games!AI115=2,Games!AN115=3),TrialDateDay2,1)</f>
        <v>1</v>
      </c>
    </row>
    <row r="102" spans="1:30" x14ac:dyDescent="0.25">
      <c r="A102">
        <f t="shared" si="4"/>
        <v>0</v>
      </c>
      <c r="B102" t="s">
        <v>18</v>
      </c>
      <c r="C102">
        <f>Advanced!C15</f>
        <v>0</v>
      </c>
      <c r="D102">
        <f>IF(Advanced!I15="Pass",Advanced!G15,0)</f>
        <v>0</v>
      </c>
      <c r="E102" s="2" t="str">
        <f>IF(Advanced!B15="W","W","A")</f>
        <v>A</v>
      </c>
      <c r="F102" s="2" t="e">
        <f>VLOOKUP(JudgeD1CSA,Judges!$A$2:$B$44,2,FALSE)</f>
        <v>#N/A</v>
      </c>
      <c r="G102" t="str">
        <f>Advanced!I15</f>
        <v/>
      </c>
      <c r="H102" s="113" t="str">
        <f t="shared" si="5"/>
        <v/>
      </c>
      <c r="L102">
        <f>Advanced!C45</f>
        <v>0</v>
      </c>
      <c r="M102">
        <f>IF(AND(Advanced!AQ45=1, Advanced!AM45=0),Advanced!AD45,0)</f>
        <v>0</v>
      </c>
      <c r="N102">
        <f>IF(AND(Advanced!I45="Pass",Advanced!Q45="Pass",Advanced!Y45="Pass"),-1,0)</f>
        <v>0</v>
      </c>
      <c r="O102">
        <f>Excellent!C45</f>
        <v>0</v>
      </c>
      <c r="P102">
        <f>IF(AND(Excellent!AQ45=1, Excellent!AM45=0),Excellent!AD45,0)</f>
        <v>0</v>
      </c>
      <c r="Q102">
        <f>IF(AND(Excellent!I45="Pass",Excellent!Q45="Pass",Excellent!Y45="Pass"),-1,0)</f>
        <v>0</v>
      </c>
    </row>
    <row r="103" spans="1:30" x14ac:dyDescent="0.25">
      <c r="A103">
        <f t="shared" si="4"/>
        <v>0</v>
      </c>
      <c r="B103" t="s">
        <v>18</v>
      </c>
      <c r="C103">
        <f>Advanced!C16</f>
        <v>0</v>
      </c>
      <c r="D103">
        <f>IF(Advanced!I16="Pass",Advanced!G16,0)</f>
        <v>0</v>
      </c>
      <c r="E103" s="2" t="str">
        <f>IF(Advanced!B16="W","W","A")</f>
        <v>A</v>
      </c>
      <c r="F103" s="2" t="e">
        <f>VLOOKUP(JudgeD1CSA,Judges!$A$2:$B$44,2,FALSE)</f>
        <v>#N/A</v>
      </c>
      <c r="G103" t="str">
        <f>Advanced!I16</f>
        <v/>
      </c>
      <c r="H103" s="113" t="str">
        <f t="shared" si="5"/>
        <v/>
      </c>
      <c r="L103">
        <f>Advanced!C46</f>
        <v>0</v>
      </c>
      <c r="M103">
        <f>IF(AND(Advanced!AQ46=1, Advanced!AM46=0),Advanced!AD46,0)</f>
        <v>0</v>
      </c>
      <c r="N103">
        <f>IF(AND(Advanced!I46="Pass",Advanced!Q46="Pass",Advanced!Y46="Pass"),-1,0)</f>
        <v>0</v>
      </c>
      <c r="O103">
        <f>Excellent!C46</f>
        <v>0</v>
      </c>
      <c r="P103">
        <f>IF(AND(Excellent!AQ46=1, Excellent!AM46=0),Excellent!AD46,0)</f>
        <v>0</v>
      </c>
      <c r="Q103">
        <f>IF(AND(Excellent!I46="Pass",Excellent!Q46="Pass",Excellent!Y46="Pass"),-1,0)</f>
        <v>0</v>
      </c>
    </row>
    <row r="104" spans="1:30" x14ac:dyDescent="0.25">
      <c r="A104">
        <f t="shared" si="4"/>
        <v>0</v>
      </c>
      <c r="B104" t="s">
        <v>18</v>
      </c>
      <c r="C104">
        <f>Advanced!C17</f>
        <v>0</v>
      </c>
      <c r="D104">
        <f>IF(Advanced!I17="Pass",Advanced!G17,0)</f>
        <v>0</v>
      </c>
      <c r="E104" s="2" t="str">
        <f>IF(Advanced!B17="W","W","A")</f>
        <v>A</v>
      </c>
      <c r="F104" s="2" t="e">
        <f>VLOOKUP(JudgeD1CSA,Judges!$A$2:$B$44,2,FALSE)</f>
        <v>#N/A</v>
      </c>
      <c r="G104" t="str">
        <f>Advanced!I17</f>
        <v/>
      </c>
      <c r="H104" s="113" t="str">
        <f t="shared" si="5"/>
        <v/>
      </c>
      <c r="L104">
        <f>Advanced!C47</f>
        <v>0</v>
      </c>
      <c r="M104">
        <f>IF(AND(Advanced!AQ47=1, Advanced!AM47=0),Advanced!AD47,0)</f>
        <v>0</v>
      </c>
      <c r="N104">
        <f>IF(AND(Advanced!I47="Pass",Advanced!Q47="Pass",Advanced!Y47="Pass"),-1,0)</f>
        <v>0</v>
      </c>
      <c r="O104">
        <f>Excellent!C47</f>
        <v>0</v>
      </c>
      <c r="P104">
        <f>IF(AND(Excellent!AQ47=1, Excellent!AM47=0),Excellent!AD47,0)</f>
        <v>0</v>
      </c>
      <c r="Q104">
        <f>IF(AND(Excellent!I47="Pass",Excellent!Q47="Pass",Excellent!Y47="Pass"),-1,0)</f>
        <v>0</v>
      </c>
    </row>
    <row r="105" spans="1:30" x14ac:dyDescent="0.25">
      <c r="A105">
        <f t="shared" si="4"/>
        <v>0</v>
      </c>
      <c r="B105" t="s">
        <v>18</v>
      </c>
      <c r="C105">
        <f>Advanced!C18</f>
        <v>0</v>
      </c>
      <c r="D105">
        <f>IF(Advanced!I18="Pass",Advanced!G18,0)</f>
        <v>0</v>
      </c>
      <c r="E105" s="2" t="str">
        <f>IF(Advanced!B18="W","W","A")</f>
        <v>A</v>
      </c>
      <c r="F105" s="2" t="e">
        <f>VLOOKUP(JudgeD1CSA,Judges!$A$2:$B$44,2,FALSE)</f>
        <v>#N/A</v>
      </c>
      <c r="G105" t="str">
        <f>Advanced!I18</f>
        <v/>
      </c>
      <c r="H105" s="113" t="str">
        <f t="shared" si="5"/>
        <v/>
      </c>
      <c r="L105">
        <f>Advanced!C48</f>
        <v>0</v>
      </c>
      <c r="M105">
        <f>IF(AND(Advanced!AQ48=1, Advanced!AM48=0),Advanced!AD48,0)</f>
        <v>0</v>
      </c>
      <c r="N105">
        <f>IF(AND(Advanced!I48="Pass",Advanced!Q48="Pass",Advanced!Y48="Pass"),-1,0)</f>
        <v>0</v>
      </c>
      <c r="O105">
        <f>Excellent!C48</f>
        <v>0</v>
      </c>
      <c r="P105">
        <f>IF(AND(Excellent!AQ48=1, Excellent!AM48=0),Excellent!AD48,0)</f>
        <v>0</v>
      </c>
      <c r="Q105">
        <f>IF(AND(Excellent!I48="Pass",Excellent!Q48="Pass",Excellent!Y48="Pass"),-1,0)</f>
        <v>0</v>
      </c>
    </row>
    <row r="106" spans="1:30" x14ac:dyDescent="0.25">
      <c r="A106">
        <f t="shared" si="4"/>
        <v>0</v>
      </c>
      <c r="B106" t="s">
        <v>18</v>
      </c>
      <c r="C106">
        <f>Advanced!C19</f>
        <v>0</v>
      </c>
      <c r="D106">
        <f>IF(Advanced!I19="Pass",Advanced!G19,0)</f>
        <v>0</v>
      </c>
      <c r="E106" s="2" t="str">
        <f>IF(Advanced!B19="W","W","A")</f>
        <v>A</v>
      </c>
      <c r="F106" s="2" t="e">
        <f>VLOOKUP(JudgeD1CSA,Judges!$A$2:$B$44,2,FALSE)</f>
        <v>#N/A</v>
      </c>
      <c r="G106" t="str">
        <f>Advanced!I19</f>
        <v/>
      </c>
      <c r="H106" s="113" t="str">
        <f t="shared" si="5"/>
        <v/>
      </c>
      <c r="L106">
        <f>Advanced!C49</f>
        <v>0</v>
      </c>
      <c r="M106">
        <f>IF(AND(Advanced!AQ49=1, Advanced!AM49=0),Advanced!AD49,0)</f>
        <v>0</v>
      </c>
      <c r="N106">
        <f>IF(AND(Advanced!I49="Pass",Advanced!Q49="Pass",Advanced!Y49="Pass"),-1,0)</f>
        <v>0</v>
      </c>
      <c r="O106">
        <f>Excellent!C49</f>
        <v>0</v>
      </c>
      <c r="P106">
        <f>IF(AND(Excellent!AQ49=1, Excellent!AM49=0),Excellent!AD49,0)</f>
        <v>0</v>
      </c>
      <c r="Q106">
        <f>IF(AND(Excellent!I49="Pass",Excellent!Q49="Pass",Excellent!Y49="Pass"),-1,0)</f>
        <v>0</v>
      </c>
    </row>
    <row r="107" spans="1:30" x14ac:dyDescent="0.25">
      <c r="A107">
        <f t="shared" si="4"/>
        <v>0</v>
      </c>
      <c r="B107" t="s">
        <v>18</v>
      </c>
      <c r="C107">
        <f>Advanced!C20</f>
        <v>0</v>
      </c>
      <c r="D107">
        <f>IF(Advanced!I20="Pass",Advanced!G20,0)</f>
        <v>0</v>
      </c>
      <c r="E107" s="2" t="str">
        <f>IF(Advanced!B20="W","W","A")</f>
        <v>A</v>
      </c>
      <c r="F107" s="2" t="e">
        <f>VLOOKUP(JudgeD1CSA,Judges!$A$2:$B$44,2,FALSE)</f>
        <v>#N/A</v>
      </c>
      <c r="G107" t="str">
        <f>Advanced!I20</f>
        <v/>
      </c>
      <c r="H107" s="113" t="str">
        <f t="shared" si="5"/>
        <v/>
      </c>
      <c r="L107">
        <f>Advanced!C50</f>
        <v>0</v>
      </c>
      <c r="M107">
        <f>IF(AND(Advanced!AQ50=1, Advanced!AM50=0),Advanced!AD50,0)</f>
        <v>0</v>
      </c>
      <c r="N107">
        <f>IF(AND(Advanced!I50="Pass",Advanced!Q50="Pass",Advanced!Y50="Pass"),-1,0)</f>
        <v>0</v>
      </c>
      <c r="O107">
        <f>Excellent!C50</f>
        <v>0</v>
      </c>
      <c r="P107">
        <f>IF(AND(Excellent!AQ50=1, Excellent!AM50=0),Excellent!AD50,0)</f>
        <v>0</v>
      </c>
      <c r="Q107">
        <f>IF(AND(Excellent!I50="Pass",Excellent!Q50="Pass",Excellent!Y50="Pass"),-1,0)</f>
        <v>0</v>
      </c>
    </row>
    <row r="108" spans="1:30" x14ac:dyDescent="0.25">
      <c r="A108">
        <f t="shared" si="4"/>
        <v>0</v>
      </c>
      <c r="B108" t="s">
        <v>18</v>
      </c>
      <c r="C108">
        <f>Advanced!C21</f>
        <v>0</v>
      </c>
      <c r="D108">
        <f>IF(Advanced!I21="Pass",Advanced!G21,0)</f>
        <v>0</v>
      </c>
      <c r="E108" s="2" t="str">
        <f>IF(Advanced!B21="W","W","A")</f>
        <v>A</v>
      </c>
      <c r="F108" s="2" t="e">
        <f>VLOOKUP(JudgeD1CSA,Judges!$A$2:$B$44,2,FALSE)</f>
        <v>#N/A</v>
      </c>
      <c r="G108" t="str">
        <f>Advanced!I21</f>
        <v/>
      </c>
      <c r="H108" s="113" t="str">
        <f t="shared" si="5"/>
        <v/>
      </c>
      <c r="L108">
        <f>Advanced!C51</f>
        <v>0</v>
      </c>
      <c r="M108">
        <f>IF(AND(Advanced!AQ51=1, Advanced!AM51=0),Advanced!AD51,0)</f>
        <v>0</v>
      </c>
      <c r="N108">
        <f>IF(AND(Advanced!I51="Pass",Advanced!Q51="Pass",Advanced!Y51="Pass"),-1,0)</f>
        <v>0</v>
      </c>
      <c r="O108">
        <f>Excellent!C51</f>
        <v>0</v>
      </c>
      <c r="P108">
        <f>IF(AND(Excellent!AQ51=1, Excellent!AM51=0),Excellent!AD51,0)</f>
        <v>0</v>
      </c>
      <c r="Q108">
        <f>IF(AND(Excellent!I51="Pass",Excellent!Q51="Pass",Excellent!Y51="Pass"),-1,0)</f>
        <v>0</v>
      </c>
    </row>
    <row r="109" spans="1:30" x14ac:dyDescent="0.25">
      <c r="A109">
        <f t="shared" si="4"/>
        <v>0</v>
      </c>
      <c r="B109" t="s">
        <v>18</v>
      </c>
      <c r="C109">
        <f>Advanced!C22</f>
        <v>0</v>
      </c>
      <c r="D109">
        <f>IF(Advanced!I22="Pass",Advanced!G22,0)</f>
        <v>0</v>
      </c>
      <c r="E109" s="2" t="str">
        <f>IF(Advanced!B22="W","W","A")</f>
        <v>A</v>
      </c>
      <c r="F109" s="2" t="e">
        <f>VLOOKUP(JudgeD1CSA,Judges!$A$2:$B$44,2,FALSE)</f>
        <v>#N/A</v>
      </c>
      <c r="G109" t="str">
        <f>Advanced!I22</f>
        <v/>
      </c>
      <c r="H109" s="113" t="str">
        <f t="shared" si="5"/>
        <v/>
      </c>
      <c r="L109">
        <f>Advanced!C52</f>
        <v>0</v>
      </c>
      <c r="M109">
        <f>IF(AND(Advanced!AQ52=1, Advanced!AM52=0),Advanced!AD52,0)</f>
        <v>0</v>
      </c>
      <c r="N109">
        <f>IF(AND(Advanced!I52="Pass",Advanced!Q52="Pass",Advanced!Y52="Pass"),-1,0)</f>
        <v>0</v>
      </c>
      <c r="O109">
        <f>Excellent!C52</f>
        <v>0</v>
      </c>
      <c r="P109">
        <f>IF(AND(Excellent!AQ52=1, Excellent!AM52=0),Excellent!AD52,0)</f>
        <v>0</v>
      </c>
      <c r="Q109">
        <f>IF(AND(Excellent!I52="Pass",Excellent!Q52="Pass",Excellent!Y52="Pass"),-1,0)</f>
        <v>0</v>
      </c>
    </row>
    <row r="110" spans="1:30" x14ac:dyDescent="0.25">
      <c r="A110">
        <f t="shared" si="4"/>
        <v>0</v>
      </c>
      <c r="B110" t="s">
        <v>18</v>
      </c>
      <c r="C110">
        <f>Advanced!C23</f>
        <v>0</v>
      </c>
      <c r="D110">
        <f>IF(Advanced!I23="Pass",Advanced!G23,0)</f>
        <v>0</v>
      </c>
      <c r="E110" s="2" t="str">
        <f>IF(Advanced!B23="W","W","A")</f>
        <v>A</v>
      </c>
      <c r="F110" s="2" t="e">
        <f>VLOOKUP(JudgeD1CSA,Judges!$A$2:$B$44,2,FALSE)</f>
        <v>#N/A</v>
      </c>
      <c r="G110" t="str">
        <f>Advanced!I23</f>
        <v/>
      </c>
      <c r="H110" s="113" t="str">
        <f t="shared" si="5"/>
        <v/>
      </c>
      <c r="L110">
        <f>Advanced!C53</f>
        <v>0</v>
      </c>
      <c r="M110">
        <f>IF(AND(Advanced!AQ53=1, Advanced!AM53=0),Advanced!AD53,0)</f>
        <v>0</v>
      </c>
      <c r="N110">
        <f>IF(AND(Advanced!I53="Pass",Advanced!Q53="Pass",Advanced!Y53="Pass"),-1,0)</f>
        <v>0</v>
      </c>
      <c r="O110">
        <f>Excellent!C53</f>
        <v>0</v>
      </c>
      <c r="P110">
        <f>IF(AND(Excellent!AQ53=1, Excellent!AM53=0),Excellent!AD53,0)</f>
        <v>0</v>
      </c>
      <c r="Q110">
        <f>IF(AND(Excellent!I53="Pass",Excellent!Q53="Pass",Excellent!Y53="Pass"),-1,0)</f>
        <v>0</v>
      </c>
    </row>
    <row r="111" spans="1:30" x14ac:dyDescent="0.25">
      <c r="A111">
        <f t="shared" si="4"/>
        <v>0</v>
      </c>
      <c r="B111" t="s">
        <v>18</v>
      </c>
      <c r="C111">
        <f>Advanced!C24</f>
        <v>0</v>
      </c>
      <c r="D111">
        <f>IF(Advanced!I24="Pass",Advanced!G24,0)</f>
        <v>0</v>
      </c>
      <c r="E111" s="2" t="str">
        <f>IF(Advanced!B24="W","W","A")</f>
        <v>A</v>
      </c>
      <c r="F111" s="2" t="e">
        <f>VLOOKUP(JudgeD1CSA,Judges!$A$2:$B$44,2,FALSE)</f>
        <v>#N/A</v>
      </c>
      <c r="G111" t="str">
        <f>Advanced!I24</f>
        <v/>
      </c>
      <c r="H111" s="113" t="str">
        <f t="shared" si="5"/>
        <v/>
      </c>
      <c r="L111">
        <f>Advanced!C54</f>
        <v>0</v>
      </c>
      <c r="M111">
        <f>IF(AND(Advanced!AQ54=1, Advanced!AM54=0),Advanced!AD54,0)</f>
        <v>0</v>
      </c>
      <c r="N111">
        <f>IF(AND(Advanced!I54="Pass",Advanced!Q54="Pass",Advanced!Y54="Pass"),-1,0)</f>
        <v>0</v>
      </c>
      <c r="O111">
        <f>Excellent!C54</f>
        <v>0</v>
      </c>
      <c r="P111">
        <f>IF(AND(Excellent!AQ54=1, Excellent!AM54=0),Excellent!AD54,0)</f>
        <v>0</v>
      </c>
      <c r="Q111">
        <f>IF(AND(Excellent!I54="Pass",Excellent!Q54="Pass",Excellent!Y54="Pass"),-1,0)</f>
        <v>0</v>
      </c>
    </row>
    <row r="112" spans="1:30" x14ac:dyDescent="0.25">
      <c r="A112">
        <f t="shared" si="4"/>
        <v>0</v>
      </c>
      <c r="B112" t="s">
        <v>18</v>
      </c>
      <c r="C112">
        <f>Advanced!C25</f>
        <v>0</v>
      </c>
      <c r="D112">
        <f>IF(Advanced!I25="Pass",Advanced!G25,0)</f>
        <v>0</v>
      </c>
      <c r="E112" s="2" t="str">
        <f>IF(Advanced!B25="W","W","A")</f>
        <v>A</v>
      </c>
      <c r="F112" s="2" t="e">
        <f>VLOOKUP(JudgeD1CSA,Judges!$A$2:$B$44,2,FALSE)</f>
        <v>#N/A</v>
      </c>
      <c r="G112" t="str">
        <f>Advanced!I25</f>
        <v/>
      </c>
      <c r="H112" s="113" t="str">
        <f t="shared" ref="H112:H161" si="6">TrialDateDay2</f>
        <v/>
      </c>
      <c r="L112">
        <f>Advanced!C65</f>
        <v>0</v>
      </c>
      <c r="M112">
        <f>IF(AND(Advanced!AQ65=1, Advanced!AM65=0),Advanced!AD65,0)</f>
        <v>0</v>
      </c>
      <c r="N112">
        <f>IF(AND(Advanced!I65="Pass",Advanced!Q65="Pass",Advanced!Y65="Pass"),-1,0)</f>
        <v>0</v>
      </c>
      <c r="O112">
        <f>Excellent!C65</f>
        <v>0</v>
      </c>
      <c r="P112">
        <f>IF(AND(Excellent!AQ65=1, Excellent!AM65=0),Excellent!AD65,0)</f>
        <v>0</v>
      </c>
      <c r="Q112">
        <f>IF(AND(Excellent!I65="Pass",Excellent!Q65="Pass",Excellent!Y65="Pass"),-1,0)</f>
        <v>0</v>
      </c>
    </row>
    <row r="113" spans="1:17" x14ac:dyDescent="0.25">
      <c r="A113">
        <f t="shared" si="4"/>
        <v>0</v>
      </c>
      <c r="B113" t="s">
        <v>18</v>
      </c>
      <c r="C113">
        <f>Advanced!C26</f>
        <v>0</v>
      </c>
      <c r="D113">
        <f>IF(Advanced!I26="Pass",Advanced!G26,0)</f>
        <v>0</v>
      </c>
      <c r="E113" s="2" t="str">
        <f>IF(Advanced!B26="W","W","A")</f>
        <v>A</v>
      </c>
      <c r="F113" s="2" t="e">
        <f>VLOOKUP(JudgeD1CSA,Judges!$A$2:$B$44,2,FALSE)</f>
        <v>#N/A</v>
      </c>
      <c r="G113" t="str">
        <f>Advanced!I26</f>
        <v/>
      </c>
      <c r="H113" s="113" t="str">
        <f t="shared" si="6"/>
        <v/>
      </c>
      <c r="L113">
        <f>Advanced!C66</f>
        <v>0</v>
      </c>
      <c r="M113">
        <f>IF(AND(Advanced!AQ66=1, Advanced!AM66=0),Advanced!AD66,0)</f>
        <v>0</v>
      </c>
      <c r="N113">
        <f>IF(AND(Advanced!I66="Pass",Advanced!Q66="Pass",Advanced!Y66="Pass"),-1,0)</f>
        <v>0</v>
      </c>
      <c r="O113">
        <f>Excellent!C66</f>
        <v>0</v>
      </c>
      <c r="P113">
        <f>IF(AND(Excellent!AQ66=1, Excellent!AM66=0),Excellent!AD66,0)</f>
        <v>0</v>
      </c>
      <c r="Q113">
        <f>IF(AND(Excellent!I66="Pass",Excellent!Q66="Pass",Excellent!Y66="Pass"),-1,0)</f>
        <v>0</v>
      </c>
    </row>
    <row r="114" spans="1:17" x14ac:dyDescent="0.25">
      <c r="A114">
        <f t="shared" si="4"/>
        <v>0</v>
      </c>
      <c r="B114" t="s">
        <v>18</v>
      </c>
      <c r="C114">
        <f>Advanced!C27</f>
        <v>0</v>
      </c>
      <c r="D114">
        <f>IF(Advanced!I27="Pass",Advanced!G27,0)</f>
        <v>0</v>
      </c>
      <c r="E114" s="2" t="str">
        <f>IF(Advanced!B27="W","W","A")</f>
        <v>A</v>
      </c>
      <c r="F114" s="2" t="e">
        <f>VLOOKUP(JudgeD1CSA,Judges!$A$2:$B$44,2,FALSE)</f>
        <v>#N/A</v>
      </c>
      <c r="G114" t="str">
        <f>Advanced!I27</f>
        <v/>
      </c>
      <c r="H114" s="113" t="str">
        <f t="shared" si="6"/>
        <v/>
      </c>
      <c r="L114">
        <f>Advanced!C67</f>
        <v>0</v>
      </c>
      <c r="M114">
        <f>IF(AND(Advanced!AQ67=1, Advanced!AM67=0),Advanced!AD67,0)</f>
        <v>0</v>
      </c>
      <c r="N114">
        <f>IF(AND(Advanced!I67="Pass",Advanced!Q67="Pass",Advanced!Y67="Pass"),-1,0)</f>
        <v>0</v>
      </c>
      <c r="O114">
        <f>Excellent!C67</f>
        <v>0</v>
      </c>
      <c r="P114">
        <f>IF(AND(Excellent!AQ67=1, Excellent!AM67=0),Excellent!AD67,0)</f>
        <v>0</v>
      </c>
      <c r="Q114">
        <f>IF(AND(Excellent!I67="Pass",Excellent!Q67="Pass",Excellent!Y67="Pass"),-1,0)</f>
        <v>0</v>
      </c>
    </row>
    <row r="115" spans="1:17" x14ac:dyDescent="0.25">
      <c r="A115">
        <f t="shared" si="4"/>
        <v>0</v>
      </c>
      <c r="B115" t="s">
        <v>18</v>
      </c>
      <c r="C115">
        <f>Advanced!C28</f>
        <v>0</v>
      </c>
      <c r="D115">
        <f>IF(Advanced!I28="Pass",Advanced!G28,0)</f>
        <v>0</v>
      </c>
      <c r="E115" s="2" t="str">
        <f>IF(Advanced!B28="W","W","A")</f>
        <v>A</v>
      </c>
      <c r="F115" s="2" t="e">
        <f>VLOOKUP(JudgeD1CSA,Judges!$A$2:$B$44,2,FALSE)</f>
        <v>#N/A</v>
      </c>
      <c r="G115" t="str">
        <f>Advanced!I28</f>
        <v/>
      </c>
      <c r="H115" s="113" t="str">
        <f t="shared" si="6"/>
        <v/>
      </c>
      <c r="L115">
        <f>Advanced!C68</f>
        <v>0</v>
      </c>
      <c r="M115">
        <f>IF(AND(Advanced!AQ68=1, Advanced!AM68=0),Advanced!AD68,0)</f>
        <v>0</v>
      </c>
      <c r="N115">
        <f>IF(AND(Advanced!I68="Pass",Advanced!Q68="Pass",Advanced!Y68="Pass"),-1,0)</f>
        <v>0</v>
      </c>
      <c r="O115">
        <f>Excellent!C68</f>
        <v>0</v>
      </c>
      <c r="P115">
        <f>IF(AND(Excellent!AQ68=1, Excellent!AM68=0),Excellent!AD68,0)</f>
        <v>0</v>
      </c>
      <c r="Q115">
        <f>IF(AND(Excellent!I68="Pass",Excellent!Q68="Pass",Excellent!Y68="Pass"),-1,0)</f>
        <v>0</v>
      </c>
    </row>
    <row r="116" spans="1:17" x14ac:dyDescent="0.25">
      <c r="A116">
        <f t="shared" si="4"/>
        <v>0</v>
      </c>
      <c r="B116" t="s">
        <v>18</v>
      </c>
      <c r="C116">
        <f>Advanced!C29</f>
        <v>0</v>
      </c>
      <c r="D116">
        <f>IF(Advanced!I29="Pass",Advanced!G29,0)</f>
        <v>0</v>
      </c>
      <c r="E116" s="2" t="str">
        <f>IF(Advanced!B29="W","W","A")</f>
        <v>A</v>
      </c>
      <c r="F116" s="2" t="e">
        <f>VLOOKUP(JudgeD1CSA,Judges!$A$2:$B$44,2,FALSE)</f>
        <v>#N/A</v>
      </c>
      <c r="G116" t="str">
        <f>Advanced!I29</f>
        <v/>
      </c>
      <c r="H116" s="113" t="str">
        <f t="shared" si="6"/>
        <v/>
      </c>
      <c r="L116">
        <f>Advanced!C69</f>
        <v>0</v>
      </c>
      <c r="M116">
        <f>IF(AND(Advanced!AQ69=1, Advanced!AM69=0),Advanced!AD69,0)</f>
        <v>0</v>
      </c>
      <c r="N116">
        <f>IF(AND(Advanced!I69="Pass",Advanced!Q69="Pass",Advanced!Y69="Pass"),-1,0)</f>
        <v>0</v>
      </c>
      <c r="O116">
        <f>Excellent!C69</f>
        <v>0</v>
      </c>
      <c r="P116">
        <f>IF(AND(Excellent!AQ69=1, Excellent!AM69=0),Excellent!AD69,0)</f>
        <v>0</v>
      </c>
      <c r="Q116">
        <f>IF(AND(Excellent!I69="Pass",Excellent!Q69="Pass",Excellent!Y69="Pass"),-1,0)</f>
        <v>0</v>
      </c>
    </row>
    <row r="117" spans="1:17" x14ac:dyDescent="0.25">
      <c r="A117">
        <f t="shared" si="4"/>
        <v>0</v>
      </c>
      <c r="B117" t="s">
        <v>18</v>
      </c>
      <c r="C117">
        <f>Advanced!C30</f>
        <v>0</v>
      </c>
      <c r="D117">
        <f>IF(Advanced!I30="Pass",Advanced!G30,0)</f>
        <v>0</v>
      </c>
      <c r="E117" s="2" t="str">
        <f>IF(Advanced!B30="W","W","A")</f>
        <v>A</v>
      </c>
      <c r="F117" s="2" t="e">
        <f>VLOOKUP(JudgeD1CSA,Judges!$A$2:$B$44,2,FALSE)</f>
        <v>#N/A</v>
      </c>
      <c r="G117" t="str">
        <f>Advanced!I30</f>
        <v/>
      </c>
      <c r="H117" s="113" t="str">
        <f t="shared" si="6"/>
        <v/>
      </c>
      <c r="L117">
        <f>Advanced!C70</f>
        <v>0</v>
      </c>
      <c r="M117">
        <f>IF(AND(Advanced!AQ70=1, Advanced!AM70=0),Advanced!AD70,0)</f>
        <v>0</v>
      </c>
      <c r="N117">
        <f>IF(AND(Advanced!I70="Pass",Advanced!Q70="Pass",Advanced!Y70="Pass"),-1,0)</f>
        <v>0</v>
      </c>
      <c r="O117">
        <f>Excellent!C70</f>
        <v>0</v>
      </c>
      <c r="P117">
        <f>IF(AND(Excellent!AQ70=1, Excellent!AM70=0),Excellent!AD70,0)</f>
        <v>0</v>
      </c>
      <c r="Q117">
        <f>IF(AND(Excellent!I70="Pass",Excellent!Q70="Pass",Excellent!Y70="Pass"),-1,0)</f>
        <v>0</v>
      </c>
    </row>
    <row r="118" spans="1:17" x14ac:dyDescent="0.25">
      <c r="A118">
        <f t="shared" si="4"/>
        <v>0</v>
      </c>
      <c r="B118" t="s">
        <v>18</v>
      </c>
      <c r="C118">
        <f>Advanced!C31</f>
        <v>0</v>
      </c>
      <c r="D118">
        <f>IF(Advanced!I31="Pass",Advanced!G31,0)</f>
        <v>0</v>
      </c>
      <c r="E118" s="2" t="str">
        <f>IF(Advanced!B31="W","W","A")</f>
        <v>A</v>
      </c>
      <c r="F118" s="2" t="e">
        <f>VLOOKUP(JudgeD1CSA,Judges!$A$2:$B$44,2,FALSE)</f>
        <v>#N/A</v>
      </c>
      <c r="G118" t="str">
        <f>Advanced!I31</f>
        <v/>
      </c>
      <c r="H118" s="113" t="str">
        <f t="shared" si="6"/>
        <v/>
      </c>
      <c r="L118">
        <f>Advanced!C71</f>
        <v>0</v>
      </c>
      <c r="M118">
        <f>IF(AND(Advanced!AQ71=1, Advanced!AM71=0),Advanced!AD71,0)</f>
        <v>0</v>
      </c>
      <c r="N118">
        <f>IF(AND(Advanced!I71="Pass",Advanced!Q71="Pass",Advanced!Y71="Pass"),-1,0)</f>
        <v>0</v>
      </c>
      <c r="O118">
        <f>Excellent!C71</f>
        <v>0</v>
      </c>
      <c r="P118">
        <f>IF(AND(Excellent!AQ71=1, Excellent!AM71=0),Excellent!AD71,0)</f>
        <v>0</v>
      </c>
      <c r="Q118">
        <f>IF(AND(Excellent!I71="Pass",Excellent!Q71="Pass",Excellent!Y71="Pass"),-1,0)</f>
        <v>0</v>
      </c>
    </row>
    <row r="119" spans="1:17" x14ac:dyDescent="0.25">
      <c r="A119">
        <f t="shared" si="4"/>
        <v>0</v>
      </c>
      <c r="B119" t="s">
        <v>18</v>
      </c>
      <c r="C119">
        <f>Advanced!C32</f>
        <v>0</v>
      </c>
      <c r="D119">
        <f>IF(Advanced!I32="Pass",Advanced!G32,0)</f>
        <v>0</v>
      </c>
      <c r="E119" s="2" t="str">
        <f>IF(Advanced!B32="W","W","A")</f>
        <v>A</v>
      </c>
      <c r="F119" s="2" t="e">
        <f>VLOOKUP(JudgeD1CSA,Judges!$A$2:$B$44,2,FALSE)</f>
        <v>#N/A</v>
      </c>
      <c r="G119" t="str">
        <f>Advanced!I32</f>
        <v/>
      </c>
      <c r="H119" s="113" t="str">
        <f t="shared" si="6"/>
        <v/>
      </c>
      <c r="L119">
        <f>Advanced!C72</f>
        <v>0</v>
      </c>
      <c r="M119">
        <f>IF(AND(Advanced!AQ72=1, Advanced!AM72=0),Advanced!AD72,0)</f>
        <v>0</v>
      </c>
      <c r="N119">
        <f>IF(AND(Advanced!I72="Pass",Advanced!Q72="Pass",Advanced!Y72="Pass"),-1,0)</f>
        <v>0</v>
      </c>
      <c r="O119">
        <f>Excellent!C72</f>
        <v>0</v>
      </c>
      <c r="P119">
        <f>IF(AND(Excellent!AQ72=1, Excellent!AM72=0),Excellent!AD72,0)</f>
        <v>0</v>
      </c>
      <c r="Q119">
        <f>IF(AND(Excellent!I72="Pass",Excellent!Q72="Pass",Excellent!Y72="Pass"),-1,0)</f>
        <v>0</v>
      </c>
    </row>
    <row r="120" spans="1:17" x14ac:dyDescent="0.25">
      <c r="A120">
        <f t="shared" si="4"/>
        <v>0</v>
      </c>
      <c r="B120" t="s">
        <v>18</v>
      </c>
      <c r="C120">
        <f>Advanced!C33</f>
        <v>0</v>
      </c>
      <c r="D120">
        <f>IF(Advanced!I33="Pass",Advanced!G33,0)</f>
        <v>0</v>
      </c>
      <c r="E120" s="2" t="str">
        <f>IF(Advanced!B33="W","W","A")</f>
        <v>A</v>
      </c>
      <c r="F120" s="2" t="e">
        <f>VLOOKUP(JudgeD1CSA,Judges!$A$2:$B$44,2,FALSE)</f>
        <v>#N/A</v>
      </c>
      <c r="G120" t="str">
        <f>Advanced!I33</f>
        <v/>
      </c>
      <c r="H120" s="113" t="str">
        <f t="shared" si="6"/>
        <v/>
      </c>
      <c r="L120">
        <f>Advanced!C73</f>
        <v>0</v>
      </c>
      <c r="M120">
        <f>IF(AND(Advanced!AQ73=1, Advanced!AM73=0),Advanced!AD73,0)</f>
        <v>0</v>
      </c>
      <c r="N120">
        <f>IF(AND(Advanced!I73="Pass",Advanced!Q73="Pass",Advanced!Y73="Pass"),-1,0)</f>
        <v>0</v>
      </c>
      <c r="O120">
        <f>Excellent!C73</f>
        <v>0</v>
      </c>
      <c r="P120">
        <f>IF(AND(Excellent!AQ73=1, Excellent!AM73=0),Excellent!AD73,0)</f>
        <v>0</v>
      </c>
      <c r="Q120">
        <f>IF(AND(Excellent!I73="Pass",Excellent!Q73="Pass",Excellent!Y73="Pass"),-1,0)</f>
        <v>0</v>
      </c>
    </row>
    <row r="121" spans="1:17" x14ac:dyDescent="0.25">
      <c r="A121">
        <f t="shared" si="4"/>
        <v>0</v>
      </c>
      <c r="B121" t="s">
        <v>18</v>
      </c>
      <c r="C121">
        <f>Advanced!C34</f>
        <v>0</v>
      </c>
      <c r="D121">
        <f>IF(Advanced!I34="Pass",Advanced!G34,0)</f>
        <v>0</v>
      </c>
      <c r="E121" s="2" t="str">
        <f>IF(Advanced!B34="W","W","A")</f>
        <v>A</v>
      </c>
      <c r="F121" s="2" t="e">
        <f>VLOOKUP(JudgeD1CSA,Judges!$A$2:$B$44,2,FALSE)</f>
        <v>#N/A</v>
      </c>
      <c r="G121" t="str">
        <f>Advanced!I34</f>
        <v/>
      </c>
      <c r="H121" s="113" t="str">
        <f t="shared" si="6"/>
        <v/>
      </c>
      <c r="L121">
        <f>Advanced!C74</f>
        <v>0</v>
      </c>
      <c r="M121">
        <f>IF(AND(Advanced!AQ74=1, Advanced!AM74=0),Advanced!AD74,0)</f>
        <v>0</v>
      </c>
      <c r="N121">
        <f>IF(AND(Advanced!I74="Pass",Advanced!Q74="Pass",Advanced!Y74="Pass"),-1,0)</f>
        <v>0</v>
      </c>
      <c r="O121">
        <f>Excellent!C74</f>
        <v>0</v>
      </c>
      <c r="P121">
        <f>IF(AND(Excellent!AQ74=1, Excellent!AM74=0),Excellent!AD74,0)</f>
        <v>0</v>
      </c>
      <c r="Q121">
        <f>IF(AND(Excellent!I74="Pass",Excellent!Q74="Pass",Excellent!Y74="Pass"),-1,0)</f>
        <v>0</v>
      </c>
    </row>
    <row r="122" spans="1:17" x14ac:dyDescent="0.25">
      <c r="A122">
        <f t="shared" si="4"/>
        <v>0</v>
      </c>
      <c r="B122" t="s">
        <v>18</v>
      </c>
      <c r="C122">
        <f>Advanced!C35</f>
        <v>0</v>
      </c>
      <c r="D122">
        <f>IF(Advanced!I35="Pass",Advanced!G35,0)</f>
        <v>0</v>
      </c>
      <c r="E122" s="2" t="str">
        <f>IF(Advanced!B35="W","W","A")</f>
        <v>A</v>
      </c>
      <c r="F122" s="2" t="e">
        <f>VLOOKUP(JudgeD1CSA,Judges!$A$2:$B$44,2,FALSE)</f>
        <v>#N/A</v>
      </c>
      <c r="G122" t="str">
        <f>Advanced!I35</f>
        <v/>
      </c>
      <c r="H122" s="113" t="str">
        <f t="shared" si="6"/>
        <v/>
      </c>
      <c r="L122">
        <f>Advanced!C75</f>
        <v>0</v>
      </c>
      <c r="M122">
        <f>IF(AND(Advanced!AQ75=1, Advanced!AM75=0),Advanced!AD75,0)</f>
        <v>0</v>
      </c>
      <c r="N122">
        <f>IF(AND(Advanced!I75="Pass",Advanced!Q75="Pass",Advanced!Y75="Pass"),-1,0)</f>
        <v>0</v>
      </c>
      <c r="O122">
        <f>Excellent!C75</f>
        <v>0</v>
      </c>
      <c r="P122">
        <f>IF(AND(Excellent!AQ75=1, Excellent!AM75=0),Excellent!AD75,0)</f>
        <v>0</v>
      </c>
      <c r="Q122">
        <f>IF(AND(Excellent!I75="Pass",Excellent!Q75="Pass",Excellent!Y75="Pass"),-1,0)</f>
        <v>0</v>
      </c>
    </row>
    <row r="123" spans="1:17" x14ac:dyDescent="0.25">
      <c r="A123">
        <f t="shared" si="4"/>
        <v>0</v>
      </c>
      <c r="B123" t="s">
        <v>18</v>
      </c>
      <c r="C123">
        <f>Advanced!C36</f>
        <v>0</v>
      </c>
      <c r="D123">
        <f>IF(Advanced!I36="Pass",Advanced!G36,0)</f>
        <v>0</v>
      </c>
      <c r="E123" s="2" t="str">
        <f>IF(Advanced!B36="W","W","A")</f>
        <v>A</v>
      </c>
      <c r="F123" s="2" t="e">
        <f>VLOOKUP(JudgeD1CSA,Judges!$A$2:$B$44,2,FALSE)</f>
        <v>#N/A</v>
      </c>
      <c r="G123" t="str">
        <f>Advanced!I36</f>
        <v/>
      </c>
      <c r="H123" s="113" t="str">
        <f t="shared" si="6"/>
        <v/>
      </c>
      <c r="L123">
        <f>Advanced!C76</f>
        <v>0</v>
      </c>
      <c r="M123">
        <f>IF(AND(Advanced!AQ76=1, Advanced!AM76=0),Advanced!AD76,0)</f>
        <v>0</v>
      </c>
      <c r="N123">
        <f>IF(AND(Advanced!I76="Pass",Advanced!Q76="Pass",Advanced!Y76="Pass"),-1,0)</f>
        <v>0</v>
      </c>
      <c r="O123">
        <f>Excellent!C76</f>
        <v>0</v>
      </c>
      <c r="P123">
        <f>IF(AND(Excellent!AQ76=1, Excellent!AM76=0),Excellent!AD76,0)</f>
        <v>0</v>
      </c>
      <c r="Q123">
        <f>IF(AND(Excellent!I76="Pass",Excellent!Q76="Pass",Excellent!Y76="Pass"),-1,0)</f>
        <v>0</v>
      </c>
    </row>
    <row r="124" spans="1:17" x14ac:dyDescent="0.25">
      <c r="A124">
        <f t="shared" si="4"/>
        <v>0</v>
      </c>
      <c r="B124" t="s">
        <v>18</v>
      </c>
      <c r="C124">
        <f>Advanced!C37</f>
        <v>0</v>
      </c>
      <c r="D124">
        <f>IF(Advanced!I37="Pass",Advanced!G37,0)</f>
        <v>0</v>
      </c>
      <c r="E124" s="2" t="str">
        <f>IF(Advanced!B37="W","W","A")</f>
        <v>A</v>
      </c>
      <c r="F124" s="2" t="e">
        <f>VLOOKUP(JudgeD1CSA,Judges!$A$2:$B$44,2,FALSE)</f>
        <v>#N/A</v>
      </c>
      <c r="G124" t="str">
        <f>Advanced!I37</f>
        <v/>
      </c>
      <c r="H124" s="113" t="str">
        <f t="shared" si="6"/>
        <v/>
      </c>
      <c r="L124">
        <f>Advanced!C77</f>
        <v>0</v>
      </c>
      <c r="M124">
        <f>IF(AND(Advanced!AQ77=1, Advanced!AM77=0),Advanced!AD77,0)</f>
        <v>0</v>
      </c>
      <c r="N124">
        <f>IF(AND(Advanced!I77="Pass",Advanced!Q77="Pass",Advanced!Y77="Pass"),-1,0)</f>
        <v>0</v>
      </c>
      <c r="O124">
        <f>Excellent!C77</f>
        <v>0</v>
      </c>
      <c r="P124">
        <f>IF(AND(Excellent!AQ77=1, Excellent!AM77=0),Excellent!AD77,0)</f>
        <v>0</v>
      </c>
      <c r="Q124">
        <f>IF(AND(Excellent!I77="Pass",Excellent!Q77="Pass",Excellent!Y77="Pass"),-1,0)</f>
        <v>0</v>
      </c>
    </row>
    <row r="125" spans="1:17" x14ac:dyDescent="0.25">
      <c r="A125">
        <f t="shared" si="4"/>
        <v>0</v>
      </c>
      <c r="B125" t="s">
        <v>18</v>
      </c>
      <c r="C125">
        <f>Advanced!C38</f>
        <v>0</v>
      </c>
      <c r="D125">
        <f>IF(Advanced!I38="Pass",Advanced!G38,0)</f>
        <v>0</v>
      </c>
      <c r="E125" s="2" t="str">
        <f>IF(Advanced!B38="W","W","A")</f>
        <v>A</v>
      </c>
      <c r="F125" s="2" t="e">
        <f>VLOOKUP(JudgeD1CSA,Judges!$A$2:$B$44,2,FALSE)</f>
        <v>#N/A</v>
      </c>
      <c r="G125" t="str">
        <f>Advanced!I38</f>
        <v/>
      </c>
      <c r="H125" s="113" t="str">
        <f t="shared" si="6"/>
        <v/>
      </c>
      <c r="L125">
        <f>Advanced!C78</f>
        <v>0</v>
      </c>
      <c r="M125">
        <f>IF(AND(Advanced!AQ78=1, Advanced!AM78=0),Advanced!AD78,0)</f>
        <v>0</v>
      </c>
      <c r="N125">
        <f>IF(AND(Advanced!I78="Pass",Advanced!Q78="Pass",Advanced!Y78="Pass"),-1,0)</f>
        <v>0</v>
      </c>
      <c r="O125">
        <f>Excellent!C78</f>
        <v>0</v>
      </c>
      <c r="P125">
        <f>IF(AND(Excellent!AQ78=1, Excellent!AM78=0),Excellent!AD78,0)</f>
        <v>0</v>
      </c>
      <c r="Q125">
        <f>IF(AND(Excellent!I78="Pass",Excellent!Q78="Pass",Excellent!Y78="Pass"),-1,0)</f>
        <v>0</v>
      </c>
    </row>
    <row r="126" spans="1:17" x14ac:dyDescent="0.25">
      <c r="A126">
        <f t="shared" si="4"/>
        <v>0</v>
      </c>
      <c r="B126" t="s">
        <v>18</v>
      </c>
      <c r="C126">
        <f>Advanced!C39</f>
        <v>0</v>
      </c>
      <c r="D126">
        <f>IF(Advanced!I39="Pass",Advanced!G39,0)</f>
        <v>0</v>
      </c>
      <c r="E126" s="2" t="str">
        <f>IF(Advanced!B39="W","W","A")</f>
        <v>A</v>
      </c>
      <c r="F126" s="2" t="e">
        <f>VLOOKUP(JudgeD1CSA,Judges!$A$2:$B$44,2,FALSE)</f>
        <v>#N/A</v>
      </c>
      <c r="G126" t="str">
        <f>Advanced!I39</f>
        <v/>
      </c>
      <c r="H126" s="113" t="str">
        <f t="shared" si="6"/>
        <v/>
      </c>
      <c r="L126">
        <f>Advanced!C79</f>
        <v>0</v>
      </c>
      <c r="M126">
        <f>IF(AND(Advanced!AQ79=1, Advanced!AM79=0),Advanced!AD79,0)</f>
        <v>0</v>
      </c>
      <c r="N126">
        <f>IF(AND(Advanced!I79="Pass",Advanced!Q79="Pass",Advanced!Y79="Pass"),-1,0)</f>
        <v>0</v>
      </c>
      <c r="O126">
        <f>Excellent!C79</f>
        <v>0</v>
      </c>
      <c r="P126">
        <f>IF(AND(Excellent!AQ79=1, Excellent!AM79=0),Excellent!AD79,0)</f>
        <v>0</v>
      </c>
      <c r="Q126">
        <f>IF(AND(Excellent!I79="Pass",Excellent!Q79="Pass",Excellent!Y79="Pass"),-1,0)</f>
        <v>0</v>
      </c>
    </row>
    <row r="127" spans="1:17" x14ac:dyDescent="0.25">
      <c r="A127">
        <f t="shared" si="4"/>
        <v>0</v>
      </c>
      <c r="B127" t="s">
        <v>18</v>
      </c>
      <c r="C127">
        <f>Advanced!C40</f>
        <v>0</v>
      </c>
      <c r="D127">
        <f>IF(Advanced!I40="Pass",Advanced!G40,0)</f>
        <v>0</v>
      </c>
      <c r="E127" s="2" t="str">
        <f>IF(Advanced!B40="W","W","A")</f>
        <v>A</v>
      </c>
      <c r="F127" s="2" t="e">
        <f>VLOOKUP(JudgeD1CSA,Judges!$A$2:$B$44,2,FALSE)</f>
        <v>#N/A</v>
      </c>
      <c r="G127" t="str">
        <f>Advanced!I40</f>
        <v/>
      </c>
      <c r="H127" s="113" t="str">
        <f t="shared" si="6"/>
        <v/>
      </c>
      <c r="L127">
        <f>Advanced!C80</f>
        <v>0</v>
      </c>
      <c r="M127">
        <f>IF(AND(Advanced!AQ80=1, Advanced!AM80=0),Advanced!AD80,0)</f>
        <v>0</v>
      </c>
      <c r="N127">
        <f>IF(AND(Advanced!I80="Pass",Advanced!Q80="Pass",Advanced!Y80="Pass"),-1,0)</f>
        <v>0</v>
      </c>
      <c r="O127">
        <f>Excellent!C80</f>
        <v>0</v>
      </c>
      <c r="P127">
        <f>IF(AND(Excellent!AQ80=1, Excellent!AM80=0),Excellent!AD80,0)</f>
        <v>0</v>
      </c>
      <c r="Q127">
        <f>IF(AND(Excellent!I80="Pass",Excellent!Q80="Pass",Excellent!Y80="Pass"),-1,0)</f>
        <v>0</v>
      </c>
    </row>
    <row r="128" spans="1:17" x14ac:dyDescent="0.25">
      <c r="A128">
        <f t="shared" si="4"/>
        <v>0</v>
      </c>
      <c r="B128" t="s">
        <v>18</v>
      </c>
      <c r="C128">
        <f>Advanced!C41</f>
        <v>0</v>
      </c>
      <c r="D128">
        <f>IF(Advanced!I41="Pass",Advanced!G41,0)</f>
        <v>0</v>
      </c>
      <c r="E128" s="2" t="str">
        <f>IF(Advanced!B41="W","W","A")</f>
        <v>A</v>
      </c>
      <c r="F128" s="2" t="e">
        <f>VLOOKUP(JudgeD1CSA,Judges!$A$2:$B$44,2,FALSE)</f>
        <v>#N/A</v>
      </c>
      <c r="G128" t="str">
        <f>Advanced!I41</f>
        <v/>
      </c>
      <c r="H128" s="113" t="str">
        <f t="shared" si="6"/>
        <v/>
      </c>
      <c r="L128">
        <f>Advanced!C81</f>
        <v>0</v>
      </c>
      <c r="M128">
        <f>IF(AND(Advanced!AQ81=1, Advanced!AM81=0),Advanced!AD81,0)</f>
        <v>0</v>
      </c>
      <c r="N128">
        <f>IF(AND(Advanced!I81="Pass",Advanced!Q81="Pass",Advanced!Y81="Pass"),-1,0)</f>
        <v>0</v>
      </c>
      <c r="O128">
        <f>Excellent!C81</f>
        <v>0</v>
      </c>
      <c r="P128">
        <f>IF(AND(Excellent!AQ81=1, Excellent!AM81=0),Excellent!AD81,0)</f>
        <v>0</v>
      </c>
      <c r="Q128">
        <f>IF(AND(Excellent!I81="Pass",Excellent!Q81="Pass",Excellent!Y81="Pass"),-1,0)</f>
        <v>0</v>
      </c>
    </row>
    <row r="129" spans="1:17" x14ac:dyDescent="0.25">
      <c r="A129">
        <f t="shared" si="4"/>
        <v>0</v>
      </c>
      <c r="B129" t="s">
        <v>18</v>
      </c>
      <c r="C129">
        <f>Advanced!C42</f>
        <v>0</v>
      </c>
      <c r="D129">
        <f>IF(Advanced!I42="Pass",Advanced!G42,0)</f>
        <v>0</v>
      </c>
      <c r="E129" s="2" t="str">
        <f>IF(Advanced!B42="W","W","A")</f>
        <v>A</v>
      </c>
      <c r="F129" s="2" t="e">
        <f>VLOOKUP(JudgeD1CSA,Judges!$A$2:$B$44,2,FALSE)</f>
        <v>#N/A</v>
      </c>
      <c r="G129" t="str">
        <f>Advanced!I42</f>
        <v/>
      </c>
      <c r="H129" s="113" t="str">
        <f t="shared" si="6"/>
        <v/>
      </c>
      <c r="L129">
        <f>Advanced!C82</f>
        <v>0</v>
      </c>
      <c r="M129">
        <f>IF(AND(Advanced!AQ82=1, Advanced!AM82=0),Advanced!AD82,0)</f>
        <v>0</v>
      </c>
      <c r="N129">
        <f>IF(AND(Advanced!I82="Pass",Advanced!Q82="Pass",Advanced!Y82="Pass"),-1,0)</f>
        <v>0</v>
      </c>
      <c r="O129">
        <f>Excellent!C82</f>
        <v>0</v>
      </c>
      <c r="P129">
        <f>IF(AND(Excellent!AQ82=1, Excellent!AM82=0),Excellent!AD82,0)</f>
        <v>0</v>
      </c>
      <c r="Q129">
        <f>IF(AND(Excellent!I82="Pass",Excellent!Q82="Pass",Excellent!Y82="Pass"),-1,0)</f>
        <v>0</v>
      </c>
    </row>
    <row r="130" spans="1:17" x14ac:dyDescent="0.25">
      <c r="A130">
        <f t="shared" si="4"/>
        <v>0</v>
      </c>
      <c r="B130" t="s">
        <v>18</v>
      </c>
      <c r="C130">
        <f>Advanced!C43</f>
        <v>0</v>
      </c>
      <c r="D130">
        <f>IF(Advanced!I43="Pass",Advanced!G43,0)</f>
        <v>0</v>
      </c>
      <c r="E130" s="2" t="str">
        <f>IF(Advanced!B43="W","W","A")</f>
        <v>A</v>
      </c>
      <c r="F130" s="2" t="e">
        <f>VLOOKUP(JudgeD1CSA,Judges!$A$2:$B$44,2,FALSE)</f>
        <v>#N/A</v>
      </c>
      <c r="G130" t="str">
        <f>Advanced!I43</f>
        <v/>
      </c>
      <c r="H130" s="113" t="str">
        <f t="shared" si="6"/>
        <v/>
      </c>
      <c r="L130">
        <f>Advanced!C83</f>
        <v>0</v>
      </c>
      <c r="M130">
        <f>IF(AND(Advanced!AQ83=1, Advanced!AM83=0),Advanced!AD83,0)</f>
        <v>0</v>
      </c>
      <c r="N130">
        <f>IF(AND(Advanced!I83="Pass",Advanced!Q83="Pass",Advanced!Y83="Pass"),-1,0)</f>
        <v>0</v>
      </c>
      <c r="O130">
        <f>Excellent!C83</f>
        <v>0</v>
      </c>
      <c r="P130">
        <f>IF(AND(Excellent!AQ83=1, Excellent!AM83=0),Excellent!AD83,0)</f>
        <v>0</v>
      </c>
      <c r="Q130">
        <f>IF(AND(Excellent!I83="Pass",Excellent!Q83="Pass",Excellent!Y83="Pass"),-1,0)</f>
        <v>0</v>
      </c>
    </row>
    <row r="131" spans="1:17" x14ac:dyDescent="0.25">
      <c r="A131">
        <f t="shared" si="4"/>
        <v>0</v>
      </c>
      <c r="B131" t="s">
        <v>18</v>
      </c>
      <c r="C131">
        <f>Advanced!C44</f>
        <v>0</v>
      </c>
      <c r="D131">
        <f>IF(Advanced!I44="Pass",Advanced!G44,0)</f>
        <v>0</v>
      </c>
      <c r="E131" s="2" t="str">
        <f>IF(Advanced!B44="W","W","A")</f>
        <v>A</v>
      </c>
      <c r="F131" s="2" t="e">
        <f>VLOOKUP(JudgeD1CSA,Judges!$A$2:$B$44,2,FALSE)</f>
        <v>#N/A</v>
      </c>
      <c r="G131" t="str">
        <f>Advanced!I44</f>
        <v/>
      </c>
      <c r="H131" s="113" t="str">
        <f t="shared" si="6"/>
        <v/>
      </c>
      <c r="L131">
        <f>Advanced!C84</f>
        <v>0</v>
      </c>
      <c r="M131">
        <f>IF(AND(Advanced!AQ84=1, Advanced!AM84=0),Advanced!AD84,0)</f>
        <v>0</v>
      </c>
      <c r="N131">
        <f>IF(AND(Advanced!I84="Pass",Advanced!Q84="Pass",Advanced!Y84="Pass"),-1,0)</f>
        <v>0</v>
      </c>
      <c r="O131">
        <f>Excellent!C84</f>
        <v>0</v>
      </c>
      <c r="P131">
        <f>IF(AND(Excellent!AQ84=1, Excellent!AM84=0),Excellent!AD84,0)</f>
        <v>0</v>
      </c>
      <c r="Q131">
        <f>IF(AND(Excellent!I84="Pass",Excellent!Q84="Pass",Excellent!Y84="Pass"),-1,0)</f>
        <v>0</v>
      </c>
    </row>
    <row r="132" spans="1:17" x14ac:dyDescent="0.25">
      <c r="A132">
        <f t="shared" si="4"/>
        <v>0</v>
      </c>
      <c r="B132" t="s">
        <v>18</v>
      </c>
      <c r="C132">
        <f>Advanced!C45</f>
        <v>0</v>
      </c>
      <c r="D132">
        <f>IF(Advanced!I45="Pass",Advanced!G45,0)</f>
        <v>0</v>
      </c>
      <c r="E132" s="2" t="str">
        <f>IF(Advanced!B45="W","W","A")</f>
        <v>A</v>
      </c>
      <c r="F132" s="2" t="e">
        <f>VLOOKUP(JudgeD1CSA,Judges!$A$2:$B$44,2,FALSE)</f>
        <v>#N/A</v>
      </c>
      <c r="G132" t="str">
        <f>Advanced!I45</f>
        <v/>
      </c>
      <c r="H132" s="113" t="str">
        <f t="shared" si="6"/>
        <v/>
      </c>
      <c r="L132">
        <f>Advanced!C85</f>
        <v>0</v>
      </c>
      <c r="M132">
        <f>IF(AND(Advanced!AQ85=1, Advanced!AM85=0),Advanced!AD85,0)</f>
        <v>0</v>
      </c>
      <c r="N132">
        <f>IF(AND(Advanced!I85="Pass",Advanced!Q85="Pass",Advanced!Y85="Pass"),-1,0)</f>
        <v>0</v>
      </c>
      <c r="O132">
        <f>Excellent!C85</f>
        <v>0</v>
      </c>
      <c r="P132">
        <f>IF(AND(Excellent!AQ85=1, Excellent!AM85=0),Excellent!AD85,0)</f>
        <v>0</v>
      </c>
      <c r="Q132">
        <f>IF(AND(Excellent!I85="Pass",Excellent!Q85="Pass",Excellent!Y85="Pass"),-1,0)</f>
        <v>0</v>
      </c>
    </row>
    <row r="133" spans="1:17" x14ac:dyDescent="0.25">
      <c r="A133">
        <f t="shared" si="4"/>
        <v>0</v>
      </c>
      <c r="B133" t="s">
        <v>18</v>
      </c>
      <c r="C133">
        <f>Advanced!C46</f>
        <v>0</v>
      </c>
      <c r="D133">
        <f>IF(Advanced!I46="Pass",Advanced!G46,0)</f>
        <v>0</v>
      </c>
      <c r="E133" s="2" t="str">
        <f>IF(Advanced!B46="W","W","A")</f>
        <v>A</v>
      </c>
      <c r="F133" s="2" t="e">
        <f>VLOOKUP(JudgeD1CSA,Judges!$A$2:$B$44,2,FALSE)</f>
        <v>#N/A</v>
      </c>
      <c r="G133" t="str">
        <f>Advanced!I46</f>
        <v/>
      </c>
      <c r="H133" s="113" t="str">
        <f t="shared" si="6"/>
        <v/>
      </c>
      <c r="L133">
        <f>Advanced!C86</f>
        <v>0</v>
      </c>
      <c r="M133">
        <f>IF(AND(Advanced!AQ86=1, Advanced!AM86=0),Advanced!AD86,0)</f>
        <v>0</v>
      </c>
      <c r="N133">
        <f>IF(AND(Advanced!I86="Pass",Advanced!Q86="Pass",Advanced!Y86="Pass"),-1,0)</f>
        <v>0</v>
      </c>
      <c r="O133">
        <f>Excellent!C86</f>
        <v>0</v>
      </c>
      <c r="P133">
        <f>IF(AND(Excellent!AQ86=1, Excellent!AM86=0),Excellent!AD86,0)</f>
        <v>0</v>
      </c>
      <c r="Q133">
        <f>IF(AND(Excellent!I86="Pass",Excellent!Q86="Pass",Excellent!Y86="Pass"),-1,0)</f>
        <v>0</v>
      </c>
    </row>
    <row r="134" spans="1:17" x14ac:dyDescent="0.25">
      <c r="A134">
        <f t="shared" si="4"/>
        <v>0</v>
      </c>
      <c r="B134" t="s">
        <v>18</v>
      </c>
      <c r="C134">
        <f>Advanced!C47</f>
        <v>0</v>
      </c>
      <c r="D134">
        <f>IF(Advanced!I47="Pass",Advanced!G47,0)</f>
        <v>0</v>
      </c>
      <c r="E134" s="2" t="str">
        <f>IF(Advanced!B47="W","W","A")</f>
        <v>A</v>
      </c>
      <c r="F134" s="2" t="e">
        <f>VLOOKUP(JudgeD1CSA,Judges!$A$2:$B$44,2,FALSE)</f>
        <v>#N/A</v>
      </c>
      <c r="G134" t="str">
        <f>Advanced!I47</f>
        <v/>
      </c>
      <c r="H134" s="113" t="str">
        <f t="shared" si="6"/>
        <v/>
      </c>
      <c r="L134">
        <f>Advanced!C87</f>
        <v>0</v>
      </c>
      <c r="M134">
        <f>IF(AND(Advanced!AQ87=1, Advanced!AM87=0),Advanced!AD87,0)</f>
        <v>0</v>
      </c>
      <c r="N134">
        <f>IF(AND(Advanced!I87="Pass",Advanced!Q87="Pass",Advanced!Y87="Pass"),-1,0)</f>
        <v>0</v>
      </c>
      <c r="O134">
        <f>Excellent!C87</f>
        <v>0</v>
      </c>
      <c r="P134">
        <f>IF(AND(Excellent!AQ87=1, Excellent!AM87=0),Excellent!AD87,0)</f>
        <v>0</v>
      </c>
      <c r="Q134">
        <f>IF(AND(Excellent!I87="Pass",Excellent!Q87="Pass",Excellent!Y87="Pass"),-1,0)</f>
        <v>0</v>
      </c>
    </row>
    <row r="135" spans="1:17" x14ac:dyDescent="0.25">
      <c r="A135">
        <f t="shared" si="4"/>
        <v>0</v>
      </c>
      <c r="B135" t="s">
        <v>18</v>
      </c>
      <c r="C135">
        <f>Advanced!C48</f>
        <v>0</v>
      </c>
      <c r="D135">
        <f>IF(Advanced!I48="Pass",Advanced!G48,0)</f>
        <v>0</v>
      </c>
      <c r="E135" s="2" t="str">
        <f>IF(Advanced!B48="W","W","A")</f>
        <v>A</v>
      </c>
      <c r="F135" s="2" t="e">
        <f>VLOOKUP(JudgeD1CSA,Judges!$A$2:$B$44,2,FALSE)</f>
        <v>#N/A</v>
      </c>
      <c r="G135" t="str">
        <f>Advanced!I48</f>
        <v/>
      </c>
      <c r="H135" s="113" t="str">
        <f t="shared" si="6"/>
        <v/>
      </c>
      <c r="L135">
        <f>Advanced!C88</f>
        <v>0</v>
      </c>
      <c r="M135">
        <f>IF(AND(Advanced!AQ88=1, Advanced!AM88=0),Advanced!AD88,0)</f>
        <v>0</v>
      </c>
      <c r="N135">
        <f>IF(AND(Advanced!I88="Pass",Advanced!Q88="Pass",Advanced!Y88="Pass"),-1,0)</f>
        <v>0</v>
      </c>
      <c r="O135">
        <f>Excellent!C88</f>
        <v>0</v>
      </c>
      <c r="P135">
        <f>IF(AND(Excellent!AQ88=1, Excellent!AM88=0),Excellent!AD88,0)</f>
        <v>0</v>
      </c>
      <c r="Q135">
        <f>IF(AND(Excellent!I88="Pass",Excellent!Q88="Pass",Excellent!Y88="Pass"),-1,0)</f>
        <v>0</v>
      </c>
    </row>
    <row r="136" spans="1:17" x14ac:dyDescent="0.25">
      <c r="A136">
        <f t="shared" si="4"/>
        <v>0</v>
      </c>
      <c r="B136" t="s">
        <v>18</v>
      </c>
      <c r="C136">
        <f>Advanced!C49</f>
        <v>0</v>
      </c>
      <c r="D136">
        <f>IF(Advanced!I49="Pass",Advanced!G49,0)</f>
        <v>0</v>
      </c>
      <c r="E136" s="2" t="str">
        <f>IF(Advanced!B49="W","W","A")</f>
        <v>A</v>
      </c>
      <c r="F136" s="2" t="e">
        <f>VLOOKUP(JudgeD1CSA,Judges!$A$2:$B$44,2,FALSE)</f>
        <v>#N/A</v>
      </c>
      <c r="G136" t="str">
        <f>Advanced!I49</f>
        <v/>
      </c>
      <c r="H136" s="113" t="str">
        <f t="shared" si="6"/>
        <v/>
      </c>
      <c r="L136">
        <f>Advanced!C89</f>
        <v>0</v>
      </c>
      <c r="M136">
        <f>IF(AND(Advanced!AQ89=1, Advanced!AM89=0),Advanced!AD89,0)</f>
        <v>0</v>
      </c>
      <c r="N136">
        <f>IF(AND(Advanced!I89="Pass",Advanced!Q89="Pass",Advanced!Y89="Pass"),-1,0)</f>
        <v>0</v>
      </c>
      <c r="O136">
        <f>Excellent!C89</f>
        <v>0</v>
      </c>
      <c r="P136">
        <f>IF(AND(Excellent!AQ89=1, Excellent!AM89=0),Excellent!AD89,0)</f>
        <v>0</v>
      </c>
      <c r="Q136">
        <f>IF(AND(Excellent!I89="Pass",Excellent!Q89="Pass",Excellent!Y89="Pass"),-1,0)</f>
        <v>0</v>
      </c>
    </row>
    <row r="137" spans="1:17" x14ac:dyDescent="0.25">
      <c r="A137">
        <f t="shared" si="4"/>
        <v>0</v>
      </c>
      <c r="B137" t="s">
        <v>18</v>
      </c>
      <c r="C137">
        <f>Advanced!C50</f>
        <v>0</v>
      </c>
      <c r="D137">
        <f>IF(Advanced!I50="Pass",Advanced!G50,0)</f>
        <v>0</v>
      </c>
      <c r="E137" s="2" t="str">
        <f>IF(Advanced!B50="W","W","A")</f>
        <v>A</v>
      </c>
      <c r="F137" s="2" t="e">
        <f>VLOOKUP(JudgeD1CSA,Judges!$A$2:$B$44,2,FALSE)</f>
        <v>#N/A</v>
      </c>
      <c r="G137" t="str">
        <f>Advanced!I50</f>
        <v/>
      </c>
      <c r="H137" s="113" t="str">
        <f t="shared" si="6"/>
        <v/>
      </c>
      <c r="L137">
        <f>Advanced!C90</f>
        <v>0</v>
      </c>
      <c r="M137">
        <f>IF(AND(Advanced!AQ90=1, Advanced!AM90=0),Advanced!AD90,0)</f>
        <v>0</v>
      </c>
      <c r="N137">
        <f>IF(AND(Advanced!I90="Pass",Advanced!Q90="Pass",Advanced!Y90="Pass"),-1,0)</f>
        <v>0</v>
      </c>
      <c r="O137">
        <f>Excellent!C90</f>
        <v>0</v>
      </c>
      <c r="P137">
        <f>IF(AND(Excellent!AQ90=1, Excellent!AM90=0),Excellent!AD90,0)</f>
        <v>0</v>
      </c>
      <c r="Q137">
        <f>IF(AND(Excellent!I90="Pass",Excellent!Q90="Pass",Excellent!Y90="Pass"),-1,0)</f>
        <v>0</v>
      </c>
    </row>
    <row r="138" spans="1:17" x14ac:dyDescent="0.25">
      <c r="A138">
        <f t="shared" si="4"/>
        <v>0</v>
      </c>
      <c r="B138" t="s">
        <v>18</v>
      </c>
      <c r="C138">
        <f>Advanced!C51</f>
        <v>0</v>
      </c>
      <c r="D138">
        <f>IF(Advanced!I51="Pass",Advanced!G51,0)</f>
        <v>0</v>
      </c>
      <c r="E138" s="2" t="str">
        <f>IF(Advanced!B51="W","W","A")</f>
        <v>A</v>
      </c>
      <c r="F138" s="2" t="e">
        <f>VLOOKUP(JudgeD1CSA,Judges!$A$2:$B$44,2,FALSE)</f>
        <v>#N/A</v>
      </c>
      <c r="G138" t="str">
        <f>Advanced!I51</f>
        <v/>
      </c>
      <c r="H138" s="113" t="str">
        <f t="shared" si="6"/>
        <v/>
      </c>
      <c r="L138">
        <f>Advanced!C91</f>
        <v>0</v>
      </c>
      <c r="M138">
        <f>IF(AND(Advanced!AQ91=1, Advanced!AM91=0),Advanced!AD91,0)</f>
        <v>0</v>
      </c>
      <c r="N138">
        <f>IF(AND(Advanced!I91="Pass",Advanced!Q91="Pass",Advanced!Y91="Pass"),-1,0)</f>
        <v>0</v>
      </c>
      <c r="O138">
        <f>Excellent!C91</f>
        <v>0</v>
      </c>
      <c r="P138">
        <f>IF(AND(Excellent!AQ91=1, Excellent!AM91=0),Excellent!AD91,0)</f>
        <v>0</v>
      </c>
      <c r="Q138">
        <f>IF(AND(Excellent!I91="Pass",Excellent!Q91="Pass",Excellent!Y91="Pass"),-1,0)</f>
        <v>0</v>
      </c>
    </row>
    <row r="139" spans="1:17" x14ac:dyDescent="0.25">
      <c r="A139">
        <f t="shared" si="4"/>
        <v>0</v>
      </c>
      <c r="B139" t="s">
        <v>18</v>
      </c>
      <c r="C139">
        <f>Advanced!C52</f>
        <v>0</v>
      </c>
      <c r="D139">
        <f>IF(Advanced!I52="Pass",Advanced!G52,0)</f>
        <v>0</v>
      </c>
      <c r="E139" s="2" t="str">
        <f>IF(Advanced!B52="W","W","A")</f>
        <v>A</v>
      </c>
      <c r="F139" s="2" t="e">
        <f>VLOOKUP(JudgeD1CSA,Judges!$A$2:$B$44,2,FALSE)</f>
        <v>#N/A</v>
      </c>
      <c r="G139" t="str">
        <f>Advanced!I52</f>
        <v/>
      </c>
      <c r="H139" s="113" t="str">
        <f t="shared" si="6"/>
        <v/>
      </c>
      <c r="L139">
        <f>Advanced!C92</f>
        <v>0</v>
      </c>
      <c r="M139">
        <f>IF(AND(Advanced!AQ92=1, Advanced!AM92=0),Advanced!AD92,0)</f>
        <v>0</v>
      </c>
      <c r="N139">
        <f>IF(AND(Advanced!I92="Pass",Advanced!Q92="Pass",Advanced!Y92="Pass"),-1,0)</f>
        <v>0</v>
      </c>
      <c r="O139">
        <f>Excellent!C92</f>
        <v>0</v>
      </c>
      <c r="P139">
        <f>IF(AND(Excellent!AQ92=1, Excellent!AM92=0),Excellent!AD92,0)</f>
        <v>0</v>
      </c>
      <c r="Q139">
        <f>IF(AND(Excellent!I92="Pass",Excellent!Q92="Pass",Excellent!Y92="Pass"),-1,0)</f>
        <v>0</v>
      </c>
    </row>
    <row r="140" spans="1:17" x14ac:dyDescent="0.25">
      <c r="A140">
        <f t="shared" si="4"/>
        <v>0</v>
      </c>
      <c r="B140" t="s">
        <v>18</v>
      </c>
      <c r="C140">
        <f>Advanced!C53</f>
        <v>0</v>
      </c>
      <c r="D140">
        <f>IF(Advanced!I53="Pass",Advanced!G53,0)</f>
        <v>0</v>
      </c>
      <c r="E140" s="2" t="str">
        <f>IF(Advanced!B53="W","W","A")</f>
        <v>A</v>
      </c>
      <c r="F140" s="2" t="e">
        <f>VLOOKUP(JudgeD1CSA,Judges!$A$2:$B$44,2,FALSE)</f>
        <v>#N/A</v>
      </c>
      <c r="G140" t="str">
        <f>Advanced!I53</f>
        <v/>
      </c>
      <c r="H140" s="113" t="str">
        <f t="shared" si="6"/>
        <v/>
      </c>
      <c r="L140">
        <f>Advanced!C93</f>
        <v>0</v>
      </c>
      <c r="M140">
        <f>IF(AND(Advanced!AQ93=1, Advanced!AM93=0),Advanced!AD93,0)</f>
        <v>0</v>
      </c>
      <c r="N140">
        <f>IF(AND(Advanced!I93="Pass",Advanced!Q93="Pass",Advanced!Y93="Pass"),-1,0)</f>
        <v>0</v>
      </c>
      <c r="O140">
        <f>Excellent!C93</f>
        <v>0</v>
      </c>
      <c r="P140">
        <f>IF(AND(Excellent!AQ93=1, Excellent!AM93=0),Excellent!AD93,0)</f>
        <v>0</v>
      </c>
      <c r="Q140">
        <f>IF(AND(Excellent!I93="Pass",Excellent!Q93="Pass",Excellent!Y93="Pass"),-1,0)</f>
        <v>0</v>
      </c>
    </row>
    <row r="141" spans="1:17" x14ac:dyDescent="0.25">
      <c r="A141">
        <f t="shared" si="4"/>
        <v>0</v>
      </c>
      <c r="B141" t="s">
        <v>18</v>
      </c>
      <c r="C141">
        <f>Advanced!C54</f>
        <v>0</v>
      </c>
      <c r="D141">
        <f>IF(Advanced!I54="Pass",Advanced!G54,0)</f>
        <v>0</v>
      </c>
      <c r="E141" s="2" t="str">
        <f>IF(Advanced!B54="W","W","A")</f>
        <v>A</v>
      </c>
      <c r="F141" s="2" t="e">
        <f>VLOOKUP(JudgeD1CSA,Judges!$A$2:$B$44,2,FALSE)</f>
        <v>#N/A</v>
      </c>
      <c r="G141" t="str">
        <f>Advanced!I54</f>
        <v/>
      </c>
      <c r="H141" s="113" t="str">
        <f t="shared" si="6"/>
        <v/>
      </c>
      <c r="L141">
        <f>Advanced!C94</f>
        <v>0</v>
      </c>
      <c r="M141">
        <f>IF(AND(Advanced!AQ94=1, Advanced!AM94=0),Advanced!AD94,0)</f>
        <v>0</v>
      </c>
      <c r="N141">
        <f>IF(AND(Advanced!I94="Pass",Advanced!Q94="Pass",Advanced!Y94="Pass"),-1,0)</f>
        <v>0</v>
      </c>
      <c r="O141">
        <f>Excellent!C94</f>
        <v>0</v>
      </c>
      <c r="P141">
        <f>IF(AND(Excellent!AQ94=1, Excellent!AM94=0),Excellent!AD94,0)</f>
        <v>0</v>
      </c>
      <c r="Q141">
        <f>IF(AND(Excellent!I94="Pass",Excellent!Q94="Pass",Excellent!Y94="Pass"),-1,0)</f>
        <v>0</v>
      </c>
    </row>
    <row r="142" spans="1:17" x14ac:dyDescent="0.25">
      <c r="A142">
        <f t="shared" si="4"/>
        <v>0</v>
      </c>
      <c r="B142" t="s">
        <v>19</v>
      </c>
      <c r="C142">
        <f>Advanced!C5</f>
        <v>0</v>
      </c>
      <c r="D142">
        <f>IF(Advanced!Q5="Pass",Advanced!O5,0)</f>
        <v>0</v>
      </c>
      <c r="E142" s="2" t="str">
        <f>IF(Advanced!B5="W","W","A")</f>
        <v>A</v>
      </c>
      <c r="F142" s="2" t="e">
        <f>VLOOKUP(JudgeD1ISA,Judges!$A$2:$B$44,2,FALSE)</f>
        <v>#N/A</v>
      </c>
      <c r="G142" t="str">
        <f>Advanced!Q5</f>
        <v/>
      </c>
      <c r="H142" s="113" t="str">
        <f t="shared" si="6"/>
        <v/>
      </c>
      <c r="L142">
        <f>Advanced!C95</f>
        <v>0</v>
      </c>
      <c r="M142">
        <f>IF(AND(Advanced!AQ95=1, Advanced!AM95=0),Advanced!AD95,0)</f>
        <v>0</v>
      </c>
      <c r="N142">
        <f>IF(AND(Advanced!I95="Pass",Advanced!Q95="Pass",Advanced!Y95="Pass"),-1,0)</f>
        <v>0</v>
      </c>
      <c r="O142">
        <f>Excellent!C95</f>
        <v>0</v>
      </c>
      <c r="P142">
        <f>IF(AND(Excellent!AQ95=1, Excellent!AM95=0),Excellent!AD95,0)</f>
        <v>0</v>
      </c>
      <c r="Q142">
        <f>IF(AND(Excellent!I95="Pass",Excellent!Q95="Pass",Excellent!Y95="Pass"),-1,0)</f>
        <v>0</v>
      </c>
    </row>
    <row r="143" spans="1:17" x14ac:dyDescent="0.25">
      <c r="A143">
        <f t="shared" si="4"/>
        <v>0</v>
      </c>
      <c r="B143" t="s">
        <v>19</v>
      </c>
      <c r="C143">
        <f>Advanced!C6</f>
        <v>0</v>
      </c>
      <c r="D143">
        <f>IF(Advanced!Q6="Pass",Advanced!O6,0)</f>
        <v>0</v>
      </c>
      <c r="E143" s="2" t="str">
        <f>IF(Advanced!B6="W","W","A")</f>
        <v>A</v>
      </c>
      <c r="F143" s="2" t="e">
        <f>VLOOKUP(JudgeD1ISA,Judges!$A$2:$B$44,2,FALSE)</f>
        <v>#N/A</v>
      </c>
      <c r="G143" t="str">
        <f>Advanced!Q6</f>
        <v/>
      </c>
      <c r="H143" s="113" t="str">
        <f t="shared" si="6"/>
        <v/>
      </c>
      <c r="L143">
        <f>Advanced!C96</f>
        <v>0</v>
      </c>
      <c r="M143">
        <f>IF(AND(Advanced!AQ96=1, Advanced!AM96=0),Advanced!AD96,0)</f>
        <v>0</v>
      </c>
      <c r="N143">
        <f>IF(AND(Advanced!I96="Pass",Advanced!Q96="Pass",Advanced!Y96="Pass"),-1,0)</f>
        <v>0</v>
      </c>
      <c r="O143">
        <f>Excellent!C96</f>
        <v>0</v>
      </c>
      <c r="P143">
        <f>IF(AND(Excellent!AQ96=1, Excellent!AM96=0),Excellent!AD96,0)</f>
        <v>0</v>
      </c>
      <c r="Q143">
        <f>IF(AND(Excellent!I96="Pass",Excellent!Q96="Pass",Excellent!Y96="Pass"),-1,0)</f>
        <v>0</v>
      </c>
    </row>
    <row r="144" spans="1:17" x14ac:dyDescent="0.25">
      <c r="A144">
        <f t="shared" si="4"/>
        <v>0</v>
      </c>
      <c r="B144" t="s">
        <v>19</v>
      </c>
      <c r="C144">
        <f>Advanced!C7</f>
        <v>0</v>
      </c>
      <c r="D144">
        <f>IF(Advanced!Q7="Pass",Advanced!O7,0)</f>
        <v>0</v>
      </c>
      <c r="E144" s="2" t="str">
        <f>IF(Advanced!B7="W","W","A")</f>
        <v>A</v>
      </c>
      <c r="F144" s="2" t="e">
        <f>VLOOKUP(JudgeD1ISA,Judges!$A$2:$B$44,2,FALSE)</f>
        <v>#N/A</v>
      </c>
      <c r="G144" t="str">
        <f>Advanced!Q7</f>
        <v/>
      </c>
      <c r="H144" s="113" t="str">
        <f t="shared" si="6"/>
        <v/>
      </c>
      <c r="L144">
        <f>Advanced!C97</f>
        <v>0</v>
      </c>
      <c r="M144">
        <f>IF(AND(Advanced!AQ97=1, Advanced!AM97=0),Advanced!AD97,0)</f>
        <v>0</v>
      </c>
      <c r="N144">
        <f>IF(AND(Advanced!I97="Pass",Advanced!Q97="Pass",Advanced!Y97="Pass"),-1,0)</f>
        <v>0</v>
      </c>
      <c r="O144">
        <f>Excellent!C97</f>
        <v>0</v>
      </c>
      <c r="P144">
        <f>IF(AND(Excellent!AQ97=1, Excellent!AM97=0),Excellent!AD97,0)</f>
        <v>0</v>
      </c>
      <c r="Q144">
        <f>IF(AND(Excellent!I97="Pass",Excellent!Q97="Pass",Excellent!Y97="Pass"),-1,0)</f>
        <v>0</v>
      </c>
    </row>
    <row r="145" spans="1:17" x14ac:dyDescent="0.25">
      <c r="A145">
        <f t="shared" si="4"/>
        <v>0</v>
      </c>
      <c r="B145" t="s">
        <v>19</v>
      </c>
      <c r="C145">
        <f>Advanced!C8</f>
        <v>0</v>
      </c>
      <c r="D145">
        <f>IF(Advanced!Q8="Pass",Advanced!O8,0)</f>
        <v>0</v>
      </c>
      <c r="E145" s="2" t="str">
        <f>IF(Advanced!B8="W","W","A")</f>
        <v>A</v>
      </c>
      <c r="F145" s="2" t="e">
        <f>VLOOKUP(JudgeD1ISA,Judges!$A$2:$B$44,2,FALSE)</f>
        <v>#N/A</v>
      </c>
      <c r="G145" t="str">
        <f>Advanced!Q8</f>
        <v/>
      </c>
      <c r="H145" s="113" t="str">
        <f t="shared" si="6"/>
        <v/>
      </c>
      <c r="L145">
        <f>Advanced!C98</f>
        <v>0</v>
      </c>
      <c r="M145">
        <f>IF(AND(Advanced!AQ98=1, Advanced!AM98=0),Advanced!AD98,0)</f>
        <v>0</v>
      </c>
      <c r="N145">
        <f>IF(AND(Advanced!I98="Pass",Advanced!Q98="Pass",Advanced!Y98="Pass"),-1,0)</f>
        <v>0</v>
      </c>
      <c r="O145">
        <f>Excellent!C98</f>
        <v>0</v>
      </c>
      <c r="P145">
        <f>IF(AND(Excellent!AQ98=1, Excellent!AM98=0),Excellent!AD98,0)</f>
        <v>0</v>
      </c>
      <c r="Q145">
        <f>IF(AND(Excellent!I98="Pass",Excellent!Q98="Pass",Excellent!Y98="Pass"),-1,0)</f>
        <v>0</v>
      </c>
    </row>
    <row r="146" spans="1:17" x14ac:dyDescent="0.25">
      <c r="A146">
        <f t="shared" si="4"/>
        <v>0</v>
      </c>
      <c r="B146" t="s">
        <v>19</v>
      </c>
      <c r="C146">
        <f>Advanced!C9</f>
        <v>0</v>
      </c>
      <c r="D146">
        <f>IF(Advanced!Q9="Pass",Advanced!O9,0)</f>
        <v>0</v>
      </c>
      <c r="E146" s="2" t="str">
        <f>IF(Advanced!B9="W","W","A")</f>
        <v>A</v>
      </c>
      <c r="F146" s="2" t="e">
        <f>VLOOKUP(JudgeD1ISA,Judges!$A$2:$B$44,2,FALSE)</f>
        <v>#N/A</v>
      </c>
      <c r="G146" t="str">
        <f>Advanced!Q9</f>
        <v/>
      </c>
      <c r="H146" s="113" t="str">
        <f t="shared" si="6"/>
        <v/>
      </c>
      <c r="L146">
        <f>Advanced!C99</f>
        <v>0</v>
      </c>
      <c r="M146">
        <f>IF(AND(Advanced!AQ99=1, Advanced!AM99=0),Advanced!AD99,0)</f>
        <v>0</v>
      </c>
      <c r="N146">
        <f>IF(AND(Advanced!I99="Pass",Advanced!Q99="Pass",Advanced!Y99="Pass"),-1,0)</f>
        <v>0</v>
      </c>
      <c r="O146">
        <f>Excellent!C99</f>
        <v>0</v>
      </c>
      <c r="P146">
        <f>IF(AND(Excellent!AQ99=1, Excellent!AM99=0),Excellent!AD99,0)</f>
        <v>0</v>
      </c>
      <c r="Q146">
        <f>IF(AND(Excellent!I99="Pass",Excellent!Q99="Pass",Excellent!Y99="Pass"),-1,0)</f>
        <v>0</v>
      </c>
    </row>
    <row r="147" spans="1:17" x14ac:dyDescent="0.25">
      <c r="A147">
        <f t="shared" si="4"/>
        <v>0</v>
      </c>
      <c r="B147" t="s">
        <v>19</v>
      </c>
      <c r="C147">
        <f>Advanced!C10</f>
        <v>0</v>
      </c>
      <c r="D147">
        <f>IF(Advanced!Q10="Pass",Advanced!O10,0)</f>
        <v>0</v>
      </c>
      <c r="E147" s="2" t="str">
        <f>IF(Advanced!B10="W","W","A")</f>
        <v>A</v>
      </c>
      <c r="F147" s="2" t="e">
        <f>VLOOKUP(JudgeD1ISA,Judges!$A$2:$B$44,2,FALSE)</f>
        <v>#N/A</v>
      </c>
      <c r="G147" t="str">
        <f>Advanced!Q10</f>
        <v/>
      </c>
      <c r="H147" s="113" t="str">
        <f t="shared" si="6"/>
        <v/>
      </c>
      <c r="L147">
        <f>Advanced!C100</f>
        <v>0</v>
      </c>
      <c r="M147">
        <f>IF(AND(Advanced!AQ100=1, Advanced!AM100=0),Advanced!AD100,0)</f>
        <v>0</v>
      </c>
      <c r="N147">
        <f>IF(AND(Advanced!I100="Pass",Advanced!Q100="Pass",Advanced!Y100="Pass"),-1,0)</f>
        <v>0</v>
      </c>
      <c r="O147">
        <f>Excellent!C100</f>
        <v>0</v>
      </c>
      <c r="P147">
        <f>IF(AND(Excellent!AQ100=1, Excellent!AM100=0),Excellent!AD100,0)</f>
        <v>0</v>
      </c>
      <c r="Q147">
        <f>IF(AND(Excellent!I100="Pass",Excellent!Q100="Pass",Excellent!Y100="Pass"),-1,0)</f>
        <v>0</v>
      </c>
    </row>
    <row r="148" spans="1:17" x14ac:dyDescent="0.25">
      <c r="A148">
        <f t="shared" si="4"/>
        <v>0</v>
      </c>
      <c r="B148" t="s">
        <v>19</v>
      </c>
      <c r="C148">
        <f>Advanced!C11</f>
        <v>0</v>
      </c>
      <c r="D148">
        <f>IF(Advanced!Q11="Pass",Advanced!O11,0)</f>
        <v>0</v>
      </c>
      <c r="E148" s="2" t="str">
        <f>IF(Advanced!B11="W","W","A")</f>
        <v>A</v>
      </c>
      <c r="F148" s="2" t="e">
        <f>VLOOKUP(JudgeD1ISA,Judges!$A$2:$B$44,2,FALSE)</f>
        <v>#N/A</v>
      </c>
      <c r="G148" t="str">
        <f>Advanced!Q11</f>
        <v/>
      </c>
      <c r="H148" s="113" t="str">
        <f t="shared" si="6"/>
        <v/>
      </c>
      <c r="L148">
        <f>Advanced!C101</f>
        <v>0</v>
      </c>
      <c r="M148">
        <f>IF(AND(Advanced!AQ101=1, Advanced!AM101=0),Advanced!AD101,0)</f>
        <v>0</v>
      </c>
      <c r="N148">
        <f>IF(AND(Advanced!I101="Pass",Advanced!Q101="Pass",Advanced!Y101="Pass"),-1,0)</f>
        <v>0</v>
      </c>
      <c r="O148">
        <f>Excellent!C101</f>
        <v>0</v>
      </c>
      <c r="P148">
        <f>IF(AND(Excellent!AQ101=1, Excellent!AM101=0),Excellent!AD101,0)</f>
        <v>0</v>
      </c>
      <c r="Q148">
        <f>IF(AND(Excellent!I101="Pass",Excellent!Q101="Pass",Excellent!Y101="Pass"),-1,0)</f>
        <v>0</v>
      </c>
    </row>
    <row r="149" spans="1:17" x14ac:dyDescent="0.25">
      <c r="A149">
        <f t="shared" si="4"/>
        <v>0</v>
      </c>
      <c r="B149" t="s">
        <v>19</v>
      </c>
      <c r="C149">
        <f>Advanced!C12</f>
        <v>0</v>
      </c>
      <c r="D149">
        <f>IF(Advanced!Q12="Pass",Advanced!O12,0)</f>
        <v>0</v>
      </c>
      <c r="E149" s="2" t="str">
        <f>IF(Advanced!B12="W","W","A")</f>
        <v>A</v>
      </c>
      <c r="F149" s="2" t="e">
        <f>VLOOKUP(JudgeD1ISA,Judges!$A$2:$B$44,2,FALSE)</f>
        <v>#N/A</v>
      </c>
      <c r="G149" t="str">
        <f>Advanced!Q12</f>
        <v/>
      </c>
      <c r="H149" s="113" t="str">
        <f t="shared" si="6"/>
        <v/>
      </c>
      <c r="L149">
        <f>Advanced!C102</f>
        <v>0</v>
      </c>
      <c r="M149">
        <f>IF(AND(Advanced!AQ102=1, Advanced!AM102=0),Advanced!AD102,0)</f>
        <v>0</v>
      </c>
      <c r="N149">
        <f>IF(AND(Advanced!I102="Pass",Advanced!Q102="Pass",Advanced!Y102="Pass"),-1,0)</f>
        <v>0</v>
      </c>
      <c r="O149">
        <f>Excellent!C102</f>
        <v>0</v>
      </c>
      <c r="P149">
        <f>IF(AND(Excellent!AQ102=1, Excellent!AM102=0),Excellent!AD102,0)</f>
        <v>0</v>
      </c>
      <c r="Q149">
        <f>IF(AND(Excellent!I102="Pass",Excellent!Q102="Pass",Excellent!Y102="Pass"),-1,0)</f>
        <v>0</v>
      </c>
    </row>
    <row r="150" spans="1:17" x14ac:dyDescent="0.25">
      <c r="A150">
        <f t="shared" si="4"/>
        <v>0</v>
      </c>
      <c r="B150" t="s">
        <v>19</v>
      </c>
      <c r="C150">
        <f>Advanced!C13</f>
        <v>0</v>
      </c>
      <c r="D150">
        <f>IF(Advanced!Q13="Pass",Advanced!O13,0)</f>
        <v>0</v>
      </c>
      <c r="E150" s="2" t="str">
        <f>IF(Advanced!B13="W","W","A")</f>
        <v>A</v>
      </c>
      <c r="F150" s="2" t="e">
        <f>VLOOKUP(JudgeD1ISA,Judges!$A$2:$B$44,2,FALSE)</f>
        <v>#N/A</v>
      </c>
      <c r="G150" t="str">
        <f>Advanced!Q13</f>
        <v/>
      </c>
      <c r="H150" s="113" t="str">
        <f t="shared" si="6"/>
        <v/>
      </c>
      <c r="L150">
        <f>Advanced!C103</f>
        <v>0</v>
      </c>
      <c r="M150">
        <f>IF(AND(Advanced!AQ103=1, Advanced!AM103=0),Advanced!AD103,0)</f>
        <v>0</v>
      </c>
      <c r="N150">
        <f>IF(AND(Advanced!I103="Pass",Advanced!Q103="Pass",Advanced!Y103="Pass"),-1,0)</f>
        <v>0</v>
      </c>
      <c r="O150">
        <f>Excellent!C103</f>
        <v>0</v>
      </c>
      <c r="P150">
        <f>IF(AND(Excellent!AQ103=1, Excellent!AM103=0),Excellent!AD103,0)</f>
        <v>0</v>
      </c>
      <c r="Q150">
        <f>IF(AND(Excellent!I103="Pass",Excellent!Q103="Pass",Excellent!Y103="Pass"),-1,0)</f>
        <v>0</v>
      </c>
    </row>
    <row r="151" spans="1:17" x14ac:dyDescent="0.25">
      <c r="A151">
        <f t="shared" si="4"/>
        <v>0</v>
      </c>
      <c r="B151" t="s">
        <v>19</v>
      </c>
      <c r="C151">
        <f>Advanced!C14</f>
        <v>0</v>
      </c>
      <c r="D151">
        <f>IF(Advanced!Q14="Pass",Advanced!O14,0)</f>
        <v>0</v>
      </c>
      <c r="E151" s="2" t="str">
        <f>IF(Advanced!B14="W","W","A")</f>
        <v>A</v>
      </c>
      <c r="F151" s="2" t="e">
        <f>VLOOKUP(JudgeD1ISA,Judges!$A$2:$B$44,2,FALSE)</f>
        <v>#N/A</v>
      </c>
      <c r="G151" t="str">
        <f>Advanced!Q14</f>
        <v/>
      </c>
      <c r="H151" s="113" t="str">
        <f t="shared" si="6"/>
        <v/>
      </c>
      <c r="L151">
        <f>Advanced!C104</f>
        <v>0</v>
      </c>
      <c r="M151">
        <f>IF(AND(Advanced!AQ104=1, Advanced!AM104=0),Advanced!AD104,0)</f>
        <v>0</v>
      </c>
      <c r="N151">
        <f>IF(AND(Advanced!I104="Pass",Advanced!Q104="Pass",Advanced!Y104="Pass"),-1,0)</f>
        <v>0</v>
      </c>
      <c r="O151">
        <f>Excellent!C104</f>
        <v>0</v>
      </c>
      <c r="P151">
        <f>IF(AND(Excellent!AQ104=1, Excellent!AM104=0),Excellent!AD104,0)</f>
        <v>0</v>
      </c>
      <c r="Q151">
        <f>IF(AND(Excellent!I104="Pass",Excellent!Q104="Pass",Excellent!Y104="Pass"),-1,0)</f>
        <v>0</v>
      </c>
    </row>
    <row r="152" spans="1:17" x14ac:dyDescent="0.25">
      <c r="A152">
        <f t="shared" si="4"/>
        <v>0</v>
      </c>
      <c r="B152" t="s">
        <v>19</v>
      </c>
      <c r="C152">
        <f>Advanced!C15</f>
        <v>0</v>
      </c>
      <c r="D152">
        <f>IF(Advanced!Q15="Pass",Advanced!O15,0)</f>
        <v>0</v>
      </c>
      <c r="E152" s="2" t="str">
        <f>IF(Advanced!B15="W","W","A")</f>
        <v>A</v>
      </c>
      <c r="F152" s="2" t="e">
        <f>VLOOKUP(JudgeD1ISA,Judges!$A$2:$B$44,2,FALSE)</f>
        <v>#N/A</v>
      </c>
      <c r="G152" t="str">
        <f>Advanced!Q15</f>
        <v/>
      </c>
      <c r="H152" s="113" t="str">
        <f t="shared" si="6"/>
        <v/>
      </c>
      <c r="L152">
        <f>Advanced!C105</f>
        <v>0</v>
      </c>
      <c r="M152">
        <f>IF(AND(Advanced!AQ105=1, Advanced!AM105=0),Advanced!AD105,0)</f>
        <v>0</v>
      </c>
      <c r="N152">
        <f>IF(AND(Advanced!I105="Pass",Advanced!Q105="Pass",Advanced!Y105="Pass"),-1,0)</f>
        <v>0</v>
      </c>
      <c r="O152">
        <f>Excellent!C105</f>
        <v>0</v>
      </c>
      <c r="P152">
        <f>IF(AND(Excellent!AQ105=1, Excellent!AM105=0),Excellent!AD105,0)</f>
        <v>0</v>
      </c>
      <c r="Q152">
        <f>IF(AND(Excellent!I105="Pass",Excellent!Q105="Pass",Excellent!Y105="Pass"),-1,0)</f>
        <v>0</v>
      </c>
    </row>
    <row r="153" spans="1:17" x14ac:dyDescent="0.25">
      <c r="A153">
        <f t="shared" si="4"/>
        <v>0</v>
      </c>
      <c r="B153" t="s">
        <v>19</v>
      </c>
      <c r="C153">
        <f>Advanced!C16</f>
        <v>0</v>
      </c>
      <c r="D153">
        <f>IF(Advanced!Q16="Pass",Advanced!O16,0)</f>
        <v>0</v>
      </c>
      <c r="E153" s="2" t="str">
        <f>IF(Advanced!B16="W","W","A")</f>
        <v>A</v>
      </c>
      <c r="F153" s="2" t="e">
        <f>VLOOKUP(JudgeD1ISA,Judges!$A$2:$B$44,2,FALSE)</f>
        <v>#N/A</v>
      </c>
      <c r="G153" t="str">
        <f>Advanced!Q16</f>
        <v/>
      </c>
      <c r="H153" s="113" t="str">
        <f t="shared" si="6"/>
        <v/>
      </c>
      <c r="L153">
        <f>Advanced!C106</f>
        <v>0</v>
      </c>
      <c r="M153">
        <f>IF(AND(Advanced!AQ106=1, Advanced!AM106=0),Advanced!AD106,0)</f>
        <v>0</v>
      </c>
      <c r="N153">
        <f>IF(AND(Advanced!I106="Pass",Advanced!Q106="Pass",Advanced!Y106="Pass"),-1,0)</f>
        <v>0</v>
      </c>
      <c r="O153">
        <f>Excellent!C106</f>
        <v>0</v>
      </c>
      <c r="P153">
        <f>IF(AND(Excellent!AQ106=1, Excellent!AM106=0),Excellent!AD106,0)</f>
        <v>0</v>
      </c>
      <c r="Q153">
        <f>IF(AND(Excellent!I106="Pass",Excellent!Q106="Pass",Excellent!Y106="Pass"),-1,0)</f>
        <v>0</v>
      </c>
    </row>
    <row r="154" spans="1:17" x14ac:dyDescent="0.25">
      <c r="A154">
        <f t="shared" si="4"/>
        <v>0</v>
      </c>
      <c r="B154" t="s">
        <v>19</v>
      </c>
      <c r="C154">
        <f>Advanced!C17</f>
        <v>0</v>
      </c>
      <c r="D154">
        <f>IF(Advanced!Q17="Pass",Advanced!O17,0)</f>
        <v>0</v>
      </c>
      <c r="E154" s="2" t="str">
        <f>IF(Advanced!B17="W","W","A")</f>
        <v>A</v>
      </c>
      <c r="F154" s="2" t="e">
        <f>VLOOKUP(JudgeD1ISA,Judges!$A$2:$B$44,2,FALSE)</f>
        <v>#N/A</v>
      </c>
      <c r="G154" t="str">
        <f>Advanced!Q17</f>
        <v/>
      </c>
      <c r="H154" s="113" t="str">
        <f t="shared" si="6"/>
        <v/>
      </c>
      <c r="L154">
        <f>Advanced!C107</f>
        <v>0</v>
      </c>
      <c r="M154">
        <f>IF(AND(Advanced!AQ107=1, Advanced!AM107=0),Advanced!AD107,0)</f>
        <v>0</v>
      </c>
      <c r="N154">
        <f>IF(AND(Advanced!I107="Pass",Advanced!Q107="Pass",Advanced!Y107="Pass"),-1,0)</f>
        <v>0</v>
      </c>
      <c r="O154">
        <f>Excellent!C107</f>
        <v>0</v>
      </c>
      <c r="P154">
        <f>IF(AND(Excellent!AQ107=1, Excellent!AM107=0),Excellent!AD107,0)</f>
        <v>0</v>
      </c>
      <c r="Q154">
        <f>IF(AND(Excellent!I107="Pass",Excellent!Q107="Pass",Excellent!Y107="Pass"),-1,0)</f>
        <v>0</v>
      </c>
    </row>
    <row r="155" spans="1:17" x14ac:dyDescent="0.25">
      <c r="A155">
        <f t="shared" si="4"/>
        <v>0</v>
      </c>
      <c r="B155" t="s">
        <v>19</v>
      </c>
      <c r="C155">
        <f>Advanced!C18</f>
        <v>0</v>
      </c>
      <c r="D155">
        <f>IF(Advanced!Q18="Pass",Advanced!O18,0)</f>
        <v>0</v>
      </c>
      <c r="E155" s="2" t="str">
        <f>IF(Advanced!B18="W","W","A")</f>
        <v>A</v>
      </c>
      <c r="F155" s="2" t="e">
        <f>VLOOKUP(JudgeD1ISA,Judges!$A$2:$B$44,2,FALSE)</f>
        <v>#N/A</v>
      </c>
      <c r="G155" t="str">
        <f>Advanced!Q18</f>
        <v/>
      </c>
      <c r="H155" s="113" t="str">
        <f t="shared" si="6"/>
        <v/>
      </c>
      <c r="L155">
        <f>Advanced!C108</f>
        <v>0</v>
      </c>
      <c r="M155">
        <f>IF(AND(Advanced!AQ108=1, Advanced!AM108=0),Advanced!AD108,0)</f>
        <v>0</v>
      </c>
      <c r="N155">
        <f>IF(AND(Advanced!I108="Pass",Advanced!Q108="Pass",Advanced!Y108="Pass"),-1,0)</f>
        <v>0</v>
      </c>
      <c r="O155">
        <f>Excellent!C108</f>
        <v>0</v>
      </c>
      <c r="P155">
        <f>IF(AND(Excellent!AQ108=1, Excellent!AM108=0),Excellent!AD108,0)</f>
        <v>0</v>
      </c>
      <c r="Q155">
        <f>IF(AND(Excellent!I108="Pass",Excellent!Q108="Pass",Excellent!Y108="Pass"),-1,0)</f>
        <v>0</v>
      </c>
    </row>
    <row r="156" spans="1:17" x14ac:dyDescent="0.25">
      <c r="A156">
        <f t="shared" si="4"/>
        <v>0</v>
      </c>
      <c r="B156" t="s">
        <v>19</v>
      </c>
      <c r="C156">
        <f>Advanced!C19</f>
        <v>0</v>
      </c>
      <c r="D156">
        <f>IF(Advanced!Q19="Pass",Advanced!O19,0)</f>
        <v>0</v>
      </c>
      <c r="E156" s="2" t="str">
        <f>IF(Advanced!B19="W","W","A")</f>
        <v>A</v>
      </c>
      <c r="F156" s="2" t="e">
        <f>VLOOKUP(JudgeD1ISA,Judges!$A$2:$B$44,2,FALSE)</f>
        <v>#N/A</v>
      </c>
      <c r="G156" t="str">
        <f>Advanced!Q19</f>
        <v/>
      </c>
      <c r="H156" s="113" t="str">
        <f t="shared" si="6"/>
        <v/>
      </c>
      <c r="L156">
        <f>Advanced!C109</f>
        <v>0</v>
      </c>
      <c r="M156">
        <f>IF(AND(Advanced!AQ109=1, Advanced!AM109=0),Advanced!AD109,0)</f>
        <v>0</v>
      </c>
      <c r="N156">
        <f>IF(AND(Advanced!I109="Pass",Advanced!Q109="Pass",Advanced!Y109="Pass"),-1,0)</f>
        <v>0</v>
      </c>
      <c r="O156">
        <f>Excellent!C109</f>
        <v>0</v>
      </c>
      <c r="P156">
        <f>IF(AND(Excellent!AQ109=1, Excellent!AM109=0),Excellent!AD109,0)</f>
        <v>0</v>
      </c>
      <c r="Q156">
        <f>IF(AND(Excellent!I109="Pass",Excellent!Q109="Pass",Excellent!Y109="Pass"),-1,0)</f>
        <v>0</v>
      </c>
    </row>
    <row r="157" spans="1:17" x14ac:dyDescent="0.25">
      <c r="A157">
        <f t="shared" si="4"/>
        <v>0</v>
      </c>
      <c r="B157" t="s">
        <v>19</v>
      </c>
      <c r="C157">
        <f>Advanced!C20</f>
        <v>0</v>
      </c>
      <c r="D157">
        <f>IF(Advanced!Q20="Pass",Advanced!O20,0)</f>
        <v>0</v>
      </c>
      <c r="E157" s="2" t="str">
        <f>IF(Advanced!B20="W","W","A")</f>
        <v>A</v>
      </c>
      <c r="F157" s="2" t="e">
        <f>VLOOKUP(JudgeD1ISA,Judges!$A$2:$B$44,2,FALSE)</f>
        <v>#N/A</v>
      </c>
      <c r="G157" t="str">
        <f>Advanced!Q20</f>
        <v/>
      </c>
      <c r="H157" s="113" t="str">
        <f t="shared" si="6"/>
        <v/>
      </c>
      <c r="L157">
        <f>Advanced!C110</f>
        <v>0</v>
      </c>
      <c r="M157">
        <f>IF(AND(Advanced!AQ110=1, Advanced!AM110=0),Advanced!AD110,0)</f>
        <v>0</v>
      </c>
      <c r="N157">
        <f>IF(AND(Advanced!I110="Pass",Advanced!Q110="Pass",Advanced!Y110="Pass"),-1,0)</f>
        <v>0</v>
      </c>
      <c r="O157">
        <f>Excellent!C110</f>
        <v>0</v>
      </c>
      <c r="P157">
        <f>IF(AND(Excellent!AQ110=1, Excellent!AM110=0),Excellent!AD110,0)</f>
        <v>0</v>
      </c>
      <c r="Q157">
        <f>IF(AND(Excellent!I110="Pass",Excellent!Q110="Pass",Excellent!Y110="Pass"),-1,0)</f>
        <v>0</v>
      </c>
    </row>
    <row r="158" spans="1:17" x14ac:dyDescent="0.25">
      <c r="A158">
        <f t="shared" si="4"/>
        <v>0</v>
      </c>
      <c r="B158" t="s">
        <v>19</v>
      </c>
      <c r="C158">
        <f>Advanced!C21</f>
        <v>0</v>
      </c>
      <c r="D158">
        <f>IF(Advanced!Q21="Pass",Advanced!O21,0)</f>
        <v>0</v>
      </c>
      <c r="E158" s="2" t="str">
        <f>IF(Advanced!B21="W","W","A")</f>
        <v>A</v>
      </c>
      <c r="F158" s="2" t="e">
        <f>VLOOKUP(JudgeD1ISA,Judges!$A$2:$B$44,2,FALSE)</f>
        <v>#N/A</v>
      </c>
      <c r="G158" t="str">
        <f>Advanced!Q21</f>
        <v/>
      </c>
      <c r="H158" s="113" t="str">
        <f t="shared" si="6"/>
        <v/>
      </c>
      <c r="L158">
        <f>Advanced!C111</f>
        <v>0</v>
      </c>
      <c r="M158">
        <f>IF(AND(Advanced!AQ111=1, Advanced!AM111=0),Advanced!AD111,0)</f>
        <v>0</v>
      </c>
      <c r="N158">
        <f>IF(AND(Advanced!I111="Pass",Advanced!Q111="Pass",Advanced!Y111="Pass"),-1,0)</f>
        <v>0</v>
      </c>
      <c r="O158">
        <f>Excellent!C111</f>
        <v>0</v>
      </c>
      <c r="P158">
        <f>IF(AND(Excellent!AQ111=1, Excellent!AM111=0),Excellent!AD111,0)</f>
        <v>0</v>
      </c>
      <c r="Q158">
        <f>IF(AND(Excellent!I111="Pass",Excellent!Q111="Pass",Excellent!Y111="Pass"),-1,0)</f>
        <v>0</v>
      </c>
    </row>
    <row r="159" spans="1:17" x14ac:dyDescent="0.25">
      <c r="A159">
        <f t="shared" si="4"/>
        <v>0</v>
      </c>
      <c r="B159" t="s">
        <v>19</v>
      </c>
      <c r="C159">
        <f>Advanced!C22</f>
        <v>0</v>
      </c>
      <c r="D159">
        <f>IF(Advanced!Q22="Pass",Advanced!O22,0)</f>
        <v>0</v>
      </c>
      <c r="E159" s="2" t="str">
        <f>IF(Advanced!B22="W","W","A")</f>
        <v>A</v>
      </c>
      <c r="F159" s="2" t="e">
        <f>VLOOKUP(JudgeD1ISA,Judges!$A$2:$B$44,2,FALSE)</f>
        <v>#N/A</v>
      </c>
      <c r="G159" t="str">
        <f>Advanced!Q22</f>
        <v/>
      </c>
      <c r="H159" s="113" t="str">
        <f t="shared" si="6"/>
        <v/>
      </c>
      <c r="L159">
        <f>Advanced!C112</f>
        <v>0</v>
      </c>
      <c r="M159">
        <f>IF(AND(Advanced!AQ112=1, Advanced!AM112=0),Advanced!AD112,0)</f>
        <v>0</v>
      </c>
      <c r="N159">
        <f>IF(AND(Advanced!I112="Pass",Advanced!Q112="Pass",Advanced!Y112="Pass"),-1,0)</f>
        <v>0</v>
      </c>
      <c r="O159">
        <f>Excellent!C112</f>
        <v>0</v>
      </c>
      <c r="P159">
        <f>IF(AND(Excellent!AQ112=1, Excellent!AM112=0),Excellent!AD112,0)</f>
        <v>0</v>
      </c>
      <c r="Q159">
        <f>IF(AND(Excellent!I112="Pass",Excellent!Q112="Pass",Excellent!Y112="Pass"),-1,0)</f>
        <v>0</v>
      </c>
    </row>
    <row r="160" spans="1:17" x14ac:dyDescent="0.25">
      <c r="A160">
        <f t="shared" si="4"/>
        <v>0</v>
      </c>
      <c r="B160" t="s">
        <v>19</v>
      </c>
      <c r="C160">
        <f>Advanced!C23</f>
        <v>0</v>
      </c>
      <c r="D160">
        <f>IF(Advanced!Q23="Pass",Advanced!O23,0)</f>
        <v>0</v>
      </c>
      <c r="E160" s="2" t="str">
        <f>IF(Advanced!B23="W","W","A")</f>
        <v>A</v>
      </c>
      <c r="F160" s="2" t="e">
        <f>VLOOKUP(JudgeD1ISA,Judges!$A$2:$B$44,2,FALSE)</f>
        <v>#N/A</v>
      </c>
      <c r="G160" t="str">
        <f>Advanced!Q23</f>
        <v/>
      </c>
      <c r="H160" s="113" t="str">
        <f t="shared" si="6"/>
        <v/>
      </c>
      <c r="L160">
        <f>Advanced!C113</f>
        <v>0</v>
      </c>
      <c r="M160">
        <f>IF(AND(Advanced!AQ113=1, Advanced!AM113=0),Advanced!AD113,0)</f>
        <v>0</v>
      </c>
      <c r="N160">
        <f>IF(AND(Advanced!I113="Pass",Advanced!Q113="Pass",Advanced!Y113="Pass"),-1,0)</f>
        <v>0</v>
      </c>
      <c r="O160">
        <f>Excellent!C113</f>
        <v>0</v>
      </c>
      <c r="P160">
        <f>IF(AND(Excellent!AQ113=1, Excellent!AM113=0),Excellent!AD113,0)</f>
        <v>0</v>
      </c>
      <c r="Q160">
        <f>IF(AND(Excellent!I113="Pass",Excellent!Q113="Pass",Excellent!Y113="Pass"),-1,0)</f>
        <v>0</v>
      </c>
    </row>
    <row r="161" spans="1:17" x14ac:dyDescent="0.25">
      <c r="A161">
        <f t="shared" si="4"/>
        <v>0</v>
      </c>
      <c r="B161" t="s">
        <v>19</v>
      </c>
      <c r="C161">
        <f>Advanced!C24</f>
        <v>0</v>
      </c>
      <c r="D161">
        <f>IF(Advanced!Q24="Pass",Advanced!O24,0)</f>
        <v>0</v>
      </c>
      <c r="E161" s="2" t="str">
        <f>IF(Advanced!B24="W","W","A")</f>
        <v>A</v>
      </c>
      <c r="F161" s="2" t="e">
        <f>VLOOKUP(JudgeD1ISA,Judges!$A$2:$B$44,2,FALSE)</f>
        <v>#N/A</v>
      </c>
      <c r="G161" t="str">
        <f>Advanced!Q24</f>
        <v/>
      </c>
      <c r="H161" s="113" t="str">
        <f t="shared" si="6"/>
        <v/>
      </c>
      <c r="L161">
        <f>Advanced!C114</f>
        <v>0</v>
      </c>
      <c r="M161">
        <f>IF(AND(Advanced!AQ114=1, Advanced!AM114=0),Advanced!AD114,0)</f>
        <v>0</v>
      </c>
      <c r="N161">
        <f>IF(AND(Advanced!I114="Pass",Advanced!Q114="Pass",Advanced!Y114="Pass"),-1,0)</f>
        <v>0</v>
      </c>
      <c r="O161">
        <f>Excellent!C114</f>
        <v>0</v>
      </c>
      <c r="P161">
        <f>IF(AND(Excellent!AQ114=1, Excellent!AM114=0),Excellent!AD114,0)</f>
        <v>0</v>
      </c>
      <c r="Q161">
        <f>IF(AND(Excellent!I114="Pass",Excellent!Q114="Pass",Excellent!Y114="Pass"),-1,0)</f>
        <v>0</v>
      </c>
    </row>
    <row r="162" spans="1:17" x14ac:dyDescent="0.25">
      <c r="A162">
        <f t="shared" si="4"/>
        <v>0</v>
      </c>
      <c r="B162" t="s">
        <v>19</v>
      </c>
      <c r="C162">
        <f>Advanced!C25</f>
        <v>0</v>
      </c>
      <c r="D162">
        <f>IF(Advanced!Q25="Pass",Advanced!O25,0)</f>
        <v>0</v>
      </c>
      <c r="E162" s="2" t="str">
        <f>IF(Advanced!B25="W","W","A")</f>
        <v>A</v>
      </c>
      <c r="F162" s="2" t="e">
        <f>VLOOKUP(JudgeD1ISA,Judges!$A$2:$B$44,2,FALSE)</f>
        <v>#N/A</v>
      </c>
      <c r="G162" t="str">
        <f>Advanced!Q25</f>
        <v/>
      </c>
    </row>
    <row r="163" spans="1:17" x14ac:dyDescent="0.25">
      <c r="A163">
        <f t="shared" si="4"/>
        <v>0</v>
      </c>
      <c r="B163" t="s">
        <v>19</v>
      </c>
      <c r="C163">
        <f>Advanced!C26</f>
        <v>0</v>
      </c>
      <c r="D163">
        <f>IF(Advanced!Q26="Pass",Advanced!O26,0)</f>
        <v>0</v>
      </c>
      <c r="E163" s="2" t="str">
        <f>IF(Advanced!B26="W","W","A")</f>
        <v>A</v>
      </c>
      <c r="F163" s="2" t="e">
        <f>VLOOKUP(JudgeD1ISA,Judges!$A$2:$B$44,2,FALSE)</f>
        <v>#N/A</v>
      </c>
      <c r="G163" t="str">
        <f>Advanced!Q26</f>
        <v/>
      </c>
    </row>
    <row r="164" spans="1:17" x14ac:dyDescent="0.25">
      <c r="A164">
        <f t="shared" si="4"/>
        <v>0</v>
      </c>
      <c r="B164" t="s">
        <v>19</v>
      </c>
      <c r="C164">
        <f>Advanced!C27</f>
        <v>0</v>
      </c>
      <c r="D164">
        <f>IF(Advanced!Q27="Pass",Advanced!O27,0)</f>
        <v>0</v>
      </c>
      <c r="E164" s="2" t="str">
        <f>IF(Advanced!B27="W","W","A")</f>
        <v>A</v>
      </c>
      <c r="F164" s="2" t="e">
        <f>VLOOKUP(JudgeD1ISA,Judges!$A$2:$B$44,2,FALSE)</f>
        <v>#N/A</v>
      </c>
      <c r="G164" t="str">
        <f>Advanced!Q27</f>
        <v/>
      </c>
    </row>
    <row r="165" spans="1:17" x14ac:dyDescent="0.25">
      <c r="A165">
        <f t="shared" si="4"/>
        <v>0</v>
      </c>
      <c r="B165" t="s">
        <v>19</v>
      </c>
      <c r="C165">
        <f>Advanced!C28</f>
        <v>0</v>
      </c>
      <c r="D165">
        <f>IF(Advanced!Q28="Pass",Advanced!O28,0)</f>
        <v>0</v>
      </c>
      <c r="E165" s="2" t="str">
        <f>IF(Advanced!B28="W","W","A")</f>
        <v>A</v>
      </c>
      <c r="F165" s="2" t="e">
        <f>VLOOKUP(JudgeD1ISA,Judges!$A$2:$B$44,2,FALSE)</f>
        <v>#N/A</v>
      </c>
      <c r="G165" t="str">
        <f>Advanced!Q28</f>
        <v/>
      </c>
    </row>
    <row r="166" spans="1:17" x14ac:dyDescent="0.25">
      <c r="A166">
        <f t="shared" si="4"/>
        <v>0</v>
      </c>
      <c r="B166" t="s">
        <v>19</v>
      </c>
      <c r="C166">
        <f>Advanced!C29</f>
        <v>0</v>
      </c>
      <c r="D166">
        <f>IF(Advanced!Q29="Pass",Advanced!O29,0)</f>
        <v>0</v>
      </c>
      <c r="E166" s="2" t="str">
        <f>IF(Advanced!B29="W","W","A")</f>
        <v>A</v>
      </c>
      <c r="F166" s="2" t="e">
        <f>VLOOKUP(JudgeD1ISA,Judges!$A$2:$B$44,2,FALSE)</f>
        <v>#N/A</v>
      </c>
      <c r="G166" t="str">
        <f>Advanced!Q29</f>
        <v/>
      </c>
    </row>
    <row r="167" spans="1:17" x14ac:dyDescent="0.25">
      <c r="A167">
        <f t="shared" si="4"/>
        <v>0</v>
      </c>
      <c r="B167" t="s">
        <v>19</v>
      </c>
      <c r="C167">
        <f>Advanced!C30</f>
        <v>0</v>
      </c>
      <c r="D167">
        <f>IF(Advanced!Q30="Pass",Advanced!O30,0)</f>
        <v>0</v>
      </c>
      <c r="E167" s="2" t="str">
        <f>IF(Advanced!B30="W","W","A")</f>
        <v>A</v>
      </c>
      <c r="F167" s="2" t="e">
        <f>VLOOKUP(JudgeD1ISA,Judges!$A$2:$B$44,2,FALSE)</f>
        <v>#N/A</v>
      </c>
      <c r="G167" t="str">
        <f>Advanced!Q30</f>
        <v/>
      </c>
    </row>
    <row r="168" spans="1:17" x14ac:dyDescent="0.25">
      <c r="A168">
        <f t="shared" si="4"/>
        <v>0</v>
      </c>
      <c r="B168" t="s">
        <v>19</v>
      </c>
      <c r="C168">
        <f>Advanced!C31</f>
        <v>0</v>
      </c>
      <c r="D168">
        <f>IF(Advanced!Q31="Pass",Advanced!O31,0)</f>
        <v>0</v>
      </c>
      <c r="E168" s="2" t="str">
        <f>IF(Advanced!B31="W","W","A")</f>
        <v>A</v>
      </c>
      <c r="F168" s="2" t="e">
        <f>VLOOKUP(JudgeD1ISA,Judges!$A$2:$B$44,2,FALSE)</f>
        <v>#N/A</v>
      </c>
      <c r="G168" t="str">
        <f>Advanced!Q31</f>
        <v/>
      </c>
    </row>
    <row r="169" spans="1:17" x14ac:dyDescent="0.25">
      <c r="A169">
        <f t="shared" si="4"/>
        <v>0</v>
      </c>
      <c r="B169" t="s">
        <v>19</v>
      </c>
      <c r="C169">
        <f>Advanced!C32</f>
        <v>0</v>
      </c>
      <c r="D169">
        <f>IF(Advanced!Q32="Pass",Advanced!O32,0)</f>
        <v>0</v>
      </c>
      <c r="E169" s="2" t="str">
        <f>IF(Advanced!B32="W","W","A")</f>
        <v>A</v>
      </c>
      <c r="F169" s="2" t="e">
        <f>VLOOKUP(JudgeD1ISA,Judges!$A$2:$B$44,2,FALSE)</f>
        <v>#N/A</v>
      </c>
      <c r="G169" t="str">
        <f>Advanced!Q32</f>
        <v/>
      </c>
    </row>
    <row r="170" spans="1:17" x14ac:dyDescent="0.25">
      <c r="A170">
        <f t="shared" ref="A170:A273" si="7">TrialNumber</f>
        <v>0</v>
      </c>
      <c r="B170" t="s">
        <v>19</v>
      </c>
      <c r="C170">
        <f>Advanced!C33</f>
        <v>0</v>
      </c>
      <c r="D170">
        <f>IF(Advanced!Q33="Pass",Advanced!O33,0)</f>
        <v>0</v>
      </c>
      <c r="E170" s="2" t="str">
        <f>IF(Advanced!B33="W","W","A")</f>
        <v>A</v>
      </c>
      <c r="F170" s="2" t="e">
        <f>VLOOKUP(JudgeD1ISA,Judges!$A$2:$B$44,2,FALSE)</f>
        <v>#N/A</v>
      </c>
      <c r="G170" t="str">
        <f>Advanced!Q33</f>
        <v/>
      </c>
    </row>
    <row r="171" spans="1:17" x14ac:dyDescent="0.25">
      <c r="A171">
        <f t="shared" si="7"/>
        <v>0</v>
      </c>
      <c r="B171" t="s">
        <v>19</v>
      </c>
      <c r="C171">
        <f>Advanced!C34</f>
        <v>0</v>
      </c>
      <c r="D171">
        <f>IF(Advanced!Q34="Pass",Advanced!O34,0)</f>
        <v>0</v>
      </c>
      <c r="E171" s="2" t="str">
        <f>IF(Advanced!B34="W","W","A")</f>
        <v>A</v>
      </c>
      <c r="F171" s="2" t="e">
        <f>VLOOKUP(JudgeD1ISA,Judges!$A$2:$B$44,2,FALSE)</f>
        <v>#N/A</v>
      </c>
      <c r="G171" t="str">
        <f>Advanced!Q34</f>
        <v/>
      </c>
    </row>
    <row r="172" spans="1:17" x14ac:dyDescent="0.25">
      <c r="A172">
        <f t="shared" si="7"/>
        <v>0</v>
      </c>
      <c r="B172" t="s">
        <v>19</v>
      </c>
      <c r="C172">
        <f>Advanced!C35</f>
        <v>0</v>
      </c>
      <c r="D172">
        <f>IF(Advanced!Q35="Pass",Advanced!O35,0)</f>
        <v>0</v>
      </c>
      <c r="E172" s="2" t="str">
        <f>IF(Advanced!B35="W","W","A")</f>
        <v>A</v>
      </c>
      <c r="F172" s="2" t="e">
        <f>VLOOKUP(JudgeD1ISA,Judges!$A$2:$B$44,2,FALSE)</f>
        <v>#N/A</v>
      </c>
      <c r="G172" t="str">
        <f>Advanced!Q35</f>
        <v/>
      </c>
    </row>
    <row r="173" spans="1:17" x14ac:dyDescent="0.25">
      <c r="A173">
        <f t="shared" si="7"/>
        <v>0</v>
      </c>
      <c r="B173" t="s">
        <v>19</v>
      </c>
      <c r="C173">
        <f>Advanced!C36</f>
        <v>0</v>
      </c>
      <c r="D173">
        <f>IF(Advanced!Q36="Pass",Advanced!O36,0)</f>
        <v>0</v>
      </c>
      <c r="E173" s="2" t="str">
        <f>IF(Advanced!B36="W","W","A")</f>
        <v>A</v>
      </c>
      <c r="F173" s="2" t="e">
        <f>VLOOKUP(JudgeD1ISA,Judges!$A$2:$B$44,2,FALSE)</f>
        <v>#N/A</v>
      </c>
      <c r="G173" t="str">
        <f>Advanced!Q36</f>
        <v/>
      </c>
    </row>
    <row r="174" spans="1:17" x14ac:dyDescent="0.25">
      <c r="A174">
        <f t="shared" si="7"/>
        <v>0</v>
      </c>
      <c r="B174" t="s">
        <v>19</v>
      </c>
      <c r="C174">
        <f>Advanced!C37</f>
        <v>0</v>
      </c>
      <c r="D174">
        <f>IF(Advanced!Q37="Pass",Advanced!O37,0)</f>
        <v>0</v>
      </c>
      <c r="E174" s="2" t="str">
        <f>IF(Advanced!B37="W","W","A")</f>
        <v>A</v>
      </c>
      <c r="F174" s="2" t="e">
        <f>VLOOKUP(JudgeD1ISA,Judges!$A$2:$B$44,2,FALSE)</f>
        <v>#N/A</v>
      </c>
      <c r="G174" t="str">
        <f>Advanced!Q37</f>
        <v/>
      </c>
    </row>
    <row r="175" spans="1:17" x14ac:dyDescent="0.25">
      <c r="A175">
        <f t="shared" si="7"/>
        <v>0</v>
      </c>
      <c r="B175" t="s">
        <v>19</v>
      </c>
      <c r="C175">
        <f>Advanced!C38</f>
        <v>0</v>
      </c>
      <c r="D175">
        <f>IF(Advanced!Q38="Pass",Advanced!O38,0)</f>
        <v>0</v>
      </c>
      <c r="E175" s="2" t="str">
        <f>IF(Advanced!B38="W","W","A")</f>
        <v>A</v>
      </c>
      <c r="F175" s="2" t="e">
        <f>VLOOKUP(JudgeD1ISA,Judges!$A$2:$B$44,2,FALSE)</f>
        <v>#N/A</v>
      </c>
      <c r="G175" t="str">
        <f>Advanced!Q38</f>
        <v/>
      </c>
    </row>
    <row r="176" spans="1:17" x14ac:dyDescent="0.25">
      <c r="A176">
        <f t="shared" si="7"/>
        <v>0</v>
      </c>
      <c r="B176" t="s">
        <v>19</v>
      </c>
      <c r="C176">
        <f>Advanced!C39</f>
        <v>0</v>
      </c>
      <c r="D176">
        <f>IF(Advanced!Q39="Pass",Advanced!O39,0)</f>
        <v>0</v>
      </c>
      <c r="E176" s="2" t="str">
        <f>IF(Advanced!B39="W","W","A")</f>
        <v>A</v>
      </c>
      <c r="F176" s="2" t="e">
        <f>VLOOKUP(JudgeD1ISA,Judges!$A$2:$B$44,2,FALSE)</f>
        <v>#N/A</v>
      </c>
      <c r="G176" t="str">
        <f>Advanced!Q39</f>
        <v/>
      </c>
    </row>
    <row r="177" spans="1:7" x14ac:dyDescent="0.25">
      <c r="A177">
        <f t="shared" si="7"/>
        <v>0</v>
      </c>
      <c r="B177" t="s">
        <v>19</v>
      </c>
      <c r="C177">
        <f>Advanced!C40</f>
        <v>0</v>
      </c>
      <c r="D177">
        <f>IF(Advanced!Q40="Pass",Advanced!O40,0)</f>
        <v>0</v>
      </c>
      <c r="E177" s="2" t="str">
        <f>IF(Advanced!B40="W","W","A")</f>
        <v>A</v>
      </c>
      <c r="F177" s="2" t="e">
        <f>VLOOKUP(JudgeD1ISA,Judges!$A$2:$B$44,2,FALSE)</f>
        <v>#N/A</v>
      </c>
      <c r="G177" t="str">
        <f>Advanced!Q40</f>
        <v/>
      </c>
    </row>
    <row r="178" spans="1:7" x14ac:dyDescent="0.25">
      <c r="A178">
        <f t="shared" si="7"/>
        <v>0</v>
      </c>
      <c r="B178" t="s">
        <v>19</v>
      </c>
      <c r="C178">
        <f>Advanced!C41</f>
        <v>0</v>
      </c>
      <c r="D178">
        <f>IF(Advanced!Q41="Pass",Advanced!O41,0)</f>
        <v>0</v>
      </c>
      <c r="E178" s="2" t="str">
        <f>IF(Advanced!B41="W","W","A")</f>
        <v>A</v>
      </c>
      <c r="F178" s="2" t="e">
        <f>VLOOKUP(JudgeD1ISA,Judges!$A$2:$B$44,2,FALSE)</f>
        <v>#N/A</v>
      </c>
      <c r="G178" t="str">
        <f>Advanced!Q41</f>
        <v/>
      </c>
    </row>
    <row r="179" spans="1:7" x14ac:dyDescent="0.25">
      <c r="A179">
        <f t="shared" si="7"/>
        <v>0</v>
      </c>
      <c r="B179" t="s">
        <v>19</v>
      </c>
      <c r="C179">
        <f>Advanced!C42</f>
        <v>0</v>
      </c>
      <c r="D179">
        <f>IF(Advanced!Q42="Pass",Advanced!O42,0)</f>
        <v>0</v>
      </c>
      <c r="E179" s="2" t="str">
        <f>IF(Advanced!B42="W","W","A")</f>
        <v>A</v>
      </c>
      <c r="F179" s="2" t="e">
        <f>VLOOKUP(JudgeD1ISA,Judges!$A$2:$B$44,2,FALSE)</f>
        <v>#N/A</v>
      </c>
      <c r="G179" t="str">
        <f>Advanced!Q42</f>
        <v/>
      </c>
    </row>
    <row r="180" spans="1:7" x14ac:dyDescent="0.25">
      <c r="A180">
        <f t="shared" si="7"/>
        <v>0</v>
      </c>
      <c r="B180" t="s">
        <v>19</v>
      </c>
      <c r="C180">
        <f>Advanced!C43</f>
        <v>0</v>
      </c>
      <c r="D180">
        <f>IF(Advanced!Q43="Pass",Advanced!O43,0)</f>
        <v>0</v>
      </c>
      <c r="E180" s="2" t="str">
        <f>IF(Advanced!B43="W","W","A")</f>
        <v>A</v>
      </c>
      <c r="F180" s="2" t="e">
        <f>VLOOKUP(JudgeD1ISA,Judges!$A$2:$B$44,2,FALSE)</f>
        <v>#N/A</v>
      </c>
      <c r="G180" t="str">
        <f>Advanced!Q43</f>
        <v/>
      </c>
    </row>
    <row r="181" spans="1:7" x14ac:dyDescent="0.25">
      <c r="A181">
        <f t="shared" si="7"/>
        <v>0</v>
      </c>
      <c r="B181" t="s">
        <v>19</v>
      </c>
      <c r="C181">
        <f>Advanced!C44</f>
        <v>0</v>
      </c>
      <c r="D181">
        <f>IF(Advanced!Q44="Pass",Advanced!O44,0)</f>
        <v>0</v>
      </c>
      <c r="E181" s="2" t="str">
        <f>IF(Advanced!B44="W","W","A")</f>
        <v>A</v>
      </c>
      <c r="F181" s="2" t="e">
        <f>VLOOKUP(JudgeD1ISA,Judges!$A$2:$B$44,2,FALSE)</f>
        <v>#N/A</v>
      </c>
      <c r="G181" t="str">
        <f>Advanced!Q44</f>
        <v/>
      </c>
    </row>
    <row r="182" spans="1:7" x14ac:dyDescent="0.25">
      <c r="A182">
        <f t="shared" si="7"/>
        <v>0</v>
      </c>
      <c r="B182" t="s">
        <v>19</v>
      </c>
      <c r="C182">
        <f>Advanced!C45</f>
        <v>0</v>
      </c>
      <c r="D182">
        <f>IF(Advanced!Q45="Pass",Advanced!O45,0)</f>
        <v>0</v>
      </c>
      <c r="E182" s="2" t="str">
        <f>IF(Advanced!B45="W","W","A")</f>
        <v>A</v>
      </c>
      <c r="F182" s="2" t="e">
        <f>VLOOKUP(JudgeD1ISA,Judges!$A$2:$B$44,2,FALSE)</f>
        <v>#N/A</v>
      </c>
      <c r="G182" t="str">
        <f>Advanced!Q45</f>
        <v/>
      </c>
    </row>
    <row r="183" spans="1:7" x14ac:dyDescent="0.25">
      <c r="A183">
        <f t="shared" si="7"/>
        <v>0</v>
      </c>
      <c r="B183" t="s">
        <v>19</v>
      </c>
      <c r="C183">
        <f>Advanced!C46</f>
        <v>0</v>
      </c>
      <c r="D183">
        <f>IF(Advanced!Q46="Pass",Advanced!O46,0)</f>
        <v>0</v>
      </c>
      <c r="E183" s="2" t="str">
        <f>IF(Advanced!B46="W","W","A")</f>
        <v>A</v>
      </c>
      <c r="F183" s="2" t="e">
        <f>VLOOKUP(JudgeD1ISA,Judges!$A$2:$B$44,2,FALSE)</f>
        <v>#N/A</v>
      </c>
      <c r="G183" t="str">
        <f>Advanced!Q46</f>
        <v/>
      </c>
    </row>
    <row r="184" spans="1:7" x14ac:dyDescent="0.25">
      <c r="A184">
        <f t="shared" si="7"/>
        <v>0</v>
      </c>
      <c r="B184" t="s">
        <v>19</v>
      </c>
      <c r="C184">
        <f>Advanced!C47</f>
        <v>0</v>
      </c>
      <c r="D184">
        <f>IF(Advanced!Q47="Pass",Advanced!O47,0)</f>
        <v>0</v>
      </c>
      <c r="E184" s="2" t="str">
        <f>IF(Advanced!B47="W","W","A")</f>
        <v>A</v>
      </c>
      <c r="F184" s="2" t="e">
        <f>VLOOKUP(JudgeD1ISA,Judges!$A$2:$B$44,2,FALSE)</f>
        <v>#N/A</v>
      </c>
      <c r="G184" t="str">
        <f>Advanced!Q47</f>
        <v/>
      </c>
    </row>
    <row r="185" spans="1:7" x14ac:dyDescent="0.25">
      <c r="A185">
        <f t="shared" si="7"/>
        <v>0</v>
      </c>
      <c r="B185" t="s">
        <v>19</v>
      </c>
      <c r="C185">
        <f>Advanced!C48</f>
        <v>0</v>
      </c>
      <c r="D185">
        <f>IF(Advanced!Q48="Pass",Advanced!O48,0)</f>
        <v>0</v>
      </c>
      <c r="E185" s="2" t="str">
        <f>IF(Advanced!B48="W","W","A")</f>
        <v>A</v>
      </c>
      <c r="F185" s="2" t="e">
        <f>VLOOKUP(JudgeD1ISA,Judges!$A$2:$B$44,2,FALSE)</f>
        <v>#N/A</v>
      </c>
      <c r="G185" t="str">
        <f>Advanced!Q48</f>
        <v/>
      </c>
    </row>
    <row r="186" spans="1:7" x14ac:dyDescent="0.25">
      <c r="A186">
        <f t="shared" si="7"/>
        <v>0</v>
      </c>
      <c r="B186" t="s">
        <v>19</v>
      </c>
      <c r="C186">
        <f>Advanced!C49</f>
        <v>0</v>
      </c>
      <c r="D186">
        <f>IF(Advanced!Q49="Pass",Advanced!O49,0)</f>
        <v>0</v>
      </c>
      <c r="E186" s="2" t="str">
        <f>IF(Advanced!B49="W","W","A")</f>
        <v>A</v>
      </c>
      <c r="F186" s="2" t="e">
        <f>VLOOKUP(JudgeD1ISA,Judges!$A$2:$B$44,2,FALSE)</f>
        <v>#N/A</v>
      </c>
      <c r="G186" t="str">
        <f>Advanced!Q49</f>
        <v/>
      </c>
    </row>
    <row r="187" spans="1:7" x14ac:dyDescent="0.25">
      <c r="A187">
        <f t="shared" si="7"/>
        <v>0</v>
      </c>
      <c r="B187" t="s">
        <v>19</v>
      </c>
      <c r="C187">
        <f>Advanced!C50</f>
        <v>0</v>
      </c>
      <c r="D187">
        <f>IF(Advanced!Q50="Pass",Advanced!O50,0)</f>
        <v>0</v>
      </c>
      <c r="E187" s="2" t="str">
        <f>IF(Advanced!B50="W","W","A")</f>
        <v>A</v>
      </c>
      <c r="F187" s="2" t="e">
        <f>VLOOKUP(JudgeD1ISA,Judges!$A$2:$B$44,2,FALSE)</f>
        <v>#N/A</v>
      </c>
      <c r="G187" t="str">
        <f>Advanced!Q50</f>
        <v/>
      </c>
    </row>
    <row r="188" spans="1:7" x14ac:dyDescent="0.25">
      <c r="A188">
        <f t="shared" si="7"/>
        <v>0</v>
      </c>
      <c r="B188" t="s">
        <v>19</v>
      </c>
      <c r="C188">
        <f>Advanced!C51</f>
        <v>0</v>
      </c>
      <c r="D188">
        <f>IF(Advanced!Q51="Pass",Advanced!O51,0)</f>
        <v>0</v>
      </c>
      <c r="E188" s="2" t="str">
        <f>IF(Advanced!B51="W","W","A")</f>
        <v>A</v>
      </c>
      <c r="F188" s="2" t="e">
        <f>VLOOKUP(JudgeD1ISA,Judges!$A$2:$B$44,2,FALSE)</f>
        <v>#N/A</v>
      </c>
      <c r="G188" t="str">
        <f>Advanced!Q51</f>
        <v/>
      </c>
    </row>
    <row r="189" spans="1:7" x14ac:dyDescent="0.25">
      <c r="A189">
        <f t="shared" si="7"/>
        <v>0</v>
      </c>
      <c r="B189" t="s">
        <v>19</v>
      </c>
      <c r="C189">
        <f>Advanced!C52</f>
        <v>0</v>
      </c>
      <c r="D189">
        <f>IF(Advanced!Q52="Pass",Advanced!O52,0)</f>
        <v>0</v>
      </c>
      <c r="E189" s="2" t="str">
        <f>IF(Advanced!B52="W","W","A")</f>
        <v>A</v>
      </c>
      <c r="F189" s="2" t="e">
        <f>VLOOKUP(JudgeD1ISA,Judges!$A$2:$B$44,2,FALSE)</f>
        <v>#N/A</v>
      </c>
      <c r="G189" t="str">
        <f>Advanced!Q52</f>
        <v/>
      </c>
    </row>
    <row r="190" spans="1:7" x14ac:dyDescent="0.25">
      <c r="A190">
        <f t="shared" si="7"/>
        <v>0</v>
      </c>
      <c r="B190" t="s">
        <v>19</v>
      </c>
      <c r="C190">
        <f>Advanced!C53</f>
        <v>0</v>
      </c>
      <c r="D190">
        <f>IF(Advanced!Q53="Pass",Advanced!O53,0)</f>
        <v>0</v>
      </c>
      <c r="E190" s="2" t="str">
        <f>IF(Advanced!B53="W","W","A")</f>
        <v>A</v>
      </c>
      <c r="F190" s="2" t="e">
        <f>VLOOKUP(JudgeD1ISA,Judges!$A$2:$B$44,2,FALSE)</f>
        <v>#N/A</v>
      </c>
      <c r="G190" t="str">
        <f>Advanced!Q53</f>
        <v/>
      </c>
    </row>
    <row r="191" spans="1:7" x14ac:dyDescent="0.25">
      <c r="A191">
        <f t="shared" si="7"/>
        <v>0</v>
      </c>
      <c r="B191" t="s">
        <v>19</v>
      </c>
      <c r="C191">
        <f>Advanced!C54</f>
        <v>0</v>
      </c>
      <c r="D191">
        <f>IF(Advanced!Q54="Pass",Advanced!O54,0)</f>
        <v>0</v>
      </c>
      <c r="E191" s="2" t="str">
        <f>IF(Advanced!B54="W","W","A")</f>
        <v>A</v>
      </c>
      <c r="F191" s="2" t="e">
        <f>VLOOKUP(JudgeD1ISA,Judges!$A$2:$B$44,2,FALSE)</f>
        <v>#N/A</v>
      </c>
      <c r="G191" t="str">
        <f>Advanced!Q54</f>
        <v/>
      </c>
    </row>
    <row r="192" spans="1:7" x14ac:dyDescent="0.25">
      <c r="A192">
        <f t="shared" si="7"/>
        <v>0</v>
      </c>
      <c r="B192" t="s">
        <v>20</v>
      </c>
      <c r="C192">
        <f>Advanced!C5</f>
        <v>0</v>
      </c>
      <c r="D192">
        <f>IF(Advanced!Y5="Pass",Advanced!W5,0)</f>
        <v>0</v>
      </c>
      <c r="E192" s="2" t="str">
        <f>IF(Advanced!B5="W","W","A")</f>
        <v>A</v>
      </c>
      <c r="F192" s="2" t="e">
        <f>VLOOKUP(JudgeD1ESA,Judges!$A$2:$B$44,2,FALSE)</f>
        <v>#N/A</v>
      </c>
      <c r="G192" t="str">
        <f>Advanced!Y5</f>
        <v/>
      </c>
    </row>
    <row r="193" spans="1:7" x14ac:dyDescent="0.25">
      <c r="A193">
        <f t="shared" si="7"/>
        <v>0</v>
      </c>
      <c r="B193" t="s">
        <v>20</v>
      </c>
      <c r="C193">
        <f>Advanced!C6</f>
        <v>0</v>
      </c>
      <c r="D193">
        <f>IF(Advanced!Y6="Pass",Advanced!W6,0)</f>
        <v>0</v>
      </c>
      <c r="E193" s="2" t="str">
        <f>IF(Advanced!B6="W","W","A")</f>
        <v>A</v>
      </c>
      <c r="F193" s="2" t="e">
        <f>VLOOKUP(JudgeD1ESA,Judges!$A$2:$B$44,2,FALSE)</f>
        <v>#N/A</v>
      </c>
      <c r="G193" t="str">
        <f>Advanced!Y6</f>
        <v/>
      </c>
    </row>
    <row r="194" spans="1:7" x14ac:dyDescent="0.25">
      <c r="A194">
        <f t="shared" si="7"/>
        <v>0</v>
      </c>
      <c r="B194" t="s">
        <v>20</v>
      </c>
      <c r="C194">
        <f>Advanced!C7</f>
        <v>0</v>
      </c>
      <c r="D194">
        <f>IF(Advanced!Y7="Pass",Advanced!W7,0)</f>
        <v>0</v>
      </c>
      <c r="E194" s="2" t="str">
        <f>IF(Advanced!B7="W","W","A")</f>
        <v>A</v>
      </c>
      <c r="F194" s="2" t="e">
        <f>VLOOKUP(JudgeD1ESA,Judges!$A$2:$B$44,2,FALSE)</f>
        <v>#N/A</v>
      </c>
      <c r="G194" t="str">
        <f>Advanced!Y7</f>
        <v/>
      </c>
    </row>
    <row r="195" spans="1:7" x14ac:dyDescent="0.25">
      <c r="A195">
        <f t="shared" si="7"/>
        <v>0</v>
      </c>
      <c r="B195" t="s">
        <v>20</v>
      </c>
      <c r="C195">
        <f>Advanced!C8</f>
        <v>0</v>
      </c>
      <c r="D195">
        <f>IF(Advanced!Y8="Pass",Advanced!W8,0)</f>
        <v>0</v>
      </c>
      <c r="E195" s="2" t="str">
        <f>IF(Advanced!B8="W","W","A")</f>
        <v>A</v>
      </c>
      <c r="F195" s="2" t="e">
        <f>VLOOKUP(JudgeD1ESA,Judges!$A$2:$B$44,2,FALSE)</f>
        <v>#N/A</v>
      </c>
      <c r="G195" t="str">
        <f>Advanced!Y8</f>
        <v/>
      </c>
    </row>
    <row r="196" spans="1:7" x14ac:dyDescent="0.25">
      <c r="A196">
        <f t="shared" si="7"/>
        <v>0</v>
      </c>
      <c r="B196" t="s">
        <v>20</v>
      </c>
      <c r="C196">
        <f>Advanced!C9</f>
        <v>0</v>
      </c>
      <c r="D196">
        <f>IF(Advanced!Y9="Pass",Advanced!W9,0)</f>
        <v>0</v>
      </c>
      <c r="E196" s="2" t="str">
        <f>IF(Advanced!B9="W","W","A")</f>
        <v>A</v>
      </c>
      <c r="F196" s="2" t="e">
        <f>VLOOKUP(JudgeD1ESA,Judges!$A$2:$B$44,2,FALSE)</f>
        <v>#N/A</v>
      </c>
      <c r="G196" t="str">
        <f>Advanced!Y9</f>
        <v/>
      </c>
    </row>
    <row r="197" spans="1:7" x14ac:dyDescent="0.25">
      <c r="A197">
        <f t="shared" si="7"/>
        <v>0</v>
      </c>
      <c r="B197" t="s">
        <v>20</v>
      </c>
      <c r="C197">
        <f>Advanced!C10</f>
        <v>0</v>
      </c>
      <c r="D197">
        <f>IF(Advanced!Y10="Pass",Advanced!W10,0)</f>
        <v>0</v>
      </c>
      <c r="E197" s="2" t="str">
        <f>IF(Advanced!B10="W","W","A")</f>
        <v>A</v>
      </c>
      <c r="F197" s="2" t="e">
        <f>VLOOKUP(JudgeD1ESA,Judges!$A$2:$B$44,2,FALSE)</f>
        <v>#N/A</v>
      </c>
      <c r="G197" t="str">
        <f>Advanced!Y10</f>
        <v/>
      </c>
    </row>
    <row r="198" spans="1:7" x14ac:dyDescent="0.25">
      <c r="A198">
        <f t="shared" si="7"/>
        <v>0</v>
      </c>
      <c r="B198" t="s">
        <v>20</v>
      </c>
      <c r="C198">
        <f>Advanced!C11</f>
        <v>0</v>
      </c>
      <c r="D198">
        <f>IF(Advanced!Y11="Pass",Advanced!W11,0)</f>
        <v>0</v>
      </c>
      <c r="E198" s="2" t="str">
        <f>IF(Advanced!B11="W","W","A")</f>
        <v>A</v>
      </c>
      <c r="F198" s="2" t="e">
        <f>VLOOKUP(JudgeD1ESA,Judges!$A$2:$B$44,2,FALSE)</f>
        <v>#N/A</v>
      </c>
      <c r="G198" t="str">
        <f>Advanced!Y11</f>
        <v/>
      </c>
    </row>
    <row r="199" spans="1:7" x14ac:dyDescent="0.25">
      <c r="A199">
        <f t="shared" si="7"/>
        <v>0</v>
      </c>
      <c r="B199" t="s">
        <v>20</v>
      </c>
      <c r="C199">
        <f>Advanced!C12</f>
        <v>0</v>
      </c>
      <c r="D199">
        <f>IF(Advanced!Y12="Pass",Advanced!W12,0)</f>
        <v>0</v>
      </c>
      <c r="E199" s="2" t="str">
        <f>IF(Advanced!B12="W","W","A")</f>
        <v>A</v>
      </c>
      <c r="F199" s="2" t="e">
        <f>VLOOKUP(JudgeD1ESA,Judges!$A$2:$B$44,2,FALSE)</f>
        <v>#N/A</v>
      </c>
      <c r="G199" t="str">
        <f>Advanced!Y12</f>
        <v/>
      </c>
    </row>
    <row r="200" spans="1:7" x14ac:dyDescent="0.25">
      <c r="A200">
        <f t="shared" si="7"/>
        <v>0</v>
      </c>
      <c r="B200" t="s">
        <v>20</v>
      </c>
      <c r="C200">
        <f>Advanced!C13</f>
        <v>0</v>
      </c>
      <c r="D200">
        <f>IF(Advanced!Y13="Pass",Advanced!W13,0)</f>
        <v>0</v>
      </c>
      <c r="E200" s="2" t="str">
        <f>IF(Advanced!B13="W","W","A")</f>
        <v>A</v>
      </c>
      <c r="F200" s="2" t="e">
        <f>VLOOKUP(JudgeD1ESA,Judges!$A$2:$B$44,2,FALSE)</f>
        <v>#N/A</v>
      </c>
      <c r="G200" t="str">
        <f>Advanced!Y13</f>
        <v/>
      </c>
    </row>
    <row r="201" spans="1:7" x14ac:dyDescent="0.25">
      <c r="A201">
        <f t="shared" si="7"/>
        <v>0</v>
      </c>
      <c r="B201" t="s">
        <v>20</v>
      </c>
      <c r="C201">
        <f>Advanced!C14</f>
        <v>0</v>
      </c>
      <c r="D201">
        <f>IF(Advanced!Y14="Pass",Advanced!W14,0)</f>
        <v>0</v>
      </c>
      <c r="E201" s="2" t="str">
        <f>IF(Advanced!B14="W","W","A")</f>
        <v>A</v>
      </c>
      <c r="F201" s="2" t="e">
        <f>VLOOKUP(JudgeD1ESA,Judges!$A$2:$B$44,2,FALSE)</f>
        <v>#N/A</v>
      </c>
      <c r="G201" t="str">
        <f>Advanced!Y14</f>
        <v/>
      </c>
    </row>
    <row r="202" spans="1:7" x14ac:dyDescent="0.25">
      <c r="A202">
        <f t="shared" si="7"/>
        <v>0</v>
      </c>
      <c r="B202" t="s">
        <v>20</v>
      </c>
      <c r="C202">
        <f>Advanced!C15</f>
        <v>0</v>
      </c>
      <c r="D202">
        <f>IF(Advanced!Y15="Pass",Advanced!W15,0)</f>
        <v>0</v>
      </c>
      <c r="E202" s="2" t="str">
        <f>IF(Advanced!B15="W","W","A")</f>
        <v>A</v>
      </c>
      <c r="F202" s="2" t="e">
        <f>VLOOKUP(JudgeD1ESA,Judges!$A$2:$B$44,2,FALSE)</f>
        <v>#N/A</v>
      </c>
      <c r="G202" t="str">
        <f>Advanced!Y15</f>
        <v/>
      </c>
    </row>
    <row r="203" spans="1:7" x14ac:dyDescent="0.25">
      <c r="A203">
        <f t="shared" si="7"/>
        <v>0</v>
      </c>
      <c r="B203" t="s">
        <v>20</v>
      </c>
      <c r="C203">
        <f>Advanced!C16</f>
        <v>0</v>
      </c>
      <c r="D203">
        <f>IF(Advanced!Y16="Pass",Advanced!W16,0)</f>
        <v>0</v>
      </c>
      <c r="E203" s="2" t="str">
        <f>IF(Advanced!B16="W","W","A")</f>
        <v>A</v>
      </c>
      <c r="F203" s="2" t="e">
        <f>VLOOKUP(JudgeD1ESA,Judges!$A$2:$B$44,2,FALSE)</f>
        <v>#N/A</v>
      </c>
      <c r="G203" t="str">
        <f>Advanced!Y16</f>
        <v/>
      </c>
    </row>
    <row r="204" spans="1:7" x14ac:dyDescent="0.25">
      <c r="A204">
        <f t="shared" si="7"/>
        <v>0</v>
      </c>
      <c r="B204" t="s">
        <v>20</v>
      </c>
      <c r="C204">
        <f>Advanced!C17</f>
        <v>0</v>
      </c>
      <c r="D204">
        <f>IF(Advanced!Y17="Pass",Advanced!W17,0)</f>
        <v>0</v>
      </c>
      <c r="E204" s="2" t="str">
        <f>IF(Advanced!B17="W","W","A")</f>
        <v>A</v>
      </c>
      <c r="F204" s="2" t="e">
        <f>VLOOKUP(JudgeD1ESA,Judges!$A$2:$B$44,2,FALSE)</f>
        <v>#N/A</v>
      </c>
      <c r="G204" t="str">
        <f>Advanced!Y17</f>
        <v/>
      </c>
    </row>
    <row r="205" spans="1:7" x14ac:dyDescent="0.25">
      <c r="A205">
        <f t="shared" si="7"/>
        <v>0</v>
      </c>
      <c r="B205" t="s">
        <v>20</v>
      </c>
      <c r="C205">
        <f>Advanced!C18</f>
        <v>0</v>
      </c>
      <c r="D205">
        <f>IF(Advanced!Y18="Pass",Advanced!W18,0)</f>
        <v>0</v>
      </c>
      <c r="E205" s="2" t="str">
        <f>IF(Advanced!B18="W","W","A")</f>
        <v>A</v>
      </c>
      <c r="F205" s="2" t="e">
        <f>VLOOKUP(JudgeD1ESA,Judges!$A$2:$B$44,2,FALSE)</f>
        <v>#N/A</v>
      </c>
      <c r="G205" t="str">
        <f>Advanced!Y18</f>
        <v/>
      </c>
    </row>
    <row r="206" spans="1:7" x14ac:dyDescent="0.25">
      <c r="A206">
        <f t="shared" si="7"/>
        <v>0</v>
      </c>
      <c r="B206" t="s">
        <v>20</v>
      </c>
      <c r="C206">
        <f>Advanced!C19</f>
        <v>0</v>
      </c>
      <c r="D206">
        <f>IF(Advanced!Y19="Pass",Advanced!W19,0)</f>
        <v>0</v>
      </c>
      <c r="E206" s="2" t="str">
        <f>IF(Advanced!B19="W","W","A")</f>
        <v>A</v>
      </c>
      <c r="F206" s="2" t="e">
        <f>VLOOKUP(JudgeD1ESA,Judges!$A$2:$B$44,2,FALSE)</f>
        <v>#N/A</v>
      </c>
      <c r="G206" t="str">
        <f>Advanced!Y19</f>
        <v/>
      </c>
    </row>
    <row r="207" spans="1:7" x14ac:dyDescent="0.25">
      <c r="A207">
        <f t="shared" si="7"/>
        <v>0</v>
      </c>
      <c r="B207" t="s">
        <v>20</v>
      </c>
      <c r="C207">
        <f>Advanced!C20</f>
        <v>0</v>
      </c>
      <c r="D207">
        <f>IF(Advanced!Y20="Pass",Advanced!W20,0)</f>
        <v>0</v>
      </c>
      <c r="E207" s="2" t="str">
        <f>IF(Advanced!B20="W","W","A")</f>
        <v>A</v>
      </c>
      <c r="F207" s="2" t="e">
        <f>VLOOKUP(JudgeD1ESA,Judges!$A$2:$B$44,2,FALSE)</f>
        <v>#N/A</v>
      </c>
      <c r="G207" t="str">
        <f>Advanced!Y20</f>
        <v/>
      </c>
    </row>
    <row r="208" spans="1:7" x14ac:dyDescent="0.25">
      <c r="A208">
        <f t="shared" si="7"/>
        <v>0</v>
      </c>
      <c r="B208" t="s">
        <v>20</v>
      </c>
      <c r="C208">
        <f>Advanced!C21</f>
        <v>0</v>
      </c>
      <c r="D208">
        <f>IF(Advanced!Y21="Pass",Advanced!W21,0)</f>
        <v>0</v>
      </c>
      <c r="E208" s="2" t="str">
        <f>IF(Advanced!B21="W","W","A")</f>
        <v>A</v>
      </c>
      <c r="F208" s="2" t="e">
        <f>VLOOKUP(JudgeD1ESA,Judges!$A$2:$B$44,2,FALSE)</f>
        <v>#N/A</v>
      </c>
      <c r="G208" t="str">
        <f>Advanced!Y21</f>
        <v/>
      </c>
    </row>
    <row r="209" spans="1:7" x14ac:dyDescent="0.25">
      <c r="A209">
        <f t="shared" si="7"/>
        <v>0</v>
      </c>
      <c r="B209" t="s">
        <v>20</v>
      </c>
      <c r="C209">
        <f>Advanced!C22</f>
        <v>0</v>
      </c>
      <c r="D209">
        <f>IF(Advanced!Y22="Pass",Advanced!W22,0)</f>
        <v>0</v>
      </c>
      <c r="E209" s="2" t="str">
        <f>IF(Advanced!B22="W","W","A")</f>
        <v>A</v>
      </c>
      <c r="F209" s="2" t="e">
        <f>VLOOKUP(JudgeD1ESA,Judges!$A$2:$B$44,2,FALSE)</f>
        <v>#N/A</v>
      </c>
      <c r="G209" t="str">
        <f>Advanced!Y22</f>
        <v/>
      </c>
    </row>
    <row r="210" spans="1:7" x14ac:dyDescent="0.25">
      <c r="A210">
        <f t="shared" si="7"/>
        <v>0</v>
      </c>
      <c r="B210" t="s">
        <v>20</v>
      </c>
      <c r="C210">
        <f>Advanced!C23</f>
        <v>0</v>
      </c>
      <c r="D210">
        <f>IF(Advanced!Y23="Pass",Advanced!W23,0)</f>
        <v>0</v>
      </c>
      <c r="E210" s="2" t="str">
        <f>IF(Advanced!B23="W","W","A")</f>
        <v>A</v>
      </c>
      <c r="F210" s="2" t="e">
        <f>VLOOKUP(JudgeD1ESA,Judges!$A$2:$B$44,2,FALSE)</f>
        <v>#N/A</v>
      </c>
      <c r="G210" t="str">
        <f>Advanced!Y23</f>
        <v/>
      </c>
    </row>
    <row r="211" spans="1:7" x14ac:dyDescent="0.25">
      <c r="A211">
        <f t="shared" si="7"/>
        <v>0</v>
      </c>
      <c r="B211" t="s">
        <v>20</v>
      </c>
      <c r="C211">
        <f>Advanced!C24</f>
        <v>0</v>
      </c>
      <c r="D211">
        <f>IF(Advanced!Y24="Pass",Advanced!W24,0)</f>
        <v>0</v>
      </c>
      <c r="E211" s="2" t="str">
        <f>IF(Advanced!B24="W","W","A")</f>
        <v>A</v>
      </c>
      <c r="F211" s="2" t="e">
        <f>VLOOKUP(JudgeD1ESA,Judges!$A$2:$B$44,2,FALSE)</f>
        <v>#N/A</v>
      </c>
      <c r="G211" t="str">
        <f>Advanced!Y24</f>
        <v/>
      </c>
    </row>
    <row r="212" spans="1:7" x14ac:dyDescent="0.25">
      <c r="A212">
        <f t="shared" si="7"/>
        <v>0</v>
      </c>
      <c r="B212" t="s">
        <v>20</v>
      </c>
      <c r="C212">
        <f>Advanced!C25</f>
        <v>0</v>
      </c>
      <c r="D212">
        <f>IF(Advanced!Y25="Pass",Advanced!W25,0)</f>
        <v>0</v>
      </c>
      <c r="E212" s="2" t="str">
        <f>IF(Advanced!B25="W","W","A")</f>
        <v>A</v>
      </c>
      <c r="F212" s="2" t="e">
        <f>VLOOKUP(JudgeD1ESA,Judges!$A$2:$B$44,2,FALSE)</f>
        <v>#N/A</v>
      </c>
      <c r="G212" t="str">
        <f>Advanced!Y25</f>
        <v/>
      </c>
    </row>
    <row r="213" spans="1:7" x14ac:dyDescent="0.25">
      <c r="A213">
        <f t="shared" si="7"/>
        <v>0</v>
      </c>
      <c r="B213" t="s">
        <v>20</v>
      </c>
      <c r="C213">
        <f>Advanced!C26</f>
        <v>0</v>
      </c>
      <c r="D213">
        <f>IF(Advanced!Y26="Pass",Advanced!W26,0)</f>
        <v>0</v>
      </c>
      <c r="E213" s="2" t="str">
        <f>IF(Advanced!B26="W","W","A")</f>
        <v>A</v>
      </c>
      <c r="F213" s="2" t="e">
        <f>VLOOKUP(JudgeD1ESA,Judges!$A$2:$B$44,2,FALSE)</f>
        <v>#N/A</v>
      </c>
      <c r="G213" t="str">
        <f>Advanced!Y26</f>
        <v/>
      </c>
    </row>
    <row r="214" spans="1:7" x14ac:dyDescent="0.25">
      <c r="A214">
        <f t="shared" si="7"/>
        <v>0</v>
      </c>
      <c r="B214" t="s">
        <v>20</v>
      </c>
      <c r="C214">
        <f>Advanced!C27</f>
        <v>0</v>
      </c>
      <c r="D214">
        <f>IF(Advanced!Y27="Pass",Advanced!W27,0)</f>
        <v>0</v>
      </c>
      <c r="E214" s="2" t="str">
        <f>IF(Advanced!B27="W","W","A")</f>
        <v>A</v>
      </c>
      <c r="F214" s="2" t="e">
        <f>VLOOKUP(JudgeD1ESA,Judges!$A$2:$B$44,2,FALSE)</f>
        <v>#N/A</v>
      </c>
      <c r="G214" t="str">
        <f>Advanced!Y27</f>
        <v/>
      </c>
    </row>
    <row r="215" spans="1:7" x14ac:dyDescent="0.25">
      <c r="A215">
        <f t="shared" si="7"/>
        <v>0</v>
      </c>
      <c r="B215" t="s">
        <v>20</v>
      </c>
      <c r="C215">
        <f>Advanced!C28</f>
        <v>0</v>
      </c>
      <c r="D215">
        <f>IF(Advanced!Y28="Pass",Advanced!W28,0)</f>
        <v>0</v>
      </c>
      <c r="E215" s="2" t="str">
        <f>IF(Advanced!B28="W","W","A")</f>
        <v>A</v>
      </c>
      <c r="F215" s="2" t="e">
        <f>VLOOKUP(JudgeD1ESA,Judges!$A$2:$B$44,2,FALSE)</f>
        <v>#N/A</v>
      </c>
      <c r="G215" t="str">
        <f>Advanced!Y28</f>
        <v/>
      </c>
    </row>
    <row r="216" spans="1:7" x14ac:dyDescent="0.25">
      <c r="A216">
        <f t="shared" si="7"/>
        <v>0</v>
      </c>
      <c r="B216" t="s">
        <v>20</v>
      </c>
      <c r="C216">
        <f>Advanced!C29</f>
        <v>0</v>
      </c>
      <c r="D216">
        <f>IF(Advanced!Y29="Pass",Advanced!W29,0)</f>
        <v>0</v>
      </c>
      <c r="E216" s="2" t="str">
        <f>IF(Advanced!B29="W","W","A")</f>
        <v>A</v>
      </c>
      <c r="F216" s="2" t="e">
        <f>VLOOKUP(JudgeD1ESA,Judges!$A$2:$B$44,2,FALSE)</f>
        <v>#N/A</v>
      </c>
      <c r="G216" t="str">
        <f>Advanced!Y29</f>
        <v/>
      </c>
    </row>
    <row r="217" spans="1:7" x14ac:dyDescent="0.25">
      <c r="A217">
        <f t="shared" si="7"/>
        <v>0</v>
      </c>
      <c r="B217" t="s">
        <v>20</v>
      </c>
      <c r="C217">
        <f>Advanced!C30</f>
        <v>0</v>
      </c>
      <c r="D217">
        <f>IF(Advanced!Y30="Pass",Advanced!W30,0)</f>
        <v>0</v>
      </c>
      <c r="E217" s="2" t="str">
        <f>IF(Advanced!B30="W","W","A")</f>
        <v>A</v>
      </c>
      <c r="F217" s="2" t="e">
        <f>VLOOKUP(JudgeD1ESA,Judges!$A$2:$B$44,2,FALSE)</f>
        <v>#N/A</v>
      </c>
      <c r="G217" t="str">
        <f>Advanced!Y30</f>
        <v/>
      </c>
    </row>
    <row r="218" spans="1:7" x14ac:dyDescent="0.25">
      <c r="A218">
        <f t="shared" si="7"/>
        <v>0</v>
      </c>
      <c r="B218" t="s">
        <v>20</v>
      </c>
      <c r="C218">
        <f>Advanced!C31</f>
        <v>0</v>
      </c>
      <c r="D218">
        <f>IF(Advanced!Y31="Pass",Advanced!W31,0)</f>
        <v>0</v>
      </c>
      <c r="E218" s="2" t="str">
        <f>IF(Advanced!B31="W","W","A")</f>
        <v>A</v>
      </c>
      <c r="F218" s="2" t="e">
        <f>VLOOKUP(JudgeD1ESA,Judges!$A$2:$B$44,2,FALSE)</f>
        <v>#N/A</v>
      </c>
      <c r="G218" t="str">
        <f>Advanced!Y31</f>
        <v/>
      </c>
    </row>
    <row r="219" spans="1:7" x14ac:dyDescent="0.25">
      <c r="A219">
        <f t="shared" si="7"/>
        <v>0</v>
      </c>
      <c r="B219" t="s">
        <v>20</v>
      </c>
      <c r="C219">
        <f>Advanced!C32</f>
        <v>0</v>
      </c>
      <c r="D219">
        <f>IF(Advanced!Y32="Pass",Advanced!W32,0)</f>
        <v>0</v>
      </c>
      <c r="E219" s="2" t="str">
        <f>IF(Advanced!B32="W","W","A")</f>
        <v>A</v>
      </c>
      <c r="F219" s="2" t="e">
        <f>VLOOKUP(JudgeD1ESA,Judges!$A$2:$B$44,2,FALSE)</f>
        <v>#N/A</v>
      </c>
      <c r="G219" t="str">
        <f>Advanced!Y32</f>
        <v/>
      </c>
    </row>
    <row r="220" spans="1:7" x14ac:dyDescent="0.25">
      <c r="A220">
        <f t="shared" si="7"/>
        <v>0</v>
      </c>
      <c r="B220" t="s">
        <v>20</v>
      </c>
      <c r="C220">
        <f>Advanced!C33</f>
        <v>0</v>
      </c>
      <c r="D220">
        <f>IF(Advanced!Y33="Pass",Advanced!W33,0)</f>
        <v>0</v>
      </c>
      <c r="E220" s="2" t="str">
        <f>IF(Advanced!B33="W","W","A")</f>
        <v>A</v>
      </c>
      <c r="F220" s="2" t="e">
        <f>VLOOKUP(JudgeD1ESA,Judges!$A$2:$B$44,2,FALSE)</f>
        <v>#N/A</v>
      </c>
      <c r="G220" t="str">
        <f>Advanced!Y33</f>
        <v/>
      </c>
    </row>
    <row r="221" spans="1:7" x14ac:dyDescent="0.25">
      <c r="A221">
        <f t="shared" si="7"/>
        <v>0</v>
      </c>
      <c r="B221" t="s">
        <v>20</v>
      </c>
      <c r="C221">
        <f>Advanced!C34</f>
        <v>0</v>
      </c>
      <c r="D221">
        <f>IF(Advanced!Y34="Pass",Advanced!W34,0)</f>
        <v>0</v>
      </c>
      <c r="E221" s="2" t="str">
        <f>IF(Advanced!B34="W","W","A")</f>
        <v>A</v>
      </c>
      <c r="F221" s="2" t="e">
        <f>VLOOKUP(JudgeD1ESA,Judges!$A$2:$B$44,2,FALSE)</f>
        <v>#N/A</v>
      </c>
      <c r="G221" t="str">
        <f>Advanced!Y34</f>
        <v/>
      </c>
    </row>
    <row r="222" spans="1:7" x14ac:dyDescent="0.25">
      <c r="A222">
        <f t="shared" si="7"/>
        <v>0</v>
      </c>
      <c r="B222" t="s">
        <v>20</v>
      </c>
      <c r="C222">
        <f>Advanced!C35</f>
        <v>0</v>
      </c>
      <c r="D222">
        <f>IF(Advanced!Y35="Pass",Advanced!W35,0)</f>
        <v>0</v>
      </c>
      <c r="E222" s="2" t="str">
        <f>IF(Advanced!B35="W","W","A")</f>
        <v>A</v>
      </c>
      <c r="F222" s="2" t="e">
        <f>VLOOKUP(JudgeD1ESA,Judges!$A$2:$B$44,2,FALSE)</f>
        <v>#N/A</v>
      </c>
      <c r="G222" t="str">
        <f>Advanced!Y35</f>
        <v/>
      </c>
    </row>
    <row r="223" spans="1:7" x14ac:dyDescent="0.25">
      <c r="A223">
        <f t="shared" si="7"/>
        <v>0</v>
      </c>
      <c r="B223" t="s">
        <v>20</v>
      </c>
      <c r="C223">
        <f>Advanced!C36</f>
        <v>0</v>
      </c>
      <c r="D223">
        <f>IF(Advanced!Y36="Pass",Advanced!W36,0)</f>
        <v>0</v>
      </c>
      <c r="E223" s="2" t="str">
        <f>IF(Advanced!B36="W","W","A")</f>
        <v>A</v>
      </c>
      <c r="F223" s="2" t="e">
        <f>VLOOKUP(JudgeD1ESA,Judges!$A$2:$B$44,2,FALSE)</f>
        <v>#N/A</v>
      </c>
      <c r="G223" t="str">
        <f>Advanced!Y36</f>
        <v/>
      </c>
    </row>
    <row r="224" spans="1:7" x14ac:dyDescent="0.25">
      <c r="A224">
        <f t="shared" si="7"/>
        <v>0</v>
      </c>
      <c r="B224" t="s">
        <v>20</v>
      </c>
      <c r="C224">
        <f>Advanced!C37</f>
        <v>0</v>
      </c>
      <c r="D224">
        <f>IF(Advanced!Y37="Pass",Advanced!W37,0)</f>
        <v>0</v>
      </c>
      <c r="E224" s="2" t="str">
        <f>IF(Advanced!B37="W","W","A")</f>
        <v>A</v>
      </c>
      <c r="F224" s="2" t="e">
        <f>VLOOKUP(JudgeD1ESA,Judges!$A$2:$B$44,2,FALSE)</f>
        <v>#N/A</v>
      </c>
      <c r="G224" t="str">
        <f>Advanced!Y37</f>
        <v/>
      </c>
    </row>
    <row r="225" spans="1:7" x14ac:dyDescent="0.25">
      <c r="A225">
        <f t="shared" si="7"/>
        <v>0</v>
      </c>
      <c r="B225" t="s">
        <v>20</v>
      </c>
      <c r="C225">
        <f>Advanced!C38</f>
        <v>0</v>
      </c>
      <c r="D225">
        <f>IF(Advanced!Y38="Pass",Advanced!W38,0)</f>
        <v>0</v>
      </c>
      <c r="E225" s="2" t="str">
        <f>IF(Advanced!B38="W","W","A")</f>
        <v>A</v>
      </c>
      <c r="F225" s="2" t="e">
        <f>VLOOKUP(JudgeD1ESA,Judges!$A$2:$B$44,2,FALSE)</f>
        <v>#N/A</v>
      </c>
      <c r="G225" t="str">
        <f>Advanced!Y38</f>
        <v/>
      </c>
    </row>
    <row r="226" spans="1:7" x14ac:dyDescent="0.25">
      <c r="A226">
        <f t="shared" si="7"/>
        <v>0</v>
      </c>
      <c r="B226" t="s">
        <v>20</v>
      </c>
      <c r="C226">
        <f>Advanced!C39</f>
        <v>0</v>
      </c>
      <c r="D226">
        <f>IF(Advanced!Y39="Pass",Advanced!W39,0)</f>
        <v>0</v>
      </c>
      <c r="E226" s="2" t="str">
        <f>IF(Advanced!B39="W","W","A")</f>
        <v>A</v>
      </c>
      <c r="F226" s="2" t="e">
        <f>VLOOKUP(JudgeD1ESA,Judges!$A$2:$B$44,2,FALSE)</f>
        <v>#N/A</v>
      </c>
      <c r="G226" t="str">
        <f>Advanced!Y39</f>
        <v/>
      </c>
    </row>
    <row r="227" spans="1:7" x14ac:dyDescent="0.25">
      <c r="A227">
        <f t="shared" si="7"/>
        <v>0</v>
      </c>
      <c r="B227" t="s">
        <v>20</v>
      </c>
      <c r="C227">
        <f>Advanced!C40</f>
        <v>0</v>
      </c>
      <c r="D227">
        <f>IF(Advanced!Y40="Pass",Advanced!W40,0)</f>
        <v>0</v>
      </c>
      <c r="E227" s="2" t="str">
        <f>IF(Advanced!B40="W","W","A")</f>
        <v>A</v>
      </c>
      <c r="F227" s="2" t="e">
        <f>VLOOKUP(JudgeD1ESA,Judges!$A$2:$B$44,2,FALSE)</f>
        <v>#N/A</v>
      </c>
      <c r="G227" t="str">
        <f>Advanced!Y40</f>
        <v/>
      </c>
    </row>
    <row r="228" spans="1:7" x14ac:dyDescent="0.25">
      <c r="A228">
        <f t="shared" si="7"/>
        <v>0</v>
      </c>
      <c r="B228" t="s">
        <v>20</v>
      </c>
      <c r="C228">
        <f>Advanced!C41</f>
        <v>0</v>
      </c>
      <c r="D228">
        <f>IF(Advanced!Y41="Pass",Advanced!W41,0)</f>
        <v>0</v>
      </c>
      <c r="E228" s="2" t="str">
        <f>IF(Advanced!B41="W","W","A")</f>
        <v>A</v>
      </c>
      <c r="F228" s="2" t="e">
        <f>VLOOKUP(JudgeD1ESA,Judges!$A$2:$B$44,2,FALSE)</f>
        <v>#N/A</v>
      </c>
      <c r="G228" t="str">
        <f>Advanced!Y41</f>
        <v/>
      </c>
    </row>
    <row r="229" spans="1:7" x14ac:dyDescent="0.25">
      <c r="A229">
        <f t="shared" si="7"/>
        <v>0</v>
      </c>
      <c r="B229" t="s">
        <v>20</v>
      </c>
      <c r="C229">
        <f>Advanced!C42</f>
        <v>0</v>
      </c>
      <c r="D229">
        <f>IF(Advanced!Y42="Pass",Advanced!W42,0)</f>
        <v>0</v>
      </c>
      <c r="E229" s="2" t="str">
        <f>IF(Advanced!B42="W","W","A")</f>
        <v>A</v>
      </c>
      <c r="F229" s="2" t="e">
        <f>VLOOKUP(JudgeD1ESA,Judges!$A$2:$B$44,2,FALSE)</f>
        <v>#N/A</v>
      </c>
      <c r="G229" t="str">
        <f>Advanced!Y42</f>
        <v/>
      </c>
    </row>
    <row r="230" spans="1:7" x14ac:dyDescent="0.25">
      <c r="A230">
        <f t="shared" si="7"/>
        <v>0</v>
      </c>
      <c r="B230" t="s">
        <v>20</v>
      </c>
      <c r="C230">
        <f>Advanced!C43</f>
        <v>0</v>
      </c>
      <c r="D230">
        <f>IF(Advanced!Y43="Pass",Advanced!W43,0)</f>
        <v>0</v>
      </c>
      <c r="E230" s="2" t="str">
        <f>IF(Advanced!B43="W","W","A")</f>
        <v>A</v>
      </c>
      <c r="F230" s="2" t="e">
        <f>VLOOKUP(JudgeD1ESA,Judges!$A$2:$B$44,2,FALSE)</f>
        <v>#N/A</v>
      </c>
      <c r="G230" t="str">
        <f>Advanced!Y43</f>
        <v/>
      </c>
    </row>
    <row r="231" spans="1:7" x14ac:dyDescent="0.25">
      <c r="A231">
        <f t="shared" si="7"/>
        <v>0</v>
      </c>
      <c r="B231" t="s">
        <v>20</v>
      </c>
      <c r="C231">
        <f>Advanced!C44</f>
        <v>0</v>
      </c>
      <c r="D231">
        <f>IF(Advanced!Y44="Pass",Advanced!W44,0)</f>
        <v>0</v>
      </c>
      <c r="E231" s="2" t="str">
        <f>IF(Advanced!B44="W","W","A")</f>
        <v>A</v>
      </c>
      <c r="F231" s="2" t="e">
        <f>VLOOKUP(JudgeD1ESA,Judges!$A$2:$B$44,2,FALSE)</f>
        <v>#N/A</v>
      </c>
      <c r="G231" t="str">
        <f>Advanced!Y44</f>
        <v/>
      </c>
    </row>
    <row r="232" spans="1:7" x14ac:dyDescent="0.25">
      <c r="A232">
        <f t="shared" si="7"/>
        <v>0</v>
      </c>
      <c r="B232" t="s">
        <v>20</v>
      </c>
      <c r="C232">
        <f>Advanced!C45</f>
        <v>0</v>
      </c>
      <c r="D232">
        <f>IF(Advanced!Y45="Pass",Advanced!W45,0)</f>
        <v>0</v>
      </c>
      <c r="E232" s="2" t="str">
        <f>IF(Advanced!B45="W","W","A")</f>
        <v>A</v>
      </c>
      <c r="F232" s="2" t="e">
        <f>VLOOKUP(JudgeD1ESA,Judges!$A$2:$B$44,2,FALSE)</f>
        <v>#N/A</v>
      </c>
      <c r="G232" t="str">
        <f>Advanced!Y45</f>
        <v/>
      </c>
    </row>
    <row r="233" spans="1:7" x14ac:dyDescent="0.25">
      <c r="A233">
        <f t="shared" si="7"/>
        <v>0</v>
      </c>
      <c r="B233" t="s">
        <v>20</v>
      </c>
      <c r="C233">
        <f>Advanced!C46</f>
        <v>0</v>
      </c>
      <c r="D233">
        <f>IF(Advanced!Y46="Pass",Advanced!W46,0)</f>
        <v>0</v>
      </c>
      <c r="E233" s="2" t="str">
        <f>IF(Advanced!B46="W","W","A")</f>
        <v>A</v>
      </c>
      <c r="F233" s="2" t="e">
        <f>VLOOKUP(JudgeD1ESA,Judges!$A$2:$B$44,2,FALSE)</f>
        <v>#N/A</v>
      </c>
      <c r="G233" t="str">
        <f>Advanced!Y46</f>
        <v/>
      </c>
    </row>
    <row r="234" spans="1:7" x14ac:dyDescent="0.25">
      <c r="A234">
        <f t="shared" si="7"/>
        <v>0</v>
      </c>
      <c r="B234" t="s">
        <v>20</v>
      </c>
      <c r="C234">
        <f>Advanced!C47</f>
        <v>0</v>
      </c>
      <c r="D234">
        <f>IF(Advanced!Y47="Pass",Advanced!W47,0)</f>
        <v>0</v>
      </c>
      <c r="E234" s="2" t="str">
        <f>IF(Advanced!B47="W","W","A")</f>
        <v>A</v>
      </c>
      <c r="F234" s="2" t="e">
        <f>VLOOKUP(JudgeD1ESA,Judges!$A$2:$B$44,2,FALSE)</f>
        <v>#N/A</v>
      </c>
      <c r="G234" t="str">
        <f>Advanced!Y47</f>
        <v/>
      </c>
    </row>
    <row r="235" spans="1:7" x14ac:dyDescent="0.25">
      <c r="A235">
        <f t="shared" si="7"/>
        <v>0</v>
      </c>
      <c r="B235" t="s">
        <v>20</v>
      </c>
      <c r="C235">
        <f>Advanced!C48</f>
        <v>0</v>
      </c>
      <c r="D235">
        <f>IF(Advanced!Y48="Pass",Advanced!W48,0)</f>
        <v>0</v>
      </c>
      <c r="E235" s="2" t="str">
        <f>IF(Advanced!B48="W","W","A")</f>
        <v>A</v>
      </c>
      <c r="F235" s="2" t="e">
        <f>VLOOKUP(JudgeD1ESA,Judges!$A$2:$B$44,2,FALSE)</f>
        <v>#N/A</v>
      </c>
      <c r="G235" t="str">
        <f>Advanced!Y48</f>
        <v/>
      </c>
    </row>
    <row r="236" spans="1:7" x14ac:dyDescent="0.25">
      <c r="A236">
        <f t="shared" si="7"/>
        <v>0</v>
      </c>
      <c r="B236" t="s">
        <v>20</v>
      </c>
      <c r="C236">
        <f>Advanced!C49</f>
        <v>0</v>
      </c>
      <c r="D236">
        <f>IF(Advanced!Y49="Pass",Advanced!W49,0)</f>
        <v>0</v>
      </c>
      <c r="E236" s="2" t="str">
        <f>IF(Advanced!B49="W","W","A")</f>
        <v>A</v>
      </c>
      <c r="F236" s="2" t="e">
        <f>VLOOKUP(JudgeD1ESA,Judges!$A$2:$B$44,2,FALSE)</f>
        <v>#N/A</v>
      </c>
      <c r="G236" t="str">
        <f>Advanced!Y49</f>
        <v/>
      </c>
    </row>
    <row r="237" spans="1:7" x14ac:dyDescent="0.25">
      <c r="A237">
        <f t="shared" si="7"/>
        <v>0</v>
      </c>
      <c r="B237" t="s">
        <v>20</v>
      </c>
      <c r="C237">
        <f>Advanced!C50</f>
        <v>0</v>
      </c>
      <c r="D237">
        <f>IF(Advanced!Y50="Pass",Advanced!W50,0)</f>
        <v>0</v>
      </c>
      <c r="E237" s="2" t="str">
        <f>IF(Advanced!B50="W","W","A")</f>
        <v>A</v>
      </c>
      <c r="F237" s="2" t="e">
        <f>VLOOKUP(JudgeD1ESA,Judges!$A$2:$B$44,2,FALSE)</f>
        <v>#N/A</v>
      </c>
      <c r="G237" t="str">
        <f>Advanced!Y50</f>
        <v/>
      </c>
    </row>
    <row r="238" spans="1:7" x14ac:dyDescent="0.25">
      <c r="A238">
        <f t="shared" si="7"/>
        <v>0</v>
      </c>
      <c r="B238" t="s">
        <v>20</v>
      </c>
      <c r="C238">
        <f>Advanced!C51</f>
        <v>0</v>
      </c>
      <c r="D238">
        <f>IF(Advanced!Y51="Pass",Advanced!W51,0)</f>
        <v>0</v>
      </c>
      <c r="E238" s="2" t="str">
        <f>IF(Advanced!B51="W","W","A")</f>
        <v>A</v>
      </c>
      <c r="F238" s="2" t="e">
        <f>VLOOKUP(JudgeD1ESA,Judges!$A$2:$B$44,2,FALSE)</f>
        <v>#N/A</v>
      </c>
      <c r="G238" t="str">
        <f>Advanced!Y51</f>
        <v/>
      </c>
    </row>
    <row r="239" spans="1:7" x14ac:dyDescent="0.25">
      <c r="A239">
        <f t="shared" si="7"/>
        <v>0</v>
      </c>
      <c r="B239" t="s">
        <v>20</v>
      </c>
      <c r="C239">
        <f>Advanced!C52</f>
        <v>0</v>
      </c>
      <c r="D239">
        <f>IF(Advanced!Y52="Pass",Advanced!W52,0)</f>
        <v>0</v>
      </c>
      <c r="E239" s="2" t="str">
        <f>IF(Advanced!B52="W","W","A")</f>
        <v>A</v>
      </c>
      <c r="F239" s="2" t="e">
        <f>VLOOKUP(JudgeD1ESA,Judges!$A$2:$B$44,2,FALSE)</f>
        <v>#N/A</v>
      </c>
      <c r="G239" t="str">
        <f>Advanced!Y52</f>
        <v/>
      </c>
    </row>
    <row r="240" spans="1:7" x14ac:dyDescent="0.25">
      <c r="A240">
        <f t="shared" si="7"/>
        <v>0</v>
      </c>
      <c r="B240" t="s">
        <v>20</v>
      </c>
      <c r="C240">
        <f>Advanced!C53</f>
        <v>0</v>
      </c>
      <c r="D240">
        <f>IF(Advanced!Y53="Pass",Advanced!W53,0)</f>
        <v>0</v>
      </c>
      <c r="E240" s="2" t="str">
        <f>IF(Advanced!B53="W","W","A")</f>
        <v>A</v>
      </c>
      <c r="F240" s="2" t="e">
        <f>VLOOKUP(JudgeD1ESA,Judges!$A$2:$B$44,2,FALSE)</f>
        <v>#N/A</v>
      </c>
      <c r="G240" t="str">
        <f>Advanced!Y53</f>
        <v/>
      </c>
    </row>
    <row r="241" spans="1:7" x14ac:dyDescent="0.25">
      <c r="A241">
        <f t="shared" si="7"/>
        <v>0</v>
      </c>
      <c r="B241" t="s">
        <v>20</v>
      </c>
      <c r="C241">
        <f>Advanced!C54</f>
        <v>0</v>
      </c>
      <c r="D241">
        <f>IF(Advanced!Y54="Pass",Advanced!W54,0)</f>
        <v>0</v>
      </c>
      <c r="E241" s="2" t="str">
        <f>IF(Advanced!B54="W","W","A")</f>
        <v>A</v>
      </c>
      <c r="F241" s="2" t="e">
        <f>VLOOKUP(JudgeD1ESA,Judges!$A$2:$B$44,2,FALSE)</f>
        <v>#N/A</v>
      </c>
      <c r="G241" t="str">
        <f>Advanced!Y54</f>
        <v/>
      </c>
    </row>
    <row r="242" spans="1:7" x14ac:dyDescent="0.25">
      <c r="A242">
        <f t="shared" si="7"/>
        <v>0</v>
      </c>
      <c r="B242" t="s">
        <v>21</v>
      </c>
      <c r="C242">
        <f>Excellent!C5</f>
        <v>0</v>
      </c>
      <c r="D242">
        <f>IF(Excellent!I5="Pass",Excellent!G5,0)</f>
        <v>0</v>
      </c>
      <c r="E242" s="2" t="str">
        <f>IF(Excellent!B5="W","W","A")</f>
        <v>A</v>
      </c>
      <c r="F242" s="2" t="e">
        <f>VLOOKUP(JudgeD1CSE,Judges!$A$2:$B$44,2,FALSE)</f>
        <v>#N/A</v>
      </c>
      <c r="G242" t="str">
        <f>Excellent!I5</f>
        <v/>
      </c>
    </row>
    <row r="243" spans="1:7" x14ac:dyDescent="0.25">
      <c r="A243">
        <f t="shared" si="7"/>
        <v>0</v>
      </c>
      <c r="B243" t="s">
        <v>21</v>
      </c>
      <c r="C243">
        <f>Excellent!C6</f>
        <v>0</v>
      </c>
      <c r="D243">
        <f>IF(Excellent!I6="Pass",Excellent!G6,0)</f>
        <v>0</v>
      </c>
      <c r="E243" s="2" t="str">
        <f>IF(Excellent!B6="W","W","A")</f>
        <v>A</v>
      </c>
      <c r="F243" s="2" t="e">
        <f>VLOOKUP(JudgeD1CSE,Judges!$A$2:$B$44,2,FALSE)</f>
        <v>#N/A</v>
      </c>
      <c r="G243" t="str">
        <f>Excellent!I6</f>
        <v/>
      </c>
    </row>
    <row r="244" spans="1:7" x14ac:dyDescent="0.25">
      <c r="A244">
        <f t="shared" si="7"/>
        <v>0</v>
      </c>
      <c r="B244" t="s">
        <v>21</v>
      </c>
      <c r="C244">
        <f>Excellent!C7</f>
        <v>0</v>
      </c>
      <c r="D244">
        <f>IF(Excellent!I7="Pass",Excellent!G7,0)</f>
        <v>0</v>
      </c>
      <c r="E244" s="2" t="str">
        <f>IF(Excellent!B7="W","W","A")</f>
        <v>A</v>
      </c>
      <c r="F244" s="2" t="e">
        <f>VLOOKUP(JudgeD1CSE,Judges!$A$2:$B$44,2,FALSE)</f>
        <v>#N/A</v>
      </c>
      <c r="G244" t="str">
        <f>Excellent!I7</f>
        <v/>
      </c>
    </row>
    <row r="245" spans="1:7" x14ac:dyDescent="0.25">
      <c r="A245">
        <f t="shared" si="7"/>
        <v>0</v>
      </c>
      <c r="B245" t="s">
        <v>21</v>
      </c>
      <c r="C245">
        <f>Excellent!C8</f>
        <v>0</v>
      </c>
      <c r="D245">
        <f>IF(Excellent!I8="Pass",Excellent!G8,0)</f>
        <v>0</v>
      </c>
      <c r="E245" s="2" t="str">
        <f>IF(Excellent!B8="W","W","A")</f>
        <v>A</v>
      </c>
      <c r="F245" s="2" t="e">
        <f>VLOOKUP(JudgeD1CSE,Judges!$A$2:$B$44,2,FALSE)</f>
        <v>#N/A</v>
      </c>
      <c r="G245" t="str">
        <f>Excellent!I8</f>
        <v/>
      </c>
    </row>
    <row r="246" spans="1:7" x14ac:dyDescent="0.25">
      <c r="A246">
        <f t="shared" si="7"/>
        <v>0</v>
      </c>
      <c r="B246" t="s">
        <v>21</v>
      </c>
      <c r="C246">
        <f>Excellent!C9</f>
        <v>0</v>
      </c>
      <c r="D246">
        <f>IF(Excellent!I9="Pass",Excellent!G9,0)</f>
        <v>0</v>
      </c>
      <c r="E246" s="2" t="str">
        <f>IF(Excellent!B9="W","W","A")</f>
        <v>A</v>
      </c>
      <c r="F246" s="2" t="e">
        <f>VLOOKUP(JudgeD1CSE,Judges!$A$2:$B$44,2,FALSE)</f>
        <v>#N/A</v>
      </c>
      <c r="G246" t="str">
        <f>Excellent!I9</f>
        <v/>
      </c>
    </row>
    <row r="247" spans="1:7" x14ac:dyDescent="0.25">
      <c r="A247">
        <f t="shared" si="7"/>
        <v>0</v>
      </c>
      <c r="B247" t="s">
        <v>21</v>
      </c>
      <c r="C247">
        <f>Excellent!C10</f>
        <v>0</v>
      </c>
      <c r="D247">
        <f>IF(Excellent!I10="Pass",Excellent!G10,0)</f>
        <v>0</v>
      </c>
      <c r="E247" s="2" t="str">
        <f>IF(Excellent!B10="W","W","A")</f>
        <v>A</v>
      </c>
      <c r="F247" s="2" t="e">
        <f>VLOOKUP(JudgeD1CSE,Judges!$A$2:$B$44,2,FALSE)</f>
        <v>#N/A</v>
      </c>
      <c r="G247" t="str">
        <f>Excellent!I10</f>
        <v/>
      </c>
    </row>
    <row r="248" spans="1:7" x14ac:dyDescent="0.25">
      <c r="A248">
        <f t="shared" si="7"/>
        <v>0</v>
      </c>
      <c r="B248" t="s">
        <v>21</v>
      </c>
      <c r="C248">
        <f>Excellent!C11</f>
        <v>0</v>
      </c>
      <c r="D248">
        <f>IF(Excellent!I11="Pass",Excellent!G11,0)</f>
        <v>0</v>
      </c>
      <c r="E248" s="2" t="str">
        <f>IF(Excellent!B11="W","W","A")</f>
        <v>A</v>
      </c>
      <c r="F248" s="2" t="e">
        <f>VLOOKUP(JudgeD1CSE,Judges!$A$2:$B$44,2,FALSE)</f>
        <v>#N/A</v>
      </c>
      <c r="G248" t="str">
        <f>Excellent!I11</f>
        <v/>
      </c>
    </row>
    <row r="249" spans="1:7" x14ac:dyDescent="0.25">
      <c r="A249">
        <f t="shared" si="7"/>
        <v>0</v>
      </c>
      <c r="B249" t="s">
        <v>21</v>
      </c>
      <c r="C249">
        <f>Excellent!C12</f>
        <v>0</v>
      </c>
      <c r="D249">
        <f>IF(Excellent!I12="Pass",Excellent!G12,0)</f>
        <v>0</v>
      </c>
      <c r="E249" s="2" t="str">
        <f>IF(Excellent!B12="W","W","A")</f>
        <v>A</v>
      </c>
      <c r="F249" s="2" t="e">
        <f>VLOOKUP(JudgeD1CSE,Judges!$A$2:$B$44,2,FALSE)</f>
        <v>#N/A</v>
      </c>
      <c r="G249" t="str">
        <f>Excellent!I12</f>
        <v/>
      </c>
    </row>
    <row r="250" spans="1:7" x14ac:dyDescent="0.25">
      <c r="A250">
        <f t="shared" si="7"/>
        <v>0</v>
      </c>
      <c r="B250" t="s">
        <v>21</v>
      </c>
      <c r="C250">
        <f>Excellent!C13</f>
        <v>0</v>
      </c>
      <c r="D250">
        <f>IF(Excellent!I13="Pass",Excellent!G13,0)</f>
        <v>0</v>
      </c>
      <c r="E250" s="2" t="str">
        <f>IF(Excellent!B13="W","W","A")</f>
        <v>A</v>
      </c>
      <c r="F250" s="2" t="e">
        <f>VLOOKUP(JudgeD1CSE,Judges!$A$2:$B$44,2,FALSE)</f>
        <v>#N/A</v>
      </c>
      <c r="G250" t="str">
        <f>Excellent!I13</f>
        <v/>
      </c>
    </row>
    <row r="251" spans="1:7" x14ac:dyDescent="0.25">
      <c r="A251">
        <f t="shared" si="7"/>
        <v>0</v>
      </c>
      <c r="B251" t="s">
        <v>21</v>
      </c>
      <c r="C251">
        <f>Excellent!C14</f>
        <v>0</v>
      </c>
      <c r="D251">
        <f>IF(Excellent!I14="Pass",Excellent!G14,0)</f>
        <v>0</v>
      </c>
      <c r="E251" s="2" t="str">
        <f>IF(Excellent!B14="W","W","A")</f>
        <v>A</v>
      </c>
      <c r="F251" s="2" t="e">
        <f>VLOOKUP(JudgeD1CSE,Judges!$A$2:$B$44,2,FALSE)</f>
        <v>#N/A</v>
      </c>
      <c r="G251" t="str">
        <f>Excellent!I14</f>
        <v/>
      </c>
    </row>
    <row r="252" spans="1:7" x14ac:dyDescent="0.25">
      <c r="A252">
        <f t="shared" si="7"/>
        <v>0</v>
      </c>
      <c r="B252" t="s">
        <v>21</v>
      </c>
      <c r="C252">
        <f>Excellent!C15</f>
        <v>0</v>
      </c>
      <c r="D252">
        <f>IF(Excellent!I15="Pass",Excellent!G15,0)</f>
        <v>0</v>
      </c>
      <c r="E252" s="2" t="str">
        <f>IF(Excellent!B15="W","W","A")</f>
        <v>A</v>
      </c>
      <c r="F252" s="2" t="e">
        <f>VLOOKUP(JudgeD1CSE,Judges!$A$2:$B$44,2,FALSE)</f>
        <v>#N/A</v>
      </c>
      <c r="G252" t="str">
        <f>Excellent!I15</f>
        <v/>
      </c>
    </row>
    <row r="253" spans="1:7" x14ac:dyDescent="0.25">
      <c r="A253">
        <f t="shared" si="7"/>
        <v>0</v>
      </c>
      <c r="B253" t="s">
        <v>21</v>
      </c>
      <c r="C253">
        <f>Excellent!C16</f>
        <v>0</v>
      </c>
      <c r="D253">
        <f>IF(Excellent!I16="Pass",Excellent!G16,0)</f>
        <v>0</v>
      </c>
      <c r="E253" s="2" t="str">
        <f>IF(Excellent!B16="W","W","A")</f>
        <v>A</v>
      </c>
      <c r="F253" s="2" t="e">
        <f>VLOOKUP(JudgeD1CSE,Judges!$A$2:$B$44,2,FALSE)</f>
        <v>#N/A</v>
      </c>
      <c r="G253" t="str">
        <f>Excellent!I16</f>
        <v/>
      </c>
    </row>
    <row r="254" spans="1:7" x14ac:dyDescent="0.25">
      <c r="A254">
        <f t="shared" si="7"/>
        <v>0</v>
      </c>
      <c r="B254" t="s">
        <v>21</v>
      </c>
      <c r="C254">
        <f>Excellent!C17</f>
        <v>0</v>
      </c>
      <c r="D254">
        <f>IF(Excellent!I17="Pass",Excellent!G17,0)</f>
        <v>0</v>
      </c>
      <c r="E254" s="2" t="str">
        <f>IF(Excellent!B17="W","W","A")</f>
        <v>A</v>
      </c>
      <c r="F254" s="2" t="e">
        <f>VLOOKUP(JudgeD1CSE,Judges!$A$2:$B$44,2,FALSE)</f>
        <v>#N/A</v>
      </c>
      <c r="G254" t="str">
        <f>Excellent!I17</f>
        <v/>
      </c>
    </row>
    <row r="255" spans="1:7" x14ac:dyDescent="0.25">
      <c r="A255">
        <f t="shared" si="7"/>
        <v>0</v>
      </c>
      <c r="B255" t="s">
        <v>21</v>
      </c>
      <c r="C255">
        <f>Excellent!C18</f>
        <v>0</v>
      </c>
      <c r="D255">
        <f>IF(Excellent!I18="Pass",Excellent!G18,0)</f>
        <v>0</v>
      </c>
      <c r="E255" s="2" t="str">
        <f>IF(Excellent!B18="W","W","A")</f>
        <v>A</v>
      </c>
      <c r="F255" s="2" t="e">
        <f>VLOOKUP(JudgeD1CSE,Judges!$A$2:$B$44,2,FALSE)</f>
        <v>#N/A</v>
      </c>
      <c r="G255" t="str">
        <f>Excellent!I18</f>
        <v/>
      </c>
    </row>
    <row r="256" spans="1:7" x14ac:dyDescent="0.25">
      <c r="A256">
        <f t="shared" si="7"/>
        <v>0</v>
      </c>
      <c r="B256" t="s">
        <v>21</v>
      </c>
      <c r="C256">
        <f>Excellent!C19</f>
        <v>0</v>
      </c>
      <c r="D256">
        <f>IF(Excellent!I19="Pass",Excellent!G19,0)</f>
        <v>0</v>
      </c>
      <c r="E256" s="2" t="str">
        <f>IF(Excellent!B19="W","W","A")</f>
        <v>A</v>
      </c>
      <c r="F256" s="2" t="e">
        <f>VLOOKUP(JudgeD1CSE,Judges!$A$2:$B$44,2,FALSE)</f>
        <v>#N/A</v>
      </c>
      <c r="G256" t="str">
        <f>Excellent!I19</f>
        <v/>
      </c>
    </row>
    <row r="257" spans="1:7" x14ac:dyDescent="0.25">
      <c r="A257">
        <f t="shared" si="7"/>
        <v>0</v>
      </c>
      <c r="B257" t="s">
        <v>21</v>
      </c>
      <c r="C257">
        <f>Excellent!C20</f>
        <v>0</v>
      </c>
      <c r="D257">
        <f>IF(Excellent!I20="Pass",Excellent!G20,0)</f>
        <v>0</v>
      </c>
      <c r="E257" s="2" t="str">
        <f>IF(Excellent!B20="W","W","A")</f>
        <v>A</v>
      </c>
      <c r="F257" s="2" t="e">
        <f>VLOOKUP(JudgeD1CSE,Judges!$A$2:$B$44,2,FALSE)</f>
        <v>#N/A</v>
      </c>
      <c r="G257" t="str">
        <f>Excellent!I20</f>
        <v/>
      </c>
    </row>
    <row r="258" spans="1:7" x14ac:dyDescent="0.25">
      <c r="A258">
        <f t="shared" si="7"/>
        <v>0</v>
      </c>
      <c r="B258" t="s">
        <v>21</v>
      </c>
      <c r="C258">
        <f>Excellent!C21</f>
        <v>0</v>
      </c>
      <c r="D258">
        <f>IF(Excellent!I21="Pass",Excellent!G21,0)</f>
        <v>0</v>
      </c>
      <c r="E258" s="2" t="str">
        <f>IF(Excellent!B21="W","W","A")</f>
        <v>A</v>
      </c>
      <c r="F258" s="2" t="e">
        <f>VLOOKUP(JudgeD1CSE,Judges!$A$2:$B$44,2,FALSE)</f>
        <v>#N/A</v>
      </c>
      <c r="G258" t="str">
        <f>Excellent!I21</f>
        <v/>
      </c>
    </row>
    <row r="259" spans="1:7" x14ac:dyDescent="0.25">
      <c r="A259">
        <f t="shared" si="7"/>
        <v>0</v>
      </c>
      <c r="B259" t="s">
        <v>21</v>
      </c>
      <c r="C259">
        <f>Excellent!C22</f>
        <v>0</v>
      </c>
      <c r="D259">
        <f>IF(Excellent!I22="Pass",Excellent!G22,0)</f>
        <v>0</v>
      </c>
      <c r="E259" s="2" t="str">
        <f>IF(Excellent!B22="W","W","A")</f>
        <v>A</v>
      </c>
      <c r="F259" s="2" t="e">
        <f>VLOOKUP(JudgeD1CSE,Judges!$A$2:$B$44,2,FALSE)</f>
        <v>#N/A</v>
      </c>
      <c r="G259" t="str">
        <f>Excellent!I22</f>
        <v/>
      </c>
    </row>
    <row r="260" spans="1:7" x14ac:dyDescent="0.25">
      <c r="A260">
        <f t="shared" si="7"/>
        <v>0</v>
      </c>
      <c r="B260" t="s">
        <v>21</v>
      </c>
      <c r="C260">
        <f>Excellent!C23</f>
        <v>0</v>
      </c>
      <c r="D260">
        <f>IF(Excellent!I23="Pass",Excellent!G23,0)</f>
        <v>0</v>
      </c>
      <c r="E260" s="2" t="str">
        <f>IF(Excellent!B23="W","W","A")</f>
        <v>A</v>
      </c>
      <c r="F260" s="2" t="e">
        <f>VLOOKUP(JudgeD1CSE,Judges!$A$2:$B$44,2,FALSE)</f>
        <v>#N/A</v>
      </c>
      <c r="G260" t="str">
        <f>Excellent!I23</f>
        <v/>
      </c>
    </row>
    <row r="261" spans="1:7" x14ac:dyDescent="0.25">
      <c r="A261">
        <f t="shared" si="7"/>
        <v>0</v>
      </c>
      <c r="B261" t="s">
        <v>21</v>
      </c>
      <c r="C261">
        <f>Excellent!C24</f>
        <v>0</v>
      </c>
      <c r="D261">
        <f>IF(Excellent!I24="Pass",Excellent!G24,0)</f>
        <v>0</v>
      </c>
      <c r="E261" s="2" t="str">
        <f>IF(Excellent!B24="W","W","A")</f>
        <v>A</v>
      </c>
      <c r="F261" s="2" t="e">
        <f>VLOOKUP(JudgeD1CSE,Judges!$A$2:$B$44,2,FALSE)</f>
        <v>#N/A</v>
      </c>
      <c r="G261" t="str">
        <f>Excellent!I24</f>
        <v/>
      </c>
    </row>
    <row r="262" spans="1:7" x14ac:dyDescent="0.25">
      <c r="A262">
        <f t="shared" si="7"/>
        <v>0</v>
      </c>
      <c r="B262" t="s">
        <v>21</v>
      </c>
      <c r="C262">
        <f>Excellent!C25</f>
        <v>0</v>
      </c>
      <c r="D262">
        <f>IF(Excellent!I25="Pass",Excellent!G25,0)</f>
        <v>0</v>
      </c>
      <c r="E262" s="2" t="str">
        <f>IF(Excellent!B25="W","W","A")</f>
        <v>A</v>
      </c>
      <c r="F262" s="2" t="e">
        <f>VLOOKUP(JudgeD1CSE,Judges!$A$2:$B$44,2,FALSE)</f>
        <v>#N/A</v>
      </c>
      <c r="G262" t="str">
        <f>Excellent!I25</f>
        <v/>
      </c>
    </row>
    <row r="263" spans="1:7" x14ac:dyDescent="0.25">
      <c r="A263">
        <f t="shared" si="7"/>
        <v>0</v>
      </c>
      <c r="B263" t="s">
        <v>21</v>
      </c>
      <c r="C263">
        <f>Excellent!C26</f>
        <v>0</v>
      </c>
      <c r="D263">
        <f>IF(Excellent!I26="Pass",Excellent!G26,0)</f>
        <v>0</v>
      </c>
      <c r="E263" s="2" t="str">
        <f>IF(Excellent!B26="W","W","A")</f>
        <v>A</v>
      </c>
      <c r="F263" s="2" t="e">
        <f>VLOOKUP(JudgeD1CSE,Judges!$A$2:$B$44,2,FALSE)</f>
        <v>#N/A</v>
      </c>
      <c r="G263" t="str">
        <f>Excellent!I26</f>
        <v/>
      </c>
    </row>
    <row r="264" spans="1:7" x14ac:dyDescent="0.25">
      <c r="A264">
        <f t="shared" si="7"/>
        <v>0</v>
      </c>
      <c r="B264" t="s">
        <v>21</v>
      </c>
      <c r="C264">
        <f>Excellent!C27</f>
        <v>0</v>
      </c>
      <c r="D264">
        <f>IF(Excellent!I27="Pass",Excellent!G27,0)</f>
        <v>0</v>
      </c>
      <c r="E264" s="2" t="str">
        <f>IF(Excellent!B27="W","W","A")</f>
        <v>A</v>
      </c>
      <c r="F264" s="2" t="e">
        <f>VLOOKUP(JudgeD1CSE,Judges!$A$2:$B$44,2,FALSE)</f>
        <v>#N/A</v>
      </c>
      <c r="G264" t="str">
        <f>Excellent!I27</f>
        <v/>
      </c>
    </row>
    <row r="265" spans="1:7" x14ac:dyDescent="0.25">
      <c r="A265">
        <f t="shared" si="7"/>
        <v>0</v>
      </c>
      <c r="B265" t="s">
        <v>21</v>
      </c>
      <c r="C265">
        <f>Excellent!C28</f>
        <v>0</v>
      </c>
      <c r="D265">
        <f>IF(Excellent!I28="Pass",Excellent!G28,0)</f>
        <v>0</v>
      </c>
      <c r="E265" s="2" t="str">
        <f>IF(Excellent!B28="W","W","A")</f>
        <v>A</v>
      </c>
      <c r="F265" s="2" t="e">
        <f>VLOOKUP(JudgeD1CSE,Judges!$A$2:$B$44,2,FALSE)</f>
        <v>#N/A</v>
      </c>
      <c r="G265" t="str">
        <f>Excellent!I28</f>
        <v/>
      </c>
    </row>
    <row r="266" spans="1:7" x14ac:dyDescent="0.25">
      <c r="A266">
        <f t="shared" si="7"/>
        <v>0</v>
      </c>
      <c r="B266" t="s">
        <v>21</v>
      </c>
      <c r="C266">
        <f>Excellent!C29</f>
        <v>0</v>
      </c>
      <c r="D266">
        <f>IF(Excellent!I29="Pass",Excellent!G29,0)</f>
        <v>0</v>
      </c>
      <c r="E266" s="2" t="str">
        <f>IF(Excellent!B29="W","W","A")</f>
        <v>A</v>
      </c>
      <c r="F266" s="2" t="e">
        <f>VLOOKUP(JudgeD1CSE,Judges!$A$2:$B$44,2,FALSE)</f>
        <v>#N/A</v>
      </c>
      <c r="G266" t="str">
        <f>Excellent!I29</f>
        <v/>
      </c>
    </row>
    <row r="267" spans="1:7" x14ac:dyDescent="0.25">
      <c r="A267">
        <f t="shared" si="7"/>
        <v>0</v>
      </c>
      <c r="B267" t="s">
        <v>21</v>
      </c>
      <c r="C267">
        <f>Excellent!C30</f>
        <v>0</v>
      </c>
      <c r="D267">
        <f>IF(Excellent!I30="Pass",Excellent!G30,0)</f>
        <v>0</v>
      </c>
      <c r="E267" s="2" t="str">
        <f>IF(Excellent!B30="W","W","A")</f>
        <v>A</v>
      </c>
      <c r="F267" s="2" t="e">
        <f>VLOOKUP(JudgeD1CSE,Judges!$A$2:$B$44,2,FALSE)</f>
        <v>#N/A</v>
      </c>
      <c r="G267" t="str">
        <f>Excellent!I30</f>
        <v/>
      </c>
    </row>
    <row r="268" spans="1:7" x14ac:dyDescent="0.25">
      <c r="A268">
        <f t="shared" si="7"/>
        <v>0</v>
      </c>
      <c r="B268" t="s">
        <v>21</v>
      </c>
      <c r="C268">
        <f>Excellent!C31</f>
        <v>0</v>
      </c>
      <c r="D268">
        <f>IF(Excellent!I31="Pass",Excellent!G31,0)</f>
        <v>0</v>
      </c>
      <c r="E268" s="2" t="str">
        <f>IF(Excellent!B31="W","W","A")</f>
        <v>A</v>
      </c>
      <c r="F268" s="2" t="e">
        <f>VLOOKUP(JudgeD1CSE,Judges!$A$2:$B$44,2,FALSE)</f>
        <v>#N/A</v>
      </c>
      <c r="G268" t="str">
        <f>Excellent!I31</f>
        <v/>
      </c>
    </row>
    <row r="269" spans="1:7" x14ac:dyDescent="0.25">
      <c r="A269">
        <f t="shared" si="7"/>
        <v>0</v>
      </c>
      <c r="B269" t="s">
        <v>21</v>
      </c>
      <c r="C269">
        <f>Excellent!C32</f>
        <v>0</v>
      </c>
      <c r="D269">
        <f>IF(Excellent!I32="Pass",Excellent!G32,0)</f>
        <v>0</v>
      </c>
      <c r="E269" s="2" t="str">
        <f>IF(Excellent!B32="W","W","A")</f>
        <v>A</v>
      </c>
      <c r="F269" s="2" t="e">
        <f>VLOOKUP(JudgeD1CSE,Judges!$A$2:$B$44,2,FALSE)</f>
        <v>#N/A</v>
      </c>
      <c r="G269" t="str">
        <f>Excellent!I32</f>
        <v/>
      </c>
    </row>
    <row r="270" spans="1:7" x14ac:dyDescent="0.25">
      <c r="A270">
        <f t="shared" si="7"/>
        <v>0</v>
      </c>
      <c r="B270" t="s">
        <v>21</v>
      </c>
      <c r="C270">
        <f>Excellent!C33</f>
        <v>0</v>
      </c>
      <c r="D270">
        <f>IF(Excellent!I33="Pass",Excellent!G33,0)</f>
        <v>0</v>
      </c>
      <c r="E270" s="2" t="str">
        <f>IF(Excellent!B33="W","W","A")</f>
        <v>A</v>
      </c>
      <c r="F270" s="2" t="e">
        <f>VLOOKUP(JudgeD1CSE,Judges!$A$2:$B$44,2,FALSE)</f>
        <v>#N/A</v>
      </c>
      <c r="G270" t="str">
        <f>Excellent!I33</f>
        <v/>
      </c>
    </row>
    <row r="271" spans="1:7" x14ac:dyDescent="0.25">
      <c r="A271">
        <f t="shared" si="7"/>
        <v>0</v>
      </c>
      <c r="B271" t="s">
        <v>21</v>
      </c>
      <c r="C271">
        <f>Excellent!C34</f>
        <v>0</v>
      </c>
      <c r="D271">
        <f>IF(Excellent!I34="Pass",Excellent!G34,0)</f>
        <v>0</v>
      </c>
      <c r="E271" s="2" t="str">
        <f>IF(Excellent!B34="W","W","A")</f>
        <v>A</v>
      </c>
      <c r="F271" s="2" t="e">
        <f>VLOOKUP(JudgeD1CSE,Judges!$A$2:$B$44,2,FALSE)</f>
        <v>#N/A</v>
      </c>
      <c r="G271" t="str">
        <f>Excellent!I34</f>
        <v/>
      </c>
    </row>
    <row r="272" spans="1:7" x14ac:dyDescent="0.25">
      <c r="A272">
        <f t="shared" si="7"/>
        <v>0</v>
      </c>
      <c r="B272" t="s">
        <v>21</v>
      </c>
      <c r="C272">
        <f>Excellent!C35</f>
        <v>0</v>
      </c>
      <c r="D272">
        <f>IF(Excellent!I35="Pass",Excellent!G35,0)</f>
        <v>0</v>
      </c>
      <c r="E272" s="2" t="str">
        <f>IF(Excellent!B35="W","W","A")</f>
        <v>A</v>
      </c>
      <c r="F272" s="2" t="e">
        <f>VLOOKUP(JudgeD1CSE,Judges!$A$2:$B$44,2,FALSE)</f>
        <v>#N/A</v>
      </c>
      <c r="G272" t="str">
        <f>Excellent!I35</f>
        <v/>
      </c>
    </row>
    <row r="273" spans="1:7" x14ac:dyDescent="0.25">
      <c r="A273">
        <f t="shared" si="7"/>
        <v>0</v>
      </c>
      <c r="B273" t="s">
        <v>21</v>
      </c>
      <c r="C273">
        <f>Excellent!C36</f>
        <v>0</v>
      </c>
      <c r="D273">
        <f>IF(Excellent!I36="Pass",Excellent!G36,0)</f>
        <v>0</v>
      </c>
      <c r="E273" s="2" t="str">
        <f>IF(Excellent!B36="W","W","A")</f>
        <v>A</v>
      </c>
      <c r="F273" s="2" t="e">
        <f>VLOOKUP(JudgeD1CSE,Judges!$A$2:$B$44,2,FALSE)</f>
        <v>#N/A</v>
      </c>
      <c r="G273" t="str">
        <f>Excellent!I36</f>
        <v/>
      </c>
    </row>
    <row r="274" spans="1:7" x14ac:dyDescent="0.25">
      <c r="A274">
        <f t="shared" ref="A274:A377" si="8">TrialNumber</f>
        <v>0</v>
      </c>
      <c r="B274" t="s">
        <v>21</v>
      </c>
      <c r="C274">
        <f>Excellent!C37</f>
        <v>0</v>
      </c>
      <c r="D274">
        <f>IF(Excellent!I37="Pass",Excellent!G37,0)</f>
        <v>0</v>
      </c>
      <c r="E274" s="2" t="str">
        <f>IF(Excellent!B37="W","W","A")</f>
        <v>A</v>
      </c>
      <c r="F274" s="2" t="e">
        <f>VLOOKUP(JudgeD1CSE,Judges!$A$2:$B$44,2,FALSE)</f>
        <v>#N/A</v>
      </c>
      <c r="G274" t="str">
        <f>Excellent!I37</f>
        <v/>
      </c>
    </row>
    <row r="275" spans="1:7" x14ac:dyDescent="0.25">
      <c r="A275">
        <f t="shared" si="8"/>
        <v>0</v>
      </c>
      <c r="B275" t="s">
        <v>21</v>
      </c>
      <c r="C275">
        <f>Excellent!C38</f>
        <v>0</v>
      </c>
      <c r="D275">
        <f>IF(Excellent!I38="Pass",Excellent!G38,0)</f>
        <v>0</v>
      </c>
      <c r="E275" s="2" t="str">
        <f>IF(Excellent!B38="W","W","A")</f>
        <v>A</v>
      </c>
      <c r="F275" s="2" t="e">
        <f>VLOOKUP(JudgeD1CSE,Judges!$A$2:$B$44,2,FALSE)</f>
        <v>#N/A</v>
      </c>
      <c r="G275" t="str">
        <f>Excellent!I38</f>
        <v/>
      </c>
    </row>
    <row r="276" spans="1:7" x14ac:dyDescent="0.25">
      <c r="A276">
        <f t="shared" si="8"/>
        <v>0</v>
      </c>
      <c r="B276" t="s">
        <v>21</v>
      </c>
      <c r="C276">
        <f>Excellent!C39</f>
        <v>0</v>
      </c>
      <c r="D276">
        <f>IF(Excellent!I39="Pass",Excellent!G39,0)</f>
        <v>0</v>
      </c>
      <c r="E276" s="2" t="str">
        <f>IF(Excellent!B39="W","W","A")</f>
        <v>A</v>
      </c>
      <c r="F276" s="2" t="e">
        <f>VLOOKUP(JudgeD1CSE,Judges!$A$2:$B$44,2,FALSE)</f>
        <v>#N/A</v>
      </c>
      <c r="G276" t="str">
        <f>Excellent!I39</f>
        <v/>
      </c>
    </row>
    <row r="277" spans="1:7" x14ac:dyDescent="0.25">
      <c r="A277">
        <f t="shared" si="8"/>
        <v>0</v>
      </c>
      <c r="B277" t="s">
        <v>21</v>
      </c>
      <c r="C277">
        <f>Excellent!C40</f>
        <v>0</v>
      </c>
      <c r="D277">
        <f>IF(Excellent!I40="Pass",Excellent!G40,0)</f>
        <v>0</v>
      </c>
      <c r="E277" s="2" t="str">
        <f>IF(Excellent!B40="W","W","A")</f>
        <v>A</v>
      </c>
      <c r="F277" s="2" t="e">
        <f>VLOOKUP(JudgeD1CSE,Judges!$A$2:$B$44,2,FALSE)</f>
        <v>#N/A</v>
      </c>
      <c r="G277" t="str">
        <f>Excellent!I40</f>
        <v/>
      </c>
    </row>
    <row r="278" spans="1:7" x14ac:dyDescent="0.25">
      <c r="A278">
        <f t="shared" si="8"/>
        <v>0</v>
      </c>
      <c r="B278" t="s">
        <v>21</v>
      </c>
      <c r="C278">
        <f>Excellent!C41</f>
        <v>0</v>
      </c>
      <c r="D278">
        <f>IF(Excellent!I41="Pass",Excellent!G41,0)</f>
        <v>0</v>
      </c>
      <c r="E278" s="2" t="str">
        <f>IF(Excellent!B41="W","W","A")</f>
        <v>A</v>
      </c>
      <c r="F278" s="2" t="e">
        <f>VLOOKUP(JudgeD1CSE,Judges!$A$2:$B$44,2,FALSE)</f>
        <v>#N/A</v>
      </c>
      <c r="G278" t="str">
        <f>Excellent!I41</f>
        <v/>
      </c>
    </row>
    <row r="279" spans="1:7" x14ac:dyDescent="0.25">
      <c r="A279">
        <f t="shared" si="8"/>
        <v>0</v>
      </c>
      <c r="B279" t="s">
        <v>21</v>
      </c>
      <c r="C279">
        <f>Excellent!C42</f>
        <v>0</v>
      </c>
      <c r="D279">
        <f>IF(Excellent!I42="Pass",Excellent!G42,0)</f>
        <v>0</v>
      </c>
      <c r="E279" s="2" t="str">
        <f>IF(Excellent!B42="W","W","A")</f>
        <v>A</v>
      </c>
      <c r="F279" s="2" t="e">
        <f>VLOOKUP(JudgeD1CSE,Judges!$A$2:$B$44,2,FALSE)</f>
        <v>#N/A</v>
      </c>
      <c r="G279" t="str">
        <f>Excellent!I42</f>
        <v/>
      </c>
    </row>
    <row r="280" spans="1:7" x14ac:dyDescent="0.25">
      <c r="A280">
        <f t="shared" si="8"/>
        <v>0</v>
      </c>
      <c r="B280" t="s">
        <v>21</v>
      </c>
      <c r="C280">
        <f>Excellent!C43</f>
        <v>0</v>
      </c>
      <c r="D280">
        <f>IF(Excellent!I43="Pass",Excellent!G43,0)</f>
        <v>0</v>
      </c>
      <c r="E280" s="2" t="str">
        <f>IF(Excellent!B43="W","W","A")</f>
        <v>A</v>
      </c>
      <c r="F280" s="2" t="e">
        <f>VLOOKUP(JudgeD1CSE,Judges!$A$2:$B$44,2,FALSE)</f>
        <v>#N/A</v>
      </c>
      <c r="G280" t="str">
        <f>Excellent!I43</f>
        <v/>
      </c>
    </row>
    <row r="281" spans="1:7" x14ac:dyDescent="0.25">
      <c r="A281">
        <f t="shared" si="8"/>
        <v>0</v>
      </c>
      <c r="B281" t="s">
        <v>21</v>
      </c>
      <c r="C281">
        <f>Excellent!C44</f>
        <v>0</v>
      </c>
      <c r="D281">
        <f>IF(Excellent!I44="Pass",Excellent!G44,0)</f>
        <v>0</v>
      </c>
      <c r="E281" s="2" t="str">
        <f>IF(Excellent!B44="W","W","A")</f>
        <v>A</v>
      </c>
      <c r="F281" s="2" t="e">
        <f>VLOOKUP(JudgeD1CSE,Judges!$A$2:$B$44,2,FALSE)</f>
        <v>#N/A</v>
      </c>
      <c r="G281" t="str">
        <f>Excellent!I44</f>
        <v/>
      </c>
    </row>
    <row r="282" spans="1:7" x14ac:dyDescent="0.25">
      <c r="A282">
        <f t="shared" si="8"/>
        <v>0</v>
      </c>
      <c r="B282" t="s">
        <v>21</v>
      </c>
      <c r="C282">
        <f>Excellent!C45</f>
        <v>0</v>
      </c>
      <c r="D282">
        <f>IF(Excellent!I45="Pass",Excellent!G45,0)</f>
        <v>0</v>
      </c>
      <c r="E282" s="2" t="str">
        <f>IF(Excellent!B45="W","W","A")</f>
        <v>A</v>
      </c>
      <c r="F282" s="2" t="e">
        <f>VLOOKUP(JudgeD1CSE,Judges!$A$2:$B$44,2,FALSE)</f>
        <v>#N/A</v>
      </c>
      <c r="G282" t="str">
        <f>Excellent!I45</f>
        <v/>
      </c>
    </row>
    <row r="283" spans="1:7" x14ac:dyDescent="0.25">
      <c r="A283">
        <f t="shared" si="8"/>
        <v>0</v>
      </c>
      <c r="B283" t="s">
        <v>21</v>
      </c>
      <c r="C283">
        <f>Excellent!C46</f>
        <v>0</v>
      </c>
      <c r="D283">
        <f>IF(Excellent!I46="Pass",Excellent!G46,0)</f>
        <v>0</v>
      </c>
      <c r="E283" s="2" t="str">
        <f>IF(Excellent!B46="W","W","A")</f>
        <v>A</v>
      </c>
      <c r="F283" s="2" t="e">
        <f>VLOOKUP(JudgeD1CSE,Judges!$A$2:$B$44,2,FALSE)</f>
        <v>#N/A</v>
      </c>
      <c r="G283" t="str">
        <f>Excellent!I46</f>
        <v/>
      </c>
    </row>
    <row r="284" spans="1:7" x14ac:dyDescent="0.25">
      <c r="A284">
        <f t="shared" si="8"/>
        <v>0</v>
      </c>
      <c r="B284" t="s">
        <v>21</v>
      </c>
      <c r="C284">
        <f>Excellent!C47</f>
        <v>0</v>
      </c>
      <c r="D284">
        <f>IF(Excellent!I47="Pass",Excellent!G47,0)</f>
        <v>0</v>
      </c>
      <c r="E284" s="2" t="str">
        <f>IF(Excellent!B47="W","W","A")</f>
        <v>A</v>
      </c>
      <c r="F284" s="2" t="e">
        <f>VLOOKUP(JudgeD1CSE,Judges!$A$2:$B$44,2,FALSE)</f>
        <v>#N/A</v>
      </c>
      <c r="G284" t="str">
        <f>Excellent!I47</f>
        <v/>
      </c>
    </row>
    <row r="285" spans="1:7" x14ac:dyDescent="0.25">
      <c r="A285">
        <f t="shared" si="8"/>
        <v>0</v>
      </c>
      <c r="B285" t="s">
        <v>21</v>
      </c>
      <c r="C285">
        <f>Excellent!C48</f>
        <v>0</v>
      </c>
      <c r="D285">
        <f>IF(Excellent!I48="Pass",Excellent!G48,0)</f>
        <v>0</v>
      </c>
      <c r="E285" s="2" t="str">
        <f>IF(Excellent!B48="W","W","A")</f>
        <v>A</v>
      </c>
      <c r="F285" s="2" t="e">
        <f>VLOOKUP(JudgeD1CSE,Judges!$A$2:$B$44,2,FALSE)</f>
        <v>#N/A</v>
      </c>
      <c r="G285" t="str">
        <f>Excellent!I48</f>
        <v/>
      </c>
    </row>
    <row r="286" spans="1:7" x14ac:dyDescent="0.25">
      <c r="A286">
        <f t="shared" si="8"/>
        <v>0</v>
      </c>
      <c r="B286" t="s">
        <v>21</v>
      </c>
      <c r="C286">
        <f>Excellent!C49</f>
        <v>0</v>
      </c>
      <c r="D286">
        <f>IF(Excellent!I49="Pass",Excellent!G49,0)</f>
        <v>0</v>
      </c>
      <c r="E286" s="2" t="str">
        <f>IF(Excellent!B49="W","W","A")</f>
        <v>A</v>
      </c>
      <c r="F286" s="2" t="e">
        <f>VLOOKUP(JudgeD1CSE,Judges!$A$2:$B$44,2,FALSE)</f>
        <v>#N/A</v>
      </c>
      <c r="G286" t="str">
        <f>Excellent!I49</f>
        <v/>
      </c>
    </row>
    <row r="287" spans="1:7" x14ac:dyDescent="0.25">
      <c r="A287">
        <f t="shared" si="8"/>
        <v>0</v>
      </c>
      <c r="B287" t="s">
        <v>21</v>
      </c>
      <c r="C287">
        <f>Excellent!C50</f>
        <v>0</v>
      </c>
      <c r="D287">
        <f>IF(Excellent!I50="Pass",Excellent!G50,0)</f>
        <v>0</v>
      </c>
      <c r="E287" s="2" t="str">
        <f>IF(Excellent!B50="W","W","A")</f>
        <v>A</v>
      </c>
      <c r="F287" s="2" t="e">
        <f>VLOOKUP(JudgeD1CSE,Judges!$A$2:$B$44,2,FALSE)</f>
        <v>#N/A</v>
      </c>
      <c r="G287" t="str">
        <f>Excellent!I50</f>
        <v/>
      </c>
    </row>
    <row r="288" spans="1:7" x14ac:dyDescent="0.25">
      <c r="A288">
        <f t="shared" si="8"/>
        <v>0</v>
      </c>
      <c r="B288" t="s">
        <v>21</v>
      </c>
      <c r="C288">
        <f>Excellent!C51</f>
        <v>0</v>
      </c>
      <c r="D288">
        <f>IF(Excellent!I51="Pass",Excellent!G51,0)</f>
        <v>0</v>
      </c>
      <c r="E288" s="2" t="str">
        <f>IF(Excellent!B51="W","W","A")</f>
        <v>A</v>
      </c>
      <c r="F288" s="2" t="e">
        <f>VLOOKUP(JudgeD1CSE,Judges!$A$2:$B$44,2,FALSE)</f>
        <v>#N/A</v>
      </c>
      <c r="G288" t="str">
        <f>Excellent!I51</f>
        <v/>
      </c>
    </row>
    <row r="289" spans="1:7" x14ac:dyDescent="0.25">
      <c r="A289">
        <f t="shared" si="8"/>
        <v>0</v>
      </c>
      <c r="B289" t="s">
        <v>21</v>
      </c>
      <c r="C289">
        <f>Excellent!C52</f>
        <v>0</v>
      </c>
      <c r="D289">
        <f>IF(Excellent!I52="Pass",Excellent!G52,0)</f>
        <v>0</v>
      </c>
      <c r="E289" s="2" t="str">
        <f>IF(Excellent!B52="W","W","A")</f>
        <v>A</v>
      </c>
      <c r="F289" s="2" t="e">
        <f>VLOOKUP(JudgeD1CSE,Judges!$A$2:$B$44,2,FALSE)</f>
        <v>#N/A</v>
      </c>
      <c r="G289" t="str">
        <f>Excellent!I52</f>
        <v/>
      </c>
    </row>
    <row r="290" spans="1:7" x14ac:dyDescent="0.25">
      <c r="A290">
        <f t="shared" si="8"/>
        <v>0</v>
      </c>
      <c r="B290" t="s">
        <v>21</v>
      </c>
      <c r="C290">
        <f>Excellent!C53</f>
        <v>0</v>
      </c>
      <c r="D290">
        <f>IF(Excellent!I53="Pass",Excellent!G53,0)</f>
        <v>0</v>
      </c>
      <c r="E290" s="2" t="str">
        <f>IF(Excellent!B53="W","W","A")</f>
        <v>A</v>
      </c>
      <c r="F290" s="2" t="e">
        <f>VLOOKUP(JudgeD1CSE,Judges!$A$2:$B$44,2,FALSE)</f>
        <v>#N/A</v>
      </c>
      <c r="G290" t="str">
        <f>Excellent!I53</f>
        <v/>
      </c>
    </row>
    <row r="291" spans="1:7" x14ac:dyDescent="0.25">
      <c r="A291">
        <f t="shared" si="8"/>
        <v>0</v>
      </c>
      <c r="B291" t="s">
        <v>21</v>
      </c>
      <c r="C291">
        <f>Excellent!C54</f>
        <v>0</v>
      </c>
      <c r="D291">
        <f>IF(Excellent!I54="Pass",Excellent!G54,0)</f>
        <v>0</v>
      </c>
      <c r="E291" s="2" t="str">
        <f>IF(Excellent!B54="W","W","A")</f>
        <v>A</v>
      </c>
      <c r="F291" s="2" t="e">
        <f>VLOOKUP(JudgeD1CSE,Judges!$A$2:$B$44,2,FALSE)</f>
        <v>#N/A</v>
      </c>
      <c r="G291" t="str">
        <f>Excellent!I54</f>
        <v/>
      </c>
    </row>
    <row r="292" spans="1:7" x14ac:dyDescent="0.25">
      <c r="A292">
        <f t="shared" si="8"/>
        <v>0</v>
      </c>
      <c r="B292" t="s">
        <v>22</v>
      </c>
      <c r="C292">
        <f>Excellent!C5</f>
        <v>0</v>
      </c>
      <c r="D292">
        <f>IF(Excellent!Q5="Pass",Excellent!O5,0)</f>
        <v>0</v>
      </c>
      <c r="E292" s="2" t="str">
        <f>IF(Excellent!B5="W","W","A")</f>
        <v>A</v>
      </c>
      <c r="F292" s="2" t="e">
        <f>VLOOKUP(JudgeD1ISE,Judges!$A$2:$B$44,2,FALSE)</f>
        <v>#N/A</v>
      </c>
      <c r="G292" t="str">
        <f>Excellent!Q5</f>
        <v/>
      </c>
    </row>
    <row r="293" spans="1:7" x14ac:dyDescent="0.25">
      <c r="A293">
        <f t="shared" si="8"/>
        <v>0</v>
      </c>
      <c r="B293" t="s">
        <v>22</v>
      </c>
      <c r="C293">
        <f>Excellent!C6</f>
        <v>0</v>
      </c>
      <c r="D293">
        <f>IF(Excellent!Q6="Pass",Excellent!O6,0)</f>
        <v>0</v>
      </c>
      <c r="E293" s="2" t="str">
        <f>IF(Excellent!B6="W","W","A")</f>
        <v>A</v>
      </c>
      <c r="F293" s="2" t="e">
        <f>VLOOKUP(JudgeD1ISE,Judges!$A$2:$B$44,2,FALSE)</f>
        <v>#N/A</v>
      </c>
      <c r="G293" t="str">
        <f>Excellent!Q6</f>
        <v/>
      </c>
    </row>
    <row r="294" spans="1:7" x14ac:dyDescent="0.25">
      <c r="A294">
        <f t="shared" si="8"/>
        <v>0</v>
      </c>
      <c r="B294" t="s">
        <v>22</v>
      </c>
      <c r="C294">
        <f>Excellent!C7</f>
        <v>0</v>
      </c>
      <c r="D294">
        <f>IF(Excellent!Q7="Pass",Excellent!O7,0)</f>
        <v>0</v>
      </c>
      <c r="E294" s="2" t="str">
        <f>IF(Excellent!B7="W","W","A")</f>
        <v>A</v>
      </c>
      <c r="F294" s="2" t="e">
        <f>VLOOKUP(JudgeD1ISE,Judges!$A$2:$B$44,2,FALSE)</f>
        <v>#N/A</v>
      </c>
      <c r="G294" t="str">
        <f>Excellent!Q7</f>
        <v/>
      </c>
    </row>
    <row r="295" spans="1:7" x14ac:dyDescent="0.25">
      <c r="A295">
        <f t="shared" si="8"/>
        <v>0</v>
      </c>
      <c r="B295" t="s">
        <v>22</v>
      </c>
      <c r="C295">
        <f>Excellent!C8</f>
        <v>0</v>
      </c>
      <c r="D295">
        <f>IF(Excellent!Q8="Pass",Excellent!O8,0)</f>
        <v>0</v>
      </c>
      <c r="E295" s="2" t="str">
        <f>IF(Excellent!B8="W","W","A")</f>
        <v>A</v>
      </c>
      <c r="F295" s="2" t="e">
        <f>VLOOKUP(JudgeD1ISE,Judges!$A$2:$B$44,2,FALSE)</f>
        <v>#N/A</v>
      </c>
      <c r="G295" t="str">
        <f>Excellent!Q8</f>
        <v/>
      </c>
    </row>
    <row r="296" spans="1:7" x14ac:dyDescent="0.25">
      <c r="A296">
        <f t="shared" si="8"/>
        <v>0</v>
      </c>
      <c r="B296" t="s">
        <v>22</v>
      </c>
      <c r="C296">
        <f>Excellent!C9</f>
        <v>0</v>
      </c>
      <c r="D296">
        <f>IF(Excellent!Q9="Pass",Excellent!O9,0)</f>
        <v>0</v>
      </c>
      <c r="E296" s="2" t="str">
        <f>IF(Excellent!B9="W","W","A")</f>
        <v>A</v>
      </c>
      <c r="F296" s="2" t="e">
        <f>VLOOKUP(JudgeD1ISE,Judges!$A$2:$B$44,2,FALSE)</f>
        <v>#N/A</v>
      </c>
      <c r="G296" t="str">
        <f>Excellent!Q9</f>
        <v/>
      </c>
    </row>
    <row r="297" spans="1:7" x14ac:dyDescent="0.25">
      <c r="A297">
        <f t="shared" si="8"/>
        <v>0</v>
      </c>
      <c r="B297" t="s">
        <v>22</v>
      </c>
      <c r="C297">
        <f>Excellent!C10</f>
        <v>0</v>
      </c>
      <c r="D297">
        <f>IF(Excellent!Q10="Pass",Excellent!O10,0)</f>
        <v>0</v>
      </c>
      <c r="E297" s="2" t="str">
        <f>IF(Excellent!B10="W","W","A")</f>
        <v>A</v>
      </c>
      <c r="F297" s="2" t="e">
        <f>VLOOKUP(JudgeD1ISE,Judges!$A$2:$B$44,2,FALSE)</f>
        <v>#N/A</v>
      </c>
      <c r="G297" t="str">
        <f>Excellent!Q10</f>
        <v/>
      </c>
    </row>
    <row r="298" spans="1:7" x14ac:dyDescent="0.25">
      <c r="A298">
        <f t="shared" si="8"/>
        <v>0</v>
      </c>
      <c r="B298" t="s">
        <v>22</v>
      </c>
      <c r="C298">
        <f>Excellent!C11</f>
        <v>0</v>
      </c>
      <c r="D298">
        <f>IF(Excellent!Q11="Pass",Excellent!O11,0)</f>
        <v>0</v>
      </c>
      <c r="E298" s="2" t="str">
        <f>IF(Excellent!B11="W","W","A")</f>
        <v>A</v>
      </c>
      <c r="F298" s="2" t="e">
        <f>VLOOKUP(JudgeD1ISE,Judges!$A$2:$B$44,2,FALSE)</f>
        <v>#N/A</v>
      </c>
      <c r="G298" t="str">
        <f>Excellent!Q11</f>
        <v/>
      </c>
    </row>
    <row r="299" spans="1:7" x14ac:dyDescent="0.25">
      <c r="A299">
        <f t="shared" si="8"/>
        <v>0</v>
      </c>
      <c r="B299" t="s">
        <v>22</v>
      </c>
      <c r="C299">
        <f>Excellent!C12</f>
        <v>0</v>
      </c>
      <c r="D299">
        <f>IF(Excellent!Q12="Pass",Excellent!O12,0)</f>
        <v>0</v>
      </c>
      <c r="E299" s="2" t="str">
        <f>IF(Excellent!B12="W","W","A")</f>
        <v>A</v>
      </c>
      <c r="F299" s="2" t="e">
        <f>VLOOKUP(JudgeD1ISE,Judges!$A$2:$B$44,2,FALSE)</f>
        <v>#N/A</v>
      </c>
      <c r="G299" t="str">
        <f>Excellent!Q12</f>
        <v/>
      </c>
    </row>
    <row r="300" spans="1:7" x14ac:dyDescent="0.25">
      <c r="A300">
        <f t="shared" si="8"/>
        <v>0</v>
      </c>
      <c r="B300" t="s">
        <v>22</v>
      </c>
      <c r="C300">
        <f>Excellent!C13</f>
        <v>0</v>
      </c>
      <c r="D300">
        <f>IF(Excellent!Q13="Pass",Excellent!O13,0)</f>
        <v>0</v>
      </c>
      <c r="E300" s="2" t="str">
        <f>IF(Excellent!B13="W","W","A")</f>
        <v>A</v>
      </c>
      <c r="F300" s="2" t="e">
        <f>VLOOKUP(JudgeD1ISE,Judges!$A$2:$B$44,2,FALSE)</f>
        <v>#N/A</v>
      </c>
      <c r="G300" t="str">
        <f>Excellent!Q13</f>
        <v/>
      </c>
    </row>
    <row r="301" spans="1:7" x14ac:dyDescent="0.25">
      <c r="A301">
        <f t="shared" si="8"/>
        <v>0</v>
      </c>
      <c r="B301" t="s">
        <v>22</v>
      </c>
      <c r="C301">
        <f>Excellent!C14</f>
        <v>0</v>
      </c>
      <c r="D301">
        <f>IF(Excellent!Q14="Pass",Excellent!O14,0)</f>
        <v>0</v>
      </c>
      <c r="E301" s="2" t="str">
        <f>IF(Excellent!B14="W","W","A")</f>
        <v>A</v>
      </c>
      <c r="F301" s="2" t="e">
        <f>VLOOKUP(JudgeD1ISE,Judges!$A$2:$B$44,2,FALSE)</f>
        <v>#N/A</v>
      </c>
      <c r="G301" t="str">
        <f>Excellent!Q14</f>
        <v/>
      </c>
    </row>
    <row r="302" spans="1:7" x14ac:dyDescent="0.25">
      <c r="A302">
        <f t="shared" si="8"/>
        <v>0</v>
      </c>
      <c r="B302" t="s">
        <v>22</v>
      </c>
      <c r="C302">
        <f>Excellent!C15</f>
        <v>0</v>
      </c>
      <c r="D302">
        <f>IF(Excellent!Q15="Pass",Excellent!O15,0)</f>
        <v>0</v>
      </c>
      <c r="E302" s="2" t="str">
        <f>IF(Excellent!B15="W","W","A")</f>
        <v>A</v>
      </c>
      <c r="F302" s="2" t="e">
        <f>VLOOKUP(JudgeD1ISE,Judges!$A$2:$B$44,2,FALSE)</f>
        <v>#N/A</v>
      </c>
      <c r="G302" t="str">
        <f>Excellent!Q15</f>
        <v/>
      </c>
    </row>
    <row r="303" spans="1:7" x14ac:dyDescent="0.25">
      <c r="A303">
        <f t="shared" si="8"/>
        <v>0</v>
      </c>
      <c r="B303" t="s">
        <v>22</v>
      </c>
      <c r="C303">
        <f>Excellent!C16</f>
        <v>0</v>
      </c>
      <c r="D303">
        <f>IF(Excellent!Q16="Pass",Excellent!O16,0)</f>
        <v>0</v>
      </c>
      <c r="E303" s="2" t="str">
        <f>IF(Excellent!B16="W","W","A")</f>
        <v>A</v>
      </c>
      <c r="F303" s="2" t="e">
        <f>VLOOKUP(JudgeD1ISE,Judges!$A$2:$B$44,2,FALSE)</f>
        <v>#N/A</v>
      </c>
      <c r="G303" t="str">
        <f>Excellent!Q16</f>
        <v/>
      </c>
    </row>
    <row r="304" spans="1:7" x14ac:dyDescent="0.25">
      <c r="A304">
        <f t="shared" si="8"/>
        <v>0</v>
      </c>
      <c r="B304" t="s">
        <v>22</v>
      </c>
      <c r="C304">
        <f>Excellent!C17</f>
        <v>0</v>
      </c>
      <c r="D304">
        <f>IF(Excellent!Q17="Pass",Excellent!O17,0)</f>
        <v>0</v>
      </c>
      <c r="E304" s="2" t="str">
        <f>IF(Excellent!B17="W","W","A")</f>
        <v>A</v>
      </c>
      <c r="F304" s="2" t="e">
        <f>VLOOKUP(JudgeD1ISE,Judges!$A$2:$B$44,2,FALSE)</f>
        <v>#N/A</v>
      </c>
      <c r="G304" t="str">
        <f>Excellent!Q17</f>
        <v/>
      </c>
    </row>
    <row r="305" spans="1:7" x14ac:dyDescent="0.25">
      <c r="A305">
        <f t="shared" si="8"/>
        <v>0</v>
      </c>
      <c r="B305" t="s">
        <v>22</v>
      </c>
      <c r="C305">
        <f>Excellent!C18</f>
        <v>0</v>
      </c>
      <c r="D305">
        <f>IF(Excellent!Q18="Pass",Excellent!O18,0)</f>
        <v>0</v>
      </c>
      <c r="E305" s="2" t="str">
        <f>IF(Excellent!B18="W","W","A")</f>
        <v>A</v>
      </c>
      <c r="F305" s="2" t="e">
        <f>VLOOKUP(JudgeD1ISE,Judges!$A$2:$B$44,2,FALSE)</f>
        <v>#N/A</v>
      </c>
      <c r="G305" t="str">
        <f>Excellent!Q18</f>
        <v/>
      </c>
    </row>
    <row r="306" spans="1:7" x14ac:dyDescent="0.25">
      <c r="A306">
        <f t="shared" si="8"/>
        <v>0</v>
      </c>
      <c r="B306" t="s">
        <v>22</v>
      </c>
      <c r="C306">
        <f>Excellent!C19</f>
        <v>0</v>
      </c>
      <c r="D306">
        <f>IF(Excellent!Q19="Pass",Excellent!O19,0)</f>
        <v>0</v>
      </c>
      <c r="E306" s="2" t="str">
        <f>IF(Excellent!B19="W","W","A")</f>
        <v>A</v>
      </c>
      <c r="F306" s="2" t="e">
        <f>VLOOKUP(JudgeD1ISE,Judges!$A$2:$B$44,2,FALSE)</f>
        <v>#N/A</v>
      </c>
      <c r="G306" t="str">
        <f>Excellent!Q19</f>
        <v/>
      </c>
    </row>
    <row r="307" spans="1:7" x14ac:dyDescent="0.25">
      <c r="A307">
        <f t="shared" si="8"/>
        <v>0</v>
      </c>
      <c r="B307" t="s">
        <v>22</v>
      </c>
      <c r="C307">
        <f>Excellent!C20</f>
        <v>0</v>
      </c>
      <c r="D307">
        <f>IF(Excellent!Q20="Pass",Excellent!O20,0)</f>
        <v>0</v>
      </c>
      <c r="E307" s="2" t="str">
        <f>IF(Excellent!B20="W","W","A")</f>
        <v>A</v>
      </c>
      <c r="F307" s="2" t="e">
        <f>VLOOKUP(JudgeD1ISE,Judges!$A$2:$B$44,2,FALSE)</f>
        <v>#N/A</v>
      </c>
      <c r="G307" t="str">
        <f>Excellent!Q20</f>
        <v/>
      </c>
    </row>
    <row r="308" spans="1:7" x14ac:dyDescent="0.25">
      <c r="A308">
        <f t="shared" si="8"/>
        <v>0</v>
      </c>
      <c r="B308" t="s">
        <v>22</v>
      </c>
      <c r="C308">
        <f>Excellent!C21</f>
        <v>0</v>
      </c>
      <c r="D308">
        <f>IF(Excellent!Q21="Pass",Excellent!O21,0)</f>
        <v>0</v>
      </c>
      <c r="E308" s="2" t="str">
        <f>IF(Excellent!B21="W","W","A")</f>
        <v>A</v>
      </c>
      <c r="F308" s="2" t="e">
        <f>VLOOKUP(JudgeD1ISE,Judges!$A$2:$B$44,2,FALSE)</f>
        <v>#N/A</v>
      </c>
      <c r="G308" t="str">
        <f>Excellent!Q21</f>
        <v/>
      </c>
    </row>
    <row r="309" spans="1:7" x14ac:dyDescent="0.25">
      <c r="A309">
        <f t="shared" si="8"/>
        <v>0</v>
      </c>
      <c r="B309" t="s">
        <v>22</v>
      </c>
      <c r="C309">
        <f>Excellent!C22</f>
        <v>0</v>
      </c>
      <c r="D309">
        <f>IF(Excellent!Q22="Pass",Excellent!O22,0)</f>
        <v>0</v>
      </c>
      <c r="E309" s="2" t="str">
        <f>IF(Excellent!B22="W","W","A")</f>
        <v>A</v>
      </c>
      <c r="F309" s="2" t="e">
        <f>VLOOKUP(JudgeD1ISE,Judges!$A$2:$B$44,2,FALSE)</f>
        <v>#N/A</v>
      </c>
      <c r="G309" t="str">
        <f>Excellent!Q22</f>
        <v/>
      </c>
    </row>
    <row r="310" spans="1:7" x14ac:dyDescent="0.25">
      <c r="A310">
        <f t="shared" si="8"/>
        <v>0</v>
      </c>
      <c r="B310" t="s">
        <v>22</v>
      </c>
      <c r="C310">
        <f>Excellent!C23</f>
        <v>0</v>
      </c>
      <c r="D310">
        <f>IF(Excellent!Q23="Pass",Excellent!O23,0)</f>
        <v>0</v>
      </c>
      <c r="E310" s="2" t="str">
        <f>IF(Excellent!B23="W","W","A")</f>
        <v>A</v>
      </c>
      <c r="F310" s="2" t="e">
        <f>VLOOKUP(JudgeD1ISE,Judges!$A$2:$B$44,2,FALSE)</f>
        <v>#N/A</v>
      </c>
      <c r="G310" t="str">
        <f>Excellent!Q23</f>
        <v/>
      </c>
    </row>
    <row r="311" spans="1:7" x14ac:dyDescent="0.25">
      <c r="A311">
        <f t="shared" si="8"/>
        <v>0</v>
      </c>
      <c r="B311" t="s">
        <v>22</v>
      </c>
      <c r="C311">
        <f>Excellent!C24</f>
        <v>0</v>
      </c>
      <c r="D311">
        <f>IF(Excellent!Q24="Pass",Excellent!O24,0)</f>
        <v>0</v>
      </c>
      <c r="E311" s="2" t="str">
        <f>IF(Excellent!B24="W","W","A")</f>
        <v>A</v>
      </c>
      <c r="F311" s="2" t="e">
        <f>VLOOKUP(JudgeD1ISE,Judges!$A$2:$B$44,2,FALSE)</f>
        <v>#N/A</v>
      </c>
      <c r="G311" t="str">
        <f>Excellent!Q24</f>
        <v/>
      </c>
    </row>
    <row r="312" spans="1:7" x14ac:dyDescent="0.25">
      <c r="A312">
        <f t="shared" si="8"/>
        <v>0</v>
      </c>
      <c r="B312" t="s">
        <v>22</v>
      </c>
      <c r="C312">
        <f>Excellent!C25</f>
        <v>0</v>
      </c>
      <c r="D312">
        <f>IF(Excellent!Q25="Pass",Excellent!O25,0)</f>
        <v>0</v>
      </c>
      <c r="E312" s="2" t="str">
        <f>IF(Excellent!B25="W","W","A")</f>
        <v>A</v>
      </c>
      <c r="F312" s="2" t="e">
        <f>VLOOKUP(JudgeD1ISE,Judges!$A$2:$B$44,2,FALSE)</f>
        <v>#N/A</v>
      </c>
      <c r="G312" t="str">
        <f>Excellent!Q25</f>
        <v/>
      </c>
    </row>
    <row r="313" spans="1:7" x14ac:dyDescent="0.25">
      <c r="A313">
        <f t="shared" si="8"/>
        <v>0</v>
      </c>
      <c r="B313" t="s">
        <v>22</v>
      </c>
      <c r="C313">
        <f>Excellent!C26</f>
        <v>0</v>
      </c>
      <c r="D313">
        <f>IF(Excellent!Q26="Pass",Excellent!O26,0)</f>
        <v>0</v>
      </c>
      <c r="E313" s="2" t="str">
        <f>IF(Excellent!B26="W","W","A")</f>
        <v>A</v>
      </c>
      <c r="F313" s="2" t="e">
        <f>VLOOKUP(JudgeD1ISE,Judges!$A$2:$B$44,2,FALSE)</f>
        <v>#N/A</v>
      </c>
      <c r="G313" t="str">
        <f>Excellent!Q26</f>
        <v/>
      </c>
    </row>
    <row r="314" spans="1:7" x14ac:dyDescent="0.25">
      <c r="A314">
        <f t="shared" si="8"/>
        <v>0</v>
      </c>
      <c r="B314" t="s">
        <v>22</v>
      </c>
      <c r="C314">
        <f>Excellent!C27</f>
        <v>0</v>
      </c>
      <c r="D314">
        <f>IF(Excellent!Q27="Pass",Excellent!O27,0)</f>
        <v>0</v>
      </c>
      <c r="E314" s="2" t="str">
        <f>IF(Excellent!B27="W","W","A")</f>
        <v>A</v>
      </c>
      <c r="F314" s="2" t="e">
        <f>VLOOKUP(JudgeD1ISE,Judges!$A$2:$B$44,2,FALSE)</f>
        <v>#N/A</v>
      </c>
      <c r="G314" t="str">
        <f>Excellent!Q27</f>
        <v/>
      </c>
    </row>
    <row r="315" spans="1:7" x14ac:dyDescent="0.25">
      <c r="A315">
        <f t="shared" si="8"/>
        <v>0</v>
      </c>
      <c r="B315" t="s">
        <v>22</v>
      </c>
      <c r="C315">
        <f>Excellent!C28</f>
        <v>0</v>
      </c>
      <c r="D315">
        <f>IF(Excellent!Q28="Pass",Excellent!O28,0)</f>
        <v>0</v>
      </c>
      <c r="E315" s="2" t="str">
        <f>IF(Excellent!B28="W","W","A")</f>
        <v>A</v>
      </c>
      <c r="F315" s="2" t="e">
        <f>VLOOKUP(JudgeD1ISE,Judges!$A$2:$B$44,2,FALSE)</f>
        <v>#N/A</v>
      </c>
      <c r="G315" t="str">
        <f>Excellent!Q28</f>
        <v/>
      </c>
    </row>
    <row r="316" spans="1:7" x14ac:dyDescent="0.25">
      <c r="A316">
        <f t="shared" si="8"/>
        <v>0</v>
      </c>
      <c r="B316" t="s">
        <v>22</v>
      </c>
      <c r="C316">
        <f>Excellent!C29</f>
        <v>0</v>
      </c>
      <c r="D316">
        <f>IF(Excellent!Q29="Pass",Excellent!O29,0)</f>
        <v>0</v>
      </c>
      <c r="E316" s="2" t="str">
        <f>IF(Excellent!B29="W","W","A")</f>
        <v>A</v>
      </c>
      <c r="F316" s="2" t="e">
        <f>VLOOKUP(JudgeD1ISE,Judges!$A$2:$B$44,2,FALSE)</f>
        <v>#N/A</v>
      </c>
      <c r="G316" t="str">
        <f>Excellent!Q29</f>
        <v/>
      </c>
    </row>
    <row r="317" spans="1:7" x14ac:dyDescent="0.25">
      <c r="A317">
        <f t="shared" si="8"/>
        <v>0</v>
      </c>
      <c r="B317" t="s">
        <v>22</v>
      </c>
      <c r="C317">
        <f>Excellent!C30</f>
        <v>0</v>
      </c>
      <c r="D317">
        <f>IF(Excellent!Q30="Pass",Excellent!O30,0)</f>
        <v>0</v>
      </c>
      <c r="E317" s="2" t="str">
        <f>IF(Excellent!B30="W","W","A")</f>
        <v>A</v>
      </c>
      <c r="F317" s="2" t="e">
        <f>VLOOKUP(JudgeD1ISE,Judges!$A$2:$B$44,2,FALSE)</f>
        <v>#N/A</v>
      </c>
      <c r="G317" t="str">
        <f>Excellent!Q30</f>
        <v/>
      </c>
    </row>
    <row r="318" spans="1:7" x14ac:dyDescent="0.25">
      <c r="A318">
        <f t="shared" si="8"/>
        <v>0</v>
      </c>
      <c r="B318" t="s">
        <v>22</v>
      </c>
      <c r="C318">
        <f>Excellent!C31</f>
        <v>0</v>
      </c>
      <c r="D318">
        <f>IF(Excellent!Q31="Pass",Excellent!O31,0)</f>
        <v>0</v>
      </c>
      <c r="E318" s="2" t="str">
        <f>IF(Excellent!B31="W","W","A")</f>
        <v>A</v>
      </c>
      <c r="F318" s="2" t="e">
        <f>VLOOKUP(JudgeD1ISE,Judges!$A$2:$B$44,2,FALSE)</f>
        <v>#N/A</v>
      </c>
      <c r="G318" t="str">
        <f>Excellent!Q31</f>
        <v/>
      </c>
    </row>
    <row r="319" spans="1:7" x14ac:dyDescent="0.25">
      <c r="A319">
        <f t="shared" si="8"/>
        <v>0</v>
      </c>
      <c r="B319" t="s">
        <v>22</v>
      </c>
      <c r="C319">
        <f>Excellent!C32</f>
        <v>0</v>
      </c>
      <c r="D319">
        <f>IF(Excellent!Q32="Pass",Excellent!O32,0)</f>
        <v>0</v>
      </c>
      <c r="E319" s="2" t="str">
        <f>IF(Excellent!B32="W","W","A")</f>
        <v>A</v>
      </c>
      <c r="F319" s="2" t="e">
        <f>VLOOKUP(JudgeD1ISE,Judges!$A$2:$B$44,2,FALSE)</f>
        <v>#N/A</v>
      </c>
      <c r="G319" t="str">
        <f>Excellent!Q32</f>
        <v/>
      </c>
    </row>
    <row r="320" spans="1:7" x14ac:dyDescent="0.25">
      <c r="A320">
        <f t="shared" si="8"/>
        <v>0</v>
      </c>
      <c r="B320" t="s">
        <v>22</v>
      </c>
      <c r="C320">
        <f>Excellent!C33</f>
        <v>0</v>
      </c>
      <c r="D320">
        <f>IF(Excellent!Q33="Pass",Excellent!O33,0)</f>
        <v>0</v>
      </c>
      <c r="E320" s="2" t="str">
        <f>IF(Excellent!B33="W","W","A")</f>
        <v>A</v>
      </c>
      <c r="F320" s="2" t="e">
        <f>VLOOKUP(JudgeD1ISE,Judges!$A$2:$B$44,2,FALSE)</f>
        <v>#N/A</v>
      </c>
      <c r="G320" t="str">
        <f>Excellent!Q33</f>
        <v/>
      </c>
    </row>
    <row r="321" spans="1:7" x14ac:dyDescent="0.25">
      <c r="A321">
        <f t="shared" si="8"/>
        <v>0</v>
      </c>
      <c r="B321" t="s">
        <v>22</v>
      </c>
      <c r="C321">
        <f>Excellent!C34</f>
        <v>0</v>
      </c>
      <c r="D321">
        <f>IF(Excellent!Q34="Pass",Excellent!O34,0)</f>
        <v>0</v>
      </c>
      <c r="E321" s="2" t="str">
        <f>IF(Excellent!B34="W","W","A")</f>
        <v>A</v>
      </c>
      <c r="F321" s="2" t="e">
        <f>VLOOKUP(JudgeD1ISE,Judges!$A$2:$B$44,2,FALSE)</f>
        <v>#N/A</v>
      </c>
      <c r="G321" t="str">
        <f>Excellent!Q34</f>
        <v/>
      </c>
    </row>
    <row r="322" spans="1:7" x14ac:dyDescent="0.25">
      <c r="A322">
        <f t="shared" si="8"/>
        <v>0</v>
      </c>
      <c r="B322" t="s">
        <v>22</v>
      </c>
      <c r="C322">
        <f>Excellent!C35</f>
        <v>0</v>
      </c>
      <c r="D322">
        <f>IF(Excellent!Q35="Pass",Excellent!O35,0)</f>
        <v>0</v>
      </c>
      <c r="E322" s="2" t="str">
        <f>IF(Excellent!B35="W","W","A")</f>
        <v>A</v>
      </c>
      <c r="F322" s="2" t="e">
        <f>VLOOKUP(JudgeD1ISE,Judges!$A$2:$B$44,2,FALSE)</f>
        <v>#N/A</v>
      </c>
      <c r="G322" t="str">
        <f>Excellent!Q35</f>
        <v/>
      </c>
    </row>
    <row r="323" spans="1:7" x14ac:dyDescent="0.25">
      <c r="A323">
        <f t="shared" si="8"/>
        <v>0</v>
      </c>
      <c r="B323" t="s">
        <v>22</v>
      </c>
      <c r="C323">
        <f>Excellent!C36</f>
        <v>0</v>
      </c>
      <c r="D323">
        <f>IF(Excellent!Q36="Pass",Excellent!O36,0)</f>
        <v>0</v>
      </c>
      <c r="E323" s="2" t="str">
        <f>IF(Excellent!B36="W","W","A")</f>
        <v>A</v>
      </c>
      <c r="F323" s="2" t="e">
        <f>VLOOKUP(JudgeD1ISE,Judges!$A$2:$B$44,2,FALSE)</f>
        <v>#N/A</v>
      </c>
      <c r="G323" t="str">
        <f>Excellent!Q36</f>
        <v/>
      </c>
    </row>
    <row r="324" spans="1:7" x14ac:dyDescent="0.25">
      <c r="A324">
        <f t="shared" si="8"/>
        <v>0</v>
      </c>
      <c r="B324" t="s">
        <v>22</v>
      </c>
      <c r="C324">
        <f>Excellent!C37</f>
        <v>0</v>
      </c>
      <c r="D324">
        <f>IF(Excellent!Q37="Pass",Excellent!O37,0)</f>
        <v>0</v>
      </c>
      <c r="E324" s="2" t="str">
        <f>IF(Excellent!B37="W","W","A")</f>
        <v>A</v>
      </c>
      <c r="F324" s="2" t="e">
        <f>VLOOKUP(JudgeD1ISE,Judges!$A$2:$B$44,2,FALSE)</f>
        <v>#N/A</v>
      </c>
      <c r="G324" t="str">
        <f>Excellent!Q37</f>
        <v/>
      </c>
    </row>
    <row r="325" spans="1:7" x14ac:dyDescent="0.25">
      <c r="A325">
        <f t="shared" si="8"/>
        <v>0</v>
      </c>
      <c r="B325" t="s">
        <v>22</v>
      </c>
      <c r="C325">
        <f>Excellent!C38</f>
        <v>0</v>
      </c>
      <c r="D325">
        <f>IF(Excellent!Q38="Pass",Excellent!O38,0)</f>
        <v>0</v>
      </c>
      <c r="E325" s="2" t="str">
        <f>IF(Excellent!B38="W","W","A")</f>
        <v>A</v>
      </c>
      <c r="F325" s="2" t="e">
        <f>VLOOKUP(JudgeD1ISE,Judges!$A$2:$B$44,2,FALSE)</f>
        <v>#N/A</v>
      </c>
      <c r="G325" t="str">
        <f>Excellent!Q38</f>
        <v/>
      </c>
    </row>
    <row r="326" spans="1:7" x14ac:dyDescent="0.25">
      <c r="A326">
        <f t="shared" si="8"/>
        <v>0</v>
      </c>
      <c r="B326" t="s">
        <v>22</v>
      </c>
      <c r="C326">
        <f>Excellent!C39</f>
        <v>0</v>
      </c>
      <c r="D326">
        <f>IF(Excellent!Q39="Pass",Excellent!O39,0)</f>
        <v>0</v>
      </c>
      <c r="E326" s="2" t="str">
        <f>IF(Excellent!B39="W","W","A")</f>
        <v>A</v>
      </c>
      <c r="F326" s="2" t="e">
        <f>VLOOKUP(JudgeD1ISE,Judges!$A$2:$B$44,2,FALSE)</f>
        <v>#N/A</v>
      </c>
      <c r="G326" t="str">
        <f>Excellent!Q39</f>
        <v/>
      </c>
    </row>
    <row r="327" spans="1:7" x14ac:dyDescent="0.25">
      <c r="A327">
        <f t="shared" si="8"/>
        <v>0</v>
      </c>
      <c r="B327" t="s">
        <v>22</v>
      </c>
      <c r="C327">
        <f>Excellent!C40</f>
        <v>0</v>
      </c>
      <c r="D327">
        <f>IF(Excellent!Q40="Pass",Excellent!O40,0)</f>
        <v>0</v>
      </c>
      <c r="E327" s="2" t="str">
        <f>IF(Excellent!B40="W","W","A")</f>
        <v>A</v>
      </c>
      <c r="F327" s="2" t="e">
        <f>VLOOKUP(JudgeD1ISE,Judges!$A$2:$B$44,2,FALSE)</f>
        <v>#N/A</v>
      </c>
      <c r="G327" t="str">
        <f>Excellent!Q40</f>
        <v/>
      </c>
    </row>
    <row r="328" spans="1:7" x14ac:dyDescent="0.25">
      <c r="A328">
        <f t="shared" si="8"/>
        <v>0</v>
      </c>
      <c r="B328" t="s">
        <v>22</v>
      </c>
      <c r="C328">
        <f>Excellent!C41</f>
        <v>0</v>
      </c>
      <c r="D328">
        <f>IF(Excellent!Q41="Pass",Excellent!O41,0)</f>
        <v>0</v>
      </c>
      <c r="E328" s="2" t="str">
        <f>IF(Excellent!B41="W","W","A")</f>
        <v>A</v>
      </c>
      <c r="F328" s="2" t="e">
        <f>VLOOKUP(JudgeD1ISE,Judges!$A$2:$B$44,2,FALSE)</f>
        <v>#N/A</v>
      </c>
      <c r="G328" t="str">
        <f>Excellent!Q41</f>
        <v/>
      </c>
    </row>
    <row r="329" spans="1:7" x14ac:dyDescent="0.25">
      <c r="A329">
        <f t="shared" si="8"/>
        <v>0</v>
      </c>
      <c r="B329" t="s">
        <v>22</v>
      </c>
      <c r="C329">
        <f>Excellent!C42</f>
        <v>0</v>
      </c>
      <c r="D329">
        <f>IF(Excellent!Q42="Pass",Excellent!O42,0)</f>
        <v>0</v>
      </c>
      <c r="E329" s="2" t="str">
        <f>IF(Excellent!B42="W","W","A")</f>
        <v>A</v>
      </c>
      <c r="F329" s="2" t="e">
        <f>VLOOKUP(JudgeD1ISE,Judges!$A$2:$B$44,2,FALSE)</f>
        <v>#N/A</v>
      </c>
      <c r="G329" t="str">
        <f>Excellent!Q42</f>
        <v/>
      </c>
    </row>
    <row r="330" spans="1:7" x14ac:dyDescent="0.25">
      <c r="A330">
        <f t="shared" si="8"/>
        <v>0</v>
      </c>
      <c r="B330" t="s">
        <v>22</v>
      </c>
      <c r="C330">
        <f>Excellent!C43</f>
        <v>0</v>
      </c>
      <c r="D330">
        <f>IF(Excellent!Q43="Pass",Excellent!O43,0)</f>
        <v>0</v>
      </c>
      <c r="E330" s="2" t="str">
        <f>IF(Excellent!B43="W","W","A")</f>
        <v>A</v>
      </c>
      <c r="F330" s="2" t="e">
        <f>VLOOKUP(JudgeD1ISE,Judges!$A$2:$B$44,2,FALSE)</f>
        <v>#N/A</v>
      </c>
      <c r="G330" t="str">
        <f>Excellent!Q43</f>
        <v/>
      </c>
    </row>
    <row r="331" spans="1:7" x14ac:dyDescent="0.25">
      <c r="A331">
        <f t="shared" si="8"/>
        <v>0</v>
      </c>
      <c r="B331" t="s">
        <v>22</v>
      </c>
      <c r="C331">
        <f>Excellent!C44</f>
        <v>0</v>
      </c>
      <c r="D331">
        <f>IF(Excellent!Q44="Pass",Excellent!O44,0)</f>
        <v>0</v>
      </c>
      <c r="E331" s="2" t="str">
        <f>IF(Excellent!B44="W","W","A")</f>
        <v>A</v>
      </c>
      <c r="F331" s="2" t="e">
        <f>VLOOKUP(JudgeD1ISE,Judges!$A$2:$B$44,2,FALSE)</f>
        <v>#N/A</v>
      </c>
      <c r="G331" t="str">
        <f>Excellent!Q44</f>
        <v/>
      </c>
    </row>
    <row r="332" spans="1:7" x14ac:dyDescent="0.25">
      <c r="A332">
        <f t="shared" si="8"/>
        <v>0</v>
      </c>
      <c r="B332" t="s">
        <v>22</v>
      </c>
      <c r="C332">
        <f>Excellent!C45</f>
        <v>0</v>
      </c>
      <c r="D332">
        <f>IF(Excellent!Q45="Pass",Excellent!O45,0)</f>
        <v>0</v>
      </c>
      <c r="E332" s="2" t="str">
        <f>IF(Excellent!B45="W","W","A")</f>
        <v>A</v>
      </c>
      <c r="F332" s="2" t="e">
        <f>VLOOKUP(JudgeD1ISE,Judges!$A$2:$B$44,2,FALSE)</f>
        <v>#N/A</v>
      </c>
      <c r="G332" t="str">
        <f>Excellent!Q45</f>
        <v/>
      </c>
    </row>
    <row r="333" spans="1:7" x14ac:dyDescent="0.25">
      <c r="A333">
        <f t="shared" si="8"/>
        <v>0</v>
      </c>
      <c r="B333" t="s">
        <v>22</v>
      </c>
      <c r="C333">
        <f>Excellent!C46</f>
        <v>0</v>
      </c>
      <c r="D333">
        <f>IF(Excellent!Q46="Pass",Excellent!O46,0)</f>
        <v>0</v>
      </c>
      <c r="E333" s="2" t="str">
        <f>IF(Excellent!B46="W","W","A")</f>
        <v>A</v>
      </c>
      <c r="F333" s="2" t="e">
        <f>VLOOKUP(JudgeD1ISE,Judges!$A$2:$B$44,2,FALSE)</f>
        <v>#N/A</v>
      </c>
      <c r="G333" t="str">
        <f>Excellent!Q46</f>
        <v/>
      </c>
    </row>
    <row r="334" spans="1:7" x14ac:dyDescent="0.25">
      <c r="A334">
        <f t="shared" si="8"/>
        <v>0</v>
      </c>
      <c r="B334" t="s">
        <v>22</v>
      </c>
      <c r="C334">
        <f>Excellent!C47</f>
        <v>0</v>
      </c>
      <c r="D334">
        <f>IF(Excellent!Q47="Pass",Excellent!O47,0)</f>
        <v>0</v>
      </c>
      <c r="E334" s="2" t="str">
        <f>IF(Excellent!B47="W","W","A")</f>
        <v>A</v>
      </c>
      <c r="F334" s="2" t="e">
        <f>VLOOKUP(JudgeD1ISE,Judges!$A$2:$B$44,2,FALSE)</f>
        <v>#N/A</v>
      </c>
      <c r="G334" t="str">
        <f>Excellent!Q47</f>
        <v/>
      </c>
    </row>
    <row r="335" spans="1:7" x14ac:dyDescent="0.25">
      <c r="A335">
        <f t="shared" si="8"/>
        <v>0</v>
      </c>
      <c r="B335" t="s">
        <v>22</v>
      </c>
      <c r="C335">
        <f>Excellent!C48</f>
        <v>0</v>
      </c>
      <c r="D335">
        <f>IF(Excellent!Q48="Pass",Excellent!O48,0)</f>
        <v>0</v>
      </c>
      <c r="E335" s="2" t="str">
        <f>IF(Excellent!B48="W","W","A")</f>
        <v>A</v>
      </c>
      <c r="F335" s="2" t="e">
        <f>VLOOKUP(JudgeD1ISE,Judges!$A$2:$B$44,2,FALSE)</f>
        <v>#N/A</v>
      </c>
      <c r="G335" t="str">
        <f>Excellent!Q48</f>
        <v/>
      </c>
    </row>
    <row r="336" spans="1:7" x14ac:dyDescent="0.25">
      <c r="A336">
        <f t="shared" si="8"/>
        <v>0</v>
      </c>
      <c r="B336" t="s">
        <v>22</v>
      </c>
      <c r="C336">
        <f>Excellent!C49</f>
        <v>0</v>
      </c>
      <c r="D336">
        <f>IF(Excellent!Q49="Pass",Excellent!O49,0)</f>
        <v>0</v>
      </c>
      <c r="E336" s="2" t="str">
        <f>IF(Excellent!B49="W","W","A")</f>
        <v>A</v>
      </c>
      <c r="F336" s="2" t="e">
        <f>VLOOKUP(JudgeD1ISE,Judges!$A$2:$B$44,2,FALSE)</f>
        <v>#N/A</v>
      </c>
      <c r="G336" t="str">
        <f>Excellent!Q49</f>
        <v/>
      </c>
    </row>
    <row r="337" spans="1:7" x14ac:dyDescent="0.25">
      <c r="A337">
        <f t="shared" si="8"/>
        <v>0</v>
      </c>
      <c r="B337" t="s">
        <v>22</v>
      </c>
      <c r="C337">
        <f>Excellent!C50</f>
        <v>0</v>
      </c>
      <c r="D337">
        <f>IF(Excellent!Q50="Pass",Excellent!O50,0)</f>
        <v>0</v>
      </c>
      <c r="E337" s="2" t="str">
        <f>IF(Excellent!B50="W","W","A")</f>
        <v>A</v>
      </c>
      <c r="F337" s="2" t="e">
        <f>VLOOKUP(JudgeD1ISE,Judges!$A$2:$B$44,2,FALSE)</f>
        <v>#N/A</v>
      </c>
      <c r="G337" t="str">
        <f>Excellent!Q50</f>
        <v/>
      </c>
    </row>
    <row r="338" spans="1:7" x14ac:dyDescent="0.25">
      <c r="A338">
        <f t="shared" si="8"/>
        <v>0</v>
      </c>
      <c r="B338" t="s">
        <v>22</v>
      </c>
      <c r="C338">
        <f>Excellent!C51</f>
        <v>0</v>
      </c>
      <c r="D338">
        <f>IF(Excellent!Q51="Pass",Excellent!O51,0)</f>
        <v>0</v>
      </c>
      <c r="E338" s="2" t="str">
        <f>IF(Excellent!B51="W","W","A")</f>
        <v>A</v>
      </c>
      <c r="F338" s="2" t="e">
        <f>VLOOKUP(JudgeD1ISE,Judges!$A$2:$B$44,2,FALSE)</f>
        <v>#N/A</v>
      </c>
      <c r="G338" t="str">
        <f>Excellent!Q51</f>
        <v/>
      </c>
    </row>
    <row r="339" spans="1:7" x14ac:dyDescent="0.25">
      <c r="A339">
        <f t="shared" si="8"/>
        <v>0</v>
      </c>
      <c r="B339" t="s">
        <v>22</v>
      </c>
      <c r="C339">
        <f>Excellent!C52</f>
        <v>0</v>
      </c>
      <c r="D339">
        <f>IF(Excellent!Q52="Pass",Excellent!O52,0)</f>
        <v>0</v>
      </c>
      <c r="E339" s="2" t="str">
        <f>IF(Excellent!B52="W","W","A")</f>
        <v>A</v>
      </c>
      <c r="F339" s="2" t="e">
        <f>VLOOKUP(JudgeD1ISE,Judges!$A$2:$B$44,2,FALSE)</f>
        <v>#N/A</v>
      </c>
      <c r="G339" t="str">
        <f>Excellent!Q52</f>
        <v/>
      </c>
    </row>
    <row r="340" spans="1:7" x14ac:dyDescent="0.25">
      <c r="A340">
        <f t="shared" si="8"/>
        <v>0</v>
      </c>
      <c r="B340" t="s">
        <v>22</v>
      </c>
      <c r="C340">
        <f>Excellent!C53</f>
        <v>0</v>
      </c>
      <c r="D340">
        <f>IF(Excellent!Q53="Pass",Excellent!O53,0)</f>
        <v>0</v>
      </c>
      <c r="E340" s="2" t="str">
        <f>IF(Excellent!B53="W","W","A")</f>
        <v>A</v>
      </c>
      <c r="F340" s="2" t="e">
        <f>VLOOKUP(JudgeD1ISE,Judges!$A$2:$B$44,2,FALSE)</f>
        <v>#N/A</v>
      </c>
      <c r="G340" t="str">
        <f>Excellent!Q53</f>
        <v/>
      </c>
    </row>
    <row r="341" spans="1:7" x14ac:dyDescent="0.25">
      <c r="A341">
        <f t="shared" si="8"/>
        <v>0</v>
      </c>
      <c r="B341" t="s">
        <v>22</v>
      </c>
      <c r="C341">
        <f>Excellent!C54</f>
        <v>0</v>
      </c>
      <c r="D341">
        <f>IF(Excellent!Q54="Pass",Excellent!O54,0)</f>
        <v>0</v>
      </c>
      <c r="E341" s="2" t="str">
        <f>IF(Excellent!B54="W","W","A")</f>
        <v>A</v>
      </c>
      <c r="F341" s="2" t="e">
        <f>VLOOKUP(JudgeD1ISE,Judges!$A$2:$B$44,2,FALSE)</f>
        <v>#N/A</v>
      </c>
      <c r="G341" t="str">
        <f>Excellent!Q54</f>
        <v/>
      </c>
    </row>
    <row r="342" spans="1:7" x14ac:dyDescent="0.25">
      <c r="A342">
        <f t="shared" si="8"/>
        <v>0</v>
      </c>
      <c r="B342" t="s">
        <v>23</v>
      </c>
      <c r="C342">
        <f>Excellent!C5</f>
        <v>0</v>
      </c>
      <c r="D342">
        <f>IF(Excellent!Y5="Pass",Excellent!W5,0)</f>
        <v>0</v>
      </c>
      <c r="E342" s="2" t="str">
        <f>IF(Excellent!B5="W","W","A")</f>
        <v>A</v>
      </c>
      <c r="F342" s="2" t="e">
        <f>VLOOKUP(JudgeD1ESE,Judges!$A$2:$B$44,2,FALSE)</f>
        <v>#N/A</v>
      </c>
      <c r="G342" t="str">
        <f>Excellent!Y5</f>
        <v/>
      </c>
    </row>
    <row r="343" spans="1:7" x14ac:dyDescent="0.25">
      <c r="A343">
        <f t="shared" si="8"/>
        <v>0</v>
      </c>
      <c r="B343" t="s">
        <v>23</v>
      </c>
      <c r="C343">
        <f>Excellent!C6</f>
        <v>0</v>
      </c>
      <c r="D343">
        <f>IF(Excellent!Y6="Pass",Excellent!W6,0)</f>
        <v>0</v>
      </c>
      <c r="E343" s="2" t="str">
        <f>IF(Excellent!B6="W","W","A")</f>
        <v>A</v>
      </c>
      <c r="F343" s="2" t="e">
        <f>VLOOKUP(JudgeD1ESE,Judges!$A$2:$B$44,2,FALSE)</f>
        <v>#N/A</v>
      </c>
      <c r="G343" t="str">
        <f>Excellent!Y6</f>
        <v/>
      </c>
    </row>
    <row r="344" spans="1:7" x14ac:dyDescent="0.25">
      <c r="A344">
        <f t="shared" si="8"/>
        <v>0</v>
      </c>
      <c r="B344" t="s">
        <v>23</v>
      </c>
      <c r="C344">
        <f>Excellent!C7</f>
        <v>0</v>
      </c>
      <c r="D344">
        <f>IF(Excellent!Y7="Pass",Excellent!W7,0)</f>
        <v>0</v>
      </c>
      <c r="E344" s="2" t="str">
        <f>IF(Excellent!B7="W","W","A")</f>
        <v>A</v>
      </c>
      <c r="F344" s="2" t="e">
        <f>VLOOKUP(JudgeD1ESE,Judges!$A$2:$B$44,2,FALSE)</f>
        <v>#N/A</v>
      </c>
      <c r="G344" t="str">
        <f>Excellent!Y7</f>
        <v/>
      </c>
    </row>
    <row r="345" spans="1:7" x14ac:dyDescent="0.25">
      <c r="A345">
        <f t="shared" si="8"/>
        <v>0</v>
      </c>
      <c r="B345" t="s">
        <v>23</v>
      </c>
      <c r="C345">
        <f>Excellent!C8</f>
        <v>0</v>
      </c>
      <c r="D345">
        <f>IF(Excellent!Y8="Pass",Excellent!W8,0)</f>
        <v>0</v>
      </c>
      <c r="E345" s="2" t="str">
        <f>IF(Excellent!B8="W","W","A")</f>
        <v>A</v>
      </c>
      <c r="F345" s="2" t="e">
        <f>VLOOKUP(JudgeD1ESE,Judges!$A$2:$B$44,2,FALSE)</f>
        <v>#N/A</v>
      </c>
      <c r="G345" t="str">
        <f>Excellent!Y8</f>
        <v/>
      </c>
    </row>
    <row r="346" spans="1:7" x14ac:dyDescent="0.25">
      <c r="A346">
        <f t="shared" si="8"/>
        <v>0</v>
      </c>
      <c r="B346" t="s">
        <v>23</v>
      </c>
      <c r="C346">
        <f>Excellent!C9</f>
        <v>0</v>
      </c>
      <c r="D346">
        <f>IF(Excellent!Y9="Pass",Excellent!W9,0)</f>
        <v>0</v>
      </c>
      <c r="E346" s="2" t="str">
        <f>IF(Excellent!B9="W","W","A")</f>
        <v>A</v>
      </c>
      <c r="F346" s="2" t="e">
        <f>VLOOKUP(JudgeD1ESE,Judges!$A$2:$B$44,2,FALSE)</f>
        <v>#N/A</v>
      </c>
      <c r="G346" t="str">
        <f>Excellent!Y9</f>
        <v/>
      </c>
    </row>
    <row r="347" spans="1:7" x14ac:dyDescent="0.25">
      <c r="A347">
        <f t="shared" si="8"/>
        <v>0</v>
      </c>
      <c r="B347" t="s">
        <v>23</v>
      </c>
      <c r="C347">
        <f>Excellent!C10</f>
        <v>0</v>
      </c>
      <c r="D347">
        <f>IF(Excellent!Y10="Pass",Excellent!W10,0)</f>
        <v>0</v>
      </c>
      <c r="E347" s="2" t="str">
        <f>IF(Excellent!B10="W","W","A")</f>
        <v>A</v>
      </c>
      <c r="F347" s="2" t="e">
        <f>VLOOKUP(JudgeD1ESE,Judges!$A$2:$B$44,2,FALSE)</f>
        <v>#N/A</v>
      </c>
      <c r="G347" t="str">
        <f>Excellent!Y10</f>
        <v/>
      </c>
    </row>
    <row r="348" spans="1:7" x14ac:dyDescent="0.25">
      <c r="A348">
        <f t="shared" si="8"/>
        <v>0</v>
      </c>
      <c r="B348" t="s">
        <v>23</v>
      </c>
      <c r="C348">
        <f>Excellent!C11</f>
        <v>0</v>
      </c>
      <c r="D348">
        <f>IF(Excellent!Y11="Pass",Excellent!W11,0)</f>
        <v>0</v>
      </c>
      <c r="E348" s="2" t="str">
        <f>IF(Excellent!B11="W","W","A")</f>
        <v>A</v>
      </c>
      <c r="F348" s="2" t="e">
        <f>VLOOKUP(JudgeD1ESE,Judges!$A$2:$B$44,2,FALSE)</f>
        <v>#N/A</v>
      </c>
      <c r="G348" t="str">
        <f>Excellent!Y11</f>
        <v/>
      </c>
    </row>
    <row r="349" spans="1:7" x14ac:dyDescent="0.25">
      <c r="A349">
        <f t="shared" si="8"/>
        <v>0</v>
      </c>
      <c r="B349" t="s">
        <v>23</v>
      </c>
      <c r="C349">
        <f>Excellent!C12</f>
        <v>0</v>
      </c>
      <c r="D349">
        <f>IF(Excellent!Y12="Pass",Excellent!W12,0)</f>
        <v>0</v>
      </c>
      <c r="E349" s="2" t="str">
        <f>IF(Excellent!B12="W","W","A")</f>
        <v>A</v>
      </c>
      <c r="F349" s="2" t="e">
        <f>VLOOKUP(JudgeD1ESE,Judges!$A$2:$B$44,2,FALSE)</f>
        <v>#N/A</v>
      </c>
      <c r="G349" t="str">
        <f>Excellent!Y12</f>
        <v/>
      </c>
    </row>
    <row r="350" spans="1:7" x14ac:dyDescent="0.25">
      <c r="A350">
        <f t="shared" si="8"/>
        <v>0</v>
      </c>
      <c r="B350" t="s">
        <v>23</v>
      </c>
      <c r="C350">
        <f>Excellent!C13</f>
        <v>0</v>
      </c>
      <c r="D350">
        <f>IF(Excellent!Y13="Pass",Excellent!W13,0)</f>
        <v>0</v>
      </c>
      <c r="E350" s="2" t="str">
        <f>IF(Excellent!B13="W","W","A")</f>
        <v>A</v>
      </c>
      <c r="F350" s="2" t="e">
        <f>VLOOKUP(JudgeD1ESE,Judges!$A$2:$B$44,2,FALSE)</f>
        <v>#N/A</v>
      </c>
      <c r="G350" t="str">
        <f>Excellent!Y13</f>
        <v/>
      </c>
    </row>
    <row r="351" spans="1:7" x14ac:dyDescent="0.25">
      <c r="A351">
        <f t="shared" si="8"/>
        <v>0</v>
      </c>
      <c r="B351" t="s">
        <v>23</v>
      </c>
      <c r="C351">
        <f>Excellent!C14</f>
        <v>0</v>
      </c>
      <c r="D351">
        <f>IF(Excellent!Y14="Pass",Excellent!W14,0)</f>
        <v>0</v>
      </c>
      <c r="E351" s="2" t="str">
        <f>IF(Excellent!B14="W","W","A")</f>
        <v>A</v>
      </c>
      <c r="F351" s="2" t="e">
        <f>VLOOKUP(JudgeD1ESE,Judges!$A$2:$B$44,2,FALSE)</f>
        <v>#N/A</v>
      </c>
      <c r="G351" t="str">
        <f>Excellent!Y14</f>
        <v/>
      </c>
    </row>
    <row r="352" spans="1:7" x14ac:dyDescent="0.25">
      <c r="A352">
        <f t="shared" si="8"/>
        <v>0</v>
      </c>
      <c r="B352" t="s">
        <v>23</v>
      </c>
      <c r="C352">
        <f>Excellent!C15</f>
        <v>0</v>
      </c>
      <c r="D352">
        <f>IF(Excellent!Y15="Pass",Excellent!W15,0)</f>
        <v>0</v>
      </c>
      <c r="E352" s="2" t="str">
        <f>IF(Excellent!B15="W","W","A")</f>
        <v>A</v>
      </c>
      <c r="F352" s="2" t="e">
        <f>VLOOKUP(JudgeD1ESE,Judges!$A$2:$B$44,2,FALSE)</f>
        <v>#N/A</v>
      </c>
      <c r="G352" t="str">
        <f>Excellent!Y15</f>
        <v/>
      </c>
    </row>
    <row r="353" spans="1:7" x14ac:dyDescent="0.25">
      <c r="A353">
        <f t="shared" si="8"/>
        <v>0</v>
      </c>
      <c r="B353" t="s">
        <v>23</v>
      </c>
      <c r="C353">
        <f>Excellent!C16</f>
        <v>0</v>
      </c>
      <c r="D353">
        <f>IF(Excellent!Y16="Pass",Excellent!W16,0)</f>
        <v>0</v>
      </c>
      <c r="E353" s="2" t="str">
        <f>IF(Excellent!B16="W","W","A")</f>
        <v>A</v>
      </c>
      <c r="F353" s="2" t="e">
        <f>VLOOKUP(JudgeD1ESE,Judges!$A$2:$B$44,2,FALSE)</f>
        <v>#N/A</v>
      </c>
      <c r="G353" t="str">
        <f>Excellent!Y16</f>
        <v/>
      </c>
    </row>
    <row r="354" spans="1:7" x14ac:dyDescent="0.25">
      <c r="A354">
        <f t="shared" si="8"/>
        <v>0</v>
      </c>
      <c r="B354" t="s">
        <v>23</v>
      </c>
      <c r="C354">
        <f>Excellent!C17</f>
        <v>0</v>
      </c>
      <c r="D354">
        <f>IF(Excellent!Y17="Pass",Excellent!W17,0)</f>
        <v>0</v>
      </c>
      <c r="E354" s="2" t="str">
        <f>IF(Excellent!B17="W","W","A")</f>
        <v>A</v>
      </c>
      <c r="F354" s="2" t="e">
        <f>VLOOKUP(JudgeD1ESE,Judges!$A$2:$B$44,2,FALSE)</f>
        <v>#N/A</v>
      </c>
      <c r="G354" t="str">
        <f>Excellent!Y17</f>
        <v/>
      </c>
    </row>
    <row r="355" spans="1:7" x14ac:dyDescent="0.25">
      <c r="A355">
        <f t="shared" si="8"/>
        <v>0</v>
      </c>
      <c r="B355" t="s">
        <v>23</v>
      </c>
      <c r="C355">
        <f>Excellent!C18</f>
        <v>0</v>
      </c>
      <c r="D355">
        <f>IF(Excellent!Y18="Pass",Excellent!W18,0)</f>
        <v>0</v>
      </c>
      <c r="E355" s="2" t="str">
        <f>IF(Excellent!B18="W","W","A")</f>
        <v>A</v>
      </c>
      <c r="F355" s="2" t="e">
        <f>VLOOKUP(JudgeD1ESE,Judges!$A$2:$B$44,2,FALSE)</f>
        <v>#N/A</v>
      </c>
      <c r="G355" t="str">
        <f>Excellent!Y18</f>
        <v/>
      </c>
    </row>
    <row r="356" spans="1:7" x14ac:dyDescent="0.25">
      <c r="A356">
        <f t="shared" si="8"/>
        <v>0</v>
      </c>
      <c r="B356" t="s">
        <v>23</v>
      </c>
      <c r="C356">
        <f>Excellent!C19</f>
        <v>0</v>
      </c>
      <c r="D356">
        <f>IF(Excellent!Y19="Pass",Excellent!W19,0)</f>
        <v>0</v>
      </c>
      <c r="E356" s="2" t="str">
        <f>IF(Excellent!B19="W","W","A")</f>
        <v>A</v>
      </c>
      <c r="F356" s="2" t="e">
        <f>VLOOKUP(JudgeD1ESE,Judges!$A$2:$B$44,2,FALSE)</f>
        <v>#N/A</v>
      </c>
      <c r="G356" t="str">
        <f>Excellent!Y19</f>
        <v/>
      </c>
    </row>
    <row r="357" spans="1:7" x14ac:dyDescent="0.25">
      <c r="A357">
        <f t="shared" si="8"/>
        <v>0</v>
      </c>
      <c r="B357" t="s">
        <v>23</v>
      </c>
      <c r="C357">
        <f>Excellent!C20</f>
        <v>0</v>
      </c>
      <c r="D357">
        <f>IF(Excellent!Y20="Pass",Excellent!W20,0)</f>
        <v>0</v>
      </c>
      <c r="E357" s="2" t="str">
        <f>IF(Excellent!B20="W","W","A")</f>
        <v>A</v>
      </c>
      <c r="F357" s="2" t="e">
        <f>VLOOKUP(JudgeD1ESE,Judges!$A$2:$B$44,2,FALSE)</f>
        <v>#N/A</v>
      </c>
      <c r="G357" t="str">
        <f>Excellent!Y20</f>
        <v/>
      </c>
    </row>
    <row r="358" spans="1:7" x14ac:dyDescent="0.25">
      <c r="A358">
        <f t="shared" si="8"/>
        <v>0</v>
      </c>
      <c r="B358" t="s">
        <v>23</v>
      </c>
      <c r="C358">
        <f>Excellent!C21</f>
        <v>0</v>
      </c>
      <c r="D358">
        <f>IF(Excellent!Y21="Pass",Excellent!W21,0)</f>
        <v>0</v>
      </c>
      <c r="E358" s="2" t="str">
        <f>IF(Excellent!B21="W","W","A")</f>
        <v>A</v>
      </c>
      <c r="F358" s="2" t="e">
        <f>VLOOKUP(JudgeD1ESE,Judges!$A$2:$B$44,2,FALSE)</f>
        <v>#N/A</v>
      </c>
      <c r="G358" t="str">
        <f>Excellent!Y21</f>
        <v/>
      </c>
    </row>
    <row r="359" spans="1:7" x14ac:dyDescent="0.25">
      <c r="A359">
        <f t="shared" si="8"/>
        <v>0</v>
      </c>
      <c r="B359" t="s">
        <v>23</v>
      </c>
      <c r="C359">
        <f>Excellent!C22</f>
        <v>0</v>
      </c>
      <c r="D359">
        <f>IF(Excellent!Y22="Pass",Excellent!W22,0)</f>
        <v>0</v>
      </c>
      <c r="E359" s="2" t="str">
        <f>IF(Excellent!B22="W","W","A")</f>
        <v>A</v>
      </c>
      <c r="F359" s="2" t="e">
        <f>VLOOKUP(JudgeD1ESE,Judges!$A$2:$B$44,2,FALSE)</f>
        <v>#N/A</v>
      </c>
      <c r="G359" t="str">
        <f>Excellent!Y22</f>
        <v/>
      </c>
    </row>
    <row r="360" spans="1:7" x14ac:dyDescent="0.25">
      <c r="A360">
        <f t="shared" si="8"/>
        <v>0</v>
      </c>
      <c r="B360" t="s">
        <v>23</v>
      </c>
      <c r="C360">
        <f>Excellent!C23</f>
        <v>0</v>
      </c>
      <c r="D360">
        <f>IF(Excellent!Y23="Pass",Excellent!W23,0)</f>
        <v>0</v>
      </c>
      <c r="E360" s="2" t="str">
        <f>IF(Excellent!B23="W","W","A")</f>
        <v>A</v>
      </c>
      <c r="F360" s="2" t="e">
        <f>VLOOKUP(JudgeD1ESE,Judges!$A$2:$B$44,2,FALSE)</f>
        <v>#N/A</v>
      </c>
      <c r="G360" t="str">
        <f>Excellent!Y23</f>
        <v/>
      </c>
    </row>
    <row r="361" spans="1:7" x14ac:dyDescent="0.25">
      <c r="A361">
        <f t="shared" si="8"/>
        <v>0</v>
      </c>
      <c r="B361" t="s">
        <v>23</v>
      </c>
      <c r="C361">
        <f>Excellent!C24</f>
        <v>0</v>
      </c>
      <c r="D361">
        <f>IF(Excellent!Y24="Pass",Excellent!W24,0)</f>
        <v>0</v>
      </c>
      <c r="E361" s="2" t="str">
        <f>IF(Excellent!B24="W","W","A")</f>
        <v>A</v>
      </c>
      <c r="F361" s="2" t="e">
        <f>VLOOKUP(JudgeD1ESE,Judges!$A$2:$B$44,2,FALSE)</f>
        <v>#N/A</v>
      </c>
      <c r="G361" t="str">
        <f>Excellent!Y24</f>
        <v/>
      </c>
    </row>
    <row r="362" spans="1:7" x14ac:dyDescent="0.25">
      <c r="A362">
        <f t="shared" si="8"/>
        <v>0</v>
      </c>
      <c r="B362" t="s">
        <v>23</v>
      </c>
      <c r="C362">
        <f>Excellent!C25</f>
        <v>0</v>
      </c>
      <c r="D362">
        <f>IF(Excellent!Y25="Pass",Excellent!W25,0)</f>
        <v>0</v>
      </c>
      <c r="E362" s="2" t="str">
        <f>IF(Excellent!B25="W","W","A")</f>
        <v>A</v>
      </c>
      <c r="F362" s="2" t="e">
        <f>VLOOKUP(JudgeD1ESE,Judges!$A$2:$B$44,2,FALSE)</f>
        <v>#N/A</v>
      </c>
      <c r="G362" t="str">
        <f>Excellent!Y25</f>
        <v/>
      </c>
    </row>
    <row r="363" spans="1:7" x14ac:dyDescent="0.25">
      <c r="A363">
        <f t="shared" si="8"/>
        <v>0</v>
      </c>
      <c r="B363" t="s">
        <v>23</v>
      </c>
      <c r="C363">
        <f>Excellent!C26</f>
        <v>0</v>
      </c>
      <c r="D363">
        <f>IF(Excellent!Y26="Pass",Excellent!W26,0)</f>
        <v>0</v>
      </c>
      <c r="E363" s="2" t="str">
        <f>IF(Excellent!B26="W","W","A")</f>
        <v>A</v>
      </c>
      <c r="F363" s="2" t="e">
        <f>VLOOKUP(JudgeD1ESE,Judges!$A$2:$B$44,2,FALSE)</f>
        <v>#N/A</v>
      </c>
      <c r="G363" t="str">
        <f>Excellent!Y26</f>
        <v/>
      </c>
    </row>
    <row r="364" spans="1:7" x14ac:dyDescent="0.25">
      <c r="A364">
        <f t="shared" si="8"/>
        <v>0</v>
      </c>
      <c r="B364" t="s">
        <v>23</v>
      </c>
      <c r="C364">
        <f>Excellent!C27</f>
        <v>0</v>
      </c>
      <c r="D364">
        <f>IF(Excellent!Y27="Pass",Excellent!W27,0)</f>
        <v>0</v>
      </c>
      <c r="E364" s="2" t="str">
        <f>IF(Excellent!B27="W","W","A")</f>
        <v>A</v>
      </c>
      <c r="F364" s="2" t="e">
        <f>VLOOKUP(JudgeD1ESE,Judges!$A$2:$B$44,2,FALSE)</f>
        <v>#N/A</v>
      </c>
      <c r="G364" t="str">
        <f>Excellent!Y27</f>
        <v/>
      </c>
    </row>
    <row r="365" spans="1:7" x14ac:dyDescent="0.25">
      <c r="A365">
        <f t="shared" si="8"/>
        <v>0</v>
      </c>
      <c r="B365" t="s">
        <v>23</v>
      </c>
      <c r="C365">
        <f>Excellent!C28</f>
        <v>0</v>
      </c>
      <c r="D365">
        <f>IF(Excellent!Y28="Pass",Excellent!W28,0)</f>
        <v>0</v>
      </c>
      <c r="E365" s="2" t="str">
        <f>IF(Excellent!B28="W","W","A")</f>
        <v>A</v>
      </c>
      <c r="F365" s="2" t="e">
        <f>VLOOKUP(JudgeD1ESE,Judges!$A$2:$B$44,2,FALSE)</f>
        <v>#N/A</v>
      </c>
      <c r="G365" t="str">
        <f>Excellent!Y28</f>
        <v/>
      </c>
    </row>
    <row r="366" spans="1:7" x14ac:dyDescent="0.25">
      <c r="A366">
        <f t="shared" si="8"/>
        <v>0</v>
      </c>
      <c r="B366" t="s">
        <v>23</v>
      </c>
      <c r="C366">
        <f>Excellent!C29</f>
        <v>0</v>
      </c>
      <c r="D366">
        <f>IF(Excellent!Y29="Pass",Excellent!W29,0)</f>
        <v>0</v>
      </c>
      <c r="E366" s="2" t="str">
        <f>IF(Excellent!B29="W","W","A")</f>
        <v>A</v>
      </c>
      <c r="F366" s="2" t="e">
        <f>VLOOKUP(JudgeD1ESE,Judges!$A$2:$B$44,2,FALSE)</f>
        <v>#N/A</v>
      </c>
      <c r="G366" t="str">
        <f>Excellent!Y29</f>
        <v/>
      </c>
    </row>
    <row r="367" spans="1:7" x14ac:dyDescent="0.25">
      <c r="A367">
        <f t="shared" si="8"/>
        <v>0</v>
      </c>
      <c r="B367" t="s">
        <v>23</v>
      </c>
      <c r="C367">
        <f>Excellent!C30</f>
        <v>0</v>
      </c>
      <c r="D367">
        <f>IF(Excellent!Y30="Pass",Excellent!W30,0)</f>
        <v>0</v>
      </c>
      <c r="E367" s="2" t="str">
        <f>IF(Excellent!B30="W","W","A")</f>
        <v>A</v>
      </c>
      <c r="F367" s="2" t="e">
        <f>VLOOKUP(JudgeD1ESE,Judges!$A$2:$B$44,2,FALSE)</f>
        <v>#N/A</v>
      </c>
      <c r="G367" t="str">
        <f>Excellent!Y30</f>
        <v/>
      </c>
    </row>
    <row r="368" spans="1:7" x14ac:dyDescent="0.25">
      <c r="A368">
        <f t="shared" si="8"/>
        <v>0</v>
      </c>
      <c r="B368" t="s">
        <v>23</v>
      </c>
      <c r="C368">
        <f>Excellent!C31</f>
        <v>0</v>
      </c>
      <c r="D368">
        <f>IF(Excellent!Y31="Pass",Excellent!W31,0)</f>
        <v>0</v>
      </c>
      <c r="E368" s="2" t="str">
        <f>IF(Excellent!B31="W","W","A")</f>
        <v>A</v>
      </c>
      <c r="F368" s="2" t="e">
        <f>VLOOKUP(JudgeD1ESE,Judges!$A$2:$B$44,2,FALSE)</f>
        <v>#N/A</v>
      </c>
      <c r="G368" t="str">
        <f>Excellent!Y31</f>
        <v/>
      </c>
    </row>
    <row r="369" spans="1:7" x14ac:dyDescent="0.25">
      <c r="A369">
        <f t="shared" si="8"/>
        <v>0</v>
      </c>
      <c r="B369" t="s">
        <v>23</v>
      </c>
      <c r="C369">
        <f>Excellent!C32</f>
        <v>0</v>
      </c>
      <c r="D369">
        <f>IF(Excellent!Y32="Pass",Excellent!W32,0)</f>
        <v>0</v>
      </c>
      <c r="E369" s="2" t="str">
        <f>IF(Excellent!B32="W","W","A")</f>
        <v>A</v>
      </c>
      <c r="F369" s="2" t="e">
        <f>VLOOKUP(JudgeD1ESE,Judges!$A$2:$B$44,2,FALSE)</f>
        <v>#N/A</v>
      </c>
      <c r="G369" t="str">
        <f>Excellent!Y32</f>
        <v/>
      </c>
    </row>
    <row r="370" spans="1:7" x14ac:dyDescent="0.25">
      <c r="A370">
        <f t="shared" si="8"/>
        <v>0</v>
      </c>
      <c r="B370" t="s">
        <v>23</v>
      </c>
      <c r="C370">
        <f>Excellent!C33</f>
        <v>0</v>
      </c>
      <c r="D370">
        <f>IF(Excellent!Y33="Pass",Excellent!W33,0)</f>
        <v>0</v>
      </c>
      <c r="E370" s="2" t="str">
        <f>IF(Excellent!B33="W","W","A")</f>
        <v>A</v>
      </c>
      <c r="F370" s="2" t="e">
        <f>VLOOKUP(JudgeD1ESE,Judges!$A$2:$B$44,2,FALSE)</f>
        <v>#N/A</v>
      </c>
      <c r="G370" t="str">
        <f>Excellent!Y33</f>
        <v/>
      </c>
    </row>
    <row r="371" spans="1:7" x14ac:dyDescent="0.25">
      <c r="A371">
        <f t="shared" si="8"/>
        <v>0</v>
      </c>
      <c r="B371" t="s">
        <v>23</v>
      </c>
      <c r="C371">
        <f>Excellent!C34</f>
        <v>0</v>
      </c>
      <c r="D371">
        <f>IF(Excellent!Y34="Pass",Excellent!W34,0)</f>
        <v>0</v>
      </c>
      <c r="E371" s="2" t="str">
        <f>IF(Excellent!B34="W","W","A")</f>
        <v>A</v>
      </c>
      <c r="F371" s="2" t="e">
        <f>VLOOKUP(JudgeD1ESE,Judges!$A$2:$B$44,2,FALSE)</f>
        <v>#N/A</v>
      </c>
      <c r="G371" t="str">
        <f>Excellent!Y34</f>
        <v/>
      </c>
    </row>
    <row r="372" spans="1:7" x14ac:dyDescent="0.25">
      <c r="A372">
        <f t="shared" si="8"/>
        <v>0</v>
      </c>
      <c r="B372" t="s">
        <v>23</v>
      </c>
      <c r="C372">
        <f>Excellent!C35</f>
        <v>0</v>
      </c>
      <c r="D372">
        <f>IF(Excellent!Y35="Pass",Excellent!W35,0)</f>
        <v>0</v>
      </c>
      <c r="E372" s="2" t="str">
        <f>IF(Excellent!B35="W","W","A")</f>
        <v>A</v>
      </c>
      <c r="F372" s="2" t="e">
        <f>VLOOKUP(JudgeD1ESE,Judges!$A$2:$B$44,2,FALSE)</f>
        <v>#N/A</v>
      </c>
      <c r="G372" t="str">
        <f>Excellent!Y35</f>
        <v/>
      </c>
    </row>
    <row r="373" spans="1:7" x14ac:dyDescent="0.25">
      <c r="A373">
        <f t="shared" si="8"/>
        <v>0</v>
      </c>
      <c r="B373" t="s">
        <v>23</v>
      </c>
      <c r="C373">
        <f>Excellent!C36</f>
        <v>0</v>
      </c>
      <c r="D373">
        <f>IF(Excellent!Y36="Pass",Excellent!W36,0)</f>
        <v>0</v>
      </c>
      <c r="E373" s="2" t="str">
        <f>IF(Excellent!B36="W","W","A")</f>
        <v>A</v>
      </c>
      <c r="F373" s="2" t="e">
        <f>VLOOKUP(JudgeD1ESE,Judges!$A$2:$B$44,2,FALSE)</f>
        <v>#N/A</v>
      </c>
      <c r="G373" t="str">
        <f>Excellent!Y36</f>
        <v/>
      </c>
    </row>
    <row r="374" spans="1:7" x14ac:dyDescent="0.25">
      <c r="A374">
        <f t="shared" si="8"/>
        <v>0</v>
      </c>
      <c r="B374" t="s">
        <v>23</v>
      </c>
      <c r="C374">
        <f>Excellent!C37</f>
        <v>0</v>
      </c>
      <c r="D374">
        <f>IF(Excellent!Y37="Pass",Excellent!W37,0)</f>
        <v>0</v>
      </c>
      <c r="E374" s="2" t="str">
        <f>IF(Excellent!B37="W","W","A")</f>
        <v>A</v>
      </c>
      <c r="F374" s="2" t="e">
        <f>VLOOKUP(JudgeD1ESE,Judges!$A$2:$B$44,2,FALSE)</f>
        <v>#N/A</v>
      </c>
      <c r="G374" t="str">
        <f>Excellent!Y37</f>
        <v/>
      </c>
    </row>
    <row r="375" spans="1:7" x14ac:dyDescent="0.25">
      <c r="A375">
        <f t="shared" si="8"/>
        <v>0</v>
      </c>
      <c r="B375" t="s">
        <v>23</v>
      </c>
      <c r="C375">
        <f>Excellent!C38</f>
        <v>0</v>
      </c>
      <c r="D375">
        <f>IF(Excellent!Y38="Pass",Excellent!W38,0)</f>
        <v>0</v>
      </c>
      <c r="E375" s="2" t="str">
        <f>IF(Excellent!B38="W","W","A")</f>
        <v>A</v>
      </c>
      <c r="F375" s="2" t="e">
        <f>VLOOKUP(JudgeD1ESE,Judges!$A$2:$B$44,2,FALSE)</f>
        <v>#N/A</v>
      </c>
      <c r="G375" t="str">
        <f>Excellent!Y38</f>
        <v/>
      </c>
    </row>
    <row r="376" spans="1:7" x14ac:dyDescent="0.25">
      <c r="A376">
        <f t="shared" si="8"/>
        <v>0</v>
      </c>
      <c r="B376" t="s">
        <v>23</v>
      </c>
      <c r="C376">
        <f>Excellent!C39</f>
        <v>0</v>
      </c>
      <c r="D376">
        <f>IF(Excellent!Y39="Pass",Excellent!W39,0)</f>
        <v>0</v>
      </c>
      <c r="E376" s="2" t="str">
        <f>IF(Excellent!B39="W","W","A")</f>
        <v>A</v>
      </c>
      <c r="F376" s="2" t="e">
        <f>VLOOKUP(JudgeD1ESE,Judges!$A$2:$B$44,2,FALSE)</f>
        <v>#N/A</v>
      </c>
      <c r="G376" t="str">
        <f>Excellent!Y39</f>
        <v/>
      </c>
    </row>
    <row r="377" spans="1:7" x14ac:dyDescent="0.25">
      <c r="A377">
        <f t="shared" si="8"/>
        <v>0</v>
      </c>
      <c r="B377" t="s">
        <v>23</v>
      </c>
      <c r="C377">
        <f>Excellent!C40</f>
        <v>0</v>
      </c>
      <c r="D377">
        <f>IF(Excellent!Y40="Pass",Excellent!W40,0)</f>
        <v>0</v>
      </c>
      <c r="E377" s="2" t="str">
        <f>IF(Excellent!B40="W","W","A")</f>
        <v>A</v>
      </c>
      <c r="F377" s="2" t="e">
        <f>VLOOKUP(JudgeD1ESE,Judges!$A$2:$B$44,2,FALSE)</f>
        <v>#N/A</v>
      </c>
      <c r="G377" t="str">
        <f>Excellent!Y40</f>
        <v/>
      </c>
    </row>
    <row r="378" spans="1:7" x14ac:dyDescent="0.25">
      <c r="A378">
        <f t="shared" ref="A378:A391" si="9">TrialNumber</f>
        <v>0</v>
      </c>
      <c r="B378" t="s">
        <v>23</v>
      </c>
      <c r="C378">
        <f>Excellent!C41</f>
        <v>0</v>
      </c>
      <c r="D378">
        <f>IF(Excellent!Y41="Pass",Excellent!W41,0)</f>
        <v>0</v>
      </c>
      <c r="E378" s="2" t="str">
        <f>IF(Excellent!B41="W","W","A")</f>
        <v>A</v>
      </c>
      <c r="F378" s="2" t="e">
        <f>VLOOKUP(JudgeD1ESE,Judges!$A$2:$B$44,2,FALSE)</f>
        <v>#N/A</v>
      </c>
      <c r="G378" t="str">
        <f>Excellent!Y41</f>
        <v/>
      </c>
    </row>
    <row r="379" spans="1:7" x14ac:dyDescent="0.25">
      <c r="A379">
        <f t="shared" si="9"/>
        <v>0</v>
      </c>
      <c r="B379" t="s">
        <v>23</v>
      </c>
      <c r="C379">
        <f>Excellent!C42</f>
        <v>0</v>
      </c>
      <c r="D379">
        <f>IF(Excellent!Y42="Pass",Excellent!W42,0)</f>
        <v>0</v>
      </c>
      <c r="E379" s="2" t="str">
        <f>IF(Excellent!B42="W","W","A")</f>
        <v>A</v>
      </c>
      <c r="F379" s="2" t="e">
        <f>VLOOKUP(JudgeD1ESE,Judges!$A$2:$B$44,2,FALSE)</f>
        <v>#N/A</v>
      </c>
      <c r="G379" t="str">
        <f>Excellent!Y42</f>
        <v/>
      </c>
    </row>
    <row r="380" spans="1:7" x14ac:dyDescent="0.25">
      <c r="A380">
        <f t="shared" si="9"/>
        <v>0</v>
      </c>
      <c r="B380" t="s">
        <v>23</v>
      </c>
      <c r="C380">
        <f>Excellent!C43</f>
        <v>0</v>
      </c>
      <c r="D380">
        <f>IF(Excellent!Y43="Pass",Excellent!W43,0)</f>
        <v>0</v>
      </c>
      <c r="E380" s="2" t="str">
        <f>IF(Excellent!B43="W","W","A")</f>
        <v>A</v>
      </c>
      <c r="F380" s="2" t="e">
        <f>VLOOKUP(JudgeD1ESE,Judges!$A$2:$B$44,2,FALSE)</f>
        <v>#N/A</v>
      </c>
      <c r="G380" t="str">
        <f>Excellent!Y43</f>
        <v/>
      </c>
    </row>
    <row r="381" spans="1:7" x14ac:dyDescent="0.25">
      <c r="A381">
        <f t="shared" si="9"/>
        <v>0</v>
      </c>
      <c r="B381" t="s">
        <v>23</v>
      </c>
      <c r="C381">
        <f>Excellent!C44</f>
        <v>0</v>
      </c>
      <c r="D381">
        <f>IF(Excellent!Y44="Pass",Excellent!W44,0)</f>
        <v>0</v>
      </c>
      <c r="E381" s="2" t="str">
        <f>IF(Excellent!B44="W","W","A")</f>
        <v>A</v>
      </c>
      <c r="F381" s="2" t="e">
        <f>VLOOKUP(JudgeD1ESE,Judges!$A$2:$B$44,2,FALSE)</f>
        <v>#N/A</v>
      </c>
      <c r="G381" t="str">
        <f>Excellent!Y44</f>
        <v/>
      </c>
    </row>
    <row r="382" spans="1:7" x14ac:dyDescent="0.25">
      <c r="A382">
        <f t="shared" si="9"/>
        <v>0</v>
      </c>
      <c r="B382" t="s">
        <v>23</v>
      </c>
      <c r="C382">
        <f>Excellent!C45</f>
        <v>0</v>
      </c>
      <c r="D382">
        <f>IF(Excellent!Y45="Pass",Excellent!W45,0)</f>
        <v>0</v>
      </c>
      <c r="E382" s="2" t="str">
        <f>IF(Excellent!B45="W","W","A")</f>
        <v>A</v>
      </c>
      <c r="F382" s="2" t="e">
        <f>VLOOKUP(JudgeD1ESE,Judges!$A$2:$B$44,2,FALSE)</f>
        <v>#N/A</v>
      </c>
      <c r="G382" t="str">
        <f>Excellent!Y45</f>
        <v/>
      </c>
    </row>
    <row r="383" spans="1:7" x14ac:dyDescent="0.25">
      <c r="A383">
        <f t="shared" si="9"/>
        <v>0</v>
      </c>
      <c r="B383" t="s">
        <v>23</v>
      </c>
      <c r="C383">
        <f>Excellent!C46</f>
        <v>0</v>
      </c>
      <c r="D383">
        <f>IF(Excellent!Y46="Pass",Excellent!W46,0)</f>
        <v>0</v>
      </c>
      <c r="E383" s="2" t="str">
        <f>IF(Excellent!B46="W","W","A")</f>
        <v>A</v>
      </c>
      <c r="F383" s="2" t="e">
        <f>VLOOKUP(JudgeD1ESE,Judges!$A$2:$B$44,2,FALSE)</f>
        <v>#N/A</v>
      </c>
      <c r="G383" t="str">
        <f>Excellent!Y46</f>
        <v/>
      </c>
    </row>
    <row r="384" spans="1:7" x14ac:dyDescent="0.25">
      <c r="A384">
        <f t="shared" si="9"/>
        <v>0</v>
      </c>
      <c r="B384" t="s">
        <v>23</v>
      </c>
      <c r="C384">
        <f>Excellent!C47</f>
        <v>0</v>
      </c>
      <c r="D384">
        <f>IF(Excellent!Y47="Pass",Excellent!W47,0)</f>
        <v>0</v>
      </c>
      <c r="E384" s="2" t="str">
        <f>IF(Excellent!B47="W","W","A")</f>
        <v>A</v>
      </c>
      <c r="F384" s="2" t="e">
        <f>VLOOKUP(JudgeD1ESE,Judges!$A$2:$B$44,2,FALSE)</f>
        <v>#N/A</v>
      </c>
      <c r="G384" t="str">
        <f>Excellent!Y47</f>
        <v/>
      </c>
    </row>
    <row r="385" spans="1:7" x14ac:dyDescent="0.25">
      <c r="A385">
        <f t="shared" si="9"/>
        <v>0</v>
      </c>
      <c r="B385" t="s">
        <v>23</v>
      </c>
      <c r="C385">
        <f>Excellent!C48</f>
        <v>0</v>
      </c>
      <c r="D385">
        <f>IF(Excellent!Y48="Pass",Excellent!W48,0)</f>
        <v>0</v>
      </c>
      <c r="E385" s="2" t="str">
        <f>IF(Excellent!B48="W","W","A")</f>
        <v>A</v>
      </c>
      <c r="F385" s="2" t="e">
        <f>VLOOKUP(JudgeD1ESE,Judges!$A$2:$B$44,2,FALSE)</f>
        <v>#N/A</v>
      </c>
      <c r="G385" t="str">
        <f>Excellent!Y48</f>
        <v/>
      </c>
    </row>
    <row r="386" spans="1:7" x14ac:dyDescent="0.25">
      <c r="A386">
        <f t="shared" si="9"/>
        <v>0</v>
      </c>
      <c r="B386" t="s">
        <v>23</v>
      </c>
      <c r="C386">
        <f>Excellent!C49</f>
        <v>0</v>
      </c>
      <c r="D386">
        <f>IF(Excellent!Y49="Pass",Excellent!W49,0)</f>
        <v>0</v>
      </c>
      <c r="E386" s="2" t="str">
        <f>IF(Excellent!B49="W","W","A")</f>
        <v>A</v>
      </c>
      <c r="F386" s="2" t="e">
        <f>VLOOKUP(JudgeD1ESE,Judges!$A$2:$B$44,2,FALSE)</f>
        <v>#N/A</v>
      </c>
      <c r="G386" t="str">
        <f>Excellent!Y49</f>
        <v/>
      </c>
    </row>
    <row r="387" spans="1:7" x14ac:dyDescent="0.25">
      <c r="A387">
        <f t="shared" si="9"/>
        <v>0</v>
      </c>
      <c r="B387" t="s">
        <v>23</v>
      </c>
      <c r="C387">
        <f>Excellent!C50</f>
        <v>0</v>
      </c>
      <c r="D387">
        <f>IF(Excellent!Y50="Pass",Excellent!W50,0)</f>
        <v>0</v>
      </c>
      <c r="E387" s="2" t="str">
        <f>IF(Excellent!B50="W","W","A")</f>
        <v>A</v>
      </c>
      <c r="F387" s="2" t="e">
        <f>VLOOKUP(JudgeD1ESE,Judges!$A$2:$B$44,2,FALSE)</f>
        <v>#N/A</v>
      </c>
      <c r="G387" t="str">
        <f>Excellent!Y50</f>
        <v/>
      </c>
    </row>
    <row r="388" spans="1:7" x14ac:dyDescent="0.25">
      <c r="A388">
        <f t="shared" si="9"/>
        <v>0</v>
      </c>
      <c r="B388" t="s">
        <v>23</v>
      </c>
      <c r="C388">
        <f>Excellent!C51</f>
        <v>0</v>
      </c>
      <c r="D388">
        <f>IF(Excellent!Y51="Pass",Excellent!W51,0)</f>
        <v>0</v>
      </c>
      <c r="E388" s="2" t="str">
        <f>IF(Excellent!B51="W","W","A")</f>
        <v>A</v>
      </c>
      <c r="F388" s="2" t="e">
        <f>VLOOKUP(JudgeD1ESE,Judges!$A$2:$B$44,2,FALSE)</f>
        <v>#N/A</v>
      </c>
      <c r="G388" t="str">
        <f>Excellent!Y51</f>
        <v/>
      </c>
    </row>
    <row r="389" spans="1:7" x14ac:dyDescent="0.25">
      <c r="A389">
        <f t="shared" si="9"/>
        <v>0</v>
      </c>
      <c r="B389" t="s">
        <v>23</v>
      </c>
      <c r="C389">
        <f>Excellent!C52</f>
        <v>0</v>
      </c>
      <c r="D389">
        <f>IF(Excellent!Y52="Pass",Excellent!W52,0)</f>
        <v>0</v>
      </c>
      <c r="E389" s="2" t="str">
        <f>IF(Excellent!B52="W","W","A")</f>
        <v>A</v>
      </c>
      <c r="F389" s="2" t="e">
        <f>VLOOKUP(JudgeD1ESE,Judges!$A$2:$B$44,2,FALSE)</f>
        <v>#N/A</v>
      </c>
      <c r="G389" t="str">
        <f>Excellent!Y52</f>
        <v/>
      </c>
    </row>
    <row r="390" spans="1:7" x14ac:dyDescent="0.25">
      <c r="A390">
        <f t="shared" si="9"/>
        <v>0</v>
      </c>
      <c r="B390" t="s">
        <v>23</v>
      </c>
      <c r="C390">
        <f>Excellent!C53</f>
        <v>0</v>
      </c>
      <c r="D390">
        <f>IF(Excellent!Y53="Pass",Excellent!W53,0)</f>
        <v>0</v>
      </c>
      <c r="E390" s="2" t="str">
        <f>IF(Excellent!B53="W","W","A")</f>
        <v>A</v>
      </c>
      <c r="F390" s="2" t="e">
        <f>VLOOKUP(JudgeD1ESE,Judges!$A$2:$B$44,2,FALSE)</f>
        <v>#N/A</v>
      </c>
      <c r="G390" t="str">
        <f>Excellent!Y53</f>
        <v/>
      </c>
    </row>
    <row r="391" spans="1:7" x14ac:dyDescent="0.25">
      <c r="A391">
        <f t="shared" si="9"/>
        <v>0</v>
      </c>
      <c r="B391" t="s">
        <v>23</v>
      </c>
      <c r="C391">
        <f>Excellent!C54</f>
        <v>0</v>
      </c>
      <c r="D391">
        <f>IF(Excellent!Y54="Pass",Excellent!W54,0)</f>
        <v>0</v>
      </c>
      <c r="E391" s="2" t="str">
        <f>IF(Excellent!B54="W","W","A")</f>
        <v>A</v>
      </c>
      <c r="F391" s="2" t="e">
        <f>VLOOKUP(JudgeD1ESE,Judges!$A$2:$B$44,2,FALSE)</f>
        <v>#N/A</v>
      </c>
      <c r="G391" t="str">
        <f>Excellent!Y54</f>
        <v/>
      </c>
    </row>
    <row r="392" spans="1:7" x14ac:dyDescent="0.25">
      <c r="A392">
        <f t="shared" ref="A392:A455" si="10">TrialNumberDay2</f>
        <v>0</v>
      </c>
      <c r="B392" t="s">
        <v>15</v>
      </c>
      <c r="C392">
        <f>Started!C45</f>
        <v>0</v>
      </c>
      <c r="D392">
        <f>IF(Started!I45="Pass",Started!G45,0)</f>
        <v>0</v>
      </c>
      <c r="E392" s="2" t="str">
        <f>IF(Started!B45="W","W","A")</f>
        <v>A</v>
      </c>
      <c r="F392" s="2" t="e">
        <f>VLOOKUP(JudgeD2CSS,Judges!$A$2:$B$44,2,FALSE)</f>
        <v>#N/A</v>
      </c>
      <c r="G392" t="str">
        <f>Started!I45</f>
        <v/>
      </c>
    </row>
    <row r="393" spans="1:7" x14ac:dyDescent="0.25">
      <c r="A393">
        <f t="shared" si="10"/>
        <v>0</v>
      </c>
      <c r="B393" t="s">
        <v>15</v>
      </c>
      <c r="C393">
        <f>Started!C46</f>
        <v>0</v>
      </c>
      <c r="D393">
        <f>IF(Started!I46="Pass",Started!G46,0)</f>
        <v>0</v>
      </c>
      <c r="E393" s="2" t="str">
        <f>IF(Started!B46="W","W","A")</f>
        <v>A</v>
      </c>
      <c r="F393" s="2" t="e">
        <f>VLOOKUP(JudgeD2CSS,Judges!$A$2:$B$44,2,FALSE)</f>
        <v>#N/A</v>
      </c>
      <c r="G393" t="str">
        <f>Started!I46</f>
        <v/>
      </c>
    </row>
    <row r="394" spans="1:7" x14ac:dyDescent="0.25">
      <c r="A394">
        <f t="shared" si="10"/>
        <v>0</v>
      </c>
      <c r="B394" t="s">
        <v>15</v>
      </c>
      <c r="C394">
        <f>Started!C47</f>
        <v>0</v>
      </c>
      <c r="D394">
        <f>IF(Started!I47="Pass",Started!G47,0)</f>
        <v>0</v>
      </c>
      <c r="E394" s="2" t="str">
        <f>IF(Started!B47="W","W","A")</f>
        <v>A</v>
      </c>
      <c r="F394" s="2" t="e">
        <f>VLOOKUP(JudgeD2CSS,Judges!$A$2:$B$44,2,FALSE)</f>
        <v>#N/A</v>
      </c>
      <c r="G394" t="str">
        <f>Started!I47</f>
        <v/>
      </c>
    </row>
    <row r="395" spans="1:7" x14ac:dyDescent="0.25">
      <c r="A395">
        <f t="shared" si="10"/>
        <v>0</v>
      </c>
      <c r="B395" t="s">
        <v>15</v>
      </c>
      <c r="C395">
        <f>Started!C48</f>
        <v>0</v>
      </c>
      <c r="D395">
        <f>IF(Started!I48="Pass",Started!G48,0)</f>
        <v>0</v>
      </c>
      <c r="E395" s="2" t="str">
        <f>IF(Started!B48="W","W","A")</f>
        <v>A</v>
      </c>
      <c r="F395" s="2" t="e">
        <f>VLOOKUP(JudgeD2CSS,Judges!$A$2:$B$44,2,FALSE)</f>
        <v>#N/A</v>
      </c>
      <c r="G395" t="str">
        <f>Started!I48</f>
        <v/>
      </c>
    </row>
    <row r="396" spans="1:7" x14ac:dyDescent="0.25">
      <c r="A396">
        <f t="shared" si="10"/>
        <v>0</v>
      </c>
      <c r="B396" t="s">
        <v>15</v>
      </c>
      <c r="C396">
        <f>Started!C49</f>
        <v>0</v>
      </c>
      <c r="D396">
        <f>IF(Started!I49="Pass",Started!G49,0)</f>
        <v>0</v>
      </c>
      <c r="E396" s="2" t="str">
        <f>IF(Started!B49="W","W","A")</f>
        <v>A</v>
      </c>
      <c r="F396" s="2" t="e">
        <f>VLOOKUP(JudgeD2CSS,Judges!$A$2:$B$44,2,FALSE)</f>
        <v>#N/A</v>
      </c>
      <c r="G396" t="str">
        <f>Started!I49</f>
        <v/>
      </c>
    </row>
    <row r="397" spans="1:7" x14ac:dyDescent="0.25">
      <c r="A397">
        <f t="shared" si="10"/>
        <v>0</v>
      </c>
      <c r="B397" t="s">
        <v>15</v>
      </c>
      <c r="C397">
        <f>Started!C50</f>
        <v>0</v>
      </c>
      <c r="D397">
        <f>IF(Started!I50="Pass",Started!G50,0)</f>
        <v>0</v>
      </c>
      <c r="E397" s="2" t="str">
        <f>IF(Started!B50="W","W","A")</f>
        <v>A</v>
      </c>
      <c r="F397" s="2" t="e">
        <f>VLOOKUP(JudgeD2CSS,Judges!$A$2:$B$44,2,FALSE)</f>
        <v>#N/A</v>
      </c>
      <c r="G397" t="str">
        <f>Started!I50</f>
        <v/>
      </c>
    </row>
    <row r="398" spans="1:7" x14ac:dyDescent="0.25">
      <c r="A398">
        <f t="shared" si="10"/>
        <v>0</v>
      </c>
      <c r="B398" t="s">
        <v>15</v>
      </c>
      <c r="C398">
        <f>Started!C51</f>
        <v>0</v>
      </c>
      <c r="D398">
        <f>IF(Started!I51="Pass",Started!G51,0)</f>
        <v>0</v>
      </c>
      <c r="E398" s="2" t="str">
        <f>IF(Started!B51="W","W","A")</f>
        <v>A</v>
      </c>
      <c r="F398" s="2" t="e">
        <f>VLOOKUP(JudgeD2CSS,Judges!$A$2:$B$44,2,FALSE)</f>
        <v>#N/A</v>
      </c>
      <c r="G398" t="str">
        <f>Started!I51</f>
        <v/>
      </c>
    </row>
    <row r="399" spans="1:7" x14ac:dyDescent="0.25">
      <c r="A399">
        <f t="shared" si="10"/>
        <v>0</v>
      </c>
      <c r="B399" t="s">
        <v>15</v>
      </c>
      <c r="C399">
        <f>Started!C52</f>
        <v>0</v>
      </c>
      <c r="D399">
        <f>IF(Started!I52="Pass",Started!G52,0)</f>
        <v>0</v>
      </c>
      <c r="E399" s="2" t="str">
        <f>IF(Started!B52="W","W","A")</f>
        <v>A</v>
      </c>
      <c r="F399" s="2" t="e">
        <f>VLOOKUP(JudgeD2CSS,Judges!$A$2:$B$44,2,FALSE)</f>
        <v>#N/A</v>
      </c>
      <c r="G399" t="str">
        <f>Started!I52</f>
        <v/>
      </c>
    </row>
    <row r="400" spans="1:7" x14ac:dyDescent="0.25">
      <c r="A400">
        <f t="shared" si="10"/>
        <v>0</v>
      </c>
      <c r="B400" t="s">
        <v>15</v>
      </c>
      <c r="C400">
        <f>Started!C53</f>
        <v>0</v>
      </c>
      <c r="D400">
        <f>IF(Started!I53="Pass",Started!G53,0)</f>
        <v>0</v>
      </c>
      <c r="E400" s="2" t="str">
        <f>IF(Started!B53="W","W","A")</f>
        <v>A</v>
      </c>
      <c r="F400" s="2" t="e">
        <f>VLOOKUP(JudgeD2CSS,Judges!$A$2:$B$44,2,FALSE)</f>
        <v>#N/A</v>
      </c>
      <c r="G400" t="str">
        <f>Started!I53</f>
        <v/>
      </c>
    </row>
    <row r="401" spans="1:7" x14ac:dyDescent="0.25">
      <c r="A401">
        <f t="shared" si="10"/>
        <v>0</v>
      </c>
      <c r="B401" t="s">
        <v>15</v>
      </c>
      <c r="C401">
        <f>Started!C54</f>
        <v>0</v>
      </c>
      <c r="D401">
        <f>IF(Started!I54="Pass",Started!G54,0)</f>
        <v>0</v>
      </c>
      <c r="E401" s="2" t="str">
        <f>IF(Started!B54="W","W","A")</f>
        <v>A</v>
      </c>
      <c r="F401" s="2" t="e">
        <f>VLOOKUP(JudgeD2CSS,Judges!$A$2:$B$44,2,FALSE)</f>
        <v>#N/A</v>
      </c>
      <c r="G401" t="str">
        <f>Started!I54</f>
        <v/>
      </c>
    </row>
    <row r="402" spans="1:7" x14ac:dyDescent="0.25">
      <c r="A402">
        <f t="shared" si="10"/>
        <v>0</v>
      </c>
      <c r="B402" t="s">
        <v>15</v>
      </c>
      <c r="C402">
        <f>Started!C55</f>
        <v>0</v>
      </c>
      <c r="D402">
        <f>IF(Started!I55="Pass",Started!G55,0)</f>
        <v>0</v>
      </c>
      <c r="E402" s="2" t="str">
        <f>IF(Started!B55="W","W","A")</f>
        <v>A</v>
      </c>
      <c r="F402" s="2" t="e">
        <f>VLOOKUP(JudgeD2CSS,Judges!$A$2:$B$44,2,FALSE)</f>
        <v>#N/A</v>
      </c>
      <c r="G402" t="str">
        <f>Started!I55</f>
        <v/>
      </c>
    </row>
    <row r="403" spans="1:7" x14ac:dyDescent="0.25">
      <c r="A403">
        <f t="shared" si="10"/>
        <v>0</v>
      </c>
      <c r="B403" t="s">
        <v>15</v>
      </c>
      <c r="C403">
        <f>Started!C56</f>
        <v>0</v>
      </c>
      <c r="D403">
        <f>IF(Started!I56="Pass",Started!G56,0)</f>
        <v>0</v>
      </c>
      <c r="E403" s="2" t="str">
        <f>IF(Started!B56="W","W","A")</f>
        <v>A</v>
      </c>
      <c r="F403" s="2" t="e">
        <f>VLOOKUP(JudgeD2CSS,Judges!$A$2:$B$44,2,FALSE)</f>
        <v>#N/A</v>
      </c>
      <c r="G403" t="str">
        <f>Started!I56</f>
        <v/>
      </c>
    </row>
    <row r="404" spans="1:7" x14ac:dyDescent="0.25">
      <c r="A404">
        <f t="shared" si="10"/>
        <v>0</v>
      </c>
      <c r="B404" t="s">
        <v>15</v>
      </c>
      <c r="C404">
        <f>Started!C57</f>
        <v>0</v>
      </c>
      <c r="D404">
        <f>IF(Started!I57="Pass",Started!G57,0)</f>
        <v>0</v>
      </c>
      <c r="E404" s="2" t="str">
        <f>IF(Started!B57="W","W","A")</f>
        <v>A</v>
      </c>
      <c r="F404" s="2" t="e">
        <f>VLOOKUP(JudgeD2CSS,Judges!$A$2:$B$44,2,FALSE)</f>
        <v>#N/A</v>
      </c>
      <c r="G404" t="str">
        <f>Started!I57</f>
        <v/>
      </c>
    </row>
    <row r="405" spans="1:7" x14ac:dyDescent="0.25">
      <c r="A405">
        <f t="shared" si="10"/>
        <v>0</v>
      </c>
      <c r="B405" t="s">
        <v>15</v>
      </c>
      <c r="C405">
        <f>Started!C58</f>
        <v>0</v>
      </c>
      <c r="D405">
        <f>IF(Started!I58="Pass",Started!G58,0)</f>
        <v>0</v>
      </c>
      <c r="E405" s="2" t="str">
        <f>IF(Started!B58="W","W","A")</f>
        <v>A</v>
      </c>
      <c r="F405" s="2" t="e">
        <f>VLOOKUP(JudgeD2CSS,Judges!$A$2:$B$44,2,FALSE)</f>
        <v>#N/A</v>
      </c>
      <c r="G405" t="str">
        <f>Started!I58</f>
        <v/>
      </c>
    </row>
    <row r="406" spans="1:7" x14ac:dyDescent="0.25">
      <c r="A406">
        <f t="shared" si="10"/>
        <v>0</v>
      </c>
      <c r="B406" t="s">
        <v>15</v>
      </c>
      <c r="C406">
        <f>Started!C59</f>
        <v>0</v>
      </c>
      <c r="D406">
        <f>IF(Started!I59="Pass",Started!G59,0)</f>
        <v>0</v>
      </c>
      <c r="E406" s="2" t="str">
        <f>IF(Started!B59="W","W","A")</f>
        <v>A</v>
      </c>
      <c r="F406" s="2" t="e">
        <f>VLOOKUP(JudgeD2CSS,Judges!$A$2:$B$44,2,FALSE)</f>
        <v>#N/A</v>
      </c>
      <c r="G406" t="str">
        <f>Started!I59</f>
        <v/>
      </c>
    </row>
    <row r="407" spans="1:7" x14ac:dyDescent="0.25">
      <c r="A407">
        <f t="shared" si="10"/>
        <v>0</v>
      </c>
      <c r="B407" t="s">
        <v>15</v>
      </c>
      <c r="C407">
        <f>Started!C60</f>
        <v>0</v>
      </c>
      <c r="D407">
        <f>IF(Started!I60="Pass",Started!G60,0)</f>
        <v>0</v>
      </c>
      <c r="E407" s="2" t="str">
        <f>IF(Started!B60="W","W","A")</f>
        <v>A</v>
      </c>
      <c r="F407" s="2" t="e">
        <f>VLOOKUP(JudgeD2CSS,Judges!$A$2:$B$44,2,FALSE)</f>
        <v>#N/A</v>
      </c>
      <c r="G407" t="str">
        <f>Started!I60</f>
        <v/>
      </c>
    </row>
    <row r="408" spans="1:7" x14ac:dyDescent="0.25">
      <c r="A408">
        <f t="shared" si="10"/>
        <v>0</v>
      </c>
      <c r="B408" t="s">
        <v>15</v>
      </c>
      <c r="C408">
        <f>Started!C61</f>
        <v>0</v>
      </c>
      <c r="D408">
        <f>IF(Started!I61="Pass",Started!G61,0)</f>
        <v>0</v>
      </c>
      <c r="E408" s="2" t="str">
        <f>IF(Started!B61="W","W","A")</f>
        <v>A</v>
      </c>
      <c r="F408" s="2" t="e">
        <f>VLOOKUP(JudgeD2CSS,Judges!$A$2:$B$44,2,FALSE)</f>
        <v>#N/A</v>
      </c>
      <c r="G408" t="str">
        <f>Started!I61</f>
        <v/>
      </c>
    </row>
    <row r="409" spans="1:7" x14ac:dyDescent="0.25">
      <c r="A409">
        <f t="shared" si="10"/>
        <v>0</v>
      </c>
      <c r="B409" t="s">
        <v>15</v>
      </c>
      <c r="C409">
        <f>Started!C62</f>
        <v>0</v>
      </c>
      <c r="D409">
        <f>IF(Started!I62="Pass",Started!G62,0)</f>
        <v>0</v>
      </c>
      <c r="E409" s="2" t="str">
        <f>IF(Started!B62="W","W","A")</f>
        <v>A</v>
      </c>
      <c r="F409" s="2" t="e">
        <f>VLOOKUP(JudgeD2CSS,Judges!$A$2:$B$44,2,FALSE)</f>
        <v>#N/A</v>
      </c>
      <c r="G409" t="str">
        <f>Started!I62</f>
        <v/>
      </c>
    </row>
    <row r="410" spans="1:7" x14ac:dyDescent="0.25">
      <c r="A410">
        <f t="shared" si="10"/>
        <v>0</v>
      </c>
      <c r="B410" t="s">
        <v>15</v>
      </c>
      <c r="C410">
        <f>Started!C63</f>
        <v>0</v>
      </c>
      <c r="D410">
        <f>IF(Started!I63="Pass",Started!G63,0)</f>
        <v>0</v>
      </c>
      <c r="E410" s="2" t="str">
        <f>IF(Started!B63="W","W","A")</f>
        <v>A</v>
      </c>
      <c r="F410" s="2" t="e">
        <f>VLOOKUP(JudgeD2CSS,Judges!$A$2:$B$44,2,FALSE)</f>
        <v>#N/A</v>
      </c>
      <c r="G410" t="str">
        <f>Started!I63</f>
        <v/>
      </c>
    </row>
    <row r="411" spans="1:7" x14ac:dyDescent="0.25">
      <c r="A411">
        <f t="shared" si="10"/>
        <v>0</v>
      </c>
      <c r="B411" t="s">
        <v>15</v>
      </c>
      <c r="C411">
        <f>Started!C64</f>
        <v>0</v>
      </c>
      <c r="D411">
        <f>IF(Started!I64="Pass",Started!G64,0)</f>
        <v>0</v>
      </c>
      <c r="E411" s="2" t="str">
        <f>IF(Started!B64="W","W","A")</f>
        <v>A</v>
      </c>
      <c r="F411" s="2" t="e">
        <f>VLOOKUP(JudgeD2CSS,Judges!$A$2:$B$44,2,FALSE)</f>
        <v>#N/A</v>
      </c>
      <c r="G411" t="str">
        <f>Started!I64</f>
        <v/>
      </c>
    </row>
    <row r="412" spans="1:7" x14ac:dyDescent="0.25">
      <c r="A412">
        <f t="shared" si="10"/>
        <v>0</v>
      </c>
      <c r="B412" t="s">
        <v>15</v>
      </c>
      <c r="C412">
        <f>Started!C65</f>
        <v>0</v>
      </c>
      <c r="D412">
        <f>IF(Started!I65="Pass",Started!G65,0)</f>
        <v>0</v>
      </c>
      <c r="E412" s="2" t="str">
        <f>IF(Started!B65="W","W","A")</f>
        <v>A</v>
      </c>
      <c r="F412" s="2" t="e">
        <f>VLOOKUP(JudgeD2CSS,Judges!$A$2:$B$44,2,FALSE)</f>
        <v>#N/A</v>
      </c>
      <c r="G412" t="str">
        <f>Started!I65</f>
        <v/>
      </c>
    </row>
    <row r="413" spans="1:7" x14ac:dyDescent="0.25">
      <c r="A413">
        <f t="shared" si="10"/>
        <v>0</v>
      </c>
      <c r="B413" t="s">
        <v>15</v>
      </c>
      <c r="C413">
        <f>Started!C66</f>
        <v>0</v>
      </c>
      <c r="D413">
        <f>IF(Started!I66="Pass",Started!G66,0)</f>
        <v>0</v>
      </c>
      <c r="E413" s="2" t="str">
        <f>IF(Started!B66="W","W","A")</f>
        <v>A</v>
      </c>
      <c r="F413" s="2" t="e">
        <f>VLOOKUP(JudgeD2CSS,Judges!$A$2:$B$44,2,FALSE)</f>
        <v>#N/A</v>
      </c>
      <c r="G413" t="str">
        <f>Started!I66</f>
        <v/>
      </c>
    </row>
    <row r="414" spans="1:7" x14ac:dyDescent="0.25">
      <c r="A414">
        <f t="shared" si="10"/>
        <v>0</v>
      </c>
      <c r="B414" t="s">
        <v>15</v>
      </c>
      <c r="C414">
        <f>Started!C67</f>
        <v>0</v>
      </c>
      <c r="D414">
        <f>IF(Started!I67="Pass",Started!G67,0)</f>
        <v>0</v>
      </c>
      <c r="E414" s="2" t="str">
        <f>IF(Started!B67="W","W","A")</f>
        <v>A</v>
      </c>
      <c r="F414" s="2" t="e">
        <f>VLOOKUP(JudgeD2CSS,Judges!$A$2:$B$44,2,FALSE)</f>
        <v>#N/A</v>
      </c>
      <c r="G414" t="str">
        <f>Started!I67</f>
        <v/>
      </c>
    </row>
    <row r="415" spans="1:7" x14ac:dyDescent="0.25">
      <c r="A415">
        <f t="shared" si="10"/>
        <v>0</v>
      </c>
      <c r="B415" t="s">
        <v>15</v>
      </c>
      <c r="C415">
        <f>Started!C68</f>
        <v>0</v>
      </c>
      <c r="D415">
        <f>IF(Started!I68="Pass",Started!G68,0)</f>
        <v>0</v>
      </c>
      <c r="E415" s="2" t="str">
        <f>IF(Started!B68="W","W","A")</f>
        <v>A</v>
      </c>
      <c r="F415" s="2" t="e">
        <f>VLOOKUP(JudgeD2CSS,Judges!$A$2:$B$44,2,FALSE)</f>
        <v>#N/A</v>
      </c>
      <c r="G415" t="str">
        <f>Started!I68</f>
        <v/>
      </c>
    </row>
    <row r="416" spans="1:7" x14ac:dyDescent="0.25">
      <c r="A416">
        <f t="shared" si="10"/>
        <v>0</v>
      </c>
      <c r="B416" t="s">
        <v>15</v>
      </c>
      <c r="C416">
        <f>Started!C69</f>
        <v>0</v>
      </c>
      <c r="D416">
        <f>IF(Started!I69="Pass",Started!G69,0)</f>
        <v>0</v>
      </c>
      <c r="E416" s="2" t="str">
        <f>IF(Started!B69="W","W","A")</f>
        <v>A</v>
      </c>
      <c r="F416" s="2" t="e">
        <f>VLOOKUP(JudgeD2CSS,Judges!$A$2:$B$44,2,FALSE)</f>
        <v>#N/A</v>
      </c>
      <c r="G416" t="str">
        <f>Started!I69</f>
        <v/>
      </c>
    </row>
    <row r="417" spans="1:7" x14ac:dyDescent="0.25">
      <c r="A417">
        <f t="shared" si="10"/>
        <v>0</v>
      </c>
      <c r="B417" t="s">
        <v>15</v>
      </c>
      <c r="C417">
        <f>Started!C70</f>
        <v>0</v>
      </c>
      <c r="D417">
        <f>IF(Started!I70="Pass",Started!G70,0)</f>
        <v>0</v>
      </c>
      <c r="E417" s="2" t="str">
        <f>IF(Started!B70="W","W","A")</f>
        <v>A</v>
      </c>
      <c r="F417" s="2" t="e">
        <f>VLOOKUP(JudgeD2CSS,Judges!$A$2:$B$44,2,FALSE)</f>
        <v>#N/A</v>
      </c>
      <c r="G417" t="str">
        <f>Started!I70</f>
        <v/>
      </c>
    </row>
    <row r="418" spans="1:7" x14ac:dyDescent="0.25">
      <c r="A418">
        <f t="shared" si="10"/>
        <v>0</v>
      </c>
      <c r="B418" t="s">
        <v>15</v>
      </c>
      <c r="C418">
        <f>Started!C71</f>
        <v>0</v>
      </c>
      <c r="D418">
        <f>IF(Started!I71="Pass",Started!G71,0)</f>
        <v>0</v>
      </c>
      <c r="E418" s="2" t="str">
        <f>IF(Started!B71="W","W","A")</f>
        <v>A</v>
      </c>
      <c r="F418" s="2" t="e">
        <f>VLOOKUP(JudgeD2CSS,Judges!$A$2:$B$44,2,FALSE)</f>
        <v>#N/A</v>
      </c>
      <c r="G418" t="str">
        <f>Started!I71</f>
        <v/>
      </c>
    </row>
    <row r="419" spans="1:7" x14ac:dyDescent="0.25">
      <c r="A419">
        <f t="shared" si="10"/>
        <v>0</v>
      </c>
      <c r="B419" t="s">
        <v>15</v>
      </c>
      <c r="C419">
        <f>Started!C72</f>
        <v>0</v>
      </c>
      <c r="D419">
        <f>IF(Started!I72="Pass",Started!G72,0)</f>
        <v>0</v>
      </c>
      <c r="E419" s="2" t="str">
        <f>IF(Started!B72="W","W","A")</f>
        <v>A</v>
      </c>
      <c r="F419" s="2" t="e">
        <f>VLOOKUP(JudgeD2CSS,Judges!$A$2:$B$44,2,FALSE)</f>
        <v>#N/A</v>
      </c>
      <c r="G419" t="str">
        <f>Started!I72</f>
        <v/>
      </c>
    </row>
    <row r="420" spans="1:7" x14ac:dyDescent="0.25">
      <c r="A420">
        <f t="shared" si="10"/>
        <v>0</v>
      </c>
      <c r="B420" t="s">
        <v>15</v>
      </c>
      <c r="C420">
        <f>Started!C73</f>
        <v>0</v>
      </c>
      <c r="D420">
        <f>IF(Started!I73="Pass",Started!G73,0)</f>
        <v>0</v>
      </c>
      <c r="E420" s="2" t="str">
        <f>IF(Started!B73="W","W","A")</f>
        <v>A</v>
      </c>
      <c r="F420" s="2" t="e">
        <f>VLOOKUP(JudgeD2CSS,Judges!$A$2:$B$44,2,FALSE)</f>
        <v>#N/A</v>
      </c>
      <c r="G420" t="str">
        <f>Started!I73</f>
        <v/>
      </c>
    </row>
    <row r="421" spans="1:7" x14ac:dyDescent="0.25">
      <c r="A421">
        <f t="shared" si="10"/>
        <v>0</v>
      </c>
      <c r="B421" t="s">
        <v>15</v>
      </c>
      <c r="C421">
        <f>Started!C74</f>
        <v>0</v>
      </c>
      <c r="D421">
        <f>IF(Started!I74="Pass",Started!G74,0)</f>
        <v>0</v>
      </c>
      <c r="E421" s="2" t="str">
        <f>IF(Started!B74="W","W","A")</f>
        <v>A</v>
      </c>
      <c r="F421" s="2" t="e">
        <f>VLOOKUP(JudgeD2CSS,Judges!$A$2:$B$44,2,FALSE)</f>
        <v>#N/A</v>
      </c>
      <c r="G421" t="str">
        <f>Started!I74</f>
        <v/>
      </c>
    </row>
    <row r="422" spans="1:7" x14ac:dyDescent="0.25">
      <c r="A422">
        <f t="shared" si="10"/>
        <v>0</v>
      </c>
      <c r="B422" t="s">
        <v>16</v>
      </c>
      <c r="C422">
        <f>Started!C45</f>
        <v>0</v>
      </c>
      <c r="D422">
        <f>IF(Started!Q45="Pass",Started!O45,0)</f>
        <v>0</v>
      </c>
      <c r="E422" s="2" t="str">
        <f>IF(Started!B45="W","W","A")</f>
        <v>A</v>
      </c>
      <c r="F422" s="2" t="e">
        <f>VLOOKUP(JudgeD2ISS,Judges!$A$2:$B$44,2,FALSE)</f>
        <v>#N/A</v>
      </c>
      <c r="G422" t="str">
        <f>Started!Q45</f>
        <v/>
      </c>
    </row>
    <row r="423" spans="1:7" x14ac:dyDescent="0.25">
      <c r="A423">
        <f t="shared" si="10"/>
        <v>0</v>
      </c>
      <c r="B423" t="s">
        <v>16</v>
      </c>
      <c r="C423">
        <f>Started!C46</f>
        <v>0</v>
      </c>
      <c r="D423">
        <f>IF(Started!Q46="Pass",Started!O46,0)</f>
        <v>0</v>
      </c>
      <c r="E423" s="2" t="str">
        <f>IF(Started!B46="W","W","A")</f>
        <v>A</v>
      </c>
      <c r="F423" s="2" t="e">
        <f>VLOOKUP(JudgeD2ISS,Judges!$A$2:$B$44,2,FALSE)</f>
        <v>#N/A</v>
      </c>
      <c r="G423" t="str">
        <f>Started!Q46</f>
        <v/>
      </c>
    </row>
    <row r="424" spans="1:7" x14ac:dyDescent="0.25">
      <c r="A424">
        <f t="shared" si="10"/>
        <v>0</v>
      </c>
      <c r="B424" t="s">
        <v>16</v>
      </c>
      <c r="C424">
        <f>Started!C47</f>
        <v>0</v>
      </c>
      <c r="D424">
        <f>IF(Started!Q47="Pass",Started!O47,0)</f>
        <v>0</v>
      </c>
      <c r="E424" s="2" t="str">
        <f>IF(Started!B47="W","W","A")</f>
        <v>A</v>
      </c>
      <c r="F424" s="2" t="e">
        <f>VLOOKUP(JudgeD2ISS,Judges!$A$2:$B$44,2,FALSE)</f>
        <v>#N/A</v>
      </c>
      <c r="G424" t="str">
        <f>Started!Q47</f>
        <v/>
      </c>
    </row>
    <row r="425" spans="1:7" x14ac:dyDescent="0.25">
      <c r="A425">
        <f t="shared" si="10"/>
        <v>0</v>
      </c>
      <c r="B425" t="s">
        <v>16</v>
      </c>
      <c r="C425">
        <f>Started!C48</f>
        <v>0</v>
      </c>
      <c r="D425">
        <f>IF(Started!Q48="Pass",Started!O48,0)</f>
        <v>0</v>
      </c>
      <c r="E425" s="2" t="str">
        <f>IF(Started!B48="W","W","A")</f>
        <v>A</v>
      </c>
      <c r="F425" s="2" t="e">
        <f>VLOOKUP(JudgeD2ISS,Judges!$A$2:$B$44,2,FALSE)</f>
        <v>#N/A</v>
      </c>
      <c r="G425" t="str">
        <f>Started!Q48</f>
        <v/>
      </c>
    </row>
    <row r="426" spans="1:7" x14ac:dyDescent="0.25">
      <c r="A426">
        <f t="shared" si="10"/>
        <v>0</v>
      </c>
      <c r="B426" t="s">
        <v>16</v>
      </c>
      <c r="C426">
        <f>Started!C49</f>
        <v>0</v>
      </c>
      <c r="D426">
        <f>IF(Started!Q49="Pass",Started!O49,0)</f>
        <v>0</v>
      </c>
      <c r="E426" s="2" t="str">
        <f>IF(Started!B49="W","W","A")</f>
        <v>A</v>
      </c>
      <c r="F426" s="2" t="e">
        <f>VLOOKUP(JudgeD2ISS,Judges!$A$2:$B$44,2,FALSE)</f>
        <v>#N/A</v>
      </c>
      <c r="G426" t="str">
        <f>Started!Q49</f>
        <v/>
      </c>
    </row>
    <row r="427" spans="1:7" x14ac:dyDescent="0.25">
      <c r="A427">
        <f t="shared" si="10"/>
        <v>0</v>
      </c>
      <c r="B427" t="s">
        <v>16</v>
      </c>
      <c r="C427">
        <f>Started!C50</f>
        <v>0</v>
      </c>
      <c r="D427">
        <f>IF(Started!Q50="Pass",Started!O50,0)</f>
        <v>0</v>
      </c>
      <c r="E427" s="2" t="str">
        <f>IF(Started!B50="W","W","A")</f>
        <v>A</v>
      </c>
      <c r="F427" s="2" t="e">
        <f>VLOOKUP(JudgeD2ISS,Judges!$A$2:$B$44,2,FALSE)</f>
        <v>#N/A</v>
      </c>
      <c r="G427" t="str">
        <f>Started!Q50</f>
        <v/>
      </c>
    </row>
    <row r="428" spans="1:7" x14ac:dyDescent="0.25">
      <c r="A428">
        <f t="shared" si="10"/>
        <v>0</v>
      </c>
      <c r="B428" t="s">
        <v>16</v>
      </c>
      <c r="C428">
        <f>Started!C51</f>
        <v>0</v>
      </c>
      <c r="D428">
        <f>IF(Started!Q51="Pass",Started!O51,0)</f>
        <v>0</v>
      </c>
      <c r="E428" s="2" t="str">
        <f>IF(Started!B51="W","W","A")</f>
        <v>A</v>
      </c>
      <c r="F428" s="2" t="e">
        <f>VLOOKUP(JudgeD2ISS,Judges!$A$2:$B$44,2,FALSE)</f>
        <v>#N/A</v>
      </c>
      <c r="G428" t="str">
        <f>Started!Q51</f>
        <v/>
      </c>
    </row>
    <row r="429" spans="1:7" x14ac:dyDescent="0.25">
      <c r="A429">
        <f t="shared" si="10"/>
        <v>0</v>
      </c>
      <c r="B429" t="s">
        <v>16</v>
      </c>
      <c r="C429">
        <f>Started!C52</f>
        <v>0</v>
      </c>
      <c r="D429">
        <f>IF(Started!Q52="Pass",Started!O52,0)</f>
        <v>0</v>
      </c>
      <c r="E429" s="2" t="str">
        <f>IF(Started!B52="W","W","A")</f>
        <v>A</v>
      </c>
      <c r="F429" s="2" t="e">
        <f>VLOOKUP(JudgeD2ISS,Judges!$A$2:$B$44,2,FALSE)</f>
        <v>#N/A</v>
      </c>
      <c r="G429" t="str">
        <f>Started!Q52</f>
        <v/>
      </c>
    </row>
    <row r="430" spans="1:7" x14ac:dyDescent="0.25">
      <c r="A430">
        <f t="shared" si="10"/>
        <v>0</v>
      </c>
      <c r="B430" t="s">
        <v>16</v>
      </c>
      <c r="C430">
        <f>Started!C53</f>
        <v>0</v>
      </c>
      <c r="D430">
        <f>IF(Started!Q53="Pass",Started!O53,0)</f>
        <v>0</v>
      </c>
      <c r="E430" s="2" t="str">
        <f>IF(Started!B53="W","W","A")</f>
        <v>A</v>
      </c>
      <c r="F430" s="2" t="e">
        <f>VLOOKUP(JudgeD2ISS,Judges!$A$2:$B$44,2,FALSE)</f>
        <v>#N/A</v>
      </c>
      <c r="G430" t="str">
        <f>Started!Q53</f>
        <v/>
      </c>
    </row>
    <row r="431" spans="1:7" x14ac:dyDescent="0.25">
      <c r="A431">
        <f t="shared" si="10"/>
        <v>0</v>
      </c>
      <c r="B431" t="s">
        <v>16</v>
      </c>
      <c r="C431">
        <f>Started!C54</f>
        <v>0</v>
      </c>
      <c r="D431">
        <f>IF(Started!Q54="Pass",Started!O54,0)</f>
        <v>0</v>
      </c>
      <c r="E431" s="2" t="str">
        <f>IF(Started!B54="W","W","A")</f>
        <v>A</v>
      </c>
      <c r="F431" s="2" t="e">
        <f>VLOOKUP(JudgeD2ISS,Judges!$A$2:$B$44,2,FALSE)</f>
        <v>#N/A</v>
      </c>
      <c r="G431" t="str">
        <f>Started!Q54</f>
        <v/>
      </c>
    </row>
    <row r="432" spans="1:7" x14ac:dyDescent="0.25">
      <c r="A432">
        <f t="shared" si="10"/>
        <v>0</v>
      </c>
      <c r="B432" t="s">
        <v>16</v>
      </c>
      <c r="C432">
        <f>Started!C55</f>
        <v>0</v>
      </c>
      <c r="D432">
        <f>IF(Started!Q55="Pass",Started!O55,0)</f>
        <v>0</v>
      </c>
      <c r="E432" s="2" t="str">
        <f>IF(Started!B55="W","W","A")</f>
        <v>A</v>
      </c>
      <c r="F432" s="2" t="e">
        <f>VLOOKUP(JudgeD2ISS,Judges!$A$2:$B$44,2,FALSE)</f>
        <v>#N/A</v>
      </c>
      <c r="G432" t="str">
        <f>Started!Q55</f>
        <v/>
      </c>
    </row>
    <row r="433" spans="1:7" x14ac:dyDescent="0.25">
      <c r="A433">
        <f t="shared" si="10"/>
        <v>0</v>
      </c>
      <c r="B433" t="s">
        <v>16</v>
      </c>
      <c r="C433">
        <f>Started!C56</f>
        <v>0</v>
      </c>
      <c r="D433">
        <f>IF(Started!Q56="Pass",Started!O56,0)</f>
        <v>0</v>
      </c>
      <c r="E433" s="2" t="str">
        <f>IF(Started!B56="W","W","A")</f>
        <v>A</v>
      </c>
      <c r="F433" s="2" t="e">
        <f>VLOOKUP(JudgeD2ISS,Judges!$A$2:$B$44,2,FALSE)</f>
        <v>#N/A</v>
      </c>
      <c r="G433" t="str">
        <f>Started!Q56</f>
        <v/>
      </c>
    </row>
    <row r="434" spans="1:7" x14ac:dyDescent="0.25">
      <c r="A434">
        <f t="shared" si="10"/>
        <v>0</v>
      </c>
      <c r="B434" t="s">
        <v>16</v>
      </c>
      <c r="C434">
        <f>Started!C57</f>
        <v>0</v>
      </c>
      <c r="D434">
        <f>IF(Started!Q57="Pass",Started!O57,0)</f>
        <v>0</v>
      </c>
      <c r="E434" s="2" t="str">
        <f>IF(Started!B57="W","W","A")</f>
        <v>A</v>
      </c>
      <c r="F434" s="2" t="e">
        <f>VLOOKUP(JudgeD2ISS,Judges!$A$2:$B$44,2,FALSE)</f>
        <v>#N/A</v>
      </c>
      <c r="G434" t="str">
        <f>Started!Q57</f>
        <v/>
      </c>
    </row>
    <row r="435" spans="1:7" x14ac:dyDescent="0.25">
      <c r="A435">
        <f t="shared" si="10"/>
        <v>0</v>
      </c>
      <c r="B435" t="s">
        <v>16</v>
      </c>
      <c r="C435">
        <f>Started!C58</f>
        <v>0</v>
      </c>
      <c r="D435">
        <f>IF(Started!Q58="Pass",Started!O58,0)</f>
        <v>0</v>
      </c>
      <c r="E435" s="2" t="str">
        <f>IF(Started!B58="W","W","A")</f>
        <v>A</v>
      </c>
      <c r="F435" s="2" t="e">
        <f>VLOOKUP(JudgeD2ISS,Judges!$A$2:$B$44,2,FALSE)</f>
        <v>#N/A</v>
      </c>
      <c r="G435" t="str">
        <f>Started!Q58</f>
        <v/>
      </c>
    </row>
    <row r="436" spans="1:7" x14ac:dyDescent="0.25">
      <c r="A436">
        <f t="shared" si="10"/>
        <v>0</v>
      </c>
      <c r="B436" t="s">
        <v>16</v>
      </c>
      <c r="C436">
        <f>Started!C59</f>
        <v>0</v>
      </c>
      <c r="D436">
        <f>IF(Started!Q59="Pass",Started!O59,0)</f>
        <v>0</v>
      </c>
      <c r="E436" s="2" t="str">
        <f>IF(Started!B59="W","W","A")</f>
        <v>A</v>
      </c>
      <c r="F436" s="2" t="e">
        <f>VLOOKUP(JudgeD2ISS,Judges!$A$2:$B$44,2,FALSE)</f>
        <v>#N/A</v>
      </c>
      <c r="G436" t="str">
        <f>Started!Q59</f>
        <v/>
      </c>
    </row>
    <row r="437" spans="1:7" x14ac:dyDescent="0.25">
      <c r="A437">
        <f t="shared" si="10"/>
        <v>0</v>
      </c>
      <c r="B437" t="s">
        <v>16</v>
      </c>
      <c r="C437">
        <f>Started!C60</f>
        <v>0</v>
      </c>
      <c r="D437">
        <f>IF(Started!Q60="Pass",Started!O60,0)</f>
        <v>0</v>
      </c>
      <c r="E437" s="2" t="str">
        <f>IF(Started!B60="W","W","A")</f>
        <v>A</v>
      </c>
      <c r="F437" s="2" t="e">
        <f>VLOOKUP(JudgeD2ISS,Judges!$A$2:$B$44,2,FALSE)</f>
        <v>#N/A</v>
      </c>
      <c r="G437" t="str">
        <f>Started!Q60</f>
        <v/>
      </c>
    </row>
    <row r="438" spans="1:7" x14ac:dyDescent="0.25">
      <c r="A438">
        <f t="shared" si="10"/>
        <v>0</v>
      </c>
      <c r="B438" t="s">
        <v>16</v>
      </c>
      <c r="C438">
        <f>Started!C61</f>
        <v>0</v>
      </c>
      <c r="D438">
        <f>IF(Started!Q61="Pass",Started!O61,0)</f>
        <v>0</v>
      </c>
      <c r="E438" s="2" t="str">
        <f>IF(Started!B61="W","W","A")</f>
        <v>A</v>
      </c>
      <c r="F438" s="2" t="e">
        <f>VLOOKUP(JudgeD2ISS,Judges!$A$2:$B$44,2,FALSE)</f>
        <v>#N/A</v>
      </c>
      <c r="G438" t="str">
        <f>Started!Q61</f>
        <v/>
      </c>
    </row>
    <row r="439" spans="1:7" x14ac:dyDescent="0.25">
      <c r="A439">
        <f t="shared" si="10"/>
        <v>0</v>
      </c>
      <c r="B439" t="s">
        <v>16</v>
      </c>
      <c r="C439">
        <f>Started!C62</f>
        <v>0</v>
      </c>
      <c r="D439">
        <f>IF(Started!Q62="Pass",Started!O62,0)</f>
        <v>0</v>
      </c>
      <c r="E439" s="2" t="str">
        <f>IF(Started!B62="W","W","A")</f>
        <v>A</v>
      </c>
      <c r="F439" s="2" t="e">
        <f>VLOOKUP(JudgeD2ISS,Judges!$A$2:$B$44,2,FALSE)</f>
        <v>#N/A</v>
      </c>
      <c r="G439" t="str">
        <f>Started!Q62</f>
        <v/>
      </c>
    </row>
    <row r="440" spans="1:7" x14ac:dyDescent="0.25">
      <c r="A440">
        <f t="shared" si="10"/>
        <v>0</v>
      </c>
      <c r="B440" t="s">
        <v>16</v>
      </c>
      <c r="C440">
        <f>Started!C63</f>
        <v>0</v>
      </c>
      <c r="D440">
        <f>IF(Started!Q63="Pass",Started!O63,0)</f>
        <v>0</v>
      </c>
      <c r="E440" s="2" t="str">
        <f>IF(Started!B63="W","W","A")</f>
        <v>A</v>
      </c>
      <c r="F440" s="2" t="e">
        <f>VLOOKUP(JudgeD2ISS,Judges!$A$2:$B$44,2,FALSE)</f>
        <v>#N/A</v>
      </c>
      <c r="G440" t="str">
        <f>Started!Q63</f>
        <v/>
      </c>
    </row>
    <row r="441" spans="1:7" x14ac:dyDescent="0.25">
      <c r="A441">
        <f t="shared" si="10"/>
        <v>0</v>
      </c>
      <c r="B441" t="s">
        <v>16</v>
      </c>
      <c r="C441">
        <f>Started!C64</f>
        <v>0</v>
      </c>
      <c r="D441">
        <f>IF(Started!Q64="Pass",Started!O64,0)</f>
        <v>0</v>
      </c>
      <c r="E441" s="2" t="str">
        <f>IF(Started!B64="W","W","A")</f>
        <v>A</v>
      </c>
      <c r="F441" s="2" t="e">
        <f>VLOOKUP(JudgeD2ISS,Judges!$A$2:$B$44,2,FALSE)</f>
        <v>#N/A</v>
      </c>
      <c r="G441" t="str">
        <f>Started!Q64</f>
        <v/>
      </c>
    </row>
    <row r="442" spans="1:7" x14ac:dyDescent="0.25">
      <c r="A442">
        <f t="shared" si="10"/>
        <v>0</v>
      </c>
      <c r="B442" t="s">
        <v>16</v>
      </c>
      <c r="C442">
        <f>Started!C65</f>
        <v>0</v>
      </c>
      <c r="D442">
        <f>IF(Started!Q65="Pass",Started!O65,0)</f>
        <v>0</v>
      </c>
      <c r="E442" s="2" t="str">
        <f>IF(Started!B65="W","W","A")</f>
        <v>A</v>
      </c>
      <c r="F442" s="2" t="e">
        <f>VLOOKUP(JudgeD2ISS,Judges!$A$2:$B$44,2,FALSE)</f>
        <v>#N/A</v>
      </c>
      <c r="G442" t="str">
        <f>Started!Q65</f>
        <v/>
      </c>
    </row>
    <row r="443" spans="1:7" x14ac:dyDescent="0.25">
      <c r="A443">
        <f t="shared" si="10"/>
        <v>0</v>
      </c>
      <c r="B443" t="s">
        <v>16</v>
      </c>
      <c r="C443">
        <f>Started!C66</f>
        <v>0</v>
      </c>
      <c r="D443">
        <f>IF(Started!Q66="Pass",Started!O66,0)</f>
        <v>0</v>
      </c>
      <c r="E443" s="2" t="str">
        <f>IF(Started!B66="W","W","A")</f>
        <v>A</v>
      </c>
      <c r="F443" s="2" t="e">
        <f>VLOOKUP(JudgeD2ISS,Judges!$A$2:$B$44,2,FALSE)</f>
        <v>#N/A</v>
      </c>
      <c r="G443" t="str">
        <f>Started!Q66</f>
        <v/>
      </c>
    </row>
    <row r="444" spans="1:7" x14ac:dyDescent="0.25">
      <c r="A444">
        <f t="shared" si="10"/>
        <v>0</v>
      </c>
      <c r="B444" t="s">
        <v>16</v>
      </c>
      <c r="C444">
        <f>Started!C67</f>
        <v>0</v>
      </c>
      <c r="D444">
        <f>IF(Started!Q67="Pass",Started!O67,0)</f>
        <v>0</v>
      </c>
      <c r="E444" s="2" t="str">
        <f>IF(Started!B67="W","W","A")</f>
        <v>A</v>
      </c>
      <c r="F444" s="2" t="e">
        <f>VLOOKUP(JudgeD2ISS,Judges!$A$2:$B$44,2,FALSE)</f>
        <v>#N/A</v>
      </c>
      <c r="G444" t="str">
        <f>Started!Q67</f>
        <v/>
      </c>
    </row>
    <row r="445" spans="1:7" x14ac:dyDescent="0.25">
      <c r="A445">
        <f t="shared" si="10"/>
        <v>0</v>
      </c>
      <c r="B445" t="s">
        <v>16</v>
      </c>
      <c r="C445">
        <f>Started!C68</f>
        <v>0</v>
      </c>
      <c r="D445">
        <f>IF(Started!Q68="Pass",Started!O68,0)</f>
        <v>0</v>
      </c>
      <c r="E445" s="2" t="str">
        <f>IF(Started!B68="W","W","A")</f>
        <v>A</v>
      </c>
      <c r="F445" s="2" t="e">
        <f>VLOOKUP(JudgeD2ISS,Judges!$A$2:$B$44,2,FALSE)</f>
        <v>#N/A</v>
      </c>
      <c r="G445" t="str">
        <f>Started!Q68</f>
        <v/>
      </c>
    </row>
    <row r="446" spans="1:7" x14ac:dyDescent="0.25">
      <c r="A446">
        <f t="shared" si="10"/>
        <v>0</v>
      </c>
      <c r="B446" t="s">
        <v>16</v>
      </c>
      <c r="C446">
        <f>Started!C69</f>
        <v>0</v>
      </c>
      <c r="D446">
        <f>IF(Started!Q69="Pass",Started!O69,0)</f>
        <v>0</v>
      </c>
      <c r="E446" s="2" t="str">
        <f>IF(Started!B69="W","W","A")</f>
        <v>A</v>
      </c>
      <c r="F446" s="2" t="e">
        <f>VLOOKUP(JudgeD2ISS,Judges!$A$2:$B$44,2,FALSE)</f>
        <v>#N/A</v>
      </c>
      <c r="G446" t="str">
        <f>Started!Q69</f>
        <v/>
      </c>
    </row>
    <row r="447" spans="1:7" x14ac:dyDescent="0.25">
      <c r="A447">
        <f t="shared" si="10"/>
        <v>0</v>
      </c>
      <c r="B447" t="s">
        <v>16</v>
      </c>
      <c r="C447">
        <f>Started!C70</f>
        <v>0</v>
      </c>
      <c r="D447">
        <f>IF(Started!Q70="Pass",Started!O70,0)</f>
        <v>0</v>
      </c>
      <c r="E447" s="2" t="str">
        <f>IF(Started!B70="W","W","A")</f>
        <v>A</v>
      </c>
      <c r="F447" s="2" t="e">
        <f>VLOOKUP(JudgeD2ISS,Judges!$A$2:$B$44,2,FALSE)</f>
        <v>#N/A</v>
      </c>
      <c r="G447" t="str">
        <f>Started!Q70</f>
        <v/>
      </c>
    </row>
    <row r="448" spans="1:7" x14ac:dyDescent="0.25">
      <c r="A448">
        <f t="shared" si="10"/>
        <v>0</v>
      </c>
      <c r="B448" t="s">
        <v>16</v>
      </c>
      <c r="C448">
        <f>Started!C71</f>
        <v>0</v>
      </c>
      <c r="D448">
        <f>IF(Started!Q71="Pass",Started!O71,0)</f>
        <v>0</v>
      </c>
      <c r="E448" s="2" t="str">
        <f>IF(Started!B71="W","W","A")</f>
        <v>A</v>
      </c>
      <c r="F448" s="2" t="e">
        <f>VLOOKUP(JudgeD2ISS,Judges!$A$2:$B$44,2,FALSE)</f>
        <v>#N/A</v>
      </c>
      <c r="G448" t="str">
        <f>Started!Q71</f>
        <v/>
      </c>
    </row>
    <row r="449" spans="1:7" x14ac:dyDescent="0.25">
      <c r="A449">
        <f t="shared" si="10"/>
        <v>0</v>
      </c>
      <c r="B449" t="s">
        <v>16</v>
      </c>
      <c r="C449">
        <f>Started!C72</f>
        <v>0</v>
      </c>
      <c r="D449">
        <f>IF(Started!Q72="Pass",Started!O72,0)</f>
        <v>0</v>
      </c>
      <c r="E449" s="2" t="str">
        <f>IF(Started!B72="W","W","A")</f>
        <v>A</v>
      </c>
      <c r="F449" s="2" t="e">
        <f>VLOOKUP(JudgeD2ISS,Judges!$A$2:$B$44,2,FALSE)</f>
        <v>#N/A</v>
      </c>
      <c r="G449" t="str">
        <f>Started!Q72</f>
        <v/>
      </c>
    </row>
    <row r="450" spans="1:7" x14ac:dyDescent="0.25">
      <c r="A450">
        <f t="shared" si="10"/>
        <v>0</v>
      </c>
      <c r="B450" t="s">
        <v>16</v>
      </c>
      <c r="C450">
        <f>Started!C73</f>
        <v>0</v>
      </c>
      <c r="D450">
        <f>IF(Started!Q73="Pass",Started!O73,0)</f>
        <v>0</v>
      </c>
      <c r="E450" s="2" t="str">
        <f>IF(Started!B73="W","W","A")</f>
        <v>A</v>
      </c>
      <c r="F450" s="2" t="e">
        <f>VLOOKUP(JudgeD2ISS,Judges!$A$2:$B$44,2,FALSE)</f>
        <v>#N/A</v>
      </c>
      <c r="G450" t="str">
        <f>Started!Q73</f>
        <v/>
      </c>
    </row>
    <row r="451" spans="1:7" x14ac:dyDescent="0.25">
      <c r="A451">
        <f t="shared" si="10"/>
        <v>0</v>
      </c>
      <c r="B451" t="s">
        <v>16</v>
      </c>
      <c r="C451">
        <f>Started!C74</f>
        <v>0</v>
      </c>
      <c r="D451">
        <f>IF(Started!Q74="Pass",Started!O74,0)</f>
        <v>0</v>
      </c>
      <c r="E451" s="2" t="str">
        <f>IF(Started!B74="W","W","A")</f>
        <v>A</v>
      </c>
      <c r="F451" s="2" t="e">
        <f>VLOOKUP(JudgeD2ISS,Judges!$A$2:$B$44,2,FALSE)</f>
        <v>#N/A</v>
      </c>
      <c r="G451" t="str">
        <f>Started!Q74</f>
        <v/>
      </c>
    </row>
    <row r="452" spans="1:7" x14ac:dyDescent="0.25">
      <c r="A452">
        <f t="shared" si="10"/>
        <v>0</v>
      </c>
      <c r="B452" t="s">
        <v>17</v>
      </c>
      <c r="C452">
        <f>Started!C45</f>
        <v>0</v>
      </c>
      <c r="D452">
        <f>IF(Started!Y45="Pass",Started!W45,0)</f>
        <v>0</v>
      </c>
      <c r="E452" s="2" t="str">
        <f>IF(Started!B45="W","W","A")</f>
        <v>A</v>
      </c>
      <c r="F452" s="2" t="e">
        <f>VLOOKUP(JudgeD2ESS,Judges!$A$2:$B$44,2,FALSE)</f>
        <v>#N/A</v>
      </c>
      <c r="G452" t="str">
        <f>Started!Y45</f>
        <v/>
      </c>
    </row>
    <row r="453" spans="1:7" x14ac:dyDescent="0.25">
      <c r="A453">
        <f t="shared" si="10"/>
        <v>0</v>
      </c>
      <c r="B453" t="s">
        <v>17</v>
      </c>
      <c r="C453">
        <f>Started!C46</f>
        <v>0</v>
      </c>
      <c r="D453">
        <f>IF(Started!Y46="Pass",Started!W46,0)</f>
        <v>0</v>
      </c>
      <c r="E453" s="2" t="str">
        <f>IF(Started!B46="W","W","A")</f>
        <v>A</v>
      </c>
      <c r="F453" s="2" t="e">
        <f>VLOOKUP(JudgeD2ESS,Judges!$A$2:$B$44,2,FALSE)</f>
        <v>#N/A</v>
      </c>
      <c r="G453" t="str">
        <f>Started!Y46</f>
        <v/>
      </c>
    </row>
    <row r="454" spans="1:7" x14ac:dyDescent="0.25">
      <c r="A454">
        <f t="shared" si="10"/>
        <v>0</v>
      </c>
      <c r="B454" t="s">
        <v>17</v>
      </c>
      <c r="C454">
        <f>Started!C47</f>
        <v>0</v>
      </c>
      <c r="D454">
        <f>IF(Started!Y47="Pass",Started!W47,0)</f>
        <v>0</v>
      </c>
      <c r="E454" s="2" t="str">
        <f>IF(Started!B47="W","W","A")</f>
        <v>A</v>
      </c>
      <c r="F454" s="2" t="e">
        <f>VLOOKUP(JudgeD2ESS,Judges!$A$2:$B$44,2,FALSE)</f>
        <v>#N/A</v>
      </c>
      <c r="G454" t="str">
        <f>Started!Y47</f>
        <v/>
      </c>
    </row>
    <row r="455" spans="1:7" x14ac:dyDescent="0.25">
      <c r="A455">
        <f t="shared" si="10"/>
        <v>0</v>
      </c>
      <c r="B455" t="s">
        <v>17</v>
      </c>
      <c r="C455">
        <f>Started!C48</f>
        <v>0</v>
      </c>
      <c r="D455">
        <f>IF(Started!Y48="Pass",Started!W48,0)</f>
        <v>0</v>
      </c>
      <c r="E455" s="2" t="str">
        <f>IF(Started!B48="W","W","A")</f>
        <v>A</v>
      </c>
      <c r="F455" s="2" t="e">
        <f>VLOOKUP(JudgeD2ESS,Judges!$A$2:$B$44,2,FALSE)</f>
        <v>#N/A</v>
      </c>
      <c r="G455" t="str">
        <f>Started!Y48</f>
        <v/>
      </c>
    </row>
    <row r="456" spans="1:7" x14ac:dyDescent="0.25">
      <c r="A456">
        <f t="shared" ref="A456:A559" si="11">TrialNumberDay2</f>
        <v>0</v>
      </c>
      <c r="B456" t="s">
        <v>17</v>
      </c>
      <c r="C456">
        <f>Started!C49</f>
        <v>0</v>
      </c>
      <c r="D456">
        <f>IF(Started!Y49="Pass",Started!W49,0)</f>
        <v>0</v>
      </c>
      <c r="E456" s="2" t="str">
        <f>IF(Started!B49="W","W","A")</f>
        <v>A</v>
      </c>
      <c r="F456" s="2" t="e">
        <f>VLOOKUP(JudgeD2ESS,Judges!$A$2:$B$44,2,FALSE)</f>
        <v>#N/A</v>
      </c>
      <c r="G456" t="str">
        <f>Started!Y49</f>
        <v/>
      </c>
    </row>
    <row r="457" spans="1:7" x14ac:dyDescent="0.25">
      <c r="A457">
        <f t="shared" si="11"/>
        <v>0</v>
      </c>
      <c r="B457" t="s">
        <v>17</v>
      </c>
      <c r="C457">
        <f>Started!C50</f>
        <v>0</v>
      </c>
      <c r="D457">
        <f>IF(Started!Y50="Pass",Started!W50,0)</f>
        <v>0</v>
      </c>
      <c r="E457" s="2" t="str">
        <f>IF(Started!B50="W","W","A")</f>
        <v>A</v>
      </c>
      <c r="F457" s="2" t="e">
        <f>VLOOKUP(JudgeD2ESS,Judges!$A$2:$B$44,2,FALSE)</f>
        <v>#N/A</v>
      </c>
      <c r="G457" t="str">
        <f>Started!Y50</f>
        <v/>
      </c>
    </row>
    <row r="458" spans="1:7" x14ac:dyDescent="0.25">
      <c r="A458">
        <f t="shared" si="11"/>
        <v>0</v>
      </c>
      <c r="B458" t="s">
        <v>17</v>
      </c>
      <c r="C458">
        <f>Started!C51</f>
        <v>0</v>
      </c>
      <c r="D458">
        <f>IF(Started!Y51="Pass",Started!W51,0)</f>
        <v>0</v>
      </c>
      <c r="E458" s="2" t="str">
        <f>IF(Started!B51="W","W","A")</f>
        <v>A</v>
      </c>
      <c r="F458" s="2" t="e">
        <f>VLOOKUP(JudgeD2ESS,Judges!$A$2:$B$44,2,FALSE)</f>
        <v>#N/A</v>
      </c>
      <c r="G458" t="str">
        <f>Started!Y51</f>
        <v/>
      </c>
    </row>
    <row r="459" spans="1:7" x14ac:dyDescent="0.25">
      <c r="A459">
        <f t="shared" si="11"/>
        <v>0</v>
      </c>
      <c r="B459" t="s">
        <v>17</v>
      </c>
      <c r="C459">
        <f>Started!C52</f>
        <v>0</v>
      </c>
      <c r="D459">
        <f>IF(Started!Y52="Pass",Started!W52,0)</f>
        <v>0</v>
      </c>
      <c r="E459" s="2" t="str">
        <f>IF(Started!B52="W","W","A")</f>
        <v>A</v>
      </c>
      <c r="F459" s="2" t="e">
        <f>VLOOKUP(JudgeD2ESS,Judges!$A$2:$B$44,2,FALSE)</f>
        <v>#N/A</v>
      </c>
      <c r="G459" t="str">
        <f>Started!Y52</f>
        <v/>
      </c>
    </row>
    <row r="460" spans="1:7" x14ac:dyDescent="0.25">
      <c r="A460">
        <f t="shared" si="11"/>
        <v>0</v>
      </c>
      <c r="B460" t="s">
        <v>17</v>
      </c>
      <c r="C460">
        <f>Started!C53</f>
        <v>0</v>
      </c>
      <c r="D460">
        <f>IF(Started!Y53="Pass",Started!W53,0)</f>
        <v>0</v>
      </c>
      <c r="E460" s="2" t="str">
        <f>IF(Started!B53="W","W","A")</f>
        <v>A</v>
      </c>
      <c r="F460" s="2" t="e">
        <f>VLOOKUP(JudgeD2ESS,Judges!$A$2:$B$44,2,FALSE)</f>
        <v>#N/A</v>
      </c>
      <c r="G460" t="str">
        <f>Started!Y53</f>
        <v/>
      </c>
    </row>
    <row r="461" spans="1:7" x14ac:dyDescent="0.25">
      <c r="A461">
        <f t="shared" si="11"/>
        <v>0</v>
      </c>
      <c r="B461" t="s">
        <v>17</v>
      </c>
      <c r="C461">
        <f>Started!C54</f>
        <v>0</v>
      </c>
      <c r="D461">
        <f>IF(Started!Y54="Pass",Started!W54,0)</f>
        <v>0</v>
      </c>
      <c r="E461" s="2" t="str">
        <f>IF(Started!B54="W","W","A")</f>
        <v>A</v>
      </c>
      <c r="F461" s="2" t="e">
        <f>VLOOKUP(JudgeD2ESS,Judges!$A$2:$B$44,2,FALSE)</f>
        <v>#N/A</v>
      </c>
      <c r="G461" t="str">
        <f>Started!Y54</f>
        <v/>
      </c>
    </row>
    <row r="462" spans="1:7" x14ac:dyDescent="0.25">
      <c r="A462">
        <f t="shared" si="11"/>
        <v>0</v>
      </c>
      <c r="B462" t="s">
        <v>17</v>
      </c>
      <c r="C462">
        <f>Started!C55</f>
        <v>0</v>
      </c>
      <c r="D462">
        <f>IF(Started!Y55="Pass",Started!W55,0)</f>
        <v>0</v>
      </c>
      <c r="E462" s="2" t="str">
        <f>IF(Started!B55="W","W","A")</f>
        <v>A</v>
      </c>
      <c r="F462" s="2" t="e">
        <f>VLOOKUP(JudgeD2ESS,Judges!$A$2:$B$44,2,FALSE)</f>
        <v>#N/A</v>
      </c>
      <c r="G462" t="str">
        <f>Started!Y55</f>
        <v/>
      </c>
    </row>
    <row r="463" spans="1:7" x14ac:dyDescent="0.25">
      <c r="A463">
        <f t="shared" si="11"/>
        <v>0</v>
      </c>
      <c r="B463" t="s">
        <v>17</v>
      </c>
      <c r="C463">
        <f>Started!C56</f>
        <v>0</v>
      </c>
      <c r="D463">
        <f>IF(Started!Y56="Pass",Started!W56,0)</f>
        <v>0</v>
      </c>
      <c r="E463" s="2" t="str">
        <f>IF(Started!B56="W","W","A")</f>
        <v>A</v>
      </c>
      <c r="F463" s="2" t="e">
        <f>VLOOKUP(JudgeD2ESS,Judges!$A$2:$B$44,2,FALSE)</f>
        <v>#N/A</v>
      </c>
      <c r="G463" t="str">
        <f>Started!Y56</f>
        <v/>
      </c>
    </row>
    <row r="464" spans="1:7" x14ac:dyDescent="0.25">
      <c r="A464">
        <f t="shared" si="11"/>
        <v>0</v>
      </c>
      <c r="B464" t="s">
        <v>17</v>
      </c>
      <c r="C464">
        <f>Started!C57</f>
        <v>0</v>
      </c>
      <c r="D464">
        <f>IF(Started!Y57="Pass",Started!W57,0)</f>
        <v>0</v>
      </c>
      <c r="E464" s="2" t="str">
        <f>IF(Started!B57="W","W","A")</f>
        <v>A</v>
      </c>
      <c r="F464" s="2" t="e">
        <f>VLOOKUP(JudgeD2ESS,Judges!$A$2:$B$44,2,FALSE)</f>
        <v>#N/A</v>
      </c>
      <c r="G464" t="str">
        <f>Started!Y57</f>
        <v/>
      </c>
    </row>
    <row r="465" spans="1:7" x14ac:dyDescent="0.25">
      <c r="A465">
        <f t="shared" si="11"/>
        <v>0</v>
      </c>
      <c r="B465" t="s">
        <v>17</v>
      </c>
      <c r="C465">
        <f>Started!C58</f>
        <v>0</v>
      </c>
      <c r="D465">
        <f>IF(Started!Y58="Pass",Started!W58,0)</f>
        <v>0</v>
      </c>
      <c r="E465" s="2" t="str">
        <f>IF(Started!B58="W","W","A")</f>
        <v>A</v>
      </c>
      <c r="F465" s="2" t="e">
        <f>VLOOKUP(JudgeD2ESS,Judges!$A$2:$B$44,2,FALSE)</f>
        <v>#N/A</v>
      </c>
      <c r="G465" t="str">
        <f>Started!Y58</f>
        <v/>
      </c>
    </row>
    <row r="466" spans="1:7" x14ac:dyDescent="0.25">
      <c r="A466">
        <f t="shared" si="11"/>
        <v>0</v>
      </c>
      <c r="B466" t="s">
        <v>17</v>
      </c>
      <c r="C466">
        <f>Started!C59</f>
        <v>0</v>
      </c>
      <c r="D466">
        <f>IF(Started!Y59="Pass",Started!W59,0)</f>
        <v>0</v>
      </c>
      <c r="E466" s="2" t="str">
        <f>IF(Started!B59="W","W","A")</f>
        <v>A</v>
      </c>
      <c r="F466" s="2" t="e">
        <f>VLOOKUP(JudgeD2ESS,Judges!$A$2:$B$44,2,FALSE)</f>
        <v>#N/A</v>
      </c>
      <c r="G466" t="str">
        <f>Started!Y59</f>
        <v/>
      </c>
    </row>
    <row r="467" spans="1:7" x14ac:dyDescent="0.25">
      <c r="A467">
        <f t="shared" si="11"/>
        <v>0</v>
      </c>
      <c r="B467" t="s">
        <v>17</v>
      </c>
      <c r="C467">
        <f>Started!C60</f>
        <v>0</v>
      </c>
      <c r="D467">
        <f>IF(Started!Y60="Pass",Started!W60,0)</f>
        <v>0</v>
      </c>
      <c r="E467" s="2" t="str">
        <f>IF(Started!B60="W","W","A")</f>
        <v>A</v>
      </c>
      <c r="F467" s="2" t="e">
        <f>VLOOKUP(JudgeD2ESS,Judges!$A$2:$B$44,2,FALSE)</f>
        <v>#N/A</v>
      </c>
      <c r="G467" t="str">
        <f>Started!Y60</f>
        <v/>
      </c>
    </row>
    <row r="468" spans="1:7" x14ac:dyDescent="0.25">
      <c r="A468">
        <f t="shared" si="11"/>
        <v>0</v>
      </c>
      <c r="B468" t="s">
        <v>17</v>
      </c>
      <c r="C468">
        <f>Started!C61</f>
        <v>0</v>
      </c>
      <c r="D468">
        <f>IF(Started!Y61="Pass",Started!W61,0)</f>
        <v>0</v>
      </c>
      <c r="E468" s="2" t="str">
        <f>IF(Started!B61="W","W","A")</f>
        <v>A</v>
      </c>
      <c r="F468" s="2" t="e">
        <f>VLOOKUP(JudgeD2ESS,Judges!$A$2:$B$44,2,FALSE)</f>
        <v>#N/A</v>
      </c>
      <c r="G468" t="str">
        <f>Started!Y61</f>
        <v/>
      </c>
    </row>
    <row r="469" spans="1:7" x14ac:dyDescent="0.25">
      <c r="A469">
        <f t="shared" si="11"/>
        <v>0</v>
      </c>
      <c r="B469" t="s">
        <v>17</v>
      </c>
      <c r="C469">
        <f>Started!C62</f>
        <v>0</v>
      </c>
      <c r="D469">
        <f>IF(Started!Y62="Pass",Started!W62,0)</f>
        <v>0</v>
      </c>
      <c r="E469" s="2" t="str">
        <f>IF(Started!B62="W","W","A")</f>
        <v>A</v>
      </c>
      <c r="F469" s="2" t="e">
        <f>VLOOKUP(JudgeD2ESS,Judges!$A$2:$B$44,2,FALSE)</f>
        <v>#N/A</v>
      </c>
      <c r="G469" t="str">
        <f>Started!Y62</f>
        <v/>
      </c>
    </row>
    <row r="470" spans="1:7" x14ac:dyDescent="0.25">
      <c r="A470">
        <f t="shared" si="11"/>
        <v>0</v>
      </c>
      <c r="B470" t="s">
        <v>17</v>
      </c>
      <c r="C470">
        <f>Started!C63</f>
        <v>0</v>
      </c>
      <c r="D470">
        <f>IF(Started!Y63="Pass",Started!W63,0)</f>
        <v>0</v>
      </c>
      <c r="E470" s="2" t="str">
        <f>IF(Started!B63="W","W","A")</f>
        <v>A</v>
      </c>
      <c r="F470" s="2" t="e">
        <f>VLOOKUP(JudgeD2ESS,Judges!$A$2:$B$44,2,FALSE)</f>
        <v>#N/A</v>
      </c>
      <c r="G470" t="str">
        <f>Started!Y63</f>
        <v/>
      </c>
    </row>
    <row r="471" spans="1:7" x14ac:dyDescent="0.25">
      <c r="A471">
        <f t="shared" si="11"/>
        <v>0</v>
      </c>
      <c r="B471" t="s">
        <v>17</v>
      </c>
      <c r="C471">
        <f>Started!C64</f>
        <v>0</v>
      </c>
      <c r="D471">
        <f>IF(Started!Y64="Pass",Started!W64,0)</f>
        <v>0</v>
      </c>
      <c r="E471" s="2" t="str">
        <f>IF(Started!B64="W","W","A")</f>
        <v>A</v>
      </c>
      <c r="F471" s="2" t="e">
        <f>VLOOKUP(JudgeD2ESS,Judges!$A$2:$B$44,2,FALSE)</f>
        <v>#N/A</v>
      </c>
      <c r="G471" t="str">
        <f>Started!Y64</f>
        <v/>
      </c>
    </row>
    <row r="472" spans="1:7" x14ac:dyDescent="0.25">
      <c r="A472">
        <f t="shared" si="11"/>
        <v>0</v>
      </c>
      <c r="B472" t="s">
        <v>17</v>
      </c>
      <c r="C472">
        <f>Started!C65</f>
        <v>0</v>
      </c>
      <c r="D472">
        <f>IF(Started!Y65="Pass",Started!W65,0)</f>
        <v>0</v>
      </c>
      <c r="E472" s="2" t="str">
        <f>IF(Started!B65="W","W","A")</f>
        <v>A</v>
      </c>
      <c r="F472" s="2" t="e">
        <f>VLOOKUP(JudgeD2ESS,Judges!$A$2:$B$44,2,FALSE)</f>
        <v>#N/A</v>
      </c>
      <c r="G472" t="str">
        <f>Started!Y65</f>
        <v/>
      </c>
    </row>
    <row r="473" spans="1:7" x14ac:dyDescent="0.25">
      <c r="A473">
        <f t="shared" si="11"/>
        <v>0</v>
      </c>
      <c r="B473" t="s">
        <v>17</v>
      </c>
      <c r="C473">
        <f>Started!C66</f>
        <v>0</v>
      </c>
      <c r="D473">
        <f>IF(Started!Y66="Pass",Started!W66,0)</f>
        <v>0</v>
      </c>
      <c r="E473" s="2" t="str">
        <f>IF(Started!B66="W","W","A")</f>
        <v>A</v>
      </c>
      <c r="F473" s="2" t="e">
        <f>VLOOKUP(JudgeD2ESS,Judges!$A$2:$B$44,2,FALSE)</f>
        <v>#N/A</v>
      </c>
      <c r="G473" t="str">
        <f>Started!Y66</f>
        <v/>
      </c>
    </row>
    <row r="474" spans="1:7" x14ac:dyDescent="0.25">
      <c r="A474">
        <f t="shared" si="11"/>
        <v>0</v>
      </c>
      <c r="B474" t="s">
        <v>17</v>
      </c>
      <c r="C474">
        <f>Started!C67</f>
        <v>0</v>
      </c>
      <c r="D474">
        <f>IF(Started!Y67="Pass",Started!W67,0)</f>
        <v>0</v>
      </c>
      <c r="E474" s="2" t="str">
        <f>IF(Started!B67="W","W","A")</f>
        <v>A</v>
      </c>
      <c r="F474" s="2" t="e">
        <f>VLOOKUP(JudgeD2ESS,Judges!$A$2:$B$44,2,FALSE)</f>
        <v>#N/A</v>
      </c>
      <c r="G474" t="str">
        <f>Started!Y67</f>
        <v/>
      </c>
    </row>
    <row r="475" spans="1:7" x14ac:dyDescent="0.25">
      <c r="A475">
        <f t="shared" si="11"/>
        <v>0</v>
      </c>
      <c r="B475" t="s">
        <v>17</v>
      </c>
      <c r="C475">
        <f>Started!C68</f>
        <v>0</v>
      </c>
      <c r="D475">
        <f>IF(Started!Y68="Pass",Started!W68,0)</f>
        <v>0</v>
      </c>
      <c r="E475" s="2" t="str">
        <f>IF(Started!B68="W","W","A")</f>
        <v>A</v>
      </c>
      <c r="F475" s="2" t="e">
        <f>VLOOKUP(JudgeD2ESS,Judges!$A$2:$B$44,2,FALSE)</f>
        <v>#N/A</v>
      </c>
      <c r="G475" t="str">
        <f>Started!Y68</f>
        <v/>
      </c>
    </row>
    <row r="476" spans="1:7" x14ac:dyDescent="0.25">
      <c r="A476">
        <f t="shared" si="11"/>
        <v>0</v>
      </c>
      <c r="B476" t="s">
        <v>17</v>
      </c>
      <c r="C476">
        <f>Started!C69</f>
        <v>0</v>
      </c>
      <c r="D476">
        <f>IF(Started!Y69="Pass",Started!W69,0)</f>
        <v>0</v>
      </c>
      <c r="E476" s="2" t="str">
        <f>IF(Started!B69="W","W","A")</f>
        <v>A</v>
      </c>
      <c r="F476" s="2" t="e">
        <f>VLOOKUP(JudgeD2ESS,Judges!$A$2:$B$44,2,FALSE)</f>
        <v>#N/A</v>
      </c>
      <c r="G476" t="str">
        <f>Started!Y69</f>
        <v/>
      </c>
    </row>
    <row r="477" spans="1:7" x14ac:dyDescent="0.25">
      <c r="A477">
        <f t="shared" si="11"/>
        <v>0</v>
      </c>
      <c r="B477" t="s">
        <v>17</v>
      </c>
      <c r="C477">
        <f>Started!C70</f>
        <v>0</v>
      </c>
      <c r="D477">
        <f>IF(Started!Y70="Pass",Started!W70,0)</f>
        <v>0</v>
      </c>
      <c r="E477" s="2" t="str">
        <f>IF(Started!B70="W","W","A")</f>
        <v>A</v>
      </c>
      <c r="F477" s="2" t="e">
        <f>VLOOKUP(JudgeD2ESS,Judges!$A$2:$B$44,2,FALSE)</f>
        <v>#N/A</v>
      </c>
      <c r="G477" t="str">
        <f>Started!Y70</f>
        <v/>
      </c>
    </row>
    <row r="478" spans="1:7" x14ac:dyDescent="0.25">
      <c r="A478">
        <f t="shared" si="11"/>
        <v>0</v>
      </c>
      <c r="B478" t="s">
        <v>17</v>
      </c>
      <c r="C478">
        <f>Started!C71</f>
        <v>0</v>
      </c>
      <c r="D478">
        <f>IF(Started!Y71="Pass",Started!W71,0)</f>
        <v>0</v>
      </c>
      <c r="E478" s="2" t="str">
        <f>IF(Started!B71="W","W","A")</f>
        <v>A</v>
      </c>
      <c r="F478" s="2" t="e">
        <f>VLOOKUP(JudgeD2ESS,Judges!$A$2:$B$44,2,FALSE)</f>
        <v>#N/A</v>
      </c>
      <c r="G478" t="str">
        <f>Started!Y71</f>
        <v/>
      </c>
    </row>
    <row r="479" spans="1:7" x14ac:dyDescent="0.25">
      <c r="A479">
        <f t="shared" si="11"/>
        <v>0</v>
      </c>
      <c r="B479" t="s">
        <v>17</v>
      </c>
      <c r="C479">
        <f>Started!C72</f>
        <v>0</v>
      </c>
      <c r="D479">
        <f>IF(Started!Y72="Pass",Started!W72,0)</f>
        <v>0</v>
      </c>
      <c r="E479" s="2" t="str">
        <f>IF(Started!B72="W","W","A")</f>
        <v>A</v>
      </c>
      <c r="F479" s="2" t="e">
        <f>VLOOKUP(JudgeD2ESS,Judges!$A$2:$B$44,2,FALSE)</f>
        <v>#N/A</v>
      </c>
      <c r="G479" t="str">
        <f>Started!Y72</f>
        <v/>
      </c>
    </row>
    <row r="480" spans="1:7" x14ac:dyDescent="0.25">
      <c r="A480">
        <f t="shared" si="11"/>
        <v>0</v>
      </c>
      <c r="B480" t="s">
        <v>17</v>
      </c>
      <c r="C480">
        <f>Started!C73</f>
        <v>0</v>
      </c>
      <c r="D480">
        <f>IF(Started!Y73="Pass",Started!W73,0)</f>
        <v>0</v>
      </c>
      <c r="E480" s="2" t="str">
        <f>IF(Started!B73="W","W","A")</f>
        <v>A</v>
      </c>
      <c r="F480" s="2" t="e">
        <f>VLOOKUP(JudgeD2ESS,Judges!$A$2:$B$44,2,FALSE)</f>
        <v>#N/A</v>
      </c>
      <c r="G480" t="str">
        <f>Started!Y73</f>
        <v/>
      </c>
    </row>
    <row r="481" spans="1:7" x14ac:dyDescent="0.25">
      <c r="A481">
        <f t="shared" si="11"/>
        <v>0</v>
      </c>
      <c r="B481" t="s">
        <v>17</v>
      </c>
      <c r="C481">
        <f>Started!C74</f>
        <v>0</v>
      </c>
      <c r="D481">
        <f>IF(Started!Y74="Pass",Started!W74,0)</f>
        <v>0</v>
      </c>
      <c r="E481" s="2" t="str">
        <f>IF(Started!B74="W","W","A")</f>
        <v>A</v>
      </c>
      <c r="F481" s="2" t="e">
        <f>VLOOKUP(JudgeD2ESS,Judges!$A$2:$B$44,2,FALSE)</f>
        <v>#N/A</v>
      </c>
      <c r="G481" t="str">
        <f>Started!Y74</f>
        <v/>
      </c>
    </row>
    <row r="482" spans="1:7" x14ac:dyDescent="0.25">
      <c r="A482">
        <f t="shared" si="11"/>
        <v>0</v>
      </c>
      <c r="B482" t="s">
        <v>18</v>
      </c>
      <c r="C482">
        <f>Advanced!C65</f>
        <v>0</v>
      </c>
      <c r="D482">
        <f>IF(Advanced!I65="Pass",Advanced!G65,0)</f>
        <v>0</v>
      </c>
      <c r="E482" s="2" t="str">
        <f>IF(Advanced!B65="W","W","A")</f>
        <v>A</v>
      </c>
      <c r="F482" s="2" t="e">
        <f>VLOOKUP(JudgeD2CSA,Judges!$A$2:$B$44,2,FALSE)</f>
        <v>#N/A</v>
      </c>
      <c r="G482" t="str">
        <f>Advanced!I65</f>
        <v/>
      </c>
    </row>
    <row r="483" spans="1:7" x14ac:dyDescent="0.25">
      <c r="A483">
        <f t="shared" si="11"/>
        <v>0</v>
      </c>
      <c r="B483" t="s">
        <v>18</v>
      </c>
      <c r="C483">
        <f>Advanced!C66</f>
        <v>0</v>
      </c>
      <c r="D483">
        <f>IF(Advanced!I66="Pass",Advanced!G66,0)</f>
        <v>0</v>
      </c>
      <c r="E483" s="2" t="str">
        <f>IF(Advanced!B66="W","W","A")</f>
        <v>A</v>
      </c>
      <c r="F483" s="2" t="e">
        <f>VLOOKUP(JudgeD2CSA,Judges!$A$2:$B$44,2,FALSE)</f>
        <v>#N/A</v>
      </c>
      <c r="G483" t="str">
        <f>Advanced!I66</f>
        <v/>
      </c>
    </row>
    <row r="484" spans="1:7" x14ac:dyDescent="0.25">
      <c r="A484">
        <f t="shared" si="11"/>
        <v>0</v>
      </c>
      <c r="B484" t="s">
        <v>18</v>
      </c>
      <c r="C484">
        <f>Advanced!C67</f>
        <v>0</v>
      </c>
      <c r="D484">
        <f>IF(Advanced!I67="Pass",Advanced!G67,0)</f>
        <v>0</v>
      </c>
      <c r="E484" s="2" t="str">
        <f>IF(Advanced!B67="W","W","A")</f>
        <v>A</v>
      </c>
      <c r="F484" s="2" t="e">
        <f>VLOOKUP(JudgeD2CSA,Judges!$A$2:$B$44,2,FALSE)</f>
        <v>#N/A</v>
      </c>
      <c r="G484" t="str">
        <f>Advanced!I67</f>
        <v/>
      </c>
    </row>
    <row r="485" spans="1:7" x14ac:dyDescent="0.25">
      <c r="A485">
        <f t="shared" si="11"/>
        <v>0</v>
      </c>
      <c r="B485" t="s">
        <v>18</v>
      </c>
      <c r="C485">
        <f>Advanced!C68</f>
        <v>0</v>
      </c>
      <c r="D485">
        <f>IF(Advanced!I68="Pass",Advanced!G68,0)</f>
        <v>0</v>
      </c>
      <c r="E485" s="2" t="str">
        <f>IF(Advanced!B68="W","W","A")</f>
        <v>A</v>
      </c>
      <c r="F485" s="2" t="e">
        <f>VLOOKUP(JudgeD2CSA,Judges!$A$2:$B$44,2,FALSE)</f>
        <v>#N/A</v>
      </c>
      <c r="G485" t="str">
        <f>Advanced!I68</f>
        <v/>
      </c>
    </row>
    <row r="486" spans="1:7" x14ac:dyDescent="0.25">
      <c r="A486">
        <f t="shared" si="11"/>
        <v>0</v>
      </c>
      <c r="B486" t="s">
        <v>18</v>
      </c>
      <c r="C486">
        <f>Advanced!C69</f>
        <v>0</v>
      </c>
      <c r="D486">
        <f>IF(Advanced!I69="Pass",Advanced!G69,0)</f>
        <v>0</v>
      </c>
      <c r="E486" s="2" t="str">
        <f>IF(Advanced!B69="W","W","A")</f>
        <v>A</v>
      </c>
      <c r="F486" s="2" t="e">
        <f>VLOOKUP(JudgeD2CSA,Judges!$A$2:$B$44,2,FALSE)</f>
        <v>#N/A</v>
      </c>
      <c r="G486" t="str">
        <f>Advanced!I69</f>
        <v/>
      </c>
    </row>
    <row r="487" spans="1:7" x14ac:dyDescent="0.25">
      <c r="A487">
        <f t="shared" si="11"/>
        <v>0</v>
      </c>
      <c r="B487" t="s">
        <v>18</v>
      </c>
      <c r="C487">
        <f>Advanced!C70</f>
        <v>0</v>
      </c>
      <c r="D487">
        <f>IF(Advanced!I70="Pass",Advanced!G70,0)</f>
        <v>0</v>
      </c>
      <c r="E487" s="2" t="str">
        <f>IF(Advanced!B70="W","W","A")</f>
        <v>A</v>
      </c>
      <c r="F487" s="2" t="e">
        <f>VLOOKUP(JudgeD2CSA,Judges!$A$2:$B$44,2,FALSE)</f>
        <v>#N/A</v>
      </c>
      <c r="G487" t="str">
        <f>Advanced!I70</f>
        <v/>
      </c>
    </row>
    <row r="488" spans="1:7" x14ac:dyDescent="0.25">
      <c r="A488">
        <f t="shared" si="11"/>
        <v>0</v>
      </c>
      <c r="B488" t="s">
        <v>18</v>
      </c>
      <c r="C488">
        <f>Advanced!C71</f>
        <v>0</v>
      </c>
      <c r="D488">
        <f>IF(Advanced!I71="Pass",Advanced!G71,0)</f>
        <v>0</v>
      </c>
      <c r="E488" s="2" t="str">
        <f>IF(Advanced!B71="W","W","A")</f>
        <v>A</v>
      </c>
      <c r="F488" s="2" t="e">
        <f>VLOOKUP(JudgeD2CSA,Judges!$A$2:$B$44,2,FALSE)</f>
        <v>#N/A</v>
      </c>
      <c r="G488" t="str">
        <f>Advanced!I71</f>
        <v/>
      </c>
    </row>
    <row r="489" spans="1:7" x14ac:dyDescent="0.25">
      <c r="A489">
        <f t="shared" si="11"/>
        <v>0</v>
      </c>
      <c r="B489" t="s">
        <v>18</v>
      </c>
      <c r="C489">
        <f>Advanced!C72</f>
        <v>0</v>
      </c>
      <c r="D489">
        <f>IF(Advanced!I72="Pass",Advanced!G72,0)</f>
        <v>0</v>
      </c>
      <c r="E489" s="2" t="str">
        <f>IF(Advanced!B72="W","W","A")</f>
        <v>A</v>
      </c>
      <c r="F489" s="2" t="e">
        <f>VLOOKUP(JudgeD2CSA,Judges!$A$2:$B$44,2,FALSE)</f>
        <v>#N/A</v>
      </c>
      <c r="G489" t="str">
        <f>Advanced!I72</f>
        <v/>
      </c>
    </row>
    <row r="490" spans="1:7" x14ac:dyDescent="0.25">
      <c r="A490">
        <f t="shared" si="11"/>
        <v>0</v>
      </c>
      <c r="B490" t="s">
        <v>18</v>
      </c>
      <c r="C490">
        <f>Advanced!C73</f>
        <v>0</v>
      </c>
      <c r="D490">
        <f>IF(Advanced!I73="Pass",Advanced!G73,0)</f>
        <v>0</v>
      </c>
      <c r="E490" s="2" t="str">
        <f>IF(Advanced!B73="W","W","A")</f>
        <v>A</v>
      </c>
      <c r="F490" s="2" t="e">
        <f>VLOOKUP(JudgeD2CSA,Judges!$A$2:$B$44,2,FALSE)</f>
        <v>#N/A</v>
      </c>
      <c r="G490" t="str">
        <f>Advanced!I73</f>
        <v/>
      </c>
    </row>
    <row r="491" spans="1:7" x14ac:dyDescent="0.25">
      <c r="A491">
        <f t="shared" si="11"/>
        <v>0</v>
      </c>
      <c r="B491" t="s">
        <v>18</v>
      </c>
      <c r="C491">
        <f>Advanced!C74</f>
        <v>0</v>
      </c>
      <c r="D491">
        <f>IF(Advanced!I74="Pass",Advanced!G74,0)</f>
        <v>0</v>
      </c>
      <c r="E491" s="2" t="str">
        <f>IF(Advanced!B74="W","W","A")</f>
        <v>A</v>
      </c>
      <c r="F491" s="2" t="e">
        <f>VLOOKUP(JudgeD2CSA,Judges!$A$2:$B$44,2,FALSE)</f>
        <v>#N/A</v>
      </c>
      <c r="G491" t="str">
        <f>Advanced!I74</f>
        <v/>
      </c>
    </row>
    <row r="492" spans="1:7" x14ac:dyDescent="0.25">
      <c r="A492">
        <f t="shared" si="11"/>
        <v>0</v>
      </c>
      <c r="B492" t="s">
        <v>18</v>
      </c>
      <c r="C492">
        <f>Advanced!C75</f>
        <v>0</v>
      </c>
      <c r="D492">
        <f>IF(Advanced!I75="Pass",Advanced!G75,0)</f>
        <v>0</v>
      </c>
      <c r="E492" s="2" t="str">
        <f>IF(Advanced!B75="W","W","A")</f>
        <v>A</v>
      </c>
      <c r="F492" s="2" t="e">
        <f>VLOOKUP(JudgeD2CSA,Judges!$A$2:$B$44,2,FALSE)</f>
        <v>#N/A</v>
      </c>
      <c r="G492" t="str">
        <f>Advanced!I75</f>
        <v/>
      </c>
    </row>
    <row r="493" spans="1:7" x14ac:dyDescent="0.25">
      <c r="A493">
        <f t="shared" si="11"/>
        <v>0</v>
      </c>
      <c r="B493" t="s">
        <v>18</v>
      </c>
      <c r="C493">
        <f>Advanced!C76</f>
        <v>0</v>
      </c>
      <c r="D493">
        <f>IF(Advanced!I76="Pass",Advanced!G76,0)</f>
        <v>0</v>
      </c>
      <c r="E493" s="2" t="str">
        <f>IF(Advanced!B76="W","W","A")</f>
        <v>A</v>
      </c>
      <c r="F493" s="2" t="e">
        <f>VLOOKUP(JudgeD2CSA,Judges!$A$2:$B$44,2,FALSE)</f>
        <v>#N/A</v>
      </c>
      <c r="G493" t="str">
        <f>Advanced!I76</f>
        <v/>
      </c>
    </row>
    <row r="494" spans="1:7" x14ac:dyDescent="0.25">
      <c r="A494">
        <f t="shared" si="11"/>
        <v>0</v>
      </c>
      <c r="B494" t="s">
        <v>18</v>
      </c>
      <c r="C494">
        <f>Advanced!C77</f>
        <v>0</v>
      </c>
      <c r="D494">
        <f>IF(Advanced!I77="Pass",Advanced!G77,0)</f>
        <v>0</v>
      </c>
      <c r="E494" s="2" t="str">
        <f>IF(Advanced!B77="W","W","A")</f>
        <v>A</v>
      </c>
      <c r="F494" s="2" t="e">
        <f>VLOOKUP(JudgeD2CSA,Judges!$A$2:$B$44,2,FALSE)</f>
        <v>#N/A</v>
      </c>
      <c r="G494" t="str">
        <f>Advanced!I77</f>
        <v/>
      </c>
    </row>
    <row r="495" spans="1:7" x14ac:dyDescent="0.25">
      <c r="A495">
        <f t="shared" si="11"/>
        <v>0</v>
      </c>
      <c r="B495" t="s">
        <v>18</v>
      </c>
      <c r="C495">
        <f>Advanced!C78</f>
        <v>0</v>
      </c>
      <c r="D495">
        <f>IF(Advanced!I78="Pass",Advanced!G78,0)</f>
        <v>0</v>
      </c>
      <c r="E495" s="2" t="str">
        <f>IF(Advanced!B78="W","W","A")</f>
        <v>A</v>
      </c>
      <c r="F495" s="2" t="e">
        <f>VLOOKUP(JudgeD2CSA,Judges!$A$2:$B$44,2,FALSE)</f>
        <v>#N/A</v>
      </c>
      <c r="G495" t="str">
        <f>Advanced!I78</f>
        <v/>
      </c>
    </row>
    <row r="496" spans="1:7" x14ac:dyDescent="0.25">
      <c r="A496">
        <f t="shared" si="11"/>
        <v>0</v>
      </c>
      <c r="B496" t="s">
        <v>18</v>
      </c>
      <c r="C496">
        <f>Advanced!C79</f>
        <v>0</v>
      </c>
      <c r="D496">
        <f>IF(Advanced!I79="Pass",Advanced!G79,0)</f>
        <v>0</v>
      </c>
      <c r="E496" s="2" t="str">
        <f>IF(Advanced!B79="W","W","A")</f>
        <v>A</v>
      </c>
      <c r="F496" s="2" t="e">
        <f>VLOOKUP(JudgeD2CSA,Judges!$A$2:$B$44,2,FALSE)</f>
        <v>#N/A</v>
      </c>
      <c r="G496" t="str">
        <f>Advanced!I79</f>
        <v/>
      </c>
    </row>
    <row r="497" spans="1:7" x14ac:dyDescent="0.25">
      <c r="A497">
        <f t="shared" si="11"/>
        <v>0</v>
      </c>
      <c r="B497" t="s">
        <v>18</v>
      </c>
      <c r="C497">
        <f>Advanced!C80</f>
        <v>0</v>
      </c>
      <c r="D497">
        <f>IF(Advanced!I80="Pass",Advanced!G80,0)</f>
        <v>0</v>
      </c>
      <c r="E497" s="2" t="str">
        <f>IF(Advanced!B80="W","W","A")</f>
        <v>A</v>
      </c>
      <c r="F497" s="2" t="e">
        <f>VLOOKUP(JudgeD2CSA,Judges!$A$2:$B$44,2,FALSE)</f>
        <v>#N/A</v>
      </c>
      <c r="G497" t="str">
        <f>Advanced!I80</f>
        <v/>
      </c>
    </row>
    <row r="498" spans="1:7" x14ac:dyDescent="0.25">
      <c r="A498">
        <f t="shared" si="11"/>
        <v>0</v>
      </c>
      <c r="B498" t="s">
        <v>18</v>
      </c>
      <c r="C498">
        <f>Advanced!C81</f>
        <v>0</v>
      </c>
      <c r="D498">
        <f>IF(Advanced!I81="Pass",Advanced!G81,0)</f>
        <v>0</v>
      </c>
      <c r="E498" s="2" t="str">
        <f>IF(Advanced!B81="W","W","A")</f>
        <v>A</v>
      </c>
      <c r="F498" s="2" t="e">
        <f>VLOOKUP(JudgeD2CSA,Judges!$A$2:$B$44,2,FALSE)</f>
        <v>#N/A</v>
      </c>
      <c r="G498" t="str">
        <f>Advanced!I81</f>
        <v/>
      </c>
    </row>
    <row r="499" spans="1:7" x14ac:dyDescent="0.25">
      <c r="A499">
        <f t="shared" si="11"/>
        <v>0</v>
      </c>
      <c r="B499" t="s">
        <v>18</v>
      </c>
      <c r="C499">
        <f>Advanced!C82</f>
        <v>0</v>
      </c>
      <c r="D499">
        <f>IF(Advanced!I82="Pass",Advanced!G82,0)</f>
        <v>0</v>
      </c>
      <c r="E499" s="2" t="str">
        <f>IF(Advanced!B82="W","W","A")</f>
        <v>A</v>
      </c>
      <c r="F499" s="2" t="e">
        <f>VLOOKUP(JudgeD2CSA,Judges!$A$2:$B$44,2,FALSE)</f>
        <v>#N/A</v>
      </c>
      <c r="G499" t="str">
        <f>Advanced!I82</f>
        <v/>
      </c>
    </row>
    <row r="500" spans="1:7" x14ac:dyDescent="0.25">
      <c r="A500">
        <f t="shared" si="11"/>
        <v>0</v>
      </c>
      <c r="B500" t="s">
        <v>18</v>
      </c>
      <c r="C500">
        <f>Advanced!C83</f>
        <v>0</v>
      </c>
      <c r="D500">
        <f>IF(Advanced!I83="Pass",Advanced!G83,0)</f>
        <v>0</v>
      </c>
      <c r="E500" s="2" t="str">
        <f>IF(Advanced!B83="W","W","A")</f>
        <v>A</v>
      </c>
      <c r="F500" s="2" t="e">
        <f>VLOOKUP(JudgeD2CSA,Judges!$A$2:$B$44,2,FALSE)</f>
        <v>#N/A</v>
      </c>
      <c r="G500" t="str">
        <f>Advanced!I83</f>
        <v/>
      </c>
    </row>
    <row r="501" spans="1:7" x14ac:dyDescent="0.25">
      <c r="A501">
        <f t="shared" si="11"/>
        <v>0</v>
      </c>
      <c r="B501" t="s">
        <v>18</v>
      </c>
      <c r="C501">
        <f>Advanced!C84</f>
        <v>0</v>
      </c>
      <c r="D501">
        <f>IF(Advanced!I84="Pass",Advanced!G84,0)</f>
        <v>0</v>
      </c>
      <c r="E501" s="2" t="str">
        <f>IF(Advanced!B84="W","W","A")</f>
        <v>A</v>
      </c>
      <c r="F501" s="2" t="e">
        <f>VLOOKUP(JudgeD2CSA,Judges!$A$2:$B$44,2,FALSE)</f>
        <v>#N/A</v>
      </c>
      <c r="G501" t="str">
        <f>Advanced!I84</f>
        <v/>
      </c>
    </row>
    <row r="502" spans="1:7" x14ac:dyDescent="0.25">
      <c r="A502">
        <f t="shared" si="11"/>
        <v>0</v>
      </c>
      <c r="B502" t="s">
        <v>18</v>
      </c>
      <c r="C502">
        <f>Advanced!C85</f>
        <v>0</v>
      </c>
      <c r="D502">
        <f>IF(Advanced!I85="Pass",Advanced!G85,0)</f>
        <v>0</v>
      </c>
      <c r="E502" s="2" t="str">
        <f>IF(Advanced!B85="W","W","A")</f>
        <v>A</v>
      </c>
      <c r="F502" s="2" t="e">
        <f>VLOOKUP(JudgeD2CSA,Judges!$A$2:$B$44,2,FALSE)</f>
        <v>#N/A</v>
      </c>
      <c r="G502" t="str">
        <f>Advanced!I85</f>
        <v/>
      </c>
    </row>
    <row r="503" spans="1:7" x14ac:dyDescent="0.25">
      <c r="A503">
        <f t="shared" si="11"/>
        <v>0</v>
      </c>
      <c r="B503" t="s">
        <v>18</v>
      </c>
      <c r="C503">
        <f>Advanced!C86</f>
        <v>0</v>
      </c>
      <c r="D503">
        <f>IF(Advanced!I86="Pass",Advanced!G86,0)</f>
        <v>0</v>
      </c>
      <c r="E503" s="2" t="str">
        <f>IF(Advanced!B86="W","W","A")</f>
        <v>A</v>
      </c>
      <c r="F503" s="2" t="e">
        <f>VLOOKUP(JudgeD2CSA,Judges!$A$2:$B$44,2,FALSE)</f>
        <v>#N/A</v>
      </c>
      <c r="G503" t="str">
        <f>Advanced!I86</f>
        <v/>
      </c>
    </row>
    <row r="504" spans="1:7" x14ac:dyDescent="0.25">
      <c r="A504">
        <f t="shared" si="11"/>
        <v>0</v>
      </c>
      <c r="B504" t="s">
        <v>18</v>
      </c>
      <c r="C504">
        <f>Advanced!C87</f>
        <v>0</v>
      </c>
      <c r="D504">
        <f>IF(Advanced!I87="Pass",Advanced!G87,0)</f>
        <v>0</v>
      </c>
      <c r="E504" s="2" t="str">
        <f>IF(Advanced!B87="W","W","A")</f>
        <v>A</v>
      </c>
      <c r="F504" s="2" t="e">
        <f>VLOOKUP(JudgeD2CSA,Judges!$A$2:$B$44,2,FALSE)</f>
        <v>#N/A</v>
      </c>
      <c r="G504" t="str">
        <f>Advanced!I87</f>
        <v/>
      </c>
    </row>
    <row r="505" spans="1:7" x14ac:dyDescent="0.25">
      <c r="A505">
        <f t="shared" si="11"/>
        <v>0</v>
      </c>
      <c r="B505" t="s">
        <v>18</v>
      </c>
      <c r="C505">
        <f>Advanced!C88</f>
        <v>0</v>
      </c>
      <c r="D505">
        <f>IF(Advanced!I88="Pass",Advanced!G88,0)</f>
        <v>0</v>
      </c>
      <c r="E505" s="2" t="str">
        <f>IF(Advanced!B88="W","W","A")</f>
        <v>A</v>
      </c>
      <c r="F505" s="2" t="e">
        <f>VLOOKUP(JudgeD2CSA,Judges!$A$2:$B$44,2,FALSE)</f>
        <v>#N/A</v>
      </c>
      <c r="G505" t="str">
        <f>Advanced!I88</f>
        <v/>
      </c>
    </row>
    <row r="506" spans="1:7" x14ac:dyDescent="0.25">
      <c r="A506">
        <f t="shared" si="11"/>
        <v>0</v>
      </c>
      <c r="B506" t="s">
        <v>18</v>
      </c>
      <c r="C506">
        <f>Advanced!C89</f>
        <v>0</v>
      </c>
      <c r="D506">
        <f>IF(Advanced!I89="Pass",Advanced!G89,0)</f>
        <v>0</v>
      </c>
      <c r="E506" s="2" t="str">
        <f>IF(Advanced!B89="W","W","A")</f>
        <v>A</v>
      </c>
      <c r="F506" s="2" t="e">
        <f>VLOOKUP(JudgeD2CSA,Judges!$A$2:$B$44,2,FALSE)</f>
        <v>#N/A</v>
      </c>
      <c r="G506" t="str">
        <f>Advanced!I89</f>
        <v/>
      </c>
    </row>
    <row r="507" spans="1:7" x14ac:dyDescent="0.25">
      <c r="A507">
        <f t="shared" si="11"/>
        <v>0</v>
      </c>
      <c r="B507" t="s">
        <v>18</v>
      </c>
      <c r="C507">
        <f>Advanced!C90</f>
        <v>0</v>
      </c>
      <c r="D507">
        <f>IF(Advanced!I90="Pass",Advanced!G90,0)</f>
        <v>0</v>
      </c>
      <c r="E507" s="2" t="str">
        <f>IF(Advanced!B90="W","W","A")</f>
        <v>A</v>
      </c>
      <c r="F507" s="2" t="e">
        <f>VLOOKUP(JudgeD2CSA,Judges!$A$2:$B$44,2,FALSE)</f>
        <v>#N/A</v>
      </c>
      <c r="G507" t="str">
        <f>Advanced!I90</f>
        <v/>
      </c>
    </row>
    <row r="508" spans="1:7" x14ac:dyDescent="0.25">
      <c r="A508">
        <f t="shared" si="11"/>
        <v>0</v>
      </c>
      <c r="B508" t="s">
        <v>18</v>
      </c>
      <c r="C508">
        <f>Advanced!C91</f>
        <v>0</v>
      </c>
      <c r="D508">
        <f>IF(Advanced!I91="Pass",Advanced!G91,0)</f>
        <v>0</v>
      </c>
      <c r="E508" s="2" t="str">
        <f>IF(Advanced!B91="W","W","A")</f>
        <v>A</v>
      </c>
      <c r="F508" s="2" t="e">
        <f>VLOOKUP(JudgeD2CSA,Judges!$A$2:$B$44,2,FALSE)</f>
        <v>#N/A</v>
      </c>
      <c r="G508" t="str">
        <f>Advanced!I91</f>
        <v/>
      </c>
    </row>
    <row r="509" spans="1:7" x14ac:dyDescent="0.25">
      <c r="A509">
        <f t="shared" si="11"/>
        <v>0</v>
      </c>
      <c r="B509" t="s">
        <v>18</v>
      </c>
      <c r="C509">
        <f>Advanced!C92</f>
        <v>0</v>
      </c>
      <c r="D509">
        <f>IF(Advanced!I92="Pass",Advanced!G92,0)</f>
        <v>0</v>
      </c>
      <c r="E509" s="2" t="str">
        <f>IF(Advanced!B92="W","W","A")</f>
        <v>A</v>
      </c>
      <c r="F509" s="2" t="e">
        <f>VLOOKUP(JudgeD2CSA,Judges!$A$2:$B$44,2,FALSE)</f>
        <v>#N/A</v>
      </c>
      <c r="G509" t="str">
        <f>Advanced!I92</f>
        <v/>
      </c>
    </row>
    <row r="510" spans="1:7" x14ac:dyDescent="0.25">
      <c r="A510">
        <f t="shared" si="11"/>
        <v>0</v>
      </c>
      <c r="B510" t="s">
        <v>18</v>
      </c>
      <c r="C510">
        <f>Advanced!C93</f>
        <v>0</v>
      </c>
      <c r="D510">
        <f>IF(Advanced!I93="Pass",Advanced!G93,0)</f>
        <v>0</v>
      </c>
      <c r="E510" s="2" t="str">
        <f>IF(Advanced!B93="W","W","A")</f>
        <v>A</v>
      </c>
      <c r="F510" s="2" t="e">
        <f>VLOOKUP(JudgeD2CSA,Judges!$A$2:$B$44,2,FALSE)</f>
        <v>#N/A</v>
      </c>
      <c r="G510" t="str">
        <f>Advanced!I93</f>
        <v/>
      </c>
    </row>
    <row r="511" spans="1:7" x14ac:dyDescent="0.25">
      <c r="A511">
        <f t="shared" si="11"/>
        <v>0</v>
      </c>
      <c r="B511" t="s">
        <v>18</v>
      </c>
      <c r="C511">
        <f>Advanced!C94</f>
        <v>0</v>
      </c>
      <c r="D511">
        <f>IF(Advanced!I94="Pass",Advanced!G94,0)</f>
        <v>0</v>
      </c>
      <c r="E511" s="2" t="str">
        <f>IF(Advanced!B94="W","W","A")</f>
        <v>A</v>
      </c>
      <c r="F511" s="2" t="e">
        <f>VLOOKUP(JudgeD2CSA,Judges!$A$2:$B$44,2,FALSE)</f>
        <v>#N/A</v>
      </c>
      <c r="G511" t="str">
        <f>Advanced!I94</f>
        <v/>
      </c>
    </row>
    <row r="512" spans="1:7" x14ac:dyDescent="0.25">
      <c r="A512">
        <f t="shared" si="11"/>
        <v>0</v>
      </c>
      <c r="B512" t="s">
        <v>18</v>
      </c>
      <c r="C512">
        <f>Advanced!C95</f>
        <v>0</v>
      </c>
      <c r="D512">
        <f>IF(Advanced!I95="Pass",Advanced!G95,0)</f>
        <v>0</v>
      </c>
      <c r="E512" s="2" t="str">
        <f>IF(Advanced!B95="W","W","A")</f>
        <v>A</v>
      </c>
      <c r="F512" s="2" t="e">
        <f>VLOOKUP(JudgeD2CSA,Judges!$A$2:$B$44,2,FALSE)</f>
        <v>#N/A</v>
      </c>
      <c r="G512" t="str">
        <f>Advanced!I95</f>
        <v/>
      </c>
    </row>
    <row r="513" spans="1:7" x14ac:dyDescent="0.25">
      <c r="A513">
        <f t="shared" si="11"/>
        <v>0</v>
      </c>
      <c r="B513" t="s">
        <v>18</v>
      </c>
      <c r="C513">
        <f>Advanced!C96</f>
        <v>0</v>
      </c>
      <c r="D513">
        <f>IF(Advanced!I96="Pass",Advanced!G96,0)</f>
        <v>0</v>
      </c>
      <c r="E513" s="2" t="str">
        <f>IF(Advanced!B96="W","W","A")</f>
        <v>A</v>
      </c>
      <c r="F513" s="2" t="e">
        <f>VLOOKUP(JudgeD2CSA,Judges!$A$2:$B$44,2,FALSE)</f>
        <v>#N/A</v>
      </c>
      <c r="G513" t="str">
        <f>Advanced!I96</f>
        <v/>
      </c>
    </row>
    <row r="514" spans="1:7" x14ac:dyDescent="0.25">
      <c r="A514">
        <f t="shared" si="11"/>
        <v>0</v>
      </c>
      <c r="B514" t="s">
        <v>18</v>
      </c>
      <c r="C514">
        <f>Advanced!C97</f>
        <v>0</v>
      </c>
      <c r="D514">
        <f>IF(Advanced!I97="Pass",Advanced!G97,0)</f>
        <v>0</v>
      </c>
      <c r="E514" s="2" t="str">
        <f>IF(Advanced!B97="W","W","A")</f>
        <v>A</v>
      </c>
      <c r="F514" s="2" t="e">
        <f>VLOOKUP(JudgeD2CSA,Judges!$A$2:$B$44,2,FALSE)</f>
        <v>#N/A</v>
      </c>
      <c r="G514" t="str">
        <f>Advanced!I97</f>
        <v/>
      </c>
    </row>
    <row r="515" spans="1:7" x14ac:dyDescent="0.25">
      <c r="A515">
        <f t="shared" si="11"/>
        <v>0</v>
      </c>
      <c r="B515" t="s">
        <v>18</v>
      </c>
      <c r="C515">
        <f>Advanced!C98</f>
        <v>0</v>
      </c>
      <c r="D515">
        <f>IF(Advanced!I98="Pass",Advanced!G98,0)</f>
        <v>0</v>
      </c>
      <c r="E515" s="2" t="str">
        <f>IF(Advanced!B98="W","W","A")</f>
        <v>A</v>
      </c>
      <c r="F515" s="2" t="e">
        <f>VLOOKUP(JudgeD2CSA,Judges!$A$2:$B$44,2,FALSE)</f>
        <v>#N/A</v>
      </c>
      <c r="G515" t="str">
        <f>Advanced!I98</f>
        <v/>
      </c>
    </row>
    <row r="516" spans="1:7" x14ac:dyDescent="0.25">
      <c r="A516">
        <f t="shared" si="11"/>
        <v>0</v>
      </c>
      <c r="B516" t="s">
        <v>18</v>
      </c>
      <c r="C516">
        <f>Advanced!C99</f>
        <v>0</v>
      </c>
      <c r="D516">
        <f>IF(Advanced!I99="Pass",Advanced!G99,0)</f>
        <v>0</v>
      </c>
      <c r="E516" s="2" t="str">
        <f>IF(Advanced!B99="W","W","A")</f>
        <v>A</v>
      </c>
      <c r="F516" s="2" t="e">
        <f>VLOOKUP(JudgeD2CSA,Judges!$A$2:$B$44,2,FALSE)</f>
        <v>#N/A</v>
      </c>
      <c r="G516" t="str">
        <f>Advanced!I99</f>
        <v/>
      </c>
    </row>
    <row r="517" spans="1:7" x14ac:dyDescent="0.25">
      <c r="A517">
        <f t="shared" si="11"/>
        <v>0</v>
      </c>
      <c r="B517" t="s">
        <v>18</v>
      </c>
      <c r="C517">
        <f>Advanced!C100</f>
        <v>0</v>
      </c>
      <c r="D517">
        <f>IF(Advanced!I100="Pass",Advanced!G100,0)</f>
        <v>0</v>
      </c>
      <c r="E517" s="2" t="str">
        <f>IF(Advanced!B100="W","W","A")</f>
        <v>A</v>
      </c>
      <c r="F517" s="2" t="e">
        <f>VLOOKUP(JudgeD2CSA,Judges!$A$2:$B$44,2,FALSE)</f>
        <v>#N/A</v>
      </c>
      <c r="G517" t="str">
        <f>Advanced!I100</f>
        <v/>
      </c>
    </row>
    <row r="518" spans="1:7" x14ac:dyDescent="0.25">
      <c r="A518">
        <f t="shared" si="11"/>
        <v>0</v>
      </c>
      <c r="B518" t="s">
        <v>18</v>
      </c>
      <c r="C518">
        <f>Advanced!C101</f>
        <v>0</v>
      </c>
      <c r="D518">
        <f>IF(Advanced!I101="Pass",Advanced!G101,0)</f>
        <v>0</v>
      </c>
      <c r="E518" s="2" t="str">
        <f>IF(Advanced!B101="W","W","A")</f>
        <v>A</v>
      </c>
      <c r="F518" s="2" t="e">
        <f>VLOOKUP(JudgeD2CSA,Judges!$A$2:$B$44,2,FALSE)</f>
        <v>#N/A</v>
      </c>
      <c r="G518" t="str">
        <f>Advanced!I101</f>
        <v/>
      </c>
    </row>
    <row r="519" spans="1:7" x14ac:dyDescent="0.25">
      <c r="A519">
        <f t="shared" si="11"/>
        <v>0</v>
      </c>
      <c r="B519" t="s">
        <v>18</v>
      </c>
      <c r="C519">
        <f>Advanced!C102</f>
        <v>0</v>
      </c>
      <c r="D519">
        <f>IF(Advanced!I102="Pass",Advanced!G102,0)</f>
        <v>0</v>
      </c>
      <c r="E519" s="2" t="str">
        <f>IF(Advanced!B102="W","W","A")</f>
        <v>A</v>
      </c>
      <c r="F519" s="2" t="e">
        <f>VLOOKUP(JudgeD2CSA,Judges!$A$2:$B$44,2,FALSE)</f>
        <v>#N/A</v>
      </c>
      <c r="G519" t="str">
        <f>Advanced!I102</f>
        <v/>
      </c>
    </row>
    <row r="520" spans="1:7" x14ac:dyDescent="0.25">
      <c r="A520">
        <f t="shared" si="11"/>
        <v>0</v>
      </c>
      <c r="B520" t="s">
        <v>18</v>
      </c>
      <c r="C520">
        <f>Advanced!C103</f>
        <v>0</v>
      </c>
      <c r="D520">
        <f>IF(Advanced!I103="Pass",Advanced!G103,0)</f>
        <v>0</v>
      </c>
      <c r="E520" s="2" t="str">
        <f>IF(Advanced!B103="W","W","A")</f>
        <v>A</v>
      </c>
      <c r="F520" s="2" t="e">
        <f>VLOOKUP(JudgeD2CSA,Judges!$A$2:$B$44,2,FALSE)</f>
        <v>#N/A</v>
      </c>
      <c r="G520" t="str">
        <f>Advanced!I103</f>
        <v/>
      </c>
    </row>
    <row r="521" spans="1:7" x14ac:dyDescent="0.25">
      <c r="A521">
        <f t="shared" si="11"/>
        <v>0</v>
      </c>
      <c r="B521" t="s">
        <v>18</v>
      </c>
      <c r="C521">
        <f>Advanced!C104</f>
        <v>0</v>
      </c>
      <c r="D521">
        <f>IF(Advanced!I104="Pass",Advanced!G104,0)</f>
        <v>0</v>
      </c>
      <c r="E521" s="2" t="str">
        <f>IF(Advanced!B104="W","W","A")</f>
        <v>A</v>
      </c>
      <c r="F521" s="2" t="e">
        <f>VLOOKUP(JudgeD2CSA,Judges!$A$2:$B$44,2,FALSE)</f>
        <v>#N/A</v>
      </c>
      <c r="G521" t="str">
        <f>Advanced!I104</f>
        <v/>
      </c>
    </row>
    <row r="522" spans="1:7" x14ac:dyDescent="0.25">
      <c r="A522">
        <f t="shared" si="11"/>
        <v>0</v>
      </c>
      <c r="B522" t="s">
        <v>18</v>
      </c>
      <c r="C522">
        <f>Advanced!C105</f>
        <v>0</v>
      </c>
      <c r="D522">
        <f>IF(Advanced!I105="Pass",Advanced!G105,0)</f>
        <v>0</v>
      </c>
      <c r="E522" s="2" t="str">
        <f>IF(Advanced!B105="W","W","A")</f>
        <v>A</v>
      </c>
      <c r="F522" s="2" t="e">
        <f>VLOOKUP(JudgeD2CSA,Judges!$A$2:$B$44,2,FALSE)</f>
        <v>#N/A</v>
      </c>
      <c r="G522" t="str">
        <f>Advanced!I105</f>
        <v/>
      </c>
    </row>
    <row r="523" spans="1:7" x14ac:dyDescent="0.25">
      <c r="A523">
        <f t="shared" si="11"/>
        <v>0</v>
      </c>
      <c r="B523" t="s">
        <v>18</v>
      </c>
      <c r="C523">
        <f>Advanced!C106</f>
        <v>0</v>
      </c>
      <c r="D523">
        <f>IF(Advanced!I106="Pass",Advanced!G106,0)</f>
        <v>0</v>
      </c>
      <c r="E523" s="2" t="str">
        <f>IF(Advanced!B106="W","W","A")</f>
        <v>A</v>
      </c>
      <c r="F523" s="2" t="e">
        <f>VLOOKUP(JudgeD2CSA,Judges!$A$2:$B$44,2,FALSE)</f>
        <v>#N/A</v>
      </c>
      <c r="G523" t="str">
        <f>Advanced!I106</f>
        <v/>
      </c>
    </row>
    <row r="524" spans="1:7" x14ac:dyDescent="0.25">
      <c r="A524">
        <f t="shared" si="11"/>
        <v>0</v>
      </c>
      <c r="B524" t="s">
        <v>18</v>
      </c>
      <c r="C524">
        <f>Advanced!C107</f>
        <v>0</v>
      </c>
      <c r="D524">
        <f>IF(Advanced!I107="Pass",Advanced!G107,0)</f>
        <v>0</v>
      </c>
      <c r="E524" s="2" t="str">
        <f>IF(Advanced!B107="W","W","A")</f>
        <v>A</v>
      </c>
      <c r="F524" s="2" t="e">
        <f>VLOOKUP(JudgeD2CSA,Judges!$A$2:$B$44,2,FALSE)</f>
        <v>#N/A</v>
      </c>
      <c r="G524" t="str">
        <f>Advanced!I107</f>
        <v/>
      </c>
    </row>
    <row r="525" spans="1:7" x14ac:dyDescent="0.25">
      <c r="A525">
        <f t="shared" si="11"/>
        <v>0</v>
      </c>
      <c r="B525" t="s">
        <v>18</v>
      </c>
      <c r="C525">
        <f>Advanced!C108</f>
        <v>0</v>
      </c>
      <c r="D525">
        <f>IF(Advanced!I108="Pass",Advanced!G108,0)</f>
        <v>0</v>
      </c>
      <c r="E525" s="2" t="str">
        <f>IF(Advanced!B108="W","W","A")</f>
        <v>A</v>
      </c>
      <c r="F525" s="2" t="e">
        <f>VLOOKUP(JudgeD2CSA,Judges!$A$2:$B$44,2,FALSE)</f>
        <v>#N/A</v>
      </c>
      <c r="G525" t="str">
        <f>Advanced!I108</f>
        <v/>
      </c>
    </row>
    <row r="526" spans="1:7" x14ac:dyDescent="0.25">
      <c r="A526">
        <f t="shared" si="11"/>
        <v>0</v>
      </c>
      <c r="B526" t="s">
        <v>18</v>
      </c>
      <c r="C526">
        <f>Advanced!C109</f>
        <v>0</v>
      </c>
      <c r="D526">
        <f>IF(Advanced!I109="Pass",Advanced!G109,0)</f>
        <v>0</v>
      </c>
      <c r="E526" s="2" t="str">
        <f>IF(Advanced!B109="W","W","A")</f>
        <v>A</v>
      </c>
      <c r="F526" s="2" t="e">
        <f>VLOOKUP(JudgeD2CSA,Judges!$A$2:$B$44,2,FALSE)</f>
        <v>#N/A</v>
      </c>
      <c r="G526" t="str">
        <f>Advanced!I109</f>
        <v/>
      </c>
    </row>
    <row r="527" spans="1:7" x14ac:dyDescent="0.25">
      <c r="A527">
        <f t="shared" si="11"/>
        <v>0</v>
      </c>
      <c r="B527" t="s">
        <v>18</v>
      </c>
      <c r="C527">
        <f>Advanced!C110</f>
        <v>0</v>
      </c>
      <c r="D527">
        <f>IF(Advanced!I110="Pass",Advanced!G110,0)</f>
        <v>0</v>
      </c>
      <c r="E527" s="2" t="str">
        <f>IF(Advanced!B110="W","W","A")</f>
        <v>A</v>
      </c>
      <c r="F527" s="2" t="e">
        <f>VLOOKUP(JudgeD2CSA,Judges!$A$2:$B$44,2,FALSE)</f>
        <v>#N/A</v>
      </c>
      <c r="G527" t="str">
        <f>Advanced!I110</f>
        <v/>
      </c>
    </row>
    <row r="528" spans="1:7" x14ac:dyDescent="0.25">
      <c r="A528">
        <f t="shared" si="11"/>
        <v>0</v>
      </c>
      <c r="B528" t="s">
        <v>18</v>
      </c>
      <c r="C528">
        <f>Advanced!C111</f>
        <v>0</v>
      </c>
      <c r="D528">
        <f>IF(Advanced!I111="Pass",Advanced!G111,0)</f>
        <v>0</v>
      </c>
      <c r="E528" s="2" t="str">
        <f>IF(Advanced!B111="W","W","A")</f>
        <v>A</v>
      </c>
      <c r="F528" s="2" t="e">
        <f>VLOOKUP(JudgeD2CSA,Judges!$A$2:$B$44,2,FALSE)</f>
        <v>#N/A</v>
      </c>
      <c r="G528" t="str">
        <f>Advanced!I111</f>
        <v/>
      </c>
    </row>
    <row r="529" spans="1:7" x14ac:dyDescent="0.25">
      <c r="A529">
        <f t="shared" si="11"/>
        <v>0</v>
      </c>
      <c r="B529" t="s">
        <v>18</v>
      </c>
      <c r="C529">
        <f>Advanced!C112</f>
        <v>0</v>
      </c>
      <c r="D529">
        <f>IF(Advanced!I112="Pass",Advanced!G112,0)</f>
        <v>0</v>
      </c>
      <c r="E529" s="2" t="str">
        <f>IF(Advanced!B112="W","W","A")</f>
        <v>A</v>
      </c>
      <c r="F529" s="2" t="e">
        <f>VLOOKUP(JudgeD2CSA,Judges!$A$2:$B$44,2,FALSE)</f>
        <v>#N/A</v>
      </c>
      <c r="G529" t="str">
        <f>Advanced!I112</f>
        <v/>
      </c>
    </row>
    <row r="530" spans="1:7" x14ac:dyDescent="0.25">
      <c r="A530">
        <f t="shared" si="11"/>
        <v>0</v>
      </c>
      <c r="B530" t="s">
        <v>18</v>
      </c>
      <c r="C530">
        <f>Advanced!C113</f>
        <v>0</v>
      </c>
      <c r="D530">
        <f>IF(Advanced!I113="Pass",Advanced!G113,0)</f>
        <v>0</v>
      </c>
      <c r="E530" s="2" t="str">
        <f>IF(Advanced!B113="W","W","A")</f>
        <v>A</v>
      </c>
      <c r="F530" s="2" t="e">
        <f>VLOOKUP(JudgeD2CSA,Judges!$A$2:$B$44,2,FALSE)</f>
        <v>#N/A</v>
      </c>
      <c r="G530" t="str">
        <f>Advanced!I113</f>
        <v/>
      </c>
    </row>
    <row r="531" spans="1:7" x14ac:dyDescent="0.25">
      <c r="A531">
        <f t="shared" si="11"/>
        <v>0</v>
      </c>
      <c r="B531" t="s">
        <v>18</v>
      </c>
      <c r="C531">
        <f>Advanced!C114</f>
        <v>0</v>
      </c>
      <c r="D531">
        <f>IF(Advanced!I114="Pass",Advanced!G114,0)</f>
        <v>0</v>
      </c>
      <c r="E531" s="2" t="str">
        <f>IF(Advanced!B114="W","W","A")</f>
        <v>A</v>
      </c>
      <c r="F531" s="2" t="e">
        <f>VLOOKUP(JudgeD2CSA,Judges!$A$2:$B$44,2,FALSE)</f>
        <v>#N/A</v>
      </c>
      <c r="G531" t="str">
        <f>Advanced!I114</f>
        <v/>
      </c>
    </row>
    <row r="532" spans="1:7" x14ac:dyDescent="0.25">
      <c r="A532">
        <f t="shared" si="11"/>
        <v>0</v>
      </c>
      <c r="B532" t="s">
        <v>19</v>
      </c>
      <c r="C532">
        <f>Advanced!C65</f>
        <v>0</v>
      </c>
      <c r="D532">
        <f>IF(Advanced!Q65="Pass",Advanced!O65,0)</f>
        <v>0</v>
      </c>
      <c r="E532" s="2" t="str">
        <f>IF(Advanced!B65="W","W","A")</f>
        <v>A</v>
      </c>
      <c r="F532" s="2" t="e">
        <f>VLOOKUP(JudgeD2ISA,Judges!$A$2:$B$44,2,FALSE)</f>
        <v>#N/A</v>
      </c>
      <c r="G532" t="str">
        <f>Advanced!Q65</f>
        <v/>
      </c>
    </row>
    <row r="533" spans="1:7" x14ac:dyDescent="0.25">
      <c r="A533">
        <f t="shared" si="11"/>
        <v>0</v>
      </c>
      <c r="B533" t="s">
        <v>19</v>
      </c>
      <c r="C533">
        <f>Advanced!C66</f>
        <v>0</v>
      </c>
      <c r="D533">
        <f>IF(Advanced!Q66="Pass",Advanced!O66,0)</f>
        <v>0</v>
      </c>
      <c r="E533" s="2" t="str">
        <f>IF(Advanced!B66="W","W","A")</f>
        <v>A</v>
      </c>
      <c r="F533" s="2" t="e">
        <f>VLOOKUP(JudgeD2ISA,Judges!$A$2:$B$44,2,FALSE)</f>
        <v>#N/A</v>
      </c>
      <c r="G533" t="str">
        <f>Advanced!Q66</f>
        <v/>
      </c>
    </row>
    <row r="534" spans="1:7" x14ac:dyDescent="0.25">
      <c r="A534">
        <f t="shared" si="11"/>
        <v>0</v>
      </c>
      <c r="B534" t="s">
        <v>19</v>
      </c>
      <c r="C534">
        <f>Advanced!C67</f>
        <v>0</v>
      </c>
      <c r="D534">
        <f>IF(Advanced!Q67="Pass",Advanced!O67,0)</f>
        <v>0</v>
      </c>
      <c r="E534" s="2" t="str">
        <f>IF(Advanced!B67="W","W","A")</f>
        <v>A</v>
      </c>
      <c r="F534" s="2" t="e">
        <f>VLOOKUP(JudgeD2ISA,Judges!$A$2:$B$44,2,FALSE)</f>
        <v>#N/A</v>
      </c>
      <c r="G534" t="str">
        <f>Advanced!Q67</f>
        <v/>
      </c>
    </row>
    <row r="535" spans="1:7" x14ac:dyDescent="0.25">
      <c r="A535">
        <f t="shared" si="11"/>
        <v>0</v>
      </c>
      <c r="B535" t="s">
        <v>19</v>
      </c>
      <c r="C535">
        <f>Advanced!C68</f>
        <v>0</v>
      </c>
      <c r="D535">
        <f>IF(Advanced!Q68="Pass",Advanced!O68,0)</f>
        <v>0</v>
      </c>
      <c r="E535" s="2" t="str">
        <f>IF(Advanced!B68="W","W","A")</f>
        <v>A</v>
      </c>
      <c r="F535" s="2" t="e">
        <f>VLOOKUP(JudgeD2ISA,Judges!$A$2:$B$44,2,FALSE)</f>
        <v>#N/A</v>
      </c>
      <c r="G535" t="str">
        <f>Advanced!Q68</f>
        <v/>
      </c>
    </row>
    <row r="536" spans="1:7" x14ac:dyDescent="0.25">
      <c r="A536">
        <f t="shared" si="11"/>
        <v>0</v>
      </c>
      <c r="B536" t="s">
        <v>19</v>
      </c>
      <c r="C536">
        <f>Advanced!C69</f>
        <v>0</v>
      </c>
      <c r="D536">
        <f>IF(Advanced!Q69="Pass",Advanced!O69,0)</f>
        <v>0</v>
      </c>
      <c r="E536" s="2" t="str">
        <f>IF(Advanced!B69="W","W","A")</f>
        <v>A</v>
      </c>
      <c r="F536" s="2" t="e">
        <f>VLOOKUP(JudgeD2ISA,Judges!$A$2:$B$44,2,FALSE)</f>
        <v>#N/A</v>
      </c>
      <c r="G536" t="str">
        <f>Advanced!Q69</f>
        <v/>
      </c>
    </row>
    <row r="537" spans="1:7" x14ac:dyDescent="0.25">
      <c r="A537">
        <f t="shared" si="11"/>
        <v>0</v>
      </c>
      <c r="B537" t="s">
        <v>19</v>
      </c>
      <c r="C537">
        <f>Advanced!C70</f>
        <v>0</v>
      </c>
      <c r="D537">
        <f>IF(Advanced!Q70="Pass",Advanced!O70,0)</f>
        <v>0</v>
      </c>
      <c r="E537" s="2" t="str">
        <f>IF(Advanced!B70="W","W","A")</f>
        <v>A</v>
      </c>
      <c r="F537" s="2" t="e">
        <f>VLOOKUP(JudgeD2ISA,Judges!$A$2:$B$44,2,FALSE)</f>
        <v>#N/A</v>
      </c>
      <c r="G537" t="str">
        <f>Advanced!Q70</f>
        <v/>
      </c>
    </row>
    <row r="538" spans="1:7" x14ac:dyDescent="0.25">
      <c r="A538">
        <f t="shared" si="11"/>
        <v>0</v>
      </c>
      <c r="B538" t="s">
        <v>19</v>
      </c>
      <c r="C538">
        <f>Advanced!C71</f>
        <v>0</v>
      </c>
      <c r="D538">
        <f>IF(Advanced!Q71="Pass",Advanced!O71,0)</f>
        <v>0</v>
      </c>
      <c r="E538" s="2" t="str">
        <f>IF(Advanced!B71="W","W","A")</f>
        <v>A</v>
      </c>
      <c r="F538" s="2" t="e">
        <f>VLOOKUP(JudgeD2ISA,Judges!$A$2:$B$44,2,FALSE)</f>
        <v>#N/A</v>
      </c>
      <c r="G538" t="str">
        <f>Advanced!Q71</f>
        <v/>
      </c>
    </row>
    <row r="539" spans="1:7" x14ac:dyDescent="0.25">
      <c r="A539">
        <f t="shared" si="11"/>
        <v>0</v>
      </c>
      <c r="B539" t="s">
        <v>19</v>
      </c>
      <c r="C539">
        <f>Advanced!C72</f>
        <v>0</v>
      </c>
      <c r="D539">
        <f>IF(Advanced!Q72="Pass",Advanced!O72,0)</f>
        <v>0</v>
      </c>
      <c r="E539" s="2" t="str">
        <f>IF(Advanced!B72="W","W","A")</f>
        <v>A</v>
      </c>
      <c r="F539" s="2" t="e">
        <f>VLOOKUP(JudgeD2ISA,Judges!$A$2:$B$44,2,FALSE)</f>
        <v>#N/A</v>
      </c>
      <c r="G539" t="str">
        <f>Advanced!Q72</f>
        <v/>
      </c>
    </row>
    <row r="540" spans="1:7" x14ac:dyDescent="0.25">
      <c r="A540">
        <f t="shared" si="11"/>
        <v>0</v>
      </c>
      <c r="B540" t="s">
        <v>19</v>
      </c>
      <c r="C540">
        <f>Advanced!C73</f>
        <v>0</v>
      </c>
      <c r="D540">
        <f>IF(Advanced!Q73="Pass",Advanced!O73,0)</f>
        <v>0</v>
      </c>
      <c r="E540" s="2" t="str">
        <f>IF(Advanced!B73="W","W","A")</f>
        <v>A</v>
      </c>
      <c r="F540" s="2" t="e">
        <f>VLOOKUP(JudgeD2ISA,Judges!$A$2:$B$44,2,FALSE)</f>
        <v>#N/A</v>
      </c>
      <c r="G540" t="str">
        <f>Advanced!Q73</f>
        <v/>
      </c>
    </row>
    <row r="541" spans="1:7" x14ac:dyDescent="0.25">
      <c r="A541">
        <f t="shared" si="11"/>
        <v>0</v>
      </c>
      <c r="B541" t="s">
        <v>19</v>
      </c>
      <c r="C541">
        <f>Advanced!C74</f>
        <v>0</v>
      </c>
      <c r="D541">
        <f>IF(Advanced!Q74="Pass",Advanced!O74,0)</f>
        <v>0</v>
      </c>
      <c r="E541" s="2" t="str">
        <f>IF(Advanced!B74="W","W","A")</f>
        <v>A</v>
      </c>
      <c r="F541" s="2" t="e">
        <f>VLOOKUP(JudgeD2ISA,Judges!$A$2:$B$44,2,FALSE)</f>
        <v>#N/A</v>
      </c>
      <c r="G541" t="str">
        <f>Advanced!Q74</f>
        <v/>
      </c>
    </row>
    <row r="542" spans="1:7" x14ac:dyDescent="0.25">
      <c r="A542">
        <f t="shared" si="11"/>
        <v>0</v>
      </c>
      <c r="B542" t="s">
        <v>19</v>
      </c>
      <c r="C542">
        <f>Advanced!C75</f>
        <v>0</v>
      </c>
      <c r="D542">
        <f>IF(Advanced!Q75="Pass",Advanced!O75,0)</f>
        <v>0</v>
      </c>
      <c r="E542" s="2" t="str">
        <f>IF(Advanced!B75="W","W","A")</f>
        <v>A</v>
      </c>
      <c r="F542" s="2" t="e">
        <f>VLOOKUP(JudgeD2ISA,Judges!$A$2:$B$44,2,FALSE)</f>
        <v>#N/A</v>
      </c>
      <c r="G542" t="str">
        <f>Advanced!Q75</f>
        <v/>
      </c>
    </row>
    <row r="543" spans="1:7" x14ac:dyDescent="0.25">
      <c r="A543">
        <f t="shared" si="11"/>
        <v>0</v>
      </c>
      <c r="B543" t="s">
        <v>19</v>
      </c>
      <c r="C543">
        <f>Advanced!C76</f>
        <v>0</v>
      </c>
      <c r="D543">
        <f>IF(Advanced!Q76="Pass",Advanced!O76,0)</f>
        <v>0</v>
      </c>
      <c r="E543" s="2" t="str">
        <f>IF(Advanced!B76="W","W","A")</f>
        <v>A</v>
      </c>
      <c r="F543" s="2" t="e">
        <f>VLOOKUP(JudgeD2ISA,Judges!$A$2:$B$44,2,FALSE)</f>
        <v>#N/A</v>
      </c>
      <c r="G543" t="str">
        <f>Advanced!Q76</f>
        <v/>
      </c>
    </row>
    <row r="544" spans="1:7" x14ac:dyDescent="0.25">
      <c r="A544">
        <f t="shared" si="11"/>
        <v>0</v>
      </c>
      <c r="B544" t="s">
        <v>19</v>
      </c>
      <c r="C544">
        <f>Advanced!C77</f>
        <v>0</v>
      </c>
      <c r="D544">
        <f>IF(Advanced!Q77="Pass",Advanced!O77,0)</f>
        <v>0</v>
      </c>
      <c r="E544" s="2" t="str">
        <f>IF(Advanced!B77="W","W","A")</f>
        <v>A</v>
      </c>
      <c r="F544" s="2" t="e">
        <f>VLOOKUP(JudgeD2ISA,Judges!$A$2:$B$44,2,FALSE)</f>
        <v>#N/A</v>
      </c>
      <c r="G544" t="str">
        <f>Advanced!Q77</f>
        <v/>
      </c>
    </row>
    <row r="545" spans="1:7" x14ac:dyDescent="0.25">
      <c r="A545">
        <f t="shared" si="11"/>
        <v>0</v>
      </c>
      <c r="B545" t="s">
        <v>19</v>
      </c>
      <c r="C545">
        <f>Advanced!C78</f>
        <v>0</v>
      </c>
      <c r="D545">
        <f>IF(Advanced!Q78="Pass",Advanced!O78,0)</f>
        <v>0</v>
      </c>
      <c r="E545" s="2" t="str">
        <f>IF(Advanced!B78="W","W","A")</f>
        <v>A</v>
      </c>
      <c r="F545" s="2" t="e">
        <f>VLOOKUP(JudgeD2ISA,Judges!$A$2:$B$44,2,FALSE)</f>
        <v>#N/A</v>
      </c>
      <c r="G545" t="str">
        <f>Advanced!Q78</f>
        <v/>
      </c>
    </row>
    <row r="546" spans="1:7" x14ac:dyDescent="0.25">
      <c r="A546">
        <f t="shared" si="11"/>
        <v>0</v>
      </c>
      <c r="B546" t="s">
        <v>19</v>
      </c>
      <c r="C546">
        <f>Advanced!C79</f>
        <v>0</v>
      </c>
      <c r="D546">
        <f>IF(Advanced!Q79="Pass",Advanced!O79,0)</f>
        <v>0</v>
      </c>
      <c r="E546" s="2" t="str">
        <f>IF(Advanced!B79="W","W","A")</f>
        <v>A</v>
      </c>
      <c r="F546" s="2" t="e">
        <f>VLOOKUP(JudgeD2ISA,Judges!$A$2:$B$44,2,FALSE)</f>
        <v>#N/A</v>
      </c>
      <c r="G546" t="str">
        <f>Advanced!Q79</f>
        <v/>
      </c>
    </row>
    <row r="547" spans="1:7" x14ac:dyDescent="0.25">
      <c r="A547">
        <f t="shared" si="11"/>
        <v>0</v>
      </c>
      <c r="B547" t="s">
        <v>19</v>
      </c>
      <c r="C547">
        <f>Advanced!C80</f>
        <v>0</v>
      </c>
      <c r="D547">
        <f>IF(Advanced!Q80="Pass",Advanced!O80,0)</f>
        <v>0</v>
      </c>
      <c r="E547" s="2" t="str">
        <f>IF(Advanced!B80="W","W","A")</f>
        <v>A</v>
      </c>
      <c r="F547" s="2" t="e">
        <f>VLOOKUP(JudgeD2ISA,Judges!$A$2:$B$44,2,FALSE)</f>
        <v>#N/A</v>
      </c>
      <c r="G547" t="str">
        <f>Advanced!Q80</f>
        <v/>
      </c>
    </row>
    <row r="548" spans="1:7" x14ac:dyDescent="0.25">
      <c r="A548">
        <f t="shared" si="11"/>
        <v>0</v>
      </c>
      <c r="B548" t="s">
        <v>19</v>
      </c>
      <c r="C548">
        <f>Advanced!C81</f>
        <v>0</v>
      </c>
      <c r="D548">
        <f>IF(Advanced!Q81="Pass",Advanced!O81,0)</f>
        <v>0</v>
      </c>
      <c r="E548" s="2" t="str">
        <f>IF(Advanced!B81="W","W","A")</f>
        <v>A</v>
      </c>
      <c r="F548" s="2" t="e">
        <f>VLOOKUP(JudgeD2ISA,Judges!$A$2:$B$44,2,FALSE)</f>
        <v>#N/A</v>
      </c>
      <c r="G548" t="str">
        <f>Advanced!Q81</f>
        <v/>
      </c>
    </row>
    <row r="549" spans="1:7" x14ac:dyDescent="0.25">
      <c r="A549">
        <f t="shared" si="11"/>
        <v>0</v>
      </c>
      <c r="B549" t="s">
        <v>19</v>
      </c>
      <c r="C549">
        <f>Advanced!C82</f>
        <v>0</v>
      </c>
      <c r="D549">
        <f>IF(Advanced!Q82="Pass",Advanced!O82,0)</f>
        <v>0</v>
      </c>
      <c r="E549" s="2" t="str">
        <f>IF(Advanced!B82="W","W","A")</f>
        <v>A</v>
      </c>
      <c r="F549" s="2" t="e">
        <f>VLOOKUP(JudgeD2ISA,Judges!$A$2:$B$44,2,FALSE)</f>
        <v>#N/A</v>
      </c>
      <c r="G549" t="str">
        <f>Advanced!Q82</f>
        <v/>
      </c>
    </row>
    <row r="550" spans="1:7" x14ac:dyDescent="0.25">
      <c r="A550">
        <f t="shared" si="11"/>
        <v>0</v>
      </c>
      <c r="B550" t="s">
        <v>19</v>
      </c>
      <c r="C550">
        <f>Advanced!C83</f>
        <v>0</v>
      </c>
      <c r="D550">
        <f>IF(Advanced!Q83="Pass",Advanced!O83,0)</f>
        <v>0</v>
      </c>
      <c r="E550" s="2" t="str">
        <f>IF(Advanced!B83="W","W","A")</f>
        <v>A</v>
      </c>
      <c r="F550" s="2" t="e">
        <f>VLOOKUP(JudgeD2ISA,Judges!$A$2:$B$44,2,FALSE)</f>
        <v>#N/A</v>
      </c>
      <c r="G550" t="str">
        <f>Advanced!Q83</f>
        <v/>
      </c>
    </row>
    <row r="551" spans="1:7" x14ac:dyDescent="0.25">
      <c r="A551">
        <f t="shared" si="11"/>
        <v>0</v>
      </c>
      <c r="B551" t="s">
        <v>19</v>
      </c>
      <c r="C551">
        <f>Advanced!C84</f>
        <v>0</v>
      </c>
      <c r="D551">
        <f>IF(Advanced!Q84="Pass",Advanced!O84,0)</f>
        <v>0</v>
      </c>
      <c r="E551" s="2" t="str">
        <f>IF(Advanced!B84="W","W","A")</f>
        <v>A</v>
      </c>
      <c r="F551" s="2" t="e">
        <f>VLOOKUP(JudgeD2ISA,Judges!$A$2:$B$44,2,FALSE)</f>
        <v>#N/A</v>
      </c>
      <c r="G551" t="str">
        <f>Advanced!Q84</f>
        <v/>
      </c>
    </row>
    <row r="552" spans="1:7" x14ac:dyDescent="0.25">
      <c r="A552">
        <f t="shared" si="11"/>
        <v>0</v>
      </c>
      <c r="B552" t="s">
        <v>19</v>
      </c>
      <c r="C552">
        <f>Advanced!C85</f>
        <v>0</v>
      </c>
      <c r="D552">
        <f>IF(Advanced!Q85="Pass",Advanced!O85,0)</f>
        <v>0</v>
      </c>
      <c r="E552" s="2" t="str">
        <f>IF(Advanced!B85="W","W","A")</f>
        <v>A</v>
      </c>
      <c r="F552" s="2" t="e">
        <f>VLOOKUP(JudgeD2ISA,Judges!$A$2:$B$44,2,FALSE)</f>
        <v>#N/A</v>
      </c>
      <c r="G552" t="str">
        <f>Advanced!Q85</f>
        <v/>
      </c>
    </row>
    <row r="553" spans="1:7" x14ac:dyDescent="0.25">
      <c r="A553">
        <f t="shared" si="11"/>
        <v>0</v>
      </c>
      <c r="B553" t="s">
        <v>19</v>
      </c>
      <c r="C553">
        <f>Advanced!C86</f>
        <v>0</v>
      </c>
      <c r="D553">
        <f>IF(Advanced!Q86="Pass",Advanced!O86,0)</f>
        <v>0</v>
      </c>
      <c r="E553" s="2" t="str">
        <f>IF(Advanced!B86="W","W","A")</f>
        <v>A</v>
      </c>
      <c r="F553" s="2" t="e">
        <f>VLOOKUP(JudgeD2ISA,Judges!$A$2:$B$44,2,FALSE)</f>
        <v>#N/A</v>
      </c>
      <c r="G553" t="str">
        <f>Advanced!Q86</f>
        <v/>
      </c>
    </row>
    <row r="554" spans="1:7" x14ac:dyDescent="0.25">
      <c r="A554">
        <f t="shared" si="11"/>
        <v>0</v>
      </c>
      <c r="B554" t="s">
        <v>19</v>
      </c>
      <c r="C554">
        <f>Advanced!C87</f>
        <v>0</v>
      </c>
      <c r="D554">
        <f>IF(Advanced!Q87="Pass",Advanced!O87,0)</f>
        <v>0</v>
      </c>
      <c r="E554" s="2" t="str">
        <f>IF(Advanced!B87="W","W","A")</f>
        <v>A</v>
      </c>
      <c r="F554" s="2" t="e">
        <f>VLOOKUP(JudgeD2ISA,Judges!$A$2:$B$44,2,FALSE)</f>
        <v>#N/A</v>
      </c>
      <c r="G554" t="str">
        <f>Advanced!Q87</f>
        <v/>
      </c>
    </row>
    <row r="555" spans="1:7" x14ac:dyDescent="0.25">
      <c r="A555">
        <f t="shared" si="11"/>
        <v>0</v>
      </c>
      <c r="B555" t="s">
        <v>19</v>
      </c>
      <c r="C555">
        <f>Advanced!C88</f>
        <v>0</v>
      </c>
      <c r="D555">
        <f>IF(Advanced!Q88="Pass",Advanced!O88,0)</f>
        <v>0</v>
      </c>
      <c r="E555" s="2" t="str">
        <f>IF(Advanced!B88="W","W","A")</f>
        <v>A</v>
      </c>
      <c r="F555" s="2" t="e">
        <f>VLOOKUP(JudgeD2ISA,Judges!$A$2:$B$44,2,FALSE)</f>
        <v>#N/A</v>
      </c>
      <c r="G555" t="str">
        <f>Advanced!Q88</f>
        <v/>
      </c>
    </row>
    <row r="556" spans="1:7" x14ac:dyDescent="0.25">
      <c r="A556">
        <f t="shared" si="11"/>
        <v>0</v>
      </c>
      <c r="B556" t="s">
        <v>19</v>
      </c>
      <c r="C556">
        <f>Advanced!C89</f>
        <v>0</v>
      </c>
      <c r="D556">
        <f>IF(Advanced!Q89="Pass",Advanced!O89,0)</f>
        <v>0</v>
      </c>
      <c r="E556" s="2" t="str">
        <f>IF(Advanced!B89="W","W","A")</f>
        <v>A</v>
      </c>
      <c r="F556" s="2" t="e">
        <f>VLOOKUP(JudgeD2ISA,Judges!$A$2:$B$44,2,FALSE)</f>
        <v>#N/A</v>
      </c>
      <c r="G556" t="str">
        <f>Advanced!Q89</f>
        <v/>
      </c>
    </row>
    <row r="557" spans="1:7" x14ac:dyDescent="0.25">
      <c r="A557">
        <f t="shared" si="11"/>
        <v>0</v>
      </c>
      <c r="B557" t="s">
        <v>19</v>
      </c>
      <c r="C557">
        <f>Advanced!C90</f>
        <v>0</v>
      </c>
      <c r="D557">
        <f>IF(Advanced!Q90="Pass",Advanced!O90,0)</f>
        <v>0</v>
      </c>
      <c r="E557" s="2" t="str">
        <f>IF(Advanced!B90="W","W","A")</f>
        <v>A</v>
      </c>
      <c r="F557" s="2" t="e">
        <f>VLOOKUP(JudgeD2ISA,Judges!$A$2:$B$44,2,FALSE)</f>
        <v>#N/A</v>
      </c>
      <c r="G557" t="str">
        <f>Advanced!Q90</f>
        <v/>
      </c>
    </row>
    <row r="558" spans="1:7" x14ac:dyDescent="0.25">
      <c r="A558">
        <f t="shared" si="11"/>
        <v>0</v>
      </c>
      <c r="B558" t="s">
        <v>19</v>
      </c>
      <c r="C558">
        <f>Advanced!C91</f>
        <v>0</v>
      </c>
      <c r="D558">
        <f>IF(Advanced!Q91="Pass",Advanced!O91,0)</f>
        <v>0</v>
      </c>
      <c r="E558" s="2" t="str">
        <f>IF(Advanced!B91="W","W","A")</f>
        <v>A</v>
      </c>
      <c r="F558" s="2" t="e">
        <f>VLOOKUP(JudgeD2ISA,Judges!$A$2:$B$44,2,FALSE)</f>
        <v>#N/A</v>
      </c>
      <c r="G558" t="str">
        <f>Advanced!Q91</f>
        <v/>
      </c>
    </row>
    <row r="559" spans="1:7" x14ac:dyDescent="0.25">
      <c r="A559">
        <f t="shared" si="11"/>
        <v>0</v>
      </c>
      <c r="B559" t="s">
        <v>19</v>
      </c>
      <c r="C559">
        <f>Advanced!C92</f>
        <v>0</v>
      </c>
      <c r="D559">
        <f>IF(Advanced!Q92="Pass",Advanced!O92,0)</f>
        <v>0</v>
      </c>
      <c r="E559" s="2" t="str">
        <f>IF(Advanced!B92="W","W","A")</f>
        <v>A</v>
      </c>
      <c r="F559" s="2" t="e">
        <f>VLOOKUP(JudgeD2ISA,Judges!$A$2:$B$44,2,FALSE)</f>
        <v>#N/A</v>
      </c>
      <c r="G559" t="str">
        <f>Advanced!Q92</f>
        <v/>
      </c>
    </row>
    <row r="560" spans="1:7" x14ac:dyDescent="0.25">
      <c r="A560">
        <f t="shared" ref="A560:A663" si="12">TrialNumberDay2</f>
        <v>0</v>
      </c>
      <c r="B560" t="s">
        <v>19</v>
      </c>
      <c r="C560">
        <f>Advanced!C93</f>
        <v>0</v>
      </c>
      <c r="D560">
        <f>IF(Advanced!Q93="Pass",Advanced!O93,0)</f>
        <v>0</v>
      </c>
      <c r="E560" s="2" t="str">
        <f>IF(Advanced!B93="W","W","A")</f>
        <v>A</v>
      </c>
      <c r="F560" s="2" t="e">
        <f>VLOOKUP(JudgeD2ISA,Judges!$A$2:$B$44,2,FALSE)</f>
        <v>#N/A</v>
      </c>
      <c r="G560" t="str">
        <f>Advanced!Q93</f>
        <v/>
      </c>
    </row>
    <row r="561" spans="1:7" x14ac:dyDescent="0.25">
      <c r="A561">
        <f t="shared" si="12"/>
        <v>0</v>
      </c>
      <c r="B561" t="s">
        <v>19</v>
      </c>
      <c r="C561">
        <f>Advanced!C94</f>
        <v>0</v>
      </c>
      <c r="D561">
        <f>IF(Advanced!Q94="Pass",Advanced!O94,0)</f>
        <v>0</v>
      </c>
      <c r="E561" s="2" t="str">
        <f>IF(Advanced!B94="W","W","A")</f>
        <v>A</v>
      </c>
      <c r="F561" s="2" t="e">
        <f>VLOOKUP(JudgeD2ISA,Judges!$A$2:$B$44,2,FALSE)</f>
        <v>#N/A</v>
      </c>
      <c r="G561" t="str">
        <f>Advanced!Q94</f>
        <v/>
      </c>
    </row>
    <row r="562" spans="1:7" x14ac:dyDescent="0.25">
      <c r="A562">
        <f t="shared" si="12"/>
        <v>0</v>
      </c>
      <c r="B562" t="s">
        <v>19</v>
      </c>
      <c r="C562">
        <f>Advanced!C95</f>
        <v>0</v>
      </c>
      <c r="D562">
        <f>IF(Advanced!Q95="Pass",Advanced!O95,0)</f>
        <v>0</v>
      </c>
      <c r="E562" s="2" t="str">
        <f>IF(Advanced!B95="W","W","A")</f>
        <v>A</v>
      </c>
      <c r="F562" s="2" t="e">
        <f>VLOOKUP(JudgeD2ISA,Judges!$A$2:$B$44,2,FALSE)</f>
        <v>#N/A</v>
      </c>
      <c r="G562" t="str">
        <f>Advanced!Q95</f>
        <v/>
      </c>
    </row>
    <row r="563" spans="1:7" x14ac:dyDescent="0.25">
      <c r="A563">
        <f t="shared" si="12"/>
        <v>0</v>
      </c>
      <c r="B563" t="s">
        <v>19</v>
      </c>
      <c r="C563">
        <f>Advanced!C96</f>
        <v>0</v>
      </c>
      <c r="D563">
        <f>IF(Advanced!Q96="Pass",Advanced!O96,0)</f>
        <v>0</v>
      </c>
      <c r="E563" s="2" t="str">
        <f>IF(Advanced!B96="W","W","A")</f>
        <v>A</v>
      </c>
      <c r="F563" s="2" t="e">
        <f>VLOOKUP(JudgeD2ISA,Judges!$A$2:$B$44,2,FALSE)</f>
        <v>#N/A</v>
      </c>
      <c r="G563" t="str">
        <f>Advanced!Q96</f>
        <v/>
      </c>
    </row>
    <row r="564" spans="1:7" x14ac:dyDescent="0.25">
      <c r="A564">
        <f t="shared" si="12"/>
        <v>0</v>
      </c>
      <c r="B564" t="s">
        <v>19</v>
      </c>
      <c r="C564">
        <f>Advanced!C97</f>
        <v>0</v>
      </c>
      <c r="D564">
        <f>IF(Advanced!Q97="Pass",Advanced!O97,0)</f>
        <v>0</v>
      </c>
      <c r="E564" s="2" t="str">
        <f>IF(Advanced!B97="W","W","A")</f>
        <v>A</v>
      </c>
      <c r="F564" s="2" t="e">
        <f>VLOOKUP(JudgeD2ISA,Judges!$A$2:$B$44,2,FALSE)</f>
        <v>#N/A</v>
      </c>
      <c r="G564" t="str">
        <f>Advanced!Q97</f>
        <v/>
      </c>
    </row>
    <row r="565" spans="1:7" x14ac:dyDescent="0.25">
      <c r="A565">
        <f t="shared" si="12"/>
        <v>0</v>
      </c>
      <c r="B565" t="s">
        <v>19</v>
      </c>
      <c r="C565">
        <f>Advanced!C98</f>
        <v>0</v>
      </c>
      <c r="D565">
        <f>IF(Advanced!Q98="Pass",Advanced!O98,0)</f>
        <v>0</v>
      </c>
      <c r="E565" s="2" t="str">
        <f>IF(Advanced!B98="W","W","A")</f>
        <v>A</v>
      </c>
      <c r="F565" s="2" t="e">
        <f>VLOOKUP(JudgeD2ISA,Judges!$A$2:$B$44,2,FALSE)</f>
        <v>#N/A</v>
      </c>
      <c r="G565" t="str">
        <f>Advanced!Q98</f>
        <v/>
      </c>
    </row>
    <row r="566" spans="1:7" x14ac:dyDescent="0.25">
      <c r="A566">
        <f t="shared" si="12"/>
        <v>0</v>
      </c>
      <c r="B566" t="s">
        <v>19</v>
      </c>
      <c r="C566">
        <f>Advanced!C99</f>
        <v>0</v>
      </c>
      <c r="D566">
        <f>IF(Advanced!Q99="Pass",Advanced!O99,0)</f>
        <v>0</v>
      </c>
      <c r="E566" s="2" t="str">
        <f>IF(Advanced!B99="W","W","A")</f>
        <v>A</v>
      </c>
      <c r="F566" s="2" t="e">
        <f>VLOOKUP(JudgeD2ISA,Judges!$A$2:$B$44,2,FALSE)</f>
        <v>#N/A</v>
      </c>
      <c r="G566" t="str">
        <f>Advanced!Q99</f>
        <v/>
      </c>
    </row>
    <row r="567" spans="1:7" x14ac:dyDescent="0.25">
      <c r="A567">
        <f t="shared" si="12"/>
        <v>0</v>
      </c>
      <c r="B567" t="s">
        <v>19</v>
      </c>
      <c r="C567">
        <f>Advanced!C100</f>
        <v>0</v>
      </c>
      <c r="D567">
        <f>IF(Advanced!Q100="Pass",Advanced!O100,0)</f>
        <v>0</v>
      </c>
      <c r="E567" s="2" t="str">
        <f>IF(Advanced!B100="W","W","A")</f>
        <v>A</v>
      </c>
      <c r="F567" s="2" t="e">
        <f>VLOOKUP(JudgeD2ISA,Judges!$A$2:$B$44,2,FALSE)</f>
        <v>#N/A</v>
      </c>
      <c r="G567" t="str">
        <f>Advanced!Q100</f>
        <v/>
      </c>
    </row>
    <row r="568" spans="1:7" x14ac:dyDescent="0.25">
      <c r="A568">
        <f t="shared" si="12"/>
        <v>0</v>
      </c>
      <c r="B568" t="s">
        <v>19</v>
      </c>
      <c r="C568">
        <f>Advanced!C101</f>
        <v>0</v>
      </c>
      <c r="D568">
        <f>IF(Advanced!Q101="Pass",Advanced!O101,0)</f>
        <v>0</v>
      </c>
      <c r="E568" s="2" t="str">
        <f>IF(Advanced!B101="W","W","A")</f>
        <v>A</v>
      </c>
      <c r="F568" s="2" t="e">
        <f>VLOOKUP(JudgeD2ISA,Judges!$A$2:$B$44,2,FALSE)</f>
        <v>#N/A</v>
      </c>
      <c r="G568" t="str">
        <f>Advanced!Q101</f>
        <v/>
      </c>
    </row>
    <row r="569" spans="1:7" x14ac:dyDescent="0.25">
      <c r="A569">
        <f t="shared" si="12"/>
        <v>0</v>
      </c>
      <c r="B569" t="s">
        <v>19</v>
      </c>
      <c r="C569">
        <f>Advanced!C102</f>
        <v>0</v>
      </c>
      <c r="D569">
        <f>IF(Advanced!Q102="Pass",Advanced!O102,0)</f>
        <v>0</v>
      </c>
      <c r="E569" s="2" t="str">
        <f>IF(Advanced!B102="W","W","A")</f>
        <v>A</v>
      </c>
      <c r="F569" s="2" t="e">
        <f>VLOOKUP(JudgeD2ISA,Judges!$A$2:$B$44,2,FALSE)</f>
        <v>#N/A</v>
      </c>
      <c r="G569" t="str">
        <f>Advanced!Q102</f>
        <v/>
      </c>
    </row>
    <row r="570" spans="1:7" x14ac:dyDescent="0.25">
      <c r="A570">
        <f t="shared" si="12"/>
        <v>0</v>
      </c>
      <c r="B570" t="s">
        <v>19</v>
      </c>
      <c r="C570">
        <f>Advanced!C103</f>
        <v>0</v>
      </c>
      <c r="D570">
        <f>IF(Advanced!Q103="Pass",Advanced!O103,0)</f>
        <v>0</v>
      </c>
      <c r="E570" s="2" t="str">
        <f>IF(Advanced!B103="W","W","A")</f>
        <v>A</v>
      </c>
      <c r="F570" s="2" t="e">
        <f>VLOOKUP(JudgeD2ISA,Judges!$A$2:$B$44,2,FALSE)</f>
        <v>#N/A</v>
      </c>
      <c r="G570" t="str">
        <f>Advanced!Q103</f>
        <v/>
      </c>
    </row>
    <row r="571" spans="1:7" x14ac:dyDescent="0.25">
      <c r="A571">
        <f t="shared" si="12"/>
        <v>0</v>
      </c>
      <c r="B571" t="s">
        <v>19</v>
      </c>
      <c r="C571">
        <f>Advanced!C104</f>
        <v>0</v>
      </c>
      <c r="D571">
        <f>IF(Advanced!Q104="Pass",Advanced!O104,0)</f>
        <v>0</v>
      </c>
      <c r="E571" s="2" t="str">
        <f>IF(Advanced!B104="W","W","A")</f>
        <v>A</v>
      </c>
      <c r="F571" s="2" t="e">
        <f>VLOOKUP(JudgeD2ISA,Judges!$A$2:$B$44,2,FALSE)</f>
        <v>#N/A</v>
      </c>
      <c r="G571" t="str">
        <f>Advanced!Q104</f>
        <v/>
      </c>
    </row>
    <row r="572" spans="1:7" x14ac:dyDescent="0.25">
      <c r="A572">
        <f t="shared" si="12"/>
        <v>0</v>
      </c>
      <c r="B572" t="s">
        <v>19</v>
      </c>
      <c r="C572">
        <f>Advanced!C105</f>
        <v>0</v>
      </c>
      <c r="D572">
        <f>IF(Advanced!Q105="Pass",Advanced!O105,0)</f>
        <v>0</v>
      </c>
      <c r="E572" s="2" t="str">
        <f>IF(Advanced!B105="W","W","A")</f>
        <v>A</v>
      </c>
      <c r="F572" s="2" t="e">
        <f>VLOOKUP(JudgeD2ISA,Judges!$A$2:$B$44,2,FALSE)</f>
        <v>#N/A</v>
      </c>
      <c r="G572" t="str">
        <f>Advanced!Q105</f>
        <v/>
      </c>
    </row>
    <row r="573" spans="1:7" x14ac:dyDescent="0.25">
      <c r="A573">
        <f t="shared" si="12"/>
        <v>0</v>
      </c>
      <c r="B573" t="s">
        <v>19</v>
      </c>
      <c r="C573">
        <f>Advanced!C106</f>
        <v>0</v>
      </c>
      <c r="D573">
        <f>IF(Advanced!Q106="Pass",Advanced!O106,0)</f>
        <v>0</v>
      </c>
      <c r="E573" s="2" t="str">
        <f>IF(Advanced!B106="W","W","A")</f>
        <v>A</v>
      </c>
      <c r="F573" s="2" t="e">
        <f>VLOOKUP(JudgeD2ISA,Judges!$A$2:$B$44,2,FALSE)</f>
        <v>#N/A</v>
      </c>
      <c r="G573" t="str">
        <f>Advanced!Q106</f>
        <v/>
      </c>
    </row>
    <row r="574" spans="1:7" x14ac:dyDescent="0.25">
      <c r="A574">
        <f t="shared" si="12"/>
        <v>0</v>
      </c>
      <c r="B574" t="s">
        <v>19</v>
      </c>
      <c r="C574">
        <f>Advanced!C107</f>
        <v>0</v>
      </c>
      <c r="D574">
        <f>IF(Advanced!Q107="Pass",Advanced!O107,0)</f>
        <v>0</v>
      </c>
      <c r="E574" s="2" t="str">
        <f>IF(Advanced!B107="W","W","A")</f>
        <v>A</v>
      </c>
      <c r="F574" s="2" t="e">
        <f>VLOOKUP(JudgeD2ISA,Judges!$A$2:$B$44,2,FALSE)</f>
        <v>#N/A</v>
      </c>
      <c r="G574" t="str">
        <f>Advanced!Q107</f>
        <v/>
      </c>
    </row>
    <row r="575" spans="1:7" x14ac:dyDescent="0.25">
      <c r="A575">
        <f t="shared" si="12"/>
        <v>0</v>
      </c>
      <c r="B575" t="s">
        <v>19</v>
      </c>
      <c r="C575">
        <f>Advanced!C108</f>
        <v>0</v>
      </c>
      <c r="D575">
        <f>IF(Advanced!Q108="Pass",Advanced!O108,0)</f>
        <v>0</v>
      </c>
      <c r="E575" s="2" t="str">
        <f>IF(Advanced!B108="W","W","A")</f>
        <v>A</v>
      </c>
      <c r="F575" s="2" t="e">
        <f>VLOOKUP(JudgeD2ISA,Judges!$A$2:$B$44,2,FALSE)</f>
        <v>#N/A</v>
      </c>
      <c r="G575" t="str">
        <f>Advanced!Q108</f>
        <v/>
      </c>
    </row>
    <row r="576" spans="1:7" x14ac:dyDescent="0.25">
      <c r="A576">
        <f t="shared" si="12"/>
        <v>0</v>
      </c>
      <c r="B576" t="s">
        <v>19</v>
      </c>
      <c r="C576">
        <f>Advanced!C109</f>
        <v>0</v>
      </c>
      <c r="D576">
        <f>IF(Advanced!Q109="Pass",Advanced!O109,0)</f>
        <v>0</v>
      </c>
      <c r="E576" s="2" t="str">
        <f>IF(Advanced!B109="W","W","A")</f>
        <v>A</v>
      </c>
      <c r="F576" s="2" t="e">
        <f>VLOOKUP(JudgeD2ISA,Judges!$A$2:$B$44,2,FALSE)</f>
        <v>#N/A</v>
      </c>
      <c r="G576" t="str">
        <f>Advanced!Q109</f>
        <v/>
      </c>
    </row>
    <row r="577" spans="1:7" x14ac:dyDescent="0.25">
      <c r="A577">
        <f t="shared" si="12"/>
        <v>0</v>
      </c>
      <c r="B577" t="s">
        <v>19</v>
      </c>
      <c r="C577">
        <f>Advanced!C110</f>
        <v>0</v>
      </c>
      <c r="D577">
        <f>IF(Advanced!Q110="Pass",Advanced!O110,0)</f>
        <v>0</v>
      </c>
      <c r="E577" s="2" t="str">
        <f>IF(Advanced!B110="W","W","A")</f>
        <v>A</v>
      </c>
      <c r="F577" s="2" t="e">
        <f>VLOOKUP(JudgeD2ISA,Judges!$A$2:$B$44,2,FALSE)</f>
        <v>#N/A</v>
      </c>
      <c r="G577" t="str">
        <f>Advanced!Q110</f>
        <v/>
      </c>
    </row>
    <row r="578" spans="1:7" x14ac:dyDescent="0.25">
      <c r="A578">
        <f t="shared" si="12"/>
        <v>0</v>
      </c>
      <c r="B578" t="s">
        <v>19</v>
      </c>
      <c r="C578">
        <f>Advanced!C111</f>
        <v>0</v>
      </c>
      <c r="D578">
        <f>IF(Advanced!Q111="Pass",Advanced!O111,0)</f>
        <v>0</v>
      </c>
      <c r="E578" s="2" t="str">
        <f>IF(Advanced!B111="W","W","A")</f>
        <v>A</v>
      </c>
      <c r="F578" s="2" t="e">
        <f>VLOOKUP(JudgeD2ISA,Judges!$A$2:$B$44,2,FALSE)</f>
        <v>#N/A</v>
      </c>
      <c r="G578" t="str">
        <f>Advanced!Q111</f>
        <v/>
      </c>
    </row>
    <row r="579" spans="1:7" x14ac:dyDescent="0.25">
      <c r="A579">
        <f t="shared" si="12"/>
        <v>0</v>
      </c>
      <c r="B579" t="s">
        <v>19</v>
      </c>
      <c r="C579">
        <f>Advanced!C112</f>
        <v>0</v>
      </c>
      <c r="D579">
        <f>IF(Advanced!Q112="Pass",Advanced!O112,0)</f>
        <v>0</v>
      </c>
      <c r="E579" s="2" t="str">
        <f>IF(Advanced!B112="W","W","A")</f>
        <v>A</v>
      </c>
      <c r="F579" s="2" t="e">
        <f>VLOOKUP(JudgeD2ISA,Judges!$A$2:$B$44,2,FALSE)</f>
        <v>#N/A</v>
      </c>
      <c r="G579" t="str">
        <f>Advanced!Q112</f>
        <v/>
      </c>
    </row>
    <row r="580" spans="1:7" x14ac:dyDescent="0.25">
      <c r="A580">
        <f t="shared" si="12"/>
        <v>0</v>
      </c>
      <c r="B580" t="s">
        <v>19</v>
      </c>
      <c r="C580">
        <f>Advanced!C113</f>
        <v>0</v>
      </c>
      <c r="D580">
        <f>IF(Advanced!Q113="Pass",Advanced!O113,0)</f>
        <v>0</v>
      </c>
      <c r="E580" s="2" t="str">
        <f>IF(Advanced!B113="W","W","A")</f>
        <v>A</v>
      </c>
      <c r="F580" s="2" t="e">
        <f>VLOOKUP(JudgeD2ISA,Judges!$A$2:$B$44,2,FALSE)</f>
        <v>#N/A</v>
      </c>
      <c r="G580" t="str">
        <f>Advanced!Q113</f>
        <v/>
      </c>
    </row>
    <row r="581" spans="1:7" x14ac:dyDescent="0.25">
      <c r="A581">
        <f t="shared" si="12"/>
        <v>0</v>
      </c>
      <c r="B581" t="s">
        <v>19</v>
      </c>
      <c r="C581">
        <f>Advanced!C114</f>
        <v>0</v>
      </c>
      <c r="D581">
        <f>IF(Advanced!Q114="Pass",Advanced!O114,0)</f>
        <v>0</v>
      </c>
      <c r="E581" s="2" t="str">
        <f>IF(Advanced!B114="W","W","A")</f>
        <v>A</v>
      </c>
      <c r="F581" s="2" t="e">
        <f>VLOOKUP(JudgeD2ISA,Judges!$A$2:$B$44,2,FALSE)</f>
        <v>#N/A</v>
      </c>
      <c r="G581" t="str">
        <f>Advanced!Q114</f>
        <v/>
      </c>
    </row>
    <row r="582" spans="1:7" x14ac:dyDescent="0.25">
      <c r="A582">
        <f t="shared" si="12"/>
        <v>0</v>
      </c>
      <c r="B582" t="s">
        <v>20</v>
      </c>
      <c r="C582">
        <f>Advanced!C65</f>
        <v>0</v>
      </c>
      <c r="D582">
        <f>IF(Advanced!Y65="Pass",Advanced!W65,0)</f>
        <v>0</v>
      </c>
      <c r="E582" s="2" t="str">
        <f>IF(Advanced!B65="W","W","A")</f>
        <v>A</v>
      </c>
      <c r="F582" s="2" t="e">
        <f>VLOOKUP(JudgeD2ESA,Judges!$A$2:$B$44,2,FALSE)</f>
        <v>#N/A</v>
      </c>
      <c r="G582" t="str">
        <f>Advanced!Y65</f>
        <v/>
      </c>
    </row>
    <row r="583" spans="1:7" x14ac:dyDescent="0.25">
      <c r="A583">
        <f t="shared" si="12"/>
        <v>0</v>
      </c>
      <c r="B583" t="s">
        <v>20</v>
      </c>
      <c r="C583">
        <f>Advanced!C66</f>
        <v>0</v>
      </c>
      <c r="D583">
        <f>IF(Advanced!Y66="Pass",Advanced!W66,0)</f>
        <v>0</v>
      </c>
      <c r="E583" s="2" t="str">
        <f>IF(Advanced!B66="W","W","A")</f>
        <v>A</v>
      </c>
      <c r="F583" s="2" t="e">
        <f>VLOOKUP(JudgeD2ESA,Judges!$A$2:$B$44,2,FALSE)</f>
        <v>#N/A</v>
      </c>
      <c r="G583" t="str">
        <f>Advanced!Y66</f>
        <v/>
      </c>
    </row>
    <row r="584" spans="1:7" x14ac:dyDescent="0.25">
      <c r="A584">
        <f t="shared" si="12"/>
        <v>0</v>
      </c>
      <c r="B584" t="s">
        <v>20</v>
      </c>
      <c r="C584">
        <f>Advanced!C67</f>
        <v>0</v>
      </c>
      <c r="D584">
        <f>IF(Advanced!Y67="Pass",Advanced!W67,0)</f>
        <v>0</v>
      </c>
      <c r="E584" s="2" t="str">
        <f>IF(Advanced!B67="W","W","A")</f>
        <v>A</v>
      </c>
      <c r="F584" s="2" t="e">
        <f>VLOOKUP(JudgeD2ESA,Judges!$A$2:$B$44,2,FALSE)</f>
        <v>#N/A</v>
      </c>
      <c r="G584" t="str">
        <f>Advanced!Y67</f>
        <v/>
      </c>
    </row>
    <row r="585" spans="1:7" x14ac:dyDescent="0.25">
      <c r="A585">
        <f t="shared" si="12"/>
        <v>0</v>
      </c>
      <c r="B585" t="s">
        <v>20</v>
      </c>
      <c r="C585">
        <f>Advanced!C68</f>
        <v>0</v>
      </c>
      <c r="D585">
        <f>IF(Advanced!Y68="Pass",Advanced!W68,0)</f>
        <v>0</v>
      </c>
      <c r="E585" s="2" t="str">
        <f>IF(Advanced!B68="W","W","A")</f>
        <v>A</v>
      </c>
      <c r="F585" s="2" t="e">
        <f>VLOOKUP(JudgeD2ESA,Judges!$A$2:$B$44,2,FALSE)</f>
        <v>#N/A</v>
      </c>
      <c r="G585" t="str">
        <f>Advanced!Y68</f>
        <v/>
      </c>
    </row>
    <row r="586" spans="1:7" x14ac:dyDescent="0.25">
      <c r="A586">
        <f t="shared" si="12"/>
        <v>0</v>
      </c>
      <c r="B586" t="s">
        <v>20</v>
      </c>
      <c r="C586">
        <f>Advanced!C69</f>
        <v>0</v>
      </c>
      <c r="D586">
        <f>IF(Advanced!Y69="Pass",Advanced!W69,0)</f>
        <v>0</v>
      </c>
      <c r="E586" s="2" t="str">
        <f>IF(Advanced!B69="W","W","A")</f>
        <v>A</v>
      </c>
      <c r="F586" s="2" t="e">
        <f>VLOOKUP(JudgeD2ESA,Judges!$A$2:$B$44,2,FALSE)</f>
        <v>#N/A</v>
      </c>
      <c r="G586" t="str">
        <f>Advanced!Y69</f>
        <v/>
      </c>
    </row>
    <row r="587" spans="1:7" x14ac:dyDescent="0.25">
      <c r="A587">
        <f t="shared" si="12"/>
        <v>0</v>
      </c>
      <c r="B587" t="s">
        <v>20</v>
      </c>
      <c r="C587">
        <f>Advanced!C70</f>
        <v>0</v>
      </c>
      <c r="D587">
        <f>IF(Advanced!Y70="Pass",Advanced!W70,0)</f>
        <v>0</v>
      </c>
      <c r="E587" s="2" t="str">
        <f>IF(Advanced!B70="W","W","A")</f>
        <v>A</v>
      </c>
      <c r="F587" s="2" t="e">
        <f>VLOOKUP(JudgeD2ESA,Judges!$A$2:$B$44,2,FALSE)</f>
        <v>#N/A</v>
      </c>
      <c r="G587" t="str">
        <f>Advanced!Y70</f>
        <v/>
      </c>
    </row>
    <row r="588" spans="1:7" x14ac:dyDescent="0.25">
      <c r="A588">
        <f t="shared" si="12"/>
        <v>0</v>
      </c>
      <c r="B588" t="s">
        <v>20</v>
      </c>
      <c r="C588">
        <f>Advanced!C71</f>
        <v>0</v>
      </c>
      <c r="D588">
        <f>IF(Advanced!Y71="Pass",Advanced!W71,0)</f>
        <v>0</v>
      </c>
      <c r="E588" s="2" t="str">
        <f>IF(Advanced!B71="W","W","A")</f>
        <v>A</v>
      </c>
      <c r="F588" s="2" t="e">
        <f>VLOOKUP(JudgeD2ESA,Judges!$A$2:$B$44,2,FALSE)</f>
        <v>#N/A</v>
      </c>
      <c r="G588" t="str">
        <f>Advanced!Y71</f>
        <v/>
      </c>
    </row>
    <row r="589" spans="1:7" x14ac:dyDescent="0.25">
      <c r="A589">
        <f t="shared" si="12"/>
        <v>0</v>
      </c>
      <c r="B589" t="s">
        <v>20</v>
      </c>
      <c r="C589">
        <f>Advanced!C72</f>
        <v>0</v>
      </c>
      <c r="D589">
        <f>IF(Advanced!Y72="Pass",Advanced!W72,0)</f>
        <v>0</v>
      </c>
      <c r="E589" s="2" t="str">
        <f>IF(Advanced!B72="W","W","A")</f>
        <v>A</v>
      </c>
      <c r="F589" s="2" t="e">
        <f>VLOOKUP(JudgeD2ESA,Judges!$A$2:$B$44,2,FALSE)</f>
        <v>#N/A</v>
      </c>
      <c r="G589" t="str">
        <f>Advanced!Y72</f>
        <v/>
      </c>
    </row>
    <row r="590" spans="1:7" x14ac:dyDescent="0.25">
      <c r="A590">
        <f t="shared" si="12"/>
        <v>0</v>
      </c>
      <c r="B590" t="s">
        <v>20</v>
      </c>
      <c r="C590">
        <f>Advanced!C73</f>
        <v>0</v>
      </c>
      <c r="D590">
        <f>IF(Advanced!Y73="Pass",Advanced!W73,0)</f>
        <v>0</v>
      </c>
      <c r="E590" s="2" t="str">
        <f>IF(Advanced!B73="W","W","A")</f>
        <v>A</v>
      </c>
      <c r="F590" s="2" t="e">
        <f>VLOOKUP(JudgeD2ESA,Judges!$A$2:$B$44,2,FALSE)</f>
        <v>#N/A</v>
      </c>
      <c r="G590" t="str">
        <f>Advanced!Y73</f>
        <v/>
      </c>
    </row>
    <row r="591" spans="1:7" x14ac:dyDescent="0.25">
      <c r="A591">
        <f t="shared" si="12"/>
        <v>0</v>
      </c>
      <c r="B591" t="s">
        <v>20</v>
      </c>
      <c r="C591">
        <f>Advanced!C74</f>
        <v>0</v>
      </c>
      <c r="D591">
        <f>IF(Advanced!Y74="Pass",Advanced!W74,0)</f>
        <v>0</v>
      </c>
      <c r="E591" s="2" t="str">
        <f>IF(Advanced!B74="W","W","A")</f>
        <v>A</v>
      </c>
      <c r="F591" s="2" t="e">
        <f>VLOOKUP(JudgeD2ESA,Judges!$A$2:$B$44,2,FALSE)</f>
        <v>#N/A</v>
      </c>
      <c r="G591" t="str">
        <f>Advanced!Y74</f>
        <v/>
      </c>
    </row>
    <row r="592" spans="1:7" x14ac:dyDescent="0.25">
      <c r="A592">
        <f t="shared" si="12"/>
        <v>0</v>
      </c>
      <c r="B592" t="s">
        <v>20</v>
      </c>
      <c r="C592">
        <f>Advanced!C75</f>
        <v>0</v>
      </c>
      <c r="D592">
        <f>IF(Advanced!Y75="Pass",Advanced!W75,0)</f>
        <v>0</v>
      </c>
      <c r="E592" s="2" t="str">
        <f>IF(Advanced!B75="W","W","A")</f>
        <v>A</v>
      </c>
      <c r="F592" s="2" t="e">
        <f>VLOOKUP(JudgeD2ESA,Judges!$A$2:$B$44,2,FALSE)</f>
        <v>#N/A</v>
      </c>
      <c r="G592" t="str">
        <f>Advanced!Y75</f>
        <v/>
      </c>
    </row>
    <row r="593" spans="1:7" x14ac:dyDescent="0.25">
      <c r="A593">
        <f t="shared" si="12"/>
        <v>0</v>
      </c>
      <c r="B593" t="s">
        <v>20</v>
      </c>
      <c r="C593">
        <f>Advanced!C76</f>
        <v>0</v>
      </c>
      <c r="D593">
        <f>IF(Advanced!Y76="Pass",Advanced!W76,0)</f>
        <v>0</v>
      </c>
      <c r="E593" s="2" t="str">
        <f>IF(Advanced!B76="W","W","A")</f>
        <v>A</v>
      </c>
      <c r="F593" s="2" t="e">
        <f>VLOOKUP(JudgeD2ESA,Judges!$A$2:$B$44,2,FALSE)</f>
        <v>#N/A</v>
      </c>
      <c r="G593" t="str">
        <f>Advanced!Y76</f>
        <v/>
      </c>
    </row>
    <row r="594" spans="1:7" x14ac:dyDescent="0.25">
      <c r="A594">
        <f t="shared" si="12"/>
        <v>0</v>
      </c>
      <c r="B594" t="s">
        <v>20</v>
      </c>
      <c r="C594">
        <f>Advanced!C77</f>
        <v>0</v>
      </c>
      <c r="D594">
        <f>IF(Advanced!Y77="Pass",Advanced!W77,0)</f>
        <v>0</v>
      </c>
      <c r="E594" s="2" t="str">
        <f>IF(Advanced!B77="W","W","A")</f>
        <v>A</v>
      </c>
      <c r="F594" s="2" t="e">
        <f>VLOOKUP(JudgeD2ESA,Judges!$A$2:$B$44,2,FALSE)</f>
        <v>#N/A</v>
      </c>
      <c r="G594" t="str">
        <f>Advanced!Y77</f>
        <v/>
      </c>
    </row>
    <row r="595" spans="1:7" x14ac:dyDescent="0.25">
      <c r="A595">
        <f t="shared" si="12"/>
        <v>0</v>
      </c>
      <c r="B595" t="s">
        <v>20</v>
      </c>
      <c r="C595">
        <f>Advanced!C78</f>
        <v>0</v>
      </c>
      <c r="D595">
        <f>IF(Advanced!Y78="Pass",Advanced!W78,0)</f>
        <v>0</v>
      </c>
      <c r="E595" s="2" t="str">
        <f>IF(Advanced!B78="W","W","A")</f>
        <v>A</v>
      </c>
      <c r="F595" s="2" t="e">
        <f>VLOOKUP(JudgeD2ESA,Judges!$A$2:$B$44,2,FALSE)</f>
        <v>#N/A</v>
      </c>
      <c r="G595" t="str">
        <f>Advanced!Y78</f>
        <v/>
      </c>
    </row>
    <row r="596" spans="1:7" x14ac:dyDescent="0.25">
      <c r="A596">
        <f t="shared" si="12"/>
        <v>0</v>
      </c>
      <c r="B596" t="s">
        <v>20</v>
      </c>
      <c r="C596">
        <f>Advanced!C79</f>
        <v>0</v>
      </c>
      <c r="D596">
        <f>IF(Advanced!Y79="Pass",Advanced!W79,0)</f>
        <v>0</v>
      </c>
      <c r="E596" s="2" t="str">
        <f>IF(Advanced!B79="W","W","A")</f>
        <v>A</v>
      </c>
      <c r="F596" s="2" t="e">
        <f>VLOOKUP(JudgeD2ESA,Judges!$A$2:$B$44,2,FALSE)</f>
        <v>#N/A</v>
      </c>
      <c r="G596" t="str">
        <f>Advanced!Y79</f>
        <v/>
      </c>
    </row>
    <row r="597" spans="1:7" x14ac:dyDescent="0.25">
      <c r="A597">
        <f t="shared" si="12"/>
        <v>0</v>
      </c>
      <c r="B597" t="s">
        <v>20</v>
      </c>
      <c r="C597">
        <f>Advanced!C80</f>
        <v>0</v>
      </c>
      <c r="D597">
        <f>IF(Advanced!Y80="Pass",Advanced!W80,0)</f>
        <v>0</v>
      </c>
      <c r="E597" s="2" t="str">
        <f>IF(Advanced!B80="W","W","A")</f>
        <v>A</v>
      </c>
      <c r="F597" s="2" t="e">
        <f>VLOOKUP(JudgeD2ESA,Judges!$A$2:$B$44,2,FALSE)</f>
        <v>#N/A</v>
      </c>
      <c r="G597" t="str">
        <f>Advanced!Y80</f>
        <v/>
      </c>
    </row>
    <row r="598" spans="1:7" x14ac:dyDescent="0.25">
      <c r="A598">
        <f t="shared" si="12"/>
        <v>0</v>
      </c>
      <c r="B598" t="s">
        <v>20</v>
      </c>
      <c r="C598">
        <f>Advanced!C81</f>
        <v>0</v>
      </c>
      <c r="D598">
        <f>IF(Advanced!Y81="Pass",Advanced!W81,0)</f>
        <v>0</v>
      </c>
      <c r="E598" s="2" t="str">
        <f>IF(Advanced!B81="W","W","A")</f>
        <v>A</v>
      </c>
      <c r="F598" s="2" t="e">
        <f>VLOOKUP(JudgeD2ESA,Judges!$A$2:$B$44,2,FALSE)</f>
        <v>#N/A</v>
      </c>
      <c r="G598" t="str">
        <f>Advanced!Y81</f>
        <v/>
      </c>
    </row>
    <row r="599" spans="1:7" x14ac:dyDescent="0.25">
      <c r="A599">
        <f t="shared" si="12"/>
        <v>0</v>
      </c>
      <c r="B599" t="s">
        <v>20</v>
      </c>
      <c r="C599">
        <f>Advanced!C82</f>
        <v>0</v>
      </c>
      <c r="D599">
        <f>IF(Advanced!Y82="Pass",Advanced!W82,0)</f>
        <v>0</v>
      </c>
      <c r="E599" s="2" t="str">
        <f>IF(Advanced!B82="W","W","A")</f>
        <v>A</v>
      </c>
      <c r="F599" s="2" t="e">
        <f>VLOOKUP(JudgeD2ESA,Judges!$A$2:$B$44,2,FALSE)</f>
        <v>#N/A</v>
      </c>
      <c r="G599" t="str">
        <f>Advanced!Y82</f>
        <v/>
      </c>
    </row>
    <row r="600" spans="1:7" x14ac:dyDescent="0.25">
      <c r="A600">
        <f t="shared" si="12"/>
        <v>0</v>
      </c>
      <c r="B600" t="s">
        <v>20</v>
      </c>
      <c r="C600">
        <f>Advanced!C83</f>
        <v>0</v>
      </c>
      <c r="D600">
        <f>IF(Advanced!Y83="Pass",Advanced!W83,0)</f>
        <v>0</v>
      </c>
      <c r="E600" s="2" t="str">
        <f>IF(Advanced!B83="W","W","A")</f>
        <v>A</v>
      </c>
      <c r="F600" s="2" t="e">
        <f>VLOOKUP(JudgeD2ESA,Judges!$A$2:$B$44,2,FALSE)</f>
        <v>#N/A</v>
      </c>
      <c r="G600" t="str">
        <f>Advanced!Y83</f>
        <v/>
      </c>
    </row>
    <row r="601" spans="1:7" x14ac:dyDescent="0.25">
      <c r="A601">
        <f t="shared" si="12"/>
        <v>0</v>
      </c>
      <c r="B601" t="s">
        <v>20</v>
      </c>
      <c r="C601">
        <f>Advanced!C84</f>
        <v>0</v>
      </c>
      <c r="D601">
        <f>IF(Advanced!Y84="Pass",Advanced!W84,0)</f>
        <v>0</v>
      </c>
      <c r="E601" s="2" t="str">
        <f>IF(Advanced!B84="W","W","A")</f>
        <v>A</v>
      </c>
      <c r="F601" s="2" t="e">
        <f>VLOOKUP(JudgeD2ESA,Judges!$A$2:$B$44,2,FALSE)</f>
        <v>#N/A</v>
      </c>
      <c r="G601" t="str">
        <f>Advanced!Y84</f>
        <v/>
      </c>
    </row>
    <row r="602" spans="1:7" x14ac:dyDescent="0.25">
      <c r="A602">
        <f t="shared" si="12"/>
        <v>0</v>
      </c>
      <c r="B602" t="s">
        <v>20</v>
      </c>
      <c r="C602">
        <f>Advanced!C85</f>
        <v>0</v>
      </c>
      <c r="D602">
        <f>IF(Advanced!Y85="Pass",Advanced!W85,0)</f>
        <v>0</v>
      </c>
      <c r="E602" s="2" t="str">
        <f>IF(Advanced!B85="W","W","A")</f>
        <v>A</v>
      </c>
      <c r="F602" s="2" t="e">
        <f>VLOOKUP(JudgeD2ESA,Judges!$A$2:$B$44,2,FALSE)</f>
        <v>#N/A</v>
      </c>
      <c r="G602" t="str">
        <f>Advanced!Y85</f>
        <v/>
      </c>
    </row>
    <row r="603" spans="1:7" x14ac:dyDescent="0.25">
      <c r="A603">
        <f t="shared" si="12"/>
        <v>0</v>
      </c>
      <c r="B603" t="s">
        <v>20</v>
      </c>
      <c r="C603">
        <f>Advanced!C86</f>
        <v>0</v>
      </c>
      <c r="D603">
        <f>IF(Advanced!Y86="Pass",Advanced!W86,0)</f>
        <v>0</v>
      </c>
      <c r="E603" s="2" t="str">
        <f>IF(Advanced!B86="W","W","A")</f>
        <v>A</v>
      </c>
      <c r="F603" s="2" t="e">
        <f>VLOOKUP(JudgeD2ESA,Judges!$A$2:$B$44,2,FALSE)</f>
        <v>#N/A</v>
      </c>
      <c r="G603" t="str">
        <f>Advanced!Y86</f>
        <v/>
      </c>
    </row>
    <row r="604" spans="1:7" x14ac:dyDescent="0.25">
      <c r="A604">
        <f t="shared" si="12"/>
        <v>0</v>
      </c>
      <c r="B604" t="s">
        <v>20</v>
      </c>
      <c r="C604">
        <f>Advanced!C87</f>
        <v>0</v>
      </c>
      <c r="D604">
        <f>IF(Advanced!Y87="Pass",Advanced!W87,0)</f>
        <v>0</v>
      </c>
      <c r="E604" s="2" t="str">
        <f>IF(Advanced!B87="W","W","A")</f>
        <v>A</v>
      </c>
      <c r="F604" s="2" t="e">
        <f>VLOOKUP(JudgeD2ESA,Judges!$A$2:$B$44,2,FALSE)</f>
        <v>#N/A</v>
      </c>
      <c r="G604" t="str">
        <f>Advanced!Y87</f>
        <v/>
      </c>
    </row>
    <row r="605" spans="1:7" x14ac:dyDescent="0.25">
      <c r="A605">
        <f t="shared" si="12"/>
        <v>0</v>
      </c>
      <c r="B605" t="s">
        <v>20</v>
      </c>
      <c r="C605">
        <f>Advanced!C88</f>
        <v>0</v>
      </c>
      <c r="D605">
        <f>IF(Advanced!Y88="Pass",Advanced!W88,0)</f>
        <v>0</v>
      </c>
      <c r="E605" s="2" t="str">
        <f>IF(Advanced!B88="W","W","A")</f>
        <v>A</v>
      </c>
      <c r="F605" s="2" t="e">
        <f>VLOOKUP(JudgeD2ESA,Judges!$A$2:$B$44,2,FALSE)</f>
        <v>#N/A</v>
      </c>
      <c r="G605" t="str">
        <f>Advanced!Y88</f>
        <v/>
      </c>
    </row>
    <row r="606" spans="1:7" x14ac:dyDescent="0.25">
      <c r="A606">
        <f t="shared" si="12"/>
        <v>0</v>
      </c>
      <c r="B606" t="s">
        <v>20</v>
      </c>
      <c r="C606">
        <f>Advanced!C89</f>
        <v>0</v>
      </c>
      <c r="D606">
        <f>IF(Advanced!Y89="Pass",Advanced!W89,0)</f>
        <v>0</v>
      </c>
      <c r="E606" s="2" t="str">
        <f>IF(Advanced!B89="W","W","A")</f>
        <v>A</v>
      </c>
      <c r="F606" s="2" t="e">
        <f>VLOOKUP(JudgeD2ESA,Judges!$A$2:$B$44,2,FALSE)</f>
        <v>#N/A</v>
      </c>
      <c r="G606" t="str">
        <f>Advanced!Y89</f>
        <v/>
      </c>
    </row>
    <row r="607" spans="1:7" x14ac:dyDescent="0.25">
      <c r="A607">
        <f t="shared" si="12"/>
        <v>0</v>
      </c>
      <c r="B607" t="s">
        <v>20</v>
      </c>
      <c r="C607">
        <f>Advanced!C90</f>
        <v>0</v>
      </c>
      <c r="D607">
        <f>IF(Advanced!Y90="Pass",Advanced!W90,0)</f>
        <v>0</v>
      </c>
      <c r="E607" s="2" t="str">
        <f>IF(Advanced!B90="W","W","A")</f>
        <v>A</v>
      </c>
      <c r="F607" s="2" t="e">
        <f>VLOOKUP(JudgeD2ESA,Judges!$A$2:$B$44,2,FALSE)</f>
        <v>#N/A</v>
      </c>
      <c r="G607" t="str">
        <f>Advanced!Y90</f>
        <v/>
      </c>
    </row>
    <row r="608" spans="1:7" x14ac:dyDescent="0.25">
      <c r="A608">
        <f t="shared" si="12"/>
        <v>0</v>
      </c>
      <c r="B608" t="s">
        <v>20</v>
      </c>
      <c r="C608">
        <f>Advanced!C91</f>
        <v>0</v>
      </c>
      <c r="D608">
        <f>IF(Advanced!Y91="Pass",Advanced!W91,0)</f>
        <v>0</v>
      </c>
      <c r="E608" s="2" t="str">
        <f>IF(Advanced!B91="W","W","A")</f>
        <v>A</v>
      </c>
      <c r="F608" s="2" t="e">
        <f>VLOOKUP(JudgeD2ESA,Judges!$A$2:$B$44,2,FALSE)</f>
        <v>#N/A</v>
      </c>
      <c r="G608" t="str">
        <f>Advanced!Y91</f>
        <v/>
      </c>
    </row>
    <row r="609" spans="1:7" x14ac:dyDescent="0.25">
      <c r="A609">
        <f t="shared" si="12"/>
        <v>0</v>
      </c>
      <c r="B609" t="s">
        <v>20</v>
      </c>
      <c r="C609">
        <f>Advanced!C92</f>
        <v>0</v>
      </c>
      <c r="D609">
        <f>IF(Advanced!Y92="Pass",Advanced!W92,0)</f>
        <v>0</v>
      </c>
      <c r="E609" s="2" t="str">
        <f>IF(Advanced!B92="W","W","A")</f>
        <v>A</v>
      </c>
      <c r="F609" s="2" t="e">
        <f>VLOOKUP(JudgeD2ESA,Judges!$A$2:$B$44,2,FALSE)</f>
        <v>#N/A</v>
      </c>
      <c r="G609" t="str">
        <f>Advanced!Y92</f>
        <v/>
      </c>
    </row>
    <row r="610" spans="1:7" x14ac:dyDescent="0.25">
      <c r="A610">
        <f t="shared" si="12"/>
        <v>0</v>
      </c>
      <c r="B610" t="s">
        <v>20</v>
      </c>
      <c r="C610">
        <f>Advanced!C93</f>
        <v>0</v>
      </c>
      <c r="D610">
        <f>IF(Advanced!Y93="Pass",Advanced!W93,0)</f>
        <v>0</v>
      </c>
      <c r="E610" s="2" t="str">
        <f>IF(Advanced!B93="W","W","A")</f>
        <v>A</v>
      </c>
      <c r="F610" s="2" t="e">
        <f>VLOOKUP(JudgeD2ESA,Judges!$A$2:$B$44,2,FALSE)</f>
        <v>#N/A</v>
      </c>
      <c r="G610" t="str">
        <f>Advanced!Y93</f>
        <v/>
      </c>
    </row>
    <row r="611" spans="1:7" x14ac:dyDescent="0.25">
      <c r="A611">
        <f t="shared" si="12"/>
        <v>0</v>
      </c>
      <c r="B611" t="s">
        <v>20</v>
      </c>
      <c r="C611">
        <f>Advanced!C94</f>
        <v>0</v>
      </c>
      <c r="D611">
        <f>IF(Advanced!Y94="Pass",Advanced!W94,0)</f>
        <v>0</v>
      </c>
      <c r="E611" s="2" t="str">
        <f>IF(Advanced!B94="W","W","A")</f>
        <v>A</v>
      </c>
      <c r="F611" s="2" t="e">
        <f>VLOOKUP(JudgeD2ESA,Judges!$A$2:$B$44,2,FALSE)</f>
        <v>#N/A</v>
      </c>
      <c r="G611" t="str">
        <f>Advanced!Y94</f>
        <v/>
      </c>
    </row>
    <row r="612" spans="1:7" x14ac:dyDescent="0.25">
      <c r="A612">
        <f t="shared" si="12"/>
        <v>0</v>
      </c>
      <c r="B612" t="s">
        <v>20</v>
      </c>
      <c r="C612">
        <f>Advanced!C95</f>
        <v>0</v>
      </c>
      <c r="D612">
        <f>IF(Advanced!Y95="Pass",Advanced!W95,0)</f>
        <v>0</v>
      </c>
      <c r="E612" s="2" t="str">
        <f>IF(Advanced!B95="W","W","A")</f>
        <v>A</v>
      </c>
      <c r="F612" s="2" t="e">
        <f>VLOOKUP(JudgeD2ESA,Judges!$A$2:$B$44,2,FALSE)</f>
        <v>#N/A</v>
      </c>
      <c r="G612" t="str">
        <f>Advanced!Y95</f>
        <v/>
      </c>
    </row>
    <row r="613" spans="1:7" x14ac:dyDescent="0.25">
      <c r="A613">
        <f t="shared" si="12"/>
        <v>0</v>
      </c>
      <c r="B613" t="s">
        <v>20</v>
      </c>
      <c r="C613">
        <f>Advanced!C96</f>
        <v>0</v>
      </c>
      <c r="D613">
        <f>IF(Advanced!Y96="Pass",Advanced!W96,0)</f>
        <v>0</v>
      </c>
      <c r="E613" s="2" t="str">
        <f>IF(Advanced!B96="W","W","A")</f>
        <v>A</v>
      </c>
      <c r="F613" s="2" t="e">
        <f>VLOOKUP(JudgeD2ESA,Judges!$A$2:$B$44,2,FALSE)</f>
        <v>#N/A</v>
      </c>
      <c r="G613" t="str">
        <f>Advanced!Y96</f>
        <v/>
      </c>
    </row>
    <row r="614" spans="1:7" x14ac:dyDescent="0.25">
      <c r="A614">
        <f t="shared" si="12"/>
        <v>0</v>
      </c>
      <c r="B614" t="s">
        <v>20</v>
      </c>
      <c r="C614">
        <f>Advanced!C97</f>
        <v>0</v>
      </c>
      <c r="D614">
        <f>IF(Advanced!Y97="Pass",Advanced!W97,0)</f>
        <v>0</v>
      </c>
      <c r="E614" s="2" t="str">
        <f>IF(Advanced!B97="W","W","A")</f>
        <v>A</v>
      </c>
      <c r="F614" s="2" t="e">
        <f>VLOOKUP(JudgeD2ESA,Judges!$A$2:$B$44,2,FALSE)</f>
        <v>#N/A</v>
      </c>
      <c r="G614" t="str">
        <f>Advanced!Y97</f>
        <v/>
      </c>
    </row>
    <row r="615" spans="1:7" x14ac:dyDescent="0.25">
      <c r="A615">
        <f t="shared" si="12"/>
        <v>0</v>
      </c>
      <c r="B615" t="s">
        <v>20</v>
      </c>
      <c r="C615">
        <f>Advanced!C98</f>
        <v>0</v>
      </c>
      <c r="D615">
        <f>IF(Advanced!Y98="Pass",Advanced!W98,0)</f>
        <v>0</v>
      </c>
      <c r="E615" s="2" t="str">
        <f>IF(Advanced!B98="W","W","A")</f>
        <v>A</v>
      </c>
      <c r="F615" s="2" t="e">
        <f>VLOOKUP(JudgeD2ESA,Judges!$A$2:$B$44,2,FALSE)</f>
        <v>#N/A</v>
      </c>
      <c r="G615" t="str">
        <f>Advanced!Y98</f>
        <v/>
      </c>
    </row>
    <row r="616" spans="1:7" x14ac:dyDescent="0.25">
      <c r="A616">
        <f t="shared" si="12"/>
        <v>0</v>
      </c>
      <c r="B616" t="s">
        <v>20</v>
      </c>
      <c r="C616">
        <f>Advanced!C99</f>
        <v>0</v>
      </c>
      <c r="D616">
        <f>IF(Advanced!Y99="Pass",Advanced!W99,0)</f>
        <v>0</v>
      </c>
      <c r="E616" s="2" t="str">
        <f>IF(Advanced!B99="W","W","A")</f>
        <v>A</v>
      </c>
      <c r="F616" s="2" t="e">
        <f>VLOOKUP(JudgeD2ESA,Judges!$A$2:$B$44,2,FALSE)</f>
        <v>#N/A</v>
      </c>
      <c r="G616" t="str">
        <f>Advanced!Y99</f>
        <v/>
      </c>
    </row>
    <row r="617" spans="1:7" x14ac:dyDescent="0.25">
      <c r="A617">
        <f t="shared" si="12"/>
        <v>0</v>
      </c>
      <c r="B617" t="s">
        <v>20</v>
      </c>
      <c r="C617">
        <f>Advanced!C100</f>
        <v>0</v>
      </c>
      <c r="D617">
        <f>IF(Advanced!Y100="Pass",Advanced!W100,0)</f>
        <v>0</v>
      </c>
      <c r="E617" s="2" t="str">
        <f>IF(Advanced!B100="W","W","A")</f>
        <v>A</v>
      </c>
      <c r="F617" s="2" t="e">
        <f>VLOOKUP(JudgeD2ESA,Judges!$A$2:$B$44,2,FALSE)</f>
        <v>#N/A</v>
      </c>
      <c r="G617" t="str">
        <f>Advanced!Y100</f>
        <v/>
      </c>
    </row>
    <row r="618" spans="1:7" x14ac:dyDescent="0.25">
      <c r="A618">
        <f t="shared" si="12"/>
        <v>0</v>
      </c>
      <c r="B618" t="s">
        <v>20</v>
      </c>
      <c r="C618">
        <f>Advanced!C101</f>
        <v>0</v>
      </c>
      <c r="D618">
        <f>IF(Advanced!Y101="Pass",Advanced!W101,0)</f>
        <v>0</v>
      </c>
      <c r="E618" s="2" t="str">
        <f>IF(Advanced!B101="W","W","A")</f>
        <v>A</v>
      </c>
      <c r="F618" s="2" t="e">
        <f>VLOOKUP(JudgeD2ESA,Judges!$A$2:$B$44,2,FALSE)</f>
        <v>#N/A</v>
      </c>
      <c r="G618" t="str">
        <f>Advanced!Y101</f>
        <v/>
      </c>
    </row>
    <row r="619" spans="1:7" x14ac:dyDescent="0.25">
      <c r="A619">
        <f t="shared" si="12"/>
        <v>0</v>
      </c>
      <c r="B619" t="s">
        <v>20</v>
      </c>
      <c r="C619">
        <f>Advanced!C102</f>
        <v>0</v>
      </c>
      <c r="D619">
        <f>IF(Advanced!Y102="Pass",Advanced!W102,0)</f>
        <v>0</v>
      </c>
      <c r="E619" s="2" t="str">
        <f>IF(Advanced!B102="W","W","A")</f>
        <v>A</v>
      </c>
      <c r="F619" s="2" t="e">
        <f>VLOOKUP(JudgeD2ESA,Judges!$A$2:$B$44,2,FALSE)</f>
        <v>#N/A</v>
      </c>
      <c r="G619" t="str">
        <f>Advanced!Y102</f>
        <v/>
      </c>
    </row>
    <row r="620" spans="1:7" x14ac:dyDescent="0.25">
      <c r="A620">
        <f t="shared" si="12"/>
        <v>0</v>
      </c>
      <c r="B620" t="s">
        <v>20</v>
      </c>
      <c r="C620">
        <f>Advanced!C103</f>
        <v>0</v>
      </c>
      <c r="D620">
        <f>IF(Advanced!Y103="Pass",Advanced!W103,0)</f>
        <v>0</v>
      </c>
      <c r="E620" s="2" t="str">
        <f>IF(Advanced!B103="W","W","A")</f>
        <v>A</v>
      </c>
      <c r="F620" s="2" t="e">
        <f>VLOOKUP(JudgeD2ESA,Judges!$A$2:$B$44,2,FALSE)</f>
        <v>#N/A</v>
      </c>
      <c r="G620" t="str">
        <f>Advanced!Y103</f>
        <v/>
      </c>
    </row>
    <row r="621" spans="1:7" x14ac:dyDescent="0.25">
      <c r="A621">
        <f t="shared" si="12"/>
        <v>0</v>
      </c>
      <c r="B621" t="s">
        <v>20</v>
      </c>
      <c r="C621">
        <f>Advanced!C104</f>
        <v>0</v>
      </c>
      <c r="D621">
        <f>IF(Advanced!Y104="Pass",Advanced!W104,0)</f>
        <v>0</v>
      </c>
      <c r="E621" s="2" t="str">
        <f>IF(Advanced!B104="W","W","A")</f>
        <v>A</v>
      </c>
      <c r="F621" s="2" t="e">
        <f>VLOOKUP(JudgeD2ESA,Judges!$A$2:$B$44,2,FALSE)</f>
        <v>#N/A</v>
      </c>
      <c r="G621" t="str">
        <f>Advanced!Y104</f>
        <v/>
      </c>
    </row>
    <row r="622" spans="1:7" x14ac:dyDescent="0.25">
      <c r="A622">
        <f t="shared" si="12"/>
        <v>0</v>
      </c>
      <c r="B622" t="s">
        <v>20</v>
      </c>
      <c r="C622">
        <f>Advanced!C105</f>
        <v>0</v>
      </c>
      <c r="D622">
        <f>IF(Advanced!Y105="Pass",Advanced!W105,0)</f>
        <v>0</v>
      </c>
      <c r="E622" s="2" t="str">
        <f>IF(Advanced!B105="W","W","A")</f>
        <v>A</v>
      </c>
      <c r="F622" s="2" t="e">
        <f>VLOOKUP(JudgeD2ESA,Judges!$A$2:$B$44,2,FALSE)</f>
        <v>#N/A</v>
      </c>
      <c r="G622" t="str">
        <f>Advanced!Y105</f>
        <v/>
      </c>
    </row>
    <row r="623" spans="1:7" x14ac:dyDescent="0.25">
      <c r="A623">
        <f t="shared" si="12"/>
        <v>0</v>
      </c>
      <c r="B623" t="s">
        <v>20</v>
      </c>
      <c r="C623">
        <f>Advanced!C106</f>
        <v>0</v>
      </c>
      <c r="D623">
        <f>IF(Advanced!Y106="Pass",Advanced!W106,0)</f>
        <v>0</v>
      </c>
      <c r="E623" s="2" t="str">
        <f>IF(Advanced!B106="W","W","A")</f>
        <v>A</v>
      </c>
      <c r="F623" s="2" t="e">
        <f>VLOOKUP(JudgeD2ESA,Judges!$A$2:$B$44,2,FALSE)</f>
        <v>#N/A</v>
      </c>
      <c r="G623" t="str">
        <f>Advanced!Y106</f>
        <v/>
      </c>
    </row>
    <row r="624" spans="1:7" x14ac:dyDescent="0.25">
      <c r="A624">
        <f t="shared" si="12"/>
        <v>0</v>
      </c>
      <c r="B624" t="s">
        <v>20</v>
      </c>
      <c r="C624">
        <f>Advanced!C107</f>
        <v>0</v>
      </c>
      <c r="D624">
        <f>IF(Advanced!Y107="Pass",Advanced!W107,0)</f>
        <v>0</v>
      </c>
      <c r="E624" s="2" t="str">
        <f>IF(Advanced!B107="W","W","A")</f>
        <v>A</v>
      </c>
      <c r="F624" s="2" t="e">
        <f>VLOOKUP(JudgeD2ESA,Judges!$A$2:$B$44,2,FALSE)</f>
        <v>#N/A</v>
      </c>
      <c r="G624" t="str">
        <f>Advanced!Y107</f>
        <v/>
      </c>
    </row>
    <row r="625" spans="1:7" x14ac:dyDescent="0.25">
      <c r="A625">
        <f t="shared" si="12"/>
        <v>0</v>
      </c>
      <c r="B625" t="s">
        <v>20</v>
      </c>
      <c r="C625">
        <f>Advanced!C108</f>
        <v>0</v>
      </c>
      <c r="D625">
        <f>IF(Advanced!Y108="Pass",Advanced!W108,0)</f>
        <v>0</v>
      </c>
      <c r="E625" s="2" t="str">
        <f>IF(Advanced!B108="W","W","A")</f>
        <v>A</v>
      </c>
      <c r="F625" s="2" t="e">
        <f>VLOOKUP(JudgeD2ESA,Judges!$A$2:$B$44,2,FALSE)</f>
        <v>#N/A</v>
      </c>
      <c r="G625" t="str">
        <f>Advanced!Y108</f>
        <v/>
      </c>
    </row>
    <row r="626" spans="1:7" x14ac:dyDescent="0.25">
      <c r="A626">
        <f t="shared" si="12"/>
        <v>0</v>
      </c>
      <c r="B626" t="s">
        <v>20</v>
      </c>
      <c r="C626">
        <f>Advanced!C109</f>
        <v>0</v>
      </c>
      <c r="D626">
        <f>IF(Advanced!Y109="Pass",Advanced!W109,0)</f>
        <v>0</v>
      </c>
      <c r="E626" s="2" t="str">
        <f>IF(Advanced!B109="W","W","A")</f>
        <v>A</v>
      </c>
      <c r="F626" s="2" t="e">
        <f>VLOOKUP(JudgeD2ESA,Judges!$A$2:$B$44,2,FALSE)</f>
        <v>#N/A</v>
      </c>
      <c r="G626" t="str">
        <f>Advanced!Y109</f>
        <v/>
      </c>
    </row>
    <row r="627" spans="1:7" x14ac:dyDescent="0.25">
      <c r="A627">
        <f t="shared" si="12"/>
        <v>0</v>
      </c>
      <c r="B627" t="s">
        <v>20</v>
      </c>
      <c r="C627">
        <f>Advanced!C110</f>
        <v>0</v>
      </c>
      <c r="D627">
        <f>IF(Advanced!Y110="Pass",Advanced!W110,0)</f>
        <v>0</v>
      </c>
      <c r="E627" s="2" t="str">
        <f>IF(Advanced!B110="W","W","A")</f>
        <v>A</v>
      </c>
      <c r="F627" s="2" t="e">
        <f>VLOOKUP(JudgeD2ESA,Judges!$A$2:$B$44,2,FALSE)</f>
        <v>#N/A</v>
      </c>
      <c r="G627" t="str">
        <f>Advanced!Y110</f>
        <v/>
      </c>
    </row>
    <row r="628" spans="1:7" x14ac:dyDescent="0.25">
      <c r="A628">
        <f t="shared" si="12"/>
        <v>0</v>
      </c>
      <c r="B628" t="s">
        <v>20</v>
      </c>
      <c r="C628">
        <f>Advanced!C111</f>
        <v>0</v>
      </c>
      <c r="D628">
        <f>IF(Advanced!Y111="Pass",Advanced!W111,0)</f>
        <v>0</v>
      </c>
      <c r="E628" s="2" t="str">
        <f>IF(Advanced!B111="W","W","A")</f>
        <v>A</v>
      </c>
      <c r="F628" s="2" t="e">
        <f>VLOOKUP(JudgeD2ESA,Judges!$A$2:$B$44,2,FALSE)</f>
        <v>#N/A</v>
      </c>
      <c r="G628" t="str">
        <f>Advanced!Y111</f>
        <v/>
      </c>
    </row>
    <row r="629" spans="1:7" x14ac:dyDescent="0.25">
      <c r="A629">
        <f t="shared" si="12"/>
        <v>0</v>
      </c>
      <c r="B629" t="s">
        <v>20</v>
      </c>
      <c r="C629">
        <f>Advanced!C112</f>
        <v>0</v>
      </c>
      <c r="D629">
        <f>IF(Advanced!Y112="Pass",Advanced!W112,0)</f>
        <v>0</v>
      </c>
      <c r="E629" s="2" t="str">
        <f>IF(Advanced!B112="W","W","A")</f>
        <v>A</v>
      </c>
      <c r="F629" s="2" t="e">
        <f>VLOOKUP(JudgeD2ESA,Judges!$A$2:$B$44,2,FALSE)</f>
        <v>#N/A</v>
      </c>
      <c r="G629" t="str">
        <f>Advanced!Y112</f>
        <v/>
      </c>
    </row>
    <row r="630" spans="1:7" x14ac:dyDescent="0.25">
      <c r="A630">
        <f t="shared" si="12"/>
        <v>0</v>
      </c>
      <c r="B630" t="s">
        <v>20</v>
      </c>
      <c r="C630">
        <f>Advanced!C113</f>
        <v>0</v>
      </c>
      <c r="D630">
        <f>IF(Advanced!Y113="Pass",Advanced!W113,0)</f>
        <v>0</v>
      </c>
      <c r="E630" s="2" t="str">
        <f>IF(Advanced!B113="W","W","A")</f>
        <v>A</v>
      </c>
      <c r="F630" s="2" t="e">
        <f>VLOOKUP(JudgeD2ESA,Judges!$A$2:$B$44,2,FALSE)</f>
        <v>#N/A</v>
      </c>
      <c r="G630" t="str">
        <f>Advanced!Y113</f>
        <v/>
      </c>
    </row>
    <row r="631" spans="1:7" x14ac:dyDescent="0.25">
      <c r="A631">
        <f t="shared" si="12"/>
        <v>0</v>
      </c>
      <c r="B631" t="s">
        <v>20</v>
      </c>
      <c r="C631">
        <f>Advanced!C114</f>
        <v>0</v>
      </c>
      <c r="D631">
        <f>IF(Advanced!Y114="Pass",Advanced!W114,0)</f>
        <v>0</v>
      </c>
      <c r="E631" s="2" t="str">
        <f>IF(Advanced!B114="W","W","A")</f>
        <v>A</v>
      </c>
      <c r="F631" s="2" t="e">
        <f>VLOOKUP(JudgeD2ESA,Judges!$A$2:$B$44,2,FALSE)</f>
        <v>#N/A</v>
      </c>
      <c r="G631" t="str">
        <f>Advanced!Y114</f>
        <v/>
      </c>
    </row>
    <row r="632" spans="1:7" x14ac:dyDescent="0.25">
      <c r="A632">
        <f t="shared" si="12"/>
        <v>0</v>
      </c>
      <c r="B632" t="s">
        <v>21</v>
      </c>
      <c r="C632">
        <f>Excellent!C65</f>
        <v>0</v>
      </c>
      <c r="D632">
        <f>IF(Excellent!I65="Pass",Excellent!G65,0)</f>
        <v>0</v>
      </c>
      <c r="E632" s="2" t="str">
        <f>IF(Excellent!B65="W","W","A")</f>
        <v>A</v>
      </c>
      <c r="F632" s="2" t="e">
        <f>VLOOKUP(JudgeD2CSE,Judges!$A$2:$B$44,2,FALSE)</f>
        <v>#N/A</v>
      </c>
      <c r="G632" t="str">
        <f>Excellent!I65</f>
        <v/>
      </c>
    </row>
    <row r="633" spans="1:7" x14ac:dyDescent="0.25">
      <c r="A633">
        <f t="shared" si="12"/>
        <v>0</v>
      </c>
      <c r="B633" t="s">
        <v>21</v>
      </c>
      <c r="C633">
        <f>Excellent!C66</f>
        <v>0</v>
      </c>
      <c r="D633">
        <f>IF(Excellent!I66="Pass",Excellent!G66,0)</f>
        <v>0</v>
      </c>
      <c r="E633" s="2" t="str">
        <f>IF(Excellent!B66="W","W","A")</f>
        <v>A</v>
      </c>
      <c r="F633" s="2" t="e">
        <f>VLOOKUP(JudgeD2CSE,Judges!$A$2:$B$44,2,FALSE)</f>
        <v>#N/A</v>
      </c>
      <c r="G633" t="str">
        <f>Excellent!I66</f>
        <v/>
      </c>
    </row>
    <row r="634" spans="1:7" x14ac:dyDescent="0.25">
      <c r="A634">
        <f t="shared" si="12"/>
        <v>0</v>
      </c>
      <c r="B634" t="s">
        <v>21</v>
      </c>
      <c r="C634">
        <f>Excellent!C67</f>
        <v>0</v>
      </c>
      <c r="D634">
        <f>IF(Excellent!I67="Pass",Excellent!G67,0)</f>
        <v>0</v>
      </c>
      <c r="E634" s="2" t="str">
        <f>IF(Excellent!B67="W","W","A")</f>
        <v>A</v>
      </c>
      <c r="F634" s="2" t="e">
        <f>VLOOKUP(JudgeD2CSE,Judges!$A$2:$B$44,2,FALSE)</f>
        <v>#N/A</v>
      </c>
      <c r="G634" t="str">
        <f>Excellent!I67</f>
        <v/>
      </c>
    </row>
    <row r="635" spans="1:7" x14ac:dyDescent="0.25">
      <c r="A635">
        <f t="shared" si="12"/>
        <v>0</v>
      </c>
      <c r="B635" t="s">
        <v>21</v>
      </c>
      <c r="C635">
        <f>Excellent!C68</f>
        <v>0</v>
      </c>
      <c r="D635">
        <f>IF(Excellent!I68="Pass",Excellent!G68,0)</f>
        <v>0</v>
      </c>
      <c r="E635" s="2" t="str">
        <f>IF(Excellent!B68="W","W","A")</f>
        <v>A</v>
      </c>
      <c r="F635" s="2" t="e">
        <f>VLOOKUP(JudgeD2CSE,Judges!$A$2:$B$44,2,FALSE)</f>
        <v>#N/A</v>
      </c>
      <c r="G635" t="str">
        <f>Excellent!I68</f>
        <v/>
      </c>
    </row>
    <row r="636" spans="1:7" x14ac:dyDescent="0.25">
      <c r="A636">
        <f t="shared" si="12"/>
        <v>0</v>
      </c>
      <c r="B636" t="s">
        <v>21</v>
      </c>
      <c r="C636">
        <f>Excellent!C69</f>
        <v>0</v>
      </c>
      <c r="D636">
        <f>IF(Excellent!I69="Pass",Excellent!G69,0)</f>
        <v>0</v>
      </c>
      <c r="E636" s="2" t="str">
        <f>IF(Excellent!B69="W","W","A")</f>
        <v>A</v>
      </c>
      <c r="F636" s="2" t="e">
        <f>VLOOKUP(JudgeD2CSE,Judges!$A$2:$B$44,2,FALSE)</f>
        <v>#N/A</v>
      </c>
      <c r="G636" t="str">
        <f>Excellent!I69</f>
        <v/>
      </c>
    </row>
    <row r="637" spans="1:7" x14ac:dyDescent="0.25">
      <c r="A637">
        <f t="shared" si="12"/>
        <v>0</v>
      </c>
      <c r="B637" t="s">
        <v>21</v>
      </c>
      <c r="C637">
        <f>Excellent!C70</f>
        <v>0</v>
      </c>
      <c r="D637">
        <f>IF(Excellent!I70="Pass",Excellent!G70,0)</f>
        <v>0</v>
      </c>
      <c r="E637" s="2" t="str">
        <f>IF(Excellent!B70="W","W","A")</f>
        <v>A</v>
      </c>
      <c r="F637" s="2" t="e">
        <f>VLOOKUP(JudgeD2CSE,Judges!$A$2:$B$44,2,FALSE)</f>
        <v>#N/A</v>
      </c>
      <c r="G637" t="str">
        <f>Excellent!I70</f>
        <v/>
      </c>
    </row>
    <row r="638" spans="1:7" x14ac:dyDescent="0.25">
      <c r="A638">
        <f t="shared" si="12"/>
        <v>0</v>
      </c>
      <c r="B638" t="s">
        <v>21</v>
      </c>
      <c r="C638">
        <f>Excellent!C71</f>
        <v>0</v>
      </c>
      <c r="D638">
        <f>IF(Excellent!I71="Pass",Excellent!G71,0)</f>
        <v>0</v>
      </c>
      <c r="E638" s="2" t="str">
        <f>IF(Excellent!B71="W","W","A")</f>
        <v>A</v>
      </c>
      <c r="F638" s="2" t="e">
        <f>VLOOKUP(JudgeD2CSE,Judges!$A$2:$B$44,2,FALSE)</f>
        <v>#N/A</v>
      </c>
      <c r="G638" t="str">
        <f>Excellent!I71</f>
        <v/>
      </c>
    </row>
    <row r="639" spans="1:7" x14ac:dyDescent="0.25">
      <c r="A639">
        <f t="shared" si="12"/>
        <v>0</v>
      </c>
      <c r="B639" t="s">
        <v>21</v>
      </c>
      <c r="C639">
        <f>Excellent!C72</f>
        <v>0</v>
      </c>
      <c r="D639">
        <f>IF(Excellent!I72="Pass",Excellent!G72,0)</f>
        <v>0</v>
      </c>
      <c r="E639" s="2" t="str">
        <f>IF(Excellent!B72="W","W","A")</f>
        <v>A</v>
      </c>
      <c r="F639" s="2" t="e">
        <f>VLOOKUP(JudgeD2CSE,Judges!$A$2:$B$44,2,FALSE)</f>
        <v>#N/A</v>
      </c>
      <c r="G639" t="str">
        <f>Excellent!I72</f>
        <v/>
      </c>
    </row>
    <row r="640" spans="1:7" x14ac:dyDescent="0.25">
      <c r="A640">
        <f t="shared" si="12"/>
        <v>0</v>
      </c>
      <c r="B640" t="s">
        <v>21</v>
      </c>
      <c r="C640">
        <f>Excellent!C73</f>
        <v>0</v>
      </c>
      <c r="D640">
        <f>IF(Excellent!I73="Pass",Excellent!G73,0)</f>
        <v>0</v>
      </c>
      <c r="E640" s="2" t="str">
        <f>IF(Excellent!B73="W","W","A")</f>
        <v>A</v>
      </c>
      <c r="F640" s="2" t="e">
        <f>VLOOKUP(JudgeD2CSE,Judges!$A$2:$B$44,2,FALSE)</f>
        <v>#N/A</v>
      </c>
      <c r="G640" t="str">
        <f>Excellent!I73</f>
        <v/>
      </c>
    </row>
    <row r="641" spans="1:7" x14ac:dyDescent="0.25">
      <c r="A641">
        <f t="shared" si="12"/>
        <v>0</v>
      </c>
      <c r="B641" t="s">
        <v>21</v>
      </c>
      <c r="C641">
        <f>Excellent!C74</f>
        <v>0</v>
      </c>
      <c r="D641">
        <f>IF(Excellent!I74="Pass",Excellent!G74,0)</f>
        <v>0</v>
      </c>
      <c r="E641" s="2" t="str">
        <f>IF(Excellent!B74="W","W","A")</f>
        <v>A</v>
      </c>
      <c r="F641" s="2" t="e">
        <f>VLOOKUP(JudgeD2CSE,Judges!$A$2:$B$44,2,FALSE)</f>
        <v>#N/A</v>
      </c>
      <c r="G641" t="str">
        <f>Excellent!I74</f>
        <v/>
      </c>
    </row>
    <row r="642" spans="1:7" x14ac:dyDescent="0.25">
      <c r="A642">
        <f t="shared" si="12"/>
        <v>0</v>
      </c>
      <c r="B642" t="s">
        <v>21</v>
      </c>
      <c r="C642">
        <f>Excellent!C75</f>
        <v>0</v>
      </c>
      <c r="D642">
        <f>IF(Excellent!I75="Pass",Excellent!G75,0)</f>
        <v>0</v>
      </c>
      <c r="E642" s="2" t="str">
        <f>IF(Excellent!B75="W","W","A")</f>
        <v>A</v>
      </c>
      <c r="F642" s="2" t="e">
        <f>VLOOKUP(JudgeD2CSE,Judges!$A$2:$B$44,2,FALSE)</f>
        <v>#N/A</v>
      </c>
      <c r="G642" t="str">
        <f>Excellent!I75</f>
        <v/>
      </c>
    </row>
    <row r="643" spans="1:7" x14ac:dyDescent="0.25">
      <c r="A643">
        <f t="shared" si="12"/>
        <v>0</v>
      </c>
      <c r="B643" t="s">
        <v>21</v>
      </c>
      <c r="C643">
        <f>Excellent!C76</f>
        <v>0</v>
      </c>
      <c r="D643">
        <f>IF(Excellent!I76="Pass",Excellent!G76,0)</f>
        <v>0</v>
      </c>
      <c r="E643" s="2" t="str">
        <f>IF(Excellent!B76="W","W","A")</f>
        <v>A</v>
      </c>
      <c r="F643" s="2" t="e">
        <f>VLOOKUP(JudgeD2CSE,Judges!$A$2:$B$44,2,FALSE)</f>
        <v>#N/A</v>
      </c>
      <c r="G643" t="str">
        <f>Excellent!I76</f>
        <v/>
      </c>
    </row>
    <row r="644" spans="1:7" x14ac:dyDescent="0.25">
      <c r="A644">
        <f t="shared" si="12"/>
        <v>0</v>
      </c>
      <c r="B644" t="s">
        <v>21</v>
      </c>
      <c r="C644">
        <f>Excellent!C77</f>
        <v>0</v>
      </c>
      <c r="D644">
        <f>IF(Excellent!I77="Pass",Excellent!G77,0)</f>
        <v>0</v>
      </c>
      <c r="E644" s="2" t="str">
        <f>IF(Excellent!B77="W","W","A")</f>
        <v>A</v>
      </c>
      <c r="F644" s="2" t="e">
        <f>VLOOKUP(JudgeD2CSE,Judges!$A$2:$B$44,2,FALSE)</f>
        <v>#N/A</v>
      </c>
      <c r="G644" t="str">
        <f>Excellent!I77</f>
        <v/>
      </c>
    </row>
    <row r="645" spans="1:7" x14ac:dyDescent="0.25">
      <c r="A645">
        <f t="shared" si="12"/>
        <v>0</v>
      </c>
      <c r="B645" t="s">
        <v>21</v>
      </c>
      <c r="C645">
        <f>Excellent!C78</f>
        <v>0</v>
      </c>
      <c r="D645">
        <f>IF(Excellent!I78="Pass",Excellent!G78,0)</f>
        <v>0</v>
      </c>
      <c r="E645" s="2" t="str">
        <f>IF(Excellent!B78="W","W","A")</f>
        <v>A</v>
      </c>
      <c r="F645" s="2" t="e">
        <f>VLOOKUP(JudgeD2CSE,Judges!$A$2:$B$44,2,FALSE)</f>
        <v>#N/A</v>
      </c>
      <c r="G645" t="str">
        <f>Excellent!I78</f>
        <v/>
      </c>
    </row>
    <row r="646" spans="1:7" x14ac:dyDescent="0.25">
      <c r="A646">
        <f t="shared" si="12"/>
        <v>0</v>
      </c>
      <c r="B646" t="s">
        <v>21</v>
      </c>
      <c r="C646">
        <f>Excellent!C79</f>
        <v>0</v>
      </c>
      <c r="D646">
        <f>IF(Excellent!I79="Pass",Excellent!G79,0)</f>
        <v>0</v>
      </c>
      <c r="E646" s="2" t="str">
        <f>IF(Excellent!B79="W","W","A")</f>
        <v>A</v>
      </c>
      <c r="F646" s="2" t="e">
        <f>VLOOKUP(JudgeD2CSE,Judges!$A$2:$B$44,2,FALSE)</f>
        <v>#N/A</v>
      </c>
      <c r="G646" t="str">
        <f>Excellent!I79</f>
        <v/>
      </c>
    </row>
    <row r="647" spans="1:7" x14ac:dyDescent="0.25">
      <c r="A647">
        <f t="shared" si="12"/>
        <v>0</v>
      </c>
      <c r="B647" t="s">
        <v>21</v>
      </c>
      <c r="C647">
        <f>Excellent!C80</f>
        <v>0</v>
      </c>
      <c r="D647">
        <f>IF(Excellent!I80="Pass",Excellent!G80,0)</f>
        <v>0</v>
      </c>
      <c r="E647" s="2" t="str">
        <f>IF(Excellent!B80="W","W","A")</f>
        <v>A</v>
      </c>
      <c r="F647" s="2" t="e">
        <f>VLOOKUP(JudgeD2CSE,Judges!$A$2:$B$44,2,FALSE)</f>
        <v>#N/A</v>
      </c>
      <c r="G647" t="str">
        <f>Excellent!I80</f>
        <v/>
      </c>
    </row>
    <row r="648" spans="1:7" x14ac:dyDescent="0.25">
      <c r="A648">
        <f t="shared" si="12"/>
        <v>0</v>
      </c>
      <c r="B648" t="s">
        <v>21</v>
      </c>
      <c r="C648">
        <f>Excellent!C81</f>
        <v>0</v>
      </c>
      <c r="D648">
        <f>IF(Excellent!I81="Pass",Excellent!G81,0)</f>
        <v>0</v>
      </c>
      <c r="E648" s="2" t="str">
        <f>IF(Excellent!B81="W","W","A")</f>
        <v>A</v>
      </c>
      <c r="F648" s="2" t="e">
        <f>VLOOKUP(JudgeD2CSE,Judges!$A$2:$B$44,2,FALSE)</f>
        <v>#N/A</v>
      </c>
      <c r="G648" t="str">
        <f>Excellent!I81</f>
        <v/>
      </c>
    </row>
    <row r="649" spans="1:7" x14ac:dyDescent="0.25">
      <c r="A649">
        <f t="shared" si="12"/>
        <v>0</v>
      </c>
      <c r="B649" t="s">
        <v>21</v>
      </c>
      <c r="C649">
        <f>Excellent!C82</f>
        <v>0</v>
      </c>
      <c r="D649">
        <f>IF(Excellent!I82="Pass",Excellent!G82,0)</f>
        <v>0</v>
      </c>
      <c r="E649" s="2" t="str">
        <f>IF(Excellent!B82="W","W","A")</f>
        <v>A</v>
      </c>
      <c r="F649" s="2" t="e">
        <f>VLOOKUP(JudgeD2CSE,Judges!$A$2:$B$44,2,FALSE)</f>
        <v>#N/A</v>
      </c>
      <c r="G649" t="str">
        <f>Excellent!I82</f>
        <v/>
      </c>
    </row>
    <row r="650" spans="1:7" x14ac:dyDescent="0.25">
      <c r="A650">
        <f t="shared" si="12"/>
        <v>0</v>
      </c>
      <c r="B650" t="s">
        <v>21</v>
      </c>
      <c r="C650">
        <f>Excellent!C83</f>
        <v>0</v>
      </c>
      <c r="D650">
        <f>IF(Excellent!I83="Pass",Excellent!G83,0)</f>
        <v>0</v>
      </c>
      <c r="E650" s="2" t="str">
        <f>IF(Excellent!B83="W","W","A")</f>
        <v>A</v>
      </c>
      <c r="F650" s="2" t="e">
        <f>VLOOKUP(JudgeD2CSE,Judges!$A$2:$B$44,2,FALSE)</f>
        <v>#N/A</v>
      </c>
      <c r="G650" t="str">
        <f>Excellent!I83</f>
        <v/>
      </c>
    </row>
    <row r="651" spans="1:7" x14ac:dyDescent="0.25">
      <c r="A651">
        <f t="shared" si="12"/>
        <v>0</v>
      </c>
      <c r="B651" t="s">
        <v>21</v>
      </c>
      <c r="C651">
        <f>Excellent!C84</f>
        <v>0</v>
      </c>
      <c r="D651">
        <f>IF(Excellent!I84="Pass",Excellent!G84,0)</f>
        <v>0</v>
      </c>
      <c r="E651" s="2" t="str">
        <f>IF(Excellent!B84="W","W","A")</f>
        <v>A</v>
      </c>
      <c r="F651" s="2" t="e">
        <f>VLOOKUP(JudgeD2CSE,Judges!$A$2:$B$44,2,FALSE)</f>
        <v>#N/A</v>
      </c>
      <c r="G651" t="str">
        <f>Excellent!I84</f>
        <v/>
      </c>
    </row>
    <row r="652" spans="1:7" x14ac:dyDescent="0.25">
      <c r="A652">
        <f t="shared" si="12"/>
        <v>0</v>
      </c>
      <c r="B652" t="s">
        <v>21</v>
      </c>
      <c r="C652">
        <f>Excellent!C85</f>
        <v>0</v>
      </c>
      <c r="D652">
        <f>IF(Excellent!I85="Pass",Excellent!G85,0)</f>
        <v>0</v>
      </c>
      <c r="E652" s="2" t="str">
        <f>IF(Excellent!B85="W","W","A")</f>
        <v>A</v>
      </c>
      <c r="F652" s="2" t="e">
        <f>VLOOKUP(JudgeD2CSE,Judges!$A$2:$B$44,2,FALSE)</f>
        <v>#N/A</v>
      </c>
      <c r="G652" t="str">
        <f>Excellent!I85</f>
        <v/>
      </c>
    </row>
    <row r="653" spans="1:7" x14ac:dyDescent="0.25">
      <c r="A653">
        <f t="shared" si="12"/>
        <v>0</v>
      </c>
      <c r="B653" t="s">
        <v>21</v>
      </c>
      <c r="C653">
        <f>Excellent!C86</f>
        <v>0</v>
      </c>
      <c r="D653">
        <f>IF(Excellent!I86="Pass",Excellent!G86,0)</f>
        <v>0</v>
      </c>
      <c r="E653" s="2" t="str">
        <f>IF(Excellent!B86="W","W","A")</f>
        <v>A</v>
      </c>
      <c r="F653" s="2" t="e">
        <f>VLOOKUP(JudgeD2CSE,Judges!$A$2:$B$44,2,FALSE)</f>
        <v>#N/A</v>
      </c>
      <c r="G653" t="str">
        <f>Excellent!I86</f>
        <v/>
      </c>
    </row>
    <row r="654" spans="1:7" x14ac:dyDescent="0.25">
      <c r="A654">
        <f t="shared" si="12"/>
        <v>0</v>
      </c>
      <c r="B654" t="s">
        <v>21</v>
      </c>
      <c r="C654">
        <f>Excellent!C87</f>
        <v>0</v>
      </c>
      <c r="D654">
        <f>IF(Excellent!I87="Pass",Excellent!G87,0)</f>
        <v>0</v>
      </c>
      <c r="E654" s="2" t="str">
        <f>IF(Excellent!B87="W","W","A")</f>
        <v>A</v>
      </c>
      <c r="F654" s="2" t="e">
        <f>VLOOKUP(JudgeD2CSE,Judges!$A$2:$B$44,2,FALSE)</f>
        <v>#N/A</v>
      </c>
      <c r="G654" t="str">
        <f>Excellent!I87</f>
        <v/>
      </c>
    </row>
    <row r="655" spans="1:7" x14ac:dyDescent="0.25">
      <c r="A655">
        <f t="shared" si="12"/>
        <v>0</v>
      </c>
      <c r="B655" t="s">
        <v>21</v>
      </c>
      <c r="C655">
        <f>Excellent!C88</f>
        <v>0</v>
      </c>
      <c r="D655">
        <f>IF(Excellent!I88="Pass",Excellent!G88,0)</f>
        <v>0</v>
      </c>
      <c r="E655" s="2" t="str">
        <f>IF(Excellent!B88="W","W","A")</f>
        <v>A</v>
      </c>
      <c r="F655" s="2" t="e">
        <f>VLOOKUP(JudgeD2CSE,Judges!$A$2:$B$44,2,FALSE)</f>
        <v>#N/A</v>
      </c>
      <c r="G655" t="str">
        <f>Excellent!I88</f>
        <v/>
      </c>
    </row>
    <row r="656" spans="1:7" x14ac:dyDescent="0.25">
      <c r="A656">
        <f t="shared" si="12"/>
        <v>0</v>
      </c>
      <c r="B656" t="s">
        <v>21</v>
      </c>
      <c r="C656">
        <f>Excellent!C89</f>
        <v>0</v>
      </c>
      <c r="D656">
        <f>IF(Excellent!I89="Pass",Excellent!G89,0)</f>
        <v>0</v>
      </c>
      <c r="E656" s="2" t="str">
        <f>IF(Excellent!B89="W","W","A")</f>
        <v>A</v>
      </c>
      <c r="F656" s="2" t="e">
        <f>VLOOKUP(JudgeD2CSE,Judges!$A$2:$B$44,2,FALSE)</f>
        <v>#N/A</v>
      </c>
      <c r="G656" t="str">
        <f>Excellent!I89</f>
        <v/>
      </c>
    </row>
    <row r="657" spans="1:7" x14ac:dyDescent="0.25">
      <c r="A657">
        <f t="shared" si="12"/>
        <v>0</v>
      </c>
      <c r="B657" t="s">
        <v>21</v>
      </c>
      <c r="C657">
        <f>Excellent!C90</f>
        <v>0</v>
      </c>
      <c r="D657">
        <f>IF(Excellent!I90="Pass",Excellent!G90,0)</f>
        <v>0</v>
      </c>
      <c r="E657" s="2" t="str">
        <f>IF(Excellent!B90="W","W","A")</f>
        <v>A</v>
      </c>
      <c r="F657" s="2" t="e">
        <f>VLOOKUP(JudgeD2CSE,Judges!$A$2:$B$44,2,FALSE)</f>
        <v>#N/A</v>
      </c>
      <c r="G657" t="str">
        <f>Excellent!I90</f>
        <v/>
      </c>
    </row>
    <row r="658" spans="1:7" x14ac:dyDescent="0.25">
      <c r="A658">
        <f t="shared" si="12"/>
        <v>0</v>
      </c>
      <c r="B658" t="s">
        <v>21</v>
      </c>
      <c r="C658">
        <f>Excellent!C91</f>
        <v>0</v>
      </c>
      <c r="D658">
        <f>IF(Excellent!I91="Pass",Excellent!G91,0)</f>
        <v>0</v>
      </c>
      <c r="E658" s="2" t="str">
        <f>IF(Excellent!B91="W","W","A")</f>
        <v>A</v>
      </c>
      <c r="F658" s="2" t="e">
        <f>VLOOKUP(JudgeD2CSE,Judges!$A$2:$B$44,2,FALSE)</f>
        <v>#N/A</v>
      </c>
      <c r="G658" t="str">
        <f>Excellent!I91</f>
        <v/>
      </c>
    </row>
    <row r="659" spans="1:7" x14ac:dyDescent="0.25">
      <c r="A659">
        <f t="shared" si="12"/>
        <v>0</v>
      </c>
      <c r="B659" t="s">
        <v>21</v>
      </c>
      <c r="C659">
        <f>Excellent!C92</f>
        <v>0</v>
      </c>
      <c r="D659">
        <f>IF(Excellent!I92="Pass",Excellent!G92,0)</f>
        <v>0</v>
      </c>
      <c r="E659" s="2" t="str">
        <f>IF(Excellent!B92="W","W","A")</f>
        <v>A</v>
      </c>
      <c r="F659" s="2" t="e">
        <f>VLOOKUP(JudgeD2CSE,Judges!$A$2:$B$44,2,FALSE)</f>
        <v>#N/A</v>
      </c>
      <c r="G659" t="str">
        <f>Excellent!I92</f>
        <v/>
      </c>
    </row>
    <row r="660" spans="1:7" x14ac:dyDescent="0.25">
      <c r="A660">
        <f t="shared" si="12"/>
        <v>0</v>
      </c>
      <c r="B660" t="s">
        <v>21</v>
      </c>
      <c r="C660">
        <f>Excellent!C93</f>
        <v>0</v>
      </c>
      <c r="D660">
        <f>IF(Excellent!I93="Pass",Excellent!G93,0)</f>
        <v>0</v>
      </c>
      <c r="E660" s="2" t="str">
        <f>IF(Excellent!B93="W","W","A")</f>
        <v>A</v>
      </c>
      <c r="F660" s="2" t="e">
        <f>VLOOKUP(JudgeD2CSE,Judges!$A$2:$B$44,2,FALSE)</f>
        <v>#N/A</v>
      </c>
      <c r="G660" t="str">
        <f>Excellent!I93</f>
        <v/>
      </c>
    </row>
    <row r="661" spans="1:7" x14ac:dyDescent="0.25">
      <c r="A661">
        <f t="shared" si="12"/>
        <v>0</v>
      </c>
      <c r="B661" t="s">
        <v>21</v>
      </c>
      <c r="C661">
        <f>Excellent!C94</f>
        <v>0</v>
      </c>
      <c r="D661">
        <f>IF(Excellent!I94="Pass",Excellent!G94,0)</f>
        <v>0</v>
      </c>
      <c r="E661" s="2" t="str">
        <f>IF(Excellent!B94="W","W","A")</f>
        <v>A</v>
      </c>
      <c r="F661" s="2" t="e">
        <f>VLOOKUP(JudgeD2CSE,Judges!$A$2:$B$44,2,FALSE)</f>
        <v>#N/A</v>
      </c>
      <c r="G661" t="str">
        <f>Excellent!I94</f>
        <v/>
      </c>
    </row>
    <row r="662" spans="1:7" x14ac:dyDescent="0.25">
      <c r="A662">
        <f t="shared" si="12"/>
        <v>0</v>
      </c>
      <c r="B662" t="s">
        <v>21</v>
      </c>
      <c r="C662">
        <f>Excellent!C95</f>
        <v>0</v>
      </c>
      <c r="D662">
        <f>IF(Excellent!I95="Pass",Excellent!G95,0)</f>
        <v>0</v>
      </c>
      <c r="E662" s="2" t="str">
        <f>IF(Excellent!B95="W","W","A")</f>
        <v>A</v>
      </c>
      <c r="F662" s="2" t="e">
        <f>VLOOKUP(JudgeD2CSE,Judges!$A$2:$B$44,2,FALSE)</f>
        <v>#N/A</v>
      </c>
      <c r="G662" t="str">
        <f>Excellent!I95</f>
        <v/>
      </c>
    </row>
    <row r="663" spans="1:7" x14ac:dyDescent="0.25">
      <c r="A663">
        <f t="shared" si="12"/>
        <v>0</v>
      </c>
      <c r="B663" t="s">
        <v>21</v>
      </c>
      <c r="C663">
        <f>Excellent!C96</f>
        <v>0</v>
      </c>
      <c r="D663">
        <f>IF(Excellent!I96="Pass",Excellent!G96,0)</f>
        <v>0</v>
      </c>
      <c r="E663" s="2" t="str">
        <f>IF(Excellent!B96="W","W","A")</f>
        <v>A</v>
      </c>
      <c r="F663" s="2" t="e">
        <f>VLOOKUP(JudgeD2CSE,Judges!$A$2:$B$44,2,FALSE)</f>
        <v>#N/A</v>
      </c>
      <c r="G663" t="str">
        <f>Excellent!I96</f>
        <v/>
      </c>
    </row>
    <row r="664" spans="1:7" x14ac:dyDescent="0.25">
      <c r="A664">
        <f t="shared" ref="A664:A767" si="13">TrialNumberDay2</f>
        <v>0</v>
      </c>
      <c r="B664" t="s">
        <v>21</v>
      </c>
      <c r="C664">
        <f>Excellent!C97</f>
        <v>0</v>
      </c>
      <c r="D664">
        <f>IF(Excellent!I97="Pass",Excellent!G97,0)</f>
        <v>0</v>
      </c>
      <c r="E664" s="2" t="str">
        <f>IF(Excellent!B97="W","W","A")</f>
        <v>A</v>
      </c>
      <c r="F664" s="2" t="e">
        <f>VLOOKUP(JudgeD2CSE,Judges!$A$2:$B$44,2,FALSE)</f>
        <v>#N/A</v>
      </c>
      <c r="G664" t="str">
        <f>Excellent!I97</f>
        <v/>
      </c>
    </row>
    <row r="665" spans="1:7" x14ac:dyDescent="0.25">
      <c r="A665">
        <f t="shared" si="13"/>
        <v>0</v>
      </c>
      <c r="B665" t="s">
        <v>21</v>
      </c>
      <c r="C665">
        <f>Excellent!C98</f>
        <v>0</v>
      </c>
      <c r="D665">
        <f>IF(Excellent!I98="Pass",Excellent!G98,0)</f>
        <v>0</v>
      </c>
      <c r="E665" s="2" t="str">
        <f>IF(Excellent!B98="W","W","A")</f>
        <v>A</v>
      </c>
      <c r="F665" s="2" t="e">
        <f>VLOOKUP(JudgeD2CSE,Judges!$A$2:$B$44,2,FALSE)</f>
        <v>#N/A</v>
      </c>
      <c r="G665" t="str">
        <f>Excellent!I98</f>
        <v/>
      </c>
    </row>
    <row r="666" spans="1:7" x14ac:dyDescent="0.25">
      <c r="A666">
        <f t="shared" si="13"/>
        <v>0</v>
      </c>
      <c r="B666" t="s">
        <v>21</v>
      </c>
      <c r="C666">
        <f>Excellent!C99</f>
        <v>0</v>
      </c>
      <c r="D666">
        <f>IF(Excellent!I99="Pass",Excellent!G99,0)</f>
        <v>0</v>
      </c>
      <c r="E666" s="2" t="str">
        <f>IF(Excellent!B99="W","W","A")</f>
        <v>A</v>
      </c>
      <c r="F666" s="2" t="e">
        <f>VLOOKUP(JudgeD2CSE,Judges!$A$2:$B$44,2,FALSE)</f>
        <v>#N/A</v>
      </c>
      <c r="G666" t="str">
        <f>Excellent!I99</f>
        <v/>
      </c>
    </row>
    <row r="667" spans="1:7" x14ac:dyDescent="0.25">
      <c r="A667">
        <f t="shared" si="13"/>
        <v>0</v>
      </c>
      <c r="B667" t="s">
        <v>21</v>
      </c>
      <c r="C667">
        <f>Excellent!C100</f>
        <v>0</v>
      </c>
      <c r="D667">
        <f>IF(Excellent!I100="Pass",Excellent!G100,0)</f>
        <v>0</v>
      </c>
      <c r="E667" s="2" t="str">
        <f>IF(Excellent!B100="W","W","A")</f>
        <v>A</v>
      </c>
      <c r="F667" s="2" t="e">
        <f>VLOOKUP(JudgeD2CSE,Judges!$A$2:$B$44,2,FALSE)</f>
        <v>#N/A</v>
      </c>
      <c r="G667" t="str">
        <f>Excellent!I100</f>
        <v/>
      </c>
    </row>
    <row r="668" spans="1:7" x14ac:dyDescent="0.25">
      <c r="A668">
        <f t="shared" si="13"/>
        <v>0</v>
      </c>
      <c r="B668" t="s">
        <v>21</v>
      </c>
      <c r="C668">
        <f>Excellent!C101</f>
        <v>0</v>
      </c>
      <c r="D668">
        <f>IF(Excellent!I101="Pass",Excellent!G101,0)</f>
        <v>0</v>
      </c>
      <c r="E668" s="2" t="str">
        <f>IF(Excellent!B101="W","W","A")</f>
        <v>A</v>
      </c>
      <c r="F668" s="2" t="e">
        <f>VLOOKUP(JudgeD2CSE,Judges!$A$2:$B$44,2,FALSE)</f>
        <v>#N/A</v>
      </c>
      <c r="G668" t="str">
        <f>Excellent!I101</f>
        <v/>
      </c>
    </row>
    <row r="669" spans="1:7" x14ac:dyDescent="0.25">
      <c r="A669">
        <f t="shared" si="13"/>
        <v>0</v>
      </c>
      <c r="B669" t="s">
        <v>21</v>
      </c>
      <c r="C669">
        <f>Excellent!C102</f>
        <v>0</v>
      </c>
      <c r="D669">
        <f>IF(Excellent!I102="Pass",Excellent!G102,0)</f>
        <v>0</v>
      </c>
      <c r="E669" s="2" t="str">
        <f>IF(Excellent!B102="W","W","A")</f>
        <v>A</v>
      </c>
      <c r="F669" s="2" t="e">
        <f>VLOOKUP(JudgeD2CSE,Judges!$A$2:$B$44,2,FALSE)</f>
        <v>#N/A</v>
      </c>
      <c r="G669" t="str">
        <f>Excellent!I102</f>
        <v/>
      </c>
    </row>
    <row r="670" spans="1:7" x14ac:dyDescent="0.25">
      <c r="A670">
        <f t="shared" si="13"/>
        <v>0</v>
      </c>
      <c r="B670" t="s">
        <v>21</v>
      </c>
      <c r="C670">
        <f>Excellent!C103</f>
        <v>0</v>
      </c>
      <c r="D670">
        <f>IF(Excellent!I103="Pass",Excellent!G103,0)</f>
        <v>0</v>
      </c>
      <c r="E670" s="2" t="str">
        <f>IF(Excellent!B103="W","W","A")</f>
        <v>A</v>
      </c>
      <c r="F670" s="2" t="e">
        <f>VLOOKUP(JudgeD2CSE,Judges!$A$2:$B$44,2,FALSE)</f>
        <v>#N/A</v>
      </c>
      <c r="G670" t="str">
        <f>Excellent!I103</f>
        <v/>
      </c>
    </row>
    <row r="671" spans="1:7" x14ac:dyDescent="0.25">
      <c r="A671">
        <f t="shared" si="13"/>
        <v>0</v>
      </c>
      <c r="B671" t="s">
        <v>21</v>
      </c>
      <c r="C671">
        <f>Excellent!C104</f>
        <v>0</v>
      </c>
      <c r="D671">
        <f>IF(Excellent!I104="Pass",Excellent!G104,0)</f>
        <v>0</v>
      </c>
      <c r="E671" s="2" t="str">
        <f>IF(Excellent!B104="W","W","A")</f>
        <v>A</v>
      </c>
      <c r="F671" s="2" t="e">
        <f>VLOOKUP(JudgeD2CSE,Judges!$A$2:$B$44,2,FALSE)</f>
        <v>#N/A</v>
      </c>
      <c r="G671" t="str">
        <f>Excellent!I104</f>
        <v/>
      </c>
    </row>
    <row r="672" spans="1:7" x14ac:dyDescent="0.25">
      <c r="A672">
        <f t="shared" si="13"/>
        <v>0</v>
      </c>
      <c r="B672" t="s">
        <v>21</v>
      </c>
      <c r="C672">
        <f>Excellent!C105</f>
        <v>0</v>
      </c>
      <c r="D672">
        <f>IF(Excellent!I105="Pass",Excellent!G105,0)</f>
        <v>0</v>
      </c>
      <c r="E672" s="2" t="str">
        <f>IF(Excellent!B105="W","W","A")</f>
        <v>A</v>
      </c>
      <c r="F672" s="2" t="e">
        <f>VLOOKUP(JudgeD2CSE,Judges!$A$2:$B$44,2,FALSE)</f>
        <v>#N/A</v>
      </c>
      <c r="G672" t="str">
        <f>Excellent!I105</f>
        <v/>
      </c>
    </row>
    <row r="673" spans="1:7" x14ac:dyDescent="0.25">
      <c r="A673">
        <f t="shared" si="13"/>
        <v>0</v>
      </c>
      <c r="B673" t="s">
        <v>21</v>
      </c>
      <c r="C673">
        <f>Excellent!C106</f>
        <v>0</v>
      </c>
      <c r="D673">
        <f>IF(Excellent!I106="Pass",Excellent!G106,0)</f>
        <v>0</v>
      </c>
      <c r="E673" s="2" t="str">
        <f>IF(Excellent!B106="W","W","A")</f>
        <v>A</v>
      </c>
      <c r="F673" s="2" t="e">
        <f>VLOOKUP(JudgeD2CSE,Judges!$A$2:$B$44,2,FALSE)</f>
        <v>#N/A</v>
      </c>
      <c r="G673" t="str">
        <f>Excellent!I106</f>
        <v/>
      </c>
    </row>
    <row r="674" spans="1:7" x14ac:dyDescent="0.25">
      <c r="A674">
        <f t="shared" si="13"/>
        <v>0</v>
      </c>
      <c r="B674" t="s">
        <v>21</v>
      </c>
      <c r="C674">
        <f>Excellent!C107</f>
        <v>0</v>
      </c>
      <c r="D674">
        <f>IF(Excellent!I107="Pass",Excellent!G107,0)</f>
        <v>0</v>
      </c>
      <c r="E674" s="2" t="str">
        <f>IF(Excellent!B107="W","W","A")</f>
        <v>A</v>
      </c>
      <c r="F674" s="2" t="e">
        <f>VLOOKUP(JudgeD2CSE,Judges!$A$2:$B$44,2,FALSE)</f>
        <v>#N/A</v>
      </c>
      <c r="G674" t="str">
        <f>Excellent!I107</f>
        <v/>
      </c>
    </row>
    <row r="675" spans="1:7" x14ac:dyDescent="0.25">
      <c r="A675">
        <f t="shared" si="13"/>
        <v>0</v>
      </c>
      <c r="B675" t="s">
        <v>21</v>
      </c>
      <c r="C675">
        <f>Excellent!C108</f>
        <v>0</v>
      </c>
      <c r="D675">
        <f>IF(Excellent!I108="Pass",Excellent!G108,0)</f>
        <v>0</v>
      </c>
      <c r="E675" s="2" t="str">
        <f>IF(Excellent!B108="W","W","A")</f>
        <v>A</v>
      </c>
      <c r="F675" s="2" t="e">
        <f>VLOOKUP(JudgeD2CSE,Judges!$A$2:$B$44,2,FALSE)</f>
        <v>#N/A</v>
      </c>
      <c r="G675" t="str">
        <f>Excellent!I108</f>
        <v/>
      </c>
    </row>
    <row r="676" spans="1:7" x14ac:dyDescent="0.25">
      <c r="A676">
        <f t="shared" si="13"/>
        <v>0</v>
      </c>
      <c r="B676" t="s">
        <v>21</v>
      </c>
      <c r="C676">
        <f>Excellent!C109</f>
        <v>0</v>
      </c>
      <c r="D676">
        <f>IF(Excellent!I109="Pass",Excellent!G109,0)</f>
        <v>0</v>
      </c>
      <c r="E676" s="2" t="str">
        <f>IF(Excellent!B109="W","W","A")</f>
        <v>A</v>
      </c>
      <c r="F676" s="2" t="e">
        <f>VLOOKUP(JudgeD2CSE,Judges!$A$2:$B$44,2,FALSE)</f>
        <v>#N/A</v>
      </c>
      <c r="G676" t="str">
        <f>Excellent!I109</f>
        <v/>
      </c>
    </row>
    <row r="677" spans="1:7" x14ac:dyDescent="0.25">
      <c r="A677">
        <f t="shared" si="13"/>
        <v>0</v>
      </c>
      <c r="B677" t="s">
        <v>21</v>
      </c>
      <c r="C677">
        <f>Excellent!C110</f>
        <v>0</v>
      </c>
      <c r="D677">
        <f>IF(Excellent!I110="Pass",Excellent!G110,0)</f>
        <v>0</v>
      </c>
      <c r="E677" s="2" t="str">
        <f>IF(Excellent!B110="W","W","A")</f>
        <v>A</v>
      </c>
      <c r="F677" s="2" t="e">
        <f>VLOOKUP(JudgeD2CSE,Judges!$A$2:$B$44,2,FALSE)</f>
        <v>#N/A</v>
      </c>
      <c r="G677" t="str">
        <f>Excellent!I110</f>
        <v/>
      </c>
    </row>
    <row r="678" spans="1:7" x14ac:dyDescent="0.25">
      <c r="A678">
        <f t="shared" si="13"/>
        <v>0</v>
      </c>
      <c r="B678" t="s">
        <v>21</v>
      </c>
      <c r="C678">
        <f>Excellent!C111</f>
        <v>0</v>
      </c>
      <c r="D678">
        <f>IF(Excellent!I111="Pass",Excellent!G111,0)</f>
        <v>0</v>
      </c>
      <c r="E678" s="2" t="str">
        <f>IF(Excellent!B111="W","W","A")</f>
        <v>A</v>
      </c>
      <c r="F678" s="2" t="e">
        <f>VLOOKUP(JudgeD2CSE,Judges!$A$2:$B$44,2,FALSE)</f>
        <v>#N/A</v>
      </c>
      <c r="G678" t="str">
        <f>Excellent!I111</f>
        <v/>
      </c>
    </row>
    <row r="679" spans="1:7" x14ac:dyDescent="0.25">
      <c r="A679">
        <f t="shared" si="13"/>
        <v>0</v>
      </c>
      <c r="B679" t="s">
        <v>21</v>
      </c>
      <c r="C679">
        <f>Excellent!C112</f>
        <v>0</v>
      </c>
      <c r="D679">
        <f>IF(Excellent!I112="Pass",Excellent!G112,0)</f>
        <v>0</v>
      </c>
      <c r="E679" s="2" t="str">
        <f>IF(Excellent!B112="W","W","A")</f>
        <v>A</v>
      </c>
      <c r="F679" s="2" t="e">
        <f>VLOOKUP(JudgeD2CSE,Judges!$A$2:$B$44,2,FALSE)</f>
        <v>#N/A</v>
      </c>
      <c r="G679" t="str">
        <f>Excellent!I112</f>
        <v/>
      </c>
    </row>
    <row r="680" spans="1:7" x14ac:dyDescent="0.25">
      <c r="A680">
        <f t="shared" si="13"/>
        <v>0</v>
      </c>
      <c r="B680" t="s">
        <v>21</v>
      </c>
      <c r="C680">
        <f>Excellent!C113</f>
        <v>0</v>
      </c>
      <c r="D680">
        <f>IF(Excellent!I113="Pass",Excellent!G113,0)</f>
        <v>0</v>
      </c>
      <c r="E680" s="2" t="str">
        <f>IF(Excellent!B113="W","W","A")</f>
        <v>A</v>
      </c>
      <c r="F680" s="2" t="e">
        <f>VLOOKUP(JudgeD2CSE,Judges!$A$2:$B$44,2,FALSE)</f>
        <v>#N/A</v>
      </c>
      <c r="G680" t="str">
        <f>Excellent!I113</f>
        <v/>
      </c>
    </row>
    <row r="681" spans="1:7" x14ac:dyDescent="0.25">
      <c r="A681">
        <f t="shared" si="13"/>
        <v>0</v>
      </c>
      <c r="B681" t="s">
        <v>21</v>
      </c>
      <c r="C681">
        <f>Excellent!C114</f>
        <v>0</v>
      </c>
      <c r="D681">
        <f>IF(Excellent!I114="Pass",Excellent!G114,0)</f>
        <v>0</v>
      </c>
      <c r="E681" s="2" t="str">
        <f>IF(Excellent!B114="W","W","A")</f>
        <v>A</v>
      </c>
      <c r="F681" s="2" t="e">
        <f>VLOOKUP(JudgeD2CSE,Judges!$A$2:$B$44,2,FALSE)</f>
        <v>#N/A</v>
      </c>
      <c r="G681" t="str">
        <f>Excellent!I114</f>
        <v/>
      </c>
    </row>
    <row r="682" spans="1:7" x14ac:dyDescent="0.25">
      <c r="A682">
        <f t="shared" si="13"/>
        <v>0</v>
      </c>
      <c r="B682" t="s">
        <v>22</v>
      </c>
      <c r="C682">
        <f>Excellent!C65</f>
        <v>0</v>
      </c>
      <c r="D682">
        <f>IF(Excellent!Q65="Pass",Excellent!O65,0)</f>
        <v>0</v>
      </c>
      <c r="E682" s="2" t="str">
        <f>IF(Excellent!B65="W","W","A")</f>
        <v>A</v>
      </c>
      <c r="F682" s="2" t="e">
        <f>VLOOKUP(JudgeD2ISE,Judges!$A$2:$B$44,2,FALSE)</f>
        <v>#N/A</v>
      </c>
      <c r="G682" t="str">
        <f>Excellent!Q65</f>
        <v/>
      </c>
    </row>
    <row r="683" spans="1:7" x14ac:dyDescent="0.25">
      <c r="A683">
        <f t="shared" si="13"/>
        <v>0</v>
      </c>
      <c r="B683" t="s">
        <v>22</v>
      </c>
      <c r="C683">
        <f>Excellent!C66</f>
        <v>0</v>
      </c>
      <c r="D683">
        <f>IF(Excellent!Q66="Pass",Excellent!O66,0)</f>
        <v>0</v>
      </c>
      <c r="E683" s="2" t="str">
        <f>IF(Excellent!B66="W","W","A")</f>
        <v>A</v>
      </c>
      <c r="F683" s="2" t="e">
        <f>VLOOKUP(JudgeD2ISE,Judges!$A$2:$B$44,2,FALSE)</f>
        <v>#N/A</v>
      </c>
      <c r="G683" t="str">
        <f>Excellent!Q66</f>
        <v/>
      </c>
    </row>
    <row r="684" spans="1:7" x14ac:dyDescent="0.25">
      <c r="A684">
        <f t="shared" si="13"/>
        <v>0</v>
      </c>
      <c r="B684" t="s">
        <v>22</v>
      </c>
      <c r="C684">
        <f>Excellent!C67</f>
        <v>0</v>
      </c>
      <c r="D684">
        <f>IF(Excellent!Q67="Pass",Excellent!O67,0)</f>
        <v>0</v>
      </c>
      <c r="E684" s="2" t="str">
        <f>IF(Excellent!B67="W","W","A")</f>
        <v>A</v>
      </c>
      <c r="F684" s="2" t="e">
        <f>VLOOKUP(JudgeD2ISE,Judges!$A$2:$B$44,2,FALSE)</f>
        <v>#N/A</v>
      </c>
      <c r="G684" t="str">
        <f>Excellent!Q67</f>
        <v/>
      </c>
    </row>
    <row r="685" spans="1:7" x14ac:dyDescent="0.25">
      <c r="A685">
        <f t="shared" si="13"/>
        <v>0</v>
      </c>
      <c r="B685" t="s">
        <v>22</v>
      </c>
      <c r="C685">
        <f>Excellent!C68</f>
        <v>0</v>
      </c>
      <c r="D685">
        <f>IF(Excellent!Q68="Pass",Excellent!O68,0)</f>
        <v>0</v>
      </c>
      <c r="E685" s="2" t="str">
        <f>IF(Excellent!B68="W","W","A")</f>
        <v>A</v>
      </c>
      <c r="F685" s="2" t="e">
        <f>VLOOKUP(JudgeD2ISE,Judges!$A$2:$B$44,2,FALSE)</f>
        <v>#N/A</v>
      </c>
      <c r="G685" t="str">
        <f>Excellent!Q68</f>
        <v/>
      </c>
    </row>
    <row r="686" spans="1:7" x14ac:dyDescent="0.25">
      <c r="A686">
        <f t="shared" si="13"/>
        <v>0</v>
      </c>
      <c r="B686" t="s">
        <v>22</v>
      </c>
      <c r="C686">
        <f>Excellent!C69</f>
        <v>0</v>
      </c>
      <c r="D686">
        <f>IF(Excellent!Q69="Pass",Excellent!O69,0)</f>
        <v>0</v>
      </c>
      <c r="E686" s="2" t="str">
        <f>IF(Excellent!B69="W","W","A")</f>
        <v>A</v>
      </c>
      <c r="F686" s="2" t="e">
        <f>VLOOKUP(JudgeD2ISE,Judges!$A$2:$B$44,2,FALSE)</f>
        <v>#N/A</v>
      </c>
      <c r="G686" t="str">
        <f>Excellent!Q69</f>
        <v/>
      </c>
    </row>
    <row r="687" spans="1:7" x14ac:dyDescent="0.25">
      <c r="A687">
        <f t="shared" si="13"/>
        <v>0</v>
      </c>
      <c r="B687" t="s">
        <v>22</v>
      </c>
      <c r="C687">
        <f>Excellent!C70</f>
        <v>0</v>
      </c>
      <c r="D687">
        <f>IF(Excellent!Q70="Pass",Excellent!O70,0)</f>
        <v>0</v>
      </c>
      <c r="E687" s="2" t="str">
        <f>IF(Excellent!B70="W","W","A")</f>
        <v>A</v>
      </c>
      <c r="F687" s="2" t="e">
        <f>VLOOKUP(JudgeD2ISE,Judges!$A$2:$B$44,2,FALSE)</f>
        <v>#N/A</v>
      </c>
      <c r="G687" t="str">
        <f>Excellent!Q70</f>
        <v/>
      </c>
    </row>
    <row r="688" spans="1:7" x14ac:dyDescent="0.25">
      <c r="A688">
        <f t="shared" si="13"/>
        <v>0</v>
      </c>
      <c r="B688" t="s">
        <v>22</v>
      </c>
      <c r="C688">
        <f>Excellent!C71</f>
        <v>0</v>
      </c>
      <c r="D688">
        <f>IF(Excellent!Q71="Pass",Excellent!O71,0)</f>
        <v>0</v>
      </c>
      <c r="E688" s="2" t="str">
        <f>IF(Excellent!B71="W","W","A")</f>
        <v>A</v>
      </c>
      <c r="F688" s="2" t="e">
        <f>VLOOKUP(JudgeD2ISE,Judges!$A$2:$B$44,2,FALSE)</f>
        <v>#N/A</v>
      </c>
      <c r="G688" t="str">
        <f>Excellent!Q71</f>
        <v/>
      </c>
    </row>
    <row r="689" spans="1:7" x14ac:dyDescent="0.25">
      <c r="A689">
        <f t="shared" si="13"/>
        <v>0</v>
      </c>
      <c r="B689" t="s">
        <v>22</v>
      </c>
      <c r="C689">
        <f>Excellent!C72</f>
        <v>0</v>
      </c>
      <c r="D689">
        <f>IF(Excellent!Q72="Pass",Excellent!O72,0)</f>
        <v>0</v>
      </c>
      <c r="E689" s="2" t="str">
        <f>IF(Excellent!B72="W","W","A")</f>
        <v>A</v>
      </c>
      <c r="F689" s="2" t="e">
        <f>VLOOKUP(JudgeD2ISE,Judges!$A$2:$B$44,2,FALSE)</f>
        <v>#N/A</v>
      </c>
      <c r="G689" t="str">
        <f>Excellent!Q72</f>
        <v/>
      </c>
    </row>
    <row r="690" spans="1:7" x14ac:dyDescent="0.25">
      <c r="A690">
        <f t="shared" si="13"/>
        <v>0</v>
      </c>
      <c r="B690" t="s">
        <v>22</v>
      </c>
      <c r="C690">
        <f>Excellent!C73</f>
        <v>0</v>
      </c>
      <c r="D690">
        <f>IF(Excellent!Q73="Pass",Excellent!O73,0)</f>
        <v>0</v>
      </c>
      <c r="E690" s="2" t="str">
        <f>IF(Excellent!B73="W","W","A")</f>
        <v>A</v>
      </c>
      <c r="F690" s="2" t="e">
        <f>VLOOKUP(JudgeD2ISE,Judges!$A$2:$B$44,2,FALSE)</f>
        <v>#N/A</v>
      </c>
      <c r="G690" t="str">
        <f>Excellent!Q73</f>
        <v/>
      </c>
    </row>
    <row r="691" spans="1:7" x14ac:dyDescent="0.25">
      <c r="A691">
        <f t="shared" si="13"/>
        <v>0</v>
      </c>
      <c r="B691" t="s">
        <v>22</v>
      </c>
      <c r="C691">
        <f>Excellent!C74</f>
        <v>0</v>
      </c>
      <c r="D691">
        <f>IF(Excellent!Q74="Pass",Excellent!O74,0)</f>
        <v>0</v>
      </c>
      <c r="E691" s="2" t="str">
        <f>IF(Excellent!B74="W","W","A")</f>
        <v>A</v>
      </c>
      <c r="F691" s="2" t="e">
        <f>VLOOKUP(JudgeD2ISE,Judges!$A$2:$B$44,2,FALSE)</f>
        <v>#N/A</v>
      </c>
      <c r="G691" t="str">
        <f>Excellent!Q74</f>
        <v/>
      </c>
    </row>
    <row r="692" spans="1:7" x14ac:dyDescent="0.25">
      <c r="A692">
        <f t="shared" si="13"/>
        <v>0</v>
      </c>
      <c r="B692" t="s">
        <v>22</v>
      </c>
      <c r="C692">
        <f>Excellent!C75</f>
        <v>0</v>
      </c>
      <c r="D692">
        <f>IF(Excellent!Q75="Pass",Excellent!O75,0)</f>
        <v>0</v>
      </c>
      <c r="E692" s="2" t="str">
        <f>IF(Excellent!B75="W","W","A")</f>
        <v>A</v>
      </c>
      <c r="F692" s="2" t="e">
        <f>VLOOKUP(JudgeD2ISE,Judges!$A$2:$B$44,2,FALSE)</f>
        <v>#N/A</v>
      </c>
      <c r="G692" t="str">
        <f>Excellent!Q75</f>
        <v/>
      </c>
    </row>
    <row r="693" spans="1:7" x14ac:dyDescent="0.25">
      <c r="A693">
        <f t="shared" si="13"/>
        <v>0</v>
      </c>
      <c r="B693" t="s">
        <v>22</v>
      </c>
      <c r="C693">
        <f>Excellent!C76</f>
        <v>0</v>
      </c>
      <c r="D693">
        <f>IF(Excellent!Q76="Pass",Excellent!O76,0)</f>
        <v>0</v>
      </c>
      <c r="E693" s="2" t="str">
        <f>IF(Excellent!B76="W","W","A")</f>
        <v>A</v>
      </c>
      <c r="F693" s="2" t="e">
        <f>VLOOKUP(JudgeD2ISE,Judges!$A$2:$B$44,2,FALSE)</f>
        <v>#N/A</v>
      </c>
      <c r="G693" t="str">
        <f>Excellent!Q76</f>
        <v/>
      </c>
    </row>
    <row r="694" spans="1:7" x14ac:dyDescent="0.25">
      <c r="A694">
        <f t="shared" si="13"/>
        <v>0</v>
      </c>
      <c r="B694" t="s">
        <v>22</v>
      </c>
      <c r="C694">
        <f>Excellent!C77</f>
        <v>0</v>
      </c>
      <c r="D694">
        <f>IF(Excellent!Q77="Pass",Excellent!O77,0)</f>
        <v>0</v>
      </c>
      <c r="E694" s="2" t="str">
        <f>IF(Excellent!B77="W","W","A")</f>
        <v>A</v>
      </c>
      <c r="F694" s="2" t="e">
        <f>VLOOKUP(JudgeD2ISE,Judges!$A$2:$B$44,2,FALSE)</f>
        <v>#N/A</v>
      </c>
      <c r="G694" t="str">
        <f>Excellent!Q77</f>
        <v/>
      </c>
    </row>
    <row r="695" spans="1:7" x14ac:dyDescent="0.25">
      <c r="A695">
        <f t="shared" si="13"/>
        <v>0</v>
      </c>
      <c r="B695" t="s">
        <v>22</v>
      </c>
      <c r="C695">
        <f>Excellent!C78</f>
        <v>0</v>
      </c>
      <c r="D695">
        <f>IF(Excellent!Q78="Pass",Excellent!O78,0)</f>
        <v>0</v>
      </c>
      <c r="E695" s="2" t="str">
        <f>IF(Excellent!B78="W","W","A")</f>
        <v>A</v>
      </c>
      <c r="F695" s="2" t="e">
        <f>VLOOKUP(JudgeD2ISE,Judges!$A$2:$B$44,2,FALSE)</f>
        <v>#N/A</v>
      </c>
      <c r="G695" t="str">
        <f>Excellent!Q78</f>
        <v/>
      </c>
    </row>
    <row r="696" spans="1:7" x14ac:dyDescent="0.25">
      <c r="A696">
        <f t="shared" si="13"/>
        <v>0</v>
      </c>
      <c r="B696" t="s">
        <v>22</v>
      </c>
      <c r="C696">
        <f>Excellent!C79</f>
        <v>0</v>
      </c>
      <c r="D696">
        <f>IF(Excellent!Q79="Pass",Excellent!O79,0)</f>
        <v>0</v>
      </c>
      <c r="E696" s="2" t="str">
        <f>IF(Excellent!B79="W","W","A")</f>
        <v>A</v>
      </c>
      <c r="F696" s="2" t="e">
        <f>VLOOKUP(JudgeD2ISE,Judges!$A$2:$B$44,2,FALSE)</f>
        <v>#N/A</v>
      </c>
      <c r="G696" t="str">
        <f>Excellent!Q79</f>
        <v/>
      </c>
    </row>
    <row r="697" spans="1:7" x14ac:dyDescent="0.25">
      <c r="A697">
        <f t="shared" si="13"/>
        <v>0</v>
      </c>
      <c r="B697" t="s">
        <v>22</v>
      </c>
      <c r="C697">
        <f>Excellent!C80</f>
        <v>0</v>
      </c>
      <c r="D697">
        <f>IF(Excellent!Q80="Pass",Excellent!O80,0)</f>
        <v>0</v>
      </c>
      <c r="E697" s="2" t="str">
        <f>IF(Excellent!B80="W","W","A")</f>
        <v>A</v>
      </c>
      <c r="F697" s="2" t="e">
        <f>VLOOKUP(JudgeD2ISE,Judges!$A$2:$B$44,2,FALSE)</f>
        <v>#N/A</v>
      </c>
      <c r="G697" t="str">
        <f>Excellent!Q80</f>
        <v/>
      </c>
    </row>
    <row r="698" spans="1:7" x14ac:dyDescent="0.25">
      <c r="A698">
        <f t="shared" si="13"/>
        <v>0</v>
      </c>
      <c r="B698" t="s">
        <v>22</v>
      </c>
      <c r="C698">
        <f>Excellent!C81</f>
        <v>0</v>
      </c>
      <c r="D698">
        <f>IF(Excellent!Q81="Pass",Excellent!O81,0)</f>
        <v>0</v>
      </c>
      <c r="E698" s="2" t="str">
        <f>IF(Excellent!B81="W","W","A")</f>
        <v>A</v>
      </c>
      <c r="F698" s="2" t="e">
        <f>VLOOKUP(JudgeD2ISE,Judges!$A$2:$B$44,2,FALSE)</f>
        <v>#N/A</v>
      </c>
      <c r="G698" t="str">
        <f>Excellent!Q81</f>
        <v/>
      </c>
    </row>
    <row r="699" spans="1:7" x14ac:dyDescent="0.25">
      <c r="A699">
        <f t="shared" si="13"/>
        <v>0</v>
      </c>
      <c r="B699" t="s">
        <v>22</v>
      </c>
      <c r="C699">
        <f>Excellent!C82</f>
        <v>0</v>
      </c>
      <c r="D699">
        <f>IF(Excellent!Q82="Pass",Excellent!O82,0)</f>
        <v>0</v>
      </c>
      <c r="E699" s="2" t="str">
        <f>IF(Excellent!B82="W","W","A")</f>
        <v>A</v>
      </c>
      <c r="F699" s="2" t="e">
        <f>VLOOKUP(JudgeD2ISE,Judges!$A$2:$B$44,2,FALSE)</f>
        <v>#N/A</v>
      </c>
      <c r="G699" t="str">
        <f>Excellent!Q82</f>
        <v/>
      </c>
    </row>
    <row r="700" spans="1:7" x14ac:dyDescent="0.25">
      <c r="A700">
        <f t="shared" si="13"/>
        <v>0</v>
      </c>
      <c r="B700" t="s">
        <v>22</v>
      </c>
      <c r="C700">
        <f>Excellent!C83</f>
        <v>0</v>
      </c>
      <c r="D700">
        <f>IF(Excellent!Q83="Pass",Excellent!O83,0)</f>
        <v>0</v>
      </c>
      <c r="E700" s="2" t="str">
        <f>IF(Excellent!B83="W","W","A")</f>
        <v>A</v>
      </c>
      <c r="F700" s="2" t="e">
        <f>VLOOKUP(JudgeD2ISE,Judges!$A$2:$B$44,2,FALSE)</f>
        <v>#N/A</v>
      </c>
      <c r="G700" t="str">
        <f>Excellent!Q83</f>
        <v/>
      </c>
    </row>
    <row r="701" spans="1:7" x14ac:dyDescent="0.25">
      <c r="A701">
        <f t="shared" si="13"/>
        <v>0</v>
      </c>
      <c r="B701" t="s">
        <v>22</v>
      </c>
      <c r="C701">
        <f>Excellent!C84</f>
        <v>0</v>
      </c>
      <c r="D701">
        <f>IF(Excellent!Q84="Pass",Excellent!O84,0)</f>
        <v>0</v>
      </c>
      <c r="E701" s="2" t="str">
        <f>IF(Excellent!B84="W","W","A")</f>
        <v>A</v>
      </c>
      <c r="F701" s="2" t="e">
        <f>VLOOKUP(JudgeD2ISE,Judges!$A$2:$B$44,2,FALSE)</f>
        <v>#N/A</v>
      </c>
      <c r="G701" t="str">
        <f>Excellent!Q84</f>
        <v/>
      </c>
    </row>
    <row r="702" spans="1:7" x14ac:dyDescent="0.25">
      <c r="A702">
        <f t="shared" si="13"/>
        <v>0</v>
      </c>
      <c r="B702" t="s">
        <v>22</v>
      </c>
      <c r="C702">
        <f>Excellent!C85</f>
        <v>0</v>
      </c>
      <c r="D702">
        <f>IF(Excellent!Q85="Pass",Excellent!O85,0)</f>
        <v>0</v>
      </c>
      <c r="E702" s="2" t="str">
        <f>IF(Excellent!B85="W","W","A")</f>
        <v>A</v>
      </c>
      <c r="F702" s="2" t="e">
        <f>VLOOKUP(JudgeD2ISE,Judges!$A$2:$B$44,2,FALSE)</f>
        <v>#N/A</v>
      </c>
      <c r="G702" t="str">
        <f>Excellent!Q85</f>
        <v/>
      </c>
    </row>
    <row r="703" spans="1:7" x14ac:dyDescent="0.25">
      <c r="A703">
        <f t="shared" si="13"/>
        <v>0</v>
      </c>
      <c r="B703" t="s">
        <v>22</v>
      </c>
      <c r="C703">
        <f>Excellent!C86</f>
        <v>0</v>
      </c>
      <c r="D703">
        <f>IF(Excellent!Q86="Pass",Excellent!O86,0)</f>
        <v>0</v>
      </c>
      <c r="E703" s="2" t="str">
        <f>IF(Excellent!B86="W","W","A")</f>
        <v>A</v>
      </c>
      <c r="F703" s="2" t="e">
        <f>VLOOKUP(JudgeD2ISE,Judges!$A$2:$B$44,2,FALSE)</f>
        <v>#N/A</v>
      </c>
      <c r="G703" t="str">
        <f>Excellent!Q86</f>
        <v/>
      </c>
    </row>
    <row r="704" spans="1:7" x14ac:dyDescent="0.25">
      <c r="A704">
        <f t="shared" si="13"/>
        <v>0</v>
      </c>
      <c r="B704" t="s">
        <v>22</v>
      </c>
      <c r="C704">
        <f>Excellent!C87</f>
        <v>0</v>
      </c>
      <c r="D704">
        <f>IF(Excellent!Q87="Pass",Excellent!O87,0)</f>
        <v>0</v>
      </c>
      <c r="E704" s="2" t="str">
        <f>IF(Excellent!B87="W","W","A")</f>
        <v>A</v>
      </c>
      <c r="F704" s="2" t="e">
        <f>VLOOKUP(JudgeD2ISE,Judges!$A$2:$B$44,2,FALSE)</f>
        <v>#N/A</v>
      </c>
      <c r="G704" t="str">
        <f>Excellent!Q87</f>
        <v/>
      </c>
    </row>
    <row r="705" spans="1:7" x14ac:dyDescent="0.25">
      <c r="A705">
        <f t="shared" si="13"/>
        <v>0</v>
      </c>
      <c r="B705" t="s">
        <v>22</v>
      </c>
      <c r="C705">
        <f>Excellent!C88</f>
        <v>0</v>
      </c>
      <c r="D705">
        <f>IF(Excellent!Q88="Pass",Excellent!O88,0)</f>
        <v>0</v>
      </c>
      <c r="E705" s="2" t="str">
        <f>IF(Excellent!B88="W","W","A")</f>
        <v>A</v>
      </c>
      <c r="F705" s="2" t="e">
        <f>VLOOKUP(JudgeD2ISE,Judges!$A$2:$B$44,2,FALSE)</f>
        <v>#N/A</v>
      </c>
      <c r="G705" t="str">
        <f>Excellent!Q88</f>
        <v/>
      </c>
    </row>
    <row r="706" spans="1:7" x14ac:dyDescent="0.25">
      <c r="A706">
        <f t="shared" si="13"/>
        <v>0</v>
      </c>
      <c r="B706" t="s">
        <v>22</v>
      </c>
      <c r="C706">
        <f>Excellent!C89</f>
        <v>0</v>
      </c>
      <c r="D706">
        <f>IF(Excellent!Q89="Pass",Excellent!O89,0)</f>
        <v>0</v>
      </c>
      <c r="E706" s="2" t="str">
        <f>IF(Excellent!B89="W","W","A")</f>
        <v>A</v>
      </c>
      <c r="F706" s="2" t="e">
        <f>VLOOKUP(JudgeD2ISE,Judges!$A$2:$B$44,2,FALSE)</f>
        <v>#N/A</v>
      </c>
      <c r="G706" t="str">
        <f>Excellent!Q89</f>
        <v/>
      </c>
    </row>
    <row r="707" spans="1:7" x14ac:dyDescent="0.25">
      <c r="A707">
        <f t="shared" si="13"/>
        <v>0</v>
      </c>
      <c r="B707" t="s">
        <v>22</v>
      </c>
      <c r="C707">
        <f>Excellent!C90</f>
        <v>0</v>
      </c>
      <c r="D707">
        <f>IF(Excellent!Q90="Pass",Excellent!O90,0)</f>
        <v>0</v>
      </c>
      <c r="E707" s="2" t="str">
        <f>IF(Excellent!B90="W","W","A")</f>
        <v>A</v>
      </c>
      <c r="F707" s="2" t="e">
        <f>VLOOKUP(JudgeD2ISE,Judges!$A$2:$B$44,2,FALSE)</f>
        <v>#N/A</v>
      </c>
      <c r="G707" t="str">
        <f>Excellent!Q90</f>
        <v/>
      </c>
    </row>
    <row r="708" spans="1:7" x14ac:dyDescent="0.25">
      <c r="A708">
        <f t="shared" si="13"/>
        <v>0</v>
      </c>
      <c r="B708" t="s">
        <v>22</v>
      </c>
      <c r="C708">
        <f>Excellent!C91</f>
        <v>0</v>
      </c>
      <c r="D708">
        <f>IF(Excellent!Q91="Pass",Excellent!O91,0)</f>
        <v>0</v>
      </c>
      <c r="E708" s="2" t="str">
        <f>IF(Excellent!B91="W","W","A")</f>
        <v>A</v>
      </c>
      <c r="F708" s="2" t="e">
        <f>VLOOKUP(JudgeD2ISE,Judges!$A$2:$B$44,2,FALSE)</f>
        <v>#N/A</v>
      </c>
      <c r="G708" t="str">
        <f>Excellent!Q91</f>
        <v/>
      </c>
    </row>
    <row r="709" spans="1:7" x14ac:dyDescent="0.25">
      <c r="A709">
        <f t="shared" si="13"/>
        <v>0</v>
      </c>
      <c r="B709" t="s">
        <v>22</v>
      </c>
      <c r="C709">
        <f>Excellent!C92</f>
        <v>0</v>
      </c>
      <c r="D709">
        <f>IF(Excellent!Q92="Pass",Excellent!O92,0)</f>
        <v>0</v>
      </c>
      <c r="E709" s="2" t="str">
        <f>IF(Excellent!B92="W","W","A")</f>
        <v>A</v>
      </c>
      <c r="F709" s="2" t="e">
        <f>VLOOKUP(JudgeD2ISE,Judges!$A$2:$B$44,2,FALSE)</f>
        <v>#N/A</v>
      </c>
      <c r="G709" t="str">
        <f>Excellent!Q92</f>
        <v/>
      </c>
    </row>
    <row r="710" spans="1:7" x14ac:dyDescent="0.25">
      <c r="A710">
        <f t="shared" si="13"/>
        <v>0</v>
      </c>
      <c r="B710" t="s">
        <v>22</v>
      </c>
      <c r="C710">
        <f>Excellent!C93</f>
        <v>0</v>
      </c>
      <c r="D710">
        <f>IF(Excellent!Q93="Pass",Excellent!O93,0)</f>
        <v>0</v>
      </c>
      <c r="E710" s="2" t="str">
        <f>IF(Excellent!B93="W","W","A")</f>
        <v>A</v>
      </c>
      <c r="F710" s="2" t="e">
        <f>VLOOKUP(JudgeD2ISE,Judges!$A$2:$B$44,2,FALSE)</f>
        <v>#N/A</v>
      </c>
      <c r="G710" t="str">
        <f>Excellent!Q93</f>
        <v/>
      </c>
    </row>
    <row r="711" spans="1:7" x14ac:dyDescent="0.25">
      <c r="A711">
        <f t="shared" si="13"/>
        <v>0</v>
      </c>
      <c r="B711" t="s">
        <v>22</v>
      </c>
      <c r="C711">
        <f>Excellent!C94</f>
        <v>0</v>
      </c>
      <c r="D711">
        <f>IF(Excellent!Q94="Pass",Excellent!O94,0)</f>
        <v>0</v>
      </c>
      <c r="E711" s="2" t="str">
        <f>IF(Excellent!B94="W","W","A")</f>
        <v>A</v>
      </c>
      <c r="F711" s="2" t="e">
        <f>VLOOKUP(JudgeD2ISE,Judges!$A$2:$B$44,2,FALSE)</f>
        <v>#N/A</v>
      </c>
      <c r="G711" t="str">
        <f>Excellent!Q94</f>
        <v/>
      </c>
    </row>
    <row r="712" spans="1:7" x14ac:dyDescent="0.25">
      <c r="A712">
        <f t="shared" si="13"/>
        <v>0</v>
      </c>
      <c r="B712" t="s">
        <v>22</v>
      </c>
      <c r="C712">
        <f>Excellent!C95</f>
        <v>0</v>
      </c>
      <c r="D712">
        <f>IF(Excellent!Q95="Pass",Excellent!O95,0)</f>
        <v>0</v>
      </c>
      <c r="E712" s="2" t="str">
        <f>IF(Excellent!B95="W","W","A")</f>
        <v>A</v>
      </c>
      <c r="F712" s="2" t="e">
        <f>VLOOKUP(JudgeD2ISE,Judges!$A$2:$B$44,2,FALSE)</f>
        <v>#N/A</v>
      </c>
      <c r="G712" t="str">
        <f>Excellent!Q95</f>
        <v/>
      </c>
    </row>
    <row r="713" spans="1:7" x14ac:dyDescent="0.25">
      <c r="A713">
        <f t="shared" si="13"/>
        <v>0</v>
      </c>
      <c r="B713" t="s">
        <v>22</v>
      </c>
      <c r="C713">
        <f>Excellent!C96</f>
        <v>0</v>
      </c>
      <c r="D713">
        <f>IF(Excellent!Q96="Pass",Excellent!O96,0)</f>
        <v>0</v>
      </c>
      <c r="E713" s="2" t="str">
        <f>IF(Excellent!B96="W","W","A")</f>
        <v>A</v>
      </c>
      <c r="F713" s="2" t="e">
        <f>VLOOKUP(JudgeD2ISE,Judges!$A$2:$B$44,2,FALSE)</f>
        <v>#N/A</v>
      </c>
      <c r="G713" t="str">
        <f>Excellent!Q96</f>
        <v/>
      </c>
    </row>
    <row r="714" spans="1:7" x14ac:dyDescent="0.25">
      <c r="A714">
        <f t="shared" si="13"/>
        <v>0</v>
      </c>
      <c r="B714" t="s">
        <v>22</v>
      </c>
      <c r="C714">
        <f>Excellent!C97</f>
        <v>0</v>
      </c>
      <c r="D714">
        <f>IF(Excellent!Q97="Pass",Excellent!O97,0)</f>
        <v>0</v>
      </c>
      <c r="E714" s="2" t="str">
        <f>IF(Excellent!B97="W","W","A")</f>
        <v>A</v>
      </c>
      <c r="F714" s="2" t="e">
        <f>VLOOKUP(JudgeD2ISE,Judges!$A$2:$B$44,2,FALSE)</f>
        <v>#N/A</v>
      </c>
      <c r="G714" t="str">
        <f>Excellent!Q97</f>
        <v/>
      </c>
    </row>
    <row r="715" spans="1:7" x14ac:dyDescent="0.25">
      <c r="A715">
        <f t="shared" si="13"/>
        <v>0</v>
      </c>
      <c r="B715" t="s">
        <v>22</v>
      </c>
      <c r="C715">
        <f>Excellent!C98</f>
        <v>0</v>
      </c>
      <c r="D715">
        <f>IF(Excellent!Q98="Pass",Excellent!O98,0)</f>
        <v>0</v>
      </c>
      <c r="E715" s="2" t="str">
        <f>IF(Excellent!B98="W","W","A")</f>
        <v>A</v>
      </c>
      <c r="F715" s="2" t="e">
        <f>VLOOKUP(JudgeD2ISE,Judges!$A$2:$B$44,2,FALSE)</f>
        <v>#N/A</v>
      </c>
      <c r="G715" t="str">
        <f>Excellent!Q98</f>
        <v/>
      </c>
    </row>
    <row r="716" spans="1:7" x14ac:dyDescent="0.25">
      <c r="A716">
        <f t="shared" si="13"/>
        <v>0</v>
      </c>
      <c r="B716" t="s">
        <v>22</v>
      </c>
      <c r="C716">
        <f>Excellent!C99</f>
        <v>0</v>
      </c>
      <c r="D716">
        <f>IF(Excellent!Q99="Pass",Excellent!O99,0)</f>
        <v>0</v>
      </c>
      <c r="E716" s="2" t="str">
        <f>IF(Excellent!B99="W","W","A")</f>
        <v>A</v>
      </c>
      <c r="F716" s="2" t="e">
        <f>VLOOKUP(JudgeD2ISE,Judges!$A$2:$B$44,2,FALSE)</f>
        <v>#N/A</v>
      </c>
      <c r="G716" t="str">
        <f>Excellent!Q99</f>
        <v/>
      </c>
    </row>
    <row r="717" spans="1:7" x14ac:dyDescent="0.25">
      <c r="A717">
        <f t="shared" si="13"/>
        <v>0</v>
      </c>
      <c r="B717" t="s">
        <v>22</v>
      </c>
      <c r="C717">
        <f>Excellent!C100</f>
        <v>0</v>
      </c>
      <c r="D717">
        <f>IF(Excellent!Q100="Pass",Excellent!O100,0)</f>
        <v>0</v>
      </c>
      <c r="E717" s="2" t="str">
        <f>IF(Excellent!B100="W","W","A")</f>
        <v>A</v>
      </c>
      <c r="F717" s="2" t="e">
        <f>VLOOKUP(JudgeD2ISE,Judges!$A$2:$B$44,2,FALSE)</f>
        <v>#N/A</v>
      </c>
      <c r="G717" t="str">
        <f>Excellent!Q100</f>
        <v/>
      </c>
    </row>
    <row r="718" spans="1:7" x14ac:dyDescent="0.25">
      <c r="A718">
        <f t="shared" si="13"/>
        <v>0</v>
      </c>
      <c r="B718" t="s">
        <v>22</v>
      </c>
      <c r="C718">
        <f>Excellent!C101</f>
        <v>0</v>
      </c>
      <c r="D718">
        <f>IF(Excellent!Q101="Pass",Excellent!O101,0)</f>
        <v>0</v>
      </c>
      <c r="E718" s="2" t="str">
        <f>IF(Excellent!B101="W","W","A")</f>
        <v>A</v>
      </c>
      <c r="F718" s="2" t="e">
        <f>VLOOKUP(JudgeD2ISE,Judges!$A$2:$B$44,2,FALSE)</f>
        <v>#N/A</v>
      </c>
      <c r="G718" t="str">
        <f>Excellent!Q101</f>
        <v/>
      </c>
    </row>
    <row r="719" spans="1:7" x14ac:dyDescent="0.25">
      <c r="A719">
        <f t="shared" si="13"/>
        <v>0</v>
      </c>
      <c r="B719" t="s">
        <v>22</v>
      </c>
      <c r="C719">
        <f>Excellent!C102</f>
        <v>0</v>
      </c>
      <c r="D719">
        <f>IF(Excellent!Q102="Pass",Excellent!O102,0)</f>
        <v>0</v>
      </c>
      <c r="E719" s="2" t="str">
        <f>IF(Excellent!B102="W","W","A")</f>
        <v>A</v>
      </c>
      <c r="F719" s="2" t="e">
        <f>VLOOKUP(JudgeD2ISE,Judges!$A$2:$B$44,2,FALSE)</f>
        <v>#N/A</v>
      </c>
      <c r="G719" t="str">
        <f>Excellent!Q102</f>
        <v/>
      </c>
    </row>
    <row r="720" spans="1:7" x14ac:dyDescent="0.25">
      <c r="A720">
        <f t="shared" si="13"/>
        <v>0</v>
      </c>
      <c r="B720" t="s">
        <v>22</v>
      </c>
      <c r="C720">
        <f>Excellent!C103</f>
        <v>0</v>
      </c>
      <c r="D720">
        <f>IF(Excellent!Q103="Pass",Excellent!O103,0)</f>
        <v>0</v>
      </c>
      <c r="E720" s="2" t="str">
        <f>IF(Excellent!B103="W","W","A")</f>
        <v>A</v>
      </c>
      <c r="F720" s="2" t="e">
        <f>VLOOKUP(JudgeD2ISE,Judges!$A$2:$B$44,2,FALSE)</f>
        <v>#N/A</v>
      </c>
      <c r="G720" t="str">
        <f>Excellent!Q103</f>
        <v/>
      </c>
    </row>
    <row r="721" spans="1:7" x14ac:dyDescent="0.25">
      <c r="A721">
        <f t="shared" si="13"/>
        <v>0</v>
      </c>
      <c r="B721" t="s">
        <v>22</v>
      </c>
      <c r="C721">
        <f>Excellent!C104</f>
        <v>0</v>
      </c>
      <c r="D721">
        <f>IF(Excellent!Q104="Pass",Excellent!O104,0)</f>
        <v>0</v>
      </c>
      <c r="E721" s="2" t="str">
        <f>IF(Excellent!B104="W","W","A")</f>
        <v>A</v>
      </c>
      <c r="F721" s="2" t="e">
        <f>VLOOKUP(JudgeD2ISE,Judges!$A$2:$B$44,2,FALSE)</f>
        <v>#N/A</v>
      </c>
      <c r="G721" t="str">
        <f>Excellent!Q104</f>
        <v/>
      </c>
    </row>
    <row r="722" spans="1:7" x14ac:dyDescent="0.25">
      <c r="A722">
        <f t="shared" si="13"/>
        <v>0</v>
      </c>
      <c r="B722" t="s">
        <v>22</v>
      </c>
      <c r="C722">
        <f>Excellent!C105</f>
        <v>0</v>
      </c>
      <c r="D722">
        <f>IF(Excellent!Q105="Pass",Excellent!O105,0)</f>
        <v>0</v>
      </c>
      <c r="E722" s="2" t="str">
        <f>IF(Excellent!B105="W","W","A")</f>
        <v>A</v>
      </c>
      <c r="F722" s="2" t="e">
        <f>VLOOKUP(JudgeD2ISE,Judges!$A$2:$B$44,2,FALSE)</f>
        <v>#N/A</v>
      </c>
      <c r="G722" t="str">
        <f>Excellent!Q105</f>
        <v/>
      </c>
    </row>
    <row r="723" spans="1:7" x14ac:dyDescent="0.25">
      <c r="A723">
        <f t="shared" si="13"/>
        <v>0</v>
      </c>
      <c r="B723" t="s">
        <v>22</v>
      </c>
      <c r="C723">
        <f>Excellent!C106</f>
        <v>0</v>
      </c>
      <c r="D723">
        <f>IF(Excellent!Q106="Pass",Excellent!O106,0)</f>
        <v>0</v>
      </c>
      <c r="E723" s="2" t="str">
        <f>IF(Excellent!B106="W","W","A")</f>
        <v>A</v>
      </c>
      <c r="F723" s="2" t="e">
        <f>VLOOKUP(JudgeD2ISE,Judges!$A$2:$B$44,2,FALSE)</f>
        <v>#N/A</v>
      </c>
      <c r="G723" t="str">
        <f>Excellent!Q106</f>
        <v/>
      </c>
    </row>
    <row r="724" spans="1:7" x14ac:dyDescent="0.25">
      <c r="A724">
        <f t="shared" si="13"/>
        <v>0</v>
      </c>
      <c r="B724" t="s">
        <v>22</v>
      </c>
      <c r="C724">
        <f>Excellent!C107</f>
        <v>0</v>
      </c>
      <c r="D724">
        <f>IF(Excellent!Q107="Pass",Excellent!O107,0)</f>
        <v>0</v>
      </c>
      <c r="E724" s="2" t="str">
        <f>IF(Excellent!B107="W","W","A")</f>
        <v>A</v>
      </c>
      <c r="F724" s="2" t="e">
        <f>VLOOKUP(JudgeD2ISE,Judges!$A$2:$B$44,2,FALSE)</f>
        <v>#N/A</v>
      </c>
      <c r="G724" t="str">
        <f>Excellent!Q107</f>
        <v/>
      </c>
    </row>
    <row r="725" spans="1:7" x14ac:dyDescent="0.25">
      <c r="A725">
        <f t="shared" si="13"/>
        <v>0</v>
      </c>
      <c r="B725" t="s">
        <v>22</v>
      </c>
      <c r="C725">
        <f>Excellent!C108</f>
        <v>0</v>
      </c>
      <c r="D725">
        <f>IF(Excellent!Q108="Pass",Excellent!O108,0)</f>
        <v>0</v>
      </c>
      <c r="E725" s="2" t="str">
        <f>IF(Excellent!B108="W","W","A")</f>
        <v>A</v>
      </c>
      <c r="F725" s="2" t="e">
        <f>VLOOKUP(JudgeD2ISE,Judges!$A$2:$B$44,2,FALSE)</f>
        <v>#N/A</v>
      </c>
      <c r="G725" t="str">
        <f>Excellent!Q108</f>
        <v/>
      </c>
    </row>
    <row r="726" spans="1:7" x14ac:dyDescent="0.25">
      <c r="A726">
        <f t="shared" si="13"/>
        <v>0</v>
      </c>
      <c r="B726" t="s">
        <v>22</v>
      </c>
      <c r="C726">
        <f>Excellent!C109</f>
        <v>0</v>
      </c>
      <c r="D726">
        <f>IF(Excellent!Q109="Pass",Excellent!O109,0)</f>
        <v>0</v>
      </c>
      <c r="E726" s="2" t="str">
        <f>IF(Excellent!B109="W","W","A")</f>
        <v>A</v>
      </c>
      <c r="F726" s="2" t="e">
        <f>VLOOKUP(JudgeD2ISE,Judges!$A$2:$B$44,2,FALSE)</f>
        <v>#N/A</v>
      </c>
      <c r="G726" t="str">
        <f>Excellent!Q109</f>
        <v/>
      </c>
    </row>
    <row r="727" spans="1:7" x14ac:dyDescent="0.25">
      <c r="A727">
        <f t="shared" si="13"/>
        <v>0</v>
      </c>
      <c r="B727" t="s">
        <v>22</v>
      </c>
      <c r="C727">
        <f>Excellent!C110</f>
        <v>0</v>
      </c>
      <c r="D727">
        <f>IF(Excellent!Q110="Pass",Excellent!O110,0)</f>
        <v>0</v>
      </c>
      <c r="E727" s="2" t="str">
        <f>IF(Excellent!B110="W","W","A")</f>
        <v>A</v>
      </c>
      <c r="F727" s="2" t="e">
        <f>VLOOKUP(JudgeD2ISE,Judges!$A$2:$B$44,2,FALSE)</f>
        <v>#N/A</v>
      </c>
      <c r="G727" t="str">
        <f>Excellent!Q110</f>
        <v/>
      </c>
    </row>
    <row r="728" spans="1:7" x14ac:dyDescent="0.25">
      <c r="A728">
        <f t="shared" si="13"/>
        <v>0</v>
      </c>
      <c r="B728" t="s">
        <v>22</v>
      </c>
      <c r="C728">
        <f>Excellent!C111</f>
        <v>0</v>
      </c>
      <c r="D728">
        <f>IF(Excellent!Q111="Pass",Excellent!O111,0)</f>
        <v>0</v>
      </c>
      <c r="E728" s="2" t="str">
        <f>IF(Excellent!B111="W","W","A")</f>
        <v>A</v>
      </c>
      <c r="F728" s="2" t="e">
        <f>VLOOKUP(JudgeD2ISE,Judges!$A$2:$B$44,2,FALSE)</f>
        <v>#N/A</v>
      </c>
      <c r="G728" t="str">
        <f>Excellent!Q111</f>
        <v/>
      </c>
    </row>
    <row r="729" spans="1:7" x14ac:dyDescent="0.25">
      <c r="A729">
        <f t="shared" si="13"/>
        <v>0</v>
      </c>
      <c r="B729" t="s">
        <v>22</v>
      </c>
      <c r="C729">
        <f>Excellent!C112</f>
        <v>0</v>
      </c>
      <c r="D729">
        <f>IF(Excellent!Q112="Pass",Excellent!O112,0)</f>
        <v>0</v>
      </c>
      <c r="E729" s="2" t="str">
        <f>IF(Excellent!B112="W","W","A")</f>
        <v>A</v>
      </c>
      <c r="F729" s="2" t="e">
        <f>VLOOKUP(JudgeD2ISE,Judges!$A$2:$B$44,2,FALSE)</f>
        <v>#N/A</v>
      </c>
      <c r="G729" t="str">
        <f>Excellent!Q112</f>
        <v/>
      </c>
    </row>
    <row r="730" spans="1:7" x14ac:dyDescent="0.25">
      <c r="A730">
        <f t="shared" si="13"/>
        <v>0</v>
      </c>
      <c r="B730" t="s">
        <v>22</v>
      </c>
      <c r="C730">
        <f>Excellent!C113</f>
        <v>0</v>
      </c>
      <c r="D730">
        <f>IF(Excellent!Q113="Pass",Excellent!O113,0)</f>
        <v>0</v>
      </c>
      <c r="E730" s="2" t="str">
        <f>IF(Excellent!B113="W","W","A")</f>
        <v>A</v>
      </c>
      <c r="F730" s="2" t="e">
        <f>VLOOKUP(JudgeD2ISE,Judges!$A$2:$B$44,2,FALSE)</f>
        <v>#N/A</v>
      </c>
      <c r="G730" t="str">
        <f>Excellent!Q113</f>
        <v/>
      </c>
    </row>
    <row r="731" spans="1:7" x14ac:dyDescent="0.25">
      <c r="A731">
        <f t="shared" si="13"/>
        <v>0</v>
      </c>
      <c r="B731" t="s">
        <v>22</v>
      </c>
      <c r="C731">
        <f>Excellent!C114</f>
        <v>0</v>
      </c>
      <c r="D731">
        <f>IF(Excellent!Q114="Pass",Excellent!O114,0)</f>
        <v>0</v>
      </c>
      <c r="E731" s="2" t="str">
        <f>IF(Excellent!B114="W","W","A")</f>
        <v>A</v>
      </c>
      <c r="F731" s="2" t="e">
        <f>VLOOKUP(JudgeD2ISE,Judges!$A$2:$B$44,2,FALSE)</f>
        <v>#N/A</v>
      </c>
      <c r="G731" t="str">
        <f>Excellent!Q114</f>
        <v/>
      </c>
    </row>
    <row r="732" spans="1:7" x14ac:dyDescent="0.25">
      <c r="A732">
        <f t="shared" si="13"/>
        <v>0</v>
      </c>
      <c r="B732" t="s">
        <v>23</v>
      </c>
      <c r="C732">
        <f>Excellent!C65</f>
        <v>0</v>
      </c>
      <c r="D732">
        <f>IF(Excellent!Y65="Pass",Excellent!W65,0)</f>
        <v>0</v>
      </c>
      <c r="E732" s="2" t="str">
        <f>IF(Excellent!B65="W","W","A")</f>
        <v>A</v>
      </c>
      <c r="F732" s="2" t="e">
        <f>VLOOKUP(JudgeD2ESE,Judges!$A$2:$B$44,2,FALSE)</f>
        <v>#N/A</v>
      </c>
      <c r="G732" t="str">
        <f>Excellent!Y65</f>
        <v/>
      </c>
    </row>
    <row r="733" spans="1:7" x14ac:dyDescent="0.25">
      <c r="A733">
        <f t="shared" si="13"/>
        <v>0</v>
      </c>
      <c r="B733" t="s">
        <v>23</v>
      </c>
      <c r="C733">
        <f>Excellent!C66</f>
        <v>0</v>
      </c>
      <c r="D733">
        <f>IF(Excellent!Y66="Pass",Excellent!W66,0)</f>
        <v>0</v>
      </c>
      <c r="E733" s="2" t="str">
        <f>IF(Excellent!B66="W","W","A")</f>
        <v>A</v>
      </c>
      <c r="F733" s="2" t="e">
        <f>VLOOKUP(JudgeD2ESE,Judges!$A$2:$B$44,2,FALSE)</f>
        <v>#N/A</v>
      </c>
      <c r="G733" t="str">
        <f>Excellent!Y66</f>
        <v/>
      </c>
    </row>
    <row r="734" spans="1:7" x14ac:dyDescent="0.25">
      <c r="A734">
        <f t="shared" si="13"/>
        <v>0</v>
      </c>
      <c r="B734" t="s">
        <v>23</v>
      </c>
      <c r="C734">
        <f>Excellent!C67</f>
        <v>0</v>
      </c>
      <c r="D734">
        <f>IF(Excellent!Y67="Pass",Excellent!W67,0)</f>
        <v>0</v>
      </c>
      <c r="E734" s="2" t="str">
        <f>IF(Excellent!B67="W","W","A")</f>
        <v>A</v>
      </c>
      <c r="F734" s="2" t="e">
        <f>VLOOKUP(JudgeD2ESE,Judges!$A$2:$B$44,2,FALSE)</f>
        <v>#N/A</v>
      </c>
      <c r="G734" t="str">
        <f>Excellent!Y67</f>
        <v/>
      </c>
    </row>
    <row r="735" spans="1:7" x14ac:dyDescent="0.25">
      <c r="A735">
        <f t="shared" si="13"/>
        <v>0</v>
      </c>
      <c r="B735" t="s">
        <v>23</v>
      </c>
      <c r="C735">
        <f>Excellent!C68</f>
        <v>0</v>
      </c>
      <c r="D735">
        <f>IF(Excellent!Y68="Pass",Excellent!W68,0)</f>
        <v>0</v>
      </c>
      <c r="E735" s="2" t="str">
        <f>IF(Excellent!B68="W","W","A")</f>
        <v>A</v>
      </c>
      <c r="F735" s="2" t="e">
        <f>VLOOKUP(JudgeD2ESE,Judges!$A$2:$B$44,2,FALSE)</f>
        <v>#N/A</v>
      </c>
      <c r="G735" t="str">
        <f>Excellent!Y68</f>
        <v/>
      </c>
    </row>
    <row r="736" spans="1:7" x14ac:dyDescent="0.25">
      <c r="A736">
        <f t="shared" si="13"/>
        <v>0</v>
      </c>
      <c r="B736" t="s">
        <v>23</v>
      </c>
      <c r="C736">
        <f>Excellent!C69</f>
        <v>0</v>
      </c>
      <c r="D736">
        <f>IF(Excellent!Y69="Pass",Excellent!W69,0)</f>
        <v>0</v>
      </c>
      <c r="E736" s="2" t="str">
        <f>IF(Excellent!B69="W","W","A")</f>
        <v>A</v>
      </c>
      <c r="F736" s="2" t="e">
        <f>VLOOKUP(JudgeD2ESE,Judges!$A$2:$B$44,2,FALSE)</f>
        <v>#N/A</v>
      </c>
      <c r="G736" t="str">
        <f>Excellent!Y69</f>
        <v/>
      </c>
    </row>
    <row r="737" spans="1:7" x14ac:dyDescent="0.25">
      <c r="A737">
        <f t="shared" si="13"/>
        <v>0</v>
      </c>
      <c r="B737" t="s">
        <v>23</v>
      </c>
      <c r="C737">
        <f>Excellent!C70</f>
        <v>0</v>
      </c>
      <c r="D737">
        <f>IF(Excellent!Y70="Pass",Excellent!W70,0)</f>
        <v>0</v>
      </c>
      <c r="E737" s="2" t="str">
        <f>IF(Excellent!B70="W","W","A")</f>
        <v>A</v>
      </c>
      <c r="F737" s="2" t="e">
        <f>VLOOKUP(JudgeD2ESE,Judges!$A$2:$B$44,2,FALSE)</f>
        <v>#N/A</v>
      </c>
      <c r="G737" t="str">
        <f>Excellent!Y70</f>
        <v/>
      </c>
    </row>
    <row r="738" spans="1:7" x14ac:dyDescent="0.25">
      <c r="A738">
        <f t="shared" si="13"/>
        <v>0</v>
      </c>
      <c r="B738" t="s">
        <v>23</v>
      </c>
      <c r="C738">
        <f>Excellent!C71</f>
        <v>0</v>
      </c>
      <c r="D738">
        <f>IF(Excellent!Y71="Pass",Excellent!W71,0)</f>
        <v>0</v>
      </c>
      <c r="E738" s="2" t="str">
        <f>IF(Excellent!B71="W","W","A")</f>
        <v>A</v>
      </c>
      <c r="F738" s="2" t="e">
        <f>VLOOKUP(JudgeD2ESE,Judges!$A$2:$B$44,2,FALSE)</f>
        <v>#N/A</v>
      </c>
      <c r="G738" t="str">
        <f>Excellent!Y71</f>
        <v/>
      </c>
    </row>
    <row r="739" spans="1:7" x14ac:dyDescent="0.25">
      <c r="A739">
        <f t="shared" si="13"/>
        <v>0</v>
      </c>
      <c r="B739" t="s">
        <v>23</v>
      </c>
      <c r="C739">
        <f>Excellent!C72</f>
        <v>0</v>
      </c>
      <c r="D739">
        <f>IF(Excellent!Y72="Pass",Excellent!W72,0)</f>
        <v>0</v>
      </c>
      <c r="E739" s="2" t="str">
        <f>IF(Excellent!B72="W","W","A")</f>
        <v>A</v>
      </c>
      <c r="F739" s="2" t="e">
        <f>VLOOKUP(JudgeD2ESE,Judges!$A$2:$B$44,2,FALSE)</f>
        <v>#N/A</v>
      </c>
      <c r="G739" t="str">
        <f>Excellent!Y72</f>
        <v/>
      </c>
    </row>
    <row r="740" spans="1:7" x14ac:dyDescent="0.25">
      <c r="A740">
        <f t="shared" si="13"/>
        <v>0</v>
      </c>
      <c r="B740" t="s">
        <v>23</v>
      </c>
      <c r="C740">
        <f>Excellent!C73</f>
        <v>0</v>
      </c>
      <c r="D740">
        <f>IF(Excellent!Y73="Pass",Excellent!W73,0)</f>
        <v>0</v>
      </c>
      <c r="E740" s="2" t="str">
        <f>IF(Excellent!B73="W","W","A")</f>
        <v>A</v>
      </c>
      <c r="F740" s="2" t="e">
        <f>VLOOKUP(JudgeD2ESE,Judges!$A$2:$B$44,2,FALSE)</f>
        <v>#N/A</v>
      </c>
      <c r="G740" t="str">
        <f>Excellent!Y73</f>
        <v/>
      </c>
    </row>
    <row r="741" spans="1:7" x14ac:dyDescent="0.25">
      <c r="A741">
        <f t="shared" si="13"/>
        <v>0</v>
      </c>
      <c r="B741" t="s">
        <v>23</v>
      </c>
      <c r="C741">
        <f>Excellent!C74</f>
        <v>0</v>
      </c>
      <c r="D741">
        <f>IF(Excellent!Y74="Pass",Excellent!W74,0)</f>
        <v>0</v>
      </c>
      <c r="E741" s="2" t="str">
        <f>IF(Excellent!B74="W","W","A")</f>
        <v>A</v>
      </c>
      <c r="F741" s="2" t="e">
        <f>VLOOKUP(JudgeD2ESE,Judges!$A$2:$B$44,2,FALSE)</f>
        <v>#N/A</v>
      </c>
      <c r="G741" t="str">
        <f>Excellent!Y74</f>
        <v/>
      </c>
    </row>
    <row r="742" spans="1:7" x14ac:dyDescent="0.25">
      <c r="A742">
        <f t="shared" si="13"/>
        <v>0</v>
      </c>
      <c r="B742" t="s">
        <v>23</v>
      </c>
      <c r="C742">
        <f>Excellent!C75</f>
        <v>0</v>
      </c>
      <c r="D742">
        <f>IF(Excellent!Y75="Pass",Excellent!W75,0)</f>
        <v>0</v>
      </c>
      <c r="E742" s="2" t="str">
        <f>IF(Excellent!B75="W","W","A")</f>
        <v>A</v>
      </c>
      <c r="F742" s="2" t="e">
        <f>VLOOKUP(JudgeD2ESE,Judges!$A$2:$B$44,2,FALSE)</f>
        <v>#N/A</v>
      </c>
      <c r="G742" t="str">
        <f>Excellent!Y75</f>
        <v/>
      </c>
    </row>
    <row r="743" spans="1:7" x14ac:dyDescent="0.25">
      <c r="A743">
        <f t="shared" si="13"/>
        <v>0</v>
      </c>
      <c r="B743" t="s">
        <v>23</v>
      </c>
      <c r="C743">
        <f>Excellent!C76</f>
        <v>0</v>
      </c>
      <c r="D743">
        <f>IF(Excellent!Y76="Pass",Excellent!W76,0)</f>
        <v>0</v>
      </c>
      <c r="E743" s="2" t="str">
        <f>IF(Excellent!B76="W","W","A")</f>
        <v>A</v>
      </c>
      <c r="F743" s="2" t="e">
        <f>VLOOKUP(JudgeD2ESE,Judges!$A$2:$B$44,2,FALSE)</f>
        <v>#N/A</v>
      </c>
      <c r="G743" t="str">
        <f>Excellent!Y76</f>
        <v/>
      </c>
    </row>
    <row r="744" spans="1:7" x14ac:dyDescent="0.25">
      <c r="A744">
        <f t="shared" si="13"/>
        <v>0</v>
      </c>
      <c r="B744" t="s">
        <v>23</v>
      </c>
      <c r="C744">
        <f>Excellent!C77</f>
        <v>0</v>
      </c>
      <c r="D744">
        <f>IF(Excellent!Y77="Pass",Excellent!W77,0)</f>
        <v>0</v>
      </c>
      <c r="E744" s="2" t="str">
        <f>IF(Excellent!B77="W","W","A")</f>
        <v>A</v>
      </c>
      <c r="F744" s="2" t="e">
        <f>VLOOKUP(JudgeD2ESE,Judges!$A$2:$B$44,2,FALSE)</f>
        <v>#N/A</v>
      </c>
      <c r="G744" t="str">
        <f>Excellent!Y77</f>
        <v/>
      </c>
    </row>
    <row r="745" spans="1:7" x14ac:dyDescent="0.25">
      <c r="A745">
        <f t="shared" si="13"/>
        <v>0</v>
      </c>
      <c r="B745" t="s">
        <v>23</v>
      </c>
      <c r="C745">
        <f>Excellent!C78</f>
        <v>0</v>
      </c>
      <c r="D745">
        <f>IF(Excellent!Y78="Pass",Excellent!W78,0)</f>
        <v>0</v>
      </c>
      <c r="E745" s="2" t="str">
        <f>IF(Excellent!B78="W","W","A")</f>
        <v>A</v>
      </c>
      <c r="F745" s="2" t="e">
        <f>VLOOKUP(JudgeD2ESE,Judges!$A$2:$B$44,2,FALSE)</f>
        <v>#N/A</v>
      </c>
      <c r="G745" t="str">
        <f>Excellent!Y78</f>
        <v/>
      </c>
    </row>
    <row r="746" spans="1:7" x14ac:dyDescent="0.25">
      <c r="A746">
        <f t="shared" si="13"/>
        <v>0</v>
      </c>
      <c r="B746" t="s">
        <v>23</v>
      </c>
      <c r="C746">
        <f>Excellent!C79</f>
        <v>0</v>
      </c>
      <c r="D746">
        <f>IF(Excellent!Y79="Pass",Excellent!W79,0)</f>
        <v>0</v>
      </c>
      <c r="E746" s="2" t="str">
        <f>IF(Excellent!B79="W","W","A")</f>
        <v>A</v>
      </c>
      <c r="F746" s="2" t="e">
        <f>VLOOKUP(JudgeD2ESE,Judges!$A$2:$B$44,2,FALSE)</f>
        <v>#N/A</v>
      </c>
      <c r="G746" t="str">
        <f>Excellent!Y79</f>
        <v/>
      </c>
    </row>
    <row r="747" spans="1:7" x14ac:dyDescent="0.25">
      <c r="A747">
        <f t="shared" si="13"/>
        <v>0</v>
      </c>
      <c r="B747" t="s">
        <v>23</v>
      </c>
      <c r="C747">
        <f>Excellent!C80</f>
        <v>0</v>
      </c>
      <c r="D747">
        <f>IF(Excellent!Y80="Pass",Excellent!W80,0)</f>
        <v>0</v>
      </c>
      <c r="E747" s="2" t="str">
        <f>IF(Excellent!B80="W","W","A")</f>
        <v>A</v>
      </c>
      <c r="F747" s="2" t="e">
        <f>VLOOKUP(JudgeD2ESE,Judges!$A$2:$B$44,2,FALSE)</f>
        <v>#N/A</v>
      </c>
      <c r="G747" t="str">
        <f>Excellent!Y80</f>
        <v/>
      </c>
    </row>
    <row r="748" spans="1:7" x14ac:dyDescent="0.25">
      <c r="A748">
        <f t="shared" si="13"/>
        <v>0</v>
      </c>
      <c r="B748" t="s">
        <v>23</v>
      </c>
      <c r="C748">
        <f>Excellent!C81</f>
        <v>0</v>
      </c>
      <c r="D748">
        <f>IF(Excellent!Y81="Pass",Excellent!W81,0)</f>
        <v>0</v>
      </c>
      <c r="E748" s="2" t="str">
        <f>IF(Excellent!B81="W","W","A")</f>
        <v>A</v>
      </c>
      <c r="F748" s="2" t="e">
        <f>VLOOKUP(JudgeD2ESE,Judges!$A$2:$B$44,2,FALSE)</f>
        <v>#N/A</v>
      </c>
      <c r="G748" t="str">
        <f>Excellent!Y81</f>
        <v/>
      </c>
    </row>
    <row r="749" spans="1:7" x14ac:dyDescent="0.25">
      <c r="A749">
        <f t="shared" si="13"/>
        <v>0</v>
      </c>
      <c r="B749" t="s">
        <v>23</v>
      </c>
      <c r="C749">
        <f>Excellent!C82</f>
        <v>0</v>
      </c>
      <c r="D749">
        <f>IF(Excellent!Y82="Pass",Excellent!W82,0)</f>
        <v>0</v>
      </c>
      <c r="E749" s="2" t="str">
        <f>IF(Excellent!B82="W","W","A")</f>
        <v>A</v>
      </c>
      <c r="F749" s="2" t="e">
        <f>VLOOKUP(JudgeD2ESE,Judges!$A$2:$B$44,2,FALSE)</f>
        <v>#N/A</v>
      </c>
      <c r="G749" t="str">
        <f>Excellent!Y82</f>
        <v/>
      </c>
    </row>
    <row r="750" spans="1:7" x14ac:dyDescent="0.25">
      <c r="A750">
        <f t="shared" si="13"/>
        <v>0</v>
      </c>
      <c r="B750" t="s">
        <v>23</v>
      </c>
      <c r="C750">
        <f>Excellent!C83</f>
        <v>0</v>
      </c>
      <c r="D750">
        <f>IF(Excellent!Y83="Pass",Excellent!W83,0)</f>
        <v>0</v>
      </c>
      <c r="E750" s="2" t="str">
        <f>IF(Excellent!B83="W","W","A")</f>
        <v>A</v>
      </c>
      <c r="F750" s="2" t="e">
        <f>VLOOKUP(JudgeD2ESE,Judges!$A$2:$B$44,2,FALSE)</f>
        <v>#N/A</v>
      </c>
      <c r="G750" t="str">
        <f>Excellent!Y83</f>
        <v/>
      </c>
    </row>
    <row r="751" spans="1:7" x14ac:dyDescent="0.25">
      <c r="A751">
        <f t="shared" si="13"/>
        <v>0</v>
      </c>
      <c r="B751" t="s">
        <v>23</v>
      </c>
      <c r="C751">
        <f>Excellent!C84</f>
        <v>0</v>
      </c>
      <c r="D751">
        <f>IF(Excellent!Y84="Pass",Excellent!W84,0)</f>
        <v>0</v>
      </c>
      <c r="E751" s="2" t="str">
        <f>IF(Excellent!B84="W","W","A")</f>
        <v>A</v>
      </c>
      <c r="F751" s="2" t="e">
        <f>VLOOKUP(JudgeD2ESE,Judges!$A$2:$B$44,2,FALSE)</f>
        <v>#N/A</v>
      </c>
      <c r="G751" t="str">
        <f>Excellent!Y84</f>
        <v/>
      </c>
    </row>
    <row r="752" spans="1:7" x14ac:dyDescent="0.25">
      <c r="A752">
        <f t="shared" si="13"/>
        <v>0</v>
      </c>
      <c r="B752" t="s">
        <v>23</v>
      </c>
      <c r="C752">
        <f>Excellent!C85</f>
        <v>0</v>
      </c>
      <c r="D752">
        <f>IF(Excellent!Y85="Pass",Excellent!W85,0)</f>
        <v>0</v>
      </c>
      <c r="E752" s="2" t="str">
        <f>IF(Excellent!B85="W","W","A")</f>
        <v>A</v>
      </c>
      <c r="F752" s="2" t="e">
        <f>VLOOKUP(JudgeD2ESE,Judges!$A$2:$B$44,2,FALSE)</f>
        <v>#N/A</v>
      </c>
      <c r="G752" t="str">
        <f>Excellent!Y85</f>
        <v/>
      </c>
    </row>
    <row r="753" spans="1:7" x14ac:dyDescent="0.25">
      <c r="A753">
        <f t="shared" si="13"/>
        <v>0</v>
      </c>
      <c r="B753" t="s">
        <v>23</v>
      </c>
      <c r="C753">
        <f>Excellent!C86</f>
        <v>0</v>
      </c>
      <c r="D753">
        <f>IF(Excellent!Y86="Pass",Excellent!W86,0)</f>
        <v>0</v>
      </c>
      <c r="E753" s="2" t="str">
        <f>IF(Excellent!B86="W","W","A")</f>
        <v>A</v>
      </c>
      <c r="F753" s="2" t="e">
        <f>VLOOKUP(JudgeD2ESE,Judges!$A$2:$B$44,2,FALSE)</f>
        <v>#N/A</v>
      </c>
      <c r="G753" t="str">
        <f>Excellent!Y86</f>
        <v/>
      </c>
    </row>
    <row r="754" spans="1:7" x14ac:dyDescent="0.25">
      <c r="A754">
        <f t="shared" si="13"/>
        <v>0</v>
      </c>
      <c r="B754" t="s">
        <v>23</v>
      </c>
      <c r="C754">
        <f>Excellent!C87</f>
        <v>0</v>
      </c>
      <c r="D754">
        <f>IF(Excellent!Y87="Pass",Excellent!W87,0)</f>
        <v>0</v>
      </c>
      <c r="E754" s="2" t="str">
        <f>IF(Excellent!B87="W","W","A")</f>
        <v>A</v>
      </c>
      <c r="F754" s="2" t="e">
        <f>VLOOKUP(JudgeD2ESE,Judges!$A$2:$B$44,2,FALSE)</f>
        <v>#N/A</v>
      </c>
      <c r="G754" t="str">
        <f>Excellent!Y87</f>
        <v/>
      </c>
    </row>
    <row r="755" spans="1:7" x14ac:dyDescent="0.25">
      <c r="A755">
        <f t="shared" si="13"/>
        <v>0</v>
      </c>
      <c r="B755" t="s">
        <v>23</v>
      </c>
      <c r="C755">
        <f>Excellent!C88</f>
        <v>0</v>
      </c>
      <c r="D755">
        <f>IF(Excellent!Y88="Pass",Excellent!W88,0)</f>
        <v>0</v>
      </c>
      <c r="E755" s="2" t="str">
        <f>IF(Excellent!B88="W","W","A")</f>
        <v>A</v>
      </c>
      <c r="F755" s="2" t="e">
        <f>VLOOKUP(JudgeD2ESE,Judges!$A$2:$B$44,2,FALSE)</f>
        <v>#N/A</v>
      </c>
      <c r="G755" t="str">
        <f>Excellent!Y88</f>
        <v/>
      </c>
    </row>
    <row r="756" spans="1:7" x14ac:dyDescent="0.25">
      <c r="A756">
        <f t="shared" si="13"/>
        <v>0</v>
      </c>
      <c r="B756" t="s">
        <v>23</v>
      </c>
      <c r="C756">
        <f>Excellent!C89</f>
        <v>0</v>
      </c>
      <c r="D756">
        <f>IF(Excellent!Y89="Pass",Excellent!W89,0)</f>
        <v>0</v>
      </c>
      <c r="E756" s="2" t="str">
        <f>IF(Excellent!B89="W","W","A")</f>
        <v>A</v>
      </c>
      <c r="F756" s="2" t="e">
        <f>VLOOKUP(JudgeD2ESE,Judges!$A$2:$B$44,2,FALSE)</f>
        <v>#N/A</v>
      </c>
      <c r="G756" t="str">
        <f>Excellent!Y89</f>
        <v/>
      </c>
    </row>
    <row r="757" spans="1:7" x14ac:dyDescent="0.25">
      <c r="A757">
        <f t="shared" si="13"/>
        <v>0</v>
      </c>
      <c r="B757" t="s">
        <v>23</v>
      </c>
      <c r="C757">
        <f>Excellent!C90</f>
        <v>0</v>
      </c>
      <c r="D757">
        <f>IF(Excellent!Y90="Pass",Excellent!W90,0)</f>
        <v>0</v>
      </c>
      <c r="E757" s="2" t="str">
        <f>IF(Excellent!B90="W","W","A")</f>
        <v>A</v>
      </c>
      <c r="F757" s="2" t="e">
        <f>VLOOKUP(JudgeD2ESE,Judges!$A$2:$B$44,2,FALSE)</f>
        <v>#N/A</v>
      </c>
      <c r="G757" t="str">
        <f>Excellent!Y90</f>
        <v/>
      </c>
    </row>
    <row r="758" spans="1:7" x14ac:dyDescent="0.25">
      <c r="A758">
        <f t="shared" si="13"/>
        <v>0</v>
      </c>
      <c r="B758" t="s">
        <v>23</v>
      </c>
      <c r="C758">
        <f>Excellent!C91</f>
        <v>0</v>
      </c>
      <c r="D758">
        <f>IF(Excellent!Y91="Pass",Excellent!W91,0)</f>
        <v>0</v>
      </c>
      <c r="E758" s="2" t="str">
        <f>IF(Excellent!B91="W","W","A")</f>
        <v>A</v>
      </c>
      <c r="F758" s="2" t="e">
        <f>VLOOKUP(JudgeD2ESE,Judges!$A$2:$B$44,2,FALSE)</f>
        <v>#N/A</v>
      </c>
      <c r="G758" t="str">
        <f>Excellent!Y91</f>
        <v/>
      </c>
    </row>
    <row r="759" spans="1:7" x14ac:dyDescent="0.25">
      <c r="A759">
        <f t="shared" si="13"/>
        <v>0</v>
      </c>
      <c r="B759" t="s">
        <v>23</v>
      </c>
      <c r="C759">
        <f>Excellent!C92</f>
        <v>0</v>
      </c>
      <c r="D759">
        <f>IF(Excellent!Y92="Pass",Excellent!W92,0)</f>
        <v>0</v>
      </c>
      <c r="E759" s="2" t="str">
        <f>IF(Excellent!B92="W","W","A")</f>
        <v>A</v>
      </c>
      <c r="F759" s="2" t="e">
        <f>VLOOKUP(JudgeD2ESE,Judges!$A$2:$B$44,2,FALSE)</f>
        <v>#N/A</v>
      </c>
      <c r="G759" t="str">
        <f>Excellent!Y92</f>
        <v/>
      </c>
    </row>
    <row r="760" spans="1:7" x14ac:dyDescent="0.25">
      <c r="A760">
        <f t="shared" si="13"/>
        <v>0</v>
      </c>
      <c r="B760" t="s">
        <v>23</v>
      </c>
      <c r="C760">
        <f>Excellent!C93</f>
        <v>0</v>
      </c>
      <c r="D760">
        <f>IF(Excellent!Y93="Pass",Excellent!W93,0)</f>
        <v>0</v>
      </c>
      <c r="E760" s="2" t="str">
        <f>IF(Excellent!B93="W","W","A")</f>
        <v>A</v>
      </c>
      <c r="F760" s="2" t="e">
        <f>VLOOKUP(JudgeD2ESE,Judges!$A$2:$B$44,2,FALSE)</f>
        <v>#N/A</v>
      </c>
      <c r="G760" t="str">
        <f>Excellent!Y93</f>
        <v/>
      </c>
    </row>
    <row r="761" spans="1:7" x14ac:dyDescent="0.25">
      <c r="A761">
        <f t="shared" si="13"/>
        <v>0</v>
      </c>
      <c r="B761" t="s">
        <v>23</v>
      </c>
      <c r="C761">
        <f>Excellent!C94</f>
        <v>0</v>
      </c>
      <c r="D761">
        <f>IF(Excellent!Y94="Pass",Excellent!W94,0)</f>
        <v>0</v>
      </c>
      <c r="E761" s="2" t="str">
        <f>IF(Excellent!B94="W","W","A")</f>
        <v>A</v>
      </c>
      <c r="F761" s="2" t="e">
        <f>VLOOKUP(JudgeD2ESE,Judges!$A$2:$B$44,2,FALSE)</f>
        <v>#N/A</v>
      </c>
      <c r="G761" t="str">
        <f>Excellent!Y94</f>
        <v/>
      </c>
    </row>
    <row r="762" spans="1:7" x14ac:dyDescent="0.25">
      <c r="A762">
        <f t="shared" si="13"/>
        <v>0</v>
      </c>
      <c r="B762" t="s">
        <v>23</v>
      </c>
      <c r="C762">
        <f>Excellent!C95</f>
        <v>0</v>
      </c>
      <c r="D762">
        <f>IF(Excellent!Y95="Pass",Excellent!W95,0)</f>
        <v>0</v>
      </c>
      <c r="E762" s="2" t="str">
        <f>IF(Excellent!B95="W","W","A")</f>
        <v>A</v>
      </c>
      <c r="F762" s="2" t="e">
        <f>VLOOKUP(JudgeD2ESE,Judges!$A$2:$B$44,2,FALSE)</f>
        <v>#N/A</v>
      </c>
      <c r="G762" t="str">
        <f>Excellent!Y95</f>
        <v/>
      </c>
    </row>
    <row r="763" spans="1:7" x14ac:dyDescent="0.25">
      <c r="A763">
        <f t="shared" si="13"/>
        <v>0</v>
      </c>
      <c r="B763" t="s">
        <v>23</v>
      </c>
      <c r="C763">
        <f>Excellent!C96</f>
        <v>0</v>
      </c>
      <c r="D763">
        <f>IF(Excellent!Y96="Pass",Excellent!W96,0)</f>
        <v>0</v>
      </c>
      <c r="E763" s="2" t="str">
        <f>IF(Excellent!B96="W","W","A")</f>
        <v>A</v>
      </c>
      <c r="F763" s="2" t="e">
        <f>VLOOKUP(JudgeD2ESE,Judges!$A$2:$B$44,2,FALSE)</f>
        <v>#N/A</v>
      </c>
      <c r="G763" t="str">
        <f>Excellent!Y96</f>
        <v/>
      </c>
    </row>
    <row r="764" spans="1:7" x14ac:dyDescent="0.25">
      <c r="A764">
        <f t="shared" si="13"/>
        <v>0</v>
      </c>
      <c r="B764" t="s">
        <v>23</v>
      </c>
      <c r="C764">
        <f>Excellent!C97</f>
        <v>0</v>
      </c>
      <c r="D764">
        <f>IF(Excellent!Y97="Pass",Excellent!W97,0)</f>
        <v>0</v>
      </c>
      <c r="E764" s="2" t="str">
        <f>IF(Excellent!B97="W","W","A")</f>
        <v>A</v>
      </c>
      <c r="F764" s="2" t="e">
        <f>VLOOKUP(JudgeD2ESE,Judges!$A$2:$B$44,2,FALSE)</f>
        <v>#N/A</v>
      </c>
      <c r="G764" t="str">
        <f>Excellent!Y97</f>
        <v/>
      </c>
    </row>
    <row r="765" spans="1:7" x14ac:dyDescent="0.25">
      <c r="A765">
        <f t="shared" si="13"/>
        <v>0</v>
      </c>
      <c r="B765" t="s">
        <v>23</v>
      </c>
      <c r="C765">
        <f>Excellent!C98</f>
        <v>0</v>
      </c>
      <c r="D765">
        <f>IF(Excellent!Y98="Pass",Excellent!W98,0)</f>
        <v>0</v>
      </c>
      <c r="E765" s="2" t="str">
        <f>IF(Excellent!B98="W","W","A")</f>
        <v>A</v>
      </c>
      <c r="F765" s="2" t="e">
        <f>VLOOKUP(JudgeD2ESE,Judges!$A$2:$B$44,2,FALSE)</f>
        <v>#N/A</v>
      </c>
      <c r="G765" t="str">
        <f>Excellent!Y98</f>
        <v/>
      </c>
    </row>
    <row r="766" spans="1:7" x14ac:dyDescent="0.25">
      <c r="A766">
        <f t="shared" si="13"/>
        <v>0</v>
      </c>
      <c r="B766" t="s">
        <v>23</v>
      </c>
      <c r="C766">
        <f>Excellent!C99</f>
        <v>0</v>
      </c>
      <c r="D766">
        <f>IF(Excellent!Y99="Pass",Excellent!W99,0)</f>
        <v>0</v>
      </c>
      <c r="E766" s="2" t="str">
        <f>IF(Excellent!B99="W","W","A")</f>
        <v>A</v>
      </c>
      <c r="F766" s="2" t="e">
        <f>VLOOKUP(JudgeD2ESE,Judges!$A$2:$B$44,2,FALSE)</f>
        <v>#N/A</v>
      </c>
      <c r="G766" t="str">
        <f>Excellent!Y99</f>
        <v/>
      </c>
    </row>
    <row r="767" spans="1:7" x14ac:dyDescent="0.25">
      <c r="A767">
        <f t="shared" si="13"/>
        <v>0</v>
      </c>
      <c r="B767" t="s">
        <v>23</v>
      </c>
      <c r="C767">
        <f>Excellent!C100</f>
        <v>0</v>
      </c>
      <c r="D767">
        <f>IF(Excellent!Y100="Pass",Excellent!W100,0)</f>
        <v>0</v>
      </c>
      <c r="E767" s="2" t="str">
        <f>IF(Excellent!B100="W","W","A")</f>
        <v>A</v>
      </c>
      <c r="F767" s="2" t="e">
        <f>VLOOKUP(JudgeD2ESE,Judges!$A$2:$B$44,2,FALSE)</f>
        <v>#N/A</v>
      </c>
      <c r="G767" t="str">
        <f>Excellent!Y100</f>
        <v/>
      </c>
    </row>
    <row r="768" spans="1:7" x14ac:dyDescent="0.25">
      <c r="A768">
        <f t="shared" ref="A768:A781" si="14">TrialNumberDay2</f>
        <v>0</v>
      </c>
      <c r="B768" t="s">
        <v>23</v>
      </c>
      <c r="C768">
        <f>Excellent!C101</f>
        <v>0</v>
      </c>
      <c r="D768">
        <f>IF(Excellent!Y101="Pass",Excellent!W101,0)</f>
        <v>0</v>
      </c>
      <c r="E768" s="2" t="str">
        <f>IF(Excellent!B101="W","W","A")</f>
        <v>A</v>
      </c>
      <c r="F768" s="2" t="e">
        <f>VLOOKUP(JudgeD2ESE,Judges!$A$2:$B$44,2,FALSE)</f>
        <v>#N/A</v>
      </c>
      <c r="G768" t="str">
        <f>Excellent!Y101</f>
        <v/>
      </c>
    </row>
    <row r="769" spans="1:7" x14ac:dyDescent="0.25">
      <c r="A769">
        <f t="shared" si="14"/>
        <v>0</v>
      </c>
      <c r="B769" t="s">
        <v>23</v>
      </c>
      <c r="C769">
        <f>Excellent!C102</f>
        <v>0</v>
      </c>
      <c r="D769">
        <f>IF(Excellent!Y102="Pass",Excellent!W102,0)</f>
        <v>0</v>
      </c>
      <c r="E769" s="2" t="str">
        <f>IF(Excellent!B102="W","W","A")</f>
        <v>A</v>
      </c>
      <c r="F769" s="2" t="e">
        <f>VLOOKUP(JudgeD2ESE,Judges!$A$2:$B$44,2,FALSE)</f>
        <v>#N/A</v>
      </c>
      <c r="G769" t="str">
        <f>Excellent!Y102</f>
        <v/>
      </c>
    </row>
    <row r="770" spans="1:7" x14ac:dyDescent="0.25">
      <c r="A770">
        <f t="shared" si="14"/>
        <v>0</v>
      </c>
      <c r="B770" t="s">
        <v>23</v>
      </c>
      <c r="C770">
        <f>Excellent!C103</f>
        <v>0</v>
      </c>
      <c r="D770">
        <f>IF(Excellent!Y103="Pass",Excellent!W103,0)</f>
        <v>0</v>
      </c>
      <c r="E770" s="2" t="str">
        <f>IF(Excellent!B103="W","W","A")</f>
        <v>A</v>
      </c>
      <c r="F770" s="2" t="e">
        <f>VLOOKUP(JudgeD2ESE,Judges!$A$2:$B$44,2,FALSE)</f>
        <v>#N/A</v>
      </c>
      <c r="G770" t="str">
        <f>Excellent!Y103</f>
        <v/>
      </c>
    </row>
    <row r="771" spans="1:7" x14ac:dyDescent="0.25">
      <c r="A771">
        <f t="shared" si="14"/>
        <v>0</v>
      </c>
      <c r="B771" t="s">
        <v>23</v>
      </c>
      <c r="C771">
        <f>Excellent!C104</f>
        <v>0</v>
      </c>
      <c r="D771">
        <f>IF(Excellent!Y104="Pass",Excellent!W104,0)</f>
        <v>0</v>
      </c>
      <c r="E771" s="2" t="str">
        <f>IF(Excellent!B104="W","W","A")</f>
        <v>A</v>
      </c>
      <c r="F771" s="2" t="e">
        <f>VLOOKUP(JudgeD2ESE,Judges!$A$2:$B$44,2,FALSE)</f>
        <v>#N/A</v>
      </c>
      <c r="G771" t="str">
        <f>Excellent!Y104</f>
        <v/>
      </c>
    </row>
    <row r="772" spans="1:7" x14ac:dyDescent="0.25">
      <c r="A772">
        <f t="shared" si="14"/>
        <v>0</v>
      </c>
      <c r="B772" t="s">
        <v>23</v>
      </c>
      <c r="C772">
        <f>Excellent!C105</f>
        <v>0</v>
      </c>
      <c r="D772">
        <f>IF(Excellent!Y105="Pass",Excellent!W105,0)</f>
        <v>0</v>
      </c>
      <c r="E772" s="2" t="str">
        <f>IF(Excellent!B105="W","W","A")</f>
        <v>A</v>
      </c>
      <c r="F772" s="2" t="e">
        <f>VLOOKUP(JudgeD2ESE,Judges!$A$2:$B$44,2,FALSE)</f>
        <v>#N/A</v>
      </c>
      <c r="G772" t="str">
        <f>Excellent!Y105</f>
        <v/>
      </c>
    </row>
    <row r="773" spans="1:7" x14ac:dyDescent="0.25">
      <c r="A773">
        <f t="shared" si="14"/>
        <v>0</v>
      </c>
      <c r="B773" t="s">
        <v>23</v>
      </c>
      <c r="C773">
        <f>Excellent!C106</f>
        <v>0</v>
      </c>
      <c r="D773">
        <f>IF(Excellent!Y106="Pass",Excellent!W106,0)</f>
        <v>0</v>
      </c>
      <c r="E773" s="2" t="str">
        <f>IF(Excellent!B106="W","W","A")</f>
        <v>A</v>
      </c>
      <c r="F773" s="2" t="e">
        <f>VLOOKUP(JudgeD2ESE,Judges!$A$2:$B$44,2,FALSE)</f>
        <v>#N/A</v>
      </c>
      <c r="G773" t="str">
        <f>Excellent!Y106</f>
        <v/>
      </c>
    </row>
    <row r="774" spans="1:7" x14ac:dyDescent="0.25">
      <c r="A774">
        <f t="shared" si="14"/>
        <v>0</v>
      </c>
      <c r="B774" t="s">
        <v>23</v>
      </c>
      <c r="C774">
        <f>Excellent!C107</f>
        <v>0</v>
      </c>
      <c r="D774">
        <f>IF(Excellent!Y107="Pass",Excellent!W107,0)</f>
        <v>0</v>
      </c>
      <c r="E774" s="2" t="str">
        <f>IF(Excellent!B107="W","W","A")</f>
        <v>A</v>
      </c>
      <c r="F774" s="2" t="e">
        <f>VLOOKUP(JudgeD2ESE,Judges!$A$2:$B$44,2,FALSE)</f>
        <v>#N/A</v>
      </c>
      <c r="G774" t="str">
        <f>Excellent!Y107</f>
        <v/>
      </c>
    </row>
    <row r="775" spans="1:7" x14ac:dyDescent="0.25">
      <c r="A775">
        <f t="shared" si="14"/>
        <v>0</v>
      </c>
      <c r="B775" t="s">
        <v>23</v>
      </c>
      <c r="C775">
        <f>Excellent!C108</f>
        <v>0</v>
      </c>
      <c r="D775">
        <f>IF(Excellent!Y108="Pass",Excellent!W108,0)</f>
        <v>0</v>
      </c>
      <c r="E775" s="2" t="str">
        <f>IF(Excellent!B108="W","W","A")</f>
        <v>A</v>
      </c>
      <c r="F775" s="2" t="e">
        <f>VLOOKUP(JudgeD2ESE,Judges!$A$2:$B$44,2,FALSE)</f>
        <v>#N/A</v>
      </c>
      <c r="G775" t="str">
        <f>Excellent!Y108</f>
        <v/>
      </c>
    </row>
    <row r="776" spans="1:7" x14ac:dyDescent="0.25">
      <c r="A776">
        <f t="shared" si="14"/>
        <v>0</v>
      </c>
      <c r="B776" t="s">
        <v>23</v>
      </c>
      <c r="C776">
        <f>Excellent!C109</f>
        <v>0</v>
      </c>
      <c r="D776">
        <f>IF(Excellent!Y109="Pass",Excellent!W109,0)</f>
        <v>0</v>
      </c>
      <c r="E776" s="2" t="str">
        <f>IF(Excellent!B109="W","W","A")</f>
        <v>A</v>
      </c>
      <c r="F776" s="2" t="e">
        <f>VLOOKUP(JudgeD2ESE,Judges!$A$2:$B$44,2,FALSE)</f>
        <v>#N/A</v>
      </c>
      <c r="G776" t="str">
        <f>Excellent!Y109</f>
        <v/>
      </c>
    </row>
    <row r="777" spans="1:7" x14ac:dyDescent="0.25">
      <c r="A777">
        <f t="shared" si="14"/>
        <v>0</v>
      </c>
      <c r="B777" t="s">
        <v>23</v>
      </c>
      <c r="C777">
        <f>Excellent!C110</f>
        <v>0</v>
      </c>
      <c r="D777">
        <f>IF(Excellent!Y110="Pass",Excellent!W110,0)</f>
        <v>0</v>
      </c>
      <c r="E777" s="2" t="str">
        <f>IF(Excellent!B110="W","W","A")</f>
        <v>A</v>
      </c>
      <c r="F777" s="2" t="e">
        <f>VLOOKUP(JudgeD2ESE,Judges!$A$2:$B$44,2,FALSE)</f>
        <v>#N/A</v>
      </c>
      <c r="G777" t="str">
        <f>Excellent!Y110</f>
        <v/>
      </c>
    </row>
    <row r="778" spans="1:7" x14ac:dyDescent="0.25">
      <c r="A778">
        <f t="shared" si="14"/>
        <v>0</v>
      </c>
      <c r="B778" t="s">
        <v>23</v>
      </c>
      <c r="C778">
        <f>Excellent!C111</f>
        <v>0</v>
      </c>
      <c r="D778">
        <f>IF(Excellent!Y111="Pass",Excellent!W111,0)</f>
        <v>0</v>
      </c>
      <c r="E778" s="2" t="str">
        <f>IF(Excellent!B111="W","W","A")</f>
        <v>A</v>
      </c>
      <c r="F778" s="2" t="e">
        <f>VLOOKUP(JudgeD2ESE,Judges!$A$2:$B$44,2,FALSE)</f>
        <v>#N/A</v>
      </c>
      <c r="G778" t="str">
        <f>Excellent!Y111</f>
        <v/>
      </c>
    </row>
    <row r="779" spans="1:7" x14ac:dyDescent="0.25">
      <c r="A779">
        <f t="shared" si="14"/>
        <v>0</v>
      </c>
      <c r="B779" t="s">
        <v>23</v>
      </c>
      <c r="C779">
        <f>Excellent!C112</f>
        <v>0</v>
      </c>
      <c r="D779">
        <f>IF(Excellent!Y112="Pass",Excellent!W112,0)</f>
        <v>0</v>
      </c>
      <c r="E779" s="2" t="str">
        <f>IF(Excellent!B112="W","W","A")</f>
        <v>A</v>
      </c>
      <c r="F779" s="2" t="e">
        <f>VLOOKUP(JudgeD2ESE,Judges!$A$2:$B$44,2,FALSE)</f>
        <v>#N/A</v>
      </c>
      <c r="G779" t="str">
        <f>Excellent!Y112</f>
        <v/>
      </c>
    </row>
    <row r="780" spans="1:7" x14ac:dyDescent="0.25">
      <c r="A780">
        <f t="shared" si="14"/>
        <v>0</v>
      </c>
      <c r="B780" t="s">
        <v>23</v>
      </c>
      <c r="C780">
        <f>Excellent!C113</f>
        <v>0</v>
      </c>
      <c r="D780">
        <f>IF(Excellent!Y113="Pass",Excellent!W113,0)</f>
        <v>0</v>
      </c>
      <c r="E780" s="2" t="str">
        <f>IF(Excellent!B113="W","W","A")</f>
        <v>A</v>
      </c>
      <c r="F780" s="2" t="e">
        <f>VLOOKUP(JudgeD2ESE,Judges!$A$2:$B$44,2,FALSE)</f>
        <v>#N/A</v>
      </c>
      <c r="G780" t="str">
        <f>Excellent!Y113</f>
        <v/>
      </c>
    </row>
    <row r="781" spans="1:7" x14ac:dyDescent="0.25">
      <c r="A781">
        <f t="shared" si="14"/>
        <v>0</v>
      </c>
      <c r="B781" t="s">
        <v>23</v>
      </c>
      <c r="C781">
        <f>Excellent!C114</f>
        <v>0</v>
      </c>
      <c r="D781">
        <f>IF(Excellent!Y114="Pass",Excellent!W114,0)</f>
        <v>0</v>
      </c>
      <c r="E781" s="2" t="str">
        <f>IF(Excellent!B114="W","W","A")</f>
        <v>A</v>
      </c>
      <c r="F781" s="2" t="e">
        <f>VLOOKUP(JudgeD2ESE,Judges!$A$2:$B$44,2,FALSE)</f>
        <v>#N/A</v>
      </c>
      <c r="G781" t="str">
        <f>Excellent!Y114</f>
        <v/>
      </c>
    </row>
    <row r="782" spans="1:7" x14ac:dyDescent="0.25">
      <c r="A782">
        <f t="shared" ref="A782:A813" si="15">TrialNumber</f>
        <v>0</v>
      </c>
      <c r="B782" t="s">
        <v>2072</v>
      </c>
      <c r="C782">
        <f>Elite!C5</f>
        <v>0</v>
      </c>
      <c r="D782">
        <f>IF(Elite!H5="Pass",Elite!F5,0)</f>
        <v>0</v>
      </c>
      <c r="E782" s="2" t="str">
        <f>IF(Elite!B5="W","W","A")</f>
        <v>W</v>
      </c>
      <c r="F782" s="2" t="e">
        <f>VLOOKUP(JudgeD1CSL,Judges!$A$2:$B$44,2,FALSE)</f>
        <v>#N/A</v>
      </c>
      <c r="G782" t="str">
        <f>Elite!H5</f>
        <v/>
      </c>
    </row>
    <row r="783" spans="1:7" x14ac:dyDescent="0.25">
      <c r="A783">
        <f t="shared" si="15"/>
        <v>0</v>
      </c>
      <c r="B783" t="s">
        <v>2072</v>
      </c>
      <c r="C783">
        <f>Elite!C6</f>
        <v>0</v>
      </c>
      <c r="D783">
        <f>IF(Elite!H6="Pass",Elite!F6,0)</f>
        <v>0</v>
      </c>
      <c r="E783" s="2" t="str">
        <f>IF(Elite!B6="W","W","A")</f>
        <v>W</v>
      </c>
      <c r="F783" s="2" t="e">
        <f>VLOOKUP(JudgeD1CSL,Judges!$A$2:$B$44,2,FALSE)</f>
        <v>#N/A</v>
      </c>
      <c r="G783" t="str">
        <f>Elite!H6</f>
        <v/>
      </c>
    </row>
    <row r="784" spans="1:7" x14ac:dyDescent="0.25">
      <c r="A784">
        <f t="shared" si="15"/>
        <v>0</v>
      </c>
      <c r="B784" t="s">
        <v>2072</v>
      </c>
      <c r="C784">
        <f>Elite!C7</f>
        <v>0</v>
      </c>
      <c r="D784">
        <f>IF(Elite!H7="Pass",Elite!F7,0)</f>
        <v>0</v>
      </c>
      <c r="E784" s="2" t="str">
        <f>IF(Elite!B7="W","W","A")</f>
        <v>W</v>
      </c>
      <c r="F784" s="2" t="e">
        <f>VLOOKUP(JudgeD1CSL,Judges!$A$2:$B$44,2,FALSE)</f>
        <v>#N/A</v>
      </c>
      <c r="G784" t="str">
        <f>Elite!H7</f>
        <v/>
      </c>
    </row>
    <row r="785" spans="1:7" x14ac:dyDescent="0.25">
      <c r="A785">
        <f t="shared" si="15"/>
        <v>0</v>
      </c>
      <c r="B785" t="s">
        <v>2072</v>
      </c>
      <c r="C785">
        <f>Elite!C8</f>
        <v>0</v>
      </c>
      <c r="D785">
        <f>IF(Elite!H8="Pass",Elite!F8,0)</f>
        <v>0</v>
      </c>
      <c r="E785" s="2" t="str">
        <f>IF(Elite!B8="W","W","A")</f>
        <v>W</v>
      </c>
      <c r="F785" s="2" t="e">
        <f>VLOOKUP(JudgeD1CSL,Judges!$A$2:$B$44,2,FALSE)</f>
        <v>#N/A</v>
      </c>
      <c r="G785" t="str">
        <f>Elite!H8</f>
        <v/>
      </c>
    </row>
    <row r="786" spans="1:7" x14ac:dyDescent="0.25">
      <c r="A786">
        <f t="shared" si="15"/>
        <v>0</v>
      </c>
      <c r="B786" t="s">
        <v>2072</v>
      </c>
      <c r="C786">
        <f>Elite!C9</f>
        <v>0</v>
      </c>
      <c r="D786">
        <f>IF(Elite!H9="Pass",Elite!F9,0)</f>
        <v>0</v>
      </c>
      <c r="E786" s="2" t="str">
        <f>IF(Elite!B9="W","W","A")</f>
        <v>W</v>
      </c>
      <c r="F786" s="2" t="e">
        <f>VLOOKUP(JudgeD1CSL,Judges!$A$2:$B$44,2,FALSE)</f>
        <v>#N/A</v>
      </c>
      <c r="G786" t="str">
        <f>Elite!H9</f>
        <v/>
      </c>
    </row>
    <row r="787" spans="1:7" x14ac:dyDescent="0.25">
      <c r="A787">
        <f t="shared" si="15"/>
        <v>0</v>
      </c>
      <c r="B787" t="s">
        <v>2072</v>
      </c>
      <c r="C787">
        <f>Elite!C10</f>
        <v>0</v>
      </c>
      <c r="D787">
        <f>IF(Elite!H10="Pass",Elite!F10,0)</f>
        <v>0</v>
      </c>
      <c r="E787" s="2" t="str">
        <f>IF(Elite!B10="W","W","A")</f>
        <v>W</v>
      </c>
      <c r="F787" s="2" t="e">
        <f>VLOOKUP(JudgeD1CSL,Judges!$A$2:$B$44,2,FALSE)</f>
        <v>#N/A</v>
      </c>
      <c r="G787" t="str">
        <f>Elite!H10</f>
        <v/>
      </c>
    </row>
    <row r="788" spans="1:7" x14ac:dyDescent="0.25">
      <c r="A788">
        <f t="shared" si="15"/>
        <v>0</v>
      </c>
      <c r="B788" t="s">
        <v>2072</v>
      </c>
      <c r="C788">
        <f>Elite!C11</f>
        <v>0</v>
      </c>
      <c r="D788">
        <f>IF(Elite!H11="Pass",Elite!F11,0)</f>
        <v>0</v>
      </c>
      <c r="E788" s="2" t="str">
        <f>IF(Elite!B11="W","W","A")</f>
        <v>W</v>
      </c>
      <c r="F788" s="2" t="e">
        <f>VLOOKUP(JudgeD1CSL,Judges!$A$2:$B$44,2,FALSE)</f>
        <v>#N/A</v>
      </c>
      <c r="G788" t="str">
        <f>Elite!H11</f>
        <v/>
      </c>
    </row>
    <row r="789" spans="1:7" x14ac:dyDescent="0.25">
      <c r="A789">
        <f t="shared" si="15"/>
        <v>0</v>
      </c>
      <c r="B789" t="s">
        <v>2072</v>
      </c>
      <c r="C789">
        <f>Elite!C12</f>
        <v>0</v>
      </c>
      <c r="D789">
        <f>IF(Elite!H12="Pass",Elite!F12,0)</f>
        <v>0</v>
      </c>
      <c r="E789" s="2" t="str">
        <f>IF(Elite!B12="W","W","A")</f>
        <v>W</v>
      </c>
      <c r="F789" s="2" t="e">
        <f>VLOOKUP(JudgeD1CSL,Judges!$A$2:$B$44,2,FALSE)</f>
        <v>#N/A</v>
      </c>
      <c r="G789" t="str">
        <f>Elite!H12</f>
        <v/>
      </c>
    </row>
    <row r="790" spans="1:7" x14ac:dyDescent="0.25">
      <c r="A790">
        <f t="shared" si="15"/>
        <v>0</v>
      </c>
      <c r="B790" t="s">
        <v>2072</v>
      </c>
      <c r="C790">
        <f>Elite!C13</f>
        <v>0</v>
      </c>
      <c r="D790">
        <f>IF(Elite!H13="Pass",Elite!F13,0)</f>
        <v>0</v>
      </c>
      <c r="E790" s="2" t="str">
        <f>IF(Elite!B13="W","W","A")</f>
        <v>W</v>
      </c>
      <c r="F790" s="2" t="e">
        <f>VLOOKUP(JudgeD1CSL,Judges!$A$2:$B$44,2,FALSE)</f>
        <v>#N/A</v>
      </c>
      <c r="G790" t="str">
        <f>Elite!H13</f>
        <v/>
      </c>
    </row>
    <row r="791" spans="1:7" x14ac:dyDescent="0.25">
      <c r="A791">
        <f t="shared" si="15"/>
        <v>0</v>
      </c>
      <c r="B791" t="s">
        <v>2072</v>
      </c>
      <c r="C791">
        <f>Elite!C14</f>
        <v>0</v>
      </c>
      <c r="D791">
        <f>IF(Elite!H14="Pass",Elite!F14,0)</f>
        <v>0</v>
      </c>
      <c r="E791" s="2" t="str">
        <f>IF(Elite!B14="W","W","A")</f>
        <v>W</v>
      </c>
      <c r="F791" s="2" t="e">
        <f>VLOOKUP(JudgeD1CSL,Judges!$A$2:$B$44,2,FALSE)</f>
        <v>#N/A</v>
      </c>
      <c r="G791" t="str">
        <f>Elite!H14</f>
        <v/>
      </c>
    </row>
    <row r="792" spans="1:7" x14ac:dyDescent="0.25">
      <c r="A792">
        <f t="shared" si="15"/>
        <v>0</v>
      </c>
      <c r="B792" t="s">
        <v>2072</v>
      </c>
      <c r="C792">
        <f>Elite!C15</f>
        <v>0</v>
      </c>
      <c r="D792">
        <f>IF(Elite!H15="Pass",Elite!F15,0)</f>
        <v>0</v>
      </c>
      <c r="E792" s="2" t="str">
        <f>IF(Elite!B15="W","W","A")</f>
        <v>W</v>
      </c>
      <c r="F792" s="2" t="e">
        <f>VLOOKUP(JudgeD1CSL,Judges!$A$2:$B$44,2,FALSE)</f>
        <v>#N/A</v>
      </c>
      <c r="G792" t="str">
        <f>Elite!H15</f>
        <v/>
      </c>
    </row>
    <row r="793" spans="1:7" x14ac:dyDescent="0.25">
      <c r="A793">
        <f t="shared" si="15"/>
        <v>0</v>
      </c>
      <c r="B793" t="s">
        <v>2072</v>
      </c>
      <c r="C793">
        <f>Elite!C16</f>
        <v>0</v>
      </c>
      <c r="D793">
        <f>IF(Elite!H16="Pass",Elite!F16,0)</f>
        <v>0</v>
      </c>
      <c r="E793" s="2" t="str">
        <f>IF(Elite!B16="W","W","A")</f>
        <v>W</v>
      </c>
      <c r="F793" s="2" t="e">
        <f>VLOOKUP(JudgeD1CSL,Judges!$A$2:$B$44,2,FALSE)</f>
        <v>#N/A</v>
      </c>
      <c r="G793" t="str">
        <f>Elite!H16</f>
        <v/>
      </c>
    </row>
    <row r="794" spans="1:7" x14ac:dyDescent="0.25">
      <c r="A794">
        <f t="shared" si="15"/>
        <v>0</v>
      </c>
      <c r="B794" t="s">
        <v>2072</v>
      </c>
      <c r="C794">
        <f>Elite!C17</f>
        <v>0</v>
      </c>
      <c r="D794">
        <f>IF(Elite!H17="Pass",Elite!F17,0)</f>
        <v>0</v>
      </c>
      <c r="E794" s="2" t="str">
        <f>IF(Elite!B17="W","W","A")</f>
        <v>W</v>
      </c>
      <c r="F794" s="2" t="e">
        <f>VLOOKUP(JudgeD1CSL,Judges!$A$2:$B$44,2,FALSE)</f>
        <v>#N/A</v>
      </c>
      <c r="G794" t="str">
        <f>Elite!H17</f>
        <v/>
      </c>
    </row>
    <row r="795" spans="1:7" x14ac:dyDescent="0.25">
      <c r="A795">
        <f t="shared" si="15"/>
        <v>0</v>
      </c>
      <c r="B795" t="s">
        <v>2072</v>
      </c>
      <c r="C795">
        <f>Elite!C18</f>
        <v>0</v>
      </c>
      <c r="D795">
        <f>IF(Elite!H18="Pass",Elite!F18,0)</f>
        <v>0</v>
      </c>
      <c r="E795" s="2" t="str">
        <f>IF(Elite!B18="W","W","A")</f>
        <v>W</v>
      </c>
      <c r="F795" s="2" t="e">
        <f>VLOOKUP(JudgeD1CSL,Judges!$A$2:$B$44,2,FALSE)</f>
        <v>#N/A</v>
      </c>
      <c r="G795" t="str">
        <f>Elite!H18</f>
        <v/>
      </c>
    </row>
    <row r="796" spans="1:7" x14ac:dyDescent="0.25">
      <c r="A796">
        <f t="shared" si="15"/>
        <v>0</v>
      </c>
      <c r="B796" t="s">
        <v>2072</v>
      </c>
      <c r="C796">
        <f>Elite!C19</f>
        <v>0</v>
      </c>
      <c r="D796">
        <f>IF(Elite!H19="Pass",Elite!F19,0)</f>
        <v>0</v>
      </c>
      <c r="E796" s="2" t="str">
        <f>IF(Elite!B19="W","W","A")</f>
        <v>W</v>
      </c>
      <c r="F796" s="2" t="e">
        <f>VLOOKUP(JudgeD1CSL,Judges!$A$2:$B$44,2,FALSE)</f>
        <v>#N/A</v>
      </c>
      <c r="G796" t="str">
        <f>Elite!H19</f>
        <v/>
      </c>
    </row>
    <row r="797" spans="1:7" x14ac:dyDescent="0.25">
      <c r="A797">
        <f t="shared" si="15"/>
        <v>0</v>
      </c>
      <c r="B797" t="s">
        <v>2072</v>
      </c>
      <c r="C797">
        <f>Elite!C20</f>
        <v>0</v>
      </c>
      <c r="D797">
        <f>IF(Elite!H20="Pass",Elite!F20,0)</f>
        <v>0</v>
      </c>
      <c r="E797" s="2" t="str">
        <f>IF(Elite!B20="W","W","A")</f>
        <v>W</v>
      </c>
      <c r="F797" s="2" t="e">
        <f>VLOOKUP(JudgeD1CSL,Judges!$A$2:$B$44,2,FALSE)</f>
        <v>#N/A</v>
      </c>
      <c r="G797" t="str">
        <f>Elite!H20</f>
        <v/>
      </c>
    </row>
    <row r="798" spans="1:7" x14ac:dyDescent="0.25">
      <c r="A798">
        <f t="shared" si="15"/>
        <v>0</v>
      </c>
      <c r="B798" t="s">
        <v>2072</v>
      </c>
      <c r="C798">
        <f>Elite!C21</f>
        <v>0</v>
      </c>
      <c r="D798">
        <f>IF(Elite!H21="Pass",Elite!F21,0)</f>
        <v>0</v>
      </c>
      <c r="E798" s="2" t="str">
        <f>IF(Elite!B21="W","W","A")</f>
        <v>W</v>
      </c>
      <c r="F798" s="2" t="e">
        <f>VLOOKUP(JudgeD1CSL,Judges!$A$2:$B$44,2,FALSE)</f>
        <v>#N/A</v>
      </c>
      <c r="G798" t="str">
        <f>Elite!H21</f>
        <v/>
      </c>
    </row>
    <row r="799" spans="1:7" x14ac:dyDescent="0.25">
      <c r="A799">
        <f t="shared" si="15"/>
        <v>0</v>
      </c>
      <c r="B799" t="s">
        <v>2072</v>
      </c>
      <c r="C799">
        <f>Elite!C22</f>
        <v>0</v>
      </c>
      <c r="D799">
        <f>IF(Elite!H22="Pass",Elite!F22,0)</f>
        <v>0</v>
      </c>
      <c r="E799" s="2" t="str">
        <f>IF(Elite!B22="W","W","A")</f>
        <v>W</v>
      </c>
      <c r="F799" s="2" t="e">
        <f>VLOOKUP(JudgeD1CSL,Judges!$A$2:$B$44,2,FALSE)</f>
        <v>#N/A</v>
      </c>
      <c r="G799" t="str">
        <f>Elite!H22</f>
        <v/>
      </c>
    </row>
    <row r="800" spans="1:7" x14ac:dyDescent="0.25">
      <c r="A800">
        <f t="shared" si="15"/>
        <v>0</v>
      </c>
      <c r="B800" t="s">
        <v>2072</v>
      </c>
      <c r="C800">
        <f>Elite!C23</f>
        <v>0</v>
      </c>
      <c r="D800">
        <f>IF(Elite!H23="Pass",Elite!F23,0)</f>
        <v>0</v>
      </c>
      <c r="E800" s="2" t="str">
        <f>IF(Elite!B23="W","W","A")</f>
        <v>W</v>
      </c>
      <c r="F800" s="2" t="e">
        <f>VLOOKUP(JudgeD1CSL,Judges!$A$2:$B$44,2,FALSE)</f>
        <v>#N/A</v>
      </c>
      <c r="G800" t="str">
        <f>Elite!H23</f>
        <v/>
      </c>
    </row>
    <row r="801" spans="1:7" x14ac:dyDescent="0.25">
      <c r="A801">
        <f t="shared" si="15"/>
        <v>0</v>
      </c>
      <c r="B801" t="s">
        <v>2072</v>
      </c>
      <c r="C801">
        <f>Elite!C24</f>
        <v>0</v>
      </c>
      <c r="D801">
        <f>IF(Elite!H24="Pass",Elite!F24,0)</f>
        <v>0</v>
      </c>
      <c r="E801" s="2" t="str">
        <f>IF(Elite!B24="W","W","A")</f>
        <v>W</v>
      </c>
      <c r="F801" s="2" t="e">
        <f>VLOOKUP(JudgeD1CSL,Judges!$A$2:$B$44,2,FALSE)</f>
        <v>#N/A</v>
      </c>
      <c r="G801" t="str">
        <f>Elite!H24</f>
        <v/>
      </c>
    </row>
    <row r="802" spans="1:7" x14ac:dyDescent="0.25">
      <c r="A802">
        <f t="shared" si="15"/>
        <v>0</v>
      </c>
      <c r="B802" t="s">
        <v>2072</v>
      </c>
      <c r="C802">
        <f>Elite!C25</f>
        <v>0</v>
      </c>
      <c r="D802">
        <f>IF(Elite!H25="Pass",Elite!F25,0)</f>
        <v>0</v>
      </c>
      <c r="E802" s="2" t="str">
        <f>IF(Elite!B25="W","W","A")</f>
        <v>W</v>
      </c>
      <c r="F802" s="2" t="e">
        <f>VLOOKUP(JudgeD1CSL,Judges!$A$2:$B$44,2,FALSE)</f>
        <v>#N/A</v>
      </c>
      <c r="G802" t="str">
        <f>Elite!H25</f>
        <v/>
      </c>
    </row>
    <row r="803" spans="1:7" x14ac:dyDescent="0.25">
      <c r="A803">
        <f t="shared" si="15"/>
        <v>0</v>
      </c>
      <c r="B803" t="s">
        <v>2072</v>
      </c>
      <c r="C803">
        <f>Elite!C26</f>
        <v>0</v>
      </c>
      <c r="D803">
        <f>IF(Elite!H26="Pass",Elite!F26,0)</f>
        <v>0</v>
      </c>
      <c r="E803" s="2" t="str">
        <f>IF(Elite!B26="W","W","A")</f>
        <v>W</v>
      </c>
      <c r="F803" s="2" t="e">
        <f>VLOOKUP(JudgeD1CSL,Judges!$A$2:$B$44,2,FALSE)</f>
        <v>#N/A</v>
      </c>
      <c r="G803" t="str">
        <f>Elite!H26</f>
        <v/>
      </c>
    </row>
    <row r="804" spans="1:7" x14ac:dyDescent="0.25">
      <c r="A804">
        <f t="shared" si="15"/>
        <v>0</v>
      </c>
      <c r="B804" t="s">
        <v>2072</v>
      </c>
      <c r="C804">
        <f>Elite!C27</f>
        <v>0</v>
      </c>
      <c r="D804">
        <f>IF(Elite!H27="Pass",Elite!F27,0)</f>
        <v>0</v>
      </c>
      <c r="E804" s="2" t="str">
        <f>IF(Elite!B27="W","W","A")</f>
        <v>W</v>
      </c>
      <c r="F804" s="2" t="e">
        <f>VLOOKUP(JudgeD1CSL,Judges!$A$2:$B$44,2,FALSE)</f>
        <v>#N/A</v>
      </c>
      <c r="G804" t="str">
        <f>Elite!H27</f>
        <v/>
      </c>
    </row>
    <row r="805" spans="1:7" x14ac:dyDescent="0.25">
      <c r="A805">
        <f t="shared" si="15"/>
        <v>0</v>
      </c>
      <c r="B805" t="s">
        <v>2072</v>
      </c>
      <c r="C805">
        <f>Elite!C28</f>
        <v>0</v>
      </c>
      <c r="D805">
        <f>IF(Elite!H28="Pass",Elite!F28,0)</f>
        <v>0</v>
      </c>
      <c r="E805" s="2" t="str">
        <f>IF(Elite!B28="W","W","A")</f>
        <v>W</v>
      </c>
      <c r="F805" s="2" t="e">
        <f>VLOOKUP(JudgeD1CSL,Judges!$A$2:$B$44,2,FALSE)</f>
        <v>#N/A</v>
      </c>
      <c r="G805" t="str">
        <f>Elite!H28</f>
        <v/>
      </c>
    </row>
    <row r="806" spans="1:7" x14ac:dyDescent="0.25">
      <c r="A806">
        <f t="shared" si="15"/>
        <v>0</v>
      </c>
      <c r="B806" t="s">
        <v>2072</v>
      </c>
      <c r="C806">
        <f>Elite!C29</f>
        <v>0</v>
      </c>
      <c r="D806">
        <f>IF(Elite!H29="Pass",Elite!F29,0)</f>
        <v>0</v>
      </c>
      <c r="E806" s="2" t="str">
        <f>IF(Elite!B29="W","W","A")</f>
        <v>W</v>
      </c>
      <c r="F806" s="2" t="e">
        <f>VLOOKUP(JudgeD1CSL,Judges!$A$2:$B$44,2,FALSE)</f>
        <v>#N/A</v>
      </c>
      <c r="G806" t="str">
        <f>Elite!H29</f>
        <v/>
      </c>
    </row>
    <row r="807" spans="1:7" x14ac:dyDescent="0.25">
      <c r="A807">
        <f t="shared" si="15"/>
        <v>0</v>
      </c>
      <c r="B807" t="s">
        <v>2072</v>
      </c>
      <c r="C807">
        <f>Elite!C30</f>
        <v>0</v>
      </c>
      <c r="D807">
        <f>IF(Elite!H30="Pass",Elite!F30,0)</f>
        <v>0</v>
      </c>
      <c r="E807" s="2" t="str">
        <f>IF(Elite!B30="W","W","A")</f>
        <v>W</v>
      </c>
      <c r="F807" s="2" t="e">
        <f>VLOOKUP(JudgeD1CSL,Judges!$A$2:$B$44,2,FALSE)</f>
        <v>#N/A</v>
      </c>
      <c r="G807" t="str">
        <f>Elite!H30</f>
        <v/>
      </c>
    </row>
    <row r="808" spans="1:7" x14ac:dyDescent="0.25">
      <c r="A808">
        <f t="shared" si="15"/>
        <v>0</v>
      </c>
      <c r="B808" t="s">
        <v>2072</v>
      </c>
      <c r="C808">
        <f>Elite!C31</f>
        <v>0</v>
      </c>
      <c r="D808">
        <f>IF(Elite!H31="Pass",Elite!F31,0)</f>
        <v>0</v>
      </c>
      <c r="E808" s="2" t="str">
        <f>IF(Elite!B31="W","W","A")</f>
        <v>W</v>
      </c>
      <c r="F808" s="2" t="e">
        <f>VLOOKUP(JudgeD1CSL,Judges!$A$2:$B$44,2,FALSE)</f>
        <v>#N/A</v>
      </c>
      <c r="G808" t="str">
        <f>Elite!H31</f>
        <v/>
      </c>
    </row>
    <row r="809" spans="1:7" x14ac:dyDescent="0.25">
      <c r="A809">
        <f t="shared" si="15"/>
        <v>0</v>
      </c>
      <c r="B809" t="s">
        <v>2072</v>
      </c>
      <c r="C809">
        <f>Elite!C32</f>
        <v>0</v>
      </c>
      <c r="D809">
        <f>IF(Elite!H32="Pass",Elite!F32,0)</f>
        <v>0</v>
      </c>
      <c r="E809" s="2" t="str">
        <f>IF(Elite!B32="W","W","A")</f>
        <v>W</v>
      </c>
      <c r="F809" s="2" t="e">
        <f>VLOOKUP(JudgeD1CSL,Judges!$A$2:$B$44,2,FALSE)</f>
        <v>#N/A</v>
      </c>
      <c r="G809" t="str">
        <f>Elite!H32</f>
        <v/>
      </c>
    </row>
    <row r="810" spans="1:7" x14ac:dyDescent="0.25">
      <c r="A810">
        <f t="shared" si="15"/>
        <v>0</v>
      </c>
      <c r="B810" t="s">
        <v>2072</v>
      </c>
      <c r="C810">
        <f>Elite!C33</f>
        <v>0</v>
      </c>
      <c r="D810">
        <f>IF(Elite!H33="Pass",Elite!F33,0)</f>
        <v>0</v>
      </c>
      <c r="E810" s="2" t="str">
        <f>IF(Elite!B33="W","W","A")</f>
        <v>W</v>
      </c>
      <c r="F810" s="2" t="e">
        <f>VLOOKUP(JudgeD1CSL,Judges!$A$2:$B$44,2,FALSE)</f>
        <v>#N/A</v>
      </c>
      <c r="G810" t="str">
        <f>Elite!H33</f>
        <v/>
      </c>
    </row>
    <row r="811" spans="1:7" x14ac:dyDescent="0.25">
      <c r="A811">
        <f t="shared" si="15"/>
        <v>0</v>
      </c>
      <c r="B811" t="s">
        <v>2072</v>
      </c>
      <c r="C811">
        <f>Elite!C34</f>
        <v>0</v>
      </c>
      <c r="D811">
        <f>IF(Elite!H34="Pass",Elite!F34,0)</f>
        <v>0</v>
      </c>
      <c r="E811" s="2" t="str">
        <f>IF(Elite!B34="W","W","A")</f>
        <v>W</v>
      </c>
      <c r="F811" s="2" t="e">
        <f>VLOOKUP(JudgeD1CSL,Judges!$A$2:$B$44,2,FALSE)</f>
        <v>#N/A</v>
      </c>
      <c r="G811" t="str">
        <f>Elite!H34</f>
        <v/>
      </c>
    </row>
    <row r="812" spans="1:7" x14ac:dyDescent="0.25">
      <c r="A812">
        <f t="shared" si="15"/>
        <v>0</v>
      </c>
      <c r="B812" t="s">
        <v>2073</v>
      </c>
      <c r="C812">
        <f>Elite!C5</f>
        <v>0</v>
      </c>
      <c r="D812">
        <f>IF(Elite!P5="Pass",Elite!N5,0)</f>
        <v>0</v>
      </c>
      <c r="E812" s="2" t="str">
        <f>IF(Elite!B5="W","W","A")</f>
        <v>W</v>
      </c>
      <c r="F812" s="2" t="e">
        <f>VLOOKUP(JudgeD1ISL,Judges!$A$2:$B$44,2,FALSE)</f>
        <v>#N/A</v>
      </c>
      <c r="G812" t="str">
        <f>Elite!P5</f>
        <v/>
      </c>
    </row>
    <row r="813" spans="1:7" x14ac:dyDescent="0.25">
      <c r="A813">
        <f t="shared" si="15"/>
        <v>0</v>
      </c>
      <c r="B813" t="s">
        <v>2073</v>
      </c>
      <c r="C813">
        <f>Elite!C6</f>
        <v>0</v>
      </c>
      <c r="D813">
        <f>IF(Elite!P6="Pass",Elite!N6,0)</f>
        <v>0</v>
      </c>
      <c r="E813" s="2" t="str">
        <f>IF(Elite!B6="W","W","A")</f>
        <v>W</v>
      </c>
      <c r="F813" s="2" t="e">
        <f>VLOOKUP(JudgeD1ISL,Judges!$A$2:$B$44,2,FALSE)</f>
        <v>#N/A</v>
      </c>
      <c r="G813" t="str">
        <f>Elite!P6</f>
        <v/>
      </c>
    </row>
    <row r="814" spans="1:7" x14ac:dyDescent="0.25">
      <c r="A814">
        <f t="shared" ref="A814:A845" si="16">TrialNumber</f>
        <v>0</v>
      </c>
      <c r="B814" t="s">
        <v>2073</v>
      </c>
      <c r="C814">
        <f>Elite!C7</f>
        <v>0</v>
      </c>
      <c r="D814">
        <f>IF(Elite!P7="Pass",Elite!N7,0)</f>
        <v>0</v>
      </c>
      <c r="E814" s="2" t="str">
        <f>IF(Elite!B7="W","W","A")</f>
        <v>W</v>
      </c>
      <c r="F814" s="2" t="e">
        <f>VLOOKUP(JudgeD1ISL,Judges!$A$2:$B$44,2,FALSE)</f>
        <v>#N/A</v>
      </c>
      <c r="G814" t="str">
        <f>Elite!P7</f>
        <v/>
      </c>
    </row>
    <row r="815" spans="1:7" x14ac:dyDescent="0.25">
      <c r="A815">
        <f t="shared" si="16"/>
        <v>0</v>
      </c>
      <c r="B815" t="s">
        <v>2073</v>
      </c>
      <c r="C815">
        <f>Elite!C8</f>
        <v>0</v>
      </c>
      <c r="D815">
        <f>IF(Elite!P8="Pass",Elite!N8,0)</f>
        <v>0</v>
      </c>
      <c r="E815" s="2" t="str">
        <f>IF(Elite!B8="W","W","A")</f>
        <v>W</v>
      </c>
      <c r="F815" s="2" t="e">
        <f>VLOOKUP(JudgeD1ISL,Judges!$A$2:$B$44,2,FALSE)</f>
        <v>#N/A</v>
      </c>
      <c r="G815" t="str">
        <f>Elite!P8</f>
        <v/>
      </c>
    </row>
    <row r="816" spans="1:7" x14ac:dyDescent="0.25">
      <c r="A816">
        <f t="shared" si="16"/>
        <v>0</v>
      </c>
      <c r="B816" t="s">
        <v>2073</v>
      </c>
      <c r="C816">
        <f>Elite!C9</f>
        <v>0</v>
      </c>
      <c r="D816">
        <f>IF(Elite!P9="Pass",Elite!N9,0)</f>
        <v>0</v>
      </c>
      <c r="E816" s="2" t="str">
        <f>IF(Elite!B9="W","W","A")</f>
        <v>W</v>
      </c>
      <c r="F816" s="2" t="e">
        <f>VLOOKUP(JudgeD1ISL,Judges!$A$2:$B$44,2,FALSE)</f>
        <v>#N/A</v>
      </c>
      <c r="G816" t="str">
        <f>Elite!P9</f>
        <v/>
      </c>
    </row>
    <row r="817" spans="1:7" x14ac:dyDescent="0.25">
      <c r="A817">
        <f t="shared" si="16"/>
        <v>0</v>
      </c>
      <c r="B817" t="s">
        <v>2073</v>
      </c>
      <c r="C817">
        <f>Elite!C10</f>
        <v>0</v>
      </c>
      <c r="D817">
        <f>IF(Elite!P10="Pass",Elite!N10,0)</f>
        <v>0</v>
      </c>
      <c r="E817" s="2" t="str">
        <f>IF(Elite!B10="W","W","A")</f>
        <v>W</v>
      </c>
      <c r="F817" s="2" t="e">
        <f>VLOOKUP(JudgeD1ISL,Judges!$A$2:$B$44,2,FALSE)</f>
        <v>#N/A</v>
      </c>
      <c r="G817" t="str">
        <f>Elite!P10</f>
        <v/>
      </c>
    </row>
    <row r="818" spans="1:7" x14ac:dyDescent="0.25">
      <c r="A818">
        <f t="shared" si="16"/>
        <v>0</v>
      </c>
      <c r="B818" t="s">
        <v>2073</v>
      </c>
      <c r="C818">
        <f>Elite!C11</f>
        <v>0</v>
      </c>
      <c r="D818">
        <f>IF(Elite!P11="Pass",Elite!N11,0)</f>
        <v>0</v>
      </c>
      <c r="E818" s="2" t="str">
        <f>IF(Elite!B11="W","W","A")</f>
        <v>W</v>
      </c>
      <c r="F818" s="2" t="e">
        <f>VLOOKUP(JudgeD1ISL,Judges!$A$2:$B$44,2,FALSE)</f>
        <v>#N/A</v>
      </c>
      <c r="G818" t="str">
        <f>Elite!P11</f>
        <v/>
      </c>
    </row>
    <row r="819" spans="1:7" x14ac:dyDescent="0.25">
      <c r="A819">
        <f t="shared" si="16"/>
        <v>0</v>
      </c>
      <c r="B819" t="s">
        <v>2073</v>
      </c>
      <c r="C819">
        <f>Elite!C12</f>
        <v>0</v>
      </c>
      <c r="D819">
        <f>IF(Elite!P12="Pass",Elite!N12,0)</f>
        <v>0</v>
      </c>
      <c r="E819" s="2" t="str">
        <f>IF(Elite!B12="W","W","A")</f>
        <v>W</v>
      </c>
      <c r="F819" s="2" t="e">
        <f>VLOOKUP(JudgeD1ISL,Judges!$A$2:$B$44,2,FALSE)</f>
        <v>#N/A</v>
      </c>
      <c r="G819" t="str">
        <f>Elite!P12</f>
        <v/>
      </c>
    </row>
    <row r="820" spans="1:7" x14ac:dyDescent="0.25">
      <c r="A820">
        <f t="shared" si="16"/>
        <v>0</v>
      </c>
      <c r="B820" t="s">
        <v>2073</v>
      </c>
      <c r="C820">
        <f>Elite!C13</f>
        <v>0</v>
      </c>
      <c r="D820">
        <f>IF(Elite!P13="Pass",Elite!N13,0)</f>
        <v>0</v>
      </c>
      <c r="E820" s="2" t="str">
        <f>IF(Elite!B13="W","W","A")</f>
        <v>W</v>
      </c>
      <c r="F820" s="2" t="e">
        <f>VLOOKUP(JudgeD1ISL,Judges!$A$2:$B$44,2,FALSE)</f>
        <v>#N/A</v>
      </c>
      <c r="G820" t="str">
        <f>Elite!P13</f>
        <v/>
      </c>
    </row>
    <row r="821" spans="1:7" x14ac:dyDescent="0.25">
      <c r="A821">
        <f t="shared" si="16"/>
        <v>0</v>
      </c>
      <c r="B821" t="s">
        <v>2073</v>
      </c>
      <c r="C821">
        <f>Elite!C14</f>
        <v>0</v>
      </c>
      <c r="D821">
        <f>IF(Elite!P14="Pass",Elite!N14,0)</f>
        <v>0</v>
      </c>
      <c r="E821" s="2" t="str">
        <f>IF(Elite!B14="W","W","A")</f>
        <v>W</v>
      </c>
      <c r="F821" s="2" t="e">
        <f>VLOOKUP(JudgeD1ISL,Judges!$A$2:$B$44,2,FALSE)</f>
        <v>#N/A</v>
      </c>
      <c r="G821" t="str">
        <f>Elite!P14</f>
        <v/>
      </c>
    </row>
    <row r="822" spans="1:7" x14ac:dyDescent="0.25">
      <c r="A822">
        <f t="shared" si="16"/>
        <v>0</v>
      </c>
      <c r="B822" t="s">
        <v>2073</v>
      </c>
      <c r="C822">
        <f>Elite!C15</f>
        <v>0</v>
      </c>
      <c r="D822">
        <f>IF(Elite!P15="Pass",Elite!N15,0)</f>
        <v>0</v>
      </c>
      <c r="E822" s="2" t="str">
        <f>IF(Elite!B15="W","W","A")</f>
        <v>W</v>
      </c>
      <c r="F822" s="2" t="e">
        <f>VLOOKUP(JudgeD1ISL,Judges!$A$2:$B$44,2,FALSE)</f>
        <v>#N/A</v>
      </c>
      <c r="G822" t="str">
        <f>Elite!P15</f>
        <v/>
      </c>
    </row>
    <row r="823" spans="1:7" x14ac:dyDescent="0.25">
      <c r="A823">
        <f t="shared" si="16"/>
        <v>0</v>
      </c>
      <c r="B823" t="s">
        <v>2073</v>
      </c>
      <c r="C823">
        <f>Elite!C16</f>
        <v>0</v>
      </c>
      <c r="D823">
        <f>IF(Elite!P16="Pass",Elite!N16,0)</f>
        <v>0</v>
      </c>
      <c r="E823" s="2" t="str">
        <f>IF(Elite!B16="W","W","A")</f>
        <v>W</v>
      </c>
      <c r="F823" s="2" t="e">
        <f>VLOOKUP(JudgeD1ISL,Judges!$A$2:$B$44,2,FALSE)</f>
        <v>#N/A</v>
      </c>
      <c r="G823" t="str">
        <f>Elite!P16</f>
        <v/>
      </c>
    </row>
    <row r="824" spans="1:7" x14ac:dyDescent="0.25">
      <c r="A824">
        <f t="shared" si="16"/>
        <v>0</v>
      </c>
      <c r="B824" t="s">
        <v>2073</v>
      </c>
      <c r="C824">
        <f>Elite!C17</f>
        <v>0</v>
      </c>
      <c r="D824">
        <f>IF(Elite!P17="Pass",Elite!N17,0)</f>
        <v>0</v>
      </c>
      <c r="E824" s="2" t="str">
        <f>IF(Elite!B17="W","W","A")</f>
        <v>W</v>
      </c>
      <c r="F824" s="2" t="e">
        <f>VLOOKUP(JudgeD1ISL,Judges!$A$2:$B$44,2,FALSE)</f>
        <v>#N/A</v>
      </c>
      <c r="G824" t="str">
        <f>Elite!P17</f>
        <v/>
      </c>
    </row>
    <row r="825" spans="1:7" x14ac:dyDescent="0.25">
      <c r="A825">
        <f t="shared" si="16"/>
        <v>0</v>
      </c>
      <c r="B825" t="s">
        <v>2073</v>
      </c>
      <c r="C825">
        <f>Elite!C18</f>
        <v>0</v>
      </c>
      <c r="D825">
        <f>IF(Elite!P18="Pass",Elite!N18,0)</f>
        <v>0</v>
      </c>
      <c r="E825" s="2" t="str">
        <f>IF(Elite!B18="W","W","A")</f>
        <v>W</v>
      </c>
      <c r="F825" s="2" t="e">
        <f>VLOOKUP(JudgeD1ISL,Judges!$A$2:$B$44,2,FALSE)</f>
        <v>#N/A</v>
      </c>
      <c r="G825" t="str">
        <f>Elite!P18</f>
        <v/>
      </c>
    </row>
    <row r="826" spans="1:7" x14ac:dyDescent="0.25">
      <c r="A826">
        <f t="shared" si="16"/>
        <v>0</v>
      </c>
      <c r="B826" t="s">
        <v>2073</v>
      </c>
      <c r="C826">
        <f>Elite!C19</f>
        <v>0</v>
      </c>
      <c r="D826">
        <f>IF(Elite!P19="Pass",Elite!N19,0)</f>
        <v>0</v>
      </c>
      <c r="E826" s="2" t="str">
        <f>IF(Elite!B19="W","W","A")</f>
        <v>W</v>
      </c>
      <c r="F826" s="2" t="e">
        <f>VLOOKUP(JudgeD1ISL,Judges!$A$2:$B$44,2,FALSE)</f>
        <v>#N/A</v>
      </c>
      <c r="G826" t="str">
        <f>Elite!P19</f>
        <v/>
      </c>
    </row>
    <row r="827" spans="1:7" x14ac:dyDescent="0.25">
      <c r="A827">
        <f t="shared" si="16"/>
        <v>0</v>
      </c>
      <c r="B827" t="s">
        <v>2073</v>
      </c>
      <c r="C827">
        <f>Elite!C20</f>
        <v>0</v>
      </c>
      <c r="D827">
        <f>IF(Elite!P20="Pass",Elite!N20,0)</f>
        <v>0</v>
      </c>
      <c r="E827" s="2" t="str">
        <f>IF(Elite!B20="W","W","A")</f>
        <v>W</v>
      </c>
      <c r="F827" s="2" t="e">
        <f>VLOOKUP(JudgeD1ISL,Judges!$A$2:$B$44,2,FALSE)</f>
        <v>#N/A</v>
      </c>
      <c r="G827" t="str">
        <f>Elite!P20</f>
        <v/>
      </c>
    </row>
    <row r="828" spans="1:7" x14ac:dyDescent="0.25">
      <c r="A828">
        <f t="shared" si="16"/>
        <v>0</v>
      </c>
      <c r="B828" t="s">
        <v>2073</v>
      </c>
      <c r="C828">
        <f>Elite!C21</f>
        <v>0</v>
      </c>
      <c r="D828">
        <f>IF(Elite!P21="Pass",Elite!N21,0)</f>
        <v>0</v>
      </c>
      <c r="E828" s="2" t="str">
        <f>IF(Elite!B21="W","W","A")</f>
        <v>W</v>
      </c>
      <c r="F828" s="2" t="e">
        <f>VLOOKUP(JudgeD1ISL,Judges!$A$2:$B$44,2,FALSE)</f>
        <v>#N/A</v>
      </c>
      <c r="G828" t="str">
        <f>Elite!P21</f>
        <v/>
      </c>
    </row>
    <row r="829" spans="1:7" x14ac:dyDescent="0.25">
      <c r="A829">
        <f t="shared" si="16"/>
        <v>0</v>
      </c>
      <c r="B829" t="s">
        <v>2073</v>
      </c>
      <c r="C829">
        <f>Elite!C22</f>
        <v>0</v>
      </c>
      <c r="D829">
        <f>IF(Elite!P22="Pass",Elite!N22,0)</f>
        <v>0</v>
      </c>
      <c r="E829" s="2" t="str">
        <f>IF(Elite!B22="W","W","A")</f>
        <v>W</v>
      </c>
      <c r="F829" s="2" t="e">
        <f>VLOOKUP(JudgeD1ISL,Judges!$A$2:$B$44,2,FALSE)</f>
        <v>#N/A</v>
      </c>
      <c r="G829" t="str">
        <f>Elite!P22</f>
        <v/>
      </c>
    </row>
    <row r="830" spans="1:7" x14ac:dyDescent="0.25">
      <c r="A830">
        <f t="shared" si="16"/>
        <v>0</v>
      </c>
      <c r="B830" t="s">
        <v>2073</v>
      </c>
      <c r="C830">
        <f>Elite!C23</f>
        <v>0</v>
      </c>
      <c r="D830">
        <f>IF(Elite!P23="Pass",Elite!N23,0)</f>
        <v>0</v>
      </c>
      <c r="E830" s="2" t="str">
        <f>IF(Elite!B23="W","W","A")</f>
        <v>W</v>
      </c>
      <c r="F830" s="2" t="e">
        <f>VLOOKUP(JudgeD1ISL,Judges!$A$2:$B$44,2,FALSE)</f>
        <v>#N/A</v>
      </c>
      <c r="G830" t="str">
        <f>Elite!P23</f>
        <v/>
      </c>
    </row>
    <row r="831" spans="1:7" x14ac:dyDescent="0.25">
      <c r="A831">
        <f t="shared" si="16"/>
        <v>0</v>
      </c>
      <c r="B831" t="s">
        <v>2073</v>
      </c>
      <c r="C831">
        <f>Elite!C24</f>
        <v>0</v>
      </c>
      <c r="D831">
        <f>IF(Elite!P24="Pass",Elite!N24,0)</f>
        <v>0</v>
      </c>
      <c r="E831" s="2" t="str">
        <f>IF(Elite!B24="W","W","A")</f>
        <v>W</v>
      </c>
      <c r="F831" s="2" t="e">
        <f>VLOOKUP(JudgeD1ISL,Judges!$A$2:$B$44,2,FALSE)</f>
        <v>#N/A</v>
      </c>
      <c r="G831" t="str">
        <f>Elite!P24</f>
        <v/>
      </c>
    </row>
    <row r="832" spans="1:7" x14ac:dyDescent="0.25">
      <c r="A832">
        <f t="shared" si="16"/>
        <v>0</v>
      </c>
      <c r="B832" t="s">
        <v>2073</v>
      </c>
      <c r="C832">
        <f>Elite!C25</f>
        <v>0</v>
      </c>
      <c r="D832">
        <f>IF(Elite!P25="Pass",Elite!N25,0)</f>
        <v>0</v>
      </c>
      <c r="E832" s="2" t="str">
        <f>IF(Elite!B25="W","W","A")</f>
        <v>W</v>
      </c>
      <c r="F832" s="2" t="e">
        <f>VLOOKUP(JudgeD1ISL,Judges!$A$2:$B$44,2,FALSE)</f>
        <v>#N/A</v>
      </c>
      <c r="G832" t="str">
        <f>Elite!P25</f>
        <v/>
      </c>
    </row>
    <row r="833" spans="1:7" x14ac:dyDescent="0.25">
      <c r="A833">
        <f t="shared" si="16"/>
        <v>0</v>
      </c>
      <c r="B833" t="s">
        <v>2073</v>
      </c>
      <c r="C833">
        <f>Elite!C26</f>
        <v>0</v>
      </c>
      <c r="D833">
        <f>IF(Elite!P26="Pass",Elite!N26,0)</f>
        <v>0</v>
      </c>
      <c r="E833" s="2" t="str">
        <f>IF(Elite!B26="W","W","A")</f>
        <v>W</v>
      </c>
      <c r="F833" s="2" t="e">
        <f>VLOOKUP(JudgeD1ISL,Judges!$A$2:$B$44,2,FALSE)</f>
        <v>#N/A</v>
      </c>
      <c r="G833" t="str">
        <f>Elite!P26</f>
        <v/>
      </c>
    </row>
    <row r="834" spans="1:7" x14ac:dyDescent="0.25">
      <c r="A834">
        <f t="shared" si="16"/>
        <v>0</v>
      </c>
      <c r="B834" t="s">
        <v>2073</v>
      </c>
      <c r="C834">
        <f>Elite!C27</f>
        <v>0</v>
      </c>
      <c r="D834">
        <f>IF(Elite!P27="Pass",Elite!N27,0)</f>
        <v>0</v>
      </c>
      <c r="E834" s="2" t="str">
        <f>IF(Elite!B27="W","W","A")</f>
        <v>W</v>
      </c>
      <c r="F834" s="2" t="e">
        <f>VLOOKUP(JudgeD1ISL,Judges!$A$2:$B$44,2,FALSE)</f>
        <v>#N/A</v>
      </c>
      <c r="G834" t="str">
        <f>Elite!P27</f>
        <v/>
      </c>
    </row>
    <row r="835" spans="1:7" x14ac:dyDescent="0.25">
      <c r="A835">
        <f t="shared" si="16"/>
        <v>0</v>
      </c>
      <c r="B835" t="s">
        <v>2073</v>
      </c>
      <c r="C835">
        <f>Elite!C28</f>
        <v>0</v>
      </c>
      <c r="D835">
        <f>IF(Elite!P28="Pass",Elite!N28,0)</f>
        <v>0</v>
      </c>
      <c r="E835" s="2" t="str">
        <f>IF(Elite!B28="W","W","A")</f>
        <v>W</v>
      </c>
      <c r="F835" s="2" t="e">
        <f>VLOOKUP(JudgeD1ISL,Judges!$A$2:$B$44,2,FALSE)</f>
        <v>#N/A</v>
      </c>
      <c r="G835" t="str">
        <f>Elite!P28</f>
        <v/>
      </c>
    </row>
    <row r="836" spans="1:7" x14ac:dyDescent="0.25">
      <c r="A836">
        <f t="shared" si="16"/>
        <v>0</v>
      </c>
      <c r="B836" t="s">
        <v>2073</v>
      </c>
      <c r="C836">
        <f>Elite!C29</f>
        <v>0</v>
      </c>
      <c r="D836">
        <f>IF(Elite!P29="Pass",Elite!N29,0)</f>
        <v>0</v>
      </c>
      <c r="E836" s="2" t="str">
        <f>IF(Elite!B29="W","W","A")</f>
        <v>W</v>
      </c>
      <c r="F836" s="2" t="e">
        <f>VLOOKUP(JudgeD1ISL,Judges!$A$2:$B$44,2,FALSE)</f>
        <v>#N/A</v>
      </c>
      <c r="G836" t="str">
        <f>Elite!P29</f>
        <v/>
      </c>
    </row>
    <row r="837" spans="1:7" x14ac:dyDescent="0.25">
      <c r="A837">
        <f t="shared" si="16"/>
        <v>0</v>
      </c>
      <c r="B837" t="s">
        <v>2073</v>
      </c>
      <c r="C837">
        <f>Elite!C30</f>
        <v>0</v>
      </c>
      <c r="D837">
        <f>IF(Elite!P30="Pass",Elite!N30,0)</f>
        <v>0</v>
      </c>
      <c r="E837" s="2" t="str">
        <f>IF(Elite!B30="W","W","A")</f>
        <v>W</v>
      </c>
      <c r="F837" s="2" t="e">
        <f>VLOOKUP(JudgeD1ISL,Judges!$A$2:$B$44,2,FALSE)</f>
        <v>#N/A</v>
      </c>
      <c r="G837" t="str">
        <f>Elite!P30</f>
        <v/>
      </c>
    </row>
    <row r="838" spans="1:7" x14ac:dyDescent="0.25">
      <c r="A838">
        <f t="shared" si="16"/>
        <v>0</v>
      </c>
      <c r="B838" t="s">
        <v>2073</v>
      </c>
      <c r="C838">
        <f>Elite!C31</f>
        <v>0</v>
      </c>
      <c r="D838">
        <f>IF(Elite!P31="Pass",Elite!N31,0)</f>
        <v>0</v>
      </c>
      <c r="E838" s="2" t="str">
        <f>IF(Elite!B31="W","W","A")</f>
        <v>W</v>
      </c>
      <c r="F838" s="2" t="e">
        <f>VLOOKUP(JudgeD1ISL,Judges!$A$2:$B$44,2,FALSE)</f>
        <v>#N/A</v>
      </c>
      <c r="G838" t="str">
        <f>Elite!P31</f>
        <v/>
      </c>
    </row>
    <row r="839" spans="1:7" x14ac:dyDescent="0.25">
      <c r="A839">
        <f t="shared" si="16"/>
        <v>0</v>
      </c>
      <c r="B839" t="s">
        <v>2073</v>
      </c>
      <c r="C839">
        <f>Elite!C32</f>
        <v>0</v>
      </c>
      <c r="D839">
        <f>IF(Elite!P32="Pass",Elite!N32,0)</f>
        <v>0</v>
      </c>
      <c r="E839" s="2" t="str">
        <f>IF(Elite!B32="W","W","A")</f>
        <v>W</v>
      </c>
      <c r="F839" s="2" t="e">
        <f>VLOOKUP(JudgeD1ISL,Judges!$A$2:$B$44,2,FALSE)</f>
        <v>#N/A</v>
      </c>
      <c r="G839" t="str">
        <f>Elite!P32</f>
        <v/>
      </c>
    </row>
    <row r="840" spans="1:7" x14ac:dyDescent="0.25">
      <c r="A840">
        <f t="shared" si="16"/>
        <v>0</v>
      </c>
      <c r="B840" t="s">
        <v>2073</v>
      </c>
      <c r="C840">
        <f>Elite!C33</f>
        <v>0</v>
      </c>
      <c r="D840">
        <f>IF(Elite!P33="Pass",Elite!N33,0)</f>
        <v>0</v>
      </c>
      <c r="E840" s="2" t="str">
        <f>IF(Elite!B33="W","W","A")</f>
        <v>W</v>
      </c>
      <c r="F840" s="2" t="e">
        <f>VLOOKUP(JudgeD1ISL,Judges!$A$2:$B$44,2,FALSE)</f>
        <v>#N/A</v>
      </c>
      <c r="G840" t="str">
        <f>Elite!P33</f>
        <v/>
      </c>
    </row>
    <row r="841" spans="1:7" x14ac:dyDescent="0.25">
      <c r="A841">
        <f t="shared" si="16"/>
        <v>0</v>
      </c>
      <c r="B841" t="s">
        <v>2073</v>
      </c>
      <c r="C841">
        <f>Elite!C34</f>
        <v>0</v>
      </c>
      <c r="D841">
        <f>IF(Elite!P34="Pass",Elite!N34,0)</f>
        <v>0</v>
      </c>
      <c r="E841" s="2" t="str">
        <f>IF(Elite!B34="W","W","A")</f>
        <v>W</v>
      </c>
      <c r="F841" s="2" t="e">
        <f>VLOOKUP(JudgeD1ISL,Judges!$A$2:$B$44,2,FALSE)</f>
        <v>#N/A</v>
      </c>
      <c r="G841" t="str">
        <f>Elite!P34</f>
        <v/>
      </c>
    </row>
    <row r="842" spans="1:7" x14ac:dyDescent="0.25">
      <c r="A842">
        <f t="shared" si="16"/>
        <v>0</v>
      </c>
      <c r="B842" t="s">
        <v>2074</v>
      </c>
      <c r="C842">
        <f>Elite!C5</f>
        <v>0</v>
      </c>
      <c r="D842">
        <f>IF(Elite!X5="Pass",Elite!V5,0)</f>
        <v>0</v>
      </c>
      <c r="E842" s="2" t="str">
        <f>IF(Elite!B5="W","W","A")</f>
        <v>W</v>
      </c>
      <c r="F842" s="2" t="e">
        <f>VLOOKUP(JudgeD1ESL,Judges!$A$2:$B$44,2,FALSE)</f>
        <v>#N/A</v>
      </c>
      <c r="G842" t="str">
        <f>Elite!X5</f>
        <v/>
      </c>
    </row>
    <row r="843" spans="1:7" x14ac:dyDescent="0.25">
      <c r="A843">
        <f t="shared" si="16"/>
        <v>0</v>
      </c>
      <c r="B843" t="s">
        <v>2074</v>
      </c>
      <c r="C843">
        <f>Elite!C6</f>
        <v>0</v>
      </c>
      <c r="D843">
        <f>IF(Elite!X6="Pass",Elite!V6,0)</f>
        <v>0</v>
      </c>
      <c r="E843" s="2" t="str">
        <f>IF(Elite!B6="W","W","A")</f>
        <v>W</v>
      </c>
      <c r="F843" s="2" t="e">
        <f>VLOOKUP(JudgeD1ESL,Judges!$A$2:$B$44,2,FALSE)</f>
        <v>#N/A</v>
      </c>
      <c r="G843" t="str">
        <f>Elite!X6</f>
        <v/>
      </c>
    </row>
    <row r="844" spans="1:7" x14ac:dyDescent="0.25">
      <c r="A844">
        <f t="shared" si="16"/>
        <v>0</v>
      </c>
      <c r="B844" t="s">
        <v>2074</v>
      </c>
      <c r="C844">
        <f>Elite!C7</f>
        <v>0</v>
      </c>
      <c r="D844">
        <f>IF(Elite!X7="Pass",Elite!V7,0)</f>
        <v>0</v>
      </c>
      <c r="E844" s="2" t="str">
        <f>IF(Elite!B7="W","W","A")</f>
        <v>W</v>
      </c>
      <c r="F844" s="2" t="e">
        <f>VLOOKUP(JudgeD1ESL,Judges!$A$2:$B$44,2,FALSE)</f>
        <v>#N/A</v>
      </c>
      <c r="G844" t="str">
        <f>Elite!X7</f>
        <v/>
      </c>
    </row>
    <row r="845" spans="1:7" x14ac:dyDescent="0.25">
      <c r="A845">
        <f t="shared" si="16"/>
        <v>0</v>
      </c>
      <c r="B845" t="s">
        <v>2074</v>
      </c>
      <c r="C845">
        <f>Elite!C8</f>
        <v>0</v>
      </c>
      <c r="D845">
        <f>IF(Elite!X8="Pass",Elite!V8,0)</f>
        <v>0</v>
      </c>
      <c r="E845" s="2" t="str">
        <f>IF(Elite!B8="W","W","A")</f>
        <v>W</v>
      </c>
      <c r="F845" s="2" t="e">
        <f>VLOOKUP(JudgeD1ESL,Judges!$A$2:$B$44,2,FALSE)</f>
        <v>#N/A</v>
      </c>
      <c r="G845" t="str">
        <f>Elite!X8</f>
        <v/>
      </c>
    </row>
    <row r="846" spans="1:7" x14ac:dyDescent="0.25">
      <c r="A846">
        <f t="shared" ref="A846:A871" si="17">TrialNumber</f>
        <v>0</v>
      </c>
      <c r="B846" t="s">
        <v>2074</v>
      </c>
      <c r="C846">
        <f>Elite!C9</f>
        <v>0</v>
      </c>
      <c r="D846">
        <f>IF(Elite!X9="Pass",Elite!V9,0)</f>
        <v>0</v>
      </c>
      <c r="E846" s="2" t="str">
        <f>IF(Elite!B9="W","W","A")</f>
        <v>W</v>
      </c>
      <c r="F846" s="2" t="e">
        <f>VLOOKUP(JudgeD1ESL,Judges!$A$2:$B$44,2,FALSE)</f>
        <v>#N/A</v>
      </c>
      <c r="G846" t="str">
        <f>Elite!X9</f>
        <v/>
      </c>
    </row>
    <row r="847" spans="1:7" x14ac:dyDescent="0.25">
      <c r="A847">
        <f t="shared" si="17"/>
        <v>0</v>
      </c>
      <c r="B847" t="s">
        <v>2074</v>
      </c>
      <c r="C847">
        <f>Elite!C10</f>
        <v>0</v>
      </c>
      <c r="D847">
        <f>IF(Elite!X10="Pass",Elite!V10,0)</f>
        <v>0</v>
      </c>
      <c r="E847" s="2" t="str">
        <f>IF(Elite!B10="W","W","A")</f>
        <v>W</v>
      </c>
      <c r="F847" s="2" t="e">
        <f>VLOOKUP(JudgeD1ESL,Judges!$A$2:$B$44,2,FALSE)</f>
        <v>#N/A</v>
      </c>
      <c r="G847" t="str">
        <f>Elite!X10</f>
        <v/>
      </c>
    </row>
    <row r="848" spans="1:7" x14ac:dyDescent="0.25">
      <c r="A848">
        <f t="shared" si="17"/>
        <v>0</v>
      </c>
      <c r="B848" t="s">
        <v>2074</v>
      </c>
      <c r="C848">
        <f>Elite!C11</f>
        <v>0</v>
      </c>
      <c r="D848">
        <f>IF(Elite!X11="Pass",Elite!V11,0)</f>
        <v>0</v>
      </c>
      <c r="E848" s="2" t="str">
        <f>IF(Elite!B11="W","W","A")</f>
        <v>W</v>
      </c>
      <c r="F848" s="2" t="e">
        <f>VLOOKUP(JudgeD1ESL,Judges!$A$2:$B$44,2,FALSE)</f>
        <v>#N/A</v>
      </c>
      <c r="G848" t="str">
        <f>Elite!X11</f>
        <v/>
      </c>
    </row>
    <row r="849" spans="1:7" x14ac:dyDescent="0.25">
      <c r="A849">
        <f t="shared" si="17"/>
        <v>0</v>
      </c>
      <c r="B849" t="s">
        <v>2074</v>
      </c>
      <c r="C849">
        <f>Elite!C12</f>
        <v>0</v>
      </c>
      <c r="D849">
        <f>IF(Elite!X12="Pass",Elite!V12,0)</f>
        <v>0</v>
      </c>
      <c r="E849" s="2" t="str">
        <f>IF(Elite!B12="W","W","A")</f>
        <v>W</v>
      </c>
      <c r="F849" s="2" t="e">
        <f>VLOOKUP(JudgeD1ESL,Judges!$A$2:$B$44,2,FALSE)</f>
        <v>#N/A</v>
      </c>
      <c r="G849" t="str">
        <f>Elite!X12</f>
        <v/>
      </c>
    </row>
    <row r="850" spans="1:7" x14ac:dyDescent="0.25">
      <c r="A850">
        <f t="shared" si="17"/>
        <v>0</v>
      </c>
      <c r="B850" t="s">
        <v>2074</v>
      </c>
      <c r="C850">
        <f>Elite!C13</f>
        <v>0</v>
      </c>
      <c r="D850">
        <f>IF(Elite!X13="Pass",Elite!V13,0)</f>
        <v>0</v>
      </c>
      <c r="E850" s="2" t="str">
        <f>IF(Elite!B13="W","W","A")</f>
        <v>W</v>
      </c>
      <c r="F850" s="2" t="e">
        <f>VLOOKUP(JudgeD1ESL,Judges!$A$2:$B$44,2,FALSE)</f>
        <v>#N/A</v>
      </c>
      <c r="G850" t="str">
        <f>Elite!X13</f>
        <v/>
      </c>
    </row>
    <row r="851" spans="1:7" x14ac:dyDescent="0.25">
      <c r="A851">
        <f t="shared" si="17"/>
        <v>0</v>
      </c>
      <c r="B851" t="s">
        <v>2074</v>
      </c>
      <c r="C851">
        <f>Elite!C14</f>
        <v>0</v>
      </c>
      <c r="D851">
        <f>IF(Elite!X14="Pass",Elite!V14,0)</f>
        <v>0</v>
      </c>
      <c r="E851" s="2" t="str">
        <f>IF(Elite!B14="W","W","A")</f>
        <v>W</v>
      </c>
      <c r="F851" s="2" t="e">
        <f>VLOOKUP(JudgeD1ESL,Judges!$A$2:$B$44,2,FALSE)</f>
        <v>#N/A</v>
      </c>
      <c r="G851" t="str">
        <f>Elite!X14</f>
        <v/>
      </c>
    </row>
    <row r="852" spans="1:7" x14ac:dyDescent="0.25">
      <c r="A852">
        <f t="shared" si="17"/>
        <v>0</v>
      </c>
      <c r="B852" t="s">
        <v>2074</v>
      </c>
      <c r="C852">
        <f>Elite!C15</f>
        <v>0</v>
      </c>
      <c r="D852">
        <f>IF(Elite!X15="Pass",Elite!V15,0)</f>
        <v>0</v>
      </c>
      <c r="E852" s="2" t="str">
        <f>IF(Elite!B15="W","W","A")</f>
        <v>W</v>
      </c>
      <c r="F852" s="2" t="e">
        <f>VLOOKUP(JudgeD1ESL,Judges!$A$2:$B$44,2,FALSE)</f>
        <v>#N/A</v>
      </c>
      <c r="G852" t="str">
        <f>Elite!X15</f>
        <v/>
      </c>
    </row>
    <row r="853" spans="1:7" x14ac:dyDescent="0.25">
      <c r="A853">
        <f t="shared" si="17"/>
        <v>0</v>
      </c>
      <c r="B853" t="s">
        <v>2074</v>
      </c>
      <c r="C853">
        <f>Elite!C16</f>
        <v>0</v>
      </c>
      <c r="D853">
        <f>IF(Elite!X16="Pass",Elite!V16,0)</f>
        <v>0</v>
      </c>
      <c r="E853" s="2" t="str">
        <f>IF(Elite!B16="W","W","A")</f>
        <v>W</v>
      </c>
      <c r="F853" s="2" t="e">
        <f>VLOOKUP(JudgeD1ESL,Judges!$A$2:$B$44,2,FALSE)</f>
        <v>#N/A</v>
      </c>
      <c r="G853" t="str">
        <f>Elite!X16</f>
        <v/>
      </c>
    </row>
    <row r="854" spans="1:7" x14ac:dyDescent="0.25">
      <c r="A854">
        <f t="shared" si="17"/>
        <v>0</v>
      </c>
      <c r="B854" t="s">
        <v>2074</v>
      </c>
      <c r="C854">
        <f>Elite!C17</f>
        <v>0</v>
      </c>
      <c r="D854">
        <f>IF(Elite!X17="Pass",Elite!V17,0)</f>
        <v>0</v>
      </c>
      <c r="E854" s="2" t="str">
        <f>IF(Elite!B17="W","W","A")</f>
        <v>W</v>
      </c>
      <c r="F854" s="2" t="e">
        <f>VLOOKUP(JudgeD1ESL,Judges!$A$2:$B$44,2,FALSE)</f>
        <v>#N/A</v>
      </c>
      <c r="G854" t="str">
        <f>Elite!X17</f>
        <v/>
      </c>
    </row>
    <row r="855" spans="1:7" x14ac:dyDescent="0.25">
      <c r="A855">
        <f t="shared" si="17"/>
        <v>0</v>
      </c>
      <c r="B855" t="s">
        <v>2074</v>
      </c>
      <c r="C855">
        <f>Elite!C18</f>
        <v>0</v>
      </c>
      <c r="D855">
        <f>IF(Elite!X18="Pass",Elite!V18,0)</f>
        <v>0</v>
      </c>
      <c r="E855" s="2" t="str">
        <f>IF(Elite!B18="W","W","A")</f>
        <v>W</v>
      </c>
      <c r="F855" s="2" t="e">
        <f>VLOOKUP(JudgeD1ESL,Judges!$A$2:$B$44,2,FALSE)</f>
        <v>#N/A</v>
      </c>
      <c r="G855" t="str">
        <f>Elite!X18</f>
        <v/>
      </c>
    </row>
    <row r="856" spans="1:7" x14ac:dyDescent="0.25">
      <c r="A856">
        <f t="shared" si="17"/>
        <v>0</v>
      </c>
      <c r="B856" t="s">
        <v>2074</v>
      </c>
      <c r="C856">
        <f>Elite!C19</f>
        <v>0</v>
      </c>
      <c r="D856">
        <f>IF(Elite!X19="Pass",Elite!V19,0)</f>
        <v>0</v>
      </c>
      <c r="E856" s="2" t="str">
        <f>IF(Elite!B19="W","W","A")</f>
        <v>W</v>
      </c>
      <c r="F856" s="2" t="e">
        <f>VLOOKUP(JudgeD1ESL,Judges!$A$2:$B$44,2,FALSE)</f>
        <v>#N/A</v>
      </c>
      <c r="G856" t="str">
        <f>Elite!X19</f>
        <v/>
      </c>
    </row>
    <row r="857" spans="1:7" x14ac:dyDescent="0.25">
      <c r="A857">
        <f t="shared" si="17"/>
        <v>0</v>
      </c>
      <c r="B857" t="s">
        <v>2074</v>
      </c>
      <c r="C857">
        <f>Elite!C20</f>
        <v>0</v>
      </c>
      <c r="D857">
        <f>IF(Elite!X20="Pass",Elite!V20,0)</f>
        <v>0</v>
      </c>
      <c r="E857" s="2" t="str">
        <f>IF(Elite!B20="W","W","A")</f>
        <v>W</v>
      </c>
      <c r="F857" s="2" t="e">
        <f>VLOOKUP(JudgeD1ESL,Judges!$A$2:$B$44,2,FALSE)</f>
        <v>#N/A</v>
      </c>
      <c r="G857" t="str">
        <f>Elite!X20</f>
        <v/>
      </c>
    </row>
    <row r="858" spans="1:7" x14ac:dyDescent="0.25">
      <c r="A858">
        <f t="shared" si="17"/>
        <v>0</v>
      </c>
      <c r="B858" t="s">
        <v>2074</v>
      </c>
      <c r="C858">
        <f>Elite!C21</f>
        <v>0</v>
      </c>
      <c r="D858">
        <f>IF(Elite!X21="Pass",Elite!V21,0)</f>
        <v>0</v>
      </c>
      <c r="E858" s="2" t="str">
        <f>IF(Elite!B21="W","W","A")</f>
        <v>W</v>
      </c>
      <c r="F858" s="2" t="e">
        <f>VLOOKUP(JudgeD1ESL,Judges!$A$2:$B$44,2,FALSE)</f>
        <v>#N/A</v>
      </c>
      <c r="G858" t="str">
        <f>Elite!X21</f>
        <v/>
      </c>
    </row>
    <row r="859" spans="1:7" x14ac:dyDescent="0.25">
      <c r="A859">
        <f t="shared" si="17"/>
        <v>0</v>
      </c>
      <c r="B859" t="s">
        <v>2074</v>
      </c>
      <c r="C859">
        <f>Elite!C22</f>
        <v>0</v>
      </c>
      <c r="D859">
        <f>IF(Elite!X22="Pass",Elite!V22,0)</f>
        <v>0</v>
      </c>
      <c r="E859" s="2" t="str">
        <f>IF(Elite!B22="W","W","A")</f>
        <v>W</v>
      </c>
      <c r="F859" s="2" t="e">
        <f>VLOOKUP(JudgeD1ESL,Judges!$A$2:$B$44,2,FALSE)</f>
        <v>#N/A</v>
      </c>
      <c r="G859" t="str">
        <f>Elite!X22</f>
        <v/>
      </c>
    </row>
    <row r="860" spans="1:7" x14ac:dyDescent="0.25">
      <c r="A860">
        <f t="shared" si="17"/>
        <v>0</v>
      </c>
      <c r="B860" t="s">
        <v>2074</v>
      </c>
      <c r="C860">
        <f>Elite!C23</f>
        <v>0</v>
      </c>
      <c r="D860">
        <f>IF(Elite!X23="Pass",Elite!V23,0)</f>
        <v>0</v>
      </c>
      <c r="E860" s="2" t="str">
        <f>IF(Elite!B23="W","W","A")</f>
        <v>W</v>
      </c>
      <c r="F860" s="2" t="e">
        <f>VLOOKUP(JudgeD1ESL,Judges!$A$2:$B$44,2,FALSE)</f>
        <v>#N/A</v>
      </c>
      <c r="G860" t="str">
        <f>Elite!X23</f>
        <v/>
      </c>
    </row>
    <row r="861" spans="1:7" x14ac:dyDescent="0.25">
      <c r="A861">
        <f t="shared" si="17"/>
        <v>0</v>
      </c>
      <c r="B861" t="s">
        <v>2074</v>
      </c>
      <c r="C861">
        <f>Elite!C24</f>
        <v>0</v>
      </c>
      <c r="D861">
        <f>IF(Elite!X24="Pass",Elite!V24,0)</f>
        <v>0</v>
      </c>
      <c r="E861" s="2" t="str">
        <f>IF(Elite!B24="W","W","A")</f>
        <v>W</v>
      </c>
      <c r="F861" s="2" t="e">
        <f>VLOOKUP(JudgeD1ESL,Judges!$A$2:$B$44,2,FALSE)</f>
        <v>#N/A</v>
      </c>
      <c r="G861" t="str">
        <f>Elite!X24</f>
        <v/>
      </c>
    </row>
    <row r="862" spans="1:7" x14ac:dyDescent="0.25">
      <c r="A862">
        <f t="shared" si="17"/>
        <v>0</v>
      </c>
      <c r="B862" t="s">
        <v>2074</v>
      </c>
      <c r="C862">
        <f>Elite!C25</f>
        <v>0</v>
      </c>
      <c r="D862">
        <f>IF(Elite!X25="Pass",Elite!V25,0)</f>
        <v>0</v>
      </c>
      <c r="E862" s="2" t="str">
        <f>IF(Elite!B25="W","W","A")</f>
        <v>W</v>
      </c>
      <c r="F862" s="2" t="e">
        <f>VLOOKUP(JudgeD1ESL,Judges!$A$2:$B$44,2,FALSE)</f>
        <v>#N/A</v>
      </c>
      <c r="G862" t="str">
        <f>Elite!X25</f>
        <v/>
      </c>
    </row>
    <row r="863" spans="1:7" x14ac:dyDescent="0.25">
      <c r="A863">
        <f t="shared" si="17"/>
        <v>0</v>
      </c>
      <c r="B863" t="s">
        <v>2074</v>
      </c>
      <c r="C863">
        <f>Elite!C26</f>
        <v>0</v>
      </c>
      <c r="D863">
        <f>IF(Elite!X26="Pass",Elite!V26,0)</f>
        <v>0</v>
      </c>
      <c r="E863" s="2" t="str">
        <f>IF(Elite!B26="W","W","A")</f>
        <v>W</v>
      </c>
      <c r="F863" s="2" t="e">
        <f>VLOOKUP(JudgeD1ESL,Judges!$A$2:$B$44,2,FALSE)</f>
        <v>#N/A</v>
      </c>
      <c r="G863" t="str">
        <f>Elite!X26</f>
        <v/>
      </c>
    </row>
    <row r="864" spans="1:7" x14ac:dyDescent="0.25">
      <c r="A864">
        <f t="shared" si="17"/>
        <v>0</v>
      </c>
      <c r="B864" t="s">
        <v>2074</v>
      </c>
      <c r="C864">
        <f>Elite!C27</f>
        <v>0</v>
      </c>
      <c r="D864">
        <f>IF(Elite!X27="Pass",Elite!V27,0)</f>
        <v>0</v>
      </c>
      <c r="E864" s="2" t="str">
        <f>IF(Elite!B27="W","W","A")</f>
        <v>W</v>
      </c>
      <c r="F864" s="2" t="e">
        <f>VLOOKUP(JudgeD1ESL,Judges!$A$2:$B$44,2,FALSE)</f>
        <v>#N/A</v>
      </c>
      <c r="G864" t="str">
        <f>Elite!X27</f>
        <v/>
      </c>
    </row>
    <row r="865" spans="1:7" x14ac:dyDescent="0.25">
      <c r="A865">
        <f t="shared" si="17"/>
        <v>0</v>
      </c>
      <c r="B865" t="s">
        <v>2074</v>
      </c>
      <c r="C865">
        <f>Elite!C28</f>
        <v>0</v>
      </c>
      <c r="D865">
        <f>IF(Elite!X28="Pass",Elite!V28,0)</f>
        <v>0</v>
      </c>
      <c r="E865" s="2" t="str">
        <f>IF(Elite!B28="W","W","A")</f>
        <v>W</v>
      </c>
      <c r="F865" s="2" t="e">
        <f>VLOOKUP(JudgeD1ESL,Judges!$A$2:$B$44,2,FALSE)</f>
        <v>#N/A</v>
      </c>
      <c r="G865" t="str">
        <f>Elite!X28</f>
        <v/>
      </c>
    </row>
    <row r="866" spans="1:7" x14ac:dyDescent="0.25">
      <c r="A866">
        <f t="shared" si="17"/>
        <v>0</v>
      </c>
      <c r="B866" t="s">
        <v>2074</v>
      </c>
      <c r="C866">
        <f>Elite!C29</f>
        <v>0</v>
      </c>
      <c r="D866">
        <f>IF(Elite!X29="Pass",Elite!V29,0)</f>
        <v>0</v>
      </c>
      <c r="E866" s="2" t="str">
        <f>IF(Elite!B29="W","W","A")</f>
        <v>W</v>
      </c>
      <c r="F866" s="2" t="e">
        <f>VLOOKUP(JudgeD1ESL,Judges!$A$2:$B$44,2,FALSE)</f>
        <v>#N/A</v>
      </c>
      <c r="G866" t="str">
        <f>Elite!X29</f>
        <v/>
      </c>
    </row>
    <row r="867" spans="1:7" x14ac:dyDescent="0.25">
      <c r="A867">
        <f t="shared" si="17"/>
        <v>0</v>
      </c>
      <c r="B867" t="s">
        <v>2074</v>
      </c>
      <c r="C867">
        <f>Elite!C30</f>
        <v>0</v>
      </c>
      <c r="D867">
        <f>IF(Elite!X30="Pass",Elite!V30,0)</f>
        <v>0</v>
      </c>
      <c r="E867" s="2" t="str">
        <f>IF(Elite!B30="W","W","A")</f>
        <v>W</v>
      </c>
      <c r="F867" s="2" t="e">
        <f>VLOOKUP(JudgeD1ESL,Judges!$A$2:$B$44,2,FALSE)</f>
        <v>#N/A</v>
      </c>
      <c r="G867" t="str">
        <f>Elite!X30</f>
        <v/>
      </c>
    </row>
    <row r="868" spans="1:7" x14ac:dyDescent="0.25">
      <c r="A868">
        <f t="shared" si="17"/>
        <v>0</v>
      </c>
      <c r="B868" t="s">
        <v>2074</v>
      </c>
      <c r="C868">
        <f>Elite!C31</f>
        <v>0</v>
      </c>
      <c r="D868">
        <f>IF(Elite!X31="Pass",Elite!V31,0)</f>
        <v>0</v>
      </c>
      <c r="E868" s="2" t="str">
        <f>IF(Elite!B31="W","W","A")</f>
        <v>W</v>
      </c>
      <c r="F868" s="2" t="e">
        <f>VLOOKUP(JudgeD1ESL,Judges!$A$2:$B$44,2,FALSE)</f>
        <v>#N/A</v>
      </c>
      <c r="G868" t="str">
        <f>Elite!X31</f>
        <v/>
      </c>
    </row>
    <row r="869" spans="1:7" x14ac:dyDescent="0.25">
      <c r="A869">
        <f t="shared" si="17"/>
        <v>0</v>
      </c>
      <c r="B869" t="s">
        <v>2074</v>
      </c>
      <c r="C869">
        <f>Elite!C32</f>
        <v>0</v>
      </c>
      <c r="D869">
        <f>IF(Elite!X32="Pass",Elite!V32,0)</f>
        <v>0</v>
      </c>
      <c r="E869" s="2" t="str">
        <f>IF(Elite!B32="W","W","A")</f>
        <v>W</v>
      </c>
      <c r="F869" s="2" t="e">
        <f>VLOOKUP(JudgeD1ESL,Judges!$A$2:$B$44,2,FALSE)</f>
        <v>#N/A</v>
      </c>
      <c r="G869" t="str">
        <f>Elite!X32</f>
        <v/>
      </c>
    </row>
    <row r="870" spans="1:7" x14ac:dyDescent="0.25">
      <c r="A870">
        <f t="shared" si="17"/>
        <v>0</v>
      </c>
      <c r="B870" t="s">
        <v>2074</v>
      </c>
      <c r="C870">
        <f>Elite!C33</f>
        <v>0</v>
      </c>
      <c r="D870">
        <f>IF(Elite!X33="Pass",Elite!V33,0)</f>
        <v>0</v>
      </c>
      <c r="E870" s="2" t="str">
        <f>IF(Elite!B33="W","W","A")</f>
        <v>W</v>
      </c>
      <c r="F870" s="2" t="e">
        <f>VLOOKUP(JudgeD1ESL,Judges!$A$2:$B$44,2,FALSE)</f>
        <v>#N/A</v>
      </c>
      <c r="G870" t="str">
        <f>Elite!X33</f>
        <v/>
      </c>
    </row>
    <row r="871" spans="1:7" x14ac:dyDescent="0.25">
      <c r="A871">
        <f t="shared" si="17"/>
        <v>0</v>
      </c>
      <c r="B871" t="s">
        <v>2074</v>
      </c>
      <c r="C871">
        <f>Elite!C34</f>
        <v>0</v>
      </c>
      <c r="D871">
        <f>IF(Elite!X34="Pass",Elite!V34,0)</f>
        <v>0</v>
      </c>
      <c r="E871" s="2" t="str">
        <f>IF(Elite!B34="W","W","A")</f>
        <v>W</v>
      </c>
      <c r="F871" s="2" t="e">
        <f>VLOOKUP(JudgeD1ESL,Judges!$A$2:$B$44,2,FALSE)</f>
        <v>#N/A</v>
      </c>
      <c r="G871" t="str">
        <f>Elite!X34</f>
        <v/>
      </c>
    </row>
    <row r="872" spans="1:7" x14ac:dyDescent="0.25">
      <c r="A872">
        <f t="shared" ref="A872:A903" si="18">TrialNumberDay2</f>
        <v>0</v>
      </c>
      <c r="B872" t="s">
        <v>2072</v>
      </c>
      <c r="C872">
        <f>Elite!C45</f>
        <v>0</v>
      </c>
      <c r="D872">
        <f>IF(Elite!H45="Pass",Elite!F45,0)</f>
        <v>0</v>
      </c>
      <c r="E872" s="2" t="str">
        <f>IF(Elite!B45="W","W","A")</f>
        <v>W</v>
      </c>
      <c r="F872" s="2" t="e">
        <f>VLOOKUP(JudgeD2CSL,Judges!$A$2:$B$44,2,FALSE)</f>
        <v>#N/A</v>
      </c>
      <c r="G872" t="str">
        <f>Elite!H45</f>
        <v/>
      </c>
    </row>
    <row r="873" spans="1:7" x14ac:dyDescent="0.25">
      <c r="A873">
        <f t="shared" si="18"/>
        <v>0</v>
      </c>
      <c r="B873" t="s">
        <v>2072</v>
      </c>
      <c r="C873">
        <f>Elite!C46</f>
        <v>0</v>
      </c>
      <c r="D873">
        <f>IF(Elite!H46="Pass",Elite!F46,0)</f>
        <v>0</v>
      </c>
      <c r="E873" s="2" t="str">
        <f>IF(Elite!B46="W","W","A")</f>
        <v>W</v>
      </c>
      <c r="F873" s="2" t="e">
        <f>VLOOKUP(JudgeD2CSL,Judges!$A$2:$B$44,2,FALSE)</f>
        <v>#N/A</v>
      </c>
      <c r="G873" t="str">
        <f>Elite!H46</f>
        <v/>
      </c>
    </row>
    <row r="874" spans="1:7" x14ac:dyDescent="0.25">
      <c r="A874">
        <f t="shared" si="18"/>
        <v>0</v>
      </c>
      <c r="B874" t="s">
        <v>2072</v>
      </c>
      <c r="C874">
        <f>Elite!C47</f>
        <v>0</v>
      </c>
      <c r="D874">
        <f>IF(Elite!H47="Pass",Elite!F47,0)</f>
        <v>0</v>
      </c>
      <c r="E874" s="2" t="str">
        <f>IF(Elite!B47="W","W","A")</f>
        <v>W</v>
      </c>
      <c r="F874" s="2" t="e">
        <f>VLOOKUP(JudgeD2CSL,Judges!$A$2:$B$44,2,FALSE)</f>
        <v>#N/A</v>
      </c>
      <c r="G874" t="str">
        <f>Elite!H47</f>
        <v/>
      </c>
    </row>
    <row r="875" spans="1:7" x14ac:dyDescent="0.25">
      <c r="A875">
        <f t="shared" si="18"/>
        <v>0</v>
      </c>
      <c r="B875" t="s">
        <v>2072</v>
      </c>
      <c r="C875">
        <f>Elite!C48</f>
        <v>0</v>
      </c>
      <c r="D875">
        <f>IF(Elite!H48="Pass",Elite!F48,0)</f>
        <v>0</v>
      </c>
      <c r="E875" s="2" t="str">
        <f>IF(Elite!B48="W","W","A")</f>
        <v>W</v>
      </c>
      <c r="F875" s="2" t="e">
        <f>VLOOKUP(JudgeD2CSL,Judges!$A$2:$B$44,2,FALSE)</f>
        <v>#N/A</v>
      </c>
      <c r="G875" t="str">
        <f>Elite!H48</f>
        <v/>
      </c>
    </row>
    <row r="876" spans="1:7" x14ac:dyDescent="0.25">
      <c r="A876">
        <f t="shared" si="18"/>
        <v>0</v>
      </c>
      <c r="B876" t="s">
        <v>2072</v>
      </c>
      <c r="C876">
        <f>Elite!C49</f>
        <v>0</v>
      </c>
      <c r="D876">
        <f>IF(Elite!H49="Pass",Elite!F49,0)</f>
        <v>0</v>
      </c>
      <c r="E876" s="2" t="str">
        <f>IF(Elite!B49="W","W","A")</f>
        <v>W</v>
      </c>
      <c r="F876" s="2" t="e">
        <f>VLOOKUP(JudgeD2CSL,Judges!$A$2:$B$44,2,FALSE)</f>
        <v>#N/A</v>
      </c>
      <c r="G876" t="str">
        <f>Elite!H49</f>
        <v/>
      </c>
    </row>
    <row r="877" spans="1:7" x14ac:dyDescent="0.25">
      <c r="A877">
        <f t="shared" si="18"/>
        <v>0</v>
      </c>
      <c r="B877" t="s">
        <v>2072</v>
      </c>
      <c r="C877">
        <f>Elite!C50</f>
        <v>0</v>
      </c>
      <c r="D877">
        <f>IF(Elite!H50="Pass",Elite!F50,0)</f>
        <v>0</v>
      </c>
      <c r="E877" s="2" t="str">
        <f>IF(Elite!B50="W","W","A")</f>
        <v>W</v>
      </c>
      <c r="F877" s="2" t="e">
        <f>VLOOKUP(JudgeD2CSL,Judges!$A$2:$B$44,2,FALSE)</f>
        <v>#N/A</v>
      </c>
      <c r="G877" t="str">
        <f>Elite!H50</f>
        <v/>
      </c>
    </row>
    <row r="878" spans="1:7" x14ac:dyDescent="0.25">
      <c r="A878">
        <f t="shared" si="18"/>
        <v>0</v>
      </c>
      <c r="B878" t="s">
        <v>2072</v>
      </c>
      <c r="C878">
        <f>Elite!C51</f>
        <v>0</v>
      </c>
      <c r="D878">
        <f>IF(Elite!H51="Pass",Elite!F51,0)</f>
        <v>0</v>
      </c>
      <c r="E878" s="2" t="str">
        <f>IF(Elite!B51="W","W","A")</f>
        <v>W</v>
      </c>
      <c r="F878" s="2" t="e">
        <f>VLOOKUP(JudgeD2CSL,Judges!$A$2:$B$44,2,FALSE)</f>
        <v>#N/A</v>
      </c>
      <c r="G878" t="str">
        <f>Elite!H51</f>
        <v/>
      </c>
    </row>
    <row r="879" spans="1:7" x14ac:dyDescent="0.25">
      <c r="A879">
        <f t="shared" si="18"/>
        <v>0</v>
      </c>
      <c r="B879" t="s">
        <v>2072</v>
      </c>
      <c r="C879">
        <f>Elite!C52</f>
        <v>0</v>
      </c>
      <c r="D879">
        <f>IF(Elite!H52="Pass",Elite!F52,0)</f>
        <v>0</v>
      </c>
      <c r="E879" s="2" t="str">
        <f>IF(Elite!B52="W","W","A")</f>
        <v>W</v>
      </c>
      <c r="F879" s="2" t="e">
        <f>VLOOKUP(JudgeD2CSL,Judges!$A$2:$B$44,2,FALSE)</f>
        <v>#N/A</v>
      </c>
      <c r="G879" t="str">
        <f>Elite!H52</f>
        <v/>
      </c>
    </row>
    <row r="880" spans="1:7" x14ac:dyDescent="0.25">
      <c r="A880">
        <f t="shared" si="18"/>
        <v>0</v>
      </c>
      <c r="B880" t="s">
        <v>2072</v>
      </c>
      <c r="C880">
        <f>Elite!C53</f>
        <v>0</v>
      </c>
      <c r="D880">
        <f>IF(Elite!H53="Pass",Elite!F53,0)</f>
        <v>0</v>
      </c>
      <c r="E880" s="2" t="str">
        <f>IF(Elite!B53="W","W","A")</f>
        <v>W</v>
      </c>
      <c r="F880" s="2" t="e">
        <f>VLOOKUP(JudgeD2CSL,Judges!$A$2:$B$44,2,FALSE)</f>
        <v>#N/A</v>
      </c>
      <c r="G880" t="str">
        <f>Elite!H53</f>
        <v/>
      </c>
    </row>
    <row r="881" spans="1:7" x14ac:dyDescent="0.25">
      <c r="A881">
        <f t="shared" si="18"/>
        <v>0</v>
      </c>
      <c r="B881" t="s">
        <v>2072</v>
      </c>
      <c r="C881">
        <f>Elite!C54</f>
        <v>0</v>
      </c>
      <c r="D881">
        <f>IF(Elite!H54="Pass",Elite!F54,0)</f>
        <v>0</v>
      </c>
      <c r="E881" s="2" t="str">
        <f>IF(Elite!B54="W","W","A")</f>
        <v>W</v>
      </c>
      <c r="F881" s="2" t="e">
        <f>VLOOKUP(JudgeD2CSL,Judges!$A$2:$B$44,2,FALSE)</f>
        <v>#N/A</v>
      </c>
      <c r="G881" t="str">
        <f>Elite!H54</f>
        <v/>
      </c>
    </row>
    <row r="882" spans="1:7" x14ac:dyDescent="0.25">
      <c r="A882">
        <f t="shared" si="18"/>
        <v>0</v>
      </c>
      <c r="B882" t="s">
        <v>2072</v>
      </c>
      <c r="C882">
        <f>Elite!C55</f>
        <v>0</v>
      </c>
      <c r="D882">
        <f>IF(Elite!H55="Pass",Elite!F55,0)</f>
        <v>0</v>
      </c>
      <c r="E882" s="2" t="str">
        <f>IF(Elite!B55="W","W","A")</f>
        <v>W</v>
      </c>
      <c r="F882" s="2" t="e">
        <f>VLOOKUP(JudgeD2CSL,Judges!$A$2:$B$44,2,FALSE)</f>
        <v>#N/A</v>
      </c>
      <c r="G882" t="str">
        <f>Elite!H55</f>
        <v/>
      </c>
    </row>
    <row r="883" spans="1:7" x14ac:dyDescent="0.25">
      <c r="A883">
        <f t="shared" si="18"/>
        <v>0</v>
      </c>
      <c r="B883" t="s">
        <v>2072</v>
      </c>
      <c r="C883">
        <f>Elite!C56</f>
        <v>0</v>
      </c>
      <c r="D883">
        <f>IF(Elite!H56="Pass",Elite!F56,0)</f>
        <v>0</v>
      </c>
      <c r="E883" s="2" t="str">
        <f>IF(Elite!B56="W","W","A")</f>
        <v>W</v>
      </c>
      <c r="F883" s="2" t="e">
        <f>VLOOKUP(JudgeD2CSL,Judges!$A$2:$B$44,2,FALSE)</f>
        <v>#N/A</v>
      </c>
      <c r="G883" t="str">
        <f>Elite!H56</f>
        <v/>
      </c>
    </row>
    <row r="884" spans="1:7" x14ac:dyDescent="0.25">
      <c r="A884">
        <f t="shared" si="18"/>
        <v>0</v>
      </c>
      <c r="B884" t="s">
        <v>2072</v>
      </c>
      <c r="C884">
        <f>Elite!C57</f>
        <v>0</v>
      </c>
      <c r="D884">
        <f>IF(Elite!H57="Pass",Elite!F57,0)</f>
        <v>0</v>
      </c>
      <c r="E884" s="2" t="str">
        <f>IF(Elite!B57="W","W","A")</f>
        <v>W</v>
      </c>
      <c r="F884" s="2" t="e">
        <f>VLOOKUP(JudgeD2CSL,Judges!$A$2:$B$44,2,FALSE)</f>
        <v>#N/A</v>
      </c>
      <c r="G884" t="str">
        <f>Elite!H57</f>
        <v/>
      </c>
    </row>
    <row r="885" spans="1:7" x14ac:dyDescent="0.25">
      <c r="A885">
        <f t="shared" si="18"/>
        <v>0</v>
      </c>
      <c r="B885" t="s">
        <v>2072</v>
      </c>
      <c r="C885">
        <f>Elite!C58</f>
        <v>0</v>
      </c>
      <c r="D885">
        <f>IF(Elite!H58="Pass",Elite!F58,0)</f>
        <v>0</v>
      </c>
      <c r="E885" s="2" t="str">
        <f>IF(Elite!B58="W","W","A")</f>
        <v>W</v>
      </c>
      <c r="F885" s="2" t="e">
        <f>VLOOKUP(JudgeD2CSL,Judges!$A$2:$B$44,2,FALSE)</f>
        <v>#N/A</v>
      </c>
      <c r="G885" t="str">
        <f>Elite!H58</f>
        <v/>
      </c>
    </row>
    <row r="886" spans="1:7" x14ac:dyDescent="0.25">
      <c r="A886">
        <f t="shared" si="18"/>
        <v>0</v>
      </c>
      <c r="B886" t="s">
        <v>2072</v>
      </c>
      <c r="C886">
        <f>Elite!C59</f>
        <v>0</v>
      </c>
      <c r="D886">
        <f>IF(Elite!H59="Pass",Elite!F59,0)</f>
        <v>0</v>
      </c>
      <c r="E886" s="2" t="str">
        <f>IF(Elite!B59="W","W","A")</f>
        <v>W</v>
      </c>
      <c r="F886" s="2" t="e">
        <f>VLOOKUP(JudgeD2CSL,Judges!$A$2:$B$44,2,FALSE)</f>
        <v>#N/A</v>
      </c>
      <c r="G886" t="str">
        <f>Elite!H59</f>
        <v/>
      </c>
    </row>
    <row r="887" spans="1:7" x14ac:dyDescent="0.25">
      <c r="A887">
        <f t="shared" si="18"/>
        <v>0</v>
      </c>
      <c r="B887" t="s">
        <v>2072</v>
      </c>
      <c r="C887">
        <f>Elite!C60</f>
        <v>0</v>
      </c>
      <c r="D887">
        <f>IF(Elite!H60="Pass",Elite!F60,0)</f>
        <v>0</v>
      </c>
      <c r="E887" s="2" t="str">
        <f>IF(Elite!B60="W","W","A")</f>
        <v>W</v>
      </c>
      <c r="F887" s="2" t="e">
        <f>VLOOKUP(JudgeD2CSL,Judges!$A$2:$B$44,2,FALSE)</f>
        <v>#N/A</v>
      </c>
      <c r="G887" t="str">
        <f>Elite!H60</f>
        <v/>
      </c>
    </row>
    <row r="888" spans="1:7" x14ac:dyDescent="0.25">
      <c r="A888">
        <f t="shared" si="18"/>
        <v>0</v>
      </c>
      <c r="B888" t="s">
        <v>2072</v>
      </c>
      <c r="C888">
        <f>Elite!C61</f>
        <v>0</v>
      </c>
      <c r="D888">
        <f>IF(Elite!H61="Pass",Elite!F61,0)</f>
        <v>0</v>
      </c>
      <c r="E888" s="2" t="str">
        <f>IF(Elite!B61="W","W","A")</f>
        <v>W</v>
      </c>
      <c r="F888" s="2" t="e">
        <f>VLOOKUP(JudgeD2CSL,Judges!$A$2:$B$44,2,FALSE)</f>
        <v>#N/A</v>
      </c>
      <c r="G888" t="str">
        <f>Elite!H61</f>
        <v/>
      </c>
    </row>
    <row r="889" spans="1:7" x14ac:dyDescent="0.25">
      <c r="A889">
        <f t="shared" si="18"/>
        <v>0</v>
      </c>
      <c r="B889" t="s">
        <v>2072</v>
      </c>
      <c r="C889">
        <f>Elite!C62</f>
        <v>0</v>
      </c>
      <c r="D889">
        <f>IF(Elite!H62="Pass",Elite!F62,0)</f>
        <v>0</v>
      </c>
      <c r="E889" s="2" t="str">
        <f>IF(Elite!B62="W","W","A")</f>
        <v>W</v>
      </c>
      <c r="F889" s="2" t="e">
        <f>VLOOKUP(JudgeD2CSL,Judges!$A$2:$B$44,2,FALSE)</f>
        <v>#N/A</v>
      </c>
      <c r="G889" t="str">
        <f>Elite!H62</f>
        <v/>
      </c>
    </row>
    <row r="890" spans="1:7" x14ac:dyDescent="0.25">
      <c r="A890">
        <f t="shared" si="18"/>
        <v>0</v>
      </c>
      <c r="B890" t="s">
        <v>2072</v>
      </c>
      <c r="C890">
        <f>Elite!C63</f>
        <v>0</v>
      </c>
      <c r="D890">
        <f>IF(Elite!H63="Pass",Elite!F63,0)</f>
        <v>0</v>
      </c>
      <c r="E890" s="2" t="str">
        <f>IF(Elite!B63="W","W","A")</f>
        <v>W</v>
      </c>
      <c r="F890" s="2" t="e">
        <f>VLOOKUP(JudgeD2CSL,Judges!$A$2:$B$44,2,FALSE)</f>
        <v>#N/A</v>
      </c>
      <c r="G890" t="str">
        <f>Elite!H63</f>
        <v/>
      </c>
    </row>
    <row r="891" spans="1:7" x14ac:dyDescent="0.25">
      <c r="A891">
        <f t="shared" si="18"/>
        <v>0</v>
      </c>
      <c r="B891" t="s">
        <v>2072</v>
      </c>
      <c r="C891">
        <f>Elite!C64</f>
        <v>0</v>
      </c>
      <c r="D891">
        <f>IF(Elite!H64="Pass",Elite!F64,0)</f>
        <v>0</v>
      </c>
      <c r="E891" s="2" t="str">
        <f>IF(Elite!B64="W","W","A")</f>
        <v>W</v>
      </c>
      <c r="F891" s="2" t="e">
        <f>VLOOKUP(JudgeD2CSL,Judges!$A$2:$B$44,2,FALSE)</f>
        <v>#N/A</v>
      </c>
      <c r="G891" t="str">
        <f>Elite!H64</f>
        <v/>
      </c>
    </row>
    <row r="892" spans="1:7" x14ac:dyDescent="0.25">
      <c r="A892">
        <f t="shared" si="18"/>
        <v>0</v>
      </c>
      <c r="B892" t="s">
        <v>2072</v>
      </c>
      <c r="C892">
        <f>Elite!C65</f>
        <v>0</v>
      </c>
      <c r="D892">
        <f>IF(Elite!H65="Pass",Elite!F65,0)</f>
        <v>0</v>
      </c>
      <c r="E892" s="2" t="str">
        <f>IF(Elite!B65="W","W","A")</f>
        <v>W</v>
      </c>
      <c r="F892" s="2" t="e">
        <f>VLOOKUP(JudgeD2CSL,Judges!$A$2:$B$44,2,FALSE)</f>
        <v>#N/A</v>
      </c>
      <c r="G892" t="str">
        <f>Elite!H65</f>
        <v/>
      </c>
    </row>
    <row r="893" spans="1:7" x14ac:dyDescent="0.25">
      <c r="A893">
        <f t="shared" si="18"/>
        <v>0</v>
      </c>
      <c r="B893" t="s">
        <v>2072</v>
      </c>
      <c r="C893">
        <f>Elite!C66</f>
        <v>0</v>
      </c>
      <c r="D893">
        <f>IF(Elite!H66="Pass",Elite!F66,0)</f>
        <v>0</v>
      </c>
      <c r="E893" s="2" t="str">
        <f>IF(Elite!B66="W","W","A")</f>
        <v>W</v>
      </c>
      <c r="F893" s="2" t="e">
        <f>VLOOKUP(JudgeD2CSL,Judges!$A$2:$B$44,2,FALSE)</f>
        <v>#N/A</v>
      </c>
      <c r="G893" t="str">
        <f>Elite!H66</f>
        <v/>
      </c>
    </row>
    <row r="894" spans="1:7" x14ac:dyDescent="0.25">
      <c r="A894">
        <f t="shared" si="18"/>
        <v>0</v>
      </c>
      <c r="B894" t="s">
        <v>2072</v>
      </c>
      <c r="C894">
        <f>Elite!C67</f>
        <v>0</v>
      </c>
      <c r="D894">
        <f>IF(Elite!H67="Pass",Elite!F67,0)</f>
        <v>0</v>
      </c>
      <c r="E894" s="2" t="str">
        <f>IF(Elite!B67="W","W","A")</f>
        <v>W</v>
      </c>
      <c r="F894" s="2" t="e">
        <f>VLOOKUP(JudgeD2CSL,Judges!$A$2:$B$44,2,FALSE)</f>
        <v>#N/A</v>
      </c>
      <c r="G894" t="str">
        <f>Elite!H67</f>
        <v/>
      </c>
    </row>
    <row r="895" spans="1:7" x14ac:dyDescent="0.25">
      <c r="A895">
        <f t="shared" si="18"/>
        <v>0</v>
      </c>
      <c r="B895" t="s">
        <v>2072</v>
      </c>
      <c r="C895">
        <f>Elite!C68</f>
        <v>0</v>
      </c>
      <c r="D895">
        <f>IF(Elite!H68="Pass",Elite!F68,0)</f>
        <v>0</v>
      </c>
      <c r="E895" s="2" t="str">
        <f>IF(Elite!B68="W","W","A")</f>
        <v>W</v>
      </c>
      <c r="F895" s="2" t="e">
        <f>VLOOKUP(JudgeD2CSL,Judges!$A$2:$B$44,2,FALSE)</f>
        <v>#N/A</v>
      </c>
      <c r="G895" t="str">
        <f>Elite!H68</f>
        <v/>
      </c>
    </row>
    <row r="896" spans="1:7" x14ac:dyDescent="0.25">
      <c r="A896">
        <f t="shared" si="18"/>
        <v>0</v>
      </c>
      <c r="B896" t="s">
        <v>2072</v>
      </c>
      <c r="C896">
        <f>Elite!C69</f>
        <v>0</v>
      </c>
      <c r="D896">
        <f>IF(Elite!H69="Pass",Elite!F69,0)</f>
        <v>0</v>
      </c>
      <c r="E896" s="2" t="str">
        <f>IF(Elite!B69="W","W","A")</f>
        <v>W</v>
      </c>
      <c r="F896" s="2" t="e">
        <f>VLOOKUP(JudgeD2CSL,Judges!$A$2:$B$44,2,FALSE)</f>
        <v>#N/A</v>
      </c>
      <c r="G896" t="str">
        <f>Elite!H69</f>
        <v/>
      </c>
    </row>
    <row r="897" spans="1:7" x14ac:dyDescent="0.25">
      <c r="A897">
        <f t="shared" si="18"/>
        <v>0</v>
      </c>
      <c r="B897" t="s">
        <v>2072</v>
      </c>
      <c r="C897">
        <f>Elite!C70</f>
        <v>0</v>
      </c>
      <c r="D897">
        <f>IF(Elite!H70="Pass",Elite!F70,0)</f>
        <v>0</v>
      </c>
      <c r="E897" s="2" t="str">
        <f>IF(Elite!B70="W","W","A")</f>
        <v>W</v>
      </c>
      <c r="F897" s="2" t="e">
        <f>VLOOKUP(JudgeD2CSL,Judges!$A$2:$B$44,2,FALSE)</f>
        <v>#N/A</v>
      </c>
      <c r="G897" t="str">
        <f>Elite!H70</f>
        <v/>
      </c>
    </row>
    <row r="898" spans="1:7" x14ac:dyDescent="0.25">
      <c r="A898">
        <f t="shared" si="18"/>
        <v>0</v>
      </c>
      <c r="B898" t="s">
        <v>2072</v>
      </c>
      <c r="C898">
        <f>Elite!C71</f>
        <v>0</v>
      </c>
      <c r="D898">
        <f>IF(Elite!H71="Pass",Elite!F71,0)</f>
        <v>0</v>
      </c>
      <c r="E898" s="2" t="str">
        <f>IF(Elite!B71="W","W","A")</f>
        <v>W</v>
      </c>
      <c r="F898" s="2" t="e">
        <f>VLOOKUP(JudgeD2CSL,Judges!$A$2:$B$44,2,FALSE)</f>
        <v>#N/A</v>
      </c>
      <c r="G898" t="str">
        <f>Elite!H71</f>
        <v/>
      </c>
    </row>
    <row r="899" spans="1:7" x14ac:dyDescent="0.25">
      <c r="A899">
        <f t="shared" si="18"/>
        <v>0</v>
      </c>
      <c r="B899" t="s">
        <v>2072</v>
      </c>
      <c r="C899">
        <f>Elite!C72</f>
        <v>0</v>
      </c>
      <c r="D899">
        <f>IF(Elite!H72="Pass",Elite!F72,0)</f>
        <v>0</v>
      </c>
      <c r="E899" s="2" t="str">
        <f>IF(Elite!B72="W","W","A")</f>
        <v>W</v>
      </c>
      <c r="F899" s="2" t="e">
        <f>VLOOKUP(JudgeD2CSL,Judges!$A$2:$B$44,2,FALSE)</f>
        <v>#N/A</v>
      </c>
      <c r="G899" t="str">
        <f>Elite!H72</f>
        <v/>
      </c>
    </row>
    <row r="900" spans="1:7" x14ac:dyDescent="0.25">
      <c r="A900">
        <f t="shared" si="18"/>
        <v>0</v>
      </c>
      <c r="B900" t="s">
        <v>2072</v>
      </c>
      <c r="C900">
        <f>Elite!C73</f>
        <v>0</v>
      </c>
      <c r="D900">
        <f>IF(Elite!H73="Pass",Elite!F73,0)</f>
        <v>0</v>
      </c>
      <c r="E900" s="2" t="str">
        <f>IF(Elite!B73="W","W","A")</f>
        <v>W</v>
      </c>
      <c r="F900" s="2" t="e">
        <f>VLOOKUP(JudgeD2CSL,Judges!$A$2:$B$44,2,FALSE)</f>
        <v>#N/A</v>
      </c>
      <c r="G900" t="str">
        <f>Elite!H73</f>
        <v/>
      </c>
    </row>
    <row r="901" spans="1:7" x14ac:dyDescent="0.25">
      <c r="A901">
        <f t="shared" si="18"/>
        <v>0</v>
      </c>
      <c r="B901" t="s">
        <v>2072</v>
      </c>
      <c r="C901">
        <f>Elite!C74</f>
        <v>0</v>
      </c>
      <c r="D901">
        <f>IF(Elite!H74="Pass",Elite!F74,0)</f>
        <v>0</v>
      </c>
      <c r="E901" s="2" t="str">
        <f>IF(Elite!B74="W","W","A")</f>
        <v>W</v>
      </c>
      <c r="F901" s="2" t="e">
        <f>VLOOKUP(JudgeD2CSL,Judges!$A$2:$B$44,2,FALSE)</f>
        <v>#N/A</v>
      </c>
      <c r="G901" t="str">
        <f>Elite!H74</f>
        <v/>
      </c>
    </row>
    <row r="902" spans="1:7" x14ac:dyDescent="0.25">
      <c r="A902">
        <f t="shared" si="18"/>
        <v>0</v>
      </c>
      <c r="B902" t="s">
        <v>2073</v>
      </c>
      <c r="C902">
        <f>Elite!C45</f>
        <v>0</v>
      </c>
      <c r="D902">
        <f>IF(Elite!P45="Pass",Elite!N45,0)</f>
        <v>0</v>
      </c>
      <c r="E902" s="2" t="str">
        <f>IF(Elite!B45="W","W","A")</f>
        <v>W</v>
      </c>
      <c r="F902" s="2" t="e">
        <f>VLOOKUP(JudgeD2ISL,Judges!$A$2:$B$44,2,FALSE)</f>
        <v>#N/A</v>
      </c>
      <c r="G902" t="str">
        <f>Elite!P45</f>
        <v/>
      </c>
    </row>
    <row r="903" spans="1:7" x14ac:dyDescent="0.25">
      <c r="A903">
        <f t="shared" si="18"/>
        <v>0</v>
      </c>
      <c r="B903" t="s">
        <v>2073</v>
      </c>
      <c r="C903">
        <f>Elite!C46</f>
        <v>0</v>
      </c>
      <c r="D903">
        <f>IF(Elite!P46="Pass",Elite!N46,0)</f>
        <v>0</v>
      </c>
      <c r="E903" s="2" t="str">
        <f>IF(Elite!B46="W","W","A")</f>
        <v>W</v>
      </c>
      <c r="F903" s="2" t="e">
        <f>VLOOKUP(JudgeD2ISL,Judges!$A$2:$B$44,2,FALSE)</f>
        <v>#N/A</v>
      </c>
      <c r="G903" t="str">
        <f>Elite!P46</f>
        <v/>
      </c>
    </row>
    <row r="904" spans="1:7" x14ac:dyDescent="0.25">
      <c r="A904">
        <f t="shared" ref="A904:A935" si="19">TrialNumberDay2</f>
        <v>0</v>
      </c>
      <c r="B904" t="s">
        <v>2073</v>
      </c>
      <c r="C904">
        <f>Elite!C47</f>
        <v>0</v>
      </c>
      <c r="D904">
        <f>IF(Elite!P47="Pass",Elite!N47,0)</f>
        <v>0</v>
      </c>
      <c r="E904" s="2" t="str">
        <f>IF(Elite!B47="W","W","A")</f>
        <v>W</v>
      </c>
      <c r="F904" s="2" t="e">
        <f>VLOOKUP(JudgeD2ISL,Judges!$A$2:$B$44,2,FALSE)</f>
        <v>#N/A</v>
      </c>
      <c r="G904" t="str">
        <f>Elite!P47</f>
        <v/>
      </c>
    </row>
    <row r="905" spans="1:7" x14ac:dyDescent="0.25">
      <c r="A905">
        <f t="shared" si="19"/>
        <v>0</v>
      </c>
      <c r="B905" t="s">
        <v>2073</v>
      </c>
      <c r="C905">
        <f>Elite!C48</f>
        <v>0</v>
      </c>
      <c r="D905">
        <f>IF(Elite!P48="Pass",Elite!N48,0)</f>
        <v>0</v>
      </c>
      <c r="E905" s="2" t="str">
        <f>IF(Elite!B48="W","W","A")</f>
        <v>W</v>
      </c>
      <c r="F905" s="2" t="e">
        <f>VLOOKUP(JudgeD2ISL,Judges!$A$2:$B$44,2,FALSE)</f>
        <v>#N/A</v>
      </c>
      <c r="G905" t="str">
        <f>Elite!P48</f>
        <v/>
      </c>
    </row>
    <row r="906" spans="1:7" x14ac:dyDescent="0.25">
      <c r="A906">
        <f t="shared" si="19"/>
        <v>0</v>
      </c>
      <c r="B906" t="s">
        <v>2073</v>
      </c>
      <c r="C906">
        <f>Elite!C49</f>
        <v>0</v>
      </c>
      <c r="D906">
        <f>IF(Elite!P49="Pass",Elite!N49,0)</f>
        <v>0</v>
      </c>
      <c r="E906" s="2" t="str">
        <f>IF(Elite!B49="W","W","A")</f>
        <v>W</v>
      </c>
      <c r="F906" s="2" t="e">
        <f>VLOOKUP(JudgeD2ISL,Judges!$A$2:$B$44,2,FALSE)</f>
        <v>#N/A</v>
      </c>
      <c r="G906" t="str">
        <f>Elite!P49</f>
        <v/>
      </c>
    </row>
    <row r="907" spans="1:7" x14ac:dyDescent="0.25">
      <c r="A907">
        <f t="shared" si="19"/>
        <v>0</v>
      </c>
      <c r="B907" t="s">
        <v>2073</v>
      </c>
      <c r="C907">
        <f>Elite!C50</f>
        <v>0</v>
      </c>
      <c r="D907">
        <f>IF(Elite!P50="Pass",Elite!N50,0)</f>
        <v>0</v>
      </c>
      <c r="E907" s="2" t="str">
        <f>IF(Elite!B50="W","W","A")</f>
        <v>W</v>
      </c>
      <c r="F907" s="2" t="e">
        <f>VLOOKUP(JudgeD2ISL,Judges!$A$2:$B$44,2,FALSE)</f>
        <v>#N/A</v>
      </c>
      <c r="G907" t="str">
        <f>Elite!P50</f>
        <v/>
      </c>
    </row>
    <row r="908" spans="1:7" x14ac:dyDescent="0.25">
      <c r="A908">
        <f t="shared" si="19"/>
        <v>0</v>
      </c>
      <c r="B908" t="s">
        <v>2073</v>
      </c>
      <c r="C908">
        <f>Elite!C51</f>
        <v>0</v>
      </c>
      <c r="D908">
        <f>IF(Elite!P51="Pass",Elite!N51,0)</f>
        <v>0</v>
      </c>
      <c r="E908" s="2" t="str">
        <f>IF(Elite!B51="W","W","A")</f>
        <v>W</v>
      </c>
      <c r="F908" s="2" t="e">
        <f>VLOOKUP(JudgeD2ISL,Judges!$A$2:$B$44,2,FALSE)</f>
        <v>#N/A</v>
      </c>
      <c r="G908" t="str">
        <f>Elite!P51</f>
        <v/>
      </c>
    </row>
    <row r="909" spans="1:7" x14ac:dyDescent="0.25">
      <c r="A909">
        <f t="shared" si="19"/>
        <v>0</v>
      </c>
      <c r="B909" t="s">
        <v>2073</v>
      </c>
      <c r="C909">
        <f>Elite!C52</f>
        <v>0</v>
      </c>
      <c r="D909">
        <f>IF(Elite!P52="Pass",Elite!N52,0)</f>
        <v>0</v>
      </c>
      <c r="E909" s="2" t="str">
        <f>IF(Elite!B52="W","W","A")</f>
        <v>W</v>
      </c>
      <c r="F909" s="2" t="e">
        <f>VLOOKUP(JudgeD2ISL,Judges!$A$2:$B$44,2,FALSE)</f>
        <v>#N/A</v>
      </c>
      <c r="G909" t="str">
        <f>Elite!P52</f>
        <v/>
      </c>
    </row>
    <row r="910" spans="1:7" x14ac:dyDescent="0.25">
      <c r="A910">
        <f t="shared" si="19"/>
        <v>0</v>
      </c>
      <c r="B910" t="s">
        <v>2073</v>
      </c>
      <c r="C910">
        <f>Elite!C53</f>
        <v>0</v>
      </c>
      <c r="D910">
        <f>IF(Elite!P53="Pass",Elite!N53,0)</f>
        <v>0</v>
      </c>
      <c r="E910" s="2" t="str">
        <f>IF(Elite!B53="W","W","A")</f>
        <v>W</v>
      </c>
      <c r="F910" s="2" t="e">
        <f>VLOOKUP(JudgeD2ISL,Judges!$A$2:$B$44,2,FALSE)</f>
        <v>#N/A</v>
      </c>
      <c r="G910" t="str">
        <f>Elite!P53</f>
        <v/>
      </c>
    </row>
    <row r="911" spans="1:7" x14ac:dyDescent="0.25">
      <c r="A911">
        <f t="shared" si="19"/>
        <v>0</v>
      </c>
      <c r="B911" t="s">
        <v>2073</v>
      </c>
      <c r="C911">
        <f>Elite!C54</f>
        <v>0</v>
      </c>
      <c r="D911">
        <f>IF(Elite!P54="Pass",Elite!N54,0)</f>
        <v>0</v>
      </c>
      <c r="E911" s="2" t="str">
        <f>IF(Elite!B54="W","W","A")</f>
        <v>W</v>
      </c>
      <c r="F911" s="2" t="e">
        <f>VLOOKUP(JudgeD2ISL,Judges!$A$2:$B$44,2,FALSE)</f>
        <v>#N/A</v>
      </c>
      <c r="G911" t="str">
        <f>Elite!P54</f>
        <v/>
      </c>
    </row>
    <row r="912" spans="1:7" x14ac:dyDescent="0.25">
      <c r="A912">
        <f t="shared" si="19"/>
        <v>0</v>
      </c>
      <c r="B912" t="s">
        <v>2073</v>
      </c>
      <c r="C912">
        <f>Elite!C55</f>
        <v>0</v>
      </c>
      <c r="D912">
        <f>IF(Elite!P55="Pass",Elite!N55,0)</f>
        <v>0</v>
      </c>
      <c r="E912" s="2" t="str">
        <f>IF(Elite!B55="W","W","A")</f>
        <v>W</v>
      </c>
      <c r="F912" s="2" t="e">
        <f>VLOOKUP(JudgeD2ISL,Judges!$A$2:$B$44,2,FALSE)</f>
        <v>#N/A</v>
      </c>
      <c r="G912" t="str">
        <f>Elite!P55</f>
        <v/>
      </c>
    </row>
    <row r="913" spans="1:7" x14ac:dyDescent="0.25">
      <c r="A913">
        <f t="shared" si="19"/>
        <v>0</v>
      </c>
      <c r="B913" t="s">
        <v>2073</v>
      </c>
      <c r="C913">
        <f>Elite!C56</f>
        <v>0</v>
      </c>
      <c r="D913">
        <f>IF(Elite!P56="Pass",Elite!N56,0)</f>
        <v>0</v>
      </c>
      <c r="E913" s="2" t="str">
        <f>IF(Elite!B56="W","W","A")</f>
        <v>W</v>
      </c>
      <c r="F913" s="2" t="e">
        <f>VLOOKUP(JudgeD2ISL,Judges!$A$2:$B$44,2,FALSE)</f>
        <v>#N/A</v>
      </c>
      <c r="G913" t="str">
        <f>Elite!P56</f>
        <v/>
      </c>
    </row>
    <row r="914" spans="1:7" x14ac:dyDescent="0.25">
      <c r="A914">
        <f t="shared" si="19"/>
        <v>0</v>
      </c>
      <c r="B914" t="s">
        <v>2073</v>
      </c>
      <c r="C914">
        <f>Elite!C57</f>
        <v>0</v>
      </c>
      <c r="D914">
        <f>IF(Elite!P57="Pass",Elite!N57,0)</f>
        <v>0</v>
      </c>
      <c r="E914" s="2" t="str">
        <f>IF(Elite!B57="W","W","A")</f>
        <v>W</v>
      </c>
      <c r="F914" s="2" t="e">
        <f>VLOOKUP(JudgeD2ISL,Judges!$A$2:$B$44,2,FALSE)</f>
        <v>#N/A</v>
      </c>
      <c r="G914" t="str">
        <f>Elite!P57</f>
        <v/>
      </c>
    </row>
    <row r="915" spans="1:7" x14ac:dyDescent="0.25">
      <c r="A915">
        <f t="shared" si="19"/>
        <v>0</v>
      </c>
      <c r="B915" t="s">
        <v>2073</v>
      </c>
      <c r="C915">
        <f>Elite!C58</f>
        <v>0</v>
      </c>
      <c r="D915">
        <f>IF(Elite!P58="Pass",Elite!N58,0)</f>
        <v>0</v>
      </c>
      <c r="E915" s="2" t="str">
        <f>IF(Elite!B58="W","W","A")</f>
        <v>W</v>
      </c>
      <c r="F915" s="2" t="e">
        <f>VLOOKUP(JudgeD2ISL,Judges!$A$2:$B$44,2,FALSE)</f>
        <v>#N/A</v>
      </c>
      <c r="G915" t="str">
        <f>Elite!P58</f>
        <v/>
      </c>
    </row>
    <row r="916" spans="1:7" x14ac:dyDescent="0.25">
      <c r="A916">
        <f t="shared" si="19"/>
        <v>0</v>
      </c>
      <c r="B916" t="s">
        <v>2073</v>
      </c>
      <c r="C916">
        <f>Elite!C59</f>
        <v>0</v>
      </c>
      <c r="D916">
        <f>IF(Elite!P59="Pass",Elite!N59,0)</f>
        <v>0</v>
      </c>
      <c r="E916" s="2" t="str">
        <f>IF(Elite!B59="W","W","A")</f>
        <v>W</v>
      </c>
      <c r="F916" s="2" t="e">
        <f>VLOOKUP(JudgeD2ISL,Judges!$A$2:$B$44,2,FALSE)</f>
        <v>#N/A</v>
      </c>
      <c r="G916" t="str">
        <f>Elite!P59</f>
        <v/>
      </c>
    </row>
    <row r="917" spans="1:7" x14ac:dyDescent="0.25">
      <c r="A917">
        <f t="shared" si="19"/>
        <v>0</v>
      </c>
      <c r="B917" t="s">
        <v>2073</v>
      </c>
      <c r="C917">
        <f>Elite!C60</f>
        <v>0</v>
      </c>
      <c r="D917">
        <f>IF(Elite!P60="Pass",Elite!N60,0)</f>
        <v>0</v>
      </c>
      <c r="E917" s="2" t="str">
        <f>IF(Elite!B60="W","W","A")</f>
        <v>W</v>
      </c>
      <c r="F917" s="2" t="e">
        <f>VLOOKUP(JudgeD2ISL,Judges!$A$2:$B$44,2,FALSE)</f>
        <v>#N/A</v>
      </c>
      <c r="G917" t="str">
        <f>Elite!P60</f>
        <v/>
      </c>
    </row>
    <row r="918" spans="1:7" x14ac:dyDescent="0.25">
      <c r="A918">
        <f t="shared" si="19"/>
        <v>0</v>
      </c>
      <c r="B918" t="s">
        <v>2073</v>
      </c>
      <c r="C918">
        <f>Elite!C61</f>
        <v>0</v>
      </c>
      <c r="D918">
        <f>IF(Elite!P61="Pass",Elite!N61,0)</f>
        <v>0</v>
      </c>
      <c r="E918" s="2" t="str">
        <f>IF(Elite!B61="W","W","A")</f>
        <v>W</v>
      </c>
      <c r="F918" s="2" t="e">
        <f>VLOOKUP(JudgeD2ISL,Judges!$A$2:$B$44,2,FALSE)</f>
        <v>#N/A</v>
      </c>
      <c r="G918" t="str">
        <f>Elite!P61</f>
        <v/>
      </c>
    </row>
    <row r="919" spans="1:7" x14ac:dyDescent="0.25">
      <c r="A919">
        <f t="shared" si="19"/>
        <v>0</v>
      </c>
      <c r="B919" t="s">
        <v>2073</v>
      </c>
      <c r="C919">
        <f>Elite!C62</f>
        <v>0</v>
      </c>
      <c r="D919">
        <f>IF(Elite!P62="Pass",Elite!N62,0)</f>
        <v>0</v>
      </c>
      <c r="E919" s="2" t="str">
        <f>IF(Elite!B62="W","W","A")</f>
        <v>W</v>
      </c>
      <c r="F919" s="2" t="e">
        <f>VLOOKUP(JudgeD2ISL,Judges!$A$2:$B$44,2,FALSE)</f>
        <v>#N/A</v>
      </c>
      <c r="G919" t="str">
        <f>Elite!P62</f>
        <v/>
      </c>
    </row>
    <row r="920" spans="1:7" x14ac:dyDescent="0.25">
      <c r="A920">
        <f t="shared" si="19"/>
        <v>0</v>
      </c>
      <c r="B920" t="s">
        <v>2073</v>
      </c>
      <c r="C920">
        <f>Elite!C63</f>
        <v>0</v>
      </c>
      <c r="D920">
        <f>IF(Elite!P63="Pass",Elite!N63,0)</f>
        <v>0</v>
      </c>
      <c r="E920" s="2" t="str">
        <f>IF(Elite!B63="W","W","A")</f>
        <v>W</v>
      </c>
      <c r="F920" s="2" t="e">
        <f>VLOOKUP(JudgeD2ISL,Judges!$A$2:$B$44,2,FALSE)</f>
        <v>#N/A</v>
      </c>
      <c r="G920" t="str">
        <f>Elite!P63</f>
        <v/>
      </c>
    </row>
    <row r="921" spans="1:7" x14ac:dyDescent="0.25">
      <c r="A921">
        <f t="shared" si="19"/>
        <v>0</v>
      </c>
      <c r="B921" t="s">
        <v>2073</v>
      </c>
      <c r="C921">
        <f>Elite!C64</f>
        <v>0</v>
      </c>
      <c r="D921">
        <f>IF(Elite!P64="Pass",Elite!N64,0)</f>
        <v>0</v>
      </c>
      <c r="E921" s="2" t="str">
        <f>IF(Elite!B64="W","W","A")</f>
        <v>W</v>
      </c>
      <c r="F921" s="2" t="e">
        <f>VLOOKUP(JudgeD2ISL,Judges!$A$2:$B$44,2,FALSE)</f>
        <v>#N/A</v>
      </c>
      <c r="G921" t="str">
        <f>Elite!P64</f>
        <v/>
      </c>
    </row>
    <row r="922" spans="1:7" x14ac:dyDescent="0.25">
      <c r="A922">
        <f t="shared" si="19"/>
        <v>0</v>
      </c>
      <c r="B922" t="s">
        <v>2073</v>
      </c>
      <c r="C922">
        <f>Elite!C65</f>
        <v>0</v>
      </c>
      <c r="D922">
        <f>IF(Elite!P65="Pass",Elite!N65,0)</f>
        <v>0</v>
      </c>
      <c r="E922" s="2" t="str">
        <f>IF(Elite!B65="W","W","A")</f>
        <v>W</v>
      </c>
      <c r="F922" s="2" t="e">
        <f>VLOOKUP(JudgeD2ISL,Judges!$A$2:$B$44,2,FALSE)</f>
        <v>#N/A</v>
      </c>
      <c r="G922" t="str">
        <f>Elite!P65</f>
        <v/>
      </c>
    </row>
    <row r="923" spans="1:7" x14ac:dyDescent="0.25">
      <c r="A923">
        <f t="shared" si="19"/>
        <v>0</v>
      </c>
      <c r="B923" t="s">
        <v>2073</v>
      </c>
      <c r="C923">
        <f>Elite!C66</f>
        <v>0</v>
      </c>
      <c r="D923">
        <f>IF(Elite!P66="Pass",Elite!N66,0)</f>
        <v>0</v>
      </c>
      <c r="E923" s="2" t="str">
        <f>IF(Elite!B66="W","W","A")</f>
        <v>W</v>
      </c>
      <c r="F923" s="2" t="e">
        <f>VLOOKUP(JudgeD2ISL,Judges!$A$2:$B$44,2,FALSE)</f>
        <v>#N/A</v>
      </c>
      <c r="G923" t="str">
        <f>Elite!P66</f>
        <v/>
      </c>
    </row>
    <row r="924" spans="1:7" x14ac:dyDescent="0.25">
      <c r="A924">
        <f t="shared" si="19"/>
        <v>0</v>
      </c>
      <c r="B924" t="s">
        <v>2073</v>
      </c>
      <c r="C924">
        <f>Elite!C67</f>
        <v>0</v>
      </c>
      <c r="D924">
        <f>IF(Elite!P67="Pass",Elite!N67,0)</f>
        <v>0</v>
      </c>
      <c r="E924" s="2" t="str">
        <f>IF(Elite!B67="W","W","A")</f>
        <v>W</v>
      </c>
      <c r="F924" s="2" t="e">
        <f>VLOOKUP(JudgeD2ISL,Judges!$A$2:$B$44,2,FALSE)</f>
        <v>#N/A</v>
      </c>
      <c r="G924" t="str">
        <f>Elite!P67</f>
        <v/>
      </c>
    </row>
    <row r="925" spans="1:7" x14ac:dyDescent="0.25">
      <c r="A925">
        <f t="shared" si="19"/>
        <v>0</v>
      </c>
      <c r="B925" t="s">
        <v>2073</v>
      </c>
      <c r="C925">
        <f>Elite!C68</f>
        <v>0</v>
      </c>
      <c r="D925">
        <f>IF(Elite!P68="Pass",Elite!N68,0)</f>
        <v>0</v>
      </c>
      <c r="E925" s="2" t="str">
        <f>IF(Elite!B68="W","W","A")</f>
        <v>W</v>
      </c>
      <c r="F925" s="2" t="e">
        <f>VLOOKUP(JudgeD2ISL,Judges!$A$2:$B$44,2,FALSE)</f>
        <v>#N/A</v>
      </c>
      <c r="G925" t="str">
        <f>Elite!P68</f>
        <v/>
      </c>
    </row>
    <row r="926" spans="1:7" x14ac:dyDescent="0.25">
      <c r="A926">
        <f t="shared" si="19"/>
        <v>0</v>
      </c>
      <c r="B926" t="s">
        <v>2073</v>
      </c>
      <c r="C926">
        <f>Elite!C69</f>
        <v>0</v>
      </c>
      <c r="D926">
        <f>IF(Elite!P69="Pass",Elite!N69,0)</f>
        <v>0</v>
      </c>
      <c r="E926" s="2" t="str">
        <f>IF(Elite!B69="W","W","A")</f>
        <v>W</v>
      </c>
      <c r="F926" s="2" t="e">
        <f>VLOOKUP(JudgeD2ISL,Judges!$A$2:$B$44,2,FALSE)</f>
        <v>#N/A</v>
      </c>
      <c r="G926" t="str">
        <f>Elite!P69</f>
        <v/>
      </c>
    </row>
    <row r="927" spans="1:7" x14ac:dyDescent="0.25">
      <c r="A927">
        <f t="shared" si="19"/>
        <v>0</v>
      </c>
      <c r="B927" t="s">
        <v>2073</v>
      </c>
      <c r="C927">
        <f>Elite!C70</f>
        <v>0</v>
      </c>
      <c r="D927">
        <f>IF(Elite!P70="Pass",Elite!N70,0)</f>
        <v>0</v>
      </c>
      <c r="E927" s="2" t="str">
        <f>IF(Elite!B70="W","W","A")</f>
        <v>W</v>
      </c>
      <c r="F927" s="2" t="e">
        <f>VLOOKUP(JudgeD2ISL,Judges!$A$2:$B$44,2,FALSE)</f>
        <v>#N/A</v>
      </c>
      <c r="G927" t="str">
        <f>Elite!P70</f>
        <v/>
      </c>
    </row>
    <row r="928" spans="1:7" x14ac:dyDescent="0.25">
      <c r="A928">
        <f t="shared" si="19"/>
        <v>0</v>
      </c>
      <c r="B928" t="s">
        <v>2073</v>
      </c>
      <c r="C928">
        <f>Elite!C71</f>
        <v>0</v>
      </c>
      <c r="D928">
        <f>IF(Elite!P71="Pass",Elite!N71,0)</f>
        <v>0</v>
      </c>
      <c r="E928" s="2" t="str">
        <f>IF(Elite!B71="W","W","A")</f>
        <v>W</v>
      </c>
      <c r="F928" s="2" t="e">
        <f>VLOOKUP(JudgeD2ISL,Judges!$A$2:$B$44,2,FALSE)</f>
        <v>#N/A</v>
      </c>
      <c r="G928" t="str">
        <f>Elite!P71</f>
        <v/>
      </c>
    </row>
    <row r="929" spans="1:7" x14ac:dyDescent="0.25">
      <c r="A929">
        <f t="shared" si="19"/>
        <v>0</v>
      </c>
      <c r="B929" t="s">
        <v>2073</v>
      </c>
      <c r="C929">
        <f>Elite!C72</f>
        <v>0</v>
      </c>
      <c r="D929">
        <f>IF(Elite!P72="Pass",Elite!N72,0)</f>
        <v>0</v>
      </c>
      <c r="E929" s="2" t="str">
        <f>IF(Elite!B72="W","W","A")</f>
        <v>W</v>
      </c>
      <c r="F929" s="2" t="e">
        <f>VLOOKUP(JudgeD2ISL,Judges!$A$2:$B$44,2,FALSE)</f>
        <v>#N/A</v>
      </c>
      <c r="G929" t="str">
        <f>Elite!P72</f>
        <v/>
      </c>
    </row>
    <row r="930" spans="1:7" x14ac:dyDescent="0.25">
      <c r="A930">
        <f t="shared" si="19"/>
        <v>0</v>
      </c>
      <c r="B930" t="s">
        <v>2073</v>
      </c>
      <c r="C930">
        <f>Elite!C73</f>
        <v>0</v>
      </c>
      <c r="D930">
        <f>IF(Elite!P73="Pass",Elite!N73,0)</f>
        <v>0</v>
      </c>
      <c r="E930" s="2" t="str">
        <f>IF(Elite!B73="W","W","A")</f>
        <v>W</v>
      </c>
      <c r="F930" s="2" t="e">
        <f>VLOOKUP(JudgeD2ISL,Judges!$A$2:$B$44,2,FALSE)</f>
        <v>#N/A</v>
      </c>
      <c r="G930" t="str">
        <f>Elite!P73</f>
        <v/>
      </c>
    </row>
    <row r="931" spans="1:7" x14ac:dyDescent="0.25">
      <c r="A931">
        <f t="shared" si="19"/>
        <v>0</v>
      </c>
      <c r="B931" t="s">
        <v>2073</v>
      </c>
      <c r="C931">
        <f>Elite!C74</f>
        <v>0</v>
      </c>
      <c r="D931">
        <f>IF(Elite!P74="Pass",Elite!N74,0)</f>
        <v>0</v>
      </c>
      <c r="E931" s="2" t="str">
        <f>IF(Elite!B74="W","W","A")</f>
        <v>W</v>
      </c>
      <c r="F931" s="2" t="e">
        <f>VLOOKUP(JudgeD2ISL,Judges!$A$2:$B$44,2,FALSE)</f>
        <v>#N/A</v>
      </c>
      <c r="G931" t="str">
        <f>Elite!P74</f>
        <v/>
      </c>
    </row>
    <row r="932" spans="1:7" x14ac:dyDescent="0.25">
      <c r="A932">
        <f t="shared" si="19"/>
        <v>0</v>
      </c>
      <c r="B932" t="s">
        <v>2074</v>
      </c>
      <c r="C932">
        <f>Elite!C45</f>
        <v>0</v>
      </c>
      <c r="D932">
        <f>IF(Elite!X45="Pass",Elite!V45,0)</f>
        <v>0</v>
      </c>
      <c r="E932" s="2" t="str">
        <f>IF(Elite!B45="W","W","A")</f>
        <v>W</v>
      </c>
      <c r="F932" s="2" t="e">
        <f>VLOOKUP(JudgeD2ESL,Judges!$A$2:$B$44,2,FALSE)</f>
        <v>#N/A</v>
      </c>
      <c r="G932" t="str">
        <f>Elite!X45</f>
        <v/>
      </c>
    </row>
    <row r="933" spans="1:7" x14ac:dyDescent="0.25">
      <c r="A933">
        <f t="shared" si="19"/>
        <v>0</v>
      </c>
      <c r="B933" t="s">
        <v>2074</v>
      </c>
      <c r="C933">
        <f>Elite!C46</f>
        <v>0</v>
      </c>
      <c r="D933">
        <f>IF(Elite!X46="Pass",Elite!V46,0)</f>
        <v>0</v>
      </c>
      <c r="E933" s="2" t="str">
        <f>IF(Elite!B46="W","W","A")</f>
        <v>W</v>
      </c>
      <c r="F933" s="2" t="e">
        <f>VLOOKUP(JudgeD2ESL,Judges!$A$2:$B$44,2,FALSE)</f>
        <v>#N/A</v>
      </c>
      <c r="G933" t="str">
        <f>Elite!X46</f>
        <v/>
      </c>
    </row>
    <row r="934" spans="1:7" x14ac:dyDescent="0.25">
      <c r="A934">
        <f t="shared" si="19"/>
        <v>0</v>
      </c>
      <c r="B934" t="s">
        <v>2074</v>
      </c>
      <c r="C934">
        <f>Elite!C47</f>
        <v>0</v>
      </c>
      <c r="D934">
        <f>IF(Elite!X47="Pass",Elite!V47,0)</f>
        <v>0</v>
      </c>
      <c r="E934" s="2" t="str">
        <f>IF(Elite!B47="W","W","A")</f>
        <v>W</v>
      </c>
      <c r="F934" s="2" t="e">
        <f>VLOOKUP(JudgeD2ESL,Judges!$A$2:$B$44,2,FALSE)</f>
        <v>#N/A</v>
      </c>
      <c r="G934" t="str">
        <f>Elite!X47</f>
        <v/>
      </c>
    </row>
    <row r="935" spans="1:7" x14ac:dyDescent="0.25">
      <c r="A935">
        <f t="shared" si="19"/>
        <v>0</v>
      </c>
      <c r="B935" t="s">
        <v>2074</v>
      </c>
      <c r="C935">
        <f>Elite!C48</f>
        <v>0</v>
      </c>
      <c r="D935">
        <f>IF(Elite!X48="Pass",Elite!V48,0)</f>
        <v>0</v>
      </c>
      <c r="E935" s="2" t="str">
        <f>IF(Elite!B48="W","W","A")</f>
        <v>W</v>
      </c>
      <c r="F935" s="2" t="e">
        <f>VLOOKUP(JudgeD2ESL,Judges!$A$2:$B$44,2,FALSE)</f>
        <v>#N/A</v>
      </c>
      <c r="G935" t="str">
        <f>Elite!X48</f>
        <v/>
      </c>
    </row>
    <row r="936" spans="1:7" x14ac:dyDescent="0.25">
      <c r="A936">
        <f t="shared" ref="A936:A961" si="20">TrialNumberDay2</f>
        <v>0</v>
      </c>
      <c r="B936" t="s">
        <v>2074</v>
      </c>
      <c r="C936">
        <f>Elite!C49</f>
        <v>0</v>
      </c>
      <c r="D936">
        <f>IF(Elite!X49="Pass",Elite!V49,0)</f>
        <v>0</v>
      </c>
      <c r="E936" s="2" t="str">
        <f>IF(Elite!B49="W","W","A")</f>
        <v>W</v>
      </c>
      <c r="F936" s="2" t="e">
        <f>VLOOKUP(JudgeD2ESL,Judges!$A$2:$B$44,2,FALSE)</f>
        <v>#N/A</v>
      </c>
      <c r="G936" t="str">
        <f>Elite!X49</f>
        <v/>
      </c>
    </row>
    <row r="937" spans="1:7" x14ac:dyDescent="0.25">
      <c r="A937">
        <f t="shared" si="20"/>
        <v>0</v>
      </c>
      <c r="B937" t="s">
        <v>2074</v>
      </c>
      <c r="C937">
        <f>Elite!C50</f>
        <v>0</v>
      </c>
      <c r="D937">
        <f>IF(Elite!X50="Pass",Elite!V50,0)</f>
        <v>0</v>
      </c>
      <c r="E937" s="2" t="str">
        <f>IF(Elite!B50="W","W","A")</f>
        <v>W</v>
      </c>
      <c r="F937" s="2" t="e">
        <f>VLOOKUP(JudgeD2ESL,Judges!$A$2:$B$44,2,FALSE)</f>
        <v>#N/A</v>
      </c>
      <c r="G937" t="str">
        <f>Elite!X50</f>
        <v/>
      </c>
    </row>
    <row r="938" spans="1:7" x14ac:dyDescent="0.25">
      <c r="A938">
        <f t="shared" si="20"/>
        <v>0</v>
      </c>
      <c r="B938" t="s">
        <v>2074</v>
      </c>
      <c r="C938">
        <f>Elite!C51</f>
        <v>0</v>
      </c>
      <c r="D938">
        <f>IF(Elite!X51="Pass",Elite!V51,0)</f>
        <v>0</v>
      </c>
      <c r="E938" s="2" t="str">
        <f>IF(Elite!B51="W","W","A")</f>
        <v>W</v>
      </c>
      <c r="F938" s="2" t="e">
        <f>VLOOKUP(JudgeD2ESL,Judges!$A$2:$B$44,2,FALSE)</f>
        <v>#N/A</v>
      </c>
      <c r="G938" t="str">
        <f>Elite!X51</f>
        <v/>
      </c>
    </row>
    <row r="939" spans="1:7" x14ac:dyDescent="0.25">
      <c r="A939">
        <f t="shared" si="20"/>
        <v>0</v>
      </c>
      <c r="B939" t="s">
        <v>2074</v>
      </c>
      <c r="C939">
        <f>Elite!C52</f>
        <v>0</v>
      </c>
      <c r="D939">
        <f>IF(Elite!X52="Pass",Elite!V52,0)</f>
        <v>0</v>
      </c>
      <c r="E939" s="2" t="str">
        <f>IF(Elite!B52="W","W","A")</f>
        <v>W</v>
      </c>
      <c r="F939" s="2" t="e">
        <f>VLOOKUP(JudgeD2ESL,Judges!$A$2:$B$44,2,FALSE)</f>
        <v>#N/A</v>
      </c>
      <c r="G939" t="str">
        <f>Elite!X52</f>
        <v/>
      </c>
    </row>
    <row r="940" spans="1:7" x14ac:dyDescent="0.25">
      <c r="A940">
        <f t="shared" si="20"/>
        <v>0</v>
      </c>
      <c r="B940" t="s">
        <v>2074</v>
      </c>
      <c r="C940">
        <f>Elite!C53</f>
        <v>0</v>
      </c>
      <c r="D940">
        <f>IF(Elite!X53="Pass",Elite!V53,0)</f>
        <v>0</v>
      </c>
      <c r="E940" s="2" t="str">
        <f>IF(Elite!B53="W","W","A")</f>
        <v>W</v>
      </c>
      <c r="F940" s="2" t="e">
        <f>VLOOKUP(JudgeD2ESL,Judges!$A$2:$B$44,2,FALSE)</f>
        <v>#N/A</v>
      </c>
      <c r="G940" t="str">
        <f>Elite!X53</f>
        <v/>
      </c>
    </row>
    <row r="941" spans="1:7" x14ac:dyDescent="0.25">
      <c r="A941">
        <f t="shared" si="20"/>
        <v>0</v>
      </c>
      <c r="B941" t="s">
        <v>2074</v>
      </c>
      <c r="C941">
        <f>Elite!C54</f>
        <v>0</v>
      </c>
      <c r="D941">
        <f>IF(Elite!X54="Pass",Elite!V54,0)</f>
        <v>0</v>
      </c>
      <c r="E941" s="2" t="str">
        <f>IF(Elite!B54="W","W","A")</f>
        <v>W</v>
      </c>
      <c r="F941" s="2" t="e">
        <f>VLOOKUP(JudgeD2ESL,Judges!$A$2:$B$44,2,FALSE)</f>
        <v>#N/A</v>
      </c>
      <c r="G941" t="str">
        <f>Elite!X54</f>
        <v/>
      </c>
    </row>
    <row r="942" spans="1:7" x14ac:dyDescent="0.25">
      <c r="A942">
        <f t="shared" si="20"/>
        <v>0</v>
      </c>
      <c r="B942" t="s">
        <v>2074</v>
      </c>
      <c r="C942">
        <f>Elite!C55</f>
        <v>0</v>
      </c>
      <c r="D942">
        <f>IF(Elite!X55="Pass",Elite!V55,0)</f>
        <v>0</v>
      </c>
      <c r="E942" s="2" t="str">
        <f>IF(Elite!B55="W","W","A")</f>
        <v>W</v>
      </c>
      <c r="F942" s="2" t="e">
        <f>VLOOKUP(JudgeD2ESL,Judges!$A$2:$B$44,2,FALSE)</f>
        <v>#N/A</v>
      </c>
      <c r="G942" t="str">
        <f>Elite!X55</f>
        <v/>
      </c>
    </row>
    <row r="943" spans="1:7" x14ac:dyDescent="0.25">
      <c r="A943">
        <f t="shared" si="20"/>
        <v>0</v>
      </c>
      <c r="B943" t="s">
        <v>2074</v>
      </c>
      <c r="C943">
        <f>Elite!C56</f>
        <v>0</v>
      </c>
      <c r="D943">
        <f>IF(Elite!X56="Pass",Elite!V56,0)</f>
        <v>0</v>
      </c>
      <c r="E943" s="2" t="str">
        <f>IF(Elite!B56="W","W","A")</f>
        <v>W</v>
      </c>
      <c r="F943" s="2" t="e">
        <f>VLOOKUP(JudgeD2ESL,Judges!$A$2:$B$44,2,FALSE)</f>
        <v>#N/A</v>
      </c>
      <c r="G943" t="str">
        <f>Elite!X56</f>
        <v/>
      </c>
    </row>
    <row r="944" spans="1:7" x14ac:dyDescent="0.25">
      <c r="A944">
        <f t="shared" si="20"/>
        <v>0</v>
      </c>
      <c r="B944" t="s">
        <v>2074</v>
      </c>
      <c r="C944">
        <f>Elite!C57</f>
        <v>0</v>
      </c>
      <c r="D944">
        <f>IF(Elite!X57="Pass",Elite!V57,0)</f>
        <v>0</v>
      </c>
      <c r="E944" s="2" t="str">
        <f>IF(Elite!B57="W","W","A")</f>
        <v>W</v>
      </c>
      <c r="F944" s="2" t="e">
        <f>VLOOKUP(JudgeD2ESL,Judges!$A$2:$B$44,2,FALSE)</f>
        <v>#N/A</v>
      </c>
      <c r="G944" t="str">
        <f>Elite!X57</f>
        <v/>
      </c>
    </row>
    <row r="945" spans="1:7" x14ac:dyDescent="0.25">
      <c r="A945">
        <f t="shared" si="20"/>
        <v>0</v>
      </c>
      <c r="B945" t="s">
        <v>2074</v>
      </c>
      <c r="C945">
        <f>Elite!C58</f>
        <v>0</v>
      </c>
      <c r="D945">
        <f>IF(Elite!X58="Pass",Elite!V58,0)</f>
        <v>0</v>
      </c>
      <c r="E945" s="2" t="str">
        <f>IF(Elite!B58="W","W","A")</f>
        <v>W</v>
      </c>
      <c r="F945" s="2" t="e">
        <f>VLOOKUP(JudgeD2ESL,Judges!$A$2:$B$44,2,FALSE)</f>
        <v>#N/A</v>
      </c>
      <c r="G945" t="str">
        <f>Elite!X58</f>
        <v/>
      </c>
    </row>
    <row r="946" spans="1:7" x14ac:dyDescent="0.25">
      <c r="A946">
        <f t="shared" si="20"/>
        <v>0</v>
      </c>
      <c r="B946" t="s">
        <v>2074</v>
      </c>
      <c r="C946">
        <f>Elite!C59</f>
        <v>0</v>
      </c>
      <c r="D946">
        <f>IF(Elite!X59="Pass",Elite!V59,0)</f>
        <v>0</v>
      </c>
      <c r="E946" s="2" t="str">
        <f>IF(Elite!B59="W","W","A")</f>
        <v>W</v>
      </c>
      <c r="F946" s="2" t="e">
        <f>VLOOKUP(JudgeD2ESL,Judges!$A$2:$B$44,2,FALSE)</f>
        <v>#N/A</v>
      </c>
      <c r="G946" t="str">
        <f>Elite!X59</f>
        <v/>
      </c>
    </row>
    <row r="947" spans="1:7" x14ac:dyDescent="0.25">
      <c r="A947">
        <f t="shared" si="20"/>
        <v>0</v>
      </c>
      <c r="B947" t="s">
        <v>2074</v>
      </c>
      <c r="C947">
        <f>Elite!C60</f>
        <v>0</v>
      </c>
      <c r="D947">
        <f>IF(Elite!X60="Pass",Elite!V60,0)</f>
        <v>0</v>
      </c>
      <c r="E947" s="2" t="str">
        <f>IF(Elite!B60="W","W","A")</f>
        <v>W</v>
      </c>
      <c r="F947" s="2" t="e">
        <f>VLOOKUP(JudgeD2ESL,Judges!$A$2:$B$44,2,FALSE)</f>
        <v>#N/A</v>
      </c>
      <c r="G947" t="str">
        <f>Elite!X60</f>
        <v/>
      </c>
    </row>
    <row r="948" spans="1:7" x14ac:dyDescent="0.25">
      <c r="A948">
        <f t="shared" si="20"/>
        <v>0</v>
      </c>
      <c r="B948" t="s">
        <v>2074</v>
      </c>
      <c r="C948">
        <f>Elite!C61</f>
        <v>0</v>
      </c>
      <c r="D948">
        <f>IF(Elite!X61="Pass",Elite!V61,0)</f>
        <v>0</v>
      </c>
      <c r="E948" s="2" t="str">
        <f>IF(Elite!B61="W","W","A")</f>
        <v>W</v>
      </c>
      <c r="F948" s="2" t="e">
        <f>VLOOKUP(JudgeD2ESL,Judges!$A$2:$B$44,2,FALSE)</f>
        <v>#N/A</v>
      </c>
      <c r="G948" t="str">
        <f>Elite!X61</f>
        <v/>
      </c>
    </row>
    <row r="949" spans="1:7" x14ac:dyDescent="0.25">
      <c r="A949">
        <f t="shared" si="20"/>
        <v>0</v>
      </c>
      <c r="B949" t="s">
        <v>2074</v>
      </c>
      <c r="C949">
        <f>Elite!C62</f>
        <v>0</v>
      </c>
      <c r="D949">
        <f>IF(Elite!X62="Pass",Elite!V62,0)</f>
        <v>0</v>
      </c>
      <c r="E949" s="2" t="str">
        <f>IF(Elite!B62="W","W","A")</f>
        <v>W</v>
      </c>
      <c r="F949" s="2" t="e">
        <f>VLOOKUP(JudgeD2ESL,Judges!$A$2:$B$44,2,FALSE)</f>
        <v>#N/A</v>
      </c>
      <c r="G949" t="str">
        <f>Elite!X62</f>
        <v/>
      </c>
    </row>
    <row r="950" spans="1:7" x14ac:dyDescent="0.25">
      <c r="A950">
        <f t="shared" si="20"/>
        <v>0</v>
      </c>
      <c r="B950" t="s">
        <v>2074</v>
      </c>
      <c r="C950">
        <f>Elite!C63</f>
        <v>0</v>
      </c>
      <c r="D950">
        <f>IF(Elite!X63="Pass",Elite!V63,0)</f>
        <v>0</v>
      </c>
      <c r="E950" s="2" t="str">
        <f>IF(Elite!B63="W","W","A")</f>
        <v>W</v>
      </c>
      <c r="F950" s="2" t="e">
        <f>VLOOKUP(JudgeD2ESL,Judges!$A$2:$B$44,2,FALSE)</f>
        <v>#N/A</v>
      </c>
      <c r="G950" t="str">
        <f>Elite!X63</f>
        <v/>
      </c>
    </row>
    <row r="951" spans="1:7" x14ac:dyDescent="0.25">
      <c r="A951">
        <f t="shared" si="20"/>
        <v>0</v>
      </c>
      <c r="B951" t="s">
        <v>2074</v>
      </c>
      <c r="C951">
        <f>Elite!C64</f>
        <v>0</v>
      </c>
      <c r="D951">
        <f>IF(Elite!X64="Pass",Elite!V64,0)</f>
        <v>0</v>
      </c>
      <c r="E951" s="2" t="str">
        <f>IF(Elite!B64="W","W","A")</f>
        <v>W</v>
      </c>
      <c r="F951" s="2" t="e">
        <f>VLOOKUP(JudgeD2ESL,Judges!$A$2:$B$44,2,FALSE)</f>
        <v>#N/A</v>
      </c>
      <c r="G951" t="str">
        <f>Elite!X64</f>
        <v/>
      </c>
    </row>
    <row r="952" spans="1:7" x14ac:dyDescent="0.25">
      <c r="A952">
        <f t="shared" si="20"/>
        <v>0</v>
      </c>
      <c r="B952" t="s">
        <v>2074</v>
      </c>
      <c r="C952">
        <f>Elite!C65</f>
        <v>0</v>
      </c>
      <c r="D952">
        <f>IF(Elite!X65="Pass",Elite!V65,0)</f>
        <v>0</v>
      </c>
      <c r="E952" s="2" t="str">
        <f>IF(Elite!B65="W","W","A")</f>
        <v>W</v>
      </c>
      <c r="F952" s="2" t="e">
        <f>VLOOKUP(JudgeD2ESL,Judges!$A$2:$B$44,2,FALSE)</f>
        <v>#N/A</v>
      </c>
      <c r="G952" t="str">
        <f>Elite!X65</f>
        <v/>
      </c>
    </row>
    <row r="953" spans="1:7" x14ac:dyDescent="0.25">
      <c r="A953">
        <f t="shared" si="20"/>
        <v>0</v>
      </c>
      <c r="B953" t="s">
        <v>2074</v>
      </c>
      <c r="C953">
        <f>Elite!C66</f>
        <v>0</v>
      </c>
      <c r="D953">
        <f>IF(Elite!X66="Pass",Elite!V66,0)</f>
        <v>0</v>
      </c>
      <c r="E953" s="2" t="str">
        <f>IF(Elite!B66="W","W","A")</f>
        <v>W</v>
      </c>
      <c r="F953" s="2" t="e">
        <f>VLOOKUP(JudgeD2ESL,Judges!$A$2:$B$44,2,FALSE)</f>
        <v>#N/A</v>
      </c>
      <c r="G953" t="str">
        <f>Elite!X66</f>
        <v/>
      </c>
    </row>
    <row r="954" spans="1:7" x14ac:dyDescent="0.25">
      <c r="A954">
        <f t="shared" si="20"/>
        <v>0</v>
      </c>
      <c r="B954" t="s">
        <v>2074</v>
      </c>
      <c r="C954">
        <f>Elite!C67</f>
        <v>0</v>
      </c>
      <c r="D954">
        <f>IF(Elite!X67="Pass",Elite!V67,0)</f>
        <v>0</v>
      </c>
      <c r="E954" s="2" t="str">
        <f>IF(Elite!B67="W","W","A")</f>
        <v>W</v>
      </c>
      <c r="F954" s="2" t="e">
        <f>VLOOKUP(JudgeD2ESL,Judges!$A$2:$B$44,2,FALSE)</f>
        <v>#N/A</v>
      </c>
      <c r="G954" t="str">
        <f>Elite!X67</f>
        <v/>
      </c>
    </row>
    <row r="955" spans="1:7" x14ac:dyDescent="0.25">
      <c r="A955">
        <f t="shared" si="20"/>
        <v>0</v>
      </c>
      <c r="B955" t="s">
        <v>2074</v>
      </c>
      <c r="C955">
        <f>Elite!C68</f>
        <v>0</v>
      </c>
      <c r="D955">
        <f>IF(Elite!X68="Pass",Elite!V68,0)</f>
        <v>0</v>
      </c>
      <c r="E955" s="2" t="str">
        <f>IF(Elite!B68="W","W","A")</f>
        <v>W</v>
      </c>
      <c r="F955" s="2" t="e">
        <f>VLOOKUP(JudgeD2ESL,Judges!$A$2:$B$44,2,FALSE)</f>
        <v>#N/A</v>
      </c>
      <c r="G955" t="str">
        <f>Elite!X68</f>
        <v/>
      </c>
    </row>
    <row r="956" spans="1:7" x14ac:dyDescent="0.25">
      <c r="A956">
        <f t="shared" si="20"/>
        <v>0</v>
      </c>
      <c r="B956" t="s">
        <v>2074</v>
      </c>
      <c r="C956">
        <f>Elite!C69</f>
        <v>0</v>
      </c>
      <c r="D956">
        <f>IF(Elite!X69="Pass",Elite!V69,0)</f>
        <v>0</v>
      </c>
      <c r="E956" s="2" t="str">
        <f>IF(Elite!B69="W","W","A")</f>
        <v>W</v>
      </c>
      <c r="F956" s="2" t="e">
        <f>VLOOKUP(JudgeD2ESL,Judges!$A$2:$B$44,2,FALSE)</f>
        <v>#N/A</v>
      </c>
      <c r="G956" t="str">
        <f>Elite!X69</f>
        <v/>
      </c>
    </row>
    <row r="957" spans="1:7" x14ac:dyDescent="0.25">
      <c r="A957">
        <f t="shared" si="20"/>
        <v>0</v>
      </c>
      <c r="B957" t="s">
        <v>2074</v>
      </c>
      <c r="C957">
        <f>Elite!C70</f>
        <v>0</v>
      </c>
      <c r="D957">
        <f>IF(Elite!X70="Pass",Elite!V70,0)</f>
        <v>0</v>
      </c>
      <c r="E957" s="2" t="str">
        <f>IF(Elite!B70="W","W","A")</f>
        <v>W</v>
      </c>
      <c r="F957" s="2" t="e">
        <f>VLOOKUP(JudgeD2ESL,Judges!$A$2:$B$44,2,FALSE)</f>
        <v>#N/A</v>
      </c>
      <c r="G957" t="str">
        <f>Elite!X70</f>
        <v/>
      </c>
    </row>
    <row r="958" spans="1:7" x14ac:dyDescent="0.25">
      <c r="A958">
        <f t="shared" si="20"/>
        <v>0</v>
      </c>
      <c r="B958" t="s">
        <v>2074</v>
      </c>
      <c r="C958">
        <f>Elite!C71</f>
        <v>0</v>
      </c>
      <c r="D958">
        <f>IF(Elite!X71="Pass",Elite!V71,0)</f>
        <v>0</v>
      </c>
      <c r="E958" s="2" t="str">
        <f>IF(Elite!B71="W","W","A")</f>
        <v>W</v>
      </c>
      <c r="F958" s="2" t="e">
        <f>VLOOKUP(JudgeD2ESL,Judges!$A$2:$B$44,2,FALSE)</f>
        <v>#N/A</v>
      </c>
      <c r="G958" t="str">
        <f>Elite!X71</f>
        <v/>
      </c>
    </row>
    <row r="959" spans="1:7" x14ac:dyDescent="0.25">
      <c r="A959">
        <f t="shared" si="20"/>
        <v>0</v>
      </c>
      <c r="B959" t="s">
        <v>2074</v>
      </c>
      <c r="C959">
        <f>Elite!C72</f>
        <v>0</v>
      </c>
      <c r="D959">
        <f>IF(Elite!X72="Pass",Elite!V72,0)</f>
        <v>0</v>
      </c>
      <c r="E959" s="2" t="str">
        <f>IF(Elite!B72="W","W","A")</f>
        <v>W</v>
      </c>
      <c r="F959" s="2" t="e">
        <f>VLOOKUP(JudgeD2ESL,Judges!$A$2:$B$44,2,FALSE)</f>
        <v>#N/A</v>
      </c>
      <c r="G959" t="str">
        <f>Elite!X72</f>
        <v/>
      </c>
    </row>
    <row r="960" spans="1:7" x14ac:dyDescent="0.25">
      <c r="A960">
        <f t="shared" si="20"/>
        <v>0</v>
      </c>
      <c r="B960" t="s">
        <v>2074</v>
      </c>
      <c r="C960">
        <f>Elite!C73</f>
        <v>0</v>
      </c>
      <c r="D960">
        <f>IF(Elite!X73="Pass",Elite!V73,0)</f>
        <v>0</v>
      </c>
      <c r="E960" s="2" t="str">
        <f>IF(Elite!B73="W","W","A")</f>
        <v>W</v>
      </c>
      <c r="F960" s="2" t="e">
        <f>VLOOKUP(JudgeD2ESL,Judges!$A$2:$B$44,2,FALSE)</f>
        <v>#N/A</v>
      </c>
      <c r="G960" t="str">
        <f>Elite!X73</f>
        <v/>
      </c>
    </row>
    <row r="961" spans="1:7" x14ac:dyDescent="0.25">
      <c r="A961">
        <f t="shared" si="20"/>
        <v>0</v>
      </c>
      <c r="B961" t="s">
        <v>2074</v>
      </c>
      <c r="C961">
        <f>Elite!C74</f>
        <v>0</v>
      </c>
      <c r="D961">
        <f>IF(Elite!X74="Pass",Elite!V74,0)</f>
        <v>0</v>
      </c>
      <c r="E961" s="2" t="str">
        <f>IF(Elite!B74="W","W","A")</f>
        <v>W</v>
      </c>
      <c r="F961" s="2" t="e">
        <f>VLOOKUP(JudgeD2ESL,Judges!$A$2:$B$44,2,FALSE)</f>
        <v>#N/A</v>
      </c>
      <c r="G961" t="str">
        <f>Elite!X74</f>
        <v/>
      </c>
    </row>
    <row r="962" spans="1:7" x14ac:dyDescent="0.25">
      <c r="A962">
        <f t="shared" ref="A962:A993" si="21">TrialNumber</f>
        <v>0</v>
      </c>
      <c r="B962" t="s">
        <v>3721</v>
      </c>
      <c r="C962">
        <f>Games!D7</f>
        <v>0</v>
      </c>
      <c r="D962">
        <v>0</v>
      </c>
      <c r="E962" s="2" t="s">
        <v>3255</v>
      </c>
      <c r="F962" s="2" t="e">
        <f>VLOOKUP(JudgeD1GamesAerial,Judges!$A$2:$B$44,2,FALSE)</f>
        <v>#N/A</v>
      </c>
      <c r="G962" t="str">
        <f>IF(Games!O7="P","Pass",IF(Games!O7="F","Fail",""))</f>
        <v/>
      </c>
    </row>
    <row r="963" spans="1:7" x14ac:dyDescent="0.25">
      <c r="A963">
        <f t="shared" si="21"/>
        <v>0</v>
      </c>
      <c r="B963" t="s">
        <v>3721</v>
      </c>
      <c r="C963">
        <f>Games!D8</f>
        <v>0</v>
      </c>
      <c r="D963">
        <v>0</v>
      </c>
      <c r="E963" s="2" t="s">
        <v>3255</v>
      </c>
      <c r="F963" s="2" t="e">
        <f>VLOOKUP(JudgeD1GamesAerial,Judges!$A$2:$B$44,2,FALSE)</f>
        <v>#N/A</v>
      </c>
      <c r="G963" t="str">
        <f>IF(Games!O8="P","Pass",IF(Games!O8="F","Fail",""))</f>
        <v/>
      </c>
    </row>
    <row r="964" spans="1:7" x14ac:dyDescent="0.25">
      <c r="A964">
        <f t="shared" si="21"/>
        <v>0</v>
      </c>
      <c r="B964" t="s">
        <v>3721</v>
      </c>
      <c r="C964">
        <f>Games!D9</f>
        <v>0</v>
      </c>
      <c r="D964">
        <v>0</v>
      </c>
      <c r="E964" s="2" t="s">
        <v>3255</v>
      </c>
      <c r="F964" s="2" t="e">
        <f>VLOOKUP(JudgeD1GamesAerial,Judges!$A$2:$B$44,2,FALSE)</f>
        <v>#N/A</v>
      </c>
      <c r="G964" t="str">
        <f>IF(Games!O9="P","Pass",IF(Games!O9="F","Fail",""))</f>
        <v/>
      </c>
    </row>
    <row r="965" spans="1:7" x14ac:dyDescent="0.25">
      <c r="A965">
        <f t="shared" si="21"/>
        <v>0</v>
      </c>
      <c r="B965" t="s">
        <v>3721</v>
      </c>
      <c r="C965">
        <f>Games!D10</f>
        <v>0</v>
      </c>
      <c r="D965">
        <v>0</v>
      </c>
      <c r="E965" s="2" t="s">
        <v>3255</v>
      </c>
      <c r="F965" s="2" t="e">
        <f>VLOOKUP(JudgeD1GamesAerial,Judges!$A$2:$B$44,2,FALSE)</f>
        <v>#N/A</v>
      </c>
      <c r="G965" t="str">
        <f>IF(Games!O10="P","Pass",IF(Games!O10="F","Fail",""))</f>
        <v/>
      </c>
    </row>
    <row r="966" spans="1:7" x14ac:dyDescent="0.25">
      <c r="A966">
        <f t="shared" si="21"/>
        <v>0</v>
      </c>
      <c r="B966" t="s">
        <v>3721</v>
      </c>
      <c r="C966">
        <f>Games!D11</f>
        <v>0</v>
      </c>
      <c r="D966">
        <v>0</v>
      </c>
      <c r="E966" s="2" t="s">
        <v>3255</v>
      </c>
      <c r="F966" s="2" t="e">
        <f>VLOOKUP(JudgeD1GamesAerial,Judges!$A$2:$B$44,2,FALSE)</f>
        <v>#N/A</v>
      </c>
      <c r="G966" t="str">
        <f>IF(Games!O11="P","Pass",IF(Games!O11="F","Fail",""))</f>
        <v/>
      </c>
    </row>
    <row r="967" spans="1:7" x14ac:dyDescent="0.25">
      <c r="A967">
        <f t="shared" si="21"/>
        <v>0</v>
      </c>
      <c r="B967" t="s">
        <v>3721</v>
      </c>
      <c r="C967">
        <f>Games!D12</f>
        <v>0</v>
      </c>
      <c r="D967">
        <v>0</v>
      </c>
      <c r="E967" s="2" t="s">
        <v>3255</v>
      </c>
      <c r="F967" s="2" t="e">
        <f>VLOOKUP(JudgeD1GamesAerial,Judges!$A$2:$B$44,2,FALSE)</f>
        <v>#N/A</v>
      </c>
      <c r="G967" t="str">
        <f>IF(Games!O12="P","Pass",IF(Games!O12="F","Fail",""))</f>
        <v/>
      </c>
    </row>
    <row r="968" spans="1:7" x14ac:dyDescent="0.25">
      <c r="A968">
        <f t="shared" si="21"/>
        <v>0</v>
      </c>
      <c r="B968" t="s">
        <v>3721</v>
      </c>
      <c r="C968">
        <f>Games!D13</f>
        <v>0</v>
      </c>
      <c r="D968">
        <v>0</v>
      </c>
      <c r="E968" s="2" t="s">
        <v>3255</v>
      </c>
      <c r="F968" s="2" t="e">
        <f>VLOOKUP(JudgeD1GamesAerial,Judges!$A$2:$B$44,2,FALSE)</f>
        <v>#N/A</v>
      </c>
      <c r="G968" t="str">
        <f>IF(Games!O13="P","Pass",IF(Games!O13="F","Fail",""))</f>
        <v/>
      </c>
    </row>
    <row r="969" spans="1:7" x14ac:dyDescent="0.25">
      <c r="A969">
        <f t="shared" si="21"/>
        <v>0</v>
      </c>
      <c r="B969" t="s">
        <v>3721</v>
      </c>
      <c r="C969">
        <f>Games!D14</f>
        <v>0</v>
      </c>
      <c r="D969">
        <v>0</v>
      </c>
      <c r="E969" s="2" t="s">
        <v>3255</v>
      </c>
      <c r="F969" s="2" t="e">
        <f>VLOOKUP(JudgeD1GamesAerial,Judges!$A$2:$B$44,2,FALSE)</f>
        <v>#N/A</v>
      </c>
      <c r="G969" t="str">
        <f>IF(Games!O14="P","Pass",IF(Games!O14="F","Fail",""))</f>
        <v/>
      </c>
    </row>
    <row r="970" spans="1:7" x14ac:dyDescent="0.25">
      <c r="A970">
        <f t="shared" si="21"/>
        <v>0</v>
      </c>
      <c r="B970" t="s">
        <v>3721</v>
      </c>
      <c r="C970">
        <f>Games!D15</f>
        <v>0</v>
      </c>
      <c r="D970">
        <v>0</v>
      </c>
      <c r="E970" s="2" t="s">
        <v>3255</v>
      </c>
      <c r="F970" s="2" t="e">
        <f>VLOOKUP(JudgeD1GamesAerial,Judges!$A$2:$B$44,2,FALSE)</f>
        <v>#N/A</v>
      </c>
      <c r="G970" t="str">
        <f>IF(Games!O15="P","Pass",IF(Games!O15="F","Fail",""))</f>
        <v/>
      </c>
    </row>
    <row r="971" spans="1:7" x14ac:dyDescent="0.25">
      <c r="A971">
        <f t="shared" si="21"/>
        <v>0</v>
      </c>
      <c r="B971" t="s">
        <v>3721</v>
      </c>
      <c r="C971">
        <f>Games!D16</f>
        <v>0</v>
      </c>
      <c r="D971">
        <v>0</v>
      </c>
      <c r="E971" s="2" t="s">
        <v>3255</v>
      </c>
      <c r="F971" s="2" t="e">
        <f>VLOOKUP(JudgeD1GamesAerial,Judges!$A$2:$B$44,2,FALSE)</f>
        <v>#N/A</v>
      </c>
      <c r="G971" t="str">
        <f>IF(Games!O16="P","Pass",IF(Games!O16="F","Fail",""))</f>
        <v/>
      </c>
    </row>
    <row r="972" spans="1:7" x14ac:dyDescent="0.25">
      <c r="A972">
        <f t="shared" si="21"/>
        <v>0</v>
      </c>
      <c r="B972" t="s">
        <v>3721</v>
      </c>
      <c r="C972">
        <f>Games!D17</f>
        <v>0</v>
      </c>
      <c r="D972">
        <v>0</v>
      </c>
      <c r="E972" s="2" t="s">
        <v>3255</v>
      </c>
      <c r="F972" s="2" t="e">
        <f>VLOOKUP(JudgeD1GamesAerial,Judges!$A$2:$B$44,2,FALSE)</f>
        <v>#N/A</v>
      </c>
      <c r="G972" t="str">
        <f>IF(Games!O17="P","Pass",IF(Games!O17="F","Fail",""))</f>
        <v/>
      </c>
    </row>
    <row r="973" spans="1:7" x14ac:dyDescent="0.25">
      <c r="A973">
        <f t="shared" si="21"/>
        <v>0</v>
      </c>
      <c r="B973" t="s">
        <v>3721</v>
      </c>
      <c r="C973">
        <f>Games!D18</f>
        <v>0</v>
      </c>
      <c r="D973">
        <v>0</v>
      </c>
      <c r="E973" s="2" t="s">
        <v>3255</v>
      </c>
      <c r="F973" s="2" t="e">
        <f>VLOOKUP(JudgeD1GamesAerial,Judges!$A$2:$B$44,2,FALSE)</f>
        <v>#N/A</v>
      </c>
      <c r="G973" t="str">
        <f>IF(Games!O18="P","Pass",IF(Games!O18="F","Fail",""))</f>
        <v/>
      </c>
    </row>
    <row r="974" spans="1:7" x14ac:dyDescent="0.25">
      <c r="A974">
        <f t="shared" si="21"/>
        <v>0</v>
      </c>
      <c r="B974" t="s">
        <v>3721</v>
      </c>
      <c r="C974">
        <f>Games!D19</f>
        <v>0</v>
      </c>
      <c r="D974">
        <v>0</v>
      </c>
      <c r="E974" s="2" t="s">
        <v>3255</v>
      </c>
      <c r="F974" s="2" t="e">
        <f>VLOOKUP(JudgeD1GamesAerial,Judges!$A$2:$B$44,2,FALSE)</f>
        <v>#N/A</v>
      </c>
      <c r="G974" t="str">
        <f>IF(Games!O19="P","Pass",IF(Games!O19="F","Fail",""))</f>
        <v/>
      </c>
    </row>
    <row r="975" spans="1:7" x14ac:dyDescent="0.25">
      <c r="A975">
        <f t="shared" si="21"/>
        <v>0</v>
      </c>
      <c r="B975" t="s">
        <v>3721</v>
      </c>
      <c r="C975">
        <f>Games!D20</f>
        <v>0</v>
      </c>
      <c r="D975">
        <v>0</v>
      </c>
      <c r="E975" s="2" t="s">
        <v>3255</v>
      </c>
      <c r="F975" s="2" t="e">
        <f>VLOOKUP(JudgeD1GamesAerial,Judges!$A$2:$B$44,2,FALSE)</f>
        <v>#N/A</v>
      </c>
      <c r="G975" t="str">
        <f>IF(Games!O20="P","Pass",IF(Games!O20="F","Fail",""))</f>
        <v/>
      </c>
    </row>
    <row r="976" spans="1:7" x14ac:dyDescent="0.25">
      <c r="A976">
        <f t="shared" si="21"/>
        <v>0</v>
      </c>
      <c r="B976" t="s">
        <v>3721</v>
      </c>
      <c r="C976">
        <f>Games!D21</f>
        <v>0</v>
      </c>
      <c r="D976">
        <v>0</v>
      </c>
      <c r="E976" s="2" t="s">
        <v>3255</v>
      </c>
      <c r="F976" s="2" t="e">
        <f>VLOOKUP(JudgeD1GamesAerial,Judges!$A$2:$B$44,2,FALSE)</f>
        <v>#N/A</v>
      </c>
      <c r="G976" t="str">
        <f>IF(Games!O21="P","Pass",IF(Games!O21="F","Fail",""))</f>
        <v/>
      </c>
    </row>
    <row r="977" spans="1:7" x14ac:dyDescent="0.25">
      <c r="A977">
        <f t="shared" si="21"/>
        <v>0</v>
      </c>
      <c r="B977" t="s">
        <v>3721</v>
      </c>
      <c r="C977">
        <f>Games!D22</f>
        <v>0</v>
      </c>
      <c r="D977">
        <v>0</v>
      </c>
      <c r="E977" s="2" t="s">
        <v>3255</v>
      </c>
      <c r="F977" s="2" t="e">
        <f>VLOOKUP(JudgeD1GamesAerial,Judges!$A$2:$B$44,2,FALSE)</f>
        <v>#N/A</v>
      </c>
      <c r="G977" t="str">
        <f>IF(Games!O22="P","Pass",IF(Games!O22="F","Fail",""))</f>
        <v/>
      </c>
    </row>
    <row r="978" spans="1:7" x14ac:dyDescent="0.25">
      <c r="A978">
        <f t="shared" si="21"/>
        <v>0</v>
      </c>
      <c r="B978" t="s">
        <v>3721</v>
      </c>
      <c r="C978">
        <f>Games!D23</f>
        <v>0</v>
      </c>
      <c r="D978">
        <v>0</v>
      </c>
      <c r="E978" s="2" t="s">
        <v>3255</v>
      </c>
      <c r="F978" s="2" t="e">
        <f>VLOOKUP(JudgeD1GamesAerial,Judges!$A$2:$B$44,2,FALSE)</f>
        <v>#N/A</v>
      </c>
      <c r="G978" t="str">
        <f>IF(Games!O23="P","Pass",IF(Games!O23="F","Fail",""))</f>
        <v/>
      </c>
    </row>
    <row r="979" spans="1:7" x14ac:dyDescent="0.25">
      <c r="A979">
        <f t="shared" si="21"/>
        <v>0</v>
      </c>
      <c r="B979" t="s">
        <v>3721</v>
      </c>
      <c r="C979">
        <f>Games!D24</f>
        <v>0</v>
      </c>
      <c r="D979">
        <v>0</v>
      </c>
      <c r="E979" s="2" t="s">
        <v>3255</v>
      </c>
      <c r="F979" s="2" t="e">
        <f>VLOOKUP(JudgeD1GamesAerial,Judges!$A$2:$B$44,2,FALSE)</f>
        <v>#N/A</v>
      </c>
      <c r="G979" t="str">
        <f>IF(Games!O24="P","Pass",IF(Games!O24="F","Fail",""))</f>
        <v/>
      </c>
    </row>
    <row r="980" spans="1:7" x14ac:dyDescent="0.25">
      <c r="A980">
        <f t="shared" si="21"/>
        <v>0</v>
      </c>
      <c r="B980" t="s">
        <v>3721</v>
      </c>
      <c r="C980">
        <f>Games!D25</f>
        <v>0</v>
      </c>
      <c r="D980">
        <v>0</v>
      </c>
      <c r="E980" s="2" t="s">
        <v>3255</v>
      </c>
      <c r="F980" s="2" t="e">
        <f>VLOOKUP(JudgeD1GamesAerial,Judges!$A$2:$B$44,2,FALSE)</f>
        <v>#N/A</v>
      </c>
      <c r="G980" t="str">
        <f>IF(Games!O25="P","Pass",IF(Games!O25="F","Fail",""))</f>
        <v/>
      </c>
    </row>
    <row r="981" spans="1:7" x14ac:dyDescent="0.25">
      <c r="A981">
        <f t="shared" si="21"/>
        <v>0</v>
      </c>
      <c r="B981" t="s">
        <v>3721</v>
      </c>
      <c r="C981">
        <f>Games!D26</f>
        <v>0</v>
      </c>
      <c r="D981">
        <v>0</v>
      </c>
      <c r="E981" s="2" t="s">
        <v>3255</v>
      </c>
      <c r="F981" s="2" t="e">
        <f>VLOOKUP(JudgeD1GamesAerial,Judges!$A$2:$B$44,2,FALSE)</f>
        <v>#N/A</v>
      </c>
      <c r="G981" t="str">
        <f>IF(Games!O26="P","Pass",IF(Games!O26="F","Fail",""))</f>
        <v/>
      </c>
    </row>
    <row r="982" spans="1:7" x14ac:dyDescent="0.25">
      <c r="A982">
        <f t="shared" si="21"/>
        <v>0</v>
      </c>
      <c r="B982" t="s">
        <v>3721</v>
      </c>
      <c r="C982">
        <f>Games!D27</f>
        <v>0</v>
      </c>
      <c r="D982">
        <v>0</v>
      </c>
      <c r="E982" s="2" t="s">
        <v>3255</v>
      </c>
      <c r="F982" s="2" t="e">
        <f>VLOOKUP(JudgeD1GamesAerial,Judges!$A$2:$B$44,2,FALSE)</f>
        <v>#N/A</v>
      </c>
      <c r="G982" t="str">
        <f>IF(Games!O27="P","Pass",IF(Games!O27="F","Fail",""))</f>
        <v/>
      </c>
    </row>
    <row r="983" spans="1:7" x14ac:dyDescent="0.25">
      <c r="A983">
        <f t="shared" si="21"/>
        <v>0</v>
      </c>
      <c r="B983" t="s">
        <v>3721</v>
      </c>
      <c r="C983">
        <f>Games!D28</f>
        <v>0</v>
      </c>
      <c r="D983">
        <v>0</v>
      </c>
      <c r="E983" s="2" t="s">
        <v>3255</v>
      </c>
      <c r="F983" s="2" t="e">
        <f>VLOOKUP(JudgeD1GamesAerial,Judges!$A$2:$B$44,2,FALSE)</f>
        <v>#N/A</v>
      </c>
      <c r="G983" t="str">
        <f>IF(Games!O28="P","Pass",IF(Games!O28="F","Fail",""))</f>
        <v/>
      </c>
    </row>
    <row r="984" spans="1:7" x14ac:dyDescent="0.25">
      <c r="A984">
        <f t="shared" si="21"/>
        <v>0</v>
      </c>
      <c r="B984" t="s">
        <v>3721</v>
      </c>
      <c r="C984">
        <f>Games!D29</f>
        <v>0</v>
      </c>
      <c r="D984">
        <v>0</v>
      </c>
      <c r="E984" s="2" t="s">
        <v>3255</v>
      </c>
      <c r="F984" s="2" t="e">
        <f>VLOOKUP(JudgeD1GamesAerial,Judges!$A$2:$B$44,2,FALSE)</f>
        <v>#N/A</v>
      </c>
      <c r="G984" t="str">
        <f>IF(Games!O29="P","Pass",IF(Games!O29="F","Fail",""))</f>
        <v/>
      </c>
    </row>
    <row r="985" spans="1:7" x14ac:dyDescent="0.25">
      <c r="A985">
        <f t="shared" si="21"/>
        <v>0</v>
      </c>
      <c r="B985" t="s">
        <v>3721</v>
      </c>
      <c r="C985">
        <f>Games!D30</f>
        <v>0</v>
      </c>
      <c r="D985">
        <v>0</v>
      </c>
      <c r="E985" s="2" t="s">
        <v>3255</v>
      </c>
      <c r="F985" s="2" t="e">
        <f>VLOOKUP(JudgeD1GamesAerial,Judges!$A$2:$B$44,2,FALSE)</f>
        <v>#N/A</v>
      </c>
      <c r="G985" t="str">
        <f>IF(Games!O30="P","Pass",IF(Games!O30="F","Fail",""))</f>
        <v/>
      </c>
    </row>
    <row r="986" spans="1:7" x14ac:dyDescent="0.25">
      <c r="A986">
        <f t="shared" si="21"/>
        <v>0</v>
      </c>
      <c r="B986" t="s">
        <v>3721</v>
      </c>
      <c r="C986">
        <f>Games!D31</f>
        <v>0</v>
      </c>
      <c r="D986">
        <v>0</v>
      </c>
      <c r="E986" s="2" t="s">
        <v>3255</v>
      </c>
      <c r="F986" s="2" t="e">
        <f>VLOOKUP(JudgeD1GamesAerial,Judges!$A$2:$B$44,2,FALSE)</f>
        <v>#N/A</v>
      </c>
      <c r="G986" t="str">
        <f>IF(Games!O31="P","Pass",IF(Games!O31="F","Fail",""))</f>
        <v/>
      </c>
    </row>
    <row r="987" spans="1:7" x14ac:dyDescent="0.25">
      <c r="A987">
        <f t="shared" si="21"/>
        <v>0</v>
      </c>
      <c r="B987" t="s">
        <v>3721</v>
      </c>
      <c r="C987">
        <f>Games!D32</f>
        <v>0</v>
      </c>
      <c r="D987">
        <v>0</v>
      </c>
      <c r="E987" s="2" t="s">
        <v>3255</v>
      </c>
      <c r="F987" s="2" t="e">
        <f>VLOOKUP(JudgeD1GamesAerial,Judges!$A$2:$B$44,2,FALSE)</f>
        <v>#N/A</v>
      </c>
      <c r="G987" t="str">
        <f>IF(Games!O32="P","Pass",IF(Games!O32="F","Fail",""))</f>
        <v/>
      </c>
    </row>
    <row r="988" spans="1:7" x14ac:dyDescent="0.25">
      <c r="A988">
        <f t="shared" si="21"/>
        <v>0</v>
      </c>
      <c r="B988" t="s">
        <v>3721</v>
      </c>
      <c r="C988">
        <f>Games!D33</f>
        <v>0</v>
      </c>
      <c r="D988">
        <v>0</v>
      </c>
      <c r="E988" s="2" t="s">
        <v>3255</v>
      </c>
      <c r="F988" s="2" t="e">
        <f>VLOOKUP(JudgeD1GamesAerial,Judges!$A$2:$B$44,2,FALSE)</f>
        <v>#N/A</v>
      </c>
      <c r="G988" t="str">
        <f>IF(Games!O33="P","Pass",IF(Games!O33="F","Fail",""))</f>
        <v/>
      </c>
    </row>
    <row r="989" spans="1:7" x14ac:dyDescent="0.25">
      <c r="A989">
        <f t="shared" si="21"/>
        <v>0</v>
      </c>
      <c r="B989" t="s">
        <v>3721</v>
      </c>
      <c r="C989">
        <f>Games!D34</f>
        <v>0</v>
      </c>
      <c r="D989">
        <v>0</v>
      </c>
      <c r="E989" s="2" t="s">
        <v>3255</v>
      </c>
      <c r="F989" s="2" t="e">
        <f>VLOOKUP(JudgeD1GamesAerial,Judges!$A$2:$B$44,2,FALSE)</f>
        <v>#N/A</v>
      </c>
      <c r="G989" t="str">
        <f>IF(Games!O34="P","Pass",IF(Games!O34="F","Fail",""))</f>
        <v/>
      </c>
    </row>
    <row r="990" spans="1:7" x14ac:dyDescent="0.25">
      <c r="A990">
        <f t="shared" si="21"/>
        <v>0</v>
      </c>
      <c r="B990" t="s">
        <v>3721</v>
      </c>
      <c r="C990">
        <f>Games!D35</f>
        <v>0</v>
      </c>
      <c r="D990">
        <v>0</v>
      </c>
      <c r="E990" s="2" t="s">
        <v>3255</v>
      </c>
      <c r="F990" s="2" t="e">
        <f>VLOOKUP(JudgeD1GamesAerial,Judges!$A$2:$B$44,2,FALSE)</f>
        <v>#N/A</v>
      </c>
      <c r="G990" t="str">
        <f>IF(Games!O35="P","Pass",IF(Games!O35="F","Fail",""))</f>
        <v/>
      </c>
    </row>
    <row r="991" spans="1:7" x14ac:dyDescent="0.25">
      <c r="A991">
        <f t="shared" si="21"/>
        <v>0</v>
      </c>
      <c r="B991" t="s">
        <v>3721</v>
      </c>
      <c r="C991">
        <f>Games!D36</f>
        <v>0</v>
      </c>
      <c r="D991">
        <v>0</v>
      </c>
      <c r="E991" s="2" t="s">
        <v>3255</v>
      </c>
      <c r="F991" s="2" t="e">
        <f>VLOOKUP(JudgeD1GamesAerial,Judges!$A$2:$B$44,2,FALSE)</f>
        <v>#N/A</v>
      </c>
      <c r="G991" t="str">
        <f>IF(Games!O36="P","Pass",IF(Games!O36="F","Fail",""))</f>
        <v/>
      </c>
    </row>
    <row r="992" spans="1:7" x14ac:dyDescent="0.25">
      <c r="A992">
        <f t="shared" si="21"/>
        <v>0</v>
      </c>
      <c r="B992" t="s">
        <v>3721</v>
      </c>
      <c r="C992">
        <f>Games!D37</f>
        <v>0</v>
      </c>
      <c r="D992">
        <v>0</v>
      </c>
      <c r="E992" s="2" t="s">
        <v>3255</v>
      </c>
      <c r="F992" s="2" t="e">
        <f>VLOOKUP(JudgeD1GamesAerial,Judges!$A$2:$B$44,2,FALSE)</f>
        <v>#N/A</v>
      </c>
      <c r="G992" t="str">
        <f>IF(Games!O37="P","Pass",IF(Games!O37="F","Fail",""))</f>
        <v/>
      </c>
    </row>
    <row r="993" spans="1:7" x14ac:dyDescent="0.25">
      <c r="A993">
        <f t="shared" si="21"/>
        <v>0</v>
      </c>
      <c r="B993" t="s">
        <v>3721</v>
      </c>
      <c r="C993">
        <f>Games!D38</f>
        <v>0</v>
      </c>
      <c r="D993">
        <v>0</v>
      </c>
      <c r="E993" s="2" t="s">
        <v>3255</v>
      </c>
      <c r="F993" s="2" t="e">
        <f>VLOOKUP(JudgeD1GamesAerial,Judges!$A$2:$B$44,2,FALSE)</f>
        <v>#N/A</v>
      </c>
      <c r="G993" t="str">
        <f>IF(Games!O38="P","Pass",IF(Games!O38="F","Fail",""))</f>
        <v/>
      </c>
    </row>
    <row r="994" spans="1:7" x14ac:dyDescent="0.25">
      <c r="A994">
        <f t="shared" ref="A994:A1025" si="22">TrialNumber</f>
        <v>0</v>
      </c>
      <c r="B994" t="s">
        <v>3721</v>
      </c>
      <c r="C994">
        <f>Games!D39</f>
        <v>0</v>
      </c>
      <c r="D994">
        <v>0</v>
      </c>
      <c r="E994" s="2" t="s">
        <v>3255</v>
      </c>
      <c r="F994" s="2" t="e">
        <f>VLOOKUP(JudgeD1GamesAerial,Judges!$A$2:$B$44,2,FALSE)</f>
        <v>#N/A</v>
      </c>
      <c r="G994" t="str">
        <f>IF(Games!O39="P","Pass",IF(Games!O39="F","Fail",""))</f>
        <v/>
      </c>
    </row>
    <row r="995" spans="1:7" x14ac:dyDescent="0.25">
      <c r="A995">
        <f t="shared" si="22"/>
        <v>0</v>
      </c>
      <c r="B995" t="s">
        <v>3721</v>
      </c>
      <c r="C995">
        <f>Games!D40</f>
        <v>0</v>
      </c>
      <c r="D995">
        <v>0</v>
      </c>
      <c r="E995" s="2" t="s">
        <v>3255</v>
      </c>
      <c r="F995" s="2" t="e">
        <f>VLOOKUP(JudgeD1GamesAerial,Judges!$A$2:$B$44,2,FALSE)</f>
        <v>#N/A</v>
      </c>
      <c r="G995" t="str">
        <f>IF(Games!O40="P","Pass",IF(Games!O40="F","Fail",""))</f>
        <v/>
      </c>
    </row>
    <row r="996" spans="1:7" x14ac:dyDescent="0.25">
      <c r="A996">
        <f t="shared" si="22"/>
        <v>0</v>
      </c>
      <c r="B996" t="s">
        <v>3721</v>
      </c>
      <c r="C996">
        <f>Games!D41</f>
        <v>0</v>
      </c>
      <c r="D996">
        <v>0</v>
      </c>
      <c r="E996" s="2" t="s">
        <v>3255</v>
      </c>
      <c r="F996" s="2" t="e">
        <f>VLOOKUP(JudgeD1GamesAerial,Judges!$A$2:$B$44,2,FALSE)</f>
        <v>#N/A</v>
      </c>
      <c r="G996" t="str">
        <f>IF(Games!O41="P","Pass",IF(Games!O41="F","Fail",""))</f>
        <v/>
      </c>
    </row>
    <row r="997" spans="1:7" x14ac:dyDescent="0.25">
      <c r="A997">
        <f t="shared" si="22"/>
        <v>0</v>
      </c>
      <c r="B997" t="s">
        <v>3721</v>
      </c>
      <c r="C997">
        <f>Games!D42</f>
        <v>0</v>
      </c>
      <c r="D997">
        <v>0</v>
      </c>
      <c r="E997" s="2" t="s">
        <v>3255</v>
      </c>
      <c r="F997" s="2" t="e">
        <f>VLOOKUP(JudgeD1GamesAerial,Judges!$A$2:$B$44,2,FALSE)</f>
        <v>#N/A</v>
      </c>
      <c r="G997" t="str">
        <f>IF(Games!O42="P","Pass",IF(Games!O42="F","Fail",""))</f>
        <v/>
      </c>
    </row>
    <row r="998" spans="1:7" x14ac:dyDescent="0.25">
      <c r="A998">
        <f t="shared" si="22"/>
        <v>0</v>
      </c>
      <c r="B998" t="s">
        <v>3721</v>
      </c>
      <c r="C998">
        <f>Games!D43</f>
        <v>0</v>
      </c>
      <c r="D998">
        <v>0</v>
      </c>
      <c r="E998" s="2" t="s">
        <v>3255</v>
      </c>
      <c r="F998" s="2" t="e">
        <f>VLOOKUP(JudgeD1GamesAerial,Judges!$A$2:$B$44,2,FALSE)</f>
        <v>#N/A</v>
      </c>
      <c r="G998" t="str">
        <f>IF(Games!O43="P","Pass",IF(Games!O43="F","Fail",""))</f>
        <v/>
      </c>
    </row>
    <row r="999" spans="1:7" x14ac:dyDescent="0.25">
      <c r="A999">
        <f t="shared" si="22"/>
        <v>0</v>
      </c>
      <c r="B999" t="s">
        <v>3721</v>
      </c>
      <c r="C999">
        <f>Games!D44</f>
        <v>0</v>
      </c>
      <c r="D999">
        <v>0</v>
      </c>
      <c r="E999" s="2" t="s">
        <v>3255</v>
      </c>
      <c r="F999" s="2" t="e">
        <f>VLOOKUP(JudgeD1GamesAerial,Judges!$A$2:$B$44,2,FALSE)</f>
        <v>#N/A</v>
      </c>
      <c r="G999" t="str">
        <f>IF(Games!O44="P","Pass",IF(Games!O44="F","Fail",""))</f>
        <v/>
      </c>
    </row>
    <row r="1000" spans="1:7" x14ac:dyDescent="0.25">
      <c r="A1000">
        <f t="shared" si="22"/>
        <v>0</v>
      </c>
      <c r="B1000" t="s">
        <v>3721</v>
      </c>
      <c r="C1000">
        <f>Games!D45</f>
        <v>0</v>
      </c>
      <c r="D1000">
        <v>0</v>
      </c>
      <c r="E1000" s="2" t="s">
        <v>3255</v>
      </c>
      <c r="F1000" s="2" t="e">
        <f>VLOOKUP(JudgeD1GamesAerial,Judges!$A$2:$B$44,2,FALSE)</f>
        <v>#N/A</v>
      </c>
      <c r="G1000" t="str">
        <f>IF(Games!O45="P","Pass",IF(Games!O45="F","Fail",""))</f>
        <v/>
      </c>
    </row>
    <row r="1001" spans="1:7" x14ac:dyDescent="0.25">
      <c r="A1001">
        <f t="shared" si="22"/>
        <v>0</v>
      </c>
      <c r="B1001" t="s">
        <v>3721</v>
      </c>
      <c r="C1001">
        <f>Games!D46</f>
        <v>0</v>
      </c>
      <c r="D1001">
        <v>0</v>
      </c>
      <c r="E1001" s="2" t="s">
        <v>3255</v>
      </c>
      <c r="F1001" s="2" t="e">
        <f>VLOOKUP(JudgeD1GamesAerial,Judges!$A$2:$B$44,2,FALSE)</f>
        <v>#N/A</v>
      </c>
      <c r="G1001" t="str">
        <f>IF(Games!O46="P","Pass",IF(Games!O46="F","Fail",""))</f>
        <v/>
      </c>
    </row>
    <row r="1002" spans="1:7" x14ac:dyDescent="0.25">
      <c r="A1002">
        <f t="shared" si="22"/>
        <v>0</v>
      </c>
      <c r="B1002" t="s">
        <v>3721</v>
      </c>
      <c r="C1002">
        <f>Games!D47</f>
        <v>0</v>
      </c>
      <c r="D1002">
        <v>0</v>
      </c>
      <c r="E1002" s="2" t="s">
        <v>3255</v>
      </c>
      <c r="F1002" s="2" t="e">
        <f>VLOOKUP(JudgeD1GamesAerial,Judges!$A$2:$B$44,2,FALSE)</f>
        <v>#N/A</v>
      </c>
      <c r="G1002" t="str">
        <f>IF(Games!O47="P","Pass",IF(Games!O47="F","Fail",""))</f>
        <v/>
      </c>
    </row>
    <row r="1003" spans="1:7" x14ac:dyDescent="0.25">
      <c r="A1003">
        <f t="shared" si="22"/>
        <v>0</v>
      </c>
      <c r="B1003" t="s">
        <v>3721</v>
      </c>
      <c r="C1003">
        <f>Games!D48</f>
        <v>0</v>
      </c>
      <c r="D1003">
        <v>0</v>
      </c>
      <c r="E1003" s="2" t="s">
        <v>3255</v>
      </c>
      <c r="F1003" s="2" t="e">
        <f>VLOOKUP(JudgeD1GamesAerial,Judges!$A$2:$B$44,2,FALSE)</f>
        <v>#N/A</v>
      </c>
      <c r="G1003" t="str">
        <f>IF(Games!O48="P","Pass",IF(Games!O48="F","Fail",""))</f>
        <v/>
      </c>
    </row>
    <row r="1004" spans="1:7" x14ac:dyDescent="0.25">
      <c r="A1004">
        <f t="shared" si="22"/>
        <v>0</v>
      </c>
      <c r="B1004" t="s">
        <v>3721</v>
      </c>
      <c r="C1004">
        <f>Games!D49</f>
        <v>0</v>
      </c>
      <c r="D1004">
        <v>0</v>
      </c>
      <c r="E1004" s="2" t="s">
        <v>3255</v>
      </c>
      <c r="F1004" s="2" t="e">
        <f>VLOOKUP(JudgeD1GamesAerial,Judges!$A$2:$B$44,2,FALSE)</f>
        <v>#N/A</v>
      </c>
      <c r="G1004" t="str">
        <f>IF(Games!O49="P","Pass",IF(Games!O49="F","Fail",""))</f>
        <v/>
      </c>
    </row>
    <row r="1005" spans="1:7" x14ac:dyDescent="0.25">
      <c r="A1005">
        <f t="shared" si="22"/>
        <v>0</v>
      </c>
      <c r="B1005" t="s">
        <v>3721</v>
      </c>
      <c r="C1005">
        <f>Games!D50</f>
        <v>0</v>
      </c>
      <c r="D1005">
        <v>0</v>
      </c>
      <c r="E1005" s="2" t="s">
        <v>3255</v>
      </c>
      <c r="F1005" s="2" t="e">
        <f>VLOOKUP(JudgeD1GamesAerial,Judges!$A$2:$B$44,2,FALSE)</f>
        <v>#N/A</v>
      </c>
      <c r="G1005" t="str">
        <f>IF(Games!O50="P","Pass",IF(Games!O50="F","Fail",""))</f>
        <v/>
      </c>
    </row>
    <row r="1006" spans="1:7" x14ac:dyDescent="0.25">
      <c r="A1006">
        <f t="shared" si="22"/>
        <v>0</v>
      </c>
      <c r="B1006" t="s">
        <v>3721</v>
      </c>
      <c r="C1006">
        <f>Games!D51</f>
        <v>0</v>
      </c>
      <c r="D1006">
        <v>0</v>
      </c>
      <c r="E1006" s="2" t="s">
        <v>3255</v>
      </c>
      <c r="F1006" s="2" t="e">
        <f>VLOOKUP(JudgeD1GamesAerial,Judges!$A$2:$B$44,2,FALSE)</f>
        <v>#N/A</v>
      </c>
      <c r="G1006" t="str">
        <f>IF(Games!O51="P","Pass",IF(Games!O51="F","Fail",""))</f>
        <v/>
      </c>
    </row>
    <row r="1007" spans="1:7" x14ac:dyDescent="0.25">
      <c r="A1007">
        <f t="shared" si="22"/>
        <v>0</v>
      </c>
      <c r="B1007" t="s">
        <v>3721</v>
      </c>
      <c r="C1007">
        <f>Games!D52</f>
        <v>0</v>
      </c>
      <c r="D1007">
        <v>0</v>
      </c>
      <c r="E1007" s="2" t="s">
        <v>3255</v>
      </c>
      <c r="F1007" s="2" t="e">
        <f>VLOOKUP(JudgeD1GamesAerial,Judges!$A$2:$B$44,2,FALSE)</f>
        <v>#N/A</v>
      </c>
      <c r="G1007" t="str">
        <f>IF(Games!O52="P","Pass",IF(Games!O52="F","Fail",""))</f>
        <v/>
      </c>
    </row>
    <row r="1008" spans="1:7" x14ac:dyDescent="0.25">
      <c r="A1008">
        <f t="shared" si="22"/>
        <v>0</v>
      </c>
      <c r="B1008" t="s">
        <v>3721</v>
      </c>
      <c r="C1008">
        <f>Games!D53</f>
        <v>0</v>
      </c>
      <c r="D1008">
        <v>0</v>
      </c>
      <c r="E1008" s="2" t="s">
        <v>3255</v>
      </c>
      <c r="F1008" s="2" t="e">
        <f>VLOOKUP(JudgeD1GamesAerial,Judges!$A$2:$B$44,2,FALSE)</f>
        <v>#N/A</v>
      </c>
      <c r="G1008" t="str">
        <f>IF(Games!O53="P","Pass",IF(Games!O53="F","Fail",""))</f>
        <v/>
      </c>
    </row>
    <row r="1009" spans="1:7" x14ac:dyDescent="0.25">
      <c r="A1009">
        <f t="shared" si="22"/>
        <v>0</v>
      </c>
      <c r="B1009" t="s">
        <v>3721</v>
      </c>
      <c r="C1009">
        <f>Games!D54</f>
        <v>0</v>
      </c>
      <c r="D1009">
        <v>0</v>
      </c>
      <c r="E1009" s="2" t="s">
        <v>3255</v>
      </c>
      <c r="F1009" s="2" t="e">
        <f>VLOOKUP(JudgeD1GamesAerial,Judges!$A$2:$B$44,2,FALSE)</f>
        <v>#N/A</v>
      </c>
      <c r="G1009" t="str">
        <f>IF(Games!O54="P","Pass",IF(Games!O54="F","Fail",""))</f>
        <v/>
      </c>
    </row>
    <row r="1010" spans="1:7" x14ac:dyDescent="0.25">
      <c r="A1010">
        <f t="shared" si="22"/>
        <v>0</v>
      </c>
      <c r="B1010" t="s">
        <v>3721</v>
      </c>
      <c r="C1010">
        <f>Games!D55</f>
        <v>0</v>
      </c>
      <c r="D1010">
        <v>0</v>
      </c>
      <c r="E1010" s="2" t="s">
        <v>3255</v>
      </c>
      <c r="F1010" s="2" t="e">
        <f>VLOOKUP(JudgeD1GamesAerial,Judges!$A$2:$B$44,2,FALSE)</f>
        <v>#N/A</v>
      </c>
      <c r="G1010" t="str">
        <f>IF(Games!O55="P","Pass",IF(Games!O55="F","Fail",""))</f>
        <v/>
      </c>
    </row>
    <row r="1011" spans="1:7" x14ac:dyDescent="0.25">
      <c r="A1011">
        <f t="shared" si="22"/>
        <v>0</v>
      </c>
      <c r="B1011" t="s">
        <v>3721</v>
      </c>
      <c r="C1011">
        <f>Games!D56</f>
        <v>0</v>
      </c>
      <c r="D1011">
        <v>0</v>
      </c>
      <c r="E1011" s="2" t="s">
        <v>3255</v>
      </c>
      <c r="F1011" s="2" t="e">
        <f>VLOOKUP(JudgeD1GamesAerial,Judges!$A$2:$B$44,2,FALSE)</f>
        <v>#N/A</v>
      </c>
      <c r="G1011" t="str">
        <f>IF(Games!O56="P","Pass",IF(Games!O56="F","Fail",""))</f>
        <v/>
      </c>
    </row>
    <row r="1012" spans="1:7" x14ac:dyDescent="0.25">
      <c r="A1012">
        <f t="shared" si="22"/>
        <v>0</v>
      </c>
      <c r="B1012" t="s">
        <v>3722</v>
      </c>
      <c r="C1012">
        <f>Games!D7</f>
        <v>0</v>
      </c>
      <c r="D1012">
        <v>0</v>
      </c>
      <c r="E1012" s="2" t="s">
        <v>3255</v>
      </c>
      <c r="F1012" s="2" t="e">
        <f>VLOOKUP(JudgeD1GamesDistance,Judges!$A$2:$B$44,2,FALSE)</f>
        <v>#N/A</v>
      </c>
      <c r="G1012" t="str">
        <f>IF(Games!V7="P","Pass",IF(Games!V7="F","Fail",""))</f>
        <v/>
      </c>
    </row>
    <row r="1013" spans="1:7" x14ac:dyDescent="0.25">
      <c r="A1013">
        <f t="shared" si="22"/>
        <v>0</v>
      </c>
      <c r="B1013" t="s">
        <v>3722</v>
      </c>
      <c r="C1013">
        <f>Games!D8</f>
        <v>0</v>
      </c>
      <c r="D1013">
        <v>0</v>
      </c>
      <c r="E1013" s="2" t="s">
        <v>3255</v>
      </c>
      <c r="F1013" s="2" t="e">
        <f>VLOOKUP(JudgeD1GamesDistance,Judges!$A$2:$B$44,2,FALSE)</f>
        <v>#N/A</v>
      </c>
      <c r="G1013" t="str">
        <f>IF(Games!V8="P","Pass",IF(Games!V8="F","Fail",""))</f>
        <v/>
      </c>
    </row>
    <row r="1014" spans="1:7" x14ac:dyDescent="0.25">
      <c r="A1014">
        <f t="shared" si="22"/>
        <v>0</v>
      </c>
      <c r="B1014" t="s">
        <v>3722</v>
      </c>
      <c r="C1014">
        <f>Games!D9</f>
        <v>0</v>
      </c>
      <c r="D1014">
        <v>0</v>
      </c>
      <c r="E1014" s="2" t="s">
        <v>3255</v>
      </c>
      <c r="F1014" s="2" t="e">
        <f>VLOOKUP(JudgeD1GamesDistance,Judges!$A$2:$B$44,2,FALSE)</f>
        <v>#N/A</v>
      </c>
      <c r="G1014" t="str">
        <f>IF(Games!V9="P","Pass",IF(Games!V9="F","Fail",""))</f>
        <v/>
      </c>
    </row>
    <row r="1015" spans="1:7" x14ac:dyDescent="0.25">
      <c r="A1015">
        <f t="shared" si="22"/>
        <v>0</v>
      </c>
      <c r="B1015" t="s">
        <v>3722</v>
      </c>
      <c r="C1015">
        <f>Games!D10</f>
        <v>0</v>
      </c>
      <c r="D1015">
        <v>0</v>
      </c>
      <c r="E1015" s="2" t="s">
        <v>3255</v>
      </c>
      <c r="F1015" s="2" t="e">
        <f>VLOOKUP(JudgeD1GamesDistance,Judges!$A$2:$B$44,2,FALSE)</f>
        <v>#N/A</v>
      </c>
      <c r="G1015" t="str">
        <f>IF(Games!V10="P","Pass",IF(Games!V10="F","Fail",""))</f>
        <v/>
      </c>
    </row>
    <row r="1016" spans="1:7" x14ac:dyDescent="0.25">
      <c r="A1016">
        <f t="shared" si="22"/>
        <v>0</v>
      </c>
      <c r="B1016" t="s">
        <v>3722</v>
      </c>
      <c r="C1016">
        <f>Games!D11</f>
        <v>0</v>
      </c>
      <c r="D1016">
        <v>0</v>
      </c>
      <c r="E1016" s="2" t="s">
        <v>3255</v>
      </c>
      <c r="F1016" s="2" t="e">
        <f>VLOOKUP(JudgeD1GamesDistance,Judges!$A$2:$B$44,2,FALSE)</f>
        <v>#N/A</v>
      </c>
      <c r="G1016" t="str">
        <f>IF(Games!V11="P","Pass",IF(Games!V11="F","Fail",""))</f>
        <v/>
      </c>
    </row>
    <row r="1017" spans="1:7" x14ac:dyDescent="0.25">
      <c r="A1017">
        <f t="shared" si="22"/>
        <v>0</v>
      </c>
      <c r="B1017" t="s">
        <v>3722</v>
      </c>
      <c r="C1017">
        <f>Games!D12</f>
        <v>0</v>
      </c>
      <c r="D1017">
        <v>0</v>
      </c>
      <c r="E1017" s="2" t="s">
        <v>3255</v>
      </c>
      <c r="F1017" s="2" t="e">
        <f>VLOOKUP(JudgeD1GamesDistance,Judges!$A$2:$B$44,2,FALSE)</f>
        <v>#N/A</v>
      </c>
      <c r="G1017" t="str">
        <f>IF(Games!V12="P","Pass",IF(Games!V12="F","Fail",""))</f>
        <v/>
      </c>
    </row>
    <row r="1018" spans="1:7" x14ac:dyDescent="0.25">
      <c r="A1018">
        <f t="shared" si="22"/>
        <v>0</v>
      </c>
      <c r="B1018" t="s">
        <v>3722</v>
      </c>
      <c r="C1018">
        <f>Games!D13</f>
        <v>0</v>
      </c>
      <c r="D1018">
        <v>0</v>
      </c>
      <c r="E1018" s="2" t="s">
        <v>3255</v>
      </c>
      <c r="F1018" s="2" t="e">
        <f>VLOOKUP(JudgeD1GamesDistance,Judges!$A$2:$B$44,2,FALSE)</f>
        <v>#N/A</v>
      </c>
      <c r="G1018" t="str">
        <f>IF(Games!V13="P","Pass",IF(Games!V13="F","Fail",""))</f>
        <v/>
      </c>
    </row>
    <row r="1019" spans="1:7" x14ac:dyDescent="0.25">
      <c r="A1019">
        <f t="shared" si="22"/>
        <v>0</v>
      </c>
      <c r="B1019" t="s">
        <v>3722</v>
      </c>
      <c r="C1019">
        <f>Games!D14</f>
        <v>0</v>
      </c>
      <c r="D1019">
        <v>0</v>
      </c>
      <c r="E1019" s="2" t="s">
        <v>3255</v>
      </c>
      <c r="F1019" s="2" t="e">
        <f>VLOOKUP(JudgeD1GamesDistance,Judges!$A$2:$B$44,2,FALSE)</f>
        <v>#N/A</v>
      </c>
      <c r="G1019" t="str">
        <f>IF(Games!V14="P","Pass",IF(Games!V14="F","Fail",""))</f>
        <v/>
      </c>
    </row>
    <row r="1020" spans="1:7" x14ac:dyDescent="0.25">
      <c r="A1020">
        <f t="shared" si="22"/>
        <v>0</v>
      </c>
      <c r="B1020" t="s">
        <v>3722</v>
      </c>
      <c r="C1020">
        <f>Games!D15</f>
        <v>0</v>
      </c>
      <c r="D1020">
        <v>0</v>
      </c>
      <c r="E1020" s="2" t="s">
        <v>3255</v>
      </c>
      <c r="F1020" s="2" t="e">
        <f>VLOOKUP(JudgeD1GamesDistance,Judges!$A$2:$B$44,2,FALSE)</f>
        <v>#N/A</v>
      </c>
      <c r="G1020" t="str">
        <f>IF(Games!V15="P","Pass",IF(Games!V15="F","Fail",""))</f>
        <v/>
      </c>
    </row>
    <row r="1021" spans="1:7" x14ac:dyDescent="0.25">
      <c r="A1021">
        <f t="shared" si="22"/>
        <v>0</v>
      </c>
      <c r="B1021" t="s">
        <v>3722</v>
      </c>
      <c r="C1021">
        <f>Games!D16</f>
        <v>0</v>
      </c>
      <c r="D1021">
        <v>0</v>
      </c>
      <c r="E1021" s="2" t="s">
        <v>3255</v>
      </c>
      <c r="F1021" s="2" t="e">
        <f>VLOOKUP(JudgeD1GamesDistance,Judges!$A$2:$B$44,2,FALSE)</f>
        <v>#N/A</v>
      </c>
      <c r="G1021" t="str">
        <f>IF(Games!V16="P","Pass",IF(Games!V16="F","Fail",""))</f>
        <v/>
      </c>
    </row>
    <row r="1022" spans="1:7" x14ac:dyDescent="0.25">
      <c r="A1022">
        <f t="shared" si="22"/>
        <v>0</v>
      </c>
      <c r="B1022" t="s">
        <v>3722</v>
      </c>
      <c r="C1022">
        <f>Games!D17</f>
        <v>0</v>
      </c>
      <c r="D1022">
        <v>0</v>
      </c>
      <c r="E1022" s="2" t="s">
        <v>3255</v>
      </c>
      <c r="F1022" s="2" t="e">
        <f>VLOOKUP(JudgeD1GamesDistance,Judges!$A$2:$B$44,2,FALSE)</f>
        <v>#N/A</v>
      </c>
      <c r="G1022" t="str">
        <f>IF(Games!V17="P","Pass",IF(Games!V17="F","Fail",""))</f>
        <v/>
      </c>
    </row>
    <row r="1023" spans="1:7" x14ac:dyDescent="0.25">
      <c r="A1023">
        <f t="shared" si="22"/>
        <v>0</v>
      </c>
      <c r="B1023" t="s">
        <v>3722</v>
      </c>
      <c r="C1023">
        <f>Games!D18</f>
        <v>0</v>
      </c>
      <c r="D1023">
        <v>0</v>
      </c>
      <c r="E1023" s="2" t="s">
        <v>3255</v>
      </c>
      <c r="F1023" s="2" t="e">
        <f>VLOOKUP(JudgeD1GamesDistance,Judges!$A$2:$B$44,2,FALSE)</f>
        <v>#N/A</v>
      </c>
      <c r="G1023" t="str">
        <f>IF(Games!V18="P","Pass",IF(Games!V18="F","Fail",""))</f>
        <v/>
      </c>
    </row>
    <row r="1024" spans="1:7" x14ac:dyDescent="0.25">
      <c r="A1024">
        <f t="shared" si="22"/>
        <v>0</v>
      </c>
      <c r="B1024" t="s">
        <v>3722</v>
      </c>
      <c r="C1024">
        <f>Games!D19</f>
        <v>0</v>
      </c>
      <c r="D1024">
        <v>0</v>
      </c>
      <c r="E1024" s="2" t="s">
        <v>3255</v>
      </c>
      <c r="F1024" s="2" t="e">
        <f>VLOOKUP(JudgeD1GamesDistance,Judges!$A$2:$B$44,2,FALSE)</f>
        <v>#N/A</v>
      </c>
      <c r="G1024" t="str">
        <f>IF(Games!V19="P","Pass",IF(Games!V19="F","Fail",""))</f>
        <v/>
      </c>
    </row>
    <row r="1025" spans="1:7" x14ac:dyDescent="0.25">
      <c r="A1025">
        <f t="shared" si="22"/>
        <v>0</v>
      </c>
      <c r="B1025" t="s">
        <v>3722</v>
      </c>
      <c r="C1025">
        <f>Games!D20</f>
        <v>0</v>
      </c>
      <c r="D1025">
        <v>0</v>
      </c>
      <c r="E1025" s="2" t="s">
        <v>3255</v>
      </c>
      <c r="F1025" s="2" t="e">
        <f>VLOOKUP(JudgeD1GamesDistance,Judges!$A$2:$B$44,2,FALSE)</f>
        <v>#N/A</v>
      </c>
      <c r="G1025" t="str">
        <f>IF(Games!V20="P","Pass",IF(Games!V20="F","Fail",""))</f>
        <v/>
      </c>
    </row>
    <row r="1026" spans="1:7" x14ac:dyDescent="0.25">
      <c r="A1026">
        <f t="shared" ref="A1026:A1057" si="23">TrialNumber</f>
        <v>0</v>
      </c>
      <c r="B1026" t="s">
        <v>3722</v>
      </c>
      <c r="C1026">
        <f>Games!D21</f>
        <v>0</v>
      </c>
      <c r="D1026">
        <v>0</v>
      </c>
      <c r="E1026" s="2" t="s">
        <v>3255</v>
      </c>
      <c r="F1026" s="2" t="e">
        <f>VLOOKUP(JudgeD1GamesDistance,Judges!$A$2:$B$44,2,FALSE)</f>
        <v>#N/A</v>
      </c>
      <c r="G1026" t="str">
        <f>IF(Games!V21="P","Pass",IF(Games!V21="F","Fail",""))</f>
        <v/>
      </c>
    </row>
    <row r="1027" spans="1:7" x14ac:dyDescent="0.25">
      <c r="A1027">
        <f t="shared" si="23"/>
        <v>0</v>
      </c>
      <c r="B1027" t="s">
        <v>3722</v>
      </c>
      <c r="C1027">
        <f>Games!D22</f>
        <v>0</v>
      </c>
      <c r="D1027">
        <v>0</v>
      </c>
      <c r="E1027" s="2" t="s">
        <v>3255</v>
      </c>
      <c r="F1027" s="2" t="e">
        <f>VLOOKUP(JudgeD1GamesDistance,Judges!$A$2:$B$44,2,FALSE)</f>
        <v>#N/A</v>
      </c>
      <c r="G1027" t="str">
        <f>IF(Games!V22="P","Pass",IF(Games!V22="F","Fail",""))</f>
        <v/>
      </c>
    </row>
    <row r="1028" spans="1:7" x14ac:dyDescent="0.25">
      <c r="A1028">
        <f t="shared" si="23"/>
        <v>0</v>
      </c>
      <c r="B1028" t="s">
        <v>3722</v>
      </c>
      <c r="C1028">
        <f>Games!D23</f>
        <v>0</v>
      </c>
      <c r="D1028">
        <v>0</v>
      </c>
      <c r="E1028" s="2" t="s">
        <v>3255</v>
      </c>
      <c r="F1028" s="2" t="e">
        <f>VLOOKUP(JudgeD1GamesDistance,Judges!$A$2:$B$44,2,FALSE)</f>
        <v>#N/A</v>
      </c>
      <c r="G1028" t="str">
        <f>IF(Games!V23="P","Pass",IF(Games!V23="F","Fail",""))</f>
        <v/>
      </c>
    </row>
    <row r="1029" spans="1:7" x14ac:dyDescent="0.25">
      <c r="A1029">
        <f t="shared" si="23"/>
        <v>0</v>
      </c>
      <c r="B1029" t="s">
        <v>3722</v>
      </c>
      <c r="C1029">
        <f>Games!D24</f>
        <v>0</v>
      </c>
      <c r="D1029">
        <v>0</v>
      </c>
      <c r="E1029" s="2" t="s">
        <v>3255</v>
      </c>
      <c r="F1029" s="2" t="e">
        <f>VLOOKUP(JudgeD1GamesDistance,Judges!$A$2:$B$44,2,FALSE)</f>
        <v>#N/A</v>
      </c>
      <c r="G1029" t="str">
        <f>IF(Games!V24="P","Pass",IF(Games!V24="F","Fail",""))</f>
        <v/>
      </c>
    </row>
    <row r="1030" spans="1:7" x14ac:dyDescent="0.25">
      <c r="A1030">
        <f t="shared" si="23"/>
        <v>0</v>
      </c>
      <c r="B1030" t="s">
        <v>3722</v>
      </c>
      <c r="C1030">
        <f>Games!D25</f>
        <v>0</v>
      </c>
      <c r="D1030">
        <v>0</v>
      </c>
      <c r="E1030" s="2" t="s">
        <v>3255</v>
      </c>
      <c r="F1030" s="2" t="e">
        <f>VLOOKUP(JudgeD1GamesDistance,Judges!$A$2:$B$44,2,FALSE)</f>
        <v>#N/A</v>
      </c>
      <c r="G1030" t="str">
        <f>IF(Games!V25="P","Pass",IF(Games!V25="F","Fail",""))</f>
        <v/>
      </c>
    </row>
    <row r="1031" spans="1:7" x14ac:dyDescent="0.25">
      <c r="A1031">
        <f t="shared" si="23"/>
        <v>0</v>
      </c>
      <c r="B1031" t="s">
        <v>3722</v>
      </c>
      <c r="C1031">
        <f>Games!D26</f>
        <v>0</v>
      </c>
      <c r="D1031">
        <v>0</v>
      </c>
      <c r="E1031" s="2" t="s">
        <v>3255</v>
      </c>
      <c r="F1031" s="2" t="e">
        <f>VLOOKUP(JudgeD1GamesDistance,Judges!$A$2:$B$44,2,FALSE)</f>
        <v>#N/A</v>
      </c>
      <c r="G1031" t="str">
        <f>IF(Games!V26="P","Pass",IF(Games!V26="F","Fail",""))</f>
        <v/>
      </c>
    </row>
    <row r="1032" spans="1:7" x14ac:dyDescent="0.25">
      <c r="A1032">
        <f t="shared" si="23"/>
        <v>0</v>
      </c>
      <c r="B1032" t="s">
        <v>3722</v>
      </c>
      <c r="C1032">
        <f>Games!D27</f>
        <v>0</v>
      </c>
      <c r="D1032">
        <v>0</v>
      </c>
      <c r="E1032" s="2" t="s">
        <v>3255</v>
      </c>
      <c r="F1032" s="2" t="e">
        <f>VLOOKUP(JudgeD1GamesDistance,Judges!$A$2:$B$44,2,FALSE)</f>
        <v>#N/A</v>
      </c>
      <c r="G1032" t="str">
        <f>IF(Games!V27="P","Pass",IF(Games!V27="F","Fail",""))</f>
        <v/>
      </c>
    </row>
    <row r="1033" spans="1:7" x14ac:dyDescent="0.25">
      <c r="A1033">
        <f t="shared" si="23"/>
        <v>0</v>
      </c>
      <c r="B1033" t="s">
        <v>3722</v>
      </c>
      <c r="C1033">
        <f>Games!D28</f>
        <v>0</v>
      </c>
      <c r="D1033">
        <v>0</v>
      </c>
      <c r="E1033" s="2" t="s">
        <v>3255</v>
      </c>
      <c r="F1033" s="2" t="e">
        <f>VLOOKUP(JudgeD1GamesDistance,Judges!$A$2:$B$44,2,FALSE)</f>
        <v>#N/A</v>
      </c>
      <c r="G1033" t="str">
        <f>IF(Games!V28="P","Pass",IF(Games!V28="F","Fail",""))</f>
        <v/>
      </c>
    </row>
    <row r="1034" spans="1:7" x14ac:dyDescent="0.25">
      <c r="A1034">
        <f t="shared" si="23"/>
        <v>0</v>
      </c>
      <c r="B1034" t="s">
        <v>3722</v>
      </c>
      <c r="C1034">
        <f>Games!D29</f>
        <v>0</v>
      </c>
      <c r="D1034">
        <v>0</v>
      </c>
      <c r="E1034" s="2" t="s">
        <v>3255</v>
      </c>
      <c r="F1034" s="2" t="e">
        <f>VLOOKUP(JudgeD1GamesDistance,Judges!$A$2:$B$44,2,FALSE)</f>
        <v>#N/A</v>
      </c>
      <c r="G1034" t="str">
        <f>IF(Games!V29="P","Pass",IF(Games!V29="F","Fail",""))</f>
        <v/>
      </c>
    </row>
    <row r="1035" spans="1:7" x14ac:dyDescent="0.25">
      <c r="A1035">
        <f t="shared" si="23"/>
        <v>0</v>
      </c>
      <c r="B1035" t="s">
        <v>3722</v>
      </c>
      <c r="C1035">
        <f>Games!D30</f>
        <v>0</v>
      </c>
      <c r="D1035">
        <v>0</v>
      </c>
      <c r="E1035" s="2" t="s">
        <v>3255</v>
      </c>
      <c r="F1035" s="2" t="e">
        <f>VLOOKUP(JudgeD1GamesDistance,Judges!$A$2:$B$44,2,FALSE)</f>
        <v>#N/A</v>
      </c>
      <c r="G1035" t="str">
        <f>IF(Games!V30="P","Pass",IF(Games!V30="F","Fail",""))</f>
        <v/>
      </c>
    </row>
    <row r="1036" spans="1:7" x14ac:dyDescent="0.25">
      <c r="A1036">
        <f t="shared" si="23"/>
        <v>0</v>
      </c>
      <c r="B1036" t="s">
        <v>3722</v>
      </c>
      <c r="C1036">
        <f>Games!D31</f>
        <v>0</v>
      </c>
      <c r="D1036">
        <v>0</v>
      </c>
      <c r="E1036" s="2" t="s">
        <v>3255</v>
      </c>
      <c r="F1036" s="2" t="e">
        <f>VLOOKUP(JudgeD1GamesDistance,Judges!$A$2:$B$44,2,FALSE)</f>
        <v>#N/A</v>
      </c>
      <c r="G1036" t="str">
        <f>IF(Games!V31="P","Pass",IF(Games!V31="F","Fail",""))</f>
        <v/>
      </c>
    </row>
    <row r="1037" spans="1:7" x14ac:dyDescent="0.25">
      <c r="A1037">
        <f t="shared" si="23"/>
        <v>0</v>
      </c>
      <c r="B1037" t="s">
        <v>3722</v>
      </c>
      <c r="C1037">
        <f>Games!D32</f>
        <v>0</v>
      </c>
      <c r="D1037">
        <v>0</v>
      </c>
      <c r="E1037" s="2" t="s">
        <v>3255</v>
      </c>
      <c r="F1037" s="2" t="e">
        <f>VLOOKUP(JudgeD1GamesDistance,Judges!$A$2:$B$44,2,FALSE)</f>
        <v>#N/A</v>
      </c>
      <c r="G1037" t="str">
        <f>IF(Games!V32="P","Pass",IF(Games!V32="F","Fail",""))</f>
        <v/>
      </c>
    </row>
    <row r="1038" spans="1:7" x14ac:dyDescent="0.25">
      <c r="A1038">
        <f t="shared" si="23"/>
        <v>0</v>
      </c>
      <c r="B1038" t="s">
        <v>3722</v>
      </c>
      <c r="C1038">
        <f>Games!D33</f>
        <v>0</v>
      </c>
      <c r="D1038">
        <v>0</v>
      </c>
      <c r="E1038" s="2" t="s">
        <v>3255</v>
      </c>
      <c r="F1038" s="2" t="e">
        <f>VLOOKUP(JudgeD1GamesDistance,Judges!$A$2:$B$44,2,FALSE)</f>
        <v>#N/A</v>
      </c>
      <c r="G1038" t="str">
        <f>IF(Games!V33="P","Pass",IF(Games!V33="F","Fail",""))</f>
        <v/>
      </c>
    </row>
    <row r="1039" spans="1:7" x14ac:dyDescent="0.25">
      <c r="A1039">
        <f t="shared" si="23"/>
        <v>0</v>
      </c>
      <c r="B1039" t="s">
        <v>3722</v>
      </c>
      <c r="C1039">
        <f>Games!D34</f>
        <v>0</v>
      </c>
      <c r="D1039">
        <v>0</v>
      </c>
      <c r="E1039" s="2" t="s">
        <v>3255</v>
      </c>
      <c r="F1039" s="2" t="e">
        <f>VLOOKUP(JudgeD1GamesDistance,Judges!$A$2:$B$44,2,FALSE)</f>
        <v>#N/A</v>
      </c>
      <c r="G1039" t="str">
        <f>IF(Games!V34="P","Pass",IF(Games!V34="F","Fail",""))</f>
        <v/>
      </c>
    </row>
    <row r="1040" spans="1:7" x14ac:dyDescent="0.25">
      <c r="A1040">
        <f t="shared" si="23"/>
        <v>0</v>
      </c>
      <c r="B1040" t="s">
        <v>3722</v>
      </c>
      <c r="C1040">
        <f>Games!D35</f>
        <v>0</v>
      </c>
      <c r="D1040">
        <v>0</v>
      </c>
      <c r="E1040" s="2" t="s">
        <v>3255</v>
      </c>
      <c r="F1040" s="2" t="e">
        <f>VLOOKUP(JudgeD1GamesDistance,Judges!$A$2:$B$44,2,FALSE)</f>
        <v>#N/A</v>
      </c>
      <c r="G1040" t="str">
        <f>IF(Games!V35="P","Pass",IF(Games!V35="F","Fail",""))</f>
        <v/>
      </c>
    </row>
    <row r="1041" spans="1:7" x14ac:dyDescent="0.25">
      <c r="A1041">
        <f t="shared" si="23"/>
        <v>0</v>
      </c>
      <c r="B1041" t="s">
        <v>3722</v>
      </c>
      <c r="C1041">
        <f>Games!D36</f>
        <v>0</v>
      </c>
      <c r="D1041">
        <v>0</v>
      </c>
      <c r="E1041" s="2" t="s">
        <v>3255</v>
      </c>
      <c r="F1041" s="2" t="e">
        <f>VLOOKUP(JudgeD1GamesDistance,Judges!$A$2:$B$44,2,FALSE)</f>
        <v>#N/A</v>
      </c>
      <c r="G1041" t="str">
        <f>IF(Games!V36="P","Pass",IF(Games!V36="F","Fail",""))</f>
        <v/>
      </c>
    </row>
    <row r="1042" spans="1:7" x14ac:dyDescent="0.25">
      <c r="A1042">
        <f t="shared" si="23"/>
        <v>0</v>
      </c>
      <c r="B1042" t="s">
        <v>3722</v>
      </c>
      <c r="C1042">
        <f>Games!D37</f>
        <v>0</v>
      </c>
      <c r="D1042">
        <v>0</v>
      </c>
      <c r="E1042" s="2" t="s">
        <v>3255</v>
      </c>
      <c r="F1042" s="2" t="e">
        <f>VLOOKUP(JudgeD1GamesDistance,Judges!$A$2:$B$44,2,FALSE)</f>
        <v>#N/A</v>
      </c>
      <c r="G1042" t="str">
        <f>IF(Games!V37="P","Pass",IF(Games!V37="F","Fail",""))</f>
        <v/>
      </c>
    </row>
    <row r="1043" spans="1:7" x14ac:dyDescent="0.25">
      <c r="A1043">
        <f t="shared" si="23"/>
        <v>0</v>
      </c>
      <c r="B1043" t="s">
        <v>3722</v>
      </c>
      <c r="C1043">
        <f>Games!D38</f>
        <v>0</v>
      </c>
      <c r="D1043">
        <v>0</v>
      </c>
      <c r="E1043" s="2" t="s">
        <v>3255</v>
      </c>
      <c r="F1043" s="2" t="e">
        <f>VLOOKUP(JudgeD1GamesDistance,Judges!$A$2:$B$44,2,FALSE)</f>
        <v>#N/A</v>
      </c>
      <c r="G1043" t="str">
        <f>IF(Games!V38="P","Pass",IF(Games!V38="F","Fail",""))</f>
        <v/>
      </c>
    </row>
    <row r="1044" spans="1:7" x14ac:dyDescent="0.25">
      <c r="A1044">
        <f t="shared" si="23"/>
        <v>0</v>
      </c>
      <c r="B1044" t="s">
        <v>3722</v>
      </c>
      <c r="C1044">
        <f>Games!D39</f>
        <v>0</v>
      </c>
      <c r="D1044">
        <v>0</v>
      </c>
      <c r="E1044" s="2" t="s">
        <v>3255</v>
      </c>
      <c r="F1044" s="2" t="e">
        <f>VLOOKUP(JudgeD1GamesDistance,Judges!$A$2:$B$44,2,FALSE)</f>
        <v>#N/A</v>
      </c>
      <c r="G1044" t="str">
        <f>IF(Games!V39="P","Pass",IF(Games!V39="F","Fail",""))</f>
        <v/>
      </c>
    </row>
    <row r="1045" spans="1:7" x14ac:dyDescent="0.25">
      <c r="A1045">
        <f t="shared" si="23"/>
        <v>0</v>
      </c>
      <c r="B1045" t="s">
        <v>3722</v>
      </c>
      <c r="C1045">
        <f>Games!D40</f>
        <v>0</v>
      </c>
      <c r="D1045">
        <v>0</v>
      </c>
      <c r="E1045" s="2" t="s">
        <v>3255</v>
      </c>
      <c r="F1045" s="2" t="e">
        <f>VLOOKUP(JudgeD1GamesDistance,Judges!$A$2:$B$44,2,FALSE)</f>
        <v>#N/A</v>
      </c>
      <c r="G1045" t="str">
        <f>IF(Games!V40="P","Pass",IF(Games!V40="F","Fail",""))</f>
        <v/>
      </c>
    </row>
    <row r="1046" spans="1:7" x14ac:dyDescent="0.25">
      <c r="A1046">
        <f t="shared" si="23"/>
        <v>0</v>
      </c>
      <c r="B1046" t="s">
        <v>3722</v>
      </c>
      <c r="C1046">
        <f>Games!D41</f>
        <v>0</v>
      </c>
      <c r="D1046">
        <v>0</v>
      </c>
      <c r="E1046" s="2" t="s">
        <v>3255</v>
      </c>
      <c r="F1046" s="2" t="e">
        <f>VLOOKUP(JudgeD1GamesDistance,Judges!$A$2:$B$44,2,FALSE)</f>
        <v>#N/A</v>
      </c>
      <c r="G1046" t="str">
        <f>IF(Games!V41="P","Pass",IF(Games!V41="F","Fail",""))</f>
        <v/>
      </c>
    </row>
    <row r="1047" spans="1:7" x14ac:dyDescent="0.25">
      <c r="A1047">
        <f t="shared" si="23"/>
        <v>0</v>
      </c>
      <c r="B1047" t="s">
        <v>3722</v>
      </c>
      <c r="C1047">
        <f>Games!D42</f>
        <v>0</v>
      </c>
      <c r="D1047">
        <v>0</v>
      </c>
      <c r="E1047" s="2" t="s">
        <v>3255</v>
      </c>
      <c r="F1047" s="2" t="e">
        <f>VLOOKUP(JudgeD1GamesDistance,Judges!$A$2:$B$44,2,FALSE)</f>
        <v>#N/A</v>
      </c>
      <c r="G1047" t="str">
        <f>IF(Games!V42="P","Pass",IF(Games!V42="F","Fail",""))</f>
        <v/>
      </c>
    </row>
    <row r="1048" spans="1:7" x14ac:dyDescent="0.25">
      <c r="A1048">
        <f t="shared" si="23"/>
        <v>0</v>
      </c>
      <c r="B1048" t="s">
        <v>3722</v>
      </c>
      <c r="C1048">
        <f>Games!D43</f>
        <v>0</v>
      </c>
      <c r="D1048">
        <v>0</v>
      </c>
      <c r="E1048" s="2" t="s">
        <v>3255</v>
      </c>
      <c r="F1048" s="2" t="e">
        <f>VLOOKUP(JudgeD1GamesDistance,Judges!$A$2:$B$44,2,FALSE)</f>
        <v>#N/A</v>
      </c>
      <c r="G1048" t="str">
        <f>IF(Games!V43="P","Pass",IF(Games!V43="F","Fail",""))</f>
        <v/>
      </c>
    </row>
    <row r="1049" spans="1:7" x14ac:dyDescent="0.25">
      <c r="A1049">
        <f t="shared" si="23"/>
        <v>0</v>
      </c>
      <c r="B1049" t="s">
        <v>3722</v>
      </c>
      <c r="C1049">
        <f>Games!D44</f>
        <v>0</v>
      </c>
      <c r="D1049">
        <v>0</v>
      </c>
      <c r="E1049" s="2" t="s">
        <v>3255</v>
      </c>
      <c r="F1049" s="2" t="e">
        <f>VLOOKUP(JudgeD1GamesDistance,Judges!$A$2:$B$44,2,FALSE)</f>
        <v>#N/A</v>
      </c>
      <c r="G1049" t="str">
        <f>IF(Games!V44="P","Pass",IF(Games!V44="F","Fail",""))</f>
        <v/>
      </c>
    </row>
    <row r="1050" spans="1:7" x14ac:dyDescent="0.25">
      <c r="A1050">
        <f t="shared" si="23"/>
        <v>0</v>
      </c>
      <c r="B1050" t="s">
        <v>3722</v>
      </c>
      <c r="C1050">
        <f>Games!D45</f>
        <v>0</v>
      </c>
      <c r="D1050">
        <v>0</v>
      </c>
      <c r="E1050" s="2" t="s">
        <v>3255</v>
      </c>
      <c r="F1050" s="2" t="e">
        <f>VLOOKUP(JudgeD1GamesDistance,Judges!$A$2:$B$44,2,FALSE)</f>
        <v>#N/A</v>
      </c>
      <c r="G1050" t="str">
        <f>IF(Games!V45="P","Pass",IF(Games!V45="F","Fail",""))</f>
        <v/>
      </c>
    </row>
    <row r="1051" spans="1:7" x14ac:dyDescent="0.25">
      <c r="A1051">
        <f t="shared" si="23"/>
        <v>0</v>
      </c>
      <c r="B1051" t="s">
        <v>3722</v>
      </c>
      <c r="C1051">
        <f>Games!D46</f>
        <v>0</v>
      </c>
      <c r="D1051">
        <v>0</v>
      </c>
      <c r="E1051" s="2" t="s">
        <v>3255</v>
      </c>
      <c r="F1051" s="2" t="e">
        <f>VLOOKUP(JudgeD1GamesDistance,Judges!$A$2:$B$44,2,FALSE)</f>
        <v>#N/A</v>
      </c>
      <c r="G1051" t="str">
        <f>IF(Games!V46="P","Pass",IF(Games!V46="F","Fail",""))</f>
        <v/>
      </c>
    </row>
    <row r="1052" spans="1:7" x14ac:dyDescent="0.25">
      <c r="A1052">
        <f t="shared" si="23"/>
        <v>0</v>
      </c>
      <c r="B1052" t="s">
        <v>3722</v>
      </c>
      <c r="C1052">
        <f>Games!D47</f>
        <v>0</v>
      </c>
      <c r="D1052">
        <v>0</v>
      </c>
      <c r="E1052" s="2" t="s">
        <v>3255</v>
      </c>
      <c r="F1052" s="2" t="e">
        <f>VLOOKUP(JudgeD1GamesDistance,Judges!$A$2:$B$44,2,FALSE)</f>
        <v>#N/A</v>
      </c>
      <c r="G1052" t="str">
        <f>IF(Games!V47="P","Pass",IF(Games!V47="F","Fail",""))</f>
        <v/>
      </c>
    </row>
    <row r="1053" spans="1:7" x14ac:dyDescent="0.25">
      <c r="A1053">
        <f t="shared" si="23"/>
        <v>0</v>
      </c>
      <c r="B1053" t="s">
        <v>3722</v>
      </c>
      <c r="C1053">
        <f>Games!D48</f>
        <v>0</v>
      </c>
      <c r="D1053">
        <v>0</v>
      </c>
      <c r="E1053" s="2" t="s">
        <v>3255</v>
      </c>
      <c r="F1053" s="2" t="e">
        <f>VLOOKUP(JudgeD1GamesDistance,Judges!$A$2:$B$44,2,FALSE)</f>
        <v>#N/A</v>
      </c>
      <c r="G1053" t="str">
        <f>IF(Games!V48="P","Pass",IF(Games!V48="F","Fail",""))</f>
        <v/>
      </c>
    </row>
    <row r="1054" spans="1:7" x14ac:dyDescent="0.25">
      <c r="A1054">
        <f t="shared" si="23"/>
        <v>0</v>
      </c>
      <c r="B1054" t="s">
        <v>3722</v>
      </c>
      <c r="C1054">
        <f>Games!D49</f>
        <v>0</v>
      </c>
      <c r="D1054">
        <v>0</v>
      </c>
      <c r="E1054" s="2" t="s">
        <v>3255</v>
      </c>
      <c r="F1054" s="2" t="e">
        <f>VLOOKUP(JudgeD1GamesDistance,Judges!$A$2:$B$44,2,FALSE)</f>
        <v>#N/A</v>
      </c>
      <c r="G1054" t="str">
        <f>IF(Games!V49="P","Pass",IF(Games!V49="F","Fail",""))</f>
        <v/>
      </c>
    </row>
    <row r="1055" spans="1:7" x14ac:dyDescent="0.25">
      <c r="A1055">
        <f t="shared" si="23"/>
        <v>0</v>
      </c>
      <c r="B1055" t="s">
        <v>3722</v>
      </c>
      <c r="C1055">
        <f>Games!D50</f>
        <v>0</v>
      </c>
      <c r="D1055">
        <v>0</v>
      </c>
      <c r="E1055" s="2" t="s">
        <v>3255</v>
      </c>
      <c r="F1055" s="2" t="e">
        <f>VLOOKUP(JudgeD1GamesDistance,Judges!$A$2:$B$44,2,FALSE)</f>
        <v>#N/A</v>
      </c>
      <c r="G1055" t="str">
        <f>IF(Games!V50="P","Pass",IF(Games!V50="F","Fail",""))</f>
        <v/>
      </c>
    </row>
    <row r="1056" spans="1:7" x14ac:dyDescent="0.25">
      <c r="A1056">
        <f t="shared" si="23"/>
        <v>0</v>
      </c>
      <c r="B1056" t="s">
        <v>3722</v>
      </c>
      <c r="C1056">
        <f>Games!D51</f>
        <v>0</v>
      </c>
      <c r="D1056">
        <v>0</v>
      </c>
      <c r="E1056" s="2" t="s">
        <v>3255</v>
      </c>
      <c r="F1056" s="2" t="e">
        <f>VLOOKUP(JudgeD1GamesDistance,Judges!$A$2:$B$44,2,FALSE)</f>
        <v>#N/A</v>
      </c>
      <c r="G1056" t="str">
        <f>IF(Games!V51="P","Pass",IF(Games!V51="F","Fail",""))</f>
        <v/>
      </c>
    </row>
    <row r="1057" spans="1:7" x14ac:dyDescent="0.25">
      <c r="A1057">
        <f t="shared" si="23"/>
        <v>0</v>
      </c>
      <c r="B1057" t="s">
        <v>3722</v>
      </c>
      <c r="C1057">
        <f>Games!D52</f>
        <v>0</v>
      </c>
      <c r="D1057">
        <v>0</v>
      </c>
      <c r="E1057" s="2" t="s">
        <v>3255</v>
      </c>
      <c r="F1057" s="2" t="e">
        <f>VLOOKUP(JudgeD1GamesDistance,Judges!$A$2:$B$44,2,FALSE)</f>
        <v>#N/A</v>
      </c>
      <c r="G1057" t="str">
        <f>IF(Games!V52="P","Pass",IF(Games!V52="F","Fail",""))</f>
        <v/>
      </c>
    </row>
    <row r="1058" spans="1:7" x14ac:dyDescent="0.25">
      <c r="A1058">
        <f t="shared" ref="A1058:A1089" si="24">TrialNumber</f>
        <v>0</v>
      </c>
      <c r="B1058" t="s">
        <v>3722</v>
      </c>
      <c r="C1058">
        <f>Games!D53</f>
        <v>0</v>
      </c>
      <c r="D1058">
        <v>0</v>
      </c>
      <c r="E1058" s="2" t="s">
        <v>3255</v>
      </c>
      <c r="F1058" s="2" t="e">
        <f>VLOOKUP(JudgeD1GamesDistance,Judges!$A$2:$B$44,2,FALSE)</f>
        <v>#N/A</v>
      </c>
      <c r="G1058" t="str">
        <f>IF(Games!V53="P","Pass",IF(Games!V53="F","Fail",""))</f>
        <v/>
      </c>
    </row>
    <row r="1059" spans="1:7" x14ac:dyDescent="0.25">
      <c r="A1059">
        <f t="shared" si="24"/>
        <v>0</v>
      </c>
      <c r="B1059" t="s">
        <v>3722</v>
      </c>
      <c r="C1059">
        <f>Games!D54</f>
        <v>0</v>
      </c>
      <c r="D1059">
        <v>0</v>
      </c>
      <c r="E1059" s="2" t="s">
        <v>3255</v>
      </c>
      <c r="F1059" s="2" t="e">
        <f>VLOOKUP(JudgeD1GamesDistance,Judges!$A$2:$B$44,2,FALSE)</f>
        <v>#N/A</v>
      </c>
      <c r="G1059" t="str">
        <f>IF(Games!V54="P","Pass",IF(Games!V54="F","Fail",""))</f>
        <v/>
      </c>
    </row>
    <row r="1060" spans="1:7" x14ac:dyDescent="0.25">
      <c r="A1060">
        <f t="shared" si="24"/>
        <v>0</v>
      </c>
      <c r="B1060" t="s">
        <v>3722</v>
      </c>
      <c r="C1060">
        <f>Games!D55</f>
        <v>0</v>
      </c>
      <c r="D1060">
        <v>0</v>
      </c>
      <c r="E1060" s="2" t="s">
        <v>3255</v>
      </c>
      <c r="F1060" s="2" t="e">
        <f>VLOOKUP(JudgeD1GamesDistance,Judges!$A$2:$B$44,2,FALSE)</f>
        <v>#N/A</v>
      </c>
      <c r="G1060" t="str">
        <f>IF(Games!V55="P","Pass",IF(Games!V55="F","Fail",""))</f>
        <v/>
      </c>
    </row>
    <row r="1061" spans="1:7" x14ac:dyDescent="0.25">
      <c r="A1061">
        <f t="shared" si="24"/>
        <v>0</v>
      </c>
      <c r="B1061" t="s">
        <v>3722</v>
      </c>
      <c r="C1061">
        <f>Games!D56</f>
        <v>0</v>
      </c>
      <c r="D1061">
        <v>0</v>
      </c>
      <c r="E1061" s="2" t="s">
        <v>3255</v>
      </c>
      <c r="F1061" s="2" t="e">
        <f>VLOOKUP(JudgeD1GamesDistance,Judges!$A$2:$B$44,2,FALSE)</f>
        <v>#N/A</v>
      </c>
      <c r="G1061" t="str">
        <f>IF(Games!V56="P","Pass",IF(Games!V56="F","Fail",""))</f>
        <v/>
      </c>
    </row>
    <row r="1062" spans="1:7" x14ac:dyDescent="0.25">
      <c r="A1062">
        <f t="shared" si="24"/>
        <v>0</v>
      </c>
      <c r="B1062" t="s">
        <v>3724</v>
      </c>
      <c r="C1062">
        <f>Games!D7</f>
        <v>0</v>
      </c>
      <c r="D1062">
        <v>0</v>
      </c>
      <c r="E1062" s="2" t="s">
        <v>3255</v>
      </c>
      <c r="F1062" s="2" t="e">
        <f>VLOOKUP(JudgeD1GamesSpeed,Judges!$A$2:$B$44,2,FALSE)</f>
        <v>#N/A</v>
      </c>
      <c r="G1062" t="str">
        <f>IF(Games!AC7="P","Pass",IF(Games!AC7="F","Fail",""))</f>
        <v/>
      </c>
    </row>
    <row r="1063" spans="1:7" x14ac:dyDescent="0.25">
      <c r="A1063">
        <f t="shared" si="24"/>
        <v>0</v>
      </c>
      <c r="B1063" t="s">
        <v>3724</v>
      </c>
      <c r="C1063">
        <f>Games!D8</f>
        <v>0</v>
      </c>
      <c r="D1063">
        <v>0</v>
      </c>
      <c r="E1063" s="2" t="s">
        <v>3255</v>
      </c>
      <c r="F1063" s="2" t="e">
        <f>VLOOKUP(JudgeD1GamesSpeed,Judges!$A$2:$B$44,2,FALSE)</f>
        <v>#N/A</v>
      </c>
      <c r="G1063" t="str">
        <f>IF(Games!AC8="P","Pass",IF(Games!AC8="F","Fail",""))</f>
        <v/>
      </c>
    </row>
    <row r="1064" spans="1:7" x14ac:dyDescent="0.25">
      <c r="A1064">
        <f t="shared" si="24"/>
        <v>0</v>
      </c>
      <c r="B1064" t="s">
        <v>3724</v>
      </c>
      <c r="C1064">
        <f>Games!D9</f>
        <v>0</v>
      </c>
      <c r="D1064">
        <v>0</v>
      </c>
      <c r="E1064" s="2" t="s">
        <v>3255</v>
      </c>
      <c r="F1064" s="2" t="e">
        <f>VLOOKUP(JudgeD1GamesSpeed,Judges!$A$2:$B$44,2,FALSE)</f>
        <v>#N/A</v>
      </c>
      <c r="G1064" t="str">
        <f>IF(Games!AC9="P","Pass",IF(Games!AC9="F","Fail",""))</f>
        <v/>
      </c>
    </row>
    <row r="1065" spans="1:7" x14ac:dyDescent="0.25">
      <c r="A1065">
        <f t="shared" si="24"/>
        <v>0</v>
      </c>
      <c r="B1065" t="s">
        <v>3724</v>
      </c>
      <c r="C1065">
        <f>Games!D10</f>
        <v>0</v>
      </c>
      <c r="D1065">
        <v>0</v>
      </c>
      <c r="E1065" s="2" t="s">
        <v>3255</v>
      </c>
      <c r="F1065" s="2" t="e">
        <f>VLOOKUP(JudgeD1GamesSpeed,Judges!$A$2:$B$44,2,FALSE)</f>
        <v>#N/A</v>
      </c>
      <c r="G1065" t="str">
        <f>IF(Games!AC10="P","Pass",IF(Games!AC10="F","Fail",""))</f>
        <v/>
      </c>
    </row>
    <row r="1066" spans="1:7" x14ac:dyDescent="0.25">
      <c r="A1066">
        <f t="shared" si="24"/>
        <v>0</v>
      </c>
      <c r="B1066" t="s">
        <v>3724</v>
      </c>
      <c r="C1066">
        <f>Games!D11</f>
        <v>0</v>
      </c>
      <c r="D1066">
        <v>0</v>
      </c>
      <c r="E1066" s="2" t="s">
        <v>3255</v>
      </c>
      <c r="F1066" s="2" t="e">
        <f>VLOOKUP(JudgeD1GamesSpeed,Judges!$A$2:$B$44,2,FALSE)</f>
        <v>#N/A</v>
      </c>
      <c r="G1066" t="str">
        <f>IF(Games!AC11="P","Pass",IF(Games!AC11="F","Fail",""))</f>
        <v/>
      </c>
    </row>
    <row r="1067" spans="1:7" x14ac:dyDescent="0.25">
      <c r="A1067">
        <f t="shared" si="24"/>
        <v>0</v>
      </c>
      <c r="B1067" t="s">
        <v>3724</v>
      </c>
      <c r="C1067">
        <f>Games!D12</f>
        <v>0</v>
      </c>
      <c r="D1067">
        <v>0</v>
      </c>
      <c r="E1067" s="2" t="s">
        <v>3255</v>
      </c>
      <c r="F1067" s="2" t="e">
        <f>VLOOKUP(JudgeD1GamesSpeed,Judges!$A$2:$B$44,2,FALSE)</f>
        <v>#N/A</v>
      </c>
      <c r="G1067" t="str">
        <f>IF(Games!AC12="P","Pass",IF(Games!AC12="F","Fail",""))</f>
        <v/>
      </c>
    </row>
    <row r="1068" spans="1:7" x14ac:dyDescent="0.25">
      <c r="A1068">
        <f t="shared" si="24"/>
        <v>0</v>
      </c>
      <c r="B1068" t="s">
        <v>3724</v>
      </c>
      <c r="C1068">
        <f>Games!D13</f>
        <v>0</v>
      </c>
      <c r="D1068">
        <v>0</v>
      </c>
      <c r="E1068" s="2" t="s">
        <v>3255</v>
      </c>
      <c r="F1068" s="2" t="e">
        <f>VLOOKUP(JudgeD1GamesSpeed,Judges!$A$2:$B$44,2,FALSE)</f>
        <v>#N/A</v>
      </c>
      <c r="G1068" t="str">
        <f>IF(Games!AC13="P","Pass",IF(Games!AC13="F","Fail",""))</f>
        <v/>
      </c>
    </row>
    <row r="1069" spans="1:7" x14ac:dyDescent="0.25">
      <c r="A1069">
        <f t="shared" si="24"/>
        <v>0</v>
      </c>
      <c r="B1069" t="s">
        <v>3724</v>
      </c>
      <c r="C1069">
        <f>Games!D14</f>
        <v>0</v>
      </c>
      <c r="D1069">
        <v>0</v>
      </c>
      <c r="E1069" s="2" t="s">
        <v>3255</v>
      </c>
      <c r="F1069" s="2" t="e">
        <f>VLOOKUP(JudgeD1GamesSpeed,Judges!$A$2:$B$44,2,FALSE)</f>
        <v>#N/A</v>
      </c>
      <c r="G1069" t="str">
        <f>IF(Games!AC14="P","Pass",IF(Games!AC14="F","Fail",""))</f>
        <v/>
      </c>
    </row>
    <row r="1070" spans="1:7" x14ac:dyDescent="0.25">
      <c r="A1070">
        <f t="shared" si="24"/>
        <v>0</v>
      </c>
      <c r="B1070" t="s">
        <v>3724</v>
      </c>
      <c r="C1070">
        <f>Games!D15</f>
        <v>0</v>
      </c>
      <c r="D1070">
        <v>0</v>
      </c>
      <c r="E1070" s="2" t="s">
        <v>3255</v>
      </c>
      <c r="F1070" s="2" t="e">
        <f>VLOOKUP(JudgeD1GamesSpeed,Judges!$A$2:$B$44,2,FALSE)</f>
        <v>#N/A</v>
      </c>
      <c r="G1070" t="str">
        <f>IF(Games!AC15="P","Pass",IF(Games!AC15="F","Fail",""))</f>
        <v/>
      </c>
    </row>
    <row r="1071" spans="1:7" x14ac:dyDescent="0.25">
      <c r="A1071">
        <f t="shared" si="24"/>
        <v>0</v>
      </c>
      <c r="B1071" t="s">
        <v>3724</v>
      </c>
      <c r="C1071">
        <f>Games!D16</f>
        <v>0</v>
      </c>
      <c r="D1071">
        <v>0</v>
      </c>
      <c r="E1071" s="2" t="s">
        <v>3255</v>
      </c>
      <c r="F1071" s="2" t="e">
        <f>VLOOKUP(JudgeD1GamesSpeed,Judges!$A$2:$B$44,2,FALSE)</f>
        <v>#N/A</v>
      </c>
      <c r="G1071" t="str">
        <f>IF(Games!AC16="P","Pass",IF(Games!AC16="F","Fail",""))</f>
        <v/>
      </c>
    </row>
    <row r="1072" spans="1:7" x14ac:dyDescent="0.25">
      <c r="A1072">
        <f t="shared" si="24"/>
        <v>0</v>
      </c>
      <c r="B1072" t="s">
        <v>3724</v>
      </c>
      <c r="C1072">
        <f>Games!D17</f>
        <v>0</v>
      </c>
      <c r="D1072">
        <v>0</v>
      </c>
      <c r="E1072" s="2" t="s">
        <v>3255</v>
      </c>
      <c r="F1072" s="2" t="e">
        <f>VLOOKUP(JudgeD1GamesSpeed,Judges!$A$2:$B$44,2,FALSE)</f>
        <v>#N/A</v>
      </c>
      <c r="G1072" t="str">
        <f>IF(Games!AC17="P","Pass",IF(Games!AC17="F","Fail",""))</f>
        <v/>
      </c>
    </row>
    <row r="1073" spans="1:7" x14ac:dyDescent="0.25">
      <c r="A1073">
        <f t="shared" si="24"/>
        <v>0</v>
      </c>
      <c r="B1073" t="s">
        <v>3724</v>
      </c>
      <c r="C1073">
        <f>Games!D18</f>
        <v>0</v>
      </c>
      <c r="D1073">
        <v>0</v>
      </c>
      <c r="E1073" s="2" t="s">
        <v>3255</v>
      </c>
      <c r="F1073" s="2" t="e">
        <f>VLOOKUP(JudgeD1GamesSpeed,Judges!$A$2:$B$44,2,FALSE)</f>
        <v>#N/A</v>
      </c>
      <c r="G1073" t="str">
        <f>IF(Games!AC18="P","Pass",IF(Games!AC18="F","Fail",""))</f>
        <v/>
      </c>
    </row>
    <row r="1074" spans="1:7" x14ac:dyDescent="0.25">
      <c r="A1074">
        <f t="shared" si="24"/>
        <v>0</v>
      </c>
      <c r="B1074" t="s">
        <v>3724</v>
      </c>
      <c r="C1074">
        <f>Games!D19</f>
        <v>0</v>
      </c>
      <c r="D1074">
        <v>0</v>
      </c>
      <c r="E1074" s="2" t="s">
        <v>3255</v>
      </c>
      <c r="F1074" s="2" t="e">
        <f>VLOOKUP(JudgeD1GamesSpeed,Judges!$A$2:$B$44,2,FALSE)</f>
        <v>#N/A</v>
      </c>
      <c r="G1074" t="str">
        <f>IF(Games!AC19="P","Pass",IF(Games!AC19="F","Fail",""))</f>
        <v/>
      </c>
    </row>
    <row r="1075" spans="1:7" x14ac:dyDescent="0.25">
      <c r="A1075">
        <f t="shared" si="24"/>
        <v>0</v>
      </c>
      <c r="B1075" t="s">
        <v>3724</v>
      </c>
      <c r="C1075">
        <f>Games!D20</f>
        <v>0</v>
      </c>
      <c r="D1075">
        <v>0</v>
      </c>
      <c r="E1075" s="2" t="s">
        <v>3255</v>
      </c>
      <c r="F1075" s="2" t="e">
        <f>VLOOKUP(JudgeD1GamesSpeed,Judges!$A$2:$B$44,2,FALSE)</f>
        <v>#N/A</v>
      </c>
      <c r="G1075" t="str">
        <f>IF(Games!AC20="P","Pass",IF(Games!AC20="F","Fail",""))</f>
        <v/>
      </c>
    </row>
    <row r="1076" spans="1:7" x14ac:dyDescent="0.25">
      <c r="A1076">
        <f t="shared" si="24"/>
        <v>0</v>
      </c>
      <c r="B1076" t="s">
        <v>3724</v>
      </c>
      <c r="C1076">
        <f>Games!D21</f>
        <v>0</v>
      </c>
      <c r="D1076">
        <v>0</v>
      </c>
      <c r="E1076" s="2" t="s">
        <v>3255</v>
      </c>
      <c r="F1076" s="2" t="e">
        <f>VLOOKUP(JudgeD1GamesSpeed,Judges!$A$2:$B$44,2,FALSE)</f>
        <v>#N/A</v>
      </c>
      <c r="G1076" t="str">
        <f>IF(Games!AC21="P","Pass",IF(Games!AC21="F","Fail",""))</f>
        <v/>
      </c>
    </row>
    <row r="1077" spans="1:7" x14ac:dyDescent="0.25">
      <c r="A1077">
        <f t="shared" si="24"/>
        <v>0</v>
      </c>
      <c r="B1077" t="s">
        <v>3724</v>
      </c>
      <c r="C1077">
        <f>Games!D22</f>
        <v>0</v>
      </c>
      <c r="D1077">
        <v>0</v>
      </c>
      <c r="E1077" s="2" t="s">
        <v>3255</v>
      </c>
      <c r="F1077" s="2" t="e">
        <f>VLOOKUP(JudgeD1GamesSpeed,Judges!$A$2:$B$44,2,FALSE)</f>
        <v>#N/A</v>
      </c>
      <c r="G1077" t="str">
        <f>IF(Games!AC22="P","Pass",IF(Games!AC22="F","Fail",""))</f>
        <v/>
      </c>
    </row>
    <row r="1078" spans="1:7" x14ac:dyDescent="0.25">
      <c r="A1078">
        <f t="shared" si="24"/>
        <v>0</v>
      </c>
      <c r="B1078" t="s">
        <v>3724</v>
      </c>
      <c r="C1078">
        <f>Games!D23</f>
        <v>0</v>
      </c>
      <c r="D1078">
        <v>0</v>
      </c>
      <c r="E1078" s="2" t="s">
        <v>3255</v>
      </c>
      <c r="F1078" s="2" t="e">
        <f>VLOOKUP(JudgeD1GamesSpeed,Judges!$A$2:$B$44,2,FALSE)</f>
        <v>#N/A</v>
      </c>
      <c r="G1078" t="str">
        <f>IF(Games!AC23="P","Pass",IF(Games!AC23="F","Fail",""))</f>
        <v/>
      </c>
    </row>
    <row r="1079" spans="1:7" x14ac:dyDescent="0.25">
      <c r="A1079">
        <f t="shared" si="24"/>
        <v>0</v>
      </c>
      <c r="B1079" t="s">
        <v>3724</v>
      </c>
      <c r="C1079">
        <f>Games!D24</f>
        <v>0</v>
      </c>
      <c r="D1079">
        <v>0</v>
      </c>
      <c r="E1079" s="2" t="s">
        <v>3255</v>
      </c>
      <c r="F1079" s="2" t="e">
        <f>VLOOKUP(JudgeD1GamesSpeed,Judges!$A$2:$B$44,2,FALSE)</f>
        <v>#N/A</v>
      </c>
      <c r="G1079" t="str">
        <f>IF(Games!AC24="P","Pass",IF(Games!AC24="F","Fail",""))</f>
        <v/>
      </c>
    </row>
    <row r="1080" spans="1:7" x14ac:dyDescent="0.25">
      <c r="A1080">
        <f t="shared" si="24"/>
        <v>0</v>
      </c>
      <c r="B1080" t="s">
        <v>3724</v>
      </c>
      <c r="C1080">
        <f>Games!D25</f>
        <v>0</v>
      </c>
      <c r="D1080">
        <v>0</v>
      </c>
      <c r="E1080" s="2" t="s">
        <v>3255</v>
      </c>
      <c r="F1080" s="2" t="e">
        <f>VLOOKUP(JudgeD1GamesSpeed,Judges!$A$2:$B$44,2,FALSE)</f>
        <v>#N/A</v>
      </c>
      <c r="G1080" t="str">
        <f>IF(Games!AC25="P","Pass",IF(Games!AC25="F","Fail",""))</f>
        <v/>
      </c>
    </row>
    <row r="1081" spans="1:7" x14ac:dyDescent="0.25">
      <c r="A1081">
        <f t="shared" si="24"/>
        <v>0</v>
      </c>
      <c r="B1081" t="s">
        <v>3724</v>
      </c>
      <c r="C1081">
        <f>Games!D26</f>
        <v>0</v>
      </c>
      <c r="D1081">
        <v>0</v>
      </c>
      <c r="E1081" s="2" t="s">
        <v>3255</v>
      </c>
      <c r="F1081" s="2" t="e">
        <f>VLOOKUP(JudgeD1GamesSpeed,Judges!$A$2:$B$44,2,FALSE)</f>
        <v>#N/A</v>
      </c>
      <c r="G1081" t="str">
        <f>IF(Games!AC26="P","Pass",IF(Games!AC26="F","Fail",""))</f>
        <v/>
      </c>
    </row>
    <row r="1082" spans="1:7" x14ac:dyDescent="0.25">
      <c r="A1082">
        <f t="shared" si="24"/>
        <v>0</v>
      </c>
      <c r="B1082" t="s">
        <v>3724</v>
      </c>
      <c r="C1082">
        <f>Games!D27</f>
        <v>0</v>
      </c>
      <c r="D1082">
        <v>0</v>
      </c>
      <c r="E1082" s="2" t="s">
        <v>3255</v>
      </c>
      <c r="F1082" s="2" t="e">
        <f>VLOOKUP(JudgeD1GamesSpeed,Judges!$A$2:$B$44,2,FALSE)</f>
        <v>#N/A</v>
      </c>
      <c r="G1082" t="str">
        <f>IF(Games!AC27="P","Pass",IF(Games!AC27="F","Fail",""))</f>
        <v/>
      </c>
    </row>
    <row r="1083" spans="1:7" x14ac:dyDescent="0.25">
      <c r="A1083">
        <f t="shared" si="24"/>
        <v>0</v>
      </c>
      <c r="B1083" t="s">
        <v>3724</v>
      </c>
      <c r="C1083">
        <f>Games!D28</f>
        <v>0</v>
      </c>
      <c r="D1083">
        <v>0</v>
      </c>
      <c r="E1083" s="2" t="s">
        <v>3255</v>
      </c>
      <c r="F1083" s="2" t="e">
        <f>VLOOKUP(JudgeD1GamesSpeed,Judges!$A$2:$B$44,2,FALSE)</f>
        <v>#N/A</v>
      </c>
      <c r="G1083" t="str">
        <f>IF(Games!AC28="P","Pass",IF(Games!AC28="F","Fail",""))</f>
        <v/>
      </c>
    </row>
    <row r="1084" spans="1:7" x14ac:dyDescent="0.25">
      <c r="A1084">
        <f t="shared" si="24"/>
        <v>0</v>
      </c>
      <c r="B1084" t="s">
        <v>3724</v>
      </c>
      <c r="C1084">
        <f>Games!D29</f>
        <v>0</v>
      </c>
      <c r="D1084">
        <v>0</v>
      </c>
      <c r="E1084" s="2" t="s">
        <v>3255</v>
      </c>
      <c r="F1084" s="2" t="e">
        <f>VLOOKUP(JudgeD1GamesSpeed,Judges!$A$2:$B$44,2,FALSE)</f>
        <v>#N/A</v>
      </c>
      <c r="G1084" t="str">
        <f>IF(Games!AC29="P","Pass",IF(Games!AC29="F","Fail",""))</f>
        <v/>
      </c>
    </row>
    <row r="1085" spans="1:7" x14ac:dyDescent="0.25">
      <c r="A1085">
        <f t="shared" si="24"/>
        <v>0</v>
      </c>
      <c r="B1085" t="s">
        <v>3724</v>
      </c>
      <c r="C1085">
        <f>Games!D30</f>
        <v>0</v>
      </c>
      <c r="D1085">
        <v>0</v>
      </c>
      <c r="E1085" s="2" t="s">
        <v>3255</v>
      </c>
      <c r="F1085" s="2" t="e">
        <f>VLOOKUP(JudgeD1GamesSpeed,Judges!$A$2:$B$44,2,FALSE)</f>
        <v>#N/A</v>
      </c>
      <c r="G1085" t="str">
        <f>IF(Games!AC30="P","Pass",IF(Games!AC30="F","Fail",""))</f>
        <v/>
      </c>
    </row>
    <row r="1086" spans="1:7" x14ac:dyDescent="0.25">
      <c r="A1086">
        <f t="shared" si="24"/>
        <v>0</v>
      </c>
      <c r="B1086" t="s">
        <v>3724</v>
      </c>
      <c r="C1086">
        <f>Games!D31</f>
        <v>0</v>
      </c>
      <c r="D1086">
        <v>0</v>
      </c>
      <c r="E1086" s="2" t="s">
        <v>3255</v>
      </c>
      <c r="F1086" s="2" t="e">
        <f>VLOOKUP(JudgeD1GamesSpeed,Judges!$A$2:$B$44,2,FALSE)</f>
        <v>#N/A</v>
      </c>
      <c r="G1086" t="str">
        <f>IF(Games!AC31="P","Pass",IF(Games!AC31="F","Fail",""))</f>
        <v/>
      </c>
    </row>
    <row r="1087" spans="1:7" x14ac:dyDescent="0.25">
      <c r="A1087">
        <f t="shared" si="24"/>
        <v>0</v>
      </c>
      <c r="B1087" t="s">
        <v>3724</v>
      </c>
      <c r="C1087">
        <f>Games!D32</f>
        <v>0</v>
      </c>
      <c r="D1087">
        <v>0</v>
      </c>
      <c r="E1087" s="2" t="s">
        <v>3255</v>
      </c>
      <c r="F1087" s="2" t="e">
        <f>VLOOKUP(JudgeD1GamesSpeed,Judges!$A$2:$B$44,2,FALSE)</f>
        <v>#N/A</v>
      </c>
      <c r="G1087" t="str">
        <f>IF(Games!AC32="P","Pass",IF(Games!AC32="F","Fail",""))</f>
        <v/>
      </c>
    </row>
    <row r="1088" spans="1:7" x14ac:dyDescent="0.25">
      <c r="A1088">
        <f t="shared" si="24"/>
        <v>0</v>
      </c>
      <c r="B1088" t="s">
        <v>3724</v>
      </c>
      <c r="C1088">
        <f>Games!D33</f>
        <v>0</v>
      </c>
      <c r="D1088">
        <v>0</v>
      </c>
      <c r="E1088" s="2" t="s">
        <v>3255</v>
      </c>
      <c r="F1088" s="2" t="e">
        <f>VLOOKUP(JudgeD1GamesSpeed,Judges!$A$2:$B$44,2,FALSE)</f>
        <v>#N/A</v>
      </c>
      <c r="G1088" t="str">
        <f>IF(Games!AC33="P","Pass",IF(Games!AC33="F","Fail",""))</f>
        <v/>
      </c>
    </row>
    <row r="1089" spans="1:7" x14ac:dyDescent="0.25">
      <c r="A1089">
        <f t="shared" si="24"/>
        <v>0</v>
      </c>
      <c r="B1089" t="s">
        <v>3724</v>
      </c>
      <c r="C1089">
        <f>Games!D34</f>
        <v>0</v>
      </c>
      <c r="D1089">
        <v>0</v>
      </c>
      <c r="E1089" s="2" t="s">
        <v>3255</v>
      </c>
      <c r="F1089" s="2" t="e">
        <f>VLOOKUP(JudgeD1GamesSpeed,Judges!$A$2:$B$44,2,FALSE)</f>
        <v>#N/A</v>
      </c>
      <c r="G1089" t="str">
        <f>IF(Games!AC34="P","Pass",IF(Games!AC34="F","Fail",""))</f>
        <v/>
      </c>
    </row>
    <row r="1090" spans="1:7" x14ac:dyDescent="0.25">
      <c r="A1090">
        <f t="shared" ref="A1090:A1121" si="25">TrialNumber</f>
        <v>0</v>
      </c>
      <c r="B1090" t="s">
        <v>3724</v>
      </c>
      <c r="C1090">
        <f>Games!D35</f>
        <v>0</v>
      </c>
      <c r="D1090">
        <v>0</v>
      </c>
      <c r="E1090" s="2" t="s">
        <v>3255</v>
      </c>
      <c r="F1090" s="2" t="e">
        <f>VLOOKUP(JudgeD1GamesSpeed,Judges!$A$2:$B$44,2,FALSE)</f>
        <v>#N/A</v>
      </c>
      <c r="G1090" t="str">
        <f>IF(Games!AC35="P","Pass",IF(Games!AC35="F","Fail",""))</f>
        <v/>
      </c>
    </row>
    <row r="1091" spans="1:7" x14ac:dyDescent="0.25">
      <c r="A1091">
        <f t="shared" si="25"/>
        <v>0</v>
      </c>
      <c r="B1091" t="s">
        <v>3724</v>
      </c>
      <c r="C1091">
        <f>Games!D36</f>
        <v>0</v>
      </c>
      <c r="D1091">
        <v>0</v>
      </c>
      <c r="E1091" s="2" t="s">
        <v>3255</v>
      </c>
      <c r="F1091" s="2" t="e">
        <f>VLOOKUP(JudgeD1GamesSpeed,Judges!$A$2:$B$44,2,FALSE)</f>
        <v>#N/A</v>
      </c>
      <c r="G1091" t="str">
        <f>IF(Games!AC36="P","Pass",IF(Games!AC36="F","Fail",""))</f>
        <v/>
      </c>
    </row>
    <row r="1092" spans="1:7" x14ac:dyDescent="0.25">
      <c r="A1092">
        <f t="shared" si="25"/>
        <v>0</v>
      </c>
      <c r="B1092" t="s">
        <v>3724</v>
      </c>
      <c r="C1092">
        <f>Games!D37</f>
        <v>0</v>
      </c>
      <c r="D1092">
        <v>0</v>
      </c>
      <c r="E1092" s="2" t="s">
        <v>3255</v>
      </c>
      <c r="F1092" s="2" t="e">
        <f>VLOOKUP(JudgeD1GamesSpeed,Judges!$A$2:$B$44,2,FALSE)</f>
        <v>#N/A</v>
      </c>
      <c r="G1092" t="str">
        <f>IF(Games!AC37="P","Pass",IF(Games!AC37="F","Fail",""))</f>
        <v/>
      </c>
    </row>
    <row r="1093" spans="1:7" x14ac:dyDescent="0.25">
      <c r="A1093">
        <f t="shared" si="25"/>
        <v>0</v>
      </c>
      <c r="B1093" t="s">
        <v>3724</v>
      </c>
      <c r="C1093">
        <f>Games!D38</f>
        <v>0</v>
      </c>
      <c r="D1093">
        <v>0</v>
      </c>
      <c r="E1093" s="2" t="s">
        <v>3255</v>
      </c>
      <c r="F1093" s="2" t="e">
        <f>VLOOKUP(JudgeD1GamesSpeed,Judges!$A$2:$B$44,2,FALSE)</f>
        <v>#N/A</v>
      </c>
      <c r="G1093" t="str">
        <f>IF(Games!AC38="P","Pass",IF(Games!AC38="F","Fail",""))</f>
        <v/>
      </c>
    </row>
    <row r="1094" spans="1:7" x14ac:dyDescent="0.25">
      <c r="A1094">
        <f t="shared" si="25"/>
        <v>0</v>
      </c>
      <c r="B1094" t="s">
        <v>3724</v>
      </c>
      <c r="C1094">
        <f>Games!D39</f>
        <v>0</v>
      </c>
      <c r="D1094">
        <v>0</v>
      </c>
      <c r="E1094" s="2" t="s">
        <v>3255</v>
      </c>
      <c r="F1094" s="2" t="e">
        <f>VLOOKUP(JudgeD1GamesSpeed,Judges!$A$2:$B$44,2,FALSE)</f>
        <v>#N/A</v>
      </c>
      <c r="G1094" t="str">
        <f>IF(Games!AC39="P","Pass",IF(Games!AC39="F","Fail",""))</f>
        <v/>
      </c>
    </row>
    <row r="1095" spans="1:7" x14ac:dyDescent="0.25">
      <c r="A1095">
        <f t="shared" si="25"/>
        <v>0</v>
      </c>
      <c r="B1095" t="s">
        <v>3724</v>
      </c>
      <c r="C1095">
        <f>Games!D40</f>
        <v>0</v>
      </c>
      <c r="D1095">
        <v>0</v>
      </c>
      <c r="E1095" s="2" t="s">
        <v>3255</v>
      </c>
      <c r="F1095" s="2" t="e">
        <f>VLOOKUP(JudgeD1GamesSpeed,Judges!$A$2:$B$44,2,FALSE)</f>
        <v>#N/A</v>
      </c>
      <c r="G1095" t="str">
        <f>IF(Games!AC40="P","Pass",IF(Games!AC40="F","Fail",""))</f>
        <v/>
      </c>
    </row>
    <row r="1096" spans="1:7" x14ac:dyDescent="0.25">
      <c r="A1096">
        <f t="shared" si="25"/>
        <v>0</v>
      </c>
      <c r="B1096" t="s">
        <v>3724</v>
      </c>
      <c r="C1096">
        <f>Games!D41</f>
        <v>0</v>
      </c>
      <c r="D1096">
        <v>0</v>
      </c>
      <c r="E1096" s="2" t="s">
        <v>3255</v>
      </c>
      <c r="F1096" s="2" t="e">
        <f>VLOOKUP(JudgeD1GamesSpeed,Judges!$A$2:$B$44,2,FALSE)</f>
        <v>#N/A</v>
      </c>
      <c r="G1096" t="str">
        <f>IF(Games!AC41="P","Pass",IF(Games!AC41="F","Fail",""))</f>
        <v/>
      </c>
    </row>
    <row r="1097" spans="1:7" x14ac:dyDescent="0.25">
      <c r="A1097">
        <f t="shared" si="25"/>
        <v>0</v>
      </c>
      <c r="B1097" t="s">
        <v>3724</v>
      </c>
      <c r="C1097">
        <f>Games!D42</f>
        <v>0</v>
      </c>
      <c r="D1097">
        <v>0</v>
      </c>
      <c r="E1097" s="2" t="s">
        <v>3255</v>
      </c>
      <c r="F1097" s="2" t="e">
        <f>VLOOKUP(JudgeD1GamesSpeed,Judges!$A$2:$B$44,2,FALSE)</f>
        <v>#N/A</v>
      </c>
      <c r="G1097" t="str">
        <f>IF(Games!AC42="P","Pass",IF(Games!AC42="F","Fail",""))</f>
        <v/>
      </c>
    </row>
    <row r="1098" spans="1:7" x14ac:dyDescent="0.25">
      <c r="A1098">
        <f t="shared" si="25"/>
        <v>0</v>
      </c>
      <c r="B1098" t="s">
        <v>3724</v>
      </c>
      <c r="C1098">
        <f>Games!D43</f>
        <v>0</v>
      </c>
      <c r="D1098">
        <v>0</v>
      </c>
      <c r="E1098" s="2" t="s">
        <v>3255</v>
      </c>
      <c r="F1098" s="2" t="e">
        <f>VLOOKUP(JudgeD1GamesSpeed,Judges!$A$2:$B$44,2,FALSE)</f>
        <v>#N/A</v>
      </c>
      <c r="G1098" t="str">
        <f>IF(Games!AC43="P","Pass",IF(Games!AC43="F","Fail",""))</f>
        <v/>
      </c>
    </row>
    <row r="1099" spans="1:7" x14ac:dyDescent="0.25">
      <c r="A1099">
        <f t="shared" si="25"/>
        <v>0</v>
      </c>
      <c r="B1099" t="s">
        <v>3724</v>
      </c>
      <c r="C1099">
        <f>Games!D44</f>
        <v>0</v>
      </c>
      <c r="D1099">
        <v>0</v>
      </c>
      <c r="E1099" s="2" t="s">
        <v>3255</v>
      </c>
      <c r="F1099" s="2" t="e">
        <f>VLOOKUP(JudgeD1GamesSpeed,Judges!$A$2:$B$44,2,FALSE)</f>
        <v>#N/A</v>
      </c>
      <c r="G1099" t="str">
        <f>IF(Games!AC44="P","Pass",IF(Games!AC44="F","Fail",""))</f>
        <v/>
      </c>
    </row>
    <row r="1100" spans="1:7" x14ac:dyDescent="0.25">
      <c r="A1100">
        <f t="shared" si="25"/>
        <v>0</v>
      </c>
      <c r="B1100" t="s">
        <v>3724</v>
      </c>
      <c r="C1100">
        <f>Games!D45</f>
        <v>0</v>
      </c>
      <c r="D1100">
        <v>0</v>
      </c>
      <c r="E1100" s="2" t="s">
        <v>3255</v>
      </c>
      <c r="F1100" s="2" t="e">
        <f>VLOOKUP(JudgeD1GamesSpeed,Judges!$A$2:$B$44,2,FALSE)</f>
        <v>#N/A</v>
      </c>
      <c r="G1100" t="str">
        <f>IF(Games!AC45="P","Pass",IF(Games!AC45="F","Fail",""))</f>
        <v/>
      </c>
    </row>
    <row r="1101" spans="1:7" x14ac:dyDescent="0.25">
      <c r="A1101">
        <f t="shared" si="25"/>
        <v>0</v>
      </c>
      <c r="B1101" t="s">
        <v>3724</v>
      </c>
      <c r="C1101">
        <f>Games!D46</f>
        <v>0</v>
      </c>
      <c r="D1101">
        <v>0</v>
      </c>
      <c r="E1101" s="2" t="s">
        <v>3255</v>
      </c>
      <c r="F1101" s="2" t="e">
        <f>VLOOKUP(JudgeD1GamesSpeed,Judges!$A$2:$B$44,2,FALSE)</f>
        <v>#N/A</v>
      </c>
      <c r="G1101" t="str">
        <f>IF(Games!AC46="P","Pass",IF(Games!AC46="F","Fail",""))</f>
        <v/>
      </c>
    </row>
    <row r="1102" spans="1:7" x14ac:dyDescent="0.25">
      <c r="A1102">
        <f t="shared" si="25"/>
        <v>0</v>
      </c>
      <c r="B1102" t="s">
        <v>3724</v>
      </c>
      <c r="C1102">
        <f>Games!D47</f>
        <v>0</v>
      </c>
      <c r="D1102">
        <v>0</v>
      </c>
      <c r="E1102" s="2" t="s">
        <v>3255</v>
      </c>
      <c r="F1102" s="2" t="e">
        <f>VLOOKUP(JudgeD1GamesSpeed,Judges!$A$2:$B$44,2,FALSE)</f>
        <v>#N/A</v>
      </c>
      <c r="G1102" t="str">
        <f>IF(Games!AC47="P","Pass",IF(Games!AC47="F","Fail",""))</f>
        <v/>
      </c>
    </row>
    <row r="1103" spans="1:7" x14ac:dyDescent="0.25">
      <c r="A1103">
        <f t="shared" si="25"/>
        <v>0</v>
      </c>
      <c r="B1103" t="s">
        <v>3724</v>
      </c>
      <c r="C1103">
        <f>Games!D48</f>
        <v>0</v>
      </c>
      <c r="D1103">
        <v>0</v>
      </c>
      <c r="E1103" s="2" t="s">
        <v>3255</v>
      </c>
      <c r="F1103" s="2" t="e">
        <f>VLOOKUP(JudgeD1GamesSpeed,Judges!$A$2:$B$44,2,FALSE)</f>
        <v>#N/A</v>
      </c>
      <c r="G1103" t="str">
        <f>IF(Games!AC48="P","Pass",IF(Games!AC48="F","Fail",""))</f>
        <v/>
      </c>
    </row>
    <row r="1104" spans="1:7" x14ac:dyDescent="0.25">
      <c r="A1104">
        <f t="shared" si="25"/>
        <v>0</v>
      </c>
      <c r="B1104" t="s">
        <v>3724</v>
      </c>
      <c r="C1104">
        <f>Games!D49</f>
        <v>0</v>
      </c>
      <c r="D1104">
        <v>0</v>
      </c>
      <c r="E1104" s="2" t="s">
        <v>3255</v>
      </c>
      <c r="F1104" s="2" t="e">
        <f>VLOOKUP(JudgeD1GamesSpeed,Judges!$A$2:$B$44,2,FALSE)</f>
        <v>#N/A</v>
      </c>
      <c r="G1104" t="str">
        <f>IF(Games!AC49="P","Pass",IF(Games!AC49="F","Fail",""))</f>
        <v/>
      </c>
    </row>
    <row r="1105" spans="1:7" x14ac:dyDescent="0.25">
      <c r="A1105">
        <f t="shared" si="25"/>
        <v>0</v>
      </c>
      <c r="B1105" t="s">
        <v>3724</v>
      </c>
      <c r="C1105">
        <f>Games!D50</f>
        <v>0</v>
      </c>
      <c r="D1105">
        <v>0</v>
      </c>
      <c r="E1105" s="2" t="s">
        <v>3255</v>
      </c>
      <c r="F1105" s="2" t="e">
        <f>VLOOKUP(JudgeD1GamesSpeed,Judges!$A$2:$B$44,2,FALSE)</f>
        <v>#N/A</v>
      </c>
      <c r="G1105" t="str">
        <f>IF(Games!AC50="P","Pass",IF(Games!AC50="F","Fail",""))</f>
        <v/>
      </c>
    </row>
    <row r="1106" spans="1:7" x14ac:dyDescent="0.25">
      <c r="A1106">
        <f t="shared" si="25"/>
        <v>0</v>
      </c>
      <c r="B1106" t="s">
        <v>3724</v>
      </c>
      <c r="C1106">
        <f>Games!D51</f>
        <v>0</v>
      </c>
      <c r="D1106">
        <v>0</v>
      </c>
      <c r="E1106" s="2" t="s">
        <v>3255</v>
      </c>
      <c r="F1106" s="2" t="e">
        <f>VLOOKUP(JudgeD1GamesSpeed,Judges!$A$2:$B$44,2,FALSE)</f>
        <v>#N/A</v>
      </c>
      <c r="G1106" t="str">
        <f>IF(Games!AC51="P","Pass",IF(Games!AC51="F","Fail",""))</f>
        <v/>
      </c>
    </row>
    <row r="1107" spans="1:7" x14ac:dyDescent="0.25">
      <c r="A1107">
        <f t="shared" si="25"/>
        <v>0</v>
      </c>
      <c r="B1107" t="s">
        <v>3724</v>
      </c>
      <c r="C1107">
        <f>Games!D52</f>
        <v>0</v>
      </c>
      <c r="D1107">
        <v>0</v>
      </c>
      <c r="E1107" s="2" t="s">
        <v>3255</v>
      </c>
      <c r="F1107" s="2" t="e">
        <f>VLOOKUP(JudgeD1GamesSpeed,Judges!$A$2:$B$44,2,FALSE)</f>
        <v>#N/A</v>
      </c>
      <c r="G1107" t="str">
        <f>IF(Games!AC52="P","Pass",IF(Games!AC52="F","Fail",""))</f>
        <v/>
      </c>
    </row>
    <row r="1108" spans="1:7" x14ac:dyDescent="0.25">
      <c r="A1108">
        <f t="shared" si="25"/>
        <v>0</v>
      </c>
      <c r="B1108" t="s">
        <v>3724</v>
      </c>
      <c r="C1108">
        <f>Games!D53</f>
        <v>0</v>
      </c>
      <c r="D1108">
        <v>0</v>
      </c>
      <c r="E1108" s="2" t="s">
        <v>3255</v>
      </c>
      <c r="F1108" s="2" t="e">
        <f>VLOOKUP(JudgeD1GamesSpeed,Judges!$A$2:$B$44,2,FALSE)</f>
        <v>#N/A</v>
      </c>
      <c r="G1108" t="str">
        <f>IF(Games!AC53="P","Pass",IF(Games!AC53="F","Fail",""))</f>
        <v/>
      </c>
    </row>
    <row r="1109" spans="1:7" x14ac:dyDescent="0.25">
      <c r="A1109">
        <f t="shared" si="25"/>
        <v>0</v>
      </c>
      <c r="B1109" t="s">
        <v>3724</v>
      </c>
      <c r="C1109">
        <f>Games!D54</f>
        <v>0</v>
      </c>
      <c r="D1109">
        <v>0</v>
      </c>
      <c r="E1109" s="2" t="s">
        <v>3255</v>
      </c>
      <c r="F1109" s="2" t="e">
        <f>VLOOKUP(JudgeD1GamesSpeed,Judges!$A$2:$B$44,2,FALSE)</f>
        <v>#N/A</v>
      </c>
      <c r="G1109" t="str">
        <f>IF(Games!AC54="P","Pass",IF(Games!AC54="F","Fail",""))</f>
        <v/>
      </c>
    </row>
    <row r="1110" spans="1:7" x14ac:dyDescent="0.25">
      <c r="A1110">
        <f t="shared" si="25"/>
        <v>0</v>
      </c>
      <c r="B1110" t="s">
        <v>3724</v>
      </c>
      <c r="C1110">
        <f>Games!D55</f>
        <v>0</v>
      </c>
      <c r="D1110">
        <v>0</v>
      </c>
      <c r="E1110" s="2" t="s">
        <v>3255</v>
      </c>
      <c r="F1110" s="2" t="e">
        <f>VLOOKUP(JudgeD1GamesSpeed,Judges!$A$2:$B$44,2,FALSE)</f>
        <v>#N/A</v>
      </c>
      <c r="G1110" t="str">
        <f>IF(Games!AC55="P","Pass",IF(Games!AC55="F","Fail",""))</f>
        <v/>
      </c>
    </row>
    <row r="1111" spans="1:7" x14ac:dyDescent="0.25">
      <c r="A1111">
        <f t="shared" si="25"/>
        <v>0</v>
      </c>
      <c r="B1111" t="s">
        <v>3724</v>
      </c>
      <c r="C1111">
        <f>Games!D56</f>
        <v>0</v>
      </c>
      <c r="D1111">
        <v>0</v>
      </c>
      <c r="E1111" s="2" t="s">
        <v>3255</v>
      </c>
      <c r="F1111" s="2" t="e">
        <f>VLOOKUP(JudgeD1GamesSpeed,Judges!$A$2:$B$44,2,FALSE)</f>
        <v>#N/A</v>
      </c>
      <c r="G1111" t="str">
        <f>IF(Games!AC56="P","Pass",IF(Games!AC56="F","Fail",""))</f>
        <v/>
      </c>
    </row>
    <row r="1112" spans="1:7" x14ac:dyDescent="0.25">
      <c r="A1112">
        <f t="shared" si="25"/>
        <v>0</v>
      </c>
      <c r="B1112" t="s">
        <v>3726</v>
      </c>
      <c r="C1112">
        <f>Games!D7</f>
        <v>0</v>
      </c>
      <c r="D1112">
        <v>0</v>
      </c>
      <c r="E1112" s="2" t="s">
        <v>3255</v>
      </c>
      <c r="F1112" s="2" t="e">
        <f>VLOOKUP(JudgeD1GamesTeam,Judges!$A$2:$B$44,2,FALSE)</f>
        <v>#N/A</v>
      </c>
      <c r="G1112" t="str">
        <f>IF(Games!AJ7="P","Pass",IF(Games!AJ7="F","Fail",""))</f>
        <v/>
      </c>
    </row>
    <row r="1113" spans="1:7" x14ac:dyDescent="0.25">
      <c r="A1113">
        <f t="shared" si="25"/>
        <v>0</v>
      </c>
      <c r="B1113" t="s">
        <v>3726</v>
      </c>
      <c r="C1113">
        <f>Games!D8</f>
        <v>0</v>
      </c>
      <c r="D1113">
        <v>0</v>
      </c>
      <c r="E1113" s="2" t="s">
        <v>3255</v>
      </c>
      <c r="F1113" s="2" t="e">
        <f>VLOOKUP(JudgeD1GamesTeam,Judges!$A$2:$B$44,2,FALSE)</f>
        <v>#N/A</v>
      </c>
      <c r="G1113" t="str">
        <f>IF(Games!AJ8="P","Pass",IF(Games!AJ8="F","Fail",""))</f>
        <v/>
      </c>
    </row>
    <row r="1114" spans="1:7" x14ac:dyDescent="0.25">
      <c r="A1114">
        <f t="shared" si="25"/>
        <v>0</v>
      </c>
      <c r="B1114" t="s">
        <v>3726</v>
      </c>
      <c r="C1114">
        <f>Games!D9</f>
        <v>0</v>
      </c>
      <c r="D1114">
        <v>0</v>
      </c>
      <c r="E1114" s="2" t="s">
        <v>3255</v>
      </c>
      <c r="F1114" s="2" t="e">
        <f>VLOOKUP(JudgeD1GamesTeam,Judges!$A$2:$B$44,2,FALSE)</f>
        <v>#N/A</v>
      </c>
      <c r="G1114" t="str">
        <f>IF(Games!AJ9="P","Pass",IF(Games!AJ9="F","Fail",""))</f>
        <v/>
      </c>
    </row>
    <row r="1115" spans="1:7" x14ac:dyDescent="0.25">
      <c r="A1115">
        <f t="shared" si="25"/>
        <v>0</v>
      </c>
      <c r="B1115" t="s">
        <v>3726</v>
      </c>
      <c r="C1115">
        <f>Games!D10</f>
        <v>0</v>
      </c>
      <c r="D1115">
        <v>0</v>
      </c>
      <c r="E1115" s="2" t="s">
        <v>3255</v>
      </c>
      <c r="F1115" s="2" t="e">
        <f>VLOOKUP(JudgeD1GamesTeam,Judges!$A$2:$B$44,2,FALSE)</f>
        <v>#N/A</v>
      </c>
      <c r="G1115" t="str">
        <f>IF(Games!AJ10="P","Pass",IF(Games!AJ10="F","Fail",""))</f>
        <v/>
      </c>
    </row>
    <row r="1116" spans="1:7" x14ac:dyDescent="0.25">
      <c r="A1116">
        <f t="shared" si="25"/>
        <v>0</v>
      </c>
      <c r="B1116" t="s">
        <v>3726</v>
      </c>
      <c r="C1116">
        <f>Games!D11</f>
        <v>0</v>
      </c>
      <c r="D1116">
        <v>0</v>
      </c>
      <c r="E1116" s="2" t="s">
        <v>3255</v>
      </c>
      <c r="F1116" s="2" t="e">
        <f>VLOOKUP(JudgeD1GamesTeam,Judges!$A$2:$B$44,2,FALSE)</f>
        <v>#N/A</v>
      </c>
      <c r="G1116" t="str">
        <f>IF(Games!AJ11="P","Pass",IF(Games!AJ11="F","Fail",""))</f>
        <v/>
      </c>
    </row>
    <row r="1117" spans="1:7" x14ac:dyDescent="0.25">
      <c r="A1117">
        <f t="shared" si="25"/>
        <v>0</v>
      </c>
      <c r="B1117" t="s">
        <v>3726</v>
      </c>
      <c r="C1117">
        <f>Games!D12</f>
        <v>0</v>
      </c>
      <c r="D1117">
        <v>0</v>
      </c>
      <c r="E1117" s="2" t="s">
        <v>3255</v>
      </c>
      <c r="F1117" s="2" t="e">
        <f>VLOOKUP(JudgeD1GamesTeam,Judges!$A$2:$B$44,2,FALSE)</f>
        <v>#N/A</v>
      </c>
      <c r="G1117" t="str">
        <f>IF(Games!AJ12="P","Pass",IF(Games!AJ12="F","Fail",""))</f>
        <v/>
      </c>
    </row>
    <row r="1118" spans="1:7" x14ac:dyDescent="0.25">
      <c r="A1118">
        <f t="shared" si="25"/>
        <v>0</v>
      </c>
      <c r="B1118" t="s">
        <v>3726</v>
      </c>
      <c r="C1118">
        <f>Games!D13</f>
        <v>0</v>
      </c>
      <c r="D1118">
        <v>0</v>
      </c>
      <c r="E1118" s="2" t="s">
        <v>3255</v>
      </c>
      <c r="F1118" s="2" t="e">
        <f>VLOOKUP(JudgeD1GamesTeam,Judges!$A$2:$B$44,2,FALSE)</f>
        <v>#N/A</v>
      </c>
      <c r="G1118" t="str">
        <f>IF(Games!AJ13="P","Pass",IF(Games!AJ13="F","Fail",""))</f>
        <v/>
      </c>
    </row>
    <row r="1119" spans="1:7" x14ac:dyDescent="0.25">
      <c r="A1119">
        <f t="shared" si="25"/>
        <v>0</v>
      </c>
      <c r="B1119" t="s">
        <v>3726</v>
      </c>
      <c r="C1119">
        <f>Games!D14</f>
        <v>0</v>
      </c>
      <c r="D1119">
        <v>0</v>
      </c>
      <c r="E1119" s="2" t="s">
        <v>3255</v>
      </c>
      <c r="F1119" s="2" t="e">
        <f>VLOOKUP(JudgeD1GamesTeam,Judges!$A$2:$B$44,2,FALSE)</f>
        <v>#N/A</v>
      </c>
      <c r="G1119" t="str">
        <f>IF(Games!AJ14="P","Pass",IF(Games!AJ14="F","Fail",""))</f>
        <v/>
      </c>
    </row>
    <row r="1120" spans="1:7" x14ac:dyDescent="0.25">
      <c r="A1120">
        <f t="shared" si="25"/>
        <v>0</v>
      </c>
      <c r="B1120" t="s">
        <v>3726</v>
      </c>
      <c r="C1120">
        <f>Games!D15</f>
        <v>0</v>
      </c>
      <c r="D1120">
        <v>0</v>
      </c>
      <c r="E1120" s="2" t="s">
        <v>3255</v>
      </c>
      <c r="F1120" s="2" t="e">
        <f>VLOOKUP(JudgeD1GamesTeam,Judges!$A$2:$B$44,2,FALSE)</f>
        <v>#N/A</v>
      </c>
      <c r="G1120" t="str">
        <f>IF(Games!AJ15="P","Pass",IF(Games!AJ15="F","Fail",""))</f>
        <v/>
      </c>
    </row>
    <row r="1121" spans="1:7" x14ac:dyDescent="0.25">
      <c r="A1121">
        <f t="shared" si="25"/>
        <v>0</v>
      </c>
      <c r="B1121" t="s">
        <v>3726</v>
      </c>
      <c r="C1121">
        <f>Games!D16</f>
        <v>0</v>
      </c>
      <c r="D1121">
        <v>0</v>
      </c>
      <c r="E1121" s="2" t="s">
        <v>3255</v>
      </c>
      <c r="F1121" s="2" t="e">
        <f>VLOOKUP(JudgeD1GamesTeam,Judges!$A$2:$B$44,2,FALSE)</f>
        <v>#N/A</v>
      </c>
      <c r="G1121" t="str">
        <f>IF(Games!AJ16="P","Pass",IF(Games!AJ16="F","Fail",""))</f>
        <v/>
      </c>
    </row>
    <row r="1122" spans="1:7" x14ac:dyDescent="0.25">
      <c r="A1122">
        <f t="shared" ref="A1122:A1153" si="26">TrialNumber</f>
        <v>0</v>
      </c>
      <c r="B1122" t="s">
        <v>3726</v>
      </c>
      <c r="C1122">
        <f>Games!D17</f>
        <v>0</v>
      </c>
      <c r="D1122">
        <v>0</v>
      </c>
      <c r="E1122" s="2" t="s">
        <v>3255</v>
      </c>
      <c r="F1122" s="2" t="e">
        <f>VLOOKUP(JudgeD1GamesTeam,Judges!$A$2:$B$44,2,FALSE)</f>
        <v>#N/A</v>
      </c>
      <c r="G1122" t="str">
        <f>IF(Games!AJ17="P","Pass",IF(Games!AJ17="F","Fail",""))</f>
        <v/>
      </c>
    </row>
    <row r="1123" spans="1:7" x14ac:dyDescent="0.25">
      <c r="A1123">
        <f t="shared" si="26"/>
        <v>0</v>
      </c>
      <c r="B1123" t="s">
        <v>3726</v>
      </c>
      <c r="C1123">
        <f>Games!D18</f>
        <v>0</v>
      </c>
      <c r="D1123">
        <v>0</v>
      </c>
      <c r="E1123" s="2" t="s">
        <v>3255</v>
      </c>
      <c r="F1123" s="2" t="e">
        <f>VLOOKUP(JudgeD1GamesTeam,Judges!$A$2:$B$44,2,FALSE)</f>
        <v>#N/A</v>
      </c>
      <c r="G1123" t="str">
        <f>IF(Games!AJ18="P","Pass",IF(Games!AJ18="F","Fail",""))</f>
        <v/>
      </c>
    </row>
    <row r="1124" spans="1:7" x14ac:dyDescent="0.25">
      <c r="A1124">
        <f t="shared" si="26"/>
        <v>0</v>
      </c>
      <c r="B1124" t="s">
        <v>3726</v>
      </c>
      <c r="C1124">
        <f>Games!D19</f>
        <v>0</v>
      </c>
      <c r="D1124">
        <v>0</v>
      </c>
      <c r="E1124" s="2" t="s">
        <v>3255</v>
      </c>
      <c r="F1124" s="2" t="e">
        <f>VLOOKUP(JudgeD1GamesTeam,Judges!$A$2:$B$44,2,FALSE)</f>
        <v>#N/A</v>
      </c>
      <c r="G1124" t="str">
        <f>IF(Games!AJ19="P","Pass",IF(Games!AJ19="F","Fail",""))</f>
        <v/>
      </c>
    </row>
    <row r="1125" spans="1:7" x14ac:dyDescent="0.25">
      <c r="A1125">
        <f t="shared" si="26"/>
        <v>0</v>
      </c>
      <c r="B1125" t="s">
        <v>3726</v>
      </c>
      <c r="C1125">
        <f>Games!D20</f>
        <v>0</v>
      </c>
      <c r="D1125">
        <v>0</v>
      </c>
      <c r="E1125" s="2" t="s">
        <v>3255</v>
      </c>
      <c r="F1125" s="2" t="e">
        <f>VLOOKUP(JudgeD1GamesTeam,Judges!$A$2:$B$44,2,FALSE)</f>
        <v>#N/A</v>
      </c>
      <c r="G1125" t="str">
        <f>IF(Games!AJ20="P","Pass",IF(Games!AJ20="F","Fail",""))</f>
        <v/>
      </c>
    </row>
    <row r="1126" spans="1:7" x14ac:dyDescent="0.25">
      <c r="A1126">
        <f t="shared" si="26"/>
        <v>0</v>
      </c>
      <c r="B1126" t="s">
        <v>3726</v>
      </c>
      <c r="C1126">
        <f>Games!D21</f>
        <v>0</v>
      </c>
      <c r="D1126">
        <v>0</v>
      </c>
      <c r="E1126" s="2" t="s">
        <v>3255</v>
      </c>
      <c r="F1126" s="2" t="e">
        <f>VLOOKUP(JudgeD1GamesTeam,Judges!$A$2:$B$44,2,FALSE)</f>
        <v>#N/A</v>
      </c>
      <c r="G1126" t="str">
        <f>IF(Games!AJ21="P","Pass",IF(Games!AJ21="F","Fail",""))</f>
        <v/>
      </c>
    </row>
    <row r="1127" spans="1:7" x14ac:dyDescent="0.25">
      <c r="A1127">
        <f t="shared" si="26"/>
        <v>0</v>
      </c>
      <c r="B1127" t="s">
        <v>3726</v>
      </c>
      <c r="C1127">
        <f>Games!D22</f>
        <v>0</v>
      </c>
      <c r="D1127">
        <v>0</v>
      </c>
      <c r="E1127" s="2" t="s">
        <v>3255</v>
      </c>
      <c r="F1127" s="2" t="e">
        <f>VLOOKUP(JudgeD1GamesTeam,Judges!$A$2:$B$44,2,FALSE)</f>
        <v>#N/A</v>
      </c>
      <c r="G1127" t="str">
        <f>IF(Games!AJ22="P","Pass",IF(Games!AJ22="F","Fail",""))</f>
        <v/>
      </c>
    </row>
    <row r="1128" spans="1:7" x14ac:dyDescent="0.25">
      <c r="A1128">
        <f t="shared" si="26"/>
        <v>0</v>
      </c>
      <c r="B1128" t="s">
        <v>3726</v>
      </c>
      <c r="C1128">
        <f>Games!D23</f>
        <v>0</v>
      </c>
      <c r="D1128">
        <v>0</v>
      </c>
      <c r="E1128" s="2" t="s">
        <v>3255</v>
      </c>
      <c r="F1128" s="2" t="e">
        <f>VLOOKUP(JudgeD1GamesTeam,Judges!$A$2:$B$44,2,FALSE)</f>
        <v>#N/A</v>
      </c>
      <c r="G1128" t="str">
        <f>IF(Games!AJ23="P","Pass",IF(Games!AJ23="F","Fail",""))</f>
        <v/>
      </c>
    </row>
    <row r="1129" spans="1:7" x14ac:dyDescent="0.25">
      <c r="A1129">
        <f t="shared" si="26"/>
        <v>0</v>
      </c>
      <c r="B1129" t="s">
        <v>3726</v>
      </c>
      <c r="C1129">
        <f>Games!D24</f>
        <v>0</v>
      </c>
      <c r="D1129">
        <v>0</v>
      </c>
      <c r="E1129" s="2" t="s">
        <v>3255</v>
      </c>
      <c r="F1129" s="2" t="e">
        <f>VLOOKUP(JudgeD1GamesTeam,Judges!$A$2:$B$44,2,FALSE)</f>
        <v>#N/A</v>
      </c>
      <c r="G1129" t="str">
        <f>IF(Games!AJ24="P","Pass",IF(Games!AJ24="F","Fail",""))</f>
        <v/>
      </c>
    </row>
    <row r="1130" spans="1:7" x14ac:dyDescent="0.25">
      <c r="A1130">
        <f t="shared" si="26"/>
        <v>0</v>
      </c>
      <c r="B1130" t="s">
        <v>3726</v>
      </c>
      <c r="C1130">
        <f>Games!D25</f>
        <v>0</v>
      </c>
      <c r="D1130">
        <v>0</v>
      </c>
      <c r="E1130" s="2" t="s">
        <v>3255</v>
      </c>
      <c r="F1130" s="2" t="e">
        <f>VLOOKUP(JudgeD1GamesTeam,Judges!$A$2:$B$44,2,FALSE)</f>
        <v>#N/A</v>
      </c>
      <c r="G1130" t="str">
        <f>IF(Games!AJ25="P","Pass",IF(Games!AJ25="F","Fail",""))</f>
        <v/>
      </c>
    </row>
    <row r="1131" spans="1:7" x14ac:dyDescent="0.25">
      <c r="A1131">
        <f t="shared" si="26"/>
        <v>0</v>
      </c>
      <c r="B1131" t="s">
        <v>3726</v>
      </c>
      <c r="C1131">
        <f>Games!D26</f>
        <v>0</v>
      </c>
      <c r="D1131">
        <v>0</v>
      </c>
      <c r="E1131" s="2" t="s">
        <v>3255</v>
      </c>
      <c r="F1131" s="2" t="e">
        <f>VLOOKUP(JudgeD1GamesTeam,Judges!$A$2:$B$44,2,FALSE)</f>
        <v>#N/A</v>
      </c>
      <c r="G1131" t="str">
        <f>IF(Games!AJ26="P","Pass",IF(Games!AJ26="F","Fail",""))</f>
        <v/>
      </c>
    </row>
    <row r="1132" spans="1:7" x14ac:dyDescent="0.25">
      <c r="A1132">
        <f t="shared" si="26"/>
        <v>0</v>
      </c>
      <c r="B1132" t="s">
        <v>3726</v>
      </c>
      <c r="C1132">
        <f>Games!D27</f>
        <v>0</v>
      </c>
      <c r="D1132">
        <v>0</v>
      </c>
      <c r="E1132" s="2" t="s">
        <v>3255</v>
      </c>
      <c r="F1132" s="2" t="e">
        <f>VLOOKUP(JudgeD1GamesTeam,Judges!$A$2:$B$44,2,FALSE)</f>
        <v>#N/A</v>
      </c>
      <c r="G1132" t="str">
        <f>IF(Games!AJ27="P","Pass",IF(Games!AJ27="F","Fail",""))</f>
        <v/>
      </c>
    </row>
    <row r="1133" spans="1:7" x14ac:dyDescent="0.25">
      <c r="A1133">
        <f t="shared" si="26"/>
        <v>0</v>
      </c>
      <c r="B1133" t="s">
        <v>3726</v>
      </c>
      <c r="C1133">
        <f>Games!D28</f>
        <v>0</v>
      </c>
      <c r="D1133">
        <v>0</v>
      </c>
      <c r="E1133" s="2" t="s">
        <v>3255</v>
      </c>
      <c r="F1133" s="2" t="e">
        <f>VLOOKUP(JudgeD1GamesTeam,Judges!$A$2:$B$44,2,FALSE)</f>
        <v>#N/A</v>
      </c>
      <c r="G1133" t="str">
        <f>IF(Games!AJ28="P","Pass",IF(Games!AJ28="F","Fail",""))</f>
        <v/>
      </c>
    </row>
    <row r="1134" spans="1:7" x14ac:dyDescent="0.25">
      <c r="A1134">
        <f t="shared" si="26"/>
        <v>0</v>
      </c>
      <c r="B1134" t="s">
        <v>3726</v>
      </c>
      <c r="C1134">
        <f>Games!D29</f>
        <v>0</v>
      </c>
      <c r="D1134">
        <v>0</v>
      </c>
      <c r="E1134" s="2" t="s">
        <v>3255</v>
      </c>
      <c r="F1134" s="2" t="e">
        <f>VLOOKUP(JudgeD1GamesTeam,Judges!$A$2:$B$44,2,FALSE)</f>
        <v>#N/A</v>
      </c>
      <c r="G1134" t="str">
        <f>IF(Games!AJ29="P","Pass",IF(Games!AJ29="F","Fail",""))</f>
        <v/>
      </c>
    </row>
    <row r="1135" spans="1:7" x14ac:dyDescent="0.25">
      <c r="A1135">
        <f t="shared" si="26"/>
        <v>0</v>
      </c>
      <c r="B1135" t="s">
        <v>3726</v>
      </c>
      <c r="C1135">
        <f>Games!D30</f>
        <v>0</v>
      </c>
      <c r="D1135">
        <v>0</v>
      </c>
      <c r="E1135" s="2" t="s">
        <v>3255</v>
      </c>
      <c r="F1135" s="2" t="e">
        <f>VLOOKUP(JudgeD1GamesTeam,Judges!$A$2:$B$44,2,FALSE)</f>
        <v>#N/A</v>
      </c>
      <c r="G1135" t="str">
        <f>IF(Games!AJ30="P","Pass",IF(Games!AJ30="F","Fail",""))</f>
        <v/>
      </c>
    </row>
    <row r="1136" spans="1:7" x14ac:dyDescent="0.25">
      <c r="A1136">
        <f t="shared" si="26"/>
        <v>0</v>
      </c>
      <c r="B1136" t="s">
        <v>3726</v>
      </c>
      <c r="C1136">
        <f>Games!D31</f>
        <v>0</v>
      </c>
      <c r="D1136">
        <v>0</v>
      </c>
      <c r="E1136" s="2" t="s">
        <v>3255</v>
      </c>
      <c r="F1136" s="2" t="e">
        <f>VLOOKUP(JudgeD1GamesTeam,Judges!$A$2:$B$44,2,FALSE)</f>
        <v>#N/A</v>
      </c>
      <c r="G1136" t="str">
        <f>IF(Games!AJ31="P","Pass",IF(Games!AJ31="F","Fail",""))</f>
        <v/>
      </c>
    </row>
    <row r="1137" spans="1:7" x14ac:dyDescent="0.25">
      <c r="A1137">
        <f t="shared" si="26"/>
        <v>0</v>
      </c>
      <c r="B1137" t="s">
        <v>3726</v>
      </c>
      <c r="C1137">
        <f>Games!D32</f>
        <v>0</v>
      </c>
      <c r="D1137">
        <v>0</v>
      </c>
      <c r="E1137" s="2" t="s">
        <v>3255</v>
      </c>
      <c r="F1137" s="2" t="e">
        <f>VLOOKUP(JudgeD1GamesTeam,Judges!$A$2:$B$44,2,FALSE)</f>
        <v>#N/A</v>
      </c>
      <c r="G1137" t="str">
        <f>IF(Games!AJ32="P","Pass",IF(Games!AJ32="F","Fail",""))</f>
        <v/>
      </c>
    </row>
    <row r="1138" spans="1:7" x14ac:dyDescent="0.25">
      <c r="A1138">
        <f t="shared" si="26"/>
        <v>0</v>
      </c>
      <c r="B1138" t="s">
        <v>3726</v>
      </c>
      <c r="C1138">
        <f>Games!D33</f>
        <v>0</v>
      </c>
      <c r="D1138">
        <v>0</v>
      </c>
      <c r="E1138" s="2" t="s">
        <v>3255</v>
      </c>
      <c r="F1138" s="2" t="e">
        <f>VLOOKUP(JudgeD1GamesTeam,Judges!$A$2:$B$44,2,FALSE)</f>
        <v>#N/A</v>
      </c>
      <c r="G1138" t="str">
        <f>IF(Games!AJ33="P","Pass",IF(Games!AJ33="F","Fail",""))</f>
        <v/>
      </c>
    </row>
    <row r="1139" spans="1:7" x14ac:dyDescent="0.25">
      <c r="A1139">
        <f t="shared" si="26"/>
        <v>0</v>
      </c>
      <c r="B1139" t="s">
        <v>3726</v>
      </c>
      <c r="C1139">
        <f>Games!D34</f>
        <v>0</v>
      </c>
      <c r="D1139">
        <v>0</v>
      </c>
      <c r="E1139" s="2" t="s">
        <v>3255</v>
      </c>
      <c r="F1139" s="2" t="e">
        <f>VLOOKUP(JudgeD1GamesTeam,Judges!$A$2:$B$44,2,FALSE)</f>
        <v>#N/A</v>
      </c>
      <c r="G1139" t="str">
        <f>IF(Games!AJ34="P","Pass",IF(Games!AJ34="F","Fail",""))</f>
        <v/>
      </c>
    </row>
    <row r="1140" spans="1:7" x14ac:dyDescent="0.25">
      <c r="A1140">
        <f t="shared" si="26"/>
        <v>0</v>
      </c>
      <c r="B1140" t="s">
        <v>3726</v>
      </c>
      <c r="C1140">
        <f>Games!D35</f>
        <v>0</v>
      </c>
      <c r="D1140">
        <v>0</v>
      </c>
      <c r="E1140" s="2" t="s">
        <v>3255</v>
      </c>
      <c r="F1140" s="2" t="e">
        <f>VLOOKUP(JudgeD1GamesTeam,Judges!$A$2:$B$44,2,FALSE)</f>
        <v>#N/A</v>
      </c>
      <c r="G1140" t="str">
        <f>IF(Games!AJ35="P","Pass",IF(Games!AJ35="F","Fail",""))</f>
        <v/>
      </c>
    </row>
    <row r="1141" spans="1:7" x14ac:dyDescent="0.25">
      <c r="A1141">
        <f t="shared" si="26"/>
        <v>0</v>
      </c>
      <c r="B1141" t="s">
        <v>3726</v>
      </c>
      <c r="C1141">
        <f>Games!D36</f>
        <v>0</v>
      </c>
      <c r="D1141">
        <v>0</v>
      </c>
      <c r="E1141" s="2" t="s">
        <v>3255</v>
      </c>
      <c r="F1141" s="2" t="e">
        <f>VLOOKUP(JudgeD1GamesTeam,Judges!$A$2:$B$44,2,FALSE)</f>
        <v>#N/A</v>
      </c>
      <c r="G1141" t="str">
        <f>IF(Games!AJ36="P","Pass",IF(Games!AJ36="F","Fail",""))</f>
        <v/>
      </c>
    </row>
    <row r="1142" spans="1:7" x14ac:dyDescent="0.25">
      <c r="A1142">
        <f t="shared" si="26"/>
        <v>0</v>
      </c>
      <c r="B1142" t="s">
        <v>3726</v>
      </c>
      <c r="C1142">
        <f>Games!D37</f>
        <v>0</v>
      </c>
      <c r="D1142">
        <v>0</v>
      </c>
      <c r="E1142" s="2" t="s">
        <v>3255</v>
      </c>
      <c r="F1142" s="2" t="e">
        <f>VLOOKUP(JudgeD1GamesTeam,Judges!$A$2:$B$44,2,FALSE)</f>
        <v>#N/A</v>
      </c>
      <c r="G1142" t="str">
        <f>IF(Games!AJ37="P","Pass",IF(Games!AJ37="F","Fail",""))</f>
        <v/>
      </c>
    </row>
    <row r="1143" spans="1:7" x14ac:dyDescent="0.25">
      <c r="A1143">
        <f t="shared" si="26"/>
        <v>0</v>
      </c>
      <c r="B1143" t="s">
        <v>3726</v>
      </c>
      <c r="C1143">
        <f>Games!D38</f>
        <v>0</v>
      </c>
      <c r="D1143">
        <v>0</v>
      </c>
      <c r="E1143" s="2" t="s">
        <v>3255</v>
      </c>
      <c r="F1143" s="2" t="e">
        <f>VLOOKUP(JudgeD1GamesTeam,Judges!$A$2:$B$44,2,FALSE)</f>
        <v>#N/A</v>
      </c>
      <c r="G1143" t="str">
        <f>IF(Games!AJ38="P","Pass",IF(Games!AJ38="F","Fail",""))</f>
        <v/>
      </c>
    </row>
    <row r="1144" spans="1:7" x14ac:dyDescent="0.25">
      <c r="A1144">
        <f t="shared" si="26"/>
        <v>0</v>
      </c>
      <c r="B1144" t="s">
        <v>3726</v>
      </c>
      <c r="C1144">
        <f>Games!D39</f>
        <v>0</v>
      </c>
      <c r="D1144">
        <v>0</v>
      </c>
      <c r="E1144" s="2" t="s">
        <v>3255</v>
      </c>
      <c r="F1144" s="2" t="e">
        <f>VLOOKUP(JudgeD1GamesTeam,Judges!$A$2:$B$44,2,FALSE)</f>
        <v>#N/A</v>
      </c>
      <c r="G1144" t="str">
        <f>IF(Games!AJ39="P","Pass",IF(Games!AJ39="F","Fail",""))</f>
        <v/>
      </c>
    </row>
    <row r="1145" spans="1:7" x14ac:dyDescent="0.25">
      <c r="A1145">
        <f t="shared" si="26"/>
        <v>0</v>
      </c>
      <c r="B1145" t="s">
        <v>3726</v>
      </c>
      <c r="C1145">
        <f>Games!D40</f>
        <v>0</v>
      </c>
      <c r="D1145">
        <v>0</v>
      </c>
      <c r="E1145" s="2" t="s">
        <v>3255</v>
      </c>
      <c r="F1145" s="2" t="e">
        <f>VLOOKUP(JudgeD1GamesTeam,Judges!$A$2:$B$44,2,FALSE)</f>
        <v>#N/A</v>
      </c>
      <c r="G1145" t="str">
        <f>IF(Games!AJ40="P","Pass",IF(Games!AJ40="F","Fail",""))</f>
        <v/>
      </c>
    </row>
    <row r="1146" spans="1:7" x14ac:dyDescent="0.25">
      <c r="A1146">
        <f t="shared" si="26"/>
        <v>0</v>
      </c>
      <c r="B1146" t="s">
        <v>3726</v>
      </c>
      <c r="C1146">
        <f>Games!D41</f>
        <v>0</v>
      </c>
      <c r="D1146">
        <v>0</v>
      </c>
      <c r="E1146" s="2" t="s">
        <v>3255</v>
      </c>
      <c r="F1146" s="2" t="e">
        <f>VLOOKUP(JudgeD1GamesTeam,Judges!$A$2:$B$44,2,FALSE)</f>
        <v>#N/A</v>
      </c>
      <c r="G1146" t="str">
        <f>IF(Games!AJ41="P","Pass",IF(Games!AJ41="F","Fail",""))</f>
        <v/>
      </c>
    </row>
    <row r="1147" spans="1:7" x14ac:dyDescent="0.25">
      <c r="A1147">
        <f t="shared" si="26"/>
        <v>0</v>
      </c>
      <c r="B1147" t="s">
        <v>3726</v>
      </c>
      <c r="C1147">
        <f>Games!D42</f>
        <v>0</v>
      </c>
      <c r="D1147">
        <v>0</v>
      </c>
      <c r="E1147" s="2" t="s">
        <v>3255</v>
      </c>
      <c r="F1147" s="2" t="e">
        <f>VLOOKUP(JudgeD1GamesTeam,Judges!$A$2:$B$44,2,FALSE)</f>
        <v>#N/A</v>
      </c>
      <c r="G1147" t="str">
        <f>IF(Games!AJ42="P","Pass",IF(Games!AJ42="F","Fail",""))</f>
        <v/>
      </c>
    </row>
    <row r="1148" spans="1:7" x14ac:dyDescent="0.25">
      <c r="A1148">
        <f t="shared" si="26"/>
        <v>0</v>
      </c>
      <c r="B1148" t="s">
        <v>3726</v>
      </c>
      <c r="C1148">
        <f>Games!D43</f>
        <v>0</v>
      </c>
      <c r="D1148">
        <v>0</v>
      </c>
      <c r="E1148" s="2" t="s">
        <v>3255</v>
      </c>
      <c r="F1148" s="2" t="e">
        <f>VLOOKUP(JudgeD1GamesTeam,Judges!$A$2:$B$44,2,FALSE)</f>
        <v>#N/A</v>
      </c>
      <c r="G1148" t="str">
        <f>IF(Games!AJ43="P","Pass",IF(Games!AJ43="F","Fail",""))</f>
        <v/>
      </c>
    </row>
    <row r="1149" spans="1:7" x14ac:dyDescent="0.25">
      <c r="A1149">
        <f t="shared" si="26"/>
        <v>0</v>
      </c>
      <c r="B1149" t="s">
        <v>3726</v>
      </c>
      <c r="C1149">
        <f>Games!D44</f>
        <v>0</v>
      </c>
      <c r="D1149">
        <v>0</v>
      </c>
      <c r="E1149" s="2" t="s">
        <v>3255</v>
      </c>
      <c r="F1149" s="2" t="e">
        <f>VLOOKUP(JudgeD1GamesTeam,Judges!$A$2:$B$44,2,FALSE)</f>
        <v>#N/A</v>
      </c>
      <c r="G1149" t="str">
        <f>IF(Games!AJ44="P","Pass",IF(Games!AJ44="F","Fail",""))</f>
        <v/>
      </c>
    </row>
    <row r="1150" spans="1:7" x14ac:dyDescent="0.25">
      <c r="A1150">
        <f t="shared" si="26"/>
        <v>0</v>
      </c>
      <c r="B1150" t="s">
        <v>3726</v>
      </c>
      <c r="C1150">
        <f>Games!D45</f>
        <v>0</v>
      </c>
      <c r="D1150">
        <v>0</v>
      </c>
      <c r="E1150" s="2" t="s">
        <v>3255</v>
      </c>
      <c r="F1150" s="2" t="e">
        <f>VLOOKUP(JudgeD1GamesTeam,Judges!$A$2:$B$44,2,FALSE)</f>
        <v>#N/A</v>
      </c>
      <c r="G1150" t="str">
        <f>IF(Games!AJ45="P","Pass",IF(Games!AJ45="F","Fail",""))</f>
        <v/>
      </c>
    </row>
    <row r="1151" spans="1:7" x14ac:dyDescent="0.25">
      <c r="A1151">
        <f t="shared" si="26"/>
        <v>0</v>
      </c>
      <c r="B1151" t="s">
        <v>3726</v>
      </c>
      <c r="C1151">
        <f>Games!D46</f>
        <v>0</v>
      </c>
      <c r="D1151">
        <v>0</v>
      </c>
      <c r="E1151" s="2" t="s">
        <v>3255</v>
      </c>
      <c r="F1151" s="2" t="e">
        <f>VLOOKUP(JudgeD1GamesTeam,Judges!$A$2:$B$44,2,FALSE)</f>
        <v>#N/A</v>
      </c>
      <c r="G1151" t="str">
        <f>IF(Games!AJ46="P","Pass",IF(Games!AJ46="F","Fail",""))</f>
        <v/>
      </c>
    </row>
    <row r="1152" spans="1:7" x14ac:dyDescent="0.25">
      <c r="A1152">
        <f t="shared" si="26"/>
        <v>0</v>
      </c>
      <c r="B1152" t="s">
        <v>3726</v>
      </c>
      <c r="C1152">
        <f>Games!D47</f>
        <v>0</v>
      </c>
      <c r="D1152">
        <v>0</v>
      </c>
      <c r="E1152" s="2" t="s">
        <v>3255</v>
      </c>
      <c r="F1152" s="2" t="e">
        <f>VLOOKUP(JudgeD1GamesTeam,Judges!$A$2:$B$44,2,FALSE)</f>
        <v>#N/A</v>
      </c>
      <c r="G1152" t="str">
        <f>IF(Games!AJ47="P","Pass",IF(Games!AJ47="F","Fail",""))</f>
        <v/>
      </c>
    </row>
    <row r="1153" spans="1:7" x14ac:dyDescent="0.25">
      <c r="A1153">
        <f t="shared" si="26"/>
        <v>0</v>
      </c>
      <c r="B1153" t="s">
        <v>3726</v>
      </c>
      <c r="C1153">
        <f>Games!D48</f>
        <v>0</v>
      </c>
      <c r="D1153">
        <v>0</v>
      </c>
      <c r="E1153" s="2" t="s">
        <v>3255</v>
      </c>
      <c r="F1153" s="2" t="e">
        <f>VLOOKUP(JudgeD1GamesTeam,Judges!$A$2:$B$44,2,FALSE)</f>
        <v>#N/A</v>
      </c>
      <c r="G1153" t="str">
        <f>IF(Games!AJ48="P","Pass",IF(Games!AJ48="F","Fail",""))</f>
        <v/>
      </c>
    </row>
    <row r="1154" spans="1:7" x14ac:dyDescent="0.25">
      <c r="A1154">
        <f t="shared" ref="A1154:A1161" si="27">TrialNumber</f>
        <v>0</v>
      </c>
      <c r="B1154" t="s">
        <v>3726</v>
      </c>
      <c r="C1154">
        <f>Games!D49</f>
        <v>0</v>
      </c>
      <c r="D1154">
        <v>0</v>
      </c>
      <c r="E1154" s="2" t="s">
        <v>3255</v>
      </c>
      <c r="F1154" s="2" t="e">
        <f>VLOOKUP(JudgeD1GamesTeam,Judges!$A$2:$B$44,2,FALSE)</f>
        <v>#N/A</v>
      </c>
      <c r="G1154" t="str">
        <f>IF(Games!AJ49="P","Pass",IF(Games!AJ49="F","Fail",""))</f>
        <v/>
      </c>
    </row>
    <row r="1155" spans="1:7" x14ac:dyDescent="0.25">
      <c r="A1155">
        <f t="shared" si="27"/>
        <v>0</v>
      </c>
      <c r="B1155" t="s">
        <v>3726</v>
      </c>
      <c r="C1155">
        <f>Games!D50</f>
        <v>0</v>
      </c>
      <c r="D1155">
        <v>0</v>
      </c>
      <c r="E1155" s="2" t="s">
        <v>3255</v>
      </c>
      <c r="F1155" s="2" t="e">
        <f>VLOOKUP(JudgeD1GamesTeam,Judges!$A$2:$B$44,2,FALSE)</f>
        <v>#N/A</v>
      </c>
      <c r="G1155" t="str">
        <f>IF(Games!AJ50="P","Pass",IF(Games!AJ50="F","Fail",""))</f>
        <v/>
      </c>
    </row>
    <row r="1156" spans="1:7" x14ac:dyDescent="0.25">
      <c r="A1156">
        <f t="shared" si="27"/>
        <v>0</v>
      </c>
      <c r="B1156" t="s">
        <v>3726</v>
      </c>
      <c r="C1156">
        <f>Games!D51</f>
        <v>0</v>
      </c>
      <c r="D1156">
        <v>0</v>
      </c>
      <c r="E1156" s="2" t="s">
        <v>3255</v>
      </c>
      <c r="F1156" s="2" t="e">
        <f>VLOOKUP(JudgeD1GamesTeam,Judges!$A$2:$B$44,2,FALSE)</f>
        <v>#N/A</v>
      </c>
      <c r="G1156" t="str">
        <f>IF(Games!AJ51="P","Pass",IF(Games!AJ51="F","Fail",""))</f>
        <v/>
      </c>
    </row>
    <row r="1157" spans="1:7" x14ac:dyDescent="0.25">
      <c r="A1157">
        <f t="shared" si="27"/>
        <v>0</v>
      </c>
      <c r="B1157" t="s">
        <v>3726</v>
      </c>
      <c r="C1157">
        <f>Games!D52</f>
        <v>0</v>
      </c>
      <c r="D1157">
        <v>0</v>
      </c>
      <c r="E1157" s="2" t="s">
        <v>3255</v>
      </c>
      <c r="F1157" s="2" t="e">
        <f>VLOOKUP(JudgeD1GamesTeam,Judges!$A$2:$B$44,2,FALSE)</f>
        <v>#N/A</v>
      </c>
      <c r="G1157" t="str">
        <f>IF(Games!AJ52="P","Pass",IF(Games!AJ52="F","Fail",""))</f>
        <v/>
      </c>
    </row>
    <row r="1158" spans="1:7" x14ac:dyDescent="0.25">
      <c r="A1158">
        <f t="shared" si="27"/>
        <v>0</v>
      </c>
      <c r="B1158" t="s">
        <v>3726</v>
      </c>
      <c r="C1158">
        <f>Games!D53</f>
        <v>0</v>
      </c>
      <c r="D1158">
        <v>0</v>
      </c>
      <c r="E1158" s="2" t="s">
        <v>3255</v>
      </c>
      <c r="F1158" s="2" t="e">
        <f>VLOOKUP(JudgeD1GamesTeam,Judges!$A$2:$B$44,2,FALSE)</f>
        <v>#N/A</v>
      </c>
      <c r="G1158" t="str">
        <f>IF(Games!AJ53="P","Pass",IF(Games!AJ53="F","Fail",""))</f>
        <v/>
      </c>
    </row>
    <row r="1159" spans="1:7" x14ac:dyDescent="0.25">
      <c r="A1159">
        <f t="shared" si="27"/>
        <v>0</v>
      </c>
      <c r="B1159" t="s">
        <v>3726</v>
      </c>
      <c r="C1159">
        <f>Games!D54</f>
        <v>0</v>
      </c>
      <c r="D1159">
        <v>0</v>
      </c>
      <c r="E1159" s="2" t="s">
        <v>3255</v>
      </c>
      <c r="F1159" s="2" t="e">
        <f>VLOOKUP(JudgeD1GamesTeam,Judges!$A$2:$B$44,2,FALSE)</f>
        <v>#N/A</v>
      </c>
      <c r="G1159" t="str">
        <f>IF(Games!AJ54="P","Pass",IF(Games!AJ54="F","Fail",""))</f>
        <v/>
      </c>
    </row>
    <row r="1160" spans="1:7" x14ac:dyDescent="0.25">
      <c r="A1160">
        <f t="shared" si="27"/>
        <v>0</v>
      </c>
      <c r="B1160" t="s">
        <v>3726</v>
      </c>
      <c r="C1160">
        <f>Games!D55</f>
        <v>0</v>
      </c>
      <c r="D1160">
        <v>0</v>
      </c>
      <c r="E1160" s="2" t="s">
        <v>3255</v>
      </c>
      <c r="F1160" s="2" t="e">
        <f>VLOOKUP(JudgeD1GamesTeam,Judges!$A$2:$B$44,2,FALSE)</f>
        <v>#N/A</v>
      </c>
      <c r="G1160" t="str">
        <f>IF(Games!AJ55="P","Pass",IF(Games!AJ55="F","Fail",""))</f>
        <v/>
      </c>
    </row>
    <row r="1161" spans="1:7" x14ac:dyDescent="0.25">
      <c r="A1161">
        <f t="shared" si="27"/>
        <v>0</v>
      </c>
      <c r="B1161" t="s">
        <v>3726</v>
      </c>
      <c r="C1161">
        <f>Games!D56</f>
        <v>0</v>
      </c>
      <c r="D1161">
        <v>0</v>
      </c>
      <c r="E1161" s="2" t="s">
        <v>3255</v>
      </c>
      <c r="F1161" s="2" t="e">
        <f>VLOOKUP(JudgeD1GamesTeam,Judges!$A$2:$B$44,2,FALSE)</f>
        <v>#N/A</v>
      </c>
      <c r="G1161" t="str">
        <f>IF(Games!AJ56="P","Pass",IF(Games!AJ56="F","Fail",""))</f>
        <v/>
      </c>
    </row>
    <row r="1162" spans="1:7" x14ac:dyDescent="0.25">
      <c r="A1162">
        <f t="shared" ref="A1162:A1193" si="28">TrialNumberDay2</f>
        <v>0</v>
      </c>
      <c r="B1162" t="s">
        <v>3721</v>
      </c>
      <c r="C1162">
        <f>Games!D66</f>
        <v>0</v>
      </c>
      <c r="D1162">
        <v>0</v>
      </c>
      <c r="E1162" s="2" t="s">
        <v>3255</v>
      </c>
      <c r="F1162" s="2" t="e">
        <f>VLOOKUP(JudgeD2GamesAerial,Judges!$A$2:$B$44,2,FALSE)</f>
        <v>#N/A</v>
      </c>
      <c r="G1162" t="str">
        <f>IF(Games!O66="P","Pass",IF(Games!O66="F","Fail",""))</f>
        <v/>
      </c>
    </row>
    <row r="1163" spans="1:7" x14ac:dyDescent="0.25">
      <c r="A1163">
        <f t="shared" si="28"/>
        <v>0</v>
      </c>
      <c r="B1163" t="s">
        <v>3721</v>
      </c>
      <c r="C1163">
        <f>Games!D67</f>
        <v>0</v>
      </c>
      <c r="D1163">
        <v>0</v>
      </c>
      <c r="E1163" s="2" t="s">
        <v>3255</v>
      </c>
      <c r="F1163" s="2" t="e">
        <f>VLOOKUP(JudgeD2GamesAerial,Judges!$A$2:$B$44,2,FALSE)</f>
        <v>#N/A</v>
      </c>
      <c r="G1163" t="str">
        <f>IF(Games!O67="P","Pass",IF(Games!O67="F","Fail",""))</f>
        <v/>
      </c>
    </row>
    <row r="1164" spans="1:7" x14ac:dyDescent="0.25">
      <c r="A1164">
        <f t="shared" si="28"/>
        <v>0</v>
      </c>
      <c r="B1164" t="s">
        <v>3721</v>
      </c>
      <c r="C1164">
        <f>Games!D68</f>
        <v>0</v>
      </c>
      <c r="D1164">
        <v>0</v>
      </c>
      <c r="E1164" s="2" t="s">
        <v>3255</v>
      </c>
      <c r="F1164" s="2" t="e">
        <f>VLOOKUP(JudgeD2GamesAerial,Judges!$A$2:$B$44,2,FALSE)</f>
        <v>#N/A</v>
      </c>
      <c r="G1164" t="str">
        <f>IF(Games!O68="P","Pass",IF(Games!O68="F","Fail",""))</f>
        <v/>
      </c>
    </row>
    <row r="1165" spans="1:7" x14ac:dyDescent="0.25">
      <c r="A1165">
        <f t="shared" si="28"/>
        <v>0</v>
      </c>
      <c r="B1165" t="s">
        <v>3721</v>
      </c>
      <c r="C1165">
        <f>Games!D69</f>
        <v>0</v>
      </c>
      <c r="D1165">
        <v>0</v>
      </c>
      <c r="E1165" s="2" t="s">
        <v>3255</v>
      </c>
      <c r="F1165" s="2" t="e">
        <f>VLOOKUP(JudgeD2GamesAerial,Judges!$A$2:$B$44,2,FALSE)</f>
        <v>#N/A</v>
      </c>
      <c r="G1165" t="str">
        <f>IF(Games!O69="P","Pass",IF(Games!O69="F","Fail",""))</f>
        <v/>
      </c>
    </row>
    <row r="1166" spans="1:7" x14ac:dyDescent="0.25">
      <c r="A1166">
        <f t="shared" si="28"/>
        <v>0</v>
      </c>
      <c r="B1166" t="s">
        <v>3721</v>
      </c>
      <c r="C1166">
        <f>Games!D70</f>
        <v>0</v>
      </c>
      <c r="D1166">
        <v>0</v>
      </c>
      <c r="E1166" s="2" t="s">
        <v>3255</v>
      </c>
      <c r="F1166" s="2" t="e">
        <f>VLOOKUP(JudgeD2GamesAerial,Judges!$A$2:$B$44,2,FALSE)</f>
        <v>#N/A</v>
      </c>
      <c r="G1166" t="str">
        <f>IF(Games!O70="P","Pass",IF(Games!O70="F","Fail",""))</f>
        <v/>
      </c>
    </row>
    <row r="1167" spans="1:7" x14ac:dyDescent="0.25">
      <c r="A1167">
        <f t="shared" si="28"/>
        <v>0</v>
      </c>
      <c r="B1167" t="s">
        <v>3721</v>
      </c>
      <c r="C1167">
        <f>Games!D71</f>
        <v>0</v>
      </c>
      <c r="D1167">
        <v>0</v>
      </c>
      <c r="E1167" s="2" t="s">
        <v>3255</v>
      </c>
      <c r="F1167" s="2" t="e">
        <f>VLOOKUP(JudgeD2GamesAerial,Judges!$A$2:$B$44,2,FALSE)</f>
        <v>#N/A</v>
      </c>
      <c r="G1167" t="str">
        <f>IF(Games!O71="P","Pass",IF(Games!O71="F","Fail",""))</f>
        <v/>
      </c>
    </row>
    <row r="1168" spans="1:7" x14ac:dyDescent="0.25">
      <c r="A1168">
        <f t="shared" si="28"/>
        <v>0</v>
      </c>
      <c r="B1168" t="s">
        <v>3721</v>
      </c>
      <c r="C1168">
        <f>Games!D72</f>
        <v>0</v>
      </c>
      <c r="D1168">
        <v>0</v>
      </c>
      <c r="E1168" s="2" t="s">
        <v>3255</v>
      </c>
      <c r="F1168" s="2" t="e">
        <f>VLOOKUP(JudgeD2GamesAerial,Judges!$A$2:$B$44,2,FALSE)</f>
        <v>#N/A</v>
      </c>
      <c r="G1168" t="str">
        <f>IF(Games!O72="P","Pass",IF(Games!O72="F","Fail",""))</f>
        <v/>
      </c>
    </row>
    <row r="1169" spans="1:7" x14ac:dyDescent="0.25">
      <c r="A1169">
        <f t="shared" si="28"/>
        <v>0</v>
      </c>
      <c r="B1169" t="s">
        <v>3721</v>
      </c>
      <c r="C1169">
        <f>Games!D73</f>
        <v>0</v>
      </c>
      <c r="D1169">
        <v>0</v>
      </c>
      <c r="E1169" s="2" t="s">
        <v>3255</v>
      </c>
      <c r="F1169" s="2" t="e">
        <f>VLOOKUP(JudgeD2GamesAerial,Judges!$A$2:$B$44,2,FALSE)</f>
        <v>#N/A</v>
      </c>
      <c r="G1169" t="str">
        <f>IF(Games!O73="P","Pass",IF(Games!O73="F","Fail",""))</f>
        <v/>
      </c>
    </row>
    <row r="1170" spans="1:7" x14ac:dyDescent="0.25">
      <c r="A1170">
        <f t="shared" si="28"/>
        <v>0</v>
      </c>
      <c r="B1170" t="s">
        <v>3721</v>
      </c>
      <c r="C1170">
        <f>Games!D74</f>
        <v>0</v>
      </c>
      <c r="D1170">
        <v>0</v>
      </c>
      <c r="E1170" s="2" t="s">
        <v>3255</v>
      </c>
      <c r="F1170" s="2" t="e">
        <f>VLOOKUP(JudgeD2GamesAerial,Judges!$A$2:$B$44,2,FALSE)</f>
        <v>#N/A</v>
      </c>
      <c r="G1170" t="str">
        <f>IF(Games!O74="P","Pass",IF(Games!O74="F","Fail",""))</f>
        <v/>
      </c>
    </row>
    <row r="1171" spans="1:7" x14ac:dyDescent="0.25">
      <c r="A1171">
        <f t="shared" si="28"/>
        <v>0</v>
      </c>
      <c r="B1171" t="s">
        <v>3721</v>
      </c>
      <c r="C1171">
        <f>Games!D75</f>
        <v>0</v>
      </c>
      <c r="D1171">
        <v>0</v>
      </c>
      <c r="E1171" s="2" t="s">
        <v>3255</v>
      </c>
      <c r="F1171" s="2" t="e">
        <f>VLOOKUP(JudgeD2GamesAerial,Judges!$A$2:$B$44,2,FALSE)</f>
        <v>#N/A</v>
      </c>
      <c r="G1171" t="str">
        <f>IF(Games!O75="P","Pass",IF(Games!O75="F","Fail",""))</f>
        <v/>
      </c>
    </row>
    <row r="1172" spans="1:7" x14ac:dyDescent="0.25">
      <c r="A1172">
        <f t="shared" si="28"/>
        <v>0</v>
      </c>
      <c r="B1172" t="s">
        <v>3721</v>
      </c>
      <c r="C1172">
        <f>Games!D76</f>
        <v>0</v>
      </c>
      <c r="D1172">
        <v>0</v>
      </c>
      <c r="E1172" s="2" t="s">
        <v>3255</v>
      </c>
      <c r="F1172" s="2" t="e">
        <f>VLOOKUP(JudgeD2GamesAerial,Judges!$A$2:$B$44,2,FALSE)</f>
        <v>#N/A</v>
      </c>
      <c r="G1172" t="str">
        <f>IF(Games!O76="P","Pass",IF(Games!O76="F","Fail",""))</f>
        <v/>
      </c>
    </row>
    <row r="1173" spans="1:7" x14ac:dyDescent="0.25">
      <c r="A1173">
        <f t="shared" si="28"/>
        <v>0</v>
      </c>
      <c r="B1173" t="s">
        <v>3721</v>
      </c>
      <c r="C1173">
        <f>Games!D77</f>
        <v>0</v>
      </c>
      <c r="D1173">
        <v>0</v>
      </c>
      <c r="E1173" s="2" t="s">
        <v>3255</v>
      </c>
      <c r="F1173" s="2" t="e">
        <f>VLOOKUP(JudgeD2GamesAerial,Judges!$A$2:$B$44,2,FALSE)</f>
        <v>#N/A</v>
      </c>
      <c r="G1173" t="str">
        <f>IF(Games!O77="P","Pass",IF(Games!O77="F","Fail",""))</f>
        <v/>
      </c>
    </row>
    <row r="1174" spans="1:7" x14ac:dyDescent="0.25">
      <c r="A1174">
        <f t="shared" si="28"/>
        <v>0</v>
      </c>
      <c r="B1174" t="s">
        <v>3721</v>
      </c>
      <c r="C1174">
        <f>Games!D78</f>
        <v>0</v>
      </c>
      <c r="D1174">
        <v>0</v>
      </c>
      <c r="E1174" s="2" t="s">
        <v>3255</v>
      </c>
      <c r="F1174" s="2" t="e">
        <f>VLOOKUP(JudgeD2GamesAerial,Judges!$A$2:$B$44,2,FALSE)</f>
        <v>#N/A</v>
      </c>
      <c r="G1174" t="str">
        <f>IF(Games!O78="P","Pass",IF(Games!O78="F","Fail",""))</f>
        <v/>
      </c>
    </row>
    <row r="1175" spans="1:7" x14ac:dyDescent="0.25">
      <c r="A1175">
        <f t="shared" si="28"/>
        <v>0</v>
      </c>
      <c r="B1175" t="s">
        <v>3721</v>
      </c>
      <c r="C1175">
        <f>Games!D79</f>
        <v>0</v>
      </c>
      <c r="D1175">
        <v>0</v>
      </c>
      <c r="E1175" s="2" t="s">
        <v>3255</v>
      </c>
      <c r="F1175" s="2" t="e">
        <f>VLOOKUP(JudgeD2GamesAerial,Judges!$A$2:$B$44,2,FALSE)</f>
        <v>#N/A</v>
      </c>
      <c r="G1175" t="str">
        <f>IF(Games!O79="P","Pass",IF(Games!O79="F","Fail",""))</f>
        <v/>
      </c>
    </row>
    <row r="1176" spans="1:7" x14ac:dyDescent="0.25">
      <c r="A1176">
        <f t="shared" si="28"/>
        <v>0</v>
      </c>
      <c r="B1176" t="s">
        <v>3721</v>
      </c>
      <c r="C1176">
        <f>Games!D80</f>
        <v>0</v>
      </c>
      <c r="D1176">
        <v>0</v>
      </c>
      <c r="E1176" s="2" t="s">
        <v>3255</v>
      </c>
      <c r="F1176" s="2" t="e">
        <f>VLOOKUP(JudgeD2GamesAerial,Judges!$A$2:$B$44,2,FALSE)</f>
        <v>#N/A</v>
      </c>
      <c r="G1176" t="str">
        <f>IF(Games!O80="P","Pass",IF(Games!O80="F","Fail",""))</f>
        <v/>
      </c>
    </row>
    <row r="1177" spans="1:7" x14ac:dyDescent="0.25">
      <c r="A1177">
        <f t="shared" si="28"/>
        <v>0</v>
      </c>
      <c r="B1177" t="s">
        <v>3721</v>
      </c>
      <c r="C1177">
        <f>Games!D81</f>
        <v>0</v>
      </c>
      <c r="D1177">
        <v>0</v>
      </c>
      <c r="E1177" s="2" t="s">
        <v>3255</v>
      </c>
      <c r="F1177" s="2" t="e">
        <f>VLOOKUP(JudgeD2GamesAerial,Judges!$A$2:$B$44,2,FALSE)</f>
        <v>#N/A</v>
      </c>
      <c r="G1177" t="str">
        <f>IF(Games!O81="P","Pass",IF(Games!O81="F","Fail",""))</f>
        <v/>
      </c>
    </row>
    <row r="1178" spans="1:7" x14ac:dyDescent="0.25">
      <c r="A1178">
        <f t="shared" si="28"/>
        <v>0</v>
      </c>
      <c r="B1178" t="s">
        <v>3721</v>
      </c>
      <c r="C1178">
        <f>Games!D82</f>
        <v>0</v>
      </c>
      <c r="D1178">
        <v>0</v>
      </c>
      <c r="E1178" s="2" t="s">
        <v>3255</v>
      </c>
      <c r="F1178" s="2" t="e">
        <f>VLOOKUP(JudgeD2GamesAerial,Judges!$A$2:$B$44,2,FALSE)</f>
        <v>#N/A</v>
      </c>
      <c r="G1178" t="str">
        <f>IF(Games!O82="P","Pass",IF(Games!O82="F","Fail",""))</f>
        <v/>
      </c>
    </row>
    <row r="1179" spans="1:7" x14ac:dyDescent="0.25">
      <c r="A1179">
        <f t="shared" si="28"/>
        <v>0</v>
      </c>
      <c r="B1179" t="s">
        <v>3721</v>
      </c>
      <c r="C1179">
        <f>Games!D83</f>
        <v>0</v>
      </c>
      <c r="D1179">
        <v>0</v>
      </c>
      <c r="E1179" s="2" t="s">
        <v>3255</v>
      </c>
      <c r="F1179" s="2" t="e">
        <f>VLOOKUP(JudgeD2GamesAerial,Judges!$A$2:$B$44,2,FALSE)</f>
        <v>#N/A</v>
      </c>
      <c r="G1179" t="str">
        <f>IF(Games!O83="P","Pass",IF(Games!O83="F","Fail",""))</f>
        <v/>
      </c>
    </row>
    <row r="1180" spans="1:7" x14ac:dyDescent="0.25">
      <c r="A1180">
        <f t="shared" si="28"/>
        <v>0</v>
      </c>
      <c r="B1180" t="s">
        <v>3721</v>
      </c>
      <c r="C1180">
        <f>Games!D84</f>
        <v>0</v>
      </c>
      <c r="D1180">
        <v>0</v>
      </c>
      <c r="E1180" s="2" t="s">
        <v>3255</v>
      </c>
      <c r="F1180" s="2" t="e">
        <f>VLOOKUP(JudgeD2GamesAerial,Judges!$A$2:$B$44,2,FALSE)</f>
        <v>#N/A</v>
      </c>
      <c r="G1180" t="str">
        <f>IF(Games!O84="P","Pass",IF(Games!O84="F","Fail",""))</f>
        <v/>
      </c>
    </row>
    <row r="1181" spans="1:7" x14ac:dyDescent="0.25">
      <c r="A1181">
        <f t="shared" si="28"/>
        <v>0</v>
      </c>
      <c r="B1181" t="s">
        <v>3721</v>
      </c>
      <c r="C1181">
        <f>Games!D85</f>
        <v>0</v>
      </c>
      <c r="D1181">
        <v>0</v>
      </c>
      <c r="E1181" s="2" t="s">
        <v>3255</v>
      </c>
      <c r="F1181" s="2" t="e">
        <f>VLOOKUP(JudgeD2GamesAerial,Judges!$A$2:$B$44,2,FALSE)</f>
        <v>#N/A</v>
      </c>
      <c r="G1181" t="str">
        <f>IF(Games!O85="P","Pass",IF(Games!O85="F","Fail",""))</f>
        <v/>
      </c>
    </row>
    <row r="1182" spans="1:7" x14ac:dyDescent="0.25">
      <c r="A1182">
        <f t="shared" si="28"/>
        <v>0</v>
      </c>
      <c r="B1182" t="s">
        <v>3721</v>
      </c>
      <c r="C1182">
        <f>Games!D86</f>
        <v>0</v>
      </c>
      <c r="D1182">
        <v>0</v>
      </c>
      <c r="E1182" s="2" t="s">
        <v>3255</v>
      </c>
      <c r="F1182" s="2" t="e">
        <f>VLOOKUP(JudgeD2GamesAerial,Judges!$A$2:$B$44,2,FALSE)</f>
        <v>#N/A</v>
      </c>
      <c r="G1182" t="str">
        <f>IF(Games!O86="P","Pass",IF(Games!O86="F","Fail",""))</f>
        <v/>
      </c>
    </row>
    <row r="1183" spans="1:7" x14ac:dyDescent="0.25">
      <c r="A1183">
        <f t="shared" si="28"/>
        <v>0</v>
      </c>
      <c r="B1183" t="s">
        <v>3721</v>
      </c>
      <c r="C1183">
        <f>Games!D87</f>
        <v>0</v>
      </c>
      <c r="D1183">
        <v>0</v>
      </c>
      <c r="E1183" s="2" t="s">
        <v>3255</v>
      </c>
      <c r="F1183" s="2" t="e">
        <f>VLOOKUP(JudgeD2GamesAerial,Judges!$A$2:$B$44,2,FALSE)</f>
        <v>#N/A</v>
      </c>
      <c r="G1183" t="str">
        <f>IF(Games!O87="P","Pass",IF(Games!O87="F","Fail",""))</f>
        <v/>
      </c>
    </row>
    <row r="1184" spans="1:7" x14ac:dyDescent="0.25">
      <c r="A1184">
        <f t="shared" si="28"/>
        <v>0</v>
      </c>
      <c r="B1184" t="s">
        <v>3721</v>
      </c>
      <c r="C1184">
        <f>Games!D88</f>
        <v>0</v>
      </c>
      <c r="D1184">
        <v>0</v>
      </c>
      <c r="E1184" s="2" t="s">
        <v>3255</v>
      </c>
      <c r="F1184" s="2" t="e">
        <f>VLOOKUP(JudgeD2GamesAerial,Judges!$A$2:$B$44,2,FALSE)</f>
        <v>#N/A</v>
      </c>
      <c r="G1184" t="str">
        <f>IF(Games!O88="P","Pass",IF(Games!O88="F","Fail",""))</f>
        <v/>
      </c>
    </row>
    <row r="1185" spans="1:7" x14ac:dyDescent="0.25">
      <c r="A1185">
        <f t="shared" si="28"/>
        <v>0</v>
      </c>
      <c r="B1185" t="s">
        <v>3721</v>
      </c>
      <c r="C1185">
        <f>Games!D89</f>
        <v>0</v>
      </c>
      <c r="D1185">
        <v>0</v>
      </c>
      <c r="E1185" s="2" t="s">
        <v>3255</v>
      </c>
      <c r="F1185" s="2" t="e">
        <f>VLOOKUP(JudgeD2GamesAerial,Judges!$A$2:$B$44,2,FALSE)</f>
        <v>#N/A</v>
      </c>
      <c r="G1185" t="str">
        <f>IF(Games!O89="P","Pass",IF(Games!O89="F","Fail",""))</f>
        <v/>
      </c>
    </row>
    <row r="1186" spans="1:7" x14ac:dyDescent="0.25">
      <c r="A1186">
        <f t="shared" si="28"/>
        <v>0</v>
      </c>
      <c r="B1186" t="s">
        <v>3721</v>
      </c>
      <c r="C1186">
        <f>Games!D90</f>
        <v>0</v>
      </c>
      <c r="D1186">
        <v>0</v>
      </c>
      <c r="E1186" s="2" t="s">
        <v>3255</v>
      </c>
      <c r="F1186" s="2" t="e">
        <f>VLOOKUP(JudgeD2GamesAerial,Judges!$A$2:$B$44,2,FALSE)</f>
        <v>#N/A</v>
      </c>
      <c r="G1186" t="str">
        <f>IF(Games!O90="P","Pass",IF(Games!O90="F","Fail",""))</f>
        <v/>
      </c>
    </row>
    <row r="1187" spans="1:7" x14ac:dyDescent="0.25">
      <c r="A1187">
        <f t="shared" si="28"/>
        <v>0</v>
      </c>
      <c r="B1187" t="s">
        <v>3721</v>
      </c>
      <c r="C1187">
        <f>Games!D91</f>
        <v>0</v>
      </c>
      <c r="D1187">
        <v>0</v>
      </c>
      <c r="E1187" s="2" t="s">
        <v>3255</v>
      </c>
      <c r="F1187" s="2" t="e">
        <f>VLOOKUP(JudgeD2GamesAerial,Judges!$A$2:$B$44,2,FALSE)</f>
        <v>#N/A</v>
      </c>
      <c r="G1187" t="str">
        <f>IF(Games!O91="P","Pass",IF(Games!O91="F","Fail",""))</f>
        <v/>
      </c>
    </row>
    <row r="1188" spans="1:7" x14ac:dyDescent="0.25">
      <c r="A1188">
        <f t="shared" si="28"/>
        <v>0</v>
      </c>
      <c r="B1188" t="s">
        <v>3721</v>
      </c>
      <c r="C1188">
        <f>Games!D92</f>
        <v>0</v>
      </c>
      <c r="D1188">
        <v>0</v>
      </c>
      <c r="E1188" s="2" t="s">
        <v>3255</v>
      </c>
      <c r="F1188" s="2" t="e">
        <f>VLOOKUP(JudgeD2GamesAerial,Judges!$A$2:$B$44,2,FALSE)</f>
        <v>#N/A</v>
      </c>
      <c r="G1188" t="str">
        <f>IF(Games!O92="P","Pass",IF(Games!O92="F","Fail",""))</f>
        <v/>
      </c>
    </row>
    <row r="1189" spans="1:7" x14ac:dyDescent="0.25">
      <c r="A1189">
        <f t="shared" si="28"/>
        <v>0</v>
      </c>
      <c r="B1189" t="s">
        <v>3721</v>
      </c>
      <c r="C1189">
        <f>Games!D93</f>
        <v>0</v>
      </c>
      <c r="D1189">
        <v>0</v>
      </c>
      <c r="E1189" s="2" t="s">
        <v>3255</v>
      </c>
      <c r="F1189" s="2" t="e">
        <f>VLOOKUP(JudgeD2GamesAerial,Judges!$A$2:$B$44,2,FALSE)</f>
        <v>#N/A</v>
      </c>
      <c r="G1189" t="str">
        <f>IF(Games!O93="P","Pass",IF(Games!O93="F","Fail",""))</f>
        <v/>
      </c>
    </row>
    <row r="1190" spans="1:7" x14ac:dyDescent="0.25">
      <c r="A1190">
        <f t="shared" si="28"/>
        <v>0</v>
      </c>
      <c r="B1190" t="s">
        <v>3721</v>
      </c>
      <c r="C1190">
        <f>Games!D94</f>
        <v>0</v>
      </c>
      <c r="D1190">
        <v>0</v>
      </c>
      <c r="E1190" s="2" t="s">
        <v>3255</v>
      </c>
      <c r="F1190" s="2" t="e">
        <f>VLOOKUP(JudgeD2GamesAerial,Judges!$A$2:$B$44,2,FALSE)</f>
        <v>#N/A</v>
      </c>
      <c r="G1190" t="str">
        <f>IF(Games!O94="P","Pass",IF(Games!O94="F","Fail",""))</f>
        <v/>
      </c>
    </row>
    <row r="1191" spans="1:7" x14ac:dyDescent="0.25">
      <c r="A1191">
        <f t="shared" si="28"/>
        <v>0</v>
      </c>
      <c r="B1191" t="s">
        <v>3721</v>
      </c>
      <c r="C1191">
        <f>Games!D95</f>
        <v>0</v>
      </c>
      <c r="D1191">
        <v>0</v>
      </c>
      <c r="E1191" s="2" t="s">
        <v>3255</v>
      </c>
      <c r="F1191" s="2" t="e">
        <f>VLOOKUP(JudgeD2GamesAerial,Judges!$A$2:$B$44,2,FALSE)</f>
        <v>#N/A</v>
      </c>
      <c r="G1191" t="str">
        <f>IF(Games!O95="P","Pass",IF(Games!O95="F","Fail",""))</f>
        <v/>
      </c>
    </row>
    <row r="1192" spans="1:7" x14ac:dyDescent="0.25">
      <c r="A1192">
        <f t="shared" si="28"/>
        <v>0</v>
      </c>
      <c r="B1192" t="s">
        <v>3721</v>
      </c>
      <c r="C1192">
        <f>Games!D96</f>
        <v>0</v>
      </c>
      <c r="D1192">
        <v>0</v>
      </c>
      <c r="E1192" s="2" t="s">
        <v>3255</v>
      </c>
      <c r="F1192" s="2" t="e">
        <f>VLOOKUP(JudgeD2GamesAerial,Judges!$A$2:$B$44,2,FALSE)</f>
        <v>#N/A</v>
      </c>
      <c r="G1192" t="str">
        <f>IF(Games!O96="P","Pass",IF(Games!O96="F","Fail",""))</f>
        <v/>
      </c>
    </row>
    <row r="1193" spans="1:7" x14ac:dyDescent="0.25">
      <c r="A1193">
        <f t="shared" si="28"/>
        <v>0</v>
      </c>
      <c r="B1193" t="s">
        <v>3721</v>
      </c>
      <c r="C1193">
        <f>Games!D97</f>
        <v>0</v>
      </c>
      <c r="D1193">
        <v>0</v>
      </c>
      <c r="E1193" s="2" t="s">
        <v>3255</v>
      </c>
      <c r="F1193" s="2" t="e">
        <f>VLOOKUP(JudgeD2GamesAerial,Judges!$A$2:$B$44,2,FALSE)</f>
        <v>#N/A</v>
      </c>
      <c r="G1193" t="str">
        <f>IF(Games!O97="P","Pass",IF(Games!O97="F","Fail",""))</f>
        <v/>
      </c>
    </row>
    <row r="1194" spans="1:7" x14ac:dyDescent="0.25">
      <c r="A1194">
        <f t="shared" ref="A1194:A1225" si="29">TrialNumberDay2</f>
        <v>0</v>
      </c>
      <c r="B1194" t="s">
        <v>3721</v>
      </c>
      <c r="C1194">
        <f>Games!D98</f>
        <v>0</v>
      </c>
      <c r="D1194">
        <v>0</v>
      </c>
      <c r="E1194" s="2" t="s">
        <v>3255</v>
      </c>
      <c r="F1194" s="2" t="e">
        <f>VLOOKUP(JudgeD2GamesAerial,Judges!$A$2:$B$44,2,FALSE)</f>
        <v>#N/A</v>
      </c>
      <c r="G1194" t="str">
        <f>IF(Games!O98="P","Pass",IF(Games!O98="F","Fail",""))</f>
        <v/>
      </c>
    </row>
    <row r="1195" spans="1:7" x14ac:dyDescent="0.25">
      <c r="A1195">
        <f t="shared" si="29"/>
        <v>0</v>
      </c>
      <c r="B1195" t="s">
        <v>3721</v>
      </c>
      <c r="C1195">
        <f>Games!D99</f>
        <v>0</v>
      </c>
      <c r="D1195">
        <v>0</v>
      </c>
      <c r="E1195" s="2" t="s">
        <v>3255</v>
      </c>
      <c r="F1195" s="2" t="e">
        <f>VLOOKUP(JudgeD2GamesAerial,Judges!$A$2:$B$44,2,FALSE)</f>
        <v>#N/A</v>
      </c>
      <c r="G1195" t="str">
        <f>IF(Games!O99="P","Pass",IF(Games!O99="F","Fail",""))</f>
        <v/>
      </c>
    </row>
    <row r="1196" spans="1:7" x14ac:dyDescent="0.25">
      <c r="A1196">
        <f t="shared" si="29"/>
        <v>0</v>
      </c>
      <c r="B1196" t="s">
        <v>3721</v>
      </c>
      <c r="C1196">
        <f>Games!D100</f>
        <v>0</v>
      </c>
      <c r="D1196">
        <v>0</v>
      </c>
      <c r="E1196" s="2" t="s">
        <v>3255</v>
      </c>
      <c r="F1196" s="2" t="e">
        <f>VLOOKUP(JudgeD2GamesAerial,Judges!$A$2:$B$44,2,FALSE)</f>
        <v>#N/A</v>
      </c>
      <c r="G1196" t="str">
        <f>IF(Games!O100="P","Pass",IF(Games!O100="F","Fail",""))</f>
        <v/>
      </c>
    </row>
    <row r="1197" spans="1:7" x14ac:dyDescent="0.25">
      <c r="A1197">
        <f t="shared" si="29"/>
        <v>0</v>
      </c>
      <c r="B1197" t="s">
        <v>3721</v>
      </c>
      <c r="C1197">
        <f>Games!D101</f>
        <v>0</v>
      </c>
      <c r="D1197">
        <v>0</v>
      </c>
      <c r="E1197" s="2" t="s">
        <v>3255</v>
      </c>
      <c r="F1197" s="2" t="e">
        <f>VLOOKUP(JudgeD2GamesAerial,Judges!$A$2:$B$44,2,FALSE)</f>
        <v>#N/A</v>
      </c>
      <c r="G1197" t="str">
        <f>IF(Games!O101="P","Pass",IF(Games!O101="F","Fail",""))</f>
        <v/>
      </c>
    </row>
    <row r="1198" spans="1:7" x14ac:dyDescent="0.25">
      <c r="A1198">
        <f t="shared" si="29"/>
        <v>0</v>
      </c>
      <c r="B1198" t="s">
        <v>3721</v>
      </c>
      <c r="C1198">
        <f>Games!D102</f>
        <v>0</v>
      </c>
      <c r="D1198">
        <v>0</v>
      </c>
      <c r="E1198" s="2" t="s">
        <v>3255</v>
      </c>
      <c r="F1198" s="2" t="e">
        <f>VLOOKUP(JudgeD2GamesAerial,Judges!$A$2:$B$44,2,FALSE)</f>
        <v>#N/A</v>
      </c>
      <c r="G1198" t="str">
        <f>IF(Games!O102="P","Pass",IF(Games!O102="F","Fail",""))</f>
        <v/>
      </c>
    </row>
    <row r="1199" spans="1:7" x14ac:dyDescent="0.25">
      <c r="A1199">
        <f t="shared" si="29"/>
        <v>0</v>
      </c>
      <c r="B1199" t="s">
        <v>3721</v>
      </c>
      <c r="C1199">
        <f>Games!D103</f>
        <v>0</v>
      </c>
      <c r="D1199">
        <v>0</v>
      </c>
      <c r="E1199" s="2" t="s">
        <v>3255</v>
      </c>
      <c r="F1199" s="2" t="e">
        <f>VLOOKUP(JudgeD2GamesAerial,Judges!$A$2:$B$44,2,FALSE)</f>
        <v>#N/A</v>
      </c>
      <c r="G1199" t="str">
        <f>IF(Games!O103="P","Pass",IF(Games!O103="F","Fail",""))</f>
        <v/>
      </c>
    </row>
    <row r="1200" spans="1:7" x14ac:dyDescent="0.25">
      <c r="A1200">
        <f t="shared" si="29"/>
        <v>0</v>
      </c>
      <c r="B1200" t="s">
        <v>3721</v>
      </c>
      <c r="C1200">
        <f>Games!D104</f>
        <v>0</v>
      </c>
      <c r="D1200">
        <v>0</v>
      </c>
      <c r="E1200" s="2" t="s">
        <v>3255</v>
      </c>
      <c r="F1200" s="2" t="e">
        <f>VLOOKUP(JudgeD2GamesAerial,Judges!$A$2:$B$44,2,FALSE)</f>
        <v>#N/A</v>
      </c>
      <c r="G1200" t="str">
        <f>IF(Games!O104="P","Pass",IF(Games!O104="F","Fail",""))</f>
        <v/>
      </c>
    </row>
    <row r="1201" spans="1:7" x14ac:dyDescent="0.25">
      <c r="A1201">
        <f t="shared" si="29"/>
        <v>0</v>
      </c>
      <c r="B1201" t="s">
        <v>3721</v>
      </c>
      <c r="C1201">
        <f>Games!D105</f>
        <v>0</v>
      </c>
      <c r="D1201">
        <v>0</v>
      </c>
      <c r="E1201" s="2" t="s">
        <v>3255</v>
      </c>
      <c r="F1201" s="2" t="e">
        <f>VLOOKUP(JudgeD2GamesAerial,Judges!$A$2:$B$44,2,FALSE)</f>
        <v>#N/A</v>
      </c>
      <c r="G1201" t="str">
        <f>IF(Games!O105="P","Pass",IF(Games!O105="F","Fail",""))</f>
        <v/>
      </c>
    </row>
    <row r="1202" spans="1:7" x14ac:dyDescent="0.25">
      <c r="A1202">
        <f t="shared" si="29"/>
        <v>0</v>
      </c>
      <c r="B1202" t="s">
        <v>3721</v>
      </c>
      <c r="C1202">
        <f>Games!D106</f>
        <v>0</v>
      </c>
      <c r="D1202">
        <v>0</v>
      </c>
      <c r="E1202" s="2" t="s">
        <v>3255</v>
      </c>
      <c r="F1202" s="2" t="e">
        <f>VLOOKUP(JudgeD2GamesAerial,Judges!$A$2:$B$44,2,FALSE)</f>
        <v>#N/A</v>
      </c>
      <c r="G1202" t="str">
        <f>IF(Games!O106="P","Pass",IF(Games!O106="F","Fail",""))</f>
        <v/>
      </c>
    </row>
    <row r="1203" spans="1:7" x14ac:dyDescent="0.25">
      <c r="A1203">
        <f t="shared" si="29"/>
        <v>0</v>
      </c>
      <c r="B1203" t="s">
        <v>3721</v>
      </c>
      <c r="C1203">
        <f>Games!D107</f>
        <v>0</v>
      </c>
      <c r="D1203">
        <v>0</v>
      </c>
      <c r="E1203" s="2" t="s">
        <v>3255</v>
      </c>
      <c r="F1203" s="2" t="e">
        <f>VLOOKUP(JudgeD2GamesAerial,Judges!$A$2:$B$44,2,FALSE)</f>
        <v>#N/A</v>
      </c>
      <c r="G1203" t="str">
        <f>IF(Games!O107="P","Pass",IF(Games!O107="F","Fail",""))</f>
        <v/>
      </c>
    </row>
    <row r="1204" spans="1:7" x14ac:dyDescent="0.25">
      <c r="A1204">
        <f t="shared" si="29"/>
        <v>0</v>
      </c>
      <c r="B1204" t="s">
        <v>3721</v>
      </c>
      <c r="C1204">
        <f>Games!D108</f>
        <v>0</v>
      </c>
      <c r="D1204">
        <v>0</v>
      </c>
      <c r="E1204" s="2" t="s">
        <v>3255</v>
      </c>
      <c r="F1204" s="2" t="e">
        <f>VLOOKUP(JudgeD2GamesAerial,Judges!$A$2:$B$44,2,FALSE)</f>
        <v>#N/A</v>
      </c>
      <c r="G1204" t="str">
        <f>IF(Games!O108="P","Pass",IF(Games!O108="F","Fail",""))</f>
        <v/>
      </c>
    </row>
    <row r="1205" spans="1:7" x14ac:dyDescent="0.25">
      <c r="A1205">
        <f t="shared" si="29"/>
        <v>0</v>
      </c>
      <c r="B1205" t="s">
        <v>3721</v>
      </c>
      <c r="C1205">
        <f>Games!D109</f>
        <v>0</v>
      </c>
      <c r="D1205">
        <v>0</v>
      </c>
      <c r="E1205" s="2" t="s">
        <v>3255</v>
      </c>
      <c r="F1205" s="2" t="e">
        <f>VLOOKUP(JudgeD2GamesAerial,Judges!$A$2:$B$44,2,FALSE)</f>
        <v>#N/A</v>
      </c>
      <c r="G1205" t="str">
        <f>IF(Games!O109="P","Pass",IF(Games!O109="F","Fail",""))</f>
        <v/>
      </c>
    </row>
    <row r="1206" spans="1:7" x14ac:dyDescent="0.25">
      <c r="A1206">
        <f t="shared" si="29"/>
        <v>0</v>
      </c>
      <c r="B1206" t="s">
        <v>3721</v>
      </c>
      <c r="C1206">
        <f>Games!D110</f>
        <v>0</v>
      </c>
      <c r="D1206">
        <v>0</v>
      </c>
      <c r="E1206" s="2" t="s">
        <v>3255</v>
      </c>
      <c r="F1206" s="2" t="e">
        <f>VLOOKUP(JudgeD2GamesAerial,Judges!$A$2:$B$44,2,FALSE)</f>
        <v>#N/A</v>
      </c>
      <c r="G1206" t="str">
        <f>IF(Games!O110="P","Pass",IF(Games!O110="F","Fail",""))</f>
        <v/>
      </c>
    </row>
    <row r="1207" spans="1:7" x14ac:dyDescent="0.25">
      <c r="A1207">
        <f t="shared" si="29"/>
        <v>0</v>
      </c>
      <c r="B1207" t="s">
        <v>3721</v>
      </c>
      <c r="C1207">
        <f>Games!D111</f>
        <v>0</v>
      </c>
      <c r="D1207">
        <v>0</v>
      </c>
      <c r="E1207" s="2" t="s">
        <v>3255</v>
      </c>
      <c r="F1207" s="2" t="e">
        <f>VLOOKUP(JudgeD2GamesAerial,Judges!$A$2:$B$44,2,FALSE)</f>
        <v>#N/A</v>
      </c>
      <c r="G1207" t="str">
        <f>IF(Games!O111="P","Pass",IF(Games!O111="F","Fail",""))</f>
        <v/>
      </c>
    </row>
    <row r="1208" spans="1:7" x14ac:dyDescent="0.25">
      <c r="A1208">
        <f t="shared" si="29"/>
        <v>0</v>
      </c>
      <c r="B1208" t="s">
        <v>3721</v>
      </c>
      <c r="C1208">
        <f>Games!D112</f>
        <v>0</v>
      </c>
      <c r="D1208">
        <v>0</v>
      </c>
      <c r="E1208" s="2" t="s">
        <v>3255</v>
      </c>
      <c r="F1208" s="2" t="e">
        <f>VLOOKUP(JudgeD2GamesAerial,Judges!$A$2:$B$44,2,FALSE)</f>
        <v>#N/A</v>
      </c>
      <c r="G1208" t="str">
        <f>IF(Games!O112="P","Pass",IF(Games!O112="F","Fail",""))</f>
        <v/>
      </c>
    </row>
    <row r="1209" spans="1:7" x14ac:dyDescent="0.25">
      <c r="A1209">
        <f t="shared" si="29"/>
        <v>0</v>
      </c>
      <c r="B1209" t="s">
        <v>3721</v>
      </c>
      <c r="C1209">
        <f>Games!D113</f>
        <v>0</v>
      </c>
      <c r="D1209">
        <v>0</v>
      </c>
      <c r="E1209" s="2" t="s">
        <v>3255</v>
      </c>
      <c r="F1209" s="2" t="e">
        <f>VLOOKUP(JudgeD2GamesAerial,Judges!$A$2:$B$44,2,FALSE)</f>
        <v>#N/A</v>
      </c>
      <c r="G1209" t="str">
        <f>IF(Games!O113="P","Pass",IF(Games!O113="F","Fail",""))</f>
        <v/>
      </c>
    </row>
    <row r="1210" spans="1:7" x14ac:dyDescent="0.25">
      <c r="A1210">
        <f t="shared" si="29"/>
        <v>0</v>
      </c>
      <c r="B1210" t="s">
        <v>3721</v>
      </c>
      <c r="C1210">
        <f>Games!D114</f>
        <v>0</v>
      </c>
      <c r="D1210">
        <v>0</v>
      </c>
      <c r="E1210" s="2" t="s">
        <v>3255</v>
      </c>
      <c r="F1210" s="2" t="e">
        <f>VLOOKUP(JudgeD2GamesAerial,Judges!$A$2:$B$44,2,FALSE)</f>
        <v>#N/A</v>
      </c>
      <c r="G1210" t="str">
        <f>IF(Games!O114="P","Pass",IF(Games!O114="F","Fail",""))</f>
        <v/>
      </c>
    </row>
    <row r="1211" spans="1:7" x14ac:dyDescent="0.25">
      <c r="A1211">
        <f t="shared" si="29"/>
        <v>0</v>
      </c>
      <c r="B1211" t="s">
        <v>3721</v>
      </c>
      <c r="C1211">
        <f>Games!D115</f>
        <v>0</v>
      </c>
      <c r="D1211">
        <v>0</v>
      </c>
      <c r="E1211" s="2" t="s">
        <v>3255</v>
      </c>
      <c r="F1211" s="2" t="e">
        <f>VLOOKUP(JudgeD2GamesAerial,Judges!$A$2:$B$44,2,FALSE)</f>
        <v>#N/A</v>
      </c>
      <c r="G1211" t="str">
        <f>IF(Games!O115="P","Pass",IF(Games!O115="F","Fail",""))</f>
        <v/>
      </c>
    </row>
    <row r="1212" spans="1:7" x14ac:dyDescent="0.25">
      <c r="A1212">
        <f t="shared" si="29"/>
        <v>0</v>
      </c>
      <c r="B1212" t="s">
        <v>3722</v>
      </c>
      <c r="C1212">
        <f>Games!D66</f>
        <v>0</v>
      </c>
      <c r="D1212">
        <v>0</v>
      </c>
      <c r="E1212" s="2" t="s">
        <v>3255</v>
      </c>
      <c r="F1212" s="2" t="e">
        <f>VLOOKUP(JudgeD2GamesDistance,Judges!$A$2:$B$44,2,FALSE)</f>
        <v>#N/A</v>
      </c>
      <c r="G1212" t="str">
        <f>IF(Games!V66="P","Pass",IF(Games!V66="F","Fail",""))</f>
        <v/>
      </c>
    </row>
    <row r="1213" spans="1:7" x14ac:dyDescent="0.25">
      <c r="A1213">
        <f t="shared" si="29"/>
        <v>0</v>
      </c>
      <c r="B1213" t="s">
        <v>3722</v>
      </c>
      <c r="C1213">
        <f>Games!D67</f>
        <v>0</v>
      </c>
      <c r="D1213">
        <v>0</v>
      </c>
      <c r="E1213" s="2" t="s">
        <v>3255</v>
      </c>
      <c r="F1213" s="2" t="e">
        <f>VLOOKUP(JudgeD2GamesDistance,Judges!$A$2:$B$44,2,FALSE)</f>
        <v>#N/A</v>
      </c>
      <c r="G1213" t="str">
        <f>IF(Games!V67="P","Pass",IF(Games!V67="F","Fail",""))</f>
        <v/>
      </c>
    </row>
    <row r="1214" spans="1:7" x14ac:dyDescent="0.25">
      <c r="A1214">
        <f t="shared" si="29"/>
        <v>0</v>
      </c>
      <c r="B1214" t="s">
        <v>3722</v>
      </c>
      <c r="C1214">
        <f>Games!D68</f>
        <v>0</v>
      </c>
      <c r="D1214">
        <v>0</v>
      </c>
      <c r="E1214" s="2" t="s">
        <v>3255</v>
      </c>
      <c r="F1214" s="2" t="e">
        <f>VLOOKUP(JudgeD2GamesDistance,Judges!$A$2:$B$44,2,FALSE)</f>
        <v>#N/A</v>
      </c>
      <c r="G1214" t="str">
        <f>IF(Games!V68="P","Pass",IF(Games!V68="F","Fail",""))</f>
        <v/>
      </c>
    </row>
    <row r="1215" spans="1:7" x14ac:dyDescent="0.25">
      <c r="A1215">
        <f t="shared" si="29"/>
        <v>0</v>
      </c>
      <c r="B1215" t="s">
        <v>3722</v>
      </c>
      <c r="C1215">
        <f>Games!D69</f>
        <v>0</v>
      </c>
      <c r="D1215">
        <v>0</v>
      </c>
      <c r="E1215" s="2" t="s">
        <v>3255</v>
      </c>
      <c r="F1215" s="2" t="e">
        <f>VLOOKUP(JudgeD2GamesDistance,Judges!$A$2:$B$44,2,FALSE)</f>
        <v>#N/A</v>
      </c>
      <c r="G1215" t="str">
        <f>IF(Games!V69="P","Pass",IF(Games!V69="F","Fail",""))</f>
        <v/>
      </c>
    </row>
    <row r="1216" spans="1:7" x14ac:dyDescent="0.25">
      <c r="A1216">
        <f t="shared" si="29"/>
        <v>0</v>
      </c>
      <c r="B1216" t="s">
        <v>3722</v>
      </c>
      <c r="C1216">
        <f>Games!D70</f>
        <v>0</v>
      </c>
      <c r="D1216">
        <v>0</v>
      </c>
      <c r="E1216" s="2" t="s">
        <v>3255</v>
      </c>
      <c r="F1216" s="2" t="e">
        <f>VLOOKUP(JudgeD2GamesDistance,Judges!$A$2:$B$44,2,FALSE)</f>
        <v>#N/A</v>
      </c>
      <c r="G1216" t="str">
        <f>IF(Games!V70="P","Pass",IF(Games!V70="F","Fail",""))</f>
        <v/>
      </c>
    </row>
    <row r="1217" spans="1:7" x14ac:dyDescent="0.25">
      <c r="A1217">
        <f t="shared" si="29"/>
        <v>0</v>
      </c>
      <c r="B1217" t="s">
        <v>3722</v>
      </c>
      <c r="C1217">
        <f>Games!D71</f>
        <v>0</v>
      </c>
      <c r="D1217">
        <v>0</v>
      </c>
      <c r="E1217" s="2" t="s">
        <v>3255</v>
      </c>
      <c r="F1217" s="2" t="e">
        <f>VLOOKUP(JudgeD2GamesDistance,Judges!$A$2:$B$44,2,FALSE)</f>
        <v>#N/A</v>
      </c>
      <c r="G1217" t="str">
        <f>IF(Games!V71="P","Pass",IF(Games!V71="F","Fail",""))</f>
        <v/>
      </c>
    </row>
    <row r="1218" spans="1:7" x14ac:dyDescent="0.25">
      <c r="A1218">
        <f t="shared" si="29"/>
        <v>0</v>
      </c>
      <c r="B1218" t="s">
        <v>3722</v>
      </c>
      <c r="C1218">
        <f>Games!D72</f>
        <v>0</v>
      </c>
      <c r="D1218">
        <v>0</v>
      </c>
      <c r="E1218" s="2" t="s">
        <v>3255</v>
      </c>
      <c r="F1218" s="2" t="e">
        <f>VLOOKUP(JudgeD2GamesDistance,Judges!$A$2:$B$44,2,FALSE)</f>
        <v>#N/A</v>
      </c>
      <c r="G1218" t="str">
        <f>IF(Games!V72="P","Pass",IF(Games!V72="F","Fail",""))</f>
        <v/>
      </c>
    </row>
    <row r="1219" spans="1:7" x14ac:dyDescent="0.25">
      <c r="A1219">
        <f t="shared" si="29"/>
        <v>0</v>
      </c>
      <c r="B1219" t="s">
        <v>3722</v>
      </c>
      <c r="C1219">
        <f>Games!D73</f>
        <v>0</v>
      </c>
      <c r="D1219">
        <v>0</v>
      </c>
      <c r="E1219" s="2" t="s">
        <v>3255</v>
      </c>
      <c r="F1219" s="2" t="e">
        <f>VLOOKUP(JudgeD2GamesDistance,Judges!$A$2:$B$44,2,FALSE)</f>
        <v>#N/A</v>
      </c>
      <c r="G1219" t="str">
        <f>IF(Games!V73="P","Pass",IF(Games!V73="F","Fail",""))</f>
        <v/>
      </c>
    </row>
    <row r="1220" spans="1:7" x14ac:dyDescent="0.25">
      <c r="A1220">
        <f t="shared" si="29"/>
        <v>0</v>
      </c>
      <c r="B1220" t="s">
        <v>3722</v>
      </c>
      <c r="C1220">
        <f>Games!D74</f>
        <v>0</v>
      </c>
      <c r="D1220">
        <v>0</v>
      </c>
      <c r="E1220" s="2" t="s">
        <v>3255</v>
      </c>
      <c r="F1220" s="2" t="e">
        <f>VLOOKUP(JudgeD2GamesDistance,Judges!$A$2:$B$44,2,FALSE)</f>
        <v>#N/A</v>
      </c>
      <c r="G1220" t="str">
        <f>IF(Games!V74="P","Pass",IF(Games!V74="F","Fail",""))</f>
        <v/>
      </c>
    </row>
    <row r="1221" spans="1:7" x14ac:dyDescent="0.25">
      <c r="A1221">
        <f t="shared" si="29"/>
        <v>0</v>
      </c>
      <c r="B1221" t="s">
        <v>3722</v>
      </c>
      <c r="C1221">
        <f>Games!D75</f>
        <v>0</v>
      </c>
      <c r="D1221">
        <v>0</v>
      </c>
      <c r="E1221" s="2" t="s">
        <v>3255</v>
      </c>
      <c r="F1221" s="2" t="e">
        <f>VLOOKUP(JudgeD2GamesDistance,Judges!$A$2:$B$44,2,FALSE)</f>
        <v>#N/A</v>
      </c>
      <c r="G1221" t="str">
        <f>IF(Games!V75="P","Pass",IF(Games!V75="F","Fail",""))</f>
        <v/>
      </c>
    </row>
    <row r="1222" spans="1:7" x14ac:dyDescent="0.25">
      <c r="A1222">
        <f t="shared" si="29"/>
        <v>0</v>
      </c>
      <c r="B1222" t="s">
        <v>3722</v>
      </c>
      <c r="C1222">
        <f>Games!D76</f>
        <v>0</v>
      </c>
      <c r="D1222">
        <v>0</v>
      </c>
      <c r="E1222" s="2" t="s">
        <v>3255</v>
      </c>
      <c r="F1222" s="2" t="e">
        <f>VLOOKUP(JudgeD2GamesDistance,Judges!$A$2:$B$44,2,FALSE)</f>
        <v>#N/A</v>
      </c>
      <c r="G1222" t="str">
        <f>IF(Games!V76="P","Pass",IF(Games!V76="F","Fail",""))</f>
        <v/>
      </c>
    </row>
    <row r="1223" spans="1:7" x14ac:dyDescent="0.25">
      <c r="A1223">
        <f t="shared" si="29"/>
        <v>0</v>
      </c>
      <c r="B1223" t="s">
        <v>3722</v>
      </c>
      <c r="C1223">
        <f>Games!D77</f>
        <v>0</v>
      </c>
      <c r="D1223">
        <v>0</v>
      </c>
      <c r="E1223" s="2" t="s">
        <v>3255</v>
      </c>
      <c r="F1223" s="2" t="e">
        <f>VLOOKUP(JudgeD2GamesDistance,Judges!$A$2:$B$44,2,FALSE)</f>
        <v>#N/A</v>
      </c>
      <c r="G1223" t="str">
        <f>IF(Games!V77="P","Pass",IF(Games!V77="F","Fail",""))</f>
        <v/>
      </c>
    </row>
    <row r="1224" spans="1:7" x14ac:dyDescent="0.25">
      <c r="A1224">
        <f t="shared" si="29"/>
        <v>0</v>
      </c>
      <c r="B1224" t="s">
        <v>3722</v>
      </c>
      <c r="C1224">
        <f>Games!D78</f>
        <v>0</v>
      </c>
      <c r="D1224">
        <v>0</v>
      </c>
      <c r="E1224" s="2" t="s">
        <v>3255</v>
      </c>
      <c r="F1224" s="2" t="e">
        <f>VLOOKUP(JudgeD2GamesDistance,Judges!$A$2:$B$44,2,FALSE)</f>
        <v>#N/A</v>
      </c>
      <c r="G1224" t="str">
        <f>IF(Games!V78="P","Pass",IF(Games!V78="F","Fail",""))</f>
        <v/>
      </c>
    </row>
    <row r="1225" spans="1:7" x14ac:dyDescent="0.25">
      <c r="A1225">
        <f t="shared" si="29"/>
        <v>0</v>
      </c>
      <c r="B1225" t="s">
        <v>3722</v>
      </c>
      <c r="C1225">
        <f>Games!D79</f>
        <v>0</v>
      </c>
      <c r="D1225">
        <v>0</v>
      </c>
      <c r="E1225" s="2" t="s">
        <v>3255</v>
      </c>
      <c r="F1225" s="2" t="e">
        <f>VLOOKUP(JudgeD2GamesDistance,Judges!$A$2:$B$44,2,FALSE)</f>
        <v>#N/A</v>
      </c>
      <c r="G1225" t="str">
        <f>IF(Games!V79="P","Pass",IF(Games!V79="F","Fail",""))</f>
        <v/>
      </c>
    </row>
    <row r="1226" spans="1:7" x14ac:dyDescent="0.25">
      <c r="A1226">
        <f t="shared" ref="A1226:A1257" si="30">TrialNumberDay2</f>
        <v>0</v>
      </c>
      <c r="B1226" t="s">
        <v>3722</v>
      </c>
      <c r="C1226">
        <f>Games!D80</f>
        <v>0</v>
      </c>
      <c r="D1226">
        <v>0</v>
      </c>
      <c r="E1226" s="2" t="s">
        <v>3255</v>
      </c>
      <c r="F1226" s="2" t="e">
        <f>VLOOKUP(JudgeD2GamesDistance,Judges!$A$2:$B$44,2,FALSE)</f>
        <v>#N/A</v>
      </c>
      <c r="G1226" t="str">
        <f>IF(Games!V80="P","Pass",IF(Games!V80="F","Fail",""))</f>
        <v/>
      </c>
    </row>
    <row r="1227" spans="1:7" x14ac:dyDescent="0.25">
      <c r="A1227">
        <f t="shared" si="30"/>
        <v>0</v>
      </c>
      <c r="B1227" t="s">
        <v>3722</v>
      </c>
      <c r="C1227">
        <f>Games!D81</f>
        <v>0</v>
      </c>
      <c r="D1227">
        <v>0</v>
      </c>
      <c r="E1227" s="2" t="s">
        <v>3255</v>
      </c>
      <c r="F1227" s="2" t="e">
        <f>VLOOKUP(JudgeD2GamesDistance,Judges!$A$2:$B$44,2,FALSE)</f>
        <v>#N/A</v>
      </c>
      <c r="G1227" t="str">
        <f>IF(Games!V81="P","Pass",IF(Games!V81="F","Fail",""))</f>
        <v/>
      </c>
    </row>
    <row r="1228" spans="1:7" x14ac:dyDescent="0.25">
      <c r="A1228">
        <f t="shared" si="30"/>
        <v>0</v>
      </c>
      <c r="B1228" t="s">
        <v>3722</v>
      </c>
      <c r="C1228">
        <f>Games!D82</f>
        <v>0</v>
      </c>
      <c r="D1228">
        <v>0</v>
      </c>
      <c r="E1228" s="2" t="s">
        <v>3255</v>
      </c>
      <c r="F1228" s="2" t="e">
        <f>VLOOKUP(JudgeD2GamesDistance,Judges!$A$2:$B$44,2,FALSE)</f>
        <v>#N/A</v>
      </c>
      <c r="G1228" t="str">
        <f>IF(Games!V82="P","Pass",IF(Games!V82="F","Fail",""))</f>
        <v/>
      </c>
    </row>
    <row r="1229" spans="1:7" x14ac:dyDescent="0.25">
      <c r="A1229">
        <f t="shared" si="30"/>
        <v>0</v>
      </c>
      <c r="B1229" t="s">
        <v>3722</v>
      </c>
      <c r="C1229">
        <f>Games!D83</f>
        <v>0</v>
      </c>
      <c r="D1229">
        <v>0</v>
      </c>
      <c r="E1229" s="2" t="s">
        <v>3255</v>
      </c>
      <c r="F1229" s="2" t="e">
        <f>VLOOKUP(JudgeD2GamesDistance,Judges!$A$2:$B$44,2,FALSE)</f>
        <v>#N/A</v>
      </c>
      <c r="G1229" t="str">
        <f>IF(Games!V83="P","Pass",IF(Games!V83="F","Fail",""))</f>
        <v/>
      </c>
    </row>
    <row r="1230" spans="1:7" x14ac:dyDescent="0.25">
      <c r="A1230">
        <f t="shared" si="30"/>
        <v>0</v>
      </c>
      <c r="B1230" t="s">
        <v>3722</v>
      </c>
      <c r="C1230">
        <f>Games!D84</f>
        <v>0</v>
      </c>
      <c r="D1230">
        <v>0</v>
      </c>
      <c r="E1230" s="2" t="s">
        <v>3255</v>
      </c>
      <c r="F1230" s="2" t="e">
        <f>VLOOKUP(JudgeD2GamesDistance,Judges!$A$2:$B$44,2,FALSE)</f>
        <v>#N/A</v>
      </c>
      <c r="G1230" t="str">
        <f>IF(Games!V84="P","Pass",IF(Games!V84="F","Fail",""))</f>
        <v/>
      </c>
    </row>
    <row r="1231" spans="1:7" x14ac:dyDescent="0.25">
      <c r="A1231">
        <f t="shared" si="30"/>
        <v>0</v>
      </c>
      <c r="B1231" t="s">
        <v>3722</v>
      </c>
      <c r="C1231">
        <f>Games!D85</f>
        <v>0</v>
      </c>
      <c r="D1231">
        <v>0</v>
      </c>
      <c r="E1231" s="2" t="s">
        <v>3255</v>
      </c>
      <c r="F1231" s="2" t="e">
        <f>VLOOKUP(JudgeD2GamesDistance,Judges!$A$2:$B$44,2,FALSE)</f>
        <v>#N/A</v>
      </c>
      <c r="G1231" t="str">
        <f>IF(Games!V85="P","Pass",IF(Games!V85="F","Fail",""))</f>
        <v/>
      </c>
    </row>
    <row r="1232" spans="1:7" x14ac:dyDescent="0.25">
      <c r="A1232">
        <f t="shared" si="30"/>
        <v>0</v>
      </c>
      <c r="B1232" t="s">
        <v>3722</v>
      </c>
      <c r="C1232">
        <f>Games!D86</f>
        <v>0</v>
      </c>
      <c r="D1232">
        <v>0</v>
      </c>
      <c r="E1232" s="2" t="s">
        <v>3255</v>
      </c>
      <c r="F1232" s="2" t="e">
        <f>VLOOKUP(JudgeD2GamesDistance,Judges!$A$2:$B$44,2,FALSE)</f>
        <v>#N/A</v>
      </c>
      <c r="G1232" t="str">
        <f>IF(Games!V86="P","Pass",IF(Games!V86="F","Fail",""))</f>
        <v/>
      </c>
    </row>
    <row r="1233" spans="1:7" x14ac:dyDescent="0.25">
      <c r="A1233">
        <f t="shared" si="30"/>
        <v>0</v>
      </c>
      <c r="B1233" t="s">
        <v>3722</v>
      </c>
      <c r="C1233">
        <f>Games!D87</f>
        <v>0</v>
      </c>
      <c r="D1233">
        <v>0</v>
      </c>
      <c r="E1233" s="2" t="s">
        <v>3255</v>
      </c>
      <c r="F1233" s="2" t="e">
        <f>VLOOKUP(JudgeD2GamesDistance,Judges!$A$2:$B$44,2,FALSE)</f>
        <v>#N/A</v>
      </c>
      <c r="G1233" t="str">
        <f>IF(Games!V87="P","Pass",IF(Games!V87="F","Fail",""))</f>
        <v/>
      </c>
    </row>
    <row r="1234" spans="1:7" x14ac:dyDescent="0.25">
      <c r="A1234">
        <f t="shared" si="30"/>
        <v>0</v>
      </c>
      <c r="B1234" t="s">
        <v>3722</v>
      </c>
      <c r="C1234">
        <f>Games!D88</f>
        <v>0</v>
      </c>
      <c r="D1234">
        <v>0</v>
      </c>
      <c r="E1234" s="2" t="s">
        <v>3255</v>
      </c>
      <c r="F1234" s="2" t="e">
        <f>VLOOKUP(JudgeD2GamesDistance,Judges!$A$2:$B$44,2,FALSE)</f>
        <v>#N/A</v>
      </c>
      <c r="G1234" t="str">
        <f>IF(Games!V88="P","Pass",IF(Games!V88="F","Fail",""))</f>
        <v/>
      </c>
    </row>
    <row r="1235" spans="1:7" x14ac:dyDescent="0.25">
      <c r="A1235">
        <f t="shared" si="30"/>
        <v>0</v>
      </c>
      <c r="B1235" t="s">
        <v>3722</v>
      </c>
      <c r="C1235">
        <f>Games!D89</f>
        <v>0</v>
      </c>
      <c r="D1235">
        <v>0</v>
      </c>
      <c r="E1235" s="2" t="s">
        <v>3255</v>
      </c>
      <c r="F1235" s="2" t="e">
        <f>VLOOKUP(JudgeD2GamesDistance,Judges!$A$2:$B$44,2,FALSE)</f>
        <v>#N/A</v>
      </c>
      <c r="G1235" t="str">
        <f>IF(Games!V89="P","Pass",IF(Games!V89="F","Fail",""))</f>
        <v/>
      </c>
    </row>
    <row r="1236" spans="1:7" x14ac:dyDescent="0.25">
      <c r="A1236">
        <f t="shared" si="30"/>
        <v>0</v>
      </c>
      <c r="B1236" t="s">
        <v>3722</v>
      </c>
      <c r="C1236">
        <f>Games!D90</f>
        <v>0</v>
      </c>
      <c r="D1236">
        <v>0</v>
      </c>
      <c r="E1236" s="2" t="s">
        <v>3255</v>
      </c>
      <c r="F1236" s="2" t="e">
        <f>VLOOKUP(JudgeD2GamesDistance,Judges!$A$2:$B$44,2,FALSE)</f>
        <v>#N/A</v>
      </c>
      <c r="G1236" t="str">
        <f>IF(Games!V90="P","Pass",IF(Games!V90="F","Fail",""))</f>
        <v/>
      </c>
    </row>
    <row r="1237" spans="1:7" x14ac:dyDescent="0.25">
      <c r="A1237">
        <f t="shared" si="30"/>
        <v>0</v>
      </c>
      <c r="B1237" t="s">
        <v>3722</v>
      </c>
      <c r="C1237">
        <f>Games!D91</f>
        <v>0</v>
      </c>
      <c r="D1237">
        <v>0</v>
      </c>
      <c r="E1237" s="2" t="s">
        <v>3255</v>
      </c>
      <c r="F1237" s="2" t="e">
        <f>VLOOKUP(JudgeD2GamesDistance,Judges!$A$2:$B$44,2,FALSE)</f>
        <v>#N/A</v>
      </c>
      <c r="G1237" t="str">
        <f>IF(Games!V91="P","Pass",IF(Games!V91="F","Fail",""))</f>
        <v/>
      </c>
    </row>
    <row r="1238" spans="1:7" x14ac:dyDescent="0.25">
      <c r="A1238">
        <f t="shared" si="30"/>
        <v>0</v>
      </c>
      <c r="B1238" t="s">
        <v>3722</v>
      </c>
      <c r="C1238">
        <f>Games!D92</f>
        <v>0</v>
      </c>
      <c r="D1238">
        <v>0</v>
      </c>
      <c r="E1238" s="2" t="s">
        <v>3255</v>
      </c>
      <c r="F1238" s="2" t="e">
        <f>VLOOKUP(JudgeD2GamesDistance,Judges!$A$2:$B$44,2,FALSE)</f>
        <v>#N/A</v>
      </c>
      <c r="G1238" t="str">
        <f>IF(Games!V92="P","Pass",IF(Games!V92="F","Fail",""))</f>
        <v/>
      </c>
    </row>
    <row r="1239" spans="1:7" x14ac:dyDescent="0.25">
      <c r="A1239">
        <f t="shared" si="30"/>
        <v>0</v>
      </c>
      <c r="B1239" t="s">
        <v>3722</v>
      </c>
      <c r="C1239">
        <f>Games!D93</f>
        <v>0</v>
      </c>
      <c r="D1239">
        <v>0</v>
      </c>
      <c r="E1239" s="2" t="s">
        <v>3255</v>
      </c>
      <c r="F1239" s="2" t="e">
        <f>VLOOKUP(JudgeD2GamesDistance,Judges!$A$2:$B$44,2,FALSE)</f>
        <v>#N/A</v>
      </c>
      <c r="G1239" t="str">
        <f>IF(Games!V93="P","Pass",IF(Games!V93="F","Fail",""))</f>
        <v/>
      </c>
    </row>
    <row r="1240" spans="1:7" x14ac:dyDescent="0.25">
      <c r="A1240">
        <f t="shared" si="30"/>
        <v>0</v>
      </c>
      <c r="B1240" t="s">
        <v>3722</v>
      </c>
      <c r="C1240">
        <f>Games!D94</f>
        <v>0</v>
      </c>
      <c r="D1240">
        <v>0</v>
      </c>
      <c r="E1240" s="2" t="s">
        <v>3255</v>
      </c>
      <c r="F1240" s="2" t="e">
        <f>VLOOKUP(JudgeD2GamesDistance,Judges!$A$2:$B$44,2,FALSE)</f>
        <v>#N/A</v>
      </c>
      <c r="G1240" t="str">
        <f>IF(Games!V94="P","Pass",IF(Games!V94="F","Fail",""))</f>
        <v/>
      </c>
    </row>
    <row r="1241" spans="1:7" x14ac:dyDescent="0.25">
      <c r="A1241">
        <f t="shared" si="30"/>
        <v>0</v>
      </c>
      <c r="B1241" t="s">
        <v>3722</v>
      </c>
      <c r="C1241">
        <f>Games!D95</f>
        <v>0</v>
      </c>
      <c r="D1241">
        <v>0</v>
      </c>
      <c r="E1241" s="2" t="s">
        <v>3255</v>
      </c>
      <c r="F1241" s="2" t="e">
        <f>VLOOKUP(JudgeD2GamesDistance,Judges!$A$2:$B$44,2,FALSE)</f>
        <v>#N/A</v>
      </c>
      <c r="G1241" t="str">
        <f>IF(Games!V95="P","Pass",IF(Games!V95="F","Fail",""))</f>
        <v/>
      </c>
    </row>
    <row r="1242" spans="1:7" x14ac:dyDescent="0.25">
      <c r="A1242">
        <f t="shared" si="30"/>
        <v>0</v>
      </c>
      <c r="B1242" t="s">
        <v>3722</v>
      </c>
      <c r="C1242">
        <f>Games!D96</f>
        <v>0</v>
      </c>
      <c r="D1242">
        <v>0</v>
      </c>
      <c r="E1242" s="2" t="s">
        <v>3255</v>
      </c>
      <c r="F1242" s="2" t="e">
        <f>VLOOKUP(JudgeD2GamesDistance,Judges!$A$2:$B$44,2,FALSE)</f>
        <v>#N/A</v>
      </c>
      <c r="G1242" t="str">
        <f>IF(Games!V96="P","Pass",IF(Games!V96="F","Fail",""))</f>
        <v/>
      </c>
    </row>
    <row r="1243" spans="1:7" x14ac:dyDescent="0.25">
      <c r="A1243">
        <f t="shared" si="30"/>
        <v>0</v>
      </c>
      <c r="B1243" t="s">
        <v>3722</v>
      </c>
      <c r="C1243">
        <f>Games!D97</f>
        <v>0</v>
      </c>
      <c r="D1243">
        <v>0</v>
      </c>
      <c r="E1243" s="2" t="s">
        <v>3255</v>
      </c>
      <c r="F1243" s="2" t="e">
        <f>VLOOKUP(JudgeD2GamesDistance,Judges!$A$2:$B$44,2,FALSE)</f>
        <v>#N/A</v>
      </c>
      <c r="G1243" t="str">
        <f>IF(Games!V97="P","Pass",IF(Games!V97="F","Fail",""))</f>
        <v/>
      </c>
    </row>
    <row r="1244" spans="1:7" x14ac:dyDescent="0.25">
      <c r="A1244">
        <f t="shared" si="30"/>
        <v>0</v>
      </c>
      <c r="B1244" t="s">
        <v>3722</v>
      </c>
      <c r="C1244">
        <f>Games!D98</f>
        <v>0</v>
      </c>
      <c r="D1244">
        <v>0</v>
      </c>
      <c r="E1244" s="2" t="s">
        <v>3255</v>
      </c>
      <c r="F1244" s="2" t="e">
        <f>VLOOKUP(JudgeD2GamesDistance,Judges!$A$2:$B$44,2,FALSE)</f>
        <v>#N/A</v>
      </c>
      <c r="G1244" t="str">
        <f>IF(Games!V98="P","Pass",IF(Games!V98="F","Fail",""))</f>
        <v/>
      </c>
    </row>
    <row r="1245" spans="1:7" x14ac:dyDescent="0.25">
      <c r="A1245">
        <f t="shared" si="30"/>
        <v>0</v>
      </c>
      <c r="B1245" t="s">
        <v>3722</v>
      </c>
      <c r="C1245">
        <f>Games!D99</f>
        <v>0</v>
      </c>
      <c r="D1245">
        <v>0</v>
      </c>
      <c r="E1245" s="2" t="s">
        <v>3255</v>
      </c>
      <c r="F1245" s="2" t="e">
        <f>VLOOKUP(JudgeD2GamesDistance,Judges!$A$2:$B$44,2,FALSE)</f>
        <v>#N/A</v>
      </c>
      <c r="G1245" t="str">
        <f>IF(Games!V99="P","Pass",IF(Games!V99="F","Fail",""))</f>
        <v/>
      </c>
    </row>
    <row r="1246" spans="1:7" x14ac:dyDescent="0.25">
      <c r="A1246">
        <f t="shared" si="30"/>
        <v>0</v>
      </c>
      <c r="B1246" t="s">
        <v>3722</v>
      </c>
      <c r="C1246">
        <f>Games!D100</f>
        <v>0</v>
      </c>
      <c r="D1246">
        <v>0</v>
      </c>
      <c r="E1246" s="2" t="s">
        <v>3255</v>
      </c>
      <c r="F1246" s="2" t="e">
        <f>VLOOKUP(JudgeD2GamesDistance,Judges!$A$2:$B$44,2,FALSE)</f>
        <v>#N/A</v>
      </c>
      <c r="G1246" t="str">
        <f>IF(Games!V100="P","Pass",IF(Games!V100="F","Fail",""))</f>
        <v/>
      </c>
    </row>
    <row r="1247" spans="1:7" x14ac:dyDescent="0.25">
      <c r="A1247">
        <f t="shared" si="30"/>
        <v>0</v>
      </c>
      <c r="B1247" t="s">
        <v>3722</v>
      </c>
      <c r="C1247">
        <f>Games!D101</f>
        <v>0</v>
      </c>
      <c r="D1247">
        <v>0</v>
      </c>
      <c r="E1247" s="2" t="s">
        <v>3255</v>
      </c>
      <c r="F1247" s="2" t="e">
        <f>VLOOKUP(JudgeD2GamesDistance,Judges!$A$2:$B$44,2,FALSE)</f>
        <v>#N/A</v>
      </c>
      <c r="G1247" t="str">
        <f>IF(Games!V101="P","Pass",IF(Games!V101="F","Fail",""))</f>
        <v/>
      </c>
    </row>
    <row r="1248" spans="1:7" x14ac:dyDescent="0.25">
      <c r="A1248">
        <f t="shared" si="30"/>
        <v>0</v>
      </c>
      <c r="B1248" t="s">
        <v>3722</v>
      </c>
      <c r="C1248">
        <f>Games!D102</f>
        <v>0</v>
      </c>
      <c r="D1248">
        <v>0</v>
      </c>
      <c r="E1248" s="2" t="s">
        <v>3255</v>
      </c>
      <c r="F1248" s="2" t="e">
        <f>VLOOKUP(JudgeD2GamesDistance,Judges!$A$2:$B$44,2,FALSE)</f>
        <v>#N/A</v>
      </c>
      <c r="G1248" t="str">
        <f>IF(Games!V102="P","Pass",IF(Games!V102="F","Fail",""))</f>
        <v/>
      </c>
    </row>
    <row r="1249" spans="1:7" x14ac:dyDescent="0.25">
      <c r="A1249">
        <f t="shared" si="30"/>
        <v>0</v>
      </c>
      <c r="B1249" t="s">
        <v>3722</v>
      </c>
      <c r="C1249">
        <f>Games!D103</f>
        <v>0</v>
      </c>
      <c r="D1249">
        <v>0</v>
      </c>
      <c r="E1249" s="2" t="s">
        <v>3255</v>
      </c>
      <c r="F1249" s="2" t="e">
        <f>VLOOKUP(JudgeD2GamesDistance,Judges!$A$2:$B$44,2,FALSE)</f>
        <v>#N/A</v>
      </c>
      <c r="G1249" t="str">
        <f>IF(Games!V103="P","Pass",IF(Games!V103="F","Fail",""))</f>
        <v/>
      </c>
    </row>
    <row r="1250" spans="1:7" x14ac:dyDescent="0.25">
      <c r="A1250">
        <f t="shared" si="30"/>
        <v>0</v>
      </c>
      <c r="B1250" t="s">
        <v>3722</v>
      </c>
      <c r="C1250">
        <f>Games!D104</f>
        <v>0</v>
      </c>
      <c r="D1250">
        <v>0</v>
      </c>
      <c r="E1250" s="2" t="s">
        <v>3255</v>
      </c>
      <c r="F1250" s="2" t="e">
        <f>VLOOKUP(JudgeD2GamesDistance,Judges!$A$2:$B$44,2,FALSE)</f>
        <v>#N/A</v>
      </c>
      <c r="G1250" t="str">
        <f>IF(Games!V104="P","Pass",IF(Games!V104="F","Fail",""))</f>
        <v/>
      </c>
    </row>
    <row r="1251" spans="1:7" x14ac:dyDescent="0.25">
      <c r="A1251">
        <f t="shared" si="30"/>
        <v>0</v>
      </c>
      <c r="B1251" t="s">
        <v>3722</v>
      </c>
      <c r="C1251">
        <f>Games!D105</f>
        <v>0</v>
      </c>
      <c r="D1251">
        <v>0</v>
      </c>
      <c r="E1251" s="2" t="s">
        <v>3255</v>
      </c>
      <c r="F1251" s="2" t="e">
        <f>VLOOKUP(JudgeD2GamesDistance,Judges!$A$2:$B$44,2,FALSE)</f>
        <v>#N/A</v>
      </c>
      <c r="G1251" t="str">
        <f>IF(Games!V105="P","Pass",IF(Games!V105="F","Fail",""))</f>
        <v/>
      </c>
    </row>
    <row r="1252" spans="1:7" x14ac:dyDescent="0.25">
      <c r="A1252">
        <f t="shared" si="30"/>
        <v>0</v>
      </c>
      <c r="B1252" t="s">
        <v>3722</v>
      </c>
      <c r="C1252">
        <f>Games!D106</f>
        <v>0</v>
      </c>
      <c r="D1252">
        <v>0</v>
      </c>
      <c r="E1252" s="2" t="s">
        <v>3255</v>
      </c>
      <c r="F1252" s="2" t="e">
        <f>VLOOKUP(JudgeD2GamesDistance,Judges!$A$2:$B$44,2,FALSE)</f>
        <v>#N/A</v>
      </c>
      <c r="G1252" t="str">
        <f>IF(Games!V106="P","Pass",IF(Games!V106="F","Fail",""))</f>
        <v/>
      </c>
    </row>
    <row r="1253" spans="1:7" x14ac:dyDescent="0.25">
      <c r="A1253">
        <f t="shared" si="30"/>
        <v>0</v>
      </c>
      <c r="B1253" t="s">
        <v>3722</v>
      </c>
      <c r="C1253">
        <f>Games!D107</f>
        <v>0</v>
      </c>
      <c r="D1253">
        <v>0</v>
      </c>
      <c r="E1253" s="2" t="s">
        <v>3255</v>
      </c>
      <c r="F1253" s="2" t="e">
        <f>VLOOKUP(JudgeD2GamesDistance,Judges!$A$2:$B$44,2,FALSE)</f>
        <v>#N/A</v>
      </c>
      <c r="G1253" t="str">
        <f>IF(Games!V107="P","Pass",IF(Games!V107="F","Fail",""))</f>
        <v/>
      </c>
    </row>
    <row r="1254" spans="1:7" x14ac:dyDescent="0.25">
      <c r="A1254">
        <f t="shared" si="30"/>
        <v>0</v>
      </c>
      <c r="B1254" t="s">
        <v>3722</v>
      </c>
      <c r="C1254">
        <f>Games!D108</f>
        <v>0</v>
      </c>
      <c r="D1254">
        <v>0</v>
      </c>
      <c r="E1254" s="2" t="s">
        <v>3255</v>
      </c>
      <c r="F1254" s="2" t="e">
        <f>VLOOKUP(JudgeD2GamesDistance,Judges!$A$2:$B$44,2,FALSE)</f>
        <v>#N/A</v>
      </c>
      <c r="G1254" t="str">
        <f>IF(Games!V108="P","Pass",IF(Games!V108="F","Fail",""))</f>
        <v/>
      </c>
    </row>
    <row r="1255" spans="1:7" x14ac:dyDescent="0.25">
      <c r="A1255">
        <f t="shared" si="30"/>
        <v>0</v>
      </c>
      <c r="B1255" t="s">
        <v>3722</v>
      </c>
      <c r="C1255">
        <f>Games!D109</f>
        <v>0</v>
      </c>
      <c r="D1255">
        <v>0</v>
      </c>
      <c r="E1255" s="2" t="s">
        <v>3255</v>
      </c>
      <c r="F1255" s="2" t="e">
        <f>VLOOKUP(JudgeD2GamesDistance,Judges!$A$2:$B$44,2,FALSE)</f>
        <v>#N/A</v>
      </c>
      <c r="G1255" t="str">
        <f>IF(Games!V109="P","Pass",IF(Games!V109="F","Fail",""))</f>
        <v/>
      </c>
    </row>
    <row r="1256" spans="1:7" x14ac:dyDescent="0.25">
      <c r="A1256">
        <f t="shared" si="30"/>
        <v>0</v>
      </c>
      <c r="B1256" t="s">
        <v>3722</v>
      </c>
      <c r="C1256">
        <f>Games!D110</f>
        <v>0</v>
      </c>
      <c r="D1256">
        <v>0</v>
      </c>
      <c r="E1256" s="2" t="s">
        <v>3255</v>
      </c>
      <c r="F1256" s="2" t="e">
        <f>VLOOKUP(JudgeD2GamesDistance,Judges!$A$2:$B$44,2,FALSE)</f>
        <v>#N/A</v>
      </c>
      <c r="G1256" t="str">
        <f>IF(Games!V110="P","Pass",IF(Games!V110="F","Fail",""))</f>
        <v/>
      </c>
    </row>
    <row r="1257" spans="1:7" x14ac:dyDescent="0.25">
      <c r="A1257">
        <f t="shared" si="30"/>
        <v>0</v>
      </c>
      <c r="B1257" t="s">
        <v>3722</v>
      </c>
      <c r="C1257">
        <f>Games!D111</f>
        <v>0</v>
      </c>
      <c r="D1257">
        <v>0</v>
      </c>
      <c r="E1257" s="2" t="s">
        <v>3255</v>
      </c>
      <c r="F1257" s="2" t="e">
        <f>VLOOKUP(JudgeD2GamesDistance,Judges!$A$2:$B$44,2,FALSE)</f>
        <v>#N/A</v>
      </c>
      <c r="G1257" t="str">
        <f>IF(Games!V111="P","Pass",IF(Games!V111="F","Fail",""))</f>
        <v/>
      </c>
    </row>
    <row r="1258" spans="1:7" x14ac:dyDescent="0.25">
      <c r="A1258">
        <f t="shared" ref="A1258:A1289" si="31">TrialNumberDay2</f>
        <v>0</v>
      </c>
      <c r="B1258" t="s">
        <v>3722</v>
      </c>
      <c r="C1258">
        <f>Games!D112</f>
        <v>0</v>
      </c>
      <c r="D1258">
        <v>0</v>
      </c>
      <c r="E1258" s="2" t="s">
        <v>3255</v>
      </c>
      <c r="F1258" s="2" t="e">
        <f>VLOOKUP(JudgeD2GamesDistance,Judges!$A$2:$B$44,2,FALSE)</f>
        <v>#N/A</v>
      </c>
      <c r="G1258" t="str">
        <f>IF(Games!V112="P","Pass",IF(Games!V112="F","Fail",""))</f>
        <v/>
      </c>
    </row>
    <row r="1259" spans="1:7" x14ac:dyDescent="0.25">
      <c r="A1259">
        <f t="shared" si="31"/>
        <v>0</v>
      </c>
      <c r="B1259" t="s">
        <v>3722</v>
      </c>
      <c r="C1259">
        <f>Games!D113</f>
        <v>0</v>
      </c>
      <c r="D1259">
        <v>0</v>
      </c>
      <c r="E1259" s="2" t="s">
        <v>3255</v>
      </c>
      <c r="F1259" s="2" t="e">
        <f>VLOOKUP(JudgeD2GamesDistance,Judges!$A$2:$B$44,2,FALSE)</f>
        <v>#N/A</v>
      </c>
      <c r="G1259" t="str">
        <f>IF(Games!V113="P","Pass",IF(Games!V113="F","Fail",""))</f>
        <v/>
      </c>
    </row>
    <row r="1260" spans="1:7" x14ac:dyDescent="0.25">
      <c r="A1260">
        <f t="shared" si="31"/>
        <v>0</v>
      </c>
      <c r="B1260" t="s">
        <v>3722</v>
      </c>
      <c r="C1260">
        <f>Games!D114</f>
        <v>0</v>
      </c>
      <c r="D1260">
        <v>0</v>
      </c>
      <c r="E1260" s="2" t="s">
        <v>3255</v>
      </c>
      <c r="F1260" s="2" t="e">
        <f>VLOOKUP(JudgeD2GamesDistance,Judges!$A$2:$B$44,2,FALSE)</f>
        <v>#N/A</v>
      </c>
      <c r="G1260" t="str">
        <f>IF(Games!V114="P","Pass",IF(Games!V114="F","Fail",""))</f>
        <v/>
      </c>
    </row>
    <row r="1261" spans="1:7" x14ac:dyDescent="0.25">
      <c r="A1261">
        <f t="shared" si="31"/>
        <v>0</v>
      </c>
      <c r="B1261" t="s">
        <v>3722</v>
      </c>
      <c r="C1261">
        <f>Games!D115</f>
        <v>0</v>
      </c>
      <c r="D1261">
        <v>0</v>
      </c>
      <c r="E1261" s="2" t="s">
        <v>3255</v>
      </c>
      <c r="F1261" s="2" t="e">
        <f>VLOOKUP(JudgeD2GamesDistance,Judges!$A$2:$B$44,2,FALSE)</f>
        <v>#N/A</v>
      </c>
      <c r="G1261" t="str">
        <f>IF(Games!V115="P","Pass",IF(Games!V115="F","Fail",""))</f>
        <v/>
      </c>
    </row>
    <row r="1262" spans="1:7" x14ac:dyDescent="0.25">
      <c r="A1262">
        <f t="shared" si="31"/>
        <v>0</v>
      </c>
      <c r="B1262" t="s">
        <v>3724</v>
      </c>
      <c r="C1262">
        <f>Games!D66</f>
        <v>0</v>
      </c>
      <c r="D1262">
        <v>0</v>
      </c>
      <c r="E1262" s="2" t="s">
        <v>3255</v>
      </c>
      <c r="F1262" s="2" t="e">
        <f>VLOOKUP(JudgeD2GamesSpeed,Judges!$A$2:$B$44,2,FALSE)</f>
        <v>#N/A</v>
      </c>
      <c r="G1262" t="str">
        <f>IF(Games!AC66="P","Pass",IF(Games!AC66="F","Fail",""))</f>
        <v/>
      </c>
    </row>
    <row r="1263" spans="1:7" x14ac:dyDescent="0.25">
      <c r="A1263">
        <f t="shared" si="31"/>
        <v>0</v>
      </c>
      <c r="B1263" t="s">
        <v>3724</v>
      </c>
      <c r="C1263">
        <f>Games!D67</f>
        <v>0</v>
      </c>
      <c r="D1263">
        <v>0</v>
      </c>
      <c r="E1263" s="2" t="s">
        <v>3255</v>
      </c>
      <c r="F1263" s="2" t="e">
        <f>VLOOKUP(JudgeD2GamesSpeed,Judges!$A$2:$B$44,2,FALSE)</f>
        <v>#N/A</v>
      </c>
      <c r="G1263" t="str">
        <f>IF(Games!AC67="P","Pass",IF(Games!AC67="F","Fail",""))</f>
        <v/>
      </c>
    </row>
    <row r="1264" spans="1:7" x14ac:dyDescent="0.25">
      <c r="A1264">
        <f t="shared" si="31"/>
        <v>0</v>
      </c>
      <c r="B1264" t="s">
        <v>3724</v>
      </c>
      <c r="C1264">
        <f>Games!D68</f>
        <v>0</v>
      </c>
      <c r="D1264">
        <v>0</v>
      </c>
      <c r="E1264" s="2" t="s">
        <v>3255</v>
      </c>
      <c r="F1264" s="2" t="e">
        <f>VLOOKUP(JudgeD2GamesSpeed,Judges!$A$2:$B$44,2,FALSE)</f>
        <v>#N/A</v>
      </c>
      <c r="G1264" t="str">
        <f>IF(Games!AC68="P","Pass",IF(Games!AC68="F","Fail",""))</f>
        <v/>
      </c>
    </row>
    <row r="1265" spans="1:7" x14ac:dyDescent="0.25">
      <c r="A1265">
        <f t="shared" si="31"/>
        <v>0</v>
      </c>
      <c r="B1265" t="s">
        <v>3724</v>
      </c>
      <c r="C1265">
        <f>Games!D69</f>
        <v>0</v>
      </c>
      <c r="D1265">
        <v>0</v>
      </c>
      <c r="E1265" s="2" t="s">
        <v>3255</v>
      </c>
      <c r="F1265" s="2" t="e">
        <f>VLOOKUP(JudgeD2GamesSpeed,Judges!$A$2:$B$44,2,FALSE)</f>
        <v>#N/A</v>
      </c>
      <c r="G1265" t="str">
        <f>IF(Games!AC69="P","Pass",IF(Games!AC69="F","Fail",""))</f>
        <v/>
      </c>
    </row>
    <row r="1266" spans="1:7" x14ac:dyDescent="0.25">
      <c r="A1266">
        <f t="shared" si="31"/>
        <v>0</v>
      </c>
      <c r="B1266" t="s">
        <v>3724</v>
      </c>
      <c r="C1266">
        <f>Games!D70</f>
        <v>0</v>
      </c>
      <c r="D1266">
        <v>0</v>
      </c>
      <c r="E1266" s="2" t="s">
        <v>3255</v>
      </c>
      <c r="F1266" s="2" t="e">
        <f>VLOOKUP(JudgeD2GamesSpeed,Judges!$A$2:$B$44,2,FALSE)</f>
        <v>#N/A</v>
      </c>
      <c r="G1266" t="str">
        <f>IF(Games!AC70="P","Pass",IF(Games!AC70="F","Fail",""))</f>
        <v/>
      </c>
    </row>
    <row r="1267" spans="1:7" x14ac:dyDescent="0.25">
      <c r="A1267">
        <f t="shared" si="31"/>
        <v>0</v>
      </c>
      <c r="B1267" t="s">
        <v>3724</v>
      </c>
      <c r="C1267">
        <f>Games!D71</f>
        <v>0</v>
      </c>
      <c r="D1267">
        <v>0</v>
      </c>
      <c r="E1267" s="2" t="s">
        <v>3255</v>
      </c>
      <c r="F1267" s="2" t="e">
        <f>VLOOKUP(JudgeD2GamesSpeed,Judges!$A$2:$B$44,2,FALSE)</f>
        <v>#N/A</v>
      </c>
      <c r="G1267" t="str">
        <f>IF(Games!AC71="P","Pass",IF(Games!AC71="F","Fail",""))</f>
        <v/>
      </c>
    </row>
    <row r="1268" spans="1:7" x14ac:dyDescent="0.25">
      <c r="A1268">
        <f t="shared" si="31"/>
        <v>0</v>
      </c>
      <c r="B1268" t="s">
        <v>3724</v>
      </c>
      <c r="C1268">
        <f>Games!D72</f>
        <v>0</v>
      </c>
      <c r="D1268">
        <v>0</v>
      </c>
      <c r="E1268" s="2" t="s">
        <v>3255</v>
      </c>
      <c r="F1268" s="2" t="e">
        <f>VLOOKUP(JudgeD2GamesSpeed,Judges!$A$2:$B$44,2,FALSE)</f>
        <v>#N/A</v>
      </c>
      <c r="G1268" t="str">
        <f>IF(Games!AC72="P","Pass",IF(Games!AC72="F","Fail",""))</f>
        <v/>
      </c>
    </row>
    <row r="1269" spans="1:7" x14ac:dyDescent="0.25">
      <c r="A1269">
        <f t="shared" si="31"/>
        <v>0</v>
      </c>
      <c r="B1269" t="s">
        <v>3724</v>
      </c>
      <c r="C1269">
        <f>Games!D73</f>
        <v>0</v>
      </c>
      <c r="D1269">
        <v>0</v>
      </c>
      <c r="E1269" s="2" t="s">
        <v>3255</v>
      </c>
      <c r="F1269" s="2" t="e">
        <f>VLOOKUP(JudgeD2GamesSpeed,Judges!$A$2:$B$44,2,FALSE)</f>
        <v>#N/A</v>
      </c>
      <c r="G1269" t="str">
        <f>IF(Games!AC73="P","Pass",IF(Games!AC73="F","Fail",""))</f>
        <v/>
      </c>
    </row>
    <row r="1270" spans="1:7" x14ac:dyDescent="0.25">
      <c r="A1270">
        <f t="shared" si="31"/>
        <v>0</v>
      </c>
      <c r="B1270" t="s">
        <v>3724</v>
      </c>
      <c r="C1270">
        <f>Games!D74</f>
        <v>0</v>
      </c>
      <c r="D1270">
        <v>0</v>
      </c>
      <c r="E1270" s="2" t="s">
        <v>3255</v>
      </c>
      <c r="F1270" s="2" t="e">
        <f>VLOOKUP(JudgeD2GamesSpeed,Judges!$A$2:$B$44,2,FALSE)</f>
        <v>#N/A</v>
      </c>
      <c r="G1270" t="str">
        <f>IF(Games!AC74="P","Pass",IF(Games!AC74="F","Fail",""))</f>
        <v/>
      </c>
    </row>
    <row r="1271" spans="1:7" x14ac:dyDescent="0.25">
      <c r="A1271">
        <f t="shared" si="31"/>
        <v>0</v>
      </c>
      <c r="B1271" t="s">
        <v>3724</v>
      </c>
      <c r="C1271">
        <f>Games!D75</f>
        <v>0</v>
      </c>
      <c r="D1271">
        <v>0</v>
      </c>
      <c r="E1271" s="2" t="s">
        <v>3255</v>
      </c>
      <c r="F1271" s="2" t="e">
        <f>VLOOKUP(JudgeD2GamesSpeed,Judges!$A$2:$B$44,2,FALSE)</f>
        <v>#N/A</v>
      </c>
      <c r="G1271" t="str">
        <f>IF(Games!AC75="P","Pass",IF(Games!AC75="F","Fail",""))</f>
        <v/>
      </c>
    </row>
    <row r="1272" spans="1:7" x14ac:dyDescent="0.25">
      <c r="A1272">
        <f t="shared" si="31"/>
        <v>0</v>
      </c>
      <c r="B1272" t="s">
        <v>3724</v>
      </c>
      <c r="C1272">
        <f>Games!D76</f>
        <v>0</v>
      </c>
      <c r="D1272">
        <v>0</v>
      </c>
      <c r="E1272" s="2" t="s">
        <v>3255</v>
      </c>
      <c r="F1272" s="2" t="e">
        <f>VLOOKUP(JudgeD2GamesSpeed,Judges!$A$2:$B$44,2,FALSE)</f>
        <v>#N/A</v>
      </c>
      <c r="G1272" t="str">
        <f>IF(Games!AC76="P","Pass",IF(Games!AC76="F","Fail",""))</f>
        <v/>
      </c>
    </row>
    <row r="1273" spans="1:7" x14ac:dyDescent="0.25">
      <c r="A1273">
        <f t="shared" si="31"/>
        <v>0</v>
      </c>
      <c r="B1273" t="s">
        <v>3724</v>
      </c>
      <c r="C1273">
        <f>Games!D77</f>
        <v>0</v>
      </c>
      <c r="D1273">
        <v>0</v>
      </c>
      <c r="E1273" s="2" t="s">
        <v>3255</v>
      </c>
      <c r="F1273" s="2" t="e">
        <f>VLOOKUP(JudgeD2GamesSpeed,Judges!$A$2:$B$44,2,FALSE)</f>
        <v>#N/A</v>
      </c>
      <c r="G1273" t="str">
        <f>IF(Games!AC77="P","Pass",IF(Games!AC77="F","Fail",""))</f>
        <v/>
      </c>
    </row>
    <row r="1274" spans="1:7" x14ac:dyDescent="0.25">
      <c r="A1274">
        <f t="shared" si="31"/>
        <v>0</v>
      </c>
      <c r="B1274" t="s">
        <v>3724</v>
      </c>
      <c r="C1274">
        <f>Games!D78</f>
        <v>0</v>
      </c>
      <c r="D1274">
        <v>0</v>
      </c>
      <c r="E1274" s="2" t="s">
        <v>3255</v>
      </c>
      <c r="F1274" s="2" t="e">
        <f>VLOOKUP(JudgeD2GamesSpeed,Judges!$A$2:$B$44,2,FALSE)</f>
        <v>#N/A</v>
      </c>
      <c r="G1274" t="str">
        <f>IF(Games!AC78="P","Pass",IF(Games!AC78="F","Fail",""))</f>
        <v/>
      </c>
    </row>
    <row r="1275" spans="1:7" x14ac:dyDescent="0.25">
      <c r="A1275">
        <f t="shared" si="31"/>
        <v>0</v>
      </c>
      <c r="B1275" t="s">
        <v>3724</v>
      </c>
      <c r="C1275">
        <f>Games!D79</f>
        <v>0</v>
      </c>
      <c r="D1275">
        <v>0</v>
      </c>
      <c r="E1275" s="2" t="s">
        <v>3255</v>
      </c>
      <c r="F1275" s="2" t="e">
        <f>VLOOKUP(JudgeD2GamesSpeed,Judges!$A$2:$B$44,2,FALSE)</f>
        <v>#N/A</v>
      </c>
      <c r="G1275" t="str">
        <f>IF(Games!AC79="P","Pass",IF(Games!AC79="F","Fail",""))</f>
        <v/>
      </c>
    </row>
    <row r="1276" spans="1:7" x14ac:dyDescent="0.25">
      <c r="A1276">
        <f t="shared" si="31"/>
        <v>0</v>
      </c>
      <c r="B1276" t="s">
        <v>3724</v>
      </c>
      <c r="C1276">
        <f>Games!D80</f>
        <v>0</v>
      </c>
      <c r="D1276">
        <v>0</v>
      </c>
      <c r="E1276" s="2" t="s">
        <v>3255</v>
      </c>
      <c r="F1276" s="2" t="e">
        <f>VLOOKUP(JudgeD2GamesSpeed,Judges!$A$2:$B$44,2,FALSE)</f>
        <v>#N/A</v>
      </c>
      <c r="G1276" t="str">
        <f>IF(Games!AC80="P","Pass",IF(Games!AC80="F","Fail",""))</f>
        <v/>
      </c>
    </row>
    <row r="1277" spans="1:7" x14ac:dyDescent="0.25">
      <c r="A1277">
        <f t="shared" si="31"/>
        <v>0</v>
      </c>
      <c r="B1277" t="s">
        <v>3724</v>
      </c>
      <c r="C1277">
        <f>Games!D81</f>
        <v>0</v>
      </c>
      <c r="D1277">
        <v>0</v>
      </c>
      <c r="E1277" s="2" t="s">
        <v>3255</v>
      </c>
      <c r="F1277" s="2" t="e">
        <f>VLOOKUP(JudgeD2GamesSpeed,Judges!$A$2:$B$44,2,FALSE)</f>
        <v>#N/A</v>
      </c>
      <c r="G1277" t="str">
        <f>IF(Games!AC81="P","Pass",IF(Games!AC81="F","Fail",""))</f>
        <v/>
      </c>
    </row>
    <row r="1278" spans="1:7" x14ac:dyDescent="0.25">
      <c r="A1278">
        <f t="shared" si="31"/>
        <v>0</v>
      </c>
      <c r="B1278" t="s">
        <v>3724</v>
      </c>
      <c r="C1278">
        <f>Games!D82</f>
        <v>0</v>
      </c>
      <c r="D1278">
        <v>0</v>
      </c>
      <c r="E1278" s="2" t="s">
        <v>3255</v>
      </c>
      <c r="F1278" s="2" t="e">
        <f>VLOOKUP(JudgeD2GamesSpeed,Judges!$A$2:$B$44,2,FALSE)</f>
        <v>#N/A</v>
      </c>
      <c r="G1278" t="str">
        <f>IF(Games!AC82="P","Pass",IF(Games!AC82="F","Fail",""))</f>
        <v/>
      </c>
    </row>
    <row r="1279" spans="1:7" x14ac:dyDescent="0.25">
      <c r="A1279">
        <f t="shared" si="31"/>
        <v>0</v>
      </c>
      <c r="B1279" t="s">
        <v>3724</v>
      </c>
      <c r="C1279">
        <f>Games!D83</f>
        <v>0</v>
      </c>
      <c r="D1279">
        <v>0</v>
      </c>
      <c r="E1279" s="2" t="s">
        <v>3255</v>
      </c>
      <c r="F1279" s="2" t="e">
        <f>VLOOKUP(JudgeD2GamesSpeed,Judges!$A$2:$B$44,2,FALSE)</f>
        <v>#N/A</v>
      </c>
      <c r="G1279" t="str">
        <f>IF(Games!AC83="P","Pass",IF(Games!AC83="F","Fail",""))</f>
        <v/>
      </c>
    </row>
    <row r="1280" spans="1:7" x14ac:dyDescent="0.25">
      <c r="A1280">
        <f t="shared" si="31"/>
        <v>0</v>
      </c>
      <c r="B1280" t="s">
        <v>3724</v>
      </c>
      <c r="C1280">
        <f>Games!D84</f>
        <v>0</v>
      </c>
      <c r="D1280">
        <v>0</v>
      </c>
      <c r="E1280" s="2" t="s">
        <v>3255</v>
      </c>
      <c r="F1280" s="2" t="e">
        <f>VLOOKUP(JudgeD2GamesSpeed,Judges!$A$2:$B$44,2,FALSE)</f>
        <v>#N/A</v>
      </c>
      <c r="G1280" t="str">
        <f>IF(Games!AC84="P","Pass",IF(Games!AC84="F","Fail",""))</f>
        <v/>
      </c>
    </row>
    <row r="1281" spans="1:7" x14ac:dyDescent="0.25">
      <c r="A1281">
        <f t="shared" si="31"/>
        <v>0</v>
      </c>
      <c r="B1281" t="s">
        <v>3724</v>
      </c>
      <c r="C1281">
        <f>Games!D85</f>
        <v>0</v>
      </c>
      <c r="D1281">
        <v>0</v>
      </c>
      <c r="E1281" s="2" t="s">
        <v>3255</v>
      </c>
      <c r="F1281" s="2" t="e">
        <f>VLOOKUP(JudgeD2GamesSpeed,Judges!$A$2:$B$44,2,FALSE)</f>
        <v>#N/A</v>
      </c>
      <c r="G1281" t="str">
        <f>IF(Games!AC85="P","Pass",IF(Games!AC85="F","Fail",""))</f>
        <v/>
      </c>
    </row>
    <row r="1282" spans="1:7" x14ac:dyDescent="0.25">
      <c r="A1282">
        <f t="shared" si="31"/>
        <v>0</v>
      </c>
      <c r="B1282" t="s">
        <v>3724</v>
      </c>
      <c r="C1282">
        <f>Games!D86</f>
        <v>0</v>
      </c>
      <c r="D1282">
        <v>0</v>
      </c>
      <c r="E1282" s="2" t="s">
        <v>3255</v>
      </c>
      <c r="F1282" s="2" t="e">
        <f>VLOOKUP(JudgeD2GamesSpeed,Judges!$A$2:$B$44,2,FALSE)</f>
        <v>#N/A</v>
      </c>
      <c r="G1282" t="str">
        <f>IF(Games!AC86="P","Pass",IF(Games!AC86="F","Fail",""))</f>
        <v/>
      </c>
    </row>
    <row r="1283" spans="1:7" x14ac:dyDescent="0.25">
      <c r="A1283">
        <f t="shared" si="31"/>
        <v>0</v>
      </c>
      <c r="B1283" t="s">
        <v>3724</v>
      </c>
      <c r="C1283">
        <f>Games!D87</f>
        <v>0</v>
      </c>
      <c r="D1283">
        <v>0</v>
      </c>
      <c r="E1283" s="2" t="s">
        <v>3255</v>
      </c>
      <c r="F1283" s="2" t="e">
        <f>VLOOKUP(JudgeD2GamesSpeed,Judges!$A$2:$B$44,2,FALSE)</f>
        <v>#N/A</v>
      </c>
      <c r="G1283" t="str">
        <f>IF(Games!AC87="P","Pass",IF(Games!AC87="F","Fail",""))</f>
        <v/>
      </c>
    </row>
    <row r="1284" spans="1:7" x14ac:dyDescent="0.25">
      <c r="A1284">
        <f t="shared" si="31"/>
        <v>0</v>
      </c>
      <c r="B1284" t="s">
        <v>3724</v>
      </c>
      <c r="C1284">
        <f>Games!D88</f>
        <v>0</v>
      </c>
      <c r="D1284">
        <v>0</v>
      </c>
      <c r="E1284" s="2" t="s">
        <v>3255</v>
      </c>
      <c r="F1284" s="2" t="e">
        <f>VLOOKUP(JudgeD2GamesSpeed,Judges!$A$2:$B$44,2,FALSE)</f>
        <v>#N/A</v>
      </c>
      <c r="G1284" t="str">
        <f>IF(Games!AC88="P","Pass",IF(Games!AC88="F","Fail",""))</f>
        <v/>
      </c>
    </row>
    <row r="1285" spans="1:7" x14ac:dyDescent="0.25">
      <c r="A1285">
        <f t="shared" si="31"/>
        <v>0</v>
      </c>
      <c r="B1285" t="s">
        <v>3724</v>
      </c>
      <c r="C1285">
        <f>Games!D89</f>
        <v>0</v>
      </c>
      <c r="D1285">
        <v>0</v>
      </c>
      <c r="E1285" s="2" t="s">
        <v>3255</v>
      </c>
      <c r="F1285" s="2" t="e">
        <f>VLOOKUP(JudgeD2GamesSpeed,Judges!$A$2:$B$44,2,FALSE)</f>
        <v>#N/A</v>
      </c>
      <c r="G1285" t="str">
        <f>IF(Games!AC89="P","Pass",IF(Games!AC89="F","Fail",""))</f>
        <v/>
      </c>
    </row>
    <row r="1286" spans="1:7" x14ac:dyDescent="0.25">
      <c r="A1286">
        <f t="shared" si="31"/>
        <v>0</v>
      </c>
      <c r="B1286" t="s">
        <v>3724</v>
      </c>
      <c r="C1286">
        <f>Games!D90</f>
        <v>0</v>
      </c>
      <c r="D1286">
        <v>0</v>
      </c>
      <c r="E1286" s="2" t="s">
        <v>3255</v>
      </c>
      <c r="F1286" s="2" t="e">
        <f>VLOOKUP(JudgeD2GamesSpeed,Judges!$A$2:$B$44,2,FALSE)</f>
        <v>#N/A</v>
      </c>
      <c r="G1286" t="str">
        <f>IF(Games!AC90="P","Pass",IF(Games!AC90="F","Fail",""))</f>
        <v/>
      </c>
    </row>
    <row r="1287" spans="1:7" x14ac:dyDescent="0.25">
      <c r="A1287">
        <f t="shared" si="31"/>
        <v>0</v>
      </c>
      <c r="B1287" t="s">
        <v>3724</v>
      </c>
      <c r="C1287">
        <f>Games!D91</f>
        <v>0</v>
      </c>
      <c r="D1287">
        <v>0</v>
      </c>
      <c r="E1287" s="2" t="s">
        <v>3255</v>
      </c>
      <c r="F1287" s="2" t="e">
        <f>VLOOKUP(JudgeD2GamesSpeed,Judges!$A$2:$B$44,2,FALSE)</f>
        <v>#N/A</v>
      </c>
      <c r="G1287" t="str">
        <f>IF(Games!AC91="P","Pass",IF(Games!AC91="F","Fail",""))</f>
        <v/>
      </c>
    </row>
    <row r="1288" spans="1:7" x14ac:dyDescent="0.25">
      <c r="A1288">
        <f t="shared" si="31"/>
        <v>0</v>
      </c>
      <c r="B1288" t="s">
        <v>3724</v>
      </c>
      <c r="C1288">
        <f>Games!D92</f>
        <v>0</v>
      </c>
      <c r="D1288">
        <v>0</v>
      </c>
      <c r="E1288" s="2" t="s">
        <v>3255</v>
      </c>
      <c r="F1288" s="2" t="e">
        <f>VLOOKUP(JudgeD2GamesSpeed,Judges!$A$2:$B$44,2,FALSE)</f>
        <v>#N/A</v>
      </c>
      <c r="G1288" t="str">
        <f>IF(Games!AC92="P","Pass",IF(Games!AC92="F","Fail",""))</f>
        <v/>
      </c>
    </row>
    <row r="1289" spans="1:7" x14ac:dyDescent="0.25">
      <c r="A1289">
        <f t="shared" si="31"/>
        <v>0</v>
      </c>
      <c r="B1289" t="s">
        <v>3724</v>
      </c>
      <c r="C1289">
        <f>Games!D93</f>
        <v>0</v>
      </c>
      <c r="D1289">
        <v>0</v>
      </c>
      <c r="E1289" s="2" t="s">
        <v>3255</v>
      </c>
      <c r="F1289" s="2" t="e">
        <f>VLOOKUP(JudgeD2GamesSpeed,Judges!$A$2:$B$44,2,FALSE)</f>
        <v>#N/A</v>
      </c>
      <c r="G1289" t="str">
        <f>IF(Games!AC93="P","Pass",IF(Games!AC93="F","Fail",""))</f>
        <v/>
      </c>
    </row>
    <row r="1290" spans="1:7" x14ac:dyDescent="0.25">
      <c r="A1290">
        <f t="shared" ref="A1290:A1321" si="32">TrialNumberDay2</f>
        <v>0</v>
      </c>
      <c r="B1290" t="s">
        <v>3724</v>
      </c>
      <c r="C1290">
        <f>Games!D94</f>
        <v>0</v>
      </c>
      <c r="D1290">
        <v>0</v>
      </c>
      <c r="E1290" s="2" t="s">
        <v>3255</v>
      </c>
      <c r="F1290" s="2" t="e">
        <f>VLOOKUP(JudgeD2GamesSpeed,Judges!$A$2:$B$44,2,FALSE)</f>
        <v>#N/A</v>
      </c>
      <c r="G1290" t="str">
        <f>IF(Games!AC94="P","Pass",IF(Games!AC94="F","Fail",""))</f>
        <v/>
      </c>
    </row>
    <row r="1291" spans="1:7" x14ac:dyDescent="0.25">
      <c r="A1291">
        <f t="shared" si="32"/>
        <v>0</v>
      </c>
      <c r="B1291" t="s">
        <v>3724</v>
      </c>
      <c r="C1291">
        <f>Games!D95</f>
        <v>0</v>
      </c>
      <c r="D1291">
        <v>0</v>
      </c>
      <c r="E1291" s="2" t="s">
        <v>3255</v>
      </c>
      <c r="F1291" s="2" t="e">
        <f>VLOOKUP(JudgeD2GamesSpeed,Judges!$A$2:$B$44,2,FALSE)</f>
        <v>#N/A</v>
      </c>
      <c r="G1291" t="str">
        <f>IF(Games!AC95="P","Pass",IF(Games!AC95="F","Fail",""))</f>
        <v/>
      </c>
    </row>
    <row r="1292" spans="1:7" x14ac:dyDescent="0.25">
      <c r="A1292">
        <f t="shared" si="32"/>
        <v>0</v>
      </c>
      <c r="B1292" t="s">
        <v>3724</v>
      </c>
      <c r="C1292">
        <f>Games!D96</f>
        <v>0</v>
      </c>
      <c r="D1292">
        <v>0</v>
      </c>
      <c r="E1292" s="2" t="s">
        <v>3255</v>
      </c>
      <c r="F1292" s="2" t="e">
        <f>VLOOKUP(JudgeD2GamesSpeed,Judges!$A$2:$B$44,2,FALSE)</f>
        <v>#N/A</v>
      </c>
      <c r="G1292" t="str">
        <f>IF(Games!AC96="P","Pass",IF(Games!AC96="F","Fail",""))</f>
        <v/>
      </c>
    </row>
    <row r="1293" spans="1:7" x14ac:dyDescent="0.25">
      <c r="A1293">
        <f t="shared" si="32"/>
        <v>0</v>
      </c>
      <c r="B1293" t="s">
        <v>3724</v>
      </c>
      <c r="C1293">
        <f>Games!D97</f>
        <v>0</v>
      </c>
      <c r="D1293">
        <v>0</v>
      </c>
      <c r="E1293" s="2" t="s">
        <v>3255</v>
      </c>
      <c r="F1293" s="2" t="e">
        <f>VLOOKUP(JudgeD2GamesSpeed,Judges!$A$2:$B$44,2,FALSE)</f>
        <v>#N/A</v>
      </c>
      <c r="G1293" t="str">
        <f>IF(Games!AC97="P","Pass",IF(Games!AC97="F","Fail",""))</f>
        <v/>
      </c>
    </row>
    <row r="1294" spans="1:7" x14ac:dyDescent="0.25">
      <c r="A1294">
        <f t="shared" si="32"/>
        <v>0</v>
      </c>
      <c r="B1294" t="s">
        <v>3724</v>
      </c>
      <c r="C1294">
        <f>Games!D98</f>
        <v>0</v>
      </c>
      <c r="D1294">
        <v>0</v>
      </c>
      <c r="E1294" s="2" t="s">
        <v>3255</v>
      </c>
      <c r="F1294" s="2" t="e">
        <f>VLOOKUP(JudgeD2GamesSpeed,Judges!$A$2:$B$44,2,FALSE)</f>
        <v>#N/A</v>
      </c>
      <c r="G1294" t="str">
        <f>IF(Games!AC98="P","Pass",IF(Games!AC98="F","Fail",""))</f>
        <v/>
      </c>
    </row>
    <row r="1295" spans="1:7" x14ac:dyDescent="0.25">
      <c r="A1295">
        <f t="shared" si="32"/>
        <v>0</v>
      </c>
      <c r="B1295" t="s">
        <v>3724</v>
      </c>
      <c r="C1295">
        <f>Games!D99</f>
        <v>0</v>
      </c>
      <c r="D1295">
        <v>0</v>
      </c>
      <c r="E1295" s="2" t="s">
        <v>3255</v>
      </c>
      <c r="F1295" s="2" t="e">
        <f>VLOOKUP(JudgeD2GamesSpeed,Judges!$A$2:$B$44,2,FALSE)</f>
        <v>#N/A</v>
      </c>
      <c r="G1295" t="str">
        <f>IF(Games!AC99="P","Pass",IF(Games!AC99="F","Fail",""))</f>
        <v/>
      </c>
    </row>
    <row r="1296" spans="1:7" x14ac:dyDescent="0.25">
      <c r="A1296">
        <f t="shared" si="32"/>
        <v>0</v>
      </c>
      <c r="B1296" t="s">
        <v>3724</v>
      </c>
      <c r="C1296">
        <f>Games!D100</f>
        <v>0</v>
      </c>
      <c r="D1296">
        <v>0</v>
      </c>
      <c r="E1296" s="2" t="s">
        <v>3255</v>
      </c>
      <c r="F1296" s="2" t="e">
        <f>VLOOKUP(JudgeD2GamesSpeed,Judges!$A$2:$B$44,2,FALSE)</f>
        <v>#N/A</v>
      </c>
      <c r="G1296" t="str">
        <f>IF(Games!AC100="P","Pass",IF(Games!AC100="F","Fail",""))</f>
        <v/>
      </c>
    </row>
    <row r="1297" spans="1:7" x14ac:dyDescent="0.25">
      <c r="A1297">
        <f t="shared" si="32"/>
        <v>0</v>
      </c>
      <c r="B1297" t="s">
        <v>3724</v>
      </c>
      <c r="C1297">
        <f>Games!D101</f>
        <v>0</v>
      </c>
      <c r="D1297">
        <v>0</v>
      </c>
      <c r="E1297" s="2" t="s">
        <v>3255</v>
      </c>
      <c r="F1297" s="2" t="e">
        <f>VLOOKUP(JudgeD2GamesSpeed,Judges!$A$2:$B$44,2,FALSE)</f>
        <v>#N/A</v>
      </c>
      <c r="G1297" t="str">
        <f>IF(Games!AC101="P","Pass",IF(Games!AC101="F","Fail",""))</f>
        <v/>
      </c>
    </row>
    <row r="1298" spans="1:7" x14ac:dyDescent="0.25">
      <c r="A1298">
        <f t="shared" si="32"/>
        <v>0</v>
      </c>
      <c r="B1298" t="s">
        <v>3724</v>
      </c>
      <c r="C1298">
        <f>Games!D102</f>
        <v>0</v>
      </c>
      <c r="D1298">
        <v>0</v>
      </c>
      <c r="E1298" s="2" t="s">
        <v>3255</v>
      </c>
      <c r="F1298" s="2" t="e">
        <f>VLOOKUP(JudgeD2GamesSpeed,Judges!$A$2:$B$44,2,FALSE)</f>
        <v>#N/A</v>
      </c>
      <c r="G1298" t="str">
        <f>IF(Games!AC102="P","Pass",IF(Games!AC102="F","Fail",""))</f>
        <v/>
      </c>
    </row>
    <row r="1299" spans="1:7" x14ac:dyDescent="0.25">
      <c r="A1299">
        <f t="shared" si="32"/>
        <v>0</v>
      </c>
      <c r="B1299" t="s">
        <v>3724</v>
      </c>
      <c r="C1299">
        <f>Games!D103</f>
        <v>0</v>
      </c>
      <c r="D1299">
        <v>0</v>
      </c>
      <c r="E1299" s="2" t="s">
        <v>3255</v>
      </c>
      <c r="F1299" s="2" t="e">
        <f>VLOOKUP(JudgeD2GamesSpeed,Judges!$A$2:$B$44,2,FALSE)</f>
        <v>#N/A</v>
      </c>
      <c r="G1299" t="str">
        <f>IF(Games!AC103="P","Pass",IF(Games!AC103="F","Fail",""))</f>
        <v/>
      </c>
    </row>
    <row r="1300" spans="1:7" x14ac:dyDescent="0.25">
      <c r="A1300">
        <f t="shared" si="32"/>
        <v>0</v>
      </c>
      <c r="B1300" t="s">
        <v>3724</v>
      </c>
      <c r="C1300">
        <f>Games!D104</f>
        <v>0</v>
      </c>
      <c r="D1300">
        <v>0</v>
      </c>
      <c r="E1300" s="2" t="s">
        <v>3255</v>
      </c>
      <c r="F1300" s="2" t="e">
        <f>VLOOKUP(JudgeD2GamesSpeed,Judges!$A$2:$B$44,2,FALSE)</f>
        <v>#N/A</v>
      </c>
      <c r="G1300" t="str">
        <f>IF(Games!AC104="P","Pass",IF(Games!AC104="F","Fail",""))</f>
        <v/>
      </c>
    </row>
    <row r="1301" spans="1:7" x14ac:dyDescent="0.25">
      <c r="A1301">
        <f t="shared" si="32"/>
        <v>0</v>
      </c>
      <c r="B1301" t="s">
        <v>3724</v>
      </c>
      <c r="C1301">
        <f>Games!D105</f>
        <v>0</v>
      </c>
      <c r="D1301">
        <v>0</v>
      </c>
      <c r="E1301" s="2" t="s">
        <v>3255</v>
      </c>
      <c r="F1301" s="2" t="e">
        <f>VLOOKUP(JudgeD2GamesSpeed,Judges!$A$2:$B$44,2,FALSE)</f>
        <v>#N/A</v>
      </c>
      <c r="G1301" t="str">
        <f>IF(Games!AC105="P","Pass",IF(Games!AC105="F","Fail",""))</f>
        <v/>
      </c>
    </row>
    <row r="1302" spans="1:7" x14ac:dyDescent="0.25">
      <c r="A1302">
        <f t="shared" si="32"/>
        <v>0</v>
      </c>
      <c r="B1302" t="s">
        <v>3724</v>
      </c>
      <c r="C1302">
        <f>Games!D106</f>
        <v>0</v>
      </c>
      <c r="D1302">
        <v>0</v>
      </c>
      <c r="E1302" s="2" t="s">
        <v>3255</v>
      </c>
      <c r="F1302" s="2" t="e">
        <f>VLOOKUP(JudgeD2GamesSpeed,Judges!$A$2:$B$44,2,FALSE)</f>
        <v>#N/A</v>
      </c>
      <c r="G1302" t="str">
        <f>IF(Games!AC106="P","Pass",IF(Games!AC106="F","Fail",""))</f>
        <v/>
      </c>
    </row>
    <row r="1303" spans="1:7" x14ac:dyDescent="0.25">
      <c r="A1303">
        <f t="shared" si="32"/>
        <v>0</v>
      </c>
      <c r="B1303" t="s">
        <v>3724</v>
      </c>
      <c r="C1303">
        <f>Games!D107</f>
        <v>0</v>
      </c>
      <c r="D1303">
        <v>0</v>
      </c>
      <c r="E1303" s="2" t="s">
        <v>3255</v>
      </c>
      <c r="F1303" s="2" t="e">
        <f>VLOOKUP(JudgeD2GamesSpeed,Judges!$A$2:$B$44,2,FALSE)</f>
        <v>#N/A</v>
      </c>
      <c r="G1303" t="str">
        <f>IF(Games!AC107="P","Pass",IF(Games!AC107="F","Fail",""))</f>
        <v/>
      </c>
    </row>
    <row r="1304" spans="1:7" x14ac:dyDescent="0.25">
      <c r="A1304">
        <f t="shared" si="32"/>
        <v>0</v>
      </c>
      <c r="B1304" t="s">
        <v>3724</v>
      </c>
      <c r="C1304">
        <f>Games!D108</f>
        <v>0</v>
      </c>
      <c r="D1304">
        <v>0</v>
      </c>
      <c r="E1304" s="2" t="s">
        <v>3255</v>
      </c>
      <c r="F1304" s="2" t="e">
        <f>VLOOKUP(JudgeD2GamesSpeed,Judges!$A$2:$B$44,2,FALSE)</f>
        <v>#N/A</v>
      </c>
      <c r="G1304" t="str">
        <f>IF(Games!AC108="P","Pass",IF(Games!AC108="F","Fail",""))</f>
        <v/>
      </c>
    </row>
    <row r="1305" spans="1:7" x14ac:dyDescent="0.25">
      <c r="A1305">
        <f t="shared" si="32"/>
        <v>0</v>
      </c>
      <c r="B1305" t="s">
        <v>3724</v>
      </c>
      <c r="C1305">
        <f>Games!D109</f>
        <v>0</v>
      </c>
      <c r="D1305">
        <v>0</v>
      </c>
      <c r="E1305" s="2" t="s">
        <v>3255</v>
      </c>
      <c r="F1305" s="2" t="e">
        <f>VLOOKUP(JudgeD2GamesSpeed,Judges!$A$2:$B$44,2,FALSE)</f>
        <v>#N/A</v>
      </c>
      <c r="G1305" t="str">
        <f>IF(Games!AC109="P","Pass",IF(Games!AC109="F","Fail",""))</f>
        <v/>
      </c>
    </row>
    <row r="1306" spans="1:7" x14ac:dyDescent="0.25">
      <c r="A1306">
        <f t="shared" si="32"/>
        <v>0</v>
      </c>
      <c r="B1306" t="s">
        <v>3724</v>
      </c>
      <c r="C1306">
        <f>Games!D110</f>
        <v>0</v>
      </c>
      <c r="D1306">
        <v>0</v>
      </c>
      <c r="E1306" s="2" t="s">
        <v>3255</v>
      </c>
      <c r="F1306" s="2" t="e">
        <f>VLOOKUP(JudgeD2GamesSpeed,Judges!$A$2:$B$44,2,FALSE)</f>
        <v>#N/A</v>
      </c>
      <c r="G1306" t="str">
        <f>IF(Games!AC110="P","Pass",IF(Games!AC110="F","Fail",""))</f>
        <v/>
      </c>
    </row>
    <row r="1307" spans="1:7" x14ac:dyDescent="0.25">
      <c r="A1307">
        <f t="shared" si="32"/>
        <v>0</v>
      </c>
      <c r="B1307" t="s">
        <v>3724</v>
      </c>
      <c r="C1307">
        <f>Games!D111</f>
        <v>0</v>
      </c>
      <c r="D1307">
        <v>0</v>
      </c>
      <c r="E1307" s="2" t="s">
        <v>3255</v>
      </c>
      <c r="F1307" s="2" t="e">
        <f>VLOOKUP(JudgeD2GamesSpeed,Judges!$A$2:$B$44,2,FALSE)</f>
        <v>#N/A</v>
      </c>
      <c r="G1307" t="str">
        <f>IF(Games!AC111="P","Pass",IF(Games!AC111="F","Fail",""))</f>
        <v/>
      </c>
    </row>
    <row r="1308" spans="1:7" x14ac:dyDescent="0.25">
      <c r="A1308">
        <f t="shared" si="32"/>
        <v>0</v>
      </c>
      <c r="B1308" t="s">
        <v>3724</v>
      </c>
      <c r="C1308">
        <f>Games!D112</f>
        <v>0</v>
      </c>
      <c r="D1308">
        <v>0</v>
      </c>
      <c r="E1308" s="2" t="s">
        <v>3255</v>
      </c>
      <c r="F1308" s="2" t="e">
        <f>VLOOKUP(JudgeD2GamesSpeed,Judges!$A$2:$B$44,2,FALSE)</f>
        <v>#N/A</v>
      </c>
      <c r="G1308" t="str">
        <f>IF(Games!AC112="P","Pass",IF(Games!AC112="F","Fail",""))</f>
        <v/>
      </c>
    </row>
    <row r="1309" spans="1:7" x14ac:dyDescent="0.25">
      <c r="A1309">
        <f t="shared" si="32"/>
        <v>0</v>
      </c>
      <c r="B1309" t="s">
        <v>3724</v>
      </c>
      <c r="C1309">
        <f>Games!D113</f>
        <v>0</v>
      </c>
      <c r="D1309">
        <v>0</v>
      </c>
      <c r="E1309" s="2" t="s">
        <v>3255</v>
      </c>
      <c r="F1309" s="2" t="e">
        <f>VLOOKUP(JudgeD2GamesSpeed,Judges!$A$2:$B$44,2,FALSE)</f>
        <v>#N/A</v>
      </c>
      <c r="G1309" t="str">
        <f>IF(Games!AC113="P","Pass",IF(Games!AC113="F","Fail",""))</f>
        <v/>
      </c>
    </row>
    <row r="1310" spans="1:7" x14ac:dyDescent="0.25">
      <c r="A1310">
        <f t="shared" si="32"/>
        <v>0</v>
      </c>
      <c r="B1310" t="s">
        <v>3724</v>
      </c>
      <c r="C1310">
        <f>Games!D114</f>
        <v>0</v>
      </c>
      <c r="D1310">
        <v>0</v>
      </c>
      <c r="E1310" s="2" t="s">
        <v>3255</v>
      </c>
      <c r="F1310" s="2" t="e">
        <f>VLOOKUP(JudgeD2GamesSpeed,Judges!$A$2:$B$44,2,FALSE)</f>
        <v>#N/A</v>
      </c>
      <c r="G1310" t="str">
        <f>IF(Games!AC114="P","Pass",IF(Games!AC114="F","Fail",""))</f>
        <v/>
      </c>
    </row>
    <row r="1311" spans="1:7" x14ac:dyDescent="0.25">
      <c r="A1311">
        <f t="shared" si="32"/>
        <v>0</v>
      </c>
      <c r="B1311" t="s">
        <v>3724</v>
      </c>
      <c r="C1311">
        <f>Games!D115</f>
        <v>0</v>
      </c>
      <c r="D1311">
        <v>0</v>
      </c>
      <c r="E1311" s="2" t="s">
        <v>3255</v>
      </c>
      <c r="F1311" s="2" t="e">
        <f>VLOOKUP(JudgeD2GamesSpeed,Judges!$A$2:$B$44,2,FALSE)</f>
        <v>#N/A</v>
      </c>
      <c r="G1311" t="str">
        <f>IF(Games!AC115="P","Pass",IF(Games!AC115="F","Fail",""))</f>
        <v/>
      </c>
    </row>
    <row r="1312" spans="1:7" x14ac:dyDescent="0.25">
      <c r="A1312">
        <f t="shared" si="32"/>
        <v>0</v>
      </c>
      <c r="B1312" t="s">
        <v>3726</v>
      </c>
      <c r="C1312">
        <f>Games!D66</f>
        <v>0</v>
      </c>
      <c r="D1312">
        <v>0</v>
      </c>
      <c r="E1312" s="2" t="s">
        <v>3255</v>
      </c>
      <c r="F1312" s="2" t="e">
        <f>VLOOKUP(JudgeD2GamesTeam,Judges!$A$2:$B$44,2,FALSE)</f>
        <v>#N/A</v>
      </c>
      <c r="G1312" t="str">
        <f>IF(Games!AJ66="P","Pass",IF(Games!AJ66="F","Fail",""))</f>
        <v/>
      </c>
    </row>
    <row r="1313" spans="1:7" x14ac:dyDescent="0.25">
      <c r="A1313">
        <f t="shared" si="32"/>
        <v>0</v>
      </c>
      <c r="B1313" t="s">
        <v>3726</v>
      </c>
      <c r="C1313">
        <f>Games!D67</f>
        <v>0</v>
      </c>
      <c r="D1313">
        <v>0</v>
      </c>
      <c r="E1313" s="2" t="s">
        <v>3255</v>
      </c>
      <c r="F1313" s="2" t="e">
        <f>VLOOKUP(JudgeD2GamesTeam,Judges!$A$2:$B$44,2,FALSE)</f>
        <v>#N/A</v>
      </c>
      <c r="G1313" t="str">
        <f>IF(Games!AJ67="P","Pass",IF(Games!AJ67="F","Fail",""))</f>
        <v/>
      </c>
    </row>
    <row r="1314" spans="1:7" x14ac:dyDescent="0.25">
      <c r="A1314">
        <f t="shared" si="32"/>
        <v>0</v>
      </c>
      <c r="B1314" t="s">
        <v>3726</v>
      </c>
      <c r="C1314">
        <f>Games!D68</f>
        <v>0</v>
      </c>
      <c r="D1314">
        <v>0</v>
      </c>
      <c r="E1314" s="2" t="s">
        <v>3255</v>
      </c>
      <c r="F1314" s="2" t="e">
        <f>VLOOKUP(JudgeD2GamesTeam,Judges!$A$2:$B$44,2,FALSE)</f>
        <v>#N/A</v>
      </c>
      <c r="G1314" t="str">
        <f>IF(Games!AJ68="P","Pass",IF(Games!AJ68="F","Fail",""))</f>
        <v/>
      </c>
    </row>
    <row r="1315" spans="1:7" x14ac:dyDescent="0.25">
      <c r="A1315">
        <f t="shared" si="32"/>
        <v>0</v>
      </c>
      <c r="B1315" t="s">
        <v>3726</v>
      </c>
      <c r="C1315">
        <f>Games!D69</f>
        <v>0</v>
      </c>
      <c r="D1315">
        <v>0</v>
      </c>
      <c r="E1315" s="2" t="s">
        <v>3255</v>
      </c>
      <c r="F1315" s="2" t="e">
        <f>VLOOKUP(JudgeD2GamesTeam,Judges!$A$2:$B$44,2,FALSE)</f>
        <v>#N/A</v>
      </c>
      <c r="G1315" t="str">
        <f>IF(Games!AJ69="P","Pass",IF(Games!AJ69="F","Fail",""))</f>
        <v/>
      </c>
    </row>
    <row r="1316" spans="1:7" x14ac:dyDescent="0.25">
      <c r="A1316">
        <f t="shared" si="32"/>
        <v>0</v>
      </c>
      <c r="B1316" t="s">
        <v>3726</v>
      </c>
      <c r="C1316">
        <f>Games!D70</f>
        <v>0</v>
      </c>
      <c r="D1316">
        <v>0</v>
      </c>
      <c r="E1316" s="2" t="s">
        <v>3255</v>
      </c>
      <c r="F1316" s="2" t="e">
        <f>VLOOKUP(JudgeD2GamesTeam,Judges!$A$2:$B$44,2,FALSE)</f>
        <v>#N/A</v>
      </c>
      <c r="G1316" t="str">
        <f>IF(Games!AJ70="P","Pass",IF(Games!AJ70="F","Fail",""))</f>
        <v/>
      </c>
    </row>
    <row r="1317" spans="1:7" x14ac:dyDescent="0.25">
      <c r="A1317">
        <f t="shared" si="32"/>
        <v>0</v>
      </c>
      <c r="B1317" t="s">
        <v>3726</v>
      </c>
      <c r="C1317">
        <f>Games!D71</f>
        <v>0</v>
      </c>
      <c r="D1317">
        <v>0</v>
      </c>
      <c r="E1317" s="2" t="s">
        <v>3255</v>
      </c>
      <c r="F1317" s="2" t="e">
        <f>VLOOKUP(JudgeD2GamesTeam,Judges!$A$2:$B$44,2,FALSE)</f>
        <v>#N/A</v>
      </c>
      <c r="G1317" t="str">
        <f>IF(Games!AJ71="P","Pass",IF(Games!AJ71="F","Fail",""))</f>
        <v/>
      </c>
    </row>
    <row r="1318" spans="1:7" x14ac:dyDescent="0.25">
      <c r="A1318">
        <f t="shared" si="32"/>
        <v>0</v>
      </c>
      <c r="B1318" t="s">
        <v>3726</v>
      </c>
      <c r="C1318">
        <f>Games!D72</f>
        <v>0</v>
      </c>
      <c r="D1318">
        <v>0</v>
      </c>
      <c r="E1318" s="2" t="s">
        <v>3255</v>
      </c>
      <c r="F1318" s="2" t="e">
        <f>VLOOKUP(JudgeD2GamesTeam,Judges!$A$2:$B$44,2,FALSE)</f>
        <v>#N/A</v>
      </c>
      <c r="G1318" t="str">
        <f>IF(Games!AJ72="P","Pass",IF(Games!AJ72="F","Fail",""))</f>
        <v/>
      </c>
    </row>
    <row r="1319" spans="1:7" x14ac:dyDescent="0.25">
      <c r="A1319">
        <f t="shared" si="32"/>
        <v>0</v>
      </c>
      <c r="B1319" t="s">
        <v>3726</v>
      </c>
      <c r="C1319">
        <f>Games!D73</f>
        <v>0</v>
      </c>
      <c r="D1319">
        <v>0</v>
      </c>
      <c r="E1319" s="2" t="s">
        <v>3255</v>
      </c>
      <c r="F1319" s="2" t="e">
        <f>VLOOKUP(JudgeD2GamesTeam,Judges!$A$2:$B$44,2,FALSE)</f>
        <v>#N/A</v>
      </c>
      <c r="G1319" t="str">
        <f>IF(Games!AJ73="P","Pass",IF(Games!AJ73="F","Fail",""))</f>
        <v/>
      </c>
    </row>
    <row r="1320" spans="1:7" x14ac:dyDescent="0.25">
      <c r="A1320">
        <f t="shared" si="32"/>
        <v>0</v>
      </c>
      <c r="B1320" t="s">
        <v>3726</v>
      </c>
      <c r="C1320">
        <f>Games!D74</f>
        <v>0</v>
      </c>
      <c r="D1320">
        <v>0</v>
      </c>
      <c r="E1320" s="2" t="s">
        <v>3255</v>
      </c>
      <c r="F1320" s="2" t="e">
        <f>VLOOKUP(JudgeD2GamesTeam,Judges!$A$2:$B$44,2,FALSE)</f>
        <v>#N/A</v>
      </c>
      <c r="G1320" t="str">
        <f>IF(Games!AJ74="P","Pass",IF(Games!AJ74="F","Fail",""))</f>
        <v/>
      </c>
    </row>
    <row r="1321" spans="1:7" x14ac:dyDescent="0.25">
      <c r="A1321">
        <f t="shared" si="32"/>
        <v>0</v>
      </c>
      <c r="B1321" t="s">
        <v>3726</v>
      </c>
      <c r="C1321">
        <f>Games!D75</f>
        <v>0</v>
      </c>
      <c r="D1321">
        <v>0</v>
      </c>
      <c r="E1321" s="2" t="s">
        <v>3255</v>
      </c>
      <c r="F1321" s="2" t="e">
        <f>VLOOKUP(JudgeD2GamesTeam,Judges!$A$2:$B$44,2,FALSE)</f>
        <v>#N/A</v>
      </c>
      <c r="G1321" t="str">
        <f>IF(Games!AJ75="P","Pass",IF(Games!AJ75="F","Fail",""))</f>
        <v/>
      </c>
    </row>
    <row r="1322" spans="1:7" x14ac:dyDescent="0.25">
      <c r="A1322">
        <f t="shared" ref="A1322:A1353" si="33">TrialNumberDay2</f>
        <v>0</v>
      </c>
      <c r="B1322" t="s">
        <v>3726</v>
      </c>
      <c r="C1322">
        <f>Games!D76</f>
        <v>0</v>
      </c>
      <c r="D1322">
        <v>0</v>
      </c>
      <c r="E1322" s="2" t="s">
        <v>3255</v>
      </c>
      <c r="F1322" s="2" t="e">
        <f>VLOOKUP(JudgeD2GamesTeam,Judges!$A$2:$B$44,2,FALSE)</f>
        <v>#N/A</v>
      </c>
      <c r="G1322" t="str">
        <f>IF(Games!AJ76="P","Pass",IF(Games!AJ76="F","Fail",""))</f>
        <v/>
      </c>
    </row>
    <row r="1323" spans="1:7" x14ac:dyDescent="0.25">
      <c r="A1323">
        <f t="shared" si="33"/>
        <v>0</v>
      </c>
      <c r="B1323" t="s">
        <v>3726</v>
      </c>
      <c r="C1323">
        <f>Games!D77</f>
        <v>0</v>
      </c>
      <c r="D1323">
        <v>0</v>
      </c>
      <c r="E1323" s="2" t="s">
        <v>3255</v>
      </c>
      <c r="F1323" s="2" t="e">
        <f>VLOOKUP(JudgeD2GamesTeam,Judges!$A$2:$B$44,2,FALSE)</f>
        <v>#N/A</v>
      </c>
      <c r="G1323" t="str">
        <f>IF(Games!AJ77="P","Pass",IF(Games!AJ77="F","Fail",""))</f>
        <v/>
      </c>
    </row>
    <row r="1324" spans="1:7" x14ac:dyDescent="0.25">
      <c r="A1324">
        <f t="shared" si="33"/>
        <v>0</v>
      </c>
      <c r="B1324" t="s">
        <v>3726</v>
      </c>
      <c r="C1324">
        <f>Games!D78</f>
        <v>0</v>
      </c>
      <c r="D1324">
        <v>0</v>
      </c>
      <c r="E1324" s="2" t="s">
        <v>3255</v>
      </c>
      <c r="F1324" s="2" t="e">
        <f>VLOOKUP(JudgeD2GamesTeam,Judges!$A$2:$B$44,2,FALSE)</f>
        <v>#N/A</v>
      </c>
      <c r="G1324" t="str">
        <f>IF(Games!AJ78="P","Pass",IF(Games!AJ78="F","Fail",""))</f>
        <v/>
      </c>
    </row>
    <row r="1325" spans="1:7" x14ac:dyDescent="0.25">
      <c r="A1325">
        <f t="shared" si="33"/>
        <v>0</v>
      </c>
      <c r="B1325" t="s">
        <v>3726</v>
      </c>
      <c r="C1325">
        <f>Games!D79</f>
        <v>0</v>
      </c>
      <c r="D1325">
        <v>0</v>
      </c>
      <c r="E1325" s="2" t="s">
        <v>3255</v>
      </c>
      <c r="F1325" s="2" t="e">
        <f>VLOOKUP(JudgeD2GamesTeam,Judges!$A$2:$B$44,2,FALSE)</f>
        <v>#N/A</v>
      </c>
      <c r="G1325" t="str">
        <f>IF(Games!AJ79="P","Pass",IF(Games!AJ79="F","Fail",""))</f>
        <v/>
      </c>
    </row>
    <row r="1326" spans="1:7" x14ac:dyDescent="0.25">
      <c r="A1326">
        <f t="shared" si="33"/>
        <v>0</v>
      </c>
      <c r="B1326" t="s">
        <v>3726</v>
      </c>
      <c r="C1326">
        <f>Games!D80</f>
        <v>0</v>
      </c>
      <c r="D1326">
        <v>0</v>
      </c>
      <c r="E1326" s="2" t="s">
        <v>3255</v>
      </c>
      <c r="F1326" s="2" t="e">
        <f>VLOOKUP(JudgeD2GamesTeam,Judges!$A$2:$B$44,2,FALSE)</f>
        <v>#N/A</v>
      </c>
      <c r="G1326" t="str">
        <f>IF(Games!AJ80="P","Pass",IF(Games!AJ80="F","Fail",""))</f>
        <v/>
      </c>
    </row>
    <row r="1327" spans="1:7" x14ac:dyDescent="0.25">
      <c r="A1327">
        <f t="shared" si="33"/>
        <v>0</v>
      </c>
      <c r="B1327" t="s">
        <v>3726</v>
      </c>
      <c r="C1327">
        <f>Games!D81</f>
        <v>0</v>
      </c>
      <c r="D1327">
        <v>0</v>
      </c>
      <c r="E1327" s="2" t="s">
        <v>3255</v>
      </c>
      <c r="F1327" s="2" t="e">
        <f>VLOOKUP(JudgeD2GamesTeam,Judges!$A$2:$B$44,2,FALSE)</f>
        <v>#N/A</v>
      </c>
      <c r="G1327" t="str">
        <f>IF(Games!AJ81="P","Pass",IF(Games!AJ81="F","Fail",""))</f>
        <v/>
      </c>
    </row>
    <row r="1328" spans="1:7" x14ac:dyDescent="0.25">
      <c r="A1328">
        <f t="shared" si="33"/>
        <v>0</v>
      </c>
      <c r="B1328" t="s">
        <v>3726</v>
      </c>
      <c r="C1328">
        <f>Games!D82</f>
        <v>0</v>
      </c>
      <c r="D1328">
        <v>0</v>
      </c>
      <c r="E1328" s="2" t="s">
        <v>3255</v>
      </c>
      <c r="F1328" s="2" t="e">
        <f>VLOOKUP(JudgeD2GamesTeam,Judges!$A$2:$B$44,2,FALSE)</f>
        <v>#N/A</v>
      </c>
      <c r="G1328" t="str">
        <f>IF(Games!AJ82="P","Pass",IF(Games!AJ82="F","Fail",""))</f>
        <v/>
      </c>
    </row>
    <row r="1329" spans="1:7" x14ac:dyDescent="0.25">
      <c r="A1329">
        <f t="shared" si="33"/>
        <v>0</v>
      </c>
      <c r="B1329" t="s">
        <v>3726</v>
      </c>
      <c r="C1329">
        <f>Games!D83</f>
        <v>0</v>
      </c>
      <c r="D1329">
        <v>0</v>
      </c>
      <c r="E1329" s="2" t="s">
        <v>3255</v>
      </c>
      <c r="F1329" s="2" t="e">
        <f>VLOOKUP(JudgeD2GamesTeam,Judges!$A$2:$B$44,2,FALSE)</f>
        <v>#N/A</v>
      </c>
      <c r="G1329" t="str">
        <f>IF(Games!AJ83="P","Pass",IF(Games!AJ83="F","Fail",""))</f>
        <v/>
      </c>
    </row>
    <row r="1330" spans="1:7" x14ac:dyDescent="0.25">
      <c r="A1330">
        <f t="shared" si="33"/>
        <v>0</v>
      </c>
      <c r="B1330" t="s">
        <v>3726</v>
      </c>
      <c r="C1330">
        <f>Games!D84</f>
        <v>0</v>
      </c>
      <c r="D1330">
        <v>0</v>
      </c>
      <c r="E1330" s="2" t="s">
        <v>3255</v>
      </c>
      <c r="F1330" s="2" t="e">
        <f>VLOOKUP(JudgeD2GamesTeam,Judges!$A$2:$B$44,2,FALSE)</f>
        <v>#N/A</v>
      </c>
      <c r="G1330" t="str">
        <f>IF(Games!AJ84="P","Pass",IF(Games!AJ84="F","Fail",""))</f>
        <v/>
      </c>
    </row>
    <row r="1331" spans="1:7" x14ac:dyDescent="0.25">
      <c r="A1331">
        <f t="shared" si="33"/>
        <v>0</v>
      </c>
      <c r="B1331" t="s">
        <v>3726</v>
      </c>
      <c r="C1331">
        <f>Games!D85</f>
        <v>0</v>
      </c>
      <c r="D1331">
        <v>0</v>
      </c>
      <c r="E1331" s="2" t="s">
        <v>3255</v>
      </c>
      <c r="F1331" s="2" t="e">
        <f>VLOOKUP(JudgeD2GamesTeam,Judges!$A$2:$B$44,2,FALSE)</f>
        <v>#N/A</v>
      </c>
      <c r="G1331" t="str">
        <f>IF(Games!AJ85="P","Pass",IF(Games!AJ85="F","Fail",""))</f>
        <v/>
      </c>
    </row>
    <row r="1332" spans="1:7" x14ac:dyDescent="0.25">
      <c r="A1332">
        <f t="shared" si="33"/>
        <v>0</v>
      </c>
      <c r="B1332" t="s">
        <v>3726</v>
      </c>
      <c r="C1332">
        <f>Games!D86</f>
        <v>0</v>
      </c>
      <c r="D1332">
        <v>0</v>
      </c>
      <c r="E1332" s="2" t="s">
        <v>3255</v>
      </c>
      <c r="F1332" s="2" t="e">
        <f>VLOOKUP(JudgeD2GamesTeam,Judges!$A$2:$B$44,2,FALSE)</f>
        <v>#N/A</v>
      </c>
      <c r="G1332" t="str">
        <f>IF(Games!AJ86="P","Pass",IF(Games!AJ86="F","Fail",""))</f>
        <v/>
      </c>
    </row>
    <row r="1333" spans="1:7" x14ac:dyDescent="0.25">
      <c r="A1333">
        <f t="shared" si="33"/>
        <v>0</v>
      </c>
      <c r="B1333" t="s">
        <v>3726</v>
      </c>
      <c r="C1333">
        <f>Games!D87</f>
        <v>0</v>
      </c>
      <c r="D1333">
        <v>0</v>
      </c>
      <c r="E1333" s="2" t="s">
        <v>3255</v>
      </c>
      <c r="F1333" s="2" t="e">
        <f>VLOOKUP(JudgeD2GamesTeam,Judges!$A$2:$B$44,2,FALSE)</f>
        <v>#N/A</v>
      </c>
      <c r="G1333" t="str">
        <f>IF(Games!AJ87="P","Pass",IF(Games!AJ87="F","Fail",""))</f>
        <v/>
      </c>
    </row>
    <row r="1334" spans="1:7" x14ac:dyDescent="0.25">
      <c r="A1334">
        <f t="shared" si="33"/>
        <v>0</v>
      </c>
      <c r="B1334" t="s">
        <v>3726</v>
      </c>
      <c r="C1334">
        <f>Games!D88</f>
        <v>0</v>
      </c>
      <c r="D1334">
        <v>0</v>
      </c>
      <c r="E1334" s="2" t="s">
        <v>3255</v>
      </c>
      <c r="F1334" s="2" t="e">
        <f>VLOOKUP(JudgeD2GamesTeam,Judges!$A$2:$B$44,2,FALSE)</f>
        <v>#N/A</v>
      </c>
      <c r="G1334" t="str">
        <f>IF(Games!AJ88="P","Pass",IF(Games!AJ88="F","Fail",""))</f>
        <v/>
      </c>
    </row>
    <row r="1335" spans="1:7" x14ac:dyDescent="0.25">
      <c r="A1335">
        <f t="shared" si="33"/>
        <v>0</v>
      </c>
      <c r="B1335" t="s">
        <v>3726</v>
      </c>
      <c r="C1335">
        <f>Games!D89</f>
        <v>0</v>
      </c>
      <c r="D1335">
        <v>0</v>
      </c>
      <c r="E1335" s="2" t="s">
        <v>3255</v>
      </c>
      <c r="F1335" s="2" t="e">
        <f>VLOOKUP(JudgeD2GamesTeam,Judges!$A$2:$B$44,2,FALSE)</f>
        <v>#N/A</v>
      </c>
      <c r="G1335" t="str">
        <f>IF(Games!AJ89="P","Pass",IF(Games!AJ89="F","Fail",""))</f>
        <v/>
      </c>
    </row>
    <row r="1336" spans="1:7" x14ac:dyDescent="0.25">
      <c r="A1336">
        <f t="shared" si="33"/>
        <v>0</v>
      </c>
      <c r="B1336" t="s">
        <v>3726</v>
      </c>
      <c r="C1336">
        <f>Games!D90</f>
        <v>0</v>
      </c>
      <c r="D1336">
        <v>0</v>
      </c>
      <c r="E1336" s="2" t="s">
        <v>3255</v>
      </c>
      <c r="F1336" s="2" t="e">
        <f>VLOOKUP(JudgeD2GamesTeam,Judges!$A$2:$B$44,2,FALSE)</f>
        <v>#N/A</v>
      </c>
      <c r="G1336" t="str">
        <f>IF(Games!AJ90="P","Pass",IF(Games!AJ90="F","Fail",""))</f>
        <v/>
      </c>
    </row>
    <row r="1337" spans="1:7" x14ac:dyDescent="0.25">
      <c r="A1337">
        <f t="shared" si="33"/>
        <v>0</v>
      </c>
      <c r="B1337" t="s">
        <v>3726</v>
      </c>
      <c r="C1337">
        <f>Games!D91</f>
        <v>0</v>
      </c>
      <c r="D1337">
        <v>0</v>
      </c>
      <c r="E1337" s="2" t="s">
        <v>3255</v>
      </c>
      <c r="F1337" s="2" t="e">
        <f>VLOOKUP(JudgeD2GamesTeam,Judges!$A$2:$B$44,2,FALSE)</f>
        <v>#N/A</v>
      </c>
      <c r="G1337" t="str">
        <f>IF(Games!AJ91="P","Pass",IF(Games!AJ91="F","Fail",""))</f>
        <v/>
      </c>
    </row>
    <row r="1338" spans="1:7" x14ac:dyDescent="0.25">
      <c r="A1338">
        <f t="shared" si="33"/>
        <v>0</v>
      </c>
      <c r="B1338" t="s">
        <v>3726</v>
      </c>
      <c r="C1338">
        <f>Games!D92</f>
        <v>0</v>
      </c>
      <c r="D1338">
        <v>0</v>
      </c>
      <c r="E1338" s="2" t="s">
        <v>3255</v>
      </c>
      <c r="F1338" s="2" t="e">
        <f>VLOOKUP(JudgeD2GamesTeam,Judges!$A$2:$B$44,2,FALSE)</f>
        <v>#N/A</v>
      </c>
      <c r="G1338" t="str">
        <f>IF(Games!AJ92="P","Pass",IF(Games!AJ92="F","Fail",""))</f>
        <v/>
      </c>
    </row>
    <row r="1339" spans="1:7" x14ac:dyDescent="0.25">
      <c r="A1339">
        <f t="shared" si="33"/>
        <v>0</v>
      </c>
      <c r="B1339" t="s">
        <v>3726</v>
      </c>
      <c r="C1339">
        <f>Games!D93</f>
        <v>0</v>
      </c>
      <c r="D1339">
        <v>0</v>
      </c>
      <c r="E1339" s="2" t="s">
        <v>3255</v>
      </c>
      <c r="F1339" s="2" t="e">
        <f>VLOOKUP(JudgeD2GamesTeam,Judges!$A$2:$B$44,2,FALSE)</f>
        <v>#N/A</v>
      </c>
      <c r="G1339" t="str">
        <f>IF(Games!AJ93="P","Pass",IF(Games!AJ93="F","Fail",""))</f>
        <v/>
      </c>
    </row>
    <row r="1340" spans="1:7" x14ac:dyDescent="0.25">
      <c r="A1340">
        <f t="shared" si="33"/>
        <v>0</v>
      </c>
      <c r="B1340" t="s">
        <v>3726</v>
      </c>
      <c r="C1340">
        <f>Games!D94</f>
        <v>0</v>
      </c>
      <c r="D1340">
        <v>0</v>
      </c>
      <c r="E1340" s="2" t="s">
        <v>3255</v>
      </c>
      <c r="F1340" s="2" t="e">
        <f>VLOOKUP(JudgeD2GamesTeam,Judges!$A$2:$B$44,2,FALSE)</f>
        <v>#N/A</v>
      </c>
      <c r="G1340" t="str">
        <f>IF(Games!AJ94="P","Pass",IF(Games!AJ94="F","Fail",""))</f>
        <v/>
      </c>
    </row>
    <row r="1341" spans="1:7" x14ac:dyDescent="0.25">
      <c r="A1341">
        <f t="shared" si="33"/>
        <v>0</v>
      </c>
      <c r="B1341" t="s">
        <v>3726</v>
      </c>
      <c r="C1341">
        <f>Games!D95</f>
        <v>0</v>
      </c>
      <c r="D1341">
        <v>0</v>
      </c>
      <c r="E1341" s="2" t="s">
        <v>3255</v>
      </c>
      <c r="F1341" s="2" t="e">
        <f>VLOOKUP(JudgeD2GamesTeam,Judges!$A$2:$B$44,2,FALSE)</f>
        <v>#N/A</v>
      </c>
      <c r="G1341" t="str">
        <f>IF(Games!AJ95="P","Pass",IF(Games!AJ95="F","Fail",""))</f>
        <v/>
      </c>
    </row>
    <row r="1342" spans="1:7" x14ac:dyDescent="0.25">
      <c r="A1342">
        <f t="shared" si="33"/>
        <v>0</v>
      </c>
      <c r="B1342" t="s">
        <v>3726</v>
      </c>
      <c r="C1342">
        <f>Games!D96</f>
        <v>0</v>
      </c>
      <c r="D1342">
        <v>0</v>
      </c>
      <c r="E1342" s="2" t="s">
        <v>3255</v>
      </c>
      <c r="F1342" s="2" t="e">
        <f>VLOOKUP(JudgeD2GamesTeam,Judges!$A$2:$B$44,2,FALSE)</f>
        <v>#N/A</v>
      </c>
      <c r="G1342" t="str">
        <f>IF(Games!AJ96="P","Pass",IF(Games!AJ96="F","Fail",""))</f>
        <v/>
      </c>
    </row>
    <row r="1343" spans="1:7" x14ac:dyDescent="0.25">
      <c r="A1343">
        <f t="shared" si="33"/>
        <v>0</v>
      </c>
      <c r="B1343" t="s">
        <v>3726</v>
      </c>
      <c r="C1343">
        <f>Games!D97</f>
        <v>0</v>
      </c>
      <c r="D1343">
        <v>0</v>
      </c>
      <c r="E1343" s="2" t="s">
        <v>3255</v>
      </c>
      <c r="F1343" s="2" t="e">
        <f>VLOOKUP(JudgeD2GamesTeam,Judges!$A$2:$B$44,2,FALSE)</f>
        <v>#N/A</v>
      </c>
      <c r="G1343" t="str">
        <f>IF(Games!AJ97="P","Pass",IF(Games!AJ97="F","Fail",""))</f>
        <v/>
      </c>
    </row>
    <row r="1344" spans="1:7" x14ac:dyDescent="0.25">
      <c r="A1344">
        <f t="shared" si="33"/>
        <v>0</v>
      </c>
      <c r="B1344" t="s">
        <v>3726</v>
      </c>
      <c r="C1344">
        <f>Games!D98</f>
        <v>0</v>
      </c>
      <c r="D1344">
        <v>0</v>
      </c>
      <c r="E1344" s="2" t="s">
        <v>3255</v>
      </c>
      <c r="F1344" s="2" t="e">
        <f>VLOOKUP(JudgeD2GamesTeam,Judges!$A$2:$B$44,2,FALSE)</f>
        <v>#N/A</v>
      </c>
      <c r="G1344" t="str">
        <f>IF(Games!AJ98="P","Pass",IF(Games!AJ98="F","Fail",""))</f>
        <v/>
      </c>
    </row>
    <row r="1345" spans="1:7" x14ac:dyDescent="0.25">
      <c r="A1345">
        <f t="shared" si="33"/>
        <v>0</v>
      </c>
      <c r="B1345" t="s">
        <v>3726</v>
      </c>
      <c r="C1345">
        <f>Games!D99</f>
        <v>0</v>
      </c>
      <c r="D1345">
        <v>0</v>
      </c>
      <c r="E1345" s="2" t="s">
        <v>3255</v>
      </c>
      <c r="F1345" s="2" t="e">
        <f>VLOOKUP(JudgeD2GamesTeam,Judges!$A$2:$B$44,2,FALSE)</f>
        <v>#N/A</v>
      </c>
      <c r="G1345" t="str">
        <f>IF(Games!AJ99="P","Pass",IF(Games!AJ99="F","Fail",""))</f>
        <v/>
      </c>
    </row>
    <row r="1346" spans="1:7" x14ac:dyDescent="0.25">
      <c r="A1346">
        <f t="shared" si="33"/>
        <v>0</v>
      </c>
      <c r="B1346" t="s">
        <v>3726</v>
      </c>
      <c r="C1346">
        <f>Games!D100</f>
        <v>0</v>
      </c>
      <c r="D1346">
        <v>0</v>
      </c>
      <c r="E1346" s="2" t="s">
        <v>3255</v>
      </c>
      <c r="F1346" s="2" t="e">
        <f>VLOOKUP(JudgeD2GamesTeam,Judges!$A$2:$B$44,2,FALSE)</f>
        <v>#N/A</v>
      </c>
      <c r="G1346" t="str">
        <f>IF(Games!AJ100="P","Pass",IF(Games!AJ100="F","Fail",""))</f>
        <v/>
      </c>
    </row>
    <row r="1347" spans="1:7" x14ac:dyDescent="0.25">
      <c r="A1347">
        <f t="shared" si="33"/>
        <v>0</v>
      </c>
      <c r="B1347" t="s">
        <v>3726</v>
      </c>
      <c r="C1347">
        <f>Games!D101</f>
        <v>0</v>
      </c>
      <c r="D1347">
        <v>0</v>
      </c>
      <c r="E1347" s="2" t="s">
        <v>3255</v>
      </c>
      <c r="F1347" s="2" t="e">
        <f>VLOOKUP(JudgeD2GamesTeam,Judges!$A$2:$B$44,2,FALSE)</f>
        <v>#N/A</v>
      </c>
      <c r="G1347" t="str">
        <f>IF(Games!AJ101="P","Pass",IF(Games!AJ101="F","Fail",""))</f>
        <v/>
      </c>
    </row>
    <row r="1348" spans="1:7" x14ac:dyDescent="0.25">
      <c r="A1348">
        <f t="shared" si="33"/>
        <v>0</v>
      </c>
      <c r="B1348" t="s">
        <v>3726</v>
      </c>
      <c r="C1348">
        <f>Games!D102</f>
        <v>0</v>
      </c>
      <c r="D1348">
        <v>0</v>
      </c>
      <c r="E1348" s="2" t="s">
        <v>3255</v>
      </c>
      <c r="F1348" s="2" t="e">
        <f>VLOOKUP(JudgeD2GamesTeam,Judges!$A$2:$B$44,2,FALSE)</f>
        <v>#N/A</v>
      </c>
      <c r="G1348" t="str">
        <f>IF(Games!AJ102="P","Pass",IF(Games!AJ102="F","Fail",""))</f>
        <v/>
      </c>
    </row>
    <row r="1349" spans="1:7" x14ac:dyDescent="0.25">
      <c r="A1349">
        <f t="shared" si="33"/>
        <v>0</v>
      </c>
      <c r="B1349" t="s">
        <v>3726</v>
      </c>
      <c r="C1349">
        <f>Games!D103</f>
        <v>0</v>
      </c>
      <c r="D1349">
        <v>0</v>
      </c>
      <c r="E1349" s="2" t="s">
        <v>3255</v>
      </c>
      <c r="F1349" s="2" t="e">
        <f>VLOOKUP(JudgeD2GamesTeam,Judges!$A$2:$B$44,2,FALSE)</f>
        <v>#N/A</v>
      </c>
      <c r="G1349" t="str">
        <f>IF(Games!AJ103="P","Pass",IF(Games!AJ103="F","Fail",""))</f>
        <v/>
      </c>
    </row>
    <row r="1350" spans="1:7" x14ac:dyDescent="0.25">
      <c r="A1350">
        <f t="shared" si="33"/>
        <v>0</v>
      </c>
      <c r="B1350" t="s">
        <v>3726</v>
      </c>
      <c r="C1350">
        <f>Games!D104</f>
        <v>0</v>
      </c>
      <c r="D1350">
        <v>0</v>
      </c>
      <c r="E1350" s="2" t="s">
        <v>3255</v>
      </c>
      <c r="F1350" s="2" t="e">
        <f>VLOOKUP(JudgeD2GamesTeam,Judges!$A$2:$B$44,2,FALSE)</f>
        <v>#N/A</v>
      </c>
      <c r="G1350" t="str">
        <f>IF(Games!AJ104="P","Pass",IF(Games!AJ104="F","Fail",""))</f>
        <v/>
      </c>
    </row>
    <row r="1351" spans="1:7" x14ac:dyDescent="0.25">
      <c r="A1351">
        <f t="shared" si="33"/>
        <v>0</v>
      </c>
      <c r="B1351" t="s">
        <v>3726</v>
      </c>
      <c r="C1351">
        <f>Games!D105</f>
        <v>0</v>
      </c>
      <c r="D1351">
        <v>0</v>
      </c>
      <c r="E1351" s="2" t="s">
        <v>3255</v>
      </c>
      <c r="F1351" s="2" t="e">
        <f>VLOOKUP(JudgeD2GamesTeam,Judges!$A$2:$B$44,2,FALSE)</f>
        <v>#N/A</v>
      </c>
      <c r="G1351" t="str">
        <f>IF(Games!AJ105="P","Pass",IF(Games!AJ105="F","Fail",""))</f>
        <v/>
      </c>
    </row>
    <row r="1352" spans="1:7" x14ac:dyDescent="0.25">
      <c r="A1352">
        <f t="shared" si="33"/>
        <v>0</v>
      </c>
      <c r="B1352" t="s">
        <v>3726</v>
      </c>
      <c r="C1352">
        <f>Games!D106</f>
        <v>0</v>
      </c>
      <c r="D1352">
        <v>0</v>
      </c>
      <c r="E1352" s="2" t="s">
        <v>3255</v>
      </c>
      <c r="F1352" s="2" t="e">
        <f>VLOOKUP(JudgeD2GamesTeam,Judges!$A$2:$B$44,2,FALSE)</f>
        <v>#N/A</v>
      </c>
      <c r="G1352" t="str">
        <f>IF(Games!AJ106="P","Pass",IF(Games!AJ106="F","Fail",""))</f>
        <v/>
      </c>
    </row>
    <row r="1353" spans="1:7" x14ac:dyDescent="0.25">
      <c r="A1353">
        <f t="shared" si="33"/>
        <v>0</v>
      </c>
      <c r="B1353" t="s">
        <v>3726</v>
      </c>
      <c r="C1353">
        <f>Games!D107</f>
        <v>0</v>
      </c>
      <c r="D1353">
        <v>0</v>
      </c>
      <c r="E1353" s="2" t="s">
        <v>3255</v>
      </c>
      <c r="F1353" s="2" t="e">
        <f>VLOOKUP(JudgeD2GamesTeam,Judges!$A$2:$B$44,2,FALSE)</f>
        <v>#N/A</v>
      </c>
      <c r="G1353" t="str">
        <f>IF(Games!AJ107="P","Pass",IF(Games!AJ107="F","Fail",""))</f>
        <v/>
      </c>
    </row>
    <row r="1354" spans="1:7" x14ac:dyDescent="0.25">
      <c r="A1354">
        <f t="shared" ref="A1354:A1361" si="34">TrialNumberDay2</f>
        <v>0</v>
      </c>
      <c r="B1354" t="s">
        <v>3726</v>
      </c>
      <c r="C1354">
        <f>Games!D108</f>
        <v>0</v>
      </c>
      <c r="D1354">
        <v>0</v>
      </c>
      <c r="E1354" s="2" t="s">
        <v>3255</v>
      </c>
      <c r="F1354" s="2" t="e">
        <f>VLOOKUP(JudgeD2GamesTeam,Judges!$A$2:$B$44,2,FALSE)</f>
        <v>#N/A</v>
      </c>
      <c r="G1354" t="str">
        <f>IF(Games!AJ108="P","Pass",IF(Games!AJ108="F","Fail",""))</f>
        <v/>
      </c>
    </row>
    <row r="1355" spans="1:7" x14ac:dyDescent="0.25">
      <c r="A1355">
        <f t="shared" si="34"/>
        <v>0</v>
      </c>
      <c r="B1355" t="s">
        <v>3726</v>
      </c>
      <c r="C1355">
        <f>Games!D109</f>
        <v>0</v>
      </c>
      <c r="D1355">
        <v>0</v>
      </c>
      <c r="E1355" s="2" t="s">
        <v>3255</v>
      </c>
      <c r="F1355" s="2" t="e">
        <f>VLOOKUP(JudgeD2GamesTeam,Judges!$A$2:$B$44,2,FALSE)</f>
        <v>#N/A</v>
      </c>
      <c r="G1355" t="str">
        <f>IF(Games!AJ109="P","Pass",IF(Games!AJ109="F","Fail",""))</f>
        <v/>
      </c>
    </row>
    <row r="1356" spans="1:7" x14ac:dyDescent="0.25">
      <c r="A1356">
        <f t="shared" si="34"/>
        <v>0</v>
      </c>
      <c r="B1356" t="s">
        <v>3726</v>
      </c>
      <c r="C1356">
        <f>Games!D110</f>
        <v>0</v>
      </c>
      <c r="D1356">
        <v>0</v>
      </c>
      <c r="E1356" s="2" t="s">
        <v>3255</v>
      </c>
      <c r="F1356" s="2" t="e">
        <f>VLOOKUP(JudgeD2GamesTeam,Judges!$A$2:$B$44,2,FALSE)</f>
        <v>#N/A</v>
      </c>
      <c r="G1356" t="str">
        <f>IF(Games!AJ110="P","Pass",IF(Games!AJ110="F","Fail",""))</f>
        <v/>
      </c>
    </row>
    <row r="1357" spans="1:7" x14ac:dyDescent="0.25">
      <c r="A1357">
        <f t="shared" si="34"/>
        <v>0</v>
      </c>
      <c r="B1357" t="s">
        <v>3726</v>
      </c>
      <c r="C1357">
        <f>Games!D111</f>
        <v>0</v>
      </c>
      <c r="D1357">
        <v>0</v>
      </c>
      <c r="E1357" s="2" t="s">
        <v>3255</v>
      </c>
      <c r="F1357" s="2" t="e">
        <f>VLOOKUP(JudgeD2GamesTeam,Judges!$A$2:$B$44,2,FALSE)</f>
        <v>#N/A</v>
      </c>
      <c r="G1357" t="str">
        <f>IF(Games!AJ111="P","Pass",IF(Games!AJ111="F","Fail",""))</f>
        <v/>
      </c>
    </row>
    <row r="1358" spans="1:7" x14ac:dyDescent="0.25">
      <c r="A1358">
        <f t="shared" si="34"/>
        <v>0</v>
      </c>
      <c r="B1358" t="s">
        <v>3726</v>
      </c>
      <c r="C1358">
        <f>Games!D112</f>
        <v>0</v>
      </c>
      <c r="D1358">
        <v>0</v>
      </c>
      <c r="E1358" s="2" t="s">
        <v>3255</v>
      </c>
      <c r="F1358" s="2" t="e">
        <f>VLOOKUP(JudgeD2GamesTeam,Judges!$A$2:$B$44,2,FALSE)</f>
        <v>#N/A</v>
      </c>
      <c r="G1358" t="str">
        <f>IF(Games!AJ112="P","Pass",IF(Games!AJ112="F","Fail",""))</f>
        <v/>
      </c>
    </row>
    <row r="1359" spans="1:7" x14ac:dyDescent="0.25">
      <c r="A1359">
        <f t="shared" si="34"/>
        <v>0</v>
      </c>
      <c r="B1359" t="s">
        <v>3726</v>
      </c>
      <c r="C1359">
        <f>Games!D113</f>
        <v>0</v>
      </c>
      <c r="D1359">
        <v>0</v>
      </c>
      <c r="E1359" s="2" t="s">
        <v>3255</v>
      </c>
      <c r="F1359" s="2" t="e">
        <f>VLOOKUP(JudgeD2GamesTeam,Judges!$A$2:$B$44,2,FALSE)</f>
        <v>#N/A</v>
      </c>
      <c r="G1359" t="str">
        <f>IF(Games!AJ113="P","Pass",IF(Games!AJ113="F","Fail",""))</f>
        <v/>
      </c>
    </row>
    <row r="1360" spans="1:7" x14ac:dyDescent="0.25">
      <c r="A1360">
        <f t="shared" si="34"/>
        <v>0</v>
      </c>
      <c r="B1360" t="s">
        <v>3726</v>
      </c>
      <c r="C1360">
        <f>Games!D114</f>
        <v>0</v>
      </c>
      <c r="D1360">
        <v>0</v>
      </c>
      <c r="E1360" s="2" t="s">
        <v>3255</v>
      </c>
      <c r="F1360" s="2" t="e">
        <f>VLOOKUP(JudgeD2GamesTeam,Judges!$A$2:$B$44,2,FALSE)</f>
        <v>#N/A</v>
      </c>
      <c r="G1360" t="str">
        <f>IF(Games!AJ114="P","Pass",IF(Games!AJ114="F","Fail",""))</f>
        <v/>
      </c>
    </row>
    <row r="1361" spans="1:7" x14ac:dyDescent="0.25">
      <c r="A1361">
        <f t="shared" si="34"/>
        <v>0</v>
      </c>
      <c r="B1361" t="s">
        <v>3726</v>
      </c>
      <c r="C1361">
        <f>Games!D115</f>
        <v>0</v>
      </c>
      <c r="D1361">
        <v>0</v>
      </c>
      <c r="E1361" s="2" t="s">
        <v>3255</v>
      </c>
      <c r="F1361" s="2" t="e">
        <f>VLOOKUP(JudgeD2GamesTeam,Judges!$A$2:$B$44,2,FALSE)</f>
        <v>#N/A</v>
      </c>
      <c r="G1361" t="str">
        <f>IF(Games!AJ115="P","Pass",IF(Games!AJ115="F","Fail",""))</f>
        <v/>
      </c>
    </row>
  </sheetData>
  <autoFilter ref="A1:G1361" xr:uid="{00000000-0009-0000-0000-00000F000000}"/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D8454"/>
  <sheetViews>
    <sheetView workbookViewId="0">
      <selection sqref="A1:B7775"/>
    </sheetView>
  </sheetViews>
  <sheetFormatPr defaultRowHeight="15" x14ac:dyDescent="0.25"/>
  <cols>
    <col min="1" max="1" width="18" bestFit="1" customWidth="1"/>
    <col min="2" max="2" width="7.28515625" bestFit="1" customWidth="1"/>
    <col min="3" max="3" width="11.85546875" customWidth="1"/>
  </cols>
  <sheetData>
    <row r="1" spans="1:4" x14ac:dyDescent="0.25">
      <c r="A1" t="s">
        <v>3718</v>
      </c>
      <c r="B1" t="s">
        <v>3587</v>
      </c>
      <c r="C1" s="260"/>
      <c r="D1" s="260"/>
    </row>
    <row r="2" spans="1:4" x14ac:dyDescent="0.25">
      <c r="A2" s="418" t="s">
        <v>4522</v>
      </c>
      <c r="B2">
        <v>1</v>
      </c>
      <c r="C2" s="309"/>
      <c r="D2" s="310"/>
    </row>
    <row r="3" spans="1:4" x14ac:dyDescent="0.25">
      <c r="A3" s="418" t="s">
        <v>4523</v>
      </c>
      <c r="B3">
        <v>1</v>
      </c>
      <c r="C3" s="309"/>
      <c r="D3" s="310"/>
    </row>
    <row r="4" spans="1:4" x14ac:dyDescent="0.25">
      <c r="A4" s="418" t="s">
        <v>4524</v>
      </c>
      <c r="B4">
        <v>1</v>
      </c>
      <c r="C4" s="309"/>
      <c r="D4" s="310"/>
    </row>
    <row r="5" spans="1:4" x14ac:dyDescent="0.25">
      <c r="A5" s="418" t="s">
        <v>4525</v>
      </c>
      <c r="B5">
        <v>1</v>
      </c>
      <c r="C5" s="309"/>
      <c r="D5" s="310"/>
    </row>
    <row r="6" spans="1:4" x14ac:dyDescent="0.25">
      <c r="A6" s="418" t="s">
        <v>4460</v>
      </c>
      <c r="B6">
        <v>3</v>
      </c>
      <c r="C6" s="309"/>
      <c r="D6" s="310"/>
    </row>
    <row r="7" spans="1:4" x14ac:dyDescent="0.25">
      <c r="A7" s="418" t="s">
        <v>4461</v>
      </c>
      <c r="B7">
        <v>3</v>
      </c>
      <c r="C7" s="309"/>
      <c r="D7" s="310"/>
    </row>
    <row r="8" spans="1:4" x14ac:dyDescent="0.25">
      <c r="A8" s="418" t="s">
        <v>10189</v>
      </c>
      <c r="B8">
        <v>2</v>
      </c>
      <c r="C8" s="309"/>
      <c r="D8" s="310"/>
    </row>
    <row r="9" spans="1:4" x14ac:dyDescent="0.25">
      <c r="A9" s="418" t="s">
        <v>8754</v>
      </c>
      <c r="B9">
        <v>3</v>
      </c>
      <c r="C9" s="309"/>
      <c r="D9" s="310"/>
    </row>
    <row r="10" spans="1:4" x14ac:dyDescent="0.25">
      <c r="A10" s="418" t="s">
        <v>8459</v>
      </c>
      <c r="B10">
        <v>3</v>
      </c>
      <c r="C10" s="309"/>
      <c r="D10" s="310"/>
    </row>
    <row r="11" spans="1:4" x14ac:dyDescent="0.25">
      <c r="A11" s="418" t="s">
        <v>10442</v>
      </c>
      <c r="B11">
        <v>1</v>
      </c>
      <c r="C11" s="309"/>
      <c r="D11" s="310"/>
    </row>
    <row r="12" spans="1:4" x14ac:dyDescent="0.25">
      <c r="A12" s="418" t="s">
        <v>10443</v>
      </c>
      <c r="B12">
        <v>2</v>
      </c>
      <c r="C12" s="309"/>
      <c r="D12" s="310"/>
    </row>
    <row r="13" spans="1:4" x14ac:dyDescent="0.25">
      <c r="A13" s="418" t="s">
        <v>4218</v>
      </c>
      <c r="B13">
        <v>7</v>
      </c>
      <c r="C13" s="309"/>
      <c r="D13" s="310"/>
    </row>
    <row r="14" spans="1:4" x14ac:dyDescent="0.25">
      <c r="A14" s="418" t="s">
        <v>4219</v>
      </c>
      <c r="B14">
        <v>7</v>
      </c>
      <c r="C14" s="309"/>
      <c r="D14" s="310"/>
    </row>
    <row r="15" spans="1:4" x14ac:dyDescent="0.25">
      <c r="A15" s="418" t="s">
        <v>4163</v>
      </c>
      <c r="B15">
        <v>6</v>
      </c>
      <c r="C15" s="309"/>
      <c r="D15" s="310"/>
    </row>
    <row r="16" spans="1:4" x14ac:dyDescent="0.25">
      <c r="A16" s="418" t="s">
        <v>4220</v>
      </c>
      <c r="B16">
        <v>3</v>
      </c>
      <c r="C16" s="309"/>
      <c r="D16" s="310"/>
    </row>
    <row r="17" spans="1:4" x14ac:dyDescent="0.25">
      <c r="A17" s="418" t="s">
        <v>4221</v>
      </c>
      <c r="B17">
        <v>4</v>
      </c>
      <c r="C17" s="309"/>
      <c r="D17" s="310"/>
    </row>
    <row r="18" spans="1:4" x14ac:dyDescent="0.25">
      <c r="A18" s="418" t="s">
        <v>4222</v>
      </c>
      <c r="B18">
        <v>4</v>
      </c>
      <c r="C18" s="309"/>
      <c r="D18" s="310"/>
    </row>
    <row r="19" spans="1:4" x14ac:dyDescent="0.25">
      <c r="A19" s="418" t="s">
        <v>4164</v>
      </c>
      <c r="B19">
        <v>4</v>
      </c>
      <c r="C19" s="309"/>
      <c r="D19" s="310"/>
    </row>
    <row r="20" spans="1:4" x14ac:dyDescent="0.25">
      <c r="A20" s="418" t="s">
        <v>4223</v>
      </c>
      <c r="B20">
        <v>3</v>
      </c>
      <c r="C20" s="309"/>
      <c r="D20" s="310"/>
    </row>
    <row r="21" spans="1:4" x14ac:dyDescent="0.25">
      <c r="A21" s="418" t="s">
        <v>4526</v>
      </c>
      <c r="B21">
        <v>1</v>
      </c>
      <c r="C21" s="309"/>
      <c r="D21" s="310"/>
    </row>
    <row r="22" spans="1:4" x14ac:dyDescent="0.25">
      <c r="A22" s="418" t="s">
        <v>4527</v>
      </c>
      <c r="B22">
        <v>1</v>
      </c>
      <c r="C22" s="309"/>
      <c r="D22" s="310"/>
    </row>
    <row r="23" spans="1:4" x14ac:dyDescent="0.25">
      <c r="A23" s="418" t="s">
        <v>4528</v>
      </c>
      <c r="B23">
        <v>1</v>
      </c>
      <c r="C23" s="309"/>
      <c r="D23" s="310"/>
    </row>
    <row r="24" spans="1:4" x14ac:dyDescent="0.25">
      <c r="A24" s="418" t="s">
        <v>3805</v>
      </c>
      <c r="B24">
        <v>1</v>
      </c>
      <c r="C24" s="309"/>
      <c r="D24" s="310"/>
    </row>
    <row r="25" spans="1:4" x14ac:dyDescent="0.25">
      <c r="A25" s="418" t="s">
        <v>3806</v>
      </c>
      <c r="B25">
        <v>1</v>
      </c>
      <c r="C25" s="309"/>
      <c r="D25" s="310"/>
    </row>
    <row r="26" spans="1:4" x14ac:dyDescent="0.25">
      <c r="A26" s="418" t="s">
        <v>7760</v>
      </c>
      <c r="B26">
        <v>3</v>
      </c>
      <c r="C26" s="309"/>
      <c r="D26" s="310"/>
    </row>
    <row r="27" spans="1:4" x14ac:dyDescent="0.25">
      <c r="A27" s="418" t="s">
        <v>7761</v>
      </c>
      <c r="B27">
        <v>3</v>
      </c>
      <c r="C27" s="309"/>
      <c r="D27" s="310"/>
    </row>
    <row r="28" spans="1:4" x14ac:dyDescent="0.25">
      <c r="A28" s="418" t="s">
        <v>9041</v>
      </c>
      <c r="B28">
        <v>1</v>
      </c>
      <c r="C28" s="309"/>
      <c r="D28" s="310"/>
    </row>
    <row r="29" spans="1:4" x14ac:dyDescent="0.25">
      <c r="A29" s="418" t="s">
        <v>3926</v>
      </c>
      <c r="B29">
        <v>1</v>
      </c>
      <c r="C29" s="309"/>
      <c r="D29" s="310"/>
    </row>
    <row r="30" spans="1:4" x14ac:dyDescent="0.25">
      <c r="A30" s="418" t="s">
        <v>3989</v>
      </c>
      <c r="B30">
        <v>2</v>
      </c>
      <c r="C30" s="309"/>
      <c r="D30" s="310"/>
    </row>
    <row r="31" spans="1:4" x14ac:dyDescent="0.25">
      <c r="A31" s="418" t="s">
        <v>6885</v>
      </c>
      <c r="B31">
        <v>1</v>
      </c>
      <c r="C31" s="309"/>
      <c r="D31" s="310"/>
    </row>
    <row r="32" spans="1:4" x14ac:dyDescent="0.25">
      <c r="A32" s="418" t="s">
        <v>4031</v>
      </c>
      <c r="B32">
        <v>3</v>
      </c>
      <c r="C32" s="309"/>
      <c r="D32" s="310"/>
    </row>
    <row r="33" spans="1:4" x14ac:dyDescent="0.25">
      <c r="A33" s="418" t="s">
        <v>4032</v>
      </c>
      <c r="B33">
        <v>3</v>
      </c>
      <c r="C33" s="309"/>
      <c r="D33" s="310"/>
    </row>
    <row r="34" spans="1:4" x14ac:dyDescent="0.25">
      <c r="A34" s="418" t="s">
        <v>4033</v>
      </c>
      <c r="B34">
        <v>3</v>
      </c>
      <c r="C34" s="309"/>
      <c r="D34" s="310"/>
    </row>
    <row r="35" spans="1:4" x14ac:dyDescent="0.25">
      <c r="A35" s="418" t="s">
        <v>5477</v>
      </c>
      <c r="B35">
        <v>1</v>
      </c>
      <c r="C35" s="309"/>
      <c r="D35" s="310"/>
    </row>
    <row r="36" spans="1:4" x14ac:dyDescent="0.25">
      <c r="A36" s="418" t="s">
        <v>5478</v>
      </c>
      <c r="B36">
        <v>1</v>
      </c>
      <c r="C36" s="309"/>
      <c r="D36" s="310"/>
    </row>
    <row r="37" spans="1:4" x14ac:dyDescent="0.25">
      <c r="A37" s="418" t="s">
        <v>4224</v>
      </c>
      <c r="B37">
        <v>2</v>
      </c>
      <c r="C37" s="309"/>
      <c r="D37" s="310"/>
    </row>
    <row r="38" spans="1:4" x14ac:dyDescent="0.25">
      <c r="A38" s="418" t="s">
        <v>4225</v>
      </c>
      <c r="B38">
        <v>1</v>
      </c>
      <c r="C38" s="309"/>
      <c r="D38" s="310"/>
    </row>
    <row r="39" spans="1:4" x14ac:dyDescent="0.25">
      <c r="A39" s="418" t="s">
        <v>5998</v>
      </c>
      <c r="B39">
        <v>12</v>
      </c>
      <c r="C39" s="309"/>
      <c r="D39" s="310"/>
    </row>
    <row r="40" spans="1:4" x14ac:dyDescent="0.25">
      <c r="A40" s="418" t="s">
        <v>5080</v>
      </c>
      <c r="B40">
        <v>12</v>
      </c>
      <c r="C40" s="309"/>
      <c r="D40" s="310"/>
    </row>
    <row r="41" spans="1:4" x14ac:dyDescent="0.25">
      <c r="A41" s="418" t="s">
        <v>5081</v>
      </c>
      <c r="B41">
        <v>5</v>
      </c>
      <c r="C41" s="309"/>
      <c r="D41" s="310"/>
    </row>
    <row r="42" spans="1:4" x14ac:dyDescent="0.25">
      <c r="A42" s="418" t="s">
        <v>5999</v>
      </c>
      <c r="B42">
        <v>9</v>
      </c>
      <c r="C42" s="309"/>
      <c r="D42" s="310"/>
    </row>
    <row r="43" spans="1:4" x14ac:dyDescent="0.25">
      <c r="A43" s="418" t="s">
        <v>5753</v>
      </c>
      <c r="B43">
        <v>5</v>
      </c>
      <c r="C43" s="309"/>
      <c r="D43" s="310"/>
    </row>
    <row r="44" spans="1:4" x14ac:dyDescent="0.25">
      <c r="A44" s="418" t="s">
        <v>4286</v>
      </c>
      <c r="B44">
        <v>7</v>
      </c>
      <c r="C44" s="309"/>
      <c r="D44" s="310"/>
    </row>
    <row r="45" spans="1:4" x14ac:dyDescent="0.25">
      <c r="A45" s="418" t="s">
        <v>5754</v>
      </c>
      <c r="B45">
        <v>4</v>
      </c>
      <c r="C45" s="309"/>
      <c r="D45" s="310"/>
    </row>
    <row r="46" spans="1:4" x14ac:dyDescent="0.25">
      <c r="A46" s="418" t="s">
        <v>4287</v>
      </c>
      <c r="B46">
        <v>7</v>
      </c>
      <c r="C46" s="309"/>
      <c r="D46" s="310"/>
    </row>
    <row r="47" spans="1:4" x14ac:dyDescent="0.25">
      <c r="A47" s="418" t="s">
        <v>4529</v>
      </c>
      <c r="B47">
        <v>3</v>
      </c>
      <c r="C47" s="309"/>
      <c r="D47" s="310"/>
    </row>
    <row r="48" spans="1:4" x14ac:dyDescent="0.25">
      <c r="A48" s="418" t="s">
        <v>4292</v>
      </c>
      <c r="B48">
        <v>4</v>
      </c>
      <c r="C48" s="309"/>
      <c r="D48" s="310"/>
    </row>
    <row r="49" spans="1:4" x14ac:dyDescent="0.25">
      <c r="A49" s="418" t="s">
        <v>4293</v>
      </c>
      <c r="B49">
        <v>3</v>
      </c>
      <c r="C49" s="309"/>
      <c r="D49" s="310"/>
    </row>
    <row r="50" spans="1:4" x14ac:dyDescent="0.25">
      <c r="A50" s="418" t="s">
        <v>4294</v>
      </c>
      <c r="B50">
        <v>1</v>
      </c>
      <c r="C50" s="309"/>
      <c r="D50" s="310"/>
    </row>
    <row r="51" spans="1:4" x14ac:dyDescent="0.25">
      <c r="A51" s="418" t="s">
        <v>3927</v>
      </c>
      <c r="B51">
        <v>3</v>
      </c>
      <c r="C51" s="309"/>
      <c r="D51" s="310"/>
    </row>
    <row r="52" spans="1:4" x14ac:dyDescent="0.25">
      <c r="A52" s="418" t="s">
        <v>4462</v>
      </c>
      <c r="B52">
        <v>1</v>
      </c>
      <c r="C52" s="309"/>
      <c r="D52" s="310"/>
    </row>
    <row r="53" spans="1:4" x14ac:dyDescent="0.25">
      <c r="A53" s="418" t="s">
        <v>4342</v>
      </c>
      <c r="B53">
        <v>1</v>
      </c>
      <c r="C53" s="309"/>
      <c r="D53" s="310"/>
    </row>
    <row r="54" spans="1:4" x14ac:dyDescent="0.25">
      <c r="A54" s="418" t="s">
        <v>4343</v>
      </c>
      <c r="B54">
        <v>1</v>
      </c>
      <c r="C54" s="309"/>
      <c r="D54" s="310"/>
    </row>
    <row r="55" spans="1:4" x14ac:dyDescent="0.25">
      <c r="A55" s="418" t="s">
        <v>6886</v>
      </c>
      <c r="B55">
        <v>1</v>
      </c>
      <c r="C55" s="309"/>
      <c r="D55" s="310"/>
    </row>
    <row r="56" spans="1:4" x14ac:dyDescent="0.25">
      <c r="A56" s="418" t="s">
        <v>5934</v>
      </c>
      <c r="B56">
        <v>4</v>
      </c>
      <c r="C56" s="309"/>
      <c r="D56" s="310"/>
    </row>
    <row r="57" spans="1:4" x14ac:dyDescent="0.25">
      <c r="A57" s="418" t="s">
        <v>8997</v>
      </c>
      <c r="B57">
        <v>2</v>
      </c>
      <c r="C57" s="309"/>
      <c r="D57" s="310"/>
    </row>
    <row r="58" spans="1:4" x14ac:dyDescent="0.25">
      <c r="A58" s="418" t="s">
        <v>5270</v>
      </c>
      <c r="B58">
        <v>11</v>
      </c>
      <c r="C58" s="309"/>
      <c r="D58" s="310"/>
    </row>
    <row r="59" spans="1:4" x14ac:dyDescent="0.25">
      <c r="A59" s="418" t="s">
        <v>5271</v>
      </c>
      <c r="B59">
        <v>12</v>
      </c>
      <c r="C59" s="309"/>
      <c r="D59" s="310"/>
    </row>
    <row r="60" spans="1:4" x14ac:dyDescent="0.25">
      <c r="A60" s="418" t="s">
        <v>4762</v>
      </c>
      <c r="B60">
        <v>6</v>
      </c>
      <c r="C60" s="309"/>
      <c r="D60" s="310"/>
    </row>
    <row r="61" spans="1:4" x14ac:dyDescent="0.25">
      <c r="A61" s="418" t="s">
        <v>3807</v>
      </c>
      <c r="B61">
        <v>2</v>
      </c>
      <c r="C61" s="309"/>
      <c r="D61" s="310"/>
    </row>
    <row r="62" spans="1:4" x14ac:dyDescent="0.25">
      <c r="A62" s="418" t="s">
        <v>3808</v>
      </c>
      <c r="B62">
        <v>3</v>
      </c>
      <c r="C62" s="309"/>
      <c r="D62" s="310"/>
    </row>
    <row r="63" spans="1:4" x14ac:dyDescent="0.25">
      <c r="A63" s="418" t="s">
        <v>4463</v>
      </c>
      <c r="B63">
        <v>3</v>
      </c>
      <c r="C63" s="309"/>
      <c r="D63" s="310"/>
    </row>
    <row r="64" spans="1:4" x14ac:dyDescent="0.25">
      <c r="A64" s="418" t="s">
        <v>4464</v>
      </c>
      <c r="B64">
        <v>3</v>
      </c>
      <c r="C64" s="309"/>
      <c r="D64" s="310"/>
    </row>
    <row r="65" spans="1:4" x14ac:dyDescent="0.25">
      <c r="A65" s="418" t="s">
        <v>7035</v>
      </c>
      <c r="B65">
        <v>1</v>
      </c>
      <c r="C65" s="309"/>
      <c r="D65" s="310"/>
    </row>
    <row r="66" spans="1:4" x14ac:dyDescent="0.25">
      <c r="A66" s="418" t="s">
        <v>8230</v>
      </c>
      <c r="B66">
        <v>3</v>
      </c>
      <c r="C66" s="309"/>
      <c r="D66" s="310"/>
    </row>
    <row r="67" spans="1:4" x14ac:dyDescent="0.25">
      <c r="A67" s="418" t="s">
        <v>3990</v>
      </c>
      <c r="B67">
        <v>2</v>
      </c>
      <c r="C67" s="309"/>
      <c r="D67" s="310"/>
    </row>
    <row r="68" spans="1:4" x14ac:dyDescent="0.25">
      <c r="A68" s="418" t="s">
        <v>4763</v>
      </c>
      <c r="B68">
        <v>1</v>
      </c>
      <c r="C68" s="309"/>
      <c r="D68" s="310"/>
    </row>
    <row r="69" spans="1:4" x14ac:dyDescent="0.25">
      <c r="A69" s="418" t="s">
        <v>3991</v>
      </c>
      <c r="B69">
        <v>2</v>
      </c>
      <c r="C69" s="309"/>
      <c r="D69" s="310"/>
    </row>
    <row r="70" spans="1:4" x14ac:dyDescent="0.25">
      <c r="A70" s="418" t="s">
        <v>6396</v>
      </c>
      <c r="B70">
        <v>2</v>
      </c>
      <c r="C70" s="309"/>
      <c r="D70" s="310"/>
    </row>
    <row r="71" spans="1:4" x14ac:dyDescent="0.25">
      <c r="A71" s="418" t="s">
        <v>6603</v>
      </c>
      <c r="B71">
        <v>3</v>
      </c>
      <c r="C71" s="309"/>
      <c r="D71" s="310"/>
    </row>
    <row r="72" spans="1:4" x14ac:dyDescent="0.25">
      <c r="A72" s="418" t="s">
        <v>6604</v>
      </c>
      <c r="B72">
        <v>1</v>
      </c>
      <c r="C72" s="309"/>
      <c r="D72" s="310"/>
    </row>
    <row r="73" spans="1:4" x14ac:dyDescent="0.25">
      <c r="A73" s="418" t="s">
        <v>8671</v>
      </c>
      <c r="B73">
        <v>4</v>
      </c>
      <c r="C73" s="309"/>
      <c r="D73" s="310"/>
    </row>
    <row r="74" spans="1:4" x14ac:dyDescent="0.25">
      <c r="A74" s="418" t="s">
        <v>8404</v>
      </c>
      <c r="B74">
        <v>4</v>
      </c>
      <c r="C74" s="309"/>
      <c r="D74" s="310"/>
    </row>
    <row r="75" spans="1:4" x14ac:dyDescent="0.25">
      <c r="A75" s="418" t="s">
        <v>12357</v>
      </c>
      <c r="B75">
        <v>1</v>
      </c>
      <c r="C75" s="309"/>
      <c r="D75" s="310"/>
    </row>
    <row r="76" spans="1:4" x14ac:dyDescent="0.25">
      <c r="A76" s="418" t="s">
        <v>12358</v>
      </c>
      <c r="B76">
        <v>2</v>
      </c>
      <c r="C76" s="309"/>
      <c r="D76" s="310"/>
    </row>
    <row r="77" spans="1:4" x14ac:dyDescent="0.25">
      <c r="A77" s="418" t="s">
        <v>6713</v>
      </c>
      <c r="B77">
        <v>3</v>
      </c>
      <c r="C77" s="309"/>
      <c r="D77" s="310"/>
    </row>
    <row r="78" spans="1:4" x14ac:dyDescent="0.25">
      <c r="A78" s="418" t="s">
        <v>6714</v>
      </c>
      <c r="B78">
        <v>3</v>
      </c>
      <c r="C78" s="309"/>
      <c r="D78" s="310"/>
    </row>
    <row r="79" spans="1:4" x14ac:dyDescent="0.25">
      <c r="A79" s="418" t="s">
        <v>8205</v>
      </c>
      <c r="B79">
        <v>3</v>
      </c>
      <c r="C79" s="309"/>
      <c r="D79" s="310"/>
    </row>
    <row r="80" spans="1:4" x14ac:dyDescent="0.25">
      <c r="A80" s="418" t="s">
        <v>6715</v>
      </c>
      <c r="B80">
        <v>1</v>
      </c>
      <c r="C80" s="309"/>
      <c r="D80" s="310"/>
    </row>
    <row r="81" spans="1:4" x14ac:dyDescent="0.25">
      <c r="A81" s="418" t="s">
        <v>6716</v>
      </c>
      <c r="B81">
        <v>1</v>
      </c>
      <c r="C81" s="309"/>
      <c r="D81" s="310"/>
    </row>
    <row r="82" spans="1:4" x14ac:dyDescent="0.25">
      <c r="A82" s="418" t="s">
        <v>4344</v>
      </c>
      <c r="B82">
        <v>5</v>
      </c>
      <c r="C82" s="309"/>
      <c r="D82" s="310"/>
    </row>
    <row r="83" spans="1:4" x14ac:dyDescent="0.25">
      <c r="A83" s="418" t="s">
        <v>4345</v>
      </c>
      <c r="B83">
        <v>5</v>
      </c>
      <c r="C83" s="309"/>
      <c r="D83" s="310"/>
    </row>
    <row r="84" spans="1:4" x14ac:dyDescent="0.25">
      <c r="A84" s="418" t="s">
        <v>4937</v>
      </c>
      <c r="B84">
        <v>3</v>
      </c>
      <c r="C84" s="309"/>
      <c r="D84" s="310"/>
    </row>
    <row r="85" spans="1:4" x14ac:dyDescent="0.25">
      <c r="A85" s="418" t="s">
        <v>3928</v>
      </c>
      <c r="B85">
        <v>5</v>
      </c>
      <c r="C85" s="309"/>
      <c r="D85" s="310"/>
    </row>
    <row r="86" spans="1:4" x14ac:dyDescent="0.25">
      <c r="A86" s="418" t="s">
        <v>3992</v>
      </c>
      <c r="B86">
        <v>5</v>
      </c>
      <c r="C86" s="309"/>
      <c r="D86" s="310"/>
    </row>
    <row r="87" spans="1:4" x14ac:dyDescent="0.25">
      <c r="A87" s="418" t="s">
        <v>3929</v>
      </c>
      <c r="B87">
        <v>3</v>
      </c>
      <c r="C87" s="309"/>
      <c r="D87" s="310"/>
    </row>
    <row r="88" spans="1:4" x14ac:dyDescent="0.25">
      <c r="A88" s="418" t="s">
        <v>3993</v>
      </c>
      <c r="B88">
        <v>3</v>
      </c>
      <c r="C88" s="309"/>
      <c r="D88" s="310"/>
    </row>
    <row r="89" spans="1:4" x14ac:dyDescent="0.25">
      <c r="A89" s="418" t="s">
        <v>4226</v>
      </c>
      <c r="B89">
        <v>2</v>
      </c>
      <c r="C89" s="309"/>
      <c r="D89" s="310"/>
    </row>
    <row r="90" spans="1:4" x14ac:dyDescent="0.25">
      <c r="A90" s="418" t="s">
        <v>4227</v>
      </c>
      <c r="B90">
        <v>1</v>
      </c>
      <c r="C90" s="309"/>
      <c r="D90" s="310"/>
    </row>
    <row r="91" spans="1:4" x14ac:dyDescent="0.25">
      <c r="A91" s="418" t="s">
        <v>10122</v>
      </c>
      <c r="B91">
        <v>3</v>
      </c>
      <c r="C91" s="309"/>
      <c r="D91" s="310"/>
    </row>
    <row r="92" spans="1:4" x14ac:dyDescent="0.25">
      <c r="A92" s="418" t="s">
        <v>10123</v>
      </c>
      <c r="B92">
        <v>3</v>
      </c>
      <c r="C92" s="309"/>
      <c r="D92" s="310"/>
    </row>
    <row r="93" spans="1:4" x14ac:dyDescent="0.25">
      <c r="A93" s="418" t="s">
        <v>10124</v>
      </c>
      <c r="B93">
        <v>3</v>
      </c>
      <c r="C93" s="309"/>
      <c r="D93" s="310"/>
    </row>
    <row r="94" spans="1:4" x14ac:dyDescent="0.25">
      <c r="A94" s="418" t="s">
        <v>10125</v>
      </c>
      <c r="B94">
        <v>3</v>
      </c>
      <c r="C94" s="309"/>
      <c r="D94" s="310"/>
    </row>
    <row r="95" spans="1:4" x14ac:dyDescent="0.25">
      <c r="A95" s="418" t="s">
        <v>8057</v>
      </c>
      <c r="B95">
        <v>1</v>
      </c>
      <c r="C95" s="309"/>
      <c r="D95" s="310"/>
    </row>
    <row r="96" spans="1:4" x14ac:dyDescent="0.25">
      <c r="A96" s="418" t="s">
        <v>5082</v>
      </c>
      <c r="B96">
        <v>1</v>
      </c>
      <c r="C96" s="309"/>
      <c r="D96" s="310"/>
    </row>
    <row r="97" spans="1:4" x14ac:dyDescent="0.25">
      <c r="A97" s="418" t="s">
        <v>8347</v>
      </c>
      <c r="B97">
        <v>3</v>
      </c>
      <c r="C97" s="309"/>
      <c r="D97" s="310"/>
    </row>
    <row r="98" spans="1:4" x14ac:dyDescent="0.25">
      <c r="A98" s="418" t="s">
        <v>8348</v>
      </c>
      <c r="B98">
        <v>3</v>
      </c>
      <c r="C98" s="309"/>
      <c r="D98" s="310"/>
    </row>
    <row r="99" spans="1:4" x14ac:dyDescent="0.25">
      <c r="A99" s="418" t="s">
        <v>8558</v>
      </c>
      <c r="B99">
        <v>3</v>
      </c>
      <c r="C99" s="309"/>
      <c r="D99" s="310"/>
    </row>
    <row r="100" spans="1:4" x14ac:dyDescent="0.25">
      <c r="A100" s="418" t="s">
        <v>10283</v>
      </c>
      <c r="B100">
        <v>1</v>
      </c>
      <c r="C100" s="309"/>
      <c r="D100" s="310"/>
    </row>
    <row r="101" spans="1:4" x14ac:dyDescent="0.25">
      <c r="A101" s="418" t="s">
        <v>4346</v>
      </c>
      <c r="B101">
        <v>2</v>
      </c>
      <c r="C101" s="309"/>
      <c r="D101" s="310"/>
    </row>
    <row r="102" spans="1:4" x14ac:dyDescent="0.25">
      <c r="A102" s="418" t="s">
        <v>4397</v>
      </c>
      <c r="B102">
        <v>1</v>
      </c>
      <c r="C102" s="309"/>
      <c r="D102" s="310"/>
    </row>
    <row r="103" spans="1:4" x14ac:dyDescent="0.25">
      <c r="A103" s="418" t="s">
        <v>4398</v>
      </c>
      <c r="B103">
        <v>1</v>
      </c>
      <c r="C103" s="309"/>
      <c r="D103" s="310"/>
    </row>
    <row r="104" spans="1:4" x14ac:dyDescent="0.25">
      <c r="A104" s="418" t="s">
        <v>8794</v>
      </c>
      <c r="B104">
        <v>1</v>
      </c>
      <c r="C104" s="309"/>
      <c r="D104" s="310"/>
    </row>
    <row r="105" spans="1:4" x14ac:dyDescent="0.25">
      <c r="A105" s="418" t="s">
        <v>5247</v>
      </c>
      <c r="B105">
        <v>2</v>
      </c>
      <c r="C105" s="309"/>
      <c r="D105" s="310"/>
    </row>
    <row r="106" spans="1:4" x14ac:dyDescent="0.25">
      <c r="A106" s="418" t="s">
        <v>8795</v>
      </c>
      <c r="B106">
        <v>2</v>
      </c>
      <c r="C106" s="309"/>
      <c r="D106" s="310"/>
    </row>
    <row r="107" spans="1:4" x14ac:dyDescent="0.25">
      <c r="A107" s="418" t="s">
        <v>5248</v>
      </c>
      <c r="B107">
        <v>2</v>
      </c>
      <c r="C107" s="309"/>
      <c r="D107" s="310"/>
    </row>
    <row r="108" spans="1:4" x14ac:dyDescent="0.25">
      <c r="A108" s="418" t="s">
        <v>5083</v>
      </c>
      <c r="B108">
        <v>8</v>
      </c>
      <c r="C108" s="309"/>
      <c r="D108" s="310"/>
    </row>
    <row r="109" spans="1:4" x14ac:dyDescent="0.25">
      <c r="A109" s="418" t="s">
        <v>5755</v>
      </c>
      <c r="B109">
        <v>9</v>
      </c>
      <c r="C109" s="309"/>
      <c r="D109" s="310"/>
    </row>
    <row r="110" spans="1:4" x14ac:dyDescent="0.25">
      <c r="A110" s="418" t="s">
        <v>3809</v>
      </c>
      <c r="B110">
        <v>7</v>
      </c>
      <c r="C110" s="309"/>
      <c r="D110" s="310"/>
    </row>
    <row r="111" spans="1:4" x14ac:dyDescent="0.25">
      <c r="A111" s="418" t="s">
        <v>5845</v>
      </c>
      <c r="B111">
        <v>1</v>
      </c>
      <c r="C111" s="309"/>
      <c r="D111" s="310"/>
    </row>
    <row r="112" spans="1:4" x14ac:dyDescent="0.25">
      <c r="A112" s="418" t="s">
        <v>4295</v>
      </c>
      <c r="B112">
        <v>3</v>
      </c>
      <c r="C112" s="309"/>
      <c r="D112" s="310"/>
    </row>
    <row r="113" spans="1:4" x14ac:dyDescent="0.25">
      <c r="A113" s="418" t="s">
        <v>4296</v>
      </c>
      <c r="B113">
        <v>2</v>
      </c>
      <c r="C113" s="309"/>
      <c r="D113" s="310"/>
    </row>
    <row r="114" spans="1:4" x14ac:dyDescent="0.25">
      <c r="A114" s="418" t="s">
        <v>4297</v>
      </c>
      <c r="B114">
        <v>1</v>
      </c>
      <c r="C114" s="309"/>
      <c r="D114" s="310"/>
    </row>
    <row r="115" spans="1:4" x14ac:dyDescent="0.25">
      <c r="A115" s="418" t="s">
        <v>4530</v>
      </c>
      <c r="B115">
        <v>5</v>
      </c>
      <c r="C115" s="309"/>
      <c r="D115" s="310"/>
    </row>
    <row r="116" spans="1:4" x14ac:dyDescent="0.25">
      <c r="A116" s="418" t="s">
        <v>3994</v>
      </c>
      <c r="B116">
        <v>5</v>
      </c>
      <c r="C116" s="309"/>
      <c r="D116" s="310"/>
    </row>
    <row r="117" spans="1:4" x14ac:dyDescent="0.25">
      <c r="A117" s="418" t="s">
        <v>4531</v>
      </c>
      <c r="B117">
        <v>4</v>
      </c>
      <c r="C117" s="309"/>
      <c r="D117" s="310"/>
    </row>
    <row r="118" spans="1:4" x14ac:dyDescent="0.25">
      <c r="A118" s="418" t="s">
        <v>5249</v>
      </c>
      <c r="B118">
        <v>3</v>
      </c>
      <c r="C118" s="309"/>
      <c r="D118" s="310"/>
    </row>
    <row r="119" spans="1:4" x14ac:dyDescent="0.25">
      <c r="A119" s="418" t="s">
        <v>5084</v>
      </c>
      <c r="B119">
        <v>3</v>
      </c>
      <c r="C119" s="309"/>
      <c r="D119" s="310"/>
    </row>
    <row r="120" spans="1:4" x14ac:dyDescent="0.25">
      <c r="A120" s="418" t="s">
        <v>4228</v>
      </c>
      <c r="B120">
        <v>5</v>
      </c>
      <c r="C120" s="309"/>
      <c r="D120" s="310"/>
    </row>
    <row r="121" spans="1:4" x14ac:dyDescent="0.25">
      <c r="A121" s="418" t="s">
        <v>4851</v>
      </c>
      <c r="B121">
        <v>5</v>
      </c>
      <c r="C121" s="309"/>
      <c r="D121" s="310"/>
    </row>
    <row r="122" spans="1:4" x14ac:dyDescent="0.25">
      <c r="A122" s="418" t="s">
        <v>6331</v>
      </c>
      <c r="B122">
        <v>2</v>
      </c>
      <c r="C122" s="309"/>
      <c r="D122" s="310"/>
    </row>
    <row r="123" spans="1:4" x14ac:dyDescent="0.25">
      <c r="A123" s="418" t="s">
        <v>4347</v>
      </c>
      <c r="B123">
        <v>3</v>
      </c>
      <c r="C123" s="309"/>
      <c r="D123" s="310"/>
    </row>
    <row r="124" spans="1:4" x14ac:dyDescent="0.25">
      <c r="A124" s="418" t="s">
        <v>4764</v>
      </c>
      <c r="B124">
        <v>3</v>
      </c>
      <c r="C124" s="309"/>
      <c r="D124" s="310"/>
    </row>
    <row r="125" spans="1:4" x14ac:dyDescent="0.25">
      <c r="A125" s="418" t="s">
        <v>5075</v>
      </c>
      <c r="B125">
        <v>1</v>
      </c>
      <c r="C125" s="309"/>
      <c r="D125" s="310"/>
    </row>
    <row r="126" spans="1:4" x14ac:dyDescent="0.25">
      <c r="A126" s="418" t="s">
        <v>5076</v>
      </c>
      <c r="B126">
        <v>1</v>
      </c>
      <c r="C126" s="309"/>
      <c r="D126" s="310"/>
    </row>
    <row r="127" spans="1:4" x14ac:dyDescent="0.25">
      <c r="A127" s="418" t="s">
        <v>5077</v>
      </c>
      <c r="B127">
        <v>1</v>
      </c>
      <c r="C127" s="309"/>
      <c r="D127" s="310"/>
    </row>
    <row r="128" spans="1:4" x14ac:dyDescent="0.25">
      <c r="A128" s="418" t="s">
        <v>4348</v>
      </c>
      <c r="B128">
        <v>3</v>
      </c>
      <c r="C128" s="309"/>
      <c r="D128" s="310"/>
    </row>
    <row r="129" spans="1:4" x14ac:dyDescent="0.25">
      <c r="A129" s="418" t="s">
        <v>4349</v>
      </c>
      <c r="B129">
        <v>3</v>
      </c>
      <c r="C129" s="309"/>
      <c r="D129" s="310"/>
    </row>
    <row r="130" spans="1:4" x14ac:dyDescent="0.25">
      <c r="A130" s="418" t="s">
        <v>4072</v>
      </c>
      <c r="B130">
        <v>3</v>
      </c>
      <c r="C130" s="309"/>
      <c r="D130" s="310"/>
    </row>
    <row r="131" spans="1:4" x14ac:dyDescent="0.25">
      <c r="A131" s="418" t="s">
        <v>4350</v>
      </c>
      <c r="B131">
        <v>1</v>
      </c>
      <c r="C131" s="309"/>
      <c r="D131" s="310"/>
    </row>
    <row r="132" spans="1:4" x14ac:dyDescent="0.25">
      <c r="A132" s="418" t="s">
        <v>3995</v>
      </c>
      <c r="B132">
        <v>7</v>
      </c>
      <c r="C132" s="309"/>
      <c r="D132" s="310"/>
    </row>
    <row r="133" spans="1:4" x14ac:dyDescent="0.25">
      <c r="A133" s="418" t="s">
        <v>4073</v>
      </c>
      <c r="B133">
        <v>7</v>
      </c>
      <c r="C133" s="309"/>
      <c r="D133" s="310"/>
    </row>
    <row r="134" spans="1:4" x14ac:dyDescent="0.25">
      <c r="A134" s="418" t="s">
        <v>3996</v>
      </c>
      <c r="B134">
        <v>4</v>
      </c>
      <c r="C134" s="309"/>
      <c r="D134" s="310"/>
    </row>
    <row r="135" spans="1:4" x14ac:dyDescent="0.25">
      <c r="A135" s="418" t="s">
        <v>4351</v>
      </c>
      <c r="B135">
        <v>4</v>
      </c>
      <c r="C135" s="309"/>
      <c r="D135" s="310"/>
    </row>
    <row r="136" spans="1:4" x14ac:dyDescent="0.25">
      <c r="A136" s="418" t="s">
        <v>4399</v>
      </c>
      <c r="B136">
        <v>1</v>
      </c>
      <c r="C136" s="309"/>
      <c r="D136" s="310"/>
    </row>
    <row r="137" spans="1:4" x14ac:dyDescent="0.25">
      <c r="A137" s="418" t="s">
        <v>4400</v>
      </c>
      <c r="B137">
        <v>1</v>
      </c>
      <c r="C137" s="309"/>
      <c r="D137" s="310"/>
    </row>
    <row r="138" spans="1:4" x14ac:dyDescent="0.25">
      <c r="A138" s="418" t="s">
        <v>4401</v>
      </c>
      <c r="B138">
        <v>1</v>
      </c>
      <c r="C138" s="309"/>
      <c r="D138" s="310"/>
    </row>
    <row r="139" spans="1:4" x14ac:dyDescent="0.25">
      <c r="A139" s="418" t="s">
        <v>5085</v>
      </c>
      <c r="B139">
        <v>1</v>
      </c>
      <c r="C139" s="309"/>
      <c r="D139" s="310"/>
    </row>
    <row r="140" spans="1:4" x14ac:dyDescent="0.25">
      <c r="A140" s="418" t="s">
        <v>4852</v>
      </c>
      <c r="B140">
        <v>3</v>
      </c>
      <c r="C140" s="309"/>
      <c r="D140" s="310"/>
    </row>
    <row r="141" spans="1:4" x14ac:dyDescent="0.25">
      <c r="A141" s="418" t="s">
        <v>4034</v>
      </c>
      <c r="B141">
        <v>3</v>
      </c>
      <c r="C141" s="309"/>
      <c r="D141" s="310"/>
    </row>
    <row r="142" spans="1:4" x14ac:dyDescent="0.25">
      <c r="A142" s="418" t="s">
        <v>4035</v>
      </c>
      <c r="B142">
        <v>2</v>
      </c>
      <c r="C142" s="309"/>
      <c r="D142" s="310"/>
    </row>
    <row r="143" spans="1:4" x14ac:dyDescent="0.25">
      <c r="A143" s="418" t="s">
        <v>4402</v>
      </c>
      <c r="B143">
        <v>1</v>
      </c>
      <c r="C143" s="309"/>
      <c r="D143" s="310"/>
    </row>
    <row r="144" spans="1:4" x14ac:dyDescent="0.25">
      <c r="A144" s="418" t="s">
        <v>4036</v>
      </c>
      <c r="B144">
        <v>1</v>
      </c>
      <c r="C144" s="309"/>
      <c r="D144" s="310"/>
    </row>
    <row r="145" spans="1:4" x14ac:dyDescent="0.25">
      <c r="A145" s="418" t="s">
        <v>4037</v>
      </c>
      <c r="B145">
        <v>3</v>
      </c>
      <c r="C145" s="309"/>
      <c r="D145" s="310"/>
    </row>
    <row r="146" spans="1:4" x14ac:dyDescent="0.25">
      <c r="A146" s="418" t="s">
        <v>4038</v>
      </c>
      <c r="B146">
        <v>3</v>
      </c>
      <c r="C146" s="309"/>
      <c r="D146" s="310"/>
    </row>
    <row r="147" spans="1:4" x14ac:dyDescent="0.25">
      <c r="A147" s="418" t="s">
        <v>6717</v>
      </c>
      <c r="B147">
        <v>3</v>
      </c>
      <c r="C147" s="309"/>
      <c r="D147" s="310"/>
    </row>
    <row r="148" spans="1:4" x14ac:dyDescent="0.25">
      <c r="A148" s="418" t="s">
        <v>8231</v>
      </c>
      <c r="B148">
        <v>1</v>
      </c>
      <c r="C148" s="309"/>
      <c r="D148" s="310"/>
    </row>
    <row r="149" spans="1:4" x14ac:dyDescent="0.25">
      <c r="A149" s="418" t="s">
        <v>6718</v>
      </c>
      <c r="B149">
        <v>3</v>
      </c>
      <c r="C149" s="309"/>
      <c r="D149" s="310"/>
    </row>
    <row r="150" spans="1:4" x14ac:dyDescent="0.25">
      <c r="A150" s="418" t="s">
        <v>6719</v>
      </c>
      <c r="B150">
        <v>3</v>
      </c>
      <c r="C150" s="309"/>
      <c r="D150" s="310"/>
    </row>
    <row r="151" spans="1:4" x14ac:dyDescent="0.25">
      <c r="A151" s="418" t="s">
        <v>4403</v>
      </c>
      <c r="B151">
        <v>1</v>
      </c>
      <c r="C151" s="309"/>
      <c r="D151" s="310"/>
    </row>
    <row r="152" spans="1:4" x14ac:dyDescent="0.25">
      <c r="A152" s="418" t="s">
        <v>4298</v>
      </c>
      <c r="B152">
        <v>1</v>
      </c>
      <c r="C152" s="309"/>
      <c r="D152" s="310"/>
    </row>
    <row r="153" spans="1:4" x14ac:dyDescent="0.25">
      <c r="A153" s="418" t="s">
        <v>4299</v>
      </c>
      <c r="B153">
        <v>1</v>
      </c>
      <c r="C153" s="309"/>
      <c r="D153" s="310"/>
    </row>
    <row r="154" spans="1:4" x14ac:dyDescent="0.25">
      <c r="A154" s="418" t="s">
        <v>4300</v>
      </c>
      <c r="B154">
        <v>1</v>
      </c>
      <c r="C154" s="309"/>
      <c r="D154" s="310"/>
    </row>
    <row r="155" spans="1:4" x14ac:dyDescent="0.25">
      <c r="A155" s="418" t="s">
        <v>4532</v>
      </c>
      <c r="B155">
        <v>1</v>
      </c>
      <c r="C155" s="309"/>
      <c r="D155" s="310"/>
    </row>
    <row r="156" spans="1:4" x14ac:dyDescent="0.25">
      <c r="A156" s="418" t="s">
        <v>4533</v>
      </c>
      <c r="B156">
        <v>1</v>
      </c>
      <c r="C156" s="309"/>
      <c r="D156" s="310"/>
    </row>
    <row r="157" spans="1:4" x14ac:dyDescent="0.25">
      <c r="A157" s="418" t="s">
        <v>4534</v>
      </c>
      <c r="B157">
        <v>1</v>
      </c>
      <c r="C157" s="309"/>
      <c r="D157" s="310"/>
    </row>
    <row r="158" spans="1:4" x14ac:dyDescent="0.25">
      <c r="A158" s="418" t="s">
        <v>17072</v>
      </c>
      <c r="B158">
        <v>1</v>
      </c>
      <c r="C158" s="309"/>
      <c r="D158" s="310"/>
    </row>
    <row r="159" spans="1:4" x14ac:dyDescent="0.25">
      <c r="A159" s="418" t="s">
        <v>17073</v>
      </c>
      <c r="B159">
        <v>2</v>
      </c>
      <c r="C159" s="309"/>
      <c r="D159" s="310"/>
    </row>
    <row r="160" spans="1:4" x14ac:dyDescent="0.25">
      <c r="A160" s="418" t="s">
        <v>8460</v>
      </c>
      <c r="B160">
        <v>2</v>
      </c>
      <c r="C160" s="309"/>
      <c r="D160" s="310"/>
    </row>
    <row r="161" spans="1:4" x14ac:dyDescent="0.25">
      <c r="A161" s="418" t="s">
        <v>5863</v>
      </c>
      <c r="B161">
        <v>6</v>
      </c>
      <c r="C161" s="309"/>
      <c r="D161" s="310"/>
    </row>
    <row r="162" spans="1:4" x14ac:dyDescent="0.25">
      <c r="A162" s="418" t="s">
        <v>5864</v>
      </c>
      <c r="B162">
        <v>9</v>
      </c>
      <c r="C162" s="309"/>
      <c r="D162" s="310"/>
    </row>
    <row r="163" spans="1:4" x14ac:dyDescent="0.25">
      <c r="A163" s="418" t="s">
        <v>4535</v>
      </c>
      <c r="B163">
        <v>7</v>
      </c>
      <c r="C163" s="309"/>
      <c r="D163" s="310"/>
    </row>
    <row r="164" spans="1:4" x14ac:dyDescent="0.25">
      <c r="A164" s="418" t="s">
        <v>5865</v>
      </c>
      <c r="B164">
        <v>3</v>
      </c>
      <c r="C164" s="309"/>
      <c r="D164" s="310"/>
    </row>
    <row r="165" spans="1:4" x14ac:dyDescent="0.25">
      <c r="A165" s="418" t="s">
        <v>4536</v>
      </c>
      <c r="B165">
        <v>10</v>
      </c>
      <c r="C165" s="309"/>
      <c r="D165" s="310"/>
    </row>
    <row r="166" spans="1:4" x14ac:dyDescent="0.25">
      <c r="A166" s="418" t="s">
        <v>5866</v>
      </c>
      <c r="B166">
        <v>8</v>
      </c>
      <c r="C166" s="309"/>
      <c r="D166" s="310"/>
    </row>
    <row r="167" spans="1:4" x14ac:dyDescent="0.25">
      <c r="A167" s="418" t="s">
        <v>5867</v>
      </c>
      <c r="B167">
        <v>1</v>
      </c>
      <c r="C167" s="309"/>
      <c r="D167" s="310"/>
    </row>
    <row r="168" spans="1:4" x14ac:dyDescent="0.25">
      <c r="A168" s="418" t="s">
        <v>5868</v>
      </c>
      <c r="B168">
        <v>4</v>
      </c>
      <c r="C168" s="309"/>
      <c r="D168" s="310"/>
    </row>
    <row r="169" spans="1:4" x14ac:dyDescent="0.25">
      <c r="A169" s="418" t="s">
        <v>7586</v>
      </c>
      <c r="B169">
        <v>3</v>
      </c>
      <c r="C169" s="309"/>
      <c r="D169" s="310"/>
    </row>
    <row r="170" spans="1:4" x14ac:dyDescent="0.25">
      <c r="A170" s="418" t="s">
        <v>7587</v>
      </c>
      <c r="B170">
        <v>3</v>
      </c>
      <c r="C170" s="309"/>
      <c r="D170" s="310"/>
    </row>
    <row r="171" spans="1:4" x14ac:dyDescent="0.25">
      <c r="A171" s="418" t="s">
        <v>7858</v>
      </c>
      <c r="B171">
        <v>2</v>
      </c>
      <c r="C171" s="309"/>
      <c r="D171" s="310"/>
    </row>
    <row r="172" spans="1:4" x14ac:dyDescent="0.25">
      <c r="A172" s="418" t="s">
        <v>4537</v>
      </c>
      <c r="B172">
        <v>1</v>
      </c>
      <c r="C172" s="309"/>
      <c r="D172" s="310"/>
    </row>
    <row r="173" spans="1:4" x14ac:dyDescent="0.25">
      <c r="A173" s="418" t="s">
        <v>7588</v>
      </c>
      <c r="B173">
        <v>4</v>
      </c>
      <c r="C173" s="309"/>
      <c r="D173" s="310"/>
    </row>
    <row r="174" spans="1:4" x14ac:dyDescent="0.25">
      <c r="A174" s="418" t="s">
        <v>7589</v>
      </c>
      <c r="B174">
        <v>3</v>
      </c>
      <c r="C174" s="309"/>
      <c r="D174" s="310"/>
    </row>
    <row r="175" spans="1:4" x14ac:dyDescent="0.25">
      <c r="A175" s="418" t="s">
        <v>7590</v>
      </c>
      <c r="B175">
        <v>3</v>
      </c>
      <c r="C175" s="309"/>
      <c r="D175" s="310"/>
    </row>
    <row r="176" spans="1:4" x14ac:dyDescent="0.25">
      <c r="A176" s="418" t="s">
        <v>7591</v>
      </c>
      <c r="B176">
        <v>5</v>
      </c>
      <c r="C176" s="309"/>
      <c r="D176" s="310"/>
    </row>
    <row r="177" spans="1:4" x14ac:dyDescent="0.25">
      <c r="A177" s="418" t="s">
        <v>5250</v>
      </c>
      <c r="B177">
        <v>1</v>
      </c>
      <c r="C177" s="309"/>
      <c r="D177" s="310"/>
    </row>
    <row r="178" spans="1:4" x14ac:dyDescent="0.25">
      <c r="A178" s="418" t="s">
        <v>4765</v>
      </c>
      <c r="B178">
        <v>3</v>
      </c>
      <c r="C178" s="309"/>
      <c r="D178" s="310"/>
    </row>
    <row r="179" spans="1:4" x14ac:dyDescent="0.25">
      <c r="A179" s="418" t="s">
        <v>4766</v>
      </c>
      <c r="B179">
        <v>2</v>
      </c>
      <c r="C179" s="309"/>
      <c r="D179" s="310"/>
    </row>
    <row r="180" spans="1:4" x14ac:dyDescent="0.25">
      <c r="A180" s="418" t="s">
        <v>4767</v>
      </c>
      <c r="B180">
        <v>3</v>
      </c>
      <c r="C180" s="309"/>
      <c r="D180" s="310"/>
    </row>
    <row r="181" spans="1:4" x14ac:dyDescent="0.25">
      <c r="A181" s="418" t="s">
        <v>8838</v>
      </c>
      <c r="B181">
        <v>3</v>
      </c>
      <c r="C181" s="309"/>
      <c r="D181" s="310"/>
    </row>
    <row r="182" spans="1:4" x14ac:dyDescent="0.25">
      <c r="A182" s="418" t="s">
        <v>8126</v>
      </c>
      <c r="B182">
        <v>4</v>
      </c>
      <c r="C182" s="309"/>
      <c r="D182" s="310"/>
    </row>
    <row r="183" spans="1:4" x14ac:dyDescent="0.25">
      <c r="A183" s="418" t="s">
        <v>12235</v>
      </c>
      <c r="B183">
        <v>1</v>
      </c>
      <c r="C183" s="309"/>
      <c r="D183" s="310"/>
    </row>
    <row r="184" spans="1:4" x14ac:dyDescent="0.25">
      <c r="A184" s="418" t="s">
        <v>4538</v>
      </c>
      <c r="B184">
        <v>2</v>
      </c>
      <c r="C184" s="309"/>
      <c r="D184" s="310"/>
    </row>
    <row r="185" spans="1:4" x14ac:dyDescent="0.25">
      <c r="A185" s="418" t="s">
        <v>10479</v>
      </c>
      <c r="B185">
        <v>1</v>
      </c>
      <c r="C185" s="309"/>
      <c r="D185" s="310"/>
    </row>
    <row r="186" spans="1:4" x14ac:dyDescent="0.25">
      <c r="A186" s="418" t="s">
        <v>12236</v>
      </c>
      <c r="B186">
        <v>1</v>
      </c>
      <c r="C186" s="309"/>
      <c r="D186" s="310"/>
    </row>
    <row r="187" spans="1:4" x14ac:dyDescent="0.25">
      <c r="A187" s="418" t="s">
        <v>10480</v>
      </c>
      <c r="B187">
        <v>1</v>
      </c>
      <c r="C187" s="309"/>
      <c r="D187" s="310"/>
    </row>
    <row r="188" spans="1:4" x14ac:dyDescent="0.25">
      <c r="A188" s="418" t="s">
        <v>4539</v>
      </c>
      <c r="B188">
        <v>2</v>
      </c>
      <c r="C188" s="309"/>
      <c r="D188" s="310"/>
    </row>
    <row r="189" spans="1:4" x14ac:dyDescent="0.25">
      <c r="A189" s="418" t="s">
        <v>5251</v>
      </c>
      <c r="B189">
        <v>1</v>
      </c>
      <c r="C189" s="309"/>
      <c r="D189" s="310"/>
    </row>
    <row r="190" spans="1:4" x14ac:dyDescent="0.25">
      <c r="A190" s="418" t="s">
        <v>4404</v>
      </c>
      <c r="B190">
        <v>1</v>
      </c>
      <c r="C190" s="309"/>
      <c r="D190" s="310"/>
    </row>
    <row r="191" spans="1:4" x14ac:dyDescent="0.25">
      <c r="A191" s="418" t="s">
        <v>4039</v>
      </c>
      <c r="B191">
        <v>4</v>
      </c>
      <c r="C191" s="309"/>
      <c r="D191" s="310"/>
    </row>
    <row r="192" spans="1:4" x14ac:dyDescent="0.25">
      <c r="A192" s="418" t="s">
        <v>4040</v>
      </c>
      <c r="B192">
        <v>5</v>
      </c>
      <c r="C192" s="309"/>
      <c r="D192" s="310"/>
    </row>
    <row r="193" spans="1:4" x14ac:dyDescent="0.25">
      <c r="A193" s="418" t="s">
        <v>4041</v>
      </c>
      <c r="B193">
        <v>3</v>
      </c>
      <c r="C193" s="309"/>
      <c r="D193" s="310"/>
    </row>
    <row r="194" spans="1:4" x14ac:dyDescent="0.25">
      <c r="A194" s="418" t="s">
        <v>4379</v>
      </c>
      <c r="B194">
        <v>1</v>
      </c>
      <c r="C194" s="309"/>
      <c r="D194" s="310"/>
    </row>
    <row r="195" spans="1:4" x14ac:dyDescent="0.25">
      <c r="A195" s="418" t="s">
        <v>8975</v>
      </c>
      <c r="B195">
        <v>1</v>
      </c>
      <c r="C195" s="309"/>
      <c r="D195" s="310"/>
    </row>
    <row r="196" spans="1:4" x14ac:dyDescent="0.25">
      <c r="A196" s="418" t="s">
        <v>4853</v>
      </c>
      <c r="B196">
        <v>4</v>
      </c>
      <c r="C196" s="309"/>
      <c r="D196" s="310"/>
    </row>
    <row r="197" spans="1:4" x14ac:dyDescent="0.25">
      <c r="A197" s="418" t="s">
        <v>4854</v>
      </c>
      <c r="B197">
        <v>3</v>
      </c>
      <c r="C197" s="309"/>
      <c r="D197" s="310"/>
    </row>
    <row r="198" spans="1:4" x14ac:dyDescent="0.25">
      <c r="A198" s="418" t="s">
        <v>6864</v>
      </c>
      <c r="B198">
        <v>2</v>
      </c>
      <c r="C198" s="309"/>
      <c r="D198" s="310"/>
    </row>
    <row r="199" spans="1:4" x14ac:dyDescent="0.25">
      <c r="A199" s="418" t="s">
        <v>5086</v>
      </c>
      <c r="B199">
        <v>1</v>
      </c>
      <c r="C199" s="309"/>
      <c r="D199" s="310"/>
    </row>
    <row r="200" spans="1:4" x14ac:dyDescent="0.25">
      <c r="A200" s="418" t="s">
        <v>4540</v>
      </c>
      <c r="B200">
        <v>3</v>
      </c>
      <c r="C200" s="309"/>
      <c r="D200" s="310"/>
    </row>
    <row r="201" spans="1:4" x14ac:dyDescent="0.25">
      <c r="A201" s="418" t="s">
        <v>5334</v>
      </c>
      <c r="B201">
        <v>1</v>
      </c>
      <c r="C201" s="309"/>
      <c r="D201" s="310"/>
    </row>
    <row r="202" spans="1:4" x14ac:dyDescent="0.25">
      <c r="A202" s="418" t="s">
        <v>4352</v>
      </c>
      <c r="B202">
        <v>3</v>
      </c>
      <c r="C202" s="309"/>
      <c r="D202" s="310"/>
    </row>
    <row r="203" spans="1:4" x14ac:dyDescent="0.25">
      <c r="A203" s="418" t="s">
        <v>3810</v>
      </c>
      <c r="B203">
        <v>3</v>
      </c>
      <c r="C203" s="309"/>
      <c r="D203" s="310"/>
    </row>
    <row r="204" spans="1:4" x14ac:dyDescent="0.25">
      <c r="A204" s="418" t="s">
        <v>3811</v>
      </c>
      <c r="B204">
        <v>4</v>
      </c>
      <c r="C204" s="309"/>
      <c r="D204" s="310"/>
    </row>
    <row r="205" spans="1:4" x14ac:dyDescent="0.25">
      <c r="A205" s="418" t="s">
        <v>6096</v>
      </c>
      <c r="B205">
        <v>1</v>
      </c>
      <c r="C205" s="309"/>
      <c r="D205" s="310"/>
    </row>
    <row r="206" spans="1:4" x14ac:dyDescent="0.25">
      <c r="A206" s="418" t="s">
        <v>6097</v>
      </c>
      <c r="B206">
        <v>1</v>
      </c>
      <c r="C206" s="309"/>
      <c r="D206" s="310"/>
    </row>
    <row r="207" spans="1:4" x14ac:dyDescent="0.25">
      <c r="A207" s="418" t="s">
        <v>4042</v>
      </c>
      <c r="B207">
        <v>3</v>
      </c>
      <c r="C207" s="309"/>
      <c r="D207" s="310"/>
    </row>
    <row r="208" spans="1:4" x14ac:dyDescent="0.25">
      <c r="A208" s="418" t="s">
        <v>4043</v>
      </c>
      <c r="B208">
        <v>4</v>
      </c>
      <c r="C208" s="309"/>
      <c r="D208" s="310"/>
    </row>
    <row r="209" spans="1:4" x14ac:dyDescent="0.25">
      <c r="A209" s="418" t="s">
        <v>4044</v>
      </c>
      <c r="B209">
        <v>2</v>
      </c>
      <c r="C209" s="309"/>
      <c r="D209" s="310"/>
    </row>
    <row r="210" spans="1:4" x14ac:dyDescent="0.25">
      <c r="A210" s="418" t="s">
        <v>4045</v>
      </c>
      <c r="B210">
        <v>3</v>
      </c>
      <c r="C210" s="309"/>
      <c r="D210" s="310"/>
    </row>
    <row r="211" spans="1:4" x14ac:dyDescent="0.25">
      <c r="A211" s="418" t="s">
        <v>4046</v>
      </c>
      <c r="B211">
        <v>3</v>
      </c>
      <c r="C211" s="309"/>
      <c r="D211" s="310"/>
    </row>
    <row r="212" spans="1:4" x14ac:dyDescent="0.25">
      <c r="A212" s="418" t="s">
        <v>4380</v>
      </c>
      <c r="B212">
        <v>1</v>
      </c>
      <c r="C212" s="309"/>
      <c r="D212" s="310"/>
    </row>
    <row r="213" spans="1:4" x14ac:dyDescent="0.25">
      <c r="A213" s="418" t="s">
        <v>3812</v>
      </c>
      <c r="B213">
        <v>1</v>
      </c>
      <c r="C213" s="309"/>
      <c r="D213" s="310"/>
    </row>
    <row r="214" spans="1:4" x14ac:dyDescent="0.25">
      <c r="A214" s="418" t="s">
        <v>4047</v>
      </c>
      <c r="B214">
        <v>4</v>
      </c>
      <c r="C214" s="309"/>
      <c r="D214" s="310"/>
    </row>
    <row r="215" spans="1:4" x14ac:dyDescent="0.25">
      <c r="A215" s="418" t="s">
        <v>4048</v>
      </c>
      <c r="B215">
        <v>4</v>
      </c>
      <c r="C215" s="309"/>
      <c r="D215" s="310"/>
    </row>
    <row r="216" spans="1:4" x14ac:dyDescent="0.25">
      <c r="A216" s="418" t="s">
        <v>4381</v>
      </c>
      <c r="B216">
        <v>3</v>
      </c>
      <c r="C216" s="309"/>
      <c r="D216" s="310"/>
    </row>
    <row r="217" spans="1:4" x14ac:dyDescent="0.25">
      <c r="A217" s="418" t="s">
        <v>4382</v>
      </c>
      <c r="B217">
        <v>3</v>
      </c>
      <c r="C217" s="309"/>
      <c r="D217" s="310"/>
    </row>
    <row r="218" spans="1:4" x14ac:dyDescent="0.25">
      <c r="A218" s="418" t="s">
        <v>6887</v>
      </c>
      <c r="B218">
        <v>3</v>
      </c>
      <c r="C218" s="309"/>
      <c r="D218" s="310"/>
    </row>
    <row r="219" spans="1:4" x14ac:dyDescent="0.25">
      <c r="A219" s="418" t="s">
        <v>6448</v>
      </c>
      <c r="B219">
        <v>3</v>
      </c>
      <c r="C219" s="309"/>
      <c r="D219" s="310"/>
    </row>
    <row r="220" spans="1:4" x14ac:dyDescent="0.25">
      <c r="A220" s="418" t="s">
        <v>7242</v>
      </c>
      <c r="B220">
        <v>3</v>
      </c>
      <c r="C220" s="309"/>
      <c r="D220" s="310"/>
    </row>
    <row r="221" spans="1:4" x14ac:dyDescent="0.25">
      <c r="A221" s="418" t="s">
        <v>6888</v>
      </c>
      <c r="B221">
        <v>4</v>
      </c>
      <c r="C221" s="309"/>
      <c r="D221" s="310"/>
    </row>
    <row r="222" spans="1:4" x14ac:dyDescent="0.25">
      <c r="A222" s="418" t="s">
        <v>8058</v>
      </c>
      <c r="B222">
        <v>5</v>
      </c>
      <c r="C222" s="309"/>
      <c r="D222" s="310"/>
    </row>
    <row r="223" spans="1:4" x14ac:dyDescent="0.25">
      <c r="A223" s="418" t="s">
        <v>7243</v>
      </c>
      <c r="B223">
        <v>5</v>
      </c>
      <c r="C223" s="309"/>
      <c r="D223" s="310"/>
    </row>
    <row r="224" spans="1:4" x14ac:dyDescent="0.25">
      <c r="A224" s="418" t="s">
        <v>8232</v>
      </c>
      <c r="B224">
        <v>4</v>
      </c>
      <c r="C224" s="309"/>
      <c r="D224" s="310"/>
    </row>
    <row r="225" spans="1:4" x14ac:dyDescent="0.25">
      <c r="A225" s="418" t="s">
        <v>5087</v>
      </c>
      <c r="B225">
        <v>14</v>
      </c>
      <c r="C225" s="309"/>
      <c r="D225" s="310"/>
    </row>
    <row r="226" spans="1:4" x14ac:dyDescent="0.25">
      <c r="A226" s="418" t="s">
        <v>5756</v>
      </c>
      <c r="B226">
        <v>12</v>
      </c>
      <c r="C226" s="309"/>
      <c r="D226" s="310"/>
    </row>
    <row r="227" spans="1:4" x14ac:dyDescent="0.25">
      <c r="A227" s="418" t="s">
        <v>6000</v>
      </c>
      <c r="B227">
        <v>15</v>
      </c>
      <c r="C227" s="309"/>
      <c r="D227" s="310"/>
    </row>
    <row r="228" spans="1:4" x14ac:dyDescent="0.25">
      <c r="A228" s="418" t="s">
        <v>5757</v>
      </c>
      <c r="B228">
        <v>6</v>
      </c>
      <c r="C228" s="309"/>
      <c r="D228" s="310"/>
    </row>
    <row r="229" spans="1:4" x14ac:dyDescent="0.25">
      <c r="A229" s="418" t="s">
        <v>5272</v>
      </c>
      <c r="B229">
        <v>3</v>
      </c>
      <c r="C229" s="309"/>
      <c r="D229" s="310"/>
    </row>
    <row r="230" spans="1:4" x14ac:dyDescent="0.25">
      <c r="A230" s="418" t="s">
        <v>5273</v>
      </c>
      <c r="B230">
        <v>7</v>
      </c>
      <c r="C230" s="309"/>
      <c r="D230" s="310"/>
    </row>
    <row r="231" spans="1:4" x14ac:dyDescent="0.25">
      <c r="A231" s="418" t="s">
        <v>7036</v>
      </c>
      <c r="B231">
        <v>4</v>
      </c>
      <c r="C231" s="309"/>
      <c r="D231" s="310"/>
    </row>
    <row r="232" spans="1:4" x14ac:dyDescent="0.25">
      <c r="A232" s="418" t="s">
        <v>7317</v>
      </c>
      <c r="B232">
        <v>6</v>
      </c>
      <c r="C232" s="309"/>
      <c r="D232" s="310"/>
    </row>
    <row r="233" spans="1:4" x14ac:dyDescent="0.25">
      <c r="A233" s="418" t="s">
        <v>4405</v>
      </c>
      <c r="B233">
        <v>1</v>
      </c>
      <c r="C233" s="309"/>
      <c r="D233" s="310"/>
    </row>
    <row r="234" spans="1:4" x14ac:dyDescent="0.25">
      <c r="A234" s="418" t="s">
        <v>5758</v>
      </c>
      <c r="B234">
        <v>3</v>
      </c>
      <c r="C234" s="309"/>
      <c r="D234" s="310"/>
    </row>
    <row r="235" spans="1:4" x14ac:dyDescent="0.25">
      <c r="A235" s="418" t="s">
        <v>5759</v>
      </c>
      <c r="B235">
        <v>3</v>
      </c>
      <c r="C235" s="309"/>
      <c r="D235" s="310"/>
    </row>
    <row r="236" spans="1:4" x14ac:dyDescent="0.25">
      <c r="A236" s="418" t="s">
        <v>6526</v>
      </c>
      <c r="B236">
        <v>1</v>
      </c>
      <c r="C236" s="309"/>
      <c r="D236" s="310"/>
    </row>
    <row r="237" spans="1:4" x14ac:dyDescent="0.25">
      <c r="A237" s="418" t="s">
        <v>5760</v>
      </c>
      <c r="B237">
        <v>3</v>
      </c>
      <c r="C237" s="309"/>
      <c r="D237" s="310"/>
    </row>
    <row r="238" spans="1:4" x14ac:dyDescent="0.25">
      <c r="A238" s="418" t="s">
        <v>6889</v>
      </c>
      <c r="B238">
        <v>2</v>
      </c>
      <c r="C238" s="309"/>
      <c r="D238" s="310"/>
    </row>
    <row r="239" spans="1:4" x14ac:dyDescent="0.25">
      <c r="A239" s="418" t="s">
        <v>6720</v>
      </c>
      <c r="B239">
        <v>3</v>
      </c>
      <c r="C239" s="309"/>
      <c r="D239" s="310"/>
    </row>
    <row r="240" spans="1:4" x14ac:dyDescent="0.25">
      <c r="A240" s="418" t="s">
        <v>4465</v>
      </c>
      <c r="B240">
        <v>4</v>
      </c>
      <c r="C240" s="309"/>
      <c r="D240" s="310"/>
    </row>
    <row r="241" spans="1:4" x14ac:dyDescent="0.25">
      <c r="A241" s="418" t="s">
        <v>4074</v>
      </c>
      <c r="B241">
        <v>4</v>
      </c>
      <c r="C241" s="309"/>
      <c r="D241" s="310"/>
    </row>
    <row r="242" spans="1:4" x14ac:dyDescent="0.25">
      <c r="A242" s="418" t="s">
        <v>4075</v>
      </c>
      <c r="B242">
        <v>3</v>
      </c>
      <c r="C242" s="309"/>
      <c r="D242" s="310"/>
    </row>
    <row r="243" spans="1:4" x14ac:dyDescent="0.25">
      <c r="A243" s="418" t="s">
        <v>5935</v>
      </c>
      <c r="B243">
        <v>3</v>
      </c>
      <c r="C243" s="309"/>
      <c r="D243" s="310"/>
    </row>
    <row r="244" spans="1:4" x14ac:dyDescent="0.25">
      <c r="A244" s="418" t="s">
        <v>5395</v>
      </c>
      <c r="B244">
        <v>3</v>
      </c>
      <c r="C244" s="309"/>
      <c r="D244" s="310"/>
    </row>
    <row r="245" spans="1:4" x14ac:dyDescent="0.25">
      <c r="A245" s="418" t="s">
        <v>5396</v>
      </c>
      <c r="B245">
        <v>3</v>
      </c>
      <c r="C245" s="309"/>
      <c r="D245" s="310"/>
    </row>
    <row r="246" spans="1:4" x14ac:dyDescent="0.25">
      <c r="A246" s="418" t="s">
        <v>4768</v>
      </c>
      <c r="B246">
        <v>4</v>
      </c>
      <c r="C246" s="309"/>
      <c r="D246" s="310"/>
    </row>
    <row r="247" spans="1:4" x14ac:dyDescent="0.25">
      <c r="A247" s="418" t="s">
        <v>5630</v>
      </c>
      <c r="B247">
        <v>4</v>
      </c>
      <c r="C247" s="309"/>
      <c r="D247" s="310"/>
    </row>
    <row r="248" spans="1:4" x14ac:dyDescent="0.25">
      <c r="A248" s="418" t="s">
        <v>5631</v>
      </c>
      <c r="B248">
        <v>4</v>
      </c>
      <c r="C248" s="309"/>
      <c r="D248" s="310"/>
    </row>
    <row r="249" spans="1:4" x14ac:dyDescent="0.25">
      <c r="A249" s="418" t="s">
        <v>4229</v>
      </c>
      <c r="B249">
        <v>3</v>
      </c>
      <c r="C249" s="309"/>
      <c r="D249" s="310"/>
    </row>
    <row r="250" spans="1:4" x14ac:dyDescent="0.25">
      <c r="A250" s="418" t="s">
        <v>4230</v>
      </c>
      <c r="B250">
        <v>3</v>
      </c>
      <c r="C250" s="309"/>
      <c r="D250" s="310"/>
    </row>
    <row r="251" spans="1:4" x14ac:dyDescent="0.25">
      <c r="A251" s="418" t="s">
        <v>4541</v>
      </c>
      <c r="B251">
        <v>2</v>
      </c>
      <c r="C251" s="309"/>
      <c r="D251" s="310"/>
    </row>
    <row r="252" spans="1:4" x14ac:dyDescent="0.25">
      <c r="A252" s="418" t="s">
        <v>5201</v>
      </c>
      <c r="B252">
        <v>3</v>
      </c>
      <c r="C252" s="309"/>
      <c r="D252" s="310"/>
    </row>
    <row r="253" spans="1:4" x14ac:dyDescent="0.25">
      <c r="A253" s="418" t="s">
        <v>5202</v>
      </c>
      <c r="B253">
        <v>8</v>
      </c>
      <c r="C253" s="309"/>
      <c r="D253" s="310"/>
    </row>
    <row r="254" spans="1:4" x14ac:dyDescent="0.25">
      <c r="A254" s="418" t="s">
        <v>5203</v>
      </c>
      <c r="B254">
        <v>7</v>
      </c>
      <c r="C254" s="309"/>
      <c r="D254" s="310"/>
    </row>
    <row r="255" spans="1:4" x14ac:dyDescent="0.25">
      <c r="A255" s="418" t="s">
        <v>6648</v>
      </c>
      <c r="B255">
        <v>4</v>
      </c>
      <c r="C255" s="309"/>
      <c r="D255" s="310"/>
    </row>
    <row r="256" spans="1:4" x14ac:dyDescent="0.25">
      <c r="A256" s="418" t="s">
        <v>5335</v>
      </c>
      <c r="B256">
        <v>5</v>
      </c>
      <c r="C256" s="309"/>
      <c r="D256" s="310"/>
    </row>
    <row r="257" spans="1:4" x14ac:dyDescent="0.25">
      <c r="A257" s="418" t="s">
        <v>5336</v>
      </c>
      <c r="B257">
        <v>4</v>
      </c>
      <c r="C257" s="309"/>
      <c r="D257" s="310"/>
    </row>
    <row r="258" spans="1:4" x14ac:dyDescent="0.25">
      <c r="A258" s="418" t="s">
        <v>4542</v>
      </c>
      <c r="B258">
        <v>3</v>
      </c>
      <c r="C258" s="309"/>
      <c r="D258" s="310"/>
    </row>
    <row r="259" spans="1:4" x14ac:dyDescent="0.25">
      <c r="A259" s="418" t="s">
        <v>7762</v>
      </c>
      <c r="B259">
        <v>2</v>
      </c>
      <c r="C259" s="309"/>
      <c r="D259" s="310"/>
    </row>
    <row r="260" spans="1:4" x14ac:dyDescent="0.25">
      <c r="A260" s="418" t="s">
        <v>7763</v>
      </c>
      <c r="B260">
        <v>5</v>
      </c>
      <c r="C260" s="309"/>
      <c r="D260" s="310"/>
    </row>
    <row r="261" spans="1:4" x14ac:dyDescent="0.25">
      <c r="A261" s="418" t="s">
        <v>8839</v>
      </c>
      <c r="B261">
        <v>3</v>
      </c>
      <c r="C261" s="309"/>
      <c r="D261" s="310"/>
    </row>
    <row r="262" spans="1:4" x14ac:dyDescent="0.25">
      <c r="A262" s="418" t="s">
        <v>8840</v>
      </c>
      <c r="B262">
        <v>3</v>
      </c>
      <c r="C262" s="309"/>
      <c r="D262" s="310"/>
    </row>
    <row r="263" spans="1:4" x14ac:dyDescent="0.25">
      <c r="A263" s="418" t="s">
        <v>8841</v>
      </c>
      <c r="B263">
        <v>6</v>
      </c>
      <c r="C263" s="309"/>
      <c r="D263" s="310"/>
    </row>
    <row r="264" spans="1:4" x14ac:dyDescent="0.25">
      <c r="A264" s="418" t="s">
        <v>4406</v>
      </c>
      <c r="B264">
        <v>2</v>
      </c>
      <c r="C264" s="309"/>
      <c r="D264" s="310"/>
    </row>
    <row r="265" spans="1:4" x14ac:dyDescent="0.25">
      <c r="A265" s="418" t="s">
        <v>4407</v>
      </c>
      <c r="B265">
        <v>2</v>
      </c>
      <c r="C265" s="309"/>
      <c r="D265" s="310"/>
    </row>
    <row r="266" spans="1:4" x14ac:dyDescent="0.25">
      <c r="A266" s="418" t="s">
        <v>4543</v>
      </c>
      <c r="B266">
        <v>4</v>
      </c>
      <c r="C266" s="309"/>
      <c r="D266" s="310"/>
    </row>
    <row r="267" spans="1:4" x14ac:dyDescent="0.25">
      <c r="A267" s="418" t="s">
        <v>4231</v>
      </c>
      <c r="B267">
        <v>3</v>
      </c>
      <c r="C267" s="309"/>
      <c r="D267" s="310"/>
    </row>
    <row r="268" spans="1:4" x14ac:dyDescent="0.25">
      <c r="A268" s="418" t="s">
        <v>4544</v>
      </c>
      <c r="B268">
        <v>2</v>
      </c>
      <c r="C268" s="309"/>
      <c r="D268" s="310"/>
    </row>
    <row r="269" spans="1:4" x14ac:dyDescent="0.25">
      <c r="A269" s="418" t="s">
        <v>5088</v>
      </c>
      <c r="B269">
        <v>1</v>
      </c>
      <c r="C269" s="309"/>
      <c r="D269" s="310"/>
    </row>
    <row r="270" spans="1:4" x14ac:dyDescent="0.25">
      <c r="A270" s="418" t="s">
        <v>4769</v>
      </c>
      <c r="B270">
        <v>3</v>
      </c>
      <c r="C270" s="309"/>
      <c r="D270" s="310"/>
    </row>
    <row r="271" spans="1:4" x14ac:dyDescent="0.25">
      <c r="A271" s="418" t="s">
        <v>4770</v>
      </c>
      <c r="B271">
        <v>3</v>
      </c>
      <c r="C271" s="309"/>
      <c r="D271" s="310"/>
    </row>
    <row r="272" spans="1:4" x14ac:dyDescent="0.25">
      <c r="A272" s="418" t="s">
        <v>5274</v>
      </c>
      <c r="B272">
        <v>1</v>
      </c>
      <c r="C272" s="309"/>
      <c r="D272" s="310"/>
    </row>
    <row r="273" spans="1:4" x14ac:dyDescent="0.25">
      <c r="A273" s="418" t="s">
        <v>10126</v>
      </c>
      <c r="B273">
        <v>3</v>
      </c>
      <c r="C273" s="309"/>
      <c r="D273" s="310"/>
    </row>
    <row r="274" spans="1:4" x14ac:dyDescent="0.25">
      <c r="A274" s="418" t="s">
        <v>10127</v>
      </c>
      <c r="B274">
        <v>3</v>
      </c>
      <c r="C274" s="309"/>
      <c r="D274" s="310"/>
    </row>
    <row r="275" spans="1:4" x14ac:dyDescent="0.25">
      <c r="A275" s="418" t="s">
        <v>8672</v>
      </c>
      <c r="B275">
        <v>1</v>
      </c>
      <c r="C275" s="309"/>
      <c r="D275" s="310"/>
    </row>
    <row r="276" spans="1:4" x14ac:dyDescent="0.25">
      <c r="A276" s="418" t="s">
        <v>10128</v>
      </c>
      <c r="B276">
        <v>2</v>
      </c>
      <c r="C276" s="309"/>
      <c r="D276" s="310"/>
    </row>
    <row r="277" spans="1:4" x14ac:dyDescent="0.25">
      <c r="A277" s="418" t="s">
        <v>6931</v>
      </c>
      <c r="B277">
        <v>3</v>
      </c>
      <c r="C277" s="309"/>
      <c r="D277" s="310"/>
    </row>
    <row r="278" spans="1:4" x14ac:dyDescent="0.25">
      <c r="A278" s="418" t="s">
        <v>8356</v>
      </c>
      <c r="B278">
        <v>3</v>
      </c>
      <c r="C278" s="309"/>
      <c r="D278" s="310"/>
    </row>
    <row r="279" spans="1:4" x14ac:dyDescent="0.25">
      <c r="A279" s="418" t="s">
        <v>6932</v>
      </c>
      <c r="B279">
        <v>3</v>
      </c>
      <c r="C279" s="309"/>
      <c r="D279" s="310"/>
    </row>
    <row r="280" spans="1:4" x14ac:dyDescent="0.25">
      <c r="A280" s="418" t="s">
        <v>9787</v>
      </c>
      <c r="B280">
        <v>3</v>
      </c>
      <c r="C280" s="309"/>
      <c r="D280" s="310"/>
    </row>
    <row r="281" spans="1:4" x14ac:dyDescent="0.25">
      <c r="A281" s="418" t="s">
        <v>5632</v>
      </c>
      <c r="B281">
        <v>1</v>
      </c>
      <c r="C281" s="309"/>
      <c r="D281" s="310"/>
    </row>
    <row r="282" spans="1:4" x14ac:dyDescent="0.25">
      <c r="A282" s="418" t="s">
        <v>5633</v>
      </c>
      <c r="B282">
        <v>1</v>
      </c>
      <c r="C282" s="309"/>
      <c r="D282" s="310"/>
    </row>
    <row r="283" spans="1:4" x14ac:dyDescent="0.25">
      <c r="A283" s="418" t="s">
        <v>4232</v>
      </c>
      <c r="B283">
        <v>1</v>
      </c>
      <c r="C283" s="309"/>
      <c r="D283" s="310"/>
    </row>
    <row r="284" spans="1:4" x14ac:dyDescent="0.25">
      <c r="A284" s="418" t="s">
        <v>4233</v>
      </c>
      <c r="B284">
        <v>1</v>
      </c>
      <c r="C284" s="309"/>
      <c r="D284" s="310"/>
    </row>
    <row r="285" spans="1:4" x14ac:dyDescent="0.25">
      <c r="A285" s="418" t="s">
        <v>4165</v>
      </c>
      <c r="B285">
        <v>1</v>
      </c>
      <c r="C285" s="309"/>
      <c r="D285" s="310"/>
    </row>
    <row r="286" spans="1:4" x14ac:dyDescent="0.25">
      <c r="A286" s="418" t="s">
        <v>4408</v>
      </c>
      <c r="B286">
        <v>3</v>
      </c>
      <c r="C286" s="309"/>
      <c r="D286" s="310"/>
    </row>
    <row r="287" spans="1:4" x14ac:dyDescent="0.25">
      <c r="A287" s="418" t="s">
        <v>4409</v>
      </c>
      <c r="B287">
        <v>3</v>
      </c>
      <c r="C287" s="309"/>
      <c r="D287" s="310"/>
    </row>
    <row r="288" spans="1:4" x14ac:dyDescent="0.25">
      <c r="A288" s="418" t="s">
        <v>4938</v>
      </c>
      <c r="B288">
        <v>4</v>
      </c>
      <c r="C288" s="309"/>
      <c r="D288" s="310"/>
    </row>
    <row r="289" spans="1:4" x14ac:dyDescent="0.25">
      <c r="A289" s="418" t="s">
        <v>4939</v>
      </c>
      <c r="B289">
        <v>3</v>
      </c>
      <c r="C289" s="309"/>
      <c r="D289" s="310"/>
    </row>
    <row r="290" spans="1:4" x14ac:dyDescent="0.25">
      <c r="A290" s="418" t="s">
        <v>4410</v>
      </c>
      <c r="B290">
        <v>3</v>
      </c>
      <c r="C290" s="309"/>
      <c r="D290" s="310"/>
    </row>
    <row r="291" spans="1:4" x14ac:dyDescent="0.25">
      <c r="A291" s="418" t="s">
        <v>4411</v>
      </c>
      <c r="B291">
        <v>3</v>
      </c>
      <c r="C291" s="309"/>
      <c r="D291" s="310"/>
    </row>
    <row r="292" spans="1:4" x14ac:dyDescent="0.25">
      <c r="A292" s="418" t="s">
        <v>4412</v>
      </c>
      <c r="B292">
        <v>2</v>
      </c>
      <c r="C292" s="309"/>
      <c r="D292" s="310"/>
    </row>
    <row r="293" spans="1:4" x14ac:dyDescent="0.25">
      <c r="A293" s="418" t="s">
        <v>7281</v>
      </c>
      <c r="B293">
        <v>1</v>
      </c>
      <c r="C293" s="309"/>
      <c r="D293" s="310"/>
    </row>
    <row r="294" spans="1:4" x14ac:dyDescent="0.25">
      <c r="A294" s="418" t="s">
        <v>4545</v>
      </c>
      <c r="B294">
        <v>3</v>
      </c>
      <c r="C294" s="309"/>
      <c r="D294" s="310"/>
    </row>
    <row r="295" spans="1:4" x14ac:dyDescent="0.25">
      <c r="A295" s="418" t="s">
        <v>4546</v>
      </c>
      <c r="B295">
        <v>3</v>
      </c>
      <c r="C295" s="309"/>
      <c r="D295" s="310"/>
    </row>
    <row r="296" spans="1:4" x14ac:dyDescent="0.25">
      <c r="A296" s="418" t="s">
        <v>4547</v>
      </c>
      <c r="B296">
        <v>3</v>
      </c>
      <c r="C296" s="309"/>
      <c r="D296" s="310"/>
    </row>
    <row r="297" spans="1:4" x14ac:dyDescent="0.25">
      <c r="A297" s="418" t="s">
        <v>6865</v>
      </c>
      <c r="B297">
        <v>1</v>
      </c>
      <c r="C297" s="309"/>
      <c r="D297" s="310"/>
    </row>
    <row r="298" spans="1:4" x14ac:dyDescent="0.25">
      <c r="A298" s="418" t="s">
        <v>5089</v>
      </c>
      <c r="B298">
        <v>3</v>
      </c>
      <c r="C298" s="309"/>
      <c r="D298" s="310"/>
    </row>
    <row r="299" spans="1:4" x14ac:dyDescent="0.25">
      <c r="A299" s="418" t="s">
        <v>6721</v>
      </c>
      <c r="B299">
        <v>3</v>
      </c>
      <c r="C299" s="309"/>
      <c r="D299" s="310"/>
    </row>
    <row r="300" spans="1:4" x14ac:dyDescent="0.25">
      <c r="A300" s="418" t="s">
        <v>8976</v>
      </c>
      <c r="B300">
        <v>3</v>
      </c>
      <c r="C300" s="309"/>
      <c r="D300" s="310"/>
    </row>
    <row r="301" spans="1:4" x14ac:dyDescent="0.25">
      <c r="A301" s="418" t="s">
        <v>7282</v>
      </c>
      <c r="B301">
        <v>3</v>
      </c>
      <c r="C301" s="309"/>
      <c r="D301" s="310"/>
    </row>
    <row r="302" spans="1:4" x14ac:dyDescent="0.25">
      <c r="A302" s="418" t="s">
        <v>7283</v>
      </c>
      <c r="B302">
        <v>3</v>
      </c>
      <c r="C302" s="309"/>
      <c r="D302" s="310"/>
    </row>
    <row r="303" spans="1:4" x14ac:dyDescent="0.25">
      <c r="A303" s="418" t="s">
        <v>4301</v>
      </c>
      <c r="B303">
        <v>3</v>
      </c>
      <c r="C303" s="309"/>
      <c r="D303" s="310"/>
    </row>
    <row r="304" spans="1:4" x14ac:dyDescent="0.25">
      <c r="A304" s="418" t="s">
        <v>4302</v>
      </c>
      <c r="B304">
        <v>3</v>
      </c>
      <c r="C304" s="309"/>
      <c r="D304" s="310"/>
    </row>
    <row r="305" spans="1:4" x14ac:dyDescent="0.25">
      <c r="A305" s="418" t="s">
        <v>4166</v>
      </c>
      <c r="B305">
        <v>3</v>
      </c>
      <c r="C305" s="309"/>
      <c r="D305" s="310"/>
    </row>
    <row r="306" spans="1:4" x14ac:dyDescent="0.25">
      <c r="A306" s="418" t="s">
        <v>4303</v>
      </c>
      <c r="B306">
        <v>2</v>
      </c>
      <c r="C306" s="309"/>
      <c r="D306" s="310"/>
    </row>
    <row r="307" spans="1:4" x14ac:dyDescent="0.25">
      <c r="A307" s="418" t="s">
        <v>4234</v>
      </c>
      <c r="B307">
        <v>12</v>
      </c>
      <c r="C307" s="309"/>
      <c r="D307" s="310"/>
    </row>
    <row r="308" spans="1:4" x14ac:dyDescent="0.25">
      <c r="A308" s="418" t="s">
        <v>4235</v>
      </c>
      <c r="B308">
        <v>12</v>
      </c>
      <c r="C308" s="309"/>
      <c r="D308" s="310"/>
    </row>
    <row r="309" spans="1:4" x14ac:dyDescent="0.25">
      <c r="A309" s="418" t="s">
        <v>4236</v>
      </c>
      <c r="B309">
        <v>9</v>
      </c>
      <c r="C309" s="309"/>
      <c r="D309" s="310"/>
    </row>
    <row r="310" spans="1:4" x14ac:dyDescent="0.25">
      <c r="A310" s="418" t="s">
        <v>4237</v>
      </c>
      <c r="B310">
        <v>7</v>
      </c>
      <c r="C310" s="309"/>
      <c r="D310" s="310"/>
    </row>
    <row r="311" spans="1:4" x14ac:dyDescent="0.25">
      <c r="A311" s="418" t="s">
        <v>3997</v>
      </c>
      <c r="B311">
        <v>1</v>
      </c>
      <c r="C311" s="309"/>
      <c r="D311" s="310"/>
    </row>
    <row r="312" spans="1:4" x14ac:dyDescent="0.25">
      <c r="A312" s="418" t="s">
        <v>3813</v>
      </c>
      <c r="B312">
        <v>4</v>
      </c>
      <c r="C312" s="309"/>
      <c r="D312" s="310"/>
    </row>
    <row r="313" spans="1:4" x14ac:dyDescent="0.25">
      <c r="A313" s="418" t="s">
        <v>3814</v>
      </c>
      <c r="B313">
        <v>4</v>
      </c>
      <c r="C313" s="309"/>
      <c r="D313" s="310"/>
    </row>
    <row r="314" spans="1:4" x14ac:dyDescent="0.25">
      <c r="A314" s="418" t="s">
        <v>3815</v>
      </c>
      <c r="B314">
        <v>4</v>
      </c>
      <c r="C314" s="309"/>
      <c r="D314" s="310"/>
    </row>
    <row r="315" spans="1:4" x14ac:dyDescent="0.25">
      <c r="A315" s="418" t="s">
        <v>4049</v>
      </c>
      <c r="B315">
        <v>3</v>
      </c>
      <c r="C315" s="309"/>
      <c r="D315" s="310"/>
    </row>
    <row r="316" spans="1:4" x14ac:dyDescent="0.25">
      <c r="A316" s="418" t="s">
        <v>3998</v>
      </c>
      <c r="B316">
        <v>9</v>
      </c>
      <c r="C316" s="309"/>
      <c r="D316" s="310"/>
    </row>
    <row r="317" spans="1:4" x14ac:dyDescent="0.25">
      <c r="A317" s="418" t="s">
        <v>3999</v>
      </c>
      <c r="B317">
        <v>9</v>
      </c>
      <c r="C317" s="309"/>
      <c r="D317" s="310"/>
    </row>
    <row r="318" spans="1:4" x14ac:dyDescent="0.25">
      <c r="A318" s="418" t="s">
        <v>4466</v>
      </c>
      <c r="B318">
        <v>5</v>
      </c>
      <c r="C318" s="309"/>
      <c r="D318" s="310"/>
    </row>
    <row r="319" spans="1:4" x14ac:dyDescent="0.25">
      <c r="A319" s="418" t="s">
        <v>5275</v>
      </c>
      <c r="B319">
        <v>3</v>
      </c>
      <c r="C319" s="309"/>
      <c r="D319" s="310"/>
    </row>
    <row r="320" spans="1:4" x14ac:dyDescent="0.25">
      <c r="A320" s="418" t="s">
        <v>4855</v>
      </c>
      <c r="B320">
        <v>3</v>
      </c>
      <c r="C320" s="309"/>
      <c r="D320" s="310"/>
    </row>
    <row r="321" spans="1:4" x14ac:dyDescent="0.25">
      <c r="A321" s="418" t="s">
        <v>4076</v>
      </c>
      <c r="B321">
        <v>3</v>
      </c>
      <c r="C321" s="309"/>
      <c r="D321" s="310"/>
    </row>
    <row r="322" spans="1:4" x14ac:dyDescent="0.25">
      <c r="A322" s="418" t="s">
        <v>4077</v>
      </c>
      <c r="B322">
        <v>3</v>
      </c>
      <c r="C322" s="309"/>
      <c r="D322" s="310"/>
    </row>
    <row r="323" spans="1:4" x14ac:dyDescent="0.25">
      <c r="A323" s="418" t="s">
        <v>4078</v>
      </c>
      <c r="B323">
        <v>3</v>
      </c>
      <c r="C323" s="309"/>
      <c r="D323" s="310"/>
    </row>
    <row r="324" spans="1:4" x14ac:dyDescent="0.25">
      <c r="A324" s="418" t="s">
        <v>4967</v>
      </c>
      <c r="B324">
        <v>1</v>
      </c>
      <c r="C324" s="309"/>
      <c r="D324" s="310"/>
    </row>
    <row r="325" spans="1:4" x14ac:dyDescent="0.25">
      <c r="A325" s="418" t="s">
        <v>4079</v>
      </c>
      <c r="B325">
        <v>2</v>
      </c>
      <c r="C325" s="309"/>
      <c r="D325" s="310"/>
    </row>
    <row r="326" spans="1:4" x14ac:dyDescent="0.25">
      <c r="A326" s="418" t="s">
        <v>4080</v>
      </c>
      <c r="B326">
        <v>2</v>
      </c>
      <c r="C326" s="309"/>
      <c r="D326" s="310"/>
    </row>
    <row r="327" spans="1:4" x14ac:dyDescent="0.25">
      <c r="A327" s="418" t="s">
        <v>7859</v>
      </c>
      <c r="B327">
        <v>1</v>
      </c>
      <c r="C327" s="309"/>
      <c r="D327" s="310"/>
    </row>
    <row r="328" spans="1:4" x14ac:dyDescent="0.25">
      <c r="A328" s="418" t="s">
        <v>17074</v>
      </c>
      <c r="B328">
        <v>2</v>
      </c>
      <c r="C328" s="309"/>
      <c r="D328" s="310"/>
    </row>
    <row r="329" spans="1:4" x14ac:dyDescent="0.25">
      <c r="A329" s="418" t="s">
        <v>10411</v>
      </c>
      <c r="B329">
        <v>1</v>
      </c>
      <c r="C329" s="309"/>
      <c r="D329" s="310"/>
    </row>
    <row r="330" spans="1:4" x14ac:dyDescent="0.25">
      <c r="A330" s="418" t="s">
        <v>4467</v>
      </c>
      <c r="B330">
        <v>3</v>
      </c>
      <c r="C330" s="309"/>
      <c r="D330" s="310"/>
    </row>
    <row r="331" spans="1:4" x14ac:dyDescent="0.25">
      <c r="A331" s="418" t="s">
        <v>4468</v>
      </c>
      <c r="B331">
        <v>2</v>
      </c>
      <c r="C331" s="309"/>
      <c r="D331" s="310"/>
    </row>
    <row r="332" spans="1:4" x14ac:dyDescent="0.25">
      <c r="A332" s="418" t="s">
        <v>4000</v>
      </c>
      <c r="B332">
        <v>2</v>
      </c>
      <c r="C332" s="309"/>
      <c r="D332" s="310"/>
    </row>
    <row r="333" spans="1:4" x14ac:dyDescent="0.25">
      <c r="A333" s="418" t="s">
        <v>4238</v>
      </c>
      <c r="B333">
        <v>4</v>
      </c>
      <c r="C333" s="309"/>
      <c r="D333" s="310"/>
    </row>
    <row r="334" spans="1:4" x14ac:dyDescent="0.25">
      <c r="A334" s="418" t="s">
        <v>4239</v>
      </c>
      <c r="B334">
        <v>5</v>
      </c>
      <c r="C334" s="309"/>
      <c r="D334" s="310"/>
    </row>
    <row r="335" spans="1:4" x14ac:dyDescent="0.25">
      <c r="A335" s="418" t="s">
        <v>4548</v>
      </c>
      <c r="B335">
        <v>3</v>
      </c>
      <c r="C335" s="309"/>
      <c r="D335" s="310"/>
    </row>
    <row r="336" spans="1:4" x14ac:dyDescent="0.25">
      <c r="A336" s="418" t="s">
        <v>4240</v>
      </c>
      <c r="B336">
        <v>3</v>
      </c>
      <c r="C336" s="309"/>
      <c r="D336" s="310"/>
    </row>
    <row r="337" spans="1:4" x14ac:dyDescent="0.25">
      <c r="A337" s="418" t="s">
        <v>5663</v>
      </c>
      <c r="B337">
        <v>3</v>
      </c>
      <c r="C337" s="309"/>
      <c r="D337" s="310"/>
    </row>
    <row r="338" spans="1:4" x14ac:dyDescent="0.25">
      <c r="A338" s="418" t="s">
        <v>5664</v>
      </c>
      <c r="B338">
        <v>3</v>
      </c>
      <c r="C338" s="309"/>
      <c r="D338" s="310"/>
    </row>
    <row r="339" spans="1:4" x14ac:dyDescent="0.25">
      <c r="A339" s="418" t="s">
        <v>5090</v>
      </c>
      <c r="B339">
        <v>8</v>
      </c>
      <c r="C339" s="309"/>
      <c r="D339" s="310"/>
    </row>
    <row r="340" spans="1:4" x14ac:dyDescent="0.25">
      <c r="A340" s="418" t="s">
        <v>4304</v>
      </c>
      <c r="B340">
        <v>11</v>
      </c>
      <c r="C340" s="309"/>
      <c r="D340" s="310"/>
    </row>
    <row r="341" spans="1:4" x14ac:dyDescent="0.25">
      <c r="A341" s="418" t="s">
        <v>4305</v>
      </c>
      <c r="B341">
        <v>7</v>
      </c>
      <c r="C341" s="309"/>
      <c r="D341" s="310"/>
    </row>
    <row r="342" spans="1:4" x14ac:dyDescent="0.25">
      <c r="A342" s="418" t="s">
        <v>4306</v>
      </c>
      <c r="B342">
        <v>3</v>
      </c>
      <c r="C342" s="309"/>
      <c r="D342" s="310"/>
    </row>
    <row r="343" spans="1:4" x14ac:dyDescent="0.25">
      <c r="A343" s="418" t="s">
        <v>4353</v>
      </c>
      <c r="B343">
        <v>3</v>
      </c>
      <c r="C343" s="309"/>
      <c r="D343" s="310"/>
    </row>
    <row r="344" spans="1:4" x14ac:dyDescent="0.25">
      <c r="A344" s="418" t="s">
        <v>4354</v>
      </c>
      <c r="B344">
        <v>3</v>
      </c>
      <c r="C344" s="309"/>
      <c r="D344" s="310"/>
    </row>
    <row r="345" spans="1:4" x14ac:dyDescent="0.25">
      <c r="A345" s="418" t="s">
        <v>4771</v>
      </c>
      <c r="B345">
        <v>3</v>
      </c>
      <c r="C345" s="309"/>
      <c r="D345" s="310"/>
    </row>
    <row r="346" spans="1:4" x14ac:dyDescent="0.25">
      <c r="A346" s="418" t="s">
        <v>4772</v>
      </c>
      <c r="B346">
        <v>2</v>
      </c>
      <c r="C346" s="309"/>
      <c r="D346" s="310"/>
    </row>
    <row r="347" spans="1:4" x14ac:dyDescent="0.25">
      <c r="A347" s="418" t="s">
        <v>4940</v>
      </c>
      <c r="B347">
        <v>3</v>
      </c>
      <c r="C347" s="309"/>
      <c r="D347" s="310"/>
    </row>
    <row r="348" spans="1:4" x14ac:dyDescent="0.25">
      <c r="A348" s="418" t="s">
        <v>4413</v>
      </c>
      <c r="B348">
        <v>3</v>
      </c>
      <c r="C348" s="309"/>
      <c r="D348" s="310"/>
    </row>
    <row r="349" spans="1:4" x14ac:dyDescent="0.25">
      <c r="A349" s="418" t="s">
        <v>4941</v>
      </c>
      <c r="B349">
        <v>2</v>
      </c>
      <c r="C349" s="309"/>
      <c r="D349" s="310"/>
    </row>
    <row r="350" spans="1:4" x14ac:dyDescent="0.25">
      <c r="A350" s="418" t="s">
        <v>6722</v>
      </c>
      <c r="B350">
        <v>2</v>
      </c>
      <c r="C350" s="309"/>
      <c r="D350" s="310"/>
    </row>
    <row r="351" spans="1:4" x14ac:dyDescent="0.25">
      <c r="A351" s="418" t="s">
        <v>7284</v>
      </c>
      <c r="B351">
        <v>1</v>
      </c>
      <c r="C351" s="309"/>
      <c r="D351" s="310"/>
    </row>
    <row r="352" spans="1:4" x14ac:dyDescent="0.25">
      <c r="A352" s="418" t="s">
        <v>4081</v>
      </c>
      <c r="B352">
        <v>4</v>
      </c>
      <c r="C352" s="309"/>
      <c r="D352" s="310"/>
    </row>
    <row r="353" spans="1:4" x14ac:dyDescent="0.25">
      <c r="A353" s="418" t="s">
        <v>4082</v>
      </c>
      <c r="B353">
        <v>3</v>
      </c>
      <c r="C353" s="309"/>
      <c r="D353" s="310"/>
    </row>
    <row r="354" spans="1:4" x14ac:dyDescent="0.25">
      <c r="A354" s="418" t="s">
        <v>4083</v>
      </c>
      <c r="B354">
        <v>4</v>
      </c>
      <c r="C354" s="309"/>
      <c r="D354" s="310"/>
    </row>
    <row r="355" spans="1:4" x14ac:dyDescent="0.25">
      <c r="A355" s="418" t="s">
        <v>4469</v>
      </c>
      <c r="B355">
        <v>1</v>
      </c>
      <c r="C355" s="309"/>
      <c r="D355" s="310"/>
    </row>
    <row r="356" spans="1:4" x14ac:dyDescent="0.25">
      <c r="A356" s="418" t="s">
        <v>4157</v>
      </c>
      <c r="B356">
        <v>1</v>
      </c>
      <c r="C356" s="309"/>
      <c r="D356" s="310"/>
    </row>
    <row r="357" spans="1:4" x14ac:dyDescent="0.25">
      <c r="A357" s="418" t="s">
        <v>4414</v>
      </c>
      <c r="B357">
        <v>1</v>
      </c>
      <c r="C357" s="309"/>
      <c r="D357" s="310"/>
    </row>
    <row r="358" spans="1:4" x14ac:dyDescent="0.25">
      <c r="A358" s="418" t="s">
        <v>4415</v>
      </c>
      <c r="B358">
        <v>1</v>
      </c>
      <c r="C358" s="309"/>
      <c r="D358" s="310"/>
    </row>
    <row r="359" spans="1:4" x14ac:dyDescent="0.25">
      <c r="A359" s="418" t="s">
        <v>8233</v>
      </c>
      <c r="B359">
        <v>1</v>
      </c>
      <c r="C359" s="309"/>
      <c r="D359" s="310"/>
    </row>
    <row r="360" spans="1:4" x14ac:dyDescent="0.25">
      <c r="A360" s="418" t="s">
        <v>8059</v>
      </c>
      <c r="B360">
        <v>4</v>
      </c>
      <c r="C360" s="309"/>
      <c r="D360" s="310"/>
    </row>
    <row r="361" spans="1:4" x14ac:dyDescent="0.25">
      <c r="A361" s="418" t="s">
        <v>8060</v>
      </c>
      <c r="B361">
        <v>2</v>
      </c>
      <c r="C361" s="309"/>
      <c r="D361" s="310"/>
    </row>
    <row r="362" spans="1:4" x14ac:dyDescent="0.25">
      <c r="A362" s="418" t="s">
        <v>8755</v>
      </c>
      <c r="B362">
        <v>3</v>
      </c>
      <c r="C362" s="309"/>
      <c r="D362" s="310"/>
    </row>
    <row r="363" spans="1:4" x14ac:dyDescent="0.25">
      <c r="A363" s="418" t="s">
        <v>8756</v>
      </c>
      <c r="B363">
        <v>3</v>
      </c>
      <c r="C363" s="309"/>
      <c r="D363" s="310"/>
    </row>
    <row r="364" spans="1:4" x14ac:dyDescent="0.25">
      <c r="A364" s="418" t="s">
        <v>10237</v>
      </c>
      <c r="B364">
        <v>3</v>
      </c>
      <c r="C364" s="309"/>
      <c r="D364" s="310"/>
    </row>
    <row r="365" spans="1:4" x14ac:dyDescent="0.25">
      <c r="A365" s="418" t="s">
        <v>6172</v>
      </c>
      <c r="B365">
        <v>1</v>
      </c>
      <c r="C365" s="309"/>
      <c r="D365" s="310"/>
    </row>
    <row r="366" spans="1:4" x14ac:dyDescent="0.25">
      <c r="A366" s="418" t="s">
        <v>6173</v>
      </c>
      <c r="B366">
        <v>1</v>
      </c>
      <c r="C366" s="309"/>
      <c r="D366" s="310"/>
    </row>
    <row r="367" spans="1:4" x14ac:dyDescent="0.25">
      <c r="A367" s="418" t="s">
        <v>5665</v>
      </c>
      <c r="B367">
        <v>4</v>
      </c>
      <c r="C367" s="309"/>
      <c r="D367" s="310"/>
    </row>
    <row r="368" spans="1:4" x14ac:dyDescent="0.25">
      <c r="A368" s="418" t="s">
        <v>6174</v>
      </c>
      <c r="B368">
        <v>3</v>
      </c>
      <c r="C368" s="309"/>
      <c r="D368" s="310"/>
    </row>
    <row r="369" spans="1:4" x14ac:dyDescent="0.25">
      <c r="A369" s="418" t="s">
        <v>6175</v>
      </c>
      <c r="B369">
        <v>3</v>
      </c>
      <c r="C369" s="309"/>
      <c r="D369" s="310"/>
    </row>
    <row r="370" spans="1:4" x14ac:dyDescent="0.25">
      <c r="A370" s="418" t="s">
        <v>6605</v>
      </c>
      <c r="B370">
        <v>3</v>
      </c>
      <c r="C370" s="309"/>
      <c r="D370" s="310"/>
    </row>
    <row r="371" spans="1:4" x14ac:dyDescent="0.25">
      <c r="A371" s="418" t="s">
        <v>4050</v>
      </c>
      <c r="B371">
        <v>3</v>
      </c>
      <c r="C371" s="309"/>
      <c r="D371" s="310"/>
    </row>
    <row r="372" spans="1:4" x14ac:dyDescent="0.25">
      <c r="A372" s="418" t="s">
        <v>4549</v>
      </c>
      <c r="B372">
        <v>3</v>
      </c>
      <c r="C372" s="309"/>
      <c r="D372" s="310"/>
    </row>
    <row r="373" spans="1:4" x14ac:dyDescent="0.25">
      <c r="A373" s="418" t="s">
        <v>4416</v>
      </c>
      <c r="B373">
        <v>3</v>
      </c>
      <c r="C373" s="309"/>
      <c r="D373" s="310"/>
    </row>
    <row r="374" spans="1:4" x14ac:dyDescent="0.25">
      <c r="A374" s="418" t="s">
        <v>4241</v>
      </c>
      <c r="B374">
        <v>1</v>
      </c>
      <c r="C374" s="309"/>
      <c r="D374" s="310"/>
    </row>
    <row r="375" spans="1:4" x14ac:dyDescent="0.25">
      <c r="A375" s="418" t="s">
        <v>4242</v>
      </c>
      <c r="B375">
        <v>1</v>
      </c>
      <c r="C375" s="309"/>
      <c r="D375" s="310"/>
    </row>
    <row r="376" spans="1:4" x14ac:dyDescent="0.25">
      <c r="A376" s="418" t="s">
        <v>5091</v>
      </c>
      <c r="B376">
        <v>3</v>
      </c>
      <c r="C376" s="309"/>
      <c r="D376" s="310"/>
    </row>
    <row r="377" spans="1:4" x14ac:dyDescent="0.25">
      <c r="A377" s="418" t="s">
        <v>5092</v>
      </c>
      <c r="B377">
        <v>7</v>
      </c>
      <c r="C377" s="309"/>
      <c r="D377" s="310"/>
    </row>
    <row r="378" spans="1:4" x14ac:dyDescent="0.25">
      <c r="A378" s="418" t="s">
        <v>4288</v>
      </c>
      <c r="B378">
        <v>3</v>
      </c>
      <c r="C378" s="309"/>
      <c r="D378" s="310"/>
    </row>
    <row r="379" spans="1:4" x14ac:dyDescent="0.25">
      <c r="A379" s="418" t="s">
        <v>4084</v>
      </c>
      <c r="B379">
        <v>21</v>
      </c>
      <c r="C379" s="309"/>
      <c r="D379" s="310"/>
    </row>
    <row r="380" spans="1:4" x14ac:dyDescent="0.25">
      <c r="A380" s="418" t="s">
        <v>4085</v>
      </c>
      <c r="B380">
        <v>24</v>
      </c>
      <c r="C380" s="309"/>
      <c r="D380" s="310"/>
    </row>
    <row r="381" spans="1:4" x14ac:dyDescent="0.25">
      <c r="A381" s="418" t="s">
        <v>4086</v>
      </c>
      <c r="B381">
        <v>19</v>
      </c>
      <c r="C381" s="309"/>
      <c r="D381" s="310"/>
    </row>
    <row r="382" spans="1:4" x14ac:dyDescent="0.25">
      <c r="A382" s="418" t="s">
        <v>5026</v>
      </c>
      <c r="B382">
        <v>2</v>
      </c>
      <c r="C382" s="309"/>
      <c r="D382" s="310"/>
    </row>
    <row r="383" spans="1:4" x14ac:dyDescent="0.25">
      <c r="A383" s="418" t="s">
        <v>5869</v>
      </c>
      <c r="B383">
        <v>3</v>
      </c>
      <c r="C383" s="309"/>
      <c r="D383" s="310"/>
    </row>
    <row r="384" spans="1:4" x14ac:dyDescent="0.25">
      <c r="A384" s="418" t="s">
        <v>5488</v>
      </c>
      <c r="B384">
        <v>3</v>
      </c>
      <c r="C384" s="309"/>
      <c r="D384" s="310"/>
    </row>
    <row r="385" spans="1:4" x14ac:dyDescent="0.25">
      <c r="A385" s="418" t="s">
        <v>9867</v>
      </c>
      <c r="B385">
        <v>4</v>
      </c>
      <c r="C385" s="309"/>
      <c r="D385" s="310"/>
    </row>
    <row r="386" spans="1:4" x14ac:dyDescent="0.25">
      <c r="A386" s="418" t="s">
        <v>9868</v>
      </c>
      <c r="B386">
        <v>1</v>
      </c>
      <c r="C386" s="309"/>
      <c r="D386" s="310"/>
    </row>
    <row r="387" spans="1:4" x14ac:dyDescent="0.25">
      <c r="A387" s="418" t="s">
        <v>5276</v>
      </c>
      <c r="B387">
        <v>4</v>
      </c>
      <c r="C387" s="309"/>
      <c r="D387" s="310"/>
    </row>
    <row r="388" spans="1:4" x14ac:dyDescent="0.25">
      <c r="A388" s="418" t="s">
        <v>5277</v>
      </c>
      <c r="B388">
        <v>4</v>
      </c>
      <c r="C388" s="309"/>
      <c r="D388" s="310"/>
    </row>
    <row r="389" spans="1:4" x14ac:dyDescent="0.25">
      <c r="A389" s="418" t="s">
        <v>5489</v>
      </c>
      <c r="B389">
        <v>3</v>
      </c>
      <c r="C389" s="309"/>
      <c r="D389" s="310"/>
    </row>
    <row r="390" spans="1:4" x14ac:dyDescent="0.25">
      <c r="A390" s="418" t="s">
        <v>7439</v>
      </c>
      <c r="B390">
        <v>2</v>
      </c>
      <c r="C390" s="309"/>
      <c r="D390" s="310"/>
    </row>
    <row r="391" spans="1:4" x14ac:dyDescent="0.25">
      <c r="A391" s="418" t="s">
        <v>5252</v>
      </c>
      <c r="B391">
        <v>4</v>
      </c>
      <c r="C391" s="309"/>
      <c r="D391" s="310"/>
    </row>
    <row r="392" spans="1:4" x14ac:dyDescent="0.25">
      <c r="A392" s="418" t="s">
        <v>5253</v>
      </c>
      <c r="B392">
        <v>4</v>
      </c>
      <c r="C392" s="309"/>
      <c r="D392" s="310"/>
    </row>
    <row r="393" spans="1:4" x14ac:dyDescent="0.25">
      <c r="A393" s="418" t="s">
        <v>5634</v>
      </c>
      <c r="B393">
        <v>3</v>
      </c>
      <c r="C393" s="309"/>
      <c r="D393" s="310"/>
    </row>
    <row r="394" spans="1:4" x14ac:dyDescent="0.25">
      <c r="A394" s="418" t="s">
        <v>5254</v>
      </c>
      <c r="B394">
        <v>3</v>
      </c>
      <c r="C394" s="309"/>
      <c r="D394" s="310"/>
    </row>
    <row r="395" spans="1:4" x14ac:dyDescent="0.25">
      <c r="A395" s="418" t="s">
        <v>5978</v>
      </c>
      <c r="B395">
        <v>1</v>
      </c>
      <c r="C395" s="309"/>
      <c r="D395" s="310"/>
    </row>
    <row r="396" spans="1:4" x14ac:dyDescent="0.25">
      <c r="A396" s="418" t="s">
        <v>5635</v>
      </c>
      <c r="B396">
        <v>3</v>
      </c>
      <c r="C396" s="309"/>
      <c r="D396" s="310"/>
    </row>
    <row r="397" spans="1:4" x14ac:dyDescent="0.25">
      <c r="A397" s="418" t="s">
        <v>5636</v>
      </c>
      <c r="B397">
        <v>3</v>
      </c>
      <c r="C397" s="309"/>
      <c r="D397" s="310"/>
    </row>
    <row r="398" spans="1:4" x14ac:dyDescent="0.25">
      <c r="A398" s="418" t="s">
        <v>5637</v>
      </c>
      <c r="B398">
        <v>2</v>
      </c>
      <c r="C398" s="309"/>
      <c r="D398" s="310"/>
    </row>
    <row r="399" spans="1:4" x14ac:dyDescent="0.25">
      <c r="A399" s="418" t="s">
        <v>5255</v>
      </c>
      <c r="B399">
        <v>3</v>
      </c>
      <c r="C399" s="309"/>
      <c r="D399" s="310"/>
    </row>
    <row r="400" spans="1:4" x14ac:dyDescent="0.25">
      <c r="A400" s="418" t="s">
        <v>5666</v>
      </c>
      <c r="B400">
        <v>3</v>
      </c>
      <c r="C400" s="309"/>
      <c r="D400" s="310"/>
    </row>
    <row r="401" spans="1:4" x14ac:dyDescent="0.25">
      <c r="A401" s="418" t="s">
        <v>5667</v>
      </c>
      <c r="B401">
        <v>4</v>
      </c>
      <c r="C401" s="309"/>
      <c r="D401" s="310"/>
    </row>
    <row r="402" spans="1:4" x14ac:dyDescent="0.25">
      <c r="A402" s="418" t="s">
        <v>6176</v>
      </c>
      <c r="B402">
        <v>4</v>
      </c>
      <c r="C402" s="309"/>
      <c r="D402" s="310"/>
    </row>
    <row r="403" spans="1:4" x14ac:dyDescent="0.25">
      <c r="A403" s="418" t="s">
        <v>4087</v>
      </c>
      <c r="B403">
        <v>1</v>
      </c>
      <c r="C403" s="309"/>
      <c r="D403" s="310"/>
    </row>
    <row r="404" spans="1:4" x14ac:dyDescent="0.25">
      <c r="A404" s="418" t="s">
        <v>4470</v>
      </c>
      <c r="B404">
        <v>1</v>
      </c>
      <c r="C404" s="309"/>
      <c r="D404" s="310"/>
    </row>
    <row r="405" spans="1:4" x14ac:dyDescent="0.25">
      <c r="A405" s="418" t="s">
        <v>4471</v>
      </c>
      <c r="B405">
        <v>1</v>
      </c>
      <c r="C405" s="309"/>
      <c r="D405" s="310"/>
    </row>
    <row r="406" spans="1:4" x14ac:dyDescent="0.25">
      <c r="A406" s="418" t="s">
        <v>4773</v>
      </c>
      <c r="B406">
        <v>7</v>
      </c>
      <c r="C406" s="309"/>
      <c r="D406" s="310"/>
    </row>
    <row r="407" spans="1:4" x14ac:dyDescent="0.25">
      <c r="A407" s="418" t="s">
        <v>5761</v>
      </c>
      <c r="B407">
        <v>3</v>
      </c>
      <c r="C407" s="309"/>
      <c r="D407" s="310"/>
    </row>
    <row r="408" spans="1:4" x14ac:dyDescent="0.25">
      <c r="A408" s="418" t="s">
        <v>7037</v>
      </c>
      <c r="B408">
        <v>3</v>
      </c>
      <c r="C408" s="309"/>
      <c r="D408" s="310"/>
    </row>
    <row r="409" spans="1:4" x14ac:dyDescent="0.25">
      <c r="A409" s="418" t="s">
        <v>4856</v>
      </c>
      <c r="B409">
        <v>2</v>
      </c>
      <c r="C409" s="309"/>
      <c r="D409" s="310"/>
    </row>
    <row r="410" spans="1:4" x14ac:dyDescent="0.25">
      <c r="A410" s="418" t="s">
        <v>4857</v>
      </c>
      <c r="B410">
        <v>2</v>
      </c>
      <c r="C410" s="309"/>
      <c r="D410" s="310"/>
    </row>
    <row r="411" spans="1:4" x14ac:dyDescent="0.25">
      <c r="A411" s="418" t="s">
        <v>4051</v>
      </c>
      <c r="B411">
        <v>3</v>
      </c>
      <c r="C411" s="309"/>
      <c r="D411" s="310"/>
    </row>
    <row r="412" spans="1:4" x14ac:dyDescent="0.25">
      <c r="A412" s="418" t="s">
        <v>4052</v>
      </c>
      <c r="B412">
        <v>3</v>
      </c>
      <c r="C412" s="309"/>
      <c r="D412" s="310"/>
    </row>
    <row r="413" spans="1:4" x14ac:dyDescent="0.25">
      <c r="A413" s="418" t="s">
        <v>4053</v>
      </c>
      <c r="B413">
        <v>3</v>
      </c>
      <c r="C413" s="309"/>
      <c r="D413" s="310"/>
    </row>
    <row r="414" spans="1:4" x14ac:dyDescent="0.25">
      <c r="A414" s="418" t="s">
        <v>4054</v>
      </c>
      <c r="B414">
        <v>4</v>
      </c>
      <c r="C414" s="309"/>
      <c r="D414" s="310"/>
    </row>
    <row r="415" spans="1:4" x14ac:dyDescent="0.25">
      <c r="A415" s="418" t="s">
        <v>4243</v>
      </c>
      <c r="B415">
        <v>1</v>
      </c>
      <c r="C415" s="309"/>
      <c r="D415" s="310"/>
    </row>
    <row r="416" spans="1:4" x14ac:dyDescent="0.25">
      <c r="A416" s="418" t="s">
        <v>4244</v>
      </c>
      <c r="B416">
        <v>3</v>
      </c>
      <c r="C416" s="309"/>
      <c r="D416" s="310"/>
    </row>
    <row r="417" spans="1:4" x14ac:dyDescent="0.25">
      <c r="A417" s="418" t="s">
        <v>4167</v>
      </c>
      <c r="B417">
        <v>1</v>
      </c>
      <c r="C417" s="309"/>
      <c r="D417" s="310"/>
    </row>
    <row r="418" spans="1:4" x14ac:dyDescent="0.25">
      <c r="A418" s="418" t="s">
        <v>4245</v>
      </c>
      <c r="B418">
        <v>3</v>
      </c>
      <c r="C418" s="309"/>
      <c r="D418" s="310"/>
    </row>
    <row r="419" spans="1:4" x14ac:dyDescent="0.25">
      <c r="A419" s="418" t="s">
        <v>5846</v>
      </c>
      <c r="B419">
        <v>3</v>
      </c>
      <c r="C419" s="309"/>
      <c r="D419" s="310"/>
    </row>
    <row r="420" spans="1:4" x14ac:dyDescent="0.25">
      <c r="A420" s="418" t="s">
        <v>6332</v>
      </c>
      <c r="B420">
        <v>2</v>
      </c>
      <c r="C420" s="309"/>
      <c r="D420" s="310"/>
    </row>
    <row r="421" spans="1:4" x14ac:dyDescent="0.25">
      <c r="A421" s="418" t="s">
        <v>4550</v>
      </c>
      <c r="B421">
        <v>1</v>
      </c>
      <c r="C421" s="309"/>
      <c r="D421" s="310"/>
    </row>
    <row r="422" spans="1:4" x14ac:dyDescent="0.25">
      <c r="A422" s="418" t="s">
        <v>5093</v>
      </c>
      <c r="B422">
        <v>3</v>
      </c>
      <c r="C422" s="309"/>
      <c r="D422" s="310"/>
    </row>
    <row r="423" spans="1:4" x14ac:dyDescent="0.25">
      <c r="A423" s="418" t="s">
        <v>4858</v>
      </c>
      <c r="B423">
        <v>2</v>
      </c>
      <c r="C423" s="309"/>
      <c r="D423" s="310"/>
    </row>
    <row r="424" spans="1:4" x14ac:dyDescent="0.25">
      <c r="A424" s="418" t="s">
        <v>6866</v>
      </c>
      <c r="B424">
        <v>1</v>
      </c>
      <c r="C424" s="309"/>
      <c r="D424" s="310"/>
    </row>
    <row r="425" spans="1:4" x14ac:dyDescent="0.25">
      <c r="A425" s="418" t="s">
        <v>5847</v>
      </c>
      <c r="B425">
        <v>1</v>
      </c>
      <c r="C425" s="309"/>
      <c r="D425" s="310"/>
    </row>
    <row r="426" spans="1:4" x14ac:dyDescent="0.25">
      <c r="A426" s="418" t="s">
        <v>4859</v>
      </c>
      <c r="B426">
        <v>1</v>
      </c>
      <c r="C426" s="309"/>
      <c r="D426" s="310"/>
    </row>
    <row r="427" spans="1:4" x14ac:dyDescent="0.25">
      <c r="A427" s="418" t="s">
        <v>4307</v>
      </c>
      <c r="B427">
        <v>3</v>
      </c>
      <c r="C427" s="309"/>
      <c r="D427" s="310"/>
    </row>
    <row r="428" spans="1:4" x14ac:dyDescent="0.25">
      <c r="A428" s="418" t="s">
        <v>4308</v>
      </c>
      <c r="B428">
        <v>3</v>
      </c>
      <c r="C428" s="309"/>
      <c r="D428" s="310"/>
    </row>
    <row r="429" spans="1:4" x14ac:dyDescent="0.25">
      <c r="A429" s="418" t="s">
        <v>4309</v>
      </c>
      <c r="B429">
        <v>4</v>
      </c>
      <c r="C429" s="309"/>
      <c r="D429" s="310"/>
    </row>
    <row r="430" spans="1:4" x14ac:dyDescent="0.25">
      <c r="A430" s="418" t="s">
        <v>4551</v>
      </c>
      <c r="B430">
        <v>4</v>
      </c>
      <c r="C430" s="309"/>
      <c r="D430" s="310"/>
    </row>
    <row r="431" spans="1:4" x14ac:dyDescent="0.25">
      <c r="A431" s="418" t="s">
        <v>6333</v>
      </c>
      <c r="B431">
        <v>3</v>
      </c>
      <c r="C431" s="309"/>
      <c r="D431" s="310"/>
    </row>
    <row r="432" spans="1:4" x14ac:dyDescent="0.25">
      <c r="A432" s="418" t="s">
        <v>4552</v>
      </c>
      <c r="B432">
        <v>3</v>
      </c>
      <c r="C432" s="309"/>
      <c r="D432" s="310"/>
    </row>
    <row r="433" spans="1:4" x14ac:dyDescent="0.25">
      <c r="A433" s="418" t="s">
        <v>5762</v>
      </c>
      <c r="B433">
        <v>9</v>
      </c>
      <c r="C433" s="309"/>
      <c r="D433" s="310"/>
    </row>
    <row r="434" spans="1:4" x14ac:dyDescent="0.25">
      <c r="A434" s="418" t="s">
        <v>3816</v>
      </c>
      <c r="B434">
        <v>9</v>
      </c>
      <c r="C434" s="309"/>
      <c r="D434" s="310"/>
    </row>
    <row r="435" spans="1:4" x14ac:dyDescent="0.25">
      <c r="A435" s="418" t="s">
        <v>6270</v>
      </c>
      <c r="B435">
        <v>7</v>
      </c>
      <c r="C435" s="309"/>
      <c r="D435" s="310"/>
    </row>
    <row r="436" spans="1:4" x14ac:dyDescent="0.25">
      <c r="A436" s="418" t="s">
        <v>9901</v>
      </c>
      <c r="B436">
        <v>3</v>
      </c>
      <c r="C436" s="309"/>
      <c r="D436" s="310"/>
    </row>
    <row r="437" spans="1:4" x14ac:dyDescent="0.25">
      <c r="A437" s="418" t="s">
        <v>5397</v>
      </c>
      <c r="B437">
        <v>1</v>
      </c>
      <c r="C437" s="309"/>
      <c r="D437" s="310"/>
    </row>
    <row r="438" spans="1:4" x14ac:dyDescent="0.25">
      <c r="A438" s="418" t="s">
        <v>4001</v>
      </c>
      <c r="B438">
        <v>4</v>
      </c>
      <c r="C438" s="309"/>
      <c r="D438" s="310"/>
    </row>
    <row r="439" spans="1:4" x14ac:dyDescent="0.25">
      <c r="A439" s="418" t="s">
        <v>4246</v>
      </c>
      <c r="B439">
        <v>3</v>
      </c>
      <c r="C439" s="309"/>
      <c r="D439" s="310"/>
    </row>
    <row r="440" spans="1:4" x14ac:dyDescent="0.25">
      <c r="A440" s="418" t="s">
        <v>7318</v>
      </c>
      <c r="B440">
        <v>3</v>
      </c>
      <c r="C440" s="309"/>
      <c r="D440" s="310"/>
    </row>
    <row r="441" spans="1:4" x14ac:dyDescent="0.25">
      <c r="A441" s="418" t="s">
        <v>4553</v>
      </c>
      <c r="B441">
        <v>3</v>
      </c>
      <c r="C441" s="309"/>
      <c r="D441" s="310"/>
    </row>
    <row r="442" spans="1:4" x14ac:dyDescent="0.25">
      <c r="A442" s="418" t="s">
        <v>4247</v>
      </c>
      <c r="B442">
        <v>1</v>
      </c>
      <c r="C442" s="309"/>
      <c r="D442" s="310"/>
    </row>
    <row r="443" spans="1:4" x14ac:dyDescent="0.25">
      <c r="A443" s="418" t="s">
        <v>11333</v>
      </c>
      <c r="B443">
        <v>7</v>
      </c>
      <c r="C443" s="309"/>
      <c r="D443" s="310"/>
    </row>
    <row r="444" spans="1:4" x14ac:dyDescent="0.25">
      <c r="A444" s="418" t="s">
        <v>11334</v>
      </c>
      <c r="B444">
        <v>5</v>
      </c>
      <c r="C444" s="309"/>
      <c r="D444" s="310"/>
    </row>
    <row r="445" spans="1:4" x14ac:dyDescent="0.25">
      <c r="A445" s="418" t="s">
        <v>12313</v>
      </c>
      <c r="B445">
        <v>1</v>
      </c>
      <c r="C445" s="309"/>
      <c r="D445" s="310"/>
    </row>
    <row r="446" spans="1:4" x14ac:dyDescent="0.25">
      <c r="A446" s="418" t="s">
        <v>11686</v>
      </c>
      <c r="B446">
        <v>3</v>
      </c>
      <c r="C446" s="309"/>
      <c r="D446" s="310"/>
    </row>
    <row r="447" spans="1:4" x14ac:dyDescent="0.25">
      <c r="A447" s="418" t="s">
        <v>4472</v>
      </c>
      <c r="B447">
        <v>1</v>
      </c>
      <c r="C447" s="309"/>
      <c r="D447" s="310"/>
    </row>
    <row r="448" spans="1:4" x14ac:dyDescent="0.25">
      <c r="A448" s="418" t="s">
        <v>4554</v>
      </c>
      <c r="B448">
        <v>3</v>
      </c>
      <c r="C448" s="309"/>
      <c r="D448" s="310"/>
    </row>
    <row r="449" spans="1:4" x14ac:dyDescent="0.25">
      <c r="A449" s="418" t="s">
        <v>4555</v>
      </c>
      <c r="B449">
        <v>5</v>
      </c>
      <c r="C449" s="309"/>
      <c r="D449" s="310"/>
    </row>
    <row r="450" spans="1:4" x14ac:dyDescent="0.25">
      <c r="A450" s="418" t="s">
        <v>4556</v>
      </c>
      <c r="B450">
        <v>3</v>
      </c>
      <c r="C450" s="309"/>
      <c r="D450" s="310"/>
    </row>
    <row r="451" spans="1:4" x14ac:dyDescent="0.25">
      <c r="A451" s="418" t="s">
        <v>4088</v>
      </c>
      <c r="B451">
        <v>1</v>
      </c>
      <c r="C451" s="309"/>
      <c r="D451" s="310"/>
    </row>
    <row r="452" spans="1:4" x14ac:dyDescent="0.25">
      <c r="A452" s="418" t="s">
        <v>11528</v>
      </c>
      <c r="B452">
        <v>2</v>
      </c>
      <c r="C452" s="309"/>
      <c r="D452" s="310"/>
    </row>
    <row r="453" spans="1:4" x14ac:dyDescent="0.25">
      <c r="A453" s="418" t="s">
        <v>16405</v>
      </c>
      <c r="B453">
        <v>1</v>
      </c>
      <c r="C453" s="309"/>
      <c r="D453" s="310"/>
    </row>
    <row r="454" spans="1:4" x14ac:dyDescent="0.25">
      <c r="A454" s="418" t="s">
        <v>6271</v>
      </c>
      <c r="B454">
        <v>3</v>
      </c>
      <c r="C454" s="309"/>
      <c r="D454" s="310"/>
    </row>
    <row r="455" spans="1:4" x14ac:dyDescent="0.25">
      <c r="A455" s="418" t="s">
        <v>6272</v>
      </c>
      <c r="B455">
        <v>3</v>
      </c>
      <c r="C455" s="309"/>
      <c r="D455" s="310"/>
    </row>
    <row r="456" spans="1:4" x14ac:dyDescent="0.25">
      <c r="A456" s="418" t="s">
        <v>6273</v>
      </c>
      <c r="B456">
        <v>3</v>
      </c>
      <c r="C456" s="309"/>
      <c r="D456" s="310"/>
    </row>
    <row r="457" spans="1:4" x14ac:dyDescent="0.25">
      <c r="A457" s="418" t="s">
        <v>7244</v>
      </c>
      <c r="B457">
        <v>1</v>
      </c>
      <c r="C457" s="309"/>
      <c r="D457" s="310"/>
    </row>
    <row r="458" spans="1:4" x14ac:dyDescent="0.25">
      <c r="A458" s="418" t="s">
        <v>4089</v>
      </c>
      <c r="B458">
        <v>3</v>
      </c>
      <c r="C458" s="309"/>
      <c r="D458" s="310"/>
    </row>
    <row r="459" spans="1:4" x14ac:dyDescent="0.25">
      <c r="A459" s="418" t="s">
        <v>4002</v>
      </c>
      <c r="B459">
        <v>1</v>
      </c>
      <c r="C459" s="309"/>
      <c r="D459" s="310"/>
    </row>
    <row r="460" spans="1:4" x14ac:dyDescent="0.25">
      <c r="A460" s="418" t="s">
        <v>4310</v>
      </c>
      <c r="B460">
        <v>1</v>
      </c>
      <c r="C460" s="309"/>
      <c r="D460" s="310"/>
    </row>
    <row r="461" spans="1:4" x14ac:dyDescent="0.25">
      <c r="A461" s="418" t="s">
        <v>4311</v>
      </c>
      <c r="B461">
        <v>4</v>
      </c>
      <c r="C461" s="309"/>
      <c r="D461" s="310"/>
    </row>
    <row r="462" spans="1:4" x14ac:dyDescent="0.25">
      <c r="A462" s="418" t="s">
        <v>4312</v>
      </c>
      <c r="B462">
        <v>2</v>
      </c>
      <c r="C462" s="309"/>
      <c r="D462" s="310"/>
    </row>
    <row r="463" spans="1:4" x14ac:dyDescent="0.25">
      <c r="A463" s="418" t="s">
        <v>4313</v>
      </c>
      <c r="B463">
        <v>2</v>
      </c>
      <c r="C463" s="309"/>
      <c r="D463" s="310"/>
    </row>
    <row r="464" spans="1:4" x14ac:dyDescent="0.25">
      <c r="A464" s="418" t="s">
        <v>5763</v>
      </c>
      <c r="B464">
        <v>1</v>
      </c>
      <c r="C464" s="309"/>
      <c r="D464" s="310"/>
    </row>
    <row r="465" spans="1:4" x14ac:dyDescent="0.25">
      <c r="A465" s="418" t="s">
        <v>10810</v>
      </c>
      <c r="B465">
        <v>3</v>
      </c>
      <c r="C465" s="309"/>
      <c r="D465" s="310"/>
    </row>
    <row r="466" spans="1:4" x14ac:dyDescent="0.25">
      <c r="A466" s="418" t="s">
        <v>10811</v>
      </c>
      <c r="B466">
        <v>3</v>
      </c>
      <c r="C466" s="309"/>
      <c r="D466" s="310"/>
    </row>
    <row r="467" spans="1:4" x14ac:dyDescent="0.25">
      <c r="A467" s="418" t="s">
        <v>10812</v>
      </c>
      <c r="B467">
        <v>3</v>
      </c>
      <c r="C467" s="309"/>
      <c r="D467" s="310"/>
    </row>
    <row r="468" spans="1:4" x14ac:dyDescent="0.25">
      <c r="A468" s="418" t="s">
        <v>10813</v>
      </c>
      <c r="B468">
        <v>3</v>
      </c>
      <c r="C468" s="309"/>
      <c r="D468" s="310"/>
    </row>
    <row r="469" spans="1:4" x14ac:dyDescent="0.25">
      <c r="A469" s="418" t="s">
        <v>4417</v>
      </c>
      <c r="B469">
        <v>1</v>
      </c>
      <c r="C469" s="309"/>
      <c r="D469" s="310"/>
    </row>
    <row r="470" spans="1:4" x14ac:dyDescent="0.25">
      <c r="A470" s="418" t="s">
        <v>4383</v>
      </c>
      <c r="B470">
        <v>1</v>
      </c>
      <c r="C470" s="309"/>
      <c r="D470" s="310"/>
    </row>
    <row r="471" spans="1:4" x14ac:dyDescent="0.25">
      <c r="A471" s="418" t="s">
        <v>4055</v>
      </c>
      <c r="B471">
        <v>2</v>
      </c>
      <c r="C471" s="309"/>
      <c r="D471" s="310"/>
    </row>
    <row r="472" spans="1:4" x14ac:dyDescent="0.25">
      <c r="A472" s="418" t="s">
        <v>4384</v>
      </c>
      <c r="B472">
        <v>1</v>
      </c>
      <c r="C472" s="309"/>
      <c r="D472" s="310"/>
    </row>
    <row r="473" spans="1:4" x14ac:dyDescent="0.25">
      <c r="A473" s="418" t="s">
        <v>4385</v>
      </c>
      <c r="B473">
        <v>2</v>
      </c>
      <c r="C473" s="309"/>
      <c r="D473" s="310"/>
    </row>
    <row r="474" spans="1:4" x14ac:dyDescent="0.25">
      <c r="A474" s="418" t="s">
        <v>7440</v>
      </c>
      <c r="B474">
        <v>3</v>
      </c>
      <c r="C474" s="309"/>
      <c r="D474" s="310"/>
    </row>
    <row r="475" spans="1:4" x14ac:dyDescent="0.25">
      <c r="A475" s="418" t="s">
        <v>7441</v>
      </c>
      <c r="B475">
        <v>3</v>
      </c>
      <c r="C475" s="309"/>
      <c r="D475" s="310"/>
    </row>
    <row r="476" spans="1:4" x14ac:dyDescent="0.25">
      <c r="A476" s="418" t="s">
        <v>7442</v>
      </c>
      <c r="B476">
        <v>3</v>
      </c>
      <c r="C476" s="309"/>
      <c r="D476" s="310"/>
    </row>
    <row r="477" spans="1:4" x14ac:dyDescent="0.25">
      <c r="A477" s="418" t="s">
        <v>8417</v>
      </c>
      <c r="B477">
        <v>3</v>
      </c>
      <c r="C477" s="309"/>
      <c r="D477" s="310"/>
    </row>
    <row r="478" spans="1:4" x14ac:dyDescent="0.25">
      <c r="A478" s="418" t="s">
        <v>7096</v>
      </c>
      <c r="B478">
        <v>3</v>
      </c>
      <c r="C478" s="309"/>
      <c r="D478" s="310"/>
    </row>
    <row r="479" spans="1:4" x14ac:dyDescent="0.25">
      <c r="A479" s="418" t="s">
        <v>17075</v>
      </c>
      <c r="B479">
        <v>3</v>
      </c>
      <c r="C479" s="309"/>
      <c r="D479" s="310"/>
    </row>
    <row r="480" spans="1:4" x14ac:dyDescent="0.25">
      <c r="A480" s="418" t="s">
        <v>5094</v>
      </c>
      <c r="B480">
        <v>3</v>
      </c>
      <c r="C480" s="309"/>
      <c r="D480" s="310"/>
    </row>
    <row r="481" spans="1:4" x14ac:dyDescent="0.25">
      <c r="A481" s="418" t="s">
        <v>4289</v>
      </c>
      <c r="B481">
        <v>3</v>
      </c>
      <c r="C481" s="309"/>
      <c r="D481" s="310"/>
    </row>
    <row r="482" spans="1:4" x14ac:dyDescent="0.25">
      <c r="A482" s="418" t="s">
        <v>5095</v>
      </c>
      <c r="B482">
        <v>3</v>
      </c>
      <c r="C482" s="309"/>
      <c r="D482" s="310"/>
    </row>
    <row r="483" spans="1:4" x14ac:dyDescent="0.25">
      <c r="A483" s="418" t="s">
        <v>5096</v>
      </c>
      <c r="B483">
        <v>2</v>
      </c>
      <c r="C483" s="309"/>
      <c r="D483" s="310"/>
    </row>
    <row r="484" spans="1:4" x14ac:dyDescent="0.25">
      <c r="A484" s="418" t="s">
        <v>5337</v>
      </c>
      <c r="B484">
        <v>5</v>
      </c>
      <c r="C484" s="309"/>
      <c r="D484" s="310"/>
    </row>
    <row r="485" spans="1:4" x14ac:dyDescent="0.25">
      <c r="A485" s="418" t="s">
        <v>5338</v>
      </c>
      <c r="B485">
        <v>6</v>
      </c>
      <c r="C485" s="309"/>
      <c r="D485" s="310"/>
    </row>
    <row r="486" spans="1:4" x14ac:dyDescent="0.25">
      <c r="A486" s="418" t="s">
        <v>5339</v>
      </c>
      <c r="B486">
        <v>3</v>
      </c>
      <c r="C486" s="309"/>
      <c r="D486" s="310"/>
    </row>
    <row r="487" spans="1:4" x14ac:dyDescent="0.25">
      <c r="A487" s="418" t="s">
        <v>7245</v>
      </c>
      <c r="B487">
        <v>3</v>
      </c>
      <c r="C487" s="309"/>
      <c r="D487" s="310"/>
    </row>
    <row r="488" spans="1:4" x14ac:dyDescent="0.25">
      <c r="A488" s="418" t="s">
        <v>6527</v>
      </c>
      <c r="B488">
        <v>1</v>
      </c>
      <c r="C488" s="309"/>
      <c r="D488" s="310"/>
    </row>
    <row r="489" spans="1:4" x14ac:dyDescent="0.25">
      <c r="A489" s="418" t="s">
        <v>4090</v>
      </c>
      <c r="B489">
        <v>15</v>
      </c>
      <c r="C489" s="309"/>
      <c r="D489" s="310"/>
    </row>
    <row r="490" spans="1:4" x14ac:dyDescent="0.25">
      <c r="A490" s="418" t="s">
        <v>4003</v>
      </c>
      <c r="B490">
        <v>16</v>
      </c>
      <c r="C490" s="309"/>
      <c r="D490" s="310"/>
    </row>
    <row r="491" spans="1:4" x14ac:dyDescent="0.25">
      <c r="A491" s="418" t="s">
        <v>4968</v>
      </c>
      <c r="B491">
        <v>10</v>
      </c>
      <c r="C491" s="309"/>
      <c r="D491" s="310"/>
    </row>
    <row r="492" spans="1:4" x14ac:dyDescent="0.25">
      <c r="A492" s="418" t="s">
        <v>4004</v>
      </c>
      <c r="B492">
        <v>7</v>
      </c>
      <c r="C492" s="309"/>
      <c r="D492" s="310"/>
    </row>
    <row r="493" spans="1:4" x14ac:dyDescent="0.25">
      <c r="A493" s="418" t="s">
        <v>4774</v>
      </c>
      <c r="B493">
        <v>13</v>
      </c>
      <c r="C493" s="309"/>
      <c r="D493" s="310"/>
    </row>
    <row r="494" spans="1:4" x14ac:dyDescent="0.25">
      <c r="A494" s="418" t="s">
        <v>4775</v>
      </c>
      <c r="B494">
        <v>17</v>
      </c>
      <c r="C494" s="309"/>
      <c r="D494" s="310"/>
    </row>
    <row r="495" spans="1:4" x14ac:dyDescent="0.25">
      <c r="A495" s="418" t="s">
        <v>8127</v>
      </c>
      <c r="B495">
        <v>6</v>
      </c>
      <c r="C495" s="309"/>
      <c r="D495" s="310"/>
    </row>
    <row r="496" spans="1:4" x14ac:dyDescent="0.25">
      <c r="A496" s="418" t="s">
        <v>5340</v>
      </c>
      <c r="B496">
        <v>4</v>
      </c>
      <c r="C496" s="309"/>
      <c r="D496" s="310"/>
    </row>
    <row r="497" spans="1:4" x14ac:dyDescent="0.25">
      <c r="A497" s="418" t="s">
        <v>17076</v>
      </c>
      <c r="B497">
        <v>2</v>
      </c>
      <c r="C497" s="309"/>
      <c r="D497" s="310"/>
    </row>
    <row r="498" spans="1:4" x14ac:dyDescent="0.25">
      <c r="A498" s="418" t="s">
        <v>6890</v>
      </c>
      <c r="B498">
        <v>4</v>
      </c>
      <c r="C498" s="309"/>
      <c r="D498" s="310"/>
    </row>
    <row r="499" spans="1:4" x14ac:dyDescent="0.25">
      <c r="A499" s="418" t="s">
        <v>6891</v>
      </c>
      <c r="B499">
        <v>1</v>
      </c>
      <c r="C499" s="309"/>
      <c r="D499" s="310"/>
    </row>
    <row r="500" spans="1:4" x14ac:dyDescent="0.25">
      <c r="A500" s="418" t="s">
        <v>3930</v>
      </c>
      <c r="B500">
        <v>1</v>
      </c>
      <c r="C500" s="309"/>
      <c r="D500" s="310"/>
    </row>
    <row r="501" spans="1:4" x14ac:dyDescent="0.25">
      <c r="A501" s="418" t="s">
        <v>4942</v>
      </c>
      <c r="B501">
        <v>3</v>
      </c>
      <c r="C501" s="309"/>
      <c r="D501" s="310"/>
    </row>
    <row r="502" spans="1:4" x14ac:dyDescent="0.25">
      <c r="A502" s="418" t="s">
        <v>4943</v>
      </c>
      <c r="B502">
        <v>3</v>
      </c>
      <c r="C502" s="309"/>
      <c r="D502" s="310"/>
    </row>
    <row r="503" spans="1:4" x14ac:dyDescent="0.25">
      <c r="A503" s="418" t="s">
        <v>6098</v>
      </c>
      <c r="B503">
        <v>2</v>
      </c>
      <c r="C503" s="309"/>
      <c r="D503" s="310"/>
    </row>
    <row r="504" spans="1:4" x14ac:dyDescent="0.25">
      <c r="A504" s="418" t="s">
        <v>6099</v>
      </c>
      <c r="B504">
        <v>3</v>
      </c>
      <c r="C504" s="309"/>
      <c r="D504" s="310"/>
    </row>
    <row r="505" spans="1:4" x14ac:dyDescent="0.25">
      <c r="A505" s="418" t="s">
        <v>4056</v>
      </c>
      <c r="B505">
        <v>6</v>
      </c>
      <c r="C505" s="309"/>
      <c r="D505" s="310"/>
    </row>
    <row r="506" spans="1:4" x14ac:dyDescent="0.25">
      <c r="A506" s="418" t="s">
        <v>4057</v>
      </c>
      <c r="B506">
        <v>6</v>
      </c>
      <c r="C506" s="309"/>
      <c r="D506" s="310"/>
    </row>
    <row r="507" spans="1:4" x14ac:dyDescent="0.25">
      <c r="A507" s="418" t="s">
        <v>5490</v>
      </c>
      <c r="B507">
        <v>3</v>
      </c>
      <c r="C507" s="309"/>
      <c r="D507" s="310"/>
    </row>
    <row r="508" spans="1:4" x14ac:dyDescent="0.25">
      <c r="A508" s="418" t="s">
        <v>5491</v>
      </c>
      <c r="B508">
        <v>6</v>
      </c>
      <c r="C508" s="309"/>
      <c r="D508" s="310"/>
    </row>
    <row r="509" spans="1:4" x14ac:dyDescent="0.25">
      <c r="A509" s="418" t="s">
        <v>4058</v>
      </c>
      <c r="B509">
        <v>7</v>
      </c>
      <c r="C509" s="309"/>
      <c r="D509" s="310"/>
    </row>
    <row r="510" spans="1:4" x14ac:dyDescent="0.25">
      <c r="A510" s="418" t="s">
        <v>4059</v>
      </c>
      <c r="B510">
        <v>6</v>
      </c>
      <c r="C510" s="309"/>
      <c r="D510" s="310"/>
    </row>
    <row r="511" spans="1:4" x14ac:dyDescent="0.25">
      <c r="A511" s="418" t="s">
        <v>6100</v>
      </c>
      <c r="B511">
        <v>6</v>
      </c>
      <c r="C511" s="309"/>
      <c r="D511" s="310"/>
    </row>
    <row r="512" spans="1:4" x14ac:dyDescent="0.25">
      <c r="A512" s="418" t="s">
        <v>7319</v>
      </c>
      <c r="B512">
        <v>2</v>
      </c>
      <c r="C512" s="309"/>
      <c r="D512" s="310"/>
    </row>
    <row r="513" spans="1:4" x14ac:dyDescent="0.25">
      <c r="A513" s="418" t="s">
        <v>5979</v>
      </c>
      <c r="B513">
        <v>2</v>
      </c>
      <c r="C513" s="309"/>
      <c r="D513" s="310"/>
    </row>
    <row r="514" spans="1:4" x14ac:dyDescent="0.25">
      <c r="A514" s="418" t="s">
        <v>7592</v>
      </c>
      <c r="B514">
        <v>1</v>
      </c>
      <c r="C514" s="309"/>
      <c r="D514" s="310"/>
    </row>
    <row r="515" spans="1:4" x14ac:dyDescent="0.25">
      <c r="A515" s="418" t="s">
        <v>5980</v>
      </c>
      <c r="B515">
        <v>1</v>
      </c>
      <c r="C515" s="309"/>
      <c r="D515" s="310"/>
    </row>
    <row r="516" spans="1:4" x14ac:dyDescent="0.25">
      <c r="A516" s="418" t="s">
        <v>5981</v>
      </c>
      <c r="B516">
        <v>1</v>
      </c>
      <c r="C516" s="309"/>
      <c r="D516" s="310"/>
    </row>
    <row r="517" spans="1:4" x14ac:dyDescent="0.25">
      <c r="A517" s="418" t="s">
        <v>5870</v>
      </c>
      <c r="B517">
        <v>2</v>
      </c>
      <c r="C517" s="309"/>
      <c r="D517" s="310"/>
    </row>
    <row r="518" spans="1:4" x14ac:dyDescent="0.25">
      <c r="A518" s="418" t="s">
        <v>5871</v>
      </c>
      <c r="B518">
        <v>5</v>
      </c>
      <c r="C518" s="309"/>
      <c r="D518" s="310"/>
    </row>
    <row r="519" spans="1:4" x14ac:dyDescent="0.25">
      <c r="A519" s="418" t="s">
        <v>5872</v>
      </c>
      <c r="B519">
        <v>3</v>
      </c>
      <c r="C519" s="309"/>
      <c r="D519" s="310"/>
    </row>
    <row r="520" spans="1:4" x14ac:dyDescent="0.25">
      <c r="A520" s="418" t="s">
        <v>5873</v>
      </c>
      <c r="B520">
        <v>2</v>
      </c>
      <c r="C520" s="309"/>
      <c r="D520" s="310"/>
    </row>
    <row r="521" spans="1:4" x14ac:dyDescent="0.25">
      <c r="A521" s="418" t="s">
        <v>4060</v>
      </c>
      <c r="B521">
        <v>3</v>
      </c>
      <c r="C521" s="309"/>
      <c r="D521" s="310"/>
    </row>
    <row r="522" spans="1:4" x14ac:dyDescent="0.25">
      <c r="A522" s="418" t="s">
        <v>4061</v>
      </c>
      <c r="B522">
        <v>3</v>
      </c>
      <c r="C522" s="309"/>
      <c r="D522" s="310"/>
    </row>
    <row r="523" spans="1:4" x14ac:dyDescent="0.25">
      <c r="A523" s="418" t="s">
        <v>6606</v>
      </c>
      <c r="B523">
        <v>1</v>
      </c>
      <c r="C523" s="309"/>
      <c r="D523" s="310"/>
    </row>
    <row r="524" spans="1:4" x14ac:dyDescent="0.25">
      <c r="A524" s="418" t="s">
        <v>7443</v>
      </c>
      <c r="B524">
        <v>5</v>
      </c>
      <c r="C524" s="309"/>
      <c r="D524" s="310"/>
    </row>
    <row r="525" spans="1:4" x14ac:dyDescent="0.25">
      <c r="A525" s="418" t="s">
        <v>7444</v>
      </c>
      <c r="B525">
        <v>6</v>
      </c>
      <c r="C525" s="309"/>
      <c r="D525" s="310"/>
    </row>
    <row r="526" spans="1:4" x14ac:dyDescent="0.25">
      <c r="A526" s="418" t="s">
        <v>7445</v>
      </c>
      <c r="B526">
        <v>5</v>
      </c>
      <c r="C526" s="309"/>
      <c r="D526" s="310"/>
    </row>
    <row r="527" spans="1:4" x14ac:dyDescent="0.25">
      <c r="A527" s="418" t="s">
        <v>8757</v>
      </c>
      <c r="B527">
        <v>2</v>
      </c>
      <c r="C527" s="309"/>
      <c r="D527" s="310"/>
    </row>
    <row r="528" spans="1:4" x14ac:dyDescent="0.25">
      <c r="A528" s="418" t="s">
        <v>5982</v>
      </c>
      <c r="B528">
        <v>3</v>
      </c>
      <c r="C528" s="309"/>
      <c r="D528" s="310"/>
    </row>
    <row r="529" spans="1:4" x14ac:dyDescent="0.25">
      <c r="A529" s="418" t="s">
        <v>6607</v>
      </c>
      <c r="B529">
        <v>3</v>
      </c>
      <c r="C529" s="309"/>
      <c r="D529" s="310"/>
    </row>
    <row r="530" spans="1:4" x14ac:dyDescent="0.25">
      <c r="A530" s="418" t="s">
        <v>7320</v>
      </c>
      <c r="B530">
        <v>3</v>
      </c>
      <c r="C530" s="309"/>
      <c r="D530" s="310"/>
    </row>
    <row r="531" spans="1:4" x14ac:dyDescent="0.25">
      <c r="A531" s="418" t="s">
        <v>6608</v>
      </c>
      <c r="B531">
        <v>3</v>
      </c>
      <c r="C531" s="309"/>
      <c r="D531" s="310"/>
    </row>
    <row r="532" spans="1:4" x14ac:dyDescent="0.25">
      <c r="A532" s="418" t="s">
        <v>4062</v>
      </c>
      <c r="B532">
        <v>1</v>
      </c>
      <c r="C532" s="309"/>
      <c r="D532" s="310"/>
    </row>
    <row r="533" spans="1:4" x14ac:dyDescent="0.25">
      <c r="A533" s="418" t="s">
        <v>4063</v>
      </c>
      <c r="B533">
        <v>1</v>
      </c>
      <c r="C533" s="309"/>
      <c r="D533" s="310"/>
    </row>
    <row r="534" spans="1:4" x14ac:dyDescent="0.25">
      <c r="A534" s="418" t="s">
        <v>4064</v>
      </c>
      <c r="B534">
        <v>4</v>
      </c>
      <c r="C534" s="309"/>
      <c r="D534" s="310"/>
    </row>
    <row r="535" spans="1:4" x14ac:dyDescent="0.25">
      <c r="A535" s="418" t="s">
        <v>4065</v>
      </c>
      <c r="B535">
        <v>3</v>
      </c>
      <c r="C535" s="309"/>
      <c r="D535" s="310"/>
    </row>
    <row r="536" spans="1:4" x14ac:dyDescent="0.25">
      <c r="A536" s="418" t="s">
        <v>4557</v>
      </c>
      <c r="B536">
        <v>1</v>
      </c>
      <c r="C536" s="309"/>
      <c r="D536" s="310"/>
    </row>
    <row r="537" spans="1:4" x14ac:dyDescent="0.25">
      <c r="A537" s="418" t="s">
        <v>6842</v>
      </c>
      <c r="B537">
        <v>1</v>
      </c>
      <c r="C537" s="309"/>
      <c r="D537" s="310"/>
    </row>
    <row r="538" spans="1:4" x14ac:dyDescent="0.25">
      <c r="A538" s="418" t="s">
        <v>5874</v>
      </c>
      <c r="B538">
        <v>1</v>
      </c>
      <c r="C538" s="309"/>
      <c r="D538" s="310"/>
    </row>
    <row r="539" spans="1:4" x14ac:dyDescent="0.25">
      <c r="A539" s="418" t="s">
        <v>5875</v>
      </c>
      <c r="B539">
        <v>1</v>
      </c>
      <c r="C539" s="309"/>
      <c r="D539" s="310"/>
    </row>
    <row r="540" spans="1:4" x14ac:dyDescent="0.25">
      <c r="A540" s="418" t="s">
        <v>16198</v>
      </c>
      <c r="B540">
        <v>2</v>
      </c>
      <c r="C540" s="309"/>
      <c r="D540" s="310"/>
    </row>
    <row r="541" spans="1:4" x14ac:dyDescent="0.25">
      <c r="A541" s="418" t="s">
        <v>16199</v>
      </c>
      <c r="B541">
        <v>1</v>
      </c>
      <c r="C541" s="309"/>
      <c r="D541" s="310"/>
    </row>
    <row r="542" spans="1:4" x14ac:dyDescent="0.25">
      <c r="A542" s="418" t="s">
        <v>16200</v>
      </c>
      <c r="B542">
        <v>2</v>
      </c>
      <c r="C542" s="309"/>
      <c r="D542" s="310"/>
    </row>
    <row r="543" spans="1:4" x14ac:dyDescent="0.25">
      <c r="A543" s="418" t="s">
        <v>5936</v>
      </c>
      <c r="B543">
        <v>1</v>
      </c>
      <c r="C543" s="309"/>
      <c r="D543" s="310"/>
    </row>
    <row r="544" spans="1:4" x14ac:dyDescent="0.25">
      <c r="A544" s="418" t="s">
        <v>3817</v>
      </c>
      <c r="B544">
        <v>1</v>
      </c>
      <c r="C544" s="309"/>
      <c r="D544" s="310"/>
    </row>
    <row r="545" spans="1:4" x14ac:dyDescent="0.25">
      <c r="A545" s="418" t="s">
        <v>4776</v>
      </c>
      <c r="B545">
        <v>2</v>
      </c>
      <c r="C545" s="309"/>
      <c r="D545" s="310"/>
    </row>
    <row r="546" spans="1:4" x14ac:dyDescent="0.25">
      <c r="A546" s="418" t="s">
        <v>3818</v>
      </c>
      <c r="B546">
        <v>2</v>
      </c>
      <c r="C546" s="309"/>
      <c r="D546" s="310"/>
    </row>
    <row r="547" spans="1:4" x14ac:dyDescent="0.25">
      <c r="A547" s="418" t="s">
        <v>4355</v>
      </c>
      <c r="B547">
        <v>1</v>
      </c>
      <c r="C547" s="309"/>
      <c r="D547" s="310"/>
    </row>
    <row r="548" spans="1:4" x14ac:dyDescent="0.25">
      <c r="A548" s="418" t="s">
        <v>4777</v>
      </c>
      <c r="B548">
        <v>2</v>
      </c>
      <c r="C548" s="309"/>
      <c r="D548" s="310"/>
    </row>
    <row r="549" spans="1:4" x14ac:dyDescent="0.25">
      <c r="A549" s="418" t="s">
        <v>9801</v>
      </c>
      <c r="B549">
        <v>3</v>
      </c>
      <c r="C549" s="309"/>
      <c r="D549" s="310"/>
    </row>
    <row r="550" spans="1:4" x14ac:dyDescent="0.25">
      <c r="A550" s="418" t="s">
        <v>9802</v>
      </c>
      <c r="B550">
        <v>3</v>
      </c>
      <c r="C550" s="309"/>
      <c r="D550" s="310"/>
    </row>
    <row r="551" spans="1:4" x14ac:dyDescent="0.25">
      <c r="A551" s="418" t="s">
        <v>9803</v>
      </c>
      <c r="B551">
        <v>3</v>
      </c>
      <c r="C551" s="309"/>
      <c r="D551" s="310"/>
    </row>
    <row r="552" spans="1:4" x14ac:dyDescent="0.25">
      <c r="A552" s="418" t="s">
        <v>9804</v>
      </c>
      <c r="B552">
        <v>2</v>
      </c>
      <c r="C552" s="309"/>
      <c r="D552" s="310"/>
    </row>
    <row r="553" spans="1:4" x14ac:dyDescent="0.25">
      <c r="A553" s="418" t="s">
        <v>9516</v>
      </c>
      <c r="B553">
        <v>1</v>
      </c>
      <c r="C553" s="309"/>
      <c r="D553" s="310"/>
    </row>
    <row r="554" spans="1:4" x14ac:dyDescent="0.25">
      <c r="A554" s="418" t="s">
        <v>4418</v>
      </c>
      <c r="B554">
        <v>6</v>
      </c>
      <c r="C554" s="309"/>
      <c r="D554" s="310"/>
    </row>
    <row r="555" spans="1:4" x14ac:dyDescent="0.25">
      <c r="A555" s="418" t="s">
        <v>5256</v>
      </c>
      <c r="B555">
        <v>4</v>
      </c>
      <c r="C555" s="309"/>
      <c r="D555" s="310"/>
    </row>
    <row r="556" spans="1:4" x14ac:dyDescent="0.25">
      <c r="A556" s="418" t="s">
        <v>5638</v>
      </c>
      <c r="B556">
        <v>3</v>
      </c>
      <c r="C556" s="309"/>
      <c r="D556" s="310"/>
    </row>
    <row r="557" spans="1:4" x14ac:dyDescent="0.25">
      <c r="A557" s="418" t="s">
        <v>5257</v>
      </c>
      <c r="B557">
        <v>3</v>
      </c>
      <c r="C557" s="309"/>
      <c r="D557" s="310"/>
    </row>
    <row r="558" spans="1:4" x14ac:dyDescent="0.25">
      <c r="A558" s="418" t="s">
        <v>6933</v>
      </c>
      <c r="B558">
        <v>2</v>
      </c>
      <c r="C558" s="309"/>
      <c r="D558" s="310"/>
    </row>
    <row r="559" spans="1:4" x14ac:dyDescent="0.25">
      <c r="A559" s="418" t="s">
        <v>5937</v>
      </c>
      <c r="B559">
        <v>3</v>
      </c>
      <c r="C559" s="309"/>
      <c r="D559" s="310"/>
    </row>
    <row r="560" spans="1:4" x14ac:dyDescent="0.25">
      <c r="A560" s="418" t="s">
        <v>4473</v>
      </c>
      <c r="B560">
        <v>2</v>
      </c>
      <c r="C560" s="309"/>
      <c r="D560" s="310"/>
    </row>
    <row r="561" spans="1:4" x14ac:dyDescent="0.25">
      <c r="A561" s="418" t="s">
        <v>4474</v>
      </c>
      <c r="B561">
        <v>2</v>
      </c>
      <c r="C561" s="309"/>
      <c r="D561" s="310"/>
    </row>
    <row r="562" spans="1:4" x14ac:dyDescent="0.25">
      <c r="A562" s="418" t="s">
        <v>4475</v>
      </c>
      <c r="B562">
        <v>1</v>
      </c>
      <c r="C562" s="309"/>
      <c r="D562" s="310"/>
    </row>
    <row r="563" spans="1:4" x14ac:dyDescent="0.25">
      <c r="A563" s="418" t="s">
        <v>7593</v>
      </c>
      <c r="B563">
        <v>1</v>
      </c>
      <c r="C563" s="309"/>
      <c r="D563" s="310"/>
    </row>
    <row r="564" spans="1:4" x14ac:dyDescent="0.25">
      <c r="A564" s="418" t="s">
        <v>7594</v>
      </c>
      <c r="B564">
        <v>1</v>
      </c>
      <c r="C564" s="309"/>
      <c r="D564" s="310"/>
    </row>
    <row r="565" spans="1:4" x14ac:dyDescent="0.25">
      <c r="A565" s="418" t="s">
        <v>6649</v>
      </c>
      <c r="B565">
        <v>3</v>
      </c>
      <c r="C565" s="309"/>
      <c r="D565" s="310"/>
    </row>
    <row r="566" spans="1:4" x14ac:dyDescent="0.25">
      <c r="A566" s="418" t="s">
        <v>6650</v>
      </c>
      <c r="B566">
        <v>5</v>
      </c>
      <c r="C566" s="309"/>
      <c r="D566" s="310"/>
    </row>
    <row r="567" spans="1:4" x14ac:dyDescent="0.25">
      <c r="A567" s="418" t="s">
        <v>6934</v>
      </c>
      <c r="B567">
        <v>4</v>
      </c>
      <c r="C567" s="309"/>
      <c r="D567" s="310"/>
    </row>
    <row r="568" spans="1:4" x14ac:dyDescent="0.25">
      <c r="A568" s="418" t="s">
        <v>9902</v>
      </c>
      <c r="B568">
        <v>1</v>
      </c>
      <c r="C568" s="309"/>
      <c r="D568" s="310"/>
    </row>
    <row r="569" spans="1:4" x14ac:dyDescent="0.25">
      <c r="A569" s="418" t="s">
        <v>5027</v>
      </c>
      <c r="B569">
        <v>4</v>
      </c>
      <c r="C569" s="309"/>
      <c r="D569" s="310"/>
    </row>
    <row r="570" spans="1:4" x14ac:dyDescent="0.25">
      <c r="A570" s="418" t="s">
        <v>4778</v>
      </c>
      <c r="B570">
        <v>5</v>
      </c>
      <c r="C570" s="309"/>
      <c r="D570" s="310"/>
    </row>
    <row r="571" spans="1:4" x14ac:dyDescent="0.25">
      <c r="A571" s="418" t="s">
        <v>7446</v>
      </c>
      <c r="B571">
        <v>3</v>
      </c>
      <c r="C571" s="309"/>
      <c r="D571" s="310"/>
    </row>
    <row r="572" spans="1:4" x14ac:dyDescent="0.25">
      <c r="A572" s="418" t="s">
        <v>4091</v>
      </c>
      <c r="B572">
        <v>7</v>
      </c>
      <c r="C572" s="309"/>
      <c r="D572" s="310"/>
    </row>
    <row r="573" spans="1:4" x14ac:dyDescent="0.25">
      <c r="A573" s="418" t="s">
        <v>4005</v>
      </c>
      <c r="B573">
        <v>12</v>
      </c>
      <c r="C573" s="309"/>
      <c r="D573" s="310"/>
    </row>
    <row r="574" spans="1:4" x14ac:dyDescent="0.25">
      <c r="A574" s="418" t="s">
        <v>4356</v>
      </c>
      <c r="B574">
        <v>5</v>
      </c>
      <c r="C574" s="309"/>
      <c r="D574" s="310"/>
    </row>
    <row r="575" spans="1:4" x14ac:dyDescent="0.25">
      <c r="A575" s="418" t="s">
        <v>4006</v>
      </c>
      <c r="B575">
        <v>3</v>
      </c>
      <c r="C575" s="309"/>
      <c r="D575" s="310"/>
    </row>
    <row r="576" spans="1:4" x14ac:dyDescent="0.25">
      <c r="A576" s="418" t="s">
        <v>4779</v>
      </c>
      <c r="B576">
        <v>3</v>
      </c>
      <c r="C576" s="309"/>
      <c r="D576" s="310"/>
    </row>
    <row r="577" spans="1:4" x14ac:dyDescent="0.25">
      <c r="A577" s="418" t="s">
        <v>4780</v>
      </c>
      <c r="B577">
        <v>3</v>
      </c>
      <c r="C577" s="309"/>
      <c r="D577" s="310"/>
    </row>
    <row r="578" spans="1:4" x14ac:dyDescent="0.25">
      <c r="A578" s="418" t="s">
        <v>6132</v>
      </c>
      <c r="B578">
        <v>2</v>
      </c>
      <c r="C578" s="309"/>
      <c r="D578" s="310"/>
    </row>
    <row r="579" spans="1:4" x14ac:dyDescent="0.25">
      <c r="A579" s="418" t="s">
        <v>5278</v>
      </c>
      <c r="B579">
        <v>5</v>
      </c>
      <c r="C579" s="309"/>
      <c r="D579" s="310"/>
    </row>
    <row r="580" spans="1:4" x14ac:dyDescent="0.25">
      <c r="A580" s="418" t="s">
        <v>5028</v>
      </c>
      <c r="B580">
        <v>4</v>
      </c>
      <c r="C580" s="309"/>
      <c r="D580" s="310"/>
    </row>
    <row r="581" spans="1:4" x14ac:dyDescent="0.25">
      <c r="A581" s="418" t="s">
        <v>5938</v>
      </c>
      <c r="B581">
        <v>4</v>
      </c>
      <c r="C581" s="309"/>
      <c r="D581" s="310"/>
    </row>
    <row r="582" spans="1:4" x14ac:dyDescent="0.25">
      <c r="A582" s="418" t="s">
        <v>7038</v>
      </c>
      <c r="B582">
        <v>1</v>
      </c>
      <c r="C582" s="309"/>
      <c r="D582" s="310"/>
    </row>
    <row r="583" spans="1:4" x14ac:dyDescent="0.25">
      <c r="A583" s="418" t="s">
        <v>4290</v>
      </c>
      <c r="B583">
        <v>1</v>
      </c>
      <c r="C583" s="309"/>
      <c r="D583" s="310"/>
    </row>
    <row r="584" spans="1:4" x14ac:dyDescent="0.25">
      <c r="A584" s="418" t="s">
        <v>4860</v>
      </c>
      <c r="B584">
        <v>1</v>
      </c>
      <c r="C584" s="309"/>
      <c r="D584" s="310"/>
    </row>
    <row r="585" spans="1:4" x14ac:dyDescent="0.25">
      <c r="A585" s="418" t="s">
        <v>7285</v>
      </c>
      <c r="B585">
        <v>5</v>
      </c>
      <c r="C585" s="309"/>
      <c r="D585" s="310"/>
    </row>
    <row r="586" spans="1:4" x14ac:dyDescent="0.25">
      <c r="A586" s="418" t="s">
        <v>6843</v>
      </c>
      <c r="B586">
        <v>5</v>
      </c>
      <c r="C586" s="309"/>
      <c r="D586" s="310"/>
    </row>
    <row r="587" spans="1:4" x14ac:dyDescent="0.25">
      <c r="A587" s="418" t="s">
        <v>8176</v>
      </c>
      <c r="B587">
        <v>3</v>
      </c>
      <c r="C587" s="309"/>
      <c r="D587" s="310"/>
    </row>
    <row r="588" spans="1:4" x14ac:dyDescent="0.25">
      <c r="A588" s="418" t="s">
        <v>7286</v>
      </c>
      <c r="B588">
        <v>3</v>
      </c>
      <c r="C588" s="309"/>
      <c r="D588" s="310"/>
    </row>
    <row r="589" spans="1:4" x14ac:dyDescent="0.25">
      <c r="A589" s="418" t="s">
        <v>5279</v>
      </c>
      <c r="B589">
        <v>3</v>
      </c>
      <c r="C589" s="309"/>
      <c r="D589" s="310"/>
    </row>
    <row r="590" spans="1:4" x14ac:dyDescent="0.25">
      <c r="A590" s="418" t="s">
        <v>5983</v>
      </c>
      <c r="B590">
        <v>4</v>
      </c>
      <c r="C590" s="309"/>
      <c r="D590" s="310"/>
    </row>
    <row r="591" spans="1:4" x14ac:dyDescent="0.25">
      <c r="A591" s="418" t="s">
        <v>5984</v>
      </c>
      <c r="B591">
        <v>3</v>
      </c>
      <c r="C591" s="309"/>
      <c r="D591" s="310"/>
    </row>
    <row r="592" spans="1:4" x14ac:dyDescent="0.25">
      <c r="A592" s="418" t="s">
        <v>6609</v>
      </c>
      <c r="B592">
        <v>1</v>
      </c>
      <c r="C592" s="309"/>
      <c r="D592" s="310"/>
    </row>
    <row r="593" spans="1:4" x14ac:dyDescent="0.25">
      <c r="A593" s="418" t="s">
        <v>4944</v>
      </c>
      <c r="B593">
        <v>3</v>
      </c>
      <c r="C593" s="309"/>
      <c r="D593" s="310"/>
    </row>
    <row r="594" spans="1:4" x14ac:dyDescent="0.25">
      <c r="A594" s="418" t="s">
        <v>4945</v>
      </c>
      <c r="B594">
        <v>3</v>
      </c>
      <c r="C594" s="309"/>
      <c r="D594" s="310"/>
    </row>
    <row r="595" spans="1:4" x14ac:dyDescent="0.25">
      <c r="A595" s="418" t="s">
        <v>4946</v>
      </c>
      <c r="B595">
        <v>1</v>
      </c>
      <c r="C595" s="309"/>
      <c r="D595" s="310"/>
    </row>
    <row r="596" spans="1:4" x14ac:dyDescent="0.25">
      <c r="A596" s="418" t="s">
        <v>8559</v>
      </c>
      <c r="B596">
        <v>2</v>
      </c>
      <c r="C596" s="309"/>
      <c r="D596" s="310"/>
    </row>
    <row r="597" spans="1:4" x14ac:dyDescent="0.25">
      <c r="A597" s="418" t="s">
        <v>4248</v>
      </c>
      <c r="B597">
        <v>3</v>
      </c>
      <c r="C597" s="309"/>
      <c r="D597" s="310"/>
    </row>
    <row r="598" spans="1:4" x14ac:dyDescent="0.25">
      <c r="A598" s="418" t="s">
        <v>4249</v>
      </c>
      <c r="B598">
        <v>3</v>
      </c>
      <c r="C598" s="309"/>
      <c r="D598" s="310"/>
    </row>
    <row r="599" spans="1:4" x14ac:dyDescent="0.25">
      <c r="A599" s="418" t="s">
        <v>4250</v>
      </c>
      <c r="B599">
        <v>3</v>
      </c>
      <c r="C599" s="309"/>
      <c r="D599" s="310"/>
    </row>
    <row r="600" spans="1:4" x14ac:dyDescent="0.25">
      <c r="A600" s="418" t="s">
        <v>4314</v>
      </c>
      <c r="B600">
        <v>1</v>
      </c>
      <c r="C600" s="309"/>
      <c r="D600" s="310"/>
    </row>
    <row r="601" spans="1:4" x14ac:dyDescent="0.25">
      <c r="A601" s="418" t="s">
        <v>4315</v>
      </c>
      <c r="B601">
        <v>1</v>
      </c>
      <c r="C601" s="309"/>
      <c r="D601" s="310"/>
    </row>
    <row r="602" spans="1:4" x14ac:dyDescent="0.25">
      <c r="A602" s="418" t="s">
        <v>4007</v>
      </c>
      <c r="B602">
        <v>10</v>
      </c>
      <c r="C602" s="309"/>
      <c r="D602" s="310"/>
    </row>
    <row r="603" spans="1:4" x14ac:dyDescent="0.25">
      <c r="A603" s="418" t="s">
        <v>7287</v>
      </c>
      <c r="B603">
        <v>9</v>
      </c>
      <c r="C603" s="309"/>
      <c r="D603" s="310"/>
    </row>
    <row r="604" spans="1:4" x14ac:dyDescent="0.25">
      <c r="A604" s="418" t="s">
        <v>4008</v>
      </c>
      <c r="B604">
        <v>10</v>
      </c>
      <c r="C604" s="309"/>
      <c r="D604" s="310"/>
    </row>
    <row r="605" spans="1:4" x14ac:dyDescent="0.25">
      <c r="A605" s="418" t="s">
        <v>9411</v>
      </c>
      <c r="B605">
        <v>5</v>
      </c>
      <c r="C605" s="309"/>
      <c r="D605" s="310"/>
    </row>
    <row r="606" spans="1:4" x14ac:dyDescent="0.25">
      <c r="A606" s="418" t="s">
        <v>7764</v>
      </c>
      <c r="B606">
        <v>4</v>
      </c>
      <c r="C606" s="309"/>
      <c r="D606" s="310"/>
    </row>
    <row r="607" spans="1:4" x14ac:dyDescent="0.25">
      <c r="A607" s="418" t="s">
        <v>7765</v>
      </c>
      <c r="B607">
        <v>4</v>
      </c>
      <c r="C607" s="309"/>
      <c r="D607" s="310"/>
    </row>
    <row r="608" spans="1:4" x14ac:dyDescent="0.25">
      <c r="A608" s="418" t="s">
        <v>5258</v>
      </c>
      <c r="B608">
        <v>1</v>
      </c>
      <c r="C608" s="309"/>
      <c r="D608" s="310"/>
    </row>
    <row r="609" spans="1:4" x14ac:dyDescent="0.25">
      <c r="A609" s="418" t="s">
        <v>5259</v>
      </c>
      <c r="B609">
        <v>1</v>
      </c>
      <c r="C609" s="309"/>
      <c r="D609" s="310"/>
    </row>
    <row r="610" spans="1:4" x14ac:dyDescent="0.25">
      <c r="A610" s="418" t="s">
        <v>4781</v>
      </c>
      <c r="B610">
        <v>5</v>
      </c>
      <c r="C610" s="309"/>
      <c r="D610" s="310"/>
    </row>
    <row r="611" spans="1:4" x14ac:dyDescent="0.25">
      <c r="A611" s="418" t="s">
        <v>4782</v>
      </c>
      <c r="B611">
        <v>4</v>
      </c>
      <c r="C611" s="309"/>
      <c r="D611" s="310"/>
    </row>
    <row r="612" spans="1:4" x14ac:dyDescent="0.25">
      <c r="A612" s="418" t="s">
        <v>10444</v>
      </c>
      <c r="B612">
        <v>1</v>
      </c>
      <c r="C612" s="309"/>
      <c r="D612" s="310"/>
    </row>
    <row r="613" spans="1:4" x14ac:dyDescent="0.25">
      <c r="A613" s="418" t="s">
        <v>5939</v>
      </c>
      <c r="B613">
        <v>3</v>
      </c>
      <c r="C613" s="309"/>
      <c r="D613" s="310"/>
    </row>
    <row r="614" spans="1:4" x14ac:dyDescent="0.25">
      <c r="A614" s="418" t="s">
        <v>4476</v>
      </c>
      <c r="B614">
        <v>1</v>
      </c>
      <c r="C614" s="309"/>
      <c r="D614" s="310"/>
    </row>
    <row r="615" spans="1:4" x14ac:dyDescent="0.25">
      <c r="A615" s="418" t="s">
        <v>4477</v>
      </c>
      <c r="B615">
        <v>1</v>
      </c>
      <c r="C615" s="309"/>
      <c r="D615" s="310"/>
    </row>
    <row r="616" spans="1:4" x14ac:dyDescent="0.25">
      <c r="A616" s="418" t="s">
        <v>4251</v>
      </c>
      <c r="B616">
        <v>1</v>
      </c>
      <c r="C616" s="309"/>
      <c r="D616" s="310"/>
    </row>
    <row r="617" spans="1:4" x14ac:dyDescent="0.25">
      <c r="A617" s="418" t="s">
        <v>5260</v>
      </c>
      <c r="B617">
        <v>3</v>
      </c>
      <c r="C617" s="309"/>
      <c r="D617" s="310"/>
    </row>
    <row r="618" spans="1:4" x14ac:dyDescent="0.25">
      <c r="A618" s="418" t="s">
        <v>4947</v>
      </c>
      <c r="B618">
        <v>3</v>
      </c>
      <c r="C618" s="309"/>
      <c r="D618" s="310"/>
    </row>
    <row r="619" spans="1:4" x14ac:dyDescent="0.25">
      <c r="A619" s="418" t="s">
        <v>4948</v>
      </c>
      <c r="B619">
        <v>3</v>
      </c>
      <c r="C619" s="309"/>
      <c r="D619" s="310"/>
    </row>
    <row r="620" spans="1:4" x14ac:dyDescent="0.25">
      <c r="A620" s="418" t="s">
        <v>4949</v>
      </c>
      <c r="B620">
        <v>3</v>
      </c>
      <c r="C620" s="309"/>
      <c r="D620" s="310"/>
    </row>
    <row r="621" spans="1:4" x14ac:dyDescent="0.25">
      <c r="A621" s="418" t="s">
        <v>4478</v>
      </c>
      <c r="B621">
        <v>1</v>
      </c>
      <c r="C621" s="309"/>
      <c r="D621" s="310"/>
    </row>
    <row r="622" spans="1:4" x14ac:dyDescent="0.25">
      <c r="A622" s="418" t="s">
        <v>4357</v>
      </c>
      <c r="B622">
        <v>3</v>
      </c>
      <c r="C622" s="309"/>
      <c r="D622" s="310"/>
    </row>
    <row r="623" spans="1:4" x14ac:dyDescent="0.25">
      <c r="A623" s="418" t="s">
        <v>4358</v>
      </c>
      <c r="B623">
        <v>3</v>
      </c>
      <c r="C623" s="309"/>
      <c r="D623" s="310"/>
    </row>
    <row r="624" spans="1:4" x14ac:dyDescent="0.25">
      <c r="A624" s="418" t="s">
        <v>4359</v>
      </c>
      <c r="B624">
        <v>1</v>
      </c>
      <c r="C624" s="309"/>
      <c r="D624" s="310"/>
    </row>
    <row r="625" spans="1:4" x14ac:dyDescent="0.25">
      <c r="A625" s="418" t="s">
        <v>4360</v>
      </c>
      <c r="B625">
        <v>1</v>
      </c>
      <c r="C625" s="309"/>
      <c r="D625" s="310"/>
    </row>
    <row r="626" spans="1:4" x14ac:dyDescent="0.25">
      <c r="A626" s="418" t="s">
        <v>5341</v>
      </c>
      <c r="B626">
        <v>3</v>
      </c>
      <c r="C626" s="309"/>
      <c r="D626" s="310"/>
    </row>
    <row r="627" spans="1:4" x14ac:dyDescent="0.25">
      <c r="A627" s="418" t="s">
        <v>5342</v>
      </c>
      <c r="B627">
        <v>3</v>
      </c>
      <c r="C627" s="309"/>
      <c r="D627" s="310"/>
    </row>
    <row r="628" spans="1:4" x14ac:dyDescent="0.25">
      <c r="A628" s="418" t="s">
        <v>5343</v>
      </c>
      <c r="B628">
        <v>3</v>
      </c>
      <c r="C628" s="309"/>
      <c r="D628" s="310"/>
    </row>
    <row r="629" spans="1:4" x14ac:dyDescent="0.25">
      <c r="A629" s="418" t="s">
        <v>5764</v>
      </c>
      <c r="B629">
        <v>2</v>
      </c>
      <c r="C629" s="309"/>
      <c r="D629" s="310"/>
    </row>
    <row r="630" spans="1:4" x14ac:dyDescent="0.25">
      <c r="A630" s="418" t="s">
        <v>7595</v>
      </c>
      <c r="B630">
        <v>2</v>
      </c>
      <c r="C630" s="309"/>
      <c r="D630" s="310"/>
    </row>
    <row r="631" spans="1:4" x14ac:dyDescent="0.25">
      <c r="A631" s="418" t="s">
        <v>7321</v>
      </c>
      <c r="B631">
        <v>2</v>
      </c>
      <c r="C631" s="309"/>
      <c r="D631" s="310"/>
    </row>
    <row r="632" spans="1:4" x14ac:dyDescent="0.25">
      <c r="A632" s="418" t="s">
        <v>6525</v>
      </c>
      <c r="B632">
        <v>1</v>
      </c>
      <c r="C632" s="309"/>
      <c r="D632" s="310"/>
    </row>
    <row r="633" spans="1:4" x14ac:dyDescent="0.25">
      <c r="A633" s="418" t="s">
        <v>6610</v>
      </c>
      <c r="B633">
        <v>2</v>
      </c>
      <c r="C633" s="309"/>
      <c r="D633" s="310"/>
    </row>
    <row r="634" spans="1:4" x14ac:dyDescent="0.25">
      <c r="A634" s="418" t="s">
        <v>11094</v>
      </c>
      <c r="B634">
        <v>3</v>
      </c>
      <c r="C634" s="309"/>
      <c r="D634" s="310"/>
    </row>
    <row r="635" spans="1:4" x14ac:dyDescent="0.25">
      <c r="A635" s="418" t="s">
        <v>11529</v>
      </c>
      <c r="B635">
        <v>2</v>
      </c>
      <c r="C635" s="309"/>
      <c r="D635" s="310"/>
    </row>
    <row r="636" spans="1:4" x14ac:dyDescent="0.25">
      <c r="A636" s="418" t="s">
        <v>11095</v>
      </c>
      <c r="B636">
        <v>1</v>
      </c>
      <c r="C636" s="309"/>
      <c r="D636" s="310"/>
    </row>
    <row r="637" spans="1:4" x14ac:dyDescent="0.25">
      <c r="A637" s="418" t="s">
        <v>4950</v>
      </c>
      <c r="B637">
        <v>3</v>
      </c>
      <c r="C637" s="309"/>
      <c r="D637" s="310"/>
    </row>
    <row r="638" spans="1:4" x14ac:dyDescent="0.25">
      <c r="A638" s="418" t="s">
        <v>4951</v>
      </c>
      <c r="B638">
        <v>3</v>
      </c>
      <c r="C638" s="309"/>
      <c r="D638" s="310"/>
    </row>
    <row r="639" spans="1:4" x14ac:dyDescent="0.25">
      <c r="A639" s="418" t="s">
        <v>4952</v>
      </c>
      <c r="B639">
        <v>3</v>
      </c>
      <c r="C639" s="309"/>
      <c r="D639" s="310"/>
    </row>
    <row r="640" spans="1:4" x14ac:dyDescent="0.25">
      <c r="A640" s="418" t="s">
        <v>6935</v>
      </c>
      <c r="B640">
        <v>7</v>
      </c>
      <c r="C640" s="309"/>
      <c r="D640" s="310"/>
    </row>
    <row r="641" spans="1:4" x14ac:dyDescent="0.25">
      <c r="A641" s="418" t="s">
        <v>5479</v>
      </c>
      <c r="B641">
        <v>8</v>
      </c>
      <c r="C641" s="309"/>
      <c r="D641" s="310"/>
    </row>
    <row r="642" spans="1:4" x14ac:dyDescent="0.25">
      <c r="A642" s="418" t="s">
        <v>7097</v>
      </c>
      <c r="B642">
        <v>4</v>
      </c>
      <c r="C642" s="309"/>
      <c r="D642" s="310"/>
    </row>
    <row r="643" spans="1:4" x14ac:dyDescent="0.25">
      <c r="A643" s="418" t="s">
        <v>7098</v>
      </c>
      <c r="B643">
        <v>4</v>
      </c>
      <c r="C643" s="309"/>
      <c r="D643" s="310"/>
    </row>
    <row r="644" spans="1:4" x14ac:dyDescent="0.25">
      <c r="A644" s="418" t="s">
        <v>6397</v>
      </c>
      <c r="B644">
        <v>3</v>
      </c>
      <c r="C644" s="309"/>
      <c r="D644" s="310"/>
    </row>
    <row r="645" spans="1:4" x14ac:dyDescent="0.25">
      <c r="A645" s="418" t="s">
        <v>7973</v>
      </c>
      <c r="B645">
        <v>3</v>
      </c>
      <c r="C645" s="309"/>
      <c r="D645" s="310"/>
    </row>
    <row r="646" spans="1:4" x14ac:dyDescent="0.25">
      <c r="A646" s="418" t="s">
        <v>6398</v>
      </c>
      <c r="B646">
        <v>3</v>
      </c>
      <c r="C646" s="309"/>
      <c r="D646" s="310"/>
    </row>
    <row r="647" spans="1:4" x14ac:dyDescent="0.25">
      <c r="A647" s="418" t="s">
        <v>8842</v>
      </c>
      <c r="B647">
        <v>3</v>
      </c>
      <c r="C647" s="309"/>
      <c r="D647" s="310"/>
    </row>
    <row r="648" spans="1:4" x14ac:dyDescent="0.25">
      <c r="A648" s="418" t="s">
        <v>4291</v>
      </c>
      <c r="B648">
        <v>1</v>
      </c>
      <c r="C648" s="309"/>
      <c r="D648" s="310"/>
    </row>
    <row r="649" spans="1:4" x14ac:dyDescent="0.25">
      <c r="A649" s="418" t="s">
        <v>7974</v>
      </c>
      <c r="B649">
        <v>3</v>
      </c>
      <c r="C649" s="309"/>
      <c r="D649" s="310"/>
    </row>
    <row r="650" spans="1:4" x14ac:dyDescent="0.25">
      <c r="A650" s="418" t="s">
        <v>10638</v>
      </c>
      <c r="B650">
        <v>1</v>
      </c>
      <c r="C650" s="309"/>
      <c r="D650" s="310"/>
    </row>
    <row r="651" spans="1:4" x14ac:dyDescent="0.25">
      <c r="A651" s="418" t="s">
        <v>5204</v>
      </c>
      <c r="B651">
        <v>1</v>
      </c>
      <c r="C651" s="309"/>
      <c r="D651" s="310"/>
    </row>
    <row r="652" spans="1:4" x14ac:dyDescent="0.25">
      <c r="A652" s="418" t="s">
        <v>5205</v>
      </c>
      <c r="B652">
        <v>5</v>
      </c>
      <c r="C652" s="309"/>
      <c r="D652" s="310"/>
    </row>
    <row r="653" spans="1:4" x14ac:dyDescent="0.25">
      <c r="A653" s="418" t="s">
        <v>8843</v>
      </c>
      <c r="B653">
        <v>4</v>
      </c>
      <c r="C653" s="309"/>
      <c r="D653" s="310"/>
    </row>
    <row r="654" spans="1:4" x14ac:dyDescent="0.25">
      <c r="A654" s="418" t="s">
        <v>6651</v>
      </c>
      <c r="B654">
        <v>4</v>
      </c>
      <c r="C654" s="309"/>
      <c r="D654" s="310"/>
    </row>
    <row r="655" spans="1:4" x14ac:dyDescent="0.25">
      <c r="A655" s="418" t="s">
        <v>8844</v>
      </c>
      <c r="B655">
        <v>4</v>
      </c>
      <c r="C655" s="309"/>
      <c r="D655" s="310"/>
    </row>
    <row r="656" spans="1:4" x14ac:dyDescent="0.25">
      <c r="A656" s="418" t="s">
        <v>11835</v>
      </c>
      <c r="B656">
        <v>4</v>
      </c>
      <c r="C656" s="309"/>
      <c r="D656" s="310"/>
    </row>
    <row r="657" spans="1:4" x14ac:dyDescent="0.25">
      <c r="A657" s="418" t="s">
        <v>9837</v>
      </c>
      <c r="B657">
        <v>3</v>
      </c>
      <c r="C657" s="309"/>
      <c r="D657" s="310"/>
    </row>
    <row r="658" spans="1:4" x14ac:dyDescent="0.25">
      <c r="A658" s="418" t="s">
        <v>6274</v>
      </c>
      <c r="B658">
        <v>3</v>
      </c>
      <c r="C658" s="309"/>
      <c r="D658" s="310"/>
    </row>
    <row r="659" spans="1:4" x14ac:dyDescent="0.25">
      <c r="A659" s="418" t="s">
        <v>5765</v>
      </c>
      <c r="B659">
        <v>4</v>
      </c>
      <c r="C659" s="309"/>
      <c r="D659" s="310"/>
    </row>
    <row r="660" spans="1:4" x14ac:dyDescent="0.25">
      <c r="A660" s="418" t="s">
        <v>5766</v>
      </c>
      <c r="B660">
        <v>3</v>
      </c>
      <c r="C660" s="309"/>
      <c r="D660" s="310"/>
    </row>
    <row r="661" spans="1:4" x14ac:dyDescent="0.25">
      <c r="A661" s="418" t="s">
        <v>8128</v>
      </c>
      <c r="B661">
        <v>2</v>
      </c>
      <c r="C661" s="309"/>
      <c r="D661" s="310"/>
    </row>
    <row r="662" spans="1:4" x14ac:dyDescent="0.25">
      <c r="A662" s="418" t="s">
        <v>6133</v>
      </c>
      <c r="B662">
        <v>7</v>
      </c>
      <c r="C662" s="309"/>
      <c r="D662" s="310"/>
    </row>
    <row r="663" spans="1:4" x14ac:dyDescent="0.25">
      <c r="A663" s="418" t="s">
        <v>6101</v>
      </c>
      <c r="B663">
        <v>3</v>
      </c>
      <c r="C663" s="309"/>
      <c r="D663" s="310"/>
    </row>
    <row r="664" spans="1:4" x14ac:dyDescent="0.25">
      <c r="A664" s="418" t="s">
        <v>8234</v>
      </c>
      <c r="B664">
        <v>4</v>
      </c>
      <c r="C664" s="309"/>
      <c r="D664" s="310"/>
    </row>
    <row r="665" spans="1:4" x14ac:dyDescent="0.25">
      <c r="A665" s="418" t="s">
        <v>5280</v>
      </c>
      <c r="B665">
        <v>7</v>
      </c>
      <c r="C665" s="309"/>
      <c r="D665" s="310"/>
    </row>
    <row r="666" spans="1:4" x14ac:dyDescent="0.25">
      <c r="A666" s="418" t="s">
        <v>9042</v>
      </c>
      <c r="B666">
        <v>2</v>
      </c>
      <c r="C666" s="309"/>
      <c r="D666" s="310"/>
    </row>
    <row r="667" spans="1:4" x14ac:dyDescent="0.25">
      <c r="A667" s="418" t="s">
        <v>8235</v>
      </c>
      <c r="B667">
        <v>11</v>
      </c>
      <c r="C667" s="309"/>
      <c r="D667" s="310"/>
    </row>
    <row r="668" spans="1:4" x14ac:dyDescent="0.25">
      <c r="A668" s="418" t="s">
        <v>8236</v>
      </c>
      <c r="B668">
        <v>15</v>
      </c>
      <c r="C668" s="309"/>
      <c r="D668" s="310"/>
    </row>
    <row r="669" spans="1:4" x14ac:dyDescent="0.25">
      <c r="A669" s="418" t="s">
        <v>8998</v>
      </c>
      <c r="B669">
        <v>10</v>
      </c>
      <c r="C669" s="309"/>
      <c r="D669" s="310"/>
    </row>
    <row r="670" spans="1:4" x14ac:dyDescent="0.25">
      <c r="A670" s="418" t="s">
        <v>9580</v>
      </c>
      <c r="B670">
        <v>5</v>
      </c>
      <c r="C670" s="309"/>
      <c r="D670" s="310"/>
    </row>
    <row r="671" spans="1:4" x14ac:dyDescent="0.25">
      <c r="A671" s="418" t="s">
        <v>8695</v>
      </c>
      <c r="B671">
        <v>4</v>
      </c>
      <c r="C671" s="309"/>
      <c r="D671" s="310"/>
    </row>
    <row r="672" spans="1:4" x14ac:dyDescent="0.25">
      <c r="A672" s="418" t="s">
        <v>9517</v>
      </c>
      <c r="B672">
        <v>3</v>
      </c>
      <c r="C672" s="309"/>
      <c r="D672" s="310"/>
    </row>
    <row r="673" spans="1:4" x14ac:dyDescent="0.25">
      <c r="A673" s="418" t="s">
        <v>8999</v>
      </c>
      <c r="B673">
        <v>4</v>
      </c>
      <c r="C673" s="309"/>
      <c r="D673" s="310"/>
    </row>
    <row r="674" spans="1:4" x14ac:dyDescent="0.25">
      <c r="A674" s="418" t="s">
        <v>6652</v>
      </c>
      <c r="B674">
        <v>3</v>
      </c>
      <c r="C674" s="309"/>
      <c r="D674" s="310"/>
    </row>
    <row r="675" spans="1:4" x14ac:dyDescent="0.25">
      <c r="A675" s="418" t="s">
        <v>8357</v>
      </c>
      <c r="B675">
        <v>3</v>
      </c>
      <c r="C675" s="309"/>
      <c r="D675" s="310"/>
    </row>
    <row r="676" spans="1:4" x14ac:dyDescent="0.25">
      <c r="A676" s="418" t="s">
        <v>6653</v>
      </c>
      <c r="B676">
        <v>3</v>
      </c>
      <c r="C676" s="309"/>
      <c r="D676" s="310"/>
    </row>
    <row r="677" spans="1:4" x14ac:dyDescent="0.25">
      <c r="A677" s="418" t="s">
        <v>9518</v>
      </c>
      <c r="B677">
        <v>1</v>
      </c>
      <c r="C677" s="309"/>
      <c r="D677" s="310"/>
    </row>
    <row r="678" spans="1:4" x14ac:dyDescent="0.25">
      <c r="A678" s="418" t="s">
        <v>9788</v>
      </c>
      <c r="B678">
        <v>28</v>
      </c>
      <c r="C678" s="309"/>
      <c r="D678" s="310"/>
    </row>
    <row r="679" spans="1:4" x14ac:dyDescent="0.25">
      <c r="A679" s="418" t="s">
        <v>9838</v>
      </c>
      <c r="B679">
        <v>32</v>
      </c>
      <c r="C679" s="309"/>
      <c r="D679" s="310"/>
    </row>
    <row r="680" spans="1:4" x14ac:dyDescent="0.25">
      <c r="A680" s="418" t="s">
        <v>9839</v>
      </c>
      <c r="B680">
        <v>25</v>
      </c>
      <c r="C680" s="309"/>
      <c r="D680" s="310"/>
    </row>
    <row r="681" spans="1:4" x14ac:dyDescent="0.25">
      <c r="A681" s="418" t="s">
        <v>11836</v>
      </c>
      <c r="B681">
        <v>4</v>
      </c>
      <c r="C681" s="309"/>
      <c r="D681" s="310"/>
    </row>
    <row r="682" spans="1:4" x14ac:dyDescent="0.25">
      <c r="A682" s="418" t="s">
        <v>6936</v>
      </c>
      <c r="B682">
        <v>7</v>
      </c>
      <c r="C682" s="309"/>
      <c r="D682" s="310"/>
    </row>
    <row r="683" spans="1:4" x14ac:dyDescent="0.25">
      <c r="A683" s="418" t="s">
        <v>6937</v>
      </c>
      <c r="B683">
        <v>9</v>
      </c>
      <c r="C683" s="309"/>
      <c r="D683" s="310"/>
    </row>
    <row r="684" spans="1:4" x14ac:dyDescent="0.25">
      <c r="A684" s="418" t="s">
        <v>7376</v>
      </c>
      <c r="B684">
        <v>6</v>
      </c>
      <c r="C684" s="309"/>
      <c r="D684" s="310"/>
    </row>
    <row r="685" spans="1:4" x14ac:dyDescent="0.25">
      <c r="A685" s="418" t="s">
        <v>8129</v>
      </c>
      <c r="B685">
        <v>3</v>
      </c>
      <c r="C685" s="309"/>
      <c r="D685" s="310"/>
    </row>
    <row r="686" spans="1:4" x14ac:dyDescent="0.25">
      <c r="A686" s="418" t="s">
        <v>6177</v>
      </c>
      <c r="B686">
        <v>16</v>
      </c>
      <c r="C686" s="309"/>
      <c r="D686" s="310"/>
    </row>
    <row r="687" spans="1:4" x14ac:dyDescent="0.25">
      <c r="A687" s="418" t="s">
        <v>6178</v>
      </c>
      <c r="B687">
        <v>17</v>
      </c>
      <c r="C687" s="309"/>
      <c r="D687" s="310"/>
    </row>
    <row r="688" spans="1:4" x14ac:dyDescent="0.25">
      <c r="A688" s="418" t="s">
        <v>6179</v>
      </c>
      <c r="B688">
        <v>16</v>
      </c>
      <c r="C688" s="309"/>
      <c r="D688" s="310"/>
    </row>
    <row r="689" spans="1:4" x14ac:dyDescent="0.25">
      <c r="A689" s="418" t="s">
        <v>6611</v>
      </c>
      <c r="B689">
        <v>7</v>
      </c>
      <c r="C689" s="309"/>
      <c r="D689" s="310"/>
    </row>
    <row r="690" spans="1:4" x14ac:dyDescent="0.25">
      <c r="A690" s="418" t="s">
        <v>6654</v>
      </c>
      <c r="B690">
        <v>3</v>
      </c>
      <c r="C690" s="309"/>
      <c r="D690" s="310"/>
    </row>
    <row r="691" spans="1:4" x14ac:dyDescent="0.25">
      <c r="A691" s="418" t="s">
        <v>8237</v>
      </c>
      <c r="B691">
        <v>1</v>
      </c>
      <c r="C691" s="309"/>
      <c r="D691" s="310"/>
    </row>
    <row r="692" spans="1:4" x14ac:dyDescent="0.25">
      <c r="A692" s="418" t="s">
        <v>8238</v>
      </c>
      <c r="B692">
        <v>8</v>
      </c>
      <c r="C692" s="309"/>
      <c r="D692" s="310"/>
    </row>
    <row r="693" spans="1:4" x14ac:dyDescent="0.25">
      <c r="A693" s="418" t="s">
        <v>7288</v>
      </c>
      <c r="B693">
        <v>8</v>
      </c>
      <c r="C693" s="309"/>
      <c r="D693" s="310"/>
    </row>
    <row r="694" spans="1:4" x14ac:dyDescent="0.25">
      <c r="A694" s="418" t="s">
        <v>8061</v>
      </c>
      <c r="B694">
        <v>5</v>
      </c>
      <c r="C694" s="309"/>
      <c r="D694" s="310"/>
    </row>
    <row r="695" spans="1:4" x14ac:dyDescent="0.25">
      <c r="A695" s="418" t="s">
        <v>5281</v>
      </c>
      <c r="B695">
        <v>3</v>
      </c>
      <c r="C695" s="309"/>
      <c r="D695" s="310"/>
    </row>
    <row r="696" spans="1:4" x14ac:dyDescent="0.25">
      <c r="A696" s="418" t="s">
        <v>4783</v>
      </c>
      <c r="B696">
        <v>3</v>
      </c>
      <c r="C696" s="309"/>
      <c r="D696" s="310"/>
    </row>
    <row r="697" spans="1:4" x14ac:dyDescent="0.25">
      <c r="A697" s="418" t="s">
        <v>4784</v>
      </c>
      <c r="B697">
        <v>3</v>
      </c>
      <c r="C697" s="309"/>
      <c r="D697" s="310"/>
    </row>
    <row r="698" spans="1:4" x14ac:dyDescent="0.25">
      <c r="A698" s="418" t="s">
        <v>8096</v>
      </c>
      <c r="B698">
        <v>2</v>
      </c>
      <c r="C698" s="309"/>
      <c r="D698" s="310"/>
    </row>
    <row r="699" spans="1:4" x14ac:dyDescent="0.25">
      <c r="A699" s="418" t="s">
        <v>4785</v>
      </c>
      <c r="B699">
        <v>9</v>
      </c>
      <c r="C699" s="309"/>
      <c r="D699" s="310"/>
    </row>
    <row r="700" spans="1:4" x14ac:dyDescent="0.25">
      <c r="A700" s="418" t="s">
        <v>5344</v>
      </c>
      <c r="B700">
        <v>9</v>
      </c>
      <c r="C700" s="309"/>
      <c r="D700" s="310"/>
    </row>
    <row r="701" spans="1:4" x14ac:dyDescent="0.25">
      <c r="A701" s="418" t="s">
        <v>5345</v>
      </c>
      <c r="B701">
        <v>5</v>
      </c>
      <c r="C701" s="309"/>
      <c r="D701" s="310"/>
    </row>
    <row r="702" spans="1:4" x14ac:dyDescent="0.25">
      <c r="A702" s="418" t="s">
        <v>5767</v>
      </c>
      <c r="B702">
        <v>9</v>
      </c>
      <c r="C702" s="309"/>
      <c r="D702" s="310"/>
    </row>
    <row r="703" spans="1:4" x14ac:dyDescent="0.25">
      <c r="A703" s="418" t="s">
        <v>8461</v>
      </c>
      <c r="B703">
        <v>1</v>
      </c>
      <c r="C703" s="309"/>
      <c r="D703" s="310"/>
    </row>
    <row r="704" spans="1:4" x14ac:dyDescent="0.25">
      <c r="A704" s="418" t="s">
        <v>8462</v>
      </c>
      <c r="B704">
        <v>1</v>
      </c>
      <c r="C704" s="309"/>
      <c r="D704" s="310"/>
    </row>
    <row r="705" spans="1:4" x14ac:dyDescent="0.25">
      <c r="A705" s="418" t="s">
        <v>4252</v>
      </c>
      <c r="B705">
        <v>3</v>
      </c>
      <c r="C705" s="309"/>
      <c r="D705" s="310"/>
    </row>
    <row r="706" spans="1:4" x14ac:dyDescent="0.25">
      <c r="A706" s="418" t="s">
        <v>5206</v>
      </c>
      <c r="B706">
        <v>1</v>
      </c>
      <c r="C706" s="309"/>
      <c r="D706" s="310"/>
    </row>
    <row r="707" spans="1:4" x14ac:dyDescent="0.25">
      <c r="A707" s="418" t="s">
        <v>5207</v>
      </c>
      <c r="B707">
        <v>3</v>
      </c>
      <c r="C707" s="309"/>
      <c r="D707" s="310"/>
    </row>
    <row r="708" spans="1:4" x14ac:dyDescent="0.25">
      <c r="A708" s="418" t="s">
        <v>6275</v>
      </c>
      <c r="B708">
        <v>3</v>
      </c>
      <c r="C708" s="309"/>
      <c r="D708" s="310"/>
    </row>
    <row r="709" spans="1:4" x14ac:dyDescent="0.25">
      <c r="A709" s="418" t="s">
        <v>4786</v>
      </c>
      <c r="B709">
        <v>4</v>
      </c>
      <c r="C709" s="309"/>
      <c r="D709" s="310"/>
    </row>
    <row r="710" spans="1:4" x14ac:dyDescent="0.25">
      <c r="A710" s="418" t="s">
        <v>8130</v>
      </c>
      <c r="B710">
        <v>1</v>
      </c>
      <c r="C710" s="309"/>
      <c r="D710" s="310"/>
    </row>
    <row r="711" spans="1:4" x14ac:dyDescent="0.25">
      <c r="A711" s="418" t="s">
        <v>6449</v>
      </c>
      <c r="B711">
        <v>5</v>
      </c>
      <c r="C711" s="309"/>
      <c r="D711" s="310"/>
    </row>
    <row r="712" spans="1:4" x14ac:dyDescent="0.25">
      <c r="A712" s="418" t="s">
        <v>8845</v>
      </c>
      <c r="B712">
        <v>11</v>
      </c>
      <c r="C712" s="309"/>
      <c r="D712" s="310"/>
    </row>
    <row r="713" spans="1:4" x14ac:dyDescent="0.25">
      <c r="A713" s="418" t="s">
        <v>8846</v>
      </c>
      <c r="B713">
        <v>12</v>
      </c>
      <c r="C713" s="309"/>
      <c r="D713" s="310"/>
    </row>
    <row r="714" spans="1:4" x14ac:dyDescent="0.25">
      <c r="A714" s="418" t="s">
        <v>8847</v>
      </c>
      <c r="B714">
        <v>7</v>
      </c>
      <c r="C714" s="309"/>
      <c r="D714" s="310"/>
    </row>
    <row r="715" spans="1:4" x14ac:dyDescent="0.25">
      <c r="A715" s="418" t="s">
        <v>8848</v>
      </c>
      <c r="B715">
        <v>3</v>
      </c>
      <c r="C715" s="309"/>
      <c r="D715" s="310"/>
    </row>
    <row r="716" spans="1:4" x14ac:dyDescent="0.25">
      <c r="A716" s="418" t="s">
        <v>4092</v>
      </c>
      <c r="B716">
        <v>4</v>
      </c>
      <c r="C716" s="309"/>
      <c r="D716" s="310"/>
    </row>
    <row r="717" spans="1:4" x14ac:dyDescent="0.25">
      <c r="A717" s="418" t="s">
        <v>4093</v>
      </c>
      <c r="B717">
        <v>5</v>
      </c>
      <c r="C717" s="309"/>
      <c r="D717" s="310"/>
    </row>
    <row r="718" spans="1:4" x14ac:dyDescent="0.25">
      <c r="A718" s="418" t="s">
        <v>4479</v>
      </c>
      <c r="B718">
        <v>3</v>
      </c>
      <c r="C718" s="309"/>
      <c r="D718" s="310"/>
    </row>
    <row r="719" spans="1:4" x14ac:dyDescent="0.25">
      <c r="A719" s="418" t="s">
        <v>5768</v>
      </c>
      <c r="B719">
        <v>13</v>
      </c>
      <c r="C719" s="309"/>
      <c r="D719" s="310"/>
    </row>
    <row r="720" spans="1:4" x14ac:dyDescent="0.25">
      <c r="A720" s="418" t="s">
        <v>5769</v>
      </c>
      <c r="B720">
        <v>12</v>
      </c>
      <c r="C720" s="309"/>
      <c r="D720" s="310"/>
    </row>
    <row r="721" spans="1:4" x14ac:dyDescent="0.25">
      <c r="A721" s="418" t="s">
        <v>6334</v>
      </c>
      <c r="B721">
        <v>8</v>
      </c>
      <c r="C721" s="309"/>
      <c r="D721" s="310"/>
    </row>
    <row r="722" spans="1:4" x14ac:dyDescent="0.25">
      <c r="A722" s="418" t="s">
        <v>7289</v>
      </c>
      <c r="B722">
        <v>1</v>
      </c>
      <c r="C722" s="309"/>
      <c r="D722" s="310"/>
    </row>
    <row r="723" spans="1:4" x14ac:dyDescent="0.25">
      <c r="A723" s="418" t="s">
        <v>6844</v>
      </c>
      <c r="B723">
        <v>3</v>
      </c>
      <c r="C723" s="309"/>
      <c r="D723" s="310"/>
    </row>
    <row r="724" spans="1:4" x14ac:dyDescent="0.25">
      <c r="A724" s="418" t="s">
        <v>4158</v>
      </c>
      <c r="B724">
        <v>1</v>
      </c>
      <c r="C724" s="309"/>
      <c r="D724" s="310"/>
    </row>
    <row r="725" spans="1:4" x14ac:dyDescent="0.25">
      <c r="A725" s="418" t="s">
        <v>4159</v>
      </c>
      <c r="B725">
        <v>1</v>
      </c>
      <c r="C725" s="309"/>
      <c r="D725" s="310"/>
    </row>
    <row r="726" spans="1:4" x14ac:dyDescent="0.25">
      <c r="A726" s="418" t="s">
        <v>5940</v>
      </c>
      <c r="B726">
        <v>1</v>
      </c>
      <c r="C726" s="309"/>
      <c r="D726" s="310"/>
    </row>
    <row r="727" spans="1:4" x14ac:dyDescent="0.25">
      <c r="A727" s="418" t="s">
        <v>5941</v>
      </c>
      <c r="B727">
        <v>2</v>
      </c>
      <c r="C727" s="309"/>
      <c r="D727" s="310"/>
    </row>
    <row r="728" spans="1:4" x14ac:dyDescent="0.25">
      <c r="A728" s="418" t="s">
        <v>5942</v>
      </c>
      <c r="B728">
        <v>1</v>
      </c>
      <c r="C728" s="309"/>
      <c r="D728" s="310"/>
    </row>
    <row r="729" spans="1:4" x14ac:dyDescent="0.25">
      <c r="A729" s="418" t="s">
        <v>7596</v>
      </c>
      <c r="B729">
        <v>4</v>
      </c>
      <c r="C729" s="309"/>
      <c r="D729" s="310"/>
    </row>
    <row r="730" spans="1:4" x14ac:dyDescent="0.25">
      <c r="A730" s="418" t="s">
        <v>6612</v>
      </c>
      <c r="B730">
        <v>3</v>
      </c>
      <c r="C730" s="309"/>
      <c r="D730" s="310"/>
    </row>
    <row r="731" spans="1:4" x14ac:dyDescent="0.25">
      <c r="A731" s="418" t="s">
        <v>7322</v>
      </c>
      <c r="B731">
        <v>3</v>
      </c>
      <c r="C731" s="309"/>
      <c r="D731" s="310"/>
    </row>
    <row r="732" spans="1:4" x14ac:dyDescent="0.25">
      <c r="A732" s="418" t="s">
        <v>4419</v>
      </c>
      <c r="B732">
        <v>2</v>
      </c>
      <c r="C732" s="309"/>
      <c r="D732" s="310"/>
    </row>
    <row r="733" spans="1:4" x14ac:dyDescent="0.25">
      <c r="A733" s="418" t="s">
        <v>4420</v>
      </c>
      <c r="B733">
        <v>1</v>
      </c>
      <c r="C733" s="309"/>
      <c r="D733" s="310"/>
    </row>
    <row r="734" spans="1:4" x14ac:dyDescent="0.25">
      <c r="A734" s="418" t="s">
        <v>4421</v>
      </c>
      <c r="B734">
        <v>1</v>
      </c>
      <c r="C734" s="309"/>
      <c r="D734" s="310"/>
    </row>
    <row r="735" spans="1:4" x14ac:dyDescent="0.25">
      <c r="A735" s="418" t="s">
        <v>4253</v>
      </c>
      <c r="B735">
        <v>1</v>
      </c>
      <c r="C735" s="309"/>
      <c r="D735" s="310"/>
    </row>
    <row r="736" spans="1:4" x14ac:dyDescent="0.25">
      <c r="A736" s="418" t="s">
        <v>4361</v>
      </c>
      <c r="B736">
        <v>3</v>
      </c>
      <c r="C736" s="309"/>
      <c r="D736" s="310"/>
    </row>
    <row r="737" spans="1:4" x14ac:dyDescent="0.25">
      <c r="A737" s="418" t="s">
        <v>4094</v>
      </c>
      <c r="B737">
        <v>3</v>
      </c>
      <c r="C737" s="309"/>
      <c r="D737" s="310"/>
    </row>
    <row r="738" spans="1:4" x14ac:dyDescent="0.25">
      <c r="A738" s="418" t="s">
        <v>4787</v>
      </c>
      <c r="B738">
        <v>2</v>
      </c>
      <c r="C738" s="309"/>
      <c r="D738" s="310"/>
    </row>
    <row r="739" spans="1:4" x14ac:dyDescent="0.25">
      <c r="A739" s="418" t="s">
        <v>4480</v>
      </c>
      <c r="B739">
        <v>1</v>
      </c>
      <c r="C739" s="309"/>
      <c r="D739" s="310"/>
    </row>
    <row r="740" spans="1:4" x14ac:dyDescent="0.25">
      <c r="A740" s="418" t="s">
        <v>5282</v>
      </c>
      <c r="B740">
        <v>8</v>
      </c>
      <c r="C740" s="309"/>
      <c r="D740" s="310"/>
    </row>
    <row r="741" spans="1:4" x14ac:dyDescent="0.25">
      <c r="A741" s="418" t="s">
        <v>4095</v>
      </c>
      <c r="B741">
        <v>8</v>
      </c>
      <c r="C741" s="309"/>
      <c r="D741" s="310"/>
    </row>
    <row r="742" spans="1:4" x14ac:dyDescent="0.25">
      <c r="A742" s="418" t="s">
        <v>5029</v>
      </c>
      <c r="B742">
        <v>3</v>
      </c>
      <c r="C742" s="309"/>
      <c r="D742" s="310"/>
    </row>
    <row r="743" spans="1:4" x14ac:dyDescent="0.25">
      <c r="A743" s="418" t="s">
        <v>5283</v>
      </c>
      <c r="B743">
        <v>3</v>
      </c>
      <c r="C743" s="309"/>
      <c r="D743" s="310"/>
    </row>
    <row r="744" spans="1:4" x14ac:dyDescent="0.25">
      <c r="A744" s="418" t="s">
        <v>5639</v>
      </c>
      <c r="B744">
        <v>3</v>
      </c>
      <c r="C744" s="309"/>
      <c r="D744" s="310"/>
    </row>
    <row r="745" spans="1:4" x14ac:dyDescent="0.25">
      <c r="A745" s="418" t="s">
        <v>4481</v>
      </c>
      <c r="B745">
        <v>3</v>
      </c>
      <c r="C745" s="309"/>
      <c r="D745" s="310"/>
    </row>
    <row r="746" spans="1:4" x14ac:dyDescent="0.25">
      <c r="A746" s="418" t="s">
        <v>6102</v>
      </c>
      <c r="B746">
        <v>2</v>
      </c>
      <c r="C746" s="309"/>
      <c r="D746" s="310"/>
    </row>
    <row r="747" spans="1:4" x14ac:dyDescent="0.25">
      <c r="A747" s="418" t="s">
        <v>7039</v>
      </c>
      <c r="B747">
        <v>4</v>
      </c>
      <c r="C747" s="309"/>
      <c r="D747" s="310"/>
    </row>
    <row r="748" spans="1:4" x14ac:dyDescent="0.25">
      <c r="A748" s="418" t="s">
        <v>6892</v>
      </c>
      <c r="B748">
        <v>5</v>
      </c>
      <c r="C748" s="309"/>
      <c r="D748" s="310"/>
    </row>
    <row r="749" spans="1:4" x14ac:dyDescent="0.25">
      <c r="A749" s="418" t="s">
        <v>7040</v>
      </c>
      <c r="B749">
        <v>3</v>
      </c>
      <c r="C749" s="309"/>
      <c r="D749" s="310"/>
    </row>
    <row r="750" spans="1:4" x14ac:dyDescent="0.25">
      <c r="A750" s="418" t="s">
        <v>7067</v>
      </c>
      <c r="B750">
        <v>2</v>
      </c>
      <c r="C750" s="309"/>
      <c r="D750" s="310"/>
    </row>
    <row r="751" spans="1:4" x14ac:dyDescent="0.25">
      <c r="A751" s="418" t="s">
        <v>4788</v>
      </c>
      <c r="B751">
        <v>3</v>
      </c>
      <c r="C751" s="309"/>
      <c r="D751" s="310"/>
    </row>
    <row r="752" spans="1:4" x14ac:dyDescent="0.25">
      <c r="A752" s="418" t="s">
        <v>4558</v>
      </c>
      <c r="B752">
        <v>4</v>
      </c>
      <c r="C752" s="309"/>
      <c r="D752" s="310"/>
    </row>
    <row r="753" spans="1:4" x14ac:dyDescent="0.25">
      <c r="A753" s="418" t="s">
        <v>5346</v>
      </c>
      <c r="B753">
        <v>1</v>
      </c>
      <c r="C753" s="309"/>
      <c r="D753" s="310"/>
    </row>
    <row r="754" spans="1:4" x14ac:dyDescent="0.25">
      <c r="A754" s="418" t="s">
        <v>7246</v>
      </c>
      <c r="B754">
        <v>1</v>
      </c>
      <c r="C754" s="309"/>
      <c r="D754" s="310"/>
    </row>
    <row r="755" spans="1:4" x14ac:dyDescent="0.25">
      <c r="A755" s="418" t="s">
        <v>7597</v>
      </c>
      <c r="B755">
        <v>3</v>
      </c>
      <c r="C755" s="309"/>
      <c r="D755" s="310"/>
    </row>
    <row r="756" spans="1:4" x14ac:dyDescent="0.25">
      <c r="A756" s="418" t="s">
        <v>7598</v>
      </c>
      <c r="B756">
        <v>5</v>
      </c>
      <c r="C756" s="309"/>
      <c r="D756" s="310"/>
    </row>
    <row r="757" spans="1:4" x14ac:dyDescent="0.25">
      <c r="A757" s="418" t="s">
        <v>9258</v>
      </c>
      <c r="B757">
        <v>2</v>
      </c>
      <c r="C757" s="309"/>
      <c r="D757" s="310"/>
    </row>
    <row r="758" spans="1:4" x14ac:dyDescent="0.25">
      <c r="A758" s="418" t="s">
        <v>4789</v>
      </c>
      <c r="B758">
        <v>3</v>
      </c>
      <c r="C758" s="309"/>
      <c r="D758" s="310"/>
    </row>
    <row r="759" spans="1:4" x14ac:dyDescent="0.25">
      <c r="A759" s="418" t="s">
        <v>4790</v>
      </c>
      <c r="B759">
        <v>3</v>
      </c>
      <c r="C759" s="309"/>
      <c r="D759" s="310"/>
    </row>
    <row r="760" spans="1:4" x14ac:dyDescent="0.25">
      <c r="A760" s="418" t="s">
        <v>5030</v>
      </c>
      <c r="B760">
        <v>3</v>
      </c>
      <c r="C760" s="309"/>
      <c r="D760" s="310"/>
    </row>
    <row r="761" spans="1:4" x14ac:dyDescent="0.25">
      <c r="A761" s="418" t="s">
        <v>5770</v>
      </c>
      <c r="B761">
        <v>4</v>
      </c>
      <c r="C761" s="309"/>
      <c r="D761" s="310"/>
    </row>
    <row r="762" spans="1:4" x14ac:dyDescent="0.25">
      <c r="A762" s="418" t="s">
        <v>5943</v>
      </c>
      <c r="B762">
        <v>6</v>
      </c>
      <c r="C762" s="309"/>
      <c r="D762" s="310"/>
    </row>
    <row r="763" spans="1:4" x14ac:dyDescent="0.25">
      <c r="A763" s="418" t="s">
        <v>7068</v>
      </c>
      <c r="B763">
        <v>3</v>
      </c>
      <c r="C763" s="309"/>
      <c r="D763" s="310"/>
    </row>
    <row r="764" spans="1:4" x14ac:dyDescent="0.25">
      <c r="A764" s="418" t="s">
        <v>5771</v>
      </c>
      <c r="B764">
        <v>5</v>
      </c>
      <c r="C764" s="309"/>
      <c r="D764" s="310"/>
    </row>
    <row r="765" spans="1:4" x14ac:dyDescent="0.25">
      <c r="A765" s="418" t="s">
        <v>16406</v>
      </c>
      <c r="B765">
        <v>2</v>
      </c>
      <c r="C765" s="309"/>
      <c r="D765" s="310"/>
    </row>
    <row r="766" spans="1:4" x14ac:dyDescent="0.25">
      <c r="A766" s="418" t="s">
        <v>7766</v>
      </c>
      <c r="B766">
        <v>2</v>
      </c>
      <c r="C766" s="309"/>
      <c r="D766" s="310"/>
    </row>
    <row r="767" spans="1:4" x14ac:dyDescent="0.25">
      <c r="A767" s="418" t="s">
        <v>7195</v>
      </c>
      <c r="B767">
        <v>3</v>
      </c>
      <c r="C767" s="309"/>
      <c r="D767" s="310"/>
    </row>
    <row r="768" spans="1:4" x14ac:dyDescent="0.25">
      <c r="A768" s="418" t="s">
        <v>7290</v>
      </c>
      <c r="B768">
        <v>3</v>
      </c>
      <c r="C768" s="309"/>
      <c r="D768" s="310"/>
    </row>
    <row r="769" spans="1:4" x14ac:dyDescent="0.25">
      <c r="A769" s="418" t="s">
        <v>8062</v>
      </c>
      <c r="B769">
        <v>3</v>
      </c>
      <c r="C769" s="309"/>
      <c r="D769" s="310"/>
    </row>
    <row r="770" spans="1:4" x14ac:dyDescent="0.25">
      <c r="A770" s="418" t="s">
        <v>8063</v>
      </c>
      <c r="B770">
        <v>1</v>
      </c>
      <c r="C770" s="309"/>
      <c r="D770" s="310"/>
    </row>
    <row r="771" spans="1:4" x14ac:dyDescent="0.25">
      <c r="A771" s="418" t="s">
        <v>16407</v>
      </c>
      <c r="B771">
        <v>1</v>
      </c>
      <c r="C771" s="309"/>
      <c r="D771" s="310"/>
    </row>
    <row r="772" spans="1:4" x14ac:dyDescent="0.25">
      <c r="A772" s="418" t="s">
        <v>16408</v>
      </c>
      <c r="B772">
        <v>1</v>
      </c>
      <c r="C772" s="309"/>
      <c r="D772" s="310"/>
    </row>
    <row r="773" spans="1:4" x14ac:dyDescent="0.25">
      <c r="A773" s="418" t="s">
        <v>16316</v>
      </c>
      <c r="B773">
        <v>1</v>
      </c>
      <c r="C773" s="309"/>
      <c r="D773" s="310"/>
    </row>
    <row r="774" spans="1:4" x14ac:dyDescent="0.25">
      <c r="A774" s="418" t="s">
        <v>4254</v>
      </c>
      <c r="B774">
        <v>4</v>
      </c>
      <c r="C774" s="309"/>
      <c r="D774" s="310"/>
    </row>
    <row r="775" spans="1:4" x14ac:dyDescent="0.25">
      <c r="A775" s="418" t="s">
        <v>4255</v>
      </c>
      <c r="B775">
        <v>4</v>
      </c>
      <c r="C775" s="309"/>
      <c r="D775" s="310"/>
    </row>
    <row r="776" spans="1:4" x14ac:dyDescent="0.25">
      <c r="A776" s="418" t="s">
        <v>4559</v>
      </c>
      <c r="B776">
        <v>2</v>
      </c>
      <c r="C776" s="309"/>
      <c r="D776" s="310"/>
    </row>
    <row r="777" spans="1:4" x14ac:dyDescent="0.25">
      <c r="A777" s="418" t="s">
        <v>4256</v>
      </c>
      <c r="B777">
        <v>3</v>
      </c>
      <c r="C777" s="309"/>
      <c r="D777" s="310"/>
    </row>
    <row r="778" spans="1:4" x14ac:dyDescent="0.25">
      <c r="A778" s="418" t="s">
        <v>6613</v>
      </c>
      <c r="B778">
        <v>3</v>
      </c>
      <c r="C778" s="309"/>
      <c r="D778" s="310"/>
    </row>
    <row r="779" spans="1:4" x14ac:dyDescent="0.25">
      <c r="A779" s="418" t="s">
        <v>6614</v>
      </c>
      <c r="B779">
        <v>3</v>
      </c>
      <c r="C779" s="309"/>
      <c r="D779" s="310"/>
    </row>
    <row r="780" spans="1:4" x14ac:dyDescent="0.25">
      <c r="A780" s="418" t="s">
        <v>6615</v>
      </c>
      <c r="B780">
        <v>2</v>
      </c>
      <c r="C780" s="309"/>
      <c r="D780" s="310"/>
    </row>
    <row r="781" spans="1:4" x14ac:dyDescent="0.25">
      <c r="A781" s="418" t="s">
        <v>4969</v>
      </c>
      <c r="B781">
        <v>7</v>
      </c>
      <c r="C781" s="309"/>
      <c r="D781" s="310"/>
    </row>
    <row r="782" spans="1:4" x14ac:dyDescent="0.25">
      <c r="A782" s="418" t="s">
        <v>4970</v>
      </c>
      <c r="B782">
        <v>9</v>
      </c>
      <c r="C782" s="309"/>
      <c r="D782" s="310"/>
    </row>
    <row r="783" spans="1:4" x14ac:dyDescent="0.25">
      <c r="A783" s="418" t="s">
        <v>4971</v>
      </c>
      <c r="B783">
        <v>5</v>
      </c>
      <c r="C783" s="309"/>
      <c r="D783" s="310"/>
    </row>
    <row r="784" spans="1:4" x14ac:dyDescent="0.25">
      <c r="A784" s="418" t="s">
        <v>4972</v>
      </c>
      <c r="B784">
        <v>2</v>
      </c>
      <c r="C784" s="309"/>
      <c r="D784" s="310"/>
    </row>
    <row r="785" spans="1:4" x14ac:dyDescent="0.25">
      <c r="A785" s="418" t="s">
        <v>7069</v>
      </c>
      <c r="B785">
        <v>9</v>
      </c>
      <c r="C785" s="309"/>
      <c r="D785" s="310"/>
    </row>
    <row r="786" spans="1:4" x14ac:dyDescent="0.25">
      <c r="A786" s="418" t="s">
        <v>7041</v>
      </c>
      <c r="B786">
        <v>6</v>
      </c>
      <c r="C786" s="309"/>
      <c r="D786" s="310"/>
    </row>
    <row r="787" spans="1:4" x14ac:dyDescent="0.25">
      <c r="A787" s="418" t="s">
        <v>7757</v>
      </c>
      <c r="B787">
        <v>6</v>
      </c>
      <c r="C787" s="309"/>
      <c r="D787" s="310"/>
    </row>
    <row r="788" spans="1:4" x14ac:dyDescent="0.25">
      <c r="A788" s="418" t="s">
        <v>6893</v>
      </c>
      <c r="B788">
        <v>7</v>
      </c>
      <c r="C788" s="309"/>
      <c r="D788" s="310"/>
    </row>
    <row r="789" spans="1:4" x14ac:dyDescent="0.25">
      <c r="A789" s="418" t="s">
        <v>4791</v>
      </c>
      <c r="B789">
        <v>4</v>
      </c>
      <c r="C789" s="309"/>
      <c r="D789" s="310"/>
    </row>
    <row r="790" spans="1:4" x14ac:dyDescent="0.25">
      <c r="A790" s="418" t="s">
        <v>4792</v>
      </c>
      <c r="B790">
        <v>3</v>
      </c>
      <c r="C790" s="309"/>
      <c r="D790" s="310"/>
    </row>
    <row r="791" spans="1:4" x14ac:dyDescent="0.25">
      <c r="A791" s="418" t="s">
        <v>4560</v>
      </c>
      <c r="B791">
        <v>4</v>
      </c>
      <c r="C791" s="309"/>
      <c r="D791" s="310"/>
    </row>
    <row r="792" spans="1:4" x14ac:dyDescent="0.25">
      <c r="A792" s="418" t="s">
        <v>4861</v>
      </c>
      <c r="B792">
        <v>3</v>
      </c>
      <c r="C792" s="309"/>
      <c r="D792" s="310"/>
    </row>
    <row r="793" spans="1:4" x14ac:dyDescent="0.25">
      <c r="A793" s="418" t="s">
        <v>4561</v>
      </c>
      <c r="B793">
        <v>3</v>
      </c>
      <c r="C793" s="309"/>
      <c r="D793" s="310"/>
    </row>
    <row r="794" spans="1:4" x14ac:dyDescent="0.25">
      <c r="A794" s="418" t="s">
        <v>4862</v>
      </c>
      <c r="B794">
        <v>4</v>
      </c>
      <c r="C794" s="309"/>
      <c r="D794" s="310"/>
    </row>
    <row r="795" spans="1:4" x14ac:dyDescent="0.25">
      <c r="A795" s="418" t="s">
        <v>5668</v>
      </c>
      <c r="B795">
        <v>11</v>
      </c>
      <c r="C795" s="309"/>
      <c r="D795" s="310"/>
    </row>
    <row r="796" spans="1:4" x14ac:dyDescent="0.25">
      <c r="A796" s="418" t="s">
        <v>7196</v>
      </c>
      <c r="B796">
        <v>9</v>
      </c>
      <c r="C796" s="309"/>
      <c r="D796" s="310"/>
    </row>
    <row r="797" spans="1:4" x14ac:dyDescent="0.25">
      <c r="A797" s="418" t="s">
        <v>6180</v>
      </c>
      <c r="B797">
        <v>3</v>
      </c>
      <c r="C797" s="309"/>
      <c r="D797" s="310"/>
    </row>
    <row r="798" spans="1:4" x14ac:dyDescent="0.25">
      <c r="A798" s="418" t="s">
        <v>6616</v>
      </c>
      <c r="B798">
        <v>4</v>
      </c>
      <c r="C798" s="309"/>
      <c r="D798" s="310"/>
    </row>
    <row r="799" spans="1:4" x14ac:dyDescent="0.25">
      <c r="A799" s="418" t="s">
        <v>4386</v>
      </c>
      <c r="B799">
        <v>4</v>
      </c>
      <c r="C799" s="309"/>
      <c r="D799" s="310"/>
    </row>
    <row r="800" spans="1:4" x14ac:dyDescent="0.25">
      <c r="A800" s="418" t="s">
        <v>4387</v>
      </c>
      <c r="B800">
        <v>4</v>
      </c>
      <c r="C800" s="309"/>
      <c r="D800" s="310"/>
    </row>
    <row r="801" spans="1:4" x14ac:dyDescent="0.25">
      <c r="A801" s="418" t="s">
        <v>4388</v>
      </c>
      <c r="B801">
        <v>3</v>
      </c>
      <c r="C801" s="309"/>
      <c r="D801" s="310"/>
    </row>
    <row r="802" spans="1:4" x14ac:dyDescent="0.25">
      <c r="A802" s="418" t="s">
        <v>7447</v>
      </c>
      <c r="B802">
        <v>2</v>
      </c>
      <c r="C802" s="309"/>
      <c r="D802" s="310"/>
    </row>
    <row r="803" spans="1:4" x14ac:dyDescent="0.25">
      <c r="A803" s="418" t="s">
        <v>7448</v>
      </c>
      <c r="B803">
        <v>2</v>
      </c>
      <c r="C803" s="309"/>
      <c r="D803" s="310"/>
    </row>
    <row r="804" spans="1:4" x14ac:dyDescent="0.25">
      <c r="A804" s="418" t="s">
        <v>7449</v>
      </c>
      <c r="B804">
        <v>2</v>
      </c>
      <c r="C804" s="309"/>
      <c r="D804" s="310"/>
    </row>
    <row r="805" spans="1:4" x14ac:dyDescent="0.25">
      <c r="A805" s="418" t="s">
        <v>5669</v>
      </c>
      <c r="B805">
        <v>1</v>
      </c>
      <c r="C805" s="309"/>
      <c r="D805" s="310"/>
    </row>
    <row r="806" spans="1:4" x14ac:dyDescent="0.25">
      <c r="A806" s="418" t="s">
        <v>5670</v>
      </c>
      <c r="B806">
        <v>2</v>
      </c>
      <c r="C806" s="309"/>
      <c r="D806" s="310"/>
    </row>
    <row r="807" spans="1:4" x14ac:dyDescent="0.25">
      <c r="A807" s="418" t="s">
        <v>6181</v>
      </c>
      <c r="B807">
        <v>2</v>
      </c>
      <c r="C807" s="309"/>
      <c r="D807" s="310"/>
    </row>
    <row r="808" spans="1:4" x14ac:dyDescent="0.25">
      <c r="A808" s="418" t="s">
        <v>6617</v>
      </c>
      <c r="B808">
        <v>1</v>
      </c>
      <c r="C808" s="309"/>
      <c r="D808" s="310"/>
    </row>
    <row r="809" spans="1:4" x14ac:dyDescent="0.25">
      <c r="A809" s="418" t="s">
        <v>7599</v>
      </c>
      <c r="B809">
        <v>3</v>
      </c>
      <c r="C809" s="309"/>
      <c r="D809" s="310"/>
    </row>
    <row r="810" spans="1:4" x14ac:dyDescent="0.25">
      <c r="A810" s="418" t="s">
        <v>6618</v>
      </c>
      <c r="B810">
        <v>3</v>
      </c>
      <c r="C810" s="309"/>
      <c r="D810" s="310"/>
    </row>
    <row r="811" spans="1:4" x14ac:dyDescent="0.25">
      <c r="A811" s="418" t="s">
        <v>7600</v>
      </c>
      <c r="B811">
        <v>4</v>
      </c>
      <c r="C811" s="309"/>
      <c r="D811" s="310"/>
    </row>
    <row r="812" spans="1:4" x14ac:dyDescent="0.25">
      <c r="A812" s="418" t="s">
        <v>7601</v>
      </c>
      <c r="B812">
        <v>4</v>
      </c>
      <c r="C812" s="309"/>
      <c r="D812" s="310"/>
    </row>
    <row r="813" spans="1:4" x14ac:dyDescent="0.25">
      <c r="A813" s="418" t="s">
        <v>6619</v>
      </c>
      <c r="B813">
        <v>3</v>
      </c>
      <c r="C813" s="309"/>
      <c r="D813" s="310"/>
    </row>
    <row r="814" spans="1:4" x14ac:dyDescent="0.25">
      <c r="A814" s="418" t="s">
        <v>7291</v>
      </c>
      <c r="B814">
        <v>1</v>
      </c>
      <c r="C814" s="309"/>
      <c r="D814" s="310"/>
    </row>
    <row r="815" spans="1:4" x14ac:dyDescent="0.25">
      <c r="A815" s="418" t="s">
        <v>7292</v>
      </c>
      <c r="B815">
        <v>1</v>
      </c>
      <c r="C815" s="309"/>
      <c r="D815" s="310"/>
    </row>
    <row r="816" spans="1:4" x14ac:dyDescent="0.25">
      <c r="A816" s="418" t="s">
        <v>6399</v>
      </c>
      <c r="B816">
        <v>2</v>
      </c>
      <c r="C816" s="309"/>
      <c r="D816" s="310"/>
    </row>
    <row r="817" spans="1:4" x14ac:dyDescent="0.25">
      <c r="A817" s="418" t="s">
        <v>6400</v>
      </c>
      <c r="B817">
        <v>2</v>
      </c>
      <c r="C817" s="309"/>
      <c r="D817" s="310"/>
    </row>
    <row r="818" spans="1:4" x14ac:dyDescent="0.25">
      <c r="A818" s="418" t="s">
        <v>6723</v>
      </c>
      <c r="B818">
        <v>7</v>
      </c>
      <c r="C818" s="309"/>
      <c r="D818" s="310"/>
    </row>
    <row r="819" spans="1:4" x14ac:dyDescent="0.25">
      <c r="A819" s="418" t="s">
        <v>6724</v>
      </c>
      <c r="B819">
        <v>10</v>
      </c>
      <c r="C819" s="309"/>
      <c r="D819" s="310"/>
    </row>
    <row r="820" spans="1:4" x14ac:dyDescent="0.25">
      <c r="A820" s="418" t="s">
        <v>6725</v>
      </c>
      <c r="B820">
        <v>7</v>
      </c>
      <c r="C820" s="309"/>
      <c r="D820" s="310"/>
    </row>
    <row r="821" spans="1:4" x14ac:dyDescent="0.25">
      <c r="A821" s="418" t="s">
        <v>9986</v>
      </c>
      <c r="B821">
        <v>3</v>
      </c>
      <c r="C821" s="309"/>
      <c r="D821" s="310"/>
    </row>
    <row r="822" spans="1:4" x14ac:dyDescent="0.25">
      <c r="A822" s="418" t="s">
        <v>5848</v>
      </c>
      <c r="B822">
        <v>3</v>
      </c>
      <c r="C822" s="309"/>
      <c r="D822" s="310"/>
    </row>
    <row r="823" spans="1:4" x14ac:dyDescent="0.25">
      <c r="A823" s="418" t="s">
        <v>5097</v>
      </c>
      <c r="B823">
        <v>3</v>
      </c>
      <c r="C823" s="309"/>
      <c r="D823" s="310"/>
    </row>
    <row r="824" spans="1:4" x14ac:dyDescent="0.25">
      <c r="A824" s="418" t="s">
        <v>6867</v>
      </c>
      <c r="B824">
        <v>3</v>
      </c>
      <c r="C824" s="309"/>
      <c r="D824" s="310"/>
    </row>
    <row r="825" spans="1:4" x14ac:dyDescent="0.25">
      <c r="A825" s="418" t="s">
        <v>5098</v>
      </c>
      <c r="B825">
        <v>2</v>
      </c>
      <c r="C825" s="309"/>
      <c r="D825" s="310"/>
    </row>
    <row r="826" spans="1:4" x14ac:dyDescent="0.25">
      <c r="A826" s="418" t="s">
        <v>7070</v>
      </c>
      <c r="B826">
        <v>9</v>
      </c>
      <c r="C826" s="309"/>
      <c r="D826" s="310"/>
    </row>
    <row r="827" spans="1:4" x14ac:dyDescent="0.25">
      <c r="A827" s="418" t="s">
        <v>7071</v>
      </c>
      <c r="B827">
        <v>11</v>
      </c>
      <c r="C827" s="309"/>
      <c r="D827" s="310"/>
    </row>
    <row r="828" spans="1:4" x14ac:dyDescent="0.25">
      <c r="A828" s="418" t="s">
        <v>7072</v>
      </c>
      <c r="B828">
        <v>9</v>
      </c>
      <c r="C828" s="309"/>
      <c r="D828" s="310"/>
    </row>
    <row r="829" spans="1:4" x14ac:dyDescent="0.25">
      <c r="A829" s="418" t="s">
        <v>8673</v>
      </c>
      <c r="B829">
        <v>1</v>
      </c>
      <c r="C829" s="309"/>
      <c r="D829" s="310"/>
    </row>
    <row r="830" spans="1:4" x14ac:dyDescent="0.25">
      <c r="A830" s="418" t="s">
        <v>5099</v>
      </c>
      <c r="B830">
        <v>4</v>
      </c>
      <c r="C830" s="309"/>
      <c r="D830" s="310"/>
    </row>
    <row r="831" spans="1:4" x14ac:dyDescent="0.25">
      <c r="A831" s="418" t="s">
        <v>8463</v>
      </c>
      <c r="B831">
        <v>2</v>
      </c>
      <c r="C831" s="309"/>
      <c r="D831" s="310"/>
    </row>
    <row r="832" spans="1:4" x14ac:dyDescent="0.25">
      <c r="A832" s="418" t="s">
        <v>8464</v>
      </c>
      <c r="B832">
        <v>1</v>
      </c>
      <c r="C832" s="309"/>
      <c r="D832" s="310"/>
    </row>
    <row r="833" spans="1:4" x14ac:dyDescent="0.25">
      <c r="A833" s="418" t="s">
        <v>5347</v>
      </c>
      <c r="B833">
        <v>1</v>
      </c>
      <c r="C833" s="309"/>
      <c r="D833" s="310"/>
    </row>
    <row r="834" spans="1:4" x14ac:dyDescent="0.25">
      <c r="A834" s="418" t="s">
        <v>4257</v>
      </c>
      <c r="B834">
        <v>3</v>
      </c>
      <c r="C834" s="309"/>
      <c r="D834" s="310"/>
    </row>
    <row r="835" spans="1:4" x14ac:dyDescent="0.25">
      <c r="A835" s="418" t="s">
        <v>4863</v>
      </c>
      <c r="B835">
        <v>5</v>
      </c>
      <c r="C835" s="309"/>
      <c r="D835" s="310"/>
    </row>
    <row r="836" spans="1:4" x14ac:dyDescent="0.25">
      <c r="A836" s="418" t="s">
        <v>5849</v>
      </c>
      <c r="B836">
        <v>3</v>
      </c>
      <c r="C836" s="309"/>
      <c r="D836" s="310"/>
    </row>
    <row r="837" spans="1:4" x14ac:dyDescent="0.25">
      <c r="A837" s="418" t="s">
        <v>4258</v>
      </c>
      <c r="B837">
        <v>2</v>
      </c>
      <c r="C837" s="309"/>
      <c r="D837" s="310"/>
    </row>
    <row r="838" spans="1:4" x14ac:dyDescent="0.25">
      <c r="A838" s="418" t="s">
        <v>7323</v>
      </c>
      <c r="B838">
        <v>3</v>
      </c>
      <c r="C838" s="309"/>
      <c r="D838" s="310"/>
    </row>
    <row r="839" spans="1:4" x14ac:dyDescent="0.25">
      <c r="A839" s="418" t="s">
        <v>8674</v>
      </c>
      <c r="B839">
        <v>3</v>
      </c>
      <c r="C839" s="309"/>
      <c r="D839" s="310"/>
    </row>
    <row r="840" spans="1:4" x14ac:dyDescent="0.25">
      <c r="A840" s="418" t="s">
        <v>5208</v>
      </c>
      <c r="B840">
        <v>10</v>
      </c>
      <c r="C840" s="309"/>
      <c r="D840" s="310"/>
    </row>
    <row r="841" spans="1:4" x14ac:dyDescent="0.25">
      <c r="A841" s="418" t="s">
        <v>10639</v>
      </c>
      <c r="B841">
        <v>7</v>
      </c>
      <c r="C841" s="309"/>
      <c r="D841" s="310"/>
    </row>
    <row r="842" spans="1:4" x14ac:dyDescent="0.25">
      <c r="A842" s="418" t="s">
        <v>10640</v>
      </c>
      <c r="B842">
        <v>5</v>
      </c>
      <c r="C842" s="309"/>
      <c r="D842" s="310"/>
    </row>
    <row r="843" spans="1:4" x14ac:dyDescent="0.25">
      <c r="A843" s="418" t="s">
        <v>11479</v>
      </c>
      <c r="B843">
        <v>2</v>
      </c>
      <c r="C843" s="309"/>
      <c r="D843" s="310"/>
    </row>
    <row r="844" spans="1:4" x14ac:dyDescent="0.25">
      <c r="A844" s="418" t="s">
        <v>10814</v>
      </c>
      <c r="B844">
        <v>3</v>
      </c>
      <c r="C844" s="309"/>
      <c r="D844" s="310"/>
    </row>
    <row r="845" spans="1:4" x14ac:dyDescent="0.25">
      <c r="A845" s="418" t="s">
        <v>10284</v>
      </c>
      <c r="B845">
        <v>3</v>
      </c>
      <c r="C845" s="309"/>
      <c r="D845" s="310"/>
    </row>
    <row r="846" spans="1:4" x14ac:dyDescent="0.25">
      <c r="A846" s="418" t="s">
        <v>10285</v>
      </c>
      <c r="B846">
        <v>3</v>
      </c>
      <c r="C846" s="309"/>
      <c r="D846" s="310"/>
    </row>
    <row r="847" spans="1:4" x14ac:dyDescent="0.25">
      <c r="A847" s="418" t="s">
        <v>6894</v>
      </c>
      <c r="B847">
        <v>1</v>
      </c>
      <c r="C847" s="309"/>
      <c r="D847" s="310"/>
    </row>
    <row r="848" spans="1:4" x14ac:dyDescent="0.25">
      <c r="A848" s="418" t="s">
        <v>4815</v>
      </c>
      <c r="B848">
        <v>2</v>
      </c>
      <c r="C848" s="309"/>
      <c r="D848" s="310"/>
    </row>
    <row r="849" spans="1:4" x14ac:dyDescent="0.25">
      <c r="A849" s="418" t="s">
        <v>4816</v>
      </c>
      <c r="B849">
        <v>1</v>
      </c>
      <c r="C849" s="309"/>
      <c r="D849" s="310"/>
    </row>
    <row r="850" spans="1:4" x14ac:dyDescent="0.25">
      <c r="A850" s="418" t="s">
        <v>5100</v>
      </c>
      <c r="B850">
        <v>3</v>
      </c>
      <c r="C850" s="309"/>
      <c r="D850" s="310"/>
    </row>
    <row r="851" spans="1:4" x14ac:dyDescent="0.25">
      <c r="A851" s="418" t="s">
        <v>6335</v>
      </c>
      <c r="B851">
        <v>3</v>
      </c>
      <c r="C851" s="309"/>
      <c r="D851" s="310"/>
    </row>
    <row r="852" spans="1:4" x14ac:dyDescent="0.25">
      <c r="A852" s="418" t="s">
        <v>5850</v>
      </c>
      <c r="B852">
        <v>3</v>
      </c>
      <c r="C852" s="309"/>
      <c r="D852" s="310"/>
    </row>
    <row r="853" spans="1:4" x14ac:dyDescent="0.25">
      <c r="A853" s="418" t="s">
        <v>5101</v>
      </c>
      <c r="B853">
        <v>3</v>
      </c>
      <c r="C853" s="309"/>
      <c r="D853" s="310"/>
    </row>
    <row r="854" spans="1:4" x14ac:dyDescent="0.25">
      <c r="A854" s="418" t="s">
        <v>6336</v>
      </c>
      <c r="B854">
        <v>1</v>
      </c>
      <c r="C854" s="309"/>
      <c r="D854" s="310"/>
    </row>
    <row r="855" spans="1:4" x14ac:dyDescent="0.25">
      <c r="A855" s="418" t="s">
        <v>4259</v>
      </c>
      <c r="B855">
        <v>1</v>
      </c>
      <c r="C855" s="309"/>
      <c r="D855" s="310"/>
    </row>
    <row r="856" spans="1:4" x14ac:dyDescent="0.25">
      <c r="A856" s="418" t="s">
        <v>5944</v>
      </c>
      <c r="B856">
        <v>6</v>
      </c>
      <c r="C856" s="309"/>
      <c r="D856" s="310"/>
    </row>
    <row r="857" spans="1:4" x14ac:dyDescent="0.25">
      <c r="A857" s="418" t="s">
        <v>6401</v>
      </c>
      <c r="B857">
        <v>6</v>
      </c>
      <c r="C857" s="309"/>
      <c r="D857" s="310"/>
    </row>
    <row r="858" spans="1:4" x14ac:dyDescent="0.25">
      <c r="A858" s="418" t="s">
        <v>10985</v>
      </c>
      <c r="B858">
        <v>2</v>
      </c>
      <c r="C858" s="309"/>
      <c r="D858" s="310"/>
    </row>
    <row r="859" spans="1:4" x14ac:dyDescent="0.25">
      <c r="A859" s="418" t="s">
        <v>6402</v>
      </c>
      <c r="B859">
        <v>4</v>
      </c>
      <c r="C859" s="309"/>
      <c r="D859" s="310"/>
    </row>
    <row r="860" spans="1:4" x14ac:dyDescent="0.25">
      <c r="A860" s="418" t="s">
        <v>4562</v>
      </c>
      <c r="B860">
        <v>2</v>
      </c>
      <c r="C860" s="309"/>
      <c r="D860" s="310"/>
    </row>
    <row r="861" spans="1:4" x14ac:dyDescent="0.25">
      <c r="A861" s="418" t="s">
        <v>4563</v>
      </c>
      <c r="B861">
        <v>3</v>
      </c>
      <c r="C861" s="309"/>
      <c r="D861" s="310"/>
    </row>
    <row r="862" spans="1:4" x14ac:dyDescent="0.25">
      <c r="A862" s="418" t="s">
        <v>4260</v>
      </c>
      <c r="B862">
        <v>3</v>
      </c>
      <c r="C862" s="309"/>
      <c r="D862" s="310"/>
    </row>
    <row r="863" spans="1:4" x14ac:dyDescent="0.25">
      <c r="A863" s="418" t="s">
        <v>4261</v>
      </c>
      <c r="B863">
        <v>3</v>
      </c>
      <c r="C863" s="309"/>
      <c r="D863" s="310"/>
    </row>
    <row r="864" spans="1:4" x14ac:dyDescent="0.25">
      <c r="A864" s="418" t="s">
        <v>4262</v>
      </c>
      <c r="B864">
        <v>3</v>
      </c>
      <c r="C864" s="309"/>
      <c r="D864" s="310"/>
    </row>
    <row r="865" spans="1:4" x14ac:dyDescent="0.25">
      <c r="A865" s="418" t="s">
        <v>5772</v>
      </c>
      <c r="B865">
        <v>3</v>
      </c>
      <c r="C865" s="309"/>
      <c r="D865" s="310"/>
    </row>
    <row r="866" spans="1:4" x14ac:dyDescent="0.25">
      <c r="A866" s="418" t="s">
        <v>5773</v>
      </c>
      <c r="B866">
        <v>3</v>
      </c>
      <c r="C866" s="309"/>
      <c r="D866" s="310"/>
    </row>
    <row r="867" spans="1:4" x14ac:dyDescent="0.25">
      <c r="A867" s="418" t="s">
        <v>5774</v>
      </c>
      <c r="B867">
        <v>3</v>
      </c>
      <c r="C867" s="309"/>
      <c r="D867" s="310"/>
    </row>
    <row r="868" spans="1:4" x14ac:dyDescent="0.25">
      <c r="A868" s="418" t="s">
        <v>5775</v>
      </c>
      <c r="B868">
        <v>1</v>
      </c>
      <c r="C868" s="309"/>
      <c r="D868" s="310"/>
    </row>
    <row r="869" spans="1:4" x14ac:dyDescent="0.25">
      <c r="A869" s="418" t="s">
        <v>6182</v>
      </c>
      <c r="B869">
        <v>3</v>
      </c>
      <c r="C869" s="309"/>
      <c r="D869" s="310"/>
    </row>
    <row r="870" spans="1:4" x14ac:dyDescent="0.25">
      <c r="A870" s="418" t="s">
        <v>6183</v>
      </c>
      <c r="B870">
        <v>3</v>
      </c>
      <c r="C870" s="309"/>
      <c r="D870" s="310"/>
    </row>
    <row r="871" spans="1:4" x14ac:dyDescent="0.25">
      <c r="A871" s="418" t="s">
        <v>4793</v>
      </c>
      <c r="B871">
        <v>7</v>
      </c>
      <c r="C871" s="309"/>
      <c r="D871" s="310"/>
    </row>
    <row r="872" spans="1:4" x14ac:dyDescent="0.25">
      <c r="A872" s="418" t="s">
        <v>5348</v>
      </c>
      <c r="B872">
        <v>7</v>
      </c>
      <c r="C872" s="309"/>
      <c r="D872" s="310"/>
    </row>
    <row r="873" spans="1:4" x14ac:dyDescent="0.25">
      <c r="A873" s="418" t="s">
        <v>5349</v>
      </c>
      <c r="B873">
        <v>8</v>
      </c>
      <c r="C873" s="309"/>
      <c r="D873" s="310"/>
    </row>
    <row r="874" spans="1:4" x14ac:dyDescent="0.25">
      <c r="A874" s="418" t="s">
        <v>5350</v>
      </c>
      <c r="B874">
        <v>4</v>
      </c>
      <c r="C874" s="309"/>
      <c r="D874" s="310"/>
    </row>
    <row r="875" spans="1:4" x14ac:dyDescent="0.25">
      <c r="A875" s="418" t="s">
        <v>5284</v>
      </c>
      <c r="B875">
        <v>5</v>
      </c>
      <c r="C875" s="309"/>
      <c r="D875" s="310"/>
    </row>
    <row r="876" spans="1:4" x14ac:dyDescent="0.25">
      <c r="A876" s="418" t="s">
        <v>5492</v>
      </c>
      <c r="B876">
        <v>4</v>
      </c>
      <c r="C876" s="309"/>
      <c r="D876" s="310"/>
    </row>
    <row r="877" spans="1:4" x14ac:dyDescent="0.25">
      <c r="A877" s="418" t="s">
        <v>5876</v>
      </c>
      <c r="B877">
        <v>4</v>
      </c>
      <c r="C877" s="309"/>
      <c r="D877" s="310"/>
    </row>
    <row r="878" spans="1:4" x14ac:dyDescent="0.25">
      <c r="A878" s="418" t="s">
        <v>5493</v>
      </c>
      <c r="B878">
        <v>5</v>
      </c>
      <c r="C878" s="309"/>
      <c r="D878" s="310"/>
    </row>
    <row r="879" spans="1:4" x14ac:dyDescent="0.25">
      <c r="A879" s="418" t="s">
        <v>6426</v>
      </c>
      <c r="B879">
        <v>3</v>
      </c>
      <c r="C879" s="309"/>
      <c r="D879" s="310"/>
    </row>
    <row r="880" spans="1:4" x14ac:dyDescent="0.25">
      <c r="A880" s="418" t="s">
        <v>6427</v>
      </c>
      <c r="B880">
        <v>3</v>
      </c>
      <c r="C880" s="309"/>
      <c r="D880" s="310"/>
    </row>
    <row r="881" spans="1:4" x14ac:dyDescent="0.25">
      <c r="A881" s="418" t="s">
        <v>4389</v>
      </c>
      <c r="B881">
        <v>3</v>
      </c>
      <c r="C881" s="309"/>
      <c r="D881" s="310"/>
    </row>
    <row r="882" spans="1:4" x14ac:dyDescent="0.25">
      <c r="A882" s="418" t="s">
        <v>4362</v>
      </c>
      <c r="B882">
        <v>3</v>
      </c>
      <c r="C882" s="309"/>
      <c r="D882" s="310"/>
    </row>
    <row r="883" spans="1:4" x14ac:dyDescent="0.25">
      <c r="A883" s="418" t="s">
        <v>7602</v>
      </c>
      <c r="B883">
        <v>2</v>
      </c>
      <c r="C883" s="309"/>
      <c r="D883" s="310"/>
    </row>
    <row r="884" spans="1:4" x14ac:dyDescent="0.25">
      <c r="A884" s="418" t="s">
        <v>7603</v>
      </c>
      <c r="B884">
        <v>2</v>
      </c>
      <c r="C884" s="309"/>
      <c r="D884" s="310"/>
    </row>
    <row r="885" spans="1:4" x14ac:dyDescent="0.25">
      <c r="A885" s="418" t="s">
        <v>7604</v>
      </c>
      <c r="B885">
        <v>1</v>
      </c>
      <c r="C885" s="309"/>
      <c r="D885" s="310"/>
    </row>
    <row r="886" spans="1:4" x14ac:dyDescent="0.25">
      <c r="A886" s="418" t="s">
        <v>8465</v>
      </c>
      <c r="B886">
        <v>1</v>
      </c>
      <c r="C886" s="309"/>
      <c r="D886" s="310"/>
    </row>
    <row r="887" spans="1:4" x14ac:dyDescent="0.25">
      <c r="A887" s="418" t="s">
        <v>7099</v>
      </c>
      <c r="B887">
        <v>1</v>
      </c>
      <c r="C887" s="309"/>
      <c r="D887" s="310"/>
    </row>
    <row r="888" spans="1:4" x14ac:dyDescent="0.25">
      <c r="A888" s="418" t="s">
        <v>6428</v>
      </c>
      <c r="B888">
        <v>1</v>
      </c>
      <c r="C888" s="309"/>
      <c r="D888" s="310"/>
    </row>
    <row r="889" spans="1:4" x14ac:dyDescent="0.25">
      <c r="A889" s="418" t="s">
        <v>6429</v>
      </c>
      <c r="B889">
        <v>2</v>
      </c>
      <c r="C889" s="309"/>
      <c r="D889" s="310"/>
    </row>
    <row r="890" spans="1:4" x14ac:dyDescent="0.25">
      <c r="A890" s="418" t="s">
        <v>6895</v>
      </c>
      <c r="B890">
        <v>3</v>
      </c>
      <c r="C890" s="309"/>
      <c r="D890" s="310"/>
    </row>
    <row r="891" spans="1:4" x14ac:dyDescent="0.25">
      <c r="A891" s="418" t="s">
        <v>17077</v>
      </c>
      <c r="B891">
        <v>3</v>
      </c>
      <c r="C891" s="309"/>
      <c r="D891" s="310"/>
    </row>
    <row r="892" spans="1:4" x14ac:dyDescent="0.25">
      <c r="A892" s="418" t="s">
        <v>8849</v>
      </c>
      <c r="B892">
        <v>9</v>
      </c>
      <c r="C892" s="309"/>
      <c r="D892" s="310"/>
    </row>
    <row r="893" spans="1:4" x14ac:dyDescent="0.25">
      <c r="A893" s="418" t="s">
        <v>7247</v>
      </c>
      <c r="B893">
        <v>9</v>
      </c>
      <c r="C893" s="309"/>
      <c r="D893" s="310"/>
    </row>
    <row r="894" spans="1:4" x14ac:dyDescent="0.25">
      <c r="A894" s="418" t="s">
        <v>8850</v>
      </c>
      <c r="B894">
        <v>5</v>
      </c>
      <c r="C894" s="309"/>
      <c r="D894" s="310"/>
    </row>
    <row r="895" spans="1:4" x14ac:dyDescent="0.25">
      <c r="A895" s="418" t="s">
        <v>4794</v>
      </c>
      <c r="B895">
        <v>1</v>
      </c>
      <c r="C895" s="309"/>
      <c r="D895" s="310"/>
    </row>
    <row r="896" spans="1:4" x14ac:dyDescent="0.25">
      <c r="A896" s="418" t="s">
        <v>4795</v>
      </c>
      <c r="B896">
        <v>1</v>
      </c>
      <c r="C896" s="309"/>
      <c r="D896" s="310"/>
    </row>
    <row r="897" spans="1:4" x14ac:dyDescent="0.25">
      <c r="A897" s="418" t="s">
        <v>4796</v>
      </c>
      <c r="B897">
        <v>1</v>
      </c>
      <c r="C897" s="309"/>
      <c r="D897" s="310"/>
    </row>
    <row r="898" spans="1:4" x14ac:dyDescent="0.25">
      <c r="A898" s="418" t="s">
        <v>4797</v>
      </c>
      <c r="B898">
        <v>1</v>
      </c>
      <c r="C898" s="309"/>
      <c r="D898" s="310"/>
    </row>
    <row r="899" spans="1:4" x14ac:dyDescent="0.25">
      <c r="A899" s="418" t="s">
        <v>7248</v>
      </c>
      <c r="B899">
        <v>4</v>
      </c>
      <c r="C899" s="309"/>
      <c r="D899" s="310"/>
    </row>
    <row r="900" spans="1:4" x14ac:dyDescent="0.25">
      <c r="A900" s="418" t="s">
        <v>8131</v>
      </c>
      <c r="B900">
        <v>4</v>
      </c>
      <c r="C900" s="309"/>
      <c r="D900" s="310"/>
    </row>
    <row r="901" spans="1:4" x14ac:dyDescent="0.25">
      <c r="A901" s="418" t="s">
        <v>8132</v>
      </c>
      <c r="B901">
        <v>3</v>
      </c>
      <c r="C901" s="309"/>
      <c r="D901" s="310"/>
    </row>
    <row r="902" spans="1:4" x14ac:dyDescent="0.25">
      <c r="A902" s="418" t="s">
        <v>4973</v>
      </c>
      <c r="B902">
        <v>12</v>
      </c>
      <c r="C902" s="309"/>
      <c r="D902" s="310"/>
    </row>
    <row r="903" spans="1:4" x14ac:dyDescent="0.25">
      <c r="A903" s="418" t="s">
        <v>4974</v>
      </c>
      <c r="B903">
        <v>12</v>
      </c>
      <c r="C903" s="309"/>
      <c r="D903" s="310"/>
    </row>
    <row r="904" spans="1:4" x14ac:dyDescent="0.25">
      <c r="A904" s="418" t="s">
        <v>4975</v>
      </c>
      <c r="B904">
        <v>10</v>
      </c>
      <c r="C904" s="309"/>
      <c r="D904" s="310"/>
    </row>
    <row r="905" spans="1:4" x14ac:dyDescent="0.25">
      <c r="A905" s="418" t="s">
        <v>4976</v>
      </c>
      <c r="B905">
        <v>5</v>
      </c>
      <c r="C905" s="309"/>
      <c r="D905" s="310"/>
    </row>
    <row r="906" spans="1:4" x14ac:dyDescent="0.25">
      <c r="A906" s="418" t="s">
        <v>5261</v>
      </c>
      <c r="B906">
        <v>1</v>
      </c>
      <c r="C906" s="309"/>
      <c r="D906" s="310"/>
    </row>
    <row r="907" spans="1:4" x14ac:dyDescent="0.25">
      <c r="A907" s="418" t="s">
        <v>4482</v>
      </c>
      <c r="B907">
        <v>2</v>
      </c>
      <c r="C907" s="309"/>
      <c r="D907" s="310"/>
    </row>
    <row r="908" spans="1:4" x14ac:dyDescent="0.25">
      <c r="A908" s="418" t="s">
        <v>5262</v>
      </c>
      <c r="B908">
        <v>1</v>
      </c>
      <c r="C908" s="309"/>
      <c r="D908" s="310"/>
    </row>
    <row r="909" spans="1:4" x14ac:dyDescent="0.25">
      <c r="A909" s="418" t="s">
        <v>4977</v>
      </c>
      <c r="B909">
        <v>1</v>
      </c>
      <c r="C909" s="309"/>
      <c r="D909" s="310"/>
    </row>
    <row r="910" spans="1:4" x14ac:dyDescent="0.25">
      <c r="A910" s="418" t="s">
        <v>4978</v>
      </c>
      <c r="B910">
        <v>1</v>
      </c>
      <c r="C910" s="309"/>
      <c r="D910" s="310"/>
    </row>
    <row r="911" spans="1:4" x14ac:dyDescent="0.25">
      <c r="A911" s="418" t="s">
        <v>4316</v>
      </c>
      <c r="B911">
        <v>3</v>
      </c>
      <c r="C911" s="309"/>
      <c r="D911" s="310"/>
    </row>
    <row r="912" spans="1:4" x14ac:dyDescent="0.25">
      <c r="A912" s="418" t="s">
        <v>4317</v>
      </c>
      <c r="B912">
        <v>5</v>
      </c>
      <c r="C912" s="309"/>
      <c r="D912" s="310"/>
    </row>
    <row r="913" spans="1:4" x14ac:dyDescent="0.25">
      <c r="A913" s="418" t="s">
        <v>7293</v>
      </c>
      <c r="B913">
        <v>2</v>
      </c>
      <c r="C913" s="309"/>
      <c r="D913" s="310"/>
    </row>
    <row r="914" spans="1:4" x14ac:dyDescent="0.25">
      <c r="A914" s="418" t="s">
        <v>12091</v>
      </c>
      <c r="B914">
        <v>1</v>
      </c>
      <c r="C914" s="309"/>
      <c r="D914" s="310"/>
    </row>
    <row r="915" spans="1:4" x14ac:dyDescent="0.25">
      <c r="A915" s="418" t="s">
        <v>7197</v>
      </c>
      <c r="B915">
        <v>1</v>
      </c>
      <c r="C915" s="309"/>
      <c r="D915" s="310"/>
    </row>
    <row r="916" spans="1:4" x14ac:dyDescent="0.25">
      <c r="A916" s="418" t="s">
        <v>11335</v>
      </c>
      <c r="B916">
        <v>2</v>
      </c>
      <c r="C916" s="309"/>
      <c r="D916" s="310"/>
    </row>
    <row r="917" spans="1:4" x14ac:dyDescent="0.25">
      <c r="A917" s="418" t="s">
        <v>10562</v>
      </c>
      <c r="B917">
        <v>3</v>
      </c>
      <c r="C917" s="309"/>
      <c r="D917" s="310"/>
    </row>
    <row r="918" spans="1:4" x14ac:dyDescent="0.25">
      <c r="A918" s="418" t="s">
        <v>6430</v>
      </c>
      <c r="B918">
        <v>2</v>
      </c>
      <c r="C918" s="309"/>
      <c r="D918" s="310"/>
    </row>
    <row r="919" spans="1:4" x14ac:dyDescent="0.25">
      <c r="A919" s="418" t="s">
        <v>6431</v>
      </c>
      <c r="B919">
        <v>2</v>
      </c>
      <c r="C919" s="309"/>
      <c r="D919" s="310"/>
    </row>
    <row r="920" spans="1:4" x14ac:dyDescent="0.25">
      <c r="A920" s="418" t="s">
        <v>6868</v>
      </c>
      <c r="B920">
        <v>1</v>
      </c>
      <c r="C920" s="309"/>
      <c r="D920" s="310"/>
    </row>
    <row r="921" spans="1:4" x14ac:dyDescent="0.25">
      <c r="A921" s="418" t="s">
        <v>4798</v>
      </c>
      <c r="B921">
        <v>3</v>
      </c>
      <c r="C921" s="309"/>
      <c r="D921" s="310"/>
    </row>
    <row r="922" spans="1:4" x14ac:dyDescent="0.25">
      <c r="A922" s="418" t="s">
        <v>5102</v>
      </c>
      <c r="B922">
        <v>2</v>
      </c>
      <c r="C922" s="309"/>
      <c r="D922" s="310"/>
    </row>
    <row r="923" spans="1:4" x14ac:dyDescent="0.25">
      <c r="A923" s="418" t="s">
        <v>4318</v>
      </c>
      <c r="B923">
        <v>1</v>
      </c>
      <c r="C923" s="309"/>
      <c r="D923" s="310"/>
    </row>
    <row r="924" spans="1:4" x14ac:dyDescent="0.25">
      <c r="A924" s="418" t="s">
        <v>6896</v>
      </c>
      <c r="B924">
        <v>4</v>
      </c>
      <c r="C924" s="309"/>
      <c r="D924" s="310"/>
    </row>
    <row r="925" spans="1:4" x14ac:dyDescent="0.25">
      <c r="A925" s="418" t="s">
        <v>8977</v>
      </c>
      <c r="B925">
        <v>4</v>
      </c>
      <c r="C925" s="309"/>
      <c r="D925" s="310"/>
    </row>
    <row r="926" spans="1:4" x14ac:dyDescent="0.25">
      <c r="A926" s="418" t="s">
        <v>10641</v>
      </c>
      <c r="B926">
        <v>3</v>
      </c>
      <c r="C926" s="309"/>
      <c r="D926" s="310"/>
    </row>
    <row r="927" spans="1:4" x14ac:dyDescent="0.25">
      <c r="A927" s="418" t="s">
        <v>4564</v>
      </c>
      <c r="B927">
        <v>1</v>
      </c>
      <c r="C927" s="309"/>
      <c r="D927" s="310"/>
    </row>
    <row r="928" spans="1:4" x14ac:dyDescent="0.25">
      <c r="A928" s="418" t="s">
        <v>4565</v>
      </c>
      <c r="B928">
        <v>1</v>
      </c>
      <c r="C928" s="309"/>
      <c r="D928" s="310"/>
    </row>
    <row r="929" spans="1:4" x14ac:dyDescent="0.25">
      <c r="A929" s="418" t="s">
        <v>4864</v>
      </c>
      <c r="B929">
        <v>3</v>
      </c>
      <c r="C929" s="309"/>
      <c r="D929" s="310"/>
    </row>
    <row r="930" spans="1:4" x14ac:dyDescent="0.25">
      <c r="A930" s="418" t="s">
        <v>6337</v>
      </c>
      <c r="B930">
        <v>3</v>
      </c>
      <c r="C930" s="309"/>
      <c r="D930" s="310"/>
    </row>
    <row r="931" spans="1:4" x14ac:dyDescent="0.25">
      <c r="A931" s="418" t="s">
        <v>6869</v>
      </c>
      <c r="B931">
        <v>1</v>
      </c>
      <c r="C931" s="309"/>
      <c r="D931" s="310"/>
    </row>
    <row r="932" spans="1:4" x14ac:dyDescent="0.25">
      <c r="A932" s="418" t="s">
        <v>5103</v>
      </c>
      <c r="B932">
        <v>3</v>
      </c>
      <c r="C932" s="309"/>
      <c r="D932" s="310"/>
    </row>
    <row r="933" spans="1:4" x14ac:dyDescent="0.25">
      <c r="A933" s="418" t="s">
        <v>9177</v>
      </c>
      <c r="B933">
        <v>1</v>
      </c>
      <c r="C933" s="309"/>
      <c r="D933" s="310"/>
    </row>
    <row r="934" spans="1:4" x14ac:dyDescent="0.25">
      <c r="A934" s="418" t="s">
        <v>7605</v>
      </c>
      <c r="B934">
        <v>1</v>
      </c>
      <c r="C934" s="309"/>
      <c r="D934" s="310"/>
    </row>
    <row r="935" spans="1:4" x14ac:dyDescent="0.25">
      <c r="A935" s="418" t="s">
        <v>16409</v>
      </c>
      <c r="B935">
        <v>1</v>
      </c>
      <c r="C935" s="309"/>
      <c r="D935" s="310"/>
    </row>
    <row r="936" spans="1:4" x14ac:dyDescent="0.25">
      <c r="A936" s="418" t="s">
        <v>16317</v>
      </c>
      <c r="B936">
        <v>2</v>
      </c>
      <c r="C936" s="309"/>
      <c r="D936" s="310"/>
    </row>
    <row r="937" spans="1:4" x14ac:dyDescent="0.25">
      <c r="A937" s="418" t="s">
        <v>5285</v>
      </c>
      <c r="B937">
        <v>4</v>
      </c>
      <c r="C937" s="309"/>
      <c r="D937" s="310"/>
    </row>
    <row r="938" spans="1:4" x14ac:dyDescent="0.25">
      <c r="A938" s="418" t="s">
        <v>5494</v>
      </c>
      <c r="B938">
        <v>3</v>
      </c>
      <c r="C938" s="309"/>
      <c r="D938" s="310"/>
    </row>
    <row r="939" spans="1:4" x14ac:dyDescent="0.25">
      <c r="A939" s="418" t="s">
        <v>5985</v>
      </c>
      <c r="B939">
        <v>3</v>
      </c>
      <c r="C939" s="309"/>
      <c r="D939" s="310"/>
    </row>
    <row r="940" spans="1:4" x14ac:dyDescent="0.25">
      <c r="A940" s="418" t="s">
        <v>5986</v>
      </c>
      <c r="B940">
        <v>1</v>
      </c>
      <c r="C940" s="309"/>
      <c r="D940" s="310"/>
    </row>
    <row r="941" spans="1:4" x14ac:dyDescent="0.25">
      <c r="A941" s="418" t="s">
        <v>6726</v>
      </c>
      <c r="B941">
        <v>6</v>
      </c>
      <c r="C941" s="309"/>
      <c r="D941" s="310"/>
    </row>
    <row r="942" spans="1:4" x14ac:dyDescent="0.25">
      <c r="A942" s="418" t="s">
        <v>6727</v>
      </c>
      <c r="B942">
        <v>6</v>
      </c>
      <c r="C942" s="309"/>
      <c r="D942" s="310"/>
    </row>
    <row r="943" spans="1:4" x14ac:dyDescent="0.25">
      <c r="A943" s="418" t="s">
        <v>11349</v>
      </c>
      <c r="B943">
        <v>1</v>
      </c>
      <c r="C943" s="309"/>
      <c r="D943" s="310"/>
    </row>
    <row r="944" spans="1:4" x14ac:dyDescent="0.25">
      <c r="A944" s="418" t="s">
        <v>11350</v>
      </c>
      <c r="B944">
        <v>2</v>
      </c>
      <c r="C944" s="309"/>
      <c r="D944" s="310"/>
    </row>
    <row r="945" spans="1:4" x14ac:dyDescent="0.25">
      <c r="A945" s="418" t="s">
        <v>4566</v>
      </c>
      <c r="B945">
        <v>3</v>
      </c>
      <c r="C945" s="309"/>
      <c r="D945" s="310"/>
    </row>
    <row r="946" spans="1:4" x14ac:dyDescent="0.25">
      <c r="A946" s="418" t="s">
        <v>8418</v>
      </c>
      <c r="B946">
        <v>3</v>
      </c>
      <c r="C946" s="309"/>
      <c r="D946" s="310"/>
    </row>
    <row r="947" spans="1:4" x14ac:dyDescent="0.25">
      <c r="A947" s="418" t="s">
        <v>4567</v>
      </c>
      <c r="B947">
        <v>4</v>
      </c>
      <c r="C947" s="309"/>
      <c r="D947" s="310"/>
    </row>
    <row r="948" spans="1:4" x14ac:dyDescent="0.25">
      <c r="A948" s="418" t="s">
        <v>6620</v>
      </c>
      <c r="B948">
        <v>1</v>
      </c>
      <c r="C948" s="309"/>
      <c r="D948" s="310"/>
    </row>
    <row r="949" spans="1:4" x14ac:dyDescent="0.25">
      <c r="A949" s="418" t="s">
        <v>8851</v>
      </c>
      <c r="B949">
        <v>2</v>
      </c>
      <c r="C949" s="309"/>
      <c r="D949" s="310"/>
    </row>
    <row r="950" spans="1:4" x14ac:dyDescent="0.25">
      <c r="A950" s="418" t="s">
        <v>8852</v>
      </c>
      <c r="B950">
        <v>1</v>
      </c>
      <c r="C950" s="309"/>
      <c r="D950" s="310"/>
    </row>
    <row r="951" spans="1:4" x14ac:dyDescent="0.25">
      <c r="A951" s="418" t="s">
        <v>7371</v>
      </c>
      <c r="B951">
        <v>3</v>
      </c>
      <c r="C951" s="309"/>
      <c r="D951" s="310"/>
    </row>
    <row r="952" spans="1:4" x14ac:dyDescent="0.25">
      <c r="A952" s="418" t="s">
        <v>7450</v>
      </c>
      <c r="B952">
        <v>6</v>
      </c>
      <c r="C952" s="309"/>
      <c r="D952" s="310"/>
    </row>
    <row r="953" spans="1:4" x14ac:dyDescent="0.25">
      <c r="A953" s="418" t="s">
        <v>8466</v>
      </c>
      <c r="B953">
        <v>2</v>
      </c>
      <c r="C953" s="309"/>
      <c r="D953" s="310"/>
    </row>
    <row r="954" spans="1:4" x14ac:dyDescent="0.25">
      <c r="A954" s="418" t="s">
        <v>8675</v>
      </c>
      <c r="B954">
        <v>1</v>
      </c>
      <c r="C954" s="309"/>
      <c r="D954" s="310"/>
    </row>
    <row r="955" spans="1:4" x14ac:dyDescent="0.25">
      <c r="A955" s="418" t="s">
        <v>8689</v>
      </c>
      <c r="B955">
        <v>25</v>
      </c>
      <c r="C955" s="309"/>
      <c r="D955" s="310"/>
    </row>
    <row r="956" spans="1:4" x14ac:dyDescent="0.25">
      <c r="A956" s="418" t="s">
        <v>8853</v>
      </c>
      <c r="B956">
        <v>28</v>
      </c>
      <c r="C956" s="309"/>
      <c r="D956" s="310"/>
    </row>
    <row r="957" spans="1:4" x14ac:dyDescent="0.25">
      <c r="A957" s="418" t="s">
        <v>8690</v>
      </c>
      <c r="B957">
        <v>18</v>
      </c>
      <c r="C957" s="309"/>
      <c r="D957" s="310"/>
    </row>
    <row r="958" spans="1:4" x14ac:dyDescent="0.25">
      <c r="A958" s="418" t="s">
        <v>9237</v>
      </c>
      <c r="B958">
        <v>12</v>
      </c>
      <c r="C958" s="309"/>
      <c r="D958" s="310"/>
    </row>
    <row r="959" spans="1:4" x14ac:dyDescent="0.25">
      <c r="A959" s="418" t="s">
        <v>3819</v>
      </c>
      <c r="B959">
        <v>2</v>
      </c>
      <c r="C959" s="309"/>
      <c r="D959" s="310"/>
    </row>
    <row r="960" spans="1:4" x14ac:dyDescent="0.25">
      <c r="A960" s="418" t="s">
        <v>5776</v>
      </c>
      <c r="B960">
        <v>3</v>
      </c>
      <c r="C960" s="309"/>
      <c r="D960" s="310"/>
    </row>
    <row r="961" spans="1:4" x14ac:dyDescent="0.25">
      <c r="A961" s="418" t="s">
        <v>5104</v>
      </c>
      <c r="B961">
        <v>3</v>
      </c>
      <c r="C961" s="309"/>
      <c r="D961" s="310"/>
    </row>
    <row r="962" spans="1:4" x14ac:dyDescent="0.25">
      <c r="A962" s="418" t="s">
        <v>5777</v>
      </c>
      <c r="B962">
        <v>3</v>
      </c>
      <c r="C962" s="309"/>
      <c r="D962" s="310"/>
    </row>
    <row r="963" spans="1:4" x14ac:dyDescent="0.25">
      <c r="A963" s="418" t="s">
        <v>5105</v>
      </c>
      <c r="B963">
        <v>4</v>
      </c>
      <c r="C963" s="309"/>
      <c r="D963" s="310"/>
    </row>
    <row r="964" spans="1:4" x14ac:dyDescent="0.25">
      <c r="A964" s="418" t="s">
        <v>8854</v>
      </c>
      <c r="B964">
        <v>5</v>
      </c>
      <c r="C964" s="309"/>
      <c r="D964" s="310"/>
    </row>
    <row r="965" spans="1:4" x14ac:dyDescent="0.25">
      <c r="A965" s="418" t="s">
        <v>6655</v>
      </c>
      <c r="B965">
        <v>13</v>
      </c>
      <c r="C965" s="309"/>
      <c r="D965" s="310"/>
    </row>
    <row r="966" spans="1:4" x14ac:dyDescent="0.25">
      <c r="A966" s="418" t="s">
        <v>8855</v>
      </c>
      <c r="B966">
        <v>12</v>
      </c>
      <c r="C966" s="309"/>
      <c r="D966" s="310"/>
    </row>
    <row r="967" spans="1:4" x14ac:dyDescent="0.25">
      <c r="A967" s="418" t="s">
        <v>6656</v>
      </c>
      <c r="B967">
        <v>11</v>
      </c>
      <c r="C967" s="309"/>
      <c r="D967" s="310"/>
    </row>
    <row r="968" spans="1:4" x14ac:dyDescent="0.25">
      <c r="A968" s="418" t="s">
        <v>6001</v>
      </c>
      <c r="B968">
        <v>3</v>
      </c>
      <c r="C968" s="309"/>
      <c r="D968" s="310"/>
    </row>
    <row r="969" spans="1:4" x14ac:dyDescent="0.25">
      <c r="A969" s="418" t="s">
        <v>9043</v>
      </c>
      <c r="B969">
        <v>3</v>
      </c>
      <c r="C969" s="309"/>
      <c r="D969" s="310"/>
    </row>
    <row r="970" spans="1:4" x14ac:dyDescent="0.25">
      <c r="A970" s="418" t="s">
        <v>9044</v>
      </c>
      <c r="B970">
        <v>1</v>
      </c>
      <c r="C970" s="309"/>
      <c r="D970" s="310"/>
    </row>
    <row r="971" spans="1:4" x14ac:dyDescent="0.25">
      <c r="A971" s="418" t="s">
        <v>6002</v>
      </c>
      <c r="B971">
        <v>4</v>
      </c>
      <c r="C971" s="309"/>
      <c r="D971" s="310"/>
    </row>
    <row r="972" spans="1:4" x14ac:dyDescent="0.25">
      <c r="A972" s="418" t="s">
        <v>4799</v>
      </c>
      <c r="B972">
        <v>2</v>
      </c>
      <c r="C972" s="309"/>
      <c r="D972" s="310"/>
    </row>
    <row r="973" spans="1:4" x14ac:dyDescent="0.25">
      <c r="A973" s="418" t="s">
        <v>6276</v>
      </c>
      <c r="B973">
        <v>1</v>
      </c>
      <c r="C973" s="309"/>
      <c r="D973" s="310"/>
    </row>
    <row r="974" spans="1:4" x14ac:dyDescent="0.25">
      <c r="A974" s="418" t="s">
        <v>4568</v>
      </c>
      <c r="B974">
        <v>1</v>
      </c>
      <c r="C974" s="309"/>
      <c r="D974" s="310"/>
    </row>
    <row r="975" spans="1:4" x14ac:dyDescent="0.25">
      <c r="A975" s="418" t="s">
        <v>4569</v>
      </c>
      <c r="B975">
        <v>1</v>
      </c>
      <c r="C975" s="309"/>
      <c r="D975" s="310"/>
    </row>
    <row r="976" spans="1:4" x14ac:dyDescent="0.25">
      <c r="A976" s="418" t="s">
        <v>4390</v>
      </c>
      <c r="B976">
        <v>2</v>
      </c>
      <c r="C976" s="309"/>
      <c r="D976" s="310"/>
    </row>
    <row r="977" spans="1:4" x14ac:dyDescent="0.25">
      <c r="A977" s="418" t="s">
        <v>15319</v>
      </c>
      <c r="B977">
        <v>2</v>
      </c>
      <c r="C977" s="309"/>
      <c r="D977" s="310"/>
    </row>
    <row r="978" spans="1:4" x14ac:dyDescent="0.25">
      <c r="A978" s="418" t="s">
        <v>15320</v>
      </c>
      <c r="B978">
        <v>2</v>
      </c>
      <c r="C978" s="309"/>
      <c r="D978" s="310"/>
    </row>
    <row r="979" spans="1:4" x14ac:dyDescent="0.25">
      <c r="A979" s="418" t="s">
        <v>9903</v>
      </c>
      <c r="B979">
        <v>3</v>
      </c>
      <c r="C979" s="309"/>
      <c r="D979" s="310"/>
    </row>
    <row r="980" spans="1:4" x14ac:dyDescent="0.25">
      <c r="A980" s="418" t="s">
        <v>10238</v>
      </c>
      <c r="B980">
        <v>2</v>
      </c>
      <c r="C980" s="309"/>
      <c r="D980" s="310"/>
    </row>
    <row r="981" spans="1:4" x14ac:dyDescent="0.25">
      <c r="A981" s="418" t="s">
        <v>9904</v>
      </c>
      <c r="B981">
        <v>1</v>
      </c>
      <c r="C981" s="309"/>
      <c r="D981" s="310"/>
    </row>
    <row r="982" spans="1:4" x14ac:dyDescent="0.25">
      <c r="A982" s="418" t="s">
        <v>11043</v>
      </c>
      <c r="B982">
        <v>1</v>
      </c>
      <c r="C982" s="309"/>
      <c r="D982" s="310"/>
    </row>
    <row r="983" spans="1:4" x14ac:dyDescent="0.25">
      <c r="A983" s="418" t="s">
        <v>4570</v>
      </c>
      <c r="B983">
        <v>1</v>
      </c>
      <c r="C983" s="309"/>
      <c r="D983" s="310"/>
    </row>
    <row r="984" spans="1:4" x14ac:dyDescent="0.25">
      <c r="A984" s="418" t="s">
        <v>9188</v>
      </c>
      <c r="B984">
        <v>3</v>
      </c>
      <c r="C984" s="309"/>
      <c r="D984" s="310"/>
    </row>
    <row r="985" spans="1:4" x14ac:dyDescent="0.25">
      <c r="A985" s="418" t="s">
        <v>9189</v>
      </c>
      <c r="B985">
        <v>4</v>
      </c>
      <c r="C985" s="309"/>
      <c r="D985" s="310"/>
    </row>
    <row r="986" spans="1:4" x14ac:dyDescent="0.25">
      <c r="A986" s="418" t="s">
        <v>5778</v>
      </c>
      <c r="B986">
        <v>7</v>
      </c>
      <c r="C986" s="309"/>
      <c r="D986" s="310"/>
    </row>
    <row r="987" spans="1:4" x14ac:dyDescent="0.25">
      <c r="A987" s="418" t="s">
        <v>8177</v>
      </c>
      <c r="B987">
        <v>1</v>
      </c>
      <c r="C987" s="309"/>
      <c r="D987" s="310"/>
    </row>
    <row r="988" spans="1:4" x14ac:dyDescent="0.25">
      <c r="A988" s="418" t="s">
        <v>4422</v>
      </c>
      <c r="B988">
        <v>5</v>
      </c>
      <c r="C988" s="309"/>
      <c r="D988" s="310"/>
    </row>
    <row r="989" spans="1:4" x14ac:dyDescent="0.25">
      <c r="A989" s="418" t="s">
        <v>4423</v>
      </c>
      <c r="B989">
        <v>7</v>
      </c>
      <c r="C989" s="309"/>
      <c r="D989" s="310"/>
    </row>
    <row r="990" spans="1:4" x14ac:dyDescent="0.25">
      <c r="A990" s="418" t="s">
        <v>4953</v>
      </c>
      <c r="B990">
        <v>3</v>
      </c>
      <c r="C990" s="309"/>
      <c r="D990" s="310"/>
    </row>
    <row r="991" spans="1:4" x14ac:dyDescent="0.25">
      <c r="A991" s="418" t="s">
        <v>4954</v>
      </c>
      <c r="B991">
        <v>3</v>
      </c>
      <c r="C991" s="309"/>
      <c r="D991" s="310"/>
    </row>
    <row r="992" spans="1:4" x14ac:dyDescent="0.25">
      <c r="A992" s="418" t="s">
        <v>11687</v>
      </c>
      <c r="B992">
        <v>1</v>
      </c>
      <c r="C992" s="309"/>
      <c r="D992" s="310"/>
    </row>
    <row r="993" spans="1:4" x14ac:dyDescent="0.25">
      <c r="A993" s="418" t="s">
        <v>10286</v>
      </c>
      <c r="B993">
        <v>3</v>
      </c>
      <c r="C993" s="309"/>
      <c r="D993" s="310"/>
    </row>
    <row r="994" spans="1:4" x14ac:dyDescent="0.25">
      <c r="A994" s="418" t="s">
        <v>6432</v>
      </c>
      <c r="B994">
        <v>3</v>
      </c>
      <c r="C994" s="309"/>
      <c r="D994" s="310"/>
    </row>
    <row r="995" spans="1:4" x14ac:dyDescent="0.25">
      <c r="A995" s="418" t="s">
        <v>5945</v>
      </c>
      <c r="B995">
        <v>1</v>
      </c>
      <c r="C995" s="309"/>
      <c r="D995" s="310"/>
    </row>
    <row r="996" spans="1:4" x14ac:dyDescent="0.25">
      <c r="A996" s="418" t="s">
        <v>4391</v>
      </c>
      <c r="B996">
        <v>4</v>
      </c>
      <c r="C996" s="309"/>
      <c r="D996" s="310"/>
    </row>
    <row r="997" spans="1:4" x14ac:dyDescent="0.25">
      <c r="A997" s="418" t="s">
        <v>4571</v>
      </c>
      <c r="B997">
        <v>3</v>
      </c>
      <c r="C997" s="309"/>
      <c r="D997" s="310"/>
    </row>
    <row r="998" spans="1:4" x14ac:dyDescent="0.25">
      <c r="A998" s="418" t="s">
        <v>4979</v>
      </c>
      <c r="B998">
        <v>4</v>
      </c>
      <c r="C998" s="309"/>
      <c r="D998" s="310"/>
    </row>
    <row r="999" spans="1:4" x14ac:dyDescent="0.25">
      <c r="A999" s="418" t="s">
        <v>4572</v>
      </c>
      <c r="B999">
        <v>4</v>
      </c>
      <c r="C999" s="309"/>
      <c r="D999" s="310"/>
    </row>
    <row r="1000" spans="1:4" x14ac:dyDescent="0.25">
      <c r="A1000" s="418" t="s">
        <v>4573</v>
      </c>
      <c r="B1000">
        <v>3</v>
      </c>
      <c r="C1000" s="309"/>
      <c r="D1000" s="310"/>
    </row>
    <row r="1001" spans="1:4" x14ac:dyDescent="0.25">
      <c r="A1001" s="418" t="s">
        <v>4980</v>
      </c>
      <c r="B1001">
        <v>2</v>
      </c>
      <c r="C1001" s="309"/>
      <c r="D1001" s="310"/>
    </row>
    <row r="1002" spans="1:4" x14ac:dyDescent="0.25">
      <c r="A1002" s="418" t="s">
        <v>8206</v>
      </c>
      <c r="B1002">
        <v>4</v>
      </c>
      <c r="C1002" s="309"/>
      <c r="D1002" s="310"/>
    </row>
    <row r="1003" spans="1:4" x14ac:dyDescent="0.25">
      <c r="A1003" s="418" t="s">
        <v>4981</v>
      </c>
      <c r="B1003">
        <v>5</v>
      </c>
      <c r="C1003" s="309"/>
      <c r="D1003" s="310"/>
    </row>
    <row r="1004" spans="1:4" x14ac:dyDescent="0.25">
      <c r="A1004" s="418" t="s">
        <v>8746</v>
      </c>
      <c r="B1004">
        <v>4</v>
      </c>
      <c r="C1004" s="309"/>
      <c r="D1004" s="310"/>
    </row>
    <row r="1005" spans="1:4" x14ac:dyDescent="0.25">
      <c r="A1005" s="418" t="s">
        <v>4955</v>
      </c>
      <c r="B1005">
        <v>15</v>
      </c>
      <c r="C1005" s="309"/>
      <c r="D1005" s="310"/>
    </row>
    <row r="1006" spans="1:4" x14ac:dyDescent="0.25">
      <c r="A1006" s="418" t="s">
        <v>4956</v>
      </c>
      <c r="B1006">
        <v>16</v>
      </c>
      <c r="C1006" s="309"/>
      <c r="D1006" s="310"/>
    </row>
    <row r="1007" spans="1:4" x14ac:dyDescent="0.25">
      <c r="A1007" s="418" t="s">
        <v>4957</v>
      </c>
      <c r="B1007">
        <v>12</v>
      </c>
      <c r="C1007" s="309"/>
      <c r="D1007" s="310"/>
    </row>
    <row r="1008" spans="1:4" x14ac:dyDescent="0.25">
      <c r="A1008" s="418" t="s">
        <v>4958</v>
      </c>
      <c r="B1008">
        <v>7</v>
      </c>
      <c r="C1008" s="309"/>
      <c r="D1008" s="310"/>
    </row>
    <row r="1009" spans="1:4" x14ac:dyDescent="0.25">
      <c r="A1009" s="418" t="s">
        <v>7100</v>
      </c>
      <c r="B1009">
        <v>1</v>
      </c>
      <c r="C1009" s="309"/>
      <c r="D1009" s="310"/>
    </row>
    <row r="1010" spans="1:4" x14ac:dyDescent="0.25">
      <c r="A1010" s="418" t="s">
        <v>7101</v>
      </c>
      <c r="B1010">
        <v>1</v>
      </c>
      <c r="C1010" s="309"/>
      <c r="D1010" s="310"/>
    </row>
    <row r="1011" spans="1:4" x14ac:dyDescent="0.25">
      <c r="A1011" s="418" t="s">
        <v>6897</v>
      </c>
      <c r="B1011">
        <v>3</v>
      </c>
      <c r="C1011" s="309"/>
      <c r="D1011" s="310"/>
    </row>
    <row r="1012" spans="1:4" x14ac:dyDescent="0.25">
      <c r="A1012" s="418" t="s">
        <v>6898</v>
      </c>
      <c r="B1012">
        <v>3</v>
      </c>
      <c r="C1012" s="309"/>
      <c r="D1012" s="310"/>
    </row>
    <row r="1013" spans="1:4" x14ac:dyDescent="0.25">
      <c r="A1013" s="418" t="s">
        <v>7324</v>
      </c>
      <c r="B1013">
        <v>4</v>
      </c>
      <c r="C1013" s="309"/>
      <c r="D1013" s="310"/>
    </row>
    <row r="1014" spans="1:4" x14ac:dyDescent="0.25">
      <c r="A1014" s="418" t="s">
        <v>8467</v>
      </c>
      <c r="B1014">
        <v>5</v>
      </c>
      <c r="C1014" s="309"/>
      <c r="D1014" s="310"/>
    </row>
    <row r="1015" spans="1:4" x14ac:dyDescent="0.25">
      <c r="A1015" s="418" t="s">
        <v>8419</v>
      </c>
      <c r="B1015">
        <v>6</v>
      </c>
      <c r="C1015" s="309"/>
      <c r="D1015" s="310"/>
    </row>
    <row r="1016" spans="1:4" x14ac:dyDescent="0.25">
      <c r="A1016" s="418" t="s">
        <v>7451</v>
      </c>
      <c r="B1016">
        <v>4</v>
      </c>
      <c r="C1016" s="309"/>
      <c r="D1016" s="310"/>
    </row>
    <row r="1017" spans="1:4" x14ac:dyDescent="0.25">
      <c r="A1017" s="418" t="s">
        <v>10481</v>
      </c>
      <c r="B1017">
        <v>3</v>
      </c>
      <c r="C1017" s="309"/>
      <c r="D1017" s="310"/>
    </row>
    <row r="1018" spans="1:4" x14ac:dyDescent="0.25">
      <c r="A1018" s="418" t="s">
        <v>10563</v>
      </c>
      <c r="B1018">
        <v>3</v>
      </c>
      <c r="C1018" s="309"/>
      <c r="D1018" s="310"/>
    </row>
    <row r="1019" spans="1:4" x14ac:dyDescent="0.25">
      <c r="A1019" s="418" t="s">
        <v>10564</v>
      </c>
      <c r="B1019">
        <v>4</v>
      </c>
      <c r="C1019" s="309"/>
      <c r="D1019" s="310"/>
    </row>
    <row r="1020" spans="1:4" x14ac:dyDescent="0.25">
      <c r="A1020" s="418" t="s">
        <v>6938</v>
      </c>
      <c r="B1020">
        <v>4</v>
      </c>
      <c r="C1020" s="309"/>
      <c r="D1020" s="310"/>
    </row>
    <row r="1021" spans="1:4" x14ac:dyDescent="0.25">
      <c r="A1021" s="418" t="s">
        <v>10565</v>
      </c>
      <c r="B1021">
        <v>3</v>
      </c>
      <c r="C1021" s="309"/>
      <c r="D1021" s="310"/>
    </row>
    <row r="1022" spans="1:4" x14ac:dyDescent="0.25">
      <c r="A1022" s="418" t="s">
        <v>6899</v>
      </c>
      <c r="B1022">
        <v>3</v>
      </c>
      <c r="C1022" s="309"/>
      <c r="D1022" s="310"/>
    </row>
    <row r="1023" spans="1:4" x14ac:dyDescent="0.25">
      <c r="A1023" s="418" t="s">
        <v>5946</v>
      </c>
      <c r="B1023">
        <v>4</v>
      </c>
      <c r="C1023" s="309"/>
      <c r="D1023" s="310"/>
    </row>
    <row r="1024" spans="1:4" x14ac:dyDescent="0.25">
      <c r="A1024" s="418" t="s">
        <v>7325</v>
      </c>
      <c r="B1024">
        <v>4</v>
      </c>
      <c r="C1024" s="309"/>
      <c r="D1024" s="310"/>
    </row>
    <row r="1025" spans="1:4" x14ac:dyDescent="0.25">
      <c r="A1025" s="418" t="s">
        <v>4574</v>
      </c>
      <c r="B1025">
        <v>1</v>
      </c>
      <c r="C1025" s="309"/>
      <c r="D1025" s="310"/>
    </row>
    <row r="1026" spans="1:4" x14ac:dyDescent="0.25">
      <c r="A1026" s="418" t="s">
        <v>4575</v>
      </c>
      <c r="B1026">
        <v>1</v>
      </c>
      <c r="C1026" s="309"/>
      <c r="D1026" s="310"/>
    </row>
    <row r="1027" spans="1:4" x14ac:dyDescent="0.25">
      <c r="A1027" s="418" t="s">
        <v>4576</v>
      </c>
      <c r="B1027">
        <v>1</v>
      </c>
      <c r="C1027" s="309"/>
      <c r="D1027" s="310"/>
    </row>
    <row r="1028" spans="1:4" x14ac:dyDescent="0.25">
      <c r="A1028" s="418" t="s">
        <v>6728</v>
      </c>
      <c r="B1028">
        <v>12</v>
      </c>
      <c r="C1028" s="309"/>
      <c r="D1028" s="310"/>
    </row>
    <row r="1029" spans="1:4" x14ac:dyDescent="0.25">
      <c r="A1029" s="418" t="s">
        <v>6729</v>
      </c>
      <c r="B1029">
        <v>14</v>
      </c>
      <c r="C1029" s="309"/>
      <c r="D1029" s="310"/>
    </row>
    <row r="1030" spans="1:4" x14ac:dyDescent="0.25">
      <c r="A1030" s="418" t="s">
        <v>5779</v>
      </c>
      <c r="B1030">
        <v>14</v>
      </c>
      <c r="C1030" s="309"/>
      <c r="D1030" s="310"/>
    </row>
    <row r="1031" spans="1:4" x14ac:dyDescent="0.25">
      <c r="A1031" s="418" t="s">
        <v>7073</v>
      </c>
      <c r="B1031">
        <v>6</v>
      </c>
      <c r="C1031" s="309"/>
      <c r="D1031" s="310"/>
    </row>
    <row r="1032" spans="1:4" x14ac:dyDescent="0.25">
      <c r="A1032" s="418" t="s">
        <v>11044</v>
      </c>
      <c r="B1032">
        <v>1</v>
      </c>
      <c r="C1032" s="309"/>
      <c r="D1032" s="310"/>
    </row>
    <row r="1033" spans="1:4" x14ac:dyDescent="0.25">
      <c r="A1033" s="418" t="s">
        <v>11045</v>
      </c>
      <c r="B1033">
        <v>1</v>
      </c>
      <c r="C1033" s="309"/>
      <c r="D1033" s="310"/>
    </row>
    <row r="1034" spans="1:4" x14ac:dyDescent="0.25">
      <c r="A1034" s="418" t="s">
        <v>6730</v>
      </c>
      <c r="B1034">
        <v>2</v>
      </c>
      <c r="C1034" s="309"/>
      <c r="D1034" s="310"/>
    </row>
    <row r="1035" spans="1:4" x14ac:dyDescent="0.25">
      <c r="A1035" s="418" t="s">
        <v>6731</v>
      </c>
      <c r="B1035">
        <v>3</v>
      </c>
      <c r="C1035" s="309"/>
      <c r="D1035" s="310"/>
    </row>
    <row r="1036" spans="1:4" x14ac:dyDescent="0.25">
      <c r="A1036" s="418" t="s">
        <v>8405</v>
      </c>
      <c r="B1036">
        <v>1</v>
      </c>
      <c r="C1036" s="309"/>
      <c r="D1036" s="310"/>
    </row>
    <row r="1037" spans="1:4" x14ac:dyDescent="0.25">
      <c r="A1037" s="418" t="s">
        <v>6900</v>
      </c>
      <c r="B1037">
        <v>3</v>
      </c>
      <c r="C1037" s="309"/>
      <c r="D1037" s="310"/>
    </row>
    <row r="1038" spans="1:4" x14ac:dyDescent="0.25">
      <c r="A1038" s="418" t="s">
        <v>5780</v>
      </c>
      <c r="B1038">
        <v>3</v>
      </c>
      <c r="C1038" s="309"/>
      <c r="D1038" s="310"/>
    </row>
    <row r="1039" spans="1:4" x14ac:dyDescent="0.25">
      <c r="A1039" s="418" t="s">
        <v>5781</v>
      </c>
      <c r="B1039">
        <v>3</v>
      </c>
      <c r="C1039" s="309"/>
      <c r="D1039" s="310"/>
    </row>
    <row r="1040" spans="1:4" x14ac:dyDescent="0.25">
      <c r="A1040" s="418" t="s">
        <v>10445</v>
      </c>
      <c r="B1040">
        <v>1</v>
      </c>
      <c r="C1040" s="309"/>
      <c r="D1040" s="310"/>
    </row>
    <row r="1041" spans="1:4" x14ac:dyDescent="0.25">
      <c r="A1041" s="418" t="s">
        <v>7606</v>
      </c>
      <c r="B1041">
        <v>3</v>
      </c>
      <c r="C1041" s="309"/>
      <c r="D1041" s="310"/>
    </row>
    <row r="1042" spans="1:4" x14ac:dyDescent="0.25">
      <c r="A1042" s="418" t="s">
        <v>5947</v>
      </c>
      <c r="B1042">
        <v>2</v>
      </c>
      <c r="C1042" s="309"/>
      <c r="D1042" s="310"/>
    </row>
    <row r="1043" spans="1:4" x14ac:dyDescent="0.25">
      <c r="A1043" s="418" t="s">
        <v>5948</v>
      </c>
      <c r="B1043">
        <v>3</v>
      </c>
      <c r="C1043" s="309"/>
      <c r="D1043" s="310"/>
    </row>
    <row r="1044" spans="1:4" x14ac:dyDescent="0.25">
      <c r="A1044" s="418" t="s">
        <v>8239</v>
      </c>
      <c r="B1044">
        <v>1</v>
      </c>
      <c r="C1044" s="309"/>
      <c r="D1044" s="310"/>
    </row>
    <row r="1045" spans="1:4" x14ac:dyDescent="0.25">
      <c r="A1045" s="418" t="s">
        <v>10566</v>
      </c>
      <c r="B1045">
        <v>3</v>
      </c>
      <c r="C1045" s="309"/>
      <c r="D1045" s="310"/>
    </row>
    <row r="1046" spans="1:4" x14ac:dyDescent="0.25">
      <c r="A1046" s="418" t="s">
        <v>6939</v>
      </c>
      <c r="B1046">
        <v>3</v>
      </c>
      <c r="C1046" s="309"/>
      <c r="D1046" s="310"/>
    </row>
    <row r="1047" spans="1:4" x14ac:dyDescent="0.25">
      <c r="A1047" s="418" t="s">
        <v>10567</v>
      </c>
      <c r="B1047">
        <v>3</v>
      </c>
      <c r="C1047" s="309"/>
      <c r="D1047" s="310"/>
    </row>
    <row r="1048" spans="1:4" x14ac:dyDescent="0.25">
      <c r="A1048" s="418" t="s">
        <v>10568</v>
      </c>
      <c r="B1048">
        <v>3</v>
      </c>
      <c r="C1048" s="309"/>
      <c r="D1048" s="310"/>
    </row>
    <row r="1049" spans="1:4" x14ac:dyDescent="0.25">
      <c r="A1049" s="418" t="s">
        <v>8097</v>
      </c>
      <c r="B1049">
        <v>15</v>
      </c>
      <c r="C1049" s="309"/>
      <c r="D1049" s="310"/>
    </row>
    <row r="1050" spans="1:4" x14ac:dyDescent="0.25">
      <c r="A1050" s="418" t="s">
        <v>8856</v>
      </c>
      <c r="B1050">
        <v>16</v>
      </c>
      <c r="C1050" s="309"/>
      <c r="D1050" s="310"/>
    </row>
    <row r="1051" spans="1:4" x14ac:dyDescent="0.25">
      <c r="A1051" s="418" t="s">
        <v>9581</v>
      </c>
      <c r="B1051">
        <v>12</v>
      </c>
      <c r="C1051" s="309"/>
      <c r="D1051" s="310"/>
    </row>
    <row r="1052" spans="1:4" x14ac:dyDescent="0.25">
      <c r="A1052" s="418" t="s">
        <v>4800</v>
      </c>
      <c r="B1052">
        <v>1</v>
      </c>
      <c r="C1052" s="309"/>
      <c r="D1052" s="310"/>
    </row>
    <row r="1053" spans="1:4" x14ac:dyDescent="0.25">
      <c r="A1053" s="418" t="s">
        <v>5209</v>
      </c>
      <c r="B1053">
        <v>14</v>
      </c>
      <c r="C1053" s="309"/>
      <c r="D1053" s="310"/>
    </row>
    <row r="1054" spans="1:4" x14ac:dyDescent="0.25">
      <c r="A1054" s="418" t="s">
        <v>5210</v>
      </c>
      <c r="B1054">
        <v>12</v>
      </c>
      <c r="C1054" s="309"/>
      <c r="D1054" s="310"/>
    </row>
    <row r="1055" spans="1:4" x14ac:dyDescent="0.25">
      <c r="A1055" s="418" t="s">
        <v>5211</v>
      </c>
      <c r="B1055">
        <v>5</v>
      </c>
      <c r="C1055" s="309"/>
      <c r="D1055" s="310"/>
    </row>
    <row r="1056" spans="1:4" x14ac:dyDescent="0.25">
      <c r="A1056" s="418" t="s">
        <v>10642</v>
      </c>
      <c r="B1056">
        <v>5</v>
      </c>
      <c r="C1056" s="309"/>
      <c r="D1056" s="310"/>
    </row>
    <row r="1057" spans="1:4" x14ac:dyDescent="0.25">
      <c r="A1057" s="418" t="s">
        <v>7452</v>
      </c>
      <c r="B1057">
        <v>4</v>
      </c>
      <c r="C1057" s="309"/>
      <c r="D1057" s="310"/>
    </row>
    <row r="1058" spans="1:4" x14ac:dyDescent="0.25">
      <c r="A1058" s="418" t="s">
        <v>10446</v>
      </c>
      <c r="B1058">
        <v>4</v>
      </c>
      <c r="C1058" s="309"/>
      <c r="D1058" s="310"/>
    </row>
    <row r="1059" spans="1:4" x14ac:dyDescent="0.25">
      <c r="A1059" s="418" t="s">
        <v>11096</v>
      </c>
      <c r="B1059">
        <v>3</v>
      </c>
      <c r="C1059" s="309"/>
      <c r="D1059" s="310"/>
    </row>
    <row r="1060" spans="1:4" x14ac:dyDescent="0.25">
      <c r="A1060" s="418" t="s">
        <v>11046</v>
      </c>
      <c r="B1060">
        <v>1</v>
      </c>
      <c r="C1060" s="309"/>
      <c r="D1060" s="310"/>
    </row>
    <row r="1061" spans="1:4" x14ac:dyDescent="0.25">
      <c r="A1061" s="418" t="s">
        <v>5782</v>
      </c>
      <c r="B1061">
        <v>4</v>
      </c>
      <c r="C1061" s="309"/>
      <c r="D1061" s="310"/>
    </row>
    <row r="1062" spans="1:4" x14ac:dyDescent="0.25">
      <c r="A1062" s="418" t="s">
        <v>5949</v>
      </c>
      <c r="B1062">
        <v>1</v>
      </c>
      <c r="C1062" s="309"/>
      <c r="D1062" s="310"/>
    </row>
    <row r="1063" spans="1:4" x14ac:dyDescent="0.25">
      <c r="A1063" s="418" t="s">
        <v>5783</v>
      </c>
      <c r="B1063">
        <v>1</v>
      </c>
      <c r="C1063" s="309"/>
      <c r="D1063" s="310"/>
    </row>
    <row r="1064" spans="1:4" x14ac:dyDescent="0.25">
      <c r="A1064" s="418" t="s">
        <v>5784</v>
      </c>
      <c r="B1064">
        <v>2</v>
      </c>
      <c r="C1064" s="309"/>
      <c r="D1064" s="310"/>
    </row>
    <row r="1065" spans="1:4" x14ac:dyDescent="0.25">
      <c r="A1065" s="418" t="s">
        <v>5263</v>
      </c>
      <c r="B1065">
        <v>4</v>
      </c>
      <c r="C1065" s="309"/>
      <c r="D1065" s="310"/>
    </row>
    <row r="1066" spans="1:4" x14ac:dyDescent="0.25">
      <c r="A1066" s="418" t="s">
        <v>5640</v>
      </c>
      <c r="B1066">
        <v>3</v>
      </c>
      <c r="C1066" s="309"/>
      <c r="D1066" s="310"/>
    </row>
    <row r="1067" spans="1:4" x14ac:dyDescent="0.25">
      <c r="A1067" s="418" t="s">
        <v>6403</v>
      </c>
      <c r="B1067">
        <v>3</v>
      </c>
      <c r="C1067" s="309"/>
      <c r="D1067" s="310"/>
    </row>
    <row r="1068" spans="1:4" x14ac:dyDescent="0.25">
      <c r="A1068" s="418" t="s">
        <v>5950</v>
      </c>
      <c r="B1068">
        <v>3</v>
      </c>
      <c r="C1068" s="309"/>
      <c r="D1068" s="310"/>
    </row>
    <row r="1069" spans="1:4" x14ac:dyDescent="0.25">
      <c r="A1069" s="418" t="s">
        <v>6940</v>
      </c>
      <c r="B1069">
        <v>7</v>
      </c>
      <c r="C1069" s="309"/>
      <c r="D1069" s="310"/>
    </row>
    <row r="1070" spans="1:4" x14ac:dyDescent="0.25">
      <c r="A1070" s="418" t="s">
        <v>6941</v>
      </c>
      <c r="B1070">
        <v>5</v>
      </c>
      <c r="C1070" s="309"/>
      <c r="D1070" s="310"/>
    </row>
    <row r="1071" spans="1:4" x14ac:dyDescent="0.25">
      <c r="A1071" s="418" t="s">
        <v>7377</v>
      </c>
      <c r="B1071">
        <v>4</v>
      </c>
      <c r="C1071" s="309"/>
      <c r="D1071" s="310"/>
    </row>
    <row r="1072" spans="1:4" x14ac:dyDescent="0.25">
      <c r="A1072" s="418" t="s">
        <v>8133</v>
      </c>
      <c r="B1072">
        <v>1</v>
      </c>
      <c r="C1072" s="309"/>
      <c r="D1072" s="310"/>
    </row>
    <row r="1073" spans="1:4" x14ac:dyDescent="0.25">
      <c r="A1073" s="418" t="s">
        <v>7074</v>
      </c>
      <c r="B1073">
        <v>2</v>
      </c>
      <c r="C1073" s="309"/>
      <c r="D1073" s="310"/>
    </row>
    <row r="1074" spans="1:4" x14ac:dyDescent="0.25">
      <c r="A1074" s="418" t="s">
        <v>4392</v>
      </c>
      <c r="B1074">
        <v>1</v>
      </c>
      <c r="C1074" s="309"/>
      <c r="D1074" s="310"/>
    </row>
    <row r="1075" spans="1:4" x14ac:dyDescent="0.25">
      <c r="A1075" s="418" t="s">
        <v>7075</v>
      </c>
      <c r="B1075">
        <v>2</v>
      </c>
      <c r="C1075" s="309"/>
      <c r="D1075" s="310"/>
    </row>
    <row r="1076" spans="1:4" x14ac:dyDescent="0.25">
      <c r="A1076" s="418" t="s">
        <v>4577</v>
      </c>
      <c r="B1076">
        <v>4</v>
      </c>
      <c r="C1076" s="309"/>
      <c r="D1076" s="310"/>
    </row>
    <row r="1077" spans="1:4" x14ac:dyDescent="0.25">
      <c r="A1077" s="418" t="s">
        <v>4865</v>
      </c>
      <c r="B1077">
        <v>1</v>
      </c>
      <c r="C1077" s="309"/>
      <c r="D1077" s="310"/>
    </row>
    <row r="1078" spans="1:4" x14ac:dyDescent="0.25">
      <c r="A1078" s="418" t="s">
        <v>12237</v>
      </c>
      <c r="B1078">
        <v>1</v>
      </c>
      <c r="C1078" s="309"/>
      <c r="D1078" s="310"/>
    </row>
    <row r="1079" spans="1:4" x14ac:dyDescent="0.25">
      <c r="A1079" s="418" t="s">
        <v>12238</v>
      </c>
      <c r="B1079">
        <v>1</v>
      </c>
      <c r="C1079" s="309"/>
      <c r="D1079" s="310"/>
    </row>
    <row r="1080" spans="1:4" x14ac:dyDescent="0.25">
      <c r="A1080" s="418" t="s">
        <v>4959</v>
      </c>
      <c r="B1080">
        <v>10</v>
      </c>
      <c r="C1080" s="309"/>
      <c r="D1080" s="310"/>
    </row>
    <row r="1081" spans="1:4" x14ac:dyDescent="0.25">
      <c r="A1081" s="418" t="s">
        <v>4960</v>
      </c>
      <c r="B1081">
        <v>10</v>
      </c>
      <c r="C1081" s="309"/>
      <c r="D1081" s="310"/>
    </row>
    <row r="1082" spans="1:4" x14ac:dyDescent="0.25">
      <c r="A1082" s="418" t="s">
        <v>5480</v>
      </c>
      <c r="B1082">
        <v>7</v>
      </c>
      <c r="C1082" s="309"/>
      <c r="D1082" s="310"/>
    </row>
    <row r="1083" spans="1:4" x14ac:dyDescent="0.25">
      <c r="A1083" s="418" t="s">
        <v>4961</v>
      </c>
      <c r="B1083">
        <v>7</v>
      </c>
      <c r="C1083" s="309"/>
      <c r="D1083" s="310"/>
    </row>
    <row r="1084" spans="1:4" x14ac:dyDescent="0.25">
      <c r="A1084" s="418" t="s">
        <v>6732</v>
      </c>
      <c r="B1084">
        <v>5</v>
      </c>
      <c r="C1084" s="309"/>
      <c r="D1084" s="310"/>
    </row>
    <row r="1085" spans="1:4" x14ac:dyDescent="0.25">
      <c r="A1085" s="418" t="s">
        <v>6621</v>
      </c>
      <c r="B1085">
        <v>6</v>
      </c>
      <c r="C1085" s="309"/>
      <c r="D1085" s="310"/>
    </row>
    <row r="1086" spans="1:4" x14ac:dyDescent="0.25">
      <c r="A1086" s="418" t="s">
        <v>6622</v>
      </c>
      <c r="B1086">
        <v>4</v>
      </c>
      <c r="C1086" s="309"/>
      <c r="D1086" s="310"/>
    </row>
    <row r="1087" spans="1:4" x14ac:dyDescent="0.25">
      <c r="A1087" s="418" t="s">
        <v>7076</v>
      </c>
      <c r="B1087">
        <v>3</v>
      </c>
      <c r="C1087" s="309"/>
      <c r="D1087" s="310"/>
    </row>
    <row r="1088" spans="1:4" x14ac:dyDescent="0.25">
      <c r="A1088" s="418" t="s">
        <v>8240</v>
      </c>
      <c r="B1088">
        <v>1</v>
      </c>
      <c r="C1088" s="309"/>
      <c r="D1088" s="310"/>
    </row>
    <row r="1089" spans="1:4" x14ac:dyDescent="0.25">
      <c r="A1089" s="418" t="s">
        <v>7042</v>
      </c>
      <c r="B1089">
        <v>4</v>
      </c>
      <c r="C1089" s="309"/>
      <c r="D1089" s="310"/>
    </row>
    <row r="1090" spans="1:4" x14ac:dyDescent="0.25">
      <c r="A1090" s="418" t="s">
        <v>5641</v>
      </c>
      <c r="B1090">
        <v>4</v>
      </c>
      <c r="C1090" s="309"/>
      <c r="D1090" s="310"/>
    </row>
    <row r="1091" spans="1:4" x14ac:dyDescent="0.25">
      <c r="A1091" s="418" t="s">
        <v>5642</v>
      </c>
      <c r="B1091">
        <v>4</v>
      </c>
      <c r="C1091" s="309"/>
      <c r="D1091" s="310"/>
    </row>
    <row r="1092" spans="1:4" x14ac:dyDescent="0.25">
      <c r="A1092" s="418" t="s">
        <v>6901</v>
      </c>
      <c r="B1092">
        <v>4</v>
      </c>
      <c r="C1092" s="309"/>
      <c r="D1092" s="310"/>
    </row>
    <row r="1093" spans="1:4" x14ac:dyDescent="0.25">
      <c r="A1093" s="418" t="s">
        <v>4801</v>
      </c>
      <c r="B1093">
        <v>2</v>
      </c>
      <c r="C1093" s="309"/>
      <c r="D1093" s="310"/>
    </row>
    <row r="1094" spans="1:4" x14ac:dyDescent="0.25">
      <c r="A1094" s="418" t="s">
        <v>4802</v>
      </c>
      <c r="B1094">
        <v>2</v>
      </c>
      <c r="C1094" s="309"/>
      <c r="D1094" s="310"/>
    </row>
    <row r="1095" spans="1:4" x14ac:dyDescent="0.25">
      <c r="A1095" s="418" t="s">
        <v>7607</v>
      </c>
      <c r="B1095">
        <v>1</v>
      </c>
      <c r="C1095" s="309"/>
      <c r="D1095" s="310"/>
    </row>
    <row r="1096" spans="1:4" x14ac:dyDescent="0.25">
      <c r="A1096" s="418" t="s">
        <v>4803</v>
      </c>
      <c r="B1096">
        <v>2</v>
      </c>
      <c r="C1096" s="309"/>
      <c r="D1096" s="310"/>
    </row>
    <row r="1097" spans="1:4" x14ac:dyDescent="0.25">
      <c r="A1097" s="418" t="s">
        <v>5785</v>
      </c>
      <c r="B1097">
        <v>3</v>
      </c>
      <c r="C1097" s="309"/>
      <c r="D1097" s="310"/>
    </row>
    <row r="1098" spans="1:4" x14ac:dyDescent="0.25">
      <c r="A1098" s="418" t="s">
        <v>5786</v>
      </c>
      <c r="B1098">
        <v>3</v>
      </c>
      <c r="C1098" s="309"/>
      <c r="D1098" s="310"/>
    </row>
    <row r="1099" spans="1:4" x14ac:dyDescent="0.25">
      <c r="A1099" s="418" t="s">
        <v>5787</v>
      </c>
      <c r="B1099">
        <v>3</v>
      </c>
      <c r="C1099" s="309"/>
      <c r="D1099" s="310"/>
    </row>
    <row r="1100" spans="1:4" x14ac:dyDescent="0.25">
      <c r="A1100" s="418" t="s">
        <v>5788</v>
      </c>
      <c r="B1100">
        <v>1</v>
      </c>
      <c r="C1100" s="309"/>
      <c r="D1100" s="310"/>
    </row>
    <row r="1101" spans="1:4" x14ac:dyDescent="0.25">
      <c r="A1101" s="418" t="s">
        <v>7453</v>
      </c>
      <c r="B1101">
        <v>3</v>
      </c>
      <c r="C1101" s="309"/>
      <c r="D1101" s="310"/>
    </row>
    <row r="1102" spans="1:4" x14ac:dyDescent="0.25">
      <c r="A1102" s="418" t="s">
        <v>7454</v>
      </c>
      <c r="B1102">
        <v>4</v>
      </c>
      <c r="C1102" s="309"/>
      <c r="D1102" s="310"/>
    </row>
    <row r="1103" spans="1:4" x14ac:dyDescent="0.25">
      <c r="A1103" s="418" t="s">
        <v>10482</v>
      </c>
      <c r="B1103">
        <v>3</v>
      </c>
      <c r="C1103" s="309"/>
      <c r="D1103" s="310"/>
    </row>
    <row r="1104" spans="1:4" x14ac:dyDescent="0.25">
      <c r="A1104" s="418" t="s">
        <v>5264</v>
      </c>
      <c r="B1104">
        <v>3</v>
      </c>
      <c r="C1104" s="309"/>
      <c r="D1104" s="310"/>
    </row>
    <row r="1105" spans="1:4" x14ac:dyDescent="0.25">
      <c r="A1105" s="418" t="s">
        <v>6103</v>
      </c>
      <c r="B1105">
        <v>1</v>
      </c>
      <c r="C1105" s="309"/>
      <c r="D1105" s="310"/>
    </row>
    <row r="1106" spans="1:4" x14ac:dyDescent="0.25">
      <c r="A1106" s="418" t="s">
        <v>11480</v>
      </c>
      <c r="B1106">
        <v>1</v>
      </c>
      <c r="C1106" s="309"/>
      <c r="D1106" s="310"/>
    </row>
    <row r="1107" spans="1:4" x14ac:dyDescent="0.25">
      <c r="A1107" s="418" t="s">
        <v>8676</v>
      </c>
      <c r="B1107">
        <v>3</v>
      </c>
      <c r="C1107" s="309"/>
      <c r="D1107" s="310"/>
    </row>
    <row r="1108" spans="1:4" x14ac:dyDescent="0.25">
      <c r="A1108" s="418" t="s">
        <v>8560</v>
      </c>
      <c r="B1108">
        <v>3</v>
      </c>
      <c r="C1108" s="309"/>
      <c r="D1108" s="310"/>
    </row>
    <row r="1109" spans="1:4" x14ac:dyDescent="0.25">
      <c r="A1109" s="418" t="s">
        <v>8677</v>
      </c>
      <c r="B1109">
        <v>2</v>
      </c>
      <c r="C1109" s="309"/>
      <c r="D1109" s="310"/>
    </row>
    <row r="1110" spans="1:4" x14ac:dyDescent="0.25">
      <c r="A1110" s="418" t="s">
        <v>5671</v>
      </c>
      <c r="B1110">
        <v>3</v>
      </c>
      <c r="C1110" s="309"/>
      <c r="D1110" s="310"/>
    </row>
    <row r="1111" spans="1:4" x14ac:dyDescent="0.25">
      <c r="A1111" s="418" t="s">
        <v>5672</v>
      </c>
      <c r="B1111">
        <v>3</v>
      </c>
      <c r="C1111" s="309"/>
      <c r="D1111" s="310"/>
    </row>
    <row r="1112" spans="1:4" x14ac:dyDescent="0.25">
      <c r="A1112" s="418" t="s">
        <v>6623</v>
      </c>
      <c r="B1112">
        <v>3</v>
      </c>
      <c r="C1112" s="309"/>
      <c r="D1112" s="310"/>
    </row>
    <row r="1113" spans="1:4" x14ac:dyDescent="0.25">
      <c r="A1113" s="418" t="s">
        <v>7608</v>
      </c>
      <c r="B1113">
        <v>4</v>
      </c>
      <c r="C1113" s="309"/>
      <c r="D1113" s="310"/>
    </row>
    <row r="1114" spans="1:4" x14ac:dyDescent="0.25">
      <c r="A1114" s="418" t="s">
        <v>7609</v>
      </c>
      <c r="B1114">
        <v>4</v>
      </c>
      <c r="C1114" s="309"/>
      <c r="D1114" s="310"/>
    </row>
    <row r="1115" spans="1:4" x14ac:dyDescent="0.25">
      <c r="A1115" s="418" t="s">
        <v>8561</v>
      </c>
      <c r="B1115">
        <v>3</v>
      </c>
      <c r="C1115" s="309"/>
      <c r="D1115" s="310"/>
    </row>
    <row r="1116" spans="1:4" x14ac:dyDescent="0.25">
      <c r="A1116" s="418" t="s">
        <v>7077</v>
      </c>
      <c r="B1116">
        <v>10</v>
      </c>
      <c r="C1116" s="309"/>
      <c r="D1116" s="310"/>
    </row>
    <row r="1117" spans="1:4" x14ac:dyDescent="0.25">
      <c r="A1117" s="418" t="s">
        <v>8207</v>
      </c>
      <c r="B1117">
        <v>11</v>
      </c>
      <c r="C1117" s="309"/>
      <c r="D1117" s="310"/>
    </row>
    <row r="1118" spans="1:4" x14ac:dyDescent="0.25">
      <c r="A1118" s="418" t="s">
        <v>8406</v>
      </c>
      <c r="B1118">
        <v>4</v>
      </c>
      <c r="C1118" s="309"/>
      <c r="D1118" s="310"/>
    </row>
    <row r="1119" spans="1:4" x14ac:dyDescent="0.25">
      <c r="A1119" s="418" t="s">
        <v>9710</v>
      </c>
      <c r="B1119">
        <v>4</v>
      </c>
      <c r="C1119" s="309"/>
      <c r="D1119" s="310"/>
    </row>
    <row r="1120" spans="1:4" x14ac:dyDescent="0.25">
      <c r="A1120" s="418" t="s">
        <v>5643</v>
      </c>
      <c r="B1120">
        <v>3</v>
      </c>
      <c r="C1120" s="309"/>
      <c r="D1120" s="310"/>
    </row>
    <row r="1121" spans="1:4" x14ac:dyDescent="0.25">
      <c r="A1121" s="418" t="s">
        <v>5265</v>
      </c>
      <c r="B1121">
        <v>4</v>
      </c>
      <c r="C1121" s="309"/>
      <c r="D1121" s="310"/>
    </row>
    <row r="1122" spans="1:4" x14ac:dyDescent="0.25">
      <c r="A1122" s="418" t="s">
        <v>9582</v>
      </c>
      <c r="B1122">
        <v>1</v>
      </c>
      <c r="C1122" s="309"/>
      <c r="D1122" s="310"/>
    </row>
    <row r="1123" spans="1:4" x14ac:dyDescent="0.25">
      <c r="A1123" s="418" t="s">
        <v>9583</v>
      </c>
      <c r="B1123">
        <v>2</v>
      </c>
      <c r="C1123" s="309"/>
      <c r="D1123" s="310"/>
    </row>
    <row r="1124" spans="1:4" x14ac:dyDescent="0.25">
      <c r="A1124" s="418" t="s">
        <v>6845</v>
      </c>
      <c r="B1124">
        <v>1</v>
      </c>
      <c r="C1124" s="309"/>
      <c r="D1124" s="310"/>
    </row>
    <row r="1125" spans="1:4" x14ac:dyDescent="0.25">
      <c r="A1125" s="418" t="s">
        <v>5673</v>
      </c>
      <c r="B1125">
        <v>1</v>
      </c>
      <c r="C1125" s="309"/>
      <c r="D1125" s="310"/>
    </row>
    <row r="1126" spans="1:4" x14ac:dyDescent="0.25">
      <c r="A1126" s="418" t="s">
        <v>5674</v>
      </c>
      <c r="B1126">
        <v>1</v>
      </c>
      <c r="C1126" s="309"/>
      <c r="D1126" s="310"/>
    </row>
    <row r="1127" spans="1:4" x14ac:dyDescent="0.25">
      <c r="A1127" s="418" t="s">
        <v>7294</v>
      </c>
      <c r="B1127">
        <v>4</v>
      </c>
      <c r="C1127" s="309"/>
      <c r="D1127" s="310"/>
    </row>
    <row r="1128" spans="1:4" x14ac:dyDescent="0.25">
      <c r="A1128" s="418" t="s">
        <v>7295</v>
      </c>
      <c r="B1128">
        <v>4</v>
      </c>
      <c r="C1128" s="309"/>
      <c r="D1128" s="310"/>
    </row>
    <row r="1129" spans="1:4" x14ac:dyDescent="0.25">
      <c r="A1129" s="418" t="s">
        <v>8064</v>
      </c>
      <c r="B1129">
        <v>7</v>
      </c>
      <c r="C1129" s="309"/>
      <c r="D1129" s="310"/>
    </row>
    <row r="1130" spans="1:4" x14ac:dyDescent="0.25">
      <c r="A1130" s="418" t="s">
        <v>6870</v>
      </c>
      <c r="B1130">
        <v>6</v>
      </c>
      <c r="C1130" s="309"/>
      <c r="D1130" s="310"/>
    </row>
    <row r="1131" spans="1:4" x14ac:dyDescent="0.25">
      <c r="A1131" s="418" t="s">
        <v>9519</v>
      </c>
      <c r="B1131">
        <v>2</v>
      </c>
      <c r="C1131" s="309"/>
      <c r="D1131" s="310"/>
    </row>
    <row r="1132" spans="1:4" x14ac:dyDescent="0.25">
      <c r="A1132" s="418" t="s">
        <v>9520</v>
      </c>
      <c r="B1132">
        <v>2</v>
      </c>
      <c r="C1132" s="309"/>
      <c r="D1132" s="310"/>
    </row>
    <row r="1133" spans="1:4" x14ac:dyDescent="0.25">
      <c r="A1133" s="418" t="s">
        <v>5675</v>
      </c>
      <c r="B1133">
        <v>1</v>
      </c>
      <c r="C1133" s="309"/>
      <c r="D1133" s="310"/>
    </row>
    <row r="1134" spans="1:4" x14ac:dyDescent="0.25">
      <c r="A1134" s="418" t="s">
        <v>5106</v>
      </c>
      <c r="B1134">
        <v>3</v>
      </c>
      <c r="C1134" s="309"/>
      <c r="D1134" s="310"/>
    </row>
    <row r="1135" spans="1:4" x14ac:dyDescent="0.25">
      <c r="A1135" s="418" t="s">
        <v>6338</v>
      </c>
      <c r="B1135">
        <v>3</v>
      </c>
      <c r="C1135" s="309"/>
      <c r="D1135" s="310"/>
    </row>
    <row r="1136" spans="1:4" x14ac:dyDescent="0.25">
      <c r="A1136" s="418" t="s">
        <v>6339</v>
      </c>
      <c r="B1136">
        <v>1</v>
      </c>
      <c r="C1136" s="309"/>
      <c r="D1136" s="310"/>
    </row>
    <row r="1137" spans="1:4" x14ac:dyDescent="0.25">
      <c r="A1137" s="418" t="s">
        <v>4804</v>
      </c>
      <c r="B1137">
        <v>3</v>
      </c>
      <c r="C1137" s="309"/>
      <c r="D1137" s="310"/>
    </row>
    <row r="1138" spans="1:4" x14ac:dyDescent="0.25">
      <c r="A1138" s="418" t="s">
        <v>12131</v>
      </c>
      <c r="B1138">
        <v>1</v>
      </c>
      <c r="C1138" s="309"/>
      <c r="D1138" s="310"/>
    </row>
    <row r="1139" spans="1:4" x14ac:dyDescent="0.25">
      <c r="A1139" s="418" t="s">
        <v>6104</v>
      </c>
      <c r="B1139">
        <v>10</v>
      </c>
      <c r="C1139" s="309"/>
      <c r="D1139" s="310"/>
    </row>
    <row r="1140" spans="1:4" x14ac:dyDescent="0.25">
      <c r="A1140" s="418" t="s">
        <v>6105</v>
      </c>
      <c r="B1140">
        <v>8</v>
      </c>
      <c r="C1140" s="309"/>
      <c r="D1140" s="310"/>
    </row>
    <row r="1141" spans="1:4" x14ac:dyDescent="0.25">
      <c r="A1141" s="418" t="s">
        <v>6106</v>
      </c>
      <c r="B1141">
        <v>7</v>
      </c>
      <c r="C1141" s="309"/>
      <c r="D1141" s="310"/>
    </row>
    <row r="1142" spans="1:4" x14ac:dyDescent="0.25">
      <c r="A1142" s="418" t="s">
        <v>7455</v>
      </c>
      <c r="B1142">
        <v>4</v>
      </c>
      <c r="C1142" s="309"/>
      <c r="D1142" s="310"/>
    </row>
    <row r="1143" spans="1:4" x14ac:dyDescent="0.25">
      <c r="A1143" s="418" t="s">
        <v>9905</v>
      </c>
      <c r="B1143">
        <v>2</v>
      </c>
      <c r="C1143" s="309"/>
      <c r="D1143" s="310"/>
    </row>
    <row r="1144" spans="1:4" x14ac:dyDescent="0.25">
      <c r="A1144" s="418" t="s">
        <v>10986</v>
      </c>
      <c r="B1144">
        <v>2</v>
      </c>
      <c r="C1144" s="309"/>
      <c r="D1144" s="310"/>
    </row>
    <row r="1145" spans="1:4" x14ac:dyDescent="0.25">
      <c r="A1145" s="418" t="s">
        <v>11047</v>
      </c>
      <c r="B1145">
        <v>1</v>
      </c>
      <c r="C1145" s="309"/>
      <c r="D1145" s="310"/>
    </row>
    <row r="1146" spans="1:4" x14ac:dyDescent="0.25">
      <c r="A1146" s="418" t="s">
        <v>9178</v>
      </c>
      <c r="B1146">
        <v>3</v>
      </c>
      <c r="C1146" s="309"/>
      <c r="D1146" s="310"/>
    </row>
    <row r="1147" spans="1:4" x14ac:dyDescent="0.25">
      <c r="A1147" s="418" t="s">
        <v>8786</v>
      </c>
      <c r="B1147">
        <v>5</v>
      </c>
      <c r="C1147" s="309"/>
      <c r="D1147" s="310"/>
    </row>
    <row r="1148" spans="1:4" x14ac:dyDescent="0.25">
      <c r="A1148" s="418" t="s">
        <v>9869</v>
      </c>
      <c r="B1148">
        <v>1</v>
      </c>
      <c r="C1148" s="309"/>
      <c r="D1148" s="310"/>
    </row>
    <row r="1149" spans="1:4" x14ac:dyDescent="0.25">
      <c r="A1149" s="418" t="s">
        <v>6624</v>
      </c>
      <c r="B1149">
        <v>2</v>
      </c>
      <c r="C1149" s="309"/>
      <c r="D1149" s="310"/>
    </row>
    <row r="1150" spans="1:4" x14ac:dyDescent="0.25">
      <c r="A1150" s="418" t="s">
        <v>6625</v>
      </c>
      <c r="B1150">
        <v>2</v>
      </c>
      <c r="C1150" s="309"/>
      <c r="D1150" s="310"/>
    </row>
    <row r="1151" spans="1:4" x14ac:dyDescent="0.25">
      <c r="A1151" s="418" t="s">
        <v>6626</v>
      </c>
      <c r="B1151">
        <v>1</v>
      </c>
      <c r="C1151" s="309"/>
      <c r="D1151" s="310"/>
    </row>
    <row r="1152" spans="1:4" x14ac:dyDescent="0.25">
      <c r="A1152" s="418" t="s">
        <v>5789</v>
      </c>
      <c r="B1152">
        <v>1</v>
      </c>
      <c r="C1152" s="309"/>
      <c r="D1152" s="310"/>
    </row>
    <row r="1153" spans="1:4" x14ac:dyDescent="0.25">
      <c r="A1153" s="418" t="s">
        <v>4866</v>
      </c>
      <c r="B1153">
        <v>6</v>
      </c>
      <c r="C1153" s="309"/>
      <c r="D1153" s="310"/>
    </row>
    <row r="1154" spans="1:4" x14ac:dyDescent="0.25">
      <c r="A1154" s="418" t="s">
        <v>5790</v>
      </c>
      <c r="B1154">
        <v>6</v>
      </c>
      <c r="C1154" s="309"/>
      <c r="D1154" s="310"/>
    </row>
    <row r="1155" spans="1:4" x14ac:dyDescent="0.25">
      <c r="A1155" s="418" t="s">
        <v>10643</v>
      </c>
      <c r="B1155">
        <v>1</v>
      </c>
      <c r="C1155" s="309"/>
      <c r="D1155" s="310"/>
    </row>
    <row r="1156" spans="1:4" x14ac:dyDescent="0.25">
      <c r="A1156" s="418" t="s">
        <v>11048</v>
      </c>
      <c r="B1156">
        <v>1</v>
      </c>
      <c r="C1156" s="309"/>
      <c r="D1156" s="310"/>
    </row>
    <row r="1157" spans="1:4" x14ac:dyDescent="0.25">
      <c r="A1157" s="418" t="s">
        <v>4578</v>
      </c>
      <c r="B1157">
        <v>1</v>
      </c>
      <c r="C1157" s="309"/>
      <c r="D1157" s="310"/>
    </row>
    <row r="1158" spans="1:4" x14ac:dyDescent="0.25">
      <c r="A1158" s="418" t="s">
        <v>6871</v>
      </c>
      <c r="B1158">
        <v>1</v>
      </c>
      <c r="C1158" s="309"/>
      <c r="D1158" s="310"/>
    </row>
    <row r="1159" spans="1:4" x14ac:dyDescent="0.25">
      <c r="A1159" s="418" t="s">
        <v>5851</v>
      </c>
      <c r="B1159">
        <v>2</v>
      </c>
      <c r="C1159" s="309"/>
      <c r="D1159" s="310"/>
    </row>
    <row r="1160" spans="1:4" x14ac:dyDescent="0.25">
      <c r="A1160" s="418" t="s">
        <v>8468</v>
      </c>
      <c r="B1160">
        <v>1</v>
      </c>
      <c r="C1160" s="309"/>
      <c r="D1160" s="310"/>
    </row>
    <row r="1161" spans="1:4" x14ac:dyDescent="0.25">
      <c r="A1161" s="418" t="s">
        <v>8178</v>
      </c>
      <c r="B1161">
        <v>1</v>
      </c>
      <c r="C1161" s="309"/>
      <c r="D1161" s="310"/>
    </row>
    <row r="1162" spans="1:4" x14ac:dyDescent="0.25">
      <c r="A1162" s="418" t="s">
        <v>5791</v>
      </c>
      <c r="B1162">
        <v>3</v>
      </c>
      <c r="C1162" s="309"/>
      <c r="D1162" s="310"/>
    </row>
    <row r="1163" spans="1:4" x14ac:dyDescent="0.25">
      <c r="A1163" s="418" t="s">
        <v>5792</v>
      </c>
      <c r="B1163">
        <v>3</v>
      </c>
      <c r="C1163" s="309"/>
      <c r="D1163" s="310"/>
    </row>
    <row r="1164" spans="1:4" x14ac:dyDescent="0.25">
      <c r="A1164" s="418" t="s">
        <v>9906</v>
      </c>
      <c r="B1164">
        <v>2</v>
      </c>
      <c r="C1164" s="309"/>
      <c r="D1164" s="310"/>
    </row>
    <row r="1165" spans="1:4" x14ac:dyDescent="0.25">
      <c r="A1165" s="418" t="s">
        <v>8241</v>
      </c>
      <c r="B1165">
        <v>3</v>
      </c>
      <c r="C1165" s="309"/>
      <c r="D1165" s="310"/>
    </row>
    <row r="1166" spans="1:4" x14ac:dyDescent="0.25">
      <c r="A1166" s="418" t="s">
        <v>8242</v>
      </c>
      <c r="B1166">
        <v>3</v>
      </c>
      <c r="C1166" s="309"/>
      <c r="D1166" s="310"/>
    </row>
    <row r="1167" spans="1:4" x14ac:dyDescent="0.25">
      <c r="A1167" s="418" t="s">
        <v>8243</v>
      </c>
      <c r="B1167">
        <v>3</v>
      </c>
      <c r="C1167" s="309"/>
      <c r="D1167" s="310"/>
    </row>
    <row r="1168" spans="1:4" x14ac:dyDescent="0.25">
      <c r="A1168" s="418" t="s">
        <v>11837</v>
      </c>
      <c r="B1168">
        <v>3</v>
      </c>
      <c r="C1168" s="309"/>
      <c r="D1168" s="310"/>
    </row>
    <row r="1169" spans="1:4" x14ac:dyDescent="0.25">
      <c r="A1169" s="418" t="s">
        <v>4867</v>
      </c>
      <c r="B1169">
        <v>2</v>
      </c>
      <c r="C1169" s="309"/>
      <c r="D1169" s="310"/>
    </row>
    <row r="1170" spans="1:4" x14ac:dyDescent="0.25">
      <c r="A1170" s="418" t="s">
        <v>5398</v>
      </c>
      <c r="B1170">
        <v>3</v>
      </c>
      <c r="C1170" s="309"/>
      <c r="D1170" s="310"/>
    </row>
    <row r="1171" spans="1:4" x14ac:dyDescent="0.25">
      <c r="A1171" s="418" t="s">
        <v>4805</v>
      </c>
      <c r="B1171">
        <v>6</v>
      </c>
      <c r="C1171" s="309"/>
      <c r="D1171" s="310"/>
    </row>
    <row r="1172" spans="1:4" x14ac:dyDescent="0.25">
      <c r="A1172" s="418" t="s">
        <v>5644</v>
      </c>
      <c r="B1172">
        <v>3</v>
      </c>
      <c r="C1172" s="309"/>
      <c r="D1172" s="310"/>
    </row>
    <row r="1173" spans="1:4" x14ac:dyDescent="0.25">
      <c r="A1173" s="418" t="s">
        <v>9440</v>
      </c>
      <c r="B1173">
        <v>4</v>
      </c>
      <c r="C1173" s="309"/>
      <c r="D1173" s="310"/>
    </row>
    <row r="1174" spans="1:4" x14ac:dyDescent="0.25">
      <c r="A1174" s="418" t="s">
        <v>9441</v>
      </c>
      <c r="B1174">
        <v>5</v>
      </c>
      <c r="C1174" s="309"/>
      <c r="D1174" s="310"/>
    </row>
    <row r="1175" spans="1:4" x14ac:dyDescent="0.25">
      <c r="A1175" s="418" t="s">
        <v>10129</v>
      </c>
      <c r="B1175">
        <v>4</v>
      </c>
      <c r="C1175" s="309"/>
      <c r="D1175" s="310"/>
    </row>
    <row r="1176" spans="1:4" x14ac:dyDescent="0.25">
      <c r="A1176" s="418" t="s">
        <v>9442</v>
      </c>
      <c r="B1176">
        <v>1</v>
      </c>
      <c r="C1176" s="309"/>
      <c r="D1176" s="310"/>
    </row>
    <row r="1177" spans="1:4" x14ac:dyDescent="0.25">
      <c r="A1177" s="418" t="s">
        <v>8065</v>
      </c>
      <c r="B1177">
        <v>1</v>
      </c>
      <c r="C1177" s="309"/>
      <c r="D1177" s="310"/>
    </row>
    <row r="1178" spans="1:4" x14ac:dyDescent="0.25">
      <c r="A1178" s="418" t="s">
        <v>5107</v>
      </c>
      <c r="B1178">
        <v>4</v>
      </c>
      <c r="C1178" s="309"/>
      <c r="D1178" s="310"/>
    </row>
    <row r="1179" spans="1:4" x14ac:dyDescent="0.25">
      <c r="A1179" s="418" t="s">
        <v>5852</v>
      </c>
      <c r="B1179">
        <v>3</v>
      </c>
      <c r="C1179" s="309"/>
      <c r="D1179" s="310"/>
    </row>
    <row r="1180" spans="1:4" x14ac:dyDescent="0.25">
      <c r="A1180" s="418" t="s">
        <v>6340</v>
      </c>
      <c r="B1180">
        <v>4</v>
      </c>
      <c r="C1180" s="309"/>
      <c r="D1180" s="310"/>
    </row>
    <row r="1181" spans="1:4" x14ac:dyDescent="0.25">
      <c r="A1181" s="418" t="s">
        <v>5108</v>
      </c>
      <c r="B1181">
        <v>5</v>
      </c>
      <c r="C1181" s="309"/>
      <c r="D1181" s="310"/>
    </row>
    <row r="1182" spans="1:4" x14ac:dyDescent="0.25">
      <c r="A1182" s="418" t="s">
        <v>10644</v>
      </c>
      <c r="B1182">
        <v>3</v>
      </c>
      <c r="C1182" s="309"/>
      <c r="D1182" s="310"/>
    </row>
    <row r="1183" spans="1:4" x14ac:dyDescent="0.25">
      <c r="A1183" s="418" t="s">
        <v>11049</v>
      </c>
      <c r="B1183">
        <v>1</v>
      </c>
      <c r="C1183" s="309"/>
      <c r="D1183" s="310"/>
    </row>
    <row r="1184" spans="1:4" x14ac:dyDescent="0.25">
      <c r="A1184" s="418" t="s">
        <v>5286</v>
      </c>
      <c r="B1184">
        <v>1</v>
      </c>
      <c r="C1184" s="309"/>
      <c r="D1184" s="310"/>
    </row>
    <row r="1185" spans="1:4" x14ac:dyDescent="0.25">
      <c r="A1185" s="418" t="s">
        <v>5951</v>
      </c>
      <c r="B1185">
        <v>1</v>
      </c>
      <c r="C1185" s="309"/>
      <c r="D1185" s="310"/>
    </row>
    <row r="1186" spans="1:4" x14ac:dyDescent="0.25">
      <c r="A1186" s="418" t="s">
        <v>5952</v>
      </c>
      <c r="B1186">
        <v>2</v>
      </c>
      <c r="C1186" s="309"/>
      <c r="D1186" s="310"/>
    </row>
    <row r="1187" spans="1:4" x14ac:dyDescent="0.25">
      <c r="A1187" s="418" t="s">
        <v>5953</v>
      </c>
      <c r="B1187">
        <v>1</v>
      </c>
      <c r="C1187" s="309"/>
      <c r="D1187" s="310"/>
    </row>
    <row r="1188" spans="1:4" x14ac:dyDescent="0.25">
      <c r="A1188" s="418" t="s">
        <v>8244</v>
      </c>
      <c r="B1188">
        <v>1</v>
      </c>
      <c r="C1188" s="309"/>
      <c r="D1188" s="310"/>
    </row>
    <row r="1189" spans="1:4" x14ac:dyDescent="0.25">
      <c r="A1189" s="418" t="s">
        <v>8245</v>
      </c>
      <c r="B1189">
        <v>1</v>
      </c>
      <c r="C1189" s="309"/>
      <c r="D1189" s="310"/>
    </row>
    <row r="1190" spans="1:4" x14ac:dyDescent="0.25">
      <c r="A1190" s="418" t="s">
        <v>15163</v>
      </c>
      <c r="B1190">
        <v>3</v>
      </c>
      <c r="C1190" s="309"/>
      <c r="D1190" s="310"/>
    </row>
    <row r="1191" spans="1:4" x14ac:dyDescent="0.25">
      <c r="A1191" s="418" t="s">
        <v>15205</v>
      </c>
      <c r="B1191">
        <v>3</v>
      </c>
      <c r="C1191" s="309"/>
      <c r="D1191" s="310"/>
    </row>
    <row r="1192" spans="1:4" x14ac:dyDescent="0.25">
      <c r="A1192" s="418" t="s">
        <v>5399</v>
      </c>
      <c r="B1192">
        <v>4</v>
      </c>
      <c r="C1192" s="309"/>
      <c r="D1192" s="310"/>
    </row>
    <row r="1193" spans="1:4" x14ac:dyDescent="0.25">
      <c r="A1193" s="418" t="s">
        <v>6134</v>
      </c>
      <c r="B1193">
        <v>7</v>
      </c>
      <c r="C1193" s="309"/>
      <c r="D1193" s="310"/>
    </row>
    <row r="1194" spans="1:4" x14ac:dyDescent="0.25">
      <c r="A1194" s="418" t="s">
        <v>7102</v>
      </c>
      <c r="B1194">
        <v>3</v>
      </c>
      <c r="C1194" s="309"/>
      <c r="D1194" s="310"/>
    </row>
    <row r="1195" spans="1:4" x14ac:dyDescent="0.25">
      <c r="A1195" s="418" t="s">
        <v>11688</v>
      </c>
      <c r="B1195">
        <v>3</v>
      </c>
      <c r="C1195" s="309"/>
      <c r="D1195" s="310"/>
    </row>
    <row r="1196" spans="1:4" x14ac:dyDescent="0.25">
      <c r="A1196" s="418" t="s">
        <v>11689</v>
      </c>
      <c r="B1196">
        <v>3</v>
      </c>
      <c r="C1196" s="309"/>
      <c r="D1196" s="310"/>
    </row>
    <row r="1197" spans="1:4" x14ac:dyDescent="0.25">
      <c r="A1197" s="418" t="s">
        <v>7975</v>
      </c>
      <c r="B1197">
        <v>3</v>
      </c>
      <c r="C1197" s="309"/>
      <c r="D1197" s="310"/>
    </row>
    <row r="1198" spans="1:4" x14ac:dyDescent="0.25">
      <c r="A1198" s="418" t="s">
        <v>7976</v>
      </c>
      <c r="B1198">
        <v>3</v>
      </c>
      <c r="C1198" s="309"/>
      <c r="D1198" s="310"/>
    </row>
    <row r="1199" spans="1:4" x14ac:dyDescent="0.25">
      <c r="A1199" s="418" t="s">
        <v>15673</v>
      </c>
      <c r="B1199">
        <v>3</v>
      </c>
      <c r="C1199" s="309"/>
      <c r="D1199" s="310"/>
    </row>
    <row r="1200" spans="1:4" x14ac:dyDescent="0.25">
      <c r="A1200" s="418" t="s">
        <v>11996</v>
      </c>
      <c r="B1200">
        <v>2</v>
      </c>
      <c r="C1200" s="309"/>
      <c r="D1200" s="310"/>
    </row>
    <row r="1201" spans="1:4" x14ac:dyDescent="0.25">
      <c r="A1201" s="418" t="s">
        <v>15674</v>
      </c>
      <c r="B1201">
        <v>1</v>
      </c>
      <c r="C1201" s="309"/>
      <c r="D1201" s="310"/>
    </row>
    <row r="1202" spans="1:4" x14ac:dyDescent="0.25">
      <c r="A1202" s="418" t="s">
        <v>4982</v>
      </c>
      <c r="B1202">
        <v>4</v>
      </c>
      <c r="C1202" s="309"/>
      <c r="D1202" s="310"/>
    </row>
    <row r="1203" spans="1:4" x14ac:dyDescent="0.25">
      <c r="A1203" s="418" t="s">
        <v>4983</v>
      </c>
      <c r="B1203">
        <v>4</v>
      </c>
      <c r="C1203" s="309"/>
      <c r="D1203" s="310"/>
    </row>
    <row r="1204" spans="1:4" x14ac:dyDescent="0.25">
      <c r="A1204" s="418" t="s">
        <v>5645</v>
      </c>
      <c r="B1204">
        <v>2</v>
      </c>
      <c r="C1204" s="309"/>
      <c r="D1204" s="310"/>
    </row>
    <row r="1205" spans="1:4" x14ac:dyDescent="0.25">
      <c r="A1205" s="418" t="s">
        <v>7296</v>
      </c>
      <c r="B1205">
        <v>2</v>
      </c>
      <c r="C1205" s="309"/>
      <c r="D1205" s="310"/>
    </row>
    <row r="1206" spans="1:4" x14ac:dyDescent="0.25">
      <c r="A1206" s="418" t="s">
        <v>16410</v>
      </c>
      <c r="B1206">
        <v>1</v>
      </c>
      <c r="C1206" s="309"/>
      <c r="D1206" s="310"/>
    </row>
    <row r="1207" spans="1:4" x14ac:dyDescent="0.25">
      <c r="A1207" s="418" t="s">
        <v>16411</v>
      </c>
      <c r="B1207">
        <v>1</v>
      </c>
      <c r="C1207" s="309"/>
      <c r="D1207" s="310"/>
    </row>
    <row r="1208" spans="1:4" x14ac:dyDescent="0.25">
      <c r="A1208" s="418" t="s">
        <v>6627</v>
      </c>
      <c r="B1208">
        <v>11</v>
      </c>
      <c r="C1208" s="309"/>
      <c r="D1208" s="310"/>
    </row>
    <row r="1209" spans="1:4" x14ac:dyDescent="0.25">
      <c r="A1209" s="418" t="s">
        <v>6628</v>
      </c>
      <c r="B1209">
        <v>13</v>
      </c>
      <c r="C1209" s="309"/>
      <c r="D1209" s="310"/>
    </row>
    <row r="1210" spans="1:4" x14ac:dyDescent="0.25">
      <c r="A1210" s="418" t="s">
        <v>6629</v>
      </c>
      <c r="B1210">
        <v>7</v>
      </c>
      <c r="C1210" s="309"/>
      <c r="D1210" s="310"/>
    </row>
    <row r="1211" spans="1:4" x14ac:dyDescent="0.25">
      <c r="A1211" s="418" t="s">
        <v>17078</v>
      </c>
      <c r="B1211">
        <v>1</v>
      </c>
      <c r="C1211" s="309"/>
      <c r="D1211" s="310"/>
    </row>
    <row r="1212" spans="1:4" x14ac:dyDescent="0.25">
      <c r="A1212" s="418" t="s">
        <v>7297</v>
      </c>
      <c r="B1212">
        <v>4</v>
      </c>
      <c r="C1212" s="309"/>
      <c r="D1212" s="310"/>
    </row>
    <row r="1213" spans="1:4" x14ac:dyDescent="0.25">
      <c r="A1213" s="418" t="s">
        <v>7610</v>
      </c>
      <c r="B1213">
        <v>3</v>
      </c>
      <c r="C1213" s="309"/>
      <c r="D1213" s="310"/>
    </row>
    <row r="1214" spans="1:4" x14ac:dyDescent="0.25">
      <c r="A1214" s="418" t="s">
        <v>8134</v>
      </c>
      <c r="B1214">
        <v>1</v>
      </c>
      <c r="C1214" s="309"/>
      <c r="D1214" s="310"/>
    </row>
    <row r="1215" spans="1:4" x14ac:dyDescent="0.25">
      <c r="A1215" s="418" t="s">
        <v>7043</v>
      </c>
      <c r="B1215">
        <v>3</v>
      </c>
      <c r="C1215" s="309"/>
      <c r="D1215" s="310"/>
    </row>
    <row r="1216" spans="1:4" x14ac:dyDescent="0.25">
      <c r="A1216" s="418" t="s">
        <v>6107</v>
      </c>
      <c r="B1216">
        <v>3</v>
      </c>
      <c r="C1216" s="309"/>
      <c r="D1216" s="310"/>
    </row>
    <row r="1217" spans="1:4" x14ac:dyDescent="0.25">
      <c r="A1217" s="418" t="s">
        <v>7977</v>
      </c>
      <c r="B1217">
        <v>4</v>
      </c>
      <c r="C1217" s="309"/>
      <c r="D1217" s="310"/>
    </row>
    <row r="1218" spans="1:4" x14ac:dyDescent="0.25">
      <c r="A1218" s="418" t="s">
        <v>6902</v>
      </c>
      <c r="B1218">
        <v>3</v>
      </c>
      <c r="C1218" s="309"/>
      <c r="D1218" s="310"/>
    </row>
    <row r="1219" spans="1:4" x14ac:dyDescent="0.25">
      <c r="A1219" s="418" t="s">
        <v>6903</v>
      </c>
      <c r="B1219">
        <v>3</v>
      </c>
      <c r="C1219" s="309"/>
      <c r="D1219" s="310"/>
    </row>
    <row r="1220" spans="1:4" x14ac:dyDescent="0.25">
      <c r="A1220" s="418" t="s">
        <v>6904</v>
      </c>
      <c r="B1220">
        <v>1</v>
      </c>
      <c r="C1220" s="309"/>
      <c r="D1220" s="310"/>
    </row>
    <row r="1221" spans="1:4" x14ac:dyDescent="0.25">
      <c r="A1221" s="418" t="s">
        <v>9521</v>
      </c>
      <c r="B1221">
        <v>2</v>
      </c>
      <c r="C1221" s="309"/>
      <c r="D1221" s="310"/>
    </row>
    <row r="1222" spans="1:4" x14ac:dyDescent="0.25">
      <c r="A1222" s="418" t="s">
        <v>6184</v>
      </c>
      <c r="B1222">
        <v>1</v>
      </c>
      <c r="C1222" s="309"/>
      <c r="D1222" s="310"/>
    </row>
    <row r="1223" spans="1:4" x14ac:dyDescent="0.25">
      <c r="A1223" s="418" t="s">
        <v>6185</v>
      </c>
      <c r="B1223">
        <v>1</v>
      </c>
      <c r="C1223" s="309"/>
      <c r="D1223" s="310"/>
    </row>
    <row r="1224" spans="1:4" x14ac:dyDescent="0.25">
      <c r="A1224" s="418" t="s">
        <v>4806</v>
      </c>
      <c r="B1224">
        <v>1</v>
      </c>
      <c r="C1224" s="309"/>
      <c r="D1224" s="310"/>
    </row>
    <row r="1225" spans="1:4" x14ac:dyDescent="0.25">
      <c r="A1225" s="418" t="s">
        <v>4807</v>
      </c>
      <c r="B1225">
        <v>1</v>
      </c>
      <c r="C1225" s="309"/>
      <c r="D1225" s="310"/>
    </row>
    <row r="1226" spans="1:4" x14ac:dyDescent="0.25">
      <c r="A1226" s="418" t="s">
        <v>4808</v>
      </c>
      <c r="B1226">
        <v>1</v>
      </c>
      <c r="C1226" s="309"/>
      <c r="D1226" s="310"/>
    </row>
    <row r="1227" spans="1:4" x14ac:dyDescent="0.25">
      <c r="A1227" s="418" t="s">
        <v>6733</v>
      </c>
      <c r="B1227">
        <v>4</v>
      </c>
      <c r="C1227" s="309"/>
      <c r="D1227" s="310"/>
    </row>
    <row r="1228" spans="1:4" x14ac:dyDescent="0.25">
      <c r="A1228" s="418" t="s">
        <v>5646</v>
      </c>
      <c r="B1228">
        <v>5</v>
      </c>
      <c r="C1228" s="309"/>
      <c r="D1228" s="310"/>
    </row>
    <row r="1229" spans="1:4" x14ac:dyDescent="0.25">
      <c r="A1229" s="418" t="s">
        <v>9584</v>
      </c>
      <c r="B1229">
        <v>2</v>
      </c>
      <c r="C1229" s="309"/>
      <c r="D1229" s="310"/>
    </row>
    <row r="1230" spans="1:4" x14ac:dyDescent="0.25">
      <c r="A1230" s="418" t="s">
        <v>5954</v>
      </c>
      <c r="B1230">
        <v>5</v>
      </c>
      <c r="C1230" s="309"/>
      <c r="D1230" s="310"/>
    </row>
    <row r="1231" spans="1:4" x14ac:dyDescent="0.25">
      <c r="A1231" s="418" t="s">
        <v>5647</v>
      </c>
      <c r="B1231">
        <v>7</v>
      </c>
      <c r="C1231" s="309"/>
      <c r="D1231" s="310"/>
    </row>
    <row r="1232" spans="1:4" x14ac:dyDescent="0.25">
      <c r="A1232" s="418" t="s">
        <v>6942</v>
      </c>
      <c r="B1232">
        <v>6</v>
      </c>
      <c r="C1232" s="309"/>
      <c r="D1232" s="310"/>
    </row>
    <row r="1233" spans="1:4" x14ac:dyDescent="0.25">
      <c r="A1233" s="418" t="s">
        <v>9585</v>
      </c>
      <c r="B1233">
        <v>3</v>
      </c>
      <c r="C1233" s="309"/>
      <c r="D1233" s="310"/>
    </row>
    <row r="1234" spans="1:4" x14ac:dyDescent="0.25">
      <c r="A1234" s="418" t="s">
        <v>6630</v>
      </c>
      <c r="B1234">
        <v>5</v>
      </c>
      <c r="C1234" s="309"/>
      <c r="D1234" s="310"/>
    </row>
    <row r="1235" spans="1:4" x14ac:dyDescent="0.25">
      <c r="A1235" s="418" t="s">
        <v>6846</v>
      </c>
      <c r="B1235">
        <v>5</v>
      </c>
      <c r="C1235" s="309"/>
      <c r="D1235" s="310"/>
    </row>
    <row r="1236" spans="1:4" x14ac:dyDescent="0.25">
      <c r="A1236" s="418" t="s">
        <v>8857</v>
      </c>
      <c r="B1236">
        <v>4</v>
      </c>
      <c r="C1236" s="309"/>
      <c r="D1236" s="310"/>
    </row>
    <row r="1237" spans="1:4" x14ac:dyDescent="0.25">
      <c r="A1237" s="418" t="s">
        <v>9805</v>
      </c>
      <c r="B1237">
        <v>3</v>
      </c>
      <c r="C1237" s="309"/>
      <c r="D1237" s="310"/>
    </row>
    <row r="1238" spans="1:4" x14ac:dyDescent="0.25">
      <c r="A1238" s="418" t="s">
        <v>7456</v>
      </c>
      <c r="B1238">
        <v>3</v>
      </c>
      <c r="C1238" s="309"/>
      <c r="D1238" s="310"/>
    </row>
    <row r="1239" spans="1:4" x14ac:dyDescent="0.25">
      <c r="A1239" s="418" t="s">
        <v>6905</v>
      </c>
      <c r="B1239">
        <v>3</v>
      </c>
      <c r="C1239" s="309"/>
      <c r="D1239" s="310"/>
    </row>
    <row r="1240" spans="1:4" x14ac:dyDescent="0.25">
      <c r="A1240" s="418" t="s">
        <v>6906</v>
      </c>
      <c r="B1240">
        <v>3</v>
      </c>
      <c r="C1240" s="309"/>
      <c r="D1240" s="310"/>
    </row>
    <row r="1241" spans="1:4" x14ac:dyDescent="0.25">
      <c r="A1241" s="418" t="s">
        <v>6734</v>
      </c>
      <c r="B1241">
        <v>5</v>
      </c>
      <c r="C1241" s="309"/>
      <c r="D1241" s="310"/>
    </row>
    <row r="1242" spans="1:4" x14ac:dyDescent="0.25">
      <c r="A1242" s="418" t="s">
        <v>6404</v>
      </c>
      <c r="B1242">
        <v>5</v>
      </c>
      <c r="C1242" s="309"/>
      <c r="D1242" s="310"/>
    </row>
    <row r="1243" spans="1:4" x14ac:dyDescent="0.25">
      <c r="A1243" s="418" t="s">
        <v>6405</v>
      </c>
      <c r="B1243">
        <v>5</v>
      </c>
      <c r="C1243" s="309"/>
      <c r="D1243" s="310"/>
    </row>
    <row r="1244" spans="1:4" x14ac:dyDescent="0.25">
      <c r="A1244" s="418" t="s">
        <v>6406</v>
      </c>
      <c r="B1244">
        <v>2</v>
      </c>
      <c r="C1244" s="309"/>
      <c r="D1244" s="310"/>
    </row>
    <row r="1245" spans="1:4" x14ac:dyDescent="0.25">
      <c r="A1245" s="418" t="s">
        <v>7978</v>
      </c>
      <c r="B1245">
        <v>1</v>
      </c>
      <c r="C1245" s="309"/>
      <c r="D1245" s="310"/>
    </row>
    <row r="1246" spans="1:4" x14ac:dyDescent="0.25">
      <c r="A1246" s="418" t="s">
        <v>6735</v>
      </c>
      <c r="B1246">
        <v>2</v>
      </c>
      <c r="C1246" s="309"/>
      <c r="D1246" s="310"/>
    </row>
    <row r="1247" spans="1:4" x14ac:dyDescent="0.25">
      <c r="A1247" s="418" t="s">
        <v>6407</v>
      </c>
      <c r="B1247">
        <v>2</v>
      </c>
      <c r="C1247" s="309"/>
      <c r="D1247" s="310"/>
    </row>
    <row r="1248" spans="1:4" x14ac:dyDescent="0.25">
      <c r="A1248" s="418" t="s">
        <v>8758</v>
      </c>
      <c r="B1248">
        <v>11</v>
      </c>
      <c r="C1248" s="309"/>
      <c r="D1248" s="310"/>
    </row>
    <row r="1249" spans="1:4" x14ac:dyDescent="0.25">
      <c r="A1249" s="418" t="s">
        <v>6003</v>
      </c>
      <c r="B1249">
        <v>14</v>
      </c>
      <c r="C1249" s="309"/>
      <c r="D1249" s="310"/>
    </row>
    <row r="1250" spans="1:4" x14ac:dyDescent="0.25">
      <c r="A1250" s="418" t="s">
        <v>6528</v>
      </c>
      <c r="B1250">
        <v>12</v>
      </c>
      <c r="C1250" s="309"/>
      <c r="D1250" s="310"/>
    </row>
    <row r="1251" spans="1:4" x14ac:dyDescent="0.25">
      <c r="A1251" s="418" t="s">
        <v>7103</v>
      </c>
      <c r="B1251">
        <v>7</v>
      </c>
      <c r="C1251" s="309"/>
      <c r="D1251" s="310"/>
    </row>
    <row r="1252" spans="1:4" x14ac:dyDescent="0.25">
      <c r="A1252" s="418" t="s">
        <v>7078</v>
      </c>
      <c r="B1252">
        <v>3</v>
      </c>
      <c r="C1252" s="309"/>
      <c r="D1252" s="310"/>
    </row>
    <row r="1253" spans="1:4" x14ac:dyDescent="0.25">
      <c r="A1253" s="418" t="s">
        <v>7079</v>
      </c>
      <c r="B1253">
        <v>4</v>
      </c>
      <c r="C1253" s="309"/>
      <c r="D1253" s="310"/>
    </row>
    <row r="1254" spans="1:4" x14ac:dyDescent="0.25">
      <c r="A1254" s="418" t="s">
        <v>9987</v>
      </c>
      <c r="B1254">
        <v>3</v>
      </c>
      <c r="C1254" s="309"/>
      <c r="D1254" s="310"/>
    </row>
    <row r="1255" spans="1:4" x14ac:dyDescent="0.25">
      <c r="A1255" s="418" t="s">
        <v>11796</v>
      </c>
      <c r="B1255">
        <v>3</v>
      </c>
      <c r="C1255" s="309"/>
      <c r="D1255" s="310"/>
    </row>
    <row r="1256" spans="1:4" x14ac:dyDescent="0.25">
      <c r="A1256" s="418" t="s">
        <v>9179</v>
      </c>
      <c r="B1256">
        <v>1</v>
      </c>
      <c r="C1256" s="309"/>
      <c r="D1256" s="310"/>
    </row>
    <row r="1257" spans="1:4" x14ac:dyDescent="0.25">
      <c r="A1257" s="418" t="s">
        <v>5212</v>
      </c>
      <c r="B1257">
        <v>3</v>
      </c>
      <c r="C1257" s="309"/>
      <c r="D1257" s="310"/>
    </row>
    <row r="1258" spans="1:4" x14ac:dyDescent="0.25">
      <c r="A1258" s="418" t="s">
        <v>5213</v>
      </c>
      <c r="B1258">
        <v>1</v>
      </c>
      <c r="C1258" s="309"/>
      <c r="D1258" s="310"/>
    </row>
    <row r="1259" spans="1:4" x14ac:dyDescent="0.25">
      <c r="A1259" s="418" t="s">
        <v>5214</v>
      </c>
      <c r="B1259">
        <v>2</v>
      </c>
      <c r="C1259" s="309"/>
      <c r="D1259" s="310"/>
    </row>
    <row r="1260" spans="1:4" x14ac:dyDescent="0.25">
      <c r="A1260" s="418" t="s">
        <v>5031</v>
      </c>
      <c r="B1260">
        <v>2</v>
      </c>
      <c r="C1260" s="309"/>
      <c r="D1260" s="310"/>
    </row>
    <row r="1261" spans="1:4" x14ac:dyDescent="0.25">
      <c r="A1261" s="418" t="s">
        <v>4984</v>
      </c>
      <c r="B1261">
        <v>3</v>
      </c>
      <c r="C1261" s="309"/>
      <c r="D1261" s="310"/>
    </row>
    <row r="1262" spans="1:4" x14ac:dyDescent="0.25">
      <c r="A1262" s="418" t="s">
        <v>5032</v>
      </c>
      <c r="B1262">
        <v>1</v>
      </c>
      <c r="C1262" s="309"/>
      <c r="D1262" s="310"/>
    </row>
    <row r="1263" spans="1:4" x14ac:dyDescent="0.25">
      <c r="A1263" s="418" t="s">
        <v>7298</v>
      </c>
      <c r="B1263">
        <v>1</v>
      </c>
      <c r="C1263" s="309"/>
      <c r="D1263" s="310"/>
    </row>
    <row r="1264" spans="1:4" x14ac:dyDescent="0.25">
      <c r="A1264" s="418" t="s">
        <v>7979</v>
      </c>
      <c r="B1264">
        <v>3</v>
      </c>
      <c r="C1264" s="309"/>
      <c r="D1264" s="310"/>
    </row>
    <row r="1265" spans="1:4" x14ac:dyDescent="0.25">
      <c r="A1265" s="418" t="s">
        <v>7980</v>
      </c>
      <c r="B1265">
        <v>3</v>
      </c>
      <c r="C1265" s="309"/>
      <c r="D1265" s="310"/>
    </row>
    <row r="1266" spans="1:4" x14ac:dyDescent="0.25">
      <c r="A1266" s="418" t="s">
        <v>8858</v>
      </c>
      <c r="B1266">
        <v>3</v>
      </c>
      <c r="C1266" s="309"/>
      <c r="D1266" s="310"/>
    </row>
    <row r="1267" spans="1:4" x14ac:dyDescent="0.25">
      <c r="A1267" s="418" t="s">
        <v>9806</v>
      </c>
      <c r="B1267">
        <v>3</v>
      </c>
      <c r="C1267" s="309"/>
      <c r="D1267" s="310"/>
    </row>
    <row r="1268" spans="1:4" x14ac:dyDescent="0.25">
      <c r="A1268" s="418" t="s">
        <v>6186</v>
      </c>
      <c r="B1268">
        <v>1</v>
      </c>
      <c r="C1268" s="309"/>
      <c r="D1268" s="310"/>
    </row>
    <row r="1269" spans="1:4" x14ac:dyDescent="0.25">
      <c r="A1269" s="418" t="s">
        <v>9412</v>
      </c>
      <c r="B1269">
        <v>1</v>
      </c>
      <c r="C1269" s="309"/>
      <c r="D1269" s="310"/>
    </row>
    <row r="1270" spans="1:4" x14ac:dyDescent="0.25">
      <c r="A1270" s="418" t="s">
        <v>9413</v>
      </c>
      <c r="B1270">
        <v>2</v>
      </c>
      <c r="C1270" s="309"/>
      <c r="D1270" s="310"/>
    </row>
    <row r="1271" spans="1:4" x14ac:dyDescent="0.25">
      <c r="A1271" s="418" t="s">
        <v>6433</v>
      </c>
      <c r="B1271">
        <v>1</v>
      </c>
      <c r="C1271" s="309"/>
      <c r="D1271" s="310"/>
    </row>
    <row r="1272" spans="1:4" x14ac:dyDescent="0.25">
      <c r="A1272" s="418" t="s">
        <v>6907</v>
      </c>
      <c r="B1272">
        <v>3</v>
      </c>
      <c r="C1272" s="309"/>
      <c r="D1272" s="310"/>
    </row>
    <row r="1273" spans="1:4" x14ac:dyDescent="0.25">
      <c r="A1273" s="418" t="s">
        <v>7326</v>
      </c>
      <c r="B1273">
        <v>3</v>
      </c>
      <c r="C1273" s="309"/>
      <c r="D1273" s="310"/>
    </row>
    <row r="1274" spans="1:4" x14ac:dyDescent="0.25">
      <c r="A1274" s="418" t="s">
        <v>9522</v>
      </c>
      <c r="B1274">
        <v>1</v>
      </c>
      <c r="C1274" s="309"/>
      <c r="D1274" s="310"/>
    </row>
    <row r="1275" spans="1:4" x14ac:dyDescent="0.25">
      <c r="A1275" s="418" t="s">
        <v>5351</v>
      </c>
      <c r="B1275">
        <v>3</v>
      </c>
      <c r="C1275" s="309"/>
      <c r="D1275" s="310"/>
    </row>
    <row r="1276" spans="1:4" x14ac:dyDescent="0.25">
      <c r="A1276" s="418" t="s">
        <v>4809</v>
      </c>
      <c r="B1276">
        <v>3</v>
      </c>
      <c r="C1276" s="309"/>
      <c r="D1276" s="310"/>
    </row>
    <row r="1277" spans="1:4" x14ac:dyDescent="0.25">
      <c r="A1277" s="418" t="s">
        <v>6277</v>
      </c>
      <c r="B1277">
        <v>3</v>
      </c>
      <c r="C1277" s="309"/>
      <c r="D1277" s="310"/>
    </row>
    <row r="1278" spans="1:4" x14ac:dyDescent="0.25">
      <c r="A1278" s="418" t="s">
        <v>6736</v>
      </c>
      <c r="B1278">
        <v>7</v>
      </c>
      <c r="C1278" s="309"/>
      <c r="D1278" s="310"/>
    </row>
    <row r="1279" spans="1:4" x14ac:dyDescent="0.25">
      <c r="A1279" s="418" t="s">
        <v>6737</v>
      </c>
      <c r="B1279">
        <v>7</v>
      </c>
      <c r="C1279" s="309"/>
      <c r="D1279" s="310"/>
    </row>
    <row r="1280" spans="1:4" x14ac:dyDescent="0.25">
      <c r="A1280" s="418" t="s">
        <v>6738</v>
      </c>
      <c r="B1280">
        <v>4</v>
      </c>
      <c r="C1280" s="309"/>
      <c r="D1280" s="310"/>
    </row>
    <row r="1281" spans="1:4" x14ac:dyDescent="0.25">
      <c r="A1281" s="418" t="s">
        <v>11797</v>
      </c>
      <c r="B1281">
        <v>2</v>
      </c>
      <c r="C1281" s="309"/>
      <c r="D1281" s="310"/>
    </row>
    <row r="1282" spans="1:4" x14ac:dyDescent="0.25">
      <c r="A1282" s="418" t="s">
        <v>11838</v>
      </c>
      <c r="B1282">
        <v>1</v>
      </c>
      <c r="C1282" s="309"/>
      <c r="D1282" s="310"/>
    </row>
    <row r="1283" spans="1:4" x14ac:dyDescent="0.25">
      <c r="A1283" s="418" t="s">
        <v>6278</v>
      </c>
      <c r="B1283">
        <v>1</v>
      </c>
      <c r="C1283" s="309"/>
      <c r="D1283" s="310"/>
    </row>
    <row r="1284" spans="1:4" x14ac:dyDescent="0.25">
      <c r="A1284" s="418" t="s">
        <v>6279</v>
      </c>
      <c r="B1284">
        <v>1</v>
      </c>
      <c r="C1284" s="309"/>
      <c r="D1284" s="310"/>
    </row>
    <row r="1285" spans="1:4" x14ac:dyDescent="0.25">
      <c r="A1285" s="418" t="s">
        <v>5793</v>
      </c>
      <c r="B1285">
        <v>1</v>
      </c>
      <c r="C1285" s="309"/>
      <c r="D1285" s="310"/>
    </row>
    <row r="1286" spans="1:4" x14ac:dyDescent="0.25">
      <c r="A1286" s="418" t="s">
        <v>5794</v>
      </c>
      <c r="B1286">
        <v>2</v>
      </c>
      <c r="C1286" s="309"/>
      <c r="D1286" s="310"/>
    </row>
    <row r="1287" spans="1:4" x14ac:dyDescent="0.25">
      <c r="A1287" s="418" t="s">
        <v>4579</v>
      </c>
      <c r="B1287">
        <v>7</v>
      </c>
      <c r="C1287" s="309"/>
      <c r="D1287" s="310"/>
    </row>
    <row r="1288" spans="1:4" x14ac:dyDescent="0.25">
      <c r="A1288" s="418" t="s">
        <v>4319</v>
      </c>
      <c r="B1288">
        <v>11</v>
      </c>
      <c r="C1288" s="309"/>
      <c r="D1288" s="310"/>
    </row>
    <row r="1289" spans="1:4" x14ac:dyDescent="0.25">
      <c r="A1289" s="418" t="s">
        <v>4168</v>
      </c>
      <c r="B1289">
        <v>11</v>
      </c>
      <c r="C1289" s="309"/>
      <c r="D1289" s="310"/>
    </row>
    <row r="1290" spans="1:4" x14ac:dyDescent="0.25">
      <c r="A1290" s="418" t="s">
        <v>4320</v>
      </c>
      <c r="B1290">
        <v>8</v>
      </c>
      <c r="C1290" s="309"/>
      <c r="D1290" s="310"/>
    </row>
    <row r="1291" spans="1:4" x14ac:dyDescent="0.25">
      <c r="A1291" s="418" t="s">
        <v>5109</v>
      </c>
      <c r="B1291">
        <v>2</v>
      </c>
      <c r="C1291" s="309"/>
      <c r="D1291" s="310"/>
    </row>
    <row r="1292" spans="1:4" x14ac:dyDescent="0.25">
      <c r="A1292" s="418" t="s">
        <v>5352</v>
      </c>
      <c r="B1292">
        <v>8</v>
      </c>
      <c r="C1292" s="309"/>
      <c r="D1292" s="310"/>
    </row>
    <row r="1293" spans="1:4" x14ac:dyDescent="0.25">
      <c r="A1293" s="418" t="s">
        <v>5353</v>
      </c>
      <c r="B1293">
        <v>8</v>
      </c>
      <c r="C1293" s="309"/>
      <c r="D1293" s="310"/>
    </row>
    <row r="1294" spans="1:4" x14ac:dyDescent="0.25">
      <c r="A1294" s="418" t="s">
        <v>5354</v>
      </c>
      <c r="B1294">
        <v>6</v>
      </c>
      <c r="C1294" s="309"/>
      <c r="D1294" s="310"/>
    </row>
    <row r="1295" spans="1:4" x14ac:dyDescent="0.25">
      <c r="A1295" s="418" t="s">
        <v>8859</v>
      </c>
      <c r="B1295">
        <v>2</v>
      </c>
      <c r="C1295" s="309"/>
      <c r="D1295" s="310"/>
    </row>
    <row r="1296" spans="1:4" x14ac:dyDescent="0.25">
      <c r="A1296" s="418" t="s">
        <v>4321</v>
      </c>
      <c r="B1296">
        <v>6</v>
      </c>
      <c r="C1296" s="309"/>
      <c r="D1296" s="310"/>
    </row>
    <row r="1297" spans="1:4" x14ac:dyDescent="0.25">
      <c r="A1297" s="418" t="s">
        <v>4322</v>
      </c>
      <c r="B1297">
        <v>10</v>
      </c>
      <c r="C1297" s="309"/>
      <c r="D1297" s="310"/>
    </row>
    <row r="1298" spans="1:4" x14ac:dyDescent="0.25">
      <c r="A1298" s="418" t="s">
        <v>4169</v>
      </c>
      <c r="B1298">
        <v>6</v>
      </c>
      <c r="C1298" s="309"/>
      <c r="D1298" s="310"/>
    </row>
    <row r="1299" spans="1:4" x14ac:dyDescent="0.25">
      <c r="A1299" s="418" t="s">
        <v>4323</v>
      </c>
      <c r="B1299">
        <v>4</v>
      </c>
      <c r="C1299" s="309"/>
      <c r="D1299" s="310"/>
    </row>
    <row r="1300" spans="1:4" x14ac:dyDescent="0.25">
      <c r="A1300" s="418" t="s">
        <v>9180</v>
      </c>
      <c r="B1300">
        <v>2</v>
      </c>
      <c r="C1300" s="309"/>
      <c r="D1300" s="310"/>
    </row>
    <row r="1301" spans="1:4" x14ac:dyDescent="0.25">
      <c r="A1301" s="418" t="s">
        <v>5877</v>
      </c>
      <c r="B1301">
        <v>4</v>
      </c>
      <c r="C1301" s="309"/>
      <c r="D1301" s="310"/>
    </row>
    <row r="1302" spans="1:4" x14ac:dyDescent="0.25">
      <c r="A1302" s="418" t="s">
        <v>9181</v>
      </c>
      <c r="B1302">
        <v>2</v>
      </c>
      <c r="C1302" s="309"/>
      <c r="D1302" s="310"/>
    </row>
    <row r="1303" spans="1:4" x14ac:dyDescent="0.25">
      <c r="A1303" s="418" t="s">
        <v>6943</v>
      </c>
      <c r="B1303">
        <v>13</v>
      </c>
      <c r="C1303" s="309"/>
      <c r="D1303" s="310"/>
    </row>
    <row r="1304" spans="1:4" x14ac:dyDescent="0.25">
      <c r="A1304" s="418" t="s">
        <v>6944</v>
      </c>
      <c r="B1304">
        <v>14</v>
      </c>
      <c r="C1304" s="309"/>
      <c r="D1304" s="310"/>
    </row>
    <row r="1305" spans="1:4" x14ac:dyDescent="0.25">
      <c r="A1305" s="418" t="s">
        <v>8530</v>
      </c>
      <c r="B1305">
        <v>7</v>
      </c>
      <c r="C1305" s="309"/>
      <c r="D1305" s="310"/>
    </row>
    <row r="1306" spans="1:4" x14ac:dyDescent="0.25">
      <c r="A1306" s="418" t="s">
        <v>5287</v>
      </c>
      <c r="B1306">
        <v>1</v>
      </c>
      <c r="C1306" s="309"/>
      <c r="D1306" s="310"/>
    </row>
    <row r="1307" spans="1:4" x14ac:dyDescent="0.25">
      <c r="A1307" s="418" t="s">
        <v>5495</v>
      </c>
      <c r="B1307">
        <v>6</v>
      </c>
      <c r="C1307" s="309"/>
      <c r="D1307" s="310"/>
    </row>
    <row r="1308" spans="1:4" x14ac:dyDescent="0.25">
      <c r="A1308" s="418" t="s">
        <v>5878</v>
      </c>
      <c r="B1308">
        <v>5</v>
      </c>
      <c r="C1308" s="309"/>
      <c r="D1308" s="310"/>
    </row>
    <row r="1309" spans="1:4" x14ac:dyDescent="0.25">
      <c r="A1309" s="418" t="s">
        <v>5879</v>
      </c>
      <c r="B1309">
        <v>3</v>
      </c>
      <c r="C1309" s="309"/>
      <c r="D1309" s="310"/>
    </row>
    <row r="1310" spans="1:4" x14ac:dyDescent="0.25">
      <c r="A1310" s="418" t="s">
        <v>5987</v>
      </c>
      <c r="B1310">
        <v>4</v>
      </c>
      <c r="C1310" s="309"/>
      <c r="D1310" s="310"/>
    </row>
    <row r="1311" spans="1:4" x14ac:dyDescent="0.25">
      <c r="A1311" s="418" t="s">
        <v>5676</v>
      </c>
      <c r="B1311">
        <v>16</v>
      </c>
      <c r="C1311" s="309"/>
      <c r="D1311" s="310"/>
    </row>
    <row r="1312" spans="1:4" x14ac:dyDescent="0.25">
      <c r="A1312" s="418" t="s">
        <v>7299</v>
      </c>
      <c r="B1312">
        <v>14</v>
      </c>
      <c r="C1312" s="309"/>
      <c r="D1312" s="310"/>
    </row>
    <row r="1313" spans="1:4" x14ac:dyDescent="0.25">
      <c r="A1313" s="418" t="s">
        <v>8066</v>
      </c>
      <c r="B1313">
        <v>11</v>
      </c>
      <c r="C1313" s="309"/>
      <c r="D1313" s="310"/>
    </row>
    <row r="1314" spans="1:4" x14ac:dyDescent="0.25">
      <c r="A1314" s="418" t="s">
        <v>5853</v>
      </c>
      <c r="B1314">
        <v>4</v>
      </c>
      <c r="C1314" s="309"/>
      <c r="D1314" s="310"/>
    </row>
    <row r="1315" spans="1:4" x14ac:dyDescent="0.25">
      <c r="A1315" s="418" t="s">
        <v>12314</v>
      </c>
      <c r="B1315">
        <v>1</v>
      </c>
      <c r="C1315" s="309"/>
      <c r="D1315" s="310"/>
    </row>
    <row r="1316" spans="1:4" x14ac:dyDescent="0.25">
      <c r="A1316" s="418" t="s">
        <v>11481</v>
      </c>
      <c r="B1316">
        <v>3</v>
      </c>
      <c r="C1316" s="309"/>
      <c r="D1316" s="310"/>
    </row>
    <row r="1317" spans="1:4" x14ac:dyDescent="0.25">
      <c r="A1317" s="418" t="s">
        <v>7611</v>
      </c>
      <c r="B1317">
        <v>3</v>
      </c>
      <c r="C1317" s="309"/>
      <c r="D1317" s="310"/>
    </row>
    <row r="1318" spans="1:4" x14ac:dyDescent="0.25">
      <c r="A1318" s="418" t="s">
        <v>7981</v>
      </c>
      <c r="B1318">
        <v>3</v>
      </c>
      <c r="C1318" s="309"/>
      <c r="D1318" s="310"/>
    </row>
    <row r="1319" spans="1:4" x14ac:dyDescent="0.25">
      <c r="A1319" s="418" t="s">
        <v>5288</v>
      </c>
      <c r="B1319">
        <v>3</v>
      </c>
      <c r="C1319" s="309"/>
      <c r="D1319" s="310"/>
    </row>
    <row r="1320" spans="1:4" x14ac:dyDescent="0.25">
      <c r="A1320" s="418" t="s">
        <v>7457</v>
      </c>
      <c r="B1320">
        <v>6</v>
      </c>
      <c r="C1320" s="309"/>
      <c r="D1320" s="310"/>
    </row>
    <row r="1321" spans="1:4" x14ac:dyDescent="0.25">
      <c r="A1321" s="418" t="s">
        <v>6450</v>
      </c>
      <c r="B1321">
        <v>6</v>
      </c>
      <c r="C1321" s="309"/>
      <c r="D1321" s="310"/>
    </row>
    <row r="1322" spans="1:4" x14ac:dyDescent="0.25">
      <c r="A1322" s="418" t="s">
        <v>7458</v>
      </c>
      <c r="B1322">
        <v>3</v>
      </c>
      <c r="C1322" s="309"/>
      <c r="D1322" s="310"/>
    </row>
    <row r="1323" spans="1:4" x14ac:dyDescent="0.25">
      <c r="A1323" s="418" t="s">
        <v>6908</v>
      </c>
      <c r="B1323">
        <v>1</v>
      </c>
      <c r="C1323" s="309"/>
      <c r="D1323" s="310"/>
    </row>
    <row r="1324" spans="1:4" x14ac:dyDescent="0.25">
      <c r="A1324" s="418" t="s">
        <v>7327</v>
      </c>
      <c r="B1324">
        <v>2</v>
      </c>
      <c r="C1324" s="309"/>
      <c r="D1324" s="310"/>
    </row>
    <row r="1325" spans="1:4" x14ac:dyDescent="0.25">
      <c r="A1325" s="418" t="s">
        <v>9238</v>
      </c>
      <c r="B1325">
        <v>3</v>
      </c>
      <c r="C1325" s="309"/>
      <c r="D1325" s="310"/>
    </row>
    <row r="1326" spans="1:4" x14ac:dyDescent="0.25">
      <c r="A1326" s="418" t="s">
        <v>5880</v>
      </c>
      <c r="B1326">
        <v>3</v>
      </c>
      <c r="C1326" s="309"/>
      <c r="D1326" s="310"/>
    </row>
    <row r="1327" spans="1:4" x14ac:dyDescent="0.25">
      <c r="A1327" s="418" t="s">
        <v>8246</v>
      </c>
      <c r="B1327">
        <v>1</v>
      </c>
      <c r="C1327" s="309"/>
      <c r="D1327" s="310"/>
    </row>
    <row r="1328" spans="1:4" x14ac:dyDescent="0.25">
      <c r="A1328" s="418" t="s">
        <v>6739</v>
      </c>
      <c r="B1328">
        <v>17</v>
      </c>
      <c r="C1328" s="309"/>
      <c r="D1328" s="310"/>
    </row>
    <row r="1329" spans="1:4" x14ac:dyDescent="0.25">
      <c r="A1329" s="418" t="s">
        <v>6740</v>
      </c>
      <c r="B1329">
        <v>19</v>
      </c>
      <c r="C1329" s="309"/>
      <c r="D1329" s="310"/>
    </row>
    <row r="1330" spans="1:4" x14ac:dyDescent="0.25">
      <c r="A1330" s="418" t="s">
        <v>9414</v>
      </c>
      <c r="B1330">
        <v>8</v>
      </c>
      <c r="C1330" s="309"/>
      <c r="D1330" s="310"/>
    </row>
    <row r="1331" spans="1:4" x14ac:dyDescent="0.25">
      <c r="A1331" s="418" t="s">
        <v>7104</v>
      </c>
      <c r="B1331">
        <v>10</v>
      </c>
      <c r="C1331" s="309"/>
      <c r="D1331" s="310"/>
    </row>
    <row r="1332" spans="1:4" x14ac:dyDescent="0.25">
      <c r="A1332" s="418" t="s">
        <v>5481</v>
      </c>
      <c r="B1332">
        <v>4</v>
      </c>
      <c r="C1332" s="309"/>
      <c r="D1332" s="310"/>
    </row>
    <row r="1333" spans="1:4" x14ac:dyDescent="0.25">
      <c r="A1333" s="418" t="s">
        <v>4962</v>
      </c>
      <c r="B1333">
        <v>3</v>
      </c>
      <c r="C1333" s="309"/>
      <c r="D1333" s="310"/>
    </row>
    <row r="1334" spans="1:4" x14ac:dyDescent="0.25">
      <c r="A1334" s="418" t="s">
        <v>4963</v>
      </c>
      <c r="B1334">
        <v>3</v>
      </c>
      <c r="C1334" s="309"/>
      <c r="D1334" s="310"/>
    </row>
    <row r="1335" spans="1:4" x14ac:dyDescent="0.25">
      <c r="A1335" s="418" t="s">
        <v>4964</v>
      </c>
      <c r="B1335">
        <v>3</v>
      </c>
      <c r="C1335" s="309"/>
      <c r="D1335" s="310"/>
    </row>
    <row r="1336" spans="1:4" x14ac:dyDescent="0.25">
      <c r="A1336" s="418" t="s">
        <v>5110</v>
      </c>
      <c r="B1336">
        <v>1</v>
      </c>
      <c r="C1336" s="309"/>
      <c r="D1336" s="310"/>
    </row>
    <row r="1337" spans="1:4" x14ac:dyDescent="0.25">
      <c r="A1337" s="418" t="s">
        <v>5795</v>
      </c>
      <c r="B1337">
        <v>1</v>
      </c>
      <c r="C1337" s="309"/>
      <c r="D1337" s="310"/>
    </row>
    <row r="1338" spans="1:4" x14ac:dyDescent="0.25">
      <c r="A1338" s="418" t="s">
        <v>6451</v>
      </c>
      <c r="B1338">
        <v>1</v>
      </c>
      <c r="C1338" s="309"/>
      <c r="D1338" s="310"/>
    </row>
    <row r="1339" spans="1:4" x14ac:dyDescent="0.25">
      <c r="A1339" s="418" t="s">
        <v>11690</v>
      </c>
      <c r="B1339">
        <v>2</v>
      </c>
      <c r="C1339" s="309"/>
      <c r="D1339" s="310"/>
    </row>
    <row r="1340" spans="1:4" x14ac:dyDescent="0.25">
      <c r="A1340" s="418" t="s">
        <v>7300</v>
      </c>
      <c r="B1340">
        <v>4</v>
      </c>
      <c r="C1340" s="309"/>
      <c r="D1340" s="310"/>
    </row>
    <row r="1341" spans="1:4" x14ac:dyDescent="0.25">
      <c r="A1341" s="418" t="s">
        <v>7301</v>
      </c>
      <c r="B1341">
        <v>6</v>
      </c>
      <c r="C1341" s="309"/>
      <c r="D1341" s="310"/>
    </row>
    <row r="1342" spans="1:4" x14ac:dyDescent="0.25">
      <c r="A1342" s="418" t="s">
        <v>11691</v>
      </c>
      <c r="B1342">
        <v>2</v>
      </c>
      <c r="C1342" s="309"/>
      <c r="D1342" s="310"/>
    </row>
    <row r="1343" spans="1:4" x14ac:dyDescent="0.25">
      <c r="A1343" s="418" t="s">
        <v>5266</v>
      </c>
      <c r="B1343">
        <v>5</v>
      </c>
      <c r="C1343" s="309"/>
      <c r="D1343" s="310"/>
    </row>
    <row r="1344" spans="1:4" x14ac:dyDescent="0.25">
      <c r="A1344" s="418" t="s">
        <v>4965</v>
      </c>
      <c r="B1344">
        <v>3</v>
      </c>
      <c r="C1344" s="309"/>
      <c r="D1344" s="310"/>
    </row>
    <row r="1345" spans="1:4" x14ac:dyDescent="0.25">
      <c r="A1345" s="418" t="s">
        <v>5955</v>
      </c>
      <c r="B1345">
        <v>3</v>
      </c>
      <c r="C1345" s="309"/>
      <c r="D1345" s="310"/>
    </row>
    <row r="1346" spans="1:4" x14ac:dyDescent="0.25">
      <c r="A1346" s="418" t="s">
        <v>5956</v>
      </c>
      <c r="B1346">
        <v>6</v>
      </c>
      <c r="C1346" s="309"/>
      <c r="D1346" s="310"/>
    </row>
    <row r="1347" spans="1:4" x14ac:dyDescent="0.25">
      <c r="A1347" s="418" t="s">
        <v>7459</v>
      </c>
      <c r="B1347">
        <v>2</v>
      </c>
      <c r="C1347" s="309"/>
      <c r="D1347" s="310"/>
    </row>
    <row r="1348" spans="1:4" x14ac:dyDescent="0.25">
      <c r="A1348" s="418" t="s">
        <v>7198</v>
      </c>
      <c r="B1348">
        <v>3</v>
      </c>
      <c r="C1348" s="309"/>
      <c r="D1348" s="310"/>
    </row>
    <row r="1349" spans="1:4" x14ac:dyDescent="0.25">
      <c r="A1349" s="418" t="s">
        <v>7199</v>
      </c>
      <c r="B1349">
        <v>1</v>
      </c>
      <c r="C1349" s="309"/>
      <c r="D1349" s="310"/>
    </row>
    <row r="1350" spans="1:4" x14ac:dyDescent="0.25">
      <c r="A1350" s="418" t="s">
        <v>9523</v>
      </c>
      <c r="B1350">
        <v>1</v>
      </c>
      <c r="C1350" s="309"/>
      <c r="D1350" s="310"/>
    </row>
    <row r="1351" spans="1:4" x14ac:dyDescent="0.25">
      <c r="A1351" s="418" t="s">
        <v>9524</v>
      </c>
      <c r="B1351">
        <v>1</v>
      </c>
      <c r="C1351" s="309"/>
      <c r="D1351" s="310"/>
    </row>
    <row r="1352" spans="1:4" x14ac:dyDescent="0.25">
      <c r="A1352" s="418" t="s">
        <v>6108</v>
      </c>
      <c r="B1352">
        <v>2</v>
      </c>
      <c r="C1352" s="309"/>
      <c r="D1352" s="310"/>
    </row>
    <row r="1353" spans="1:4" x14ac:dyDescent="0.25">
      <c r="A1353" s="418" t="s">
        <v>4009</v>
      </c>
      <c r="B1353">
        <v>1</v>
      </c>
      <c r="C1353" s="309"/>
      <c r="D1353" s="310"/>
    </row>
    <row r="1354" spans="1:4" x14ac:dyDescent="0.25">
      <c r="A1354" s="418" t="s">
        <v>5648</v>
      </c>
      <c r="B1354">
        <v>3</v>
      </c>
      <c r="C1354" s="309"/>
      <c r="D1354" s="310"/>
    </row>
    <row r="1355" spans="1:4" x14ac:dyDescent="0.25">
      <c r="A1355" s="418" t="s">
        <v>5649</v>
      </c>
      <c r="B1355">
        <v>3</v>
      </c>
      <c r="C1355" s="309"/>
      <c r="D1355" s="310"/>
    </row>
    <row r="1356" spans="1:4" x14ac:dyDescent="0.25">
      <c r="A1356" s="418" t="s">
        <v>5650</v>
      </c>
      <c r="B1356">
        <v>3</v>
      </c>
      <c r="C1356" s="309"/>
      <c r="D1356" s="310"/>
    </row>
    <row r="1357" spans="1:4" x14ac:dyDescent="0.25">
      <c r="A1357" s="418" t="s">
        <v>6741</v>
      </c>
      <c r="B1357">
        <v>3</v>
      </c>
      <c r="C1357" s="309"/>
      <c r="D1357" s="310"/>
    </row>
    <row r="1358" spans="1:4" x14ac:dyDescent="0.25">
      <c r="A1358" s="418" t="s">
        <v>11241</v>
      </c>
      <c r="B1358">
        <v>4</v>
      </c>
      <c r="C1358" s="309"/>
      <c r="D1358" s="310"/>
    </row>
    <row r="1359" spans="1:4" x14ac:dyDescent="0.25">
      <c r="A1359" s="418" t="s">
        <v>7105</v>
      </c>
      <c r="B1359">
        <v>4</v>
      </c>
      <c r="C1359" s="309"/>
      <c r="D1359" s="310"/>
    </row>
    <row r="1360" spans="1:4" x14ac:dyDescent="0.25">
      <c r="A1360" s="418" t="s">
        <v>15490</v>
      </c>
      <c r="B1360">
        <v>2</v>
      </c>
      <c r="C1360" s="309"/>
      <c r="D1360" s="310"/>
    </row>
    <row r="1361" spans="1:4" x14ac:dyDescent="0.25">
      <c r="A1361" s="418" t="s">
        <v>9852</v>
      </c>
      <c r="B1361">
        <v>4</v>
      </c>
      <c r="C1361" s="309"/>
      <c r="D1361" s="310"/>
    </row>
    <row r="1362" spans="1:4" x14ac:dyDescent="0.25">
      <c r="A1362" s="418" t="s">
        <v>10287</v>
      </c>
      <c r="B1362">
        <v>4</v>
      </c>
      <c r="C1362" s="309"/>
      <c r="D1362" s="310"/>
    </row>
    <row r="1363" spans="1:4" x14ac:dyDescent="0.25">
      <c r="A1363" s="418" t="s">
        <v>4580</v>
      </c>
      <c r="B1363">
        <v>2</v>
      </c>
      <c r="C1363" s="309"/>
      <c r="D1363" s="310"/>
    </row>
    <row r="1364" spans="1:4" x14ac:dyDescent="0.25">
      <c r="A1364" s="418" t="s">
        <v>4868</v>
      </c>
      <c r="B1364">
        <v>1</v>
      </c>
      <c r="C1364" s="309"/>
      <c r="D1364" s="310"/>
    </row>
    <row r="1365" spans="1:4" x14ac:dyDescent="0.25">
      <c r="A1365" s="418" t="s">
        <v>4581</v>
      </c>
      <c r="B1365">
        <v>1</v>
      </c>
      <c r="C1365" s="309"/>
      <c r="D1365" s="310"/>
    </row>
    <row r="1366" spans="1:4" x14ac:dyDescent="0.25">
      <c r="A1366" s="418" t="s">
        <v>10412</v>
      </c>
      <c r="B1366">
        <v>4</v>
      </c>
      <c r="C1366" s="309"/>
      <c r="D1366" s="310"/>
    </row>
    <row r="1367" spans="1:4" x14ac:dyDescent="0.25">
      <c r="A1367" s="418" t="s">
        <v>10413</v>
      </c>
      <c r="B1367">
        <v>5</v>
      </c>
      <c r="C1367" s="309"/>
      <c r="D1367" s="310"/>
    </row>
    <row r="1368" spans="1:4" x14ac:dyDescent="0.25">
      <c r="A1368" s="418" t="s">
        <v>17079</v>
      </c>
      <c r="B1368">
        <v>1</v>
      </c>
      <c r="C1368" s="309"/>
      <c r="D1368" s="310"/>
    </row>
    <row r="1369" spans="1:4" x14ac:dyDescent="0.25">
      <c r="A1369" s="418" t="s">
        <v>10447</v>
      </c>
      <c r="B1369">
        <v>3</v>
      </c>
      <c r="C1369" s="309"/>
      <c r="D1369" s="310"/>
    </row>
    <row r="1370" spans="1:4" x14ac:dyDescent="0.25">
      <c r="A1370" s="418" t="s">
        <v>7982</v>
      </c>
      <c r="B1370">
        <v>3</v>
      </c>
      <c r="C1370" s="309"/>
      <c r="D1370" s="310"/>
    </row>
    <row r="1371" spans="1:4" x14ac:dyDescent="0.25">
      <c r="A1371" s="418" t="s">
        <v>11798</v>
      </c>
      <c r="B1371">
        <v>1</v>
      </c>
      <c r="C1371" s="309"/>
      <c r="D1371" s="310"/>
    </row>
    <row r="1372" spans="1:4" x14ac:dyDescent="0.25">
      <c r="A1372" s="418" t="s">
        <v>12315</v>
      </c>
      <c r="B1372">
        <v>3</v>
      </c>
      <c r="C1372" s="309"/>
      <c r="D1372" s="310"/>
    </row>
    <row r="1373" spans="1:4" x14ac:dyDescent="0.25">
      <c r="A1373" s="418" t="s">
        <v>5111</v>
      </c>
      <c r="B1373">
        <v>1</v>
      </c>
      <c r="C1373" s="309"/>
      <c r="D1373" s="310"/>
    </row>
    <row r="1374" spans="1:4" x14ac:dyDescent="0.25">
      <c r="A1374" s="418" t="s">
        <v>5355</v>
      </c>
      <c r="B1374">
        <v>3</v>
      </c>
      <c r="C1374" s="309"/>
      <c r="D1374" s="310"/>
    </row>
    <row r="1375" spans="1:4" x14ac:dyDescent="0.25">
      <c r="A1375" s="418" t="s">
        <v>7249</v>
      </c>
      <c r="B1375">
        <v>2</v>
      </c>
      <c r="C1375" s="309"/>
      <c r="D1375" s="310"/>
    </row>
    <row r="1376" spans="1:4" x14ac:dyDescent="0.25">
      <c r="A1376" s="418" t="s">
        <v>5356</v>
      </c>
      <c r="B1376">
        <v>1</v>
      </c>
      <c r="C1376" s="309"/>
      <c r="D1376" s="310"/>
    </row>
    <row r="1377" spans="1:4" x14ac:dyDescent="0.25">
      <c r="A1377" s="418" t="s">
        <v>5854</v>
      </c>
      <c r="B1377">
        <v>3</v>
      </c>
      <c r="C1377" s="309"/>
      <c r="D1377" s="310"/>
    </row>
    <row r="1378" spans="1:4" x14ac:dyDescent="0.25">
      <c r="A1378" s="418" t="s">
        <v>5796</v>
      </c>
      <c r="B1378">
        <v>3</v>
      </c>
      <c r="C1378" s="309"/>
      <c r="D1378" s="310"/>
    </row>
    <row r="1379" spans="1:4" x14ac:dyDescent="0.25">
      <c r="A1379" s="418" t="s">
        <v>10483</v>
      </c>
      <c r="B1379">
        <v>1</v>
      </c>
      <c r="C1379" s="309"/>
      <c r="D1379" s="310"/>
    </row>
    <row r="1380" spans="1:4" x14ac:dyDescent="0.25">
      <c r="A1380" s="418" t="s">
        <v>9907</v>
      </c>
      <c r="B1380">
        <v>2</v>
      </c>
      <c r="C1380" s="309"/>
      <c r="D1380" s="310"/>
    </row>
    <row r="1381" spans="1:4" x14ac:dyDescent="0.25">
      <c r="A1381" s="418" t="s">
        <v>6434</v>
      </c>
      <c r="B1381">
        <v>3</v>
      </c>
      <c r="C1381" s="309"/>
      <c r="D1381" s="310"/>
    </row>
    <row r="1382" spans="1:4" x14ac:dyDescent="0.25">
      <c r="A1382" s="418" t="s">
        <v>6187</v>
      </c>
      <c r="B1382">
        <v>5</v>
      </c>
      <c r="C1382" s="309"/>
      <c r="D1382" s="310"/>
    </row>
    <row r="1383" spans="1:4" x14ac:dyDescent="0.25">
      <c r="A1383" s="418" t="s">
        <v>6435</v>
      </c>
      <c r="B1383">
        <v>2</v>
      </c>
      <c r="C1383" s="309"/>
      <c r="D1383" s="310"/>
    </row>
    <row r="1384" spans="1:4" x14ac:dyDescent="0.25">
      <c r="A1384" s="418" t="s">
        <v>6436</v>
      </c>
      <c r="B1384">
        <v>2</v>
      </c>
      <c r="C1384" s="309"/>
      <c r="D1384" s="310"/>
    </row>
    <row r="1385" spans="1:4" x14ac:dyDescent="0.25">
      <c r="A1385" s="418" t="s">
        <v>5677</v>
      </c>
      <c r="B1385">
        <v>3</v>
      </c>
      <c r="C1385" s="309"/>
      <c r="D1385" s="310"/>
    </row>
    <row r="1386" spans="1:4" x14ac:dyDescent="0.25">
      <c r="A1386" s="418" t="s">
        <v>6188</v>
      </c>
      <c r="B1386">
        <v>1</v>
      </c>
      <c r="C1386" s="309"/>
      <c r="D1386" s="310"/>
    </row>
    <row r="1387" spans="1:4" x14ac:dyDescent="0.25">
      <c r="A1387" s="418" t="s">
        <v>6189</v>
      </c>
      <c r="B1387">
        <v>2</v>
      </c>
      <c r="C1387" s="309"/>
      <c r="D1387" s="310"/>
    </row>
    <row r="1388" spans="1:4" x14ac:dyDescent="0.25">
      <c r="A1388" s="418" t="s">
        <v>6945</v>
      </c>
      <c r="B1388">
        <v>4</v>
      </c>
      <c r="C1388" s="309"/>
      <c r="D1388" s="310"/>
    </row>
    <row r="1389" spans="1:4" x14ac:dyDescent="0.25">
      <c r="A1389" s="418" t="s">
        <v>6946</v>
      </c>
      <c r="B1389">
        <v>4</v>
      </c>
      <c r="C1389" s="309"/>
      <c r="D1389" s="310"/>
    </row>
    <row r="1390" spans="1:4" x14ac:dyDescent="0.25">
      <c r="A1390" s="418" t="s">
        <v>11997</v>
      </c>
      <c r="B1390">
        <v>1</v>
      </c>
      <c r="C1390" s="309"/>
      <c r="D1390" s="310"/>
    </row>
    <row r="1391" spans="1:4" x14ac:dyDescent="0.25">
      <c r="A1391" s="418" t="s">
        <v>7460</v>
      </c>
      <c r="B1391">
        <v>2</v>
      </c>
      <c r="C1391" s="309"/>
      <c r="D1391" s="310"/>
    </row>
    <row r="1392" spans="1:4" x14ac:dyDescent="0.25">
      <c r="A1392" s="418" t="s">
        <v>6109</v>
      </c>
      <c r="B1392">
        <v>3</v>
      </c>
      <c r="C1392" s="309"/>
      <c r="D1392" s="310"/>
    </row>
    <row r="1393" spans="1:4" x14ac:dyDescent="0.25">
      <c r="A1393" s="418" t="s">
        <v>5482</v>
      </c>
      <c r="B1393">
        <v>3</v>
      </c>
      <c r="C1393" s="309"/>
      <c r="D1393" s="310"/>
    </row>
    <row r="1394" spans="1:4" x14ac:dyDescent="0.25">
      <c r="A1394" s="418" t="s">
        <v>6947</v>
      </c>
      <c r="B1394">
        <v>3</v>
      </c>
      <c r="C1394" s="309"/>
      <c r="D1394" s="310"/>
    </row>
    <row r="1395" spans="1:4" x14ac:dyDescent="0.25">
      <c r="A1395" s="418" t="s">
        <v>8098</v>
      </c>
      <c r="B1395">
        <v>3</v>
      </c>
      <c r="C1395" s="309"/>
      <c r="D1395" s="310"/>
    </row>
    <row r="1396" spans="1:4" x14ac:dyDescent="0.25">
      <c r="A1396" s="418" t="s">
        <v>8247</v>
      </c>
      <c r="B1396">
        <v>7</v>
      </c>
      <c r="C1396" s="309"/>
      <c r="D1396" s="310"/>
    </row>
    <row r="1397" spans="1:4" x14ac:dyDescent="0.25">
      <c r="A1397" s="418" t="s">
        <v>9586</v>
      </c>
      <c r="B1397">
        <v>4</v>
      </c>
      <c r="C1397" s="309"/>
      <c r="D1397" s="310"/>
    </row>
    <row r="1398" spans="1:4" x14ac:dyDescent="0.25">
      <c r="A1398" s="418" t="s">
        <v>9525</v>
      </c>
      <c r="B1398">
        <v>4</v>
      </c>
      <c r="C1398" s="309"/>
      <c r="D1398" s="310"/>
    </row>
    <row r="1399" spans="1:4" x14ac:dyDescent="0.25">
      <c r="A1399" s="418" t="s">
        <v>9526</v>
      </c>
      <c r="B1399">
        <v>5</v>
      </c>
      <c r="C1399" s="309"/>
      <c r="D1399" s="310"/>
    </row>
    <row r="1400" spans="1:4" x14ac:dyDescent="0.25">
      <c r="A1400" s="418" t="s">
        <v>9527</v>
      </c>
      <c r="B1400">
        <v>4</v>
      </c>
      <c r="C1400" s="309"/>
      <c r="D1400" s="310"/>
    </row>
    <row r="1401" spans="1:4" x14ac:dyDescent="0.25">
      <c r="A1401" s="418" t="s">
        <v>9528</v>
      </c>
      <c r="B1401">
        <v>3</v>
      </c>
      <c r="C1401" s="309"/>
      <c r="D1401" s="310"/>
    </row>
    <row r="1402" spans="1:4" x14ac:dyDescent="0.25">
      <c r="A1402" s="418" t="s">
        <v>5483</v>
      </c>
      <c r="B1402">
        <v>1</v>
      </c>
      <c r="C1402" s="309"/>
      <c r="D1402" s="310"/>
    </row>
    <row r="1403" spans="1:4" x14ac:dyDescent="0.25">
      <c r="A1403" s="418" t="s">
        <v>5651</v>
      </c>
      <c r="B1403">
        <v>3</v>
      </c>
      <c r="C1403" s="309"/>
      <c r="D1403" s="310"/>
    </row>
    <row r="1404" spans="1:4" x14ac:dyDescent="0.25">
      <c r="A1404" s="418" t="s">
        <v>5267</v>
      </c>
      <c r="B1404">
        <v>3</v>
      </c>
      <c r="C1404" s="309"/>
      <c r="D1404" s="310"/>
    </row>
    <row r="1405" spans="1:4" x14ac:dyDescent="0.25">
      <c r="A1405" s="418" t="s">
        <v>5652</v>
      </c>
      <c r="B1405">
        <v>3</v>
      </c>
      <c r="C1405" s="309"/>
      <c r="D1405" s="310"/>
    </row>
    <row r="1406" spans="1:4" x14ac:dyDescent="0.25">
      <c r="A1406" s="418" t="s">
        <v>5855</v>
      </c>
      <c r="B1406">
        <v>3</v>
      </c>
      <c r="C1406" s="309"/>
      <c r="D1406" s="310"/>
    </row>
    <row r="1407" spans="1:4" x14ac:dyDescent="0.25">
      <c r="A1407" s="418" t="s">
        <v>6872</v>
      </c>
      <c r="B1407">
        <v>3</v>
      </c>
      <c r="C1407" s="309"/>
      <c r="D1407" s="310"/>
    </row>
    <row r="1408" spans="1:4" x14ac:dyDescent="0.25">
      <c r="A1408" s="418" t="s">
        <v>6873</v>
      </c>
      <c r="B1408">
        <v>3</v>
      </c>
      <c r="C1408" s="309"/>
      <c r="D1408" s="310"/>
    </row>
    <row r="1409" spans="1:4" x14ac:dyDescent="0.25">
      <c r="A1409" s="418" t="s">
        <v>7044</v>
      </c>
      <c r="B1409">
        <v>7</v>
      </c>
      <c r="C1409" s="309"/>
      <c r="D1409" s="310"/>
    </row>
    <row r="1410" spans="1:4" x14ac:dyDescent="0.25">
      <c r="A1410" s="418" t="s">
        <v>6529</v>
      </c>
      <c r="B1410">
        <v>7</v>
      </c>
      <c r="C1410" s="309"/>
      <c r="D1410" s="310"/>
    </row>
    <row r="1411" spans="1:4" x14ac:dyDescent="0.25">
      <c r="A1411" s="418" t="s">
        <v>6909</v>
      </c>
      <c r="B1411">
        <v>5</v>
      </c>
      <c r="C1411" s="309"/>
      <c r="D1411" s="310"/>
    </row>
    <row r="1412" spans="1:4" x14ac:dyDescent="0.25">
      <c r="A1412" s="418" t="s">
        <v>7767</v>
      </c>
      <c r="B1412">
        <v>5</v>
      </c>
      <c r="C1412" s="309"/>
      <c r="D1412" s="310"/>
    </row>
    <row r="1413" spans="1:4" x14ac:dyDescent="0.25">
      <c r="A1413" s="418" t="s">
        <v>8099</v>
      </c>
      <c r="B1413">
        <v>1</v>
      </c>
      <c r="C1413" s="309"/>
      <c r="D1413" s="310"/>
    </row>
    <row r="1414" spans="1:4" x14ac:dyDescent="0.25">
      <c r="A1414" s="418" t="s">
        <v>5215</v>
      </c>
      <c r="B1414">
        <v>2</v>
      </c>
      <c r="C1414" s="309"/>
      <c r="D1414" s="310"/>
    </row>
    <row r="1415" spans="1:4" x14ac:dyDescent="0.25">
      <c r="A1415" s="418" t="s">
        <v>6341</v>
      </c>
      <c r="B1415">
        <v>4</v>
      </c>
      <c r="C1415" s="309"/>
      <c r="D1415" s="310"/>
    </row>
    <row r="1416" spans="1:4" x14ac:dyDescent="0.25">
      <c r="A1416" s="418" t="s">
        <v>6342</v>
      </c>
      <c r="B1416">
        <v>5</v>
      </c>
      <c r="C1416" s="309"/>
      <c r="D1416" s="310"/>
    </row>
    <row r="1417" spans="1:4" x14ac:dyDescent="0.25">
      <c r="A1417" s="418" t="s">
        <v>6343</v>
      </c>
      <c r="B1417">
        <v>3</v>
      </c>
      <c r="C1417" s="309"/>
      <c r="D1417" s="310"/>
    </row>
    <row r="1418" spans="1:4" x14ac:dyDescent="0.25">
      <c r="A1418" s="418" t="s">
        <v>6847</v>
      </c>
      <c r="B1418">
        <v>5</v>
      </c>
      <c r="C1418" s="309"/>
      <c r="D1418" s="310"/>
    </row>
    <row r="1419" spans="1:4" x14ac:dyDescent="0.25">
      <c r="A1419" s="418" t="s">
        <v>8179</v>
      </c>
      <c r="B1419">
        <v>4</v>
      </c>
      <c r="C1419" s="309"/>
      <c r="D1419" s="310"/>
    </row>
    <row r="1420" spans="1:4" x14ac:dyDescent="0.25">
      <c r="A1420" s="418" t="s">
        <v>8180</v>
      </c>
      <c r="B1420">
        <v>3</v>
      </c>
      <c r="C1420" s="309"/>
      <c r="D1420" s="310"/>
    </row>
    <row r="1421" spans="1:4" x14ac:dyDescent="0.25">
      <c r="A1421" s="418" t="s">
        <v>8248</v>
      </c>
      <c r="B1421">
        <v>5</v>
      </c>
      <c r="C1421" s="309"/>
      <c r="D1421" s="310"/>
    </row>
    <row r="1422" spans="1:4" x14ac:dyDescent="0.25">
      <c r="A1422" s="418" t="s">
        <v>7045</v>
      </c>
      <c r="B1422">
        <v>4</v>
      </c>
      <c r="C1422" s="309"/>
      <c r="D1422" s="310"/>
    </row>
    <row r="1423" spans="1:4" x14ac:dyDescent="0.25">
      <c r="A1423" s="418" t="s">
        <v>8358</v>
      </c>
      <c r="B1423">
        <v>4</v>
      </c>
      <c r="C1423" s="309"/>
      <c r="D1423" s="310"/>
    </row>
    <row r="1424" spans="1:4" x14ac:dyDescent="0.25">
      <c r="A1424" s="418" t="s">
        <v>8249</v>
      </c>
      <c r="B1424">
        <v>2</v>
      </c>
      <c r="C1424" s="309"/>
      <c r="D1424" s="310"/>
    </row>
    <row r="1425" spans="1:4" x14ac:dyDescent="0.25">
      <c r="A1425" s="418" t="s">
        <v>9239</v>
      </c>
      <c r="B1425">
        <v>3</v>
      </c>
      <c r="C1425" s="309"/>
      <c r="D1425" s="310"/>
    </row>
    <row r="1426" spans="1:4" x14ac:dyDescent="0.25">
      <c r="A1426" s="418" t="s">
        <v>8359</v>
      </c>
      <c r="B1426">
        <v>3</v>
      </c>
      <c r="C1426" s="309"/>
      <c r="D1426" s="310"/>
    </row>
    <row r="1427" spans="1:4" x14ac:dyDescent="0.25">
      <c r="A1427" s="418" t="s">
        <v>9240</v>
      </c>
      <c r="B1427">
        <v>3</v>
      </c>
      <c r="C1427" s="309"/>
      <c r="D1427" s="310"/>
    </row>
    <row r="1428" spans="1:4" x14ac:dyDescent="0.25">
      <c r="A1428" s="418" t="s">
        <v>8250</v>
      </c>
      <c r="B1428">
        <v>2</v>
      </c>
      <c r="C1428" s="309"/>
      <c r="D1428" s="310"/>
    </row>
    <row r="1429" spans="1:4" x14ac:dyDescent="0.25">
      <c r="A1429" s="418" t="s">
        <v>8100</v>
      </c>
      <c r="B1429">
        <v>1</v>
      </c>
      <c r="C1429" s="309"/>
      <c r="D1429" s="310"/>
    </row>
    <row r="1430" spans="1:4" x14ac:dyDescent="0.25">
      <c r="A1430" s="418" t="s">
        <v>8251</v>
      </c>
      <c r="B1430">
        <v>1</v>
      </c>
      <c r="C1430" s="309"/>
      <c r="D1430" s="310"/>
    </row>
    <row r="1431" spans="1:4" x14ac:dyDescent="0.25">
      <c r="A1431" s="418" t="s">
        <v>9840</v>
      </c>
      <c r="B1431">
        <v>1</v>
      </c>
      <c r="C1431" s="309"/>
      <c r="D1431" s="310"/>
    </row>
    <row r="1432" spans="1:4" x14ac:dyDescent="0.25">
      <c r="A1432" s="418" t="s">
        <v>10569</v>
      </c>
      <c r="B1432">
        <v>2</v>
      </c>
      <c r="C1432" s="309"/>
      <c r="D1432" s="310"/>
    </row>
    <row r="1433" spans="1:4" x14ac:dyDescent="0.25">
      <c r="A1433" s="418" t="s">
        <v>6657</v>
      </c>
      <c r="B1433">
        <v>4</v>
      </c>
      <c r="C1433" s="309"/>
      <c r="D1433" s="310"/>
    </row>
    <row r="1434" spans="1:4" x14ac:dyDescent="0.25">
      <c r="A1434" s="418" t="s">
        <v>9841</v>
      </c>
      <c r="B1434">
        <v>2</v>
      </c>
      <c r="C1434" s="309"/>
      <c r="D1434" s="310"/>
    </row>
    <row r="1435" spans="1:4" x14ac:dyDescent="0.25">
      <c r="A1435" s="418" t="s">
        <v>8967</v>
      </c>
      <c r="B1435">
        <v>4</v>
      </c>
      <c r="C1435" s="309"/>
      <c r="D1435" s="310"/>
    </row>
    <row r="1436" spans="1:4" x14ac:dyDescent="0.25">
      <c r="A1436" s="418" t="s">
        <v>8968</v>
      </c>
      <c r="B1436">
        <v>4</v>
      </c>
      <c r="C1436" s="309"/>
      <c r="D1436" s="310"/>
    </row>
    <row r="1437" spans="1:4" x14ac:dyDescent="0.25">
      <c r="A1437" s="418" t="s">
        <v>9988</v>
      </c>
      <c r="B1437">
        <v>3</v>
      </c>
      <c r="C1437" s="309"/>
      <c r="D1437" s="310"/>
    </row>
    <row r="1438" spans="1:4" x14ac:dyDescent="0.25">
      <c r="A1438" s="418" t="s">
        <v>11242</v>
      </c>
      <c r="B1438">
        <v>4</v>
      </c>
      <c r="C1438" s="309"/>
      <c r="D1438" s="310"/>
    </row>
    <row r="1439" spans="1:4" x14ac:dyDescent="0.25">
      <c r="A1439" s="418" t="s">
        <v>10484</v>
      </c>
      <c r="B1439">
        <v>3</v>
      </c>
      <c r="C1439" s="309"/>
      <c r="D1439" s="310"/>
    </row>
    <row r="1440" spans="1:4" x14ac:dyDescent="0.25">
      <c r="A1440" s="418" t="s">
        <v>15491</v>
      </c>
      <c r="B1440">
        <v>2</v>
      </c>
      <c r="C1440" s="309"/>
      <c r="D1440" s="310"/>
    </row>
    <row r="1441" spans="1:4" x14ac:dyDescent="0.25">
      <c r="A1441" s="418" t="s">
        <v>12421</v>
      </c>
      <c r="B1441">
        <v>3</v>
      </c>
      <c r="C1441" s="309"/>
      <c r="D1441" s="310"/>
    </row>
    <row r="1442" spans="1:4" x14ac:dyDescent="0.25">
      <c r="A1442" s="418" t="s">
        <v>12422</v>
      </c>
      <c r="B1442">
        <v>2</v>
      </c>
      <c r="C1442" s="309"/>
      <c r="D1442" s="310"/>
    </row>
    <row r="1443" spans="1:4" x14ac:dyDescent="0.25">
      <c r="A1443" s="418" t="s">
        <v>7106</v>
      </c>
      <c r="B1443">
        <v>3</v>
      </c>
      <c r="C1443" s="309"/>
      <c r="D1443" s="310"/>
    </row>
    <row r="1444" spans="1:4" x14ac:dyDescent="0.25">
      <c r="A1444" s="418" t="s">
        <v>7107</v>
      </c>
      <c r="B1444">
        <v>4</v>
      </c>
      <c r="C1444" s="309"/>
      <c r="D1444" s="310"/>
    </row>
    <row r="1445" spans="1:4" x14ac:dyDescent="0.25">
      <c r="A1445" s="418" t="s">
        <v>7372</v>
      </c>
      <c r="B1445">
        <v>3</v>
      </c>
      <c r="C1445" s="309"/>
      <c r="D1445" s="310"/>
    </row>
    <row r="1446" spans="1:4" x14ac:dyDescent="0.25">
      <c r="A1446" s="418" t="s">
        <v>5216</v>
      </c>
      <c r="B1446">
        <v>7</v>
      </c>
      <c r="C1446" s="309"/>
      <c r="D1446" s="310"/>
    </row>
    <row r="1447" spans="1:4" x14ac:dyDescent="0.25">
      <c r="A1447" s="418" t="s">
        <v>5217</v>
      </c>
      <c r="B1447">
        <v>9</v>
      </c>
      <c r="C1447" s="309"/>
      <c r="D1447" s="310"/>
    </row>
    <row r="1448" spans="1:4" x14ac:dyDescent="0.25">
      <c r="A1448" s="418" t="s">
        <v>11621</v>
      </c>
      <c r="B1448">
        <v>5</v>
      </c>
      <c r="C1448" s="309"/>
      <c r="D1448" s="310"/>
    </row>
    <row r="1449" spans="1:4" x14ac:dyDescent="0.25">
      <c r="A1449" s="418" t="s">
        <v>6658</v>
      </c>
      <c r="B1449">
        <v>4</v>
      </c>
      <c r="C1449" s="309"/>
      <c r="D1449" s="310"/>
    </row>
    <row r="1450" spans="1:4" x14ac:dyDescent="0.25">
      <c r="A1450" s="418" t="s">
        <v>8691</v>
      </c>
      <c r="B1450">
        <v>14</v>
      </c>
      <c r="C1450" s="309"/>
      <c r="D1450" s="310"/>
    </row>
    <row r="1451" spans="1:4" x14ac:dyDescent="0.25">
      <c r="A1451" s="418" t="s">
        <v>8692</v>
      </c>
      <c r="B1451">
        <v>15</v>
      </c>
      <c r="C1451" s="309"/>
      <c r="D1451" s="310"/>
    </row>
    <row r="1452" spans="1:4" x14ac:dyDescent="0.25">
      <c r="A1452" s="418" t="s">
        <v>9529</v>
      </c>
      <c r="B1452">
        <v>10</v>
      </c>
      <c r="C1452" s="309"/>
      <c r="D1452" s="310"/>
    </row>
    <row r="1453" spans="1:4" x14ac:dyDescent="0.25">
      <c r="A1453" s="418" t="s">
        <v>9530</v>
      </c>
      <c r="B1453">
        <v>4</v>
      </c>
      <c r="C1453" s="309"/>
      <c r="D1453" s="310"/>
    </row>
    <row r="1454" spans="1:4" x14ac:dyDescent="0.25">
      <c r="A1454" s="418" t="s">
        <v>15228</v>
      </c>
      <c r="B1454">
        <v>1</v>
      </c>
      <c r="C1454" s="309"/>
      <c r="D1454" s="310"/>
    </row>
    <row r="1455" spans="1:4" x14ac:dyDescent="0.25">
      <c r="A1455" s="418" t="s">
        <v>11097</v>
      </c>
      <c r="B1455">
        <v>3</v>
      </c>
      <c r="C1455" s="309"/>
      <c r="D1455" s="310"/>
    </row>
    <row r="1456" spans="1:4" x14ac:dyDescent="0.25">
      <c r="A1456" s="418" t="s">
        <v>15675</v>
      </c>
      <c r="B1456">
        <v>1</v>
      </c>
      <c r="C1456" s="309"/>
      <c r="D1456" s="310"/>
    </row>
    <row r="1457" spans="1:4" x14ac:dyDescent="0.25">
      <c r="A1457" s="418" t="s">
        <v>11098</v>
      </c>
      <c r="B1457">
        <v>2</v>
      </c>
      <c r="C1457" s="309"/>
      <c r="D1457" s="310"/>
    </row>
    <row r="1458" spans="1:4" x14ac:dyDescent="0.25">
      <c r="A1458" s="418" t="s">
        <v>6110</v>
      </c>
      <c r="B1458">
        <v>3</v>
      </c>
      <c r="C1458" s="309"/>
      <c r="D1458" s="310"/>
    </row>
    <row r="1459" spans="1:4" x14ac:dyDescent="0.25">
      <c r="A1459" s="418" t="s">
        <v>6111</v>
      </c>
      <c r="B1459">
        <v>3</v>
      </c>
      <c r="C1459" s="309"/>
      <c r="D1459" s="310"/>
    </row>
    <row r="1460" spans="1:4" x14ac:dyDescent="0.25">
      <c r="A1460" s="418" t="s">
        <v>6112</v>
      </c>
      <c r="B1460">
        <v>3</v>
      </c>
      <c r="C1460" s="309"/>
      <c r="D1460" s="310"/>
    </row>
    <row r="1461" spans="1:4" x14ac:dyDescent="0.25">
      <c r="A1461" s="418" t="s">
        <v>6113</v>
      </c>
      <c r="B1461">
        <v>4</v>
      </c>
      <c r="C1461" s="309"/>
      <c r="D1461" s="310"/>
    </row>
    <row r="1462" spans="1:4" x14ac:dyDescent="0.25">
      <c r="A1462" s="418" t="s">
        <v>6631</v>
      </c>
      <c r="B1462">
        <v>4</v>
      </c>
      <c r="C1462" s="309"/>
      <c r="D1462" s="310"/>
    </row>
    <row r="1463" spans="1:4" x14ac:dyDescent="0.25">
      <c r="A1463" s="418" t="s">
        <v>6114</v>
      </c>
      <c r="B1463">
        <v>4</v>
      </c>
      <c r="C1463" s="309"/>
      <c r="D1463" s="310"/>
    </row>
    <row r="1464" spans="1:4" x14ac:dyDescent="0.25">
      <c r="A1464" s="418" t="s">
        <v>6632</v>
      </c>
      <c r="B1464">
        <v>4</v>
      </c>
      <c r="C1464" s="309"/>
      <c r="D1464" s="310"/>
    </row>
    <row r="1465" spans="1:4" x14ac:dyDescent="0.25">
      <c r="A1465" s="418" t="s">
        <v>9711</v>
      </c>
      <c r="B1465">
        <v>3</v>
      </c>
      <c r="C1465" s="309"/>
      <c r="D1465" s="310"/>
    </row>
    <row r="1466" spans="1:4" x14ac:dyDescent="0.25">
      <c r="A1466" s="418" t="s">
        <v>5957</v>
      </c>
      <c r="B1466">
        <v>1</v>
      </c>
      <c r="C1466" s="309"/>
      <c r="D1466" s="310"/>
    </row>
    <row r="1467" spans="1:4" x14ac:dyDescent="0.25">
      <c r="A1467" s="418" t="s">
        <v>6742</v>
      </c>
      <c r="B1467">
        <v>3</v>
      </c>
      <c r="C1467" s="309"/>
      <c r="D1467" s="310"/>
    </row>
    <row r="1468" spans="1:4" x14ac:dyDescent="0.25">
      <c r="A1468" s="418" t="s">
        <v>5797</v>
      </c>
      <c r="B1468">
        <v>3</v>
      </c>
      <c r="C1468" s="309"/>
      <c r="D1468" s="310"/>
    </row>
    <row r="1469" spans="1:4" x14ac:dyDescent="0.25">
      <c r="A1469" s="418" t="s">
        <v>9989</v>
      </c>
      <c r="B1469">
        <v>3</v>
      </c>
      <c r="C1469" s="309"/>
      <c r="D1469" s="310"/>
    </row>
    <row r="1470" spans="1:4" x14ac:dyDescent="0.25">
      <c r="A1470" s="418" t="s">
        <v>6004</v>
      </c>
      <c r="B1470">
        <v>2</v>
      </c>
      <c r="C1470" s="309"/>
      <c r="D1470" s="310"/>
    </row>
    <row r="1471" spans="1:4" x14ac:dyDescent="0.25">
      <c r="A1471" s="418" t="s">
        <v>5484</v>
      </c>
      <c r="B1471">
        <v>1</v>
      </c>
      <c r="C1471" s="309"/>
      <c r="D1471" s="310"/>
    </row>
    <row r="1472" spans="1:4" x14ac:dyDescent="0.25">
      <c r="A1472" s="418" t="s">
        <v>5653</v>
      </c>
      <c r="B1472">
        <v>1</v>
      </c>
      <c r="C1472" s="309"/>
      <c r="D1472" s="310"/>
    </row>
    <row r="1473" spans="1:4" x14ac:dyDescent="0.25">
      <c r="A1473" s="418" t="s">
        <v>7190</v>
      </c>
      <c r="B1473">
        <v>3</v>
      </c>
      <c r="C1473" s="309"/>
      <c r="D1473" s="310"/>
    </row>
    <row r="1474" spans="1:4" x14ac:dyDescent="0.25">
      <c r="A1474" s="418" t="s">
        <v>11482</v>
      </c>
      <c r="B1474">
        <v>1</v>
      </c>
      <c r="C1474" s="309"/>
      <c r="D1474" s="310"/>
    </row>
    <row r="1475" spans="1:4" x14ac:dyDescent="0.25">
      <c r="A1475" s="418" t="s">
        <v>7191</v>
      </c>
      <c r="B1475">
        <v>3</v>
      </c>
      <c r="C1475" s="309"/>
      <c r="D1475" s="310"/>
    </row>
    <row r="1476" spans="1:4" x14ac:dyDescent="0.25">
      <c r="A1476" s="418" t="s">
        <v>8252</v>
      </c>
      <c r="B1476">
        <v>3</v>
      </c>
      <c r="C1476" s="309"/>
      <c r="D1476" s="310"/>
    </row>
    <row r="1477" spans="1:4" x14ac:dyDescent="0.25">
      <c r="A1477" s="418" t="s">
        <v>6633</v>
      </c>
      <c r="B1477">
        <v>5</v>
      </c>
      <c r="C1477" s="309"/>
      <c r="D1477" s="310"/>
    </row>
    <row r="1478" spans="1:4" x14ac:dyDescent="0.25">
      <c r="A1478" s="418" t="s">
        <v>6634</v>
      </c>
      <c r="B1478">
        <v>5</v>
      </c>
      <c r="C1478" s="309"/>
      <c r="D1478" s="310"/>
    </row>
    <row r="1479" spans="1:4" x14ac:dyDescent="0.25">
      <c r="A1479" s="418" t="s">
        <v>9531</v>
      </c>
      <c r="B1479">
        <v>3</v>
      </c>
      <c r="C1479" s="309"/>
      <c r="D1479" s="310"/>
    </row>
    <row r="1480" spans="1:4" x14ac:dyDescent="0.25">
      <c r="A1480" s="418" t="s">
        <v>17080</v>
      </c>
      <c r="B1480">
        <v>1</v>
      </c>
      <c r="C1480" s="309"/>
      <c r="D1480" s="310"/>
    </row>
    <row r="1481" spans="1:4" x14ac:dyDescent="0.25">
      <c r="A1481" s="418" t="s">
        <v>17081</v>
      </c>
      <c r="B1481">
        <v>3</v>
      </c>
      <c r="C1481" s="309"/>
      <c r="D1481" s="310"/>
    </row>
    <row r="1482" spans="1:4" x14ac:dyDescent="0.25">
      <c r="A1482" s="418" t="s">
        <v>17082</v>
      </c>
      <c r="B1482">
        <v>1</v>
      </c>
      <c r="C1482" s="309"/>
      <c r="D1482" s="310"/>
    </row>
    <row r="1483" spans="1:4" x14ac:dyDescent="0.25">
      <c r="A1483" s="418" t="s">
        <v>11799</v>
      </c>
      <c r="B1483">
        <v>2</v>
      </c>
      <c r="C1483" s="309"/>
      <c r="D1483" s="310"/>
    </row>
    <row r="1484" spans="1:4" x14ac:dyDescent="0.25">
      <c r="A1484" s="418" t="s">
        <v>9415</v>
      </c>
      <c r="B1484">
        <v>7</v>
      </c>
      <c r="C1484" s="309"/>
      <c r="D1484" s="310"/>
    </row>
    <row r="1485" spans="1:4" x14ac:dyDescent="0.25">
      <c r="A1485" s="418" t="s">
        <v>8747</v>
      </c>
      <c r="B1485">
        <v>6</v>
      </c>
      <c r="C1485" s="309"/>
      <c r="D1485" s="310"/>
    </row>
    <row r="1486" spans="1:4" x14ac:dyDescent="0.25">
      <c r="A1486" s="418" t="s">
        <v>10414</v>
      </c>
      <c r="B1486">
        <v>6</v>
      </c>
      <c r="C1486" s="309"/>
      <c r="D1486" s="310"/>
    </row>
    <row r="1487" spans="1:4" x14ac:dyDescent="0.25">
      <c r="A1487" s="418" t="s">
        <v>5496</v>
      </c>
      <c r="B1487">
        <v>2</v>
      </c>
      <c r="C1487" s="309"/>
      <c r="D1487" s="310"/>
    </row>
    <row r="1488" spans="1:4" x14ac:dyDescent="0.25">
      <c r="A1488" s="418" t="s">
        <v>7192</v>
      </c>
      <c r="B1488">
        <v>1</v>
      </c>
      <c r="C1488" s="309"/>
      <c r="D1488" s="310"/>
    </row>
    <row r="1489" spans="1:4" x14ac:dyDescent="0.25">
      <c r="A1489" s="418" t="s">
        <v>5881</v>
      </c>
      <c r="B1489">
        <v>1</v>
      </c>
      <c r="C1489" s="309"/>
      <c r="D1489" s="310"/>
    </row>
    <row r="1490" spans="1:4" x14ac:dyDescent="0.25">
      <c r="A1490" s="418" t="s">
        <v>5485</v>
      </c>
      <c r="B1490">
        <v>3</v>
      </c>
      <c r="C1490" s="309"/>
      <c r="D1490" s="310"/>
    </row>
    <row r="1491" spans="1:4" x14ac:dyDescent="0.25">
      <c r="A1491" s="418" t="s">
        <v>10987</v>
      </c>
      <c r="B1491">
        <v>1</v>
      </c>
      <c r="C1491" s="309"/>
      <c r="D1491" s="310"/>
    </row>
    <row r="1492" spans="1:4" x14ac:dyDescent="0.25">
      <c r="A1492" s="418" t="s">
        <v>7461</v>
      </c>
      <c r="B1492">
        <v>1</v>
      </c>
      <c r="C1492" s="309"/>
      <c r="D1492" s="310"/>
    </row>
    <row r="1493" spans="1:4" x14ac:dyDescent="0.25">
      <c r="A1493" s="418" t="s">
        <v>7612</v>
      </c>
      <c r="B1493">
        <v>1</v>
      </c>
      <c r="C1493" s="309"/>
      <c r="D1493" s="310"/>
    </row>
    <row r="1494" spans="1:4" x14ac:dyDescent="0.25">
      <c r="A1494" s="418" t="s">
        <v>6743</v>
      </c>
      <c r="B1494">
        <v>7</v>
      </c>
      <c r="C1494" s="309"/>
      <c r="D1494" s="310"/>
    </row>
    <row r="1495" spans="1:4" x14ac:dyDescent="0.25">
      <c r="A1495" s="418" t="s">
        <v>6744</v>
      </c>
      <c r="B1495">
        <v>7</v>
      </c>
      <c r="C1495" s="309"/>
      <c r="D1495" s="310"/>
    </row>
    <row r="1496" spans="1:4" x14ac:dyDescent="0.25">
      <c r="A1496" s="418" t="s">
        <v>8678</v>
      </c>
      <c r="B1496">
        <v>4</v>
      </c>
      <c r="C1496" s="309"/>
      <c r="D1496" s="310"/>
    </row>
    <row r="1497" spans="1:4" x14ac:dyDescent="0.25">
      <c r="A1497" s="418" t="s">
        <v>8208</v>
      </c>
      <c r="B1497">
        <v>3</v>
      </c>
      <c r="C1497" s="309"/>
      <c r="D1497" s="310"/>
    </row>
    <row r="1498" spans="1:4" x14ac:dyDescent="0.25">
      <c r="A1498" s="418" t="s">
        <v>7613</v>
      </c>
      <c r="B1498">
        <v>3</v>
      </c>
      <c r="C1498" s="309"/>
      <c r="D1498" s="310"/>
    </row>
    <row r="1499" spans="1:4" x14ac:dyDescent="0.25">
      <c r="A1499" s="418" t="s">
        <v>6115</v>
      </c>
      <c r="B1499">
        <v>4</v>
      </c>
      <c r="C1499" s="309"/>
      <c r="D1499" s="310"/>
    </row>
    <row r="1500" spans="1:4" x14ac:dyDescent="0.25">
      <c r="A1500" s="418" t="s">
        <v>7614</v>
      </c>
      <c r="B1500">
        <v>3</v>
      </c>
      <c r="C1500" s="309"/>
      <c r="D1500" s="310"/>
    </row>
    <row r="1501" spans="1:4" x14ac:dyDescent="0.25">
      <c r="A1501" s="418" t="s">
        <v>6190</v>
      </c>
      <c r="B1501">
        <v>8</v>
      </c>
      <c r="C1501" s="309"/>
      <c r="D1501" s="310"/>
    </row>
    <row r="1502" spans="1:4" x14ac:dyDescent="0.25">
      <c r="A1502" s="418" t="s">
        <v>6191</v>
      </c>
      <c r="B1502">
        <v>8</v>
      </c>
      <c r="C1502" s="309"/>
      <c r="D1502" s="310"/>
    </row>
    <row r="1503" spans="1:4" x14ac:dyDescent="0.25">
      <c r="A1503" s="418" t="s">
        <v>6192</v>
      </c>
      <c r="B1503">
        <v>3</v>
      </c>
      <c r="C1503" s="309"/>
      <c r="D1503" s="310"/>
    </row>
    <row r="1504" spans="1:4" x14ac:dyDescent="0.25">
      <c r="A1504" s="418" t="s">
        <v>9908</v>
      </c>
      <c r="B1504">
        <v>1</v>
      </c>
      <c r="C1504" s="309"/>
      <c r="D1504" s="310"/>
    </row>
    <row r="1505" spans="1:4" x14ac:dyDescent="0.25">
      <c r="A1505" s="418" t="s">
        <v>11839</v>
      </c>
      <c r="B1505">
        <v>4</v>
      </c>
      <c r="C1505" s="309"/>
      <c r="D1505" s="310"/>
    </row>
    <row r="1506" spans="1:4" x14ac:dyDescent="0.25">
      <c r="A1506" s="418" t="s">
        <v>5218</v>
      </c>
      <c r="B1506">
        <v>4</v>
      </c>
      <c r="C1506" s="309"/>
      <c r="D1506" s="310"/>
    </row>
    <row r="1507" spans="1:4" x14ac:dyDescent="0.25">
      <c r="A1507" s="418" t="s">
        <v>5219</v>
      </c>
      <c r="B1507">
        <v>3</v>
      </c>
      <c r="C1507" s="309"/>
      <c r="D1507" s="310"/>
    </row>
    <row r="1508" spans="1:4" x14ac:dyDescent="0.25">
      <c r="A1508" s="418" t="s">
        <v>4263</v>
      </c>
      <c r="B1508">
        <v>3</v>
      </c>
      <c r="C1508" s="309"/>
      <c r="D1508" s="310"/>
    </row>
    <row r="1509" spans="1:4" x14ac:dyDescent="0.25">
      <c r="A1509" s="418" t="s">
        <v>4264</v>
      </c>
      <c r="B1509">
        <v>4</v>
      </c>
      <c r="C1509" s="309"/>
      <c r="D1509" s="310"/>
    </row>
    <row r="1510" spans="1:4" x14ac:dyDescent="0.25">
      <c r="A1510" s="418" t="s">
        <v>4265</v>
      </c>
      <c r="B1510">
        <v>3</v>
      </c>
      <c r="C1510" s="309"/>
      <c r="D1510" s="310"/>
    </row>
    <row r="1511" spans="1:4" x14ac:dyDescent="0.25">
      <c r="A1511" s="418" t="s">
        <v>4266</v>
      </c>
      <c r="B1511">
        <v>1</v>
      </c>
      <c r="C1511" s="309"/>
      <c r="D1511" s="310"/>
    </row>
    <row r="1512" spans="1:4" x14ac:dyDescent="0.25">
      <c r="A1512" s="418" t="s">
        <v>6745</v>
      </c>
      <c r="B1512">
        <v>2</v>
      </c>
      <c r="C1512" s="309"/>
      <c r="D1512" s="310"/>
    </row>
    <row r="1513" spans="1:4" x14ac:dyDescent="0.25">
      <c r="A1513" s="418" t="s">
        <v>6746</v>
      </c>
      <c r="B1513">
        <v>2</v>
      </c>
      <c r="C1513" s="309"/>
      <c r="D1513" s="310"/>
    </row>
    <row r="1514" spans="1:4" x14ac:dyDescent="0.25">
      <c r="A1514" s="418" t="s">
        <v>8562</v>
      </c>
      <c r="B1514">
        <v>1</v>
      </c>
      <c r="C1514" s="309"/>
      <c r="D1514" s="310"/>
    </row>
    <row r="1515" spans="1:4" x14ac:dyDescent="0.25">
      <c r="A1515" s="418" t="s">
        <v>8253</v>
      </c>
      <c r="B1515">
        <v>3</v>
      </c>
      <c r="C1515" s="309"/>
      <c r="D1515" s="310"/>
    </row>
    <row r="1516" spans="1:4" x14ac:dyDescent="0.25">
      <c r="A1516" s="418" t="s">
        <v>8254</v>
      </c>
      <c r="B1516">
        <v>1</v>
      </c>
      <c r="C1516" s="309"/>
      <c r="D1516" s="310"/>
    </row>
    <row r="1517" spans="1:4" x14ac:dyDescent="0.25">
      <c r="A1517" s="418" t="s">
        <v>17083</v>
      </c>
      <c r="B1517">
        <v>2</v>
      </c>
      <c r="C1517" s="309"/>
      <c r="D1517" s="310"/>
    </row>
    <row r="1518" spans="1:4" x14ac:dyDescent="0.25">
      <c r="A1518" s="418" t="s">
        <v>17084</v>
      </c>
      <c r="B1518">
        <v>1</v>
      </c>
      <c r="C1518" s="309"/>
      <c r="D1518" s="310"/>
    </row>
    <row r="1519" spans="1:4" x14ac:dyDescent="0.25">
      <c r="A1519" s="418" t="s">
        <v>17085</v>
      </c>
      <c r="B1519">
        <v>1</v>
      </c>
      <c r="C1519" s="309"/>
      <c r="D1519" s="310"/>
    </row>
    <row r="1520" spans="1:4" x14ac:dyDescent="0.25">
      <c r="A1520" s="418" t="s">
        <v>6948</v>
      </c>
      <c r="B1520">
        <v>3</v>
      </c>
      <c r="C1520" s="309"/>
      <c r="D1520" s="310"/>
    </row>
    <row r="1521" spans="1:4" x14ac:dyDescent="0.25">
      <c r="A1521" s="418" t="s">
        <v>6949</v>
      </c>
      <c r="B1521">
        <v>4</v>
      </c>
      <c r="C1521" s="309"/>
      <c r="D1521" s="310"/>
    </row>
    <row r="1522" spans="1:4" x14ac:dyDescent="0.25">
      <c r="A1522" s="418" t="s">
        <v>8563</v>
      </c>
      <c r="B1522">
        <v>2</v>
      </c>
      <c r="C1522" s="309"/>
      <c r="D1522" s="310"/>
    </row>
    <row r="1523" spans="1:4" x14ac:dyDescent="0.25">
      <c r="A1523" s="418" t="s">
        <v>7462</v>
      </c>
      <c r="B1523">
        <v>2</v>
      </c>
      <c r="C1523" s="309"/>
      <c r="D1523" s="310"/>
    </row>
    <row r="1524" spans="1:4" x14ac:dyDescent="0.25">
      <c r="A1524" s="418" t="s">
        <v>7463</v>
      </c>
      <c r="B1524">
        <v>3</v>
      </c>
      <c r="C1524" s="309"/>
      <c r="D1524" s="310"/>
    </row>
    <row r="1525" spans="1:4" x14ac:dyDescent="0.25">
      <c r="A1525" s="418" t="s">
        <v>7464</v>
      </c>
      <c r="B1525">
        <v>3</v>
      </c>
      <c r="C1525" s="309"/>
      <c r="D1525" s="310"/>
    </row>
    <row r="1526" spans="1:4" x14ac:dyDescent="0.25">
      <c r="A1526" s="418" t="s">
        <v>7108</v>
      </c>
      <c r="B1526">
        <v>3</v>
      </c>
      <c r="C1526" s="309"/>
      <c r="D1526" s="310"/>
    </row>
    <row r="1527" spans="1:4" x14ac:dyDescent="0.25">
      <c r="A1527" s="418" t="s">
        <v>6950</v>
      </c>
      <c r="B1527">
        <v>3</v>
      </c>
      <c r="C1527" s="309"/>
      <c r="D1527" s="310"/>
    </row>
    <row r="1528" spans="1:4" x14ac:dyDescent="0.25">
      <c r="A1528" s="418" t="s">
        <v>7109</v>
      </c>
      <c r="B1528">
        <v>1</v>
      </c>
      <c r="C1528" s="309"/>
      <c r="D1528" s="310"/>
    </row>
    <row r="1529" spans="1:4" x14ac:dyDescent="0.25">
      <c r="A1529" s="418" t="s">
        <v>6659</v>
      </c>
      <c r="B1529">
        <v>5</v>
      </c>
      <c r="C1529" s="309"/>
      <c r="D1529" s="310"/>
    </row>
    <row r="1530" spans="1:4" x14ac:dyDescent="0.25">
      <c r="A1530" s="418" t="s">
        <v>6951</v>
      </c>
      <c r="B1530">
        <v>5</v>
      </c>
      <c r="C1530" s="309"/>
      <c r="D1530" s="310"/>
    </row>
    <row r="1531" spans="1:4" x14ac:dyDescent="0.25">
      <c r="A1531" s="418" t="s">
        <v>8531</v>
      </c>
      <c r="B1531">
        <v>3</v>
      </c>
      <c r="C1531" s="309"/>
      <c r="D1531" s="310"/>
    </row>
    <row r="1532" spans="1:4" x14ac:dyDescent="0.25">
      <c r="A1532" s="418" t="s">
        <v>6635</v>
      </c>
      <c r="B1532">
        <v>5</v>
      </c>
      <c r="C1532" s="309"/>
      <c r="D1532" s="310"/>
    </row>
    <row r="1533" spans="1:4" x14ac:dyDescent="0.25">
      <c r="A1533" s="418" t="s">
        <v>5357</v>
      </c>
      <c r="B1533">
        <v>1</v>
      </c>
      <c r="C1533" s="309"/>
      <c r="D1533" s="310"/>
    </row>
    <row r="1534" spans="1:4" x14ac:dyDescent="0.25">
      <c r="A1534" s="418" t="s">
        <v>7302</v>
      </c>
      <c r="B1534">
        <v>1</v>
      </c>
      <c r="C1534" s="309"/>
      <c r="D1534" s="310"/>
    </row>
    <row r="1535" spans="1:4" x14ac:dyDescent="0.25">
      <c r="A1535" s="418" t="s">
        <v>7303</v>
      </c>
      <c r="B1535">
        <v>2</v>
      </c>
      <c r="C1535" s="309"/>
      <c r="D1535" s="310"/>
    </row>
    <row r="1536" spans="1:4" x14ac:dyDescent="0.25">
      <c r="A1536" s="418" t="s">
        <v>5798</v>
      </c>
      <c r="B1536">
        <v>11</v>
      </c>
      <c r="C1536" s="309"/>
      <c r="D1536" s="310"/>
    </row>
    <row r="1537" spans="1:4" x14ac:dyDescent="0.25">
      <c r="A1537" s="418" t="s">
        <v>5799</v>
      </c>
      <c r="B1537">
        <v>13</v>
      </c>
      <c r="C1537" s="309"/>
      <c r="D1537" s="310"/>
    </row>
    <row r="1538" spans="1:4" x14ac:dyDescent="0.25">
      <c r="A1538" s="418" t="s">
        <v>6193</v>
      </c>
      <c r="B1538">
        <v>13</v>
      </c>
      <c r="C1538" s="309"/>
      <c r="D1538" s="310"/>
    </row>
    <row r="1539" spans="1:4" x14ac:dyDescent="0.25">
      <c r="A1539" s="418" t="s">
        <v>8067</v>
      </c>
      <c r="B1539">
        <v>2</v>
      </c>
      <c r="C1539" s="309"/>
      <c r="D1539" s="310"/>
    </row>
    <row r="1540" spans="1:4" x14ac:dyDescent="0.25">
      <c r="A1540" s="418" t="s">
        <v>6952</v>
      </c>
      <c r="B1540">
        <v>1</v>
      </c>
      <c r="C1540" s="309"/>
      <c r="D1540" s="310"/>
    </row>
    <row r="1541" spans="1:4" x14ac:dyDescent="0.25">
      <c r="A1541" s="418" t="s">
        <v>6953</v>
      </c>
      <c r="B1541">
        <v>2</v>
      </c>
      <c r="C1541" s="309"/>
      <c r="D1541" s="310"/>
    </row>
    <row r="1542" spans="1:4" x14ac:dyDescent="0.25">
      <c r="A1542" s="418" t="s">
        <v>15951</v>
      </c>
      <c r="B1542">
        <v>2</v>
      </c>
      <c r="C1542" s="309"/>
      <c r="D1542" s="310"/>
    </row>
    <row r="1543" spans="1:4" x14ac:dyDescent="0.25">
      <c r="A1543" s="418" t="s">
        <v>15952</v>
      </c>
      <c r="B1543">
        <v>3</v>
      </c>
      <c r="C1543" s="309"/>
      <c r="D1543" s="310"/>
    </row>
    <row r="1544" spans="1:4" x14ac:dyDescent="0.25">
      <c r="A1544" s="418" t="s">
        <v>9259</v>
      </c>
      <c r="B1544">
        <v>3</v>
      </c>
      <c r="C1544" s="309"/>
      <c r="D1544" s="310"/>
    </row>
    <row r="1545" spans="1:4" x14ac:dyDescent="0.25">
      <c r="A1545" s="418" t="s">
        <v>9260</v>
      </c>
      <c r="B1545">
        <v>4</v>
      </c>
      <c r="C1545" s="309"/>
      <c r="D1545" s="310"/>
    </row>
    <row r="1546" spans="1:4" x14ac:dyDescent="0.25">
      <c r="A1546" s="418" t="s">
        <v>9261</v>
      </c>
      <c r="B1546">
        <v>3</v>
      </c>
      <c r="C1546" s="309"/>
      <c r="D1546" s="310"/>
    </row>
    <row r="1547" spans="1:4" x14ac:dyDescent="0.25">
      <c r="A1547" s="418" t="s">
        <v>10448</v>
      </c>
      <c r="B1547">
        <v>3</v>
      </c>
      <c r="C1547" s="309"/>
      <c r="D1547" s="310"/>
    </row>
    <row r="1548" spans="1:4" x14ac:dyDescent="0.25">
      <c r="A1548" s="418" t="s">
        <v>11800</v>
      </c>
      <c r="B1548">
        <v>2</v>
      </c>
      <c r="C1548" s="309"/>
      <c r="D1548" s="310"/>
    </row>
    <row r="1549" spans="1:4" x14ac:dyDescent="0.25">
      <c r="A1549" s="418" t="s">
        <v>7080</v>
      </c>
      <c r="B1549">
        <v>4</v>
      </c>
      <c r="C1549" s="309"/>
      <c r="D1549" s="310"/>
    </row>
    <row r="1550" spans="1:4" x14ac:dyDescent="0.25">
      <c r="A1550" s="418" t="s">
        <v>11840</v>
      </c>
      <c r="B1550">
        <v>1</v>
      </c>
      <c r="C1550" s="309"/>
      <c r="D1550" s="310"/>
    </row>
    <row r="1551" spans="1:4" x14ac:dyDescent="0.25">
      <c r="A1551" s="418" t="s">
        <v>11801</v>
      </c>
      <c r="B1551">
        <v>1</v>
      </c>
      <c r="C1551" s="309"/>
      <c r="D1551" s="310"/>
    </row>
    <row r="1552" spans="1:4" x14ac:dyDescent="0.25">
      <c r="A1552" s="418" t="s">
        <v>8759</v>
      </c>
      <c r="B1552">
        <v>3</v>
      </c>
      <c r="C1552" s="309"/>
      <c r="D1552" s="310"/>
    </row>
    <row r="1553" spans="1:4" x14ac:dyDescent="0.25">
      <c r="A1553" s="418" t="s">
        <v>9416</v>
      </c>
      <c r="B1553">
        <v>4</v>
      </c>
      <c r="C1553" s="309"/>
      <c r="D1553" s="310"/>
    </row>
    <row r="1554" spans="1:4" x14ac:dyDescent="0.25">
      <c r="A1554" s="418" t="s">
        <v>8068</v>
      </c>
      <c r="B1554">
        <v>4</v>
      </c>
      <c r="C1554" s="309"/>
      <c r="D1554" s="310"/>
    </row>
    <row r="1555" spans="1:4" x14ac:dyDescent="0.25">
      <c r="A1555" s="418" t="s">
        <v>8069</v>
      </c>
      <c r="B1555">
        <v>4</v>
      </c>
      <c r="C1555" s="309"/>
      <c r="D1555" s="310"/>
    </row>
    <row r="1556" spans="1:4" x14ac:dyDescent="0.25">
      <c r="A1556" s="418" t="s">
        <v>8070</v>
      </c>
      <c r="B1556">
        <v>3</v>
      </c>
      <c r="C1556" s="309"/>
      <c r="D1556" s="310"/>
    </row>
    <row r="1557" spans="1:4" x14ac:dyDescent="0.25">
      <c r="A1557" s="418" t="s">
        <v>5678</v>
      </c>
      <c r="B1557">
        <v>16</v>
      </c>
      <c r="C1557" s="309"/>
      <c r="D1557" s="310"/>
    </row>
    <row r="1558" spans="1:4" x14ac:dyDescent="0.25">
      <c r="A1558" s="418" t="s">
        <v>5679</v>
      </c>
      <c r="B1558">
        <v>16</v>
      </c>
      <c r="C1558" s="309"/>
      <c r="D1558" s="310"/>
    </row>
    <row r="1559" spans="1:4" x14ac:dyDescent="0.25">
      <c r="A1559" s="418" t="s">
        <v>6194</v>
      </c>
      <c r="B1559">
        <v>14</v>
      </c>
      <c r="C1559" s="309"/>
      <c r="D1559" s="310"/>
    </row>
    <row r="1560" spans="1:4" x14ac:dyDescent="0.25">
      <c r="A1560" s="418" t="s">
        <v>8532</v>
      </c>
      <c r="B1560">
        <v>5</v>
      </c>
      <c r="C1560" s="309"/>
      <c r="D1560" s="310"/>
    </row>
    <row r="1561" spans="1:4" x14ac:dyDescent="0.25">
      <c r="A1561" s="418" t="s">
        <v>9587</v>
      </c>
      <c r="B1561">
        <v>4</v>
      </c>
      <c r="C1561" s="309"/>
      <c r="D1561" s="310"/>
    </row>
    <row r="1562" spans="1:4" x14ac:dyDescent="0.25">
      <c r="A1562" s="418" t="s">
        <v>5654</v>
      </c>
      <c r="B1562">
        <v>6</v>
      </c>
      <c r="C1562" s="309"/>
      <c r="D1562" s="310"/>
    </row>
    <row r="1563" spans="1:4" x14ac:dyDescent="0.25">
      <c r="A1563" s="418" t="s">
        <v>8255</v>
      </c>
      <c r="B1563">
        <v>6</v>
      </c>
      <c r="C1563" s="309"/>
      <c r="D1563" s="310"/>
    </row>
    <row r="1564" spans="1:4" x14ac:dyDescent="0.25">
      <c r="A1564" s="418" t="s">
        <v>9588</v>
      </c>
      <c r="B1564">
        <v>3</v>
      </c>
      <c r="C1564" s="309"/>
      <c r="D1564" s="310"/>
    </row>
    <row r="1565" spans="1:4" x14ac:dyDescent="0.25">
      <c r="A1565" s="418" t="s">
        <v>16201</v>
      </c>
      <c r="B1565">
        <v>1</v>
      </c>
      <c r="C1565" s="309"/>
      <c r="D1565" s="310"/>
    </row>
    <row r="1566" spans="1:4" x14ac:dyDescent="0.25">
      <c r="A1566" s="418" t="s">
        <v>16202</v>
      </c>
      <c r="B1566">
        <v>3</v>
      </c>
      <c r="C1566" s="309"/>
      <c r="D1566" s="310"/>
    </row>
    <row r="1567" spans="1:4" x14ac:dyDescent="0.25">
      <c r="A1567" s="418" t="s">
        <v>6954</v>
      </c>
      <c r="B1567">
        <v>2</v>
      </c>
      <c r="C1567" s="309"/>
      <c r="D1567" s="310"/>
    </row>
    <row r="1568" spans="1:4" x14ac:dyDescent="0.25">
      <c r="A1568" s="418" t="s">
        <v>5486</v>
      </c>
      <c r="B1568">
        <v>3</v>
      </c>
      <c r="C1568" s="309"/>
      <c r="D1568" s="310"/>
    </row>
    <row r="1569" spans="1:4" x14ac:dyDescent="0.25">
      <c r="A1569" s="418" t="s">
        <v>6408</v>
      </c>
      <c r="B1569">
        <v>1</v>
      </c>
      <c r="C1569" s="309"/>
      <c r="D1569" s="310"/>
    </row>
    <row r="1570" spans="1:4" x14ac:dyDescent="0.25">
      <c r="A1570" s="418" t="s">
        <v>7465</v>
      </c>
      <c r="B1570">
        <v>1</v>
      </c>
      <c r="C1570" s="309"/>
      <c r="D1570" s="310"/>
    </row>
    <row r="1571" spans="1:4" x14ac:dyDescent="0.25">
      <c r="A1571" s="418" t="s">
        <v>5958</v>
      </c>
      <c r="B1571">
        <v>3</v>
      </c>
      <c r="C1571" s="309"/>
      <c r="D1571" s="310"/>
    </row>
    <row r="1572" spans="1:4" x14ac:dyDescent="0.25">
      <c r="A1572" s="418" t="s">
        <v>6116</v>
      </c>
      <c r="B1572">
        <v>3</v>
      </c>
      <c r="C1572" s="309"/>
      <c r="D1572" s="310"/>
    </row>
    <row r="1573" spans="1:4" x14ac:dyDescent="0.25">
      <c r="A1573" s="418" t="s">
        <v>5959</v>
      </c>
      <c r="B1573">
        <v>3</v>
      </c>
      <c r="C1573" s="309"/>
      <c r="D1573" s="310"/>
    </row>
    <row r="1574" spans="1:4" x14ac:dyDescent="0.25">
      <c r="A1574" s="418" t="s">
        <v>6409</v>
      </c>
      <c r="B1574">
        <v>2</v>
      </c>
      <c r="C1574" s="309"/>
      <c r="D1574" s="310"/>
    </row>
    <row r="1575" spans="1:4" x14ac:dyDescent="0.25">
      <c r="A1575" s="418" t="s">
        <v>9417</v>
      </c>
      <c r="B1575">
        <v>4</v>
      </c>
      <c r="C1575" s="309"/>
      <c r="D1575" s="310"/>
    </row>
    <row r="1576" spans="1:4" x14ac:dyDescent="0.25">
      <c r="A1576" s="418" t="s">
        <v>6530</v>
      </c>
      <c r="B1576">
        <v>4</v>
      </c>
      <c r="C1576" s="309"/>
      <c r="D1576" s="310"/>
    </row>
    <row r="1577" spans="1:4" x14ac:dyDescent="0.25">
      <c r="A1577" s="418" t="s">
        <v>9990</v>
      </c>
      <c r="B1577">
        <v>2</v>
      </c>
      <c r="C1577" s="309"/>
      <c r="D1577" s="310"/>
    </row>
    <row r="1578" spans="1:4" x14ac:dyDescent="0.25">
      <c r="A1578" s="418" t="s">
        <v>6747</v>
      </c>
      <c r="B1578">
        <v>6</v>
      </c>
      <c r="C1578" s="309"/>
      <c r="D1578" s="310"/>
    </row>
    <row r="1579" spans="1:4" x14ac:dyDescent="0.25">
      <c r="A1579" s="418" t="s">
        <v>6005</v>
      </c>
      <c r="B1579">
        <v>11</v>
      </c>
      <c r="C1579" s="309"/>
      <c r="D1579" s="310"/>
    </row>
    <row r="1580" spans="1:4" x14ac:dyDescent="0.25">
      <c r="A1580" s="418" t="s">
        <v>6006</v>
      </c>
      <c r="B1580">
        <v>12</v>
      </c>
      <c r="C1580" s="309"/>
      <c r="D1580" s="310"/>
    </row>
    <row r="1581" spans="1:4" x14ac:dyDescent="0.25">
      <c r="A1581" s="418" t="s">
        <v>8360</v>
      </c>
      <c r="B1581">
        <v>7</v>
      </c>
      <c r="C1581" s="309"/>
      <c r="D1581" s="310"/>
    </row>
    <row r="1582" spans="1:4" x14ac:dyDescent="0.25">
      <c r="A1582" s="418" t="s">
        <v>5800</v>
      </c>
      <c r="B1582">
        <v>10</v>
      </c>
      <c r="C1582" s="309"/>
      <c r="D1582" s="310"/>
    </row>
    <row r="1583" spans="1:4" x14ac:dyDescent="0.25">
      <c r="A1583" s="418" t="s">
        <v>6117</v>
      </c>
      <c r="B1583">
        <v>2</v>
      </c>
      <c r="C1583" s="309"/>
      <c r="D1583" s="310"/>
    </row>
    <row r="1584" spans="1:4" x14ac:dyDescent="0.25">
      <c r="A1584" s="418" t="s">
        <v>5960</v>
      </c>
      <c r="B1584">
        <v>3</v>
      </c>
      <c r="C1584" s="309"/>
      <c r="D1584" s="310"/>
    </row>
    <row r="1585" spans="1:4" x14ac:dyDescent="0.25">
      <c r="A1585" s="418" t="s">
        <v>7110</v>
      </c>
      <c r="B1585">
        <v>1</v>
      </c>
      <c r="C1585" s="309"/>
      <c r="D1585" s="310"/>
    </row>
    <row r="1586" spans="1:4" x14ac:dyDescent="0.25">
      <c r="A1586" s="418" t="s">
        <v>7111</v>
      </c>
      <c r="B1586">
        <v>1</v>
      </c>
      <c r="C1586" s="309"/>
      <c r="D1586" s="310"/>
    </row>
    <row r="1587" spans="1:4" x14ac:dyDescent="0.25">
      <c r="A1587" s="418" t="s">
        <v>5961</v>
      </c>
      <c r="B1587">
        <v>3</v>
      </c>
      <c r="C1587" s="309"/>
      <c r="D1587" s="310"/>
    </row>
    <row r="1588" spans="1:4" x14ac:dyDescent="0.25">
      <c r="A1588" s="418" t="s">
        <v>6955</v>
      </c>
      <c r="B1588">
        <v>2</v>
      </c>
      <c r="C1588" s="309"/>
      <c r="D1588" s="310"/>
    </row>
    <row r="1589" spans="1:4" x14ac:dyDescent="0.25">
      <c r="A1589" s="418" t="s">
        <v>7466</v>
      </c>
      <c r="B1589">
        <v>1</v>
      </c>
      <c r="C1589" s="309"/>
      <c r="D1589" s="310"/>
    </row>
    <row r="1590" spans="1:4" x14ac:dyDescent="0.25">
      <c r="A1590" s="418" t="s">
        <v>5400</v>
      </c>
      <c r="B1590">
        <v>5</v>
      </c>
      <c r="C1590" s="309"/>
      <c r="D1590" s="310"/>
    </row>
    <row r="1591" spans="1:4" x14ac:dyDescent="0.25">
      <c r="A1591" s="418" t="s">
        <v>5401</v>
      </c>
      <c r="B1591">
        <v>4</v>
      </c>
      <c r="C1591" s="309"/>
      <c r="D1591" s="310"/>
    </row>
    <row r="1592" spans="1:4" x14ac:dyDescent="0.25">
      <c r="A1592" s="418" t="s">
        <v>5487</v>
      </c>
      <c r="B1592">
        <v>3</v>
      </c>
      <c r="C1592" s="309"/>
      <c r="D1592" s="310"/>
    </row>
    <row r="1593" spans="1:4" x14ac:dyDescent="0.25">
      <c r="A1593" s="418" t="s">
        <v>6280</v>
      </c>
      <c r="B1593">
        <v>7</v>
      </c>
      <c r="C1593" s="309"/>
      <c r="D1593" s="310"/>
    </row>
    <row r="1594" spans="1:4" x14ac:dyDescent="0.25">
      <c r="A1594" s="418" t="s">
        <v>6281</v>
      </c>
      <c r="B1594">
        <v>7</v>
      </c>
      <c r="C1594" s="309"/>
      <c r="D1594" s="310"/>
    </row>
    <row r="1595" spans="1:4" x14ac:dyDescent="0.25">
      <c r="A1595" s="418" t="s">
        <v>6282</v>
      </c>
      <c r="B1595">
        <v>2</v>
      </c>
      <c r="C1595" s="309"/>
      <c r="D1595" s="310"/>
    </row>
    <row r="1596" spans="1:4" x14ac:dyDescent="0.25">
      <c r="A1596" s="418" t="s">
        <v>7250</v>
      </c>
      <c r="B1596">
        <v>2</v>
      </c>
      <c r="C1596" s="309"/>
      <c r="D1596" s="310"/>
    </row>
    <row r="1597" spans="1:4" x14ac:dyDescent="0.25">
      <c r="A1597" s="418" t="s">
        <v>9532</v>
      </c>
      <c r="B1597">
        <v>1</v>
      </c>
      <c r="C1597" s="309"/>
      <c r="D1597" s="310"/>
    </row>
    <row r="1598" spans="1:4" x14ac:dyDescent="0.25">
      <c r="A1598" s="418" t="s">
        <v>4424</v>
      </c>
      <c r="B1598">
        <v>3</v>
      </c>
      <c r="C1598" s="309"/>
      <c r="D1598" s="310"/>
    </row>
    <row r="1599" spans="1:4" x14ac:dyDescent="0.25">
      <c r="A1599" s="418" t="s">
        <v>4425</v>
      </c>
      <c r="B1599">
        <v>3</v>
      </c>
      <c r="C1599" s="309"/>
      <c r="D1599" s="310"/>
    </row>
    <row r="1600" spans="1:4" x14ac:dyDescent="0.25">
      <c r="A1600" s="418" t="s">
        <v>5962</v>
      </c>
      <c r="B1600">
        <v>2</v>
      </c>
      <c r="C1600" s="309"/>
      <c r="D1600" s="310"/>
    </row>
    <row r="1601" spans="1:4" x14ac:dyDescent="0.25">
      <c r="A1601" s="418" t="s">
        <v>5856</v>
      </c>
      <c r="B1601">
        <v>3</v>
      </c>
      <c r="C1601" s="309"/>
      <c r="D1601" s="310"/>
    </row>
    <row r="1602" spans="1:4" x14ac:dyDescent="0.25">
      <c r="A1602" s="418" t="s">
        <v>12239</v>
      </c>
      <c r="B1602">
        <v>1</v>
      </c>
      <c r="C1602" s="309"/>
      <c r="D1602" s="310"/>
    </row>
    <row r="1603" spans="1:4" x14ac:dyDescent="0.25">
      <c r="A1603" s="418" t="s">
        <v>5988</v>
      </c>
      <c r="B1603">
        <v>5</v>
      </c>
      <c r="C1603" s="309"/>
      <c r="D1603" s="310"/>
    </row>
    <row r="1604" spans="1:4" x14ac:dyDescent="0.25">
      <c r="A1604" s="418" t="s">
        <v>6410</v>
      </c>
      <c r="B1604">
        <v>5</v>
      </c>
      <c r="C1604" s="309"/>
      <c r="D1604" s="310"/>
    </row>
    <row r="1605" spans="1:4" x14ac:dyDescent="0.25">
      <c r="A1605" s="418" t="s">
        <v>5989</v>
      </c>
      <c r="B1605">
        <v>4</v>
      </c>
      <c r="C1605" s="309"/>
      <c r="D1605" s="310"/>
    </row>
    <row r="1606" spans="1:4" x14ac:dyDescent="0.25">
      <c r="A1606" s="418" t="s">
        <v>5990</v>
      </c>
      <c r="B1606">
        <v>6</v>
      </c>
      <c r="C1606" s="309"/>
      <c r="D1606" s="310"/>
    </row>
    <row r="1607" spans="1:4" x14ac:dyDescent="0.25">
      <c r="A1607" s="418" t="s">
        <v>6344</v>
      </c>
      <c r="B1607">
        <v>2</v>
      </c>
      <c r="C1607" s="309"/>
      <c r="D1607" s="310"/>
    </row>
    <row r="1608" spans="1:4" x14ac:dyDescent="0.25">
      <c r="A1608" s="418" t="s">
        <v>6874</v>
      </c>
      <c r="B1608">
        <v>1</v>
      </c>
      <c r="C1608" s="309"/>
      <c r="D1608" s="310"/>
    </row>
    <row r="1609" spans="1:4" x14ac:dyDescent="0.25">
      <c r="A1609" s="418" t="s">
        <v>6345</v>
      </c>
      <c r="B1609">
        <v>2</v>
      </c>
      <c r="C1609" s="309"/>
      <c r="D1609" s="310"/>
    </row>
    <row r="1610" spans="1:4" x14ac:dyDescent="0.25">
      <c r="A1610" s="418" t="s">
        <v>6411</v>
      </c>
      <c r="B1610">
        <v>1</v>
      </c>
      <c r="C1610" s="309"/>
      <c r="D1610" s="310"/>
    </row>
    <row r="1611" spans="1:4" x14ac:dyDescent="0.25">
      <c r="A1611" s="418" t="s">
        <v>5655</v>
      </c>
      <c r="B1611">
        <v>3</v>
      </c>
      <c r="C1611" s="309"/>
      <c r="D1611" s="310"/>
    </row>
    <row r="1612" spans="1:4" x14ac:dyDescent="0.25">
      <c r="A1612" s="418" t="s">
        <v>6118</v>
      </c>
      <c r="B1612">
        <v>2</v>
      </c>
      <c r="C1612" s="309"/>
      <c r="D1612" s="310"/>
    </row>
    <row r="1613" spans="1:4" x14ac:dyDescent="0.25">
      <c r="A1613" s="418" t="s">
        <v>16318</v>
      </c>
      <c r="B1613">
        <v>1</v>
      </c>
      <c r="C1613" s="309"/>
      <c r="D1613" s="310"/>
    </row>
    <row r="1614" spans="1:4" x14ac:dyDescent="0.25">
      <c r="A1614" s="418" t="s">
        <v>6875</v>
      </c>
      <c r="B1614">
        <v>4</v>
      </c>
      <c r="C1614" s="309"/>
      <c r="D1614" s="310"/>
    </row>
    <row r="1615" spans="1:4" x14ac:dyDescent="0.25">
      <c r="A1615" s="418" t="s">
        <v>8760</v>
      </c>
      <c r="B1615">
        <v>4</v>
      </c>
      <c r="C1615" s="309"/>
      <c r="D1615" s="310"/>
    </row>
    <row r="1616" spans="1:4" x14ac:dyDescent="0.25">
      <c r="A1616" s="418" t="s">
        <v>8761</v>
      </c>
      <c r="B1616">
        <v>3</v>
      </c>
      <c r="C1616" s="309"/>
      <c r="D1616" s="310"/>
    </row>
    <row r="1617" spans="1:4" x14ac:dyDescent="0.25">
      <c r="A1617" s="418" t="s">
        <v>9589</v>
      </c>
      <c r="B1617">
        <v>2</v>
      </c>
      <c r="C1617" s="309"/>
      <c r="D1617" s="310"/>
    </row>
    <row r="1618" spans="1:4" x14ac:dyDescent="0.25">
      <c r="A1618" s="418" t="s">
        <v>8748</v>
      </c>
      <c r="B1618">
        <v>3</v>
      </c>
      <c r="C1618" s="309"/>
      <c r="D1618" s="310"/>
    </row>
    <row r="1619" spans="1:4" x14ac:dyDescent="0.25">
      <c r="A1619" s="418" t="s">
        <v>8749</v>
      </c>
      <c r="B1619">
        <v>3</v>
      </c>
      <c r="C1619" s="309"/>
      <c r="D1619" s="310"/>
    </row>
    <row r="1620" spans="1:4" x14ac:dyDescent="0.25">
      <c r="A1620" s="418" t="s">
        <v>11692</v>
      </c>
      <c r="B1620">
        <v>1</v>
      </c>
      <c r="C1620" s="309"/>
      <c r="D1620" s="310"/>
    </row>
    <row r="1621" spans="1:4" x14ac:dyDescent="0.25">
      <c r="A1621" s="418" t="s">
        <v>11693</v>
      </c>
      <c r="B1621">
        <v>3</v>
      </c>
      <c r="C1621" s="309"/>
      <c r="D1621" s="310"/>
    </row>
    <row r="1622" spans="1:4" x14ac:dyDescent="0.25">
      <c r="A1622" s="418" t="s">
        <v>3931</v>
      </c>
      <c r="B1622">
        <v>2</v>
      </c>
      <c r="C1622" s="309"/>
      <c r="D1622" s="310"/>
    </row>
    <row r="1623" spans="1:4" x14ac:dyDescent="0.25">
      <c r="A1623" s="418" t="s">
        <v>4267</v>
      </c>
      <c r="B1623">
        <v>1</v>
      </c>
      <c r="C1623" s="309"/>
      <c r="D1623" s="310"/>
    </row>
    <row r="1624" spans="1:4" x14ac:dyDescent="0.25">
      <c r="A1624" s="418" t="s">
        <v>10815</v>
      </c>
      <c r="B1624">
        <v>2</v>
      </c>
      <c r="C1624" s="309"/>
      <c r="D1624" s="310"/>
    </row>
    <row r="1625" spans="1:4" x14ac:dyDescent="0.25">
      <c r="A1625" s="418" t="s">
        <v>10816</v>
      </c>
      <c r="B1625">
        <v>3</v>
      </c>
      <c r="C1625" s="309"/>
      <c r="D1625" s="310"/>
    </row>
    <row r="1626" spans="1:4" x14ac:dyDescent="0.25">
      <c r="A1626" s="418" t="s">
        <v>6195</v>
      </c>
      <c r="B1626">
        <v>4</v>
      </c>
      <c r="C1626" s="309"/>
      <c r="D1626" s="310"/>
    </row>
    <row r="1627" spans="1:4" x14ac:dyDescent="0.25">
      <c r="A1627" s="418" t="s">
        <v>6196</v>
      </c>
      <c r="B1627">
        <v>4</v>
      </c>
      <c r="C1627" s="309"/>
      <c r="D1627" s="310"/>
    </row>
    <row r="1628" spans="1:4" x14ac:dyDescent="0.25">
      <c r="A1628" s="418" t="s">
        <v>16412</v>
      </c>
      <c r="B1628">
        <v>1</v>
      </c>
      <c r="C1628" s="309"/>
      <c r="D1628" s="310"/>
    </row>
    <row r="1629" spans="1:4" x14ac:dyDescent="0.25">
      <c r="A1629" s="418" t="s">
        <v>6531</v>
      </c>
      <c r="B1629">
        <v>3</v>
      </c>
      <c r="C1629" s="309"/>
      <c r="D1629" s="310"/>
    </row>
    <row r="1630" spans="1:4" x14ac:dyDescent="0.25">
      <c r="A1630" s="418" t="s">
        <v>5801</v>
      </c>
      <c r="B1630">
        <v>3</v>
      </c>
      <c r="C1630" s="309"/>
      <c r="D1630" s="310"/>
    </row>
    <row r="1631" spans="1:4" x14ac:dyDescent="0.25">
      <c r="A1631" s="418" t="s">
        <v>8361</v>
      </c>
      <c r="B1631">
        <v>3</v>
      </c>
      <c r="C1631" s="309"/>
      <c r="D1631" s="310"/>
    </row>
    <row r="1632" spans="1:4" x14ac:dyDescent="0.25">
      <c r="A1632" s="418" t="s">
        <v>15492</v>
      </c>
      <c r="B1632">
        <v>3</v>
      </c>
      <c r="C1632" s="309"/>
      <c r="D1632" s="310"/>
    </row>
    <row r="1633" spans="1:4" x14ac:dyDescent="0.25">
      <c r="A1633" s="418" t="s">
        <v>15493</v>
      </c>
      <c r="B1633">
        <v>3</v>
      </c>
      <c r="C1633" s="309"/>
      <c r="D1633" s="310"/>
    </row>
    <row r="1634" spans="1:4" x14ac:dyDescent="0.25">
      <c r="A1634" s="418" t="s">
        <v>15494</v>
      </c>
      <c r="B1634">
        <v>3</v>
      </c>
      <c r="C1634" s="309"/>
      <c r="D1634" s="310"/>
    </row>
    <row r="1635" spans="1:4" x14ac:dyDescent="0.25">
      <c r="A1635" s="418" t="s">
        <v>8533</v>
      </c>
      <c r="B1635">
        <v>7</v>
      </c>
      <c r="C1635" s="309"/>
      <c r="D1635" s="310"/>
    </row>
    <row r="1636" spans="1:4" x14ac:dyDescent="0.25">
      <c r="A1636" s="418" t="s">
        <v>8534</v>
      </c>
      <c r="B1636">
        <v>7</v>
      </c>
      <c r="C1636" s="309"/>
      <c r="D1636" s="310"/>
    </row>
    <row r="1637" spans="1:4" x14ac:dyDescent="0.25">
      <c r="A1637" s="418" t="s">
        <v>8860</v>
      </c>
      <c r="B1637">
        <v>4</v>
      </c>
      <c r="C1637" s="309"/>
      <c r="D1637" s="310"/>
    </row>
    <row r="1638" spans="1:4" x14ac:dyDescent="0.25">
      <c r="A1638" s="418" t="s">
        <v>6956</v>
      </c>
      <c r="B1638">
        <v>3</v>
      </c>
      <c r="C1638" s="309"/>
      <c r="D1638" s="310"/>
    </row>
    <row r="1639" spans="1:4" x14ac:dyDescent="0.25">
      <c r="A1639" s="418" t="s">
        <v>6957</v>
      </c>
      <c r="B1639">
        <v>3</v>
      </c>
      <c r="C1639" s="309"/>
      <c r="D1639" s="310"/>
    </row>
    <row r="1640" spans="1:4" x14ac:dyDescent="0.25">
      <c r="A1640" s="418" t="s">
        <v>7467</v>
      </c>
      <c r="B1640">
        <v>1</v>
      </c>
      <c r="C1640" s="309"/>
      <c r="D1640" s="310"/>
    </row>
    <row r="1641" spans="1:4" x14ac:dyDescent="0.25">
      <c r="A1641" s="418" t="s">
        <v>7112</v>
      </c>
      <c r="B1641">
        <v>3</v>
      </c>
      <c r="C1641" s="309"/>
      <c r="D1641" s="310"/>
    </row>
    <row r="1642" spans="1:4" x14ac:dyDescent="0.25">
      <c r="A1642" s="418" t="s">
        <v>8071</v>
      </c>
      <c r="B1642">
        <v>1</v>
      </c>
      <c r="C1642" s="309"/>
      <c r="D1642" s="310"/>
    </row>
    <row r="1643" spans="1:4" x14ac:dyDescent="0.25">
      <c r="A1643" s="418" t="s">
        <v>5402</v>
      </c>
      <c r="B1643">
        <v>3</v>
      </c>
      <c r="C1643" s="309"/>
      <c r="D1643" s="310"/>
    </row>
    <row r="1644" spans="1:4" x14ac:dyDescent="0.25">
      <c r="A1644" s="418" t="s">
        <v>5403</v>
      </c>
      <c r="B1644">
        <v>2</v>
      </c>
      <c r="C1644" s="309"/>
      <c r="D1644" s="310"/>
    </row>
    <row r="1645" spans="1:4" x14ac:dyDescent="0.25">
      <c r="A1645" s="418" t="s">
        <v>5404</v>
      </c>
      <c r="B1645">
        <v>8</v>
      </c>
      <c r="C1645" s="309"/>
      <c r="D1645" s="310"/>
    </row>
    <row r="1646" spans="1:4" x14ac:dyDescent="0.25">
      <c r="A1646" s="418" t="s">
        <v>5963</v>
      </c>
      <c r="B1646">
        <v>8</v>
      </c>
      <c r="C1646" s="309"/>
      <c r="D1646" s="310"/>
    </row>
    <row r="1647" spans="1:4" x14ac:dyDescent="0.25">
      <c r="A1647" s="418" t="s">
        <v>7113</v>
      </c>
      <c r="B1647">
        <v>3</v>
      </c>
      <c r="C1647" s="309"/>
      <c r="D1647" s="310"/>
    </row>
    <row r="1648" spans="1:4" x14ac:dyDescent="0.25">
      <c r="A1648" s="418" t="s">
        <v>8256</v>
      </c>
      <c r="B1648">
        <v>3</v>
      </c>
      <c r="C1648" s="309"/>
      <c r="D1648" s="310"/>
    </row>
    <row r="1649" spans="1:4" x14ac:dyDescent="0.25">
      <c r="A1649" s="418" t="s">
        <v>6910</v>
      </c>
      <c r="B1649">
        <v>10</v>
      </c>
      <c r="C1649" s="309"/>
      <c r="D1649" s="310"/>
    </row>
    <row r="1650" spans="1:4" x14ac:dyDescent="0.25">
      <c r="A1650" s="418" t="s">
        <v>7328</v>
      </c>
      <c r="B1650">
        <v>13</v>
      </c>
      <c r="C1650" s="309"/>
      <c r="D1650" s="310"/>
    </row>
    <row r="1651" spans="1:4" x14ac:dyDescent="0.25">
      <c r="A1651" s="418" t="s">
        <v>11742</v>
      </c>
      <c r="B1651">
        <v>4</v>
      </c>
      <c r="C1651" s="309"/>
      <c r="D1651" s="310"/>
    </row>
    <row r="1652" spans="1:4" x14ac:dyDescent="0.25">
      <c r="A1652" s="418" t="s">
        <v>8257</v>
      </c>
      <c r="B1652">
        <v>10</v>
      </c>
      <c r="C1652" s="309"/>
      <c r="D1652" s="310"/>
    </row>
    <row r="1653" spans="1:4" x14ac:dyDescent="0.25">
      <c r="A1653" s="418" t="s">
        <v>9000</v>
      </c>
      <c r="B1653">
        <v>1</v>
      </c>
      <c r="C1653" s="309"/>
      <c r="D1653" s="310"/>
    </row>
    <row r="1654" spans="1:4" x14ac:dyDescent="0.25">
      <c r="A1654" s="418" t="s">
        <v>9182</v>
      </c>
      <c r="B1654">
        <v>3</v>
      </c>
      <c r="C1654" s="309"/>
      <c r="D1654" s="310"/>
    </row>
    <row r="1655" spans="1:4" x14ac:dyDescent="0.25">
      <c r="A1655" s="418" t="s">
        <v>8072</v>
      </c>
      <c r="B1655">
        <v>3</v>
      </c>
      <c r="C1655" s="309"/>
      <c r="D1655" s="310"/>
    </row>
    <row r="1656" spans="1:4" x14ac:dyDescent="0.25">
      <c r="A1656" s="418" t="s">
        <v>10239</v>
      </c>
      <c r="B1656">
        <v>2</v>
      </c>
      <c r="C1656" s="309"/>
      <c r="D1656" s="310"/>
    </row>
    <row r="1657" spans="1:4" x14ac:dyDescent="0.25">
      <c r="A1657" s="418" t="s">
        <v>12316</v>
      </c>
      <c r="B1657">
        <v>1</v>
      </c>
      <c r="C1657" s="309"/>
      <c r="D1657" s="310"/>
    </row>
    <row r="1658" spans="1:4" x14ac:dyDescent="0.25">
      <c r="A1658" s="418" t="s">
        <v>12132</v>
      </c>
      <c r="B1658">
        <v>2</v>
      </c>
      <c r="C1658" s="309"/>
      <c r="D1658" s="310"/>
    </row>
    <row r="1659" spans="1:4" x14ac:dyDescent="0.25">
      <c r="A1659" s="418" t="s">
        <v>7251</v>
      </c>
      <c r="B1659">
        <v>6</v>
      </c>
      <c r="C1659" s="309"/>
      <c r="D1659" s="310"/>
    </row>
    <row r="1660" spans="1:4" x14ac:dyDescent="0.25">
      <c r="A1660" s="418" t="s">
        <v>6660</v>
      </c>
      <c r="B1660">
        <v>10</v>
      </c>
      <c r="C1660" s="309"/>
      <c r="D1660" s="310"/>
    </row>
    <row r="1661" spans="1:4" x14ac:dyDescent="0.25">
      <c r="A1661" s="418" t="s">
        <v>8861</v>
      </c>
      <c r="B1661">
        <v>6</v>
      </c>
      <c r="C1661" s="309"/>
      <c r="D1661" s="310"/>
    </row>
    <row r="1662" spans="1:4" x14ac:dyDescent="0.25">
      <c r="A1662" s="418" t="s">
        <v>11050</v>
      </c>
      <c r="B1662">
        <v>3</v>
      </c>
      <c r="C1662" s="309"/>
      <c r="D1662" s="310"/>
    </row>
    <row r="1663" spans="1:4" x14ac:dyDescent="0.25">
      <c r="A1663" s="418" t="s">
        <v>6532</v>
      </c>
      <c r="B1663">
        <v>4</v>
      </c>
      <c r="C1663" s="309"/>
      <c r="D1663" s="310"/>
    </row>
    <row r="1664" spans="1:4" x14ac:dyDescent="0.25">
      <c r="A1664" s="418" t="s">
        <v>6911</v>
      </c>
      <c r="B1664">
        <v>8</v>
      </c>
      <c r="C1664" s="309"/>
      <c r="D1664" s="310"/>
    </row>
    <row r="1665" spans="1:4" x14ac:dyDescent="0.25">
      <c r="A1665" s="418" t="s">
        <v>7329</v>
      </c>
      <c r="B1665">
        <v>8</v>
      </c>
      <c r="C1665" s="309"/>
      <c r="D1665" s="310"/>
    </row>
    <row r="1666" spans="1:4" x14ac:dyDescent="0.25">
      <c r="A1666" s="418" t="s">
        <v>7768</v>
      </c>
      <c r="B1666">
        <v>10</v>
      </c>
      <c r="C1666" s="309"/>
      <c r="D1666" s="310"/>
    </row>
    <row r="1667" spans="1:4" x14ac:dyDescent="0.25">
      <c r="A1667" s="418" t="s">
        <v>9241</v>
      </c>
      <c r="B1667">
        <v>3</v>
      </c>
      <c r="C1667" s="309"/>
      <c r="D1667" s="310"/>
    </row>
    <row r="1668" spans="1:4" x14ac:dyDescent="0.25">
      <c r="A1668" s="418" t="s">
        <v>7615</v>
      </c>
      <c r="B1668">
        <v>3</v>
      </c>
      <c r="C1668" s="309"/>
      <c r="D1668" s="310"/>
    </row>
    <row r="1669" spans="1:4" x14ac:dyDescent="0.25">
      <c r="A1669" s="418" t="s">
        <v>8420</v>
      </c>
      <c r="B1669">
        <v>4</v>
      </c>
      <c r="C1669" s="309"/>
      <c r="D1669" s="310"/>
    </row>
    <row r="1670" spans="1:4" x14ac:dyDescent="0.25">
      <c r="A1670" s="418" t="s">
        <v>10449</v>
      </c>
      <c r="B1670">
        <v>3</v>
      </c>
      <c r="C1670" s="309"/>
      <c r="D1670" s="310"/>
    </row>
    <row r="1671" spans="1:4" x14ac:dyDescent="0.25">
      <c r="A1671" s="418" t="s">
        <v>5680</v>
      </c>
      <c r="B1671">
        <v>1</v>
      </c>
      <c r="C1671" s="309"/>
      <c r="D1671" s="310"/>
    </row>
    <row r="1672" spans="1:4" x14ac:dyDescent="0.25">
      <c r="A1672" s="418" t="s">
        <v>6958</v>
      </c>
      <c r="B1672">
        <v>3</v>
      </c>
      <c r="C1672" s="309"/>
      <c r="D1672" s="310"/>
    </row>
    <row r="1673" spans="1:4" x14ac:dyDescent="0.25">
      <c r="A1673" s="418" t="s">
        <v>6959</v>
      </c>
      <c r="B1673">
        <v>2</v>
      </c>
      <c r="C1673" s="309"/>
      <c r="D1673" s="310"/>
    </row>
    <row r="1674" spans="1:4" x14ac:dyDescent="0.25">
      <c r="A1674" s="418" t="s">
        <v>7983</v>
      </c>
      <c r="B1674">
        <v>1</v>
      </c>
      <c r="C1674" s="309"/>
      <c r="D1674" s="310"/>
    </row>
    <row r="1675" spans="1:4" x14ac:dyDescent="0.25">
      <c r="A1675" s="418" t="s">
        <v>7114</v>
      </c>
      <c r="B1675">
        <v>3</v>
      </c>
      <c r="C1675" s="309"/>
      <c r="D1675" s="310"/>
    </row>
    <row r="1676" spans="1:4" x14ac:dyDescent="0.25">
      <c r="A1676" s="418" t="s">
        <v>5656</v>
      </c>
      <c r="B1676">
        <v>3</v>
      </c>
      <c r="C1676" s="309"/>
      <c r="D1676" s="310"/>
    </row>
    <row r="1677" spans="1:4" x14ac:dyDescent="0.25">
      <c r="A1677" s="418" t="s">
        <v>7115</v>
      </c>
      <c r="B1677">
        <v>2</v>
      </c>
      <c r="C1677" s="309"/>
      <c r="D1677" s="310"/>
    </row>
    <row r="1678" spans="1:4" x14ac:dyDescent="0.25">
      <c r="A1678" s="418" t="s">
        <v>6135</v>
      </c>
      <c r="B1678">
        <v>4</v>
      </c>
      <c r="C1678" s="309"/>
      <c r="D1678" s="310"/>
    </row>
    <row r="1679" spans="1:4" x14ac:dyDescent="0.25">
      <c r="A1679" s="418" t="s">
        <v>5964</v>
      </c>
      <c r="B1679">
        <v>3</v>
      </c>
      <c r="C1679" s="309"/>
      <c r="D1679" s="310"/>
    </row>
    <row r="1680" spans="1:4" x14ac:dyDescent="0.25">
      <c r="A1680" s="418" t="s">
        <v>5965</v>
      </c>
      <c r="B1680">
        <v>1</v>
      </c>
      <c r="C1680" s="309"/>
      <c r="D1680" s="310"/>
    </row>
    <row r="1681" spans="1:4" x14ac:dyDescent="0.25">
      <c r="A1681" s="418" t="s">
        <v>5991</v>
      </c>
      <c r="B1681">
        <v>4</v>
      </c>
      <c r="C1681" s="309"/>
      <c r="D1681" s="310"/>
    </row>
    <row r="1682" spans="1:4" x14ac:dyDescent="0.25">
      <c r="A1682" s="418" t="s">
        <v>5992</v>
      </c>
      <c r="B1682">
        <v>4</v>
      </c>
      <c r="C1682" s="309"/>
      <c r="D1682" s="310"/>
    </row>
    <row r="1683" spans="1:4" x14ac:dyDescent="0.25">
      <c r="A1683" s="418" t="s">
        <v>5993</v>
      </c>
      <c r="B1683">
        <v>2</v>
      </c>
      <c r="C1683" s="309"/>
      <c r="D1683" s="310"/>
    </row>
    <row r="1684" spans="1:4" x14ac:dyDescent="0.25">
      <c r="A1684" s="418" t="s">
        <v>5994</v>
      </c>
      <c r="B1684">
        <v>1</v>
      </c>
      <c r="C1684" s="309"/>
      <c r="D1684" s="310"/>
    </row>
    <row r="1685" spans="1:4" x14ac:dyDescent="0.25">
      <c r="A1685" s="418" t="s">
        <v>5995</v>
      </c>
      <c r="B1685">
        <v>4</v>
      </c>
      <c r="C1685" s="309"/>
      <c r="D1685" s="310"/>
    </row>
    <row r="1686" spans="1:4" x14ac:dyDescent="0.25">
      <c r="A1686" s="418" t="s">
        <v>5996</v>
      </c>
      <c r="B1686">
        <v>5</v>
      </c>
      <c r="C1686" s="309"/>
      <c r="D1686" s="310"/>
    </row>
    <row r="1687" spans="1:4" x14ac:dyDescent="0.25">
      <c r="A1687" s="418" t="s">
        <v>6636</v>
      </c>
      <c r="B1687">
        <v>2</v>
      </c>
      <c r="C1687" s="309"/>
      <c r="D1687" s="310"/>
    </row>
    <row r="1688" spans="1:4" x14ac:dyDescent="0.25">
      <c r="A1688" s="418" t="s">
        <v>6912</v>
      </c>
      <c r="B1688">
        <v>7</v>
      </c>
      <c r="C1688" s="309"/>
      <c r="D1688" s="310"/>
    </row>
    <row r="1689" spans="1:4" x14ac:dyDescent="0.25">
      <c r="A1689" s="418" t="s">
        <v>6533</v>
      </c>
      <c r="B1689">
        <v>7</v>
      </c>
      <c r="C1689" s="309"/>
      <c r="D1689" s="310"/>
    </row>
    <row r="1690" spans="1:4" x14ac:dyDescent="0.25">
      <c r="A1690" s="418" t="s">
        <v>8258</v>
      </c>
      <c r="B1690">
        <v>3</v>
      </c>
      <c r="C1690" s="309"/>
      <c r="D1690" s="310"/>
    </row>
    <row r="1691" spans="1:4" x14ac:dyDescent="0.25">
      <c r="A1691" s="418" t="s">
        <v>8259</v>
      </c>
      <c r="B1691">
        <v>4</v>
      </c>
      <c r="C1691" s="309"/>
      <c r="D1691" s="310"/>
    </row>
    <row r="1692" spans="1:4" x14ac:dyDescent="0.25">
      <c r="A1692" s="418" t="s">
        <v>6119</v>
      </c>
      <c r="B1692">
        <v>7</v>
      </c>
      <c r="C1692" s="309"/>
      <c r="D1692" s="310"/>
    </row>
    <row r="1693" spans="1:4" x14ac:dyDescent="0.25">
      <c r="A1693" s="418" t="s">
        <v>5657</v>
      </c>
      <c r="B1693">
        <v>6</v>
      </c>
      <c r="C1693" s="309"/>
      <c r="D1693" s="310"/>
    </row>
    <row r="1694" spans="1:4" x14ac:dyDescent="0.25">
      <c r="A1694" s="418" t="s">
        <v>8260</v>
      </c>
      <c r="B1694">
        <v>6</v>
      </c>
      <c r="C1694" s="309"/>
      <c r="D1694" s="310"/>
    </row>
    <row r="1695" spans="1:4" x14ac:dyDescent="0.25">
      <c r="A1695" s="418" t="s">
        <v>11648</v>
      </c>
      <c r="B1695">
        <v>1</v>
      </c>
      <c r="C1695" s="309"/>
      <c r="D1695" s="310"/>
    </row>
    <row r="1696" spans="1:4" x14ac:dyDescent="0.25">
      <c r="A1696" s="418" t="s">
        <v>4010</v>
      </c>
      <c r="B1696">
        <v>3</v>
      </c>
      <c r="C1696" s="309"/>
      <c r="D1696" s="310"/>
    </row>
    <row r="1697" spans="1:4" x14ac:dyDescent="0.25">
      <c r="A1697" s="418" t="s">
        <v>4011</v>
      </c>
      <c r="B1697">
        <v>3</v>
      </c>
      <c r="C1697" s="309"/>
      <c r="D1697" s="310"/>
    </row>
    <row r="1698" spans="1:4" x14ac:dyDescent="0.25">
      <c r="A1698" s="418" t="s">
        <v>4012</v>
      </c>
      <c r="B1698">
        <v>2</v>
      </c>
      <c r="C1698" s="309"/>
      <c r="D1698" s="310"/>
    </row>
    <row r="1699" spans="1:4" x14ac:dyDescent="0.25">
      <c r="A1699" s="418" t="s">
        <v>4013</v>
      </c>
      <c r="B1699">
        <v>1</v>
      </c>
      <c r="C1699" s="309"/>
      <c r="D1699" s="310"/>
    </row>
    <row r="1700" spans="1:4" x14ac:dyDescent="0.25">
      <c r="A1700" s="418" t="s">
        <v>11417</v>
      </c>
      <c r="B1700">
        <v>2</v>
      </c>
      <c r="C1700" s="309"/>
      <c r="D1700" s="310"/>
    </row>
    <row r="1701" spans="1:4" x14ac:dyDescent="0.25">
      <c r="A1701" s="418" t="s">
        <v>8362</v>
      </c>
      <c r="B1701">
        <v>3</v>
      </c>
      <c r="C1701" s="309"/>
      <c r="D1701" s="310"/>
    </row>
    <row r="1702" spans="1:4" x14ac:dyDescent="0.25">
      <c r="A1702" s="418" t="s">
        <v>8363</v>
      </c>
      <c r="B1702">
        <v>3</v>
      </c>
      <c r="C1702" s="309"/>
      <c r="D1702" s="310"/>
    </row>
    <row r="1703" spans="1:4" x14ac:dyDescent="0.25">
      <c r="A1703" s="418" t="s">
        <v>9001</v>
      </c>
      <c r="B1703">
        <v>3</v>
      </c>
      <c r="C1703" s="309"/>
      <c r="D1703" s="310"/>
    </row>
    <row r="1704" spans="1:4" x14ac:dyDescent="0.25">
      <c r="A1704" s="418" t="s">
        <v>9909</v>
      </c>
      <c r="B1704">
        <v>3</v>
      </c>
      <c r="C1704" s="309"/>
      <c r="D1704" s="310"/>
    </row>
    <row r="1705" spans="1:4" x14ac:dyDescent="0.25">
      <c r="A1705" s="418" t="s">
        <v>7616</v>
      </c>
      <c r="B1705">
        <v>2</v>
      </c>
      <c r="C1705" s="309"/>
      <c r="D1705" s="310"/>
    </row>
    <row r="1706" spans="1:4" x14ac:dyDescent="0.25">
      <c r="A1706" s="418" t="s">
        <v>7617</v>
      </c>
      <c r="B1706">
        <v>1</v>
      </c>
      <c r="C1706" s="309"/>
      <c r="D1706" s="310"/>
    </row>
    <row r="1707" spans="1:4" x14ac:dyDescent="0.25">
      <c r="A1707" s="418" t="s">
        <v>6412</v>
      </c>
      <c r="B1707">
        <v>3</v>
      </c>
      <c r="C1707" s="309"/>
      <c r="D1707" s="310"/>
    </row>
    <row r="1708" spans="1:4" x14ac:dyDescent="0.25">
      <c r="A1708" s="418" t="s">
        <v>7984</v>
      </c>
      <c r="B1708">
        <v>6</v>
      </c>
      <c r="C1708" s="309"/>
      <c r="D1708" s="310"/>
    </row>
    <row r="1709" spans="1:4" x14ac:dyDescent="0.25">
      <c r="A1709" s="418" t="s">
        <v>7985</v>
      </c>
      <c r="B1709">
        <v>3</v>
      </c>
      <c r="C1709" s="309"/>
      <c r="D1709" s="310"/>
    </row>
    <row r="1710" spans="1:4" x14ac:dyDescent="0.25">
      <c r="A1710" s="418" t="s">
        <v>8101</v>
      </c>
      <c r="B1710">
        <v>19</v>
      </c>
      <c r="C1710" s="309"/>
      <c r="D1710" s="310"/>
    </row>
    <row r="1711" spans="1:4" x14ac:dyDescent="0.25">
      <c r="A1711" s="418" t="s">
        <v>8862</v>
      </c>
      <c r="B1711">
        <v>19</v>
      </c>
      <c r="C1711" s="309"/>
      <c r="D1711" s="310"/>
    </row>
    <row r="1712" spans="1:4" x14ac:dyDescent="0.25">
      <c r="A1712" s="418" t="s">
        <v>9590</v>
      </c>
      <c r="B1712">
        <v>12</v>
      </c>
      <c r="C1712" s="309"/>
      <c r="D1712" s="310"/>
    </row>
    <row r="1713" spans="1:4" x14ac:dyDescent="0.25">
      <c r="A1713" s="418" t="s">
        <v>8261</v>
      </c>
      <c r="B1713">
        <v>3</v>
      </c>
      <c r="C1713" s="309"/>
      <c r="D1713" s="310"/>
    </row>
    <row r="1714" spans="1:4" x14ac:dyDescent="0.25">
      <c r="A1714" s="418" t="s">
        <v>11841</v>
      </c>
      <c r="B1714">
        <v>2</v>
      </c>
      <c r="C1714" s="309"/>
      <c r="D1714" s="310"/>
    </row>
    <row r="1715" spans="1:4" x14ac:dyDescent="0.25">
      <c r="A1715" s="418" t="s">
        <v>7468</v>
      </c>
      <c r="B1715">
        <v>3</v>
      </c>
      <c r="C1715" s="309"/>
      <c r="D1715" s="310"/>
    </row>
    <row r="1716" spans="1:4" x14ac:dyDescent="0.25">
      <c r="A1716" s="418" t="s">
        <v>6960</v>
      </c>
      <c r="B1716">
        <v>4</v>
      </c>
      <c r="C1716" s="309"/>
      <c r="D1716" s="310"/>
    </row>
    <row r="1717" spans="1:4" x14ac:dyDescent="0.25">
      <c r="A1717" s="418" t="s">
        <v>8421</v>
      </c>
      <c r="B1717">
        <v>1</v>
      </c>
      <c r="C1717" s="309"/>
      <c r="D1717" s="310"/>
    </row>
    <row r="1718" spans="1:4" x14ac:dyDescent="0.25">
      <c r="A1718" s="418" t="s">
        <v>6748</v>
      </c>
      <c r="B1718">
        <v>3</v>
      </c>
      <c r="C1718" s="309"/>
      <c r="D1718" s="310"/>
    </row>
    <row r="1719" spans="1:4" x14ac:dyDescent="0.25">
      <c r="A1719" s="418" t="s">
        <v>6749</v>
      </c>
      <c r="B1719">
        <v>3</v>
      </c>
      <c r="C1719" s="309"/>
      <c r="D1719" s="310"/>
    </row>
    <row r="1720" spans="1:4" x14ac:dyDescent="0.25">
      <c r="A1720" s="418" t="s">
        <v>8407</v>
      </c>
      <c r="B1720">
        <v>1</v>
      </c>
      <c r="C1720" s="309"/>
      <c r="D1720" s="310"/>
    </row>
    <row r="1721" spans="1:4" x14ac:dyDescent="0.25">
      <c r="A1721" s="418" t="s">
        <v>8408</v>
      </c>
      <c r="B1721">
        <v>1</v>
      </c>
      <c r="C1721" s="309"/>
      <c r="D1721" s="310"/>
    </row>
    <row r="1722" spans="1:4" x14ac:dyDescent="0.25">
      <c r="A1722" s="418" t="s">
        <v>8762</v>
      </c>
      <c r="B1722">
        <v>1</v>
      </c>
      <c r="C1722" s="309"/>
      <c r="D1722" s="310"/>
    </row>
    <row r="1723" spans="1:4" x14ac:dyDescent="0.25">
      <c r="A1723" s="418" t="s">
        <v>15420</v>
      </c>
      <c r="B1723">
        <v>1</v>
      </c>
      <c r="C1723" s="309"/>
      <c r="D1723" s="310"/>
    </row>
    <row r="1724" spans="1:4" x14ac:dyDescent="0.25">
      <c r="A1724" s="418" t="s">
        <v>15421</v>
      </c>
      <c r="B1724">
        <v>1</v>
      </c>
      <c r="C1724" s="309"/>
      <c r="D1724" s="310"/>
    </row>
    <row r="1725" spans="1:4" x14ac:dyDescent="0.25">
      <c r="A1725" s="418" t="s">
        <v>6661</v>
      </c>
      <c r="B1725">
        <v>6</v>
      </c>
      <c r="C1725" s="309"/>
      <c r="D1725" s="310"/>
    </row>
    <row r="1726" spans="1:4" x14ac:dyDescent="0.25">
      <c r="A1726" s="418" t="s">
        <v>8262</v>
      </c>
      <c r="B1726">
        <v>3</v>
      </c>
      <c r="C1726" s="309"/>
      <c r="D1726" s="310"/>
    </row>
    <row r="1727" spans="1:4" x14ac:dyDescent="0.25">
      <c r="A1727" s="418" t="s">
        <v>8263</v>
      </c>
      <c r="B1727">
        <v>2</v>
      </c>
      <c r="C1727" s="309"/>
      <c r="D1727" s="310"/>
    </row>
    <row r="1728" spans="1:4" x14ac:dyDescent="0.25">
      <c r="A1728" s="418" t="s">
        <v>5658</v>
      </c>
      <c r="B1728">
        <v>13</v>
      </c>
      <c r="C1728" s="309"/>
      <c r="D1728" s="310"/>
    </row>
    <row r="1729" spans="1:4" x14ac:dyDescent="0.25">
      <c r="A1729" s="418" t="s">
        <v>5659</v>
      </c>
      <c r="B1729">
        <v>12</v>
      </c>
      <c r="C1729" s="309"/>
      <c r="D1729" s="310"/>
    </row>
    <row r="1730" spans="1:4" x14ac:dyDescent="0.25">
      <c r="A1730" s="418" t="s">
        <v>7116</v>
      </c>
      <c r="B1730">
        <v>12</v>
      </c>
      <c r="C1730" s="309"/>
      <c r="D1730" s="310"/>
    </row>
    <row r="1731" spans="1:4" x14ac:dyDescent="0.25">
      <c r="A1731" s="418" t="s">
        <v>11694</v>
      </c>
      <c r="B1731">
        <v>1</v>
      </c>
      <c r="C1731" s="309"/>
      <c r="D1731" s="310"/>
    </row>
    <row r="1732" spans="1:4" x14ac:dyDescent="0.25">
      <c r="A1732" s="418" t="s">
        <v>11695</v>
      </c>
      <c r="B1732">
        <v>1</v>
      </c>
      <c r="C1732" s="309"/>
      <c r="D1732" s="310"/>
    </row>
    <row r="1733" spans="1:4" x14ac:dyDescent="0.25">
      <c r="A1733" s="418" t="s">
        <v>7046</v>
      </c>
      <c r="B1733">
        <v>3</v>
      </c>
      <c r="C1733" s="309"/>
      <c r="D1733" s="310"/>
    </row>
    <row r="1734" spans="1:4" x14ac:dyDescent="0.25">
      <c r="A1734" s="418" t="s">
        <v>6136</v>
      </c>
      <c r="B1734">
        <v>3</v>
      </c>
      <c r="C1734" s="309"/>
      <c r="D1734" s="310"/>
    </row>
    <row r="1735" spans="1:4" x14ac:dyDescent="0.25">
      <c r="A1735" s="418" t="s">
        <v>7117</v>
      </c>
      <c r="B1735">
        <v>1</v>
      </c>
      <c r="C1735" s="309"/>
      <c r="D1735" s="310"/>
    </row>
    <row r="1736" spans="1:4" x14ac:dyDescent="0.25">
      <c r="A1736" s="418" t="s">
        <v>6120</v>
      </c>
      <c r="B1736">
        <v>4</v>
      </c>
      <c r="C1736" s="309"/>
      <c r="D1736" s="310"/>
    </row>
    <row r="1737" spans="1:4" x14ac:dyDescent="0.25">
      <c r="A1737" s="418" t="s">
        <v>6750</v>
      </c>
      <c r="B1737">
        <v>3</v>
      </c>
      <c r="C1737" s="309"/>
      <c r="D1737" s="310"/>
    </row>
    <row r="1738" spans="1:4" x14ac:dyDescent="0.25">
      <c r="A1738" s="418" t="s">
        <v>6121</v>
      </c>
      <c r="B1738">
        <v>5</v>
      </c>
      <c r="C1738" s="309"/>
      <c r="D1738" s="310"/>
    </row>
    <row r="1739" spans="1:4" x14ac:dyDescent="0.25">
      <c r="A1739" s="418" t="s">
        <v>6122</v>
      </c>
      <c r="B1739">
        <v>3</v>
      </c>
      <c r="C1739" s="309"/>
      <c r="D1739" s="310"/>
    </row>
    <row r="1740" spans="1:4" x14ac:dyDescent="0.25">
      <c r="A1740" s="418" t="s">
        <v>8264</v>
      </c>
      <c r="B1740">
        <v>6</v>
      </c>
      <c r="C1740" s="309"/>
      <c r="D1740" s="310"/>
    </row>
    <row r="1741" spans="1:4" x14ac:dyDescent="0.25">
      <c r="A1741" s="418" t="s">
        <v>8796</v>
      </c>
      <c r="B1741">
        <v>5</v>
      </c>
      <c r="C1741" s="309"/>
      <c r="D1741" s="310"/>
    </row>
    <row r="1742" spans="1:4" x14ac:dyDescent="0.25">
      <c r="A1742" s="418" t="s">
        <v>8797</v>
      </c>
      <c r="B1742">
        <v>5</v>
      </c>
      <c r="C1742" s="309"/>
      <c r="D1742" s="310"/>
    </row>
    <row r="1743" spans="1:4" x14ac:dyDescent="0.25">
      <c r="A1743" s="418" t="s">
        <v>17086</v>
      </c>
      <c r="B1743">
        <v>1</v>
      </c>
      <c r="C1743" s="309"/>
      <c r="D1743" s="310"/>
    </row>
    <row r="1744" spans="1:4" x14ac:dyDescent="0.25">
      <c r="A1744" s="418" t="s">
        <v>5882</v>
      </c>
      <c r="B1744">
        <v>4</v>
      </c>
      <c r="C1744" s="309"/>
      <c r="D1744" s="310"/>
    </row>
    <row r="1745" spans="1:4" x14ac:dyDescent="0.25">
      <c r="A1745" s="418" t="s">
        <v>5966</v>
      </c>
      <c r="B1745">
        <v>2</v>
      </c>
      <c r="C1745" s="309"/>
      <c r="D1745" s="310"/>
    </row>
    <row r="1746" spans="1:4" x14ac:dyDescent="0.25">
      <c r="A1746" s="418" t="s">
        <v>7469</v>
      </c>
      <c r="B1746">
        <v>1</v>
      </c>
      <c r="C1746" s="309"/>
      <c r="D1746" s="310"/>
    </row>
    <row r="1747" spans="1:4" x14ac:dyDescent="0.25">
      <c r="A1747" s="418" t="s">
        <v>7470</v>
      </c>
      <c r="B1747">
        <v>1</v>
      </c>
      <c r="C1747" s="309"/>
      <c r="D1747" s="310"/>
    </row>
    <row r="1748" spans="1:4" x14ac:dyDescent="0.25">
      <c r="A1748" s="418" t="s">
        <v>5967</v>
      </c>
      <c r="B1748">
        <v>1</v>
      </c>
      <c r="C1748" s="309"/>
      <c r="D1748" s="310"/>
    </row>
    <row r="1749" spans="1:4" x14ac:dyDescent="0.25">
      <c r="A1749" s="418" t="s">
        <v>5660</v>
      </c>
      <c r="B1749">
        <v>1</v>
      </c>
      <c r="C1749" s="309"/>
      <c r="D1749" s="310"/>
    </row>
    <row r="1750" spans="1:4" x14ac:dyDescent="0.25">
      <c r="A1750" s="418" t="s">
        <v>6123</v>
      </c>
      <c r="B1750">
        <v>2</v>
      </c>
      <c r="C1750" s="309"/>
      <c r="D1750" s="310"/>
    </row>
    <row r="1751" spans="1:4" x14ac:dyDescent="0.25">
      <c r="A1751" s="418" t="s">
        <v>6124</v>
      </c>
      <c r="B1751">
        <v>2</v>
      </c>
      <c r="C1751" s="309"/>
      <c r="D1751" s="310"/>
    </row>
    <row r="1752" spans="1:4" x14ac:dyDescent="0.25">
      <c r="A1752" s="418" t="s">
        <v>6125</v>
      </c>
      <c r="B1752">
        <v>2</v>
      </c>
      <c r="C1752" s="309"/>
      <c r="D1752" s="310"/>
    </row>
    <row r="1753" spans="1:4" x14ac:dyDescent="0.25">
      <c r="A1753" s="418" t="s">
        <v>6126</v>
      </c>
      <c r="B1753">
        <v>1</v>
      </c>
      <c r="C1753" s="309"/>
      <c r="D1753" s="310"/>
    </row>
    <row r="1754" spans="1:4" x14ac:dyDescent="0.25">
      <c r="A1754" s="418" t="s">
        <v>16839</v>
      </c>
      <c r="B1754">
        <v>2</v>
      </c>
      <c r="C1754" s="309"/>
      <c r="D1754" s="310"/>
    </row>
    <row r="1755" spans="1:4" x14ac:dyDescent="0.25">
      <c r="A1755" s="418" t="s">
        <v>17087</v>
      </c>
      <c r="B1755">
        <v>1</v>
      </c>
      <c r="C1755" s="309"/>
      <c r="D1755" s="310"/>
    </row>
    <row r="1756" spans="1:4" x14ac:dyDescent="0.25">
      <c r="A1756" s="418" t="s">
        <v>5661</v>
      </c>
      <c r="B1756">
        <v>3</v>
      </c>
      <c r="C1756" s="309"/>
      <c r="D1756" s="310"/>
    </row>
    <row r="1757" spans="1:4" x14ac:dyDescent="0.25">
      <c r="A1757" s="418" t="s">
        <v>5968</v>
      </c>
      <c r="B1757">
        <v>1</v>
      </c>
      <c r="C1757" s="309"/>
      <c r="D1757" s="310"/>
    </row>
    <row r="1758" spans="1:4" x14ac:dyDescent="0.25">
      <c r="A1758" s="418" t="s">
        <v>10240</v>
      </c>
      <c r="B1758">
        <v>3</v>
      </c>
      <c r="C1758" s="309"/>
      <c r="D1758" s="310"/>
    </row>
    <row r="1759" spans="1:4" x14ac:dyDescent="0.25">
      <c r="A1759" s="418" t="s">
        <v>10288</v>
      </c>
      <c r="B1759">
        <v>3</v>
      </c>
      <c r="C1759" s="309"/>
      <c r="D1759" s="310"/>
    </row>
    <row r="1760" spans="1:4" x14ac:dyDescent="0.25">
      <c r="A1760" s="418" t="s">
        <v>6452</v>
      </c>
      <c r="B1760">
        <v>3</v>
      </c>
      <c r="C1760" s="309"/>
      <c r="D1760" s="310"/>
    </row>
    <row r="1761" spans="1:4" x14ac:dyDescent="0.25">
      <c r="A1761" s="418" t="s">
        <v>6453</v>
      </c>
      <c r="B1761">
        <v>3</v>
      </c>
      <c r="C1761" s="309"/>
      <c r="D1761" s="310"/>
    </row>
    <row r="1762" spans="1:4" x14ac:dyDescent="0.25">
      <c r="A1762" s="418" t="s">
        <v>6637</v>
      </c>
      <c r="B1762">
        <v>3</v>
      </c>
      <c r="C1762" s="309"/>
      <c r="D1762" s="310"/>
    </row>
    <row r="1763" spans="1:4" x14ac:dyDescent="0.25">
      <c r="A1763" s="418" t="s">
        <v>5883</v>
      </c>
      <c r="B1763">
        <v>3</v>
      </c>
      <c r="C1763" s="309"/>
      <c r="D1763" s="310"/>
    </row>
    <row r="1764" spans="1:4" x14ac:dyDescent="0.25">
      <c r="A1764" s="418" t="s">
        <v>5608</v>
      </c>
      <c r="B1764">
        <v>3</v>
      </c>
      <c r="C1764" s="309"/>
      <c r="D1764" s="310"/>
    </row>
    <row r="1765" spans="1:4" x14ac:dyDescent="0.25">
      <c r="A1765" s="418" t="s">
        <v>5884</v>
      </c>
      <c r="B1765">
        <v>3</v>
      </c>
      <c r="C1765" s="309"/>
      <c r="D1765" s="310"/>
    </row>
    <row r="1766" spans="1:4" x14ac:dyDescent="0.25">
      <c r="A1766" s="418" t="s">
        <v>6913</v>
      </c>
      <c r="B1766">
        <v>3</v>
      </c>
      <c r="C1766" s="309"/>
      <c r="D1766" s="310"/>
    </row>
    <row r="1767" spans="1:4" x14ac:dyDescent="0.25">
      <c r="A1767" s="418" t="s">
        <v>5609</v>
      </c>
      <c r="B1767">
        <v>1</v>
      </c>
      <c r="C1767" s="309"/>
      <c r="D1767" s="310"/>
    </row>
    <row r="1768" spans="1:4" x14ac:dyDescent="0.25">
      <c r="A1768" s="418" t="s">
        <v>7193</v>
      </c>
      <c r="B1768">
        <v>1</v>
      </c>
      <c r="C1768" s="309"/>
      <c r="D1768" s="310"/>
    </row>
    <row r="1769" spans="1:4" x14ac:dyDescent="0.25">
      <c r="A1769" s="418" t="s">
        <v>5610</v>
      </c>
      <c r="B1769">
        <v>1</v>
      </c>
      <c r="C1769" s="309"/>
      <c r="D1769" s="310"/>
    </row>
    <row r="1770" spans="1:4" x14ac:dyDescent="0.25">
      <c r="A1770" s="418" t="s">
        <v>5885</v>
      </c>
      <c r="B1770">
        <v>1</v>
      </c>
      <c r="C1770" s="309"/>
      <c r="D1770" s="310"/>
    </row>
    <row r="1771" spans="1:4" x14ac:dyDescent="0.25">
      <c r="A1771" s="418" t="s">
        <v>5886</v>
      </c>
      <c r="B1771">
        <v>1</v>
      </c>
      <c r="C1771" s="309"/>
      <c r="D1771" s="310"/>
    </row>
    <row r="1772" spans="1:4" x14ac:dyDescent="0.25">
      <c r="A1772" s="418" t="s">
        <v>5887</v>
      </c>
      <c r="B1772">
        <v>4</v>
      </c>
      <c r="C1772" s="309"/>
      <c r="D1772" s="310"/>
    </row>
    <row r="1773" spans="1:4" x14ac:dyDescent="0.25">
      <c r="A1773" s="418" t="s">
        <v>11998</v>
      </c>
      <c r="B1773">
        <v>3</v>
      </c>
      <c r="C1773" s="309"/>
      <c r="D1773" s="310"/>
    </row>
    <row r="1774" spans="1:4" x14ac:dyDescent="0.25">
      <c r="A1774" s="418" t="s">
        <v>12092</v>
      </c>
      <c r="B1774">
        <v>2</v>
      </c>
      <c r="C1774" s="309"/>
      <c r="D1774" s="310"/>
    </row>
    <row r="1775" spans="1:4" x14ac:dyDescent="0.25">
      <c r="A1775" s="418" t="s">
        <v>7252</v>
      </c>
      <c r="B1775">
        <v>2</v>
      </c>
      <c r="C1775" s="309"/>
      <c r="D1775" s="310"/>
    </row>
    <row r="1776" spans="1:4" x14ac:dyDescent="0.25">
      <c r="A1776" s="418" t="s">
        <v>7253</v>
      </c>
      <c r="B1776">
        <v>2</v>
      </c>
      <c r="C1776" s="309"/>
      <c r="D1776" s="310"/>
    </row>
    <row r="1777" spans="1:4" x14ac:dyDescent="0.25">
      <c r="A1777" s="418" t="s">
        <v>7254</v>
      </c>
      <c r="B1777">
        <v>1</v>
      </c>
      <c r="C1777" s="309"/>
      <c r="D1777" s="310"/>
    </row>
    <row r="1778" spans="1:4" x14ac:dyDescent="0.25">
      <c r="A1778" s="418" t="s">
        <v>6283</v>
      </c>
      <c r="B1778">
        <v>4</v>
      </c>
      <c r="C1778" s="309"/>
      <c r="D1778" s="310"/>
    </row>
    <row r="1779" spans="1:4" x14ac:dyDescent="0.25">
      <c r="A1779" s="418" t="s">
        <v>5802</v>
      </c>
      <c r="B1779">
        <v>9</v>
      </c>
      <c r="C1779" s="309"/>
      <c r="D1779" s="310"/>
    </row>
    <row r="1780" spans="1:4" x14ac:dyDescent="0.25">
      <c r="A1780" s="418" t="s">
        <v>8135</v>
      </c>
      <c r="B1780">
        <v>1</v>
      </c>
      <c r="C1780" s="309"/>
      <c r="D1780" s="310"/>
    </row>
    <row r="1781" spans="1:4" x14ac:dyDescent="0.25">
      <c r="A1781" s="418" t="s">
        <v>6454</v>
      </c>
      <c r="B1781">
        <v>4</v>
      </c>
      <c r="C1781" s="309"/>
      <c r="D1781" s="310"/>
    </row>
    <row r="1782" spans="1:4" x14ac:dyDescent="0.25">
      <c r="A1782" s="418" t="s">
        <v>10485</v>
      </c>
      <c r="B1782">
        <v>1</v>
      </c>
      <c r="C1782" s="309"/>
      <c r="D1782" s="310"/>
    </row>
    <row r="1783" spans="1:4" x14ac:dyDescent="0.25">
      <c r="A1783" s="418" t="s">
        <v>10486</v>
      </c>
      <c r="B1783">
        <v>2</v>
      </c>
      <c r="C1783" s="309"/>
      <c r="D1783" s="310"/>
    </row>
    <row r="1784" spans="1:4" x14ac:dyDescent="0.25">
      <c r="A1784" s="418" t="s">
        <v>10487</v>
      </c>
      <c r="B1784">
        <v>1</v>
      </c>
      <c r="C1784" s="309"/>
      <c r="D1784" s="310"/>
    </row>
    <row r="1785" spans="1:4" x14ac:dyDescent="0.25">
      <c r="A1785" s="418" t="s">
        <v>10488</v>
      </c>
      <c r="B1785">
        <v>1</v>
      </c>
      <c r="C1785" s="309"/>
      <c r="D1785" s="310"/>
    </row>
    <row r="1786" spans="1:4" x14ac:dyDescent="0.25">
      <c r="A1786" s="418" t="s">
        <v>10489</v>
      </c>
      <c r="B1786">
        <v>1</v>
      </c>
      <c r="C1786" s="309"/>
      <c r="D1786" s="310"/>
    </row>
    <row r="1787" spans="1:4" x14ac:dyDescent="0.25">
      <c r="A1787" s="418" t="s">
        <v>8265</v>
      </c>
      <c r="B1787">
        <v>10</v>
      </c>
      <c r="C1787" s="309"/>
      <c r="D1787" s="310"/>
    </row>
    <row r="1788" spans="1:4" x14ac:dyDescent="0.25">
      <c r="A1788" s="418" t="s">
        <v>16413</v>
      </c>
      <c r="B1788">
        <v>7</v>
      </c>
      <c r="C1788" s="309"/>
      <c r="D1788" s="310"/>
    </row>
    <row r="1789" spans="1:4" x14ac:dyDescent="0.25">
      <c r="A1789" s="418" t="s">
        <v>10645</v>
      </c>
      <c r="B1789">
        <v>8</v>
      </c>
      <c r="C1789" s="309"/>
      <c r="D1789" s="310"/>
    </row>
    <row r="1790" spans="1:4" x14ac:dyDescent="0.25">
      <c r="A1790" s="418" t="s">
        <v>17088</v>
      </c>
      <c r="B1790">
        <v>2</v>
      </c>
      <c r="C1790" s="309"/>
      <c r="D1790" s="310"/>
    </row>
    <row r="1791" spans="1:4" x14ac:dyDescent="0.25">
      <c r="A1791" s="418" t="s">
        <v>8863</v>
      </c>
      <c r="B1791">
        <v>3</v>
      </c>
      <c r="C1791" s="309"/>
      <c r="D1791" s="310"/>
    </row>
    <row r="1792" spans="1:4" x14ac:dyDescent="0.25">
      <c r="A1792" s="418" t="s">
        <v>8136</v>
      </c>
      <c r="B1792">
        <v>5</v>
      </c>
      <c r="C1792" s="309"/>
      <c r="D1792" s="310"/>
    </row>
    <row r="1793" spans="1:4" x14ac:dyDescent="0.25">
      <c r="A1793" s="418" t="s">
        <v>8137</v>
      </c>
      <c r="B1793">
        <v>5</v>
      </c>
      <c r="C1793" s="309"/>
      <c r="D1793" s="310"/>
    </row>
    <row r="1794" spans="1:4" x14ac:dyDescent="0.25">
      <c r="A1794" s="418" t="s">
        <v>8138</v>
      </c>
      <c r="B1794">
        <v>1</v>
      </c>
      <c r="C1794" s="309"/>
      <c r="D1794" s="310"/>
    </row>
    <row r="1795" spans="1:4" x14ac:dyDescent="0.25">
      <c r="A1795" s="418" t="s">
        <v>10988</v>
      </c>
      <c r="B1795">
        <v>1</v>
      </c>
      <c r="C1795" s="309"/>
      <c r="D1795" s="310"/>
    </row>
    <row r="1796" spans="1:4" x14ac:dyDescent="0.25">
      <c r="A1796" s="418" t="s">
        <v>7330</v>
      </c>
      <c r="B1796">
        <v>8</v>
      </c>
      <c r="C1796" s="309"/>
      <c r="D1796" s="310"/>
    </row>
    <row r="1797" spans="1:4" x14ac:dyDescent="0.25">
      <c r="A1797" s="418" t="s">
        <v>7331</v>
      </c>
      <c r="B1797">
        <v>7</v>
      </c>
      <c r="C1797" s="309"/>
      <c r="D1797" s="310"/>
    </row>
    <row r="1798" spans="1:4" x14ac:dyDescent="0.25">
      <c r="A1798" s="418" t="s">
        <v>8266</v>
      </c>
      <c r="B1798">
        <v>3</v>
      </c>
      <c r="C1798" s="309"/>
      <c r="D1798" s="310"/>
    </row>
    <row r="1799" spans="1:4" x14ac:dyDescent="0.25">
      <c r="A1799" s="418" t="s">
        <v>8267</v>
      </c>
      <c r="B1799">
        <v>3</v>
      </c>
      <c r="C1799" s="309"/>
      <c r="D1799" s="310"/>
    </row>
    <row r="1800" spans="1:4" x14ac:dyDescent="0.25">
      <c r="A1800" s="418" t="s">
        <v>6437</v>
      </c>
      <c r="B1800">
        <v>1</v>
      </c>
      <c r="C1800" s="309"/>
      <c r="D1800" s="310"/>
    </row>
    <row r="1801" spans="1:4" x14ac:dyDescent="0.25">
      <c r="A1801" s="418" t="s">
        <v>6438</v>
      </c>
      <c r="B1801">
        <v>2</v>
      </c>
      <c r="C1801" s="309"/>
      <c r="D1801" s="310"/>
    </row>
    <row r="1802" spans="1:4" x14ac:dyDescent="0.25">
      <c r="A1802" s="418" t="s">
        <v>8535</v>
      </c>
      <c r="B1802">
        <v>2</v>
      </c>
      <c r="C1802" s="309"/>
      <c r="D1802" s="310"/>
    </row>
    <row r="1803" spans="1:4" x14ac:dyDescent="0.25">
      <c r="A1803" s="418" t="s">
        <v>8536</v>
      </c>
      <c r="B1803">
        <v>2</v>
      </c>
      <c r="C1803" s="309"/>
      <c r="D1803" s="310"/>
    </row>
    <row r="1804" spans="1:4" x14ac:dyDescent="0.25">
      <c r="A1804" s="418" t="s">
        <v>8537</v>
      </c>
      <c r="B1804">
        <v>1</v>
      </c>
      <c r="C1804" s="309"/>
      <c r="D1804" s="310"/>
    </row>
    <row r="1805" spans="1:4" x14ac:dyDescent="0.25">
      <c r="A1805" s="418" t="s">
        <v>5681</v>
      </c>
      <c r="B1805">
        <v>1</v>
      </c>
      <c r="C1805" s="309"/>
      <c r="D1805" s="310"/>
    </row>
    <row r="1806" spans="1:4" x14ac:dyDescent="0.25">
      <c r="A1806" s="418" t="s">
        <v>6197</v>
      </c>
      <c r="B1806">
        <v>17</v>
      </c>
      <c r="C1806" s="309"/>
      <c r="D1806" s="310"/>
    </row>
    <row r="1807" spans="1:4" x14ac:dyDescent="0.25">
      <c r="A1807" s="418" t="s">
        <v>6198</v>
      </c>
      <c r="B1807">
        <v>14</v>
      </c>
      <c r="C1807" s="309"/>
      <c r="D1807" s="310"/>
    </row>
    <row r="1808" spans="1:4" x14ac:dyDescent="0.25">
      <c r="A1808" s="418" t="s">
        <v>6199</v>
      </c>
      <c r="B1808">
        <v>10</v>
      </c>
      <c r="C1808" s="309"/>
      <c r="D1808" s="310"/>
    </row>
    <row r="1809" spans="1:4" x14ac:dyDescent="0.25">
      <c r="A1809" s="418" t="s">
        <v>8139</v>
      </c>
      <c r="B1809">
        <v>8</v>
      </c>
      <c r="C1809" s="309"/>
      <c r="D1809" s="310"/>
    </row>
    <row r="1810" spans="1:4" x14ac:dyDescent="0.25">
      <c r="A1810" s="418" t="s">
        <v>7618</v>
      </c>
      <c r="B1810">
        <v>14</v>
      </c>
      <c r="C1810" s="309"/>
      <c r="D1810" s="310"/>
    </row>
    <row r="1811" spans="1:4" x14ac:dyDescent="0.25">
      <c r="A1811" s="418" t="s">
        <v>7619</v>
      </c>
      <c r="B1811">
        <v>12</v>
      </c>
      <c r="C1811" s="309"/>
      <c r="D1811" s="310"/>
    </row>
    <row r="1812" spans="1:4" x14ac:dyDescent="0.25">
      <c r="A1812" s="418" t="s">
        <v>8864</v>
      </c>
      <c r="B1812">
        <v>6</v>
      </c>
      <c r="C1812" s="309"/>
      <c r="D1812" s="310"/>
    </row>
    <row r="1813" spans="1:4" x14ac:dyDescent="0.25">
      <c r="A1813" s="418" t="s">
        <v>8140</v>
      </c>
      <c r="B1813">
        <v>8</v>
      </c>
      <c r="C1813" s="309"/>
      <c r="D1813" s="310"/>
    </row>
    <row r="1814" spans="1:4" x14ac:dyDescent="0.25">
      <c r="A1814" s="418" t="s">
        <v>9533</v>
      </c>
      <c r="B1814">
        <v>2</v>
      </c>
      <c r="C1814" s="309"/>
      <c r="D1814" s="310"/>
    </row>
    <row r="1815" spans="1:4" x14ac:dyDescent="0.25">
      <c r="A1815" s="418" t="s">
        <v>6439</v>
      </c>
      <c r="B1815">
        <v>5</v>
      </c>
      <c r="C1815" s="309"/>
      <c r="D1815" s="310"/>
    </row>
    <row r="1816" spans="1:4" x14ac:dyDescent="0.25">
      <c r="A1816" s="418" t="s">
        <v>6440</v>
      </c>
      <c r="B1816">
        <v>4</v>
      </c>
      <c r="C1816" s="309"/>
      <c r="D1816" s="310"/>
    </row>
    <row r="1817" spans="1:4" x14ac:dyDescent="0.25">
      <c r="A1817" s="418" t="s">
        <v>5682</v>
      </c>
      <c r="B1817">
        <v>3</v>
      </c>
      <c r="C1817" s="309"/>
      <c r="D1817" s="310"/>
    </row>
    <row r="1818" spans="1:4" x14ac:dyDescent="0.25">
      <c r="A1818" s="418" t="s">
        <v>6200</v>
      </c>
      <c r="B1818">
        <v>3</v>
      </c>
      <c r="C1818" s="309"/>
      <c r="D1818" s="310"/>
    </row>
    <row r="1819" spans="1:4" x14ac:dyDescent="0.25">
      <c r="A1819" s="418" t="s">
        <v>8564</v>
      </c>
      <c r="B1819">
        <v>1</v>
      </c>
      <c r="C1819" s="309"/>
      <c r="D1819" s="310"/>
    </row>
    <row r="1820" spans="1:4" x14ac:dyDescent="0.25">
      <c r="A1820" s="418" t="s">
        <v>6876</v>
      </c>
      <c r="B1820">
        <v>3</v>
      </c>
      <c r="C1820" s="309"/>
      <c r="D1820" s="310"/>
    </row>
    <row r="1821" spans="1:4" x14ac:dyDescent="0.25">
      <c r="A1821" s="418" t="s">
        <v>7255</v>
      </c>
      <c r="B1821">
        <v>3</v>
      </c>
      <c r="C1821" s="309"/>
      <c r="D1821" s="310"/>
    </row>
    <row r="1822" spans="1:4" x14ac:dyDescent="0.25">
      <c r="A1822" s="418" t="s">
        <v>7256</v>
      </c>
      <c r="B1822">
        <v>3</v>
      </c>
      <c r="C1822" s="309"/>
      <c r="D1822" s="310"/>
    </row>
    <row r="1823" spans="1:4" x14ac:dyDescent="0.25">
      <c r="A1823" s="418" t="s">
        <v>7257</v>
      </c>
      <c r="B1823">
        <v>1</v>
      </c>
      <c r="C1823" s="309"/>
      <c r="D1823" s="310"/>
    </row>
    <row r="1824" spans="1:4" x14ac:dyDescent="0.25">
      <c r="A1824" s="418" t="s">
        <v>5683</v>
      </c>
      <c r="B1824">
        <v>3</v>
      </c>
      <c r="C1824" s="309"/>
      <c r="D1824" s="310"/>
    </row>
    <row r="1825" spans="1:4" x14ac:dyDescent="0.25">
      <c r="A1825" s="418" t="s">
        <v>5684</v>
      </c>
      <c r="B1825">
        <v>4</v>
      </c>
      <c r="C1825" s="309"/>
      <c r="D1825" s="310"/>
    </row>
    <row r="1826" spans="1:4" x14ac:dyDescent="0.25">
      <c r="A1826" s="418" t="s">
        <v>16414</v>
      </c>
      <c r="B1826">
        <v>1</v>
      </c>
      <c r="C1826" s="309"/>
      <c r="D1826" s="310"/>
    </row>
    <row r="1827" spans="1:4" x14ac:dyDescent="0.25">
      <c r="A1827" s="418" t="s">
        <v>6877</v>
      </c>
      <c r="B1827">
        <v>3</v>
      </c>
      <c r="C1827" s="309"/>
      <c r="D1827" s="310"/>
    </row>
    <row r="1828" spans="1:4" x14ac:dyDescent="0.25">
      <c r="A1828" s="418" t="s">
        <v>6127</v>
      </c>
      <c r="B1828">
        <v>3</v>
      </c>
      <c r="C1828" s="309"/>
      <c r="D1828" s="310"/>
    </row>
    <row r="1829" spans="1:4" x14ac:dyDescent="0.25">
      <c r="A1829" s="418" t="s">
        <v>9262</v>
      </c>
      <c r="B1829">
        <v>1</v>
      </c>
      <c r="C1829" s="309"/>
      <c r="D1829" s="310"/>
    </row>
    <row r="1830" spans="1:4" x14ac:dyDescent="0.25">
      <c r="A1830" s="418" t="s">
        <v>7378</v>
      </c>
      <c r="B1830">
        <v>10</v>
      </c>
      <c r="C1830" s="309"/>
      <c r="D1830" s="310"/>
    </row>
    <row r="1831" spans="1:4" x14ac:dyDescent="0.25">
      <c r="A1831" s="418" t="s">
        <v>7379</v>
      </c>
      <c r="B1831">
        <v>14</v>
      </c>
      <c r="C1831" s="309"/>
      <c r="D1831" s="310"/>
    </row>
    <row r="1832" spans="1:4" x14ac:dyDescent="0.25">
      <c r="A1832" s="418" t="s">
        <v>8141</v>
      </c>
      <c r="B1832">
        <v>6</v>
      </c>
      <c r="C1832" s="309"/>
      <c r="D1832" s="310"/>
    </row>
    <row r="1833" spans="1:4" x14ac:dyDescent="0.25">
      <c r="A1833" s="418" t="s">
        <v>8142</v>
      </c>
      <c r="B1833">
        <v>5</v>
      </c>
      <c r="C1833" s="309"/>
      <c r="D1833" s="310"/>
    </row>
    <row r="1834" spans="1:4" x14ac:dyDescent="0.25">
      <c r="A1834" s="418" t="s">
        <v>10646</v>
      </c>
      <c r="B1834">
        <v>3</v>
      </c>
      <c r="C1834" s="309"/>
      <c r="D1834" s="310"/>
    </row>
    <row r="1835" spans="1:4" x14ac:dyDescent="0.25">
      <c r="A1835" s="418" t="s">
        <v>10647</v>
      </c>
      <c r="B1835">
        <v>3</v>
      </c>
      <c r="C1835" s="309"/>
      <c r="D1835" s="310"/>
    </row>
    <row r="1836" spans="1:4" x14ac:dyDescent="0.25">
      <c r="A1836" s="418" t="s">
        <v>10648</v>
      </c>
      <c r="B1836">
        <v>3</v>
      </c>
      <c r="C1836" s="309"/>
      <c r="D1836" s="310"/>
    </row>
    <row r="1837" spans="1:4" x14ac:dyDescent="0.25">
      <c r="A1837" s="418" t="s">
        <v>10649</v>
      </c>
      <c r="B1837">
        <v>1</v>
      </c>
      <c r="C1837" s="309"/>
      <c r="D1837" s="310"/>
    </row>
    <row r="1838" spans="1:4" x14ac:dyDescent="0.25">
      <c r="A1838" s="418" t="s">
        <v>7047</v>
      </c>
      <c r="B1838">
        <v>3</v>
      </c>
      <c r="C1838" s="309"/>
      <c r="D1838" s="310"/>
    </row>
    <row r="1839" spans="1:4" x14ac:dyDescent="0.25">
      <c r="A1839" s="418" t="s">
        <v>6137</v>
      </c>
      <c r="B1839">
        <v>4</v>
      </c>
      <c r="C1839" s="309"/>
      <c r="D1839" s="310"/>
    </row>
    <row r="1840" spans="1:4" x14ac:dyDescent="0.25">
      <c r="A1840" s="418" t="s">
        <v>8268</v>
      </c>
      <c r="B1840">
        <v>2</v>
      </c>
      <c r="C1840" s="309"/>
      <c r="D1840" s="310"/>
    </row>
    <row r="1841" spans="1:4" x14ac:dyDescent="0.25">
      <c r="A1841" s="418" t="s">
        <v>7332</v>
      </c>
      <c r="B1841">
        <v>6</v>
      </c>
      <c r="C1841" s="309"/>
      <c r="D1841" s="310"/>
    </row>
    <row r="1842" spans="1:4" x14ac:dyDescent="0.25">
      <c r="A1842" s="418" t="s">
        <v>6914</v>
      </c>
      <c r="B1842">
        <v>1</v>
      </c>
      <c r="C1842" s="309"/>
      <c r="D1842" s="310"/>
    </row>
    <row r="1843" spans="1:4" x14ac:dyDescent="0.25">
      <c r="A1843" s="418" t="s">
        <v>7081</v>
      </c>
      <c r="B1843">
        <v>9</v>
      </c>
      <c r="C1843" s="309"/>
      <c r="D1843" s="310"/>
    </row>
    <row r="1844" spans="1:4" x14ac:dyDescent="0.25">
      <c r="A1844" s="418" t="s">
        <v>7769</v>
      </c>
      <c r="B1844">
        <v>12</v>
      </c>
      <c r="C1844" s="309"/>
      <c r="D1844" s="310"/>
    </row>
    <row r="1845" spans="1:4" x14ac:dyDescent="0.25">
      <c r="A1845" s="418" t="s">
        <v>7082</v>
      </c>
      <c r="B1845">
        <v>11</v>
      </c>
      <c r="C1845" s="309"/>
      <c r="D1845" s="310"/>
    </row>
    <row r="1846" spans="1:4" x14ac:dyDescent="0.25">
      <c r="A1846" s="418" t="s">
        <v>15495</v>
      </c>
      <c r="B1846">
        <v>3</v>
      </c>
      <c r="C1846" s="309"/>
      <c r="D1846" s="310"/>
    </row>
    <row r="1847" spans="1:4" x14ac:dyDescent="0.25">
      <c r="A1847" s="418" t="s">
        <v>5803</v>
      </c>
      <c r="B1847">
        <v>5</v>
      </c>
      <c r="C1847" s="309"/>
      <c r="D1847" s="310"/>
    </row>
    <row r="1848" spans="1:4" x14ac:dyDescent="0.25">
      <c r="A1848" s="418" t="s">
        <v>5804</v>
      </c>
      <c r="B1848">
        <v>4</v>
      </c>
      <c r="C1848" s="309"/>
      <c r="D1848" s="310"/>
    </row>
    <row r="1849" spans="1:4" x14ac:dyDescent="0.25">
      <c r="A1849" s="418" t="s">
        <v>8364</v>
      </c>
      <c r="B1849">
        <v>4</v>
      </c>
      <c r="C1849" s="309"/>
      <c r="D1849" s="310"/>
    </row>
    <row r="1850" spans="1:4" x14ac:dyDescent="0.25">
      <c r="A1850" s="418" t="s">
        <v>7770</v>
      </c>
      <c r="B1850">
        <v>5</v>
      </c>
      <c r="C1850" s="309"/>
      <c r="D1850" s="310"/>
    </row>
    <row r="1851" spans="1:4" x14ac:dyDescent="0.25">
      <c r="A1851" s="418" t="s">
        <v>8269</v>
      </c>
      <c r="B1851">
        <v>3</v>
      </c>
      <c r="C1851" s="309"/>
      <c r="D1851" s="310"/>
    </row>
    <row r="1852" spans="1:4" x14ac:dyDescent="0.25">
      <c r="A1852" s="418" t="s">
        <v>11099</v>
      </c>
      <c r="B1852">
        <v>1</v>
      </c>
      <c r="C1852" s="309"/>
      <c r="D1852" s="310"/>
    </row>
    <row r="1853" spans="1:4" x14ac:dyDescent="0.25">
      <c r="A1853" s="418" t="s">
        <v>5857</v>
      </c>
      <c r="B1853">
        <v>1</v>
      </c>
      <c r="C1853" s="309"/>
      <c r="D1853" s="310"/>
    </row>
    <row r="1854" spans="1:4" x14ac:dyDescent="0.25">
      <c r="A1854" s="418" t="s">
        <v>7620</v>
      </c>
      <c r="B1854">
        <v>3</v>
      </c>
      <c r="C1854" s="309"/>
      <c r="D1854" s="310"/>
    </row>
    <row r="1855" spans="1:4" x14ac:dyDescent="0.25">
      <c r="A1855" s="418" t="s">
        <v>7621</v>
      </c>
      <c r="B1855">
        <v>1</v>
      </c>
      <c r="C1855" s="309"/>
      <c r="D1855" s="310"/>
    </row>
    <row r="1856" spans="1:4" x14ac:dyDescent="0.25">
      <c r="A1856" s="418" t="s">
        <v>5805</v>
      </c>
      <c r="B1856">
        <v>2</v>
      </c>
      <c r="C1856" s="309"/>
      <c r="D1856" s="310"/>
    </row>
    <row r="1857" spans="1:4" x14ac:dyDescent="0.25">
      <c r="A1857" s="418" t="s">
        <v>5969</v>
      </c>
      <c r="B1857">
        <v>2</v>
      </c>
      <c r="C1857" s="309"/>
      <c r="D1857" s="310"/>
    </row>
    <row r="1858" spans="1:4" x14ac:dyDescent="0.25">
      <c r="A1858" s="418" t="s">
        <v>5970</v>
      </c>
      <c r="B1858">
        <v>1</v>
      </c>
      <c r="C1858" s="309"/>
      <c r="D1858" s="310"/>
    </row>
    <row r="1859" spans="1:4" x14ac:dyDescent="0.25">
      <c r="A1859" s="418" t="s">
        <v>7471</v>
      </c>
      <c r="B1859">
        <v>3</v>
      </c>
      <c r="C1859" s="309"/>
      <c r="D1859" s="310"/>
    </row>
    <row r="1860" spans="1:4" x14ac:dyDescent="0.25">
      <c r="A1860" s="418" t="s">
        <v>7472</v>
      </c>
      <c r="B1860">
        <v>3</v>
      </c>
      <c r="C1860" s="309"/>
      <c r="D1860" s="310"/>
    </row>
    <row r="1861" spans="1:4" x14ac:dyDescent="0.25">
      <c r="A1861" s="418" t="s">
        <v>8209</v>
      </c>
      <c r="B1861">
        <v>3</v>
      </c>
      <c r="C1861" s="309"/>
      <c r="D1861" s="310"/>
    </row>
    <row r="1862" spans="1:4" x14ac:dyDescent="0.25">
      <c r="A1862" s="418" t="s">
        <v>7622</v>
      </c>
      <c r="B1862">
        <v>1</v>
      </c>
      <c r="C1862" s="309"/>
      <c r="D1862" s="310"/>
    </row>
    <row r="1863" spans="1:4" x14ac:dyDescent="0.25">
      <c r="A1863" s="418" t="s">
        <v>6455</v>
      </c>
      <c r="B1863">
        <v>3</v>
      </c>
      <c r="C1863" s="309"/>
      <c r="D1863" s="310"/>
    </row>
    <row r="1864" spans="1:4" x14ac:dyDescent="0.25">
      <c r="A1864" s="418" t="s">
        <v>10289</v>
      </c>
      <c r="B1864">
        <v>3</v>
      </c>
      <c r="C1864" s="309"/>
      <c r="D1864" s="310"/>
    </row>
    <row r="1865" spans="1:4" x14ac:dyDescent="0.25">
      <c r="A1865" s="418" t="s">
        <v>10290</v>
      </c>
      <c r="B1865">
        <v>3</v>
      </c>
      <c r="C1865" s="309"/>
      <c r="D1865" s="310"/>
    </row>
    <row r="1866" spans="1:4" x14ac:dyDescent="0.25">
      <c r="A1866" s="418" t="s">
        <v>5997</v>
      </c>
      <c r="B1866">
        <v>3</v>
      </c>
      <c r="C1866" s="309"/>
      <c r="D1866" s="310"/>
    </row>
    <row r="1867" spans="1:4" x14ac:dyDescent="0.25">
      <c r="A1867" s="418" t="s">
        <v>8565</v>
      </c>
      <c r="B1867">
        <v>1</v>
      </c>
      <c r="C1867" s="309"/>
      <c r="D1867" s="310"/>
    </row>
    <row r="1868" spans="1:4" x14ac:dyDescent="0.25">
      <c r="A1868" s="418" t="s">
        <v>8566</v>
      </c>
      <c r="B1868">
        <v>1</v>
      </c>
      <c r="C1868" s="309"/>
      <c r="D1868" s="310"/>
    </row>
    <row r="1869" spans="1:4" x14ac:dyDescent="0.25">
      <c r="A1869" s="418" t="s">
        <v>6456</v>
      </c>
      <c r="B1869">
        <v>3</v>
      </c>
      <c r="C1869" s="309"/>
      <c r="D1869" s="310"/>
    </row>
    <row r="1870" spans="1:4" x14ac:dyDescent="0.25">
      <c r="A1870" s="418" t="s">
        <v>6961</v>
      </c>
      <c r="B1870">
        <v>1</v>
      </c>
      <c r="C1870" s="309"/>
      <c r="D1870" s="310"/>
    </row>
    <row r="1871" spans="1:4" x14ac:dyDescent="0.25">
      <c r="A1871" s="418" t="s">
        <v>6638</v>
      </c>
      <c r="B1871">
        <v>2</v>
      </c>
      <c r="C1871" s="309"/>
      <c r="D1871" s="310"/>
    </row>
    <row r="1872" spans="1:4" x14ac:dyDescent="0.25">
      <c r="A1872" s="418" t="s">
        <v>8210</v>
      </c>
      <c r="B1872">
        <v>1</v>
      </c>
      <c r="C1872" s="309"/>
      <c r="D1872" s="310"/>
    </row>
    <row r="1873" spans="1:4" x14ac:dyDescent="0.25">
      <c r="A1873" s="418" t="s">
        <v>11202</v>
      </c>
      <c r="B1873">
        <v>1</v>
      </c>
      <c r="C1873" s="309"/>
      <c r="D1873" s="310"/>
    </row>
    <row r="1874" spans="1:4" x14ac:dyDescent="0.25">
      <c r="A1874" s="418" t="s">
        <v>11203</v>
      </c>
      <c r="B1874">
        <v>1</v>
      </c>
      <c r="C1874" s="309"/>
      <c r="D1874" s="310"/>
    </row>
    <row r="1875" spans="1:4" x14ac:dyDescent="0.25">
      <c r="A1875" s="418" t="s">
        <v>7473</v>
      </c>
      <c r="B1875">
        <v>3</v>
      </c>
      <c r="C1875" s="309"/>
      <c r="D1875" s="310"/>
    </row>
    <row r="1876" spans="1:4" x14ac:dyDescent="0.25">
      <c r="A1876" s="418" t="s">
        <v>6915</v>
      </c>
      <c r="B1876">
        <v>4</v>
      </c>
      <c r="C1876" s="309"/>
      <c r="D1876" s="310"/>
    </row>
    <row r="1877" spans="1:4" x14ac:dyDescent="0.25">
      <c r="A1877" s="418" t="s">
        <v>7474</v>
      </c>
      <c r="B1877">
        <v>3</v>
      </c>
      <c r="C1877" s="309"/>
      <c r="D1877" s="310"/>
    </row>
    <row r="1878" spans="1:4" x14ac:dyDescent="0.25">
      <c r="A1878" s="418" t="s">
        <v>9591</v>
      </c>
      <c r="B1878">
        <v>3</v>
      </c>
      <c r="C1878" s="309"/>
      <c r="D1878" s="310"/>
    </row>
    <row r="1879" spans="1:4" x14ac:dyDescent="0.25">
      <c r="A1879" s="418" t="s">
        <v>9592</v>
      </c>
      <c r="B1879">
        <v>3</v>
      </c>
      <c r="C1879" s="309"/>
      <c r="D1879" s="310"/>
    </row>
    <row r="1880" spans="1:4" x14ac:dyDescent="0.25">
      <c r="A1880" s="418" t="s">
        <v>11351</v>
      </c>
      <c r="B1880">
        <v>1</v>
      </c>
      <c r="C1880" s="309"/>
      <c r="D1880" s="310"/>
    </row>
    <row r="1881" spans="1:4" x14ac:dyDescent="0.25">
      <c r="A1881" s="418" t="s">
        <v>6413</v>
      </c>
      <c r="B1881">
        <v>7</v>
      </c>
      <c r="C1881" s="309"/>
      <c r="D1881" s="310"/>
    </row>
    <row r="1882" spans="1:4" x14ac:dyDescent="0.25">
      <c r="A1882" s="418" t="s">
        <v>6414</v>
      </c>
      <c r="B1882">
        <v>5</v>
      </c>
      <c r="C1882" s="309"/>
      <c r="D1882" s="310"/>
    </row>
    <row r="1883" spans="1:4" x14ac:dyDescent="0.25">
      <c r="A1883" s="418" t="s">
        <v>7048</v>
      </c>
      <c r="B1883">
        <v>5</v>
      </c>
      <c r="C1883" s="309"/>
      <c r="D1883" s="310"/>
    </row>
    <row r="1884" spans="1:4" x14ac:dyDescent="0.25">
      <c r="A1884" s="418" t="s">
        <v>7333</v>
      </c>
      <c r="B1884">
        <v>2</v>
      </c>
      <c r="C1884" s="309"/>
      <c r="D1884" s="310"/>
    </row>
    <row r="1885" spans="1:4" x14ac:dyDescent="0.25">
      <c r="A1885" s="418" t="s">
        <v>8270</v>
      </c>
      <c r="B1885">
        <v>1</v>
      </c>
      <c r="C1885" s="309"/>
      <c r="D1885" s="310"/>
    </row>
    <row r="1886" spans="1:4" x14ac:dyDescent="0.25">
      <c r="A1886" s="418" t="s">
        <v>9418</v>
      </c>
      <c r="B1886">
        <v>8</v>
      </c>
      <c r="C1886" s="309"/>
      <c r="D1886" s="310"/>
    </row>
    <row r="1887" spans="1:4" x14ac:dyDescent="0.25">
      <c r="A1887" s="418" t="s">
        <v>9419</v>
      </c>
      <c r="B1887">
        <v>8</v>
      </c>
      <c r="C1887" s="309"/>
      <c r="D1887" s="310"/>
    </row>
    <row r="1888" spans="1:4" x14ac:dyDescent="0.25">
      <c r="A1888" s="418" t="s">
        <v>9420</v>
      </c>
      <c r="B1888">
        <v>8</v>
      </c>
      <c r="C1888" s="309"/>
      <c r="D1888" s="310"/>
    </row>
    <row r="1889" spans="1:4" x14ac:dyDescent="0.25">
      <c r="A1889" s="418" t="s">
        <v>11051</v>
      </c>
      <c r="B1889">
        <v>2</v>
      </c>
      <c r="C1889" s="309"/>
      <c r="D1889" s="310"/>
    </row>
    <row r="1890" spans="1:4" x14ac:dyDescent="0.25">
      <c r="A1890" s="418" t="s">
        <v>5971</v>
      </c>
      <c r="B1890">
        <v>2</v>
      </c>
      <c r="C1890" s="309"/>
      <c r="D1890" s="310"/>
    </row>
    <row r="1891" spans="1:4" x14ac:dyDescent="0.25">
      <c r="A1891" s="418" t="s">
        <v>5662</v>
      </c>
      <c r="B1891">
        <v>3</v>
      </c>
      <c r="C1891" s="309"/>
      <c r="D1891" s="310"/>
    </row>
    <row r="1892" spans="1:4" x14ac:dyDescent="0.25">
      <c r="A1892" s="418" t="s">
        <v>9242</v>
      </c>
      <c r="B1892">
        <v>3</v>
      </c>
      <c r="C1892" s="309"/>
      <c r="D1892" s="310"/>
    </row>
    <row r="1893" spans="1:4" x14ac:dyDescent="0.25">
      <c r="A1893" s="418" t="s">
        <v>9712</v>
      </c>
      <c r="B1893">
        <v>4</v>
      </c>
      <c r="C1893" s="309"/>
      <c r="D1893" s="310"/>
    </row>
    <row r="1894" spans="1:4" x14ac:dyDescent="0.25">
      <c r="A1894" s="418" t="s">
        <v>10806</v>
      </c>
      <c r="B1894">
        <v>2</v>
      </c>
      <c r="C1894" s="309"/>
      <c r="D1894" s="310"/>
    </row>
    <row r="1895" spans="1:4" x14ac:dyDescent="0.25">
      <c r="A1895" s="418" t="s">
        <v>9243</v>
      </c>
      <c r="B1895">
        <v>2</v>
      </c>
      <c r="C1895" s="309"/>
      <c r="D1895" s="310"/>
    </row>
    <row r="1896" spans="1:4" x14ac:dyDescent="0.25">
      <c r="A1896" s="418" t="s">
        <v>10130</v>
      </c>
      <c r="B1896">
        <v>4</v>
      </c>
      <c r="C1896" s="309"/>
      <c r="D1896" s="310"/>
    </row>
    <row r="1897" spans="1:4" x14ac:dyDescent="0.25">
      <c r="A1897" s="418" t="s">
        <v>10131</v>
      </c>
      <c r="B1897">
        <v>6</v>
      </c>
      <c r="C1897" s="309"/>
      <c r="D1897" s="310"/>
    </row>
    <row r="1898" spans="1:4" x14ac:dyDescent="0.25">
      <c r="A1898" s="418" t="s">
        <v>11842</v>
      </c>
      <c r="B1898">
        <v>2</v>
      </c>
      <c r="C1898" s="309"/>
      <c r="D1898" s="310"/>
    </row>
    <row r="1899" spans="1:4" x14ac:dyDescent="0.25">
      <c r="A1899" s="418" t="s">
        <v>10132</v>
      </c>
      <c r="B1899">
        <v>3</v>
      </c>
      <c r="C1899" s="309"/>
      <c r="D1899" s="310"/>
    </row>
    <row r="1900" spans="1:4" x14ac:dyDescent="0.25">
      <c r="A1900" s="418" t="s">
        <v>4483</v>
      </c>
      <c r="B1900">
        <v>3</v>
      </c>
      <c r="C1900" s="309"/>
      <c r="D1900" s="310"/>
    </row>
    <row r="1901" spans="1:4" x14ac:dyDescent="0.25">
      <c r="A1901" s="418" t="s">
        <v>4484</v>
      </c>
      <c r="B1901">
        <v>4</v>
      </c>
      <c r="C1901" s="309"/>
      <c r="D1901" s="310"/>
    </row>
    <row r="1902" spans="1:4" x14ac:dyDescent="0.25">
      <c r="A1902" s="418" t="s">
        <v>4485</v>
      </c>
      <c r="B1902">
        <v>1</v>
      </c>
      <c r="C1902" s="309"/>
      <c r="D1902" s="310"/>
    </row>
    <row r="1903" spans="1:4" x14ac:dyDescent="0.25">
      <c r="A1903" s="418" t="s">
        <v>6751</v>
      </c>
      <c r="B1903">
        <v>4</v>
      </c>
      <c r="C1903" s="309"/>
      <c r="D1903" s="310"/>
    </row>
    <row r="1904" spans="1:4" x14ac:dyDescent="0.25">
      <c r="A1904" s="418" t="s">
        <v>5972</v>
      </c>
      <c r="B1904">
        <v>8</v>
      </c>
      <c r="C1904" s="309"/>
      <c r="D1904" s="310"/>
    </row>
    <row r="1905" spans="1:4" x14ac:dyDescent="0.25">
      <c r="A1905" s="418" t="s">
        <v>5973</v>
      </c>
      <c r="B1905">
        <v>4</v>
      </c>
      <c r="C1905" s="309"/>
      <c r="D1905" s="310"/>
    </row>
    <row r="1906" spans="1:4" x14ac:dyDescent="0.25">
      <c r="A1906" s="418" t="s">
        <v>8271</v>
      </c>
      <c r="B1906">
        <v>3</v>
      </c>
      <c r="C1906" s="309"/>
      <c r="D1906" s="310"/>
    </row>
    <row r="1907" spans="1:4" x14ac:dyDescent="0.25">
      <c r="A1907" s="418" t="s">
        <v>9534</v>
      </c>
      <c r="B1907">
        <v>2</v>
      </c>
      <c r="C1907" s="309"/>
      <c r="D1907" s="310"/>
    </row>
    <row r="1908" spans="1:4" x14ac:dyDescent="0.25">
      <c r="A1908" s="418" t="s">
        <v>9535</v>
      </c>
      <c r="B1908">
        <v>1</v>
      </c>
      <c r="C1908" s="309"/>
      <c r="D1908" s="310"/>
    </row>
    <row r="1909" spans="1:4" x14ac:dyDescent="0.25">
      <c r="A1909" s="418" t="s">
        <v>7986</v>
      </c>
      <c r="B1909">
        <v>4</v>
      </c>
      <c r="C1909" s="309"/>
      <c r="D1909" s="310"/>
    </row>
    <row r="1910" spans="1:4" x14ac:dyDescent="0.25">
      <c r="A1910" s="418" t="s">
        <v>9263</v>
      </c>
      <c r="B1910">
        <v>5</v>
      </c>
      <c r="C1910" s="309"/>
      <c r="D1910" s="310"/>
    </row>
    <row r="1911" spans="1:4" x14ac:dyDescent="0.25">
      <c r="A1911" s="418" t="s">
        <v>9264</v>
      </c>
      <c r="B1911">
        <v>4</v>
      </c>
      <c r="C1911" s="309"/>
      <c r="D1911" s="310"/>
    </row>
    <row r="1912" spans="1:4" x14ac:dyDescent="0.25">
      <c r="A1912" s="418" t="s">
        <v>6346</v>
      </c>
      <c r="B1912">
        <v>8</v>
      </c>
      <c r="C1912" s="309"/>
      <c r="D1912" s="310"/>
    </row>
    <row r="1913" spans="1:4" x14ac:dyDescent="0.25">
      <c r="A1913" s="418" t="s">
        <v>6662</v>
      </c>
      <c r="B1913">
        <v>10</v>
      </c>
      <c r="C1913" s="309"/>
      <c r="D1913" s="310"/>
    </row>
    <row r="1914" spans="1:4" x14ac:dyDescent="0.25">
      <c r="A1914" s="418" t="s">
        <v>8143</v>
      </c>
      <c r="B1914">
        <v>5</v>
      </c>
      <c r="C1914" s="309"/>
      <c r="D1914" s="310"/>
    </row>
    <row r="1915" spans="1:4" x14ac:dyDescent="0.25">
      <c r="A1915" s="418" t="s">
        <v>7623</v>
      </c>
      <c r="B1915">
        <v>3</v>
      </c>
      <c r="C1915" s="309"/>
      <c r="D1915" s="310"/>
    </row>
    <row r="1916" spans="1:4" x14ac:dyDescent="0.25">
      <c r="A1916" s="418" t="s">
        <v>7624</v>
      </c>
      <c r="B1916">
        <v>1</v>
      </c>
      <c r="C1916" s="309"/>
      <c r="D1916" s="310"/>
    </row>
    <row r="1917" spans="1:4" x14ac:dyDescent="0.25">
      <c r="A1917" s="418" t="s">
        <v>8211</v>
      </c>
      <c r="B1917">
        <v>6</v>
      </c>
      <c r="C1917" s="309"/>
      <c r="D1917" s="310"/>
    </row>
    <row r="1918" spans="1:4" x14ac:dyDescent="0.25">
      <c r="A1918" s="418" t="s">
        <v>6752</v>
      </c>
      <c r="B1918">
        <v>8</v>
      </c>
      <c r="C1918" s="309"/>
      <c r="D1918" s="310"/>
    </row>
    <row r="1919" spans="1:4" x14ac:dyDescent="0.25">
      <c r="A1919" s="418" t="s">
        <v>8212</v>
      </c>
      <c r="B1919">
        <v>4</v>
      </c>
      <c r="C1919" s="309"/>
      <c r="D1919" s="310"/>
    </row>
    <row r="1920" spans="1:4" x14ac:dyDescent="0.25">
      <c r="A1920" s="418" t="s">
        <v>8213</v>
      </c>
      <c r="B1920">
        <v>4</v>
      </c>
      <c r="C1920" s="309"/>
      <c r="D1920" s="310"/>
    </row>
    <row r="1921" spans="1:4" x14ac:dyDescent="0.25">
      <c r="A1921" s="418" t="s">
        <v>9045</v>
      </c>
      <c r="B1921">
        <v>1</v>
      </c>
      <c r="C1921" s="309"/>
      <c r="D1921" s="310"/>
    </row>
    <row r="1922" spans="1:4" x14ac:dyDescent="0.25">
      <c r="A1922" s="418" t="s">
        <v>6753</v>
      </c>
      <c r="B1922">
        <v>2</v>
      </c>
      <c r="C1922" s="309"/>
      <c r="D1922" s="310"/>
    </row>
    <row r="1923" spans="1:4" x14ac:dyDescent="0.25">
      <c r="A1923" s="418" t="s">
        <v>6754</v>
      </c>
      <c r="B1923">
        <v>2</v>
      </c>
      <c r="C1923" s="309"/>
      <c r="D1923" s="310"/>
    </row>
    <row r="1924" spans="1:4" x14ac:dyDescent="0.25">
      <c r="A1924" s="418" t="s">
        <v>7083</v>
      </c>
      <c r="B1924">
        <v>3</v>
      </c>
      <c r="C1924" s="309"/>
      <c r="D1924" s="310"/>
    </row>
    <row r="1925" spans="1:4" x14ac:dyDescent="0.25">
      <c r="A1925" s="418" t="s">
        <v>8409</v>
      </c>
      <c r="B1925">
        <v>1</v>
      </c>
      <c r="C1925" s="309"/>
      <c r="D1925" s="310"/>
    </row>
    <row r="1926" spans="1:4" x14ac:dyDescent="0.25">
      <c r="A1926" s="418" t="s">
        <v>11100</v>
      </c>
      <c r="B1926">
        <v>1</v>
      </c>
      <c r="C1926" s="309"/>
      <c r="D1926" s="310"/>
    </row>
    <row r="1927" spans="1:4" x14ac:dyDescent="0.25">
      <c r="A1927" s="418" t="s">
        <v>12240</v>
      </c>
      <c r="B1927">
        <v>1</v>
      </c>
      <c r="C1927" s="309"/>
      <c r="D1927" s="310"/>
    </row>
    <row r="1928" spans="1:4" x14ac:dyDescent="0.25">
      <c r="A1928" s="418" t="s">
        <v>12241</v>
      </c>
      <c r="B1928">
        <v>1</v>
      </c>
      <c r="C1928" s="309"/>
      <c r="D1928" s="310"/>
    </row>
    <row r="1929" spans="1:4" x14ac:dyDescent="0.25">
      <c r="A1929" s="418" t="s">
        <v>15496</v>
      </c>
      <c r="B1929">
        <v>1</v>
      </c>
      <c r="C1929" s="309"/>
      <c r="D1929" s="310"/>
    </row>
    <row r="1930" spans="1:4" x14ac:dyDescent="0.25">
      <c r="A1930" s="418" t="s">
        <v>6755</v>
      </c>
      <c r="B1930">
        <v>3</v>
      </c>
      <c r="C1930" s="309"/>
      <c r="D1930" s="310"/>
    </row>
    <row r="1931" spans="1:4" x14ac:dyDescent="0.25">
      <c r="A1931" s="418" t="s">
        <v>7084</v>
      </c>
      <c r="B1931">
        <v>3</v>
      </c>
      <c r="C1931" s="309"/>
      <c r="D1931" s="310"/>
    </row>
    <row r="1932" spans="1:4" x14ac:dyDescent="0.25">
      <c r="A1932" s="418" t="s">
        <v>11483</v>
      </c>
      <c r="B1932">
        <v>1</v>
      </c>
      <c r="C1932" s="309"/>
      <c r="D1932" s="310"/>
    </row>
    <row r="1933" spans="1:4" x14ac:dyDescent="0.25">
      <c r="A1933" s="418" t="s">
        <v>11484</v>
      </c>
      <c r="B1933">
        <v>3</v>
      </c>
      <c r="C1933" s="309"/>
      <c r="D1933" s="310"/>
    </row>
    <row r="1934" spans="1:4" x14ac:dyDescent="0.25">
      <c r="A1934" s="418" t="s">
        <v>11485</v>
      </c>
      <c r="B1934">
        <v>1</v>
      </c>
      <c r="C1934" s="309"/>
      <c r="D1934" s="310"/>
    </row>
    <row r="1935" spans="1:4" x14ac:dyDescent="0.25">
      <c r="A1935" s="418" t="s">
        <v>12423</v>
      </c>
      <c r="B1935">
        <v>1</v>
      </c>
      <c r="C1935" s="309"/>
      <c r="D1935" s="310"/>
    </row>
    <row r="1936" spans="1:4" x14ac:dyDescent="0.25">
      <c r="A1936" s="418" t="s">
        <v>6457</v>
      </c>
      <c r="B1936">
        <v>3</v>
      </c>
      <c r="C1936" s="309"/>
      <c r="D1936" s="310"/>
    </row>
    <row r="1937" spans="1:4" x14ac:dyDescent="0.25">
      <c r="A1937" s="418" t="s">
        <v>10291</v>
      </c>
      <c r="B1937">
        <v>2</v>
      </c>
      <c r="C1937" s="309"/>
      <c r="D1937" s="310"/>
    </row>
    <row r="1938" spans="1:4" x14ac:dyDescent="0.25">
      <c r="A1938" s="418" t="s">
        <v>8073</v>
      </c>
      <c r="B1938">
        <v>2</v>
      </c>
      <c r="C1938" s="309"/>
      <c r="D1938" s="310"/>
    </row>
    <row r="1939" spans="1:4" x14ac:dyDescent="0.25">
      <c r="A1939" s="418" t="s">
        <v>6128</v>
      </c>
      <c r="B1939">
        <v>3</v>
      </c>
      <c r="C1939" s="309"/>
      <c r="D1939" s="310"/>
    </row>
    <row r="1940" spans="1:4" x14ac:dyDescent="0.25">
      <c r="A1940" s="418" t="s">
        <v>6129</v>
      </c>
      <c r="B1940">
        <v>3</v>
      </c>
      <c r="C1940" s="309"/>
      <c r="D1940" s="310"/>
    </row>
    <row r="1941" spans="1:4" x14ac:dyDescent="0.25">
      <c r="A1941" s="418" t="s">
        <v>6138</v>
      </c>
      <c r="B1941">
        <v>4</v>
      </c>
      <c r="C1941" s="309"/>
      <c r="D1941" s="310"/>
    </row>
    <row r="1942" spans="1:4" x14ac:dyDescent="0.25">
      <c r="A1942" s="418" t="s">
        <v>6130</v>
      </c>
      <c r="B1942">
        <v>4</v>
      </c>
      <c r="C1942" s="309"/>
      <c r="D1942" s="310"/>
    </row>
    <row r="1943" spans="1:4" x14ac:dyDescent="0.25">
      <c r="A1943" s="418" t="s">
        <v>7085</v>
      </c>
      <c r="B1943">
        <v>5</v>
      </c>
      <c r="C1943" s="309"/>
      <c r="D1943" s="310"/>
    </row>
    <row r="1944" spans="1:4" x14ac:dyDescent="0.25">
      <c r="A1944" s="418" t="s">
        <v>7334</v>
      </c>
      <c r="B1944">
        <v>4</v>
      </c>
      <c r="C1944" s="309"/>
      <c r="D1944" s="310"/>
    </row>
    <row r="1945" spans="1:4" x14ac:dyDescent="0.25">
      <c r="A1945" s="418" t="s">
        <v>7335</v>
      </c>
      <c r="B1945">
        <v>3</v>
      </c>
      <c r="C1945" s="309"/>
      <c r="D1945" s="310"/>
    </row>
    <row r="1946" spans="1:4" x14ac:dyDescent="0.25">
      <c r="A1946" s="418" t="s">
        <v>6415</v>
      </c>
      <c r="B1946">
        <v>21</v>
      </c>
      <c r="C1946" s="309"/>
      <c r="D1946" s="310"/>
    </row>
    <row r="1947" spans="1:4" x14ac:dyDescent="0.25">
      <c r="A1947" s="418" t="s">
        <v>6416</v>
      </c>
      <c r="B1947">
        <v>19</v>
      </c>
      <c r="C1947" s="309"/>
      <c r="D1947" s="310"/>
    </row>
    <row r="1948" spans="1:4" x14ac:dyDescent="0.25">
      <c r="A1948" s="418" t="s">
        <v>7625</v>
      </c>
      <c r="B1948">
        <v>10</v>
      </c>
      <c r="C1948" s="309"/>
      <c r="D1948" s="310"/>
    </row>
    <row r="1949" spans="1:4" x14ac:dyDescent="0.25">
      <c r="A1949" s="418" t="s">
        <v>6916</v>
      </c>
      <c r="B1949">
        <v>13</v>
      </c>
      <c r="C1949" s="309"/>
      <c r="D1949" s="310"/>
    </row>
    <row r="1950" spans="1:4" x14ac:dyDescent="0.25">
      <c r="A1950" s="418" t="s">
        <v>6962</v>
      </c>
      <c r="B1950">
        <v>3</v>
      </c>
      <c r="C1950" s="309"/>
      <c r="D1950" s="310"/>
    </row>
    <row r="1951" spans="1:4" x14ac:dyDescent="0.25">
      <c r="A1951" s="418" t="s">
        <v>8798</v>
      </c>
      <c r="B1951">
        <v>1</v>
      </c>
      <c r="C1951" s="309"/>
      <c r="D1951" s="310"/>
    </row>
    <row r="1952" spans="1:4" x14ac:dyDescent="0.25">
      <c r="A1952" s="418" t="s">
        <v>17089</v>
      </c>
      <c r="B1952">
        <v>2</v>
      </c>
      <c r="C1952" s="309"/>
      <c r="D1952" s="310"/>
    </row>
    <row r="1953" spans="1:4" x14ac:dyDescent="0.25">
      <c r="A1953" s="418" t="s">
        <v>17090</v>
      </c>
      <c r="B1953">
        <v>2</v>
      </c>
      <c r="C1953" s="309"/>
      <c r="D1953" s="310"/>
    </row>
    <row r="1954" spans="1:4" x14ac:dyDescent="0.25">
      <c r="A1954" s="418" t="s">
        <v>17091</v>
      </c>
      <c r="B1954">
        <v>1</v>
      </c>
      <c r="C1954" s="309"/>
      <c r="D1954" s="310"/>
    </row>
    <row r="1955" spans="1:4" x14ac:dyDescent="0.25">
      <c r="A1955" s="418" t="s">
        <v>8074</v>
      </c>
      <c r="B1955">
        <v>8</v>
      </c>
      <c r="C1955" s="309"/>
      <c r="D1955" s="310"/>
    </row>
    <row r="1956" spans="1:4" x14ac:dyDescent="0.25">
      <c r="A1956" s="418" t="s">
        <v>6848</v>
      </c>
      <c r="B1956">
        <v>10</v>
      </c>
      <c r="C1956" s="309"/>
      <c r="D1956" s="310"/>
    </row>
    <row r="1957" spans="1:4" x14ac:dyDescent="0.25">
      <c r="A1957" s="418" t="s">
        <v>8075</v>
      </c>
      <c r="B1957">
        <v>3</v>
      </c>
      <c r="C1957" s="309"/>
      <c r="D1957" s="310"/>
    </row>
    <row r="1958" spans="1:4" x14ac:dyDescent="0.25">
      <c r="A1958" s="418" t="s">
        <v>6917</v>
      </c>
      <c r="B1958">
        <v>3</v>
      </c>
      <c r="C1958" s="309"/>
      <c r="D1958" s="310"/>
    </row>
    <row r="1959" spans="1:4" x14ac:dyDescent="0.25">
      <c r="A1959" s="418" t="s">
        <v>6918</v>
      </c>
      <c r="B1959">
        <v>3</v>
      </c>
      <c r="C1959" s="309"/>
      <c r="D1959" s="310"/>
    </row>
    <row r="1960" spans="1:4" x14ac:dyDescent="0.25">
      <c r="A1960" s="418" t="s">
        <v>6919</v>
      </c>
      <c r="B1960">
        <v>3</v>
      </c>
      <c r="C1960" s="309"/>
      <c r="D1960" s="310"/>
    </row>
    <row r="1961" spans="1:4" x14ac:dyDescent="0.25">
      <c r="A1961" s="418" t="s">
        <v>4268</v>
      </c>
      <c r="B1961">
        <v>3</v>
      </c>
      <c r="C1961" s="309"/>
      <c r="D1961" s="310"/>
    </row>
    <row r="1962" spans="1:4" x14ac:dyDescent="0.25">
      <c r="A1962" s="418" t="s">
        <v>4269</v>
      </c>
      <c r="B1962">
        <v>3</v>
      </c>
      <c r="C1962" s="309"/>
      <c r="D1962" s="310"/>
    </row>
    <row r="1963" spans="1:4" x14ac:dyDescent="0.25">
      <c r="A1963" s="418" t="s">
        <v>5858</v>
      </c>
      <c r="B1963">
        <v>1</v>
      </c>
      <c r="C1963" s="309"/>
      <c r="D1963" s="310"/>
    </row>
    <row r="1964" spans="1:4" x14ac:dyDescent="0.25">
      <c r="A1964" s="418" t="s">
        <v>4270</v>
      </c>
      <c r="B1964">
        <v>3</v>
      </c>
      <c r="C1964" s="309"/>
      <c r="D1964" s="310"/>
    </row>
    <row r="1965" spans="1:4" x14ac:dyDescent="0.25">
      <c r="A1965" s="418" t="s">
        <v>8469</v>
      </c>
      <c r="B1965">
        <v>1</v>
      </c>
      <c r="C1965" s="309"/>
      <c r="D1965" s="310"/>
    </row>
    <row r="1966" spans="1:4" x14ac:dyDescent="0.25">
      <c r="A1966" s="418" t="s">
        <v>8470</v>
      </c>
      <c r="B1966">
        <v>2</v>
      </c>
      <c r="C1966" s="309"/>
      <c r="D1966" s="310"/>
    </row>
    <row r="1967" spans="1:4" x14ac:dyDescent="0.25">
      <c r="A1967" s="418" t="s">
        <v>7086</v>
      </c>
      <c r="B1967">
        <v>4</v>
      </c>
      <c r="C1967" s="309"/>
      <c r="D1967" s="310"/>
    </row>
    <row r="1968" spans="1:4" x14ac:dyDescent="0.25">
      <c r="A1968" s="418" t="s">
        <v>7771</v>
      </c>
      <c r="B1968">
        <v>3</v>
      </c>
      <c r="C1968" s="309"/>
      <c r="D1968" s="310"/>
    </row>
    <row r="1969" spans="1:4" x14ac:dyDescent="0.25">
      <c r="A1969" s="418" t="s">
        <v>7772</v>
      </c>
      <c r="B1969">
        <v>3</v>
      </c>
      <c r="C1969" s="309"/>
      <c r="D1969" s="310"/>
    </row>
    <row r="1970" spans="1:4" x14ac:dyDescent="0.25">
      <c r="A1970" s="418" t="s">
        <v>7987</v>
      </c>
      <c r="B1970">
        <v>2</v>
      </c>
      <c r="C1970" s="309"/>
      <c r="D1970" s="310"/>
    </row>
    <row r="1971" spans="1:4" x14ac:dyDescent="0.25">
      <c r="A1971" s="418" t="s">
        <v>12424</v>
      </c>
      <c r="B1971">
        <v>2</v>
      </c>
      <c r="C1971" s="309"/>
      <c r="D1971" s="310"/>
    </row>
    <row r="1972" spans="1:4" x14ac:dyDescent="0.25">
      <c r="A1972" s="418" t="s">
        <v>12425</v>
      </c>
      <c r="B1972">
        <v>3</v>
      </c>
      <c r="C1972" s="309"/>
      <c r="D1972" s="310"/>
    </row>
    <row r="1973" spans="1:4" x14ac:dyDescent="0.25">
      <c r="A1973" s="418" t="s">
        <v>12426</v>
      </c>
      <c r="B1973">
        <v>1</v>
      </c>
      <c r="C1973" s="309"/>
      <c r="D1973" s="310"/>
    </row>
    <row r="1974" spans="1:4" x14ac:dyDescent="0.25">
      <c r="A1974" s="418" t="s">
        <v>10650</v>
      </c>
      <c r="B1974">
        <v>1</v>
      </c>
      <c r="C1974" s="309"/>
      <c r="D1974" s="310"/>
    </row>
    <row r="1975" spans="1:4" x14ac:dyDescent="0.25">
      <c r="A1975" s="418" t="s">
        <v>10292</v>
      </c>
      <c r="B1975">
        <v>1</v>
      </c>
      <c r="C1975" s="309"/>
      <c r="D1975" s="310"/>
    </row>
    <row r="1976" spans="1:4" x14ac:dyDescent="0.25">
      <c r="A1976" s="418" t="s">
        <v>10293</v>
      </c>
      <c r="B1976">
        <v>5</v>
      </c>
      <c r="C1976" s="309"/>
      <c r="D1976" s="310"/>
    </row>
    <row r="1977" spans="1:4" x14ac:dyDescent="0.25">
      <c r="A1977" s="418" t="s">
        <v>11999</v>
      </c>
      <c r="B1977">
        <v>1</v>
      </c>
      <c r="C1977" s="309"/>
      <c r="D1977" s="310"/>
    </row>
    <row r="1978" spans="1:4" x14ac:dyDescent="0.25">
      <c r="A1978" s="418" t="s">
        <v>17092</v>
      </c>
      <c r="B1978">
        <v>1</v>
      </c>
      <c r="C1978" s="309"/>
      <c r="D1978" s="310"/>
    </row>
    <row r="1979" spans="1:4" x14ac:dyDescent="0.25">
      <c r="A1979" s="418" t="s">
        <v>17093</v>
      </c>
      <c r="B1979">
        <v>1</v>
      </c>
      <c r="C1979" s="309"/>
      <c r="D1979" s="310"/>
    </row>
    <row r="1980" spans="1:4" x14ac:dyDescent="0.25">
      <c r="A1980" s="418" t="s">
        <v>6920</v>
      </c>
      <c r="B1980">
        <v>3</v>
      </c>
      <c r="C1980" s="309"/>
      <c r="D1980" s="310"/>
    </row>
    <row r="1981" spans="1:4" x14ac:dyDescent="0.25">
      <c r="A1981" s="418" t="s">
        <v>6921</v>
      </c>
      <c r="B1981">
        <v>3</v>
      </c>
      <c r="C1981" s="309"/>
      <c r="D1981" s="310"/>
    </row>
    <row r="1982" spans="1:4" x14ac:dyDescent="0.25">
      <c r="A1982" s="418" t="s">
        <v>7773</v>
      </c>
      <c r="B1982">
        <v>3</v>
      </c>
      <c r="C1982" s="309"/>
      <c r="D1982" s="310"/>
    </row>
    <row r="1983" spans="1:4" x14ac:dyDescent="0.25">
      <c r="A1983" s="418" t="s">
        <v>7988</v>
      </c>
      <c r="B1983">
        <v>3</v>
      </c>
      <c r="C1983" s="309"/>
      <c r="D1983" s="310"/>
    </row>
    <row r="1984" spans="1:4" x14ac:dyDescent="0.25">
      <c r="A1984" s="418" t="s">
        <v>15497</v>
      </c>
      <c r="B1984">
        <v>1</v>
      </c>
      <c r="C1984" s="309"/>
      <c r="D1984" s="310"/>
    </row>
    <row r="1985" spans="1:4" x14ac:dyDescent="0.25">
      <c r="A1985" s="418" t="s">
        <v>5974</v>
      </c>
      <c r="B1985">
        <v>1</v>
      </c>
      <c r="C1985" s="309"/>
      <c r="D1985" s="310"/>
    </row>
    <row r="1986" spans="1:4" x14ac:dyDescent="0.25">
      <c r="A1986" s="418" t="s">
        <v>5975</v>
      </c>
      <c r="B1986">
        <v>1</v>
      </c>
      <c r="C1986" s="309"/>
      <c r="D1986" s="310"/>
    </row>
    <row r="1987" spans="1:4" x14ac:dyDescent="0.25">
      <c r="A1987" s="418" t="s">
        <v>9536</v>
      </c>
      <c r="B1987">
        <v>1</v>
      </c>
      <c r="C1987" s="309"/>
      <c r="D1987" s="310"/>
    </row>
    <row r="1988" spans="1:4" x14ac:dyDescent="0.25">
      <c r="A1988" s="418" t="s">
        <v>9537</v>
      </c>
      <c r="B1988">
        <v>1</v>
      </c>
      <c r="C1988" s="309"/>
      <c r="D1988" s="310"/>
    </row>
    <row r="1989" spans="1:4" x14ac:dyDescent="0.25">
      <c r="A1989" s="418" t="s">
        <v>9538</v>
      </c>
      <c r="B1989">
        <v>1</v>
      </c>
      <c r="C1989" s="309"/>
      <c r="D1989" s="310"/>
    </row>
    <row r="1990" spans="1:4" x14ac:dyDescent="0.25">
      <c r="A1990" s="418" t="s">
        <v>6347</v>
      </c>
      <c r="B1990">
        <v>3</v>
      </c>
      <c r="C1990" s="309"/>
      <c r="D1990" s="310"/>
    </row>
    <row r="1991" spans="1:4" x14ac:dyDescent="0.25">
      <c r="A1991" s="418" t="s">
        <v>8763</v>
      </c>
      <c r="B1991">
        <v>3</v>
      </c>
      <c r="C1991" s="309"/>
      <c r="D1991" s="310"/>
    </row>
    <row r="1992" spans="1:4" x14ac:dyDescent="0.25">
      <c r="A1992" s="418" t="s">
        <v>10651</v>
      </c>
      <c r="B1992">
        <v>1</v>
      </c>
      <c r="C1992" s="309"/>
      <c r="D1992" s="310"/>
    </row>
    <row r="1993" spans="1:4" x14ac:dyDescent="0.25">
      <c r="A1993" s="418" t="s">
        <v>10652</v>
      </c>
      <c r="B1993">
        <v>1</v>
      </c>
      <c r="C1993" s="309"/>
      <c r="D1993" s="310"/>
    </row>
    <row r="1994" spans="1:4" x14ac:dyDescent="0.25">
      <c r="A1994" s="418" t="s">
        <v>9910</v>
      </c>
      <c r="B1994">
        <v>1</v>
      </c>
      <c r="C1994" s="309"/>
      <c r="D1994" s="310"/>
    </row>
    <row r="1995" spans="1:4" x14ac:dyDescent="0.25">
      <c r="A1995" s="418" t="s">
        <v>7087</v>
      </c>
      <c r="B1995">
        <v>2</v>
      </c>
      <c r="C1995" s="309"/>
      <c r="D1995" s="310"/>
    </row>
    <row r="1996" spans="1:4" x14ac:dyDescent="0.25">
      <c r="A1996" s="418" t="s">
        <v>9190</v>
      </c>
      <c r="B1996">
        <v>3</v>
      </c>
      <c r="C1996" s="309"/>
      <c r="D1996" s="310"/>
    </row>
    <row r="1997" spans="1:4" x14ac:dyDescent="0.25">
      <c r="A1997" s="418" t="s">
        <v>9191</v>
      </c>
      <c r="B1997">
        <v>3</v>
      </c>
      <c r="C1997" s="309"/>
      <c r="D1997" s="310"/>
    </row>
    <row r="1998" spans="1:4" x14ac:dyDescent="0.25">
      <c r="A1998" s="418" t="s">
        <v>10490</v>
      </c>
      <c r="B1998">
        <v>1</v>
      </c>
      <c r="C1998" s="309"/>
      <c r="D1998" s="310"/>
    </row>
    <row r="1999" spans="1:4" x14ac:dyDescent="0.25">
      <c r="A1999" s="418" t="s">
        <v>6756</v>
      </c>
      <c r="B1999">
        <v>13</v>
      </c>
      <c r="C1999" s="309"/>
      <c r="D1999" s="310"/>
    </row>
    <row r="2000" spans="1:4" x14ac:dyDescent="0.25">
      <c r="A2000" s="418" t="s">
        <v>6757</v>
      </c>
      <c r="B2000">
        <v>14</v>
      </c>
      <c r="C2000" s="309"/>
      <c r="D2000" s="310"/>
    </row>
    <row r="2001" spans="1:4" x14ac:dyDescent="0.25">
      <c r="A2001" s="418" t="s">
        <v>9421</v>
      </c>
      <c r="B2001">
        <v>10</v>
      </c>
      <c r="C2001" s="309"/>
      <c r="D2001" s="310"/>
    </row>
    <row r="2002" spans="1:4" x14ac:dyDescent="0.25">
      <c r="A2002" s="418" t="s">
        <v>8365</v>
      </c>
      <c r="B2002">
        <v>8</v>
      </c>
      <c r="C2002" s="309"/>
      <c r="D2002" s="310"/>
    </row>
    <row r="2003" spans="1:4" x14ac:dyDescent="0.25">
      <c r="A2003" s="418" t="s">
        <v>8214</v>
      </c>
      <c r="B2003">
        <v>1</v>
      </c>
      <c r="C2003" s="309"/>
      <c r="D2003" s="310"/>
    </row>
    <row r="2004" spans="1:4" x14ac:dyDescent="0.25">
      <c r="A2004" s="418" t="s">
        <v>8215</v>
      </c>
      <c r="B2004">
        <v>1</v>
      </c>
      <c r="C2004" s="309"/>
      <c r="D2004" s="310"/>
    </row>
    <row r="2005" spans="1:4" x14ac:dyDescent="0.25">
      <c r="A2005" s="418" t="s">
        <v>8865</v>
      </c>
      <c r="B2005">
        <v>3</v>
      </c>
      <c r="C2005" s="309"/>
      <c r="D2005" s="310"/>
    </row>
    <row r="2006" spans="1:4" x14ac:dyDescent="0.25">
      <c r="A2006" s="418" t="s">
        <v>8866</v>
      </c>
      <c r="B2006">
        <v>3</v>
      </c>
      <c r="C2006" s="309"/>
      <c r="D2006" s="310"/>
    </row>
    <row r="2007" spans="1:4" x14ac:dyDescent="0.25">
      <c r="A2007" s="418" t="s">
        <v>8867</v>
      </c>
      <c r="B2007">
        <v>3</v>
      </c>
      <c r="C2007" s="309"/>
      <c r="D2007" s="310"/>
    </row>
    <row r="2008" spans="1:4" x14ac:dyDescent="0.25">
      <c r="A2008" s="418" t="s">
        <v>8076</v>
      </c>
      <c r="B2008">
        <v>8</v>
      </c>
      <c r="C2008" s="309"/>
      <c r="D2008" s="310"/>
    </row>
    <row r="2009" spans="1:4" x14ac:dyDescent="0.25">
      <c r="A2009" s="418" t="s">
        <v>6922</v>
      </c>
      <c r="B2009">
        <v>16</v>
      </c>
      <c r="C2009" s="309"/>
      <c r="D2009" s="310"/>
    </row>
    <row r="2010" spans="1:4" x14ac:dyDescent="0.25">
      <c r="A2010" s="418" t="s">
        <v>8272</v>
      </c>
      <c r="B2010">
        <v>7</v>
      </c>
      <c r="C2010" s="309"/>
      <c r="D2010" s="310"/>
    </row>
    <row r="2011" spans="1:4" x14ac:dyDescent="0.25">
      <c r="A2011" s="418" t="s">
        <v>7194</v>
      </c>
      <c r="B2011">
        <v>6</v>
      </c>
      <c r="C2011" s="309"/>
      <c r="D2011" s="310"/>
    </row>
    <row r="2012" spans="1:4" x14ac:dyDescent="0.25">
      <c r="A2012" s="418" t="s">
        <v>7475</v>
      </c>
      <c r="B2012">
        <v>4</v>
      </c>
      <c r="C2012" s="309"/>
      <c r="D2012" s="310"/>
    </row>
    <row r="2013" spans="1:4" x14ac:dyDescent="0.25">
      <c r="A2013" s="418" t="s">
        <v>7476</v>
      </c>
      <c r="B2013">
        <v>5</v>
      </c>
      <c r="C2013" s="309"/>
      <c r="D2013" s="310"/>
    </row>
    <row r="2014" spans="1:4" x14ac:dyDescent="0.25">
      <c r="A2014" s="418" t="s">
        <v>12133</v>
      </c>
      <c r="B2014">
        <v>2</v>
      </c>
      <c r="C2014" s="309"/>
      <c r="D2014" s="310"/>
    </row>
    <row r="2015" spans="1:4" x14ac:dyDescent="0.25">
      <c r="A2015" s="418" t="s">
        <v>6139</v>
      </c>
      <c r="B2015">
        <v>4</v>
      </c>
      <c r="C2015" s="309"/>
      <c r="D2015" s="310"/>
    </row>
    <row r="2016" spans="1:4" x14ac:dyDescent="0.25">
      <c r="A2016" s="418" t="s">
        <v>11743</v>
      </c>
      <c r="B2016">
        <v>1</v>
      </c>
      <c r="C2016" s="309"/>
      <c r="D2016" s="310"/>
    </row>
    <row r="2017" spans="1:4" x14ac:dyDescent="0.25">
      <c r="A2017" s="418" t="s">
        <v>10653</v>
      </c>
      <c r="B2017">
        <v>3</v>
      </c>
      <c r="C2017" s="309"/>
      <c r="D2017" s="310"/>
    </row>
    <row r="2018" spans="1:4" x14ac:dyDescent="0.25">
      <c r="A2018" s="418" t="s">
        <v>10654</v>
      </c>
      <c r="B2018">
        <v>1</v>
      </c>
      <c r="C2018" s="309"/>
      <c r="D2018" s="310"/>
    </row>
    <row r="2019" spans="1:4" x14ac:dyDescent="0.25">
      <c r="A2019" s="418" t="s">
        <v>17094</v>
      </c>
      <c r="B2019">
        <v>1</v>
      </c>
      <c r="C2019" s="309"/>
      <c r="D2019" s="310"/>
    </row>
    <row r="2020" spans="1:4" x14ac:dyDescent="0.25">
      <c r="A2020" s="418" t="s">
        <v>6923</v>
      </c>
      <c r="B2020">
        <v>1</v>
      </c>
      <c r="C2020" s="309"/>
      <c r="D2020" s="310"/>
    </row>
    <row r="2021" spans="1:4" x14ac:dyDescent="0.25">
      <c r="A2021" s="418" t="s">
        <v>6924</v>
      </c>
      <c r="B2021">
        <v>1</v>
      </c>
      <c r="C2021" s="309"/>
      <c r="D2021" s="310"/>
    </row>
    <row r="2022" spans="1:4" x14ac:dyDescent="0.25">
      <c r="A2022" s="418" t="s">
        <v>9789</v>
      </c>
      <c r="B2022">
        <v>6</v>
      </c>
      <c r="C2022" s="309"/>
      <c r="D2022" s="310"/>
    </row>
    <row r="2023" spans="1:4" x14ac:dyDescent="0.25">
      <c r="A2023" s="418" t="s">
        <v>10190</v>
      </c>
      <c r="B2023">
        <v>2</v>
      </c>
      <c r="C2023" s="309"/>
      <c r="D2023" s="310"/>
    </row>
    <row r="2024" spans="1:4" x14ac:dyDescent="0.25">
      <c r="A2024" s="418" t="s">
        <v>9790</v>
      </c>
      <c r="B2024">
        <v>5</v>
      </c>
      <c r="C2024" s="309"/>
      <c r="D2024" s="310"/>
    </row>
    <row r="2025" spans="1:4" x14ac:dyDescent="0.25">
      <c r="A2025" s="418" t="s">
        <v>8696</v>
      </c>
      <c r="B2025">
        <v>6</v>
      </c>
      <c r="C2025" s="309"/>
      <c r="D2025" s="310"/>
    </row>
    <row r="2026" spans="1:4" x14ac:dyDescent="0.25">
      <c r="A2026" s="418" t="s">
        <v>8697</v>
      </c>
      <c r="B2026">
        <v>7</v>
      </c>
      <c r="C2026" s="309"/>
      <c r="D2026" s="310"/>
    </row>
    <row r="2027" spans="1:4" x14ac:dyDescent="0.25">
      <c r="A2027" s="418" t="s">
        <v>10655</v>
      </c>
      <c r="B2027">
        <v>1</v>
      </c>
      <c r="C2027" s="309"/>
      <c r="D2027" s="310"/>
    </row>
    <row r="2028" spans="1:4" x14ac:dyDescent="0.25">
      <c r="A2028" s="418" t="s">
        <v>10570</v>
      </c>
      <c r="B2028">
        <v>9</v>
      </c>
      <c r="C2028" s="309"/>
      <c r="D2028" s="310"/>
    </row>
    <row r="2029" spans="1:4" x14ac:dyDescent="0.25">
      <c r="A2029" s="418" t="s">
        <v>9539</v>
      </c>
      <c r="B2029">
        <v>6</v>
      </c>
      <c r="C2029" s="309"/>
      <c r="D2029" s="310"/>
    </row>
    <row r="2030" spans="1:4" x14ac:dyDescent="0.25">
      <c r="A2030" s="418" t="s">
        <v>10571</v>
      </c>
      <c r="B2030">
        <v>2</v>
      </c>
      <c r="C2030" s="309"/>
      <c r="D2030" s="310"/>
    </row>
    <row r="2031" spans="1:4" x14ac:dyDescent="0.25">
      <c r="A2031" s="418" t="s">
        <v>9791</v>
      </c>
      <c r="B2031">
        <v>4</v>
      </c>
      <c r="C2031" s="309"/>
      <c r="D2031" s="310"/>
    </row>
    <row r="2032" spans="1:4" x14ac:dyDescent="0.25">
      <c r="A2032" s="418" t="s">
        <v>6441</v>
      </c>
      <c r="B2032">
        <v>4</v>
      </c>
      <c r="C2032" s="309"/>
      <c r="D2032" s="310"/>
    </row>
    <row r="2033" spans="1:4" x14ac:dyDescent="0.25">
      <c r="A2033" s="418" t="s">
        <v>6442</v>
      </c>
      <c r="B2033">
        <v>4</v>
      </c>
      <c r="C2033" s="309"/>
      <c r="D2033" s="310"/>
    </row>
    <row r="2034" spans="1:4" x14ac:dyDescent="0.25">
      <c r="A2034" s="418" t="s">
        <v>8155</v>
      </c>
      <c r="B2034">
        <v>1</v>
      </c>
      <c r="C2034" s="309"/>
      <c r="D2034" s="310"/>
    </row>
    <row r="2035" spans="1:4" x14ac:dyDescent="0.25">
      <c r="A2035" s="418" t="s">
        <v>6925</v>
      </c>
      <c r="B2035">
        <v>3</v>
      </c>
      <c r="C2035" s="309"/>
      <c r="D2035" s="310"/>
    </row>
    <row r="2036" spans="1:4" x14ac:dyDescent="0.25">
      <c r="A2036" s="418" t="s">
        <v>6926</v>
      </c>
      <c r="B2036">
        <v>3</v>
      </c>
      <c r="C2036" s="309"/>
      <c r="D2036" s="310"/>
    </row>
    <row r="2037" spans="1:4" x14ac:dyDescent="0.25">
      <c r="A2037" s="418" t="s">
        <v>7336</v>
      </c>
      <c r="B2037">
        <v>3</v>
      </c>
      <c r="C2037" s="309"/>
      <c r="D2037" s="310"/>
    </row>
    <row r="2038" spans="1:4" x14ac:dyDescent="0.25">
      <c r="A2038" s="418" t="s">
        <v>7337</v>
      </c>
      <c r="B2038">
        <v>2</v>
      </c>
      <c r="C2038" s="309"/>
      <c r="D2038" s="310"/>
    </row>
    <row r="2039" spans="1:4" x14ac:dyDescent="0.25">
      <c r="A2039" s="418" t="s">
        <v>8273</v>
      </c>
      <c r="B2039">
        <v>3</v>
      </c>
      <c r="C2039" s="309"/>
      <c r="D2039" s="310"/>
    </row>
    <row r="2040" spans="1:4" x14ac:dyDescent="0.25">
      <c r="A2040" s="418" t="s">
        <v>8274</v>
      </c>
      <c r="B2040">
        <v>5</v>
      </c>
      <c r="C2040" s="309"/>
      <c r="D2040" s="310"/>
    </row>
    <row r="2041" spans="1:4" x14ac:dyDescent="0.25">
      <c r="A2041" s="418" t="s">
        <v>8799</v>
      </c>
      <c r="B2041">
        <v>3</v>
      </c>
      <c r="C2041" s="309"/>
      <c r="D2041" s="310"/>
    </row>
    <row r="2042" spans="1:4" x14ac:dyDescent="0.25">
      <c r="A2042" s="418" t="s">
        <v>10817</v>
      </c>
      <c r="B2042">
        <v>2</v>
      </c>
      <c r="C2042" s="309"/>
      <c r="D2042" s="310"/>
    </row>
    <row r="2043" spans="1:4" x14ac:dyDescent="0.25">
      <c r="A2043" s="418" t="s">
        <v>7774</v>
      </c>
      <c r="B2043">
        <v>1</v>
      </c>
      <c r="C2043" s="309"/>
      <c r="D2043" s="310"/>
    </row>
    <row r="2044" spans="1:4" x14ac:dyDescent="0.25">
      <c r="A2044" s="418" t="s">
        <v>7775</v>
      </c>
      <c r="B2044">
        <v>1</v>
      </c>
      <c r="C2044" s="309"/>
      <c r="D2044" s="310"/>
    </row>
    <row r="2045" spans="1:4" x14ac:dyDescent="0.25">
      <c r="A2045" s="418" t="s">
        <v>9911</v>
      </c>
      <c r="B2045">
        <v>1</v>
      </c>
      <c r="C2045" s="309"/>
      <c r="D2045" s="310"/>
    </row>
    <row r="2046" spans="1:4" x14ac:dyDescent="0.25">
      <c r="A2046" s="418" t="s">
        <v>7200</v>
      </c>
      <c r="B2046">
        <v>4</v>
      </c>
      <c r="C2046" s="309"/>
      <c r="D2046" s="310"/>
    </row>
    <row r="2047" spans="1:4" x14ac:dyDescent="0.25">
      <c r="A2047" s="418" t="s">
        <v>7201</v>
      </c>
      <c r="B2047">
        <v>4</v>
      </c>
      <c r="C2047" s="309"/>
      <c r="D2047" s="310"/>
    </row>
    <row r="2048" spans="1:4" x14ac:dyDescent="0.25">
      <c r="A2048" s="418" t="s">
        <v>7304</v>
      </c>
      <c r="B2048">
        <v>3</v>
      </c>
      <c r="C2048" s="309"/>
      <c r="D2048" s="310"/>
    </row>
    <row r="2049" spans="1:4" x14ac:dyDescent="0.25">
      <c r="A2049" s="418" t="s">
        <v>8366</v>
      </c>
      <c r="B2049">
        <v>21</v>
      </c>
      <c r="C2049" s="309"/>
      <c r="D2049" s="310"/>
    </row>
    <row r="2050" spans="1:4" x14ac:dyDescent="0.25">
      <c r="A2050" s="418" t="s">
        <v>8367</v>
      </c>
      <c r="B2050">
        <v>19</v>
      </c>
      <c r="C2050" s="309"/>
      <c r="D2050" s="310"/>
    </row>
    <row r="2051" spans="1:4" x14ac:dyDescent="0.25">
      <c r="A2051" s="418" t="s">
        <v>8698</v>
      </c>
      <c r="B2051">
        <v>19</v>
      </c>
      <c r="C2051" s="309"/>
      <c r="D2051" s="310"/>
    </row>
    <row r="2052" spans="1:4" x14ac:dyDescent="0.25">
      <c r="A2052" s="418" t="s">
        <v>9593</v>
      </c>
      <c r="B2052">
        <v>7</v>
      </c>
      <c r="C2052" s="309"/>
      <c r="D2052" s="310"/>
    </row>
    <row r="2053" spans="1:4" x14ac:dyDescent="0.25">
      <c r="A2053" s="418" t="s">
        <v>9422</v>
      </c>
      <c r="B2053">
        <v>12</v>
      </c>
      <c r="C2053" s="309"/>
      <c r="D2053" s="310"/>
    </row>
    <row r="2054" spans="1:4" x14ac:dyDescent="0.25">
      <c r="A2054" s="418" t="s">
        <v>8978</v>
      </c>
      <c r="B2054">
        <v>11</v>
      </c>
      <c r="C2054" s="309"/>
      <c r="D2054" s="310"/>
    </row>
    <row r="2055" spans="1:4" x14ac:dyDescent="0.25">
      <c r="A2055" s="418" t="s">
        <v>9002</v>
      </c>
      <c r="B2055">
        <v>10</v>
      </c>
      <c r="C2055" s="309"/>
      <c r="D2055" s="310"/>
    </row>
    <row r="2056" spans="1:4" x14ac:dyDescent="0.25">
      <c r="A2056" s="418" t="s">
        <v>9003</v>
      </c>
      <c r="B2056">
        <v>4</v>
      </c>
      <c r="C2056" s="309"/>
      <c r="D2056" s="310"/>
    </row>
    <row r="2057" spans="1:4" x14ac:dyDescent="0.25">
      <c r="A2057" s="418" t="s">
        <v>6131</v>
      </c>
      <c r="B2057">
        <v>1</v>
      </c>
      <c r="C2057" s="309"/>
      <c r="D2057" s="310"/>
    </row>
    <row r="2058" spans="1:4" x14ac:dyDescent="0.25">
      <c r="A2058" s="418" t="s">
        <v>7477</v>
      </c>
      <c r="B2058">
        <v>6</v>
      </c>
      <c r="C2058" s="309"/>
      <c r="D2058" s="310"/>
    </row>
    <row r="2059" spans="1:4" x14ac:dyDescent="0.25">
      <c r="A2059" s="418" t="s">
        <v>7478</v>
      </c>
      <c r="B2059">
        <v>4</v>
      </c>
      <c r="C2059" s="309"/>
      <c r="D2059" s="310"/>
    </row>
    <row r="2060" spans="1:4" x14ac:dyDescent="0.25">
      <c r="A2060" s="418" t="s">
        <v>7479</v>
      </c>
      <c r="B2060">
        <v>3</v>
      </c>
      <c r="C2060" s="309"/>
      <c r="D2060" s="310"/>
    </row>
    <row r="2061" spans="1:4" x14ac:dyDescent="0.25">
      <c r="A2061" s="418" t="s">
        <v>7480</v>
      </c>
      <c r="B2061">
        <v>3</v>
      </c>
      <c r="C2061" s="309"/>
      <c r="D2061" s="310"/>
    </row>
    <row r="2062" spans="1:4" x14ac:dyDescent="0.25">
      <c r="A2062" s="418" t="s">
        <v>8764</v>
      </c>
      <c r="B2062">
        <v>2</v>
      </c>
      <c r="C2062" s="309"/>
      <c r="D2062" s="310"/>
    </row>
    <row r="2063" spans="1:4" x14ac:dyDescent="0.25">
      <c r="A2063" s="418" t="s">
        <v>8765</v>
      </c>
      <c r="B2063">
        <v>4</v>
      </c>
      <c r="C2063" s="309"/>
      <c r="D2063" s="310"/>
    </row>
    <row r="2064" spans="1:4" x14ac:dyDescent="0.25">
      <c r="A2064" s="418" t="s">
        <v>6348</v>
      </c>
      <c r="B2064">
        <v>1</v>
      </c>
      <c r="C2064" s="309"/>
      <c r="D2064" s="310"/>
    </row>
    <row r="2065" spans="1:4" x14ac:dyDescent="0.25">
      <c r="A2065" s="418" t="s">
        <v>8077</v>
      </c>
      <c r="B2065">
        <v>1</v>
      </c>
      <c r="C2065" s="309"/>
      <c r="D2065" s="310"/>
    </row>
    <row r="2066" spans="1:4" x14ac:dyDescent="0.25">
      <c r="A2066" s="418" t="s">
        <v>8078</v>
      </c>
      <c r="B2066">
        <v>1</v>
      </c>
      <c r="C2066" s="309"/>
      <c r="D2066" s="310"/>
    </row>
    <row r="2067" spans="1:4" x14ac:dyDescent="0.25">
      <c r="A2067" s="418" t="s">
        <v>6758</v>
      </c>
      <c r="B2067">
        <v>5</v>
      </c>
      <c r="C2067" s="309"/>
      <c r="D2067" s="310"/>
    </row>
    <row r="2068" spans="1:4" x14ac:dyDescent="0.25">
      <c r="A2068" s="418" t="s">
        <v>8275</v>
      </c>
      <c r="B2068">
        <v>6</v>
      </c>
      <c r="C2068" s="309"/>
      <c r="D2068" s="310"/>
    </row>
    <row r="2069" spans="1:4" x14ac:dyDescent="0.25">
      <c r="A2069" s="418" t="s">
        <v>16203</v>
      </c>
      <c r="B2069">
        <v>2</v>
      </c>
      <c r="C2069" s="309"/>
      <c r="D2069" s="310"/>
    </row>
    <row r="2070" spans="1:4" x14ac:dyDescent="0.25">
      <c r="A2070" s="418" t="s">
        <v>9594</v>
      </c>
      <c r="B2070">
        <v>2</v>
      </c>
      <c r="C2070" s="309"/>
      <c r="D2070" s="310"/>
    </row>
    <row r="2071" spans="1:4" x14ac:dyDescent="0.25">
      <c r="A2071" s="418" t="s">
        <v>10294</v>
      </c>
      <c r="B2071">
        <v>5</v>
      </c>
      <c r="C2071" s="309"/>
      <c r="D2071" s="310"/>
    </row>
    <row r="2072" spans="1:4" x14ac:dyDescent="0.25">
      <c r="A2072" s="418" t="s">
        <v>10295</v>
      </c>
      <c r="B2072">
        <v>5</v>
      </c>
      <c r="C2072" s="309"/>
      <c r="D2072" s="310"/>
    </row>
    <row r="2073" spans="1:4" x14ac:dyDescent="0.25">
      <c r="A2073" s="418" t="s">
        <v>12093</v>
      </c>
      <c r="B2073">
        <v>3</v>
      </c>
      <c r="C2073" s="309"/>
      <c r="D2073" s="310"/>
    </row>
    <row r="2074" spans="1:4" x14ac:dyDescent="0.25">
      <c r="A2074" s="418" t="s">
        <v>8628</v>
      </c>
      <c r="B2074">
        <v>1</v>
      </c>
      <c r="C2074" s="309"/>
      <c r="D2074" s="310"/>
    </row>
    <row r="2075" spans="1:4" x14ac:dyDescent="0.25">
      <c r="A2075" s="418" t="s">
        <v>15422</v>
      </c>
      <c r="B2075">
        <v>1</v>
      </c>
      <c r="C2075" s="309"/>
      <c r="D2075" s="310"/>
    </row>
    <row r="2076" spans="1:4" x14ac:dyDescent="0.25">
      <c r="A2076" s="418" t="s">
        <v>15423</v>
      </c>
      <c r="B2076">
        <v>1</v>
      </c>
      <c r="C2076" s="309"/>
      <c r="D2076" s="310"/>
    </row>
    <row r="2077" spans="1:4" x14ac:dyDescent="0.25">
      <c r="A2077" s="418" t="s">
        <v>6759</v>
      </c>
      <c r="B2077">
        <v>3</v>
      </c>
      <c r="C2077" s="309"/>
      <c r="D2077" s="310"/>
    </row>
    <row r="2078" spans="1:4" x14ac:dyDescent="0.25">
      <c r="A2078" s="418" t="s">
        <v>6760</v>
      </c>
      <c r="B2078">
        <v>3</v>
      </c>
      <c r="C2078" s="309"/>
      <c r="D2078" s="310"/>
    </row>
    <row r="2079" spans="1:4" x14ac:dyDescent="0.25">
      <c r="A2079" s="418" t="s">
        <v>7088</v>
      </c>
      <c r="B2079">
        <v>1</v>
      </c>
      <c r="C2079" s="309"/>
      <c r="D2079" s="310"/>
    </row>
    <row r="2080" spans="1:4" x14ac:dyDescent="0.25">
      <c r="A2080" s="418" t="s">
        <v>7049</v>
      </c>
      <c r="B2080">
        <v>1</v>
      </c>
      <c r="C2080" s="309"/>
      <c r="D2080" s="310"/>
    </row>
    <row r="2081" spans="1:4" x14ac:dyDescent="0.25">
      <c r="A2081" s="418" t="s">
        <v>6927</v>
      </c>
      <c r="B2081">
        <v>1</v>
      </c>
      <c r="C2081" s="309"/>
      <c r="D2081" s="310"/>
    </row>
    <row r="2082" spans="1:4" x14ac:dyDescent="0.25">
      <c r="A2082" s="418" t="s">
        <v>8800</v>
      </c>
      <c r="B2082">
        <v>3</v>
      </c>
      <c r="C2082" s="309"/>
      <c r="D2082" s="310"/>
    </row>
    <row r="2083" spans="1:4" x14ac:dyDescent="0.25">
      <c r="A2083" s="418" t="s">
        <v>8801</v>
      </c>
      <c r="B2083">
        <v>3</v>
      </c>
      <c r="C2083" s="309"/>
      <c r="D2083" s="310"/>
    </row>
    <row r="2084" spans="1:4" x14ac:dyDescent="0.25">
      <c r="A2084" s="418" t="s">
        <v>8802</v>
      </c>
      <c r="B2084">
        <v>1</v>
      </c>
      <c r="C2084" s="309"/>
      <c r="D2084" s="310"/>
    </row>
    <row r="2085" spans="1:4" x14ac:dyDescent="0.25">
      <c r="A2085" s="418" t="s">
        <v>6349</v>
      </c>
      <c r="B2085">
        <v>3</v>
      </c>
      <c r="C2085" s="309"/>
      <c r="D2085" s="310"/>
    </row>
    <row r="2086" spans="1:4" x14ac:dyDescent="0.25">
      <c r="A2086" s="418" t="s">
        <v>6878</v>
      </c>
      <c r="B2086">
        <v>3</v>
      </c>
      <c r="C2086" s="309"/>
      <c r="D2086" s="310"/>
    </row>
    <row r="2087" spans="1:4" x14ac:dyDescent="0.25">
      <c r="A2087" s="418" t="s">
        <v>6879</v>
      </c>
      <c r="B2087">
        <v>4</v>
      </c>
      <c r="C2087" s="309"/>
      <c r="D2087" s="310"/>
    </row>
    <row r="2088" spans="1:4" x14ac:dyDescent="0.25">
      <c r="A2088" s="418" t="s">
        <v>7305</v>
      </c>
      <c r="B2088">
        <v>3</v>
      </c>
      <c r="C2088" s="309"/>
      <c r="D2088" s="310"/>
    </row>
    <row r="2089" spans="1:4" x14ac:dyDescent="0.25">
      <c r="A2089" s="418" t="s">
        <v>8276</v>
      </c>
      <c r="B2089">
        <v>3</v>
      </c>
      <c r="C2089" s="309"/>
      <c r="D2089" s="310"/>
    </row>
    <row r="2090" spans="1:4" x14ac:dyDescent="0.25">
      <c r="A2090" s="418" t="s">
        <v>16415</v>
      </c>
      <c r="B2090">
        <v>1</v>
      </c>
      <c r="C2090" s="309"/>
      <c r="D2090" s="310"/>
    </row>
    <row r="2091" spans="1:4" x14ac:dyDescent="0.25">
      <c r="A2091" s="418" t="s">
        <v>8979</v>
      </c>
      <c r="B2091">
        <v>3</v>
      </c>
      <c r="C2091" s="309"/>
      <c r="D2091" s="310"/>
    </row>
    <row r="2092" spans="1:4" x14ac:dyDescent="0.25">
      <c r="A2092" s="418" t="s">
        <v>8980</v>
      </c>
      <c r="B2092">
        <v>3</v>
      </c>
      <c r="C2092" s="309"/>
      <c r="D2092" s="310"/>
    </row>
    <row r="2093" spans="1:4" x14ac:dyDescent="0.25">
      <c r="A2093" s="418" t="s">
        <v>10415</v>
      </c>
      <c r="B2093">
        <v>3</v>
      </c>
      <c r="C2093" s="309"/>
      <c r="D2093" s="310"/>
    </row>
    <row r="2094" spans="1:4" x14ac:dyDescent="0.25">
      <c r="A2094" s="418" t="s">
        <v>6443</v>
      </c>
      <c r="B2094">
        <v>10</v>
      </c>
      <c r="C2094" s="309"/>
      <c r="D2094" s="310"/>
    </row>
    <row r="2095" spans="1:4" x14ac:dyDescent="0.25">
      <c r="A2095" s="418" t="s">
        <v>6444</v>
      </c>
      <c r="B2095">
        <v>8</v>
      </c>
      <c r="C2095" s="309"/>
      <c r="D2095" s="310"/>
    </row>
    <row r="2096" spans="1:4" x14ac:dyDescent="0.25">
      <c r="A2096" s="418" t="s">
        <v>8144</v>
      </c>
      <c r="B2096">
        <v>5</v>
      </c>
      <c r="C2096" s="309"/>
      <c r="D2096" s="310"/>
    </row>
    <row r="2097" spans="1:4" x14ac:dyDescent="0.25">
      <c r="A2097" s="418" t="s">
        <v>10296</v>
      </c>
      <c r="B2097">
        <v>1</v>
      </c>
      <c r="C2097" s="309"/>
      <c r="D2097" s="310"/>
    </row>
    <row r="2098" spans="1:4" x14ac:dyDescent="0.25">
      <c r="A2098" s="418" t="s">
        <v>9046</v>
      </c>
      <c r="B2098">
        <v>2</v>
      </c>
      <c r="C2098" s="309"/>
      <c r="D2098" s="310"/>
    </row>
    <row r="2099" spans="1:4" x14ac:dyDescent="0.25">
      <c r="A2099" s="418" t="s">
        <v>9047</v>
      </c>
      <c r="B2099">
        <v>1</v>
      </c>
      <c r="C2099" s="309"/>
      <c r="D2099" s="310"/>
    </row>
    <row r="2100" spans="1:4" x14ac:dyDescent="0.25">
      <c r="A2100" s="418" t="s">
        <v>10191</v>
      </c>
      <c r="B2100">
        <v>9</v>
      </c>
      <c r="C2100" s="309"/>
      <c r="D2100" s="310"/>
    </row>
    <row r="2101" spans="1:4" x14ac:dyDescent="0.25">
      <c r="A2101" s="418" t="s">
        <v>10192</v>
      </c>
      <c r="B2101">
        <v>9</v>
      </c>
      <c r="C2101" s="309"/>
      <c r="D2101" s="310"/>
    </row>
    <row r="2102" spans="1:4" x14ac:dyDescent="0.25">
      <c r="A2102" s="418" t="s">
        <v>10193</v>
      </c>
      <c r="B2102">
        <v>8</v>
      </c>
      <c r="C2102" s="309"/>
      <c r="D2102" s="310"/>
    </row>
    <row r="2103" spans="1:4" x14ac:dyDescent="0.25">
      <c r="A2103" s="418" t="s">
        <v>11305</v>
      </c>
      <c r="B2103">
        <v>6</v>
      </c>
      <c r="C2103" s="309"/>
      <c r="D2103" s="310"/>
    </row>
    <row r="2104" spans="1:4" x14ac:dyDescent="0.25">
      <c r="A2104" s="418" t="s">
        <v>6761</v>
      </c>
      <c r="B2104">
        <v>1</v>
      </c>
      <c r="C2104" s="309"/>
      <c r="D2104" s="310"/>
    </row>
    <row r="2105" spans="1:4" x14ac:dyDescent="0.25">
      <c r="A2105" s="418" t="s">
        <v>6762</v>
      </c>
      <c r="B2105">
        <v>1</v>
      </c>
      <c r="C2105" s="309"/>
      <c r="D2105" s="310"/>
    </row>
    <row r="2106" spans="1:4" x14ac:dyDescent="0.25">
      <c r="A2106" s="418" t="s">
        <v>6284</v>
      </c>
      <c r="B2106">
        <v>1</v>
      </c>
      <c r="C2106" s="309"/>
      <c r="D2106" s="310"/>
    </row>
    <row r="2107" spans="1:4" x14ac:dyDescent="0.25">
      <c r="A2107" s="418" t="s">
        <v>6285</v>
      </c>
      <c r="B2107">
        <v>1</v>
      </c>
      <c r="C2107" s="309"/>
      <c r="D2107" s="310"/>
    </row>
    <row r="2108" spans="1:4" x14ac:dyDescent="0.25">
      <c r="A2108" s="418" t="s">
        <v>11101</v>
      </c>
      <c r="B2108">
        <v>2</v>
      </c>
      <c r="C2108" s="309"/>
      <c r="D2108" s="310"/>
    </row>
    <row r="2109" spans="1:4" x14ac:dyDescent="0.25">
      <c r="A2109" s="418" t="s">
        <v>11102</v>
      </c>
      <c r="B2109">
        <v>2</v>
      </c>
      <c r="C2109" s="309"/>
      <c r="D2109" s="310"/>
    </row>
    <row r="2110" spans="1:4" x14ac:dyDescent="0.25">
      <c r="A2110" s="418" t="s">
        <v>7202</v>
      </c>
      <c r="B2110">
        <v>3</v>
      </c>
      <c r="C2110" s="309"/>
      <c r="D2110" s="310"/>
    </row>
    <row r="2111" spans="1:4" x14ac:dyDescent="0.25">
      <c r="A2111" s="418" t="s">
        <v>6445</v>
      </c>
      <c r="B2111">
        <v>3</v>
      </c>
      <c r="C2111" s="309"/>
      <c r="D2111" s="310"/>
    </row>
    <row r="2112" spans="1:4" x14ac:dyDescent="0.25">
      <c r="A2112" s="418" t="s">
        <v>8471</v>
      </c>
      <c r="B2112">
        <v>1</v>
      </c>
      <c r="C2112" s="309"/>
      <c r="D2112" s="310"/>
    </row>
    <row r="2113" spans="1:4" x14ac:dyDescent="0.25">
      <c r="A2113" s="418" t="s">
        <v>10491</v>
      </c>
      <c r="B2113">
        <v>3</v>
      </c>
      <c r="C2113" s="309"/>
      <c r="D2113" s="310"/>
    </row>
    <row r="2114" spans="1:4" x14ac:dyDescent="0.25">
      <c r="A2114" s="418" t="s">
        <v>7118</v>
      </c>
      <c r="B2114">
        <v>3</v>
      </c>
      <c r="C2114" s="309"/>
      <c r="D2114" s="310"/>
    </row>
    <row r="2115" spans="1:4" x14ac:dyDescent="0.25">
      <c r="A2115" s="418" t="s">
        <v>7119</v>
      </c>
      <c r="B2115">
        <v>3</v>
      </c>
      <c r="C2115" s="309"/>
      <c r="D2115" s="310"/>
    </row>
    <row r="2116" spans="1:4" x14ac:dyDescent="0.25">
      <c r="A2116" s="418" t="s">
        <v>17095</v>
      </c>
      <c r="B2116">
        <v>1</v>
      </c>
      <c r="C2116" s="309"/>
      <c r="D2116" s="310"/>
    </row>
    <row r="2117" spans="1:4" x14ac:dyDescent="0.25">
      <c r="A2117" s="418" t="s">
        <v>8156</v>
      </c>
      <c r="B2117">
        <v>5</v>
      </c>
      <c r="C2117" s="309"/>
      <c r="D2117" s="310"/>
    </row>
    <row r="2118" spans="1:4" x14ac:dyDescent="0.25">
      <c r="A2118" s="418" t="s">
        <v>8277</v>
      </c>
      <c r="B2118">
        <v>3</v>
      </c>
      <c r="C2118" s="309"/>
      <c r="D2118" s="310"/>
    </row>
    <row r="2119" spans="1:4" x14ac:dyDescent="0.25">
      <c r="A2119" s="418" t="s">
        <v>12000</v>
      </c>
      <c r="B2119">
        <v>4</v>
      </c>
      <c r="C2119" s="309"/>
      <c r="D2119" s="310"/>
    </row>
    <row r="2120" spans="1:4" x14ac:dyDescent="0.25">
      <c r="A2120" s="418" t="s">
        <v>11052</v>
      </c>
      <c r="B2120">
        <v>1</v>
      </c>
      <c r="C2120" s="309"/>
      <c r="D2120" s="310"/>
    </row>
    <row r="2121" spans="1:4" x14ac:dyDescent="0.25">
      <c r="A2121" s="418" t="s">
        <v>8145</v>
      </c>
      <c r="B2121">
        <v>2</v>
      </c>
      <c r="C2121" s="309"/>
      <c r="D2121" s="310"/>
    </row>
    <row r="2122" spans="1:4" x14ac:dyDescent="0.25">
      <c r="A2122" s="418" t="s">
        <v>8157</v>
      </c>
      <c r="B2122">
        <v>2</v>
      </c>
      <c r="C2122" s="309"/>
      <c r="D2122" s="310"/>
    </row>
    <row r="2123" spans="1:4" x14ac:dyDescent="0.25">
      <c r="A2123" s="418" t="s">
        <v>11243</v>
      </c>
      <c r="B2123">
        <v>1</v>
      </c>
      <c r="C2123" s="309"/>
      <c r="D2123" s="310"/>
    </row>
    <row r="2124" spans="1:4" x14ac:dyDescent="0.25">
      <c r="A2124" s="418" t="s">
        <v>8079</v>
      </c>
      <c r="B2124">
        <v>1</v>
      </c>
      <c r="C2124" s="309"/>
      <c r="D2124" s="310"/>
    </row>
    <row r="2125" spans="1:4" x14ac:dyDescent="0.25">
      <c r="A2125" s="418" t="s">
        <v>8278</v>
      </c>
      <c r="B2125">
        <v>4</v>
      </c>
      <c r="C2125" s="309"/>
      <c r="D2125" s="310"/>
    </row>
    <row r="2126" spans="1:4" x14ac:dyDescent="0.25">
      <c r="A2126" s="418" t="s">
        <v>8279</v>
      </c>
      <c r="B2126">
        <v>4</v>
      </c>
      <c r="C2126" s="309"/>
      <c r="D2126" s="310"/>
    </row>
    <row r="2127" spans="1:4" x14ac:dyDescent="0.25">
      <c r="A2127" s="418" t="s">
        <v>8803</v>
      </c>
      <c r="B2127">
        <v>3</v>
      </c>
      <c r="C2127" s="309"/>
      <c r="D2127" s="310"/>
    </row>
    <row r="2128" spans="1:4" x14ac:dyDescent="0.25">
      <c r="A2128" s="418" t="s">
        <v>7258</v>
      </c>
      <c r="B2128">
        <v>3</v>
      </c>
      <c r="C2128" s="309"/>
      <c r="D2128" s="310"/>
    </row>
    <row r="2129" spans="1:4" x14ac:dyDescent="0.25">
      <c r="A2129" s="418" t="s">
        <v>7259</v>
      </c>
      <c r="B2129">
        <v>4</v>
      </c>
      <c r="C2129" s="309"/>
      <c r="D2129" s="310"/>
    </row>
    <row r="2130" spans="1:4" x14ac:dyDescent="0.25">
      <c r="A2130" s="418" t="s">
        <v>12242</v>
      </c>
      <c r="B2130">
        <v>1</v>
      </c>
      <c r="C2130" s="309"/>
      <c r="D2130" s="310"/>
    </row>
    <row r="2131" spans="1:4" x14ac:dyDescent="0.25">
      <c r="A2131" s="418" t="s">
        <v>11053</v>
      </c>
      <c r="B2131">
        <v>2</v>
      </c>
      <c r="C2131" s="309"/>
      <c r="D2131" s="310"/>
    </row>
    <row r="2132" spans="1:4" x14ac:dyDescent="0.25">
      <c r="A2132" s="418" t="s">
        <v>7626</v>
      </c>
      <c r="B2132">
        <v>5</v>
      </c>
      <c r="C2132" s="309"/>
      <c r="D2132" s="310"/>
    </row>
    <row r="2133" spans="1:4" x14ac:dyDescent="0.25">
      <c r="A2133" s="418" t="s">
        <v>7627</v>
      </c>
      <c r="B2133">
        <v>6</v>
      </c>
      <c r="C2133" s="309"/>
      <c r="D2133" s="310"/>
    </row>
    <row r="2134" spans="1:4" x14ac:dyDescent="0.25">
      <c r="A2134" s="418" t="s">
        <v>8158</v>
      </c>
      <c r="B2134">
        <v>2</v>
      </c>
      <c r="C2134" s="309"/>
      <c r="D2134" s="310"/>
    </row>
    <row r="2135" spans="1:4" x14ac:dyDescent="0.25">
      <c r="A2135" s="418" t="s">
        <v>10492</v>
      </c>
      <c r="B2135">
        <v>4</v>
      </c>
      <c r="C2135" s="309"/>
      <c r="D2135" s="310"/>
    </row>
    <row r="2136" spans="1:4" x14ac:dyDescent="0.25">
      <c r="A2136" s="418" t="s">
        <v>10493</v>
      </c>
      <c r="B2136">
        <v>4</v>
      </c>
      <c r="C2136" s="309"/>
      <c r="D2136" s="310"/>
    </row>
    <row r="2137" spans="1:4" x14ac:dyDescent="0.25">
      <c r="A2137" s="418" t="s">
        <v>10494</v>
      </c>
      <c r="B2137">
        <v>2</v>
      </c>
      <c r="C2137" s="309"/>
      <c r="D2137" s="310"/>
    </row>
    <row r="2138" spans="1:4" x14ac:dyDescent="0.25">
      <c r="A2138" s="418" t="s">
        <v>7338</v>
      </c>
      <c r="B2138">
        <v>3</v>
      </c>
      <c r="C2138" s="309"/>
      <c r="D2138" s="310"/>
    </row>
    <row r="2139" spans="1:4" x14ac:dyDescent="0.25">
      <c r="A2139" s="418" t="s">
        <v>7373</v>
      </c>
      <c r="B2139">
        <v>1</v>
      </c>
      <c r="C2139" s="309"/>
      <c r="D2139" s="310"/>
    </row>
    <row r="2140" spans="1:4" x14ac:dyDescent="0.25">
      <c r="A2140" s="418" t="s">
        <v>7120</v>
      </c>
      <c r="B2140">
        <v>1</v>
      </c>
      <c r="C2140" s="309"/>
      <c r="D2140" s="310"/>
    </row>
    <row r="2141" spans="1:4" x14ac:dyDescent="0.25">
      <c r="A2141" s="418" t="s">
        <v>7260</v>
      </c>
      <c r="B2141">
        <v>5</v>
      </c>
      <c r="C2141" s="309"/>
      <c r="D2141" s="310"/>
    </row>
    <row r="2142" spans="1:4" x14ac:dyDescent="0.25">
      <c r="A2142" s="418" t="s">
        <v>7481</v>
      </c>
      <c r="B2142">
        <v>3</v>
      </c>
      <c r="C2142" s="309"/>
      <c r="D2142" s="310"/>
    </row>
    <row r="2143" spans="1:4" x14ac:dyDescent="0.25">
      <c r="A2143" s="418" t="s">
        <v>9713</v>
      </c>
      <c r="B2143">
        <v>3</v>
      </c>
      <c r="C2143" s="309"/>
      <c r="D2143" s="310"/>
    </row>
    <row r="2144" spans="1:4" x14ac:dyDescent="0.25">
      <c r="A2144" s="418" t="s">
        <v>11486</v>
      </c>
      <c r="B2144">
        <v>3</v>
      </c>
      <c r="C2144" s="309"/>
      <c r="D2144" s="310"/>
    </row>
    <row r="2145" spans="1:4" x14ac:dyDescent="0.25">
      <c r="A2145" s="418" t="s">
        <v>11487</v>
      </c>
      <c r="B2145">
        <v>2</v>
      </c>
      <c r="C2145" s="309"/>
      <c r="D2145" s="310"/>
    </row>
    <row r="2146" spans="1:4" x14ac:dyDescent="0.25">
      <c r="A2146" s="418" t="s">
        <v>10241</v>
      </c>
      <c r="B2146">
        <v>3</v>
      </c>
      <c r="C2146" s="309"/>
      <c r="D2146" s="310"/>
    </row>
    <row r="2147" spans="1:4" x14ac:dyDescent="0.25">
      <c r="A2147" s="418" t="s">
        <v>10242</v>
      </c>
      <c r="B2147">
        <v>1</v>
      </c>
      <c r="C2147" s="309"/>
      <c r="D2147" s="310"/>
    </row>
    <row r="2148" spans="1:4" x14ac:dyDescent="0.25">
      <c r="A2148" s="418" t="s">
        <v>7628</v>
      </c>
      <c r="B2148">
        <v>2</v>
      </c>
      <c r="C2148" s="309"/>
      <c r="D2148" s="310"/>
    </row>
    <row r="2149" spans="1:4" x14ac:dyDescent="0.25">
      <c r="A2149" s="418" t="s">
        <v>8787</v>
      </c>
      <c r="B2149">
        <v>1</v>
      </c>
      <c r="C2149" s="309"/>
      <c r="D2149" s="310"/>
    </row>
    <row r="2150" spans="1:4" x14ac:dyDescent="0.25">
      <c r="A2150" s="418" t="s">
        <v>7339</v>
      </c>
      <c r="B2150">
        <v>1</v>
      </c>
      <c r="C2150" s="309"/>
      <c r="D2150" s="310"/>
    </row>
    <row r="2151" spans="1:4" x14ac:dyDescent="0.25">
      <c r="A2151" s="418" t="s">
        <v>9912</v>
      </c>
      <c r="B2151">
        <v>1</v>
      </c>
      <c r="C2151" s="309"/>
      <c r="D2151" s="310"/>
    </row>
    <row r="2152" spans="1:4" x14ac:dyDescent="0.25">
      <c r="A2152" s="418" t="s">
        <v>9913</v>
      </c>
      <c r="B2152">
        <v>7</v>
      </c>
      <c r="C2152" s="309"/>
      <c r="D2152" s="310"/>
    </row>
    <row r="2153" spans="1:4" x14ac:dyDescent="0.25">
      <c r="A2153" s="418" t="s">
        <v>8146</v>
      </c>
      <c r="B2153">
        <v>7</v>
      </c>
      <c r="C2153" s="309"/>
      <c r="D2153" s="310"/>
    </row>
    <row r="2154" spans="1:4" x14ac:dyDescent="0.25">
      <c r="A2154" s="418" t="s">
        <v>10495</v>
      </c>
      <c r="B2154">
        <v>2</v>
      </c>
      <c r="C2154" s="309"/>
      <c r="D2154" s="310"/>
    </row>
    <row r="2155" spans="1:4" x14ac:dyDescent="0.25">
      <c r="A2155" s="418" t="s">
        <v>10496</v>
      </c>
      <c r="B2155">
        <v>3</v>
      </c>
      <c r="C2155" s="309"/>
      <c r="D2155" s="310"/>
    </row>
    <row r="2156" spans="1:4" x14ac:dyDescent="0.25">
      <c r="A2156" s="418" t="s">
        <v>10497</v>
      </c>
      <c r="B2156">
        <v>1</v>
      </c>
      <c r="C2156" s="309"/>
      <c r="D2156" s="310"/>
    </row>
    <row r="2157" spans="1:4" x14ac:dyDescent="0.25">
      <c r="A2157" s="418" t="s">
        <v>8349</v>
      </c>
      <c r="B2157">
        <v>4</v>
      </c>
      <c r="C2157" s="309"/>
      <c r="D2157" s="310"/>
    </row>
    <row r="2158" spans="1:4" x14ac:dyDescent="0.25">
      <c r="A2158" s="418" t="s">
        <v>8350</v>
      </c>
      <c r="B2158">
        <v>3</v>
      </c>
      <c r="C2158" s="309"/>
      <c r="D2158" s="310"/>
    </row>
    <row r="2159" spans="1:4" x14ac:dyDescent="0.25">
      <c r="A2159" s="418" t="s">
        <v>8351</v>
      </c>
      <c r="B2159">
        <v>3</v>
      </c>
      <c r="C2159" s="309"/>
      <c r="D2159" s="310"/>
    </row>
    <row r="2160" spans="1:4" x14ac:dyDescent="0.25">
      <c r="A2160" s="418" t="s">
        <v>6763</v>
      </c>
      <c r="B2160">
        <v>15</v>
      </c>
      <c r="C2160" s="309"/>
      <c r="D2160" s="310"/>
    </row>
    <row r="2161" spans="1:4" x14ac:dyDescent="0.25">
      <c r="A2161" s="418" t="s">
        <v>6928</v>
      </c>
      <c r="B2161">
        <v>16</v>
      </c>
      <c r="C2161" s="309"/>
      <c r="D2161" s="310"/>
    </row>
    <row r="2162" spans="1:4" x14ac:dyDescent="0.25">
      <c r="A2162" s="418" t="s">
        <v>8538</v>
      </c>
      <c r="B2162">
        <v>14</v>
      </c>
      <c r="C2162" s="309"/>
      <c r="D2162" s="310"/>
    </row>
    <row r="2163" spans="1:4" x14ac:dyDescent="0.25">
      <c r="A2163" s="418" t="s">
        <v>7776</v>
      </c>
      <c r="B2163">
        <v>12</v>
      </c>
      <c r="C2163" s="309"/>
      <c r="D2163" s="310"/>
    </row>
    <row r="2164" spans="1:4" x14ac:dyDescent="0.25">
      <c r="A2164" s="418" t="s">
        <v>7629</v>
      </c>
      <c r="B2164">
        <v>3</v>
      </c>
      <c r="C2164" s="309"/>
      <c r="D2164" s="310"/>
    </row>
    <row r="2165" spans="1:4" x14ac:dyDescent="0.25">
      <c r="A2165" s="418" t="s">
        <v>10450</v>
      </c>
      <c r="B2165">
        <v>2</v>
      </c>
      <c r="C2165" s="309"/>
      <c r="D2165" s="310"/>
    </row>
    <row r="2166" spans="1:4" x14ac:dyDescent="0.25">
      <c r="A2166" s="418" t="s">
        <v>11418</v>
      </c>
      <c r="B2166">
        <v>1</v>
      </c>
      <c r="C2166" s="309"/>
      <c r="D2166" s="310"/>
    </row>
    <row r="2167" spans="1:4" x14ac:dyDescent="0.25">
      <c r="A2167" s="418" t="s">
        <v>8766</v>
      </c>
      <c r="B2167">
        <v>13</v>
      </c>
      <c r="C2167" s="309"/>
      <c r="D2167" s="310"/>
    </row>
    <row r="2168" spans="1:4" x14ac:dyDescent="0.25">
      <c r="A2168" s="418" t="s">
        <v>6764</v>
      </c>
      <c r="B2168">
        <v>13</v>
      </c>
      <c r="C2168" s="309"/>
      <c r="D2168" s="310"/>
    </row>
    <row r="2169" spans="1:4" x14ac:dyDescent="0.25">
      <c r="A2169" s="418" t="s">
        <v>8767</v>
      </c>
      <c r="B2169">
        <v>12</v>
      </c>
      <c r="C2169" s="309"/>
      <c r="D2169" s="310"/>
    </row>
    <row r="2170" spans="1:4" x14ac:dyDescent="0.25">
      <c r="A2170" s="418" t="s">
        <v>11965</v>
      </c>
      <c r="B2170">
        <v>2</v>
      </c>
      <c r="C2170" s="309"/>
      <c r="D2170" s="310"/>
    </row>
    <row r="2171" spans="1:4" x14ac:dyDescent="0.25">
      <c r="A2171" s="418" t="s">
        <v>10451</v>
      </c>
      <c r="B2171">
        <v>3</v>
      </c>
      <c r="C2171" s="309"/>
      <c r="D2171" s="310"/>
    </row>
    <row r="2172" spans="1:4" x14ac:dyDescent="0.25">
      <c r="A2172" s="418" t="s">
        <v>10656</v>
      </c>
      <c r="B2172">
        <v>3</v>
      </c>
      <c r="C2172" s="309"/>
      <c r="D2172" s="310"/>
    </row>
    <row r="2173" spans="1:4" x14ac:dyDescent="0.25">
      <c r="A2173" s="418" t="s">
        <v>11244</v>
      </c>
      <c r="B2173">
        <v>2</v>
      </c>
      <c r="C2173" s="309"/>
      <c r="D2173" s="310"/>
    </row>
    <row r="2174" spans="1:4" x14ac:dyDescent="0.25">
      <c r="A2174" s="418" t="s">
        <v>11245</v>
      </c>
      <c r="B2174">
        <v>2</v>
      </c>
      <c r="C2174" s="309"/>
      <c r="D2174" s="310"/>
    </row>
    <row r="2175" spans="1:4" x14ac:dyDescent="0.25">
      <c r="A2175" s="418" t="s">
        <v>4810</v>
      </c>
      <c r="B2175">
        <v>1</v>
      </c>
      <c r="C2175" s="309"/>
      <c r="D2175" s="310"/>
    </row>
    <row r="2176" spans="1:4" x14ac:dyDescent="0.25">
      <c r="A2176" s="418" t="s">
        <v>4811</v>
      </c>
      <c r="B2176">
        <v>3</v>
      </c>
      <c r="C2176" s="309"/>
      <c r="D2176" s="310"/>
    </row>
    <row r="2177" spans="1:4" x14ac:dyDescent="0.25">
      <c r="A2177" s="418" t="s">
        <v>4817</v>
      </c>
      <c r="B2177">
        <v>1</v>
      </c>
      <c r="C2177" s="309"/>
      <c r="D2177" s="310"/>
    </row>
    <row r="2178" spans="1:4" x14ac:dyDescent="0.25">
      <c r="A2178" s="418" t="s">
        <v>4818</v>
      </c>
      <c r="B2178">
        <v>1</v>
      </c>
      <c r="C2178" s="309"/>
      <c r="D2178" s="310"/>
    </row>
    <row r="2179" spans="1:4" x14ac:dyDescent="0.25">
      <c r="A2179" s="418" t="s">
        <v>8080</v>
      </c>
      <c r="B2179">
        <v>3</v>
      </c>
      <c r="C2179" s="309"/>
      <c r="D2179" s="310"/>
    </row>
    <row r="2180" spans="1:4" x14ac:dyDescent="0.25">
      <c r="A2180" s="418" t="s">
        <v>9183</v>
      </c>
      <c r="B2180">
        <v>5</v>
      </c>
      <c r="C2180" s="309"/>
      <c r="D2180" s="310"/>
    </row>
    <row r="2181" spans="1:4" x14ac:dyDescent="0.25">
      <c r="A2181" s="418" t="s">
        <v>12094</v>
      </c>
      <c r="B2181">
        <v>1</v>
      </c>
      <c r="C2181" s="309"/>
      <c r="D2181" s="310"/>
    </row>
    <row r="2182" spans="1:4" x14ac:dyDescent="0.25">
      <c r="A2182" s="418" t="s">
        <v>12243</v>
      </c>
      <c r="B2182">
        <v>2</v>
      </c>
      <c r="C2182" s="309"/>
      <c r="D2182" s="310"/>
    </row>
    <row r="2183" spans="1:4" x14ac:dyDescent="0.25">
      <c r="A2183" s="418" t="s">
        <v>12244</v>
      </c>
      <c r="B2183">
        <v>2</v>
      </c>
      <c r="C2183" s="309"/>
      <c r="D2183" s="310"/>
    </row>
    <row r="2184" spans="1:4" x14ac:dyDescent="0.25">
      <c r="A2184" s="418" t="s">
        <v>7777</v>
      </c>
      <c r="B2184">
        <v>5</v>
      </c>
      <c r="C2184" s="309"/>
      <c r="D2184" s="310"/>
    </row>
    <row r="2185" spans="1:4" x14ac:dyDescent="0.25">
      <c r="A2185" s="418" t="s">
        <v>7778</v>
      </c>
      <c r="B2185">
        <v>6</v>
      </c>
      <c r="C2185" s="309"/>
      <c r="D2185" s="310"/>
    </row>
    <row r="2186" spans="1:4" x14ac:dyDescent="0.25">
      <c r="A2186" s="418" t="s">
        <v>8539</v>
      </c>
      <c r="B2186">
        <v>5</v>
      </c>
      <c r="C2186" s="309"/>
      <c r="D2186" s="310"/>
    </row>
    <row r="2187" spans="1:4" x14ac:dyDescent="0.25">
      <c r="A2187" s="418" t="s">
        <v>15498</v>
      </c>
      <c r="B2187">
        <v>3</v>
      </c>
      <c r="C2187" s="309"/>
      <c r="D2187" s="310"/>
    </row>
    <row r="2188" spans="1:4" x14ac:dyDescent="0.25">
      <c r="A2188" s="418" t="s">
        <v>6765</v>
      </c>
      <c r="B2188">
        <v>1</v>
      </c>
      <c r="C2188" s="309"/>
      <c r="D2188" s="310"/>
    </row>
    <row r="2189" spans="1:4" x14ac:dyDescent="0.25">
      <c r="A2189" s="418" t="s">
        <v>6766</v>
      </c>
      <c r="B2189">
        <v>2</v>
      </c>
      <c r="C2189" s="309"/>
      <c r="D2189" s="310"/>
    </row>
    <row r="2190" spans="1:4" x14ac:dyDescent="0.25">
      <c r="A2190" s="418" t="s">
        <v>9004</v>
      </c>
      <c r="B2190">
        <v>3</v>
      </c>
      <c r="C2190" s="309"/>
      <c r="D2190" s="310"/>
    </row>
    <row r="2191" spans="1:4" x14ac:dyDescent="0.25">
      <c r="A2191" s="418" t="s">
        <v>6350</v>
      </c>
      <c r="B2191">
        <v>4</v>
      </c>
      <c r="C2191" s="309"/>
      <c r="D2191" s="310"/>
    </row>
    <row r="2192" spans="1:4" x14ac:dyDescent="0.25">
      <c r="A2192" s="418" t="s">
        <v>9005</v>
      </c>
      <c r="B2192">
        <v>3</v>
      </c>
      <c r="C2192" s="309"/>
      <c r="D2192" s="310"/>
    </row>
    <row r="2193" spans="1:4" x14ac:dyDescent="0.25">
      <c r="A2193" s="418" t="s">
        <v>11246</v>
      </c>
      <c r="B2193">
        <v>1</v>
      </c>
      <c r="C2193" s="309"/>
      <c r="D2193" s="310"/>
    </row>
    <row r="2194" spans="1:4" x14ac:dyDescent="0.25">
      <c r="A2194" s="418" t="s">
        <v>7482</v>
      </c>
      <c r="B2194">
        <v>3</v>
      </c>
      <c r="C2194" s="309"/>
      <c r="D2194" s="310"/>
    </row>
    <row r="2195" spans="1:4" x14ac:dyDescent="0.25">
      <c r="A2195" s="418" t="s">
        <v>9192</v>
      </c>
      <c r="B2195">
        <v>3</v>
      </c>
      <c r="C2195" s="309"/>
      <c r="D2195" s="310"/>
    </row>
    <row r="2196" spans="1:4" x14ac:dyDescent="0.25">
      <c r="A2196" s="418" t="s">
        <v>10243</v>
      </c>
      <c r="B2196">
        <v>3</v>
      </c>
      <c r="C2196" s="309"/>
      <c r="D2196" s="310"/>
    </row>
    <row r="2197" spans="1:4" x14ac:dyDescent="0.25">
      <c r="A2197" s="418" t="s">
        <v>8368</v>
      </c>
      <c r="B2197">
        <v>1</v>
      </c>
      <c r="C2197" s="309"/>
      <c r="D2197" s="310"/>
    </row>
    <row r="2198" spans="1:4" x14ac:dyDescent="0.25">
      <c r="A2198" s="418" t="s">
        <v>6663</v>
      </c>
      <c r="B2198">
        <v>28</v>
      </c>
      <c r="C2198" s="309"/>
      <c r="D2198" s="310"/>
    </row>
    <row r="2199" spans="1:4" x14ac:dyDescent="0.25">
      <c r="A2199" s="418" t="s">
        <v>6664</v>
      </c>
      <c r="B2199">
        <v>33</v>
      </c>
      <c r="C2199" s="309"/>
      <c r="D2199" s="310"/>
    </row>
    <row r="2200" spans="1:4" x14ac:dyDescent="0.25">
      <c r="A2200" s="418" t="s">
        <v>6963</v>
      </c>
      <c r="B2200">
        <v>18</v>
      </c>
      <c r="C2200" s="309"/>
      <c r="D2200" s="310"/>
    </row>
    <row r="2201" spans="1:4" x14ac:dyDescent="0.25">
      <c r="A2201" s="418" t="s">
        <v>8540</v>
      </c>
      <c r="B2201">
        <v>7</v>
      </c>
      <c r="C2201" s="309"/>
      <c r="D2201" s="310"/>
    </row>
    <row r="2202" spans="1:4" x14ac:dyDescent="0.25">
      <c r="A2202" s="418" t="s">
        <v>9853</v>
      </c>
      <c r="B2202">
        <v>6</v>
      </c>
      <c r="C2202" s="309"/>
      <c r="D2202" s="310"/>
    </row>
    <row r="2203" spans="1:4" x14ac:dyDescent="0.25">
      <c r="A2203" s="418" t="s">
        <v>9854</v>
      </c>
      <c r="B2203">
        <v>1</v>
      </c>
      <c r="C2203" s="309"/>
      <c r="D2203" s="310"/>
    </row>
    <row r="2204" spans="1:4" x14ac:dyDescent="0.25">
      <c r="A2204" s="418" t="s">
        <v>11488</v>
      </c>
      <c r="B2204">
        <v>3</v>
      </c>
      <c r="C2204" s="309"/>
      <c r="D2204" s="310"/>
    </row>
    <row r="2205" spans="1:4" x14ac:dyDescent="0.25">
      <c r="A2205" s="418" t="s">
        <v>11419</v>
      </c>
      <c r="B2205">
        <v>4</v>
      </c>
      <c r="C2205" s="309"/>
      <c r="D2205" s="310"/>
    </row>
    <row r="2206" spans="1:4" x14ac:dyDescent="0.25">
      <c r="A2206" s="418" t="s">
        <v>11649</v>
      </c>
      <c r="B2206">
        <v>3</v>
      </c>
      <c r="C2206" s="309"/>
      <c r="D2206" s="310"/>
    </row>
    <row r="2207" spans="1:4" x14ac:dyDescent="0.25">
      <c r="A2207" s="418" t="s">
        <v>10452</v>
      </c>
      <c r="B2207">
        <v>2</v>
      </c>
      <c r="C2207" s="309"/>
      <c r="D2207" s="310"/>
    </row>
    <row r="2208" spans="1:4" x14ac:dyDescent="0.25">
      <c r="A2208" s="418" t="s">
        <v>9595</v>
      </c>
      <c r="B2208">
        <v>4</v>
      </c>
      <c r="C2208" s="309"/>
      <c r="D2208" s="310"/>
    </row>
    <row r="2209" spans="1:4" x14ac:dyDescent="0.25">
      <c r="A2209" s="418" t="s">
        <v>8280</v>
      </c>
      <c r="B2209">
        <v>6</v>
      </c>
      <c r="C2209" s="309"/>
      <c r="D2209" s="310"/>
    </row>
    <row r="2210" spans="1:4" x14ac:dyDescent="0.25">
      <c r="A2210" s="418" t="s">
        <v>9596</v>
      </c>
      <c r="B2210">
        <v>2</v>
      </c>
      <c r="C2210" s="309"/>
      <c r="D2210" s="310"/>
    </row>
    <row r="2211" spans="1:4" x14ac:dyDescent="0.25">
      <c r="A2211" s="418" t="s">
        <v>9597</v>
      </c>
      <c r="B2211">
        <v>2</v>
      </c>
      <c r="C2211" s="309"/>
      <c r="D2211" s="310"/>
    </row>
    <row r="2212" spans="1:4" x14ac:dyDescent="0.25">
      <c r="A2212" s="418" t="s">
        <v>9598</v>
      </c>
      <c r="B2212">
        <v>3</v>
      </c>
      <c r="C2212" s="309"/>
      <c r="D2212" s="310"/>
    </row>
    <row r="2213" spans="1:4" x14ac:dyDescent="0.25">
      <c r="A2213" s="418" t="s">
        <v>9599</v>
      </c>
      <c r="B2213">
        <v>3</v>
      </c>
      <c r="C2213" s="309"/>
      <c r="D2213" s="310"/>
    </row>
    <row r="2214" spans="1:4" x14ac:dyDescent="0.25">
      <c r="A2214" s="418" t="s">
        <v>16204</v>
      </c>
      <c r="B2214">
        <v>1</v>
      </c>
      <c r="C2214" s="309"/>
      <c r="D2214" s="310"/>
    </row>
    <row r="2215" spans="1:4" x14ac:dyDescent="0.25">
      <c r="A2215" s="418" t="s">
        <v>11352</v>
      </c>
      <c r="B2215">
        <v>3</v>
      </c>
      <c r="C2215" s="309"/>
      <c r="D2215" s="310"/>
    </row>
    <row r="2216" spans="1:4" x14ac:dyDescent="0.25">
      <c r="A2216" s="418" t="s">
        <v>9600</v>
      </c>
      <c r="B2216">
        <v>4</v>
      </c>
      <c r="C2216" s="309"/>
      <c r="D2216" s="310"/>
    </row>
    <row r="2217" spans="1:4" x14ac:dyDescent="0.25">
      <c r="A2217" s="418" t="s">
        <v>16205</v>
      </c>
      <c r="B2217">
        <v>1</v>
      </c>
      <c r="C2217" s="309"/>
      <c r="D2217" s="310"/>
    </row>
    <row r="2218" spans="1:4" x14ac:dyDescent="0.25">
      <c r="A2218" s="418" t="s">
        <v>7630</v>
      </c>
      <c r="B2218">
        <v>7</v>
      </c>
      <c r="C2218" s="309"/>
      <c r="D2218" s="310"/>
    </row>
    <row r="2219" spans="1:4" x14ac:dyDescent="0.25">
      <c r="A2219" s="418" t="s">
        <v>6639</v>
      </c>
      <c r="B2219">
        <v>8</v>
      </c>
      <c r="C2219" s="309"/>
      <c r="D2219" s="310"/>
    </row>
    <row r="2220" spans="1:4" x14ac:dyDescent="0.25">
      <c r="A2220" s="418" t="s">
        <v>6640</v>
      </c>
      <c r="B2220">
        <v>5</v>
      </c>
      <c r="C2220" s="309"/>
      <c r="D2220" s="310"/>
    </row>
    <row r="2221" spans="1:4" x14ac:dyDescent="0.25">
      <c r="A2221" s="418" t="s">
        <v>7483</v>
      </c>
      <c r="B2221">
        <v>1</v>
      </c>
      <c r="C2221" s="309"/>
      <c r="D2221" s="310"/>
    </row>
    <row r="2222" spans="1:4" x14ac:dyDescent="0.25">
      <c r="A2222" s="418" t="s">
        <v>11103</v>
      </c>
      <c r="B2222">
        <v>3</v>
      </c>
      <c r="C2222" s="309"/>
      <c r="D2222" s="310"/>
    </row>
    <row r="2223" spans="1:4" x14ac:dyDescent="0.25">
      <c r="A2223" s="418" t="s">
        <v>11104</v>
      </c>
      <c r="B2223">
        <v>3</v>
      </c>
      <c r="C2223" s="309"/>
      <c r="D2223" s="310"/>
    </row>
    <row r="2224" spans="1:4" x14ac:dyDescent="0.25">
      <c r="A2224" s="418" t="s">
        <v>11402</v>
      </c>
      <c r="B2224">
        <v>1</v>
      </c>
      <c r="C2224" s="309"/>
      <c r="D2224" s="310"/>
    </row>
    <row r="2225" spans="1:4" x14ac:dyDescent="0.25">
      <c r="A2225" s="418" t="s">
        <v>12001</v>
      </c>
      <c r="B2225">
        <v>1</v>
      </c>
      <c r="C2225" s="309"/>
      <c r="D2225" s="310"/>
    </row>
    <row r="2226" spans="1:4" x14ac:dyDescent="0.25">
      <c r="A2226" s="418" t="s">
        <v>7631</v>
      </c>
      <c r="B2226">
        <v>10</v>
      </c>
      <c r="C2226" s="309"/>
      <c r="D2226" s="310"/>
    </row>
    <row r="2227" spans="1:4" x14ac:dyDescent="0.25">
      <c r="A2227" s="418" t="s">
        <v>7632</v>
      </c>
      <c r="B2227">
        <v>9</v>
      </c>
      <c r="C2227" s="309"/>
      <c r="D2227" s="310"/>
    </row>
    <row r="2228" spans="1:4" x14ac:dyDescent="0.25">
      <c r="A2228" s="418" t="s">
        <v>7633</v>
      </c>
      <c r="B2228">
        <v>6</v>
      </c>
      <c r="C2228" s="309"/>
      <c r="D2228" s="310"/>
    </row>
    <row r="2229" spans="1:4" x14ac:dyDescent="0.25">
      <c r="A2229" s="418" t="s">
        <v>8567</v>
      </c>
      <c r="B2229">
        <v>5</v>
      </c>
      <c r="C2229" s="309"/>
      <c r="D2229" s="310"/>
    </row>
    <row r="2230" spans="1:4" x14ac:dyDescent="0.25">
      <c r="A2230" s="418" t="s">
        <v>9914</v>
      </c>
      <c r="B2230">
        <v>1</v>
      </c>
      <c r="C2230" s="309"/>
      <c r="D2230" s="310"/>
    </row>
    <row r="2231" spans="1:4" x14ac:dyDescent="0.25">
      <c r="A2231" s="418" t="s">
        <v>10453</v>
      </c>
      <c r="B2231">
        <v>2</v>
      </c>
      <c r="C2231" s="309"/>
      <c r="D2231" s="310"/>
    </row>
    <row r="2232" spans="1:4" x14ac:dyDescent="0.25">
      <c r="A2232" s="418" t="s">
        <v>10454</v>
      </c>
      <c r="B2232">
        <v>3</v>
      </c>
      <c r="C2232" s="309"/>
      <c r="D2232" s="310"/>
    </row>
    <row r="2233" spans="1:4" x14ac:dyDescent="0.25">
      <c r="A2233" s="418" t="s">
        <v>15164</v>
      </c>
      <c r="B2233">
        <v>2</v>
      </c>
      <c r="C2233" s="309"/>
      <c r="D2233" s="310"/>
    </row>
    <row r="2234" spans="1:4" x14ac:dyDescent="0.25">
      <c r="A2234" s="418" t="s">
        <v>10455</v>
      </c>
      <c r="B2234">
        <v>1</v>
      </c>
      <c r="C2234" s="309"/>
      <c r="D2234" s="310"/>
    </row>
    <row r="2235" spans="1:4" x14ac:dyDescent="0.25">
      <c r="A2235" s="418" t="s">
        <v>8147</v>
      </c>
      <c r="B2235">
        <v>2</v>
      </c>
      <c r="C2235" s="309"/>
      <c r="D2235" s="310"/>
    </row>
    <row r="2236" spans="1:4" x14ac:dyDescent="0.25">
      <c r="A2236" s="418" t="s">
        <v>8148</v>
      </c>
      <c r="B2236">
        <v>2</v>
      </c>
      <c r="C2236" s="309"/>
      <c r="D2236" s="310"/>
    </row>
    <row r="2237" spans="1:4" x14ac:dyDescent="0.25">
      <c r="A2237" s="418" t="s">
        <v>8541</v>
      </c>
      <c r="B2237">
        <v>1</v>
      </c>
      <c r="C2237" s="309"/>
      <c r="D2237" s="310"/>
    </row>
    <row r="2238" spans="1:4" x14ac:dyDescent="0.25">
      <c r="A2238" s="418" t="s">
        <v>8216</v>
      </c>
      <c r="B2238">
        <v>1</v>
      </c>
      <c r="C2238" s="309"/>
      <c r="D2238" s="310"/>
    </row>
    <row r="2239" spans="1:4" x14ac:dyDescent="0.25">
      <c r="A2239" s="418" t="s">
        <v>8217</v>
      </c>
      <c r="B2239">
        <v>1</v>
      </c>
      <c r="C2239" s="309"/>
      <c r="D2239" s="310"/>
    </row>
    <row r="2240" spans="1:4" x14ac:dyDescent="0.25">
      <c r="A2240" s="418" t="s">
        <v>8868</v>
      </c>
      <c r="B2240">
        <v>1</v>
      </c>
      <c r="C2240" s="309"/>
      <c r="D2240" s="310"/>
    </row>
    <row r="2241" spans="1:4" x14ac:dyDescent="0.25">
      <c r="A2241" s="418" t="s">
        <v>9540</v>
      </c>
      <c r="B2241">
        <v>2</v>
      </c>
      <c r="C2241" s="309"/>
      <c r="D2241" s="310"/>
    </row>
    <row r="2242" spans="1:4" x14ac:dyDescent="0.25">
      <c r="A2242" s="418" t="s">
        <v>17096</v>
      </c>
      <c r="B2242">
        <v>1</v>
      </c>
      <c r="C2242" s="309"/>
      <c r="D2242" s="310"/>
    </row>
    <row r="2243" spans="1:4" x14ac:dyDescent="0.25">
      <c r="A2243" s="418" t="s">
        <v>17097</v>
      </c>
      <c r="B2243">
        <v>1</v>
      </c>
      <c r="C2243" s="309"/>
      <c r="D2243" s="310"/>
    </row>
    <row r="2244" spans="1:4" x14ac:dyDescent="0.25">
      <c r="A2244" s="418" t="s">
        <v>17098</v>
      </c>
      <c r="B2244">
        <v>1</v>
      </c>
      <c r="C2244" s="309"/>
      <c r="D2244" s="310"/>
    </row>
    <row r="2245" spans="1:4" x14ac:dyDescent="0.25">
      <c r="A2245" s="418" t="s">
        <v>7484</v>
      </c>
      <c r="B2245">
        <v>4</v>
      </c>
      <c r="C2245" s="309"/>
      <c r="D2245" s="310"/>
    </row>
    <row r="2246" spans="1:4" x14ac:dyDescent="0.25">
      <c r="A2246" s="418" t="s">
        <v>6964</v>
      </c>
      <c r="B2246">
        <v>6</v>
      </c>
      <c r="C2246" s="309"/>
      <c r="D2246" s="310"/>
    </row>
    <row r="2247" spans="1:4" x14ac:dyDescent="0.25">
      <c r="A2247" s="418" t="s">
        <v>8804</v>
      </c>
      <c r="B2247">
        <v>2</v>
      </c>
      <c r="C2247" s="309"/>
      <c r="D2247" s="310"/>
    </row>
    <row r="2248" spans="1:4" x14ac:dyDescent="0.25">
      <c r="A2248" s="418" t="s">
        <v>6767</v>
      </c>
      <c r="B2248">
        <v>3</v>
      </c>
      <c r="C2248" s="309"/>
      <c r="D2248" s="310"/>
    </row>
    <row r="2249" spans="1:4" x14ac:dyDescent="0.25">
      <c r="A2249" s="418" t="s">
        <v>7121</v>
      </c>
      <c r="B2249">
        <v>3</v>
      </c>
      <c r="C2249" s="309"/>
      <c r="D2249" s="310"/>
    </row>
    <row r="2250" spans="1:4" x14ac:dyDescent="0.25">
      <c r="A2250" s="418" t="s">
        <v>8768</v>
      </c>
      <c r="B2250">
        <v>3</v>
      </c>
      <c r="C2250" s="309"/>
      <c r="D2250" s="310"/>
    </row>
    <row r="2251" spans="1:4" x14ac:dyDescent="0.25">
      <c r="A2251" s="418" t="s">
        <v>7758</v>
      </c>
      <c r="B2251">
        <v>3</v>
      </c>
      <c r="C2251" s="309"/>
      <c r="D2251" s="310"/>
    </row>
    <row r="2252" spans="1:4" x14ac:dyDescent="0.25">
      <c r="A2252" s="418" t="s">
        <v>7759</v>
      </c>
      <c r="B2252">
        <v>3</v>
      </c>
      <c r="C2252" s="309"/>
      <c r="D2252" s="310"/>
    </row>
    <row r="2253" spans="1:4" x14ac:dyDescent="0.25">
      <c r="A2253" s="418" t="s">
        <v>7989</v>
      </c>
      <c r="B2253">
        <v>3</v>
      </c>
      <c r="C2253" s="309"/>
      <c r="D2253" s="310"/>
    </row>
    <row r="2254" spans="1:4" x14ac:dyDescent="0.25">
      <c r="A2254" s="418" t="s">
        <v>7485</v>
      </c>
      <c r="B2254">
        <v>3</v>
      </c>
      <c r="C2254" s="309"/>
      <c r="D2254" s="310"/>
    </row>
    <row r="2255" spans="1:4" x14ac:dyDescent="0.25">
      <c r="A2255" s="418" t="s">
        <v>7486</v>
      </c>
      <c r="B2255">
        <v>3</v>
      </c>
      <c r="C2255" s="309"/>
      <c r="D2255" s="310"/>
    </row>
    <row r="2256" spans="1:4" x14ac:dyDescent="0.25">
      <c r="A2256" s="418" t="s">
        <v>11530</v>
      </c>
      <c r="B2256">
        <v>3</v>
      </c>
      <c r="C2256" s="309"/>
      <c r="D2256" s="310"/>
    </row>
    <row r="2257" spans="1:4" x14ac:dyDescent="0.25">
      <c r="A2257" s="418" t="s">
        <v>9265</v>
      </c>
      <c r="B2257">
        <v>1</v>
      </c>
      <c r="C2257" s="309"/>
      <c r="D2257" s="310"/>
    </row>
    <row r="2258" spans="1:4" x14ac:dyDescent="0.25">
      <c r="A2258" s="418" t="s">
        <v>10498</v>
      </c>
      <c r="B2258">
        <v>3</v>
      </c>
      <c r="C2258" s="309"/>
      <c r="D2258" s="310"/>
    </row>
    <row r="2259" spans="1:4" x14ac:dyDescent="0.25">
      <c r="A2259" s="418" t="s">
        <v>10499</v>
      </c>
      <c r="B2259">
        <v>3</v>
      </c>
      <c r="C2259" s="309"/>
      <c r="D2259" s="310"/>
    </row>
    <row r="2260" spans="1:4" x14ac:dyDescent="0.25">
      <c r="A2260" s="418" t="s">
        <v>10818</v>
      </c>
      <c r="B2260">
        <v>3</v>
      </c>
      <c r="C2260" s="309"/>
      <c r="D2260" s="310"/>
    </row>
    <row r="2261" spans="1:4" x14ac:dyDescent="0.25">
      <c r="A2261" s="418" t="s">
        <v>10819</v>
      </c>
      <c r="B2261">
        <v>2</v>
      </c>
      <c r="C2261" s="309"/>
      <c r="D2261" s="310"/>
    </row>
    <row r="2262" spans="1:4" x14ac:dyDescent="0.25">
      <c r="A2262" s="418" t="s">
        <v>8422</v>
      </c>
      <c r="B2262">
        <v>3</v>
      </c>
      <c r="C2262" s="309"/>
      <c r="D2262" s="310"/>
    </row>
    <row r="2263" spans="1:4" x14ac:dyDescent="0.25">
      <c r="A2263" s="418" t="s">
        <v>7990</v>
      </c>
      <c r="B2263">
        <v>3</v>
      </c>
      <c r="C2263" s="309"/>
      <c r="D2263" s="310"/>
    </row>
    <row r="2264" spans="1:4" x14ac:dyDescent="0.25">
      <c r="A2264" s="418" t="s">
        <v>6768</v>
      </c>
      <c r="B2264">
        <v>1</v>
      </c>
      <c r="C2264" s="309"/>
      <c r="D2264" s="310"/>
    </row>
    <row r="2265" spans="1:4" x14ac:dyDescent="0.25">
      <c r="A2265" s="418" t="s">
        <v>6769</v>
      </c>
      <c r="B2265">
        <v>1</v>
      </c>
      <c r="C2265" s="309"/>
      <c r="D2265" s="310"/>
    </row>
    <row r="2266" spans="1:4" x14ac:dyDescent="0.25">
      <c r="A2266" s="418" t="s">
        <v>9048</v>
      </c>
      <c r="B2266">
        <v>1</v>
      </c>
      <c r="C2266" s="309"/>
      <c r="D2266" s="310"/>
    </row>
    <row r="2267" spans="1:4" x14ac:dyDescent="0.25">
      <c r="A2267" s="418" t="s">
        <v>8369</v>
      </c>
      <c r="B2267">
        <v>4</v>
      </c>
      <c r="C2267" s="309"/>
      <c r="D2267" s="310"/>
    </row>
    <row r="2268" spans="1:4" x14ac:dyDescent="0.25">
      <c r="A2268" s="418" t="s">
        <v>7991</v>
      </c>
      <c r="B2268">
        <v>5</v>
      </c>
      <c r="C2268" s="309"/>
      <c r="D2268" s="310"/>
    </row>
    <row r="2269" spans="1:4" x14ac:dyDescent="0.25">
      <c r="A2269" s="418" t="s">
        <v>8370</v>
      </c>
      <c r="B2269">
        <v>3</v>
      </c>
      <c r="C2269" s="309"/>
      <c r="D2269" s="310"/>
    </row>
    <row r="2270" spans="1:4" x14ac:dyDescent="0.25">
      <c r="A2270" s="418" t="s">
        <v>9049</v>
      </c>
      <c r="B2270">
        <v>3</v>
      </c>
      <c r="C2270" s="309"/>
      <c r="D2270" s="310"/>
    </row>
    <row r="2271" spans="1:4" x14ac:dyDescent="0.25">
      <c r="A2271" s="418" t="s">
        <v>8423</v>
      </c>
      <c r="B2271">
        <v>1</v>
      </c>
      <c r="C2271" s="309"/>
      <c r="D2271" s="310"/>
    </row>
    <row r="2272" spans="1:4" x14ac:dyDescent="0.25">
      <c r="A2272" s="418" t="s">
        <v>7992</v>
      </c>
      <c r="B2272">
        <v>1</v>
      </c>
      <c r="C2272" s="309"/>
      <c r="D2272" s="310"/>
    </row>
    <row r="2273" spans="1:4" x14ac:dyDescent="0.25">
      <c r="A2273" s="418" t="s">
        <v>7993</v>
      </c>
      <c r="B2273">
        <v>1</v>
      </c>
      <c r="C2273" s="309"/>
      <c r="D2273" s="310"/>
    </row>
    <row r="2274" spans="1:4" x14ac:dyDescent="0.25">
      <c r="A2274" s="418" t="s">
        <v>16319</v>
      </c>
      <c r="B2274">
        <v>1</v>
      </c>
      <c r="C2274" s="309"/>
      <c r="D2274" s="310"/>
    </row>
    <row r="2275" spans="1:4" x14ac:dyDescent="0.25">
      <c r="A2275" s="418" t="s">
        <v>9541</v>
      </c>
      <c r="B2275">
        <v>2</v>
      </c>
      <c r="C2275" s="309"/>
      <c r="D2275" s="310"/>
    </row>
    <row r="2276" spans="1:4" x14ac:dyDescent="0.25">
      <c r="A2276" s="418" t="s">
        <v>12317</v>
      </c>
      <c r="B2276">
        <v>1</v>
      </c>
      <c r="C2276" s="309"/>
      <c r="D2276" s="310"/>
    </row>
    <row r="2277" spans="1:4" x14ac:dyDescent="0.25">
      <c r="A2277" s="418" t="s">
        <v>8181</v>
      </c>
      <c r="B2277">
        <v>7</v>
      </c>
      <c r="C2277" s="309"/>
      <c r="D2277" s="310"/>
    </row>
    <row r="2278" spans="1:4" x14ac:dyDescent="0.25">
      <c r="A2278" s="418" t="s">
        <v>8182</v>
      </c>
      <c r="B2278">
        <v>6</v>
      </c>
      <c r="C2278" s="309"/>
      <c r="D2278" s="310"/>
    </row>
    <row r="2279" spans="1:4" x14ac:dyDescent="0.25">
      <c r="A2279" s="418" t="s">
        <v>8183</v>
      </c>
      <c r="B2279">
        <v>4</v>
      </c>
      <c r="C2279" s="309"/>
      <c r="D2279" s="310"/>
    </row>
    <row r="2280" spans="1:4" x14ac:dyDescent="0.25">
      <c r="A2280" s="418" t="s">
        <v>10297</v>
      </c>
      <c r="B2280">
        <v>4</v>
      </c>
      <c r="C2280" s="309"/>
      <c r="D2280" s="310"/>
    </row>
    <row r="2281" spans="1:4" x14ac:dyDescent="0.25">
      <c r="A2281" s="418" t="s">
        <v>8568</v>
      </c>
      <c r="B2281">
        <v>5</v>
      </c>
      <c r="C2281" s="309"/>
      <c r="D2281" s="310"/>
    </row>
    <row r="2282" spans="1:4" x14ac:dyDescent="0.25">
      <c r="A2282" s="418" t="s">
        <v>10298</v>
      </c>
      <c r="B2282">
        <v>3</v>
      </c>
      <c r="C2282" s="309"/>
      <c r="D2282" s="310"/>
    </row>
    <row r="2283" spans="1:4" x14ac:dyDescent="0.25">
      <c r="A2283" s="418" t="s">
        <v>10299</v>
      </c>
      <c r="B2283">
        <v>1</v>
      </c>
      <c r="C2283" s="309"/>
      <c r="D2283" s="310"/>
    </row>
    <row r="2284" spans="1:4" x14ac:dyDescent="0.25">
      <c r="A2284" s="418" t="s">
        <v>10300</v>
      </c>
      <c r="B2284">
        <v>1</v>
      </c>
      <c r="C2284" s="309"/>
      <c r="D2284" s="310"/>
    </row>
    <row r="2285" spans="1:4" x14ac:dyDescent="0.25">
      <c r="A2285" s="418" t="s">
        <v>16416</v>
      </c>
      <c r="B2285">
        <v>4</v>
      </c>
      <c r="C2285" s="309"/>
      <c r="D2285" s="310"/>
    </row>
    <row r="2286" spans="1:4" x14ac:dyDescent="0.25">
      <c r="A2286" s="418" t="s">
        <v>11622</v>
      </c>
      <c r="B2286">
        <v>9</v>
      </c>
      <c r="C2286" s="309"/>
      <c r="D2286" s="310"/>
    </row>
    <row r="2287" spans="1:4" x14ac:dyDescent="0.25">
      <c r="A2287" s="418" t="s">
        <v>9842</v>
      </c>
      <c r="B2287">
        <v>6</v>
      </c>
      <c r="C2287" s="309"/>
      <c r="D2287" s="310"/>
    </row>
    <row r="2288" spans="1:4" x14ac:dyDescent="0.25">
      <c r="A2288" s="418" t="s">
        <v>9855</v>
      </c>
      <c r="B2288">
        <v>7</v>
      </c>
      <c r="C2288" s="309"/>
      <c r="D2288" s="310"/>
    </row>
    <row r="2289" spans="1:4" x14ac:dyDescent="0.25">
      <c r="A2289" s="418" t="s">
        <v>10244</v>
      </c>
      <c r="B2289">
        <v>8</v>
      </c>
      <c r="C2289" s="309"/>
      <c r="D2289" s="310"/>
    </row>
    <row r="2290" spans="1:4" x14ac:dyDescent="0.25">
      <c r="A2290" s="418" t="s">
        <v>9856</v>
      </c>
      <c r="B2290">
        <v>5</v>
      </c>
      <c r="C2290" s="309"/>
      <c r="D2290" s="310"/>
    </row>
    <row r="2291" spans="1:4" x14ac:dyDescent="0.25">
      <c r="A2291" s="418" t="s">
        <v>11489</v>
      </c>
      <c r="B2291">
        <v>3</v>
      </c>
      <c r="C2291" s="309"/>
      <c r="D2291" s="310"/>
    </row>
    <row r="2292" spans="1:4" x14ac:dyDescent="0.25">
      <c r="A2292" s="418" t="s">
        <v>8184</v>
      </c>
      <c r="B2292">
        <v>1</v>
      </c>
      <c r="C2292" s="309"/>
      <c r="D2292" s="310"/>
    </row>
    <row r="2293" spans="1:4" x14ac:dyDescent="0.25">
      <c r="A2293" s="418" t="s">
        <v>9193</v>
      </c>
      <c r="B2293">
        <v>3</v>
      </c>
      <c r="C2293" s="309"/>
      <c r="D2293" s="310"/>
    </row>
    <row r="2294" spans="1:4" x14ac:dyDescent="0.25">
      <c r="A2294" s="418" t="s">
        <v>9194</v>
      </c>
      <c r="B2294">
        <v>3</v>
      </c>
      <c r="C2294" s="309"/>
      <c r="D2294" s="310"/>
    </row>
    <row r="2295" spans="1:4" x14ac:dyDescent="0.25">
      <c r="A2295" s="418" t="s">
        <v>8769</v>
      </c>
      <c r="B2295">
        <v>3</v>
      </c>
      <c r="C2295" s="309"/>
      <c r="D2295" s="310"/>
    </row>
    <row r="2296" spans="1:4" x14ac:dyDescent="0.25">
      <c r="A2296" s="418" t="s">
        <v>9195</v>
      </c>
      <c r="B2296">
        <v>3</v>
      </c>
      <c r="C2296" s="309"/>
      <c r="D2296" s="310"/>
    </row>
    <row r="2297" spans="1:4" x14ac:dyDescent="0.25">
      <c r="A2297" s="418" t="s">
        <v>11247</v>
      </c>
      <c r="B2297">
        <v>2</v>
      </c>
      <c r="C2297" s="309"/>
      <c r="D2297" s="310"/>
    </row>
    <row r="2298" spans="1:4" x14ac:dyDescent="0.25">
      <c r="A2298" s="418" t="s">
        <v>10245</v>
      </c>
      <c r="B2298">
        <v>2</v>
      </c>
      <c r="C2298" s="309"/>
      <c r="D2298" s="310"/>
    </row>
    <row r="2299" spans="1:4" x14ac:dyDescent="0.25">
      <c r="A2299" s="418" t="s">
        <v>8770</v>
      </c>
      <c r="B2299">
        <v>1</v>
      </c>
      <c r="C2299" s="309"/>
      <c r="D2299" s="310"/>
    </row>
    <row r="2300" spans="1:4" x14ac:dyDescent="0.25">
      <c r="A2300" s="418" t="s">
        <v>7122</v>
      </c>
      <c r="B2300">
        <v>3</v>
      </c>
      <c r="C2300" s="309"/>
      <c r="D2300" s="310"/>
    </row>
    <row r="2301" spans="1:4" x14ac:dyDescent="0.25">
      <c r="A2301" s="418" t="s">
        <v>8771</v>
      </c>
      <c r="B2301">
        <v>1</v>
      </c>
      <c r="C2301" s="309"/>
      <c r="D2301" s="310"/>
    </row>
    <row r="2302" spans="1:4" x14ac:dyDescent="0.25">
      <c r="A2302" s="418" t="s">
        <v>8772</v>
      </c>
      <c r="B2302">
        <v>2</v>
      </c>
      <c r="C2302" s="309"/>
      <c r="D2302" s="310"/>
    </row>
    <row r="2303" spans="1:4" x14ac:dyDescent="0.25">
      <c r="A2303" s="418" t="s">
        <v>7779</v>
      </c>
      <c r="B2303">
        <v>20</v>
      </c>
      <c r="C2303" s="309"/>
      <c r="D2303" s="310"/>
    </row>
    <row r="2304" spans="1:4" x14ac:dyDescent="0.25">
      <c r="A2304" s="418" t="s">
        <v>9050</v>
      </c>
      <c r="B2304">
        <v>18</v>
      </c>
      <c r="C2304" s="309"/>
      <c r="D2304" s="310"/>
    </row>
    <row r="2305" spans="1:4" x14ac:dyDescent="0.25">
      <c r="A2305" s="418" t="s">
        <v>11105</v>
      </c>
      <c r="B2305">
        <v>17</v>
      </c>
      <c r="C2305" s="309"/>
      <c r="D2305" s="310"/>
    </row>
    <row r="2306" spans="1:4" x14ac:dyDescent="0.25">
      <c r="A2306" s="418" t="s">
        <v>11336</v>
      </c>
      <c r="B2306">
        <v>3</v>
      </c>
      <c r="C2306" s="309"/>
      <c r="D2306" s="310"/>
    </row>
    <row r="2307" spans="1:4" x14ac:dyDescent="0.25">
      <c r="A2307" s="418" t="s">
        <v>11337</v>
      </c>
      <c r="B2307">
        <v>2</v>
      </c>
      <c r="C2307" s="309"/>
      <c r="D2307" s="310"/>
    </row>
    <row r="2308" spans="1:4" x14ac:dyDescent="0.25">
      <c r="A2308" s="418" t="s">
        <v>9714</v>
      </c>
      <c r="B2308">
        <v>1</v>
      </c>
      <c r="C2308" s="309"/>
      <c r="D2308" s="310"/>
    </row>
    <row r="2309" spans="1:4" x14ac:dyDescent="0.25">
      <c r="A2309" s="418" t="s">
        <v>9715</v>
      </c>
      <c r="B2309">
        <v>1</v>
      </c>
      <c r="C2309" s="309"/>
      <c r="D2309" s="310"/>
    </row>
    <row r="2310" spans="1:4" x14ac:dyDescent="0.25">
      <c r="A2310" s="418" t="s">
        <v>9716</v>
      </c>
      <c r="B2310">
        <v>1</v>
      </c>
      <c r="C2310" s="309"/>
      <c r="D2310" s="310"/>
    </row>
    <row r="2311" spans="1:4" x14ac:dyDescent="0.25">
      <c r="A2311" s="418" t="s">
        <v>8281</v>
      </c>
      <c r="B2311">
        <v>5</v>
      </c>
      <c r="C2311" s="309"/>
      <c r="D2311" s="310"/>
    </row>
    <row r="2312" spans="1:4" x14ac:dyDescent="0.25">
      <c r="A2312" s="418" t="s">
        <v>9601</v>
      </c>
      <c r="B2312">
        <v>5</v>
      </c>
      <c r="C2312" s="309"/>
      <c r="D2312" s="310"/>
    </row>
    <row r="2313" spans="1:4" x14ac:dyDescent="0.25">
      <c r="A2313" s="418" t="s">
        <v>9602</v>
      </c>
      <c r="B2313">
        <v>3</v>
      </c>
      <c r="C2313" s="309"/>
      <c r="D2313" s="310"/>
    </row>
    <row r="2314" spans="1:4" x14ac:dyDescent="0.25">
      <c r="A2314" s="418" t="s">
        <v>9603</v>
      </c>
      <c r="B2314">
        <v>4</v>
      </c>
      <c r="C2314" s="309"/>
      <c r="D2314" s="310"/>
    </row>
    <row r="2315" spans="1:4" x14ac:dyDescent="0.25">
      <c r="A2315" s="418" t="s">
        <v>9604</v>
      </c>
      <c r="B2315">
        <v>3</v>
      </c>
      <c r="C2315" s="309"/>
      <c r="D2315" s="310"/>
    </row>
    <row r="2316" spans="1:4" x14ac:dyDescent="0.25">
      <c r="A2316" s="418" t="s">
        <v>8282</v>
      </c>
      <c r="B2316">
        <v>3</v>
      </c>
      <c r="C2316" s="309"/>
      <c r="D2316" s="310"/>
    </row>
    <row r="2317" spans="1:4" x14ac:dyDescent="0.25">
      <c r="A2317" s="418" t="s">
        <v>11353</v>
      </c>
      <c r="B2317">
        <v>3</v>
      </c>
      <c r="C2317" s="309"/>
      <c r="D2317" s="310"/>
    </row>
    <row r="2318" spans="1:4" x14ac:dyDescent="0.25">
      <c r="A2318" s="418" t="s">
        <v>6965</v>
      </c>
      <c r="B2318">
        <v>9</v>
      </c>
      <c r="C2318" s="309"/>
      <c r="D2318" s="310"/>
    </row>
    <row r="2319" spans="1:4" x14ac:dyDescent="0.25">
      <c r="A2319" s="418" t="s">
        <v>8283</v>
      </c>
      <c r="B2319">
        <v>7</v>
      </c>
      <c r="C2319" s="309"/>
      <c r="D2319" s="310"/>
    </row>
    <row r="2320" spans="1:4" x14ac:dyDescent="0.25">
      <c r="A2320" s="418" t="s">
        <v>6966</v>
      </c>
      <c r="B2320">
        <v>9</v>
      </c>
      <c r="C2320" s="309"/>
      <c r="D2320" s="310"/>
    </row>
    <row r="2321" spans="1:4" x14ac:dyDescent="0.25">
      <c r="A2321" s="418" t="s">
        <v>8284</v>
      </c>
      <c r="B2321">
        <v>4</v>
      </c>
      <c r="C2321" s="309"/>
      <c r="D2321" s="310"/>
    </row>
    <row r="2322" spans="1:4" x14ac:dyDescent="0.25">
      <c r="A2322" s="418" t="s">
        <v>8285</v>
      </c>
      <c r="B2322">
        <v>6</v>
      </c>
      <c r="C2322" s="309"/>
      <c r="D2322" s="310"/>
    </row>
    <row r="2323" spans="1:4" x14ac:dyDescent="0.25">
      <c r="A2323" s="418" t="s">
        <v>9006</v>
      </c>
      <c r="B2323">
        <v>5</v>
      </c>
      <c r="C2323" s="309"/>
      <c r="D2323" s="310"/>
    </row>
    <row r="2324" spans="1:4" x14ac:dyDescent="0.25">
      <c r="A2324" s="418" t="s">
        <v>8869</v>
      </c>
      <c r="B2324">
        <v>4</v>
      </c>
      <c r="C2324" s="309"/>
      <c r="D2324" s="310"/>
    </row>
    <row r="2325" spans="1:4" x14ac:dyDescent="0.25">
      <c r="A2325" s="418" t="s">
        <v>8081</v>
      </c>
      <c r="B2325">
        <v>1</v>
      </c>
      <c r="C2325" s="309"/>
      <c r="D2325" s="310"/>
    </row>
    <row r="2326" spans="1:4" x14ac:dyDescent="0.25">
      <c r="A2326" s="418" t="s">
        <v>11420</v>
      </c>
      <c r="B2326">
        <v>1</v>
      </c>
      <c r="C2326" s="309"/>
      <c r="D2326" s="310"/>
    </row>
    <row r="2327" spans="1:4" x14ac:dyDescent="0.25">
      <c r="A2327" s="418" t="s">
        <v>11421</v>
      </c>
      <c r="B2327">
        <v>1</v>
      </c>
      <c r="C2327" s="309"/>
      <c r="D2327" s="310"/>
    </row>
    <row r="2328" spans="1:4" x14ac:dyDescent="0.25">
      <c r="A2328" s="418" t="s">
        <v>7050</v>
      </c>
      <c r="B2328">
        <v>4</v>
      </c>
      <c r="C2328" s="309"/>
      <c r="D2328" s="310"/>
    </row>
    <row r="2329" spans="1:4" x14ac:dyDescent="0.25">
      <c r="A2329" s="418" t="s">
        <v>7051</v>
      </c>
      <c r="B2329">
        <v>3</v>
      </c>
      <c r="C2329" s="309"/>
      <c r="D2329" s="310"/>
    </row>
    <row r="2330" spans="1:4" x14ac:dyDescent="0.25">
      <c r="A2330" s="418" t="s">
        <v>8082</v>
      </c>
      <c r="B2330">
        <v>1</v>
      </c>
      <c r="C2330" s="309"/>
      <c r="D2330" s="310"/>
    </row>
    <row r="2331" spans="1:4" x14ac:dyDescent="0.25">
      <c r="A2331" s="418" t="s">
        <v>7203</v>
      </c>
      <c r="B2331">
        <v>3</v>
      </c>
      <c r="C2331" s="309"/>
      <c r="D2331" s="310"/>
    </row>
    <row r="2332" spans="1:4" x14ac:dyDescent="0.25">
      <c r="A2332" s="418" t="s">
        <v>7204</v>
      </c>
      <c r="B2332">
        <v>3</v>
      </c>
      <c r="C2332" s="309"/>
      <c r="D2332" s="310"/>
    </row>
    <row r="2333" spans="1:4" x14ac:dyDescent="0.25">
      <c r="A2333" s="418" t="s">
        <v>7634</v>
      </c>
      <c r="B2333">
        <v>3</v>
      </c>
      <c r="C2333" s="309"/>
      <c r="D2333" s="310"/>
    </row>
    <row r="2334" spans="1:4" x14ac:dyDescent="0.25">
      <c r="A2334" s="418" t="s">
        <v>16016</v>
      </c>
      <c r="B2334">
        <v>1</v>
      </c>
      <c r="C2334" s="309"/>
      <c r="D2334" s="310"/>
    </row>
    <row r="2335" spans="1:4" x14ac:dyDescent="0.25">
      <c r="A2335" s="418" t="s">
        <v>16017</v>
      </c>
      <c r="B2335">
        <v>1</v>
      </c>
      <c r="C2335" s="309"/>
      <c r="D2335" s="310"/>
    </row>
    <row r="2336" spans="1:4" x14ac:dyDescent="0.25">
      <c r="A2336" s="418" t="s">
        <v>10280</v>
      </c>
      <c r="B2336">
        <v>3</v>
      </c>
      <c r="C2336" s="309"/>
      <c r="D2336" s="310"/>
    </row>
    <row r="2337" spans="1:4" x14ac:dyDescent="0.25">
      <c r="A2337" s="418" t="s">
        <v>9843</v>
      </c>
      <c r="B2337">
        <v>2</v>
      </c>
      <c r="C2337" s="309"/>
      <c r="D2337" s="310"/>
    </row>
    <row r="2338" spans="1:4" x14ac:dyDescent="0.25">
      <c r="A2338" s="418" t="s">
        <v>9844</v>
      </c>
      <c r="B2338">
        <v>3</v>
      </c>
      <c r="C2338" s="309"/>
      <c r="D2338" s="310"/>
    </row>
    <row r="2339" spans="1:4" x14ac:dyDescent="0.25">
      <c r="A2339" s="418" t="s">
        <v>17099</v>
      </c>
      <c r="B2339">
        <v>1</v>
      </c>
      <c r="C2339" s="309"/>
      <c r="D2339" s="310"/>
    </row>
    <row r="2340" spans="1:4" x14ac:dyDescent="0.25">
      <c r="A2340" s="418" t="s">
        <v>11843</v>
      </c>
      <c r="B2340">
        <v>1</v>
      </c>
      <c r="C2340" s="309"/>
      <c r="D2340" s="310"/>
    </row>
    <row r="2341" spans="1:4" x14ac:dyDescent="0.25">
      <c r="A2341" s="418" t="s">
        <v>8679</v>
      </c>
      <c r="B2341">
        <v>2</v>
      </c>
      <c r="C2341" s="309"/>
      <c r="D2341" s="310"/>
    </row>
    <row r="2342" spans="1:4" x14ac:dyDescent="0.25">
      <c r="A2342" s="418" t="s">
        <v>8286</v>
      </c>
      <c r="B2342">
        <v>5</v>
      </c>
      <c r="C2342" s="309"/>
      <c r="D2342" s="310"/>
    </row>
    <row r="2343" spans="1:4" x14ac:dyDescent="0.25">
      <c r="A2343" s="418" t="s">
        <v>7123</v>
      </c>
      <c r="B2343">
        <v>5</v>
      </c>
      <c r="C2343" s="309"/>
      <c r="D2343" s="310"/>
    </row>
    <row r="2344" spans="1:4" x14ac:dyDescent="0.25">
      <c r="A2344" s="418" t="s">
        <v>7124</v>
      </c>
      <c r="B2344">
        <v>3</v>
      </c>
      <c r="C2344" s="309"/>
      <c r="D2344" s="310"/>
    </row>
    <row r="2345" spans="1:4" x14ac:dyDescent="0.25">
      <c r="A2345" s="418" t="s">
        <v>17100</v>
      </c>
      <c r="B2345">
        <v>1</v>
      </c>
      <c r="C2345" s="309"/>
      <c r="D2345" s="310"/>
    </row>
    <row r="2346" spans="1:4" x14ac:dyDescent="0.25">
      <c r="A2346" s="418" t="s">
        <v>9857</v>
      </c>
      <c r="B2346">
        <v>5</v>
      </c>
      <c r="C2346" s="309"/>
      <c r="D2346" s="310"/>
    </row>
    <row r="2347" spans="1:4" x14ac:dyDescent="0.25">
      <c r="A2347" s="418" t="s">
        <v>11490</v>
      </c>
      <c r="B2347">
        <v>4</v>
      </c>
      <c r="C2347" s="309"/>
      <c r="D2347" s="310"/>
    </row>
    <row r="2348" spans="1:4" x14ac:dyDescent="0.25">
      <c r="A2348" s="418" t="s">
        <v>9858</v>
      </c>
      <c r="B2348">
        <v>1</v>
      </c>
      <c r="C2348" s="309"/>
      <c r="D2348" s="310"/>
    </row>
    <row r="2349" spans="1:4" x14ac:dyDescent="0.25">
      <c r="A2349" s="418" t="s">
        <v>16417</v>
      </c>
      <c r="B2349">
        <v>1</v>
      </c>
      <c r="C2349" s="309"/>
      <c r="D2349" s="310"/>
    </row>
    <row r="2350" spans="1:4" x14ac:dyDescent="0.25">
      <c r="A2350" s="418" t="s">
        <v>9051</v>
      </c>
      <c r="B2350">
        <v>1</v>
      </c>
      <c r="C2350" s="309"/>
      <c r="D2350" s="310"/>
    </row>
    <row r="2351" spans="1:4" x14ac:dyDescent="0.25">
      <c r="A2351" s="418" t="s">
        <v>9052</v>
      </c>
      <c r="B2351">
        <v>1</v>
      </c>
      <c r="C2351" s="309"/>
      <c r="D2351" s="310"/>
    </row>
    <row r="2352" spans="1:4" x14ac:dyDescent="0.25">
      <c r="A2352" s="418" t="s">
        <v>9053</v>
      </c>
      <c r="B2352">
        <v>1</v>
      </c>
      <c r="C2352" s="309"/>
      <c r="D2352" s="310"/>
    </row>
    <row r="2353" spans="1:4" x14ac:dyDescent="0.25">
      <c r="A2353" s="418" t="s">
        <v>9423</v>
      </c>
      <c r="B2353">
        <v>2</v>
      </c>
      <c r="C2353" s="309"/>
      <c r="D2353" s="310"/>
    </row>
    <row r="2354" spans="1:4" x14ac:dyDescent="0.25">
      <c r="A2354" s="418" t="s">
        <v>11403</v>
      </c>
      <c r="B2354">
        <v>1</v>
      </c>
      <c r="C2354" s="309"/>
      <c r="D2354" s="310"/>
    </row>
    <row r="2355" spans="1:4" x14ac:dyDescent="0.25">
      <c r="A2355" s="418" t="s">
        <v>8083</v>
      </c>
      <c r="B2355">
        <v>1</v>
      </c>
      <c r="C2355" s="309"/>
      <c r="D2355" s="310"/>
    </row>
    <row r="2356" spans="1:4" x14ac:dyDescent="0.25">
      <c r="A2356" s="418" t="s">
        <v>6929</v>
      </c>
      <c r="B2356">
        <v>8</v>
      </c>
      <c r="C2356" s="309"/>
      <c r="D2356" s="310"/>
    </row>
    <row r="2357" spans="1:4" x14ac:dyDescent="0.25">
      <c r="A2357" s="418" t="s">
        <v>7089</v>
      </c>
      <c r="B2357">
        <v>9</v>
      </c>
      <c r="C2357" s="309"/>
      <c r="D2357" s="310"/>
    </row>
    <row r="2358" spans="1:4" x14ac:dyDescent="0.25">
      <c r="A2358" s="418" t="s">
        <v>7780</v>
      </c>
      <c r="B2358">
        <v>7</v>
      </c>
      <c r="C2358" s="309"/>
      <c r="D2358" s="310"/>
    </row>
    <row r="2359" spans="1:4" x14ac:dyDescent="0.25">
      <c r="A2359" s="418" t="s">
        <v>12318</v>
      </c>
      <c r="B2359">
        <v>2</v>
      </c>
      <c r="C2359" s="309"/>
      <c r="D2359" s="310"/>
    </row>
    <row r="2360" spans="1:4" x14ac:dyDescent="0.25">
      <c r="A2360" s="418" t="s">
        <v>11248</v>
      </c>
      <c r="B2360">
        <v>3</v>
      </c>
      <c r="C2360" s="309"/>
      <c r="D2360" s="310"/>
    </row>
    <row r="2361" spans="1:4" x14ac:dyDescent="0.25">
      <c r="A2361" s="418" t="s">
        <v>11491</v>
      </c>
      <c r="B2361">
        <v>2</v>
      </c>
      <c r="C2361" s="309"/>
      <c r="D2361" s="310"/>
    </row>
    <row r="2362" spans="1:4" x14ac:dyDescent="0.25">
      <c r="A2362" s="418" t="s">
        <v>7487</v>
      </c>
      <c r="B2362">
        <v>9</v>
      </c>
      <c r="C2362" s="309"/>
      <c r="D2362" s="310"/>
    </row>
    <row r="2363" spans="1:4" x14ac:dyDescent="0.25">
      <c r="A2363" s="418" t="s">
        <v>7090</v>
      </c>
      <c r="B2363">
        <v>13</v>
      </c>
      <c r="C2363" s="309"/>
      <c r="D2363" s="310"/>
    </row>
    <row r="2364" spans="1:4" x14ac:dyDescent="0.25">
      <c r="A2364" s="418" t="s">
        <v>10456</v>
      </c>
      <c r="B2364">
        <v>2</v>
      </c>
      <c r="C2364" s="309"/>
      <c r="D2364" s="310"/>
    </row>
    <row r="2365" spans="1:4" x14ac:dyDescent="0.25">
      <c r="A2365" s="418" t="s">
        <v>7781</v>
      </c>
      <c r="B2365">
        <v>2</v>
      </c>
      <c r="C2365" s="309"/>
      <c r="D2365" s="310"/>
    </row>
    <row r="2366" spans="1:4" x14ac:dyDescent="0.25">
      <c r="A2366" s="418" t="s">
        <v>7782</v>
      </c>
      <c r="B2366">
        <v>1</v>
      </c>
      <c r="C2366" s="309"/>
      <c r="D2366" s="310"/>
    </row>
    <row r="2367" spans="1:4" x14ac:dyDescent="0.25">
      <c r="A2367" s="418" t="s">
        <v>6967</v>
      </c>
      <c r="B2367">
        <v>2</v>
      </c>
      <c r="C2367" s="309"/>
      <c r="D2367" s="310"/>
    </row>
    <row r="2368" spans="1:4" x14ac:dyDescent="0.25">
      <c r="A2368" s="418" t="s">
        <v>6968</v>
      </c>
      <c r="B2368">
        <v>1</v>
      </c>
      <c r="C2368" s="309"/>
      <c r="D2368" s="310"/>
    </row>
    <row r="2369" spans="1:4" x14ac:dyDescent="0.25">
      <c r="A2369" s="418" t="s">
        <v>6969</v>
      </c>
      <c r="B2369">
        <v>1</v>
      </c>
      <c r="C2369" s="309"/>
      <c r="D2369" s="310"/>
    </row>
    <row r="2370" spans="1:4" x14ac:dyDescent="0.25">
      <c r="A2370" s="418" t="s">
        <v>7994</v>
      </c>
      <c r="B2370">
        <v>4</v>
      </c>
      <c r="C2370" s="309"/>
      <c r="D2370" s="310"/>
    </row>
    <row r="2371" spans="1:4" x14ac:dyDescent="0.25">
      <c r="A2371" s="418" t="s">
        <v>7635</v>
      </c>
      <c r="B2371">
        <v>5</v>
      </c>
      <c r="C2371" s="309"/>
      <c r="D2371" s="310"/>
    </row>
    <row r="2372" spans="1:4" x14ac:dyDescent="0.25">
      <c r="A2372" s="418" t="s">
        <v>9266</v>
      </c>
      <c r="B2372">
        <v>3</v>
      </c>
      <c r="C2372" s="309"/>
      <c r="D2372" s="310"/>
    </row>
    <row r="2373" spans="1:4" x14ac:dyDescent="0.25">
      <c r="A2373" s="418" t="s">
        <v>7995</v>
      </c>
      <c r="B2373">
        <v>2</v>
      </c>
      <c r="C2373" s="309"/>
      <c r="D2373" s="310"/>
    </row>
    <row r="2374" spans="1:4" x14ac:dyDescent="0.25">
      <c r="A2374" s="418" t="s">
        <v>8680</v>
      </c>
      <c r="B2374">
        <v>1</v>
      </c>
      <c r="C2374" s="309"/>
      <c r="D2374" s="310"/>
    </row>
    <row r="2375" spans="1:4" x14ac:dyDescent="0.25">
      <c r="A2375" s="418" t="s">
        <v>8472</v>
      </c>
      <c r="B2375">
        <v>2</v>
      </c>
      <c r="C2375" s="309"/>
      <c r="D2375" s="310"/>
    </row>
    <row r="2376" spans="1:4" x14ac:dyDescent="0.25">
      <c r="A2376" s="418" t="s">
        <v>9991</v>
      </c>
      <c r="B2376">
        <v>1</v>
      </c>
      <c r="C2376" s="309"/>
      <c r="D2376" s="310"/>
    </row>
    <row r="2377" spans="1:4" x14ac:dyDescent="0.25">
      <c r="A2377" s="418" t="s">
        <v>9542</v>
      </c>
      <c r="B2377">
        <v>3</v>
      </c>
      <c r="C2377" s="309"/>
      <c r="D2377" s="310"/>
    </row>
    <row r="2378" spans="1:4" x14ac:dyDescent="0.25">
      <c r="A2378" s="418" t="s">
        <v>10657</v>
      </c>
      <c r="B2378">
        <v>3</v>
      </c>
      <c r="C2378" s="309"/>
      <c r="D2378" s="310"/>
    </row>
    <row r="2379" spans="1:4" x14ac:dyDescent="0.25">
      <c r="A2379" s="418" t="s">
        <v>10658</v>
      </c>
      <c r="B2379">
        <v>3</v>
      </c>
      <c r="C2379" s="309"/>
      <c r="D2379" s="310"/>
    </row>
    <row r="2380" spans="1:4" x14ac:dyDescent="0.25">
      <c r="A2380" s="418" t="s">
        <v>6770</v>
      </c>
      <c r="B2380">
        <v>2</v>
      </c>
      <c r="C2380" s="309"/>
      <c r="D2380" s="310"/>
    </row>
    <row r="2381" spans="1:4" x14ac:dyDescent="0.25">
      <c r="A2381" s="418" t="s">
        <v>6771</v>
      </c>
      <c r="B2381">
        <v>7</v>
      </c>
      <c r="C2381" s="309"/>
      <c r="D2381" s="310"/>
    </row>
    <row r="2382" spans="1:4" x14ac:dyDescent="0.25">
      <c r="A2382" s="418" t="s">
        <v>9605</v>
      </c>
      <c r="B2382">
        <v>6</v>
      </c>
      <c r="C2382" s="309"/>
      <c r="D2382" s="310"/>
    </row>
    <row r="2383" spans="1:4" x14ac:dyDescent="0.25">
      <c r="A2383" s="418" t="s">
        <v>16206</v>
      </c>
      <c r="B2383">
        <v>1</v>
      </c>
      <c r="C2383" s="309"/>
      <c r="D2383" s="310"/>
    </row>
    <row r="2384" spans="1:4" x14ac:dyDescent="0.25">
      <c r="A2384" s="418" t="s">
        <v>6772</v>
      </c>
      <c r="B2384">
        <v>1</v>
      </c>
      <c r="C2384" s="309"/>
      <c r="D2384" s="310"/>
    </row>
    <row r="2385" spans="1:4" x14ac:dyDescent="0.25">
      <c r="A2385" s="418" t="s">
        <v>7636</v>
      </c>
      <c r="B2385">
        <v>3</v>
      </c>
      <c r="C2385" s="309"/>
      <c r="D2385" s="310"/>
    </row>
    <row r="2386" spans="1:4" x14ac:dyDescent="0.25">
      <c r="A2386" s="418" t="s">
        <v>11422</v>
      </c>
      <c r="B2386">
        <v>3</v>
      </c>
      <c r="C2386" s="309"/>
      <c r="D2386" s="310"/>
    </row>
    <row r="2387" spans="1:4" x14ac:dyDescent="0.25">
      <c r="A2387" s="418" t="s">
        <v>7306</v>
      </c>
      <c r="B2387">
        <v>4</v>
      </c>
      <c r="C2387" s="309"/>
      <c r="D2387" s="310"/>
    </row>
    <row r="2388" spans="1:4" x14ac:dyDescent="0.25">
      <c r="A2388" s="418" t="s">
        <v>8185</v>
      </c>
      <c r="B2388">
        <v>3</v>
      </c>
      <c r="C2388" s="309"/>
      <c r="D2388" s="310"/>
    </row>
    <row r="2389" spans="1:4" x14ac:dyDescent="0.25">
      <c r="A2389" s="418" t="s">
        <v>6849</v>
      </c>
      <c r="B2389">
        <v>3</v>
      </c>
      <c r="C2389" s="309"/>
      <c r="D2389" s="310"/>
    </row>
    <row r="2390" spans="1:4" x14ac:dyDescent="0.25">
      <c r="A2390" s="418" t="s">
        <v>7637</v>
      </c>
      <c r="B2390">
        <v>3</v>
      </c>
      <c r="C2390" s="309"/>
      <c r="D2390" s="310"/>
    </row>
    <row r="2391" spans="1:4" x14ac:dyDescent="0.25">
      <c r="A2391" s="418" t="s">
        <v>7638</v>
      </c>
      <c r="B2391">
        <v>5</v>
      </c>
      <c r="C2391" s="309"/>
      <c r="D2391" s="310"/>
    </row>
    <row r="2392" spans="1:4" x14ac:dyDescent="0.25">
      <c r="A2392" s="418" t="s">
        <v>8084</v>
      </c>
      <c r="B2392">
        <v>3</v>
      </c>
      <c r="C2392" s="309"/>
      <c r="D2392" s="310"/>
    </row>
    <row r="2393" spans="1:4" x14ac:dyDescent="0.25">
      <c r="A2393" s="418" t="s">
        <v>9244</v>
      </c>
      <c r="B2393">
        <v>1</v>
      </c>
      <c r="C2393" s="309"/>
      <c r="D2393" s="310"/>
    </row>
    <row r="2394" spans="1:4" x14ac:dyDescent="0.25">
      <c r="A2394" s="418" t="s">
        <v>7488</v>
      </c>
      <c r="B2394">
        <v>1</v>
      </c>
      <c r="C2394" s="309"/>
      <c r="D2394" s="310"/>
    </row>
    <row r="2395" spans="1:4" x14ac:dyDescent="0.25">
      <c r="A2395" s="418" t="s">
        <v>7489</v>
      </c>
      <c r="B2395">
        <v>1</v>
      </c>
      <c r="C2395" s="309"/>
      <c r="D2395" s="310"/>
    </row>
    <row r="2396" spans="1:4" x14ac:dyDescent="0.25">
      <c r="A2396" s="418" t="s">
        <v>8870</v>
      </c>
      <c r="B2396">
        <v>3</v>
      </c>
      <c r="C2396" s="309"/>
      <c r="D2396" s="310"/>
    </row>
    <row r="2397" spans="1:4" x14ac:dyDescent="0.25">
      <c r="A2397" s="418" t="s">
        <v>7380</v>
      </c>
      <c r="B2397">
        <v>6</v>
      </c>
      <c r="C2397" s="309"/>
      <c r="D2397" s="310"/>
    </row>
    <row r="2398" spans="1:4" x14ac:dyDescent="0.25">
      <c r="A2398" s="418" t="s">
        <v>8542</v>
      </c>
      <c r="B2398">
        <v>3</v>
      </c>
      <c r="C2398" s="309"/>
      <c r="D2398" s="310"/>
    </row>
    <row r="2399" spans="1:4" x14ac:dyDescent="0.25">
      <c r="A2399" s="418" t="s">
        <v>5685</v>
      </c>
      <c r="B2399">
        <v>3</v>
      </c>
      <c r="C2399" s="309"/>
      <c r="D2399" s="310"/>
    </row>
    <row r="2400" spans="1:4" x14ac:dyDescent="0.25">
      <c r="A2400" s="418" t="s">
        <v>5686</v>
      </c>
      <c r="B2400">
        <v>4</v>
      </c>
      <c r="C2400" s="309"/>
      <c r="D2400" s="310"/>
    </row>
    <row r="2401" spans="1:4" x14ac:dyDescent="0.25">
      <c r="A2401" s="418" t="s">
        <v>6201</v>
      </c>
      <c r="B2401">
        <v>3</v>
      </c>
      <c r="C2401" s="309"/>
      <c r="D2401" s="310"/>
    </row>
    <row r="2402" spans="1:4" x14ac:dyDescent="0.25">
      <c r="A2402" s="418" t="s">
        <v>10659</v>
      </c>
      <c r="B2402">
        <v>3</v>
      </c>
      <c r="C2402" s="309"/>
      <c r="D2402" s="310"/>
    </row>
    <row r="2403" spans="1:4" x14ac:dyDescent="0.25">
      <c r="A2403" s="418" t="s">
        <v>11844</v>
      </c>
      <c r="B2403">
        <v>1</v>
      </c>
      <c r="C2403" s="309"/>
      <c r="D2403" s="310"/>
    </row>
    <row r="2404" spans="1:4" x14ac:dyDescent="0.25">
      <c r="A2404" s="418" t="s">
        <v>8287</v>
      </c>
      <c r="B2404">
        <v>6</v>
      </c>
      <c r="C2404" s="309"/>
      <c r="D2404" s="310"/>
    </row>
    <row r="2405" spans="1:4" x14ac:dyDescent="0.25">
      <c r="A2405" s="418" t="s">
        <v>8288</v>
      </c>
      <c r="B2405">
        <v>4</v>
      </c>
      <c r="C2405" s="309"/>
      <c r="D2405" s="310"/>
    </row>
    <row r="2406" spans="1:4" x14ac:dyDescent="0.25">
      <c r="A2406" s="418" t="s">
        <v>8681</v>
      </c>
      <c r="B2406">
        <v>3</v>
      </c>
      <c r="C2406" s="309"/>
      <c r="D2406" s="310"/>
    </row>
    <row r="2407" spans="1:4" x14ac:dyDescent="0.25">
      <c r="A2407" s="418" t="s">
        <v>8289</v>
      </c>
      <c r="B2407">
        <v>8</v>
      </c>
      <c r="C2407" s="309"/>
      <c r="D2407" s="310"/>
    </row>
    <row r="2408" spans="1:4" x14ac:dyDescent="0.25">
      <c r="A2408" s="418" t="s">
        <v>8290</v>
      </c>
      <c r="B2408">
        <v>8</v>
      </c>
      <c r="C2408" s="309"/>
      <c r="D2408" s="310"/>
    </row>
    <row r="2409" spans="1:4" x14ac:dyDescent="0.25">
      <c r="A2409" s="418" t="s">
        <v>8291</v>
      </c>
      <c r="B2409">
        <v>6</v>
      </c>
      <c r="C2409" s="309"/>
      <c r="D2409" s="310"/>
    </row>
    <row r="2410" spans="1:4" x14ac:dyDescent="0.25">
      <c r="A2410" s="418" t="s">
        <v>8682</v>
      </c>
      <c r="B2410">
        <v>3</v>
      </c>
      <c r="C2410" s="309"/>
      <c r="D2410" s="310"/>
    </row>
    <row r="2411" spans="1:4" x14ac:dyDescent="0.25">
      <c r="A2411" s="418" t="s">
        <v>15229</v>
      </c>
      <c r="B2411">
        <v>2</v>
      </c>
      <c r="C2411" s="309"/>
      <c r="D2411" s="310"/>
    </row>
    <row r="2412" spans="1:4" x14ac:dyDescent="0.25">
      <c r="A2412" s="418" t="s">
        <v>15230</v>
      </c>
      <c r="B2412">
        <v>2</v>
      </c>
      <c r="C2412" s="309"/>
      <c r="D2412" s="310"/>
    </row>
    <row r="2413" spans="1:4" x14ac:dyDescent="0.25">
      <c r="A2413" s="418" t="s">
        <v>15499</v>
      </c>
      <c r="B2413">
        <v>3</v>
      </c>
      <c r="C2413" s="309"/>
      <c r="D2413" s="310"/>
    </row>
    <row r="2414" spans="1:4" x14ac:dyDescent="0.25">
      <c r="A2414" s="418" t="s">
        <v>11354</v>
      </c>
      <c r="B2414">
        <v>4</v>
      </c>
      <c r="C2414" s="309"/>
      <c r="D2414" s="310"/>
    </row>
    <row r="2415" spans="1:4" x14ac:dyDescent="0.25">
      <c r="A2415" s="418" t="s">
        <v>6880</v>
      </c>
      <c r="B2415">
        <v>2</v>
      </c>
      <c r="C2415" s="309"/>
      <c r="D2415" s="310"/>
    </row>
    <row r="2416" spans="1:4" x14ac:dyDescent="0.25">
      <c r="A2416" s="418" t="s">
        <v>8773</v>
      </c>
      <c r="B2416">
        <v>3</v>
      </c>
      <c r="C2416" s="309"/>
      <c r="D2416" s="310"/>
    </row>
    <row r="2417" spans="1:4" x14ac:dyDescent="0.25">
      <c r="A2417" s="418" t="s">
        <v>8774</v>
      </c>
      <c r="B2417">
        <v>2</v>
      </c>
      <c r="C2417" s="309"/>
      <c r="D2417" s="310"/>
    </row>
    <row r="2418" spans="1:4" x14ac:dyDescent="0.25">
      <c r="A2418" s="418" t="s">
        <v>10989</v>
      </c>
      <c r="B2418">
        <v>2</v>
      </c>
      <c r="C2418" s="309"/>
      <c r="D2418" s="310"/>
    </row>
    <row r="2419" spans="1:4" x14ac:dyDescent="0.25">
      <c r="A2419" s="418" t="s">
        <v>12002</v>
      </c>
      <c r="B2419">
        <v>1</v>
      </c>
      <c r="C2419" s="309"/>
      <c r="D2419" s="310"/>
    </row>
    <row r="2420" spans="1:4" x14ac:dyDescent="0.25">
      <c r="A2420" s="418" t="s">
        <v>12003</v>
      </c>
      <c r="B2420">
        <v>1</v>
      </c>
      <c r="C2420" s="309"/>
      <c r="D2420" s="310"/>
    </row>
    <row r="2421" spans="1:4" x14ac:dyDescent="0.25">
      <c r="A2421" s="418" t="s">
        <v>6665</v>
      </c>
      <c r="B2421">
        <v>3</v>
      </c>
      <c r="C2421" s="309"/>
      <c r="D2421" s="310"/>
    </row>
    <row r="2422" spans="1:4" x14ac:dyDescent="0.25">
      <c r="A2422" s="418" t="s">
        <v>6666</v>
      </c>
      <c r="B2422">
        <v>3</v>
      </c>
      <c r="C2422" s="309"/>
      <c r="D2422" s="310"/>
    </row>
    <row r="2423" spans="1:4" x14ac:dyDescent="0.25">
      <c r="A2423" s="418" t="s">
        <v>7261</v>
      </c>
      <c r="B2423">
        <v>1</v>
      </c>
      <c r="C2423" s="309"/>
      <c r="D2423" s="310"/>
    </row>
    <row r="2424" spans="1:4" x14ac:dyDescent="0.25">
      <c r="A2424" s="418" t="s">
        <v>11845</v>
      </c>
      <c r="B2424">
        <v>1</v>
      </c>
      <c r="C2424" s="309"/>
      <c r="D2424" s="310"/>
    </row>
    <row r="2425" spans="1:4" x14ac:dyDescent="0.25">
      <c r="A2425" s="418" t="s">
        <v>11623</v>
      </c>
      <c r="B2425">
        <v>2</v>
      </c>
      <c r="C2425" s="309"/>
      <c r="D2425" s="310"/>
    </row>
    <row r="2426" spans="1:4" x14ac:dyDescent="0.25">
      <c r="A2426" s="418" t="s">
        <v>10457</v>
      </c>
      <c r="B2426">
        <v>1</v>
      </c>
      <c r="C2426" s="309"/>
      <c r="D2426" s="310"/>
    </row>
    <row r="2427" spans="1:4" x14ac:dyDescent="0.25">
      <c r="A2427" s="418" t="s">
        <v>7340</v>
      </c>
      <c r="B2427">
        <v>2</v>
      </c>
      <c r="C2427" s="309"/>
      <c r="D2427" s="310"/>
    </row>
    <row r="2428" spans="1:4" x14ac:dyDescent="0.25">
      <c r="A2428" s="418" t="s">
        <v>7307</v>
      </c>
      <c r="B2428">
        <v>3</v>
      </c>
      <c r="C2428" s="309"/>
      <c r="D2428" s="310"/>
    </row>
    <row r="2429" spans="1:4" x14ac:dyDescent="0.25">
      <c r="A2429" s="418" t="s">
        <v>7490</v>
      </c>
      <c r="B2429">
        <v>1</v>
      </c>
      <c r="C2429" s="309"/>
      <c r="D2429" s="310"/>
    </row>
    <row r="2430" spans="1:4" x14ac:dyDescent="0.25">
      <c r="A2430" s="418" t="s">
        <v>7341</v>
      </c>
      <c r="B2430">
        <v>2</v>
      </c>
      <c r="C2430" s="309"/>
      <c r="D2430" s="310"/>
    </row>
    <row r="2431" spans="1:4" x14ac:dyDescent="0.25">
      <c r="A2431" s="418" t="s">
        <v>9054</v>
      </c>
      <c r="B2431">
        <v>3</v>
      </c>
      <c r="C2431" s="309"/>
      <c r="D2431" s="310"/>
    </row>
    <row r="2432" spans="1:4" x14ac:dyDescent="0.25">
      <c r="A2432" s="418" t="s">
        <v>8424</v>
      </c>
      <c r="B2432">
        <v>3</v>
      </c>
      <c r="C2432" s="309"/>
      <c r="D2432" s="310"/>
    </row>
    <row r="2433" spans="1:4" x14ac:dyDescent="0.25">
      <c r="A2433" s="418" t="s">
        <v>8425</v>
      </c>
      <c r="B2433">
        <v>3</v>
      </c>
      <c r="C2433" s="309"/>
      <c r="D2433" s="310"/>
    </row>
    <row r="2434" spans="1:4" x14ac:dyDescent="0.25">
      <c r="A2434" s="418" t="s">
        <v>16418</v>
      </c>
      <c r="B2434">
        <v>4</v>
      </c>
      <c r="C2434" s="309"/>
      <c r="D2434" s="310"/>
    </row>
    <row r="2435" spans="1:4" x14ac:dyDescent="0.25">
      <c r="A2435" s="418" t="s">
        <v>16419</v>
      </c>
      <c r="B2435">
        <v>4</v>
      </c>
      <c r="C2435" s="309"/>
      <c r="D2435" s="310"/>
    </row>
    <row r="2436" spans="1:4" x14ac:dyDescent="0.25">
      <c r="A2436" s="418" t="s">
        <v>16420</v>
      </c>
      <c r="B2436">
        <v>3</v>
      </c>
      <c r="C2436" s="309"/>
      <c r="D2436" s="310"/>
    </row>
    <row r="2437" spans="1:4" x14ac:dyDescent="0.25">
      <c r="A2437" s="418" t="s">
        <v>16421</v>
      </c>
      <c r="B2437">
        <v>2</v>
      </c>
      <c r="C2437" s="309"/>
      <c r="D2437" s="310"/>
    </row>
    <row r="2438" spans="1:4" x14ac:dyDescent="0.25">
      <c r="A2438" s="418" t="s">
        <v>8569</v>
      </c>
      <c r="B2438">
        <v>5</v>
      </c>
      <c r="C2438" s="309"/>
      <c r="D2438" s="310"/>
    </row>
    <row r="2439" spans="1:4" x14ac:dyDescent="0.25">
      <c r="A2439" s="418" t="s">
        <v>7639</v>
      </c>
      <c r="B2439">
        <v>12</v>
      </c>
      <c r="C2439" s="309"/>
      <c r="D2439" s="310"/>
    </row>
    <row r="2440" spans="1:4" x14ac:dyDescent="0.25">
      <c r="A2440" s="418" t="s">
        <v>10301</v>
      </c>
      <c r="B2440">
        <v>4</v>
      </c>
      <c r="C2440" s="309"/>
      <c r="D2440" s="310"/>
    </row>
    <row r="2441" spans="1:4" x14ac:dyDescent="0.25">
      <c r="A2441" s="418" t="s">
        <v>8292</v>
      </c>
      <c r="B2441">
        <v>1</v>
      </c>
      <c r="C2441" s="309"/>
      <c r="D2441" s="310"/>
    </row>
    <row r="2442" spans="1:4" x14ac:dyDescent="0.25">
      <c r="A2442" s="418" t="s">
        <v>8085</v>
      </c>
      <c r="B2442">
        <v>2</v>
      </c>
      <c r="C2442" s="309"/>
      <c r="D2442" s="310"/>
    </row>
    <row r="2443" spans="1:4" x14ac:dyDescent="0.25">
      <c r="A2443" s="418" t="s">
        <v>8293</v>
      </c>
      <c r="B2443">
        <v>1</v>
      </c>
      <c r="C2443" s="309"/>
      <c r="D2443" s="310"/>
    </row>
    <row r="2444" spans="1:4" x14ac:dyDescent="0.25">
      <c r="A2444" s="418" t="s">
        <v>8426</v>
      </c>
      <c r="B2444">
        <v>3</v>
      </c>
      <c r="C2444" s="309"/>
      <c r="D2444" s="310"/>
    </row>
    <row r="2445" spans="1:4" x14ac:dyDescent="0.25">
      <c r="A2445" s="418" t="s">
        <v>8427</v>
      </c>
      <c r="B2445">
        <v>4</v>
      </c>
      <c r="C2445" s="309"/>
      <c r="D2445" s="310"/>
    </row>
    <row r="2446" spans="1:4" x14ac:dyDescent="0.25">
      <c r="A2446" s="418" t="s">
        <v>8570</v>
      </c>
      <c r="B2446">
        <v>3</v>
      </c>
      <c r="C2446" s="309"/>
      <c r="D2446" s="310"/>
    </row>
    <row r="2447" spans="1:4" x14ac:dyDescent="0.25">
      <c r="A2447" s="418" t="s">
        <v>10820</v>
      </c>
      <c r="B2447">
        <v>3</v>
      </c>
      <c r="C2447" s="309"/>
      <c r="D2447" s="310"/>
    </row>
    <row r="2448" spans="1:4" x14ac:dyDescent="0.25">
      <c r="A2448" s="418" t="s">
        <v>10416</v>
      </c>
      <c r="B2448">
        <v>3</v>
      </c>
      <c r="C2448" s="309"/>
      <c r="D2448" s="310"/>
    </row>
    <row r="2449" spans="1:4" x14ac:dyDescent="0.25">
      <c r="A2449" s="418" t="s">
        <v>10203</v>
      </c>
      <c r="B2449">
        <v>3</v>
      </c>
      <c r="C2449" s="309"/>
      <c r="D2449" s="310"/>
    </row>
    <row r="2450" spans="1:4" x14ac:dyDescent="0.25">
      <c r="A2450" s="418" t="s">
        <v>10660</v>
      </c>
      <c r="B2450">
        <v>3</v>
      </c>
      <c r="C2450" s="309"/>
      <c r="D2450" s="310"/>
    </row>
    <row r="2451" spans="1:4" x14ac:dyDescent="0.25">
      <c r="A2451" s="418" t="s">
        <v>10417</v>
      </c>
      <c r="B2451">
        <v>1</v>
      </c>
      <c r="C2451" s="309"/>
      <c r="D2451" s="310"/>
    </row>
    <row r="2452" spans="1:4" x14ac:dyDescent="0.25">
      <c r="A2452" s="418" t="s">
        <v>8629</v>
      </c>
      <c r="B2452">
        <v>4</v>
      </c>
      <c r="C2452" s="309"/>
      <c r="D2452" s="310"/>
    </row>
    <row r="2453" spans="1:4" x14ac:dyDescent="0.25">
      <c r="A2453" s="418" t="s">
        <v>8630</v>
      </c>
      <c r="B2453">
        <v>7</v>
      </c>
      <c r="C2453" s="309"/>
      <c r="D2453" s="310"/>
    </row>
    <row r="2454" spans="1:4" x14ac:dyDescent="0.25">
      <c r="A2454" s="418" t="s">
        <v>11404</v>
      </c>
      <c r="B2454">
        <v>2</v>
      </c>
      <c r="C2454" s="309"/>
      <c r="D2454" s="310"/>
    </row>
    <row r="2455" spans="1:4" x14ac:dyDescent="0.25">
      <c r="A2455" s="418" t="s">
        <v>11405</v>
      </c>
      <c r="B2455">
        <v>1</v>
      </c>
      <c r="C2455" s="309"/>
      <c r="D2455" s="310"/>
    </row>
    <row r="2456" spans="1:4" x14ac:dyDescent="0.25">
      <c r="A2456" s="418" t="s">
        <v>11492</v>
      </c>
      <c r="B2456">
        <v>3</v>
      </c>
      <c r="C2456" s="309"/>
      <c r="D2456" s="310"/>
    </row>
    <row r="2457" spans="1:4" x14ac:dyDescent="0.25">
      <c r="A2457" s="418" t="s">
        <v>11493</v>
      </c>
      <c r="B2457">
        <v>1</v>
      </c>
      <c r="C2457" s="309"/>
      <c r="D2457" s="310"/>
    </row>
    <row r="2458" spans="1:4" x14ac:dyDescent="0.25">
      <c r="A2458" s="418" t="s">
        <v>12119</v>
      </c>
      <c r="B2458">
        <v>2</v>
      </c>
      <c r="C2458" s="309"/>
      <c r="D2458" s="310"/>
    </row>
    <row r="2459" spans="1:4" x14ac:dyDescent="0.25">
      <c r="A2459" s="418" t="s">
        <v>8805</v>
      </c>
      <c r="B2459">
        <v>10</v>
      </c>
      <c r="C2459" s="309"/>
      <c r="D2459" s="310"/>
    </row>
    <row r="2460" spans="1:4" x14ac:dyDescent="0.25">
      <c r="A2460" s="418" t="s">
        <v>7491</v>
      </c>
      <c r="B2460">
        <v>10</v>
      </c>
      <c r="C2460" s="309"/>
      <c r="D2460" s="310"/>
    </row>
    <row r="2461" spans="1:4" x14ac:dyDescent="0.25">
      <c r="A2461" s="418" t="s">
        <v>8806</v>
      </c>
      <c r="B2461">
        <v>5</v>
      </c>
      <c r="C2461" s="309"/>
      <c r="D2461" s="310"/>
    </row>
    <row r="2462" spans="1:4" x14ac:dyDescent="0.25">
      <c r="A2462" s="418" t="s">
        <v>7492</v>
      </c>
      <c r="B2462">
        <v>4</v>
      </c>
      <c r="C2462" s="309"/>
      <c r="D2462" s="310"/>
    </row>
    <row r="2463" spans="1:4" x14ac:dyDescent="0.25">
      <c r="A2463" s="418" t="s">
        <v>6970</v>
      </c>
      <c r="B2463">
        <v>7</v>
      </c>
      <c r="C2463" s="309"/>
      <c r="D2463" s="310"/>
    </row>
    <row r="2464" spans="1:4" x14ac:dyDescent="0.25">
      <c r="A2464" s="418" t="s">
        <v>6971</v>
      </c>
      <c r="B2464">
        <v>8</v>
      </c>
      <c r="C2464" s="309"/>
      <c r="D2464" s="310"/>
    </row>
    <row r="2465" spans="1:4" x14ac:dyDescent="0.25">
      <c r="A2465" s="418" t="s">
        <v>9055</v>
      </c>
      <c r="B2465">
        <v>3</v>
      </c>
      <c r="C2465" s="309"/>
      <c r="D2465" s="310"/>
    </row>
    <row r="2466" spans="1:4" x14ac:dyDescent="0.25">
      <c r="A2466" s="418" t="s">
        <v>7125</v>
      </c>
      <c r="B2466">
        <v>5</v>
      </c>
      <c r="C2466" s="309"/>
      <c r="D2466" s="310"/>
    </row>
    <row r="2467" spans="1:4" x14ac:dyDescent="0.25">
      <c r="A2467" s="418" t="s">
        <v>7493</v>
      </c>
      <c r="B2467">
        <v>1</v>
      </c>
      <c r="C2467" s="309"/>
      <c r="D2467" s="310"/>
    </row>
    <row r="2468" spans="1:4" x14ac:dyDescent="0.25">
      <c r="A2468" s="418" t="s">
        <v>7494</v>
      </c>
      <c r="B2468">
        <v>1</v>
      </c>
      <c r="C2468" s="309"/>
      <c r="D2468" s="310"/>
    </row>
    <row r="2469" spans="1:4" x14ac:dyDescent="0.25">
      <c r="A2469" s="418" t="s">
        <v>11846</v>
      </c>
      <c r="B2469">
        <v>1</v>
      </c>
      <c r="C2469" s="309"/>
      <c r="D2469" s="310"/>
    </row>
    <row r="2470" spans="1:4" x14ac:dyDescent="0.25">
      <c r="A2470" s="418" t="s">
        <v>8473</v>
      </c>
      <c r="B2470">
        <v>1</v>
      </c>
      <c r="C2470" s="309"/>
      <c r="D2470" s="310"/>
    </row>
    <row r="2471" spans="1:4" x14ac:dyDescent="0.25">
      <c r="A2471" s="418" t="s">
        <v>10661</v>
      </c>
      <c r="B2471">
        <v>1</v>
      </c>
      <c r="C2471" s="309"/>
      <c r="D2471" s="310"/>
    </row>
    <row r="2472" spans="1:4" x14ac:dyDescent="0.25">
      <c r="A2472" s="418" t="s">
        <v>8474</v>
      </c>
      <c r="B2472">
        <v>1</v>
      </c>
      <c r="C2472" s="309"/>
      <c r="D2472" s="310"/>
    </row>
    <row r="2473" spans="1:4" x14ac:dyDescent="0.25">
      <c r="A2473" s="418" t="s">
        <v>8428</v>
      </c>
      <c r="B2473">
        <v>2</v>
      </c>
      <c r="C2473" s="309"/>
      <c r="D2473" s="310"/>
    </row>
    <row r="2474" spans="1:4" x14ac:dyDescent="0.25">
      <c r="A2474" s="418" t="s">
        <v>8699</v>
      </c>
      <c r="B2474">
        <v>3</v>
      </c>
      <c r="C2474" s="309"/>
      <c r="D2474" s="310"/>
    </row>
    <row r="2475" spans="1:4" x14ac:dyDescent="0.25">
      <c r="A2475" s="418" t="s">
        <v>8371</v>
      </c>
      <c r="B2475">
        <v>2</v>
      </c>
      <c r="C2475" s="309"/>
      <c r="D2475" s="310"/>
    </row>
    <row r="2476" spans="1:4" x14ac:dyDescent="0.25">
      <c r="A2476" s="418" t="s">
        <v>9915</v>
      </c>
      <c r="B2476">
        <v>1</v>
      </c>
      <c r="C2476" s="309"/>
      <c r="D2476" s="310"/>
    </row>
    <row r="2477" spans="1:4" x14ac:dyDescent="0.25">
      <c r="A2477" s="418" t="s">
        <v>7308</v>
      </c>
      <c r="B2477">
        <v>3</v>
      </c>
      <c r="C2477" s="309"/>
      <c r="D2477" s="310"/>
    </row>
    <row r="2478" spans="1:4" x14ac:dyDescent="0.25">
      <c r="A2478" s="418" t="s">
        <v>7309</v>
      </c>
      <c r="B2478">
        <v>3</v>
      </c>
      <c r="C2478" s="309"/>
      <c r="D2478" s="310"/>
    </row>
    <row r="2479" spans="1:4" x14ac:dyDescent="0.25">
      <c r="A2479" s="418" t="s">
        <v>10662</v>
      </c>
      <c r="B2479">
        <v>1</v>
      </c>
      <c r="C2479" s="309"/>
      <c r="D2479" s="310"/>
    </row>
    <row r="2480" spans="1:4" x14ac:dyDescent="0.25">
      <c r="A2480" s="418" t="s">
        <v>7495</v>
      </c>
      <c r="B2480">
        <v>1</v>
      </c>
      <c r="C2480" s="309"/>
      <c r="D2480" s="310"/>
    </row>
    <row r="2481" spans="1:4" x14ac:dyDescent="0.25">
      <c r="A2481" s="418" t="s">
        <v>7052</v>
      </c>
      <c r="B2481">
        <v>1</v>
      </c>
      <c r="C2481" s="309"/>
      <c r="D2481" s="310"/>
    </row>
    <row r="2482" spans="1:4" x14ac:dyDescent="0.25">
      <c r="A2482" s="418" t="s">
        <v>7053</v>
      </c>
      <c r="B2482">
        <v>2</v>
      </c>
      <c r="C2482" s="309"/>
      <c r="D2482" s="310"/>
    </row>
    <row r="2483" spans="1:4" x14ac:dyDescent="0.25">
      <c r="A2483" s="418" t="s">
        <v>7054</v>
      </c>
      <c r="B2483">
        <v>1</v>
      </c>
      <c r="C2483" s="309"/>
      <c r="D2483" s="310"/>
    </row>
    <row r="2484" spans="1:4" x14ac:dyDescent="0.25">
      <c r="A2484" s="418" t="s">
        <v>10572</v>
      </c>
      <c r="B2484">
        <v>3</v>
      </c>
      <c r="C2484" s="309"/>
      <c r="D2484" s="310"/>
    </row>
    <row r="2485" spans="1:4" x14ac:dyDescent="0.25">
      <c r="A2485" s="418" t="s">
        <v>8571</v>
      </c>
      <c r="B2485">
        <v>4</v>
      </c>
      <c r="C2485" s="309"/>
      <c r="D2485" s="310"/>
    </row>
    <row r="2486" spans="1:4" x14ac:dyDescent="0.25">
      <c r="A2486" s="418" t="s">
        <v>10573</v>
      </c>
      <c r="B2486">
        <v>1</v>
      </c>
      <c r="C2486" s="309"/>
      <c r="D2486" s="310"/>
    </row>
    <row r="2487" spans="1:4" x14ac:dyDescent="0.25">
      <c r="A2487" s="418" t="s">
        <v>6881</v>
      </c>
      <c r="B2487">
        <v>1</v>
      </c>
      <c r="C2487" s="309"/>
      <c r="D2487" s="310"/>
    </row>
    <row r="2488" spans="1:4" x14ac:dyDescent="0.25">
      <c r="A2488" s="418" t="s">
        <v>6882</v>
      </c>
      <c r="B2488">
        <v>1</v>
      </c>
      <c r="C2488" s="309"/>
      <c r="D2488" s="310"/>
    </row>
    <row r="2489" spans="1:4" x14ac:dyDescent="0.25">
      <c r="A2489" s="418" t="s">
        <v>8775</v>
      </c>
      <c r="B2489">
        <v>1</v>
      </c>
      <c r="C2489" s="309"/>
      <c r="D2489" s="310"/>
    </row>
    <row r="2490" spans="1:4" x14ac:dyDescent="0.25">
      <c r="A2490" s="418" t="s">
        <v>8776</v>
      </c>
      <c r="B2490">
        <v>1</v>
      </c>
      <c r="C2490" s="309"/>
      <c r="D2490" s="310"/>
    </row>
    <row r="2491" spans="1:4" x14ac:dyDescent="0.25">
      <c r="A2491" s="418" t="s">
        <v>8294</v>
      </c>
      <c r="B2491">
        <v>11</v>
      </c>
      <c r="C2491" s="309"/>
      <c r="D2491" s="310"/>
    </row>
    <row r="2492" spans="1:4" x14ac:dyDescent="0.25">
      <c r="A2492" s="418" t="s">
        <v>8295</v>
      </c>
      <c r="B2492">
        <v>11</v>
      </c>
      <c r="C2492" s="309"/>
      <c r="D2492" s="310"/>
    </row>
    <row r="2493" spans="1:4" x14ac:dyDescent="0.25">
      <c r="A2493" s="418" t="s">
        <v>10990</v>
      </c>
      <c r="B2493">
        <v>6</v>
      </c>
      <c r="C2493" s="309"/>
      <c r="D2493" s="310"/>
    </row>
    <row r="2494" spans="1:4" x14ac:dyDescent="0.25">
      <c r="A2494" s="418" t="s">
        <v>10500</v>
      </c>
      <c r="B2494">
        <v>5</v>
      </c>
      <c r="C2494" s="309"/>
      <c r="D2494" s="310"/>
    </row>
    <row r="2495" spans="1:4" x14ac:dyDescent="0.25">
      <c r="A2495" s="418" t="s">
        <v>6883</v>
      </c>
      <c r="B2495">
        <v>1</v>
      </c>
      <c r="C2495" s="309"/>
      <c r="D2495" s="310"/>
    </row>
    <row r="2496" spans="1:4" x14ac:dyDescent="0.25">
      <c r="A2496" s="418" t="s">
        <v>9245</v>
      </c>
      <c r="B2496">
        <v>3</v>
      </c>
      <c r="C2496" s="309"/>
      <c r="D2496" s="310"/>
    </row>
    <row r="2497" spans="1:4" x14ac:dyDescent="0.25">
      <c r="A2497" s="418" t="s">
        <v>8871</v>
      </c>
      <c r="B2497">
        <v>4</v>
      </c>
      <c r="C2497" s="309"/>
      <c r="D2497" s="310"/>
    </row>
    <row r="2498" spans="1:4" x14ac:dyDescent="0.25">
      <c r="A2498" s="418" t="s">
        <v>9246</v>
      </c>
      <c r="B2498">
        <v>3</v>
      </c>
      <c r="C2498" s="309"/>
      <c r="D2498" s="310"/>
    </row>
    <row r="2499" spans="1:4" x14ac:dyDescent="0.25">
      <c r="A2499" s="418" t="s">
        <v>9916</v>
      </c>
      <c r="B2499">
        <v>1</v>
      </c>
      <c r="C2499" s="309"/>
      <c r="D2499" s="310"/>
    </row>
    <row r="2500" spans="1:4" x14ac:dyDescent="0.25">
      <c r="A2500" s="418" t="s">
        <v>8969</v>
      </c>
      <c r="B2500">
        <v>1</v>
      </c>
      <c r="C2500" s="309"/>
      <c r="D2500" s="310"/>
    </row>
    <row r="2501" spans="1:4" x14ac:dyDescent="0.25">
      <c r="A2501" s="418" t="s">
        <v>12134</v>
      </c>
      <c r="B2501">
        <v>1</v>
      </c>
      <c r="C2501" s="309"/>
      <c r="D2501" s="310"/>
    </row>
    <row r="2502" spans="1:4" x14ac:dyDescent="0.25">
      <c r="A2502" s="418" t="s">
        <v>9606</v>
      </c>
      <c r="B2502">
        <v>3</v>
      </c>
      <c r="C2502" s="309"/>
      <c r="D2502" s="310"/>
    </row>
    <row r="2503" spans="1:4" x14ac:dyDescent="0.25">
      <c r="A2503" s="418" t="s">
        <v>9607</v>
      </c>
      <c r="B2503">
        <v>3</v>
      </c>
      <c r="C2503" s="309"/>
      <c r="D2503" s="310"/>
    </row>
    <row r="2504" spans="1:4" x14ac:dyDescent="0.25">
      <c r="A2504" s="418" t="s">
        <v>11355</v>
      </c>
      <c r="B2504">
        <v>2</v>
      </c>
      <c r="C2504" s="309"/>
      <c r="D2504" s="310"/>
    </row>
    <row r="2505" spans="1:4" x14ac:dyDescent="0.25">
      <c r="A2505" s="418" t="s">
        <v>16207</v>
      </c>
      <c r="B2505">
        <v>1</v>
      </c>
      <c r="C2505" s="309"/>
      <c r="D2505" s="310"/>
    </row>
    <row r="2506" spans="1:4" x14ac:dyDescent="0.25">
      <c r="A2506" s="418" t="s">
        <v>8296</v>
      </c>
      <c r="B2506">
        <v>1</v>
      </c>
      <c r="C2506" s="309"/>
      <c r="D2506" s="310"/>
    </row>
    <row r="2507" spans="1:4" x14ac:dyDescent="0.25">
      <c r="A2507" s="418" t="s">
        <v>8297</v>
      </c>
      <c r="B2507">
        <v>1</v>
      </c>
      <c r="C2507" s="309"/>
      <c r="D2507" s="310"/>
    </row>
    <row r="2508" spans="1:4" x14ac:dyDescent="0.25">
      <c r="A2508" s="418" t="s">
        <v>7783</v>
      </c>
      <c r="B2508">
        <v>1</v>
      </c>
      <c r="C2508" s="309"/>
      <c r="D2508" s="310"/>
    </row>
    <row r="2509" spans="1:4" x14ac:dyDescent="0.25">
      <c r="A2509" s="418" t="s">
        <v>7496</v>
      </c>
      <c r="B2509">
        <v>11</v>
      </c>
      <c r="C2509" s="309"/>
      <c r="D2509" s="310"/>
    </row>
    <row r="2510" spans="1:4" x14ac:dyDescent="0.25">
      <c r="A2510" s="418" t="s">
        <v>7497</v>
      </c>
      <c r="B2510">
        <v>12</v>
      </c>
      <c r="C2510" s="309"/>
      <c r="D2510" s="310"/>
    </row>
    <row r="2511" spans="1:4" x14ac:dyDescent="0.25">
      <c r="A2511" s="418" t="s">
        <v>7996</v>
      </c>
      <c r="B2511">
        <v>9</v>
      </c>
      <c r="C2511" s="309"/>
      <c r="D2511" s="310"/>
    </row>
    <row r="2512" spans="1:4" x14ac:dyDescent="0.25">
      <c r="A2512" s="418" t="s">
        <v>7498</v>
      </c>
      <c r="B2512">
        <v>3</v>
      </c>
      <c r="C2512" s="309"/>
      <c r="D2512" s="310"/>
    </row>
    <row r="2513" spans="1:4" x14ac:dyDescent="0.25">
      <c r="A2513" s="418" t="s">
        <v>8298</v>
      </c>
      <c r="B2513">
        <v>5</v>
      </c>
      <c r="C2513" s="309"/>
      <c r="D2513" s="310"/>
    </row>
    <row r="2514" spans="1:4" x14ac:dyDescent="0.25">
      <c r="A2514" s="418" t="s">
        <v>8807</v>
      </c>
      <c r="B2514">
        <v>3</v>
      </c>
      <c r="C2514" s="309"/>
      <c r="D2514" s="310"/>
    </row>
    <row r="2515" spans="1:4" x14ac:dyDescent="0.25">
      <c r="A2515" s="418" t="s">
        <v>12427</v>
      </c>
      <c r="B2515">
        <v>2</v>
      </c>
      <c r="C2515" s="309"/>
      <c r="D2515" s="310"/>
    </row>
    <row r="2516" spans="1:4" x14ac:dyDescent="0.25">
      <c r="A2516" s="418" t="s">
        <v>6884</v>
      </c>
      <c r="B2516">
        <v>2</v>
      </c>
      <c r="C2516" s="309"/>
      <c r="D2516" s="310"/>
    </row>
    <row r="2517" spans="1:4" x14ac:dyDescent="0.25">
      <c r="A2517" s="418" t="s">
        <v>7784</v>
      </c>
      <c r="B2517">
        <v>3</v>
      </c>
      <c r="C2517" s="309"/>
      <c r="D2517" s="310"/>
    </row>
    <row r="2518" spans="1:4" x14ac:dyDescent="0.25">
      <c r="A2518" s="418" t="s">
        <v>7785</v>
      </c>
      <c r="B2518">
        <v>4</v>
      </c>
      <c r="C2518" s="309"/>
      <c r="D2518" s="310"/>
    </row>
    <row r="2519" spans="1:4" x14ac:dyDescent="0.25">
      <c r="A2519" s="418" t="s">
        <v>9717</v>
      </c>
      <c r="B2519">
        <v>4</v>
      </c>
      <c r="C2519" s="309"/>
      <c r="D2519" s="310"/>
    </row>
    <row r="2520" spans="1:4" x14ac:dyDescent="0.25">
      <c r="A2520" s="418" t="s">
        <v>9718</v>
      </c>
      <c r="B2520">
        <v>4</v>
      </c>
      <c r="C2520" s="309"/>
      <c r="D2520" s="310"/>
    </row>
    <row r="2521" spans="1:4" x14ac:dyDescent="0.25">
      <c r="A2521" s="418" t="s">
        <v>9719</v>
      </c>
      <c r="B2521">
        <v>3</v>
      </c>
      <c r="C2521" s="309"/>
      <c r="D2521" s="310"/>
    </row>
    <row r="2522" spans="1:4" x14ac:dyDescent="0.25">
      <c r="A2522" s="418" t="s">
        <v>9859</v>
      </c>
      <c r="B2522">
        <v>2</v>
      </c>
      <c r="C2522" s="309"/>
      <c r="D2522" s="310"/>
    </row>
    <row r="2523" spans="1:4" x14ac:dyDescent="0.25">
      <c r="A2523" s="418" t="s">
        <v>8872</v>
      </c>
      <c r="B2523">
        <v>2</v>
      </c>
      <c r="C2523" s="309"/>
      <c r="D2523" s="310"/>
    </row>
    <row r="2524" spans="1:4" x14ac:dyDescent="0.25">
      <c r="A2524" s="418" t="s">
        <v>9247</v>
      </c>
      <c r="B2524">
        <v>1</v>
      </c>
      <c r="C2524" s="309"/>
      <c r="D2524" s="310"/>
    </row>
    <row r="2525" spans="1:4" x14ac:dyDescent="0.25">
      <c r="A2525" s="418" t="s">
        <v>8873</v>
      </c>
      <c r="B2525">
        <v>1</v>
      </c>
      <c r="C2525" s="309"/>
      <c r="D2525" s="310"/>
    </row>
    <row r="2526" spans="1:4" x14ac:dyDescent="0.25">
      <c r="A2526" s="418" t="s">
        <v>7091</v>
      </c>
      <c r="B2526">
        <v>6</v>
      </c>
      <c r="C2526" s="309"/>
      <c r="D2526" s="310"/>
    </row>
    <row r="2527" spans="1:4" x14ac:dyDescent="0.25">
      <c r="A2527" s="418" t="s">
        <v>7092</v>
      </c>
      <c r="B2527">
        <v>7</v>
      </c>
      <c r="C2527" s="309"/>
      <c r="D2527" s="310"/>
    </row>
    <row r="2528" spans="1:4" x14ac:dyDescent="0.25">
      <c r="A2528" s="418" t="s">
        <v>8186</v>
      </c>
      <c r="B2528">
        <v>4</v>
      </c>
      <c r="C2528" s="309"/>
      <c r="D2528" s="310"/>
    </row>
    <row r="2529" spans="1:4" x14ac:dyDescent="0.25">
      <c r="A2529" s="418" t="s">
        <v>7126</v>
      </c>
      <c r="B2529">
        <v>3</v>
      </c>
      <c r="C2529" s="309"/>
      <c r="D2529" s="310"/>
    </row>
    <row r="2530" spans="1:4" x14ac:dyDescent="0.25">
      <c r="A2530" s="418" t="s">
        <v>9424</v>
      </c>
      <c r="B2530">
        <v>1</v>
      </c>
      <c r="C2530" s="309"/>
      <c r="D2530" s="310"/>
    </row>
    <row r="2531" spans="1:4" x14ac:dyDescent="0.25">
      <c r="A2531" s="418" t="s">
        <v>9425</v>
      </c>
      <c r="B2531">
        <v>1</v>
      </c>
      <c r="C2531" s="309"/>
      <c r="D2531" s="310"/>
    </row>
    <row r="2532" spans="1:4" x14ac:dyDescent="0.25">
      <c r="A2532" s="418" t="s">
        <v>7499</v>
      </c>
      <c r="B2532">
        <v>3</v>
      </c>
      <c r="C2532" s="309"/>
      <c r="D2532" s="310"/>
    </row>
    <row r="2533" spans="1:4" x14ac:dyDescent="0.25">
      <c r="A2533" s="418" t="s">
        <v>7500</v>
      </c>
      <c r="B2533">
        <v>3</v>
      </c>
      <c r="C2533" s="309"/>
      <c r="D2533" s="310"/>
    </row>
    <row r="2534" spans="1:4" x14ac:dyDescent="0.25">
      <c r="A2534" s="418" t="s">
        <v>7501</v>
      </c>
      <c r="B2534">
        <v>3</v>
      </c>
      <c r="C2534" s="309"/>
      <c r="D2534" s="310"/>
    </row>
    <row r="2535" spans="1:4" x14ac:dyDescent="0.25">
      <c r="A2535" s="418" t="s">
        <v>10663</v>
      </c>
      <c r="B2535">
        <v>2</v>
      </c>
      <c r="C2535" s="309"/>
      <c r="D2535" s="310"/>
    </row>
    <row r="2536" spans="1:4" x14ac:dyDescent="0.25">
      <c r="A2536" s="418" t="s">
        <v>11356</v>
      </c>
      <c r="B2536">
        <v>2</v>
      </c>
      <c r="C2536" s="309"/>
      <c r="D2536" s="310"/>
    </row>
    <row r="2537" spans="1:4" x14ac:dyDescent="0.25">
      <c r="A2537" s="418" t="s">
        <v>11357</v>
      </c>
      <c r="B2537">
        <v>2</v>
      </c>
      <c r="C2537" s="309"/>
      <c r="D2537" s="310"/>
    </row>
    <row r="2538" spans="1:4" x14ac:dyDescent="0.25">
      <c r="A2538" s="418" t="s">
        <v>8299</v>
      </c>
      <c r="B2538">
        <v>3</v>
      </c>
      <c r="C2538" s="309"/>
      <c r="D2538" s="310"/>
    </row>
    <row r="2539" spans="1:4" x14ac:dyDescent="0.25">
      <c r="A2539" s="418" t="s">
        <v>8300</v>
      </c>
      <c r="B2539">
        <v>4</v>
      </c>
      <c r="C2539" s="309"/>
      <c r="D2539" s="310"/>
    </row>
    <row r="2540" spans="1:4" x14ac:dyDescent="0.25">
      <c r="A2540" s="418" t="s">
        <v>8808</v>
      </c>
      <c r="B2540">
        <v>3</v>
      </c>
      <c r="C2540" s="309"/>
      <c r="D2540" s="310"/>
    </row>
    <row r="2541" spans="1:4" x14ac:dyDescent="0.25">
      <c r="A2541" s="418" t="s">
        <v>8809</v>
      </c>
      <c r="B2541">
        <v>2</v>
      </c>
      <c r="C2541" s="309"/>
      <c r="D2541" s="310"/>
    </row>
    <row r="2542" spans="1:4" x14ac:dyDescent="0.25">
      <c r="A2542" s="418" t="s">
        <v>9426</v>
      </c>
      <c r="B2542">
        <v>3</v>
      </c>
      <c r="C2542" s="309"/>
      <c r="D2542" s="310"/>
    </row>
    <row r="2543" spans="1:4" x14ac:dyDescent="0.25">
      <c r="A2543" s="418" t="s">
        <v>9427</v>
      </c>
      <c r="B2543">
        <v>6</v>
      </c>
      <c r="C2543" s="309"/>
      <c r="D2543" s="310"/>
    </row>
    <row r="2544" spans="1:4" x14ac:dyDescent="0.25">
      <c r="A2544" s="418" t="s">
        <v>7310</v>
      </c>
      <c r="B2544">
        <v>4</v>
      </c>
      <c r="C2544" s="309"/>
      <c r="D2544" s="310"/>
    </row>
    <row r="2545" spans="1:4" x14ac:dyDescent="0.25">
      <c r="A2545" s="418" t="s">
        <v>8970</v>
      </c>
      <c r="B2545">
        <v>3</v>
      </c>
      <c r="C2545" s="309"/>
      <c r="D2545" s="310"/>
    </row>
    <row r="2546" spans="1:4" x14ac:dyDescent="0.25">
      <c r="A2546" s="418" t="s">
        <v>8971</v>
      </c>
      <c r="B2546">
        <v>2</v>
      </c>
      <c r="C2546" s="309"/>
      <c r="D2546" s="310"/>
    </row>
    <row r="2547" spans="1:4" x14ac:dyDescent="0.25">
      <c r="A2547" s="418" t="s">
        <v>7502</v>
      </c>
      <c r="B2547">
        <v>3</v>
      </c>
      <c r="C2547" s="309"/>
      <c r="D2547" s="310"/>
    </row>
    <row r="2548" spans="1:4" x14ac:dyDescent="0.25">
      <c r="A2548" s="418" t="s">
        <v>7205</v>
      </c>
      <c r="B2548">
        <v>3</v>
      </c>
      <c r="C2548" s="309"/>
      <c r="D2548" s="310"/>
    </row>
    <row r="2549" spans="1:4" x14ac:dyDescent="0.25">
      <c r="A2549" s="418" t="s">
        <v>7206</v>
      </c>
      <c r="B2549">
        <v>3</v>
      </c>
      <c r="C2549" s="309"/>
      <c r="D2549" s="310"/>
    </row>
    <row r="2550" spans="1:4" x14ac:dyDescent="0.25">
      <c r="A2550" s="418" t="s">
        <v>7311</v>
      </c>
      <c r="B2550">
        <v>3</v>
      </c>
      <c r="C2550" s="309"/>
      <c r="D2550" s="310"/>
    </row>
    <row r="2551" spans="1:4" x14ac:dyDescent="0.25">
      <c r="A2551" s="418" t="s">
        <v>7342</v>
      </c>
      <c r="B2551">
        <v>2</v>
      </c>
      <c r="C2551" s="309"/>
      <c r="D2551" s="310"/>
    </row>
    <row r="2552" spans="1:4" x14ac:dyDescent="0.25">
      <c r="A2552" s="418" t="s">
        <v>8874</v>
      </c>
      <c r="B2552">
        <v>4</v>
      </c>
      <c r="C2552" s="309"/>
      <c r="D2552" s="310"/>
    </row>
    <row r="2553" spans="1:4" x14ac:dyDescent="0.25">
      <c r="A2553" s="418" t="s">
        <v>16093</v>
      </c>
      <c r="B2553">
        <v>1</v>
      </c>
      <c r="C2553" s="309"/>
      <c r="D2553" s="310"/>
    </row>
    <row r="2554" spans="1:4" x14ac:dyDescent="0.25">
      <c r="A2554" s="418" t="s">
        <v>12319</v>
      </c>
      <c r="B2554">
        <v>1</v>
      </c>
      <c r="C2554" s="309"/>
      <c r="D2554" s="310"/>
    </row>
    <row r="2555" spans="1:4" x14ac:dyDescent="0.25">
      <c r="A2555" s="418" t="s">
        <v>11338</v>
      </c>
      <c r="B2555">
        <v>3</v>
      </c>
      <c r="C2555" s="309"/>
      <c r="D2555" s="310"/>
    </row>
    <row r="2556" spans="1:4" x14ac:dyDescent="0.25">
      <c r="A2556" s="418" t="s">
        <v>8159</v>
      </c>
      <c r="B2556">
        <v>1</v>
      </c>
      <c r="C2556" s="309"/>
      <c r="D2556" s="310"/>
    </row>
    <row r="2557" spans="1:4" x14ac:dyDescent="0.25">
      <c r="A2557" s="418" t="s">
        <v>11494</v>
      </c>
      <c r="B2557">
        <v>4</v>
      </c>
      <c r="C2557" s="309"/>
      <c r="D2557" s="310"/>
    </row>
    <row r="2558" spans="1:4" x14ac:dyDescent="0.25">
      <c r="A2558" s="418" t="s">
        <v>8788</v>
      </c>
      <c r="B2558">
        <v>6</v>
      </c>
      <c r="C2558" s="309"/>
      <c r="D2558" s="310"/>
    </row>
    <row r="2559" spans="1:4" x14ac:dyDescent="0.25">
      <c r="A2559" s="418" t="s">
        <v>10246</v>
      </c>
      <c r="B2559">
        <v>2</v>
      </c>
      <c r="C2559" s="309"/>
      <c r="D2559" s="310"/>
    </row>
    <row r="2560" spans="1:4" x14ac:dyDescent="0.25">
      <c r="A2560" s="418" t="s">
        <v>7093</v>
      </c>
      <c r="B2560">
        <v>3</v>
      </c>
      <c r="C2560" s="309"/>
      <c r="D2560" s="310"/>
    </row>
    <row r="2561" spans="1:4" x14ac:dyDescent="0.25">
      <c r="A2561" s="418" t="s">
        <v>7374</v>
      </c>
      <c r="B2561">
        <v>1</v>
      </c>
      <c r="C2561" s="309"/>
      <c r="D2561" s="310"/>
    </row>
    <row r="2562" spans="1:4" x14ac:dyDescent="0.25">
      <c r="A2562" s="418" t="s">
        <v>8102</v>
      </c>
      <c r="B2562">
        <v>1</v>
      </c>
      <c r="C2562" s="309"/>
      <c r="D2562" s="310"/>
    </row>
    <row r="2563" spans="1:4" x14ac:dyDescent="0.25">
      <c r="A2563" s="418" t="s">
        <v>9608</v>
      </c>
      <c r="B2563">
        <v>1</v>
      </c>
      <c r="C2563" s="309"/>
      <c r="D2563" s="310"/>
    </row>
    <row r="2564" spans="1:4" x14ac:dyDescent="0.25">
      <c r="A2564" s="418" t="s">
        <v>9267</v>
      </c>
      <c r="B2564">
        <v>2</v>
      </c>
      <c r="C2564" s="309"/>
      <c r="D2564" s="310"/>
    </row>
    <row r="2565" spans="1:4" x14ac:dyDescent="0.25">
      <c r="A2565" s="418" t="s">
        <v>7640</v>
      </c>
      <c r="B2565">
        <v>2</v>
      </c>
      <c r="C2565" s="309"/>
      <c r="D2565" s="310"/>
    </row>
    <row r="2566" spans="1:4" x14ac:dyDescent="0.25">
      <c r="A2566" s="418" t="s">
        <v>10664</v>
      </c>
      <c r="B2566">
        <v>1</v>
      </c>
      <c r="C2566" s="309"/>
      <c r="D2566" s="310"/>
    </row>
    <row r="2567" spans="1:4" x14ac:dyDescent="0.25">
      <c r="A2567" s="418" t="s">
        <v>9196</v>
      </c>
      <c r="B2567">
        <v>7</v>
      </c>
      <c r="C2567" s="309"/>
      <c r="D2567" s="310"/>
    </row>
    <row r="2568" spans="1:4" x14ac:dyDescent="0.25">
      <c r="A2568" s="418" t="s">
        <v>7503</v>
      </c>
      <c r="B2568">
        <v>8</v>
      </c>
      <c r="C2568" s="309"/>
      <c r="D2568" s="310"/>
    </row>
    <row r="2569" spans="1:4" x14ac:dyDescent="0.25">
      <c r="A2569" s="418" t="s">
        <v>11249</v>
      </c>
      <c r="B2569">
        <v>7</v>
      </c>
      <c r="C2569" s="309"/>
      <c r="D2569" s="310"/>
    </row>
    <row r="2570" spans="1:4" x14ac:dyDescent="0.25">
      <c r="A2570" s="418" t="s">
        <v>7641</v>
      </c>
      <c r="B2570">
        <v>3</v>
      </c>
      <c r="C2570" s="309"/>
      <c r="D2570" s="310"/>
    </row>
    <row r="2571" spans="1:4" x14ac:dyDescent="0.25">
      <c r="A2571" s="418" t="s">
        <v>7642</v>
      </c>
      <c r="B2571">
        <v>1</v>
      </c>
      <c r="C2571" s="309"/>
      <c r="D2571" s="310"/>
    </row>
    <row r="2572" spans="1:4" x14ac:dyDescent="0.25">
      <c r="A2572" s="418" t="s">
        <v>7643</v>
      </c>
      <c r="B2572">
        <v>2</v>
      </c>
      <c r="C2572" s="309"/>
      <c r="D2572" s="310"/>
    </row>
    <row r="2573" spans="1:4" x14ac:dyDescent="0.25">
      <c r="A2573" s="418" t="s">
        <v>10302</v>
      </c>
      <c r="B2573">
        <v>4</v>
      </c>
      <c r="C2573" s="309"/>
      <c r="D2573" s="310"/>
    </row>
    <row r="2574" spans="1:4" x14ac:dyDescent="0.25">
      <c r="A2574" s="418" t="s">
        <v>10303</v>
      </c>
      <c r="B2574">
        <v>2</v>
      </c>
      <c r="C2574" s="309"/>
      <c r="D2574" s="310"/>
    </row>
    <row r="2575" spans="1:4" x14ac:dyDescent="0.25">
      <c r="A2575" s="418" t="s">
        <v>12004</v>
      </c>
      <c r="B2575">
        <v>5</v>
      </c>
      <c r="C2575" s="309"/>
      <c r="D2575" s="310"/>
    </row>
    <row r="2576" spans="1:4" x14ac:dyDescent="0.25">
      <c r="A2576" s="418" t="s">
        <v>10304</v>
      </c>
      <c r="B2576">
        <v>1</v>
      </c>
      <c r="C2576" s="309"/>
      <c r="D2576" s="310"/>
    </row>
    <row r="2577" spans="1:4" x14ac:dyDescent="0.25">
      <c r="A2577" s="418" t="s">
        <v>8543</v>
      </c>
      <c r="B2577">
        <v>1</v>
      </c>
      <c r="C2577" s="309"/>
      <c r="D2577" s="310"/>
    </row>
    <row r="2578" spans="1:4" x14ac:dyDescent="0.25">
      <c r="A2578" s="418" t="s">
        <v>9609</v>
      </c>
      <c r="B2578">
        <v>2</v>
      </c>
      <c r="C2578" s="309"/>
      <c r="D2578" s="310"/>
    </row>
    <row r="2579" spans="1:4" x14ac:dyDescent="0.25">
      <c r="A2579" s="418" t="s">
        <v>10665</v>
      </c>
      <c r="B2579">
        <v>1</v>
      </c>
      <c r="C2579" s="309"/>
      <c r="D2579" s="310"/>
    </row>
    <row r="2580" spans="1:4" x14ac:dyDescent="0.25">
      <c r="A2580" s="418" t="s">
        <v>17101</v>
      </c>
      <c r="B2580">
        <v>2</v>
      </c>
      <c r="C2580" s="309"/>
      <c r="D2580" s="310"/>
    </row>
    <row r="2581" spans="1:4" x14ac:dyDescent="0.25">
      <c r="A2581" s="418" t="s">
        <v>17102</v>
      </c>
      <c r="B2581">
        <v>2</v>
      </c>
      <c r="C2581" s="309"/>
      <c r="D2581" s="310"/>
    </row>
    <row r="2582" spans="1:4" x14ac:dyDescent="0.25">
      <c r="A2582" s="418" t="s">
        <v>7127</v>
      </c>
      <c r="B2582">
        <v>5</v>
      </c>
      <c r="C2582" s="309"/>
      <c r="D2582" s="310"/>
    </row>
    <row r="2583" spans="1:4" x14ac:dyDescent="0.25">
      <c r="A2583" s="418" t="s">
        <v>7128</v>
      </c>
      <c r="B2583">
        <v>4</v>
      </c>
      <c r="C2583" s="309"/>
      <c r="D2583" s="310"/>
    </row>
    <row r="2584" spans="1:4" x14ac:dyDescent="0.25">
      <c r="A2584" s="418" t="s">
        <v>9443</v>
      </c>
      <c r="B2584">
        <v>1</v>
      </c>
      <c r="C2584" s="309"/>
      <c r="D2584" s="310"/>
    </row>
    <row r="2585" spans="1:4" x14ac:dyDescent="0.25">
      <c r="A2585" s="418" t="s">
        <v>7129</v>
      </c>
      <c r="B2585">
        <v>3</v>
      </c>
      <c r="C2585" s="309"/>
      <c r="D2585" s="310"/>
    </row>
    <row r="2586" spans="1:4" x14ac:dyDescent="0.25">
      <c r="A2586" s="418" t="s">
        <v>8544</v>
      </c>
      <c r="B2586">
        <v>4</v>
      </c>
      <c r="C2586" s="309"/>
      <c r="D2586" s="310"/>
    </row>
    <row r="2587" spans="1:4" x14ac:dyDescent="0.25">
      <c r="A2587" s="418" t="s">
        <v>8149</v>
      </c>
      <c r="B2587">
        <v>4</v>
      </c>
      <c r="C2587" s="309"/>
      <c r="D2587" s="310"/>
    </row>
    <row r="2588" spans="1:4" x14ac:dyDescent="0.25">
      <c r="A2588" s="418" t="s">
        <v>8150</v>
      </c>
      <c r="B2588">
        <v>3</v>
      </c>
      <c r="C2588" s="309"/>
      <c r="D2588" s="310"/>
    </row>
    <row r="2589" spans="1:4" x14ac:dyDescent="0.25">
      <c r="A2589" s="418" t="s">
        <v>8151</v>
      </c>
      <c r="B2589">
        <v>1</v>
      </c>
      <c r="C2589" s="309"/>
      <c r="D2589" s="310"/>
    </row>
    <row r="2590" spans="1:4" x14ac:dyDescent="0.25">
      <c r="A2590" s="418" t="s">
        <v>11204</v>
      </c>
      <c r="B2590">
        <v>1</v>
      </c>
      <c r="C2590" s="309"/>
      <c r="D2590" s="310"/>
    </row>
    <row r="2591" spans="1:4" x14ac:dyDescent="0.25">
      <c r="A2591" s="418" t="s">
        <v>8301</v>
      </c>
      <c r="B2591">
        <v>5</v>
      </c>
      <c r="C2591" s="309"/>
      <c r="D2591" s="310"/>
    </row>
    <row r="2592" spans="1:4" x14ac:dyDescent="0.25">
      <c r="A2592" s="418" t="s">
        <v>7644</v>
      </c>
      <c r="B2592">
        <v>4</v>
      </c>
      <c r="C2592" s="309"/>
      <c r="D2592" s="310"/>
    </row>
    <row r="2593" spans="1:4" x14ac:dyDescent="0.25">
      <c r="A2593" s="418" t="s">
        <v>16422</v>
      </c>
      <c r="B2593">
        <v>1</v>
      </c>
      <c r="C2593" s="309"/>
      <c r="D2593" s="310"/>
    </row>
    <row r="2594" spans="1:4" x14ac:dyDescent="0.25">
      <c r="A2594" s="418" t="s">
        <v>16423</v>
      </c>
      <c r="B2594">
        <v>1</v>
      </c>
      <c r="C2594" s="309"/>
      <c r="D2594" s="310"/>
    </row>
    <row r="2595" spans="1:4" x14ac:dyDescent="0.25">
      <c r="A2595" s="418" t="s">
        <v>8302</v>
      </c>
      <c r="B2595">
        <v>13</v>
      </c>
      <c r="C2595" s="309"/>
      <c r="D2595" s="310"/>
    </row>
    <row r="2596" spans="1:4" x14ac:dyDescent="0.25">
      <c r="A2596" s="418" t="s">
        <v>8572</v>
      </c>
      <c r="B2596">
        <v>10</v>
      </c>
      <c r="C2596" s="309"/>
      <c r="D2596" s="310"/>
    </row>
    <row r="2597" spans="1:4" x14ac:dyDescent="0.25">
      <c r="A2597" s="418" t="s">
        <v>11406</v>
      </c>
      <c r="B2597">
        <v>3</v>
      </c>
      <c r="C2597" s="309"/>
      <c r="D2597" s="310"/>
    </row>
    <row r="2598" spans="1:4" x14ac:dyDescent="0.25">
      <c r="A2598" s="418" t="s">
        <v>10305</v>
      </c>
      <c r="B2598">
        <v>4</v>
      </c>
      <c r="C2598" s="309"/>
      <c r="D2598" s="310"/>
    </row>
    <row r="2599" spans="1:4" x14ac:dyDescent="0.25">
      <c r="A2599" s="418" t="s">
        <v>8545</v>
      </c>
      <c r="B2599">
        <v>1</v>
      </c>
      <c r="C2599" s="309"/>
      <c r="D2599" s="310"/>
    </row>
    <row r="2600" spans="1:4" x14ac:dyDescent="0.25">
      <c r="A2600" s="418" t="s">
        <v>8546</v>
      </c>
      <c r="B2600">
        <v>2</v>
      </c>
      <c r="C2600" s="309"/>
      <c r="D2600" s="310"/>
    </row>
    <row r="2601" spans="1:4" x14ac:dyDescent="0.25">
      <c r="A2601" s="418" t="s">
        <v>8547</v>
      </c>
      <c r="B2601">
        <v>2</v>
      </c>
      <c r="C2601" s="309"/>
      <c r="D2601" s="310"/>
    </row>
    <row r="2602" spans="1:4" x14ac:dyDescent="0.25">
      <c r="A2602" s="418" t="s">
        <v>7997</v>
      </c>
      <c r="B2602">
        <v>4</v>
      </c>
      <c r="C2602" s="309"/>
      <c r="D2602" s="310"/>
    </row>
    <row r="2603" spans="1:4" x14ac:dyDescent="0.25">
      <c r="A2603" s="418" t="s">
        <v>7998</v>
      </c>
      <c r="B2603">
        <v>3</v>
      </c>
      <c r="C2603" s="309"/>
      <c r="D2603" s="310"/>
    </row>
    <row r="2604" spans="1:4" x14ac:dyDescent="0.25">
      <c r="A2604" s="418" t="s">
        <v>9056</v>
      </c>
      <c r="B2604">
        <v>2</v>
      </c>
      <c r="C2604" s="309"/>
      <c r="D2604" s="310"/>
    </row>
    <row r="2605" spans="1:4" x14ac:dyDescent="0.25">
      <c r="A2605" s="418" t="s">
        <v>8429</v>
      </c>
      <c r="B2605">
        <v>2</v>
      </c>
      <c r="C2605" s="309"/>
      <c r="D2605" s="310"/>
    </row>
    <row r="2606" spans="1:4" x14ac:dyDescent="0.25">
      <c r="A2606" s="418" t="s">
        <v>8430</v>
      </c>
      <c r="B2606">
        <v>2</v>
      </c>
      <c r="C2606" s="309"/>
      <c r="D2606" s="310"/>
    </row>
    <row r="2607" spans="1:4" x14ac:dyDescent="0.25">
      <c r="A2607" s="418" t="s">
        <v>12277</v>
      </c>
      <c r="B2607">
        <v>1</v>
      </c>
      <c r="C2607" s="309"/>
      <c r="D2607" s="310"/>
    </row>
    <row r="2608" spans="1:4" x14ac:dyDescent="0.25">
      <c r="A2608" s="418" t="s">
        <v>12278</v>
      </c>
      <c r="B2608">
        <v>1</v>
      </c>
      <c r="C2608" s="309"/>
      <c r="D2608" s="310"/>
    </row>
    <row r="2609" spans="1:4" x14ac:dyDescent="0.25">
      <c r="A2609" s="418" t="s">
        <v>8475</v>
      </c>
      <c r="B2609">
        <v>1</v>
      </c>
      <c r="C2609" s="309"/>
      <c r="D2609" s="310"/>
    </row>
    <row r="2610" spans="1:4" x14ac:dyDescent="0.25">
      <c r="A2610" s="418" t="s">
        <v>8476</v>
      </c>
      <c r="B2610">
        <v>1</v>
      </c>
      <c r="C2610" s="309"/>
      <c r="D2610" s="310"/>
    </row>
    <row r="2611" spans="1:4" x14ac:dyDescent="0.25">
      <c r="A2611" s="418" t="s">
        <v>7645</v>
      </c>
      <c r="B2611">
        <v>9</v>
      </c>
      <c r="C2611" s="309"/>
      <c r="D2611" s="310"/>
    </row>
    <row r="2612" spans="1:4" x14ac:dyDescent="0.25">
      <c r="A2612" s="418" t="s">
        <v>7646</v>
      </c>
      <c r="B2612">
        <v>10</v>
      </c>
      <c r="C2612" s="309"/>
      <c r="D2612" s="310"/>
    </row>
    <row r="2613" spans="1:4" x14ac:dyDescent="0.25">
      <c r="A2613" s="418" t="s">
        <v>8573</v>
      </c>
      <c r="B2613">
        <v>3</v>
      </c>
      <c r="C2613" s="309"/>
      <c r="D2613" s="310"/>
    </row>
    <row r="2614" spans="1:4" x14ac:dyDescent="0.25">
      <c r="A2614" s="418" t="s">
        <v>8574</v>
      </c>
      <c r="B2614">
        <v>3</v>
      </c>
      <c r="C2614" s="309"/>
      <c r="D2614" s="310"/>
    </row>
    <row r="2615" spans="1:4" x14ac:dyDescent="0.25">
      <c r="A2615" s="418" t="s">
        <v>11847</v>
      </c>
      <c r="B2615">
        <v>4</v>
      </c>
      <c r="C2615" s="309"/>
      <c r="D2615" s="310"/>
    </row>
    <row r="2616" spans="1:4" x14ac:dyDescent="0.25">
      <c r="A2616" s="418" t="s">
        <v>11802</v>
      </c>
      <c r="B2616">
        <v>5</v>
      </c>
      <c r="C2616" s="309"/>
      <c r="D2616" s="310"/>
    </row>
    <row r="2617" spans="1:4" x14ac:dyDescent="0.25">
      <c r="A2617" s="418" t="s">
        <v>11803</v>
      </c>
      <c r="B2617">
        <v>3</v>
      </c>
      <c r="C2617" s="309"/>
      <c r="D2617" s="310"/>
    </row>
    <row r="2618" spans="1:4" x14ac:dyDescent="0.25">
      <c r="A2618" s="418" t="s">
        <v>16018</v>
      </c>
      <c r="B2618">
        <v>1</v>
      </c>
      <c r="C2618" s="309"/>
      <c r="D2618" s="310"/>
    </row>
    <row r="2619" spans="1:4" x14ac:dyDescent="0.25">
      <c r="A2619" s="418" t="s">
        <v>8303</v>
      </c>
      <c r="B2619">
        <v>1</v>
      </c>
      <c r="C2619" s="309"/>
      <c r="D2619" s="310"/>
    </row>
    <row r="2620" spans="1:4" x14ac:dyDescent="0.25">
      <c r="A2620" s="418" t="s">
        <v>8304</v>
      </c>
      <c r="B2620">
        <v>1</v>
      </c>
      <c r="C2620" s="309"/>
      <c r="D2620" s="310"/>
    </row>
    <row r="2621" spans="1:4" x14ac:dyDescent="0.25">
      <c r="A2621" s="418" t="s">
        <v>9610</v>
      </c>
      <c r="B2621">
        <v>1</v>
      </c>
      <c r="C2621" s="309"/>
      <c r="D2621" s="310"/>
    </row>
    <row r="2622" spans="1:4" x14ac:dyDescent="0.25">
      <c r="A2622" s="418" t="s">
        <v>9611</v>
      </c>
      <c r="B2622">
        <v>1</v>
      </c>
      <c r="C2622" s="309"/>
      <c r="D2622" s="310"/>
    </row>
    <row r="2623" spans="1:4" x14ac:dyDescent="0.25">
      <c r="A2623" s="418" t="s">
        <v>8631</v>
      </c>
      <c r="B2623">
        <v>3</v>
      </c>
      <c r="C2623" s="309"/>
      <c r="D2623" s="310"/>
    </row>
    <row r="2624" spans="1:4" x14ac:dyDescent="0.25">
      <c r="A2624" s="418" t="s">
        <v>8632</v>
      </c>
      <c r="B2624">
        <v>2</v>
      </c>
      <c r="C2624" s="309"/>
      <c r="D2624" s="310"/>
    </row>
    <row r="2625" spans="1:4" x14ac:dyDescent="0.25">
      <c r="A2625" s="418" t="s">
        <v>16840</v>
      </c>
      <c r="B2625">
        <v>2</v>
      </c>
      <c r="C2625" s="309"/>
      <c r="D2625" s="310"/>
    </row>
    <row r="2626" spans="1:4" x14ac:dyDescent="0.25">
      <c r="A2626" s="418" t="s">
        <v>12428</v>
      </c>
      <c r="B2626">
        <v>3</v>
      </c>
      <c r="C2626" s="309"/>
      <c r="D2626" s="310"/>
    </row>
    <row r="2627" spans="1:4" x14ac:dyDescent="0.25">
      <c r="A2627" s="418" t="s">
        <v>4271</v>
      </c>
      <c r="B2627">
        <v>5</v>
      </c>
      <c r="C2627" s="309"/>
      <c r="D2627" s="310"/>
    </row>
    <row r="2628" spans="1:4" x14ac:dyDescent="0.25">
      <c r="A2628" s="418" t="s">
        <v>4272</v>
      </c>
      <c r="B2628">
        <v>7</v>
      </c>
      <c r="C2628" s="309"/>
      <c r="D2628" s="310"/>
    </row>
    <row r="2629" spans="1:4" x14ac:dyDescent="0.25">
      <c r="A2629" s="418" t="s">
        <v>4170</v>
      </c>
      <c r="B2629">
        <v>4</v>
      </c>
      <c r="C2629" s="309"/>
      <c r="D2629" s="310"/>
    </row>
    <row r="2630" spans="1:4" x14ac:dyDescent="0.25">
      <c r="A2630" s="418" t="s">
        <v>4273</v>
      </c>
      <c r="B2630">
        <v>2</v>
      </c>
      <c r="C2630" s="309"/>
      <c r="D2630" s="310"/>
    </row>
    <row r="2631" spans="1:4" x14ac:dyDescent="0.25">
      <c r="A2631" s="418" t="s">
        <v>8305</v>
      </c>
      <c r="B2631">
        <v>3</v>
      </c>
      <c r="C2631" s="309"/>
      <c r="D2631" s="310"/>
    </row>
    <row r="2632" spans="1:4" x14ac:dyDescent="0.25">
      <c r="A2632" s="418" t="s">
        <v>8575</v>
      </c>
      <c r="B2632">
        <v>1</v>
      </c>
      <c r="C2632" s="309"/>
      <c r="D2632" s="310"/>
    </row>
    <row r="2633" spans="1:4" x14ac:dyDescent="0.25">
      <c r="A2633" s="418" t="s">
        <v>8306</v>
      </c>
      <c r="B2633">
        <v>2</v>
      </c>
      <c r="C2633" s="309"/>
      <c r="D2633" s="310"/>
    </row>
    <row r="2634" spans="1:4" x14ac:dyDescent="0.25">
      <c r="A2634" s="418" t="s">
        <v>10306</v>
      </c>
      <c r="B2634">
        <v>1</v>
      </c>
      <c r="C2634" s="309"/>
      <c r="D2634" s="310"/>
    </row>
    <row r="2635" spans="1:4" x14ac:dyDescent="0.25">
      <c r="A2635" s="418" t="s">
        <v>8307</v>
      </c>
      <c r="B2635">
        <v>3</v>
      </c>
      <c r="C2635" s="309"/>
      <c r="D2635" s="310"/>
    </row>
    <row r="2636" spans="1:4" x14ac:dyDescent="0.25">
      <c r="A2636" s="418" t="s">
        <v>8086</v>
      </c>
      <c r="B2636">
        <v>3</v>
      </c>
      <c r="C2636" s="309"/>
      <c r="D2636" s="310"/>
    </row>
    <row r="2637" spans="1:4" x14ac:dyDescent="0.25">
      <c r="A2637" s="418" t="s">
        <v>9428</v>
      </c>
      <c r="B2637">
        <v>2</v>
      </c>
      <c r="C2637" s="309"/>
      <c r="D2637" s="310"/>
    </row>
    <row r="2638" spans="1:4" x14ac:dyDescent="0.25">
      <c r="A2638" s="418" t="s">
        <v>8087</v>
      </c>
      <c r="B2638">
        <v>3</v>
      </c>
      <c r="C2638" s="309"/>
      <c r="D2638" s="310"/>
    </row>
    <row r="2639" spans="1:4" x14ac:dyDescent="0.25">
      <c r="A2639" s="418" t="s">
        <v>8160</v>
      </c>
      <c r="B2639">
        <v>1</v>
      </c>
      <c r="C2639" s="309"/>
      <c r="D2639" s="310"/>
    </row>
    <row r="2640" spans="1:4" x14ac:dyDescent="0.25">
      <c r="A2640" s="418" t="s">
        <v>7647</v>
      </c>
      <c r="B2640">
        <v>4</v>
      </c>
      <c r="C2640" s="309"/>
      <c r="D2640" s="310"/>
    </row>
    <row r="2641" spans="1:4" x14ac:dyDescent="0.25">
      <c r="A2641" s="418" t="s">
        <v>7999</v>
      </c>
      <c r="B2641">
        <v>4</v>
      </c>
      <c r="C2641" s="309"/>
      <c r="D2641" s="310"/>
    </row>
    <row r="2642" spans="1:4" x14ac:dyDescent="0.25">
      <c r="A2642" s="418" t="s">
        <v>9543</v>
      </c>
      <c r="B2642">
        <v>4</v>
      </c>
      <c r="C2642" s="309"/>
      <c r="D2642" s="310"/>
    </row>
    <row r="2643" spans="1:4" x14ac:dyDescent="0.25">
      <c r="A2643" s="418" t="s">
        <v>9544</v>
      </c>
      <c r="B2643">
        <v>4</v>
      </c>
      <c r="C2643" s="309"/>
      <c r="D2643" s="310"/>
    </row>
    <row r="2644" spans="1:4" x14ac:dyDescent="0.25">
      <c r="A2644" s="418" t="s">
        <v>4869</v>
      </c>
      <c r="B2644">
        <v>3</v>
      </c>
      <c r="C2644" s="309"/>
      <c r="D2644" s="310"/>
    </row>
    <row r="2645" spans="1:4" x14ac:dyDescent="0.25">
      <c r="A2645" s="418" t="s">
        <v>4870</v>
      </c>
      <c r="B2645">
        <v>2</v>
      </c>
      <c r="C2645" s="309"/>
      <c r="D2645" s="310"/>
    </row>
    <row r="2646" spans="1:4" x14ac:dyDescent="0.25">
      <c r="A2646" s="418" t="s">
        <v>4871</v>
      </c>
      <c r="B2646">
        <v>2</v>
      </c>
      <c r="C2646" s="309"/>
      <c r="D2646" s="310"/>
    </row>
    <row r="2647" spans="1:4" x14ac:dyDescent="0.25">
      <c r="A2647" s="418" t="s">
        <v>4872</v>
      </c>
      <c r="B2647">
        <v>3</v>
      </c>
      <c r="C2647" s="309"/>
      <c r="D2647" s="310"/>
    </row>
    <row r="2648" spans="1:4" x14ac:dyDescent="0.25">
      <c r="A2648" s="418" t="s">
        <v>8000</v>
      </c>
      <c r="B2648">
        <v>1</v>
      </c>
      <c r="C2648" s="309"/>
      <c r="D2648" s="310"/>
    </row>
    <row r="2649" spans="1:4" x14ac:dyDescent="0.25">
      <c r="A2649" s="418" t="s">
        <v>8576</v>
      </c>
      <c r="B2649">
        <v>3</v>
      </c>
      <c r="C2649" s="309"/>
      <c r="D2649" s="310"/>
    </row>
    <row r="2650" spans="1:4" x14ac:dyDescent="0.25">
      <c r="A2650" s="418" t="s">
        <v>7648</v>
      </c>
      <c r="B2650">
        <v>4</v>
      </c>
      <c r="C2650" s="309"/>
      <c r="D2650" s="310"/>
    </row>
    <row r="2651" spans="1:4" x14ac:dyDescent="0.25">
      <c r="A2651" s="418" t="s">
        <v>8577</v>
      </c>
      <c r="B2651">
        <v>1</v>
      </c>
      <c r="C2651" s="309"/>
      <c r="D2651" s="310"/>
    </row>
    <row r="2652" spans="1:4" x14ac:dyDescent="0.25">
      <c r="A2652" s="418" t="s">
        <v>10307</v>
      </c>
      <c r="B2652">
        <v>1</v>
      </c>
      <c r="C2652" s="309"/>
      <c r="D2652" s="310"/>
    </row>
    <row r="2653" spans="1:4" x14ac:dyDescent="0.25">
      <c r="A2653" s="418" t="s">
        <v>7312</v>
      </c>
      <c r="B2653">
        <v>4</v>
      </c>
      <c r="C2653" s="309"/>
      <c r="D2653" s="310"/>
    </row>
    <row r="2654" spans="1:4" x14ac:dyDescent="0.25">
      <c r="A2654" s="418" t="s">
        <v>8578</v>
      </c>
      <c r="B2654">
        <v>3</v>
      </c>
      <c r="C2654" s="309"/>
      <c r="D2654" s="310"/>
    </row>
    <row r="2655" spans="1:4" x14ac:dyDescent="0.25">
      <c r="A2655" s="418" t="s">
        <v>12408</v>
      </c>
      <c r="B2655">
        <v>1</v>
      </c>
      <c r="C2655" s="309"/>
      <c r="D2655" s="310"/>
    </row>
    <row r="2656" spans="1:4" x14ac:dyDescent="0.25">
      <c r="A2656" s="418" t="s">
        <v>12409</v>
      </c>
      <c r="B2656">
        <v>1</v>
      </c>
      <c r="C2656" s="309"/>
      <c r="D2656" s="310"/>
    </row>
    <row r="2657" spans="1:4" x14ac:dyDescent="0.25">
      <c r="A2657" s="418" t="s">
        <v>16094</v>
      </c>
      <c r="B2657">
        <v>1</v>
      </c>
      <c r="C2657" s="309"/>
      <c r="D2657" s="310"/>
    </row>
    <row r="2658" spans="1:4" x14ac:dyDescent="0.25">
      <c r="A2658" s="418" t="s">
        <v>8477</v>
      </c>
      <c r="B2658">
        <v>3</v>
      </c>
      <c r="C2658" s="309"/>
      <c r="D2658" s="310"/>
    </row>
    <row r="2659" spans="1:4" x14ac:dyDescent="0.25">
      <c r="A2659" s="418" t="s">
        <v>8308</v>
      </c>
      <c r="B2659">
        <v>3</v>
      </c>
      <c r="C2659" s="309"/>
      <c r="D2659" s="310"/>
    </row>
    <row r="2660" spans="1:4" x14ac:dyDescent="0.25">
      <c r="A2660" s="418" t="s">
        <v>9845</v>
      </c>
      <c r="B2660">
        <v>1</v>
      </c>
      <c r="C2660" s="309"/>
      <c r="D2660" s="310"/>
    </row>
    <row r="2661" spans="1:4" x14ac:dyDescent="0.25">
      <c r="A2661" s="418" t="s">
        <v>7649</v>
      </c>
      <c r="B2661">
        <v>2</v>
      </c>
      <c r="C2661" s="309"/>
      <c r="D2661" s="310"/>
    </row>
    <row r="2662" spans="1:4" x14ac:dyDescent="0.25">
      <c r="A2662" s="418" t="s">
        <v>7650</v>
      </c>
      <c r="B2662">
        <v>5</v>
      </c>
      <c r="C2662" s="309"/>
      <c r="D2662" s="310"/>
    </row>
    <row r="2663" spans="1:4" x14ac:dyDescent="0.25">
      <c r="A2663" s="418" t="s">
        <v>7651</v>
      </c>
      <c r="B2663">
        <v>1</v>
      </c>
      <c r="C2663" s="309"/>
      <c r="D2663" s="310"/>
    </row>
    <row r="2664" spans="1:4" x14ac:dyDescent="0.25">
      <c r="A2664" s="418" t="s">
        <v>8088</v>
      </c>
      <c r="B2664">
        <v>2</v>
      </c>
      <c r="C2664" s="309"/>
      <c r="D2664" s="310"/>
    </row>
    <row r="2665" spans="1:4" x14ac:dyDescent="0.25">
      <c r="A2665" s="418" t="s">
        <v>16424</v>
      </c>
      <c r="B2665">
        <v>3</v>
      </c>
      <c r="C2665" s="309"/>
      <c r="D2665" s="310"/>
    </row>
    <row r="2666" spans="1:4" x14ac:dyDescent="0.25">
      <c r="A2666" s="418" t="s">
        <v>16425</v>
      </c>
      <c r="B2666">
        <v>2</v>
      </c>
      <c r="C2666" s="309"/>
      <c r="D2666" s="310"/>
    </row>
    <row r="2667" spans="1:4" x14ac:dyDescent="0.25">
      <c r="A2667" s="418" t="s">
        <v>8152</v>
      </c>
      <c r="B2667">
        <v>3</v>
      </c>
      <c r="C2667" s="309"/>
      <c r="D2667" s="310"/>
    </row>
    <row r="2668" spans="1:4" x14ac:dyDescent="0.25">
      <c r="A2668" s="418" t="s">
        <v>16300</v>
      </c>
      <c r="B2668">
        <v>1</v>
      </c>
      <c r="C2668" s="309"/>
      <c r="D2668" s="310"/>
    </row>
    <row r="2669" spans="1:4" x14ac:dyDescent="0.25">
      <c r="A2669" s="418" t="s">
        <v>9268</v>
      </c>
      <c r="B2669">
        <v>5</v>
      </c>
      <c r="C2669" s="309"/>
      <c r="D2669" s="310"/>
    </row>
    <row r="2670" spans="1:4" x14ac:dyDescent="0.25">
      <c r="A2670" s="418" t="s">
        <v>9269</v>
      </c>
      <c r="B2670">
        <v>6</v>
      </c>
      <c r="C2670" s="309"/>
      <c r="D2670" s="310"/>
    </row>
    <row r="2671" spans="1:4" x14ac:dyDescent="0.25">
      <c r="A2671" s="418" t="s">
        <v>9270</v>
      </c>
      <c r="B2671">
        <v>2</v>
      </c>
      <c r="C2671" s="309"/>
      <c r="D2671" s="310"/>
    </row>
    <row r="2672" spans="1:4" x14ac:dyDescent="0.25">
      <c r="A2672" s="418" t="s">
        <v>17103</v>
      </c>
      <c r="B2672">
        <v>1</v>
      </c>
      <c r="C2672" s="309"/>
      <c r="D2672" s="310"/>
    </row>
    <row r="2673" spans="1:4" x14ac:dyDescent="0.25">
      <c r="A2673" s="418" t="s">
        <v>9612</v>
      </c>
      <c r="B2673">
        <v>6</v>
      </c>
      <c r="C2673" s="309"/>
      <c r="D2673" s="310"/>
    </row>
    <row r="2674" spans="1:4" x14ac:dyDescent="0.25">
      <c r="A2674" s="418" t="s">
        <v>9613</v>
      </c>
      <c r="B2674">
        <v>6</v>
      </c>
      <c r="C2674" s="309"/>
      <c r="D2674" s="310"/>
    </row>
    <row r="2675" spans="1:4" x14ac:dyDescent="0.25">
      <c r="A2675" s="418" t="s">
        <v>9614</v>
      </c>
      <c r="B2675">
        <v>3</v>
      </c>
      <c r="C2675" s="309"/>
      <c r="D2675" s="310"/>
    </row>
    <row r="2676" spans="1:4" x14ac:dyDescent="0.25">
      <c r="A2676" s="418" t="s">
        <v>10501</v>
      </c>
      <c r="B2676">
        <v>2</v>
      </c>
      <c r="C2676" s="309"/>
      <c r="D2676" s="310"/>
    </row>
    <row r="2677" spans="1:4" x14ac:dyDescent="0.25">
      <c r="A2677" s="418" t="s">
        <v>9704</v>
      </c>
      <c r="B2677">
        <v>2</v>
      </c>
      <c r="C2677" s="309"/>
      <c r="D2677" s="310"/>
    </row>
    <row r="2678" spans="1:4" x14ac:dyDescent="0.25">
      <c r="A2678" s="418" t="s">
        <v>9705</v>
      </c>
      <c r="B2678">
        <v>1</v>
      </c>
      <c r="C2678" s="309"/>
      <c r="D2678" s="310"/>
    </row>
    <row r="2679" spans="1:4" x14ac:dyDescent="0.25">
      <c r="A2679" s="418" t="s">
        <v>8548</v>
      </c>
      <c r="B2679">
        <v>4</v>
      </c>
      <c r="C2679" s="309"/>
      <c r="D2679" s="310"/>
    </row>
    <row r="2680" spans="1:4" x14ac:dyDescent="0.25">
      <c r="A2680" s="418" t="s">
        <v>8549</v>
      </c>
      <c r="B2680">
        <v>5</v>
      </c>
      <c r="C2680" s="309"/>
      <c r="D2680" s="310"/>
    </row>
    <row r="2681" spans="1:4" x14ac:dyDescent="0.25">
      <c r="A2681" s="418" t="s">
        <v>8550</v>
      </c>
      <c r="B2681">
        <v>3</v>
      </c>
      <c r="C2681" s="309"/>
      <c r="D2681" s="310"/>
    </row>
    <row r="2682" spans="1:4" x14ac:dyDescent="0.25">
      <c r="A2682" s="418" t="s">
        <v>9917</v>
      </c>
      <c r="B2682">
        <v>2</v>
      </c>
      <c r="C2682" s="309"/>
      <c r="D2682" s="310"/>
    </row>
    <row r="2683" spans="1:4" x14ac:dyDescent="0.25">
      <c r="A2683" s="418" t="s">
        <v>9007</v>
      </c>
      <c r="B2683">
        <v>6</v>
      </c>
      <c r="C2683" s="309"/>
      <c r="D2683" s="310"/>
    </row>
    <row r="2684" spans="1:4" x14ac:dyDescent="0.25">
      <c r="A2684" s="418" t="s">
        <v>9008</v>
      </c>
      <c r="B2684">
        <v>8</v>
      </c>
      <c r="C2684" s="309"/>
      <c r="D2684" s="310"/>
    </row>
    <row r="2685" spans="1:4" x14ac:dyDescent="0.25">
      <c r="A2685" s="418" t="s">
        <v>9009</v>
      </c>
      <c r="B2685">
        <v>5</v>
      </c>
      <c r="C2685" s="309"/>
      <c r="D2685" s="310"/>
    </row>
    <row r="2686" spans="1:4" x14ac:dyDescent="0.25">
      <c r="A2686" s="418" t="s">
        <v>8972</v>
      </c>
      <c r="B2686">
        <v>3</v>
      </c>
      <c r="C2686" s="309"/>
      <c r="D2686" s="310"/>
    </row>
    <row r="2687" spans="1:4" x14ac:dyDescent="0.25">
      <c r="A2687" s="418" t="s">
        <v>7504</v>
      </c>
      <c r="B2687">
        <v>1</v>
      </c>
      <c r="C2687" s="309"/>
      <c r="D2687" s="310"/>
    </row>
    <row r="2688" spans="1:4" x14ac:dyDescent="0.25">
      <c r="A2688" s="418" t="s">
        <v>8750</v>
      </c>
      <c r="B2688">
        <v>1</v>
      </c>
      <c r="C2688" s="309"/>
      <c r="D2688" s="310"/>
    </row>
    <row r="2689" spans="1:4" x14ac:dyDescent="0.25">
      <c r="A2689" s="418" t="s">
        <v>9918</v>
      </c>
      <c r="B2689">
        <v>4</v>
      </c>
      <c r="C2689" s="309"/>
      <c r="D2689" s="310"/>
    </row>
    <row r="2690" spans="1:4" x14ac:dyDescent="0.25">
      <c r="A2690" s="418" t="s">
        <v>9919</v>
      </c>
      <c r="B2690">
        <v>9</v>
      </c>
      <c r="C2690" s="309"/>
      <c r="D2690" s="310"/>
    </row>
    <row r="2691" spans="1:4" x14ac:dyDescent="0.25">
      <c r="A2691" s="418" t="s">
        <v>12429</v>
      </c>
      <c r="B2691">
        <v>3</v>
      </c>
      <c r="C2691" s="309"/>
      <c r="D2691" s="310"/>
    </row>
    <row r="2692" spans="1:4" x14ac:dyDescent="0.25">
      <c r="A2692" s="418" t="s">
        <v>10666</v>
      </c>
      <c r="B2692">
        <v>9</v>
      </c>
      <c r="C2692" s="309"/>
      <c r="D2692" s="310"/>
    </row>
    <row r="2693" spans="1:4" x14ac:dyDescent="0.25">
      <c r="A2693" s="418" t="s">
        <v>8551</v>
      </c>
      <c r="B2693">
        <v>9</v>
      </c>
      <c r="C2693" s="309"/>
      <c r="D2693" s="310"/>
    </row>
    <row r="2694" spans="1:4" x14ac:dyDescent="0.25">
      <c r="A2694" s="418" t="s">
        <v>8552</v>
      </c>
      <c r="B2694">
        <v>10</v>
      </c>
      <c r="C2694" s="309"/>
      <c r="D2694" s="310"/>
    </row>
    <row r="2695" spans="1:4" x14ac:dyDescent="0.25">
      <c r="A2695" s="418" t="s">
        <v>10502</v>
      </c>
      <c r="B2695">
        <v>5</v>
      </c>
      <c r="C2695" s="309"/>
      <c r="D2695" s="310"/>
    </row>
    <row r="2696" spans="1:4" x14ac:dyDescent="0.25">
      <c r="A2696" s="418" t="s">
        <v>11054</v>
      </c>
      <c r="B2696">
        <v>4</v>
      </c>
      <c r="C2696" s="309"/>
      <c r="D2696" s="310"/>
    </row>
    <row r="2697" spans="1:4" x14ac:dyDescent="0.25">
      <c r="A2697" s="418" t="s">
        <v>10458</v>
      </c>
      <c r="B2697">
        <v>3</v>
      </c>
      <c r="C2697" s="309"/>
      <c r="D2697" s="310"/>
    </row>
    <row r="2698" spans="1:4" x14ac:dyDescent="0.25">
      <c r="A2698" s="418" t="s">
        <v>15500</v>
      </c>
      <c r="B2698">
        <v>1</v>
      </c>
      <c r="C2698" s="309"/>
      <c r="D2698" s="310"/>
    </row>
    <row r="2699" spans="1:4" x14ac:dyDescent="0.25">
      <c r="A2699" s="418" t="s">
        <v>10459</v>
      </c>
      <c r="B2699">
        <v>1</v>
      </c>
      <c r="C2699" s="309"/>
      <c r="D2699" s="310"/>
    </row>
    <row r="2700" spans="1:4" x14ac:dyDescent="0.25">
      <c r="A2700" s="418" t="s">
        <v>8777</v>
      </c>
      <c r="B2700">
        <v>4</v>
      </c>
      <c r="C2700" s="309"/>
      <c r="D2700" s="310"/>
    </row>
    <row r="2701" spans="1:4" x14ac:dyDescent="0.25">
      <c r="A2701" s="418" t="s">
        <v>8778</v>
      </c>
      <c r="B2701">
        <v>3</v>
      </c>
      <c r="C2701" s="309"/>
      <c r="D2701" s="310"/>
    </row>
    <row r="2702" spans="1:4" x14ac:dyDescent="0.25">
      <c r="A2702" s="418" t="s">
        <v>11650</v>
      </c>
      <c r="B2702">
        <v>1</v>
      </c>
      <c r="C2702" s="309"/>
      <c r="D2702" s="310"/>
    </row>
    <row r="2703" spans="1:4" x14ac:dyDescent="0.25">
      <c r="A2703" s="418" t="s">
        <v>12279</v>
      </c>
      <c r="B2703">
        <v>1</v>
      </c>
      <c r="C2703" s="309"/>
      <c r="D2703" s="310"/>
    </row>
    <row r="2704" spans="1:4" x14ac:dyDescent="0.25">
      <c r="A2704" s="418" t="s">
        <v>10503</v>
      </c>
      <c r="B2704">
        <v>2</v>
      </c>
      <c r="C2704" s="309"/>
      <c r="D2704" s="310"/>
    </row>
    <row r="2705" spans="1:4" x14ac:dyDescent="0.25">
      <c r="A2705" s="418" t="s">
        <v>7505</v>
      </c>
      <c r="B2705">
        <v>4</v>
      </c>
      <c r="C2705" s="309"/>
      <c r="D2705" s="310"/>
    </row>
    <row r="2706" spans="1:4" x14ac:dyDescent="0.25">
      <c r="A2706" s="418" t="s">
        <v>9057</v>
      </c>
      <c r="B2706">
        <v>1</v>
      </c>
      <c r="C2706" s="309"/>
      <c r="D2706" s="310"/>
    </row>
    <row r="2707" spans="1:4" x14ac:dyDescent="0.25">
      <c r="A2707" s="418" t="s">
        <v>7506</v>
      </c>
      <c r="B2707">
        <v>2</v>
      </c>
      <c r="C2707" s="309"/>
      <c r="D2707" s="310"/>
    </row>
    <row r="2708" spans="1:4" x14ac:dyDescent="0.25">
      <c r="A2708" s="418" t="s">
        <v>11679</v>
      </c>
      <c r="B2708">
        <v>3</v>
      </c>
      <c r="C2708" s="309"/>
      <c r="D2708" s="310"/>
    </row>
    <row r="2709" spans="1:4" x14ac:dyDescent="0.25">
      <c r="A2709" s="418" t="s">
        <v>7507</v>
      </c>
      <c r="B2709">
        <v>4</v>
      </c>
      <c r="C2709" s="309"/>
      <c r="D2709" s="310"/>
    </row>
    <row r="2710" spans="1:4" x14ac:dyDescent="0.25">
      <c r="A2710" s="418" t="s">
        <v>11744</v>
      </c>
      <c r="B2710">
        <v>3</v>
      </c>
      <c r="C2710" s="309"/>
      <c r="D2710" s="310"/>
    </row>
    <row r="2711" spans="1:4" x14ac:dyDescent="0.25">
      <c r="A2711" s="418" t="s">
        <v>7508</v>
      </c>
      <c r="B2711">
        <v>3</v>
      </c>
      <c r="C2711" s="309"/>
      <c r="D2711" s="310"/>
    </row>
    <row r="2712" spans="1:4" x14ac:dyDescent="0.25">
      <c r="A2712" s="418" t="s">
        <v>8810</v>
      </c>
      <c r="B2712">
        <v>3</v>
      </c>
      <c r="C2712" s="309"/>
      <c r="D2712" s="310"/>
    </row>
    <row r="2713" spans="1:4" x14ac:dyDescent="0.25">
      <c r="A2713" s="418" t="s">
        <v>7509</v>
      </c>
      <c r="B2713">
        <v>1</v>
      </c>
      <c r="C2713" s="309"/>
      <c r="D2713" s="310"/>
    </row>
    <row r="2714" spans="1:4" x14ac:dyDescent="0.25">
      <c r="A2714" s="418" t="s">
        <v>7510</v>
      </c>
      <c r="B2714">
        <v>1</v>
      </c>
      <c r="C2714" s="309"/>
      <c r="D2714" s="310"/>
    </row>
    <row r="2715" spans="1:4" x14ac:dyDescent="0.25">
      <c r="A2715" s="418" t="s">
        <v>7511</v>
      </c>
      <c r="B2715">
        <v>1</v>
      </c>
      <c r="C2715" s="309"/>
      <c r="D2715" s="310"/>
    </row>
    <row r="2716" spans="1:4" x14ac:dyDescent="0.25">
      <c r="A2716" s="418" t="s">
        <v>7512</v>
      </c>
      <c r="B2716">
        <v>1</v>
      </c>
      <c r="C2716" s="309"/>
      <c r="D2716" s="310"/>
    </row>
    <row r="2717" spans="1:4" x14ac:dyDescent="0.25">
      <c r="A2717" s="418" t="s">
        <v>10667</v>
      </c>
      <c r="B2717">
        <v>10</v>
      </c>
      <c r="C2717" s="309"/>
      <c r="D2717" s="310"/>
    </row>
    <row r="2718" spans="1:4" x14ac:dyDescent="0.25">
      <c r="A2718" s="418" t="s">
        <v>10668</v>
      </c>
      <c r="B2718">
        <v>11</v>
      </c>
      <c r="C2718" s="309"/>
      <c r="D2718" s="310"/>
    </row>
    <row r="2719" spans="1:4" x14ac:dyDescent="0.25">
      <c r="A2719" s="418" t="s">
        <v>10669</v>
      </c>
      <c r="B2719">
        <v>10</v>
      </c>
      <c r="C2719" s="309"/>
      <c r="D2719" s="310"/>
    </row>
    <row r="2720" spans="1:4" x14ac:dyDescent="0.25">
      <c r="A2720" s="418" t="s">
        <v>10670</v>
      </c>
      <c r="B2720">
        <v>8</v>
      </c>
      <c r="C2720" s="309"/>
      <c r="D2720" s="310"/>
    </row>
    <row r="2721" spans="1:4" x14ac:dyDescent="0.25">
      <c r="A2721" s="418" t="s">
        <v>7513</v>
      </c>
      <c r="B2721">
        <v>4</v>
      </c>
      <c r="C2721" s="309"/>
      <c r="D2721" s="310"/>
    </row>
    <row r="2722" spans="1:4" x14ac:dyDescent="0.25">
      <c r="A2722" s="418" t="s">
        <v>8309</v>
      </c>
      <c r="B2722">
        <v>4</v>
      </c>
      <c r="C2722" s="309"/>
      <c r="D2722" s="310"/>
    </row>
    <row r="2723" spans="1:4" x14ac:dyDescent="0.25">
      <c r="A2723" s="418" t="s">
        <v>9058</v>
      </c>
      <c r="B2723">
        <v>2</v>
      </c>
      <c r="C2723" s="309"/>
      <c r="D2723" s="310"/>
    </row>
    <row r="2724" spans="1:4" x14ac:dyDescent="0.25">
      <c r="A2724" s="418" t="s">
        <v>7514</v>
      </c>
      <c r="B2724">
        <v>3</v>
      </c>
      <c r="C2724" s="309"/>
      <c r="D2724" s="310"/>
    </row>
    <row r="2725" spans="1:4" x14ac:dyDescent="0.25">
      <c r="A2725" s="418" t="s">
        <v>7515</v>
      </c>
      <c r="B2725">
        <v>3</v>
      </c>
      <c r="C2725" s="309"/>
      <c r="D2725" s="310"/>
    </row>
    <row r="2726" spans="1:4" x14ac:dyDescent="0.25">
      <c r="A2726" s="418" t="s">
        <v>8478</v>
      </c>
      <c r="B2726">
        <v>2</v>
      </c>
      <c r="C2726" s="309"/>
      <c r="D2726" s="310"/>
    </row>
    <row r="2727" spans="1:4" x14ac:dyDescent="0.25">
      <c r="A2727" s="418" t="s">
        <v>8579</v>
      </c>
      <c r="B2727">
        <v>3</v>
      </c>
      <c r="C2727" s="309"/>
      <c r="D2727" s="310"/>
    </row>
    <row r="2728" spans="1:4" x14ac:dyDescent="0.25">
      <c r="A2728" s="418" t="s">
        <v>10671</v>
      </c>
      <c r="B2728">
        <v>2</v>
      </c>
      <c r="C2728" s="309"/>
      <c r="D2728" s="310"/>
    </row>
    <row r="2729" spans="1:4" x14ac:dyDescent="0.25">
      <c r="A2729" s="418" t="s">
        <v>7516</v>
      </c>
      <c r="B2729">
        <v>8</v>
      </c>
      <c r="C2729" s="309"/>
      <c r="D2729" s="310"/>
    </row>
    <row r="2730" spans="1:4" x14ac:dyDescent="0.25">
      <c r="A2730" s="418" t="s">
        <v>7517</v>
      </c>
      <c r="B2730">
        <v>8</v>
      </c>
      <c r="C2730" s="309"/>
      <c r="D2730" s="310"/>
    </row>
    <row r="2731" spans="1:4" x14ac:dyDescent="0.25">
      <c r="A2731" s="418" t="s">
        <v>8479</v>
      </c>
      <c r="B2731">
        <v>5</v>
      </c>
      <c r="C2731" s="309"/>
      <c r="D2731" s="310"/>
    </row>
    <row r="2732" spans="1:4" x14ac:dyDescent="0.25">
      <c r="A2732" s="418" t="s">
        <v>8580</v>
      </c>
      <c r="B2732">
        <v>4</v>
      </c>
      <c r="C2732" s="309"/>
      <c r="D2732" s="310"/>
    </row>
    <row r="2733" spans="1:4" x14ac:dyDescent="0.25">
      <c r="A2733" s="418" t="s">
        <v>7518</v>
      </c>
      <c r="B2733">
        <v>2</v>
      </c>
      <c r="C2733" s="309"/>
      <c r="D2733" s="310"/>
    </row>
    <row r="2734" spans="1:4" x14ac:dyDescent="0.25">
      <c r="A2734" s="418" t="s">
        <v>7519</v>
      </c>
      <c r="B2734">
        <v>2</v>
      </c>
      <c r="C2734" s="309"/>
      <c r="D2734" s="310"/>
    </row>
    <row r="2735" spans="1:4" x14ac:dyDescent="0.25">
      <c r="A2735" s="418" t="s">
        <v>7520</v>
      </c>
      <c r="B2735">
        <v>1</v>
      </c>
      <c r="C2735" s="309"/>
      <c r="D2735" s="310"/>
    </row>
    <row r="2736" spans="1:4" x14ac:dyDescent="0.25">
      <c r="A2736" s="418" t="s">
        <v>9920</v>
      </c>
      <c r="B2736">
        <v>4</v>
      </c>
      <c r="C2736" s="309"/>
      <c r="D2736" s="310"/>
    </row>
    <row r="2737" spans="1:4" x14ac:dyDescent="0.25">
      <c r="A2737" s="418" t="s">
        <v>9921</v>
      </c>
      <c r="B2737">
        <v>5</v>
      </c>
      <c r="C2737" s="309"/>
      <c r="D2737" s="310"/>
    </row>
    <row r="2738" spans="1:4" x14ac:dyDescent="0.25">
      <c r="A2738" s="418" t="s">
        <v>9922</v>
      </c>
      <c r="B2738">
        <v>1</v>
      </c>
      <c r="C2738" s="309"/>
      <c r="D2738" s="310"/>
    </row>
    <row r="2739" spans="1:4" x14ac:dyDescent="0.25">
      <c r="A2739" s="418" t="s">
        <v>12430</v>
      </c>
      <c r="B2739">
        <v>1</v>
      </c>
      <c r="C2739" s="309"/>
      <c r="D2739" s="310"/>
    </row>
    <row r="2740" spans="1:4" x14ac:dyDescent="0.25">
      <c r="A2740" s="418" t="s">
        <v>7521</v>
      </c>
      <c r="B2740">
        <v>1</v>
      </c>
      <c r="C2740" s="309"/>
      <c r="D2740" s="310"/>
    </row>
    <row r="2741" spans="1:4" x14ac:dyDescent="0.25">
      <c r="A2741" s="418" t="s">
        <v>7522</v>
      </c>
      <c r="B2741">
        <v>1</v>
      </c>
      <c r="C2741" s="309"/>
      <c r="D2741" s="310"/>
    </row>
    <row r="2742" spans="1:4" x14ac:dyDescent="0.25">
      <c r="A2742" s="418" t="s">
        <v>7523</v>
      </c>
      <c r="B2742">
        <v>1</v>
      </c>
      <c r="C2742" s="309"/>
      <c r="D2742" s="310"/>
    </row>
    <row r="2743" spans="1:4" x14ac:dyDescent="0.25">
      <c r="A2743" s="418" t="s">
        <v>8789</v>
      </c>
      <c r="B2743">
        <v>8</v>
      </c>
      <c r="C2743" s="309"/>
      <c r="D2743" s="310"/>
    </row>
    <row r="2744" spans="1:4" x14ac:dyDescent="0.25">
      <c r="A2744" s="418" t="s">
        <v>8790</v>
      </c>
      <c r="B2744">
        <v>9</v>
      </c>
      <c r="C2744" s="309"/>
      <c r="D2744" s="310"/>
    </row>
    <row r="2745" spans="1:4" x14ac:dyDescent="0.25">
      <c r="A2745" s="418" t="s">
        <v>10281</v>
      </c>
      <c r="B2745">
        <v>5</v>
      </c>
      <c r="C2745" s="309"/>
      <c r="D2745" s="310"/>
    </row>
    <row r="2746" spans="1:4" x14ac:dyDescent="0.25">
      <c r="A2746" s="418" t="s">
        <v>10418</v>
      </c>
      <c r="B2746">
        <v>4</v>
      </c>
      <c r="C2746" s="309"/>
      <c r="D2746" s="310"/>
    </row>
    <row r="2747" spans="1:4" x14ac:dyDescent="0.25">
      <c r="A2747" s="418" t="s">
        <v>10821</v>
      </c>
      <c r="B2747">
        <v>4</v>
      </c>
      <c r="C2747" s="309"/>
      <c r="D2747" s="310"/>
    </row>
    <row r="2748" spans="1:4" x14ac:dyDescent="0.25">
      <c r="A2748" s="418" t="s">
        <v>10822</v>
      </c>
      <c r="B2748">
        <v>4</v>
      </c>
      <c r="C2748" s="309"/>
      <c r="D2748" s="310"/>
    </row>
    <row r="2749" spans="1:4" x14ac:dyDescent="0.25">
      <c r="A2749" s="418" t="s">
        <v>10823</v>
      </c>
      <c r="B2749">
        <v>4</v>
      </c>
      <c r="C2749" s="309"/>
      <c r="D2749" s="310"/>
    </row>
    <row r="2750" spans="1:4" x14ac:dyDescent="0.25">
      <c r="A2750" s="418" t="s">
        <v>11495</v>
      </c>
      <c r="B2750">
        <v>3</v>
      </c>
      <c r="C2750" s="309"/>
      <c r="D2750" s="310"/>
    </row>
    <row r="2751" spans="1:4" x14ac:dyDescent="0.25">
      <c r="A2751" s="418" t="s">
        <v>10504</v>
      </c>
      <c r="B2751">
        <v>2</v>
      </c>
      <c r="C2751" s="309"/>
      <c r="D2751" s="310"/>
    </row>
    <row r="2752" spans="1:4" x14ac:dyDescent="0.25">
      <c r="A2752" s="418" t="s">
        <v>10505</v>
      </c>
      <c r="B2752">
        <v>2</v>
      </c>
      <c r="C2752" s="309"/>
      <c r="D2752" s="310"/>
    </row>
    <row r="2753" spans="1:4" x14ac:dyDescent="0.25">
      <c r="A2753" s="418" t="s">
        <v>8875</v>
      </c>
      <c r="B2753">
        <v>4</v>
      </c>
      <c r="C2753" s="309"/>
      <c r="D2753" s="310"/>
    </row>
    <row r="2754" spans="1:4" x14ac:dyDescent="0.25">
      <c r="A2754" s="418" t="s">
        <v>8876</v>
      </c>
      <c r="B2754">
        <v>6</v>
      </c>
      <c r="C2754" s="309"/>
      <c r="D2754" s="310"/>
    </row>
    <row r="2755" spans="1:4" x14ac:dyDescent="0.25">
      <c r="A2755" s="418" t="s">
        <v>9545</v>
      </c>
      <c r="B2755">
        <v>3</v>
      </c>
      <c r="C2755" s="309"/>
      <c r="D2755" s="310"/>
    </row>
    <row r="2756" spans="1:4" x14ac:dyDescent="0.25">
      <c r="A2756" s="418" t="s">
        <v>8877</v>
      </c>
      <c r="B2756">
        <v>3</v>
      </c>
      <c r="C2756" s="309"/>
      <c r="D2756" s="310"/>
    </row>
    <row r="2757" spans="1:4" x14ac:dyDescent="0.25">
      <c r="A2757" s="418" t="s">
        <v>9271</v>
      </c>
      <c r="B2757">
        <v>2</v>
      </c>
      <c r="C2757" s="309"/>
      <c r="D2757" s="310"/>
    </row>
    <row r="2758" spans="1:4" x14ac:dyDescent="0.25">
      <c r="A2758" s="418" t="s">
        <v>9272</v>
      </c>
      <c r="B2758">
        <v>1</v>
      </c>
      <c r="C2758" s="309"/>
      <c r="D2758" s="310"/>
    </row>
    <row r="2759" spans="1:4" x14ac:dyDescent="0.25">
      <c r="A2759" s="418" t="s">
        <v>9273</v>
      </c>
      <c r="B2759">
        <v>6</v>
      </c>
      <c r="C2759" s="309"/>
      <c r="D2759" s="310"/>
    </row>
    <row r="2760" spans="1:4" x14ac:dyDescent="0.25">
      <c r="A2760" s="418" t="s">
        <v>12431</v>
      </c>
      <c r="B2760">
        <v>4</v>
      </c>
      <c r="C2760" s="309"/>
      <c r="D2760" s="310"/>
    </row>
    <row r="2761" spans="1:4" x14ac:dyDescent="0.25">
      <c r="A2761" s="418" t="s">
        <v>12432</v>
      </c>
      <c r="B2761">
        <v>3</v>
      </c>
      <c r="C2761" s="309"/>
      <c r="D2761" s="310"/>
    </row>
    <row r="2762" spans="1:4" x14ac:dyDescent="0.25">
      <c r="A2762" s="418" t="s">
        <v>9059</v>
      </c>
      <c r="B2762">
        <v>3</v>
      </c>
      <c r="C2762" s="309"/>
      <c r="D2762" s="310"/>
    </row>
    <row r="2763" spans="1:4" x14ac:dyDescent="0.25">
      <c r="A2763" s="418" t="s">
        <v>9060</v>
      </c>
      <c r="B2763">
        <v>3</v>
      </c>
      <c r="C2763" s="309"/>
      <c r="D2763" s="310"/>
    </row>
    <row r="2764" spans="1:4" x14ac:dyDescent="0.25">
      <c r="A2764" s="418" t="s">
        <v>9061</v>
      </c>
      <c r="B2764">
        <v>3</v>
      </c>
      <c r="C2764" s="309"/>
      <c r="D2764" s="310"/>
    </row>
    <row r="2765" spans="1:4" x14ac:dyDescent="0.25">
      <c r="A2765" s="418" t="s">
        <v>11250</v>
      </c>
      <c r="B2765">
        <v>4</v>
      </c>
      <c r="C2765" s="309"/>
      <c r="D2765" s="310"/>
    </row>
    <row r="2766" spans="1:4" x14ac:dyDescent="0.25">
      <c r="A2766" s="418" t="s">
        <v>11251</v>
      </c>
      <c r="B2766">
        <v>2</v>
      </c>
      <c r="C2766" s="309"/>
      <c r="D2766" s="310"/>
    </row>
    <row r="2767" spans="1:4" x14ac:dyDescent="0.25">
      <c r="A2767" s="418" t="s">
        <v>11252</v>
      </c>
      <c r="B2767">
        <v>1</v>
      </c>
      <c r="C2767" s="309"/>
      <c r="D2767" s="310"/>
    </row>
    <row r="2768" spans="1:4" x14ac:dyDescent="0.25">
      <c r="A2768" s="418" t="s">
        <v>8751</v>
      </c>
      <c r="B2768">
        <v>3</v>
      </c>
      <c r="C2768" s="309"/>
      <c r="D2768" s="310"/>
    </row>
    <row r="2769" spans="1:4" x14ac:dyDescent="0.25">
      <c r="A2769" s="418" t="s">
        <v>9184</v>
      </c>
      <c r="B2769">
        <v>3</v>
      </c>
      <c r="C2769" s="309"/>
      <c r="D2769" s="310"/>
    </row>
    <row r="2770" spans="1:4" x14ac:dyDescent="0.25">
      <c r="A2770" s="418" t="s">
        <v>9010</v>
      </c>
      <c r="B2770">
        <v>3</v>
      </c>
      <c r="C2770" s="309"/>
      <c r="D2770" s="310"/>
    </row>
    <row r="2771" spans="1:4" x14ac:dyDescent="0.25">
      <c r="A2771" s="418" t="s">
        <v>12005</v>
      </c>
      <c r="B2771">
        <v>1</v>
      </c>
      <c r="C2771" s="309"/>
      <c r="D2771" s="310"/>
    </row>
    <row r="2772" spans="1:4" x14ac:dyDescent="0.25">
      <c r="A2772" s="418" t="s">
        <v>8981</v>
      </c>
      <c r="B2772">
        <v>8</v>
      </c>
      <c r="C2772" s="309"/>
      <c r="D2772" s="310"/>
    </row>
    <row r="2773" spans="1:4" x14ac:dyDescent="0.25">
      <c r="A2773" s="418" t="s">
        <v>8982</v>
      </c>
      <c r="B2773">
        <v>7</v>
      </c>
      <c r="C2773" s="309"/>
      <c r="D2773" s="310"/>
    </row>
    <row r="2774" spans="1:4" x14ac:dyDescent="0.25">
      <c r="A2774" s="418" t="s">
        <v>10204</v>
      </c>
      <c r="B2774">
        <v>7</v>
      </c>
      <c r="C2774" s="309"/>
      <c r="D2774" s="310"/>
    </row>
    <row r="2775" spans="1:4" x14ac:dyDescent="0.25">
      <c r="A2775" s="418" t="s">
        <v>9011</v>
      </c>
      <c r="B2775">
        <v>4</v>
      </c>
      <c r="C2775" s="309"/>
      <c r="D2775" s="310"/>
    </row>
    <row r="2776" spans="1:4" x14ac:dyDescent="0.25">
      <c r="A2776" s="418" t="s">
        <v>10419</v>
      </c>
      <c r="B2776">
        <v>1</v>
      </c>
      <c r="C2776" s="309"/>
      <c r="D2776" s="310"/>
    </row>
    <row r="2777" spans="1:4" x14ac:dyDescent="0.25">
      <c r="A2777" s="418" t="s">
        <v>8581</v>
      </c>
      <c r="B2777">
        <v>3</v>
      </c>
      <c r="C2777" s="309"/>
      <c r="D2777" s="310"/>
    </row>
    <row r="2778" spans="1:4" x14ac:dyDescent="0.25">
      <c r="A2778" s="418" t="s">
        <v>8582</v>
      </c>
      <c r="B2778">
        <v>3</v>
      </c>
      <c r="C2778" s="309"/>
      <c r="D2778" s="310"/>
    </row>
    <row r="2779" spans="1:4" x14ac:dyDescent="0.25">
      <c r="A2779" s="418" t="s">
        <v>8583</v>
      </c>
      <c r="B2779">
        <v>1</v>
      </c>
      <c r="C2779" s="309"/>
      <c r="D2779" s="310"/>
    </row>
    <row r="2780" spans="1:4" x14ac:dyDescent="0.25">
      <c r="A2780" s="418" t="s">
        <v>10460</v>
      </c>
      <c r="B2780">
        <v>1</v>
      </c>
      <c r="C2780" s="309"/>
      <c r="D2780" s="310"/>
    </row>
    <row r="2781" spans="1:4" x14ac:dyDescent="0.25">
      <c r="A2781" s="418" t="s">
        <v>10461</v>
      </c>
      <c r="B2781">
        <v>2</v>
      </c>
      <c r="C2781" s="309"/>
      <c r="D2781" s="310"/>
    </row>
    <row r="2782" spans="1:4" x14ac:dyDescent="0.25">
      <c r="A2782" s="418" t="s">
        <v>12433</v>
      </c>
      <c r="B2782">
        <v>1</v>
      </c>
      <c r="C2782" s="309"/>
      <c r="D2782" s="310"/>
    </row>
    <row r="2783" spans="1:4" x14ac:dyDescent="0.25">
      <c r="A2783" s="418" t="s">
        <v>11423</v>
      </c>
      <c r="B2783">
        <v>2</v>
      </c>
      <c r="C2783" s="309"/>
      <c r="D2783" s="310"/>
    </row>
    <row r="2784" spans="1:4" x14ac:dyDescent="0.25">
      <c r="A2784" s="418" t="s">
        <v>8410</v>
      </c>
      <c r="B2784">
        <v>6</v>
      </c>
      <c r="C2784" s="309"/>
      <c r="D2784" s="310"/>
    </row>
    <row r="2785" spans="1:4" x14ac:dyDescent="0.25">
      <c r="A2785" s="418" t="s">
        <v>11205</v>
      </c>
      <c r="B2785">
        <v>4</v>
      </c>
      <c r="C2785" s="309"/>
      <c r="D2785" s="310"/>
    </row>
    <row r="2786" spans="1:4" x14ac:dyDescent="0.25">
      <c r="A2786" s="418" t="s">
        <v>10420</v>
      </c>
      <c r="B2786">
        <v>2</v>
      </c>
      <c r="C2786" s="309"/>
      <c r="D2786" s="310"/>
    </row>
    <row r="2787" spans="1:4" x14ac:dyDescent="0.25">
      <c r="A2787" s="418" t="s">
        <v>10421</v>
      </c>
      <c r="B2787">
        <v>4</v>
      </c>
      <c r="C2787" s="309"/>
      <c r="D2787" s="310"/>
    </row>
    <row r="2788" spans="1:4" x14ac:dyDescent="0.25">
      <c r="A2788" s="418" t="s">
        <v>11106</v>
      </c>
      <c r="B2788">
        <v>2</v>
      </c>
      <c r="C2788" s="309"/>
      <c r="D2788" s="310"/>
    </row>
    <row r="2789" spans="1:4" x14ac:dyDescent="0.25">
      <c r="A2789" s="418" t="s">
        <v>11107</v>
      </c>
      <c r="B2789">
        <v>1</v>
      </c>
      <c r="C2789" s="309"/>
      <c r="D2789" s="310"/>
    </row>
    <row r="2790" spans="1:4" x14ac:dyDescent="0.25">
      <c r="A2790" s="418" t="s">
        <v>11253</v>
      </c>
      <c r="B2790">
        <v>2</v>
      </c>
      <c r="C2790" s="309"/>
      <c r="D2790" s="310"/>
    </row>
    <row r="2791" spans="1:4" x14ac:dyDescent="0.25">
      <c r="A2791" s="418" t="s">
        <v>10462</v>
      </c>
      <c r="B2791">
        <v>3</v>
      </c>
      <c r="C2791" s="309"/>
      <c r="D2791" s="310"/>
    </row>
    <row r="2792" spans="1:4" x14ac:dyDescent="0.25">
      <c r="A2792" s="418" t="s">
        <v>7786</v>
      </c>
      <c r="B2792">
        <v>3</v>
      </c>
      <c r="C2792" s="309"/>
      <c r="D2792" s="310"/>
    </row>
    <row r="2793" spans="1:4" x14ac:dyDescent="0.25">
      <c r="A2793" s="418" t="s">
        <v>15501</v>
      </c>
      <c r="B2793">
        <v>1</v>
      </c>
      <c r="C2793" s="309"/>
      <c r="D2793" s="310"/>
    </row>
    <row r="2794" spans="1:4" x14ac:dyDescent="0.25">
      <c r="A2794" s="418" t="s">
        <v>8431</v>
      </c>
      <c r="B2794">
        <v>3</v>
      </c>
      <c r="C2794" s="309"/>
      <c r="D2794" s="310"/>
    </row>
    <row r="2795" spans="1:4" x14ac:dyDescent="0.25">
      <c r="A2795" s="418" t="s">
        <v>8584</v>
      </c>
      <c r="B2795">
        <v>3</v>
      </c>
      <c r="C2795" s="309"/>
      <c r="D2795" s="310"/>
    </row>
    <row r="2796" spans="1:4" x14ac:dyDescent="0.25">
      <c r="A2796" s="418" t="s">
        <v>8811</v>
      </c>
      <c r="B2796">
        <v>2</v>
      </c>
      <c r="C2796" s="309"/>
      <c r="D2796" s="310"/>
    </row>
    <row r="2797" spans="1:4" x14ac:dyDescent="0.25">
      <c r="A2797" s="418" t="s">
        <v>10506</v>
      </c>
      <c r="B2797">
        <v>3</v>
      </c>
      <c r="C2797" s="309"/>
      <c r="D2797" s="310"/>
    </row>
    <row r="2798" spans="1:4" x14ac:dyDescent="0.25">
      <c r="A2798" s="418" t="s">
        <v>8310</v>
      </c>
      <c r="B2798">
        <v>4</v>
      </c>
      <c r="C2798" s="309"/>
      <c r="D2798" s="310"/>
    </row>
    <row r="2799" spans="1:4" x14ac:dyDescent="0.25">
      <c r="A2799" s="418" t="s">
        <v>10507</v>
      </c>
      <c r="B2799">
        <v>9</v>
      </c>
      <c r="C2799" s="309"/>
      <c r="D2799" s="310"/>
    </row>
    <row r="2800" spans="1:4" x14ac:dyDescent="0.25">
      <c r="A2800" s="418" t="s">
        <v>15953</v>
      </c>
      <c r="B2800">
        <v>1</v>
      </c>
      <c r="C2800" s="309"/>
      <c r="D2800" s="310"/>
    </row>
    <row r="2801" spans="1:4" x14ac:dyDescent="0.25">
      <c r="A2801" s="418" t="s">
        <v>10508</v>
      </c>
      <c r="B2801">
        <v>3</v>
      </c>
      <c r="C2801" s="309"/>
      <c r="D2801" s="310"/>
    </row>
    <row r="2802" spans="1:4" x14ac:dyDescent="0.25">
      <c r="A2802" s="418" t="s">
        <v>8001</v>
      </c>
      <c r="B2802">
        <v>3</v>
      </c>
      <c r="C2802" s="309"/>
      <c r="D2802" s="310"/>
    </row>
    <row r="2803" spans="1:4" x14ac:dyDescent="0.25">
      <c r="A2803" s="418" t="s">
        <v>8002</v>
      </c>
      <c r="B2803">
        <v>3</v>
      </c>
      <c r="C2803" s="309"/>
      <c r="D2803" s="310"/>
    </row>
    <row r="2804" spans="1:4" x14ac:dyDescent="0.25">
      <c r="A2804" s="418" t="s">
        <v>8003</v>
      </c>
      <c r="B2804">
        <v>3</v>
      </c>
      <c r="C2804" s="309"/>
      <c r="D2804" s="310"/>
    </row>
    <row r="2805" spans="1:4" x14ac:dyDescent="0.25">
      <c r="A2805" s="418" t="s">
        <v>10509</v>
      </c>
      <c r="B2805">
        <v>6</v>
      </c>
      <c r="C2805" s="309"/>
      <c r="D2805" s="310"/>
    </row>
    <row r="2806" spans="1:4" x14ac:dyDescent="0.25">
      <c r="A2806" s="418" t="s">
        <v>10510</v>
      </c>
      <c r="B2806">
        <v>3</v>
      </c>
      <c r="C2806" s="309"/>
      <c r="D2806" s="310"/>
    </row>
    <row r="2807" spans="1:4" x14ac:dyDescent="0.25">
      <c r="A2807" s="418" t="s">
        <v>11055</v>
      </c>
      <c r="B2807">
        <v>4</v>
      </c>
      <c r="C2807" s="309"/>
      <c r="D2807" s="310"/>
    </row>
    <row r="2808" spans="1:4" x14ac:dyDescent="0.25">
      <c r="A2808" s="418" t="s">
        <v>8411</v>
      </c>
      <c r="B2808">
        <v>3</v>
      </c>
      <c r="C2808" s="309"/>
      <c r="D2808" s="310"/>
    </row>
    <row r="2809" spans="1:4" x14ac:dyDescent="0.25">
      <c r="A2809" s="418" t="s">
        <v>9992</v>
      </c>
      <c r="B2809">
        <v>2</v>
      </c>
      <c r="C2809" s="309"/>
      <c r="D2809" s="310"/>
    </row>
    <row r="2810" spans="1:4" x14ac:dyDescent="0.25">
      <c r="A2810" s="418" t="s">
        <v>8412</v>
      </c>
      <c r="B2810">
        <v>1</v>
      </c>
      <c r="C2810" s="309"/>
      <c r="D2810" s="310"/>
    </row>
    <row r="2811" spans="1:4" x14ac:dyDescent="0.25">
      <c r="A2811" s="418" t="s">
        <v>9546</v>
      </c>
      <c r="B2811">
        <v>3</v>
      </c>
      <c r="C2811" s="309"/>
      <c r="D2811" s="310"/>
    </row>
    <row r="2812" spans="1:4" x14ac:dyDescent="0.25">
      <c r="A2812" s="418" t="s">
        <v>9547</v>
      </c>
      <c r="B2812">
        <v>3</v>
      </c>
      <c r="C2812" s="309"/>
      <c r="D2812" s="310"/>
    </row>
    <row r="2813" spans="1:4" x14ac:dyDescent="0.25">
      <c r="A2813" s="418" t="s">
        <v>12320</v>
      </c>
      <c r="B2813">
        <v>1</v>
      </c>
      <c r="C2813" s="309"/>
      <c r="D2813" s="310"/>
    </row>
    <row r="2814" spans="1:4" x14ac:dyDescent="0.25">
      <c r="A2814" s="418" t="s">
        <v>11339</v>
      </c>
      <c r="B2814">
        <v>3</v>
      </c>
      <c r="C2814" s="309"/>
      <c r="D2814" s="310"/>
    </row>
    <row r="2815" spans="1:4" x14ac:dyDescent="0.25">
      <c r="A2815" s="418" t="s">
        <v>4582</v>
      </c>
      <c r="B2815">
        <v>1</v>
      </c>
      <c r="C2815" s="309"/>
      <c r="D2815" s="310"/>
    </row>
    <row r="2816" spans="1:4" x14ac:dyDescent="0.25">
      <c r="A2816" s="418" t="s">
        <v>11340</v>
      </c>
      <c r="B2816">
        <v>3</v>
      </c>
      <c r="C2816" s="309"/>
      <c r="D2816" s="310"/>
    </row>
    <row r="2817" spans="1:4" x14ac:dyDescent="0.25">
      <c r="A2817" s="418" t="s">
        <v>11424</v>
      </c>
      <c r="B2817">
        <v>3</v>
      </c>
      <c r="C2817" s="309"/>
      <c r="D2817" s="310"/>
    </row>
    <row r="2818" spans="1:4" x14ac:dyDescent="0.25">
      <c r="A2818" s="418" t="s">
        <v>16095</v>
      </c>
      <c r="B2818">
        <v>2</v>
      </c>
      <c r="C2818" s="309"/>
      <c r="D2818" s="310"/>
    </row>
    <row r="2819" spans="1:4" x14ac:dyDescent="0.25">
      <c r="A2819" s="418" t="s">
        <v>8372</v>
      </c>
      <c r="B2819">
        <v>6</v>
      </c>
      <c r="C2819" s="309"/>
      <c r="D2819" s="310"/>
    </row>
    <row r="2820" spans="1:4" x14ac:dyDescent="0.25">
      <c r="A2820" s="418" t="s">
        <v>9062</v>
      </c>
      <c r="B2820">
        <v>6</v>
      </c>
      <c r="C2820" s="309"/>
      <c r="D2820" s="310"/>
    </row>
    <row r="2821" spans="1:4" x14ac:dyDescent="0.25">
      <c r="A2821" s="418" t="s">
        <v>10991</v>
      </c>
      <c r="B2821">
        <v>3</v>
      </c>
      <c r="C2821" s="309"/>
      <c r="D2821" s="310"/>
    </row>
    <row r="2822" spans="1:4" x14ac:dyDescent="0.25">
      <c r="A2822" s="418" t="s">
        <v>10992</v>
      </c>
      <c r="B2822">
        <v>5</v>
      </c>
      <c r="C2822" s="309"/>
      <c r="D2822" s="310"/>
    </row>
    <row r="2823" spans="1:4" x14ac:dyDescent="0.25">
      <c r="A2823" s="418" t="s">
        <v>12006</v>
      </c>
      <c r="B2823">
        <v>2</v>
      </c>
      <c r="C2823" s="309"/>
      <c r="D2823" s="310"/>
    </row>
    <row r="2824" spans="1:4" x14ac:dyDescent="0.25">
      <c r="A2824" s="418" t="s">
        <v>3932</v>
      </c>
      <c r="B2824">
        <v>3</v>
      </c>
      <c r="C2824" s="309"/>
      <c r="D2824" s="310"/>
    </row>
    <row r="2825" spans="1:4" x14ac:dyDescent="0.25">
      <c r="A2825" s="418" t="s">
        <v>4274</v>
      </c>
      <c r="B2825">
        <v>4</v>
      </c>
      <c r="C2825" s="309"/>
      <c r="D2825" s="310"/>
    </row>
    <row r="2826" spans="1:4" x14ac:dyDescent="0.25">
      <c r="A2826" s="418" t="s">
        <v>4275</v>
      </c>
      <c r="B2826">
        <v>2</v>
      </c>
      <c r="C2826" s="309"/>
      <c r="D2826" s="310"/>
    </row>
    <row r="2827" spans="1:4" x14ac:dyDescent="0.25">
      <c r="A2827" s="418" t="s">
        <v>10824</v>
      </c>
      <c r="B2827">
        <v>3</v>
      </c>
      <c r="C2827" s="309"/>
      <c r="D2827" s="310"/>
    </row>
    <row r="2828" spans="1:4" x14ac:dyDescent="0.25">
      <c r="A2828" s="418" t="s">
        <v>10825</v>
      </c>
      <c r="B2828">
        <v>3</v>
      </c>
      <c r="C2828" s="309"/>
      <c r="D2828" s="310"/>
    </row>
    <row r="2829" spans="1:4" x14ac:dyDescent="0.25">
      <c r="A2829" s="418" t="s">
        <v>10826</v>
      </c>
      <c r="B2829">
        <v>1</v>
      </c>
      <c r="C2829" s="309"/>
      <c r="D2829" s="310"/>
    </row>
    <row r="2830" spans="1:4" x14ac:dyDescent="0.25">
      <c r="A2830" s="418" t="s">
        <v>9063</v>
      </c>
      <c r="B2830">
        <v>22</v>
      </c>
      <c r="C2830" s="309"/>
      <c r="D2830" s="310"/>
    </row>
    <row r="2831" spans="1:4" x14ac:dyDescent="0.25">
      <c r="A2831" s="418" t="s">
        <v>9064</v>
      </c>
      <c r="B2831">
        <v>19</v>
      </c>
      <c r="C2831" s="309"/>
      <c r="D2831" s="310"/>
    </row>
    <row r="2832" spans="1:4" x14ac:dyDescent="0.25">
      <c r="A2832" s="418" t="s">
        <v>9065</v>
      </c>
      <c r="B2832">
        <v>19</v>
      </c>
      <c r="C2832" s="309"/>
      <c r="D2832" s="310"/>
    </row>
    <row r="2833" spans="1:4" x14ac:dyDescent="0.25">
      <c r="A2833" s="418" t="s">
        <v>9548</v>
      </c>
      <c r="B2833">
        <v>5</v>
      </c>
      <c r="C2833" s="309"/>
      <c r="D2833" s="310"/>
    </row>
    <row r="2834" spans="1:4" x14ac:dyDescent="0.25">
      <c r="A2834" s="418" t="s">
        <v>8779</v>
      </c>
      <c r="B2834">
        <v>3</v>
      </c>
      <c r="C2834" s="309"/>
      <c r="D2834" s="310"/>
    </row>
    <row r="2835" spans="1:4" x14ac:dyDescent="0.25">
      <c r="A2835" s="418" t="s">
        <v>8878</v>
      </c>
      <c r="B2835">
        <v>2</v>
      </c>
      <c r="C2835" s="309"/>
      <c r="D2835" s="310"/>
    </row>
    <row r="2836" spans="1:4" x14ac:dyDescent="0.25">
      <c r="A2836" s="418" t="s">
        <v>8780</v>
      </c>
      <c r="B2836">
        <v>1</v>
      </c>
      <c r="C2836" s="309"/>
      <c r="D2836" s="310"/>
    </row>
    <row r="2837" spans="1:4" x14ac:dyDescent="0.25">
      <c r="A2837" s="418" t="s">
        <v>11531</v>
      </c>
      <c r="B2837">
        <v>4</v>
      </c>
      <c r="C2837" s="309"/>
      <c r="D2837" s="310"/>
    </row>
    <row r="2838" spans="1:4" x14ac:dyDescent="0.25">
      <c r="A2838" s="418" t="s">
        <v>11532</v>
      </c>
      <c r="B2838">
        <v>3</v>
      </c>
      <c r="C2838" s="309"/>
      <c r="D2838" s="310"/>
    </row>
    <row r="2839" spans="1:4" x14ac:dyDescent="0.25">
      <c r="A2839" s="418" t="s">
        <v>11056</v>
      </c>
      <c r="B2839">
        <v>3</v>
      </c>
      <c r="C2839" s="309"/>
      <c r="D2839" s="310"/>
    </row>
    <row r="2840" spans="1:4" x14ac:dyDescent="0.25">
      <c r="A2840" s="418" t="s">
        <v>9197</v>
      </c>
      <c r="B2840">
        <v>8</v>
      </c>
      <c r="C2840" s="309"/>
      <c r="D2840" s="310"/>
    </row>
    <row r="2841" spans="1:4" x14ac:dyDescent="0.25">
      <c r="A2841" s="418" t="s">
        <v>10367</v>
      </c>
      <c r="B2841">
        <v>8</v>
      </c>
      <c r="C2841" s="309"/>
      <c r="D2841" s="310"/>
    </row>
    <row r="2842" spans="1:4" x14ac:dyDescent="0.25">
      <c r="A2842" s="418" t="s">
        <v>9198</v>
      </c>
      <c r="B2842">
        <v>7</v>
      </c>
      <c r="C2842" s="309"/>
      <c r="D2842" s="310"/>
    </row>
    <row r="2843" spans="1:4" x14ac:dyDescent="0.25">
      <c r="A2843" s="418" t="s">
        <v>12321</v>
      </c>
      <c r="B2843">
        <v>1</v>
      </c>
      <c r="C2843" s="309"/>
      <c r="D2843" s="310"/>
    </row>
    <row r="2844" spans="1:4" x14ac:dyDescent="0.25">
      <c r="A2844" s="418" t="s">
        <v>11496</v>
      </c>
      <c r="B2844">
        <v>2</v>
      </c>
      <c r="C2844" s="309"/>
      <c r="D2844" s="310"/>
    </row>
    <row r="2845" spans="1:4" x14ac:dyDescent="0.25">
      <c r="A2845" s="418" t="s">
        <v>9066</v>
      </c>
      <c r="B2845">
        <v>9</v>
      </c>
      <c r="C2845" s="309"/>
      <c r="D2845" s="310"/>
    </row>
    <row r="2846" spans="1:4" x14ac:dyDescent="0.25">
      <c r="A2846" s="418" t="s">
        <v>8373</v>
      </c>
      <c r="B2846">
        <v>9</v>
      </c>
      <c r="C2846" s="309"/>
      <c r="D2846" s="310"/>
    </row>
    <row r="2847" spans="1:4" x14ac:dyDescent="0.25">
      <c r="A2847" s="418" t="s">
        <v>11057</v>
      </c>
      <c r="B2847">
        <v>7</v>
      </c>
      <c r="C2847" s="309"/>
      <c r="D2847" s="310"/>
    </row>
    <row r="2848" spans="1:4" x14ac:dyDescent="0.25">
      <c r="A2848" s="418" t="s">
        <v>10009</v>
      </c>
      <c r="B2848">
        <v>2</v>
      </c>
      <c r="C2848" s="309"/>
      <c r="D2848" s="310"/>
    </row>
    <row r="2849" spans="1:4" x14ac:dyDescent="0.25">
      <c r="A2849" s="418" t="s">
        <v>8004</v>
      </c>
      <c r="B2849">
        <v>27</v>
      </c>
      <c r="C2849" s="309"/>
      <c r="D2849" s="310"/>
    </row>
    <row r="2850" spans="1:4" x14ac:dyDescent="0.25">
      <c r="A2850" s="418" t="s">
        <v>8005</v>
      </c>
      <c r="B2850">
        <v>25</v>
      </c>
      <c r="C2850" s="309"/>
      <c r="D2850" s="310"/>
    </row>
    <row r="2851" spans="1:4" x14ac:dyDescent="0.25">
      <c r="A2851" s="418" t="s">
        <v>10574</v>
      </c>
      <c r="B2851">
        <v>2</v>
      </c>
      <c r="C2851" s="309"/>
      <c r="D2851" s="310"/>
    </row>
    <row r="2852" spans="1:4" x14ac:dyDescent="0.25">
      <c r="A2852" s="418" t="s">
        <v>9549</v>
      </c>
      <c r="B2852">
        <v>19</v>
      </c>
      <c r="C2852" s="309"/>
      <c r="D2852" s="310"/>
    </row>
    <row r="2853" spans="1:4" x14ac:dyDescent="0.25">
      <c r="A2853" s="418" t="s">
        <v>8311</v>
      </c>
      <c r="B2853">
        <v>21</v>
      </c>
      <c r="C2853" s="309"/>
      <c r="D2853" s="310"/>
    </row>
    <row r="2854" spans="1:4" x14ac:dyDescent="0.25">
      <c r="A2854" s="418" t="s">
        <v>9248</v>
      </c>
      <c r="B2854">
        <v>22</v>
      </c>
      <c r="C2854" s="309"/>
      <c r="D2854" s="310"/>
    </row>
    <row r="2855" spans="1:4" x14ac:dyDescent="0.25">
      <c r="A2855" s="418" t="s">
        <v>9012</v>
      </c>
      <c r="B2855">
        <v>23</v>
      </c>
      <c r="C2855" s="309"/>
      <c r="D2855" s="310"/>
    </row>
    <row r="2856" spans="1:4" x14ac:dyDescent="0.25">
      <c r="A2856" s="418" t="s">
        <v>16320</v>
      </c>
      <c r="B2856">
        <v>1</v>
      </c>
      <c r="C2856" s="309"/>
      <c r="D2856" s="310"/>
    </row>
    <row r="2857" spans="1:4" x14ac:dyDescent="0.25">
      <c r="A2857" s="418" t="s">
        <v>8585</v>
      </c>
      <c r="B2857">
        <v>3</v>
      </c>
      <c r="C2857" s="309"/>
      <c r="D2857" s="310"/>
    </row>
    <row r="2858" spans="1:4" x14ac:dyDescent="0.25">
      <c r="A2858" s="418" t="s">
        <v>8752</v>
      </c>
      <c r="B2858">
        <v>4</v>
      </c>
      <c r="C2858" s="309"/>
      <c r="D2858" s="310"/>
    </row>
    <row r="2859" spans="1:4" x14ac:dyDescent="0.25">
      <c r="A2859" s="418" t="s">
        <v>10575</v>
      </c>
      <c r="B2859">
        <v>1</v>
      </c>
      <c r="C2859" s="309"/>
      <c r="D2859" s="310"/>
    </row>
    <row r="2860" spans="1:4" x14ac:dyDescent="0.25">
      <c r="A2860" s="418" t="s">
        <v>9993</v>
      </c>
      <c r="B2860">
        <v>2</v>
      </c>
      <c r="C2860" s="309"/>
      <c r="D2860" s="310"/>
    </row>
    <row r="2861" spans="1:4" x14ac:dyDescent="0.25">
      <c r="A2861" s="418" t="s">
        <v>10672</v>
      </c>
      <c r="B2861">
        <v>1</v>
      </c>
      <c r="C2861" s="309"/>
      <c r="D2861" s="310"/>
    </row>
    <row r="2862" spans="1:4" x14ac:dyDescent="0.25">
      <c r="A2862" s="418" t="s">
        <v>8553</v>
      </c>
      <c r="B2862">
        <v>2</v>
      </c>
      <c r="C2862" s="309"/>
      <c r="D2862" s="310"/>
    </row>
    <row r="2863" spans="1:4" x14ac:dyDescent="0.25">
      <c r="A2863" s="418" t="s">
        <v>8006</v>
      </c>
      <c r="B2863">
        <v>1</v>
      </c>
      <c r="C2863" s="309"/>
      <c r="D2863" s="310"/>
    </row>
    <row r="2864" spans="1:4" x14ac:dyDescent="0.25">
      <c r="A2864" s="418" t="s">
        <v>10827</v>
      </c>
      <c r="B2864">
        <v>1</v>
      </c>
      <c r="C2864" s="309"/>
      <c r="D2864" s="310"/>
    </row>
    <row r="2865" spans="1:4" x14ac:dyDescent="0.25">
      <c r="A2865" s="418" t="s">
        <v>8103</v>
      </c>
      <c r="B2865">
        <v>7</v>
      </c>
      <c r="C2865" s="309"/>
      <c r="D2865" s="310"/>
    </row>
    <row r="2866" spans="1:4" x14ac:dyDescent="0.25">
      <c r="A2866" s="418" t="s">
        <v>8104</v>
      </c>
      <c r="B2866">
        <v>7</v>
      </c>
      <c r="C2866" s="309"/>
      <c r="D2866" s="310"/>
    </row>
    <row r="2867" spans="1:4" x14ac:dyDescent="0.25">
      <c r="A2867" s="418" t="s">
        <v>9550</v>
      </c>
      <c r="B2867">
        <v>7</v>
      </c>
      <c r="C2867" s="309"/>
      <c r="D2867" s="310"/>
    </row>
    <row r="2868" spans="1:4" x14ac:dyDescent="0.25">
      <c r="A2868" s="418" t="s">
        <v>11591</v>
      </c>
      <c r="B2868">
        <v>1</v>
      </c>
      <c r="C2868" s="309"/>
      <c r="D2868" s="310"/>
    </row>
    <row r="2869" spans="1:4" x14ac:dyDescent="0.25">
      <c r="A2869" s="418" t="s">
        <v>10247</v>
      </c>
      <c r="B2869">
        <v>1</v>
      </c>
      <c r="C2869" s="309"/>
      <c r="D2869" s="310"/>
    </row>
    <row r="2870" spans="1:4" x14ac:dyDescent="0.25">
      <c r="A2870" s="418" t="s">
        <v>11592</v>
      </c>
      <c r="B2870">
        <v>1</v>
      </c>
      <c r="C2870" s="309"/>
      <c r="D2870" s="310"/>
    </row>
    <row r="2871" spans="1:4" x14ac:dyDescent="0.25">
      <c r="A2871" s="418" t="s">
        <v>11593</v>
      </c>
      <c r="B2871">
        <v>1</v>
      </c>
      <c r="C2871" s="309"/>
      <c r="D2871" s="310"/>
    </row>
    <row r="2872" spans="1:4" x14ac:dyDescent="0.25">
      <c r="A2872" s="418" t="s">
        <v>10368</v>
      </c>
      <c r="B2872">
        <v>3</v>
      </c>
      <c r="C2872" s="309"/>
      <c r="D2872" s="310"/>
    </row>
    <row r="2873" spans="1:4" x14ac:dyDescent="0.25">
      <c r="A2873" s="418" t="s">
        <v>10369</v>
      </c>
      <c r="B2873">
        <v>4</v>
      </c>
      <c r="C2873" s="309"/>
      <c r="D2873" s="310"/>
    </row>
    <row r="2874" spans="1:4" x14ac:dyDescent="0.25">
      <c r="A2874" s="418" t="s">
        <v>10370</v>
      </c>
      <c r="B2874">
        <v>1</v>
      </c>
      <c r="C2874" s="309"/>
      <c r="D2874" s="310"/>
    </row>
    <row r="2875" spans="1:4" x14ac:dyDescent="0.25">
      <c r="A2875" s="418" t="s">
        <v>8480</v>
      </c>
      <c r="B2875">
        <v>1</v>
      </c>
      <c r="C2875" s="309"/>
      <c r="D2875" s="310"/>
    </row>
    <row r="2876" spans="1:4" x14ac:dyDescent="0.25">
      <c r="A2876" s="418" t="s">
        <v>11497</v>
      </c>
      <c r="B2876">
        <v>1</v>
      </c>
      <c r="C2876" s="309"/>
      <c r="D2876" s="310"/>
    </row>
    <row r="2877" spans="1:4" x14ac:dyDescent="0.25">
      <c r="A2877" s="418" t="s">
        <v>11498</v>
      </c>
      <c r="B2877">
        <v>4</v>
      </c>
      <c r="C2877" s="309"/>
      <c r="D2877" s="310"/>
    </row>
    <row r="2878" spans="1:4" x14ac:dyDescent="0.25">
      <c r="A2878" s="418" t="s">
        <v>11848</v>
      </c>
      <c r="B2878">
        <v>2</v>
      </c>
      <c r="C2878" s="309"/>
      <c r="D2878" s="310"/>
    </row>
    <row r="2879" spans="1:4" x14ac:dyDescent="0.25">
      <c r="A2879" s="418" t="s">
        <v>9860</v>
      </c>
      <c r="B2879">
        <v>7</v>
      </c>
      <c r="C2879" s="309"/>
      <c r="D2879" s="310"/>
    </row>
    <row r="2880" spans="1:4" x14ac:dyDescent="0.25">
      <c r="A2880" s="418" t="s">
        <v>10308</v>
      </c>
      <c r="B2880">
        <v>6</v>
      </c>
      <c r="C2880" s="309"/>
      <c r="D2880" s="310"/>
    </row>
    <row r="2881" spans="1:4" x14ac:dyDescent="0.25">
      <c r="A2881" s="418" t="s">
        <v>10309</v>
      </c>
      <c r="B2881">
        <v>4</v>
      </c>
      <c r="C2881" s="309"/>
      <c r="D2881" s="310"/>
    </row>
    <row r="2882" spans="1:4" x14ac:dyDescent="0.25">
      <c r="A2882" s="418" t="s">
        <v>8812</v>
      </c>
      <c r="B2882">
        <v>3</v>
      </c>
      <c r="C2882" s="309"/>
      <c r="D2882" s="310"/>
    </row>
    <row r="2883" spans="1:4" x14ac:dyDescent="0.25">
      <c r="A2883" s="418" t="s">
        <v>8813</v>
      </c>
      <c r="B2883">
        <v>4</v>
      </c>
      <c r="C2883" s="309"/>
      <c r="D2883" s="310"/>
    </row>
    <row r="2884" spans="1:4" x14ac:dyDescent="0.25">
      <c r="A2884" s="418" t="s">
        <v>8432</v>
      </c>
      <c r="B2884">
        <v>3</v>
      </c>
      <c r="C2884" s="309"/>
      <c r="D2884" s="310"/>
    </row>
    <row r="2885" spans="1:4" x14ac:dyDescent="0.25">
      <c r="A2885" s="418" t="s">
        <v>10511</v>
      </c>
      <c r="B2885">
        <v>2</v>
      </c>
      <c r="C2885" s="309"/>
      <c r="D2885" s="310"/>
    </row>
    <row r="2886" spans="1:4" x14ac:dyDescent="0.25">
      <c r="A2886" s="418" t="s">
        <v>10512</v>
      </c>
      <c r="B2886">
        <v>3</v>
      </c>
      <c r="C2886" s="309"/>
      <c r="D2886" s="310"/>
    </row>
    <row r="2887" spans="1:4" x14ac:dyDescent="0.25">
      <c r="A2887" s="418" t="s">
        <v>10513</v>
      </c>
      <c r="B2887">
        <v>3</v>
      </c>
      <c r="C2887" s="309"/>
      <c r="D2887" s="310"/>
    </row>
    <row r="2888" spans="1:4" x14ac:dyDescent="0.25">
      <c r="A2888" s="418" t="s">
        <v>8433</v>
      </c>
      <c r="B2888">
        <v>3</v>
      </c>
      <c r="C2888" s="309"/>
      <c r="D2888" s="310"/>
    </row>
    <row r="2889" spans="1:4" x14ac:dyDescent="0.25">
      <c r="A2889" s="418" t="s">
        <v>8814</v>
      </c>
      <c r="B2889">
        <v>2</v>
      </c>
      <c r="C2889" s="309"/>
      <c r="D2889" s="310"/>
    </row>
    <row r="2890" spans="1:4" x14ac:dyDescent="0.25">
      <c r="A2890" s="418" t="s">
        <v>9861</v>
      </c>
      <c r="B2890">
        <v>4</v>
      </c>
      <c r="C2890" s="309"/>
      <c r="D2890" s="310"/>
    </row>
    <row r="2891" spans="1:4" x14ac:dyDescent="0.25">
      <c r="A2891" s="418" t="s">
        <v>10310</v>
      </c>
      <c r="B2891">
        <v>5</v>
      </c>
      <c r="C2891" s="309"/>
      <c r="D2891" s="310"/>
    </row>
    <row r="2892" spans="1:4" x14ac:dyDescent="0.25">
      <c r="A2892" s="418" t="s">
        <v>9862</v>
      </c>
      <c r="B2892">
        <v>3</v>
      </c>
      <c r="C2892" s="309"/>
      <c r="D2892" s="310"/>
    </row>
    <row r="2893" spans="1:4" x14ac:dyDescent="0.25">
      <c r="A2893" s="418" t="s">
        <v>11254</v>
      </c>
      <c r="B2893">
        <v>4</v>
      </c>
      <c r="C2893" s="309"/>
      <c r="D2893" s="310"/>
    </row>
    <row r="2894" spans="1:4" x14ac:dyDescent="0.25">
      <c r="A2894" s="418" t="s">
        <v>11255</v>
      </c>
      <c r="B2894">
        <v>3</v>
      </c>
      <c r="C2894" s="309"/>
      <c r="D2894" s="310"/>
    </row>
    <row r="2895" spans="1:4" x14ac:dyDescent="0.25">
      <c r="A2895" s="418" t="s">
        <v>15502</v>
      </c>
      <c r="B2895">
        <v>4</v>
      </c>
      <c r="C2895" s="309"/>
      <c r="D2895" s="310"/>
    </row>
    <row r="2896" spans="1:4" x14ac:dyDescent="0.25">
      <c r="A2896" s="418" t="s">
        <v>10673</v>
      </c>
      <c r="B2896">
        <v>6</v>
      </c>
      <c r="C2896" s="309"/>
      <c r="D2896" s="310"/>
    </row>
    <row r="2897" spans="1:4" x14ac:dyDescent="0.25">
      <c r="A2897" s="418" t="s">
        <v>9551</v>
      </c>
      <c r="B2897">
        <v>6</v>
      </c>
      <c r="C2897" s="309"/>
      <c r="D2897" s="310"/>
    </row>
    <row r="2898" spans="1:4" x14ac:dyDescent="0.25">
      <c r="A2898" s="418" t="s">
        <v>9807</v>
      </c>
      <c r="B2898">
        <v>2</v>
      </c>
      <c r="C2898" s="309"/>
      <c r="D2898" s="310"/>
    </row>
    <row r="2899" spans="1:4" x14ac:dyDescent="0.25">
      <c r="A2899" s="418" t="s">
        <v>9808</v>
      </c>
      <c r="B2899">
        <v>4</v>
      </c>
      <c r="C2899" s="309"/>
      <c r="D2899" s="310"/>
    </row>
    <row r="2900" spans="1:4" x14ac:dyDescent="0.25">
      <c r="A2900" s="418" t="s">
        <v>11745</v>
      </c>
      <c r="B2900">
        <v>3</v>
      </c>
      <c r="C2900" s="309"/>
      <c r="D2900" s="310"/>
    </row>
    <row r="2901" spans="1:4" x14ac:dyDescent="0.25">
      <c r="A2901" s="418" t="s">
        <v>11849</v>
      </c>
      <c r="B2901">
        <v>4</v>
      </c>
      <c r="C2901" s="309"/>
      <c r="D2901" s="310"/>
    </row>
    <row r="2902" spans="1:4" x14ac:dyDescent="0.25">
      <c r="A2902" s="418" t="s">
        <v>11746</v>
      </c>
      <c r="B2902">
        <v>4</v>
      </c>
      <c r="C2902" s="309"/>
      <c r="D2902" s="310"/>
    </row>
    <row r="2903" spans="1:4" x14ac:dyDescent="0.25">
      <c r="A2903" s="418" t="s">
        <v>17104</v>
      </c>
      <c r="B2903">
        <v>1</v>
      </c>
      <c r="C2903" s="309"/>
      <c r="D2903" s="310"/>
    </row>
    <row r="2904" spans="1:4" x14ac:dyDescent="0.25">
      <c r="A2904" s="418" t="s">
        <v>15503</v>
      </c>
      <c r="B2904">
        <v>4</v>
      </c>
      <c r="C2904" s="309"/>
      <c r="D2904" s="310"/>
    </row>
    <row r="2905" spans="1:4" x14ac:dyDescent="0.25">
      <c r="A2905" s="418" t="s">
        <v>17105</v>
      </c>
      <c r="B2905">
        <v>1</v>
      </c>
      <c r="C2905" s="309"/>
      <c r="D2905" s="310"/>
    </row>
    <row r="2906" spans="1:4" x14ac:dyDescent="0.25">
      <c r="A2906" s="418" t="s">
        <v>17106</v>
      </c>
      <c r="B2906">
        <v>1</v>
      </c>
      <c r="C2906" s="309"/>
      <c r="D2906" s="310"/>
    </row>
    <row r="2907" spans="1:4" x14ac:dyDescent="0.25">
      <c r="A2907" s="418" t="s">
        <v>17107</v>
      </c>
      <c r="B2907">
        <v>2</v>
      </c>
      <c r="C2907" s="309"/>
      <c r="D2907" s="310"/>
    </row>
    <row r="2908" spans="1:4" x14ac:dyDescent="0.25">
      <c r="A2908" s="418" t="s">
        <v>17108</v>
      </c>
      <c r="B2908">
        <v>1</v>
      </c>
      <c r="C2908" s="309"/>
      <c r="D2908" s="310"/>
    </row>
    <row r="2909" spans="1:4" x14ac:dyDescent="0.25">
      <c r="A2909" s="418" t="s">
        <v>9199</v>
      </c>
      <c r="B2909">
        <v>4</v>
      </c>
      <c r="C2909" s="309"/>
      <c r="D2909" s="310"/>
    </row>
    <row r="2910" spans="1:4" x14ac:dyDescent="0.25">
      <c r="A2910" s="418" t="s">
        <v>9200</v>
      </c>
      <c r="B2910">
        <v>3</v>
      </c>
      <c r="C2910" s="309"/>
      <c r="D2910" s="310"/>
    </row>
    <row r="2911" spans="1:4" x14ac:dyDescent="0.25">
      <c r="A2911" s="418" t="s">
        <v>9994</v>
      </c>
      <c r="B2911">
        <v>3</v>
      </c>
      <c r="C2911" s="309"/>
      <c r="D2911" s="310"/>
    </row>
    <row r="2912" spans="1:4" x14ac:dyDescent="0.25">
      <c r="A2912" s="418" t="s">
        <v>9067</v>
      </c>
      <c r="B2912">
        <v>1</v>
      </c>
      <c r="C2912" s="309"/>
      <c r="D2912" s="310"/>
    </row>
    <row r="2913" spans="1:4" x14ac:dyDescent="0.25">
      <c r="A2913" s="418" t="s">
        <v>9552</v>
      </c>
      <c r="B2913">
        <v>11</v>
      </c>
      <c r="C2913" s="309"/>
      <c r="D2913" s="310"/>
    </row>
    <row r="2914" spans="1:4" x14ac:dyDescent="0.25">
      <c r="A2914" s="418" t="s">
        <v>9553</v>
      </c>
      <c r="B2914">
        <v>15</v>
      </c>
      <c r="C2914" s="309"/>
      <c r="D2914" s="310"/>
    </row>
    <row r="2915" spans="1:4" x14ac:dyDescent="0.25">
      <c r="A2915" s="418" t="s">
        <v>9554</v>
      </c>
      <c r="B2915">
        <v>9</v>
      </c>
      <c r="C2915" s="309"/>
      <c r="D2915" s="310"/>
    </row>
    <row r="2916" spans="1:4" x14ac:dyDescent="0.25">
      <c r="A2916" s="418" t="s">
        <v>10576</v>
      </c>
      <c r="B2916">
        <v>7</v>
      </c>
      <c r="C2916" s="309"/>
      <c r="D2916" s="310"/>
    </row>
    <row r="2917" spans="1:4" x14ac:dyDescent="0.25">
      <c r="A2917" s="418" t="s">
        <v>9068</v>
      </c>
      <c r="B2917">
        <v>6</v>
      </c>
      <c r="C2917" s="309"/>
      <c r="D2917" s="310"/>
    </row>
    <row r="2918" spans="1:4" x14ac:dyDescent="0.25">
      <c r="A2918" s="418" t="s">
        <v>9069</v>
      </c>
      <c r="B2918">
        <v>7</v>
      </c>
      <c r="C2918" s="309"/>
      <c r="D2918" s="310"/>
    </row>
    <row r="2919" spans="1:4" x14ac:dyDescent="0.25">
      <c r="A2919" s="418" t="s">
        <v>11696</v>
      </c>
      <c r="B2919">
        <v>3</v>
      </c>
      <c r="C2919" s="309"/>
      <c r="D2919" s="310"/>
    </row>
    <row r="2920" spans="1:4" x14ac:dyDescent="0.25">
      <c r="A2920" s="418" t="s">
        <v>10010</v>
      </c>
      <c r="B2920">
        <v>3</v>
      </c>
      <c r="C2920" s="309"/>
      <c r="D2920" s="310"/>
    </row>
    <row r="2921" spans="1:4" x14ac:dyDescent="0.25">
      <c r="A2921" s="418" t="s">
        <v>11697</v>
      </c>
      <c r="B2921">
        <v>3</v>
      </c>
      <c r="C2921" s="309"/>
      <c r="D2921" s="310"/>
    </row>
    <row r="2922" spans="1:4" x14ac:dyDescent="0.25">
      <c r="A2922" s="418" t="s">
        <v>9923</v>
      </c>
      <c r="B2922">
        <v>4</v>
      </c>
      <c r="C2922" s="309"/>
      <c r="D2922" s="310"/>
    </row>
    <row r="2923" spans="1:4" x14ac:dyDescent="0.25">
      <c r="A2923" s="418" t="s">
        <v>9924</v>
      </c>
      <c r="B2923">
        <v>4</v>
      </c>
      <c r="C2923" s="309"/>
      <c r="D2923" s="310"/>
    </row>
    <row r="2924" spans="1:4" x14ac:dyDescent="0.25">
      <c r="A2924" s="418" t="s">
        <v>11698</v>
      </c>
      <c r="B2924">
        <v>3</v>
      </c>
      <c r="C2924" s="309"/>
      <c r="D2924" s="310"/>
    </row>
    <row r="2925" spans="1:4" x14ac:dyDescent="0.25">
      <c r="A2925" s="418" t="s">
        <v>9809</v>
      </c>
      <c r="B2925">
        <v>1</v>
      </c>
      <c r="C2925" s="309"/>
      <c r="D2925" s="310"/>
    </row>
    <row r="2926" spans="1:4" x14ac:dyDescent="0.25">
      <c r="A2926" s="418" t="s">
        <v>8312</v>
      </c>
      <c r="B2926">
        <v>8</v>
      </c>
      <c r="C2926" s="309"/>
      <c r="D2926" s="310"/>
    </row>
    <row r="2927" spans="1:4" x14ac:dyDescent="0.25">
      <c r="A2927" s="418" t="s">
        <v>10674</v>
      </c>
      <c r="B2927">
        <v>7</v>
      </c>
      <c r="C2927" s="309"/>
      <c r="D2927" s="310"/>
    </row>
    <row r="2928" spans="1:4" x14ac:dyDescent="0.25">
      <c r="A2928" s="418" t="s">
        <v>10675</v>
      </c>
      <c r="B2928">
        <v>5</v>
      </c>
      <c r="C2928" s="309"/>
      <c r="D2928" s="310"/>
    </row>
    <row r="2929" spans="1:4" x14ac:dyDescent="0.25">
      <c r="A2929" s="418" t="s">
        <v>9013</v>
      </c>
      <c r="B2929">
        <v>5</v>
      </c>
      <c r="C2929" s="309"/>
      <c r="D2929" s="310"/>
    </row>
    <row r="2930" spans="1:4" x14ac:dyDescent="0.25">
      <c r="A2930" s="418" t="s">
        <v>10011</v>
      </c>
      <c r="B2930">
        <v>3</v>
      </c>
      <c r="C2930" s="309"/>
      <c r="D2930" s="310"/>
    </row>
    <row r="2931" spans="1:4" x14ac:dyDescent="0.25">
      <c r="A2931" s="418" t="s">
        <v>10012</v>
      </c>
      <c r="B2931">
        <v>3</v>
      </c>
      <c r="C2931" s="309"/>
      <c r="D2931" s="310"/>
    </row>
    <row r="2932" spans="1:4" x14ac:dyDescent="0.25">
      <c r="A2932" s="418" t="s">
        <v>12322</v>
      </c>
      <c r="B2932">
        <v>2</v>
      </c>
      <c r="C2932" s="309"/>
      <c r="D2932" s="310"/>
    </row>
    <row r="2933" spans="1:4" x14ac:dyDescent="0.25">
      <c r="A2933" s="418" t="s">
        <v>9555</v>
      </c>
      <c r="B2933">
        <v>1</v>
      </c>
      <c r="C2933" s="309"/>
      <c r="D2933" s="310"/>
    </row>
    <row r="2934" spans="1:4" x14ac:dyDescent="0.25">
      <c r="A2934" s="418" t="s">
        <v>8313</v>
      </c>
      <c r="B2934">
        <v>1</v>
      </c>
      <c r="C2934" s="309"/>
      <c r="D2934" s="310"/>
    </row>
    <row r="2935" spans="1:4" x14ac:dyDescent="0.25">
      <c r="A2935" s="418" t="s">
        <v>8314</v>
      </c>
      <c r="B2935">
        <v>1</v>
      </c>
      <c r="C2935" s="309"/>
      <c r="D2935" s="310"/>
    </row>
    <row r="2936" spans="1:4" x14ac:dyDescent="0.25">
      <c r="A2936" s="418" t="s">
        <v>11850</v>
      </c>
      <c r="B2936">
        <v>1</v>
      </c>
      <c r="C2936" s="309"/>
      <c r="D2936" s="310"/>
    </row>
    <row r="2937" spans="1:4" x14ac:dyDescent="0.25">
      <c r="A2937" s="418" t="s">
        <v>10676</v>
      </c>
      <c r="B2937">
        <v>5</v>
      </c>
      <c r="C2937" s="309"/>
      <c r="D2937" s="310"/>
    </row>
    <row r="2938" spans="1:4" x14ac:dyDescent="0.25">
      <c r="A2938" s="418" t="s">
        <v>9014</v>
      </c>
      <c r="B2938">
        <v>4</v>
      </c>
      <c r="C2938" s="309"/>
      <c r="D2938" s="310"/>
    </row>
    <row r="2939" spans="1:4" x14ac:dyDescent="0.25">
      <c r="A2939" s="418" t="s">
        <v>9015</v>
      </c>
      <c r="B2939">
        <v>5</v>
      </c>
      <c r="C2939" s="309"/>
      <c r="D2939" s="310"/>
    </row>
    <row r="2940" spans="1:4" x14ac:dyDescent="0.25">
      <c r="A2940" s="418" t="s">
        <v>9070</v>
      </c>
      <c r="B2940">
        <v>5</v>
      </c>
      <c r="C2940" s="309"/>
      <c r="D2940" s="310"/>
    </row>
    <row r="2941" spans="1:4" x14ac:dyDescent="0.25">
      <c r="A2941" s="418" t="s">
        <v>9071</v>
      </c>
      <c r="B2941">
        <v>5</v>
      </c>
      <c r="C2941" s="309"/>
      <c r="D2941" s="310"/>
    </row>
    <row r="2942" spans="1:4" x14ac:dyDescent="0.25">
      <c r="A2942" s="418" t="s">
        <v>10371</v>
      </c>
      <c r="B2942">
        <v>4</v>
      </c>
      <c r="C2942" s="309"/>
      <c r="D2942" s="310"/>
    </row>
    <row r="2943" spans="1:4" x14ac:dyDescent="0.25">
      <c r="A2943" s="418" t="s">
        <v>10013</v>
      </c>
      <c r="B2943">
        <v>4</v>
      </c>
      <c r="C2943" s="309"/>
      <c r="D2943" s="310"/>
    </row>
    <row r="2944" spans="1:4" x14ac:dyDescent="0.25">
      <c r="A2944" s="418" t="s">
        <v>9072</v>
      </c>
      <c r="B2944">
        <v>3</v>
      </c>
      <c r="C2944" s="309"/>
      <c r="D2944" s="310"/>
    </row>
    <row r="2945" spans="1:4" x14ac:dyDescent="0.25">
      <c r="A2945" s="418" t="s">
        <v>9073</v>
      </c>
      <c r="B2945">
        <v>3</v>
      </c>
      <c r="C2945" s="309"/>
      <c r="D2945" s="310"/>
    </row>
    <row r="2946" spans="1:4" x14ac:dyDescent="0.25">
      <c r="A2946" s="418" t="s">
        <v>9074</v>
      </c>
      <c r="B2946">
        <v>3</v>
      </c>
      <c r="C2946" s="309"/>
      <c r="D2946" s="310"/>
    </row>
    <row r="2947" spans="1:4" x14ac:dyDescent="0.25">
      <c r="A2947" s="418" t="s">
        <v>9556</v>
      </c>
      <c r="B2947">
        <v>1</v>
      </c>
      <c r="C2947" s="309"/>
      <c r="D2947" s="310"/>
    </row>
    <row r="2948" spans="1:4" x14ac:dyDescent="0.25">
      <c r="A2948" s="418" t="s">
        <v>9075</v>
      </c>
      <c r="B2948">
        <v>3</v>
      </c>
      <c r="C2948" s="309"/>
      <c r="D2948" s="310"/>
    </row>
    <row r="2949" spans="1:4" x14ac:dyDescent="0.25">
      <c r="A2949" s="418" t="s">
        <v>11533</v>
      </c>
      <c r="B2949">
        <v>4</v>
      </c>
      <c r="C2949" s="309"/>
      <c r="D2949" s="310"/>
    </row>
    <row r="2950" spans="1:4" x14ac:dyDescent="0.25">
      <c r="A2950" s="418" t="s">
        <v>15504</v>
      </c>
      <c r="B2950">
        <v>1</v>
      </c>
      <c r="C2950" s="309"/>
      <c r="D2950" s="310"/>
    </row>
    <row r="2951" spans="1:4" x14ac:dyDescent="0.25">
      <c r="A2951" s="418" t="s">
        <v>12007</v>
      </c>
      <c r="B2951">
        <v>1</v>
      </c>
      <c r="C2951" s="309"/>
      <c r="D2951" s="310"/>
    </row>
    <row r="2952" spans="1:4" x14ac:dyDescent="0.25">
      <c r="A2952" s="418" t="s">
        <v>10993</v>
      </c>
      <c r="B2952">
        <v>3</v>
      </c>
      <c r="C2952" s="309"/>
      <c r="D2952" s="310"/>
    </row>
    <row r="2953" spans="1:4" x14ac:dyDescent="0.25">
      <c r="A2953" s="418" t="s">
        <v>12008</v>
      </c>
      <c r="B2953">
        <v>1</v>
      </c>
      <c r="C2953" s="309"/>
      <c r="D2953" s="310"/>
    </row>
    <row r="2954" spans="1:4" x14ac:dyDescent="0.25">
      <c r="A2954" s="418" t="s">
        <v>12009</v>
      </c>
      <c r="B2954">
        <v>1</v>
      </c>
      <c r="C2954" s="309"/>
      <c r="D2954" s="310"/>
    </row>
    <row r="2955" spans="1:4" x14ac:dyDescent="0.25">
      <c r="A2955" s="418" t="s">
        <v>8374</v>
      </c>
      <c r="B2955">
        <v>4</v>
      </c>
      <c r="C2955" s="309"/>
      <c r="D2955" s="310"/>
    </row>
    <row r="2956" spans="1:4" x14ac:dyDescent="0.25">
      <c r="A2956" s="418" t="s">
        <v>9076</v>
      </c>
      <c r="B2956">
        <v>3</v>
      </c>
      <c r="C2956" s="309"/>
      <c r="D2956" s="310"/>
    </row>
    <row r="2957" spans="1:4" x14ac:dyDescent="0.25">
      <c r="A2957" s="418" t="s">
        <v>9077</v>
      </c>
      <c r="B2957">
        <v>2</v>
      </c>
      <c r="C2957" s="309"/>
      <c r="D2957" s="310"/>
    </row>
    <row r="2958" spans="1:4" x14ac:dyDescent="0.25">
      <c r="A2958" s="418" t="s">
        <v>9078</v>
      </c>
      <c r="B2958">
        <v>3</v>
      </c>
      <c r="C2958" s="309"/>
      <c r="D2958" s="310"/>
    </row>
    <row r="2959" spans="1:4" x14ac:dyDescent="0.25">
      <c r="A2959" s="418" t="s">
        <v>9995</v>
      </c>
      <c r="B2959">
        <v>5</v>
      </c>
      <c r="C2959" s="309"/>
      <c r="D2959" s="310"/>
    </row>
    <row r="2960" spans="1:4" x14ac:dyDescent="0.25">
      <c r="A2960" s="418" t="s">
        <v>9996</v>
      </c>
      <c r="B2960">
        <v>5</v>
      </c>
      <c r="C2960" s="309"/>
      <c r="D2960" s="310"/>
    </row>
    <row r="2961" spans="1:4" x14ac:dyDescent="0.25">
      <c r="A2961" s="418" t="s">
        <v>11206</v>
      </c>
      <c r="B2961">
        <v>2</v>
      </c>
      <c r="C2961" s="309"/>
      <c r="D2961" s="310"/>
    </row>
    <row r="2962" spans="1:4" x14ac:dyDescent="0.25">
      <c r="A2962" s="418" t="s">
        <v>9444</v>
      </c>
      <c r="B2962">
        <v>5</v>
      </c>
      <c r="C2962" s="309"/>
      <c r="D2962" s="310"/>
    </row>
    <row r="2963" spans="1:4" x14ac:dyDescent="0.25">
      <c r="A2963" s="418" t="s">
        <v>9445</v>
      </c>
      <c r="B2963">
        <v>4</v>
      </c>
      <c r="C2963" s="309"/>
      <c r="D2963" s="310"/>
    </row>
    <row r="2964" spans="1:4" x14ac:dyDescent="0.25">
      <c r="A2964" s="418" t="s">
        <v>9249</v>
      </c>
      <c r="B2964">
        <v>3</v>
      </c>
      <c r="C2964" s="309"/>
      <c r="D2964" s="310"/>
    </row>
    <row r="2965" spans="1:4" x14ac:dyDescent="0.25">
      <c r="A2965" s="418" t="s">
        <v>11499</v>
      </c>
      <c r="B2965">
        <v>3</v>
      </c>
      <c r="C2965" s="309"/>
      <c r="D2965" s="310"/>
    </row>
    <row r="2966" spans="1:4" x14ac:dyDescent="0.25">
      <c r="A2966" s="418" t="s">
        <v>12323</v>
      </c>
      <c r="B2966">
        <v>3</v>
      </c>
      <c r="C2966" s="309"/>
      <c r="D2966" s="310"/>
    </row>
    <row r="2967" spans="1:4" x14ac:dyDescent="0.25">
      <c r="A2967" s="418" t="s">
        <v>16096</v>
      </c>
      <c r="B2967">
        <v>1</v>
      </c>
      <c r="C2967" s="309"/>
      <c r="D2967" s="310"/>
    </row>
    <row r="2968" spans="1:4" x14ac:dyDescent="0.25">
      <c r="A2968" s="418" t="s">
        <v>12010</v>
      </c>
      <c r="B2968">
        <v>1</v>
      </c>
      <c r="C2968" s="309"/>
      <c r="D2968" s="310"/>
    </row>
    <row r="2969" spans="1:4" x14ac:dyDescent="0.25">
      <c r="A2969" s="418" t="s">
        <v>8315</v>
      </c>
      <c r="B2969">
        <v>4</v>
      </c>
      <c r="C2969" s="309"/>
      <c r="D2969" s="310"/>
    </row>
    <row r="2970" spans="1:4" x14ac:dyDescent="0.25">
      <c r="A2970" s="418" t="s">
        <v>8693</v>
      </c>
      <c r="B2970">
        <v>3</v>
      </c>
      <c r="C2970" s="309"/>
      <c r="D2970" s="310"/>
    </row>
    <row r="2971" spans="1:4" x14ac:dyDescent="0.25">
      <c r="A2971" s="418" t="s">
        <v>8316</v>
      </c>
      <c r="B2971">
        <v>3</v>
      </c>
      <c r="C2971" s="309"/>
      <c r="D2971" s="310"/>
    </row>
    <row r="2972" spans="1:4" x14ac:dyDescent="0.25">
      <c r="A2972" s="418" t="s">
        <v>8317</v>
      </c>
      <c r="B2972">
        <v>4</v>
      </c>
      <c r="C2972" s="309"/>
      <c r="D2972" s="310"/>
    </row>
    <row r="2973" spans="1:4" x14ac:dyDescent="0.25">
      <c r="A2973" s="418" t="s">
        <v>9846</v>
      </c>
      <c r="B2973">
        <v>3</v>
      </c>
      <c r="C2973" s="309"/>
      <c r="D2973" s="310"/>
    </row>
    <row r="2974" spans="1:4" x14ac:dyDescent="0.25">
      <c r="A2974" s="418" t="s">
        <v>9079</v>
      </c>
      <c r="B2974">
        <v>7</v>
      </c>
      <c r="C2974" s="309"/>
      <c r="D2974" s="310"/>
    </row>
    <row r="2975" spans="1:4" x14ac:dyDescent="0.25">
      <c r="A2975" s="418" t="s">
        <v>9080</v>
      </c>
      <c r="B2975">
        <v>7</v>
      </c>
      <c r="C2975" s="309"/>
      <c r="D2975" s="310"/>
    </row>
    <row r="2976" spans="1:4" x14ac:dyDescent="0.25">
      <c r="A2976" s="418" t="s">
        <v>9081</v>
      </c>
      <c r="B2976">
        <v>3</v>
      </c>
      <c r="C2976" s="309"/>
      <c r="D2976" s="310"/>
    </row>
    <row r="2977" spans="1:4" x14ac:dyDescent="0.25">
      <c r="A2977" s="418" t="s">
        <v>11108</v>
      </c>
      <c r="B2977">
        <v>4</v>
      </c>
      <c r="C2977" s="309"/>
      <c r="D2977" s="310"/>
    </row>
    <row r="2978" spans="1:4" x14ac:dyDescent="0.25">
      <c r="A2978" s="418" t="s">
        <v>8481</v>
      </c>
      <c r="B2978">
        <v>1</v>
      </c>
      <c r="C2978" s="309"/>
      <c r="D2978" s="310"/>
    </row>
    <row r="2979" spans="1:4" x14ac:dyDescent="0.25">
      <c r="A2979" s="418" t="s">
        <v>10463</v>
      </c>
      <c r="B2979">
        <v>1</v>
      </c>
      <c r="C2979" s="309"/>
      <c r="D2979" s="310"/>
    </row>
    <row r="2980" spans="1:4" x14ac:dyDescent="0.25">
      <c r="A2980" s="418" t="s">
        <v>10677</v>
      </c>
      <c r="B2980">
        <v>4</v>
      </c>
      <c r="C2980" s="309"/>
      <c r="D2980" s="310"/>
    </row>
    <row r="2981" spans="1:4" x14ac:dyDescent="0.25">
      <c r="A2981" s="418" t="s">
        <v>10678</v>
      </c>
      <c r="B2981">
        <v>5</v>
      </c>
      <c r="C2981" s="309"/>
      <c r="D2981" s="310"/>
    </row>
    <row r="2982" spans="1:4" x14ac:dyDescent="0.25">
      <c r="A2982" s="418" t="s">
        <v>11058</v>
      </c>
      <c r="B2982">
        <v>3</v>
      </c>
      <c r="C2982" s="309"/>
      <c r="D2982" s="310"/>
    </row>
    <row r="2983" spans="1:4" x14ac:dyDescent="0.25">
      <c r="A2983" s="418" t="s">
        <v>11059</v>
      </c>
      <c r="B2983">
        <v>1</v>
      </c>
      <c r="C2983" s="309"/>
      <c r="D2983" s="310"/>
    </row>
    <row r="2984" spans="1:4" x14ac:dyDescent="0.25">
      <c r="A2984" s="418" t="s">
        <v>5289</v>
      </c>
      <c r="B2984">
        <v>3</v>
      </c>
      <c r="C2984" s="309"/>
      <c r="D2984" s="310"/>
    </row>
    <row r="2985" spans="1:4" x14ac:dyDescent="0.25">
      <c r="A2985" s="418" t="s">
        <v>5290</v>
      </c>
      <c r="B2985">
        <v>3</v>
      </c>
      <c r="C2985" s="309"/>
      <c r="D2985" s="310"/>
    </row>
    <row r="2986" spans="1:4" x14ac:dyDescent="0.25">
      <c r="A2986" s="418" t="s">
        <v>5291</v>
      </c>
      <c r="B2986">
        <v>3</v>
      </c>
      <c r="C2986" s="309"/>
      <c r="D2986" s="310"/>
    </row>
    <row r="2987" spans="1:4" x14ac:dyDescent="0.25">
      <c r="A2987" s="418" t="s">
        <v>6140</v>
      </c>
      <c r="B2987">
        <v>4</v>
      </c>
      <c r="C2987" s="309"/>
      <c r="D2987" s="310"/>
    </row>
    <row r="2988" spans="1:4" x14ac:dyDescent="0.25">
      <c r="A2988" s="418" t="s">
        <v>8586</v>
      </c>
      <c r="B2988">
        <v>1</v>
      </c>
      <c r="C2988" s="309"/>
      <c r="D2988" s="310"/>
    </row>
    <row r="2989" spans="1:4" x14ac:dyDescent="0.25">
      <c r="A2989" s="418" t="s">
        <v>8153</v>
      </c>
      <c r="B2989">
        <v>1</v>
      </c>
      <c r="C2989" s="309"/>
      <c r="D2989" s="310"/>
    </row>
    <row r="2990" spans="1:4" x14ac:dyDescent="0.25">
      <c r="A2990" s="418" t="s">
        <v>8983</v>
      </c>
      <c r="B2990">
        <v>1</v>
      </c>
      <c r="C2990" s="309"/>
      <c r="D2990" s="310"/>
    </row>
    <row r="2991" spans="1:4" x14ac:dyDescent="0.25">
      <c r="A2991" s="418" t="s">
        <v>12011</v>
      </c>
      <c r="B2991">
        <v>1</v>
      </c>
      <c r="C2991" s="309"/>
      <c r="D2991" s="310"/>
    </row>
    <row r="2992" spans="1:4" x14ac:dyDescent="0.25">
      <c r="A2992" s="418" t="s">
        <v>11470</v>
      </c>
      <c r="B2992">
        <v>3</v>
      </c>
      <c r="C2992" s="309"/>
      <c r="D2992" s="310"/>
    </row>
    <row r="2993" spans="1:4" x14ac:dyDescent="0.25">
      <c r="A2993" s="418" t="s">
        <v>9925</v>
      </c>
      <c r="B2993">
        <v>2</v>
      </c>
      <c r="C2993" s="309"/>
      <c r="D2993" s="310"/>
    </row>
    <row r="2994" spans="1:4" x14ac:dyDescent="0.25">
      <c r="A2994" s="418" t="s">
        <v>10994</v>
      </c>
      <c r="B2994">
        <v>2</v>
      </c>
      <c r="C2994" s="309"/>
      <c r="D2994" s="310"/>
    </row>
    <row r="2995" spans="1:4" x14ac:dyDescent="0.25">
      <c r="A2995" s="418" t="s">
        <v>11060</v>
      </c>
      <c r="B2995">
        <v>1</v>
      </c>
      <c r="C2995" s="309"/>
      <c r="D2995" s="310"/>
    </row>
    <row r="2996" spans="1:4" x14ac:dyDescent="0.25">
      <c r="A2996" s="418" t="s">
        <v>11471</v>
      </c>
      <c r="B2996">
        <v>3</v>
      </c>
      <c r="C2996" s="309"/>
      <c r="D2996" s="310"/>
    </row>
    <row r="2997" spans="1:4" x14ac:dyDescent="0.25">
      <c r="A2997" s="418" t="s">
        <v>11472</v>
      </c>
      <c r="B2997">
        <v>3</v>
      </c>
      <c r="C2997" s="309"/>
      <c r="D2997" s="310"/>
    </row>
    <row r="2998" spans="1:4" x14ac:dyDescent="0.25">
      <c r="A2998" s="418" t="s">
        <v>11473</v>
      </c>
      <c r="B2998">
        <v>1</v>
      </c>
      <c r="C2998" s="309"/>
      <c r="D2998" s="310"/>
    </row>
    <row r="2999" spans="1:4" x14ac:dyDescent="0.25">
      <c r="A2999" s="418" t="s">
        <v>11804</v>
      </c>
      <c r="B2999">
        <v>3</v>
      </c>
      <c r="C2999" s="309"/>
      <c r="D2999" s="310"/>
    </row>
    <row r="3000" spans="1:4" x14ac:dyDescent="0.25">
      <c r="A3000" s="418" t="s">
        <v>11805</v>
      </c>
      <c r="B3000">
        <v>3</v>
      </c>
      <c r="C3000" s="309"/>
      <c r="D3000" s="310"/>
    </row>
    <row r="3001" spans="1:4" x14ac:dyDescent="0.25">
      <c r="A3001" s="418" t="s">
        <v>11806</v>
      </c>
      <c r="B3001">
        <v>2</v>
      </c>
      <c r="C3001" s="309"/>
      <c r="D3001" s="310"/>
    </row>
    <row r="3002" spans="1:4" x14ac:dyDescent="0.25">
      <c r="A3002" s="418" t="s">
        <v>11807</v>
      </c>
      <c r="B3002">
        <v>2</v>
      </c>
      <c r="C3002" s="309"/>
      <c r="D3002" s="310"/>
    </row>
    <row r="3003" spans="1:4" x14ac:dyDescent="0.25">
      <c r="A3003" s="418" t="s">
        <v>8633</v>
      </c>
      <c r="B3003">
        <v>5</v>
      </c>
      <c r="C3003" s="309"/>
      <c r="D3003" s="310"/>
    </row>
    <row r="3004" spans="1:4" x14ac:dyDescent="0.25">
      <c r="A3004" s="418" t="s">
        <v>8634</v>
      </c>
      <c r="B3004">
        <v>8</v>
      </c>
      <c r="C3004" s="309"/>
      <c r="D3004" s="310"/>
    </row>
    <row r="3005" spans="1:4" x14ac:dyDescent="0.25">
      <c r="A3005" s="418" t="s">
        <v>8089</v>
      </c>
      <c r="B3005">
        <v>4</v>
      </c>
      <c r="C3005" s="309"/>
      <c r="D3005" s="310"/>
    </row>
    <row r="3006" spans="1:4" x14ac:dyDescent="0.25">
      <c r="A3006" s="418" t="s">
        <v>8482</v>
      </c>
      <c r="B3006">
        <v>2</v>
      </c>
      <c r="C3006" s="309"/>
      <c r="D3006" s="310"/>
    </row>
    <row r="3007" spans="1:4" x14ac:dyDescent="0.25">
      <c r="A3007" s="418" t="s">
        <v>8483</v>
      </c>
      <c r="B3007">
        <v>1</v>
      </c>
      <c r="C3007" s="309"/>
      <c r="D3007" s="310"/>
    </row>
    <row r="3008" spans="1:4" x14ac:dyDescent="0.25">
      <c r="A3008" s="418" t="s">
        <v>10828</v>
      </c>
      <c r="B3008">
        <v>4</v>
      </c>
      <c r="C3008" s="309"/>
      <c r="D3008" s="310"/>
    </row>
    <row r="3009" spans="1:4" x14ac:dyDescent="0.25">
      <c r="A3009" s="418" t="s">
        <v>10829</v>
      </c>
      <c r="B3009">
        <v>3</v>
      </c>
      <c r="C3009" s="309"/>
      <c r="D3009" s="310"/>
    </row>
    <row r="3010" spans="1:4" x14ac:dyDescent="0.25">
      <c r="A3010" s="418" t="s">
        <v>12095</v>
      </c>
      <c r="B3010">
        <v>1</v>
      </c>
      <c r="C3010" s="309"/>
      <c r="D3010" s="310"/>
    </row>
    <row r="3011" spans="1:4" x14ac:dyDescent="0.25">
      <c r="A3011" s="418" t="s">
        <v>5859</v>
      </c>
      <c r="B3011">
        <v>3</v>
      </c>
      <c r="C3011" s="309"/>
      <c r="D3011" s="310"/>
    </row>
    <row r="3012" spans="1:4" x14ac:dyDescent="0.25">
      <c r="A3012" s="418" t="s">
        <v>5806</v>
      </c>
      <c r="B3012">
        <v>3</v>
      </c>
      <c r="C3012" s="309"/>
      <c r="D3012" s="310"/>
    </row>
    <row r="3013" spans="1:4" x14ac:dyDescent="0.25">
      <c r="A3013" s="418" t="s">
        <v>6286</v>
      </c>
      <c r="B3013">
        <v>3</v>
      </c>
      <c r="C3013" s="309"/>
      <c r="D3013" s="310"/>
    </row>
    <row r="3014" spans="1:4" x14ac:dyDescent="0.25">
      <c r="A3014" s="418" t="s">
        <v>10514</v>
      </c>
      <c r="B3014">
        <v>3</v>
      </c>
      <c r="C3014" s="309"/>
      <c r="D3014" s="310"/>
    </row>
    <row r="3015" spans="1:4" x14ac:dyDescent="0.25">
      <c r="A3015" s="418" t="s">
        <v>10515</v>
      </c>
      <c r="B3015">
        <v>3</v>
      </c>
      <c r="C3015" s="309"/>
      <c r="D3015" s="310"/>
    </row>
    <row r="3016" spans="1:4" x14ac:dyDescent="0.25">
      <c r="A3016" s="418" t="s">
        <v>16208</v>
      </c>
      <c r="B3016">
        <v>3</v>
      </c>
      <c r="C3016" s="309"/>
      <c r="D3016" s="310"/>
    </row>
    <row r="3017" spans="1:4" x14ac:dyDescent="0.25">
      <c r="A3017" s="418" t="s">
        <v>16209</v>
      </c>
      <c r="B3017">
        <v>1</v>
      </c>
      <c r="C3017" s="309"/>
      <c r="D3017" s="310"/>
    </row>
    <row r="3018" spans="1:4" x14ac:dyDescent="0.25">
      <c r="A3018" s="418" t="s">
        <v>16321</v>
      </c>
      <c r="B3018">
        <v>1</v>
      </c>
      <c r="C3018" s="309"/>
      <c r="D3018" s="310"/>
    </row>
    <row r="3019" spans="1:4" x14ac:dyDescent="0.25">
      <c r="A3019" s="418" t="s">
        <v>16322</v>
      </c>
      <c r="B3019">
        <v>1</v>
      </c>
      <c r="C3019" s="309"/>
      <c r="D3019" s="310"/>
    </row>
    <row r="3020" spans="1:4" x14ac:dyDescent="0.25">
      <c r="A3020" s="418" t="s">
        <v>9997</v>
      </c>
      <c r="B3020">
        <v>3</v>
      </c>
      <c r="C3020" s="309"/>
      <c r="D3020" s="310"/>
    </row>
    <row r="3021" spans="1:4" x14ac:dyDescent="0.25">
      <c r="A3021" s="418" t="s">
        <v>9998</v>
      </c>
      <c r="B3021">
        <v>3</v>
      </c>
      <c r="C3021" s="309"/>
      <c r="D3021" s="310"/>
    </row>
    <row r="3022" spans="1:4" x14ac:dyDescent="0.25">
      <c r="A3022" s="418" t="s">
        <v>11256</v>
      </c>
      <c r="B3022">
        <v>1</v>
      </c>
      <c r="C3022" s="309"/>
      <c r="D3022" s="310"/>
    </row>
    <row r="3023" spans="1:4" x14ac:dyDescent="0.25">
      <c r="A3023" s="418" t="s">
        <v>4812</v>
      </c>
      <c r="B3023">
        <v>4</v>
      </c>
      <c r="C3023" s="309"/>
      <c r="D3023" s="310"/>
    </row>
    <row r="3024" spans="1:4" x14ac:dyDescent="0.25">
      <c r="A3024" s="418" t="s">
        <v>4324</v>
      </c>
      <c r="B3024">
        <v>3</v>
      </c>
      <c r="C3024" s="309"/>
      <c r="D3024" s="310"/>
    </row>
    <row r="3025" spans="1:4" x14ac:dyDescent="0.25">
      <c r="A3025" s="418" t="s">
        <v>4325</v>
      </c>
      <c r="B3025">
        <v>3</v>
      </c>
      <c r="C3025" s="309"/>
      <c r="D3025" s="310"/>
    </row>
    <row r="3026" spans="1:4" x14ac:dyDescent="0.25">
      <c r="A3026" s="418" t="s">
        <v>9082</v>
      </c>
      <c r="B3026">
        <v>2</v>
      </c>
      <c r="C3026" s="309"/>
      <c r="D3026" s="310"/>
    </row>
    <row r="3027" spans="1:4" x14ac:dyDescent="0.25">
      <c r="A3027" s="418" t="s">
        <v>11534</v>
      </c>
      <c r="B3027">
        <v>1</v>
      </c>
      <c r="C3027" s="309"/>
      <c r="D3027" s="310"/>
    </row>
    <row r="3028" spans="1:4" x14ac:dyDescent="0.25">
      <c r="A3028" s="418" t="s">
        <v>9557</v>
      </c>
      <c r="B3028">
        <v>1</v>
      </c>
      <c r="C3028" s="309"/>
      <c r="D3028" s="310"/>
    </row>
    <row r="3029" spans="1:4" x14ac:dyDescent="0.25">
      <c r="A3029" s="418" t="s">
        <v>10014</v>
      </c>
      <c r="B3029">
        <v>1</v>
      </c>
      <c r="C3029" s="309"/>
      <c r="D3029" s="310"/>
    </row>
    <row r="3030" spans="1:4" x14ac:dyDescent="0.25">
      <c r="A3030" s="418" t="s">
        <v>8484</v>
      </c>
      <c r="B3030">
        <v>1</v>
      </c>
      <c r="C3030" s="309"/>
      <c r="D3030" s="310"/>
    </row>
    <row r="3031" spans="1:4" x14ac:dyDescent="0.25">
      <c r="A3031" s="418" t="s">
        <v>8090</v>
      </c>
      <c r="B3031">
        <v>1</v>
      </c>
      <c r="C3031" s="309"/>
      <c r="D3031" s="310"/>
    </row>
    <row r="3032" spans="1:4" x14ac:dyDescent="0.25">
      <c r="A3032" s="418" t="s">
        <v>9083</v>
      </c>
      <c r="B3032">
        <v>3</v>
      </c>
      <c r="C3032" s="309"/>
      <c r="D3032" s="310"/>
    </row>
    <row r="3033" spans="1:4" x14ac:dyDescent="0.25">
      <c r="A3033" s="418" t="s">
        <v>9558</v>
      </c>
      <c r="B3033">
        <v>3</v>
      </c>
      <c r="C3033" s="309"/>
      <c r="D3033" s="310"/>
    </row>
    <row r="3034" spans="1:4" x14ac:dyDescent="0.25">
      <c r="A3034" s="418" t="s">
        <v>8879</v>
      </c>
      <c r="B3034">
        <v>3</v>
      </c>
      <c r="C3034" s="309"/>
      <c r="D3034" s="310"/>
    </row>
    <row r="3035" spans="1:4" x14ac:dyDescent="0.25">
      <c r="A3035" s="418" t="s">
        <v>11341</v>
      </c>
      <c r="B3035">
        <v>1</v>
      </c>
      <c r="C3035" s="309"/>
      <c r="D3035" s="310"/>
    </row>
    <row r="3036" spans="1:4" x14ac:dyDescent="0.25">
      <c r="A3036" s="418" t="s">
        <v>9016</v>
      </c>
      <c r="B3036">
        <v>11</v>
      </c>
      <c r="C3036" s="309"/>
      <c r="D3036" s="310"/>
    </row>
    <row r="3037" spans="1:4" x14ac:dyDescent="0.25">
      <c r="A3037" s="418" t="s">
        <v>9017</v>
      </c>
      <c r="B3037">
        <v>9</v>
      </c>
      <c r="C3037" s="309"/>
      <c r="D3037" s="310"/>
    </row>
    <row r="3038" spans="1:4" x14ac:dyDescent="0.25">
      <c r="A3038" s="418" t="s">
        <v>9018</v>
      </c>
      <c r="B3038">
        <v>5</v>
      </c>
      <c r="C3038" s="309"/>
      <c r="D3038" s="310"/>
    </row>
    <row r="3039" spans="1:4" x14ac:dyDescent="0.25">
      <c r="A3039" s="418" t="s">
        <v>15505</v>
      </c>
      <c r="B3039">
        <v>1</v>
      </c>
      <c r="C3039" s="309"/>
      <c r="D3039" s="310"/>
    </row>
    <row r="3040" spans="1:4" x14ac:dyDescent="0.25">
      <c r="A3040" s="418" t="s">
        <v>15506</v>
      </c>
      <c r="B3040">
        <v>1</v>
      </c>
      <c r="C3040" s="309"/>
      <c r="D3040" s="310"/>
    </row>
    <row r="3041" spans="1:4" x14ac:dyDescent="0.25">
      <c r="A3041" s="418" t="s">
        <v>9870</v>
      </c>
      <c r="B3041">
        <v>5</v>
      </c>
      <c r="C3041" s="309"/>
      <c r="D3041" s="310"/>
    </row>
    <row r="3042" spans="1:4" x14ac:dyDescent="0.25">
      <c r="A3042" s="418" t="s">
        <v>8791</v>
      </c>
      <c r="B3042">
        <v>4</v>
      </c>
      <c r="C3042" s="309"/>
      <c r="D3042" s="310"/>
    </row>
    <row r="3043" spans="1:4" x14ac:dyDescent="0.25">
      <c r="A3043" s="418" t="s">
        <v>12096</v>
      </c>
      <c r="B3043">
        <v>1</v>
      </c>
      <c r="C3043" s="309"/>
      <c r="D3043" s="310"/>
    </row>
    <row r="3044" spans="1:4" x14ac:dyDescent="0.25">
      <c r="A3044" s="418" t="s">
        <v>8815</v>
      </c>
      <c r="B3044">
        <v>2</v>
      </c>
      <c r="C3044" s="309"/>
      <c r="D3044" s="310"/>
    </row>
    <row r="3045" spans="1:4" x14ac:dyDescent="0.25">
      <c r="A3045" s="418" t="s">
        <v>8007</v>
      </c>
      <c r="B3045">
        <v>2</v>
      </c>
      <c r="C3045" s="309"/>
      <c r="D3045" s="310"/>
    </row>
    <row r="3046" spans="1:4" x14ac:dyDescent="0.25">
      <c r="A3046" s="418" t="s">
        <v>9084</v>
      </c>
      <c r="B3046">
        <v>1</v>
      </c>
      <c r="C3046" s="309"/>
      <c r="D3046" s="310"/>
    </row>
    <row r="3047" spans="1:4" x14ac:dyDescent="0.25">
      <c r="A3047" s="418" t="s">
        <v>9559</v>
      </c>
      <c r="B3047">
        <v>6</v>
      </c>
      <c r="C3047" s="309"/>
      <c r="D3047" s="310"/>
    </row>
    <row r="3048" spans="1:4" x14ac:dyDescent="0.25">
      <c r="A3048" s="418" t="s">
        <v>9560</v>
      </c>
      <c r="B3048">
        <v>4</v>
      </c>
      <c r="C3048" s="309"/>
      <c r="D3048" s="310"/>
    </row>
    <row r="3049" spans="1:4" x14ac:dyDescent="0.25">
      <c r="A3049" s="418" t="s">
        <v>10516</v>
      </c>
      <c r="B3049">
        <v>2</v>
      </c>
      <c r="C3049" s="309"/>
      <c r="D3049" s="310"/>
    </row>
    <row r="3050" spans="1:4" x14ac:dyDescent="0.25">
      <c r="A3050" s="418" t="s">
        <v>9185</v>
      </c>
      <c r="B3050">
        <v>1</v>
      </c>
      <c r="C3050" s="309"/>
      <c r="D3050" s="310"/>
    </row>
    <row r="3051" spans="1:4" x14ac:dyDescent="0.25">
      <c r="A3051" s="418" t="s">
        <v>8161</v>
      </c>
      <c r="B3051">
        <v>1</v>
      </c>
      <c r="C3051" s="309"/>
      <c r="D3051" s="310"/>
    </row>
    <row r="3052" spans="1:4" x14ac:dyDescent="0.25">
      <c r="A3052" s="418" t="s">
        <v>9863</v>
      </c>
      <c r="B3052">
        <v>1</v>
      </c>
      <c r="C3052" s="309"/>
      <c r="D3052" s="310"/>
    </row>
    <row r="3053" spans="1:4" x14ac:dyDescent="0.25">
      <c r="A3053" s="418" t="s">
        <v>9999</v>
      </c>
      <c r="B3053">
        <v>2</v>
      </c>
      <c r="C3053" s="309"/>
      <c r="D3053" s="310"/>
    </row>
    <row r="3054" spans="1:4" x14ac:dyDescent="0.25">
      <c r="A3054" s="418" t="s">
        <v>8413</v>
      </c>
      <c r="B3054">
        <v>3</v>
      </c>
      <c r="C3054" s="309"/>
      <c r="D3054" s="310"/>
    </row>
    <row r="3055" spans="1:4" x14ac:dyDescent="0.25">
      <c r="A3055" s="418" t="s">
        <v>11851</v>
      </c>
      <c r="B3055">
        <v>1</v>
      </c>
      <c r="C3055" s="309"/>
      <c r="D3055" s="310"/>
    </row>
    <row r="3056" spans="1:4" x14ac:dyDescent="0.25">
      <c r="A3056" s="418" t="s">
        <v>17109</v>
      </c>
      <c r="B3056">
        <v>1</v>
      </c>
      <c r="C3056" s="309"/>
      <c r="D3056" s="310"/>
    </row>
    <row r="3057" spans="1:4" x14ac:dyDescent="0.25">
      <c r="A3057" s="418" t="s">
        <v>11808</v>
      </c>
      <c r="B3057">
        <v>2</v>
      </c>
      <c r="C3057" s="309"/>
      <c r="D3057" s="310"/>
    </row>
    <row r="3058" spans="1:4" x14ac:dyDescent="0.25">
      <c r="A3058" s="418" t="s">
        <v>8554</v>
      </c>
      <c r="B3058">
        <v>8</v>
      </c>
      <c r="C3058" s="309"/>
      <c r="D3058" s="310"/>
    </row>
    <row r="3059" spans="1:4" x14ac:dyDescent="0.25">
      <c r="A3059" s="418" t="s">
        <v>9085</v>
      </c>
      <c r="B3059">
        <v>7</v>
      </c>
      <c r="C3059" s="309"/>
      <c r="D3059" s="310"/>
    </row>
    <row r="3060" spans="1:4" x14ac:dyDescent="0.25">
      <c r="A3060" s="418" t="s">
        <v>10464</v>
      </c>
      <c r="B3060">
        <v>9</v>
      </c>
      <c r="C3060" s="309"/>
      <c r="D3060" s="310"/>
    </row>
    <row r="3061" spans="1:4" x14ac:dyDescent="0.25">
      <c r="A3061" s="418" t="s">
        <v>12324</v>
      </c>
      <c r="B3061">
        <v>2</v>
      </c>
      <c r="C3061" s="309"/>
      <c r="D3061" s="310"/>
    </row>
    <row r="3062" spans="1:4" x14ac:dyDescent="0.25">
      <c r="A3062" s="418" t="s">
        <v>9019</v>
      </c>
      <c r="B3062">
        <v>1</v>
      </c>
      <c r="C3062" s="309"/>
      <c r="D3062" s="310"/>
    </row>
    <row r="3063" spans="1:4" x14ac:dyDescent="0.25">
      <c r="A3063" s="418" t="s">
        <v>16426</v>
      </c>
      <c r="B3063">
        <v>1</v>
      </c>
      <c r="C3063" s="309"/>
      <c r="D3063" s="310"/>
    </row>
    <row r="3064" spans="1:4" x14ac:dyDescent="0.25">
      <c r="A3064" s="418" t="s">
        <v>16427</v>
      </c>
      <c r="B3064">
        <v>2</v>
      </c>
      <c r="C3064" s="309"/>
      <c r="D3064" s="310"/>
    </row>
    <row r="3065" spans="1:4" x14ac:dyDescent="0.25">
      <c r="A3065" s="418" t="s">
        <v>8187</v>
      </c>
      <c r="B3065">
        <v>2</v>
      </c>
      <c r="C3065" s="309"/>
      <c r="D3065" s="310"/>
    </row>
    <row r="3066" spans="1:4" x14ac:dyDescent="0.25">
      <c r="A3066" s="418" t="s">
        <v>10311</v>
      </c>
      <c r="B3066">
        <v>1</v>
      </c>
      <c r="C3066" s="309"/>
      <c r="D3066" s="310"/>
    </row>
    <row r="3067" spans="1:4" x14ac:dyDescent="0.25">
      <c r="A3067" s="418" t="s">
        <v>9864</v>
      </c>
      <c r="B3067">
        <v>2</v>
      </c>
      <c r="C3067" s="309"/>
      <c r="D3067" s="310"/>
    </row>
    <row r="3068" spans="1:4" x14ac:dyDescent="0.25">
      <c r="A3068" s="418" t="s">
        <v>9810</v>
      </c>
      <c r="B3068">
        <v>2</v>
      </c>
      <c r="C3068" s="309"/>
      <c r="D3068" s="310"/>
    </row>
    <row r="3069" spans="1:4" x14ac:dyDescent="0.25">
      <c r="A3069" s="418" t="s">
        <v>9811</v>
      </c>
      <c r="B3069">
        <v>1</v>
      </c>
      <c r="C3069" s="309"/>
      <c r="D3069" s="310"/>
    </row>
    <row r="3070" spans="1:4" x14ac:dyDescent="0.25">
      <c r="A3070" s="418" t="s">
        <v>10679</v>
      </c>
      <c r="B3070">
        <v>1</v>
      </c>
      <c r="C3070" s="309"/>
      <c r="D3070" s="310"/>
    </row>
    <row r="3071" spans="1:4" x14ac:dyDescent="0.25">
      <c r="A3071" s="418" t="s">
        <v>8414</v>
      </c>
      <c r="B3071">
        <v>2</v>
      </c>
      <c r="C3071" s="309"/>
      <c r="D3071" s="310"/>
    </row>
    <row r="3072" spans="1:4" x14ac:dyDescent="0.25">
      <c r="A3072" s="418" t="s">
        <v>8415</v>
      </c>
      <c r="B3072">
        <v>2</v>
      </c>
      <c r="C3072" s="309"/>
      <c r="D3072" s="310"/>
    </row>
    <row r="3073" spans="1:4" x14ac:dyDescent="0.25">
      <c r="A3073" s="418" t="s">
        <v>10680</v>
      </c>
      <c r="B3073">
        <v>5</v>
      </c>
      <c r="C3073" s="309"/>
      <c r="D3073" s="310"/>
    </row>
    <row r="3074" spans="1:4" x14ac:dyDescent="0.25">
      <c r="A3074" s="418" t="s">
        <v>10681</v>
      </c>
      <c r="B3074">
        <v>3</v>
      </c>
      <c r="C3074" s="309"/>
      <c r="D3074" s="310"/>
    </row>
    <row r="3075" spans="1:4" x14ac:dyDescent="0.25">
      <c r="A3075" s="418" t="s">
        <v>10682</v>
      </c>
      <c r="B3075">
        <v>5</v>
      </c>
      <c r="C3075" s="309"/>
      <c r="D3075" s="310"/>
    </row>
    <row r="3076" spans="1:4" x14ac:dyDescent="0.25">
      <c r="A3076" s="418" t="s">
        <v>16428</v>
      </c>
      <c r="B3076">
        <v>1</v>
      </c>
      <c r="C3076" s="309"/>
      <c r="D3076" s="310"/>
    </row>
    <row r="3077" spans="1:4" x14ac:dyDescent="0.25">
      <c r="A3077" s="418" t="s">
        <v>16429</v>
      </c>
      <c r="B3077">
        <v>1</v>
      </c>
      <c r="C3077" s="309"/>
      <c r="D3077" s="310"/>
    </row>
    <row r="3078" spans="1:4" x14ac:dyDescent="0.25">
      <c r="A3078" s="418" t="s">
        <v>9086</v>
      </c>
      <c r="B3078">
        <v>5</v>
      </c>
      <c r="C3078" s="309"/>
      <c r="D3078" s="310"/>
    </row>
    <row r="3079" spans="1:4" x14ac:dyDescent="0.25">
      <c r="A3079" s="418" t="s">
        <v>9087</v>
      </c>
      <c r="B3079">
        <v>3</v>
      </c>
      <c r="C3079" s="309"/>
      <c r="D3079" s="310"/>
    </row>
    <row r="3080" spans="1:4" x14ac:dyDescent="0.25">
      <c r="A3080" s="418" t="s">
        <v>11109</v>
      </c>
      <c r="B3080">
        <v>4</v>
      </c>
      <c r="C3080" s="309"/>
      <c r="D3080" s="310"/>
    </row>
    <row r="3081" spans="1:4" x14ac:dyDescent="0.25">
      <c r="A3081" s="418" t="s">
        <v>10312</v>
      </c>
      <c r="B3081">
        <v>3</v>
      </c>
      <c r="C3081" s="309"/>
      <c r="D3081" s="310"/>
    </row>
    <row r="3082" spans="1:4" x14ac:dyDescent="0.25">
      <c r="A3082" s="418" t="s">
        <v>9706</v>
      </c>
      <c r="B3082">
        <v>3</v>
      </c>
      <c r="C3082" s="309"/>
      <c r="D3082" s="310"/>
    </row>
    <row r="3083" spans="1:4" x14ac:dyDescent="0.25">
      <c r="A3083" s="418" t="s">
        <v>10465</v>
      </c>
      <c r="B3083">
        <v>1</v>
      </c>
      <c r="C3083" s="309"/>
      <c r="D3083" s="310"/>
    </row>
    <row r="3084" spans="1:4" x14ac:dyDescent="0.25">
      <c r="A3084" s="418" t="s">
        <v>11358</v>
      </c>
      <c r="B3084">
        <v>3</v>
      </c>
      <c r="C3084" s="309"/>
      <c r="D3084" s="310"/>
    </row>
    <row r="3085" spans="1:4" x14ac:dyDescent="0.25">
      <c r="A3085" s="418" t="s">
        <v>9561</v>
      </c>
      <c r="B3085">
        <v>1</v>
      </c>
      <c r="C3085" s="309"/>
      <c r="D3085" s="310"/>
    </row>
    <row r="3086" spans="1:4" x14ac:dyDescent="0.25">
      <c r="A3086" s="418" t="s">
        <v>9562</v>
      </c>
      <c r="B3086">
        <v>1</v>
      </c>
      <c r="C3086" s="309"/>
      <c r="D3086" s="310"/>
    </row>
    <row r="3087" spans="1:4" x14ac:dyDescent="0.25">
      <c r="A3087" s="418" t="s">
        <v>9563</v>
      </c>
      <c r="B3087">
        <v>1</v>
      </c>
      <c r="C3087" s="309"/>
      <c r="D3087" s="310"/>
    </row>
    <row r="3088" spans="1:4" x14ac:dyDescent="0.25">
      <c r="A3088" s="418" t="s">
        <v>8781</v>
      </c>
      <c r="B3088">
        <v>4</v>
      </c>
      <c r="C3088" s="309"/>
      <c r="D3088" s="310"/>
    </row>
    <row r="3089" spans="1:4" x14ac:dyDescent="0.25">
      <c r="A3089" s="418" t="s">
        <v>8782</v>
      </c>
      <c r="B3089">
        <v>1</v>
      </c>
      <c r="C3089" s="309"/>
      <c r="D3089" s="310"/>
    </row>
    <row r="3090" spans="1:4" x14ac:dyDescent="0.25">
      <c r="A3090" s="418" t="s">
        <v>9812</v>
      </c>
      <c r="B3090">
        <v>1</v>
      </c>
      <c r="C3090" s="309"/>
      <c r="D3090" s="310"/>
    </row>
    <row r="3091" spans="1:4" x14ac:dyDescent="0.25">
      <c r="A3091" s="418" t="s">
        <v>10517</v>
      </c>
      <c r="B3091">
        <v>4</v>
      </c>
      <c r="C3091" s="309"/>
      <c r="D3091" s="310"/>
    </row>
    <row r="3092" spans="1:4" x14ac:dyDescent="0.25">
      <c r="A3092" s="418" t="s">
        <v>10518</v>
      </c>
      <c r="B3092">
        <v>3</v>
      </c>
      <c r="C3092" s="309"/>
      <c r="D3092" s="310"/>
    </row>
    <row r="3093" spans="1:4" x14ac:dyDescent="0.25">
      <c r="A3093" s="418" t="s">
        <v>10519</v>
      </c>
      <c r="B3093">
        <v>2</v>
      </c>
      <c r="C3093" s="309"/>
      <c r="D3093" s="310"/>
    </row>
    <row r="3094" spans="1:4" x14ac:dyDescent="0.25">
      <c r="A3094" s="418" t="s">
        <v>12245</v>
      </c>
      <c r="B3094">
        <v>2</v>
      </c>
      <c r="C3094" s="309"/>
      <c r="D3094" s="310"/>
    </row>
    <row r="3095" spans="1:4" x14ac:dyDescent="0.25">
      <c r="A3095" s="418" t="s">
        <v>15676</v>
      </c>
      <c r="B3095">
        <v>1</v>
      </c>
      <c r="C3095" s="309"/>
      <c r="D3095" s="310"/>
    </row>
    <row r="3096" spans="1:4" x14ac:dyDescent="0.25">
      <c r="A3096" s="418" t="s">
        <v>10520</v>
      </c>
      <c r="B3096">
        <v>3</v>
      </c>
      <c r="C3096" s="309"/>
      <c r="D3096" s="310"/>
    </row>
    <row r="3097" spans="1:4" x14ac:dyDescent="0.25">
      <c r="A3097" s="418" t="s">
        <v>10683</v>
      </c>
      <c r="B3097">
        <v>2</v>
      </c>
      <c r="C3097" s="309"/>
      <c r="D3097" s="310"/>
    </row>
    <row r="3098" spans="1:4" x14ac:dyDescent="0.25">
      <c r="A3098" s="418" t="s">
        <v>9813</v>
      </c>
      <c r="B3098">
        <v>3</v>
      </c>
      <c r="C3098" s="309"/>
      <c r="D3098" s="310"/>
    </row>
    <row r="3099" spans="1:4" x14ac:dyDescent="0.25">
      <c r="A3099" s="418" t="s">
        <v>9814</v>
      </c>
      <c r="B3099">
        <v>2</v>
      </c>
      <c r="C3099" s="309"/>
      <c r="D3099" s="310"/>
    </row>
    <row r="3100" spans="1:4" x14ac:dyDescent="0.25">
      <c r="A3100" s="418" t="s">
        <v>16097</v>
      </c>
      <c r="B3100">
        <v>3</v>
      </c>
      <c r="C3100" s="309"/>
      <c r="D3100" s="310"/>
    </row>
    <row r="3101" spans="1:4" x14ac:dyDescent="0.25">
      <c r="A3101" s="418" t="s">
        <v>16098</v>
      </c>
      <c r="B3101">
        <v>3</v>
      </c>
      <c r="C3101" s="309"/>
      <c r="D3101" s="310"/>
    </row>
    <row r="3102" spans="1:4" x14ac:dyDescent="0.25">
      <c r="A3102" s="418" t="s">
        <v>16099</v>
      </c>
      <c r="B3102">
        <v>1</v>
      </c>
      <c r="C3102" s="309"/>
      <c r="D3102" s="310"/>
    </row>
    <row r="3103" spans="1:4" x14ac:dyDescent="0.25">
      <c r="A3103" s="418" t="s">
        <v>16100</v>
      </c>
      <c r="B3103">
        <v>2</v>
      </c>
      <c r="C3103" s="309"/>
      <c r="D3103" s="310"/>
    </row>
    <row r="3104" spans="1:4" x14ac:dyDescent="0.25">
      <c r="A3104" s="418" t="s">
        <v>16101</v>
      </c>
      <c r="B3104">
        <v>2</v>
      </c>
      <c r="C3104" s="309"/>
      <c r="D3104" s="310"/>
    </row>
    <row r="3105" spans="1:4" x14ac:dyDescent="0.25">
      <c r="A3105" s="418" t="s">
        <v>16102</v>
      </c>
      <c r="B3105">
        <v>1</v>
      </c>
      <c r="C3105" s="309"/>
      <c r="D3105" s="310"/>
    </row>
    <row r="3106" spans="1:4" x14ac:dyDescent="0.25">
      <c r="A3106" s="418" t="s">
        <v>16103</v>
      </c>
      <c r="B3106">
        <v>2</v>
      </c>
      <c r="C3106" s="309"/>
      <c r="D3106" s="310"/>
    </row>
    <row r="3107" spans="1:4" x14ac:dyDescent="0.25">
      <c r="A3107" s="418" t="s">
        <v>16104</v>
      </c>
      <c r="B3107">
        <v>2</v>
      </c>
      <c r="C3107" s="309"/>
      <c r="D3107" s="310"/>
    </row>
    <row r="3108" spans="1:4" x14ac:dyDescent="0.25">
      <c r="A3108" s="418" t="s">
        <v>16105</v>
      </c>
      <c r="B3108">
        <v>2</v>
      </c>
      <c r="C3108" s="309"/>
      <c r="D3108" s="310"/>
    </row>
    <row r="3109" spans="1:4" x14ac:dyDescent="0.25">
      <c r="A3109" s="418" t="s">
        <v>16106</v>
      </c>
      <c r="B3109">
        <v>1</v>
      </c>
      <c r="C3109" s="309"/>
      <c r="D3109" s="310"/>
    </row>
    <row r="3110" spans="1:4" x14ac:dyDescent="0.25">
      <c r="A3110" s="418" t="s">
        <v>16107</v>
      </c>
      <c r="B3110">
        <v>2</v>
      </c>
      <c r="C3110" s="309"/>
      <c r="D3110" s="310"/>
    </row>
    <row r="3111" spans="1:4" x14ac:dyDescent="0.25">
      <c r="A3111" s="418" t="s">
        <v>10684</v>
      </c>
      <c r="B3111">
        <v>5</v>
      </c>
      <c r="C3111" s="309"/>
      <c r="D3111" s="310"/>
    </row>
    <row r="3112" spans="1:4" x14ac:dyDescent="0.25">
      <c r="A3112" s="418" t="s">
        <v>10685</v>
      </c>
      <c r="B3112">
        <v>4</v>
      </c>
      <c r="C3112" s="309"/>
      <c r="D3112" s="310"/>
    </row>
    <row r="3113" spans="1:4" x14ac:dyDescent="0.25">
      <c r="A3113" s="418" t="s">
        <v>15507</v>
      </c>
      <c r="B3113">
        <v>1</v>
      </c>
      <c r="C3113" s="309"/>
      <c r="D3113" s="310"/>
    </row>
    <row r="3114" spans="1:4" x14ac:dyDescent="0.25">
      <c r="A3114" s="418" t="s">
        <v>15508</v>
      </c>
      <c r="B3114">
        <v>1</v>
      </c>
      <c r="C3114" s="309"/>
      <c r="D3114" s="310"/>
    </row>
    <row r="3115" spans="1:4" x14ac:dyDescent="0.25">
      <c r="A3115" s="418" t="s">
        <v>8318</v>
      </c>
      <c r="B3115">
        <v>1</v>
      </c>
      <c r="C3115" s="309"/>
      <c r="D3115" s="310"/>
    </row>
    <row r="3116" spans="1:4" x14ac:dyDescent="0.25">
      <c r="A3116" s="418" t="s">
        <v>8319</v>
      </c>
      <c r="B3116">
        <v>1</v>
      </c>
      <c r="C3116" s="309"/>
      <c r="D3116" s="310"/>
    </row>
    <row r="3117" spans="1:4" x14ac:dyDescent="0.25">
      <c r="A3117" s="418" t="s">
        <v>8555</v>
      </c>
      <c r="B3117">
        <v>7</v>
      </c>
      <c r="C3117" s="309"/>
      <c r="D3117" s="310"/>
    </row>
    <row r="3118" spans="1:4" x14ac:dyDescent="0.25">
      <c r="A3118" s="418" t="s">
        <v>8556</v>
      </c>
      <c r="B3118">
        <v>6</v>
      </c>
      <c r="C3118" s="309"/>
      <c r="D3118" s="310"/>
    </row>
    <row r="3119" spans="1:4" x14ac:dyDescent="0.25">
      <c r="A3119" s="418" t="s">
        <v>8557</v>
      </c>
      <c r="B3119">
        <v>5</v>
      </c>
      <c r="C3119" s="309"/>
      <c r="D3119" s="310"/>
    </row>
    <row r="3120" spans="1:4" x14ac:dyDescent="0.25">
      <c r="A3120" s="418" t="s">
        <v>16841</v>
      </c>
      <c r="B3120">
        <v>1</v>
      </c>
      <c r="C3120" s="309"/>
      <c r="D3120" s="310"/>
    </row>
    <row r="3121" spans="1:4" x14ac:dyDescent="0.25">
      <c r="A3121" s="418" t="s">
        <v>11425</v>
      </c>
      <c r="B3121">
        <v>1</v>
      </c>
      <c r="C3121" s="309"/>
      <c r="D3121" s="310"/>
    </row>
    <row r="3122" spans="1:4" x14ac:dyDescent="0.25">
      <c r="A3122" s="418" t="s">
        <v>10995</v>
      </c>
      <c r="B3122">
        <v>1</v>
      </c>
      <c r="C3122" s="309"/>
      <c r="D3122" s="310"/>
    </row>
    <row r="3123" spans="1:4" x14ac:dyDescent="0.25">
      <c r="A3123" s="418" t="s">
        <v>10996</v>
      </c>
      <c r="B3123">
        <v>1</v>
      </c>
      <c r="C3123" s="309"/>
      <c r="D3123" s="310"/>
    </row>
    <row r="3124" spans="1:4" x14ac:dyDescent="0.25">
      <c r="A3124" s="418" t="s">
        <v>8694</v>
      </c>
      <c r="B3124">
        <v>4</v>
      </c>
      <c r="C3124" s="309"/>
      <c r="D3124" s="310"/>
    </row>
    <row r="3125" spans="1:4" x14ac:dyDescent="0.25">
      <c r="A3125" s="418" t="s">
        <v>8375</v>
      </c>
      <c r="B3125">
        <v>3</v>
      </c>
      <c r="C3125" s="309"/>
      <c r="D3125" s="310"/>
    </row>
    <row r="3126" spans="1:4" x14ac:dyDescent="0.25">
      <c r="A3126" s="418" t="s">
        <v>9564</v>
      </c>
      <c r="B3126">
        <v>2</v>
      </c>
      <c r="C3126" s="309"/>
      <c r="D3126" s="310"/>
    </row>
    <row r="3127" spans="1:4" x14ac:dyDescent="0.25">
      <c r="A3127" s="418" t="s">
        <v>9565</v>
      </c>
      <c r="B3127">
        <v>4</v>
      </c>
      <c r="C3127" s="309"/>
      <c r="D3127" s="310"/>
    </row>
    <row r="3128" spans="1:4" x14ac:dyDescent="0.25">
      <c r="A3128" s="418" t="s">
        <v>9847</v>
      </c>
      <c r="B3128">
        <v>3</v>
      </c>
      <c r="C3128" s="309"/>
      <c r="D3128" s="310"/>
    </row>
    <row r="3129" spans="1:4" x14ac:dyDescent="0.25">
      <c r="A3129" s="418" t="s">
        <v>9926</v>
      </c>
      <c r="B3129">
        <v>3</v>
      </c>
      <c r="C3129" s="309"/>
      <c r="D3129" s="310"/>
    </row>
    <row r="3130" spans="1:4" x14ac:dyDescent="0.25">
      <c r="A3130" s="418" t="s">
        <v>8352</v>
      </c>
      <c r="B3130">
        <v>1</v>
      </c>
      <c r="C3130" s="309"/>
      <c r="D3130" s="310"/>
    </row>
    <row r="3131" spans="1:4" x14ac:dyDescent="0.25">
      <c r="A3131" s="418" t="s">
        <v>8353</v>
      </c>
      <c r="B3131">
        <v>1</v>
      </c>
      <c r="C3131" s="309"/>
      <c r="D3131" s="310"/>
    </row>
    <row r="3132" spans="1:4" x14ac:dyDescent="0.25">
      <c r="A3132" s="418" t="s">
        <v>10686</v>
      </c>
      <c r="B3132">
        <v>4</v>
      </c>
      <c r="C3132" s="309"/>
      <c r="D3132" s="310"/>
    </row>
    <row r="3133" spans="1:4" x14ac:dyDescent="0.25">
      <c r="A3133" s="418" t="s">
        <v>9815</v>
      </c>
      <c r="B3133">
        <v>4</v>
      </c>
      <c r="C3133" s="309"/>
      <c r="D3133" s="310"/>
    </row>
    <row r="3134" spans="1:4" x14ac:dyDescent="0.25">
      <c r="A3134" s="418" t="s">
        <v>16430</v>
      </c>
      <c r="B3134">
        <v>1</v>
      </c>
      <c r="C3134" s="309"/>
      <c r="D3134" s="310"/>
    </row>
    <row r="3135" spans="1:4" x14ac:dyDescent="0.25">
      <c r="A3135" s="418" t="s">
        <v>10687</v>
      </c>
      <c r="B3135">
        <v>1</v>
      </c>
      <c r="C3135" s="309"/>
      <c r="D3135" s="310"/>
    </row>
    <row r="3136" spans="1:4" x14ac:dyDescent="0.25">
      <c r="A3136" s="418" t="s">
        <v>15424</v>
      </c>
      <c r="B3136">
        <v>1</v>
      </c>
      <c r="C3136" s="309"/>
      <c r="D3136" s="310"/>
    </row>
    <row r="3137" spans="1:4" x14ac:dyDescent="0.25">
      <c r="A3137" s="418" t="s">
        <v>11061</v>
      </c>
      <c r="B3137">
        <v>2</v>
      </c>
      <c r="C3137" s="309"/>
      <c r="D3137" s="310"/>
    </row>
    <row r="3138" spans="1:4" x14ac:dyDescent="0.25">
      <c r="A3138" s="418" t="s">
        <v>10194</v>
      </c>
      <c r="B3138">
        <v>1</v>
      </c>
      <c r="C3138" s="309"/>
      <c r="D3138" s="310"/>
    </row>
    <row r="3139" spans="1:4" x14ac:dyDescent="0.25">
      <c r="A3139" s="418" t="s">
        <v>10195</v>
      </c>
      <c r="B3139">
        <v>1</v>
      </c>
      <c r="C3139" s="309"/>
      <c r="D3139" s="310"/>
    </row>
    <row r="3140" spans="1:4" x14ac:dyDescent="0.25">
      <c r="A3140" s="418" t="s">
        <v>8354</v>
      </c>
      <c r="B3140">
        <v>1</v>
      </c>
      <c r="C3140" s="309"/>
      <c r="D3140" s="310"/>
    </row>
    <row r="3141" spans="1:4" x14ac:dyDescent="0.25">
      <c r="A3141" s="418" t="s">
        <v>9927</v>
      </c>
      <c r="B3141">
        <v>1</v>
      </c>
      <c r="C3141" s="309"/>
      <c r="D3141" s="310"/>
    </row>
    <row r="3142" spans="1:4" x14ac:dyDescent="0.25">
      <c r="A3142" s="418" t="s">
        <v>7055</v>
      </c>
      <c r="B3142">
        <v>3</v>
      </c>
      <c r="C3142" s="309"/>
      <c r="D3142" s="310"/>
    </row>
    <row r="3143" spans="1:4" x14ac:dyDescent="0.25">
      <c r="A3143" s="418" t="s">
        <v>7343</v>
      </c>
      <c r="B3143">
        <v>3</v>
      </c>
      <c r="C3143" s="309"/>
      <c r="D3143" s="310"/>
    </row>
    <row r="3144" spans="1:4" x14ac:dyDescent="0.25">
      <c r="A3144" s="418" t="s">
        <v>7094</v>
      </c>
      <c r="B3144">
        <v>3</v>
      </c>
      <c r="C3144" s="309"/>
      <c r="D3144" s="310"/>
    </row>
    <row r="3145" spans="1:4" x14ac:dyDescent="0.25">
      <c r="A3145" s="418" t="s">
        <v>9871</v>
      </c>
      <c r="B3145">
        <v>4</v>
      </c>
      <c r="C3145" s="309"/>
      <c r="D3145" s="310"/>
    </row>
    <row r="3146" spans="1:4" x14ac:dyDescent="0.25">
      <c r="A3146" s="418" t="s">
        <v>9872</v>
      </c>
      <c r="B3146">
        <v>4</v>
      </c>
      <c r="C3146" s="309"/>
      <c r="D3146" s="310"/>
    </row>
    <row r="3147" spans="1:4" x14ac:dyDescent="0.25">
      <c r="A3147" s="418" t="s">
        <v>8485</v>
      </c>
      <c r="B3147">
        <v>3</v>
      </c>
      <c r="C3147" s="309"/>
      <c r="D3147" s="310"/>
    </row>
    <row r="3148" spans="1:4" x14ac:dyDescent="0.25">
      <c r="A3148" s="418" t="s">
        <v>10248</v>
      </c>
      <c r="B3148">
        <v>1</v>
      </c>
      <c r="C3148" s="309"/>
      <c r="D3148" s="310"/>
    </row>
    <row r="3149" spans="1:4" x14ac:dyDescent="0.25">
      <c r="A3149" s="418" t="s">
        <v>10997</v>
      </c>
      <c r="B3149">
        <v>1</v>
      </c>
      <c r="C3149" s="309"/>
      <c r="D3149" s="310"/>
    </row>
    <row r="3150" spans="1:4" x14ac:dyDescent="0.25">
      <c r="A3150" s="418" t="s">
        <v>9615</v>
      </c>
      <c r="B3150">
        <v>8</v>
      </c>
      <c r="C3150" s="309"/>
      <c r="D3150" s="310"/>
    </row>
    <row r="3151" spans="1:4" x14ac:dyDescent="0.25">
      <c r="A3151" s="418" t="s">
        <v>10521</v>
      </c>
      <c r="B3151">
        <v>7</v>
      </c>
      <c r="C3151" s="309"/>
      <c r="D3151" s="310"/>
    </row>
    <row r="3152" spans="1:4" x14ac:dyDescent="0.25">
      <c r="A3152" s="418" t="s">
        <v>17110</v>
      </c>
      <c r="B3152">
        <v>1</v>
      </c>
      <c r="C3152" s="309"/>
      <c r="D3152" s="310"/>
    </row>
    <row r="3153" spans="1:4" x14ac:dyDescent="0.25">
      <c r="A3153" s="418" t="s">
        <v>12325</v>
      </c>
      <c r="B3153">
        <v>1</v>
      </c>
      <c r="C3153" s="309"/>
      <c r="D3153" s="310"/>
    </row>
    <row r="3154" spans="1:4" x14ac:dyDescent="0.25">
      <c r="A3154" s="418" t="s">
        <v>8320</v>
      </c>
      <c r="B3154">
        <v>2</v>
      </c>
      <c r="C3154" s="309"/>
      <c r="D3154" s="310"/>
    </row>
    <row r="3155" spans="1:4" x14ac:dyDescent="0.25">
      <c r="A3155" s="418" t="s">
        <v>9020</v>
      </c>
      <c r="B3155">
        <v>3</v>
      </c>
      <c r="C3155" s="309"/>
      <c r="D3155" s="310"/>
    </row>
    <row r="3156" spans="1:4" x14ac:dyDescent="0.25">
      <c r="A3156" s="418" t="s">
        <v>9021</v>
      </c>
      <c r="B3156">
        <v>1</v>
      </c>
      <c r="C3156" s="309"/>
      <c r="D3156" s="310"/>
    </row>
    <row r="3157" spans="1:4" x14ac:dyDescent="0.25">
      <c r="A3157" s="418" t="s">
        <v>10577</v>
      </c>
      <c r="B3157">
        <v>6</v>
      </c>
      <c r="C3157" s="309"/>
      <c r="D3157" s="310"/>
    </row>
    <row r="3158" spans="1:4" x14ac:dyDescent="0.25">
      <c r="A3158" s="418" t="s">
        <v>10578</v>
      </c>
      <c r="B3158">
        <v>5</v>
      </c>
      <c r="C3158" s="309"/>
      <c r="D3158" s="310"/>
    </row>
    <row r="3159" spans="1:4" x14ac:dyDescent="0.25">
      <c r="A3159" s="418" t="s">
        <v>16019</v>
      </c>
      <c r="B3159">
        <v>2</v>
      </c>
      <c r="C3159" s="309"/>
      <c r="D3159" s="310"/>
    </row>
    <row r="3160" spans="1:4" x14ac:dyDescent="0.25">
      <c r="A3160" s="418" t="s">
        <v>10579</v>
      </c>
      <c r="B3160">
        <v>8</v>
      </c>
      <c r="C3160" s="309"/>
      <c r="D3160" s="310"/>
    </row>
    <row r="3161" spans="1:4" x14ac:dyDescent="0.25">
      <c r="A3161" s="418" t="s">
        <v>9446</v>
      </c>
      <c r="B3161">
        <v>15</v>
      </c>
      <c r="C3161" s="309"/>
      <c r="D3161" s="310"/>
    </row>
    <row r="3162" spans="1:4" x14ac:dyDescent="0.25">
      <c r="A3162" s="418" t="s">
        <v>9447</v>
      </c>
      <c r="B3162">
        <v>15</v>
      </c>
      <c r="C3162" s="309"/>
      <c r="D3162" s="310"/>
    </row>
    <row r="3163" spans="1:4" x14ac:dyDescent="0.25">
      <c r="A3163" s="418" t="s">
        <v>10133</v>
      </c>
      <c r="B3163">
        <v>16</v>
      </c>
      <c r="C3163" s="309"/>
      <c r="D3163" s="310"/>
    </row>
    <row r="3164" spans="1:4" x14ac:dyDescent="0.25">
      <c r="A3164" s="418" t="s">
        <v>9448</v>
      </c>
      <c r="B3164">
        <v>7</v>
      </c>
      <c r="C3164" s="309"/>
      <c r="D3164" s="310"/>
    </row>
    <row r="3165" spans="1:4" x14ac:dyDescent="0.25">
      <c r="A3165" s="418" t="s">
        <v>11966</v>
      </c>
      <c r="B3165">
        <v>1</v>
      </c>
      <c r="C3165" s="309"/>
      <c r="D3165" s="310"/>
    </row>
    <row r="3166" spans="1:4" x14ac:dyDescent="0.25">
      <c r="A3166" s="418" t="s">
        <v>10830</v>
      </c>
      <c r="B3166">
        <v>1</v>
      </c>
      <c r="C3166" s="309"/>
      <c r="D3166" s="310"/>
    </row>
    <row r="3167" spans="1:4" x14ac:dyDescent="0.25">
      <c r="A3167" s="418" t="s">
        <v>9088</v>
      </c>
      <c r="B3167">
        <v>6</v>
      </c>
      <c r="C3167" s="309"/>
      <c r="D3167" s="310"/>
    </row>
    <row r="3168" spans="1:4" x14ac:dyDescent="0.25">
      <c r="A3168" s="418" t="s">
        <v>9089</v>
      </c>
      <c r="B3168">
        <v>6</v>
      </c>
      <c r="C3168" s="309"/>
      <c r="D3168" s="310"/>
    </row>
    <row r="3169" spans="1:4" x14ac:dyDescent="0.25">
      <c r="A3169" s="418" t="s">
        <v>9090</v>
      </c>
      <c r="B3169">
        <v>3</v>
      </c>
      <c r="C3169" s="309"/>
      <c r="D3169" s="310"/>
    </row>
    <row r="3170" spans="1:4" x14ac:dyDescent="0.25">
      <c r="A3170" s="418" t="s">
        <v>10688</v>
      </c>
      <c r="B3170">
        <v>4</v>
      </c>
      <c r="C3170" s="309"/>
      <c r="D3170" s="310"/>
    </row>
    <row r="3171" spans="1:4" x14ac:dyDescent="0.25">
      <c r="A3171" s="418" t="s">
        <v>8355</v>
      </c>
      <c r="B3171">
        <v>1</v>
      </c>
      <c r="C3171" s="309"/>
      <c r="D3171" s="310"/>
    </row>
    <row r="3172" spans="1:4" x14ac:dyDescent="0.25">
      <c r="A3172" s="418" t="s">
        <v>8635</v>
      </c>
      <c r="B3172">
        <v>4</v>
      </c>
      <c r="C3172" s="309"/>
      <c r="D3172" s="310"/>
    </row>
    <row r="3173" spans="1:4" x14ac:dyDescent="0.25">
      <c r="A3173" s="418" t="s">
        <v>8321</v>
      </c>
      <c r="B3173">
        <v>5</v>
      </c>
      <c r="C3173" s="309"/>
      <c r="D3173" s="310"/>
    </row>
    <row r="3174" spans="1:4" x14ac:dyDescent="0.25">
      <c r="A3174" s="418" t="s">
        <v>10313</v>
      </c>
      <c r="B3174">
        <v>2</v>
      </c>
      <c r="C3174" s="309"/>
      <c r="D3174" s="310"/>
    </row>
    <row r="3175" spans="1:4" x14ac:dyDescent="0.25">
      <c r="A3175" s="418" t="s">
        <v>10689</v>
      </c>
      <c r="B3175">
        <v>1</v>
      </c>
      <c r="C3175" s="309"/>
      <c r="D3175" s="310"/>
    </row>
    <row r="3176" spans="1:4" x14ac:dyDescent="0.25">
      <c r="A3176" s="418" t="s">
        <v>9201</v>
      </c>
      <c r="B3176">
        <v>1</v>
      </c>
      <c r="C3176" s="309"/>
      <c r="D3176" s="310"/>
    </row>
    <row r="3177" spans="1:4" x14ac:dyDescent="0.25">
      <c r="A3177" s="418" t="s">
        <v>9202</v>
      </c>
      <c r="B3177">
        <v>1</v>
      </c>
      <c r="C3177" s="309"/>
      <c r="D3177" s="310"/>
    </row>
    <row r="3178" spans="1:4" x14ac:dyDescent="0.25">
      <c r="A3178" s="418" t="s">
        <v>16431</v>
      </c>
      <c r="B3178">
        <v>1</v>
      </c>
      <c r="C3178" s="309"/>
      <c r="D3178" s="310"/>
    </row>
    <row r="3179" spans="1:4" x14ac:dyDescent="0.25">
      <c r="A3179" s="418" t="s">
        <v>16432</v>
      </c>
      <c r="B3179">
        <v>1</v>
      </c>
      <c r="C3179" s="309"/>
      <c r="D3179" s="310"/>
    </row>
    <row r="3180" spans="1:4" x14ac:dyDescent="0.25">
      <c r="A3180" s="418" t="s">
        <v>16433</v>
      </c>
      <c r="B3180">
        <v>1</v>
      </c>
      <c r="C3180" s="309"/>
      <c r="D3180" s="310"/>
    </row>
    <row r="3181" spans="1:4" x14ac:dyDescent="0.25">
      <c r="A3181" s="418" t="s">
        <v>16323</v>
      </c>
      <c r="B3181">
        <v>1</v>
      </c>
      <c r="C3181" s="309"/>
      <c r="D3181" s="310"/>
    </row>
    <row r="3182" spans="1:4" x14ac:dyDescent="0.25">
      <c r="A3182" s="418" t="s">
        <v>4486</v>
      </c>
      <c r="B3182">
        <v>1</v>
      </c>
      <c r="C3182" s="309"/>
      <c r="D3182" s="310"/>
    </row>
    <row r="3183" spans="1:4" x14ac:dyDescent="0.25">
      <c r="A3183" s="418" t="s">
        <v>12434</v>
      </c>
      <c r="B3183">
        <v>3</v>
      </c>
      <c r="C3183" s="309"/>
      <c r="D3183" s="310"/>
    </row>
    <row r="3184" spans="1:4" x14ac:dyDescent="0.25">
      <c r="A3184" s="418" t="s">
        <v>12012</v>
      </c>
      <c r="B3184">
        <v>3</v>
      </c>
      <c r="C3184" s="309"/>
      <c r="D3184" s="310"/>
    </row>
    <row r="3185" spans="1:4" x14ac:dyDescent="0.25">
      <c r="A3185" s="418" t="s">
        <v>9022</v>
      </c>
      <c r="B3185">
        <v>3</v>
      </c>
      <c r="C3185" s="309"/>
      <c r="D3185" s="310"/>
    </row>
    <row r="3186" spans="1:4" x14ac:dyDescent="0.25">
      <c r="A3186" s="418" t="s">
        <v>10690</v>
      </c>
      <c r="B3186">
        <v>1</v>
      </c>
      <c r="C3186" s="309"/>
      <c r="D3186" s="310"/>
    </row>
    <row r="3187" spans="1:4" x14ac:dyDescent="0.25">
      <c r="A3187" s="418" t="s">
        <v>10691</v>
      </c>
      <c r="B3187">
        <v>1</v>
      </c>
      <c r="C3187" s="309"/>
      <c r="D3187" s="310"/>
    </row>
    <row r="3188" spans="1:4" x14ac:dyDescent="0.25">
      <c r="A3188" s="418" t="s">
        <v>9616</v>
      </c>
      <c r="B3188">
        <v>3</v>
      </c>
      <c r="C3188" s="309"/>
      <c r="D3188" s="310"/>
    </row>
    <row r="3189" spans="1:4" x14ac:dyDescent="0.25">
      <c r="A3189" s="418" t="s">
        <v>9928</v>
      </c>
      <c r="B3189">
        <v>2</v>
      </c>
      <c r="C3189" s="309"/>
      <c r="D3189" s="310"/>
    </row>
    <row r="3190" spans="1:4" x14ac:dyDescent="0.25">
      <c r="A3190" s="418" t="s">
        <v>10998</v>
      </c>
      <c r="B3190">
        <v>2</v>
      </c>
      <c r="C3190" s="309"/>
      <c r="D3190" s="310"/>
    </row>
    <row r="3191" spans="1:4" x14ac:dyDescent="0.25">
      <c r="A3191" s="418" t="s">
        <v>10692</v>
      </c>
      <c r="B3191">
        <v>1</v>
      </c>
      <c r="C3191" s="309"/>
      <c r="D3191" s="310"/>
    </row>
    <row r="3192" spans="1:4" x14ac:dyDescent="0.25">
      <c r="A3192" s="418" t="s">
        <v>10693</v>
      </c>
      <c r="B3192">
        <v>1</v>
      </c>
      <c r="C3192" s="309"/>
      <c r="D3192" s="310"/>
    </row>
    <row r="3193" spans="1:4" x14ac:dyDescent="0.25">
      <c r="A3193" s="418" t="s">
        <v>9091</v>
      </c>
      <c r="B3193">
        <v>1</v>
      </c>
      <c r="C3193" s="309"/>
      <c r="D3193" s="310"/>
    </row>
    <row r="3194" spans="1:4" x14ac:dyDescent="0.25">
      <c r="A3194" s="418" t="s">
        <v>9092</v>
      </c>
      <c r="B3194">
        <v>1</v>
      </c>
      <c r="C3194" s="309"/>
      <c r="D3194" s="310"/>
    </row>
    <row r="3195" spans="1:4" x14ac:dyDescent="0.25">
      <c r="A3195" s="418" t="s">
        <v>9093</v>
      </c>
      <c r="B3195">
        <v>29</v>
      </c>
      <c r="C3195" s="309"/>
      <c r="D3195" s="310"/>
    </row>
    <row r="3196" spans="1:4" x14ac:dyDescent="0.25">
      <c r="A3196" s="418" t="s">
        <v>9094</v>
      </c>
      <c r="B3196">
        <v>29</v>
      </c>
      <c r="C3196" s="309"/>
      <c r="D3196" s="310"/>
    </row>
    <row r="3197" spans="1:4" x14ac:dyDescent="0.25">
      <c r="A3197" s="418" t="s">
        <v>9095</v>
      </c>
      <c r="B3197">
        <v>31</v>
      </c>
      <c r="C3197" s="309"/>
      <c r="D3197" s="310"/>
    </row>
    <row r="3198" spans="1:4" x14ac:dyDescent="0.25">
      <c r="A3198" s="418" t="s">
        <v>10694</v>
      </c>
      <c r="B3198">
        <v>10</v>
      </c>
      <c r="C3198" s="309"/>
      <c r="D3198" s="310"/>
    </row>
    <row r="3199" spans="1:4" x14ac:dyDescent="0.25">
      <c r="A3199" s="418" t="s">
        <v>8587</v>
      </c>
      <c r="B3199">
        <v>6</v>
      </c>
      <c r="C3199" s="309"/>
      <c r="D3199" s="310"/>
    </row>
    <row r="3200" spans="1:4" x14ac:dyDescent="0.25">
      <c r="A3200" s="418" t="s">
        <v>8683</v>
      </c>
      <c r="B3200">
        <v>3</v>
      </c>
      <c r="C3200" s="309"/>
      <c r="D3200" s="310"/>
    </row>
    <row r="3201" spans="1:4" x14ac:dyDescent="0.25">
      <c r="A3201" s="418" t="s">
        <v>10999</v>
      </c>
      <c r="B3201">
        <v>6</v>
      </c>
      <c r="C3201" s="309"/>
      <c r="D3201" s="310"/>
    </row>
    <row r="3202" spans="1:4" x14ac:dyDescent="0.25">
      <c r="A3202" s="418" t="s">
        <v>9929</v>
      </c>
      <c r="B3202">
        <v>3</v>
      </c>
      <c r="C3202" s="309"/>
      <c r="D3202" s="310"/>
    </row>
    <row r="3203" spans="1:4" x14ac:dyDescent="0.25">
      <c r="A3203" s="418" t="s">
        <v>11257</v>
      </c>
      <c r="B3203">
        <v>3</v>
      </c>
      <c r="C3203" s="309"/>
      <c r="D3203" s="310"/>
    </row>
    <row r="3204" spans="1:4" x14ac:dyDescent="0.25">
      <c r="A3204" s="418" t="s">
        <v>11407</v>
      </c>
      <c r="B3204">
        <v>1</v>
      </c>
      <c r="C3204" s="309"/>
      <c r="D3204" s="310"/>
    </row>
    <row r="3205" spans="1:4" x14ac:dyDescent="0.25">
      <c r="A3205" s="418" t="s">
        <v>11306</v>
      </c>
      <c r="B3205">
        <v>13</v>
      </c>
      <c r="C3205" s="309"/>
      <c r="D3205" s="310"/>
    </row>
    <row r="3206" spans="1:4" x14ac:dyDescent="0.25">
      <c r="A3206" s="418" t="s">
        <v>10580</v>
      </c>
      <c r="B3206">
        <v>12</v>
      </c>
      <c r="C3206" s="309"/>
      <c r="D3206" s="310"/>
    </row>
    <row r="3207" spans="1:4" x14ac:dyDescent="0.25">
      <c r="A3207" s="418" t="s">
        <v>11500</v>
      </c>
      <c r="B3207">
        <v>4</v>
      </c>
      <c r="C3207" s="309"/>
      <c r="D3207" s="310"/>
    </row>
    <row r="3208" spans="1:4" x14ac:dyDescent="0.25">
      <c r="A3208" s="418" t="s">
        <v>11062</v>
      </c>
      <c r="B3208">
        <v>2</v>
      </c>
      <c r="C3208" s="309"/>
      <c r="D3208" s="310"/>
    </row>
    <row r="3209" spans="1:4" x14ac:dyDescent="0.25">
      <c r="A3209" s="418" t="s">
        <v>10581</v>
      </c>
      <c r="B3209">
        <v>8</v>
      </c>
      <c r="C3209" s="309"/>
      <c r="D3209" s="310"/>
    </row>
    <row r="3210" spans="1:4" x14ac:dyDescent="0.25">
      <c r="A3210" s="418" t="s">
        <v>11307</v>
      </c>
      <c r="B3210">
        <v>10</v>
      </c>
      <c r="C3210" s="309"/>
      <c r="D3210" s="310"/>
    </row>
    <row r="3211" spans="1:4" x14ac:dyDescent="0.25">
      <c r="A3211" s="418" t="s">
        <v>10582</v>
      </c>
      <c r="B3211">
        <v>5</v>
      </c>
      <c r="C3211" s="309"/>
      <c r="D3211" s="310"/>
    </row>
    <row r="3212" spans="1:4" x14ac:dyDescent="0.25">
      <c r="A3212" s="418" t="s">
        <v>11063</v>
      </c>
      <c r="B3212">
        <v>2</v>
      </c>
      <c r="C3212" s="309"/>
      <c r="D3212" s="310"/>
    </row>
    <row r="3213" spans="1:4" x14ac:dyDescent="0.25">
      <c r="A3213" s="418" t="s">
        <v>9720</v>
      </c>
      <c r="B3213">
        <v>2</v>
      </c>
      <c r="C3213" s="309"/>
      <c r="D3213" s="310"/>
    </row>
    <row r="3214" spans="1:4" x14ac:dyDescent="0.25">
      <c r="A3214" s="418" t="s">
        <v>9721</v>
      </c>
      <c r="B3214">
        <v>1</v>
      </c>
      <c r="C3214" s="309"/>
      <c r="D3214" s="310"/>
    </row>
    <row r="3215" spans="1:4" x14ac:dyDescent="0.25">
      <c r="A3215" s="418" t="s">
        <v>9566</v>
      </c>
      <c r="B3215">
        <v>3</v>
      </c>
      <c r="C3215" s="309"/>
      <c r="D3215" s="310"/>
    </row>
    <row r="3216" spans="1:4" x14ac:dyDescent="0.25">
      <c r="A3216" s="418" t="s">
        <v>9567</v>
      </c>
      <c r="B3216">
        <v>10</v>
      </c>
      <c r="C3216" s="309"/>
      <c r="D3216" s="310"/>
    </row>
    <row r="3217" spans="1:4" x14ac:dyDescent="0.25">
      <c r="A3217" s="418" t="s">
        <v>12013</v>
      </c>
      <c r="B3217">
        <v>3</v>
      </c>
      <c r="C3217" s="309"/>
      <c r="D3217" s="310"/>
    </row>
    <row r="3218" spans="1:4" x14ac:dyDescent="0.25">
      <c r="A3218" s="418" t="s">
        <v>12435</v>
      </c>
      <c r="B3218">
        <v>1</v>
      </c>
      <c r="C3218" s="309"/>
      <c r="D3218" s="310"/>
    </row>
    <row r="3219" spans="1:4" x14ac:dyDescent="0.25">
      <c r="A3219" s="418" t="s">
        <v>12410</v>
      </c>
      <c r="B3219">
        <v>3</v>
      </c>
      <c r="C3219" s="309"/>
      <c r="D3219" s="310"/>
    </row>
    <row r="3220" spans="1:4" x14ac:dyDescent="0.25">
      <c r="A3220" s="418" t="s">
        <v>17111</v>
      </c>
      <c r="B3220">
        <v>2</v>
      </c>
      <c r="C3220" s="309"/>
      <c r="D3220" s="310"/>
    </row>
    <row r="3221" spans="1:4" x14ac:dyDescent="0.25">
      <c r="A3221" s="418" t="s">
        <v>17112</v>
      </c>
      <c r="B3221">
        <v>1</v>
      </c>
      <c r="C3221" s="309"/>
      <c r="D3221" s="310"/>
    </row>
    <row r="3222" spans="1:4" x14ac:dyDescent="0.25">
      <c r="A3222" s="418" t="s">
        <v>17113</v>
      </c>
      <c r="B3222">
        <v>1</v>
      </c>
      <c r="C3222" s="309"/>
      <c r="D3222" s="310"/>
    </row>
    <row r="3223" spans="1:4" x14ac:dyDescent="0.25">
      <c r="A3223" s="418" t="s">
        <v>9617</v>
      </c>
      <c r="B3223">
        <v>1</v>
      </c>
      <c r="C3223" s="309"/>
      <c r="D3223" s="310"/>
    </row>
    <row r="3224" spans="1:4" x14ac:dyDescent="0.25">
      <c r="A3224" s="418" t="s">
        <v>9618</v>
      </c>
      <c r="B3224">
        <v>2</v>
      </c>
      <c r="C3224" s="309"/>
      <c r="D3224" s="310"/>
    </row>
    <row r="3225" spans="1:4" x14ac:dyDescent="0.25">
      <c r="A3225" s="418" t="s">
        <v>9619</v>
      </c>
      <c r="B3225">
        <v>5</v>
      </c>
      <c r="C3225" s="309"/>
      <c r="D3225" s="310"/>
    </row>
    <row r="3226" spans="1:4" x14ac:dyDescent="0.25">
      <c r="A3226" s="418" t="s">
        <v>9620</v>
      </c>
      <c r="B3226">
        <v>4</v>
      </c>
      <c r="C3226" s="309"/>
      <c r="D3226" s="310"/>
    </row>
    <row r="3227" spans="1:4" x14ac:dyDescent="0.25">
      <c r="A3227" s="418" t="s">
        <v>9621</v>
      </c>
      <c r="B3227">
        <v>3</v>
      </c>
      <c r="C3227" s="309"/>
      <c r="D3227" s="310"/>
    </row>
    <row r="3228" spans="1:4" x14ac:dyDescent="0.25">
      <c r="A3228" s="418" t="s">
        <v>9622</v>
      </c>
      <c r="B3228">
        <v>2</v>
      </c>
      <c r="C3228" s="309"/>
      <c r="D3228" s="310"/>
    </row>
    <row r="3229" spans="1:4" x14ac:dyDescent="0.25">
      <c r="A3229" s="418" t="s">
        <v>9930</v>
      </c>
      <c r="B3229">
        <v>2</v>
      </c>
      <c r="C3229" s="309"/>
      <c r="D3229" s="310"/>
    </row>
    <row r="3230" spans="1:4" x14ac:dyDescent="0.25">
      <c r="A3230" s="418" t="s">
        <v>11000</v>
      </c>
      <c r="B3230">
        <v>2</v>
      </c>
      <c r="C3230" s="309"/>
      <c r="D3230" s="310"/>
    </row>
    <row r="3231" spans="1:4" x14ac:dyDescent="0.25">
      <c r="A3231" s="418" t="s">
        <v>9931</v>
      </c>
      <c r="B3231">
        <v>1</v>
      </c>
      <c r="C3231" s="309"/>
      <c r="D3231" s="310"/>
    </row>
    <row r="3232" spans="1:4" x14ac:dyDescent="0.25">
      <c r="A3232" s="418" t="s">
        <v>11680</v>
      </c>
      <c r="B3232">
        <v>4</v>
      </c>
      <c r="C3232" s="309"/>
      <c r="D3232" s="310"/>
    </row>
    <row r="3233" spans="1:4" x14ac:dyDescent="0.25">
      <c r="A3233" s="418" t="s">
        <v>12135</v>
      </c>
      <c r="B3233">
        <v>1</v>
      </c>
      <c r="C3233" s="309"/>
      <c r="D3233" s="310"/>
    </row>
    <row r="3234" spans="1:4" x14ac:dyDescent="0.25">
      <c r="A3234" s="418" t="s">
        <v>12136</v>
      </c>
      <c r="B3234">
        <v>1</v>
      </c>
      <c r="C3234" s="309"/>
      <c r="D3234" s="310"/>
    </row>
    <row r="3235" spans="1:4" x14ac:dyDescent="0.25">
      <c r="A3235" s="418" t="s">
        <v>9848</v>
      </c>
      <c r="B3235">
        <v>9</v>
      </c>
      <c r="C3235" s="309"/>
      <c r="D3235" s="310"/>
    </row>
    <row r="3236" spans="1:4" x14ac:dyDescent="0.25">
      <c r="A3236" s="418" t="s">
        <v>11852</v>
      </c>
      <c r="B3236">
        <v>8</v>
      </c>
      <c r="C3236" s="309"/>
      <c r="D3236" s="310"/>
    </row>
    <row r="3237" spans="1:4" x14ac:dyDescent="0.25">
      <c r="A3237" s="418" t="s">
        <v>16434</v>
      </c>
      <c r="B3237">
        <v>3</v>
      </c>
      <c r="C3237" s="309"/>
      <c r="D3237" s="310"/>
    </row>
    <row r="3238" spans="1:4" x14ac:dyDescent="0.25">
      <c r="A3238" s="418" t="s">
        <v>16435</v>
      </c>
      <c r="B3238">
        <v>1</v>
      </c>
      <c r="C3238" s="309"/>
      <c r="D3238" s="310"/>
    </row>
    <row r="3239" spans="1:4" x14ac:dyDescent="0.25">
      <c r="A3239" s="418" t="s">
        <v>9816</v>
      </c>
      <c r="B3239">
        <v>1</v>
      </c>
      <c r="C3239" s="309"/>
      <c r="D3239" s="310"/>
    </row>
    <row r="3240" spans="1:4" x14ac:dyDescent="0.25">
      <c r="A3240" s="418" t="s">
        <v>9449</v>
      </c>
      <c r="B3240">
        <v>6</v>
      </c>
      <c r="C3240" s="309"/>
      <c r="D3240" s="310"/>
    </row>
    <row r="3241" spans="1:4" x14ac:dyDescent="0.25">
      <c r="A3241" s="418" t="s">
        <v>10466</v>
      </c>
      <c r="B3241">
        <v>8</v>
      </c>
      <c r="C3241" s="309"/>
      <c r="D3241" s="310"/>
    </row>
    <row r="3242" spans="1:4" x14ac:dyDescent="0.25">
      <c r="A3242" s="418" t="s">
        <v>12137</v>
      </c>
      <c r="B3242">
        <v>4</v>
      </c>
      <c r="C3242" s="309"/>
      <c r="D3242" s="310"/>
    </row>
    <row r="3243" spans="1:4" x14ac:dyDescent="0.25">
      <c r="A3243" s="418" t="s">
        <v>8434</v>
      </c>
      <c r="B3243">
        <v>4</v>
      </c>
      <c r="C3243" s="309"/>
      <c r="D3243" s="310"/>
    </row>
    <row r="3244" spans="1:4" x14ac:dyDescent="0.25">
      <c r="A3244" s="418" t="s">
        <v>8880</v>
      </c>
      <c r="B3244">
        <v>3</v>
      </c>
      <c r="C3244" s="309"/>
      <c r="D3244" s="310"/>
    </row>
    <row r="3245" spans="1:4" x14ac:dyDescent="0.25">
      <c r="A3245" s="418" t="s">
        <v>8881</v>
      </c>
      <c r="B3245">
        <v>3</v>
      </c>
      <c r="C3245" s="309"/>
      <c r="D3245" s="310"/>
    </row>
    <row r="3246" spans="1:4" x14ac:dyDescent="0.25">
      <c r="A3246" s="418" t="s">
        <v>15509</v>
      </c>
      <c r="B3246">
        <v>1</v>
      </c>
      <c r="C3246" s="309"/>
      <c r="D3246" s="310"/>
    </row>
    <row r="3247" spans="1:4" x14ac:dyDescent="0.25">
      <c r="A3247" s="418" t="s">
        <v>11064</v>
      </c>
      <c r="B3247">
        <v>2</v>
      </c>
      <c r="C3247" s="309"/>
      <c r="D3247" s="310"/>
    </row>
    <row r="3248" spans="1:4" x14ac:dyDescent="0.25">
      <c r="A3248" s="418" t="s">
        <v>9274</v>
      </c>
      <c r="B3248">
        <v>3</v>
      </c>
      <c r="C3248" s="309"/>
      <c r="D3248" s="310"/>
    </row>
    <row r="3249" spans="1:4" x14ac:dyDescent="0.25">
      <c r="A3249" s="418" t="s">
        <v>10695</v>
      </c>
      <c r="B3249">
        <v>3</v>
      </c>
      <c r="C3249" s="309"/>
      <c r="D3249" s="310"/>
    </row>
    <row r="3250" spans="1:4" x14ac:dyDescent="0.25">
      <c r="A3250" s="418" t="s">
        <v>12436</v>
      </c>
      <c r="B3250">
        <v>1</v>
      </c>
      <c r="C3250" s="309"/>
      <c r="D3250" s="310"/>
    </row>
    <row r="3251" spans="1:4" x14ac:dyDescent="0.25">
      <c r="A3251" s="418" t="s">
        <v>12437</v>
      </c>
      <c r="B3251">
        <v>2</v>
      </c>
      <c r="C3251" s="309"/>
      <c r="D3251" s="310"/>
    </row>
    <row r="3252" spans="1:4" x14ac:dyDescent="0.25">
      <c r="A3252" s="418" t="s">
        <v>9096</v>
      </c>
      <c r="B3252">
        <v>1</v>
      </c>
      <c r="C3252" s="309"/>
      <c r="D3252" s="310"/>
    </row>
    <row r="3253" spans="1:4" x14ac:dyDescent="0.25">
      <c r="A3253" s="418" t="s">
        <v>16842</v>
      </c>
      <c r="B3253">
        <v>2</v>
      </c>
      <c r="C3253" s="309"/>
      <c r="D3253" s="310"/>
    </row>
    <row r="3254" spans="1:4" x14ac:dyDescent="0.25">
      <c r="A3254" s="418" t="s">
        <v>16843</v>
      </c>
      <c r="B3254">
        <v>1</v>
      </c>
      <c r="C3254" s="309"/>
      <c r="D3254" s="310"/>
    </row>
    <row r="3255" spans="1:4" x14ac:dyDescent="0.25">
      <c r="A3255" s="418" t="s">
        <v>16844</v>
      </c>
      <c r="B3255">
        <v>2</v>
      </c>
      <c r="C3255" s="309"/>
      <c r="D3255" s="310"/>
    </row>
    <row r="3256" spans="1:4" x14ac:dyDescent="0.25">
      <c r="A3256" s="418" t="s">
        <v>11342</v>
      </c>
      <c r="B3256">
        <v>1</v>
      </c>
      <c r="C3256" s="309"/>
      <c r="D3256" s="310"/>
    </row>
    <row r="3257" spans="1:4" x14ac:dyDescent="0.25">
      <c r="A3257" s="418" t="s">
        <v>11343</v>
      </c>
      <c r="B3257">
        <v>1</v>
      </c>
      <c r="C3257" s="309"/>
      <c r="D3257" s="310"/>
    </row>
    <row r="3258" spans="1:4" x14ac:dyDescent="0.25">
      <c r="A3258" s="418" t="s">
        <v>16108</v>
      </c>
      <c r="B3258">
        <v>1</v>
      </c>
      <c r="C3258" s="309"/>
      <c r="D3258" s="310"/>
    </row>
    <row r="3259" spans="1:4" x14ac:dyDescent="0.25">
      <c r="A3259" s="418" t="s">
        <v>11344</v>
      </c>
      <c r="B3259">
        <v>1</v>
      </c>
      <c r="C3259" s="309"/>
      <c r="D3259" s="310"/>
    </row>
    <row r="3260" spans="1:4" x14ac:dyDescent="0.25">
      <c r="A3260" s="418" t="s">
        <v>9623</v>
      </c>
      <c r="B3260">
        <v>5</v>
      </c>
      <c r="C3260" s="309"/>
      <c r="D3260" s="310"/>
    </row>
    <row r="3261" spans="1:4" x14ac:dyDescent="0.25">
      <c r="A3261" s="418" t="s">
        <v>9624</v>
      </c>
      <c r="B3261">
        <v>5</v>
      </c>
      <c r="C3261" s="309"/>
      <c r="D3261" s="310"/>
    </row>
    <row r="3262" spans="1:4" x14ac:dyDescent="0.25">
      <c r="A3262" s="418" t="s">
        <v>16210</v>
      </c>
      <c r="B3262">
        <v>1</v>
      </c>
      <c r="C3262" s="309"/>
      <c r="D3262" s="310"/>
    </row>
    <row r="3263" spans="1:4" x14ac:dyDescent="0.25">
      <c r="A3263" s="418" t="s">
        <v>11359</v>
      </c>
      <c r="B3263">
        <v>3</v>
      </c>
      <c r="C3263" s="309"/>
      <c r="D3263" s="310"/>
    </row>
    <row r="3264" spans="1:4" x14ac:dyDescent="0.25">
      <c r="A3264" s="418" t="s">
        <v>9932</v>
      </c>
      <c r="B3264">
        <v>1</v>
      </c>
      <c r="C3264" s="309"/>
      <c r="D3264" s="310"/>
    </row>
    <row r="3265" spans="1:4" x14ac:dyDescent="0.25">
      <c r="A3265" s="418" t="s">
        <v>11001</v>
      </c>
      <c r="B3265">
        <v>1</v>
      </c>
      <c r="C3265" s="309"/>
      <c r="D3265" s="310"/>
    </row>
    <row r="3266" spans="1:4" x14ac:dyDescent="0.25">
      <c r="A3266" s="418" t="s">
        <v>12280</v>
      </c>
      <c r="B3266">
        <v>1</v>
      </c>
      <c r="C3266" s="309"/>
      <c r="D3266" s="310"/>
    </row>
    <row r="3267" spans="1:4" x14ac:dyDescent="0.25">
      <c r="A3267" s="418" t="s">
        <v>10583</v>
      </c>
      <c r="B3267">
        <v>1</v>
      </c>
      <c r="C3267" s="309"/>
      <c r="D3267" s="310"/>
    </row>
    <row r="3268" spans="1:4" x14ac:dyDescent="0.25">
      <c r="A3268" s="418" t="s">
        <v>12281</v>
      </c>
      <c r="B3268">
        <v>1</v>
      </c>
      <c r="C3268" s="309"/>
      <c r="D3268" s="310"/>
    </row>
    <row r="3269" spans="1:4" x14ac:dyDescent="0.25">
      <c r="A3269" s="418" t="s">
        <v>17114</v>
      </c>
      <c r="B3269">
        <v>1</v>
      </c>
      <c r="C3269" s="309"/>
      <c r="D3269" s="310"/>
    </row>
    <row r="3270" spans="1:4" x14ac:dyDescent="0.25">
      <c r="A3270" s="418" t="s">
        <v>17115</v>
      </c>
      <c r="B3270">
        <v>2</v>
      </c>
      <c r="C3270" s="309"/>
      <c r="D3270" s="310"/>
    </row>
    <row r="3271" spans="1:4" x14ac:dyDescent="0.25">
      <c r="A3271" s="418" t="s">
        <v>11426</v>
      </c>
      <c r="B3271">
        <v>9</v>
      </c>
      <c r="C3271" s="309"/>
      <c r="D3271" s="310"/>
    </row>
    <row r="3272" spans="1:4" x14ac:dyDescent="0.25">
      <c r="A3272" s="418" t="s">
        <v>11427</v>
      </c>
      <c r="B3272">
        <v>10</v>
      </c>
      <c r="C3272" s="309"/>
      <c r="D3272" s="310"/>
    </row>
    <row r="3273" spans="1:4" x14ac:dyDescent="0.25">
      <c r="A3273" s="418" t="s">
        <v>11428</v>
      </c>
      <c r="B3273">
        <v>9</v>
      </c>
      <c r="C3273" s="309"/>
      <c r="D3273" s="310"/>
    </row>
    <row r="3274" spans="1:4" x14ac:dyDescent="0.25">
      <c r="A3274" s="418" t="s">
        <v>16436</v>
      </c>
      <c r="B3274">
        <v>1</v>
      </c>
      <c r="C3274" s="309"/>
      <c r="D3274" s="310"/>
    </row>
    <row r="3275" spans="1:4" x14ac:dyDescent="0.25">
      <c r="A3275" s="418" t="s">
        <v>16437</v>
      </c>
      <c r="B3275">
        <v>1</v>
      </c>
      <c r="C3275" s="309"/>
      <c r="D3275" s="310"/>
    </row>
    <row r="3276" spans="1:4" x14ac:dyDescent="0.25">
      <c r="A3276" s="418" t="s">
        <v>8984</v>
      </c>
      <c r="B3276">
        <v>8</v>
      </c>
      <c r="C3276" s="309"/>
      <c r="D3276" s="310"/>
    </row>
    <row r="3277" spans="1:4" x14ac:dyDescent="0.25">
      <c r="A3277" s="418" t="s">
        <v>9568</v>
      </c>
      <c r="B3277">
        <v>8</v>
      </c>
      <c r="C3277" s="309"/>
      <c r="D3277" s="310"/>
    </row>
    <row r="3278" spans="1:4" x14ac:dyDescent="0.25">
      <c r="A3278" s="418" t="s">
        <v>16020</v>
      </c>
      <c r="B3278">
        <v>2</v>
      </c>
      <c r="C3278" s="309"/>
      <c r="D3278" s="310"/>
    </row>
    <row r="3279" spans="1:4" x14ac:dyDescent="0.25">
      <c r="A3279" s="418" t="s">
        <v>9450</v>
      </c>
      <c r="B3279">
        <v>4</v>
      </c>
      <c r="C3279" s="309"/>
      <c r="D3279" s="310"/>
    </row>
    <row r="3280" spans="1:4" x14ac:dyDescent="0.25">
      <c r="A3280" s="418" t="s">
        <v>10467</v>
      </c>
      <c r="B3280">
        <v>1</v>
      </c>
      <c r="C3280" s="309"/>
      <c r="D3280" s="310"/>
    </row>
    <row r="3281" spans="1:4" x14ac:dyDescent="0.25">
      <c r="A3281" s="418" t="s">
        <v>10468</v>
      </c>
      <c r="B3281">
        <v>1</v>
      </c>
      <c r="C3281" s="309"/>
      <c r="D3281" s="310"/>
    </row>
    <row r="3282" spans="1:4" x14ac:dyDescent="0.25">
      <c r="A3282" s="418" t="s">
        <v>8792</v>
      </c>
      <c r="B3282">
        <v>3</v>
      </c>
      <c r="C3282" s="309"/>
      <c r="D3282" s="310"/>
    </row>
    <row r="3283" spans="1:4" x14ac:dyDescent="0.25">
      <c r="A3283" s="418" t="s">
        <v>9933</v>
      </c>
      <c r="B3283">
        <v>1</v>
      </c>
      <c r="C3283" s="309"/>
      <c r="D3283" s="310"/>
    </row>
    <row r="3284" spans="1:4" x14ac:dyDescent="0.25">
      <c r="A3284" s="418" t="s">
        <v>10584</v>
      </c>
      <c r="B3284">
        <v>3</v>
      </c>
      <c r="C3284" s="309"/>
      <c r="D3284" s="310"/>
    </row>
    <row r="3285" spans="1:4" x14ac:dyDescent="0.25">
      <c r="A3285" s="418" t="s">
        <v>10585</v>
      </c>
      <c r="B3285">
        <v>3</v>
      </c>
      <c r="C3285" s="309"/>
      <c r="D3285" s="310"/>
    </row>
    <row r="3286" spans="1:4" x14ac:dyDescent="0.25">
      <c r="A3286" s="418" t="s">
        <v>12326</v>
      </c>
      <c r="B3286">
        <v>1</v>
      </c>
      <c r="C3286" s="309"/>
      <c r="D3286" s="310"/>
    </row>
    <row r="3287" spans="1:4" x14ac:dyDescent="0.25">
      <c r="A3287" s="418" t="s">
        <v>8816</v>
      </c>
      <c r="B3287">
        <v>2</v>
      </c>
      <c r="C3287" s="309"/>
      <c r="D3287" s="310"/>
    </row>
    <row r="3288" spans="1:4" x14ac:dyDescent="0.25">
      <c r="A3288" s="418" t="s">
        <v>8817</v>
      </c>
      <c r="B3288">
        <v>3</v>
      </c>
      <c r="C3288" s="309"/>
      <c r="D3288" s="310"/>
    </row>
    <row r="3289" spans="1:4" x14ac:dyDescent="0.25">
      <c r="A3289" s="418" t="s">
        <v>15165</v>
      </c>
      <c r="B3289">
        <v>6</v>
      </c>
      <c r="C3289" s="309"/>
      <c r="D3289" s="310"/>
    </row>
    <row r="3290" spans="1:4" x14ac:dyDescent="0.25">
      <c r="A3290" s="418" t="s">
        <v>12327</v>
      </c>
      <c r="B3290">
        <v>5</v>
      </c>
      <c r="C3290" s="309"/>
      <c r="D3290" s="310"/>
    </row>
    <row r="3291" spans="1:4" x14ac:dyDescent="0.25">
      <c r="A3291" s="418" t="s">
        <v>12328</v>
      </c>
      <c r="B3291">
        <v>6</v>
      </c>
      <c r="C3291" s="309"/>
      <c r="D3291" s="310"/>
    </row>
    <row r="3292" spans="1:4" x14ac:dyDescent="0.25">
      <c r="A3292" s="418" t="s">
        <v>15510</v>
      </c>
      <c r="B3292">
        <v>4</v>
      </c>
      <c r="C3292" s="309"/>
      <c r="D3292" s="310"/>
    </row>
    <row r="3293" spans="1:4" x14ac:dyDescent="0.25">
      <c r="A3293" s="418" t="s">
        <v>9097</v>
      </c>
      <c r="B3293">
        <v>4</v>
      </c>
      <c r="C3293" s="309"/>
      <c r="D3293" s="310"/>
    </row>
    <row r="3294" spans="1:4" x14ac:dyDescent="0.25">
      <c r="A3294" s="418" t="s">
        <v>15511</v>
      </c>
      <c r="B3294">
        <v>3</v>
      </c>
      <c r="C3294" s="309"/>
      <c r="D3294" s="310"/>
    </row>
    <row r="3295" spans="1:4" x14ac:dyDescent="0.25">
      <c r="A3295" s="418" t="s">
        <v>11360</v>
      </c>
      <c r="B3295">
        <v>3</v>
      </c>
      <c r="C3295" s="309"/>
      <c r="D3295" s="310"/>
    </row>
    <row r="3296" spans="1:4" x14ac:dyDescent="0.25">
      <c r="A3296" s="418" t="s">
        <v>10015</v>
      </c>
      <c r="B3296">
        <v>4</v>
      </c>
      <c r="C3296" s="309"/>
      <c r="D3296" s="310"/>
    </row>
    <row r="3297" spans="1:4" x14ac:dyDescent="0.25">
      <c r="A3297" s="418" t="s">
        <v>8973</v>
      </c>
      <c r="B3297">
        <v>2</v>
      </c>
      <c r="C3297" s="309"/>
      <c r="D3297" s="310"/>
    </row>
    <row r="3298" spans="1:4" x14ac:dyDescent="0.25">
      <c r="A3298" s="418" t="s">
        <v>8486</v>
      </c>
      <c r="B3298">
        <v>1</v>
      </c>
      <c r="C3298" s="309"/>
      <c r="D3298" s="310"/>
    </row>
    <row r="3299" spans="1:4" x14ac:dyDescent="0.25">
      <c r="A3299" s="418" t="s">
        <v>8416</v>
      </c>
      <c r="B3299">
        <v>1</v>
      </c>
      <c r="C3299" s="309"/>
      <c r="D3299" s="310"/>
    </row>
    <row r="3300" spans="1:4" x14ac:dyDescent="0.25">
      <c r="A3300" s="418" t="s">
        <v>4583</v>
      </c>
      <c r="B3300">
        <v>10</v>
      </c>
      <c r="C3300" s="309"/>
      <c r="D3300" s="310"/>
    </row>
    <row r="3301" spans="1:4" x14ac:dyDescent="0.25">
      <c r="A3301" s="418" t="s">
        <v>4584</v>
      </c>
      <c r="B3301">
        <v>11</v>
      </c>
      <c r="C3301" s="309"/>
      <c r="D3301" s="310"/>
    </row>
    <row r="3302" spans="1:4" x14ac:dyDescent="0.25">
      <c r="A3302" s="418" t="s">
        <v>4171</v>
      </c>
      <c r="B3302">
        <v>9</v>
      </c>
      <c r="C3302" s="309"/>
      <c r="D3302" s="310"/>
    </row>
    <row r="3303" spans="1:4" x14ac:dyDescent="0.25">
      <c r="A3303" s="418" t="s">
        <v>4585</v>
      </c>
      <c r="B3303">
        <v>3</v>
      </c>
      <c r="C3303" s="309"/>
      <c r="D3303" s="310"/>
    </row>
    <row r="3304" spans="1:4" x14ac:dyDescent="0.25">
      <c r="A3304" s="418" t="s">
        <v>11065</v>
      </c>
      <c r="B3304">
        <v>2</v>
      </c>
      <c r="C3304" s="309"/>
      <c r="D3304" s="310"/>
    </row>
    <row r="3305" spans="1:4" x14ac:dyDescent="0.25">
      <c r="A3305" s="418" t="s">
        <v>11066</v>
      </c>
      <c r="B3305">
        <v>3</v>
      </c>
      <c r="C3305" s="309"/>
      <c r="D3305" s="310"/>
    </row>
    <row r="3306" spans="1:4" x14ac:dyDescent="0.25">
      <c r="A3306" s="418" t="s">
        <v>9934</v>
      </c>
      <c r="B3306">
        <v>4</v>
      </c>
      <c r="C3306" s="309"/>
      <c r="D3306" s="310"/>
    </row>
    <row r="3307" spans="1:4" x14ac:dyDescent="0.25">
      <c r="A3307" s="418" t="s">
        <v>11067</v>
      </c>
      <c r="B3307">
        <v>3</v>
      </c>
      <c r="C3307" s="309"/>
      <c r="D3307" s="310"/>
    </row>
    <row r="3308" spans="1:4" x14ac:dyDescent="0.25">
      <c r="A3308" s="418" t="s">
        <v>12246</v>
      </c>
      <c r="B3308">
        <v>1</v>
      </c>
      <c r="C3308" s="309"/>
      <c r="D3308" s="310"/>
    </row>
    <row r="3309" spans="1:4" x14ac:dyDescent="0.25">
      <c r="A3309" s="418" t="s">
        <v>11535</v>
      </c>
      <c r="B3309">
        <v>3</v>
      </c>
      <c r="C3309" s="309"/>
      <c r="D3309" s="310"/>
    </row>
    <row r="3310" spans="1:4" x14ac:dyDescent="0.25">
      <c r="A3310" s="418" t="s">
        <v>15166</v>
      </c>
      <c r="B3310">
        <v>3</v>
      </c>
      <c r="C3310" s="309"/>
      <c r="D3310" s="310"/>
    </row>
    <row r="3311" spans="1:4" x14ac:dyDescent="0.25">
      <c r="A3311" s="418" t="s">
        <v>16438</v>
      </c>
      <c r="B3311">
        <v>1</v>
      </c>
      <c r="C3311" s="309"/>
      <c r="D3311" s="310"/>
    </row>
    <row r="3312" spans="1:4" x14ac:dyDescent="0.25">
      <c r="A3312" s="418" t="s">
        <v>11207</v>
      </c>
      <c r="B3312">
        <v>2</v>
      </c>
      <c r="C3312" s="309"/>
      <c r="D3312" s="310"/>
    </row>
    <row r="3313" spans="1:4" x14ac:dyDescent="0.25">
      <c r="A3313" s="418" t="s">
        <v>11208</v>
      </c>
      <c r="B3313">
        <v>3</v>
      </c>
      <c r="C3313" s="309"/>
      <c r="D3313" s="310"/>
    </row>
    <row r="3314" spans="1:4" x14ac:dyDescent="0.25">
      <c r="A3314" s="418" t="s">
        <v>11809</v>
      </c>
      <c r="B3314">
        <v>2</v>
      </c>
      <c r="C3314" s="309"/>
      <c r="D3314" s="310"/>
    </row>
    <row r="3315" spans="1:4" x14ac:dyDescent="0.25">
      <c r="A3315" s="418" t="s">
        <v>11810</v>
      </c>
      <c r="B3315">
        <v>2</v>
      </c>
      <c r="C3315" s="309"/>
      <c r="D3315" s="310"/>
    </row>
    <row r="3316" spans="1:4" x14ac:dyDescent="0.25">
      <c r="A3316" s="418" t="s">
        <v>10134</v>
      </c>
      <c r="B3316">
        <v>10</v>
      </c>
      <c r="C3316" s="309"/>
      <c r="D3316" s="310"/>
    </row>
    <row r="3317" spans="1:4" x14ac:dyDescent="0.25">
      <c r="A3317" s="418" t="s">
        <v>9451</v>
      </c>
      <c r="B3317">
        <v>12</v>
      </c>
      <c r="C3317" s="309"/>
      <c r="D3317" s="310"/>
    </row>
    <row r="3318" spans="1:4" x14ac:dyDescent="0.25">
      <c r="A3318" s="418" t="s">
        <v>11747</v>
      </c>
      <c r="B3318">
        <v>7</v>
      </c>
      <c r="C3318" s="309"/>
      <c r="D3318" s="310"/>
    </row>
    <row r="3319" spans="1:4" x14ac:dyDescent="0.25">
      <c r="A3319" s="418" t="s">
        <v>12359</v>
      </c>
      <c r="B3319">
        <v>3</v>
      </c>
      <c r="C3319" s="309"/>
      <c r="D3319" s="310"/>
    </row>
    <row r="3320" spans="1:4" x14ac:dyDescent="0.25">
      <c r="A3320" s="418" t="s">
        <v>10831</v>
      </c>
      <c r="B3320">
        <v>2</v>
      </c>
      <c r="C3320" s="309"/>
      <c r="D3320" s="310"/>
    </row>
    <row r="3321" spans="1:4" x14ac:dyDescent="0.25">
      <c r="A3321" s="418" t="s">
        <v>10832</v>
      </c>
      <c r="B3321">
        <v>1</v>
      </c>
      <c r="C3321" s="309"/>
      <c r="D3321" s="310"/>
    </row>
    <row r="3322" spans="1:4" x14ac:dyDescent="0.25">
      <c r="A3322" s="418" t="s">
        <v>9452</v>
      </c>
      <c r="B3322">
        <v>1</v>
      </c>
      <c r="C3322" s="309"/>
      <c r="D3322" s="310"/>
    </row>
    <row r="3323" spans="1:4" x14ac:dyDescent="0.25">
      <c r="A3323" s="418" t="s">
        <v>9453</v>
      </c>
      <c r="B3323">
        <v>2</v>
      </c>
      <c r="C3323" s="309"/>
      <c r="D3323" s="310"/>
    </row>
    <row r="3324" spans="1:4" x14ac:dyDescent="0.25">
      <c r="A3324" s="418" t="s">
        <v>8588</v>
      </c>
      <c r="B3324">
        <v>3</v>
      </c>
      <c r="C3324" s="309"/>
      <c r="D3324" s="310"/>
    </row>
    <row r="3325" spans="1:4" x14ac:dyDescent="0.25">
      <c r="A3325" s="418" t="s">
        <v>10833</v>
      </c>
      <c r="B3325">
        <v>1</v>
      </c>
      <c r="C3325" s="309"/>
      <c r="D3325" s="310"/>
    </row>
    <row r="3326" spans="1:4" x14ac:dyDescent="0.25">
      <c r="A3326" s="418" t="s">
        <v>10834</v>
      </c>
      <c r="B3326">
        <v>1</v>
      </c>
      <c r="C3326" s="309"/>
      <c r="D3326" s="310"/>
    </row>
    <row r="3327" spans="1:4" x14ac:dyDescent="0.25">
      <c r="A3327" s="418" t="s">
        <v>10835</v>
      </c>
      <c r="B3327">
        <v>1</v>
      </c>
      <c r="C3327" s="309"/>
      <c r="D3327" s="310"/>
    </row>
    <row r="3328" spans="1:4" x14ac:dyDescent="0.25">
      <c r="A3328" s="418" t="s">
        <v>10836</v>
      </c>
      <c r="B3328">
        <v>2</v>
      </c>
      <c r="C3328" s="309"/>
      <c r="D3328" s="310"/>
    </row>
    <row r="3329" spans="1:4" x14ac:dyDescent="0.25">
      <c r="A3329" s="418" t="s">
        <v>11501</v>
      </c>
      <c r="B3329">
        <v>3</v>
      </c>
      <c r="C3329" s="309"/>
      <c r="D3329" s="310"/>
    </row>
    <row r="3330" spans="1:4" x14ac:dyDescent="0.25">
      <c r="A3330" s="418" t="s">
        <v>11110</v>
      </c>
      <c r="B3330">
        <v>4</v>
      </c>
      <c r="C3330" s="309"/>
      <c r="D3330" s="310"/>
    </row>
    <row r="3331" spans="1:4" x14ac:dyDescent="0.25">
      <c r="A3331" s="418" t="s">
        <v>9569</v>
      </c>
      <c r="B3331">
        <v>5</v>
      </c>
      <c r="C3331" s="309"/>
      <c r="D3331" s="310"/>
    </row>
    <row r="3332" spans="1:4" x14ac:dyDescent="0.25">
      <c r="A3332" s="418" t="s">
        <v>8882</v>
      </c>
      <c r="B3332">
        <v>10</v>
      </c>
      <c r="C3332" s="309"/>
      <c r="D3332" s="310"/>
    </row>
    <row r="3333" spans="1:4" x14ac:dyDescent="0.25">
      <c r="A3333" s="418" t="s">
        <v>9570</v>
      </c>
      <c r="B3333">
        <v>4</v>
      </c>
      <c r="C3333" s="309"/>
      <c r="D3333" s="310"/>
    </row>
    <row r="3334" spans="1:4" x14ac:dyDescent="0.25">
      <c r="A3334" s="418" t="s">
        <v>8883</v>
      </c>
      <c r="B3334">
        <v>4</v>
      </c>
      <c r="C3334" s="309"/>
      <c r="D3334" s="310"/>
    </row>
    <row r="3335" spans="1:4" x14ac:dyDescent="0.25">
      <c r="A3335" s="418" t="s">
        <v>9186</v>
      </c>
      <c r="B3335">
        <v>5</v>
      </c>
      <c r="C3335" s="309"/>
      <c r="D3335" s="310"/>
    </row>
    <row r="3336" spans="1:4" x14ac:dyDescent="0.25">
      <c r="A3336" s="418" t="s">
        <v>10314</v>
      </c>
      <c r="B3336">
        <v>5</v>
      </c>
      <c r="C3336" s="309"/>
      <c r="D3336" s="310"/>
    </row>
    <row r="3337" spans="1:4" x14ac:dyDescent="0.25">
      <c r="A3337" s="418" t="s">
        <v>9187</v>
      </c>
      <c r="B3337">
        <v>3</v>
      </c>
      <c r="C3337" s="309"/>
      <c r="D3337" s="310"/>
    </row>
    <row r="3338" spans="1:4" x14ac:dyDescent="0.25">
      <c r="A3338" s="418" t="s">
        <v>15321</v>
      </c>
      <c r="B3338">
        <v>1</v>
      </c>
      <c r="C3338" s="309"/>
      <c r="D3338" s="310"/>
    </row>
    <row r="3339" spans="1:4" x14ac:dyDescent="0.25">
      <c r="A3339" s="418" t="s">
        <v>9707</v>
      </c>
      <c r="B3339">
        <v>3</v>
      </c>
      <c r="C3339" s="309"/>
      <c r="D3339" s="310"/>
    </row>
    <row r="3340" spans="1:4" x14ac:dyDescent="0.25">
      <c r="A3340" s="418" t="s">
        <v>8589</v>
      </c>
      <c r="B3340">
        <v>5</v>
      </c>
      <c r="C3340" s="309"/>
      <c r="D3340" s="310"/>
    </row>
    <row r="3341" spans="1:4" x14ac:dyDescent="0.25">
      <c r="A3341" s="418" t="s">
        <v>16324</v>
      </c>
      <c r="B3341">
        <v>2</v>
      </c>
      <c r="C3341" s="309"/>
      <c r="D3341" s="310"/>
    </row>
    <row r="3342" spans="1:4" x14ac:dyDescent="0.25">
      <c r="A3342" s="418" t="s">
        <v>12014</v>
      </c>
      <c r="B3342">
        <v>3</v>
      </c>
      <c r="C3342" s="309"/>
      <c r="D3342" s="310"/>
    </row>
    <row r="3343" spans="1:4" x14ac:dyDescent="0.25">
      <c r="A3343" s="418" t="s">
        <v>9571</v>
      </c>
      <c r="B3343">
        <v>3</v>
      </c>
      <c r="C3343" s="309"/>
      <c r="D3343" s="310"/>
    </row>
    <row r="3344" spans="1:4" x14ac:dyDescent="0.25">
      <c r="A3344" s="418" t="s">
        <v>9572</v>
      </c>
      <c r="B3344">
        <v>5</v>
      </c>
      <c r="C3344" s="309"/>
      <c r="D3344" s="310"/>
    </row>
    <row r="3345" spans="1:4" x14ac:dyDescent="0.25">
      <c r="A3345" s="418" t="s">
        <v>12282</v>
      </c>
      <c r="B3345">
        <v>3</v>
      </c>
      <c r="C3345" s="309"/>
      <c r="D3345" s="310"/>
    </row>
    <row r="3346" spans="1:4" x14ac:dyDescent="0.25">
      <c r="A3346" s="418" t="s">
        <v>10522</v>
      </c>
      <c r="B3346">
        <v>3</v>
      </c>
      <c r="C3346" s="309"/>
      <c r="D3346" s="310"/>
    </row>
    <row r="3347" spans="1:4" x14ac:dyDescent="0.25">
      <c r="A3347" s="418" t="s">
        <v>9935</v>
      </c>
      <c r="B3347">
        <v>5</v>
      </c>
      <c r="C3347" s="309"/>
      <c r="D3347" s="310"/>
    </row>
    <row r="3348" spans="1:4" x14ac:dyDescent="0.25">
      <c r="A3348" s="418" t="s">
        <v>10196</v>
      </c>
      <c r="B3348">
        <v>1</v>
      </c>
      <c r="C3348" s="309"/>
      <c r="D3348" s="310"/>
    </row>
    <row r="3349" spans="1:4" x14ac:dyDescent="0.25">
      <c r="A3349" s="418" t="s">
        <v>10523</v>
      </c>
      <c r="B3349">
        <v>1</v>
      </c>
      <c r="C3349" s="309"/>
      <c r="D3349" s="310"/>
    </row>
    <row r="3350" spans="1:4" x14ac:dyDescent="0.25">
      <c r="A3350" s="418" t="s">
        <v>8684</v>
      </c>
      <c r="B3350">
        <v>5</v>
      </c>
      <c r="C3350" s="309"/>
      <c r="D3350" s="310"/>
    </row>
    <row r="3351" spans="1:4" x14ac:dyDescent="0.25">
      <c r="A3351" s="418" t="s">
        <v>8685</v>
      </c>
      <c r="B3351">
        <v>5</v>
      </c>
      <c r="C3351" s="309"/>
      <c r="D3351" s="310"/>
    </row>
    <row r="3352" spans="1:4" x14ac:dyDescent="0.25">
      <c r="A3352" s="418" t="s">
        <v>12329</v>
      </c>
      <c r="B3352">
        <v>3</v>
      </c>
      <c r="C3352" s="309"/>
      <c r="D3352" s="310"/>
    </row>
    <row r="3353" spans="1:4" x14ac:dyDescent="0.25">
      <c r="A3353" s="418" t="s">
        <v>8753</v>
      </c>
      <c r="B3353">
        <v>1</v>
      </c>
      <c r="C3353" s="309"/>
      <c r="D3353" s="310"/>
    </row>
    <row r="3354" spans="1:4" x14ac:dyDescent="0.25">
      <c r="A3354" s="418" t="s">
        <v>16439</v>
      </c>
      <c r="B3354">
        <v>1</v>
      </c>
      <c r="C3354" s="309"/>
      <c r="D3354" s="310"/>
    </row>
    <row r="3355" spans="1:4" x14ac:dyDescent="0.25">
      <c r="A3355" s="418" t="s">
        <v>9250</v>
      </c>
      <c r="B3355">
        <v>3</v>
      </c>
      <c r="C3355" s="309"/>
      <c r="D3355" s="310"/>
    </row>
    <row r="3356" spans="1:4" x14ac:dyDescent="0.25">
      <c r="A3356" s="418" t="s">
        <v>9251</v>
      </c>
      <c r="B3356">
        <v>2</v>
      </c>
      <c r="C3356" s="309"/>
      <c r="D3356" s="310"/>
    </row>
    <row r="3357" spans="1:4" x14ac:dyDescent="0.25">
      <c r="A3357" s="418" t="s">
        <v>11308</v>
      </c>
      <c r="B3357">
        <v>2</v>
      </c>
      <c r="C3357" s="309"/>
      <c r="D3357" s="310"/>
    </row>
    <row r="3358" spans="1:4" x14ac:dyDescent="0.25">
      <c r="A3358" s="418" t="s">
        <v>12015</v>
      </c>
      <c r="B3358">
        <v>4</v>
      </c>
      <c r="C3358" s="309"/>
      <c r="D3358" s="310"/>
    </row>
    <row r="3359" spans="1:4" x14ac:dyDescent="0.25">
      <c r="A3359" s="418" t="s">
        <v>11309</v>
      </c>
      <c r="B3359">
        <v>3</v>
      </c>
      <c r="C3359" s="309"/>
      <c r="D3359" s="310"/>
    </row>
    <row r="3360" spans="1:4" x14ac:dyDescent="0.25">
      <c r="A3360" s="418" t="s">
        <v>11310</v>
      </c>
      <c r="B3360">
        <v>4</v>
      </c>
      <c r="C3360" s="309"/>
      <c r="D3360" s="310"/>
    </row>
    <row r="3361" spans="1:4" x14ac:dyDescent="0.25">
      <c r="A3361" s="418" t="s">
        <v>10249</v>
      </c>
      <c r="B3361">
        <v>1</v>
      </c>
      <c r="C3361" s="309"/>
      <c r="D3361" s="310"/>
    </row>
    <row r="3362" spans="1:4" x14ac:dyDescent="0.25">
      <c r="A3362" s="418" t="s">
        <v>10250</v>
      </c>
      <c r="B3362">
        <v>1</v>
      </c>
      <c r="C3362" s="309"/>
      <c r="D3362" s="310"/>
    </row>
    <row r="3363" spans="1:4" x14ac:dyDescent="0.25">
      <c r="A3363" s="418" t="s">
        <v>16440</v>
      </c>
      <c r="B3363">
        <v>1</v>
      </c>
      <c r="C3363" s="309"/>
      <c r="D3363" s="310"/>
    </row>
    <row r="3364" spans="1:4" x14ac:dyDescent="0.25">
      <c r="A3364" s="418" t="s">
        <v>10586</v>
      </c>
      <c r="B3364">
        <v>6</v>
      </c>
      <c r="C3364" s="309"/>
      <c r="D3364" s="310"/>
    </row>
    <row r="3365" spans="1:4" x14ac:dyDescent="0.25">
      <c r="A3365" s="418" t="s">
        <v>10587</v>
      </c>
      <c r="B3365">
        <v>10</v>
      </c>
      <c r="C3365" s="309"/>
      <c r="D3365" s="310"/>
    </row>
    <row r="3366" spans="1:4" x14ac:dyDescent="0.25">
      <c r="A3366" s="418" t="s">
        <v>10588</v>
      </c>
      <c r="B3366">
        <v>5</v>
      </c>
      <c r="C3366" s="309"/>
      <c r="D3366" s="310"/>
    </row>
    <row r="3367" spans="1:4" x14ac:dyDescent="0.25">
      <c r="A3367" s="418" t="s">
        <v>9429</v>
      </c>
      <c r="B3367">
        <v>1</v>
      </c>
      <c r="C3367" s="309"/>
      <c r="D3367" s="310"/>
    </row>
    <row r="3368" spans="1:4" x14ac:dyDescent="0.25">
      <c r="A3368" s="418" t="s">
        <v>8636</v>
      </c>
      <c r="B3368">
        <v>1</v>
      </c>
      <c r="C3368" s="309"/>
      <c r="D3368" s="310"/>
    </row>
    <row r="3369" spans="1:4" x14ac:dyDescent="0.25">
      <c r="A3369" s="418" t="s">
        <v>8637</v>
      </c>
      <c r="B3369">
        <v>1</v>
      </c>
      <c r="C3369" s="309"/>
      <c r="D3369" s="310"/>
    </row>
    <row r="3370" spans="1:4" x14ac:dyDescent="0.25">
      <c r="A3370" s="418" t="s">
        <v>8884</v>
      </c>
      <c r="B3370">
        <v>7</v>
      </c>
      <c r="C3370" s="309"/>
      <c r="D3370" s="310"/>
    </row>
    <row r="3371" spans="1:4" x14ac:dyDescent="0.25">
      <c r="A3371" s="418" t="s">
        <v>12097</v>
      </c>
      <c r="B3371">
        <v>2</v>
      </c>
      <c r="C3371" s="309"/>
      <c r="D3371" s="310"/>
    </row>
    <row r="3372" spans="1:4" x14ac:dyDescent="0.25">
      <c r="A3372" s="418" t="s">
        <v>11408</v>
      </c>
      <c r="B3372">
        <v>2</v>
      </c>
      <c r="C3372" s="309"/>
      <c r="D3372" s="310"/>
    </row>
    <row r="3373" spans="1:4" x14ac:dyDescent="0.25">
      <c r="A3373" s="418" t="s">
        <v>11409</v>
      </c>
      <c r="B3373">
        <v>3</v>
      </c>
      <c r="C3373" s="309"/>
      <c r="D3373" s="310"/>
    </row>
    <row r="3374" spans="1:4" x14ac:dyDescent="0.25">
      <c r="A3374" s="418" t="s">
        <v>11410</v>
      </c>
      <c r="B3374">
        <v>1</v>
      </c>
      <c r="C3374" s="309"/>
      <c r="D3374" s="310"/>
    </row>
    <row r="3375" spans="1:4" x14ac:dyDescent="0.25">
      <c r="A3375" s="418" t="s">
        <v>10469</v>
      </c>
      <c r="B3375">
        <v>1</v>
      </c>
      <c r="C3375" s="309"/>
      <c r="D3375" s="310"/>
    </row>
    <row r="3376" spans="1:4" x14ac:dyDescent="0.25">
      <c r="A3376" s="418" t="s">
        <v>8793</v>
      </c>
      <c r="B3376">
        <v>3</v>
      </c>
      <c r="C3376" s="309"/>
      <c r="D3376" s="310"/>
    </row>
    <row r="3377" spans="1:4" x14ac:dyDescent="0.25">
      <c r="A3377" s="418" t="s">
        <v>8885</v>
      </c>
      <c r="B3377">
        <v>4</v>
      </c>
      <c r="C3377" s="309"/>
      <c r="D3377" s="310"/>
    </row>
    <row r="3378" spans="1:4" x14ac:dyDescent="0.25">
      <c r="A3378" s="418" t="s">
        <v>12283</v>
      </c>
      <c r="B3378">
        <v>2</v>
      </c>
      <c r="C3378" s="309"/>
      <c r="D3378" s="310"/>
    </row>
    <row r="3379" spans="1:4" x14ac:dyDescent="0.25">
      <c r="A3379" s="418" t="s">
        <v>10372</v>
      </c>
      <c r="B3379">
        <v>2</v>
      </c>
      <c r="C3379" s="309"/>
      <c r="D3379" s="310"/>
    </row>
    <row r="3380" spans="1:4" x14ac:dyDescent="0.25">
      <c r="A3380" s="418" t="s">
        <v>12016</v>
      </c>
      <c r="B3380">
        <v>3</v>
      </c>
      <c r="C3380" s="309"/>
      <c r="D3380" s="310"/>
    </row>
    <row r="3381" spans="1:4" x14ac:dyDescent="0.25">
      <c r="A3381" s="418" t="s">
        <v>16441</v>
      </c>
      <c r="B3381">
        <v>2</v>
      </c>
      <c r="C3381" s="309"/>
      <c r="D3381" s="310"/>
    </row>
    <row r="3382" spans="1:4" x14ac:dyDescent="0.25">
      <c r="A3382" s="418" t="s">
        <v>8783</v>
      </c>
      <c r="B3382">
        <v>7</v>
      </c>
      <c r="C3382" s="309"/>
      <c r="D3382" s="310"/>
    </row>
    <row r="3383" spans="1:4" x14ac:dyDescent="0.25">
      <c r="A3383" s="418" t="s">
        <v>10197</v>
      </c>
      <c r="B3383">
        <v>7</v>
      </c>
      <c r="C3383" s="309"/>
      <c r="D3383" s="310"/>
    </row>
    <row r="3384" spans="1:4" x14ac:dyDescent="0.25">
      <c r="A3384" s="418" t="s">
        <v>10373</v>
      </c>
      <c r="B3384">
        <v>5</v>
      </c>
      <c r="C3384" s="309"/>
      <c r="D3384" s="310"/>
    </row>
    <row r="3385" spans="1:4" x14ac:dyDescent="0.25">
      <c r="A3385" s="418" t="s">
        <v>10837</v>
      </c>
      <c r="B3385">
        <v>5</v>
      </c>
      <c r="C3385" s="309"/>
      <c r="D3385" s="310"/>
    </row>
    <row r="3386" spans="1:4" x14ac:dyDescent="0.25">
      <c r="A3386" s="418" t="s">
        <v>10838</v>
      </c>
      <c r="B3386">
        <v>4</v>
      </c>
      <c r="C3386" s="309"/>
      <c r="D3386" s="310"/>
    </row>
    <row r="3387" spans="1:4" x14ac:dyDescent="0.25">
      <c r="A3387" s="418" t="s">
        <v>11787</v>
      </c>
      <c r="B3387">
        <v>1</v>
      </c>
      <c r="C3387" s="309"/>
      <c r="D3387" s="310"/>
    </row>
    <row r="3388" spans="1:4" x14ac:dyDescent="0.25">
      <c r="A3388" s="418" t="s">
        <v>10839</v>
      </c>
      <c r="B3388">
        <v>2</v>
      </c>
      <c r="C3388" s="309"/>
      <c r="D3388" s="310"/>
    </row>
    <row r="3389" spans="1:4" x14ac:dyDescent="0.25">
      <c r="A3389" s="418" t="s">
        <v>9098</v>
      </c>
      <c r="B3389">
        <v>4</v>
      </c>
      <c r="C3389" s="309"/>
      <c r="D3389" s="310"/>
    </row>
    <row r="3390" spans="1:4" x14ac:dyDescent="0.25">
      <c r="A3390" s="418" t="s">
        <v>9099</v>
      </c>
      <c r="B3390">
        <v>5</v>
      </c>
      <c r="C3390" s="309"/>
      <c r="D3390" s="310"/>
    </row>
    <row r="3391" spans="1:4" x14ac:dyDescent="0.25">
      <c r="A3391" s="418" t="s">
        <v>17116</v>
      </c>
      <c r="B3391">
        <v>1</v>
      </c>
      <c r="C3391" s="309"/>
      <c r="D3391" s="310"/>
    </row>
    <row r="3392" spans="1:4" x14ac:dyDescent="0.25">
      <c r="A3392" s="418" t="s">
        <v>8784</v>
      </c>
      <c r="B3392">
        <v>5</v>
      </c>
      <c r="C3392" s="309"/>
      <c r="D3392" s="310"/>
    </row>
    <row r="3393" spans="1:4" x14ac:dyDescent="0.25">
      <c r="A3393" s="418" t="s">
        <v>8785</v>
      </c>
      <c r="B3393">
        <v>6</v>
      </c>
      <c r="C3393" s="309"/>
      <c r="D3393" s="310"/>
    </row>
    <row r="3394" spans="1:4" x14ac:dyDescent="0.25">
      <c r="A3394" s="418" t="s">
        <v>9625</v>
      </c>
      <c r="B3394">
        <v>4</v>
      </c>
      <c r="C3394" s="309"/>
      <c r="D3394" s="310"/>
    </row>
    <row r="3395" spans="1:4" x14ac:dyDescent="0.25">
      <c r="A3395" s="418" t="s">
        <v>10696</v>
      </c>
      <c r="B3395">
        <v>1</v>
      </c>
      <c r="C3395" s="309"/>
      <c r="D3395" s="310"/>
    </row>
    <row r="3396" spans="1:4" x14ac:dyDescent="0.25">
      <c r="A3396" s="418" t="s">
        <v>10840</v>
      </c>
      <c r="B3396">
        <v>1</v>
      </c>
      <c r="C3396" s="309"/>
      <c r="D3396" s="310"/>
    </row>
    <row r="3397" spans="1:4" x14ac:dyDescent="0.25">
      <c r="A3397" s="418" t="s">
        <v>10841</v>
      </c>
      <c r="B3397">
        <v>1</v>
      </c>
      <c r="C3397" s="309"/>
      <c r="D3397" s="310"/>
    </row>
    <row r="3398" spans="1:4" x14ac:dyDescent="0.25">
      <c r="A3398" s="418" t="s">
        <v>9936</v>
      </c>
      <c r="B3398">
        <v>4</v>
      </c>
      <c r="C3398" s="309"/>
      <c r="D3398" s="310"/>
    </row>
    <row r="3399" spans="1:4" x14ac:dyDescent="0.25">
      <c r="A3399" s="418" t="s">
        <v>9937</v>
      </c>
      <c r="B3399">
        <v>4</v>
      </c>
      <c r="C3399" s="309"/>
      <c r="D3399" s="310"/>
    </row>
    <row r="3400" spans="1:4" x14ac:dyDescent="0.25">
      <c r="A3400" s="418" t="s">
        <v>10251</v>
      </c>
      <c r="B3400">
        <v>3</v>
      </c>
      <c r="C3400" s="309"/>
      <c r="D3400" s="310"/>
    </row>
    <row r="3401" spans="1:4" x14ac:dyDescent="0.25">
      <c r="A3401" s="418" t="s">
        <v>10589</v>
      </c>
      <c r="B3401">
        <v>1</v>
      </c>
      <c r="C3401" s="309"/>
      <c r="D3401" s="310"/>
    </row>
    <row r="3402" spans="1:4" x14ac:dyDescent="0.25">
      <c r="A3402" s="418" t="s">
        <v>9430</v>
      </c>
      <c r="B3402">
        <v>15</v>
      </c>
      <c r="C3402" s="309"/>
      <c r="D3402" s="310"/>
    </row>
    <row r="3403" spans="1:4" x14ac:dyDescent="0.25">
      <c r="A3403" s="418" t="s">
        <v>9722</v>
      </c>
      <c r="B3403">
        <v>14</v>
      </c>
      <c r="C3403" s="309"/>
      <c r="D3403" s="310"/>
    </row>
    <row r="3404" spans="1:4" x14ac:dyDescent="0.25">
      <c r="A3404" s="418" t="s">
        <v>11699</v>
      </c>
      <c r="B3404">
        <v>8</v>
      </c>
      <c r="C3404" s="309"/>
      <c r="D3404" s="310"/>
    </row>
    <row r="3405" spans="1:4" x14ac:dyDescent="0.25">
      <c r="A3405" s="418" t="s">
        <v>9723</v>
      </c>
      <c r="B3405">
        <v>6</v>
      </c>
      <c r="C3405" s="309"/>
      <c r="D3405" s="310"/>
    </row>
    <row r="3406" spans="1:4" x14ac:dyDescent="0.25">
      <c r="A3406" s="418" t="s">
        <v>9203</v>
      </c>
      <c r="B3406">
        <v>3</v>
      </c>
      <c r="C3406" s="309"/>
      <c r="D3406" s="310"/>
    </row>
    <row r="3407" spans="1:4" x14ac:dyDescent="0.25">
      <c r="A3407" s="418" t="s">
        <v>9204</v>
      </c>
      <c r="B3407">
        <v>4</v>
      </c>
      <c r="C3407" s="309"/>
      <c r="D3407" s="310"/>
    </row>
    <row r="3408" spans="1:4" x14ac:dyDescent="0.25">
      <c r="A3408" s="418" t="s">
        <v>10374</v>
      </c>
      <c r="B3408">
        <v>4</v>
      </c>
      <c r="C3408" s="309"/>
      <c r="D3408" s="310"/>
    </row>
    <row r="3409" spans="1:4" x14ac:dyDescent="0.25">
      <c r="A3409" s="418" t="s">
        <v>8886</v>
      </c>
      <c r="B3409">
        <v>6</v>
      </c>
      <c r="C3409" s="309"/>
      <c r="D3409" s="310"/>
    </row>
    <row r="3410" spans="1:4" x14ac:dyDescent="0.25">
      <c r="A3410" s="418" t="s">
        <v>8887</v>
      </c>
      <c r="B3410">
        <v>9</v>
      </c>
      <c r="C3410" s="309"/>
      <c r="D3410" s="310"/>
    </row>
    <row r="3411" spans="1:4" x14ac:dyDescent="0.25">
      <c r="A3411" s="418" t="s">
        <v>9252</v>
      </c>
      <c r="B3411">
        <v>3</v>
      </c>
      <c r="C3411" s="309"/>
      <c r="D3411" s="310"/>
    </row>
    <row r="3412" spans="1:4" x14ac:dyDescent="0.25">
      <c r="A3412" s="418" t="s">
        <v>9253</v>
      </c>
      <c r="B3412">
        <v>3</v>
      </c>
      <c r="C3412" s="309"/>
      <c r="D3412" s="310"/>
    </row>
    <row r="3413" spans="1:4" x14ac:dyDescent="0.25">
      <c r="A3413" s="418" t="s">
        <v>9431</v>
      </c>
      <c r="B3413">
        <v>10</v>
      </c>
      <c r="C3413" s="309"/>
      <c r="D3413" s="310"/>
    </row>
    <row r="3414" spans="1:4" x14ac:dyDescent="0.25">
      <c r="A3414" s="418" t="s">
        <v>11209</v>
      </c>
      <c r="B3414">
        <v>6</v>
      </c>
      <c r="C3414" s="309"/>
      <c r="D3414" s="310"/>
    </row>
    <row r="3415" spans="1:4" x14ac:dyDescent="0.25">
      <c r="A3415" s="418" t="s">
        <v>12284</v>
      </c>
      <c r="B3415">
        <v>5</v>
      </c>
      <c r="C3415" s="309"/>
      <c r="D3415" s="310"/>
    </row>
    <row r="3416" spans="1:4" x14ac:dyDescent="0.25">
      <c r="A3416" s="418" t="s">
        <v>9724</v>
      </c>
      <c r="B3416">
        <v>4</v>
      </c>
      <c r="C3416" s="309"/>
      <c r="D3416" s="310"/>
    </row>
    <row r="3417" spans="1:4" x14ac:dyDescent="0.25">
      <c r="A3417" s="418" t="s">
        <v>10697</v>
      </c>
      <c r="B3417">
        <v>1</v>
      </c>
      <c r="C3417" s="309"/>
      <c r="D3417" s="310"/>
    </row>
    <row r="3418" spans="1:4" x14ac:dyDescent="0.25">
      <c r="A3418" s="418" t="s">
        <v>10698</v>
      </c>
      <c r="B3418">
        <v>2</v>
      </c>
      <c r="C3418" s="309"/>
      <c r="D3418" s="310"/>
    </row>
    <row r="3419" spans="1:4" x14ac:dyDescent="0.25">
      <c r="A3419" s="418" t="s">
        <v>10699</v>
      </c>
      <c r="B3419">
        <v>1</v>
      </c>
      <c r="C3419" s="309"/>
      <c r="D3419" s="310"/>
    </row>
    <row r="3420" spans="1:4" x14ac:dyDescent="0.25">
      <c r="A3420" s="418" t="s">
        <v>10700</v>
      </c>
      <c r="B3420">
        <v>3</v>
      </c>
      <c r="C3420" s="309"/>
      <c r="D3420" s="310"/>
    </row>
    <row r="3421" spans="1:4" x14ac:dyDescent="0.25">
      <c r="A3421" s="418" t="s">
        <v>10701</v>
      </c>
      <c r="B3421">
        <v>3</v>
      </c>
      <c r="C3421" s="309"/>
      <c r="D3421" s="310"/>
    </row>
    <row r="3422" spans="1:4" x14ac:dyDescent="0.25">
      <c r="A3422" s="418" t="s">
        <v>11594</v>
      </c>
      <c r="B3422">
        <v>3</v>
      </c>
      <c r="C3422" s="309"/>
      <c r="D3422" s="310"/>
    </row>
    <row r="3423" spans="1:4" x14ac:dyDescent="0.25">
      <c r="A3423" s="418" t="s">
        <v>9626</v>
      </c>
      <c r="B3423">
        <v>2</v>
      </c>
      <c r="C3423" s="309"/>
      <c r="D3423" s="310"/>
    </row>
    <row r="3424" spans="1:4" x14ac:dyDescent="0.25">
      <c r="A3424" s="418" t="s">
        <v>9627</v>
      </c>
      <c r="B3424">
        <v>1</v>
      </c>
      <c r="C3424" s="309"/>
      <c r="D3424" s="310"/>
    </row>
    <row r="3425" spans="1:4" x14ac:dyDescent="0.25">
      <c r="A3425" s="418" t="s">
        <v>9628</v>
      </c>
      <c r="B3425">
        <v>1</v>
      </c>
      <c r="C3425" s="309"/>
      <c r="D3425" s="310"/>
    </row>
    <row r="3426" spans="1:4" x14ac:dyDescent="0.25">
      <c r="A3426" s="418" t="s">
        <v>9205</v>
      </c>
      <c r="B3426">
        <v>3</v>
      </c>
      <c r="C3426" s="309"/>
      <c r="D3426" s="310"/>
    </row>
    <row r="3427" spans="1:4" x14ac:dyDescent="0.25">
      <c r="A3427" s="418" t="s">
        <v>10524</v>
      </c>
      <c r="B3427">
        <v>3</v>
      </c>
      <c r="C3427" s="309"/>
      <c r="D3427" s="310"/>
    </row>
    <row r="3428" spans="1:4" x14ac:dyDescent="0.25">
      <c r="A3428" s="418" t="s">
        <v>11258</v>
      </c>
      <c r="B3428">
        <v>3</v>
      </c>
      <c r="C3428" s="309"/>
      <c r="D3428" s="310"/>
    </row>
    <row r="3429" spans="1:4" x14ac:dyDescent="0.25">
      <c r="A3429" s="418" t="s">
        <v>11967</v>
      </c>
      <c r="B3429">
        <v>1</v>
      </c>
      <c r="C3429" s="309"/>
      <c r="D3429" s="310"/>
    </row>
    <row r="3430" spans="1:4" x14ac:dyDescent="0.25">
      <c r="A3430" s="418" t="s">
        <v>9206</v>
      </c>
      <c r="B3430">
        <v>3</v>
      </c>
      <c r="C3430" s="309"/>
      <c r="D3430" s="310"/>
    </row>
    <row r="3431" spans="1:4" x14ac:dyDescent="0.25">
      <c r="A3431" s="418" t="s">
        <v>9207</v>
      </c>
      <c r="B3431">
        <v>3</v>
      </c>
      <c r="C3431" s="309"/>
      <c r="D3431" s="310"/>
    </row>
    <row r="3432" spans="1:4" x14ac:dyDescent="0.25">
      <c r="A3432" s="418" t="s">
        <v>9208</v>
      </c>
      <c r="B3432">
        <v>3</v>
      </c>
      <c r="C3432" s="309"/>
      <c r="D3432" s="310"/>
    </row>
    <row r="3433" spans="1:4" x14ac:dyDescent="0.25">
      <c r="A3433" s="418" t="s">
        <v>9629</v>
      </c>
      <c r="B3433">
        <v>3</v>
      </c>
      <c r="C3433" s="309"/>
      <c r="D3433" s="310"/>
    </row>
    <row r="3434" spans="1:4" x14ac:dyDescent="0.25">
      <c r="A3434" s="418" t="s">
        <v>9630</v>
      </c>
      <c r="B3434">
        <v>2</v>
      </c>
      <c r="C3434" s="309"/>
      <c r="D3434" s="310"/>
    </row>
    <row r="3435" spans="1:4" x14ac:dyDescent="0.25">
      <c r="A3435" s="418" t="s">
        <v>10702</v>
      </c>
      <c r="B3435">
        <v>1</v>
      </c>
      <c r="C3435" s="309"/>
      <c r="D3435" s="310"/>
    </row>
    <row r="3436" spans="1:4" x14ac:dyDescent="0.25">
      <c r="A3436" s="418" t="s">
        <v>10703</v>
      </c>
      <c r="B3436">
        <v>1</v>
      </c>
      <c r="C3436" s="309"/>
      <c r="D3436" s="310"/>
    </row>
    <row r="3437" spans="1:4" x14ac:dyDescent="0.25">
      <c r="A3437" s="418" t="s">
        <v>12098</v>
      </c>
      <c r="B3437">
        <v>4</v>
      </c>
      <c r="C3437" s="309"/>
      <c r="D3437" s="310"/>
    </row>
    <row r="3438" spans="1:4" x14ac:dyDescent="0.25">
      <c r="A3438" s="418" t="s">
        <v>11321</v>
      </c>
      <c r="B3438">
        <v>1</v>
      </c>
      <c r="C3438" s="309"/>
      <c r="D3438" s="310"/>
    </row>
    <row r="3439" spans="1:4" x14ac:dyDescent="0.25">
      <c r="A3439" s="418" t="s">
        <v>10590</v>
      </c>
      <c r="B3439">
        <v>5</v>
      </c>
      <c r="C3439" s="309"/>
      <c r="D3439" s="310"/>
    </row>
    <row r="3440" spans="1:4" x14ac:dyDescent="0.25">
      <c r="A3440" s="418" t="s">
        <v>16442</v>
      </c>
      <c r="B3440">
        <v>1</v>
      </c>
      <c r="C3440" s="309"/>
      <c r="D3440" s="310"/>
    </row>
    <row r="3441" spans="1:4" x14ac:dyDescent="0.25">
      <c r="A3441" s="418" t="s">
        <v>9631</v>
      </c>
      <c r="B3441">
        <v>2</v>
      </c>
      <c r="C3441" s="309"/>
      <c r="D3441" s="310"/>
    </row>
    <row r="3442" spans="1:4" x14ac:dyDescent="0.25">
      <c r="A3442" s="418" t="s">
        <v>9632</v>
      </c>
      <c r="B3442">
        <v>1</v>
      </c>
      <c r="C3442" s="309"/>
      <c r="D3442" s="310"/>
    </row>
    <row r="3443" spans="1:4" x14ac:dyDescent="0.25">
      <c r="A3443" s="418" t="s">
        <v>9254</v>
      </c>
      <c r="B3443">
        <v>1</v>
      </c>
      <c r="C3443" s="309"/>
      <c r="D3443" s="310"/>
    </row>
    <row r="3444" spans="1:4" x14ac:dyDescent="0.25">
      <c r="A3444" s="418" t="s">
        <v>8974</v>
      </c>
      <c r="B3444">
        <v>3</v>
      </c>
      <c r="C3444" s="309"/>
      <c r="D3444" s="310"/>
    </row>
    <row r="3445" spans="1:4" x14ac:dyDescent="0.25">
      <c r="A3445" s="418" t="s">
        <v>10470</v>
      </c>
      <c r="B3445">
        <v>1</v>
      </c>
      <c r="C3445" s="309"/>
      <c r="D3445" s="310"/>
    </row>
    <row r="3446" spans="1:4" x14ac:dyDescent="0.25">
      <c r="A3446" s="418" t="s">
        <v>12438</v>
      </c>
      <c r="B3446">
        <v>1</v>
      </c>
      <c r="C3446" s="309"/>
      <c r="D3446" s="310"/>
    </row>
    <row r="3447" spans="1:4" x14ac:dyDescent="0.25">
      <c r="A3447" s="418" t="s">
        <v>12439</v>
      </c>
      <c r="B3447">
        <v>1</v>
      </c>
      <c r="C3447" s="309"/>
      <c r="D3447" s="310"/>
    </row>
    <row r="3448" spans="1:4" x14ac:dyDescent="0.25">
      <c r="A3448" s="418" t="s">
        <v>11259</v>
      </c>
      <c r="B3448">
        <v>1</v>
      </c>
      <c r="C3448" s="309"/>
      <c r="D3448" s="310"/>
    </row>
    <row r="3449" spans="1:4" x14ac:dyDescent="0.25">
      <c r="A3449" s="418" t="s">
        <v>11260</v>
      </c>
      <c r="B3449">
        <v>1</v>
      </c>
      <c r="C3449" s="309"/>
      <c r="D3449" s="310"/>
    </row>
    <row r="3450" spans="1:4" x14ac:dyDescent="0.25">
      <c r="A3450" s="418" t="s">
        <v>11261</v>
      </c>
      <c r="B3450">
        <v>1</v>
      </c>
      <c r="C3450" s="309"/>
      <c r="D3450" s="310"/>
    </row>
    <row r="3451" spans="1:4" x14ac:dyDescent="0.25">
      <c r="A3451" s="418" t="s">
        <v>9573</v>
      </c>
      <c r="B3451">
        <v>1</v>
      </c>
      <c r="C3451" s="309"/>
      <c r="D3451" s="310"/>
    </row>
    <row r="3452" spans="1:4" x14ac:dyDescent="0.25">
      <c r="A3452" s="418" t="s">
        <v>10000</v>
      </c>
      <c r="B3452">
        <v>3</v>
      </c>
      <c r="C3452" s="309"/>
      <c r="D3452" s="310"/>
    </row>
    <row r="3453" spans="1:4" x14ac:dyDescent="0.25">
      <c r="A3453" s="418" t="s">
        <v>9255</v>
      </c>
      <c r="B3453">
        <v>3</v>
      </c>
      <c r="C3453" s="309"/>
      <c r="D3453" s="310"/>
    </row>
    <row r="3454" spans="1:4" x14ac:dyDescent="0.25">
      <c r="A3454" s="418" t="s">
        <v>11429</v>
      </c>
      <c r="B3454">
        <v>2</v>
      </c>
      <c r="C3454" s="309"/>
      <c r="D3454" s="310"/>
    </row>
    <row r="3455" spans="1:4" x14ac:dyDescent="0.25">
      <c r="A3455" s="418" t="s">
        <v>9100</v>
      </c>
      <c r="B3455">
        <v>1</v>
      </c>
      <c r="C3455" s="309"/>
      <c r="D3455" s="310"/>
    </row>
    <row r="3456" spans="1:4" x14ac:dyDescent="0.25">
      <c r="A3456" s="418" t="s">
        <v>10471</v>
      </c>
      <c r="B3456">
        <v>4</v>
      </c>
      <c r="C3456" s="309"/>
      <c r="D3456" s="310"/>
    </row>
    <row r="3457" spans="1:4" x14ac:dyDescent="0.25">
      <c r="A3457" s="418" t="s">
        <v>15206</v>
      </c>
      <c r="B3457">
        <v>3</v>
      </c>
      <c r="C3457" s="309"/>
      <c r="D3457" s="310"/>
    </row>
    <row r="3458" spans="1:4" x14ac:dyDescent="0.25">
      <c r="A3458" s="418" t="s">
        <v>11361</v>
      </c>
      <c r="B3458">
        <v>4</v>
      </c>
      <c r="C3458" s="309"/>
      <c r="D3458" s="310"/>
    </row>
    <row r="3459" spans="1:4" x14ac:dyDescent="0.25">
      <c r="A3459" s="418" t="s">
        <v>9725</v>
      </c>
      <c r="B3459">
        <v>5</v>
      </c>
      <c r="C3459" s="309"/>
      <c r="D3459" s="310"/>
    </row>
    <row r="3460" spans="1:4" x14ac:dyDescent="0.25">
      <c r="A3460" s="418" t="s">
        <v>9726</v>
      </c>
      <c r="B3460">
        <v>6</v>
      </c>
      <c r="C3460" s="309"/>
      <c r="D3460" s="310"/>
    </row>
    <row r="3461" spans="1:4" x14ac:dyDescent="0.25">
      <c r="A3461" s="418" t="s">
        <v>12285</v>
      </c>
      <c r="B3461">
        <v>3</v>
      </c>
      <c r="C3461" s="309"/>
      <c r="D3461" s="310"/>
    </row>
    <row r="3462" spans="1:4" x14ac:dyDescent="0.25">
      <c r="A3462" s="418" t="s">
        <v>11811</v>
      </c>
      <c r="B3462">
        <v>2</v>
      </c>
      <c r="C3462" s="309"/>
      <c r="D3462" s="310"/>
    </row>
    <row r="3463" spans="1:4" x14ac:dyDescent="0.25">
      <c r="A3463" s="418" t="s">
        <v>11322</v>
      </c>
      <c r="B3463">
        <v>6</v>
      </c>
      <c r="C3463" s="309"/>
      <c r="D3463" s="310"/>
    </row>
    <row r="3464" spans="1:4" x14ac:dyDescent="0.25">
      <c r="A3464" s="418" t="s">
        <v>11323</v>
      </c>
      <c r="B3464">
        <v>8</v>
      </c>
      <c r="C3464" s="309"/>
      <c r="D3464" s="310"/>
    </row>
    <row r="3465" spans="1:4" x14ac:dyDescent="0.25">
      <c r="A3465" s="418" t="s">
        <v>12440</v>
      </c>
      <c r="B3465">
        <v>4</v>
      </c>
      <c r="C3465" s="309"/>
      <c r="D3465" s="310"/>
    </row>
    <row r="3466" spans="1:4" x14ac:dyDescent="0.25">
      <c r="A3466" s="418" t="s">
        <v>12441</v>
      </c>
      <c r="B3466">
        <v>2</v>
      </c>
      <c r="C3466" s="309"/>
      <c r="D3466" s="310"/>
    </row>
    <row r="3467" spans="1:4" x14ac:dyDescent="0.25">
      <c r="A3467" s="418" t="s">
        <v>12247</v>
      </c>
      <c r="B3467">
        <v>1</v>
      </c>
      <c r="C3467" s="309"/>
      <c r="D3467" s="310"/>
    </row>
    <row r="3468" spans="1:4" x14ac:dyDescent="0.25">
      <c r="A3468" s="418" t="s">
        <v>9256</v>
      </c>
      <c r="B3468">
        <v>3</v>
      </c>
      <c r="C3468" s="309"/>
      <c r="D3468" s="310"/>
    </row>
    <row r="3469" spans="1:4" x14ac:dyDescent="0.25">
      <c r="A3469" s="418" t="s">
        <v>9792</v>
      </c>
      <c r="B3469">
        <v>7</v>
      </c>
      <c r="C3469" s="309"/>
      <c r="D3469" s="310"/>
    </row>
    <row r="3470" spans="1:4" x14ac:dyDescent="0.25">
      <c r="A3470" s="418" t="s">
        <v>9793</v>
      </c>
      <c r="B3470">
        <v>7</v>
      </c>
      <c r="C3470" s="309"/>
      <c r="D3470" s="310"/>
    </row>
    <row r="3471" spans="1:4" x14ac:dyDescent="0.25">
      <c r="A3471" s="418" t="s">
        <v>9794</v>
      </c>
      <c r="B3471">
        <v>4</v>
      </c>
      <c r="C3471" s="309"/>
      <c r="D3471" s="310"/>
    </row>
    <row r="3472" spans="1:4" x14ac:dyDescent="0.25">
      <c r="A3472" s="418" t="s">
        <v>10591</v>
      </c>
      <c r="B3472">
        <v>4</v>
      </c>
      <c r="C3472" s="309"/>
      <c r="D3472" s="310"/>
    </row>
    <row r="3473" spans="1:4" x14ac:dyDescent="0.25">
      <c r="A3473" s="418" t="s">
        <v>9101</v>
      </c>
      <c r="B3473">
        <v>1</v>
      </c>
      <c r="C3473" s="309"/>
      <c r="D3473" s="310"/>
    </row>
    <row r="3474" spans="1:4" x14ac:dyDescent="0.25">
      <c r="A3474" s="418" t="s">
        <v>9102</v>
      </c>
      <c r="B3474">
        <v>1</v>
      </c>
      <c r="C3474" s="309"/>
      <c r="D3474" s="310"/>
    </row>
    <row r="3475" spans="1:4" x14ac:dyDescent="0.25">
      <c r="A3475" s="418" t="s">
        <v>9938</v>
      </c>
      <c r="B3475">
        <v>2</v>
      </c>
      <c r="C3475" s="309"/>
      <c r="D3475" s="310"/>
    </row>
    <row r="3476" spans="1:4" x14ac:dyDescent="0.25">
      <c r="A3476" s="418" t="s">
        <v>12442</v>
      </c>
      <c r="B3476">
        <v>3</v>
      </c>
      <c r="C3476" s="309"/>
      <c r="D3476" s="310"/>
    </row>
    <row r="3477" spans="1:4" x14ac:dyDescent="0.25">
      <c r="A3477" s="418" t="s">
        <v>12443</v>
      </c>
      <c r="B3477">
        <v>4</v>
      </c>
      <c r="C3477" s="309"/>
      <c r="D3477" s="310"/>
    </row>
    <row r="3478" spans="1:4" x14ac:dyDescent="0.25">
      <c r="A3478" s="418" t="s">
        <v>12444</v>
      </c>
      <c r="B3478">
        <v>1</v>
      </c>
      <c r="C3478" s="309"/>
      <c r="D3478" s="310"/>
    </row>
    <row r="3479" spans="1:4" x14ac:dyDescent="0.25">
      <c r="A3479" s="418" t="s">
        <v>12445</v>
      </c>
      <c r="B3479">
        <v>3</v>
      </c>
      <c r="C3479" s="309"/>
      <c r="D3479" s="310"/>
    </row>
    <row r="3480" spans="1:4" x14ac:dyDescent="0.25">
      <c r="A3480" s="418" t="s">
        <v>9817</v>
      </c>
      <c r="B3480">
        <v>9</v>
      </c>
      <c r="C3480" s="309"/>
      <c r="D3480" s="310"/>
    </row>
    <row r="3481" spans="1:4" x14ac:dyDescent="0.25">
      <c r="A3481" s="418" t="s">
        <v>10704</v>
      </c>
      <c r="B3481">
        <v>6</v>
      </c>
      <c r="C3481" s="309"/>
      <c r="D3481" s="310"/>
    </row>
    <row r="3482" spans="1:4" x14ac:dyDescent="0.25">
      <c r="A3482" s="418" t="s">
        <v>10705</v>
      </c>
      <c r="B3482">
        <v>4</v>
      </c>
      <c r="C3482" s="309"/>
      <c r="D3482" s="310"/>
    </row>
    <row r="3483" spans="1:4" x14ac:dyDescent="0.25">
      <c r="A3483" s="418" t="s">
        <v>12120</v>
      </c>
      <c r="B3483">
        <v>4</v>
      </c>
      <c r="C3483" s="309"/>
      <c r="D3483" s="310"/>
    </row>
    <row r="3484" spans="1:4" x14ac:dyDescent="0.25">
      <c r="A3484" s="418" t="s">
        <v>12121</v>
      </c>
      <c r="B3484">
        <v>4</v>
      </c>
      <c r="C3484" s="309"/>
      <c r="D3484" s="310"/>
    </row>
    <row r="3485" spans="1:4" x14ac:dyDescent="0.25">
      <c r="A3485" s="418" t="s">
        <v>16443</v>
      </c>
      <c r="B3485">
        <v>2</v>
      </c>
      <c r="C3485" s="309"/>
      <c r="D3485" s="310"/>
    </row>
    <row r="3486" spans="1:4" x14ac:dyDescent="0.25">
      <c r="A3486" s="418" t="s">
        <v>11262</v>
      </c>
      <c r="B3486">
        <v>1</v>
      </c>
      <c r="C3486" s="309"/>
      <c r="D3486" s="310"/>
    </row>
    <row r="3487" spans="1:4" x14ac:dyDescent="0.25">
      <c r="A3487" s="418" t="s">
        <v>9432</v>
      </c>
      <c r="B3487">
        <v>7</v>
      </c>
      <c r="C3487" s="309"/>
      <c r="D3487" s="310"/>
    </row>
    <row r="3488" spans="1:4" x14ac:dyDescent="0.25">
      <c r="A3488" s="418" t="s">
        <v>9433</v>
      </c>
      <c r="B3488">
        <v>7</v>
      </c>
      <c r="C3488" s="309"/>
      <c r="D3488" s="310"/>
    </row>
    <row r="3489" spans="1:4" x14ac:dyDescent="0.25">
      <c r="A3489" s="418" t="s">
        <v>9434</v>
      </c>
      <c r="B3489">
        <v>2</v>
      </c>
      <c r="C3489" s="309"/>
      <c r="D3489" s="310"/>
    </row>
    <row r="3490" spans="1:4" x14ac:dyDescent="0.25">
      <c r="A3490" s="418" t="s">
        <v>10592</v>
      </c>
      <c r="B3490">
        <v>3</v>
      </c>
      <c r="C3490" s="309"/>
      <c r="D3490" s="310"/>
    </row>
    <row r="3491" spans="1:4" x14ac:dyDescent="0.25">
      <c r="A3491" s="418" t="s">
        <v>11700</v>
      </c>
      <c r="B3491">
        <v>1</v>
      </c>
      <c r="C3491" s="309"/>
      <c r="D3491" s="310"/>
    </row>
    <row r="3492" spans="1:4" x14ac:dyDescent="0.25">
      <c r="A3492" s="418" t="s">
        <v>9939</v>
      </c>
      <c r="B3492">
        <v>3</v>
      </c>
      <c r="C3492" s="309"/>
      <c r="D3492" s="310"/>
    </row>
    <row r="3493" spans="1:4" x14ac:dyDescent="0.25">
      <c r="A3493" s="418" t="s">
        <v>11701</v>
      </c>
      <c r="B3493">
        <v>2</v>
      </c>
      <c r="C3493" s="309"/>
      <c r="D3493" s="310"/>
    </row>
    <row r="3494" spans="1:4" x14ac:dyDescent="0.25">
      <c r="A3494" s="418" t="s">
        <v>12446</v>
      </c>
      <c r="B3494">
        <v>3</v>
      </c>
      <c r="C3494" s="309"/>
      <c r="D3494" s="310"/>
    </row>
    <row r="3495" spans="1:4" x14ac:dyDescent="0.25">
      <c r="A3495" s="418" t="s">
        <v>12447</v>
      </c>
      <c r="B3495">
        <v>1</v>
      </c>
      <c r="C3495" s="309"/>
      <c r="D3495" s="310"/>
    </row>
    <row r="3496" spans="1:4" x14ac:dyDescent="0.25">
      <c r="A3496" s="418" t="s">
        <v>15207</v>
      </c>
      <c r="B3496">
        <v>3</v>
      </c>
      <c r="C3496" s="309"/>
      <c r="D3496" s="310"/>
    </row>
    <row r="3497" spans="1:4" x14ac:dyDescent="0.25">
      <c r="A3497" s="418" t="s">
        <v>15208</v>
      </c>
      <c r="B3497">
        <v>3</v>
      </c>
      <c r="C3497" s="309"/>
      <c r="D3497" s="310"/>
    </row>
    <row r="3498" spans="1:4" x14ac:dyDescent="0.25">
      <c r="A3498" s="418" t="s">
        <v>9633</v>
      </c>
      <c r="B3498">
        <v>1</v>
      </c>
      <c r="C3498" s="309"/>
      <c r="D3498" s="310"/>
    </row>
    <row r="3499" spans="1:4" x14ac:dyDescent="0.25">
      <c r="A3499" s="418" t="s">
        <v>9634</v>
      </c>
      <c r="B3499">
        <v>3</v>
      </c>
      <c r="C3499" s="309"/>
      <c r="D3499" s="310"/>
    </row>
    <row r="3500" spans="1:4" x14ac:dyDescent="0.25">
      <c r="A3500" s="418" t="s">
        <v>9103</v>
      </c>
      <c r="B3500">
        <v>1</v>
      </c>
      <c r="C3500" s="309"/>
      <c r="D3500" s="310"/>
    </row>
    <row r="3501" spans="1:4" x14ac:dyDescent="0.25">
      <c r="A3501" s="418" t="s">
        <v>9104</v>
      </c>
      <c r="B3501">
        <v>1</v>
      </c>
      <c r="C3501" s="309"/>
      <c r="D3501" s="310"/>
    </row>
    <row r="3502" spans="1:4" x14ac:dyDescent="0.25">
      <c r="A3502" s="418" t="s">
        <v>11968</v>
      </c>
      <c r="B3502">
        <v>3</v>
      </c>
      <c r="C3502" s="309"/>
      <c r="D3502" s="310"/>
    </row>
    <row r="3503" spans="1:4" x14ac:dyDescent="0.25">
      <c r="A3503" s="418" t="s">
        <v>11969</v>
      </c>
      <c r="B3503">
        <v>4</v>
      </c>
      <c r="C3503" s="309"/>
      <c r="D3503" s="310"/>
    </row>
    <row r="3504" spans="1:4" x14ac:dyDescent="0.25">
      <c r="A3504" s="418" t="s">
        <v>15167</v>
      </c>
      <c r="B3504">
        <v>2</v>
      </c>
      <c r="C3504" s="309"/>
      <c r="D3504" s="310"/>
    </row>
    <row r="3505" spans="1:4" x14ac:dyDescent="0.25">
      <c r="A3505" s="418" t="s">
        <v>15231</v>
      </c>
      <c r="B3505">
        <v>2</v>
      </c>
      <c r="C3505" s="309"/>
      <c r="D3505" s="310"/>
    </row>
    <row r="3506" spans="1:4" x14ac:dyDescent="0.25">
      <c r="A3506" s="418" t="s">
        <v>10593</v>
      </c>
      <c r="B3506">
        <v>19</v>
      </c>
      <c r="C3506" s="309"/>
      <c r="D3506" s="310"/>
    </row>
    <row r="3507" spans="1:4" x14ac:dyDescent="0.25">
      <c r="A3507" s="418" t="s">
        <v>10594</v>
      </c>
      <c r="B3507">
        <v>18</v>
      </c>
      <c r="C3507" s="309"/>
      <c r="D3507" s="310"/>
    </row>
    <row r="3508" spans="1:4" x14ac:dyDescent="0.25">
      <c r="A3508" s="418" t="s">
        <v>10595</v>
      </c>
      <c r="B3508">
        <v>13</v>
      </c>
      <c r="C3508" s="309"/>
      <c r="D3508" s="310"/>
    </row>
    <row r="3509" spans="1:4" x14ac:dyDescent="0.25">
      <c r="A3509" s="418" t="s">
        <v>10596</v>
      </c>
      <c r="B3509">
        <v>5</v>
      </c>
      <c r="C3509" s="309"/>
      <c r="D3509" s="310"/>
    </row>
    <row r="3510" spans="1:4" x14ac:dyDescent="0.25">
      <c r="A3510" s="418" t="s">
        <v>9105</v>
      </c>
      <c r="B3510">
        <v>8</v>
      </c>
      <c r="C3510" s="309"/>
      <c r="D3510" s="310"/>
    </row>
    <row r="3511" spans="1:4" x14ac:dyDescent="0.25">
      <c r="A3511" s="418" t="s">
        <v>9106</v>
      </c>
      <c r="B3511">
        <v>8</v>
      </c>
      <c r="C3511" s="309"/>
      <c r="D3511" s="310"/>
    </row>
    <row r="3512" spans="1:4" x14ac:dyDescent="0.25">
      <c r="A3512" s="418" t="s">
        <v>11362</v>
      </c>
      <c r="B3512">
        <v>5</v>
      </c>
      <c r="C3512" s="309"/>
      <c r="D3512" s="310"/>
    </row>
    <row r="3513" spans="1:4" x14ac:dyDescent="0.25">
      <c r="A3513" s="418" t="s">
        <v>11068</v>
      </c>
      <c r="B3513">
        <v>2</v>
      </c>
      <c r="C3513" s="309"/>
      <c r="D3513" s="310"/>
    </row>
    <row r="3514" spans="1:4" x14ac:dyDescent="0.25">
      <c r="A3514" s="418" t="s">
        <v>11069</v>
      </c>
      <c r="B3514">
        <v>3</v>
      </c>
      <c r="C3514" s="309"/>
      <c r="D3514" s="310"/>
    </row>
    <row r="3515" spans="1:4" x14ac:dyDescent="0.25">
      <c r="A3515" s="418" t="s">
        <v>9574</v>
      </c>
      <c r="B3515">
        <v>3</v>
      </c>
      <c r="C3515" s="309"/>
      <c r="D3515" s="310"/>
    </row>
    <row r="3516" spans="1:4" x14ac:dyDescent="0.25">
      <c r="A3516" s="418" t="s">
        <v>15512</v>
      </c>
      <c r="B3516">
        <v>1</v>
      </c>
      <c r="C3516" s="309"/>
      <c r="D3516" s="310"/>
    </row>
    <row r="3517" spans="1:4" x14ac:dyDescent="0.25">
      <c r="A3517" s="418" t="s">
        <v>9635</v>
      </c>
      <c r="B3517">
        <v>3</v>
      </c>
      <c r="C3517" s="309"/>
      <c r="D3517" s="310"/>
    </row>
    <row r="3518" spans="1:4" x14ac:dyDescent="0.25">
      <c r="A3518" s="418" t="s">
        <v>10706</v>
      </c>
      <c r="B3518">
        <v>3</v>
      </c>
      <c r="C3518" s="309"/>
      <c r="D3518" s="310"/>
    </row>
    <row r="3519" spans="1:4" x14ac:dyDescent="0.25">
      <c r="A3519" s="418" t="s">
        <v>10707</v>
      </c>
      <c r="B3519">
        <v>2</v>
      </c>
      <c r="C3519" s="309"/>
      <c r="D3519" s="310"/>
    </row>
    <row r="3520" spans="1:4" x14ac:dyDescent="0.25">
      <c r="A3520" s="418" t="s">
        <v>11536</v>
      </c>
      <c r="B3520">
        <v>4</v>
      </c>
      <c r="C3520" s="309"/>
      <c r="D3520" s="310"/>
    </row>
    <row r="3521" spans="1:4" x14ac:dyDescent="0.25">
      <c r="A3521" s="418" t="s">
        <v>11537</v>
      </c>
      <c r="B3521">
        <v>4</v>
      </c>
      <c r="C3521" s="309"/>
      <c r="D3521" s="310"/>
    </row>
    <row r="3522" spans="1:4" x14ac:dyDescent="0.25">
      <c r="A3522" s="418" t="s">
        <v>9107</v>
      </c>
      <c r="B3522">
        <v>3</v>
      </c>
      <c r="C3522" s="309"/>
      <c r="D3522" s="310"/>
    </row>
    <row r="3523" spans="1:4" x14ac:dyDescent="0.25">
      <c r="A3523" s="418" t="s">
        <v>9575</v>
      </c>
      <c r="B3523">
        <v>1</v>
      </c>
      <c r="C3523" s="309"/>
      <c r="D3523" s="310"/>
    </row>
    <row r="3524" spans="1:4" x14ac:dyDescent="0.25">
      <c r="A3524" s="418" t="s">
        <v>9108</v>
      </c>
      <c r="B3524">
        <v>3</v>
      </c>
      <c r="C3524" s="309"/>
      <c r="D3524" s="310"/>
    </row>
    <row r="3525" spans="1:4" x14ac:dyDescent="0.25">
      <c r="A3525" s="418" t="s">
        <v>16845</v>
      </c>
      <c r="B3525">
        <v>3</v>
      </c>
      <c r="C3525" s="309"/>
      <c r="D3525" s="310"/>
    </row>
    <row r="3526" spans="1:4" x14ac:dyDescent="0.25">
      <c r="A3526" s="418" t="s">
        <v>15513</v>
      </c>
      <c r="B3526">
        <v>1</v>
      </c>
      <c r="C3526" s="309"/>
      <c r="D3526" s="310"/>
    </row>
    <row r="3527" spans="1:4" x14ac:dyDescent="0.25">
      <c r="A3527" s="418" t="s">
        <v>15514</v>
      </c>
      <c r="B3527">
        <v>1</v>
      </c>
      <c r="C3527" s="309"/>
      <c r="D3527" s="310"/>
    </row>
    <row r="3528" spans="1:4" x14ac:dyDescent="0.25">
      <c r="A3528" s="418" t="s">
        <v>9435</v>
      </c>
      <c r="B3528">
        <v>3</v>
      </c>
      <c r="C3528" s="309"/>
      <c r="D3528" s="310"/>
    </row>
    <row r="3529" spans="1:4" x14ac:dyDescent="0.25">
      <c r="A3529" s="418" t="s">
        <v>9436</v>
      </c>
      <c r="B3529">
        <v>3</v>
      </c>
      <c r="C3529" s="309"/>
      <c r="D3529" s="310"/>
    </row>
    <row r="3530" spans="1:4" x14ac:dyDescent="0.25">
      <c r="A3530" s="418" t="s">
        <v>16846</v>
      </c>
      <c r="B3530">
        <v>1</v>
      </c>
      <c r="C3530" s="309"/>
      <c r="D3530" s="310"/>
    </row>
    <row r="3531" spans="1:4" x14ac:dyDescent="0.25">
      <c r="A3531" s="418" t="s">
        <v>11411</v>
      </c>
      <c r="B3531">
        <v>1</v>
      </c>
      <c r="C3531" s="309"/>
      <c r="D3531" s="310"/>
    </row>
    <row r="3532" spans="1:4" x14ac:dyDescent="0.25">
      <c r="A3532" s="418" t="s">
        <v>10708</v>
      </c>
      <c r="B3532">
        <v>2</v>
      </c>
      <c r="C3532" s="309"/>
      <c r="D3532" s="310"/>
    </row>
    <row r="3533" spans="1:4" x14ac:dyDescent="0.25">
      <c r="A3533" s="418" t="s">
        <v>10709</v>
      </c>
      <c r="B3533">
        <v>3</v>
      </c>
      <c r="C3533" s="309"/>
      <c r="D3533" s="310"/>
    </row>
    <row r="3534" spans="1:4" x14ac:dyDescent="0.25">
      <c r="A3534" s="418" t="s">
        <v>10710</v>
      </c>
      <c r="B3534">
        <v>1</v>
      </c>
      <c r="C3534" s="309"/>
      <c r="D3534" s="310"/>
    </row>
    <row r="3535" spans="1:4" x14ac:dyDescent="0.25">
      <c r="A3535" s="418" t="s">
        <v>9109</v>
      </c>
      <c r="B3535">
        <v>3</v>
      </c>
      <c r="C3535" s="309"/>
      <c r="D3535" s="310"/>
    </row>
    <row r="3536" spans="1:4" x14ac:dyDescent="0.25">
      <c r="A3536" s="418" t="s">
        <v>9110</v>
      </c>
      <c r="B3536">
        <v>3</v>
      </c>
      <c r="C3536" s="309"/>
      <c r="D3536" s="310"/>
    </row>
    <row r="3537" spans="1:4" x14ac:dyDescent="0.25">
      <c r="A3537" s="418" t="s">
        <v>15515</v>
      </c>
      <c r="B3537">
        <v>3</v>
      </c>
      <c r="C3537" s="309"/>
      <c r="D3537" s="310"/>
    </row>
    <row r="3538" spans="1:4" x14ac:dyDescent="0.25">
      <c r="A3538" s="418" t="s">
        <v>15516</v>
      </c>
      <c r="B3538">
        <v>3</v>
      </c>
      <c r="C3538" s="309"/>
      <c r="D3538" s="310"/>
    </row>
    <row r="3539" spans="1:4" x14ac:dyDescent="0.25">
      <c r="A3539" s="418" t="s">
        <v>9576</v>
      </c>
      <c r="B3539">
        <v>14</v>
      </c>
      <c r="C3539" s="309"/>
      <c r="D3539" s="310"/>
    </row>
    <row r="3540" spans="1:4" x14ac:dyDescent="0.25">
      <c r="A3540" s="418" t="s">
        <v>10016</v>
      </c>
      <c r="B3540">
        <v>10</v>
      </c>
      <c r="C3540" s="309"/>
      <c r="D3540" s="310"/>
    </row>
    <row r="3541" spans="1:4" x14ac:dyDescent="0.25">
      <c r="A3541" s="418" t="s">
        <v>11070</v>
      </c>
      <c r="B3541">
        <v>7</v>
      </c>
      <c r="C3541" s="309"/>
      <c r="D3541" s="310"/>
    </row>
    <row r="3542" spans="1:4" x14ac:dyDescent="0.25">
      <c r="A3542" s="418" t="s">
        <v>10711</v>
      </c>
      <c r="B3542">
        <v>3</v>
      </c>
      <c r="C3542" s="309"/>
      <c r="D3542" s="310"/>
    </row>
    <row r="3543" spans="1:4" x14ac:dyDescent="0.25">
      <c r="A3543" s="418" t="s">
        <v>11071</v>
      </c>
      <c r="B3543">
        <v>3</v>
      </c>
      <c r="C3543" s="309"/>
      <c r="D3543" s="310"/>
    </row>
    <row r="3544" spans="1:4" x14ac:dyDescent="0.25">
      <c r="A3544" s="418" t="s">
        <v>11363</v>
      </c>
      <c r="B3544">
        <v>2</v>
      </c>
      <c r="C3544" s="309"/>
      <c r="D3544" s="310"/>
    </row>
    <row r="3545" spans="1:4" x14ac:dyDescent="0.25">
      <c r="A3545" s="418" t="s">
        <v>16847</v>
      </c>
      <c r="B3545">
        <v>1</v>
      </c>
      <c r="C3545" s="309"/>
      <c r="D3545" s="310"/>
    </row>
    <row r="3546" spans="1:4" x14ac:dyDescent="0.25">
      <c r="A3546" s="418" t="s">
        <v>9209</v>
      </c>
      <c r="B3546">
        <v>3</v>
      </c>
      <c r="C3546" s="309"/>
      <c r="D3546" s="310"/>
    </row>
    <row r="3547" spans="1:4" x14ac:dyDescent="0.25">
      <c r="A3547" s="418" t="s">
        <v>9210</v>
      </c>
      <c r="B3547">
        <v>3</v>
      </c>
      <c r="C3547" s="309"/>
      <c r="D3547" s="310"/>
    </row>
    <row r="3548" spans="1:4" x14ac:dyDescent="0.25">
      <c r="A3548" s="418" t="s">
        <v>11263</v>
      </c>
      <c r="B3548">
        <v>2</v>
      </c>
      <c r="C3548" s="309"/>
      <c r="D3548" s="310"/>
    </row>
    <row r="3549" spans="1:4" x14ac:dyDescent="0.25">
      <c r="A3549" s="418" t="s">
        <v>15232</v>
      </c>
      <c r="B3549">
        <v>2</v>
      </c>
      <c r="C3549" s="309"/>
      <c r="D3549" s="310"/>
    </row>
    <row r="3550" spans="1:4" x14ac:dyDescent="0.25">
      <c r="A3550" s="418" t="s">
        <v>15233</v>
      </c>
      <c r="B3550">
        <v>5</v>
      </c>
      <c r="C3550" s="309"/>
      <c r="D3550" s="310"/>
    </row>
    <row r="3551" spans="1:4" x14ac:dyDescent="0.25">
      <c r="A3551" s="418" t="s">
        <v>15234</v>
      </c>
      <c r="B3551">
        <v>1</v>
      </c>
      <c r="C3551" s="309"/>
      <c r="D3551" s="310"/>
    </row>
    <row r="3552" spans="1:4" x14ac:dyDescent="0.25">
      <c r="A3552" s="418" t="s">
        <v>11502</v>
      </c>
      <c r="B3552">
        <v>3</v>
      </c>
      <c r="C3552" s="309"/>
      <c r="D3552" s="310"/>
    </row>
    <row r="3553" spans="1:4" x14ac:dyDescent="0.25">
      <c r="A3553" s="418" t="s">
        <v>11503</v>
      </c>
      <c r="B3553">
        <v>2</v>
      </c>
      <c r="C3553" s="309"/>
      <c r="D3553" s="310"/>
    </row>
    <row r="3554" spans="1:4" x14ac:dyDescent="0.25">
      <c r="A3554" s="418" t="s">
        <v>11504</v>
      </c>
      <c r="B3554">
        <v>2</v>
      </c>
      <c r="C3554" s="309"/>
      <c r="D3554" s="310"/>
    </row>
    <row r="3555" spans="1:4" x14ac:dyDescent="0.25">
      <c r="A3555" s="418" t="s">
        <v>9111</v>
      </c>
      <c r="B3555">
        <v>1</v>
      </c>
      <c r="C3555" s="309"/>
      <c r="D3555" s="310"/>
    </row>
    <row r="3556" spans="1:4" x14ac:dyDescent="0.25">
      <c r="A3556" s="418" t="s">
        <v>9211</v>
      </c>
      <c r="B3556">
        <v>8</v>
      </c>
      <c r="C3556" s="309"/>
      <c r="D3556" s="310"/>
    </row>
    <row r="3557" spans="1:4" x14ac:dyDescent="0.25">
      <c r="A3557" s="418" t="s">
        <v>9212</v>
      </c>
      <c r="B3557">
        <v>10</v>
      </c>
      <c r="C3557" s="309"/>
      <c r="D3557" s="310"/>
    </row>
    <row r="3558" spans="1:4" x14ac:dyDescent="0.25">
      <c r="A3558" s="418" t="s">
        <v>10375</v>
      </c>
      <c r="B3558">
        <v>8</v>
      </c>
      <c r="C3558" s="309"/>
      <c r="D3558" s="310"/>
    </row>
    <row r="3559" spans="1:4" x14ac:dyDescent="0.25">
      <c r="A3559" s="418" t="s">
        <v>11072</v>
      </c>
      <c r="B3559">
        <v>3</v>
      </c>
      <c r="C3559" s="309"/>
      <c r="D3559" s="310"/>
    </row>
    <row r="3560" spans="1:4" x14ac:dyDescent="0.25">
      <c r="A3560" s="418" t="s">
        <v>15517</v>
      </c>
      <c r="B3560">
        <v>1</v>
      </c>
      <c r="C3560" s="309"/>
      <c r="D3560" s="310"/>
    </row>
    <row r="3561" spans="1:4" x14ac:dyDescent="0.25">
      <c r="A3561" s="418" t="s">
        <v>11073</v>
      </c>
      <c r="B3561">
        <v>1</v>
      </c>
      <c r="C3561" s="309"/>
      <c r="D3561" s="310"/>
    </row>
    <row r="3562" spans="1:4" x14ac:dyDescent="0.25">
      <c r="A3562" s="418" t="s">
        <v>11074</v>
      </c>
      <c r="B3562">
        <v>1</v>
      </c>
      <c r="C3562" s="309"/>
      <c r="D3562" s="310"/>
    </row>
    <row r="3563" spans="1:4" x14ac:dyDescent="0.25">
      <c r="A3563" s="418" t="s">
        <v>16848</v>
      </c>
      <c r="B3563">
        <v>2</v>
      </c>
      <c r="C3563" s="309"/>
      <c r="D3563" s="310"/>
    </row>
    <row r="3564" spans="1:4" x14ac:dyDescent="0.25">
      <c r="A3564" s="418" t="s">
        <v>16849</v>
      </c>
      <c r="B3564">
        <v>1</v>
      </c>
      <c r="C3564" s="309"/>
      <c r="D3564" s="310"/>
    </row>
    <row r="3565" spans="1:4" x14ac:dyDescent="0.25">
      <c r="A3565" s="418" t="s">
        <v>9454</v>
      </c>
      <c r="B3565">
        <v>3</v>
      </c>
      <c r="C3565" s="309"/>
      <c r="D3565" s="310"/>
    </row>
    <row r="3566" spans="1:4" x14ac:dyDescent="0.25">
      <c r="A3566" s="418" t="s">
        <v>11538</v>
      </c>
      <c r="B3566">
        <v>3</v>
      </c>
      <c r="C3566" s="309"/>
      <c r="D3566" s="310"/>
    </row>
    <row r="3567" spans="1:4" x14ac:dyDescent="0.25">
      <c r="A3567" s="418" t="s">
        <v>11539</v>
      </c>
      <c r="B3567">
        <v>3</v>
      </c>
      <c r="C3567" s="309"/>
      <c r="D3567" s="310"/>
    </row>
    <row r="3568" spans="1:4" x14ac:dyDescent="0.25">
      <c r="A3568" s="418" t="s">
        <v>12360</v>
      </c>
      <c r="B3568">
        <v>3</v>
      </c>
      <c r="C3568" s="309"/>
      <c r="D3568" s="310"/>
    </row>
    <row r="3569" spans="1:4" x14ac:dyDescent="0.25">
      <c r="A3569" s="418" t="s">
        <v>9940</v>
      </c>
      <c r="B3569">
        <v>1</v>
      </c>
      <c r="C3569" s="309"/>
      <c r="D3569" s="310"/>
    </row>
    <row r="3570" spans="1:4" x14ac:dyDescent="0.25">
      <c r="A3570" s="418" t="s">
        <v>10712</v>
      </c>
      <c r="B3570">
        <v>1</v>
      </c>
      <c r="C3570" s="309"/>
      <c r="D3570" s="310"/>
    </row>
    <row r="3571" spans="1:4" x14ac:dyDescent="0.25">
      <c r="A3571" s="418" t="s">
        <v>11540</v>
      </c>
      <c r="B3571">
        <v>3</v>
      </c>
      <c r="C3571" s="309"/>
      <c r="D3571" s="310"/>
    </row>
    <row r="3572" spans="1:4" x14ac:dyDescent="0.25">
      <c r="A3572" s="418" t="s">
        <v>16444</v>
      </c>
      <c r="B3572">
        <v>2</v>
      </c>
      <c r="C3572" s="309"/>
      <c r="D3572" s="310"/>
    </row>
    <row r="3573" spans="1:4" x14ac:dyDescent="0.25">
      <c r="A3573" s="418" t="s">
        <v>16445</v>
      </c>
      <c r="B3573">
        <v>2</v>
      </c>
      <c r="C3573" s="309"/>
      <c r="D3573" s="310"/>
    </row>
    <row r="3574" spans="1:4" x14ac:dyDescent="0.25">
      <c r="A3574" s="418" t="s">
        <v>10597</v>
      </c>
      <c r="B3574">
        <v>4</v>
      </c>
      <c r="C3574" s="309"/>
      <c r="D3574" s="310"/>
    </row>
    <row r="3575" spans="1:4" x14ac:dyDescent="0.25">
      <c r="A3575" s="418" t="s">
        <v>9577</v>
      </c>
      <c r="B3575">
        <v>5</v>
      </c>
      <c r="C3575" s="309"/>
      <c r="D3575" s="310"/>
    </row>
    <row r="3576" spans="1:4" x14ac:dyDescent="0.25">
      <c r="A3576" s="418" t="s">
        <v>9795</v>
      </c>
      <c r="B3576">
        <v>3</v>
      </c>
      <c r="C3576" s="309"/>
      <c r="D3576" s="310"/>
    </row>
    <row r="3577" spans="1:4" x14ac:dyDescent="0.25">
      <c r="A3577" s="418" t="s">
        <v>11702</v>
      </c>
      <c r="B3577">
        <v>3</v>
      </c>
      <c r="C3577" s="309"/>
      <c r="D3577" s="310"/>
    </row>
    <row r="3578" spans="1:4" x14ac:dyDescent="0.25">
      <c r="A3578" s="418" t="s">
        <v>11703</v>
      </c>
      <c r="B3578">
        <v>3</v>
      </c>
      <c r="C3578" s="309"/>
      <c r="D3578" s="310"/>
    </row>
    <row r="3579" spans="1:4" x14ac:dyDescent="0.25">
      <c r="A3579" s="418" t="s">
        <v>16021</v>
      </c>
      <c r="B3579">
        <v>1</v>
      </c>
      <c r="C3579" s="309"/>
      <c r="D3579" s="310"/>
    </row>
    <row r="3580" spans="1:4" x14ac:dyDescent="0.25">
      <c r="A3580" s="418" t="s">
        <v>11704</v>
      </c>
      <c r="B3580">
        <v>3</v>
      </c>
      <c r="C3580" s="309"/>
      <c r="D3580" s="310"/>
    </row>
    <row r="3581" spans="1:4" x14ac:dyDescent="0.25">
      <c r="A3581" s="418" t="s">
        <v>16850</v>
      </c>
      <c r="B3581">
        <v>4</v>
      </c>
      <c r="C3581" s="309"/>
      <c r="D3581" s="310"/>
    </row>
    <row r="3582" spans="1:4" x14ac:dyDescent="0.25">
      <c r="A3582" s="418" t="s">
        <v>16022</v>
      </c>
      <c r="B3582">
        <v>3</v>
      </c>
      <c r="C3582" s="309"/>
      <c r="D3582" s="310"/>
    </row>
    <row r="3583" spans="1:4" x14ac:dyDescent="0.25">
      <c r="A3583" s="418" t="s">
        <v>16023</v>
      </c>
      <c r="B3583">
        <v>3</v>
      </c>
      <c r="C3583" s="309"/>
      <c r="D3583" s="310"/>
    </row>
    <row r="3584" spans="1:4" x14ac:dyDescent="0.25">
      <c r="A3584" s="418" t="s">
        <v>9941</v>
      </c>
      <c r="B3584">
        <v>13</v>
      </c>
      <c r="C3584" s="309"/>
      <c r="D3584" s="310"/>
    </row>
    <row r="3585" spans="1:4" x14ac:dyDescent="0.25">
      <c r="A3585" s="418" t="s">
        <v>9578</v>
      </c>
      <c r="B3585">
        <v>13</v>
      </c>
      <c r="C3585" s="309"/>
      <c r="D3585" s="310"/>
    </row>
    <row r="3586" spans="1:4" x14ac:dyDescent="0.25">
      <c r="A3586" s="418" t="s">
        <v>9942</v>
      </c>
      <c r="B3586">
        <v>8</v>
      </c>
      <c r="C3586" s="309"/>
      <c r="D3586" s="310"/>
    </row>
    <row r="3587" spans="1:4" x14ac:dyDescent="0.25">
      <c r="A3587" s="418" t="s">
        <v>9796</v>
      </c>
      <c r="B3587">
        <v>3</v>
      </c>
      <c r="C3587" s="309"/>
      <c r="D3587" s="310"/>
    </row>
    <row r="3588" spans="1:4" x14ac:dyDescent="0.25">
      <c r="A3588" s="418" t="s">
        <v>11430</v>
      </c>
      <c r="B3588">
        <v>5</v>
      </c>
      <c r="C3588" s="309"/>
      <c r="D3588" s="310"/>
    </row>
    <row r="3589" spans="1:4" x14ac:dyDescent="0.25">
      <c r="A3589" s="418" t="s">
        <v>11431</v>
      </c>
      <c r="B3589">
        <v>6</v>
      </c>
      <c r="C3589" s="309"/>
      <c r="D3589" s="310"/>
    </row>
    <row r="3590" spans="1:4" x14ac:dyDescent="0.25">
      <c r="A3590" s="418" t="s">
        <v>11432</v>
      </c>
      <c r="B3590">
        <v>4</v>
      </c>
      <c r="C3590" s="309"/>
      <c r="D3590" s="310"/>
    </row>
    <row r="3591" spans="1:4" x14ac:dyDescent="0.25">
      <c r="A3591" s="418" t="s">
        <v>16851</v>
      </c>
      <c r="B3591">
        <v>2</v>
      </c>
      <c r="C3591" s="309"/>
      <c r="D3591" s="310"/>
    </row>
    <row r="3592" spans="1:4" x14ac:dyDescent="0.25">
      <c r="A3592" s="418" t="s">
        <v>9437</v>
      </c>
      <c r="B3592">
        <v>2</v>
      </c>
      <c r="C3592" s="309"/>
      <c r="D3592" s="310"/>
    </row>
    <row r="3593" spans="1:4" x14ac:dyDescent="0.25">
      <c r="A3593" s="418" t="s">
        <v>11788</v>
      </c>
      <c r="B3593">
        <v>1</v>
      </c>
      <c r="C3593" s="309"/>
      <c r="D3593" s="310"/>
    </row>
    <row r="3594" spans="1:4" x14ac:dyDescent="0.25">
      <c r="A3594" s="418" t="s">
        <v>11505</v>
      </c>
      <c r="B3594">
        <v>1</v>
      </c>
      <c r="C3594" s="309"/>
      <c r="D3594" s="310"/>
    </row>
    <row r="3595" spans="1:4" x14ac:dyDescent="0.25">
      <c r="A3595" s="418" t="s">
        <v>10598</v>
      </c>
      <c r="B3595">
        <v>3</v>
      </c>
      <c r="C3595" s="309"/>
      <c r="D3595" s="310"/>
    </row>
    <row r="3596" spans="1:4" x14ac:dyDescent="0.25">
      <c r="A3596" s="418" t="s">
        <v>9455</v>
      </c>
      <c r="B3596">
        <v>3</v>
      </c>
      <c r="C3596" s="309"/>
      <c r="D3596" s="310"/>
    </row>
    <row r="3597" spans="1:4" x14ac:dyDescent="0.25">
      <c r="A3597" s="418" t="s">
        <v>11748</v>
      </c>
      <c r="B3597">
        <v>1</v>
      </c>
      <c r="C3597" s="309"/>
      <c r="D3597" s="310"/>
    </row>
    <row r="3598" spans="1:4" x14ac:dyDescent="0.25">
      <c r="A3598" s="418" t="s">
        <v>11853</v>
      </c>
      <c r="B3598">
        <v>1</v>
      </c>
      <c r="C3598" s="309"/>
      <c r="D3598" s="310"/>
    </row>
    <row r="3599" spans="1:4" x14ac:dyDescent="0.25">
      <c r="A3599" s="418" t="s">
        <v>10017</v>
      </c>
      <c r="B3599">
        <v>18</v>
      </c>
      <c r="C3599" s="309"/>
      <c r="D3599" s="310"/>
    </row>
    <row r="3600" spans="1:4" x14ac:dyDescent="0.25">
      <c r="A3600" s="418" t="s">
        <v>10018</v>
      </c>
      <c r="B3600">
        <v>19</v>
      </c>
      <c r="C3600" s="309"/>
      <c r="D3600" s="310"/>
    </row>
    <row r="3601" spans="1:4" x14ac:dyDescent="0.25">
      <c r="A3601" s="418" t="s">
        <v>10713</v>
      </c>
      <c r="B3601">
        <v>13</v>
      </c>
      <c r="C3601" s="309"/>
      <c r="D3601" s="310"/>
    </row>
    <row r="3602" spans="1:4" x14ac:dyDescent="0.25">
      <c r="A3602" s="418" t="s">
        <v>10714</v>
      </c>
      <c r="B3602">
        <v>4</v>
      </c>
      <c r="C3602" s="309"/>
      <c r="D3602" s="310"/>
    </row>
    <row r="3603" spans="1:4" x14ac:dyDescent="0.25">
      <c r="A3603" s="418" t="s">
        <v>17117</v>
      </c>
      <c r="B3603">
        <v>1</v>
      </c>
      <c r="C3603" s="309"/>
      <c r="D3603" s="310"/>
    </row>
    <row r="3604" spans="1:4" x14ac:dyDescent="0.25">
      <c r="A3604" s="418" t="s">
        <v>17118</v>
      </c>
      <c r="B3604">
        <v>1</v>
      </c>
      <c r="C3604" s="309"/>
      <c r="D3604" s="310"/>
    </row>
    <row r="3605" spans="1:4" x14ac:dyDescent="0.25">
      <c r="A3605" s="418" t="s">
        <v>17119</v>
      </c>
      <c r="B3605">
        <v>1</v>
      </c>
      <c r="C3605" s="309"/>
      <c r="D3605" s="310"/>
    </row>
    <row r="3606" spans="1:4" x14ac:dyDescent="0.25">
      <c r="A3606" s="418" t="s">
        <v>12448</v>
      </c>
      <c r="B3606">
        <v>2</v>
      </c>
      <c r="C3606" s="309"/>
      <c r="D3606" s="310"/>
    </row>
    <row r="3607" spans="1:4" x14ac:dyDescent="0.25">
      <c r="A3607" s="418" t="s">
        <v>17120</v>
      </c>
      <c r="B3607">
        <v>2</v>
      </c>
      <c r="C3607" s="309"/>
      <c r="D3607" s="310"/>
    </row>
    <row r="3608" spans="1:4" x14ac:dyDescent="0.25">
      <c r="A3608" s="418" t="s">
        <v>16446</v>
      </c>
      <c r="B3608">
        <v>4</v>
      </c>
      <c r="C3608" s="309"/>
      <c r="D3608" s="310"/>
    </row>
    <row r="3609" spans="1:4" x14ac:dyDescent="0.25">
      <c r="A3609" s="418" t="s">
        <v>11854</v>
      </c>
      <c r="B3609">
        <v>3</v>
      </c>
      <c r="C3609" s="309"/>
      <c r="D3609" s="310"/>
    </row>
    <row r="3610" spans="1:4" x14ac:dyDescent="0.25">
      <c r="A3610" s="418" t="s">
        <v>12449</v>
      </c>
      <c r="B3610">
        <v>2</v>
      </c>
      <c r="C3610" s="309"/>
      <c r="D3610" s="310"/>
    </row>
    <row r="3611" spans="1:4" x14ac:dyDescent="0.25">
      <c r="A3611" s="418" t="s">
        <v>10599</v>
      </c>
      <c r="B3611">
        <v>1</v>
      </c>
      <c r="C3611" s="309"/>
      <c r="D3611" s="310"/>
    </row>
    <row r="3612" spans="1:4" x14ac:dyDescent="0.25">
      <c r="A3612" s="418" t="s">
        <v>9818</v>
      </c>
      <c r="B3612">
        <v>1</v>
      </c>
      <c r="C3612" s="309"/>
      <c r="D3612" s="310"/>
    </row>
    <row r="3613" spans="1:4" x14ac:dyDescent="0.25">
      <c r="A3613" s="418" t="s">
        <v>11474</v>
      </c>
      <c r="B3613">
        <v>4</v>
      </c>
      <c r="C3613" s="309"/>
      <c r="D3613" s="310"/>
    </row>
    <row r="3614" spans="1:4" x14ac:dyDescent="0.25">
      <c r="A3614" s="418" t="s">
        <v>16447</v>
      </c>
      <c r="B3614">
        <v>1</v>
      </c>
      <c r="C3614" s="309"/>
      <c r="D3614" s="310"/>
    </row>
    <row r="3615" spans="1:4" x14ac:dyDescent="0.25">
      <c r="A3615" s="418" t="s">
        <v>10715</v>
      </c>
      <c r="B3615">
        <v>2</v>
      </c>
      <c r="C3615" s="309"/>
      <c r="D3615" s="310"/>
    </row>
    <row r="3616" spans="1:4" x14ac:dyDescent="0.25">
      <c r="A3616" s="418" t="s">
        <v>15518</v>
      </c>
      <c r="B3616">
        <v>1</v>
      </c>
      <c r="C3616" s="309"/>
      <c r="D3616" s="310"/>
    </row>
    <row r="3617" spans="1:4" x14ac:dyDescent="0.25">
      <c r="A3617" s="418" t="s">
        <v>9943</v>
      </c>
      <c r="B3617">
        <v>1</v>
      </c>
      <c r="C3617" s="309"/>
      <c r="D3617" s="310"/>
    </row>
    <row r="3618" spans="1:4" x14ac:dyDescent="0.25">
      <c r="A3618" s="418" t="s">
        <v>15519</v>
      </c>
      <c r="B3618">
        <v>1</v>
      </c>
      <c r="C3618" s="309"/>
      <c r="D3618" s="310"/>
    </row>
    <row r="3619" spans="1:4" x14ac:dyDescent="0.25">
      <c r="A3619" s="418" t="s">
        <v>10716</v>
      </c>
      <c r="B3619">
        <v>1</v>
      </c>
      <c r="C3619" s="309"/>
      <c r="D3619" s="310"/>
    </row>
    <row r="3620" spans="1:4" x14ac:dyDescent="0.25">
      <c r="A3620" s="418" t="s">
        <v>15168</v>
      </c>
      <c r="B3620">
        <v>1</v>
      </c>
      <c r="C3620" s="309"/>
      <c r="D3620" s="310"/>
    </row>
    <row r="3621" spans="1:4" x14ac:dyDescent="0.25">
      <c r="A3621" s="418" t="s">
        <v>15169</v>
      </c>
      <c r="B3621">
        <v>1</v>
      </c>
      <c r="C3621" s="309"/>
      <c r="D3621" s="310"/>
    </row>
    <row r="3622" spans="1:4" x14ac:dyDescent="0.25">
      <c r="A3622" s="418" t="s">
        <v>10842</v>
      </c>
      <c r="B3622">
        <v>1</v>
      </c>
      <c r="C3622" s="309"/>
      <c r="D3622" s="310"/>
    </row>
    <row r="3623" spans="1:4" x14ac:dyDescent="0.25">
      <c r="A3623" s="418" t="s">
        <v>10843</v>
      </c>
      <c r="B3623">
        <v>1</v>
      </c>
      <c r="C3623" s="309"/>
      <c r="D3623" s="310"/>
    </row>
    <row r="3624" spans="1:4" x14ac:dyDescent="0.25">
      <c r="A3624" s="418" t="s">
        <v>9456</v>
      </c>
      <c r="B3624">
        <v>3</v>
      </c>
      <c r="C3624" s="309"/>
      <c r="D3624" s="310"/>
    </row>
    <row r="3625" spans="1:4" x14ac:dyDescent="0.25">
      <c r="A3625" s="418" t="s">
        <v>9457</v>
      </c>
      <c r="B3625">
        <v>4</v>
      </c>
      <c r="C3625" s="309"/>
      <c r="D3625" s="310"/>
    </row>
    <row r="3626" spans="1:4" x14ac:dyDescent="0.25">
      <c r="A3626" s="418" t="s">
        <v>10135</v>
      </c>
      <c r="B3626">
        <v>1</v>
      </c>
      <c r="C3626" s="309"/>
      <c r="D3626" s="310"/>
    </row>
    <row r="3627" spans="1:4" x14ac:dyDescent="0.25">
      <c r="A3627" s="418" t="s">
        <v>12138</v>
      </c>
      <c r="B3627">
        <v>2</v>
      </c>
      <c r="C3627" s="309"/>
      <c r="D3627" s="310"/>
    </row>
    <row r="3628" spans="1:4" x14ac:dyDescent="0.25">
      <c r="A3628" s="418" t="s">
        <v>12139</v>
      </c>
      <c r="B3628">
        <v>3</v>
      </c>
      <c r="C3628" s="309"/>
      <c r="D3628" s="310"/>
    </row>
    <row r="3629" spans="1:4" x14ac:dyDescent="0.25">
      <c r="A3629" s="418" t="s">
        <v>12140</v>
      </c>
      <c r="B3629">
        <v>1</v>
      </c>
      <c r="C3629" s="309"/>
      <c r="D3629" s="310"/>
    </row>
    <row r="3630" spans="1:4" x14ac:dyDescent="0.25">
      <c r="A3630" s="418" t="s">
        <v>17121</v>
      </c>
      <c r="B3630">
        <v>1</v>
      </c>
      <c r="C3630" s="309"/>
      <c r="D3630" s="310"/>
    </row>
    <row r="3631" spans="1:4" x14ac:dyDescent="0.25">
      <c r="A3631" s="418" t="s">
        <v>9944</v>
      </c>
      <c r="B3631">
        <v>3</v>
      </c>
      <c r="C3631" s="309"/>
      <c r="D3631" s="310"/>
    </row>
    <row r="3632" spans="1:4" x14ac:dyDescent="0.25">
      <c r="A3632" s="418" t="s">
        <v>12330</v>
      </c>
      <c r="B3632">
        <v>4</v>
      </c>
      <c r="C3632" s="309"/>
      <c r="D3632" s="310"/>
    </row>
    <row r="3633" spans="1:4" x14ac:dyDescent="0.25">
      <c r="A3633" s="418" t="s">
        <v>10600</v>
      </c>
      <c r="B3633">
        <v>3</v>
      </c>
      <c r="C3633" s="309"/>
      <c r="D3633" s="310"/>
    </row>
    <row r="3634" spans="1:4" x14ac:dyDescent="0.25">
      <c r="A3634" s="418" t="s">
        <v>9257</v>
      </c>
      <c r="B3634">
        <v>3</v>
      </c>
      <c r="C3634" s="309"/>
      <c r="D3634" s="310"/>
    </row>
    <row r="3635" spans="1:4" x14ac:dyDescent="0.25">
      <c r="A3635" s="418" t="s">
        <v>15677</v>
      </c>
      <c r="B3635">
        <v>1</v>
      </c>
      <c r="C3635" s="309"/>
      <c r="D3635" s="310"/>
    </row>
    <row r="3636" spans="1:4" x14ac:dyDescent="0.25">
      <c r="A3636" s="418" t="s">
        <v>9708</v>
      </c>
      <c r="B3636">
        <v>1</v>
      </c>
      <c r="C3636" s="309"/>
      <c r="D3636" s="310"/>
    </row>
    <row r="3637" spans="1:4" x14ac:dyDescent="0.25">
      <c r="A3637" s="418" t="s">
        <v>9458</v>
      </c>
      <c r="B3637">
        <v>8</v>
      </c>
      <c r="C3637" s="309"/>
      <c r="D3637" s="310"/>
    </row>
    <row r="3638" spans="1:4" x14ac:dyDescent="0.25">
      <c r="A3638" s="418" t="s">
        <v>10136</v>
      </c>
      <c r="B3638">
        <v>9</v>
      </c>
      <c r="C3638" s="309"/>
      <c r="D3638" s="310"/>
    </row>
    <row r="3639" spans="1:4" x14ac:dyDescent="0.25">
      <c r="A3639" s="418" t="s">
        <v>11789</v>
      </c>
      <c r="B3639">
        <v>2</v>
      </c>
      <c r="C3639" s="309"/>
      <c r="D3639" s="310"/>
    </row>
    <row r="3640" spans="1:4" x14ac:dyDescent="0.25">
      <c r="A3640" s="418" t="s">
        <v>11812</v>
      </c>
      <c r="B3640">
        <v>3</v>
      </c>
      <c r="C3640" s="309"/>
      <c r="D3640" s="310"/>
    </row>
    <row r="3641" spans="1:4" x14ac:dyDescent="0.25">
      <c r="A3641" s="418" t="s">
        <v>11111</v>
      </c>
      <c r="B3641">
        <v>1</v>
      </c>
      <c r="C3641" s="309"/>
      <c r="D3641" s="310"/>
    </row>
    <row r="3642" spans="1:4" x14ac:dyDescent="0.25">
      <c r="A3642" s="418" t="s">
        <v>11855</v>
      </c>
      <c r="B3642">
        <v>1</v>
      </c>
      <c r="C3642" s="309"/>
      <c r="D3642" s="310"/>
    </row>
    <row r="3643" spans="1:4" x14ac:dyDescent="0.25">
      <c r="A3643" s="418" t="s">
        <v>12099</v>
      </c>
      <c r="B3643">
        <v>1</v>
      </c>
      <c r="C3643" s="309"/>
      <c r="D3643" s="310"/>
    </row>
    <row r="3644" spans="1:4" x14ac:dyDescent="0.25">
      <c r="A3644" s="418" t="s">
        <v>12100</v>
      </c>
      <c r="B3644">
        <v>1</v>
      </c>
      <c r="C3644" s="309"/>
      <c r="D3644" s="310"/>
    </row>
    <row r="3645" spans="1:4" x14ac:dyDescent="0.25">
      <c r="A3645" s="418" t="s">
        <v>12122</v>
      </c>
      <c r="B3645">
        <v>2</v>
      </c>
      <c r="C3645" s="309"/>
      <c r="D3645" s="310"/>
    </row>
    <row r="3646" spans="1:4" x14ac:dyDescent="0.25">
      <c r="A3646" s="418" t="s">
        <v>12123</v>
      </c>
      <c r="B3646">
        <v>1</v>
      </c>
      <c r="C3646" s="309"/>
      <c r="D3646" s="310"/>
    </row>
    <row r="3647" spans="1:4" x14ac:dyDescent="0.25">
      <c r="A3647" s="418" t="s">
        <v>12124</v>
      </c>
      <c r="B3647">
        <v>1</v>
      </c>
      <c r="C3647" s="309"/>
      <c r="D3647" s="310"/>
    </row>
    <row r="3648" spans="1:4" x14ac:dyDescent="0.25">
      <c r="A3648" s="418" t="s">
        <v>9459</v>
      </c>
      <c r="B3648">
        <v>11</v>
      </c>
      <c r="C3648" s="309"/>
      <c r="D3648" s="310"/>
    </row>
    <row r="3649" spans="1:4" x14ac:dyDescent="0.25">
      <c r="A3649" s="418" t="s">
        <v>10137</v>
      </c>
      <c r="B3649">
        <v>11</v>
      </c>
      <c r="C3649" s="309"/>
      <c r="D3649" s="310"/>
    </row>
    <row r="3650" spans="1:4" x14ac:dyDescent="0.25">
      <c r="A3650" s="418" t="s">
        <v>12141</v>
      </c>
      <c r="B3650">
        <v>10</v>
      </c>
      <c r="C3650" s="309"/>
      <c r="D3650" s="310"/>
    </row>
    <row r="3651" spans="1:4" x14ac:dyDescent="0.25">
      <c r="A3651" s="418" t="s">
        <v>11856</v>
      </c>
      <c r="B3651">
        <v>5</v>
      </c>
      <c r="C3651" s="309"/>
      <c r="D3651" s="310"/>
    </row>
    <row r="3652" spans="1:4" x14ac:dyDescent="0.25">
      <c r="A3652" s="418" t="s">
        <v>16448</v>
      </c>
      <c r="B3652">
        <v>1</v>
      </c>
      <c r="C3652" s="309"/>
      <c r="D3652" s="310"/>
    </row>
    <row r="3653" spans="1:4" x14ac:dyDescent="0.25">
      <c r="A3653" s="418" t="s">
        <v>16449</v>
      </c>
      <c r="B3653">
        <v>1</v>
      </c>
      <c r="C3653" s="309"/>
      <c r="D3653" s="310"/>
    </row>
    <row r="3654" spans="1:4" x14ac:dyDescent="0.25">
      <c r="A3654" s="418" t="s">
        <v>10001</v>
      </c>
      <c r="B3654">
        <v>3</v>
      </c>
      <c r="C3654" s="309"/>
      <c r="D3654" s="310"/>
    </row>
    <row r="3655" spans="1:4" x14ac:dyDescent="0.25">
      <c r="A3655" s="418" t="s">
        <v>10002</v>
      </c>
      <c r="B3655">
        <v>3</v>
      </c>
      <c r="C3655" s="309"/>
      <c r="D3655" s="310"/>
    </row>
    <row r="3656" spans="1:4" x14ac:dyDescent="0.25">
      <c r="A3656" s="418" t="s">
        <v>17122</v>
      </c>
      <c r="B3656">
        <v>1</v>
      </c>
      <c r="C3656" s="309"/>
      <c r="D3656" s="310"/>
    </row>
    <row r="3657" spans="1:4" x14ac:dyDescent="0.25">
      <c r="A3657" s="418" t="s">
        <v>11813</v>
      </c>
      <c r="B3657">
        <v>1</v>
      </c>
      <c r="C3657" s="309"/>
      <c r="D3657" s="310"/>
    </row>
    <row r="3658" spans="1:4" x14ac:dyDescent="0.25">
      <c r="A3658" s="418" t="s">
        <v>12286</v>
      </c>
      <c r="B3658">
        <v>3</v>
      </c>
      <c r="C3658" s="309"/>
      <c r="D3658" s="310"/>
    </row>
    <row r="3659" spans="1:4" x14ac:dyDescent="0.25">
      <c r="A3659" s="418" t="s">
        <v>12287</v>
      </c>
      <c r="B3659">
        <v>3</v>
      </c>
      <c r="C3659" s="309"/>
      <c r="D3659" s="310"/>
    </row>
    <row r="3660" spans="1:4" x14ac:dyDescent="0.25">
      <c r="A3660" s="418" t="s">
        <v>9460</v>
      </c>
      <c r="B3660">
        <v>4</v>
      </c>
      <c r="C3660" s="309"/>
      <c r="D3660" s="310"/>
    </row>
    <row r="3661" spans="1:4" x14ac:dyDescent="0.25">
      <c r="A3661" s="418" t="s">
        <v>11749</v>
      </c>
      <c r="B3661">
        <v>3</v>
      </c>
      <c r="C3661" s="309"/>
      <c r="D3661" s="310"/>
    </row>
    <row r="3662" spans="1:4" x14ac:dyDescent="0.25">
      <c r="A3662" s="418" t="s">
        <v>9461</v>
      </c>
      <c r="B3662">
        <v>1</v>
      </c>
      <c r="C3662" s="309"/>
      <c r="D3662" s="310"/>
    </row>
    <row r="3663" spans="1:4" x14ac:dyDescent="0.25">
      <c r="A3663" s="418" t="s">
        <v>10717</v>
      </c>
      <c r="B3663">
        <v>6</v>
      </c>
      <c r="C3663" s="309"/>
      <c r="D3663" s="310"/>
    </row>
    <row r="3664" spans="1:4" x14ac:dyDescent="0.25">
      <c r="A3664" s="418" t="s">
        <v>10718</v>
      </c>
      <c r="B3664">
        <v>6</v>
      </c>
      <c r="C3664" s="309"/>
      <c r="D3664" s="310"/>
    </row>
    <row r="3665" spans="1:4" x14ac:dyDescent="0.25">
      <c r="A3665" s="418" t="s">
        <v>11112</v>
      </c>
      <c r="B3665">
        <v>6</v>
      </c>
      <c r="C3665" s="309"/>
      <c r="D3665" s="310"/>
    </row>
    <row r="3666" spans="1:4" x14ac:dyDescent="0.25">
      <c r="A3666" s="418" t="s">
        <v>11264</v>
      </c>
      <c r="B3666">
        <v>2</v>
      </c>
      <c r="C3666" s="309"/>
      <c r="D3666" s="310"/>
    </row>
    <row r="3667" spans="1:4" x14ac:dyDescent="0.25">
      <c r="A3667" s="418" t="s">
        <v>9462</v>
      </c>
      <c r="B3667">
        <v>1</v>
      </c>
      <c r="C3667" s="309"/>
      <c r="D3667" s="310"/>
    </row>
    <row r="3668" spans="1:4" x14ac:dyDescent="0.25">
      <c r="A3668" s="418" t="s">
        <v>9463</v>
      </c>
      <c r="B3668">
        <v>1</v>
      </c>
      <c r="C3668" s="309"/>
      <c r="D3668" s="310"/>
    </row>
    <row r="3669" spans="1:4" x14ac:dyDescent="0.25">
      <c r="A3669" s="418" t="s">
        <v>10719</v>
      </c>
      <c r="B3669">
        <v>2</v>
      </c>
      <c r="C3669" s="309"/>
      <c r="D3669" s="310"/>
    </row>
    <row r="3670" spans="1:4" x14ac:dyDescent="0.25">
      <c r="A3670" s="418" t="s">
        <v>10376</v>
      </c>
      <c r="B3670">
        <v>6</v>
      </c>
      <c r="C3670" s="309"/>
      <c r="D3670" s="310"/>
    </row>
    <row r="3671" spans="1:4" x14ac:dyDescent="0.25">
      <c r="A3671" s="418" t="s">
        <v>10377</v>
      </c>
      <c r="B3671">
        <v>3</v>
      </c>
      <c r="C3671" s="309"/>
      <c r="D3671" s="310"/>
    </row>
    <row r="3672" spans="1:4" x14ac:dyDescent="0.25">
      <c r="A3672" s="418" t="s">
        <v>10003</v>
      </c>
      <c r="B3672">
        <v>2</v>
      </c>
      <c r="C3672" s="309"/>
      <c r="D3672" s="310"/>
    </row>
    <row r="3673" spans="1:4" x14ac:dyDescent="0.25">
      <c r="A3673" s="418" t="s">
        <v>16852</v>
      </c>
      <c r="B3673">
        <v>1</v>
      </c>
      <c r="C3673" s="309"/>
      <c r="D3673" s="310"/>
    </row>
    <row r="3674" spans="1:4" x14ac:dyDescent="0.25">
      <c r="A3674" s="418" t="s">
        <v>11857</v>
      </c>
      <c r="B3674">
        <v>3</v>
      </c>
      <c r="C3674" s="309"/>
      <c r="D3674" s="310"/>
    </row>
    <row r="3675" spans="1:4" x14ac:dyDescent="0.25">
      <c r="A3675" s="418" t="s">
        <v>11750</v>
      </c>
      <c r="B3675">
        <v>3</v>
      </c>
      <c r="C3675" s="309"/>
      <c r="D3675" s="310"/>
    </row>
    <row r="3676" spans="1:4" x14ac:dyDescent="0.25">
      <c r="A3676" s="418" t="s">
        <v>11858</v>
      </c>
      <c r="B3676">
        <v>3</v>
      </c>
      <c r="C3676" s="309"/>
      <c r="D3676" s="310"/>
    </row>
    <row r="3677" spans="1:4" x14ac:dyDescent="0.25">
      <c r="A3677" s="418" t="s">
        <v>12248</v>
      </c>
      <c r="B3677">
        <v>2</v>
      </c>
      <c r="C3677" s="309"/>
      <c r="D3677" s="310"/>
    </row>
    <row r="3678" spans="1:4" x14ac:dyDescent="0.25">
      <c r="A3678" s="418" t="s">
        <v>11506</v>
      </c>
      <c r="B3678">
        <v>1</v>
      </c>
      <c r="C3678" s="309"/>
      <c r="D3678" s="310"/>
    </row>
    <row r="3679" spans="1:4" x14ac:dyDescent="0.25">
      <c r="A3679" s="418" t="s">
        <v>10525</v>
      </c>
      <c r="B3679">
        <v>7</v>
      </c>
      <c r="C3679" s="309"/>
      <c r="D3679" s="310"/>
    </row>
    <row r="3680" spans="1:4" x14ac:dyDescent="0.25">
      <c r="A3680" s="418" t="s">
        <v>10526</v>
      </c>
      <c r="B3680">
        <v>8</v>
      </c>
      <c r="C3680" s="309"/>
      <c r="D3680" s="310"/>
    </row>
    <row r="3681" spans="1:4" x14ac:dyDescent="0.25">
      <c r="A3681" s="418" t="s">
        <v>10844</v>
      </c>
      <c r="B3681">
        <v>4</v>
      </c>
      <c r="C3681" s="309"/>
      <c r="D3681" s="310"/>
    </row>
    <row r="3682" spans="1:4" x14ac:dyDescent="0.25">
      <c r="A3682" s="418" t="s">
        <v>12331</v>
      </c>
      <c r="B3682">
        <v>2</v>
      </c>
      <c r="C3682" s="309"/>
      <c r="D3682" s="310"/>
    </row>
    <row r="3683" spans="1:4" x14ac:dyDescent="0.25">
      <c r="A3683" s="418" t="s">
        <v>10720</v>
      </c>
      <c r="B3683">
        <v>4</v>
      </c>
      <c r="C3683" s="309"/>
      <c r="D3683" s="310"/>
    </row>
    <row r="3684" spans="1:4" x14ac:dyDescent="0.25">
      <c r="A3684" s="418" t="s">
        <v>11859</v>
      </c>
      <c r="B3684">
        <v>1</v>
      </c>
      <c r="C3684" s="309"/>
      <c r="D3684" s="310"/>
    </row>
    <row r="3685" spans="1:4" x14ac:dyDescent="0.25">
      <c r="A3685" s="418" t="s">
        <v>11860</v>
      </c>
      <c r="B3685">
        <v>1</v>
      </c>
      <c r="C3685" s="309"/>
      <c r="D3685" s="310"/>
    </row>
    <row r="3686" spans="1:4" x14ac:dyDescent="0.25">
      <c r="A3686" s="418" t="s">
        <v>10601</v>
      </c>
      <c r="B3686">
        <v>4</v>
      </c>
      <c r="C3686" s="309"/>
      <c r="D3686" s="310"/>
    </row>
    <row r="3687" spans="1:4" x14ac:dyDescent="0.25">
      <c r="A3687" s="418" t="s">
        <v>10602</v>
      </c>
      <c r="B3687">
        <v>8</v>
      </c>
      <c r="C3687" s="309"/>
      <c r="D3687" s="310"/>
    </row>
    <row r="3688" spans="1:4" x14ac:dyDescent="0.25">
      <c r="A3688" s="418" t="s">
        <v>16450</v>
      </c>
      <c r="B3688">
        <v>3</v>
      </c>
      <c r="C3688" s="309"/>
      <c r="D3688" s="310"/>
    </row>
    <row r="3689" spans="1:4" x14ac:dyDescent="0.25">
      <c r="A3689" s="418" t="s">
        <v>17123</v>
      </c>
      <c r="B3689">
        <v>1</v>
      </c>
      <c r="C3689" s="309"/>
      <c r="D3689" s="310"/>
    </row>
    <row r="3690" spans="1:4" x14ac:dyDescent="0.25">
      <c r="A3690" s="418" t="s">
        <v>9849</v>
      </c>
      <c r="B3690">
        <v>3</v>
      </c>
      <c r="C3690" s="309"/>
      <c r="D3690" s="310"/>
    </row>
    <row r="3691" spans="1:4" x14ac:dyDescent="0.25">
      <c r="A3691" s="418" t="s">
        <v>10721</v>
      </c>
      <c r="B3691">
        <v>18</v>
      </c>
      <c r="C3691" s="309"/>
      <c r="D3691" s="310"/>
    </row>
    <row r="3692" spans="1:4" x14ac:dyDescent="0.25">
      <c r="A3692" s="418" t="s">
        <v>11113</v>
      </c>
      <c r="B3692">
        <v>15</v>
      </c>
      <c r="C3692" s="309"/>
      <c r="D3692" s="310"/>
    </row>
    <row r="3693" spans="1:4" x14ac:dyDescent="0.25">
      <c r="A3693" s="418" t="s">
        <v>11114</v>
      </c>
      <c r="B3693">
        <v>7</v>
      </c>
      <c r="C3693" s="309"/>
      <c r="D3693" s="310"/>
    </row>
    <row r="3694" spans="1:4" x14ac:dyDescent="0.25">
      <c r="A3694" s="418" t="s">
        <v>15605</v>
      </c>
      <c r="B3694">
        <v>2</v>
      </c>
      <c r="C3694" s="309"/>
      <c r="D3694" s="310"/>
    </row>
    <row r="3695" spans="1:4" x14ac:dyDescent="0.25">
      <c r="A3695" s="418" t="s">
        <v>10603</v>
      </c>
      <c r="B3695">
        <v>8</v>
      </c>
      <c r="C3695" s="309"/>
      <c r="D3695" s="310"/>
    </row>
    <row r="3696" spans="1:4" x14ac:dyDescent="0.25">
      <c r="A3696" s="418" t="s">
        <v>9945</v>
      </c>
      <c r="B3696">
        <v>7</v>
      </c>
      <c r="C3696" s="309"/>
      <c r="D3696" s="310"/>
    </row>
    <row r="3697" spans="1:4" x14ac:dyDescent="0.25">
      <c r="A3697" s="418" t="s">
        <v>11324</v>
      </c>
      <c r="B3697">
        <v>3</v>
      </c>
      <c r="C3697" s="309"/>
      <c r="D3697" s="310"/>
    </row>
    <row r="3698" spans="1:4" x14ac:dyDescent="0.25">
      <c r="A3698" s="418" t="s">
        <v>11325</v>
      </c>
      <c r="B3698">
        <v>4</v>
      </c>
      <c r="C3698" s="309"/>
      <c r="D3698" s="310"/>
    </row>
    <row r="3699" spans="1:4" x14ac:dyDescent="0.25">
      <c r="A3699" s="418" t="s">
        <v>11433</v>
      </c>
      <c r="B3699">
        <v>2</v>
      </c>
      <c r="C3699" s="309"/>
      <c r="D3699" s="310"/>
    </row>
    <row r="3700" spans="1:4" x14ac:dyDescent="0.25">
      <c r="A3700" s="418" t="s">
        <v>11434</v>
      </c>
      <c r="B3700">
        <v>4</v>
      </c>
      <c r="C3700" s="309"/>
      <c r="D3700" s="310"/>
    </row>
    <row r="3701" spans="1:4" x14ac:dyDescent="0.25">
      <c r="A3701" s="418" t="s">
        <v>9464</v>
      </c>
      <c r="B3701">
        <v>4</v>
      </c>
      <c r="C3701" s="309"/>
      <c r="D3701" s="310"/>
    </row>
    <row r="3702" spans="1:4" x14ac:dyDescent="0.25">
      <c r="A3702" s="418" t="s">
        <v>9465</v>
      </c>
      <c r="B3702">
        <v>3</v>
      </c>
      <c r="C3702" s="309"/>
      <c r="D3702" s="310"/>
    </row>
    <row r="3703" spans="1:4" x14ac:dyDescent="0.25">
      <c r="A3703" s="418" t="s">
        <v>17124</v>
      </c>
      <c r="B3703">
        <v>1</v>
      </c>
      <c r="C3703" s="309"/>
      <c r="D3703" s="310"/>
    </row>
    <row r="3704" spans="1:4" x14ac:dyDescent="0.25">
      <c r="A3704" s="418" t="s">
        <v>9466</v>
      </c>
      <c r="B3704">
        <v>3</v>
      </c>
      <c r="C3704" s="309"/>
      <c r="D3704" s="310"/>
    </row>
    <row r="3705" spans="1:4" x14ac:dyDescent="0.25">
      <c r="A3705" s="418" t="s">
        <v>17125</v>
      </c>
      <c r="B3705">
        <v>2</v>
      </c>
      <c r="C3705" s="309"/>
      <c r="D3705" s="310"/>
    </row>
    <row r="3706" spans="1:4" x14ac:dyDescent="0.25">
      <c r="A3706" s="418" t="s">
        <v>17126</v>
      </c>
      <c r="B3706">
        <v>2</v>
      </c>
      <c r="C3706" s="309"/>
      <c r="D3706" s="310"/>
    </row>
    <row r="3707" spans="1:4" x14ac:dyDescent="0.25">
      <c r="A3707" s="418" t="s">
        <v>10807</v>
      </c>
      <c r="B3707">
        <v>1</v>
      </c>
      <c r="C3707" s="309"/>
      <c r="D3707" s="310"/>
    </row>
    <row r="3708" spans="1:4" x14ac:dyDescent="0.25">
      <c r="A3708" s="418" t="s">
        <v>10808</v>
      </c>
      <c r="B3708">
        <v>2</v>
      </c>
      <c r="C3708" s="309"/>
      <c r="D3708" s="310"/>
    </row>
    <row r="3709" spans="1:4" x14ac:dyDescent="0.25">
      <c r="A3709" s="418" t="s">
        <v>10722</v>
      </c>
      <c r="B3709">
        <v>1</v>
      </c>
      <c r="C3709" s="309"/>
      <c r="D3709" s="310"/>
    </row>
    <row r="3710" spans="1:4" x14ac:dyDescent="0.25">
      <c r="A3710" s="418" t="s">
        <v>10723</v>
      </c>
      <c r="B3710">
        <v>1</v>
      </c>
      <c r="C3710" s="309"/>
      <c r="D3710" s="310"/>
    </row>
    <row r="3711" spans="1:4" x14ac:dyDescent="0.25">
      <c r="A3711" s="418" t="s">
        <v>10724</v>
      </c>
      <c r="B3711">
        <v>1</v>
      </c>
      <c r="C3711" s="309"/>
      <c r="D3711" s="310"/>
    </row>
    <row r="3712" spans="1:4" x14ac:dyDescent="0.25">
      <c r="A3712" s="418" t="s">
        <v>15520</v>
      </c>
      <c r="B3712">
        <v>2</v>
      </c>
      <c r="C3712" s="309"/>
      <c r="D3712" s="310"/>
    </row>
    <row r="3713" spans="1:4" x14ac:dyDescent="0.25">
      <c r="A3713" s="418" t="s">
        <v>11435</v>
      </c>
      <c r="B3713">
        <v>1</v>
      </c>
      <c r="C3713" s="309"/>
      <c r="D3713" s="310"/>
    </row>
    <row r="3714" spans="1:4" x14ac:dyDescent="0.25">
      <c r="A3714" s="418" t="s">
        <v>10809</v>
      </c>
      <c r="B3714">
        <v>1</v>
      </c>
      <c r="C3714" s="309"/>
      <c r="D3714" s="310"/>
    </row>
    <row r="3715" spans="1:4" x14ac:dyDescent="0.25">
      <c r="A3715" s="418" t="s">
        <v>11814</v>
      </c>
      <c r="B3715">
        <v>3</v>
      </c>
      <c r="C3715" s="309"/>
      <c r="D3715" s="310"/>
    </row>
    <row r="3716" spans="1:4" x14ac:dyDescent="0.25">
      <c r="A3716" s="418" t="s">
        <v>15209</v>
      </c>
      <c r="B3716">
        <v>5</v>
      </c>
      <c r="C3716" s="309"/>
      <c r="D3716" s="310"/>
    </row>
    <row r="3717" spans="1:4" x14ac:dyDescent="0.25">
      <c r="A3717" s="418" t="s">
        <v>17127</v>
      </c>
      <c r="B3717">
        <v>1</v>
      </c>
      <c r="C3717" s="309"/>
      <c r="D3717" s="310"/>
    </row>
    <row r="3718" spans="1:4" x14ac:dyDescent="0.25">
      <c r="A3718" s="418" t="s">
        <v>17128</v>
      </c>
      <c r="B3718">
        <v>1</v>
      </c>
      <c r="C3718" s="309"/>
      <c r="D3718" s="310"/>
    </row>
    <row r="3719" spans="1:4" x14ac:dyDescent="0.25">
      <c r="A3719" s="418" t="s">
        <v>9467</v>
      </c>
      <c r="B3719">
        <v>1</v>
      </c>
      <c r="C3719" s="309"/>
      <c r="D3719" s="310"/>
    </row>
    <row r="3720" spans="1:4" x14ac:dyDescent="0.25">
      <c r="A3720" s="418" t="s">
        <v>9468</v>
      </c>
      <c r="B3720">
        <v>1</v>
      </c>
      <c r="C3720" s="309"/>
      <c r="D3720" s="310"/>
    </row>
    <row r="3721" spans="1:4" x14ac:dyDescent="0.25">
      <c r="A3721" s="418" t="s">
        <v>11075</v>
      </c>
      <c r="B3721">
        <v>4</v>
      </c>
      <c r="C3721" s="309"/>
      <c r="D3721" s="310"/>
    </row>
    <row r="3722" spans="1:4" x14ac:dyDescent="0.25">
      <c r="A3722" s="418" t="s">
        <v>11076</v>
      </c>
      <c r="B3722">
        <v>6</v>
      </c>
      <c r="C3722" s="309"/>
      <c r="D3722" s="310"/>
    </row>
    <row r="3723" spans="1:4" x14ac:dyDescent="0.25">
      <c r="A3723" s="418" t="s">
        <v>12332</v>
      </c>
      <c r="B3723">
        <v>1</v>
      </c>
      <c r="C3723" s="309"/>
      <c r="D3723" s="310"/>
    </row>
    <row r="3724" spans="1:4" x14ac:dyDescent="0.25">
      <c r="A3724" s="418" t="s">
        <v>12125</v>
      </c>
      <c r="B3724">
        <v>4</v>
      </c>
      <c r="C3724" s="309"/>
      <c r="D3724" s="310"/>
    </row>
    <row r="3725" spans="1:4" x14ac:dyDescent="0.25">
      <c r="A3725" s="418" t="s">
        <v>12126</v>
      </c>
      <c r="B3725">
        <v>2</v>
      </c>
      <c r="C3725" s="309"/>
      <c r="D3725" s="310"/>
    </row>
    <row r="3726" spans="1:4" x14ac:dyDescent="0.25">
      <c r="A3726" s="418" t="s">
        <v>16451</v>
      </c>
      <c r="B3726">
        <v>1</v>
      </c>
      <c r="C3726" s="309"/>
      <c r="D3726" s="310"/>
    </row>
    <row r="3727" spans="1:4" x14ac:dyDescent="0.25">
      <c r="A3727" s="418" t="s">
        <v>10205</v>
      </c>
      <c r="B3727">
        <v>1</v>
      </c>
      <c r="C3727" s="309"/>
      <c r="D3727" s="310"/>
    </row>
    <row r="3728" spans="1:4" x14ac:dyDescent="0.25">
      <c r="A3728" s="418" t="s">
        <v>10206</v>
      </c>
      <c r="B3728">
        <v>1</v>
      </c>
      <c r="C3728" s="309"/>
      <c r="D3728" s="310"/>
    </row>
    <row r="3729" spans="1:4" x14ac:dyDescent="0.25">
      <c r="A3729" s="418" t="s">
        <v>16452</v>
      </c>
      <c r="B3729">
        <v>2</v>
      </c>
      <c r="C3729" s="309"/>
      <c r="D3729" s="310"/>
    </row>
    <row r="3730" spans="1:4" x14ac:dyDescent="0.25">
      <c r="A3730" s="418" t="s">
        <v>16453</v>
      </c>
      <c r="B3730">
        <v>2</v>
      </c>
      <c r="C3730" s="309"/>
      <c r="D3730" s="310"/>
    </row>
    <row r="3731" spans="1:4" x14ac:dyDescent="0.25">
      <c r="A3731" s="418" t="s">
        <v>16454</v>
      </c>
      <c r="B3731">
        <v>1</v>
      </c>
      <c r="C3731" s="309"/>
      <c r="D3731" s="310"/>
    </row>
    <row r="3732" spans="1:4" x14ac:dyDescent="0.25">
      <c r="A3732" s="418" t="s">
        <v>11595</v>
      </c>
      <c r="B3732">
        <v>2</v>
      </c>
      <c r="C3732" s="309"/>
      <c r="D3732" s="310"/>
    </row>
    <row r="3733" spans="1:4" x14ac:dyDescent="0.25">
      <c r="A3733" s="418" t="s">
        <v>11596</v>
      </c>
      <c r="B3733">
        <v>3</v>
      </c>
      <c r="C3733" s="309"/>
      <c r="D3733" s="310"/>
    </row>
    <row r="3734" spans="1:4" x14ac:dyDescent="0.25">
      <c r="A3734" s="418" t="s">
        <v>11364</v>
      </c>
      <c r="B3734">
        <v>2</v>
      </c>
      <c r="C3734" s="309"/>
      <c r="D3734" s="310"/>
    </row>
    <row r="3735" spans="1:4" x14ac:dyDescent="0.25">
      <c r="A3735" s="418" t="s">
        <v>11541</v>
      </c>
      <c r="B3735">
        <v>1</v>
      </c>
      <c r="C3735" s="309"/>
      <c r="D3735" s="310"/>
    </row>
    <row r="3736" spans="1:4" x14ac:dyDescent="0.25">
      <c r="A3736" s="418" t="s">
        <v>11542</v>
      </c>
      <c r="B3736">
        <v>2</v>
      </c>
      <c r="C3736" s="309"/>
      <c r="D3736" s="310"/>
    </row>
    <row r="3737" spans="1:4" x14ac:dyDescent="0.25">
      <c r="A3737" s="418" t="s">
        <v>15521</v>
      </c>
      <c r="B3737">
        <v>1</v>
      </c>
      <c r="C3737" s="309"/>
      <c r="D3737" s="310"/>
    </row>
    <row r="3738" spans="1:4" x14ac:dyDescent="0.25">
      <c r="A3738" s="418" t="s">
        <v>11077</v>
      </c>
      <c r="B3738">
        <v>4</v>
      </c>
      <c r="C3738" s="309"/>
      <c r="D3738" s="310"/>
    </row>
    <row r="3739" spans="1:4" x14ac:dyDescent="0.25">
      <c r="A3739" s="418" t="s">
        <v>15170</v>
      </c>
      <c r="B3739">
        <v>2</v>
      </c>
      <c r="C3739" s="309"/>
      <c r="D3739" s="310"/>
    </row>
    <row r="3740" spans="1:4" x14ac:dyDescent="0.25">
      <c r="A3740" s="418" t="s">
        <v>11790</v>
      </c>
      <c r="B3740">
        <v>4</v>
      </c>
      <c r="C3740" s="309"/>
      <c r="D3740" s="310"/>
    </row>
    <row r="3741" spans="1:4" x14ac:dyDescent="0.25">
      <c r="A3741" s="418" t="s">
        <v>12333</v>
      </c>
      <c r="B3741">
        <v>1</v>
      </c>
      <c r="C3741" s="309"/>
      <c r="D3741" s="310"/>
    </row>
    <row r="3742" spans="1:4" x14ac:dyDescent="0.25">
      <c r="A3742" s="418" t="s">
        <v>9797</v>
      </c>
      <c r="B3742">
        <v>18</v>
      </c>
      <c r="C3742" s="309"/>
      <c r="D3742" s="310"/>
    </row>
    <row r="3743" spans="1:4" x14ac:dyDescent="0.25">
      <c r="A3743" s="418" t="s">
        <v>9798</v>
      </c>
      <c r="B3743">
        <v>17</v>
      </c>
      <c r="C3743" s="309"/>
      <c r="D3743" s="310"/>
    </row>
    <row r="3744" spans="1:4" x14ac:dyDescent="0.25">
      <c r="A3744" s="418" t="s">
        <v>9799</v>
      </c>
      <c r="B3744">
        <v>17</v>
      </c>
      <c r="C3744" s="309"/>
      <c r="D3744" s="310"/>
    </row>
    <row r="3745" spans="1:4" x14ac:dyDescent="0.25">
      <c r="A3745" s="418" t="s">
        <v>10604</v>
      </c>
      <c r="B3745">
        <v>6</v>
      </c>
      <c r="C3745" s="309"/>
      <c r="D3745" s="310"/>
    </row>
    <row r="3746" spans="1:4" x14ac:dyDescent="0.25">
      <c r="A3746" s="418" t="s">
        <v>10019</v>
      </c>
      <c r="B3746">
        <v>1</v>
      </c>
      <c r="C3746" s="309"/>
      <c r="D3746" s="310"/>
    </row>
    <row r="3747" spans="1:4" x14ac:dyDescent="0.25">
      <c r="A3747" s="418" t="s">
        <v>10020</v>
      </c>
      <c r="B3747">
        <v>2</v>
      </c>
      <c r="C3747" s="309"/>
      <c r="D3747" s="310"/>
    </row>
    <row r="3748" spans="1:4" x14ac:dyDescent="0.25">
      <c r="A3748" s="418" t="s">
        <v>16109</v>
      </c>
      <c r="B3748">
        <v>2</v>
      </c>
      <c r="C3748" s="309"/>
      <c r="D3748" s="310"/>
    </row>
    <row r="3749" spans="1:4" x14ac:dyDescent="0.25">
      <c r="A3749" s="418" t="s">
        <v>10725</v>
      </c>
      <c r="B3749">
        <v>19</v>
      </c>
      <c r="C3749" s="309"/>
      <c r="D3749" s="310"/>
    </row>
    <row r="3750" spans="1:4" x14ac:dyDescent="0.25">
      <c r="A3750" s="418" t="s">
        <v>11475</v>
      </c>
      <c r="B3750">
        <v>19</v>
      </c>
      <c r="C3750" s="309"/>
      <c r="D3750" s="310"/>
    </row>
    <row r="3751" spans="1:4" x14ac:dyDescent="0.25">
      <c r="A3751" s="418" t="s">
        <v>11476</v>
      </c>
      <c r="B3751">
        <v>12</v>
      </c>
      <c r="C3751" s="309"/>
      <c r="D3751" s="310"/>
    </row>
    <row r="3752" spans="1:4" x14ac:dyDescent="0.25">
      <c r="A3752" s="418" t="s">
        <v>11477</v>
      </c>
      <c r="B3752">
        <v>5</v>
      </c>
      <c r="C3752" s="309"/>
      <c r="D3752" s="310"/>
    </row>
    <row r="3753" spans="1:4" x14ac:dyDescent="0.25">
      <c r="A3753" s="418" t="s">
        <v>12361</v>
      </c>
      <c r="B3753">
        <v>6</v>
      </c>
      <c r="C3753" s="309"/>
      <c r="D3753" s="310"/>
    </row>
    <row r="3754" spans="1:4" x14ac:dyDescent="0.25">
      <c r="A3754" s="418" t="s">
        <v>12362</v>
      </c>
      <c r="B3754">
        <v>5</v>
      </c>
      <c r="C3754" s="309"/>
      <c r="D3754" s="310"/>
    </row>
    <row r="3755" spans="1:4" x14ac:dyDescent="0.25">
      <c r="A3755" s="418" t="s">
        <v>12363</v>
      </c>
      <c r="B3755">
        <v>3</v>
      </c>
      <c r="C3755" s="309"/>
      <c r="D3755" s="310"/>
    </row>
    <row r="3756" spans="1:4" x14ac:dyDescent="0.25">
      <c r="A3756" s="418" t="s">
        <v>12364</v>
      </c>
      <c r="B3756">
        <v>1</v>
      </c>
      <c r="C3756" s="309"/>
      <c r="D3756" s="310"/>
    </row>
    <row r="3757" spans="1:4" x14ac:dyDescent="0.25">
      <c r="A3757" s="418" t="s">
        <v>10726</v>
      </c>
      <c r="B3757">
        <v>6</v>
      </c>
      <c r="C3757" s="309"/>
      <c r="D3757" s="310"/>
    </row>
    <row r="3758" spans="1:4" x14ac:dyDescent="0.25">
      <c r="A3758" s="418" t="s">
        <v>12450</v>
      </c>
      <c r="B3758">
        <v>3</v>
      </c>
      <c r="C3758" s="309"/>
      <c r="D3758" s="310"/>
    </row>
    <row r="3759" spans="1:4" x14ac:dyDescent="0.25">
      <c r="A3759" s="418" t="s">
        <v>16455</v>
      </c>
      <c r="B3759">
        <v>2</v>
      </c>
      <c r="C3759" s="309"/>
      <c r="D3759" s="310"/>
    </row>
    <row r="3760" spans="1:4" x14ac:dyDescent="0.25">
      <c r="A3760" s="418" t="s">
        <v>16456</v>
      </c>
      <c r="B3760">
        <v>1</v>
      </c>
      <c r="C3760" s="309"/>
      <c r="D3760" s="310"/>
    </row>
    <row r="3761" spans="1:4" x14ac:dyDescent="0.25">
      <c r="A3761" s="418" t="s">
        <v>16457</v>
      </c>
      <c r="B3761">
        <v>1</v>
      </c>
      <c r="C3761" s="309"/>
      <c r="D3761" s="310"/>
    </row>
    <row r="3762" spans="1:4" x14ac:dyDescent="0.25">
      <c r="A3762" s="418" t="s">
        <v>16458</v>
      </c>
      <c r="B3762">
        <v>1</v>
      </c>
      <c r="C3762" s="309"/>
      <c r="D3762" s="310"/>
    </row>
    <row r="3763" spans="1:4" x14ac:dyDescent="0.25">
      <c r="A3763" s="418" t="s">
        <v>11507</v>
      </c>
      <c r="B3763">
        <v>6</v>
      </c>
      <c r="C3763" s="309"/>
      <c r="D3763" s="310"/>
    </row>
    <row r="3764" spans="1:4" x14ac:dyDescent="0.25">
      <c r="A3764" s="418" t="s">
        <v>11508</v>
      </c>
      <c r="B3764">
        <v>6</v>
      </c>
      <c r="C3764" s="309"/>
      <c r="D3764" s="310"/>
    </row>
    <row r="3765" spans="1:4" x14ac:dyDescent="0.25">
      <c r="A3765" s="418" t="s">
        <v>17129</v>
      </c>
      <c r="B3765">
        <v>3</v>
      </c>
      <c r="C3765" s="309"/>
      <c r="D3765" s="310"/>
    </row>
    <row r="3766" spans="1:4" x14ac:dyDescent="0.25">
      <c r="A3766" s="418" t="s">
        <v>12334</v>
      </c>
      <c r="B3766">
        <v>1</v>
      </c>
      <c r="C3766" s="309"/>
      <c r="D3766" s="310"/>
    </row>
    <row r="3767" spans="1:4" x14ac:dyDescent="0.25">
      <c r="A3767" s="418" t="s">
        <v>11365</v>
      </c>
      <c r="B3767">
        <v>3</v>
      </c>
      <c r="C3767" s="309"/>
      <c r="D3767" s="310"/>
    </row>
    <row r="3768" spans="1:4" x14ac:dyDescent="0.25">
      <c r="A3768" s="418" t="s">
        <v>11436</v>
      </c>
      <c r="B3768">
        <v>3</v>
      </c>
      <c r="C3768" s="309"/>
      <c r="D3768" s="310"/>
    </row>
    <row r="3769" spans="1:4" x14ac:dyDescent="0.25">
      <c r="A3769" s="418" t="s">
        <v>11437</v>
      </c>
      <c r="B3769">
        <v>3</v>
      </c>
      <c r="C3769" s="309"/>
      <c r="D3769" s="310"/>
    </row>
    <row r="3770" spans="1:4" x14ac:dyDescent="0.25">
      <c r="A3770" s="418" t="s">
        <v>10727</v>
      </c>
      <c r="B3770">
        <v>1</v>
      </c>
      <c r="C3770" s="309"/>
      <c r="D3770" s="310"/>
    </row>
    <row r="3771" spans="1:4" x14ac:dyDescent="0.25">
      <c r="A3771" s="418" t="s">
        <v>15954</v>
      </c>
      <c r="B3771">
        <v>1</v>
      </c>
      <c r="C3771" s="309"/>
      <c r="D3771" s="310"/>
    </row>
    <row r="3772" spans="1:4" x14ac:dyDescent="0.25">
      <c r="A3772" s="418" t="s">
        <v>3933</v>
      </c>
      <c r="B3772">
        <v>2</v>
      </c>
      <c r="C3772" s="309"/>
      <c r="D3772" s="310"/>
    </row>
    <row r="3773" spans="1:4" x14ac:dyDescent="0.25">
      <c r="A3773" s="418" t="s">
        <v>4276</v>
      </c>
      <c r="B3773">
        <v>2</v>
      </c>
      <c r="C3773" s="309"/>
      <c r="D3773" s="310"/>
    </row>
    <row r="3774" spans="1:4" x14ac:dyDescent="0.25">
      <c r="A3774" s="418" t="s">
        <v>10728</v>
      </c>
      <c r="B3774">
        <v>1</v>
      </c>
      <c r="C3774" s="309"/>
      <c r="D3774" s="310"/>
    </row>
    <row r="3775" spans="1:4" x14ac:dyDescent="0.25">
      <c r="A3775" s="418" t="s">
        <v>10729</v>
      </c>
      <c r="B3775">
        <v>1</v>
      </c>
      <c r="C3775" s="309"/>
      <c r="D3775" s="310"/>
    </row>
    <row r="3776" spans="1:4" x14ac:dyDescent="0.25">
      <c r="A3776" s="418" t="s">
        <v>10730</v>
      </c>
      <c r="B3776">
        <v>1</v>
      </c>
      <c r="C3776" s="309"/>
      <c r="D3776" s="310"/>
    </row>
    <row r="3777" spans="1:4" x14ac:dyDescent="0.25">
      <c r="A3777" s="418" t="s">
        <v>9865</v>
      </c>
      <c r="B3777">
        <v>8</v>
      </c>
      <c r="C3777" s="309"/>
      <c r="D3777" s="310"/>
    </row>
    <row r="3778" spans="1:4" x14ac:dyDescent="0.25">
      <c r="A3778" s="418" t="s">
        <v>9866</v>
      </c>
      <c r="B3778">
        <v>9</v>
      </c>
      <c r="C3778" s="309"/>
      <c r="D3778" s="310"/>
    </row>
    <row r="3779" spans="1:4" x14ac:dyDescent="0.25">
      <c r="A3779" s="418" t="s">
        <v>11861</v>
      </c>
      <c r="B3779">
        <v>4</v>
      </c>
      <c r="C3779" s="309"/>
      <c r="D3779" s="310"/>
    </row>
    <row r="3780" spans="1:4" x14ac:dyDescent="0.25">
      <c r="A3780" s="418" t="s">
        <v>10004</v>
      </c>
      <c r="B3780">
        <v>3</v>
      </c>
      <c r="C3780" s="309"/>
      <c r="D3780" s="310"/>
    </row>
    <row r="3781" spans="1:4" x14ac:dyDescent="0.25">
      <c r="A3781" s="418" t="s">
        <v>9709</v>
      </c>
      <c r="B3781">
        <v>1</v>
      </c>
      <c r="C3781" s="309"/>
      <c r="D3781" s="310"/>
    </row>
    <row r="3782" spans="1:4" x14ac:dyDescent="0.25">
      <c r="A3782" s="418" t="s">
        <v>11115</v>
      </c>
      <c r="B3782">
        <v>2</v>
      </c>
      <c r="C3782" s="309"/>
      <c r="D3782" s="310"/>
    </row>
    <row r="3783" spans="1:4" x14ac:dyDescent="0.25">
      <c r="A3783" s="418" t="s">
        <v>11116</v>
      </c>
      <c r="B3783">
        <v>3</v>
      </c>
      <c r="C3783" s="309"/>
      <c r="D3783" s="310"/>
    </row>
    <row r="3784" spans="1:4" x14ac:dyDescent="0.25">
      <c r="A3784" s="418" t="s">
        <v>11117</v>
      </c>
      <c r="B3784">
        <v>2</v>
      </c>
      <c r="C3784" s="309"/>
      <c r="D3784" s="310"/>
    </row>
    <row r="3785" spans="1:4" x14ac:dyDescent="0.25">
      <c r="A3785" s="418" t="s">
        <v>9800</v>
      </c>
      <c r="B3785">
        <v>2</v>
      </c>
      <c r="C3785" s="309"/>
      <c r="D3785" s="310"/>
    </row>
    <row r="3786" spans="1:4" x14ac:dyDescent="0.25">
      <c r="A3786" s="418" t="s">
        <v>11311</v>
      </c>
      <c r="B3786">
        <v>1</v>
      </c>
      <c r="C3786" s="309"/>
      <c r="D3786" s="310"/>
    </row>
    <row r="3787" spans="1:4" x14ac:dyDescent="0.25">
      <c r="A3787" s="418" t="s">
        <v>11366</v>
      </c>
      <c r="B3787">
        <v>1</v>
      </c>
      <c r="C3787" s="309"/>
      <c r="D3787" s="310"/>
    </row>
    <row r="3788" spans="1:4" x14ac:dyDescent="0.25">
      <c r="A3788" s="418" t="s">
        <v>12017</v>
      </c>
      <c r="B3788">
        <v>3</v>
      </c>
      <c r="C3788" s="309"/>
      <c r="D3788" s="310"/>
    </row>
    <row r="3789" spans="1:4" x14ac:dyDescent="0.25">
      <c r="A3789" s="418" t="s">
        <v>12288</v>
      </c>
      <c r="B3789">
        <v>3</v>
      </c>
      <c r="C3789" s="309"/>
      <c r="D3789" s="310"/>
    </row>
    <row r="3790" spans="1:4" x14ac:dyDescent="0.25">
      <c r="A3790" s="418" t="s">
        <v>12018</v>
      </c>
      <c r="B3790">
        <v>4</v>
      </c>
      <c r="C3790" s="309"/>
      <c r="D3790" s="310"/>
    </row>
    <row r="3791" spans="1:4" x14ac:dyDescent="0.25">
      <c r="A3791" s="418" t="s">
        <v>17130</v>
      </c>
      <c r="B3791">
        <v>1</v>
      </c>
      <c r="C3791" s="309"/>
      <c r="D3791" s="310"/>
    </row>
    <row r="3792" spans="1:4" x14ac:dyDescent="0.25">
      <c r="A3792" s="418" t="s">
        <v>11543</v>
      </c>
      <c r="B3792">
        <v>1</v>
      </c>
      <c r="C3792" s="309"/>
      <c r="D3792" s="310"/>
    </row>
    <row r="3793" spans="1:4" x14ac:dyDescent="0.25">
      <c r="A3793" s="418" t="s">
        <v>11544</v>
      </c>
      <c r="B3793">
        <v>2</v>
      </c>
      <c r="C3793" s="309"/>
      <c r="D3793" s="310"/>
    </row>
    <row r="3794" spans="1:4" x14ac:dyDescent="0.25">
      <c r="A3794" s="418" t="s">
        <v>10252</v>
      </c>
      <c r="B3794">
        <v>1</v>
      </c>
      <c r="C3794" s="309"/>
      <c r="D3794" s="310"/>
    </row>
    <row r="3795" spans="1:4" x14ac:dyDescent="0.25">
      <c r="A3795" s="418" t="s">
        <v>10253</v>
      </c>
      <c r="B3795">
        <v>3</v>
      </c>
      <c r="C3795" s="309"/>
      <c r="D3795" s="310"/>
    </row>
    <row r="3796" spans="1:4" x14ac:dyDescent="0.25">
      <c r="A3796" s="418" t="s">
        <v>9850</v>
      </c>
      <c r="B3796">
        <v>7</v>
      </c>
      <c r="C3796" s="309"/>
      <c r="D3796" s="310"/>
    </row>
    <row r="3797" spans="1:4" x14ac:dyDescent="0.25">
      <c r="A3797" s="418" t="s">
        <v>10605</v>
      </c>
      <c r="B3797">
        <v>9</v>
      </c>
      <c r="C3797" s="309"/>
      <c r="D3797" s="310"/>
    </row>
    <row r="3798" spans="1:4" x14ac:dyDescent="0.25">
      <c r="A3798" s="418" t="s">
        <v>9851</v>
      </c>
      <c r="B3798">
        <v>8</v>
      </c>
      <c r="C3798" s="309"/>
      <c r="D3798" s="310"/>
    </row>
    <row r="3799" spans="1:4" x14ac:dyDescent="0.25">
      <c r="A3799" s="418" t="s">
        <v>10606</v>
      </c>
      <c r="B3799">
        <v>3</v>
      </c>
      <c r="C3799" s="309"/>
      <c r="D3799" s="310"/>
    </row>
    <row r="3800" spans="1:4" x14ac:dyDescent="0.25">
      <c r="A3800" s="418" t="s">
        <v>11651</v>
      </c>
      <c r="B3800">
        <v>2</v>
      </c>
      <c r="C3800" s="309"/>
      <c r="D3800" s="310"/>
    </row>
    <row r="3801" spans="1:4" x14ac:dyDescent="0.25">
      <c r="A3801" s="418" t="s">
        <v>12249</v>
      </c>
      <c r="B3801">
        <v>1</v>
      </c>
      <c r="C3801" s="309"/>
      <c r="D3801" s="310"/>
    </row>
    <row r="3802" spans="1:4" x14ac:dyDescent="0.25">
      <c r="A3802" s="418" t="s">
        <v>10731</v>
      </c>
      <c r="B3802">
        <v>18</v>
      </c>
      <c r="C3802" s="309"/>
      <c r="D3802" s="310"/>
    </row>
    <row r="3803" spans="1:4" x14ac:dyDescent="0.25">
      <c r="A3803" s="418" t="s">
        <v>10732</v>
      </c>
      <c r="B3803">
        <v>20</v>
      </c>
      <c r="C3803" s="309"/>
      <c r="D3803" s="310"/>
    </row>
    <row r="3804" spans="1:4" x14ac:dyDescent="0.25">
      <c r="A3804" s="418" t="s">
        <v>11815</v>
      </c>
      <c r="B3804">
        <v>4</v>
      </c>
      <c r="C3804" s="309"/>
      <c r="D3804" s="310"/>
    </row>
    <row r="3805" spans="1:4" x14ac:dyDescent="0.25">
      <c r="A3805" s="418" t="s">
        <v>11118</v>
      </c>
      <c r="B3805">
        <v>5</v>
      </c>
      <c r="C3805" s="309"/>
      <c r="D3805" s="310"/>
    </row>
    <row r="3806" spans="1:4" x14ac:dyDescent="0.25">
      <c r="A3806" s="418" t="s">
        <v>9946</v>
      </c>
      <c r="B3806">
        <v>3</v>
      </c>
      <c r="C3806" s="309"/>
      <c r="D3806" s="310"/>
    </row>
    <row r="3807" spans="1:4" x14ac:dyDescent="0.25">
      <c r="A3807" s="418" t="s">
        <v>9947</v>
      </c>
      <c r="B3807">
        <v>3</v>
      </c>
      <c r="C3807" s="309"/>
      <c r="D3807" s="310"/>
    </row>
    <row r="3808" spans="1:4" x14ac:dyDescent="0.25">
      <c r="A3808" s="418" t="s">
        <v>12451</v>
      </c>
      <c r="B3808">
        <v>3</v>
      </c>
      <c r="C3808" s="309"/>
      <c r="D3808" s="310"/>
    </row>
    <row r="3809" spans="1:4" x14ac:dyDescent="0.25">
      <c r="A3809" s="418" t="s">
        <v>12019</v>
      </c>
      <c r="B3809">
        <v>1</v>
      </c>
      <c r="C3809" s="309"/>
      <c r="D3809" s="310"/>
    </row>
    <row r="3810" spans="1:4" x14ac:dyDescent="0.25">
      <c r="A3810" s="418" t="s">
        <v>12020</v>
      </c>
      <c r="B3810">
        <v>1</v>
      </c>
      <c r="C3810" s="309"/>
      <c r="D3810" s="310"/>
    </row>
    <row r="3811" spans="1:4" x14ac:dyDescent="0.25">
      <c r="A3811" s="418" t="s">
        <v>12289</v>
      </c>
      <c r="B3811">
        <v>1</v>
      </c>
      <c r="C3811" s="309"/>
      <c r="D3811" s="310"/>
    </row>
    <row r="3812" spans="1:4" x14ac:dyDescent="0.25">
      <c r="A3812" s="418" t="s">
        <v>10733</v>
      </c>
      <c r="B3812">
        <v>1</v>
      </c>
      <c r="C3812" s="309"/>
      <c r="D3812" s="310"/>
    </row>
    <row r="3813" spans="1:4" x14ac:dyDescent="0.25">
      <c r="A3813" s="418" t="s">
        <v>9819</v>
      </c>
      <c r="B3813">
        <v>2</v>
      </c>
      <c r="C3813" s="309"/>
      <c r="D3813" s="310"/>
    </row>
    <row r="3814" spans="1:4" x14ac:dyDescent="0.25">
      <c r="A3814" s="418" t="s">
        <v>10207</v>
      </c>
      <c r="B3814">
        <v>5</v>
      </c>
      <c r="C3814" s="309"/>
      <c r="D3814" s="310"/>
    </row>
    <row r="3815" spans="1:4" x14ac:dyDescent="0.25">
      <c r="A3815" s="418" t="s">
        <v>10422</v>
      </c>
      <c r="B3815">
        <v>5</v>
      </c>
      <c r="C3815" s="309"/>
      <c r="D3815" s="310"/>
    </row>
    <row r="3816" spans="1:4" x14ac:dyDescent="0.25">
      <c r="A3816" s="418" t="s">
        <v>12335</v>
      </c>
      <c r="B3816">
        <v>2</v>
      </c>
      <c r="C3816" s="309"/>
      <c r="D3816" s="310"/>
    </row>
    <row r="3817" spans="1:4" x14ac:dyDescent="0.25">
      <c r="A3817" s="418" t="s">
        <v>11705</v>
      </c>
      <c r="B3817">
        <v>3</v>
      </c>
      <c r="C3817" s="309"/>
      <c r="D3817" s="310"/>
    </row>
    <row r="3818" spans="1:4" x14ac:dyDescent="0.25">
      <c r="A3818" s="418" t="s">
        <v>10607</v>
      </c>
      <c r="B3818">
        <v>3</v>
      </c>
      <c r="C3818" s="309"/>
      <c r="D3818" s="310"/>
    </row>
    <row r="3819" spans="1:4" x14ac:dyDescent="0.25">
      <c r="A3819" s="418" t="s">
        <v>10608</v>
      </c>
      <c r="B3819">
        <v>3</v>
      </c>
      <c r="C3819" s="309"/>
      <c r="D3819" s="310"/>
    </row>
    <row r="3820" spans="1:4" x14ac:dyDescent="0.25">
      <c r="A3820" s="418" t="s">
        <v>11624</v>
      </c>
      <c r="B3820">
        <v>3</v>
      </c>
      <c r="C3820" s="309"/>
      <c r="D3820" s="310"/>
    </row>
    <row r="3821" spans="1:4" x14ac:dyDescent="0.25">
      <c r="A3821" s="418" t="s">
        <v>9948</v>
      </c>
      <c r="B3821">
        <v>3</v>
      </c>
      <c r="C3821" s="309"/>
      <c r="D3821" s="310"/>
    </row>
    <row r="3822" spans="1:4" x14ac:dyDescent="0.25">
      <c r="A3822" s="418" t="s">
        <v>10734</v>
      </c>
      <c r="B3822">
        <v>1</v>
      </c>
      <c r="C3822" s="309"/>
      <c r="D3822" s="310"/>
    </row>
    <row r="3823" spans="1:4" x14ac:dyDescent="0.25">
      <c r="A3823" s="418" t="s">
        <v>9949</v>
      </c>
      <c r="B3823">
        <v>4</v>
      </c>
      <c r="C3823" s="309"/>
      <c r="D3823" s="310"/>
    </row>
    <row r="3824" spans="1:4" x14ac:dyDescent="0.25">
      <c r="A3824" s="418" t="s">
        <v>10735</v>
      </c>
      <c r="B3824">
        <v>1</v>
      </c>
      <c r="C3824" s="309"/>
      <c r="D3824" s="310"/>
    </row>
    <row r="3825" spans="1:4" x14ac:dyDescent="0.25">
      <c r="A3825" s="418" t="s">
        <v>11862</v>
      </c>
      <c r="B3825">
        <v>7</v>
      </c>
      <c r="C3825" s="309"/>
      <c r="D3825" s="310"/>
    </row>
    <row r="3826" spans="1:4" x14ac:dyDescent="0.25">
      <c r="A3826" s="418" t="s">
        <v>11863</v>
      </c>
      <c r="B3826">
        <v>7</v>
      </c>
      <c r="C3826" s="309"/>
      <c r="D3826" s="310"/>
    </row>
    <row r="3827" spans="1:4" x14ac:dyDescent="0.25">
      <c r="A3827" s="418" t="s">
        <v>11864</v>
      </c>
      <c r="B3827">
        <v>3</v>
      </c>
      <c r="C3827" s="309"/>
      <c r="D3827" s="310"/>
    </row>
    <row r="3828" spans="1:4" x14ac:dyDescent="0.25">
      <c r="A3828" s="418" t="s">
        <v>12452</v>
      </c>
      <c r="B3828">
        <v>2</v>
      </c>
      <c r="C3828" s="309"/>
      <c r="D3828" s="310"/>
    </row>
    <row r="3829" spans="1:4" x14ac:dyDescent="0.25">
      <c r="A3829" s="418" t="s">
        <v>16459</v>
      </c>
      <c r="B3829">
        <v>1</v>
      </c>
      <c r="C3829" s="309"/>
      <c r="D3829" s="310"/>
    </row>
    <row r="3830" spans="1:4" x14ac:dyDescent="0.25">
      <c r="A3830" s="418" t="s">
        <v>16460</v>
      </c>
      <c r="B3830">
        <v>1</v>
      </c>
      <c r="C3830" s="309"/>
      <c r="D3830" s="310"/>
    </row>
    <row r="3831" spans="1:4" x14ac:dyDescent="0.25">
      <c r="A3831" s="418" t="s">
        <v>10527</v>
      </c>
      <c r="B3831">
        <v>6</v>
      </c>
      <c r="C3831" s="309"/>
      <c r="D3831" s="310"/>
    </row>
    <row r="3832" spans="1:4" x14ac:dyDescent="0.25">
      <c r="A3832" s="418" t="s">
        <v>10528</v>
      </c>
      <c r="B3832">
        <v>8</v>
      </c>
      <c r="C3832" s="309"/>
      <c r="D3832" s="310"/>
    </row>
    <row r="3833" spans="1:4" x14ac:dyDescent="0.25">
      <c r="A3833" s="418" t="s">
        <v>10845</v>
      </c>
      <c r="B3833">
        <v>4</v>
      </c>
      <c r="C3833" s="309"/>
      <c r="D3833" s="310"/>
    </row>
    <row r="3834" spans="1:4" x14ac:dyDescent="0.25">
      <c r="A3834" s="418" t="s">
        <v>11367</v>
      </c>
      <c r="B3834">
        <v>2</v>
      </c>
      <c r="C3834" s="309"/>
      <c r="D3834" s="310"/>
    </row>
    <row r="3835" spans="1:4" x14ac:dyDescent="0.25">
      <c r="A3835" s="418" t="s">
        <v>12142</v>
      </c>
      <c r="B3835">
        <v>1</v>
      </c>
      <c r="C3835" s="309"/>
      <c r="D3835" s="310"/>
    </row>
    <row r="3836" spans="1:4" x14ac:dyDescent="0.25">
      <c r="A3836" s="418" t="s">
        <v>10472</v>
      </c>
      <c r="B3836">
        <v>6</v>
      </c>
      <c r="C3836" s="309"/>
      <c r="D3836" s="310"/>
    </row>
    <row r="3837" spans="1:4" x14ac:dyDescent="0.25">
      <c r="A3837" s="418" t="s">
        <v>10529</v>
      </c>
      <c r="B3837">
        <v>7</v>
      </c>
      <c r="C3837" s="309"/>
      <c r="D3837" s="310"/>
    </row>
    <row r="3838" spans="1:4" x14ac:dyDescent="0.25">
      <c r="A3838" s="418" t="s">
        <v>12453</v>
      </c>
      <c r="B3838">
        <v>1</v>
      </c>
      <c r="C3838" s="309"/>
      <c r="D3838" s="310"/>
    </row>
    <row r="3839" spans="1:4" x14ac:dyDescent="0.25">
      <c r="A3839" s="418" t="s">
        <v>11265</v>
      </c>
      <c r="B3839">
        <v>4</v>
      </c>
      <c r="C3839" s="309"/>
      <c r="D3839" s="310"/>
    </row>
    <row r="3840" spans="1:4" x14ac:dyDescent="0.25">
      <c r="A3840" s="418" t="s">
        <v>12250</v>
      </c>
      <c r="B3840">
        <v>3</v>
      </c>
      <c r="C3840" s="309"/>
      <c r="D3840" s="310"/>
    </row>
    <row r="3841" spans="1:4" x14ac:dyDescent="0.25">
      <c r="A3841" s="418" t="s">
        <v>12251</v>
      </c>
      <c r="B3841">
        <v>4</v>
      </c>
      <c r="C3841" s="309"/>
      <c r="D3841" s="310"/>
    </row>
    <row r="3842" spans="1:4" x14ac:dyDescent="0.25">
      <c r="A3842" s="418" t="s">
        <v>15522</v>
      </c>
      <c r="B3842">
        <v>1</v>
      </c>
      <c r="C3842" s="309"/>
      <c r="D3842" s="310"/>
    </row>
    <row r="3843" spans="1:4" x14ac:dyDescent="0.25">
      <c r="A3843" s="418" t="s">
        <v>10378</v>
      </c>
      <c r="B3843">
        <v>3</v>
      </c>
      <c r="C3843" s="309"/>
      <c r="D3843" s="310"/>
    </row>
    <row r="3844" spans="1:4" x14ac:dyDescent="0.25">
      <c r="A3844" s="418" t="s">
        <v>11266</v>
      </c>
      <c r="B3844">
        <v>3</v>
      </c>
      <c r="C3844" s="309"/>
      <c r="D3844" s="310"/>
    </row>
    <row r="3845" spans="1:4" x14ac:dyDescent="0.25">
      <c r="A3845" s="418" t="s">
        <v>11267</v>
      </c>
      <c r="B3845">
        <v>2</v>
      </c>
      <c r="C3845" s="309"/>
      <c r="D3845" s="310"/>
    </row>
    <row r="3846" spans="1:4" x14ac:dyDescent="0.25">
      <c r="A3846" s="418" t="s">
        <v>10315</v>
      </c>
      <c r="B3846">
        <v>3</v>
      </c>
      <c r="C3846" s="309"/>
      <c r="D3846" s="310"/>
    </row>
    <row r="3847" spans="1:4" x14ac:dyDescent="0.25">
      <c r="A3847" s="418" t="s">
        <v>10254</v>
      </c>
      <c r="B3847">
        <v>4</v>
      </c>
      <c r="C3847" s="309"/>
      <c r="D3847" s="310"/>
    </row>
    <row r="3848" spans="1:4" x14ac:dyDescent="0.25">
      <c r="A3848" s="418" t="s">
        <v>10005</v>
      </c>
      <c r="B3848">
        <v>2</v>
      </c>
      <c r="C3848" s="309"/>
      <c r="D3848" s="310"/>
    </row>
    <row r="3849" spans="1:4" x14ac:dyDescent="0.25">
      <c r="A3849" s="418" t="s">
        <v>12101</v>
      </c>
      <c r="B3849">
        <v>2</v>
      </c>
      <c r="C3849" s="309"/>
      <c r="D3849" s="310"/>
    </row>
    <row r="3850" spans="1:4" x14ac:dyDescent="0.25">
      <c r="A3850" s="418" t="s">
        <v>10530</v>
      </c>
      <c r="B3850">
        <v>7</v>
      </c>
      <c r="C3850" s="309"/>
      <c r="D3850" s="310"/>
    </row>
    <row r="3851" spans="1:4" x14ac:dyDescent="0.25">
      <c r="A3851" s="418" t="s">
        <v>10531</v>
      </c>
      <c r="B3851">
        <v>7</v>
      </c>
      <c r="C3851" s="309"/>
      <c r="D3851" s="310"/>
    </row>
    <row r="3852" spans="1:4" x14ac:dyDescent="0.25">
      <c r="A3852" s="418" t="s">
        <v>15523</v>
      </c>
      <c r="B3852">
        <v>3</v>
      </c>
      <c r="C3852" s="309"/>
      <c r="D3852" s="310"/>
    </row>
    <row r="3853" spans="1:4" x14ac:dyDescent="0.25">
      <c r="A3853" s="418" t="s">
        <v>15524</v>
      </c>
      <c r="B3853">
        <v>1</v>
      </c>
      <c r="C3853" s="309"/>
      <c r="D3853" s="310"/>
    </row>
    <row r="3854" spans="1:4" x14ac:dyDescent="0.25">
      <c r="A3854" s="418" t="s">
        <v>15525</v>
      </c>
      <c r="B3854">
        <v>5</v>
      </c>
      <c r="C3854" s="309"/>
      <c r="D3854" s="310"/>
    </row>
    <row r="3855" spans="1:4" x14ac:dyDescent="0.25">
      <c r="A3855" s="418" t="s">
        <v>10532</v>
      </c>
      <c r="B3855">
        <v>5</v>
      </c>
      <c r="C3855" s="309"/>
      <c r="D3855" s="310"/>
    </row>
    <row r="3856" spans="1:4" x14ac:dyDescent="0.25">
      <c r="A3856" s="418" t="s">
        <v>11268</v>
      </c>
      <c r="B3856">
        <v>4</v>
      </c>
      <c r="C3856" s="309"/>
      <c r="D3856" s="310"/>
    </row>
    <row r="3857" spans="1:4" x14ac:dyDescent="0.25">
      <c r="A3857" s="418" t="s">
        <v>16461</v>
      </c>
      <c r="B3857">
        <v>1</v>
      </c>
      <c r="C3857" s="309"/>
      <c r="D3857" s="310"/>
    </row>
    <row r="3858" spans="1:4" x14ac:dyDescent="0.25">
      <c r="A3858" s="418" t="s">
        <v>10006</v>
      </c>
      <c r="B3858">
        <v>3</v>
      </c>
      <c r="C3858" s="309"/>
      <c r="D3858" s="310"/>
    </row>
    <row r="3859" spans="1:4" x14ac:dyDescent="0.25">
      <c r="A3859" s="418" t="s">
        <v>17131</v>
      </c>
      <c r="B3859">
        <v>1</v>
      </c>
      <c r="C3859" s="309"/>
      <c r="D3859" s="310"/>
    </row>
    <row r="3860" spans="1:4" x14ac:dyDescent="0.25">
      <c r="A3860" s="418" t="s">
        <v>17132</v>
      </c>
      <c r="B3860">
        <v>1</v>
      </c>
      <c r="C3860" s="309"/>
      <c r="D3860" s="310"/>
    </row>
    <row r="3861" spans="1:4" x14ac:dyDescent="0.25">
      <c r="A3861" s="418" t="s">
        <v>17133</v>
      </c>
      <c r="B3861">
        <v>1</v>
      </c>
      <c r="C3861" s="309"/>
      <c r="D3861" s="310"/>
    </row>
    <row r="3862" spans="1:4" x14ac:dyDescent="0.25">
      <c r="A3862" s="418" t="s">
        <v>11438</v>
      </c>
      <c r="B3862">
        <v>1</v>
      </c>
      <c r="C3862" s="309"/>
      <c r="D3862" s="310"/>
    </row>
    <row r="3863" spans="1:4" x14ac:dyDescent="0.25">
      <c r="A3863" s="418" t="s">
        <v>9950</v>
      </c>
      <c r="B3863">
        <v>14</v>
      </c>
      <c r="C3863" s="309"/>
      <c r="D3863" s="310"/>
    </row>
    <row r="3864" spans="1:4" x14ac:dyDescent="0.25">
      <c r="A3864" s="418" t="s">
        <v>12021</v>
      </c>
      <c r="B3864">
        <v>15</v>
      </c>
      <c r="C3864" s="309"/>
      <c r="D3864" s="310"/>
    </row>
    <row r="3865" spans="1:4" x14ac:dyDescent="0.25">
      <c r="A3865" s="418" t="s">
        <v>12022</v>
      </c>
      <c r="B3865">
        <v>4</v>
      </c>
      <c r="C3865" s="309"/>
      <c r="D3865" s="310"/>
    </row>
    <row r="3866" spans="1:4" x14ac:dyDescent="0.25">
      <c r="A3866" s="418" t="s">
        <v>5976</v>
      </c>
      <c r="B3866">
        <v>1</v>
      </c>
      <c r="C3866" s="309"/>
      <c r="D3866" s="310"/>
    </row>
    <row r="3867" spans="1:4" x14ac:dyDescent="0.25">
      <c r="A3867" s="418" t="s">
        <v>11368</v>
      </c>
      <c r="B3867">
        <v>2</v>
      </c>
      <c r="C3867" s="309"/>
      <c r="D3867" s="310"/>
    </row>
    <row r="3868" spans="1:4" x14ac:dyDescent="0.25">
      <c r="A3868" s="418" t="s">
        <v>11369</v>
      </c>
      <c r="B3868">
        <v>2</v>
      </c>
      <c r="C3868" s="309"/>
      <c r="D3868" s="310"/>
    </row>
    <row r="3869" spans="1:4" x14ac:dyDescent="0.25">
      <c r="A3869" s="418" t="s">
        <v>11865</v>
      </c>
      <c r="B3869">
        <v>3</v>
      </c>
      <c r="C3869" s="309"/>
      <c r="D3869" s="310"/>
    </row>
    <row r="3870" spans="1:4" x14ac:dyDescent="0.25">
      <c r="A3870" s="418" t="s">
        <v>11866</v>
      </c>
      <c r="B3870">
        <v>5</v>
      </c>
      <c r="C3870" s="309"/>
      <c r="D3870" s="310"/>
    </row>
    <row r="3871" spans="1:4" x14ac:dyDescent="0.25">
      <c r="A3871" s="418" t="s">
        <v>11867</v>
      </c>
      <c r="B3871">
        <v>2</v>
      </c>
      <c r="C3871" s="309"/>
      <c r="D3871" s="310"/>
    </row>
    <row r="3872" spans="1:4" x14ac:dyDescent="0.25">
      <c r="A3872" s="418" t="s">
        <v>16462</v>
      </c>
      <c r="B3872">
        <v>2</v>
      </c>
      <c r="C3872" s="309"/>
      <c r="D3872" s="310"/>
    </row>
    <row r="3873" spans="1:4" x14ac:dyDescent="0.25">
      <c r="A3873" s="418" t="s">
        <v>17134</v>
      </c>
      <c r="B3873">
        <v>1</v>
      </c>
      <c r="C3873" s="309"/>
      <c r="D3873" s="310"/>
    </row>
    <row r="3874" spans="1:4" x14ac:dyDescent="0.25">
      <c r="A3874" s="418" t="s">
        <v>10846</v>
      </c>
      <c r="B3874">
        <v>1</v>
      </c>
      <c r="C3874" s="309"/>
      <c r="D3874" s="310"/>
    </row>
    <row r="3875" spans="1:4" x14ac:dyDescent="0.25">
      <c r="A3875" s="418" t="s">
        <v>9112</v>
      </c>
      <c r="B3875">
        <v>2</v>
      </c>
      <c r="C3875" s="309"/>
      <c r="D3875" s="310"/>
    </row>
    <row r="3876" spans="1:4" x14ac:dyDescent="0.25">
      <c r="A3876" s="418" t="s">
        <v>10847</v>
      </c>
      <c r="B3876">
        <v>1</v>
      </c>
      <c r="C3876" s="309"/>
      <c r="D3876" s="310"/>
    </row>
    <row r="3877" spans="1:4" x14ac:dyDescent="0.25">
      <c r="A3877" s="418" t="s">
        <v>10848</v>
      </c>
      <c r="B3877">
        <v>1</v>
      </c>
      <c r="C3877" s="309"/>
      <c r="D3877" s="310"/>
    </row>
    <row r="3878" spans="1:4" x14ac:dyDescent="0.25">
      <c r="A3878" s="418" t="s">
        <v>9951</v>
      </c>
      <c r="B3878">
        <v>1</v>
      </c>
      <c r="C3878" s="309"/>
      <c r="D3878" s="310"/>
    </row>
    <row r="3879" spans="1:4" x14ac:dyDescent="0.25">
      <c r="A3879" s="418" t="s">
        <v>10316</v>
      </c>
      <c r="B3879">
        <v>2</v>
      </c>
      <c r="C3879" s="309"/>
      <c r="D3879" s="310"/>
    </row>
    <row r="3880" spans="1:4" x14ac:dyDescent="0.25">
      <c r="A3880" s="418" t="s">
        <v>10138</v>
      </c>
      <c r="B3880">
        <v>13</v>
      </c>
      <c r="C3880" s="309"/>
      <c r="D3880" s="310"/>
    </row>
    <row r="3881" spans="1:4" x14ac:dyDescent="0.25">
      <c r="A3881" s="418" t="s">
        <v>10139</v>
      </c>
      <c r="B3881">
        <v>15</v>
      </c>
      <c r="C3881" s="309"/>
      <c r="D3881" s="310"/>
    </row>
    <row r="3882" spans="1:4" x14ac:dyDescent="0.25">
      <c r="A3882" s="418" t="s">
        <v>12143</v>
      </c>
      <c r="B3882">
        <v>6</v>
      </c>
      <c r="C3882" s="309"/>
      <c r="D3882" s="310"/>
    </row>
    <row r="3883" spans="1:4" x14ac:dyDescent="0.25">
      <c r="A3883" s="418" t="s">
        <v>10140</v>
      </c>
      <c r="B3883">
        <v>6</v>
      </c>
      <c r="C3883" s="309"/>
      <c r="D3883" s="310"/>
    </row>
    <row r="3884" spans="1:4" x14ac:dyDescent="0.25">
      <c r="A3884" s="418" t="s">
        <v>9873</v>
      </c>
      <c r="B3884">
        <v>1</v>
      </c>
      <c r="C3884" s="309"/>
      <c r="D3884" s="310"/>
    </row>
    <row r="3885" spans="1:4" x14ac:dyDescent="0.25">
      <c r="A3885" s="418" t="s">
        <v>15210</v>
      </c>
      <c r="B3885">
        <v>1</v>
      </c>
      <c r="C3885" s="309"/>
      <c r="D3885" s="310"/>
    </row>
    <row r="3886" spans="1:4" x14ac:dyDescent="0.25">
      <c r="A3886" s="418" t="s">
        <v>10007</v>
      </c>
      <c r="B3886">
        <v>1</v>
      </c>
      <c r="C3886" s="309"/>
      <c r="D3886" s="310"/>
    </row>
    <row r="3887" spans="1:4" x14ac:dyDescent="0.25">
      <c r="A3887" s="418" t="s">
        <v>11816</v>
      </c>
      <c r="B3887">
        <v>1</v>
      </c>
      <c r="C3887" s="309"/>
      <c r="D3887" s="310"/>
    </row>
    <row r="3888" spans="1:4" x14ac:dyDescent="0.25">
      <c r="A3888" s="418" t="s">
        <v>10736</v>
      </c>
      <c r="B3888">
        <v>3</v>
      </c>
      <c r="C3888" s="309"/>
      <c r="D3888" s="310"/>
    </row>
    <row r="3889" spans="1:4" x14ac:dyDescent="0.25">
      <c r="A3889" s="418" t="s">
        <v>10737</v>
      </c>
      <c r="B3889">
        <v>2</v>
      </c>
      <c r="C3889" s="309"/>
      <c r="D3889" s="310"/>
    </row>
    <row r="3890" spans="1:4" x14ac:dyDescent="0.25">
      <c r="A3890" s="418" t="s">
        <v>10738</v>
      </c>
      <c r="B3890">
        <v>2</v>
      </c>
      <c r="C3890" s="309"/>
      <c r="D3890" s="310"/>
    </row>
    <row r="3891" spans="1:4" x14ac:dyDescent="0.25">
      <c r="A3891" s="418" t="s">
        <v>12144</v>
      </c>
      <c r="B3891">
        <v>1</v>
      </c>
      <c r="C3891" s="309"/>
      <c r="D3891" s="310"/>
    </row>
    <row r="3892" spans="1:4" x14ac:dyDescent="0.25">
      <c r="A3892" s="418" t="s">
        <v>12145</v>
      </c>
      <c r="B3892">
        <v>1</v>
      </c>
      <c r="C3892" s="309"/>
      <c r="D3892" s="310"/>
    </row>
    <row r="3893" spans="1:4" x14ac:dyDescent="0.25">
      <c r="A3893" s="418" t="s">
        <v>10473</v>
      </c>
      <c r="B3893">
        <v>1</v>
      </c>
      <c r="C3893" s="309"/>
      <c r="D3893" s="310"/>
    </row>
    <row r="3894" spans="1:4" x14ac:dyDescent="0.25">
      <c r="A3894" s="418" t="s">
        <v>12336</v>
      </c>
      <c r="B3894">
        <v>1</v>
      </c>
      <c r="C3894" s="309"/>
      <c r="D3894" s="310"/>
    </row>
    <row r="3895" spans="1:4" x14ac:dyDescent="0.25">
      <c r="A3895" s="418" t="s">
        <v>12337</v>
      </c>
      <c r="B3895">
        <v>1</v>
      </c>
      <c r="C3895" s="309"/>
      <c r="D3895" s="310"/>
    </row>
    <row r="3896" spans="1:4" x14ac:dyDescent="0.25">
      <c r="A3896" s="418" t="s">
        <v>15171</v>
      </c>
      <c r="B3896">
        <v>1</v>
      </c>
      <c r="C3896" s="309"/>
      <c r="D3896" s="310"/>
    </row>
    <row r="3897" spans="1:4" x14ac:dyDescent="0.25">
      <c r="A3897" s="418" t="s">
        <v>4487</v>
      </c>
      <c r="B3897">
        <v>1</v>
      </c>
      <c r="C3897" s="309"/>
      <c r="D3897" s="310"/>
    </row>
    <row r="3898" spans="1:4" x14ac:dyDescent="0.25">
      <c r="A3898" s="418" t="s">
        <v>4277</v>
      </c>
      <c r="B3898">
        <v>6</v>
      </c>
      <c r="C3898" s="309"/>
      <c r="D3898" s="310"/>
    </row>
    <row r="3899" spans="1:4" x14ac:dyDescent="0.25">
      <c r="A3899" s="418" t="s">
        <v>4278</v>
      </c>
      <c r="B3899">
        <v>2</v>
      </c>
      <c r="C3899" s="309"/>
      <c r="D3899" s="310"/>
    </row>
    <row r="3900" spans="1:4" x14ac:dyDescent="0.25">
      <c r="A3900" s="418" t="s">
        <v>11706</v>
      </c>
      <c r="B3900">
        <v>1</v>
      </c>
      <c r="C3900" s="309"/>
      <c r="D3900" s="310"/>
    </row>
    <row r="3901" spans="1:4" x14ac:dyDescent="0.25">
      <c r="A3901" s="418" t="s">
        <v>11970</v>
      </c>
      <c r="B3901">
        <v>3</v>
      </c>
      <c r="C3901" s="309"/>
      <c r="D3901" s="310"/>
    </row>
    <row r="3902" spans="1:4" x14ac:dyDescent="0.25">
      <c r="A3902" s="418" t="s">
        <v>11119</v>
      </c>
      <c r="B3902">
        <v>2</v>
      </c>
      <c r="C3902" s="309"/>
      <c r="D3902" s="310"/>
    </row>
    <row r="3903" spans="1:4" x14ac:dyDescent="0.25">
      <c r="A3903" s="418" t="s">
        <v>11120</v>
      </c>
      <c r="B3903">
        <v>1</v>
      </c>
      <c r="C3903" s="309"/>
      <c r="D3903" s="310"/>
    </row>
    <row r="3904" spans="1:4" x14ac:dyDescent="0.25">
      <c r="A3904" s="418" t="s">
        <v>10008</v>
      </c>
      <c r="B3904">
        <v>3</v>
      </c>
      <c r="C3904" s="309"/>
      <c r="D3904" s="310"/>
    </row>
    <row r="3905" spans="1:4" x14ac:dyDescent="0.25">
      <c r="A3905" s="418" t="s">
        <v>11439</v>
      </c>
      <c r="B3905">
        <v>2</v>
      </c>
      <c r="C3905" s="309"/>
      <c r="D3905" s="310"/>
    </row>
    <row r="3906" spans="1:4" x14ac:dyDescent="0.25">
      <c r="A3906" s="418" t="s">
        <v>11817</v>
      </c>
      <c r="B3906">
        <v>1</v>
      </c>
      <c r="C3906" s="309"/>
      <c r="D3906" s="310"/>
    </row>
    <row r="3907" spans="1:4" x14ac:dyDescent="0.25">
      <c r="A3907" s="418" t="s">
        <v>11818</v>
      </c>
      <c r="B3907">
        <v>2</v>
      </c>
      <c r="C3907" s="309"/>
      <c r="D3907" s="310"/>
    </row>
    <row r="3908" spans="1:4" x14ac:dyDescent="0.25">
      <c r="A3908" s="418" t="s">
        <v>16853</v>
      </c>
      <c r="B3908">
        <v>3</v>
      </c>
      <c r="C3908" s="309"/>
      <c r="D3908" s="310"/>
    </row>
    <row r="3909" spans="1:4" x14ac:dyDescent="0.25">
      <c r="A3909" s="418" t="s">
        <v>12411</v>
      </c>
      <c r="B3909">
        <v>5</v>
      </c>
      <c r="C3909" s="309"/>
      <c r="D3909" s="310"/>
    </row>
    <row r="3910" spans="1:4" x14ac:dyDescent="0.25">
      <c r="A3910" s="418" t="s">
        <v>17135</v>
      </c>
      <c r="B3910">
        <v>1</v>
      </c>
      <c r="C3910" s="309"/>
      <c r="D3910" s="310"/>
    </row>
    <row r="3911" spans="1:4" x14ac:dyDescent="0.25">
      <c r="A3911" s="418" t="s">
        <v>16854</v>
      </c>
      <c r="B3911">
        <v>1</v>
      </c>
      <c r="C3911" s="309"/>
      <c r="D3911" s="310"/>
    </row>
    <row r="3912" spans="1:4" x14ac:dyDescent="0.25">
      <c r="A3912" s="418" t="s">
        <v>15526</v>
      </c>
      <c r="B3912">
        <v>1</v>
      </c>
      <c r="C3912" s="309"/>
      <c r="D3912" s="310"/>
    </row>
    <row r="3913" spans="1:4" x14ac:dyDescent="0.25">
      <c r="A3913" s="418" t="s">
        <v>11078</v>
      </c>
      <c r="B3913">
        <v>4</v>
      </c>
      <c r="C3913" s="309"/>
      <c r="D3913" s="310"/>
    </row>
    <row r="3914" spans="1:4" x14ac:dyDescent="0.25">
      <c r="A3914" s="418" t="s">
        <v>11079</v>
      </c>
      <c r="B3914">
        <v>5</v>
      </c>
      <c r="C3914" s="309"/>
      <c r="D3914" s="310"/>
    </row>
    <row r="3915" spans="1:4" x14ac:dyDescent="0.25">
      <c r="A3915" s="418" t="s">
        <v>10533</v>
      </c>
      <c r="B3915">
        <v>9</v>
      </c>
      <c r="C3915" s="309"/>
      <c r="D3915" s="310"/>
    </row>
    <row r="3916" spans="1:4" x14ac:dyDescent="0.25">
      <c r="A3916" s="418" t="s">
        <v>10534</v>
      </c>
      <c r="B3916">
        <v>8</v>
      </c>
      <c r="C3916" s="309"/>
      <c r="D3916" s="310"/>
    </row>
    <row r="3917" spans="1:4" x14ac:dyDescent="0.25">
      <c r="A3917" s="418" t="s">
        <v>11791</v>
      </c>
      <c r="B3917">
        <v>2</v>
      </c>
      <c r="C3917" s="309"/>
      <c r="D3917" s="310"/>
    </row>
    <row r="3918" spans="1:4" x14ac:dyDescent="0.25">
      <c r="A3918" s="418" t="s">
        <v>11792</v>
      </c>
      <c r="B3918">
        <v>3</v>
      </c>
      <c r="C3918" s="309"/>
      <c r="D3918" s="310"/>
    </row>
    <row r="3919" spans="1:4" x14ac:dyDescent="0.25">
      <c r="A3919" s="418" t="s">
        <v>10739</v>
      </c>
      <c r="B3919">
        <v>7</v>
      </c>
      <c r="C3919" s="309"/>
      <c r="D3919" s="310"/>
    </row>
    <row r="3920" spans="1:4" x14ac:dyDescent="0.25">
      <c r="A3920" s="418" t="s">
        <v>11868</v>
      </c>
      <c r="B3920">
        <v>5</v>
      </c>
      <c r="C3920" s="309"/>
      <c r="D3920" s="310"/>
    </row>
    <row r="3921" spans="1:4" x14ac:dyDescent="0.25">
      <c r="A3921" s="418" t="s">
        <v>10740</v>
      </c>
      <c r="B3921">
        <v>4</v>
      </c>
      <c r="C3921" s="309"/>
      <c r="D3921" s="310"/>
    </row>
    <row r="3922" spans="1:4" x14ac:dyDescent="0.25">
      <c r="A3922" s="418" t="s">
        <v>15235</v>
      </c>
      <c r="B3922">
        <v>3</v>
      </c>
      <c r="C3922" s="309"/>
      <c r="D3922" s="310"/>
    </row>
    <row r="3923" spans="1:4" x14ac:dyDescent="0.25">
      <c r="A3923" s="418" t="s">
        <v>10535</v>
      </c>
      <c r="B3923">
        <v>4</v>
      </c>
      <c r="C3923" s="309"/>
      <c r="D3923" s="310"/>
    </row>
    <row r="3924" spans="1:4" x14ac:dyDescent="0.25">
      <c r="A3924" s="418" t="s">
        <v>11269</v>
      </c>
      <c r="B3924">
        <v>1</v>
      </c>
      <c r="C3924" s="309"/>
      <c r="D3924" s="310"/>
    </row>
    <row r="3925" spans="1:4" x14ac:dyDescent="0.25">
      <c r="A3925" s="418" t="s">
        <v>10021</v>
      </c>
      <c r="B3925">
        <v>4</v>
      </c>
      <c r="C3925" s="309"/>
      <c r="D3925" s="310"/>
    </row>
    <row r="3926" spans="1:4" x14ac:dyDescent="0.25">
      <c r="A3926" s="418" t="s">
        <v>10022</v>
      </c>
      <c r="B3926">
        <v>3</v>
      </c>
      <c r="C3926" s="309"/>
      <c r="D3926" s="310"/>
    </row>
    <row r="3927" spans="1:4" x14ac:dyDescent="0.25">
      <c r="A3927" s="418" t="s">
        <v>10208</v>
      </c>
      <c r="B3927">
        <v>4</v>
      </c>
      <c r="C3927" s="309"/>
      <c r="D3927" s="310"/>
    </row>
    <row r="3928" spans="1:4" x14ac:dyDescent="0.25">
      <c r="A3928" s="418" t="s">
        <v>11210</v>
      </c>
      <c r="B3928">
        <v>2</v>
      </c>
      <c r="C3928" s="309"/>
      <c r="D3928" s="310"/>
    </row>
    <row r="3929" spans="1:4" x14ac:dyDescent="0.25">
      <c r="A3929" s="418" t="s">
        <v>15527</v>
      </c>
      <c r="B3929">
        <v>1</v>
      </c>
      <c r="C3929" s="309"/>
      <c r="D3929" s="310"/>
    </row>
    <row r="3930" spans="1:4" x14ac:dyDescent="0.25">
      <c r="A3930" s="418" t="s">
        <v>11080</v>
      </c>
      <c r="B3930">
        <v>3</v>
      </c>
      <c r="C3930" s="309"/>
      <c r="D3930" s="310"/>
    </row>
    <row r="3931" spans="1:4" x14ac:dyDescent="0.25">
      <c r="A3931" s="418" t="s">
        <v>11081</v>
      </c>
      <c r="B3931">
        <v>1</v>
      </c>
      <c r="C3931" s="309"/>
      <c r="D3931" s="310"/>
    </row>
    <row r="3932" spans="1:4" x14ac:dyDescent="0.25">
      <c r="A3932" s="418" t="s">
        <v>15528</v>
      </c>
      <c r="B3932">
        <v>1</v>
      </c>
      <c r="C3932" s="309"/>
      <c r="D3932" s="310"/>
    </row>
    <row r="3933" spans="1:4" x14ac:dyDescent="0.25">
      <c r="A3933" s="418" t="s">
        <v>15322</v>
      </c>
      <c r="B3933">
        <v>1</v>
      </c>
      <c r="C3933" s="309"/>
      <c r="D3933" s="310"/>
    </row>
    <row r="3934" spans="1:4" x14ac:dyDescent="0.25">
      <c r="A3934" s="418" t="s">
        <v>15323</v>
      </c>
      <c r="B3934">
        <v>1</v>
      </c>
      <c r="C3934" s="309"/>
      <c r="D3934" s="310"/>
    </row>
    <row r="3935" spans="1:4" x14ac:dyDescent="0.25">
      <c r="A3935" s="418" t="s">
        <v>15324</v>
      </c>
      <c r="B3935">
        <v>1</v>
      </c>
      <c r="C3935" s="309"/>
      <c r="D3935" s="310"/>
    </row>
    <row r="3936" spans="1:4" x14ac:dyDescent="0.25">
      <c r="A3936" s="418" t="s">
        <v>10474</v>
      </c>
      <c r="B3936">
        <v>7</v>
      </c>
      <c r="C3936" s="309"/>
      <c r="D3936" s="310"/>
    </row>
    <row r="3937" spans="1:4" x14ac:dyDescent="0.25">
      <c r="A3937" s="418" t="s">
        <v>10475</v>
      </c>
      <c r="B3937">
        <v>3</v>
      </c>
      <c r="C3937" s="309"/>
      <c r="D3937" s="310"/>
    </row>
    <row r="3938" spans="1:4" x14ac:dyDescent="0.25">
      <c r="A3938" s="418" t="s">
        <v>11082</v>
      </c>
      <c r="B3938">
        <v>3</v>
      </c>
      <c r="C3938" s="309"/>
      <c r="D3938" s="310"/>
    </row>
    <row r="3939" spans="1:4" x14ac:dyDescent="0.25">
      <c r="A3939" s="418" t="s">
        <v>11793</v>
      </c>
      <c r="B3939">
        <v>3</v>
      </c>
      <c r="C3939" s="309"/>
      <c r="D3939" s="310"/>
    </row>
    <row r="3940" spans="1:4" x14ac:dyDescent="0.25">
      <c r="A3940" s="418" t="s">
        <v>15529</v>
      </c>
      <c r="B3940">
        <v>4</v>
      </c>
      <c r="C3940" s="309"/>
      <c r="D3940" s="310"/>
    </row>
    <row r="3941" spans="1:4" x14ac:dyDescent="0.25">
      <c r="A3941" s="418" t="s">
        <v>12338</v>
      </c>
      <c r="B3941">
        <v>1</v>
      </c>
      <c r="C3941" s="309"/>
      <c r="D3941" s="310"/>
    </row>
    <row r="3942" spans="1:4" x14ac:dyDescent="0.25">
      <c r="A3942" s="418" t="s">
        <v>11440</v>
      </c>
      <c r="B3942">
        <v>8</v>
      </c>
      <c r="C3942" s="309"/>
      <c r="D3942" s="310"/>
    </row>
    <row r="3943" spans="1:4" x14ac:dyDescent="0.25">
      <c r="A3943" s="418" t="s">
        <v>10609</v>
      </c>
      <c r="B3943">
        <v>7</v>
      </c>
      <c r="C3943" s="309"/>
      <c r="D3943" s="310"/>
    </row>
    <row r="3944" spans="1:4" x14ac:dyDescent="0.25">
      <c r="A3944" s="418" t="s">
        <v>11441</v>
      </c>
      <c r="B3944">
        <v>10</v>
      </c>
      <c r="C3944" s="309"/>
      <c r="D3944" s="310"/>
    </row>
    <row r="3945" spans="1:4" x14ac:dyDescent="0.25">
      <c r="A3945" s="418" t="s">
        <v>11869</v>
      </c>
      <c r="B3945">
        <v>4</v>
      </c>
      <c r="C3945" s="309"/>
      <c r="D3945" s="310"/>
    </row>
    <row r="3946" spans="1:4" x14ac:dyDescent="0.25">
      <c r="A3946" s="418" t="s">
        <v>11083</v>
      </c>
      <c r="B3946">
        <v>6</v>
      </c>
      <c r="C3946" s="309"/>
      <c r="D3946" s="310"/>
    </row>
    <row r="3947" spans="1:4" x14ac:dyDescent="0.25">
      <c r="A3947" s="418" t="s">
        <v>11084</v>
      </c>
      <c r="B3947">
        <v>8</v>
      </c>
      <c r="C3947" s="309"/>
      <c r="D3947" s="310"/>
    </row>
    <row r="3948" spans="1:4" x14ac:dyDescent="0.25">
      <c r="A3948" s="418" t="s">
        <v>16110</v>
      </c>
      <c r="B3948">
        <v>3</v>
      </c>
      <c r="C3948" s="309"/>
      <c r="D3948" s="310"/>
    </row>
    <row r="3949" spans="1:4" x14ac:dyDescent="0.25">
      <c r="A3949" s="418" t="s">
        <v>11085</v>
      </c>
      <c r="B3949">
        <v>1</v>
      </c>
      <c r="C3949" s="309"/>
      <c r="D3949" s="310"/>
    </row>
    <row r="3950" spans="1:4" x14ac:dyDescent="0.25">
      <c r="A3950" s="418" t="s">
        <v>16111</v>
      </c>
      <c r="B3950">
        <v>2</v>
      </c>
      <c r="C3950" s="309"/>
      <c r="D3950" s="310"/>
    </row>
    <row r="3951" spans="1:4" x14ac:dyDescent="0.25">
      <c r="A3951" s="418" t="s">
        <v>16112</v>
      </c>
      <c r="B3951">
        <v>3</v>
      </c>
      <c r="C3951" s="309"/>
      <c r="D3951" s="310"/>
    </row>
    <row r="3952" spans="1:4" x14ac:dyDescent="0.25">
      <c r="A3952" s="418" t="s">
        <v>17136</v>
      </c>
      <c r="B3952">
        <v>2</v>
      </c>
      <c r="C3952" s="309"/>
      <c r="D3952" s="310"/>
    </row>
    <row r="3953" spans="1:4" x14ac:dyDescent="0.25">
      <c r="A3953" s="418" t="s">
        <v>12339</v>
      </c>
      <c r="B3953">
        <v>5</v>
      </c>
      <c r="C3953" s="309"/>
      <c r="D3953" s="310"/>
    </row>
    <row r="3954" spans="1:4" x14ac:dyDescent="0.25">
      <c r="A3954" s="418" t="s">
        <v>16463</v>
      </c>
      <c r="B3954">
        <v>2</v>
      </c>
      <c r="C3954" s="309"/>
      <c r="D3954" s="310"/>
    </row>
    <row r="3955" spans="1:4" x14ac:dyDescent="0.25">
      <c r="A3955" s="418" t="s">
        <v>16464</v>
      </c>
      <c r="B3955">
        <v>1</v>
      </c>
      <c r="C3955" s="309"/>
      <c r="D3955" s="310"/>
    </row>
    <row r="3956" spans="1:4" x14ac:dyDescent="0.25">
      <c r="A3956" s="418" t="s">
        <v>16465</v>
      </c>
      <c r="B3956">
        <v>1</v>
      </c>
      <c r="C3956" s="309"/>
      <c r="D3956" s="310"/>
    </row>
    <row r="3957" spans="1:4" x14ac:dyDescent="0.25">
      <c r="A3957" s="418" t="s">
        <v>12365</v>
      </c>
      <c r="B3957">
        <v>4</v>
      </c>
      <c r="C3957" s="309"/>
      <c r="D3957" s="310"/>
    </row>
    <row r="3958" spans="1:4" x14ac:dyDescent="0.25">
      <c r="A3958" s="418" t="s">
        <v>12366</v>
      </c>
      <c r="B3958">
        <v>4</v>
      </c>
      <c r="C3958" s="309"/>
      <c r="D3958" s="310"/>
    </row>
    <row r="3959" spans="1:4" x14ac:dyDescent="0.25">
      <c r="A3959" s="418" t="s">
        <v>17137</v>
      </c>
      <c r="B3959">
        <v>4</v>
      </c>
      <c r="C3959" s="309"/>
      <c r="D3959" s="310"/>
    </row>
    <row r="3960" spans="1:4" x14ac:dyDescent="0.25">
      <c r="A3960" s="418" t="s">
        <v>12367</v>
      </c>
      <c r="B3960">
        <v>4</v>
      </c>
      <c r="C3960" s="309"/>
      <c r="D3960" s="310"/>
    </row>
    <row r="3961" spans="1:4" x14ac:dyDescent="0.25">
      <c r="A3961" s="418" t="s">
        <v>16855</v>
      </c>
      <c r="B3961">
        <v>1</v>
      </c>
      <c r="C3961" s="309"/>
      <c r="D3961" s="310"/>
    </row>
    <row r="3962" spans="1:4" x14ac:dyDescent="0.25">
      <c r="A3962" s="418" t="s">
        <v>11707</v>
      </c>
      <c r="B3962">
        <v>1</v>
      </c>
      <c r="C3962" s="309"/>
      <c r="D3962" s="310"/>
    </row>
    <row r="3963" spans="1:4" x14ac:dyDescent="0.25">
      <c r="A3963" s="418" t="s">
        <v>12023</v>
      </c>
      <c r="B3963">
        <v>3</v>
      </c>
      <c r="C3963" s="309"/>
      <c r="D3963" s="310"/>
    </row>
    <row r="3964" spans="1:4" x14ac:dyDescent="0.25">
      <c r="A3964" s="418" t="s">
        <v>12024</v>
      </c>
      <c r="B3964">
        <v>4</v>
      </c>
      <c r="C3964" s="309"/>
      <c r="D3964" s="310"/>
    </row>
    <row r="3965" spans="1:4" x14ac:dyDescent="0.25">
      <c r="A3965" s="418" t="s">
        <v>12025</v>
      </c>
      <c r="B3965">
        <v>5</v>
      </c>
      <c r="C3965" s="309"/>
      <c r="D3965" s="310"/>
    </row>
    <row r="3966" spans="1:4" x14ac:dyDescent="0.25">
      <c r="A3966" s="418" t="s">
        <v>16113</v>
      </c>
      <c r="B3966">
        <v>1</v>
      </c>
      <c r="C3966" s="309"/>
      <c r="D3966" s="310"/>
    </row>
    <row r="3967" spans="1:4" x14ac:dyDescent="0.25">
      <c r="A3967" s="418" t="s">
        <v>10317</v>
      </c>
      <c r="B3967">
        <v>4</v>
      </c>
      <c r="C3967" s="309"/>
      <c r="D3967" s="310"/>
    </row>
    <row r="3968" spans="1:4" x14ac:dyDescent="0.25">
      <c r="A3968" s="418" t="s">
        <v>12026</v>
      </c>
      <c r="B3968">
        <v>2</v>
      </c>
      <c r="C3968" s="309"/>
      <c r="D3968" s="310"/>
    </row>
    <row r="3969" spans="1:4" x14ac:dyDescent="0.25">
      <c r="A3969" s="418" t="s">
        <v>17138</v>
      </c>
      <c r="B3969">
        <v>1</v>
      </c>
      <c r="C3969" s="309"/>
      <c r="D3969" s="310"/>
    </row>
    <row r="3970" spans="1:4" x14ac:dyDescent="0.25">
      <c r="A3970" s="418" t="s">
        <v>11545</v>
      </c>
      <c r="B3970">
        <v>1</v>
      </c>
      <c r="C3970" s="309"/>
      <c r="D3970" s="310"/>
    </row>
    <row r="3971" spans="1:4" x14ac:dyDescent="0.25">
      <c r="A3971" s="418" t="s">
        <v>11681</v>
      </c>
      <c r="B3971">
        <v>3</v>
      </c>
      <c r="C3971" s="309"/>
      <c r="D3971" s="310"/>
    </row>
    <row r="3972" spans="1:4" x14ac:dyDescent="0.25">
      <c r="A3972" s="418" t="s">
        <v>10141</v>
      </c>
      <c r="B3972">
        <v>3</v>
      </c>
      <c r="C3972" s="309"/>
      <c r="D3972" s="310"/>
    </row>
    <row r="3973" spans="1:4" x14ac:dyDescent="0.25">
      <c r="A3973" s="418" t="s">
        <v>12252</v>
      </c>
      <c r="B3973">
        <v>3</v>
      </c>
      <c r="C3973" s="309"/>
      <c r="D3973" s="310"/>
    </row>
    <row r="3974" spans="1:4" x14ac:dyDescent="0.25">
      <c r="A3974" s="418" t="s">
        <v>11086</v>
      </c>
      <c r="B3974">
        <v>1</v>
      </c>
      <c r="C3974" s="309"/>
      <c r="D3974" s="310"/>
    </row>
    <row r="3975" spans="1:4" x14ac:dyDescent="0.25">
      <c r="A3975" s="418" t="s">
        <v>11087</v>
      </c>
      <c r="B3975">
        <v>1</v>
      </c>
      <c r="C3975" s="309"/>
      <c r="D3975" s="310"/>
    </row>
    <row r="3976" spans="1:4" x14ac:dyDescent="0.25">
      <c r="A3976" s="418" t="s">
        <v>11312</v>
      </c>
      <c r="B3976">
        <v>1</v>
      </c>
      <c r="C3976" s="309"/>
      <c r="D3976" s="310"/>
    </row>
    <row r="3977" spans="1:4" x14ac:dyDescent="0.25">
      <c r="A3977" s="418" t="s">
        <v>11088</v>
      </c>
      <c r="B3977">
        <v>1</v>
      </c>
      <c r="C3977" s="309"/>
      <c r="D3977" s="310"/>
    </row>
    <row r="3978" spans="1:4" x14ac:dyDescent="0.25">
      <c r="A3978" s="418" t="s">
        <v>12027</v>
      </c>
      <c r="B3978">
        <v>1</v>
      </c>
      <c r="C3978" s="309"/>
      <c r="D3978" s="310"/>
    </row>
    <row r="3979" spans="1:4" x14ac:dyDescent="0.25">
      <c r="A3979" s="418" t="s">
        <v>10209</v>
      </c>
      <c r="B3979">
        <v>2</v>
      </c>
      <c r="C3979" s="309"/>
      <c r="D3979" s="310"/>
    </row>
    <row r="3980" spans="1:4" x14ac:dyDescent="0.25">
      <c r="A3980" s="418" t="s">
        <v>10318</v>
      </c>
      <c r="B3980">
        <v>1</v>
      </c>
      <c r="C3980" s="309"/>
      <c r="D3980" s="310"/>
    </row>
    <row r="3981" spans="1:4" x14ac:dyDescent="0.25">
      <c r="A3981" s="418" t="s">
        <v>11442</v>
      </c>
      <c r="B3981">
        <v>5</v>
      </c>
      <c r="C3981" s="309"/>
      <c r="D3981" s="310"/>
    </row>
    <row r="3982" spans="1:4" x14ac:dyDescent="0.25">
      <c r="A3982" s="418" t="s">
        <v>10610</v>
      </c>
      <c r="B3982">
        <v>9</v>
      </c>
      <c r="C3982" s="309"/>
      <c r="D3982" s="310"/>
    </row>
    <row r="3983" spans="1:4" x14ac:dyDescent="0.25">
      <c r="A3983" s="418" t="s">
        <v>12253</v>
      </c>
      <c r="B3983">
        <v>5</v>
      </c>
      <c r="C3983" s="309"/>
      <c r="D3983" s="310"/>
    </row>
    <row r="3984" spans="1:4" x14ac:dyDescent="0.25">
      <c r="A3984" s="418" t="s">
        <v>12028</v>
      </c>
      <c r="B3984">
        <v>1</v>
      </c>
      <c r="C3984" s="309"/>
      <c r="D3984" s="310"/>
    </row>
    <row r="3985" spans="1:4" x14ac:dyDescent="0.25">
      <c r="A3985" s="418" t="s">
        <v>17139</v>
      </c>
      <c r="B3985">
        <v>1</v>
      </c>
      <c r="C3985" s="309"/>
      <c r="D3985" s="310"/>
    </row>
    <row r="3986" spans="1:4" x14ac:dyDescent="0.25">
      <c r="A3986" s="418" t="s">
        <v>17140</v>
      </c>
      <c r="B3986">
        <v>2</v>
      </c>
      <c r="C3986" s="309"/>
      <c r="D3986" s="310"/>
    </row>
    <row r="3987" spans="1:4" x14ac:dyDescent="0.25">
      <c r="A3987" s="418" t="s">
        <v>12290</v>
      </c>
      <c r="B3987">
        <v>4</v>
      </c>
      <c r="C3987" s="309"/>
      <c r="D3987" s="310"/>
    </row>
    <row r="3988" spans="1:4" x14ac:dyDescent="0.25">
      <c r="A3988" s="418" t="s">
        <v>16024</v>
      </c>
      <c r="B3988">
        <v>4</v>
      </c>
      <c r="C3988" s="309"/>
      <c r="D3988" s="310"/>
    </row>
    <row r="3989" spans="1:4" x14ac:dyDescent="0.25">
      <c r="A3989" s="418" t="s">
        <v>12291</v>
      </c>
      <c r="B3989">
        <v>4</v>
      </c>
      <c r="C3989" s="309"/>
      <c r="D3989" s="310"/>
    </row>
    <row r="3990" spans="1:4" x14ac:dyDescent="0.25">
      <c r="A3990" s="418" t="s">
        <v>4014</v>
      </c>
      <c r="B3990">
        <v>7</v>
      </c>
      <c r="C3990" s="309"/>
      <c r="D3990" s="310"/>
    </row>
    <row r="3991" spans="1:4" x14ac:dyDescent="0.25">
      <c r="A3991" s="418" t="s">
        <v>7056</v>
      </c>
      <c r="B3991">
        <v>7</v>
      </c>
      <c r="C3991" s="309"/>
      <c r="D3991" s="310"/>
    </row>
    <row r="3992" spans="1:4" x14ac:dyDescent="0.25">
      <c r="A3992" s="418" t="s">
        <v>4015</v>
      </c>
      <c r="B3992">
        <v>3</v>
      </c>
      <c r="C3992" s="309"/>
      <c r="D3992" s="310"/>
    </row>
    <row r="3993" spans="1:4" x14ac:dyDescent="0.25">
      <c r="A3993" s="418" t="s">
        <v>8322</v>
      </c>
      <c r="B3993">
        <v>5</v>
      </c>
      <c r="C3993" s="309"/>
      <c r="D3993" s="310"/>
    </row>
    <row r="3994" spans="1:4" x14ac:dyDescent="0.25">
      <c r="A3994" s="418" t="s">
        <v>12102</v>
      </c>
      <c r="B3994">
        <v>3</v>
      </c>
      <c r="C3994" s="309"/>
      <c r="D3994" s="310"/>
    </row>
    <row r="3995" spans="1:4" x14ac:dyDescent="0.25">
      <c r="A3995" s="418" t="s">
        <v>11509</v>
      </c>
      <c r="B3995">
        <v>3</v>
      </c>
      <c r="C3995" s="309"/>
      <c r="D3995" s="310"/>
    </row>
    <row r="3996" spans="1:4" x14ac:dyDescent="0.25">
      <c r="A3996" s="418" t="s">
        <v>12103</v>
      </c>
      <c r="B3996">
        <v>1</v>
      </c>
      <c r="C3996" s="309"/>
      <c r="D3996" s="310"/>
    </row>
    <row r="3997" spans="1:4" x14ac:dyDescent="0.25">
      <c r="A3997" s="418" t="s">
        <v>11870</v>
      </c>
      <c r="B3997">
        <v>1</v>
      </c>
      <c r="C3997" s="309"/>
      <c r="D3997" s="310"/>
    </row>
    <row r="3998" spans="1:4" x14ac:dyDescent="0.25">
      <c r="A3998" s="418" t="s">
        <v>11971</v>
      </c>
      <c r="B3998">
        <v>1</v>
      </c>
      <c r="C3998" s="309"/>
      <c r="D3998" s="310"/>
    </row>
    <row r="3999" spans="1:4" x14ac:dyDescent="0.25">
      <c r="A3999" s="418" t="s">
        <v>11972</v>
      </c>
      <c r="B3999">
        <v>1</v>
      </c>
      <c r="C3999" s="309"/>
      <c r="D3999" s="310"/>
    </row>
    <row r="4000" spans="1:4" x14ac:dyDescent="0.25">
      <c r="A4000" s="418" t="s">
        <v>17141</v>
      </c>
      <c r="B4000">
        <v>1</v>
      </c>
      <c r="C4000" s="309"/>
      <c r="D4000" s="310"/>
    </row>
    <row r="4001" spans="1:4" x14ac:dyDescent="0.25">
      <c r="A4001" s="418" t="s">
        <v>17142</v>
      </c>
      <c r="B4001">
        <v>1</v>
      </c>
      <c r="C4001" s="309"/>
      <c r="D4001" s="310"/>
    </row>
    <row r="4002" spans="1:4" x14ac:dyDescent="0.25">
      <c r="A4002" s="418" t="s">
        <v>17143</v>
      </c>
      <c r="B4002">
        <v>1</v>
      </c>
      <c r="C4002" s="309"/>
      <c r="D4002" s="310"/>
    </row>
    <row r="4003" spans="1:4" x14ac:dyDescent="0.25">
      <c r="A4003" s="418" t="s">
        <v>10611</v>
      </c>
      <c r="B4003">
        <v>4</v>
      </c>
      <c r="C4003" s="309"/>
      <c r="D4003" s="310"/>
    </row>
    <row r="4004" spans="1:4" x14ac:dyDescent="0.25">
      <c r="A4004" s="418" t="s">
        <v>10612</v>
      </c>
      <c r="B4004">
        <v>4</v>
      </c>
      <c r="C4004" s="309"/>
      <c r="D4004" s="310"/>
    </row>
    <row r="4005" spans="1:4" x14ac:dyDescent="0.25">
      <c r="A4005" s="418" t="s">
        <v>10741</v>
      </c>
      <c r="B4005">
        <v>2</v>
      </c>
      <c r="C4005" s="309"/>
      <c r="D4005" s="310"/>
    </row>
    <row r="4006" spans="1:4" x14ac:dyDescent="0.25">
      <c r="A4006" s="418" t="s">
        <v>16211</v>
      </c>
      <c r="B4006">
        <v>1</v>
      </c>
      <c r="C4006" s="309"/>
      <c r="D4006" s="310"/>
    </row>
    <row r="4007" spans="1:4" x14ac:dyDescent="0.25">
      <c r="A4007" s="418" t="s">
        <v>16212</v>
      </c>
      <c r="B4007">
        <v>1</v>
      </c>
      <c r="C4007" s="309"/>
      <c r="D4007" s="310"/>
    </row>
    <row r="4008" spans="1:4" x14ac:dyDescent="0.25">
      <c r="A4008" s="418" t="s">
        <v>12292</v>
      </c>
      <c r="B4008">
        <v>1</v>
      </c>
      <c r="C4008" s="309"/>
      <c r="D4008" s="310"/>
    </row>
    <row r="4009" spans="1:4" x14ac:dyDescent="0.25">
      <c r="A4009" s="418" t="s">
        <v>12104</v>
      </c>
      <c r="B4009">
        <v>1</v>
      </c>
      <c r="C4009" s="309"/>
      <c r="D4009" s="310"/>
    </row>
    <row r="4010" spans="1:4" x14ac:dyDescent="0.25">
      <c r="A4010" s="418" t="s">
        <v>16466</v>
      </c>
      <c r="B4010">
        <v>1</v>
      </c>
      <c r="C4010" s="309"/>
      <c r="D4010" s="310"/>
    </row>
    <row r="4011" spans="1:4" x14ac:dyDescent="0.25">
      <c r="A4011" s="418" t="s">
        <v>12105</v>
      </c>
      <c r="B4011">
        <v>1</v>
      </c>
      <c r="C4011" s="309"/>
      <c r="D4011" s="310"/>
    </row>
    <row r="4012" spans="1:4" x14ac:dyDescent="0.25">
      <c r="A4012" s="418" t="s">
        <v>11443</v>
      </c>
      <c r="B4012">
        <v>4</v>
      </c>
      <c r="C4012" s="309"/>
      <c r="D4012" s="310"/>
    </row>
    <row r="4013" spans="1:4" x14ac:dyDescent="0.25">
      <c r="A4013" s="418" t="s">
        <v>11444</v>
      </c>
      <c r="B4013">
        <v>4</v>
      </c>
      <c r="C4013" s="309"/>
      <c r="D4013" s="310"/>
    </row>
    <row r="4014" spans="1:4" x14ac:dyDescent="0.25">
      <c r="A4014" s="418" t="s">
        <v>11445</v>
      </c>
      <c r="B4014">
        <v>7</v>
      </c>
      <c r="C4014" s="309"/>
      <c r="D4014" s="310"/>
    </row>
    <row r="4015" spans="1:4" x14ac:dyDescent="0.25">
      <c r="A4015" s="418" t="s">
        <v>16114</v>
      </c>
      <c r="B4015">
        <v>1</v>
      </c>
      <c r="C4015" s="309"/>
      <c r="D4015" s="310"/>
    </row>
    <row r="4016" spans="1:4" x14ac:dyDescent="0.25">
      <c r="A4016" s="418" t="s">
        <v>10282</v>
      </c>
      <c r="B4016">
        <v>3</v>
      </c>
      <c r="C4016" s="309"/>
      <c r="D4016" s="310"/>
    </row>
    <row r="4017" spans="1:4" x14ac:dyDescent="0.25">
      <c r="A4017" s="418" t="s">
        <v>12412</v>
      </c>
      <c r="B4017">
        <v>4</v>
      </c>
      <c r="C4017" s="309"/>
      <c r="D4017" s="310"/>
    </row>
    <row r="4018" spans="1:4" x14ac:dyDescent="0.25">
      <c r="A4018" s="418" t="s">
        <v>11708</v>
      </c>
      <c r="B4018">
        <v>1</v>
      </c>
      <c r="C4018" s="309"/>
      <c r="D4018" s="310"/>
    </row>
    <row r="4019" spans="1:4" x14ac:dyDescent="0.25">
      <c r="A4019" s="418" t="s">
        <v>16467</v>
      </c>
      <c r="B4019">
        <v>2</v>
      </c>
      <c r="C4019" s="309"/>
      <c r="D4019" s="310"/>
    </row>
    <row r="4020" spans="1:4" x14ac:dyDescent="0.25">
      <c r="A4020" s="418" t="s">
        <v>12368</v>
      </c>
      <c r="B4020">
        <v>3</v>
      </c>
      <c r="C4020" s="309"/>
      <c r="D4020" s="310"/>
    </row>
    <row r="4021" spans="1:4" x14ac:dyDescent="0.25">
      <c r="A4021" s="418" t="s">
        <v>12369</v>
      </c>
      <c r="B4021">
        <v>2</v>
      </c>
      <c r="C4021" s="309"/>
      <c r="D4021" s="310"/>
    </row>
    <row r="4022" spans="1:4" x14ac:dyDescent="0.25">
      <c r="A4022" s="418" t="s">
        <v>12106</v>
      </c>
      <c r="B4022">
        <v>1</v>
      </c>
      <c r="C4022" s="309"/>
      <c r="D4022" s="310"/>
    </row>
    <row r="4023" spans="1:4" x14ac:dyDescent="0.25">
      <c r="A4023" s="418" t="s">
        <v>12029</v>
      </c>
      <c r="B4023">
        <v>1</v>
      </c>
      <c r="C4023" s="309"/>
      <c r="D4023" s="310"/>
    </row>
    <row r="4024" spans="1:4" x14ac:dyDescent="0.25">
      <c r="A4024" s="418" t="s">
        <v>11326</v>
      </c>
      <c r="B4024">
        <v>5</v>
      </c>
      <c r="C4024" s="309"/>
      <c r="D4024" s="310"/>
    </row>
    <row r="4025" spans="1:4" x14ac:dyDescent="0.25">
      <c r="A4025" s="418" t="s">
        <v>11327</v>
      </c>
      <c r="B4025">
        <v>8</v>
      </c>
      <c r="C4025" s="309"/>
      <c r="D4025" s="310"/>
    </row>
    <row r="4026" spans="1:4" x14ac:dyDescent="0.25">
      <c r="A4026" s="418" t="s">
        <v>11871</v>
      </c>
      <c r="B4026">
        <v>3</v>
      </c>
      <c r="C4026" s="309"/>
      <c r="D4026" s="310"/>
    </row>
    <row r="4027" spans="1:4" x14ac:dyDescent="0.25">
      <c r="A4027" s="418" t="s">
        <v>11872</v>
      </c>
      <c r="B4027">
        <v>4</v>
      </c>
      <c r="C4027" s="309"/>
      <c r="D4027" s="310"/>
    </row>
    <row r="4028" spans="1:4" x14ac:dyDescent="0.25">
      <c r="A4028" s="418" t="s">
        <v>12030</v>
      </c>
      <c r="B4028">
        <v>1</v>
      </c>
      <c r="C4028" s="309"/>
      <c r="D4028" s="310"/>
    </row>
    <row r="4029" spans="1:4" x14ac:dyDescent="0.25">
      <c r="A4029" s="418" t="s">
        <v>11873</v>
      </c>
      <c r="B4029">
        <v>3</v>
      </c>
      <c r="C4029" s="309"/>
      <c r="D4029" s="310"/>
    </row>
    <row r="4030" spans="1:4" x14ac:dyDescent="0.25">
      <c r="A4030" s="418" t="s">
        <v>11874</v>
      </c>
      <c r="B4030">
        <v>3</v>
      </c>
      <c r="C4030" s="309"/>
      <c r="D4030" s="310"/>
    </row>
    <row r="4031" spans="1:4" x14ac:dyDescent="0.25">
      <c r="A4031" s="418" t="s">
        <v>11875</v>
      </c>
      <c r="B4031">
        <v>3</v>
      </c>
      <c r="C4031" s="309"/>
      <c r="D4031" s="310"/>
    </row>
    <row r="4032" spans="1:4" x14ac:dyDescent="0.25">
      <c r="A4032" s="418" t="s">
        <v>11876</v>
      </c>
      <c r="B4032">
        <v>2</v>
      </c>
      <c r="C4032" s="309"/>
      <c r="D4032" s="310"/>
    </row>
    <row r="4033" spans="1:4" x14ac:dyDescent="0.25">
      <c r="A4033" s="418" t="s">
        <v>11546</v>
      </c>
      <c r="B4033">
        <v>14</v>
      </c>
      <c r="C4033" s="309"/>
      <c r="D4033" s="310"/>
    </row>
    <row r="4034" spans="1:4" x14ac:dyDescent="0.25">
      <c r="A4034" s="418" t="s">
        <v>11547</v>
      </c>
      <c r="B4034">
        <v>14</v>
      </c>
      <c r="C4034" s="309"/>
      <c r="D4034" s="310"/>
    </row>
    <row r="4035" spans="1:4" x14ac:dyDescent="0.25">
      <c r="A4035" s="418" t="s">
        <v>15530</v>
      </c>
      <c r="B4035">
        <v>11</v>
      </c>
      <c r="C4035" s="309"/>
      <c r="D4035" s="310"/>
    </row>
    <row r="4036" spans="1:4" x14ac:dyDescent="0.25">
      <c r="A4036" s="418" t="s">
        <v>11877</v>
      </c>
      <c r="B4036">
        <v>6</v>
      </c>
      <c r="C4036" s="309"/>
      <c r="D4036" s="310"/>
    </row>
    <row r="4037" spans="1:4" x14ac:dyDescent="0.25">
      <c r="A4037" s="418" t="s">
        <v>16213</v>
      </c>
      <c r="B4037">
        <v>3</v>
      </c>
      <c r="C4037" s="309"/>
      <c r="D4037" s="310"/>
    </row>
    <row r="4038" spans="1:4" x14ac:dyDescent="0.25">
      <c r="A4038" s="418" t="s">
        <v>16115</v>
      </c>
      <c r="B4038">
        <v>4</v>
      </c>
      <c r="C4038" s="309"/>
      <c r="D4038" s="310"/>
    </row>
    <row r="4039" spans="1:4" x14ac:dyDescent="0.25">
      <c r="A4039" s="418" t="s">
        <v>16214</v>
      </c>
      <c r="B4039">
        <v>1</v>
      </c>
      <c r="C4039" s="309"/>
      <c r="D4039" s="310"/>
    </row>
    <row r="4040" spans="1:4" x14ac:dyDescent="0.25">
      <c r="A4040" s="418" t="s">
        <v>16325</v>
      </c>
      <c r="B4040">
        <v>2</v>
      </c>
      <c r="C4040" s="309"/>
      <c r="D4040" s="310"/>
    </row>
    <row r="4041" spans="1:4" x14ac:dyDescent="0.25">
      <c r="A4041" s="418" t="s">
        <v>16326</v>
      </c>
      <c r="B4041">
        <v>2</v>
      </c>
      <c r="C4041" s="309"/>
      <c r="D4041" s="310"/>
    </row>
    <row r="4042" spans="1:4" x14ac:dyDescent="0.25">
      <c r="A4042" s="418" t="s">
        <v>12031</v>
      </c>
      <c r="B4042">
        <v>7</v>
      </c>
      <c r="C4042" s="309"/>
      <c r="D4042" s="310"/>
    </row>
    <row r="4043" spans="1:4" x14ac:dyDescent="0.25">
      <c r="A4043" s="418" t="s">
        <v>12032</v>
      </c>
      <c r="B4043">
        <v>10</v>
      </c>
      <c r="C4043" s="309"/>
      <c r="D4043" s="310"/>
    </row>
    <row r="4044" spans="1:4" x14ac:dyDescent="0.25">
      <c r="A4044" s="418" t="s">
        <v>12033</v>
      </c>
      <c r="B4044">
        <v>8</v>
      </c>
      <c r="C4044" s="309"/>
      <c r="D4044" s="310"/>
    </row>
    <row r="4045" spans="1:4" x14ac:dyDescent="0.25">
      <c r="A4045" s="418" t="s">
        <v>16468</v>
      </c>
      <c r="B4045">
        <v>1</v>
      </c>
      <c r="C4045" s="309"/>
      <c r="D4045" s="310"/>
    </row>
    <row r="4046" spans="1:4" x14ac:dyDescent="0.25">
      <c r="A4046" s="418" t="s">
        <v>11709</v>
      </c>
      <c r="B4046">
        <v>6</v>
      </c>
      <c r="C4046" s="309"/>
      <c r="D4046" s="310"/>
    </row>
    <row r="4047" spans="1:4" x14ac:dyDescent="0.25">
      <c r="A4047" s="418" t="s">
        <v>11710</v>
      </c>
      <c r="B4047">
        <v>6</v>
      </c>
      <c r="C4047" s="309"/>
      <c r="D4047" s="310"/>
    </row>
    <row r="4048" spans="1:4" x14ac:dyDescent="0.25">
      <c r="A4048" s="418" t="s">
        <v>11711</v>
      </c>
      <c r="B4048">
        <v>4</v>
      </c>
      <c r="C4048" s="309"/>
      <c r="D4048" s="310"/>
    </row>
    <row r="4049" spans="1:4" x14ac:dyDescent="0.25">
      <c r="A4049" s="418" t="s">
        <v>12034</v>
      </c>
      <c r="B4049">
        <v>6</v>
      </c>
      <c r="C4049" s="309"/>
      <c r="D4049" s="310"/>
    </row>
    <row r="4050" spans="1:4" x14ac:dyDescent="0.25">
      <c r="A4050" s="418" t="s">
        <v>12035</v>
      </c>
      <c r="B4050">
        <v>4</v>
      </c>
      <c r="C4050" s="309"/>
      <c r="D4050" s="310"/>
    </row>
    <row r="4051" spans="1:4" x14ac:dyDescent="0.25">
      <c r="A4051" s="418" t="s">
        <v>17144</v>
      </c>
      <c r="B4051">
        <v>2</v>
      </c>
      <c r="C4051" s="309"/>
      <c r="D4051" s="310"/>
    </row>
    <row r="4052" spans="1:4" x14ac:dyDescent="0.25">
      <c r="A4052" s="418" t="s">
        <v>12454</v>
      </c>
      <c r="B4052">
        <v>4</v>
      </c>
      <c r="C4052" s="309"/>
      <c r="D4052" s="310"/>
    </row>
    <row r="4053" spans="1:4" x14ac:dyDescent="0.25">
      <c r="A4053" s="418" t="s">
        <v>17145</v>
      </c>
      <c r="B4053">
        <v>2</v>
      </c>
      <c r="C4053" s="309"/>
      <c r="D4053" s="310"/>
    </row>
    <row r="4054" spans="1:4" x14ac:dyDescent="0.25">
      <c r="A4054" s="418" t="s">
        <v>11089</v>
      </c>
      <c r="B4054">
        <v>3</v>
      </c>
      <c r="C4054" s="309"/>
      <c r="D4054" s="310"/>
    </row>
    <row r="4055" spans="1:4" x14ac:dyDescent="0.25">
      <c r="A4055" s="418" t="s">
        <v>12254</v>
      </c>
      <c r="B4055">
        <v>3</v>
      </c>
      <c r="C4055" s="309"/>
      <c r="D4055" s="310"/>
    </row>
    <row r="4056" spans="1:4" x14ac:dyDescent="0.25">
      <c r="A4056" s="418" t="s">
        <v>15531</v>
      </c>
      <c r="B4056">
        <v>3</v>
      </c>
      <c r="C4056" s="309"/>
      <c r="D4056" s="310"/>
    </row>
    <row r="4057" spans="1:4" x14ac:dyDescent="0.25">
      <c r="A4057" s="418" t="s">
        <v>15532</v>
      </c>
      <c r="B4057">
        <v>1</v>
      </c>
      <c r="C4057" s="309"/>
      <c r="D4057" s="310"/>
    </row>
    <row r="4058" spans="1:4" x14ac:dyDescent="0.25">
      <c r="A4058" s="418" t="s">
        <v>16469</v>
      </c>
      <c r="B4058">
        <v>2</v>
      </c>
      <c r="C4058" s="309"/>
      <c r="D4058" s="310"/>
    </row>
    <row r="4059" spans="1:4" x14ac:dyDescent="0.25">
      <c r="A4059" s="418" t="s">
        <v>11682</v>
      </c>
      <c r="B4059">
        <v>9</v>
      </c>
      <c r="C4059" s="309"/>
      <c r="D4059" s="310"/>
    </row>
    <row r="4060" spans="1:4" x14ac:dyDescent="0.25">
      <c r="A4060" s="418" t="s">
        <v>10613</v>
      </c>
      <c r="B4060">
        <v>11</v>
      </c>
      <c r="C4060" s="309"/>
      <c r="D4060" s="310"/>
    </row>
    <row r="4061" spans="1:4" x14ac:dyDescent="0.25">
      <c r="A4061" s="418" t="s">
        <v>12146</v>
      </c>
      <c r="B4061">
        <v>6</v>
      </c>
      <c r="C4061" s="309"/>
      <c r="D4061" s="310"/>
    </row>
    <row r="4062" spans="1:4" x14ac:dyDescent="0.25">
      <c r="A4062" s="418" t="s">
        <v>12455</v>
      </c>
      <c r="B4062">
        <v>1</v>
      </c>
      <c r="C4062" s="309"/>
      <c r="D4062" s="310"/>
    </row>
    <row r="4063" spans="1:4" x14ac:dyDescent="0.25">
      <c r="A4063" s="418" t="s">
        <v>12036</v>
      </c>
      <c r="B4063">
        <v>1</v>
      </c>
      <c r="C4063" s="309"/>
      <c r="D4063" s="310"/>
    </row>
    <row r="4064" spans="1:4" x14ac:dyDescent="0.25">
      <c r="A4064" s="418" t="s">
        <v>12456</v>
      </c>
      <c r="B4064">
        <v>1</v>
      </c>
      <c r="C4064" s="309"/>
      <c r="D4064" s="310"/>
    </row>
    <row r="4065" spans="1:4" x14ac:dyDescent="0.25">
      <c r="A4065" s="418" t="s">
        <v>10742</v>
      </c>
      <c r="B4065">
        <v>3</v>
      </c>
      <c r="C4065" s="309"/>
      <c r="D4065" s="310"/>
    </row>
    <row r="4066" spans="1:4" x14ac:dyDescent="0.25">
      <c r="A4066" s="418" t="s">
        <v>16470</v>
      </c>
      <c r="B4066">
        <v>1</v>
      </c>
      <c r="C4066" s="309"/>
      <c r="D4066" s="310"/>
    </row>
    <row r="4067" spans="1:4" x14ac:dyDescent="0.25">
      <c r="A4067" s="418" t="s">
        <v>11345</v>
      </c>
      <c r="B4067">
        <v>1</v>
      </c>
      <c r="C4067" s="309"/>
      <c r="D4067" s="310"/>
    </row>
    <row r="4068" spans="1:4" x14ac:dyDescent="0.25">
      <c r="A4068" s="418" t="s">
        <v>11346</v>
      </c>
      <c r="B4068">
        <v>1</v>
      </c>
      <c r="C4068" s="309"/>
      <c r="D4068" s="310"/>
    </row>
    <row r="4069" spans="1:4" x14ac:dyDescent="0.25">
      <c r="A4069" s="418" t="s">
        <v>11712</v>
      </c>
      <c r="B4069">
        <v>1</v>
      </c>
      <c r="C4069" s="309"/>
      <c r="D4069" s="310"/>
    </row>
    <row r="4070" spans="1:4" x14ac:dyDescent="0.25">
      <c r="A4070" s="418" t="s">
        <v>11713</v>
      </c>
      <c r="B4070">
        <v>1</v>
      </c>
      <c r="C4070" s="309"/>
      <c r="D4070" s="310"/>
    </row>
    <row r="4071" spans="1:4" x14ac:dyDescent="0.25">
      <c r="A4071" s="418" t="s">
        <v>16471</v>
      </c>
      <c r="B4071">
        <v>3</v>
      </c>
      <c r="C4071" s="309"/>
      <c r="D4071" s="310"/>
    </row>
    <row r="4072" spans="1:4" x14ac:dyDescent="0.25">
      <c r="A4072" s="418" t="s">
        <v>16472</v>
      </c>
      <c r="B4072">
        <v>3</v>
      </c>
      <c r="C4072" s="309"/>
      <c r="D4072" s="310"/>
    </row>
    <row r="4073" spans="1:4" x14ac:dyDescent="0.25">
      <c r="A4073" s="418" t="s">
        <v>17146</v>
      </c>
      <c r="B4073">
        <v>1</v>
      </c>
      <c r="C4073" s="309"/>
      <c r="D4073" s="310"/>
    </row>
    <row r="4074" spans="1:4" x14ac:dyDescent="0.25">
      <c r="A4074" s="418" t="s">
        <v>10536</v>
      </c>
      <c r="B4074">
        <v>2</v>
      </c>
      <c r="C4074" s="309"/>
      <c r="D4074" s="310"/>
    </row>
    <row r="4075" spans="1:4" x14ac:dyDescent="0.25">
      <c r="A4075" s="418" t="s">
        <v>10537</v>
      </c>
      <c r="B4075">
        <v>4</v>
      </c>
      <c r="C4075" s="309"/>
      <c r="D4075" s="310"/>
    </row>
    <row r="4076" spans="1:4" x14ac:dyDescent="0.25">
      <c r="A4076" s="418" t="s">
        <v>12340</v>
      </c>
      <c r="B4076">
        <v>1</v>
      </c>
      <c r="C4076" s="309"/>
      <c r="D4076" s="310"/>
    </row>
    <row r="4077" spans="1:4" x14ac:dyDescent="0.25">
      <c r="A4077" s="418" t="s">
        <v>15533</v>
      </c>
      <c r="B4077">
        <v>1</v>
      </c>
      <c r="C4077" s="309"/>
      <c r="D4077" s="310"/>
    </row>
    <row r="4078" spans="1:4" x14ac:dyDescent="0.25">
      <c r="A4078" s="418" t="s">
        <v>15534</v>
      </c>
      <c r="B4078">
        <v>1</v>
      </c>
      <c r="C4078" s="309"/>
      <c r="D4078" s="310"/>
    </row>
    <row r="4079" spans="1:4" x14ac:dyDescent="0.25">
      <c r="A4079" s="418" t="s">
        <v>12037</v>
      </c>
      <c r="B4079">
        <v>8</v>
      </c>
      <c r="C4079" s="309"/>
      <c r="D4079" s="310"/>
    </row>
    <row r="4080" spans="1:4" x14ac:dyDescent="0.25">
      <c r="A4080" s="418" t="s">
        <v>12038</v>
      </c>
      <c r="B4080">
        <v>13</v>
      </c>
      <c r="C4080" s="309"/>
      <c r="D4080" s="310"/>
    </row>
    <row r="4081" spans="1:4" x14ac:dyDescent="0.25">
      <c r="A4081" s="418" t="s">
        <v>12039</v>
      </c>
      <c r="B4081">
        <v>8</v>
      </c>
      <c r="C4081" s="309"/>
      <c r="D4081" s="310"/>
    </row>
    <row r="4082" spans="1:4" x14ac:dyDescent="0.25">
      <c r="A4082" s="418" t="s">
        <v>16116</v>
      </c>
      <c r="B4082">
        <v>1</v>
      </c>
      <c r="C4082" s="309"/>
      <c r="D4082" s="310"/>
    </row>
    <row r="4083" spans="1:4" x14ac:dyDescent="0.25">
      <c r="A4083" s="418" t="s">
        <v>16117</v>
      </c>
      <c r="B4083">
        <v>3</v>
      </c>
      <c r="C4083" s="309"/>
      <c r="D4083" s="310"/>
    </row>
    <row r="4084" spans="1:4" x14ac:dyDescent="0.25">
      <c r="A4084" s="418" t="s">
        <v>16118</v>
      </c>
      <c r="B4084">
        <v>3</v>
      </c>
      <c r="C4084" s="309"/>
      <c r="D4084" s="310"/>
    </row>
    <row r="4085" spans="1:4" x14ac:dyDescent="0.25">
      <c r="A4085" s="418" t="s">
        <v>16119</v>
      </c>
      <c r="B4085">
        <v>1</v>
      </c>
      <c r="C4085" s="309"/>
      <c r="D4085" s="310"/>
    </row>
    <row r="4086" spans="1:4" x14ac:dyDescent="0.25">
      <c r="A4086" s="418" t="s">
        <v>16120</v>
      </c>
      <c r="B4086">
        <v>2</v>
      </c>
      <c r="C4086" s="309"/>
      <c r="D4086" s="310"/>
    </row>
    <row r="4087" spans="1:4" x14ac:dyDescent="0.25">
      <c r="A4087" s="418" t="s">
        <v>11090</v>
      </c>
      <c r="B4087">
        <v>1</v>
      </c>
      <c r="C4087" s="309"/>
      <c r="D4087" s="310"/>
    </row>
    <row r="4088" spans="1:4" x14ac:dyDescent="0.25">
      <c r="A4088" s="418" t="s">
        <v>11091</v>
      </c>
      <c r="B4088">
        <v>1</v>
      </c>
      <c r="C4088" s="309"/>
      <c r="D4088" s="310"/>
    </row>
    <row r="4089" spans="1:4" x14ac:dyDescent="0.25">
      <c r="A4089" s="418" t="s">
        <v>12457</v>
      </c>
      <c r="B4089">
        <v>1</v>
      </c>
      <c r="C4089" s="309"/>
      <c r="D4089" s="310"/>
    </row>
    <row r="4090" spans="1:4" x14ac:dyDescent="0.25">
      <c r="A4090" s="418" t="s">
        <v>12458</v>
      </c>
      <c r="B4090">
        <v>1</v>
      </c>
      <c r="C4090" s="309"/>
      <c r="D4090" s="310"/>
    </row>
    <row r="4091" spans="1:4" x14ac:dyDescent="0.25">
      <c r="A4091" s="418" t="s">
        <v>15425</v>
      </c>
      <c r="B4091">
        <v>2</v>
      </c>
      <c r="C4091" s="309"/>
      <c r="D4091" s="310"/>
    </row>
    <row r="4092" spans="1:4" x14ac:dyDescent="0.25">
      <c r="A4092" s="418" t="s">
        <v>15426</v>
      </c>
      <c r="B4092">
        <v>1</v>
      </c>
      <c r="C4092" s="309"/>
      <c r="D4092" s="310"/>
    </row>
    <row r="4093" spans="1:4" x14ac:dyDescent="0.25">
      <c r="A4093" s="418" t="s">
        <v>17147</v>
      </c>
      <c r="B4093">
        <v>2</v>
      </c>
      <c r="C4093" s="309"/>
      <c r="D4093" s="310"/>
    </row>
    <row r="4094" spans="1:4" x14ac:dyDescent="0.25">
      <c r="A4094" s="418" t="s">
        <v>17148</v>
      </c>
      <c r="B4094">
        <v>1</v>
      </c>
      <c r="C4094" s="309"/>
      <c r="D4094" s="310"/>
    </row>
    <row r="4095" spans="1:4" x14ac:dyDescent="0.25">
      <c r="A4095" s="418" t="s">
        <v>12341</v>
      </c>
      <c r="B4095">
        <v>4</v>
      </c>
      <c r="C4095" s="309"/>
      <c r="D4095" s="310"/>
    </row>
    <row r="4096" spans="1:4" x14ac:dyDescent="0.25">
      <c r="A4096" s="418" t="s">
        <v>15535</v>
      </c>
      <c r="B4096">
        <v>3</v>
      </c>
      <c r="C4096" s="309"/>
      <c r="D4096" s="310"/>
    </row>
    <row r="4097" spans="1:4" x14ac:dyDescent="0.25">
      <c r="A4097" s="418" t="s">
        <v>15536</v>
      </c>
      <c r="B4097">
        <v>3</v>
      </c>
      <c r="C4097" s="309"/>
      <c r="D4097" s="310"/>
    </row>
    <row r="4098" spans="1:4" x14ac:dyDescent="0.25">
      <c r="A4098" s="418" t="s">
        <v>16121</v>
      </c>
      <c r="B4098">
        <v>2</v>
      </c>
      <c r="C4098" s="309"/>
      <c r="D4098" s="310"/>
    </row>
    <row r="4099" spans="1:4" x14ac:dyDescent="0.25">
      <c r="A4099" s="418" t="s">
        <v>16122</v>
      </c>
      <c r="B4099">
        <v>3</v>
      </c>
      <c r="C4099" s="309"/>
      <c r="D4099" s="310"/>
    </row>
    <row r="4100" spans="1:4" x14ac:dyDescent="0.25">
      <c r="A4100" s="418" t="s">
        <v>16123</v>
      </c>
      <c r="B4100">
        <v>2</v>
      </c>
      <c r="C4100" s="309"/>
      <c r="D4100" s="310"/>
    </row>
    <row r="4101" spans="1:4" x14ac:dyDescent="0.25">
      <c r="A4101" s="418" t="s">
        <v>16124</v>
      </c>
      <c r="B4101">
        <v>2</v>
      </c>
      <c r="C4101" s="309"/>
      <c r="D4101" s="310"/>
    </row>
    <row r="4102" spans="1:4" x14ac:dyDescent="0.25">
      <c r="A4102" s="418" t="s">
        <v>10743</v>
      </c>
      <c r="B4102">
        <v>1</v>
      </c>
      <c r="C4102" s="309"/>
      <c r="D4102" s="310"/>
    </row>
    <row r="4103" spans="1:4" x14ac:dyDescent="0.25">
      <c r="A4103" s="418" t="s">
        <v>10744</v>
      </c>
      <c r="B4103">
        <v>1</v>
      </c>
      <c r="C4103" s="309"/>
      <c r="D4103" s="310"/>
    </row>
    <row r="4104" spans="1:4" x14ac:dyDescent="0.25">
      <c r="A4104" s="418" t="s">
        <v>11002</v>
      </c>
      <c r="B4104">
        <v>3</v>
      </c>
      <c r="C4104" s="309"/>
      <c r="D4104" s="310"/>
    </row>
    <row r="4105" spans="1:4" x14ac:dyDescent="0.25">
      <c r="A4105" s="418" t="s">
        <v>11973</v>
      </c>
      <c r="B4105">
        <v>3</v>
      </c>
      <c r="C4105" s="309"/>
      <c r="D4105" s="310"/>
    </row>
    <row r="4106" spans="1:4" x14ac:dyDescent="0.25">
      <c r="A4106" s="418" t="s">
        <v>12147</v>
      </c>
      <c r="B4106">
        <v>2</v>
      </c>
      <c r="C4106" s="309"/>
      <c r="D4106" s="310"/>
    </row>
    <row r="4107" spans="1:4" x14ac:dyDescent="0.25">
      <c r="A4107" s="418" t="s">
        <v>15236</v>
      </c>
      <c r="B4107">
        <v>1</v>
      </c>
      <c r="C4107" s="309"/>
      <c r="D4107" s="310"/>
    </row>
    <row r="4108" spans="1:4" x14ac:dyDescent="0.25">
      <c r="A4108" s="418" t="s">
        <v>11548</v>
      </c>
      <c r="B4108">
        <v>3</v>
      </c>
      <c r="C4108" s="309"/>
      <c r="D4108" s="310"/>
    </row>
    <row r="4109" spans="1:4" x14ac:dyDescent="0.25">
      <c r="A4109" s="418" t="s">
        <v>17149</v>
      </c>
      <c r="B4109">
        <v>1</v>
      </c>
      <c r="C4109" s="309"/>
      <c r="D4109" s="310"/>
    </row>
    <row r="4110" spans="1:4" x14ac:dyDescent="0.25">
      <c r="A4110" s="418" t="s">
        <v>11092</v>
      </c>
      <c r="B4110">
        <v>1</v>
      </c>
      <c r="C4110" s="309"/>
      <c r="D4110" s="310"/>
    </row>
    <row r="4111" spans="1:4" x14ac:dyDescent="0.25">
      <c r="A4111" s="418" t="s">
        <v>11093</v>
      </c>
      <c r="B4111">
        <v>1</v>
      </c>
      <c r="C4111" s="309"/>
      <c r="D4111" s="310"/>
    </row>
    <row r="4112" spans="1:4" x14ac:dyDescent="0.25">
      <c r="A4112" s="418" t="s">
        <v>11003</v>
      </c>
      <c r="B4112">
        <v>1</v>
      </c>
      <c r="C4112" s="309"/>
      <c r="D4112" s="310"/>
    </row>
    <row r="4113" spans="1:4" x14ac:dyDescent="0.25">
      <c r="A4113" s="418" t="s">
        <v>11004</v>
      </c>
      <c r="B4113">
        <v>1</v>
      </c>
      <c r="C4113" s="309"/>
      <c r="D4113" s="310"/>
    </row>
    <row r="4114" spans="1:4" x14ac:dyDescent="0.25">
      <c r="A4114" s="418" t="s">
        <v>4426</v>
      </c>
      <c r="B4114">
        <v>1</v>
      </c>
      <c r="C4114" s="309"/>
      <c r="D4114" s="310"/>
    </row>
    <row r="4115" spans="1:4" x14ac:dyDescent="0.25">
      <c r="A4115" s="418" t="s">
        <v>4160</v>
      </c>
      <c r="B4115">
        <v>2</v>
      </c>
      <c r="C4115" s="309"/>
      <c r="D4115" s="310"/>
    </row>
    <row r="4116" spans="1:4" x14ac:dyDescent="0.25">
      <c r="A4116" s="418" t="s">
        <v>11974</v>
      </c>
      <c r="B4116">
        <v>2</v>
      </c>
      <c r="C4116" s="309"/>
      <c r="D4116" s="310"/>
    </row>
    <row r="4117" spans="1:4" x14ac:dyDescent="0.25">
      <c r="A4117" s="418" t="s">
        <v>11412</v>
      </c>
      <c r="B4117">
        <v>3</v>
      </c>
      <c r="C4117" s="309"/>
      <c r="D4117" s="310"/>
    </row>
    <row r="4118" spans="1:4" x14ac:dyDescent="0.25">
      <c r="A4118" s="418" t="s">
        <v>11413</v>
      </c>
      <c r="B4118">
        <v>3</v>
      </c>
      <c r="C4118" s="309"/>
      <c r="D4118" s="310"/>
    </row>
    <row r="4119" spans="1:4" x14ac:dyDescent="0.25">
      <c r="A4119" s="418" t="s">
        <v>11414</v>
      </c>
      <c r="B4119">
        <v>2</v>
      </c>
      <c r="C4119" s="309"/>
      <c r="D4119" s="310"/>
    </row>
    <row r="4120" spans="1:4" x14ac:dyDescent="0.25">
      <c r="A4120" s="418" t="s">
        <v>11714</v>
      </c>
      <c r="B4120">
        <v>1</v>
      </c>
      <c r="C4120" s="309"/>
      <c r="D4120" s="310"/>
    </row>
    <row r="4121" spans="1:4" x14ac:dyDescent="0.25">
      <c r="A4121" s="418" t="s">
        <v>11715</v>
      </c>
      <c r="B4121">
        <v>1</v>
      </c>
      <c r="C4121" s="309"/>
      <c r="D4121" s="310"/>
    </row>
    <row r="4122" spans="1:4" x14ac:dyDescent="0.25">
      <c r="A4122" s="418" t="s">
        <v>10745</v>
      </c>
      <c r="B4122">
        <v>2</v>
      </c>
      <c r="C4122" s="309"/>
      <c r="D4122" s="310"/>
    </row>
    <row r="4123" spans="1:4" x14ac:dyDescent="0.25">
      <c r="A4123" s="418" t="s">
        <v>11005</v>
      </c>
      <c r="B4123">
        <v>1</v>
      </c>
      <c r="C4123" s="309"/>
      <c r="D4123" s="310"/>
    </row>
    <row r="4124" spans="1:4" x14ac:dyDescent="0.25">
      <c r="A4124" s="418" t="s">
        <v>11006</v>
      </c>
      <c r="B4124">
        <v>1</v>
      </c>
      <c r="C4124" s="309"/>
      <c r="D4124" s="310"/>
    </row>
    <row r="4125" spans="1:4" x14ac:dyDescent="0.25">
      <c r="A4125" s="418" t="s">
        <v>16473</v>
      </c>
      <c r="B4125">
        <v>3</v>
      </c>
      <c r="C4125" s="309"/>
      <c r="D4125" s="310"/>
    </row>
    <row r="4126" spans="1:4" x14ac:dyDescent="0.25">
      <c r="A4126" s="418" t="s">
        <v>16474</v>
      </c>
      <c r="B4126">
        <v>3</v>
      </c>
      <c r="C4126" s="309"/>
      <c r="D4126" s="310"/>
    </row>
    <row r="4127" spans="1:4" x14ac:dyDescent="0.25">
      <c r="A4127" s="418" t="s">
        <v>11347</v>
      </c>
      <c r="B4127">
        <v>1</v>
      </c>
      <c r="C4127" s="309"/>
      <c r="D4127" s="310"/>
    </row>
    <row r="4128" spans="1:4" x14ac:dyDescent="0.25">
      <c r="A4128" s="418" t="s">
        <v>11348</v>
      </c>
      <c r="B4128">
        <v>1</v>
      </c>
      <c r="C4128" s="309"/>
      <c r="D4128" s="310"/>
    </row>
    <row r="4129" spans="1:4" x14ac:dyDescent="0.25">
      <c r="A4129" s="418" t="s">
        <v>16856</v>
      </c>
      <c r="B4129">
        <v>2</v>
      </c>
      <c r="C4129" s="309"/>
      <c r="D4129" s="310"/>
    </row>
    <row r="4130" spans="1:4" x14ac:dyDescent="0.25">
      <c r="A4130" s="418" t="s">
        <v>15955</v>
      </c>
      <c r="B4130">
        <v>2</v>
      </c>
      <c r="C4130" s="309"/>
      <c r="D4130" s="310"/>
    </row>
    <row r="4131" spans="1:4" x14ac:dyDescent="0.25">
      <c r="A4131" s="418" t="s">
        <v>17150</v>
      </c>
      <c r="B4131">
        <v>1</v>
      </c>
      <c r="C4131" s="309"/>
      <c r="D4131" s="310"/>
    </row>
    <row r="4132" spans="1:4" x14ac:dyDescent="0.25">
      <c r="A4132" s="418" t="s">
        <v>17151</v>
      </c>
      <c r="B4132">
        <v>1</v>
      </c>
      <c r="C4132" s="309"/>
      <c r="D4132" s="310"/>
    </row>
    <row r="4133" spans="1:4" x14ac:dyDescent="0.25">
      <c r="A4133" s="418" t="s">
        <v>10746</v>
      </c>
      <c r="B4133">
        <v>2</v>
      </c>
      <c r="C4133" s="309"/>
      <c r="D4133" s="310"/>
    </row>
    <row r="4134" spans="1:4" x14ac:dyDescent="0.25">
      <c r="A4134" s="418" t="s">
        <v>10614</v>
      </c>
      <c r="B4134">
        <v>1</v>
      </c>
      <c r="C4134" s="309"/>
      <c r="D4134" s="310"/>
    </row>
    <row r="4135" spans="1:4" x14ac:dyDescent="0.25">
      <c r="A4135" s="418" t="s">
        <v>11007</v>
      </c>
      <c r="B4135">
        <v>1</v>
      </c>
      <c r="C4135" s="309"/>
      <c r="D4135" s="310"/>
    </row>
    <row r="4136" spans="1:4" x14ac:dyDescent="0.25">
      <c r="A4136" s="418" t="s">
        <v>11008</v>
      </c>
      <c r="B4136">
        <v>1</v>
      </c>
      <c r="C4136" s="309"/>
      <c r="D4136" s="310"/>
    </row>
    <row r="4137" spans="1:4" x14ac:dyDescent="0.25">
      <c r="A4137" s="418" t="s">
        <v>11009</v>
      </c>
      <c r="B4137">
        <v>1</v>
      </c>
      <c r="C4137" s="309"/>
      <c r="D4137" s="310"/>
    </row>
    <row r="4138" spans="1:4" x14ac:dyDescent="0.25">
      <c r="A4138" s="418" t="s">
        <v>10747</v>
      </c>
      <c r="B4138">
        <v>1</v>
      </c>
      <c r="C4138" s="309"/>
      <c r="D4138" s="310"/>
    </row>
    <row r="4139" spans="1:4" x14ac:dyDescent="0.25">
      <c r="A4139" s="418" t="s">
        <v>11010</v>
      </c>
      <c r="B4139">
        <v>1</v>
      </c>
      <c r="C4139" s="309"/>
      <c r="D4139" s="310"/>
    </row>
    <row r="4140" spans="1:4" x14ac:dyDescent="0.25">
      <c r="A4140" s="418" t="s">
        <v>12342</v>
      </c>
      <c r="B4140">
        <v>3</v>
      </c>
      <c r="C4140" s="309"/>
      <c r="D4140" s="310"/>
    </row>
    <row r="4141" spans="1:4" x14ac:dyDescent="0.25">
      <c r="A4141" s="418" t="s">
        <v>11878</v>
      </c>
      <c r="B4141">
        <v>3</v>
      </c>
      <c r="C4141" s="309"/>
      <c r="D4141" s="310"/>
    </row>
    <row r="4142" spans="1:4" x14ac:dyDescent="0.25">
      <c r="A4142" s="418" t="s">
        <v>10748</v>
      </c>
      <c r="B4142">
        <v>1</v>
      </c>
      <c r="C4142" s="309"/>
      <c r="D4142" s="310"/>
    </row>
    <row r="4143" spans="1:4" x14ac:dyDescent="0.25">
      <c r="A4143" s="418" t="s">
        <v>11716</v>
      </c>
      <c r="B4143">
        <v>1</v>
      </c>
      <c r="C4143" s="309"/>
      <c r="D4143" s="310"/>
    </row>
    <row r="4144" spans="1:4" x14ac:dyDescent="0.25">
      <c r="A4144" s="418" t="s">
        <v>12459</v>
      </c>
      <c r="B4144">
        <v>2</v>
      </c>
      <c r="C4144" s="309"/>
      <c r="D4144" s="310"/>
    </row>
    <row r="4145" spans="1:4" x14ac:dyDescent="0.25">
      <c r="A4145" s="418" t="s">
        <v>12040</v>
      </c>
      <c r="B4145">
        <v>3</v>
      </c>
      <c r="C4145" s="309"/>
      <c r="D4145" s="310"/>
    </row>
    <row r="4146" spans="1:4" x14ac:dyDescent="0.25">
      <c r="A4146" s="418" t="s">
        <v>17152</v>
      </c>
      <c r="B4146">
        <v>1</v>
      </c>
      <c r="C4146" s="309"/>
      <c r="D4146" s="310"/>
    </row>
    <row r="4147" spans="1:4" x14ac:dyDescent="0.25">
      <c r="A4147" s="418" t="s">
        <v>12041</v>
      </c>
      <c r="B4147">
        <v>1</v>
      </c>
      <c r="C4147" s="309"/>
      <c r="D4147" s="310"/>
    </row>
    <row r="4148" spans="1:4" x14ac:dyDescent="0.25">
      <c r="A4148" s="418" t="s">
        <v>17153</v>
      </c>
      <c r="B4148">
        <v>2</v>
      </c>
      <c r="C4148" s="309"/>
      <c r="D4148" s="310"/>
    </row>
    <row r="4149" spans="1:4" x14ac:dyDescent="0.25">
      <c r="A4149" s="418" t="s">
        <v>11819</v>
      </c>
      <c r="B4149">
        <v>3</v>
      </c>
      <c r="C4149" s="309"/>
      <c r="D4149" s="310"/>
    </row>
    <row r="4150" spans="1:4" x14ac:dyDescent="0.25">
      <c r="A4150" s="418" t="s">
        <v>11820</v>
      </c>
      <c r="B4150">
        <v>1</v>
      </c>
      <c r="C4150" s="309"/>
      <c r="D4150" s="310"/>
    </row>
    <row r="4151" spans="1:4" x14ac:dyDescent="0.25">
      <c r="A4151" s="418" t="s">
        <v>11821</v>
      </c>
      <c r="B4151">
        <v>1</v>
      </c>
      <c r="C4151" s="309"/>
      <c r="D4151" s="310"/>
    </row>
    <row r="4152" spans="1:4" x14ac:dyDescent="0.25">
      <c r="A4152" s="418" t="s">
        <v>11652</v>
      </c>
      <c r="B4152">
        <v>2</v>
      </c>
      <c r="C4152" s="309"/>
      <c r="D4152" s="310"/>
    </row>
    <row r="4153" spans="1:4" x14ac:dyDescent="0.25">
      <c r="A4153" s="418" t="s">
        <v>15211</v>
      </c>
      <c r="B4153">
        <v>2</v>
      </c>
      <c r="C4153" s="309"/>
      <c r="D4153" s="310"/>
    </row>
    <row r="4154" spans="1:4" x14ac:dyDescent="0.25">
      <c r="A4154" s="418" t="s">
        <v>12343</v>
      </c>
      <c r="B4154">
        <v>4</v>
      </c>
      <c r="C4154" s="309"/>
      <c r="D4154" s="310"/>
    </row>
    <row r="4155" spans="1:4" x14ac:dyDescent="0.25">
      <c r="A4155" s="418" t="s">
        <v>12344</v>
      </c>
      <c r="B4155">
        <v>5</v>
      </c>
      <c r="C4155" s="309"/>
      <c r="D4155" s="310"/>
    </row>
    <row r="4156" spans="1:4" x14ac:dyDescent="0.25">
      <c r="A4156" s="418" t="s">
        <v>12345</v>
      </c>
      <c r="B4156">
        <v>3</v>
      </c>
      <c r="C4156" s="309"/>
      <c r="D4156" s="310"/>
    </row>
    <row r="4157" spans="1:4" x14ac:dyDescent="0.25">
      <c r="A4157" s="418" t="s">
        <v>16475</v>
      </c>
      <c r="B4157">
        <v>1</v>
      </c>
      <c r="C4157" s="309"/>
      <c r="D4157" s="310"/>
    </row>
    <row r="4158" spans="1:4" x14ac:dyDescent="0.25">
      <c r="A4158" s="418" t="s">
        <v>10849</v>
      </c>
      <c r="B4158">
        <v>3</v>
      </c>
      <c r="C4158" s="309"/>
      <c r="D4158" s="310"/>
    </row>
    <row r="4159" spans="1:4" x14ac:dyDescent="0.25">
      <c r="A4159" s="418" t="s">
        <v>11510</v>
      </c>
      <c r="B4159">
        <v>3</v>
      </c>
      <c r="C4159" s="309"/>
      <c r="D4159" s="310"/>
    </row>
    <row r="4160" spans="1:4" x14ac:dyDescent="0.25">
      <c r="A4160" s="418" t="s">
        <v>16476</v>
      </c>
      <c r="B4160">
        <v>1</v>
      </c>
      <c r="C4160" s="309"/>
      <c r="D4160" s="310"/>
    </row>
    <row r="4161" spans="1:4" x14ac:dyDescent="0.25">
      <c r="A4161" s="418" t="s">
        <v>15212</v>
      </c>
      <c r="B4161">
        <v>1</v>
      </c>
      <c r="C4161" s="309"/>
      <c r="D4161" s="310"/>
    </row>
    <row r="4162" spans="1:4" x14ac:dyDescent="0.25">
      <c r="A4162" s="418" t="s">
        <v>11121</v>
      </c>
      <c r="B4162">
        <v>3</v>
      </c>
      <c r="C4162" s="309"/>
      <c r="D4162" s="310"/>
    </row>
    <row r="4163" spans="1:4" x14ac:dyDescent="0.25">
      <c r="A4163" s="418" t="s">
        <v>15213</v>
      </c>
      <c r="B4163">
        <v>1</v>
      </c>
      <c r="C4163" s="309"/>
      <c r="D4163" s="310"/>
    </row>
    <row r="4164" spans="1:4" x14ac:dyDescent="0.25">
      <c r="A4164" s="418" t="s">
        <v>15214</v>
      </c>
      <c r="B4164">
        <v>2</v>
      </c>
      <c r="C4164" s="309"/>
      <c r="D4164" s="310"/>
    </row>
    <row r="4165" spans="1:4" x14ac:dyDescent="0.25">
      <c r="A4165" s="418" t="s">
        <v>16857</v>
      </c>
      <c r="B4165">
        <v>1</v>
      </c>
      <c r="C4165" s="309"/>
      <c r="D4165" s="310"/>
    </row>
    <row r="4166" spans="1:4" x14ac:dyDescent="0.25">
      <c r="A4166" s="418" t="s">
        <v>16858</v>
      </c>
      <c r="B4166">
        <v>3</v>
      </c>
      <c r="C4166" s="309"/>
      <c r="D4166" s="310"/>
    </row>
    <row r="4167" spans="1:4" x14ac:dyDescent="0.25">
      <c r="A4167" s="418" t="s">
        <v>11122</v>
      </c>
      <c r="B4167">
        <v>2</v>
      </c>
      <c r="C4167" s="309"/>
      <c r="D4167" s="310"/>
    </row>
    <row r="4168" spans="1:4" x14ac:dyDescent="0.25">
      <c r="A4168" s="418" t="s">
        <v>12042</v>
      </c>
      <c r="B4168">
        <v>1</v>
      </c>
      <c r="C4168" s="309"/>
      <c r="D4168" s="310"/>
    </row>
    <row r="4169" spans="1:4" x14ac:dyDescent="0.25">
      <c r="A4169" s="418" t="s">
        <v>15678</v>
      </c>
      <c r="B4169">
        <v>1</v>
      </c>
      <c r="C4169" s="309"/>
      <c r="D4169" s="310"/>
    </row>
    <row r="4170" spans="1:4" x14ac:dyDescent="0.25">
      <c r="A4170" s="418" t="s">
        <v>15679</v>
      </c>
      <c r="B4170">
        <v>1</v>
      </c>
      <c r="C4170" s="309"/>
      <c r="D4170" s="310"/>
    </row>
    <row r="4171" spans="1:4" x14ac:dyDescent="0.25">
      <c r="A4171" s="418" t="s">
        <v>10850</v>
      </c>
      <c r="B4171">
        <v>2</v>
      </c>
      <c r="C4171" s="309"/>
      <c r="D4171" s="310"/>
    </row>
    <row r="4172" spans="1:4" x14ac:dyDescent="0.25">
      <c r="A4172" s="418" t="s">
        <v>11511</v>
      </c>
      <c r="B4172">
        <v>5</v>
      </c>
      <c r="C4172" s="309"/>
      <c r="D4172" s="310"/>
    </row>
    <row r="4173" spans="1:4" x14ac:dyDescent="0.25">
      <c r="A4173" s="418" t="s">
        <v>4161</v>
      </c>
      <c r="B4173">
        <v>2</v>
      </c>
      <c r="C4173" s="309"/>
      <c r="D4173" s="310"/>
    </row>
    <row r="4174" spans="1:4" x14ac:dyDescent="0.25">
      <c r="A4174" s="418" t="s">
        <v>4427</v>
      </c>
      <c r="B4174">
        <v>1</v>
      </c>
      <c r="C4174" s="309"/>
      <c r="D4174" s="310"/>
    </row>
    <row r="4175" spans="1:4" x14ac:dyDescent="0.25">
      <c r="A4175" s="418" t="s">
        <v>12043</v>
      </c>
      <c r="B4175">
        <v>1</v>
      </c>
      <c r="C4175" s="309"/>
      <c r="D4175" s="310"/>
    </row>
    <row r="4176" spans="1:4" x14ac:dyDescent="0.25">
      <c r="A4176" s="418" t="s">
        <v>10851</v>
      </c>
      <c r="B4176">
        <v>1</v>
      </c>
      <c r="C4176" s="309"/>
      <c r="D4176" s="310"/>
    </row>
    <row r="4177" spans="1:4" x14ac:dyDescent="0.25">
      <c r="A4177" s="418" t="s">
        <v>11123</v>
      </c>
      <c r="B4177">
        <v>3</v>
      </c>
      <c r="C4177" s="309"/>
      <c r="D4177" s="310"/>
    </row>
    <row r="4178" spans="1:4" x14ac:dyDescent="0.25">
      <c r="A4178" s="418" t="s">
        <v>11124</v>
      </c>
      <c r="B4178">
        <v>2</v>
      </c>
      <c r="C4178" s="309"/>
      <c r="D4178" s="310"/>
    </row>
    <row r="4179" spans="1:4" x14ac:dyDescent="0.25">
      <c r="A4179" s="418" t="s">
        <v>16477</v>
      </c>
      <c r="B4179">
        <v>1</v>
      </c>
      <c r="C4179" s="309"/>
      <c r="D4179" s="310"/>
    </row>
    <row r="4180" spans="1:4" x14ac:dyDescent="0.25">
      <c r="A4180" s="418" t="s">
        <v>15325</v>
      </c>
      <c r="B4180">
        <v>2</v>
      </c>
      <c r="C4180" s="309"/>
      <c r="D4180" s="310"/>
    </row>
    <row r="4181" spans="1:4" x14ac:dyDescent="0.25">
      <c r="A4181" s="418" t="s">
        <v>16478</v>
      </c>
      <c r="B4181">
        <v>2</v>
      </c>
      <c r="C4181" s="309"/>
      <c r="D4181" s="310"/>
    </row>
    <row r="4182" spans="1:4" x14ac:dyDescent="0.25">
      <c r="A4182" s="418" t="s">
        <v>12293</v>
      </c>
      <c r="B4182">
        <v>1</v>
      </c>
      <c r="C4182" s="309"/>
      <c r="D4182" s="310"/>
    </row>
    <row r="4183" spans="1:4" x14ac:dyDescent="0.25">
      <c r="A4183" s="418" t="s">
        <v>16125</v>
      </c>
      <c r="B4183">
        <v>2</v>
      </c>
      <c r="C4183" s="309"/>
      <c r="D4183" s="310"/>
    </row>
    <row r="4184" spans="1:4" x14ac:dyDescent="0.25">
      <c r="A4184" s="418" t="s">
        <v>16126</v>
      </c>
      <c r="B4184">
        <v>2</v>
      </c>
      <c r="C4184" s="309"/>
      <c r="D4184" s="310"/>
    </row>
    <row r="4185" spans="1:4" x14ac:dyDescent="0.25">
      <c r="A4185" s="418" t="s">
        <v>15427</v>
      </c>
      <c r="B4185">
        <v>1</v>
      </c>
      <c r="C4185" s="309"/>
      <c r="D4185" s="310"/>
    </row>
    <row r="4186" spans="1:4" x14ac:dyDescent="0.25">
      <c r="A4186" s="418" t="s">
        <v>15428</v>
      </c>
      <c r="B4186">
        <v>1</v>
      </c>
      <c r="C4186" s="309"/>
      <c r="D4186" s="310"/>
    </row>
    <row r="4187" spans="1:4" x14ac:dyDescent="0.25">
      <c r="A4187" s="418" t="s">
        <v>11370</v>
      </c>
      <c r="B4187">
        <v>9</v>
      </c>
      <c r="C4187" s="309"/>
      <c r="D4187" s="310"/>
    </row>
    <row r="4188" spans="1:4" x14ac:dyDescent="0.25">
      <c r="A4188" s="418" t="s">
        <v>11371</v>
      </c>
      <c r="B4188">
        <v>6</v>
      </c>
      <c r="C4188" s="309"/>
      <c r="D4188" s="310"/>
    </row>
    <row r="4189" spans="1:4" x14ac:dyDescent="0.25">
      <c r="A4189" s="418" t="s">
        <v>12107</v>
      </c>
      <c r="B4189">
        <v>5</v>
      </c>
      <c r="C4189" s="309"/>
      <c r="D4189" s="310"/>
    </row>
    <row r="4190" spans="1:4" x14ac:dyDescent="0.25">
      <c r="A4190" s="418" t="s">
        <v>11879</v>
      </c>
      <c r="B4190">
        <v>5</v>
      </c>
      <c r="C4190" s="309"/>
      <c r="D4190" s="310"/>
    </row>
    <row r="4191" spans="1:4" x14ac:dyDescent="0.25">
      <c r="A4191" s="418" t="s">
        <v>15215</v>
      </c>
      <c r="B4191">
        <v>4</v>
      </c>
      <c r="C4191" s="309"/>
      <c r="D4191" s="310"/>
    </row>
    <row r="4192" spans="1:4" x14ac:dyDescent="0.25">
      <c r="A4192" s="418" t="s">
        <v>11549</v>
      </c>
      <c r="B4192">
        <v>3</v>
      </c>
      <c r="C4192" s="309"/>
      <c r="D4192" s="310"/>
    </row>
    <row r="4193" spans="1:4" x14ac:dyDescent="0.25">
      <c r="A4193" s="418" t="s">
        <v>17154</v>
      </c>
      <c r="B4193">
        <v>1</v>
      </c>
      <c r="C4193" s="309"/>
      <c r="D4193" s="310"/>
    </row>
    <row r="4194" spans="1:4" x14ac:dyDescent="0.25">
      <c r="A4194" s="418" t="s">
        <v>12044</v>
      </c>
      <c r="B4194">
        <v>2</v>
      </c>
      <c r="C4194" s="309"/>
      <c r="D4194" s="310"/>
    </row>
    <row r="4195" spans="1:4" x14ac:dyDescent="0.25">
      <c r="A4195" s="418" t="s">
        <v>12045</v>
      </c>
      <c r="B4195">
        <v>1</v>
      </c>
      <c r="C4195" s="309"/>
      <c r="D4195" s="310"/>
    </row>
    <row r="4196" spans="1:4" x14ac:dyDescent="0.25">
      <c r="A4196" s="418" t="s">
        <v>17155</v>
      </c>
      <c r="B4196">
        <v>1</v>
      </c>
      <c r="C4196" s="309"/>
      <c r="D4196" s="310"/>
    </row>
    <row r="4197" spans="1:4" x14ac:dyDescent="0.25">
      <c r="A4197" s="418" t="s">
        <v>16327</v>
      </c>
      <c r="B4197">
        <v>2</v>
      </c>
      <c r="C4197" s="309"/>
      <c r="D4197" s="310"/>
    </row>
    <row r="4198" spans="1:4" x14ac:dyDescent="0.25">
      <c r="A4198" s="418" t="s">
        <v>12046</v>
      </c>
      <c r="B4198">
        <v>3</v>
      </c>
      <c r="C4198" s="309"/>
      <c r="D4198" s="310"/>
    </row>
    <row r="4199" spans="1:4" x14ac:dyDescent="0.25">
      <c r="A4199" s="418" t="s">
        <v>16479</v>
      </c>
      <c r="B4199">
        <v>1</v>
      </c>
      <c r="C4199" s="309"/>
      <c r="D4199" s="310"/>
    </row>
    <row r="4200" spans="1:4" x14ac:dyDescent="0.25">
      <c r="A4200" s="418" t="s">
        <v>15537</v>
      </c>
      <c r="B4200">
        <v>1</v>
      </c>
      <c r="C4200" s="309"/>
      <c r="D4200" s="310"/>
    </row>
    <row r="4201" spans="1:4" x14ac:dyDescent="0.25">
      <c r="A4201" s="418" t="s">
        <v>12255</v>
      </c>
      <c r="B4201">
        <v>1</v>
      </c>
      <c r="C4201" s="309"/>
      <c r="D4201" s="310"/>
    </row>
    <row r="4202" spans="1:4" x14ac:dyDescent="0.25">
      <c r="A4202" s="418" t="s">
        <v>16025</v>
      </c>
      <c r="B4202">
        <v>4</v>
      </c>
      <c r="C4202" s="309"/>
      <c r="D4202" s="310"/>
    </row>
    <row r="4203" spans="1:4" x14ac:dyDescent="0.25">
      <c r="A4203" s="418" t="s">
        <v>11211</v>
      </c>
      <c r="B4203">
        <v>6</v>
      </c>
      <c r="C4203" s="309"/>
      <c r="D4203" s="310"/>
    </row>
    <row r="4204" spans="1:4" x14ac:dyDescent="0.25">
      <c r="A4204" s="418" t="s">
        <v>16026</v>
      </c>
      <c r="B4204">
        <v>3</v>
      </c>
      <c r="C4204" s="309"/>
      <c r="D4204" s="310"/>
    </row>
    <row r="4205" spans="1:4" x14ac:dyDescent="0.25">
      <c r="A4205" s="418" t="s">
        <v>11212</v>
      </c>
      <c r="B4205">
        <v>3</v>
      </c>
      <c r="C4205" s="309"/>
      <c r="D4205" s="310"/>
    </row>
    <row r="4206" spans="1:4" x14ac:dyDescent="0.25">
      <c r="A4206" s="418" t="s">
        <v>16480</v>
      </c>
      <c r="B4206">
        <v>1</v>
      </c>
      <c r="C4206" s="309"/>
      <c r="D4206" s="310"/>
    </row>
    <row r="4207" spans="1:4" x14ac:dyDescent="0.25">
      <c r="A4207" s="418" t="s">
        <v>16481</v>
      </c>
      <c r="B4207">
        <v>1</v>
      </c>
      <c r="C4207" s="309"/>
      <c r="D4207" s="310"/>
    </row>
    <row r="4208" spans="1:4" x14ac:dyDescent="0.25">
      <c r="A4208" s="418" t="s">
        <v>11597</v>
      </c>
      <c r="B4208">
        <v>2</v>
      </c>
      <c r="C4208" s="309"/>
      <c r="D4208" s="310"/>
    </row>
    <row r="4209" spans="1:4" x14ac:dyDescent="0.25">
      <c r="A4209" s="418" t="s">
        <v>16482</v>
      </c>
      <c r="B4209">
        <v>2</v>
      </c>
      <c r="C4209" s="309"/>
      <c r="D4209" s="310"/>
    </row>
    <row r="4210" spans="1:4" x14ac:dyDescent="0.25">
      <c r="A4210" s="418" t="s">
        <v>16483</v>
      </c>
      <c r="B4210">
        <v>1</v>
      </c>
      <c r="C4210" s="309"/>
      <c r="D4210" s="310"/>
    </row>
    <row r="4211" spans="1:4" x14ac:dyDescent="0.25">
      <c r="A4211" s="418" t="s">
        <v>11011</v>
      </c>
      <c r="B4211">
        <v>1</v>
      </c>
      <c r="C4211" s="309"/>
      <c r="D4211" s="310"/>
    </row>
    <row r="4212" spans="1:4" x14ac:dyDescent="0.25">
      <c r="A4212" s="418" t="s">
        <v>12256</v>
      </c>
      <c r="B4212">
        <v>1</v>
      </c>
      <c r="C4212" s="309"/>
      <c r="D4212" s="310"/>
    </row>
    <row r="4213" spans="1:4" x14ac:dyDescent="0.25">
      <c r="A4213" s="418" t="s">
        <v>12257</v>
      </c>
      <c r="B4213">
        <v>2</v>
      </c>
      <c r="C4213" s="309"/>
      <c r="D4213" s="310"/>
    </row>
    <row r="4214" spans="1:4" x14ac:dyDescent="0.25">
      <c r="A4214" s="418" t="s">
        <v>11213</v>
      </c>
      <c r="B4214">
        <v>1</v>
      </c>
      <c r="C4214" s="309"/>
      <c r="D4214" s="310"/>
    </row>
    <row r="4215" spans="1:4" x14ac:dyDescent="0.25">
      <c r="A4215" s="418" t="s">
        <v>11880</v>
      </c>
      <c r="B4215">
        <v>4</v>
      </c>
      <c r="C4215" s="309"/>
      <c r="D4215" s="310"/>
    </row>
    <row r="4216" spans="1:4" x14ac:dyDescent="0.25">
      <c r="A4216" s="418" t="s">
        <v>11881</v>
      </c>
      <c r="B4216">
        <v>4</v>
      </c>
      <c r="C4216" s="309"/>
      <c r="D4216" s="310"/>
    </row>
    <row r="4217" spans="1:4" x14ac:dyDescent="0.25">
      <c r="A4217" s="418" t="s">
        <v>15956</v>
      </c>
      <c r="B4217">
        <v>3</v>
      </c>
      <c r="C4217" s="309"/>
      <c r="D4217" s="310"/>
    </row>
    <row r="4218" spans="1:4" x14ac:dyDescent="0.25">
      <c r="A4218" s="418" t="s">
        <v>17156</v>
      </c>
      <c r="B4218">
        <v>1</v>
      </c>
      <c r="C4218" s="309"/>
      <c r="D4218" s="310"/>
    </row>
    <row r="4219" spans="1:4" x14ac:dyDescent="0.25">
      <c r="A4219" s="418" t="s">
        <v>15538</v>
      </c>
      <c r="B4219">
        <v>1</v>
      </c>
      <c r="C4219" s="309"/>
      <c r="D4219" s="310"/>
    </row>
    <row r="4220" spans="1:4" x14ac:dyDescent="0.25">
      <c r="A4220" s="418" t="s">
        <v>15539</v>
      </c>
      <c r="B4220">
        <v>1</v>
      </c>
      <c r="C4220" s="309"/>
      <c r="D4220" s="310"/>
    </row>
    <row r="4221" spans="1:4" x14ac:dyDescent="0.25">
      <c r="A4221" s="418" t="s">
        <v>12047</v>
      </c>
      <c r="B4221">
        <v>5</v>
      </c>
      <c r="C4221" s="309"/>
      <c r="D4221" s="310"/>
    </row>
    <row r="4222" spans="1:4" x14ac:dyDescent="0.25">
      <c r="A4222" s="418" t="s">
        <v>12048</v>
      </c>
      <c r="B4222">
        <v>7</v>
      </c>
      <c r="C4222" s="309"/>
      <c r="D4222" s="310"/>
    </row>
    <row r="4223" spans="1:4" x14ac:dyDescent="0.25">
      <c r="A4223" s="418" t="s">
        <v>16027</v>
      </c>
      <c r="B4223">
        <v>3</v>
      </c>
      <c r="C4223" s="309"/>
      <c r="D4223" s="310"/>
    </row>
    <row r="4224" spans="1:4" x14ac:dyDescent="0.25">
      <c r="A4224" s="418" t="s">
        <v>17157</v>
      </c>
      <c r="B4224">
        <v>1</v>
      </c>
      <c r="C4224" s="309"/>
      <c r="D4224" s="310"/>
    </row>
    <row r="4225" spans="1:4" x14ac:dyDescent="0.25">
      <c r="A4225" s="418" t="s">
        <v>12049</v>
      </c>
      <c r="B4225">
        <v>1</v>
      </c>
      <c r="C4225" s="309"/>
      <c r="D4225" s="310"/>
    </row>
    <row r="4226" spans="1:4" x14ac:dyDescent="0.25">
      <c r="A4226" s="418" t="s">
        <v>11415</v>
      </c>
      <c r="B4226">
        <v>2</v>
      </c>
      <c r="C4226" s="309"/>
      <c r="D4226" s="310"/>
    </row>
    <row r="4227" spans="1:4" x14ac:dyDescent="0.25">
      <c r="A4227" s="418" t="s">
        <v>11416</v>
      </c>
      <c r="B4227">
        <v>1</v>
      </c>
      <c r="C4227" s="309"/>
      <c r="D4227" s="310"/>
    </row>
    <row r="4228" spans="1:4" x14ac:dyDescent="0.25">
      <c r="A4228" s="418" t="s">
        <v>11598</v>
      </c>
      <c r="B4228">
        <v>3</v>
      </c>
      <c r="C4228" s="309"/>
      <c r="D4228" s="310"/>
    </row>
    <row r="4229" spans="1:4" x14ac:dyDescent="0.25">
      <c r="A4229" s="418" t="s">
        <v>12108</v>
      </c>
      <c r="B4229">
        <v>1</v>
      </c>
      <c r="C4229" s="309"/>
      <c r="D4229" s="310"/>
    </row>
    <row r="4230" spans="1:4" x14ac:dyDescent="0.25">
      <c r="A4230" s="418" t="s">
        <v>16484</v>
      </c>
      <c r="B4230">
        <v>1</v>
      </c>
      <c r="C4230" s="309"/>
      <c r="D4230" s="310"/>
    </row>
    <row r="4231" spans="1:4" x14ac:dyDescent="0.25">
      <c r="A4231" s="418" t="s">
        <v>11822</v>
      </c>
      <c r="B4231">
        <v>3</v>
      </c>
      <c r="C4231" s="309"/>
      <c r="D4231" s="310"/>
    </row>
    <row r="4232" spans="1:4" x14ac:dyDescent="0.25">
      <c r="A4232" s="418" t="s">
        <v>11823</v>
      </c>
      <c r="B4232">
        <v>3</v>
      </c>
      <c r="C4232" s="309"/>
      <c r="D4232" s="310"/>
    </row>
    <row r="4233" spans="1:4" x14ac:dyDescent="0.25">
      <c r="A4233" s="418" t="s">
        <v>12413</v>
      </c>
      <c r="B4233">
        <v>3</v>
      </c>
      <c r="C4233" s="309"/>
      <c r="D4233" s="310"/>
    </row>
    <row r="4234" spans="1:4" x14ac:dyDescent="0.25">
      <c r="A4234" s="418" t="s">
        <v>11653</v>
      </c>
      <c r="B4234">
        <v>2</v>
      </c>
      <c r="C4234" s="309"/>
      <c r="D4234" s="310"/>
    </row>
    <row r="4235" spans="1:4" x14ac:dyDescent="0.25">
      <c r="A4235" s="418" t="s">
        <v>12148</v>
      </c>
      <c r="B4235">
        <v>7</v>
      </c>
      <c r="C4235" s="309"/>
      <c r="D4235" s="310"/>
    </row>
    <row r="4236" spans="1:4" x14ac:dyDescent="0.25">
      <c r="A4236" s="418" t="s">
        <v>11550</v>
      </c>
      <c r="B4236">
        <v>4</v>
      </c>
      <c r="C4236" s="309"/>
      <c r="D4236" s="310"/>
    </row>
    <row r="4237" spans="1:4" x14ac:dyDescent="0.25">
      <c r="A4237" s="418" t="s">
        <v>16859</v>
      </c>
      <c r="B4237">
        <v>1</v>
      </c>
      <c r="C4237" s="309"/>
      <c r="D4237" s="310"/>
    </row>
    <row r="4238" spans="1:4" x14ac:dyDescent="0.25">
      <c r="A4238" s="418" t="s">
        <v>12149</v>
      </c>
      <c r="B4238">
        <v>1</v>
      </c>
      <c r="C4238" s="309"/>
      <c r="D4238" s="310"/>
    </row>
    <row r="4239" spans="1:4" x14ac:dyDescent="0.25">
      <c r="A4239" s="418" t="s">
        <v>15216</v>
      </c>
      <c r="B4239">
        <v>2</v>
      </c>
      <c r="C4239" s="309"/>
      <c r="D4239" s="310"/>
    </row>
    <row r="4240" spans="1:4" x14ac:dyDescent="0.25">
      <c r="A4240" s="418" t="s">
        <v>15217</v>
      </c>
      <c r="B4240">
        <v>3</v>
      </c>
      <c r="C4240" s="309"/>
      <c r="D4240" s="310"/>
    </row>
    <row r="4241" spans="1:4" x14ac:dyDescent="0.25">
      <c r="A4241" s="418" t="s">
        <v>15606</v>
      </c>
      <c r="B4241">
        <v>3</v>
      </c>
      <c r="C4241" s="309"/>
      <c r="D4241" s="310"/>
    </row>
    <row r="4242" spans="1:4" x14ac:dyDescent="0.25">
      <c r="A4242" s="418" t="s">
        <v>15607</v>
      </c>
      <c r="B4242">
        <v>7</v>
      </c>
      <c r="C4242" s="309"/>
      <c r="D4242" s="310"/>
    </row>
    <row r="4243" spans="1:4" x14ac:dyDescent="0.25">
      <c r="A4243" s="418" t="s">
        <v>15608</v>
      </c>
      <c r="B4243">
        <v>7</v>
      </c>
      <c r="C4243" s="309"/>
      <c r="D4243" s="310"/>
    </row>
    <row r="4244" spans="1:4" x14ac:dyDescent="0.25">
      <c r="A4244" s="418" t="s">
        <v>15609</v>
      </c>
      <c r="B4244">
        <v>4</v>
      </c>
      <c r="C4244" s="309"/>
      <c r="D4244" s="310"/>
    </row>
    <row r="4245" spans="1:4" x14ac:dyDescent="0.25">
      <c r="A4245" s="418" t="s">
        <v>15540</v>
      </c>
      <c r="B4245">
        <v>1</v>
      </c>
      <c r="C4245" s="309"/>
      <c r="D4245" s="310"/>
    </row>
    <row r="4246" spans="1:4" x14ac:dyDescent="0.25">
      <c r="A4246" s="418" t="s">
        <v>15541</v>
      </c>
      <c r="B4246">
        <v>1</v>
      </c>
      <c r="C4246" s="309"/>
      <c r="D4246" s="310"/>
    </row>
    <row r="4247" spans="1:4" x14ac:dyDescent="0.25">
      <c r="A4247" s="418" t="s">
        <v>15542</v>
      </c>
      <c r="B4247">
        <v>1</v>
      </c>
      <c r="C4247" s="309"/>
      <c r="D4247" s="310"/>
    </row>
    <row r="4248" spans="1:4" x14ac:dyDescent="0.25">
      <c r="A4248" s="418" t="s">
        <v>12294</v>
      </c>
      <c r="B4248">
        <v>2</v>
      </c>
      <c r="C4248" s="309"/>
      <c r="D4248" s="310"/>
    </row>
    <row r="4249" spans="1:4" x14ac:dyDescent="0.25">
      <c r="A4249" s="418" t="s">
        <v>12295</v>
      </c>
      <c r="B4249">
        <v>1</v>
      </c>
      <c r="C4249" s="309"/>
      <c r="D4249" s="310"/>
    </row>
    <row r="4250" spans="1:4" x14ac:dyDescent="0.25">
      <c r="A4250" s="418" t="s">
        <v>11214</v>
      </c>
      <c r="B4250">
        <v>6</v>
      </c>
      <c r="C4250" s="309"/>
      <c r="D4250" s="310"/>
    </row>
    <row r="4251" spans="1:4" x14ac:dyDescent="0.25">
      <c r="A4251" s="418" t="s">
        <v>11717</v>
      </c>
      <c r="B4251">
        <v>7</v>
      </c>
      <c r="C4251" s="309"/>
      <c r="D4251" s="310"/>
    </row>
    <row r="4252" spans="1:4" x14ac:dyDescent="0.25">
      <c r="A4252" s="418" t="s">
        <v>11824</v>
      </c>
      <c r="B4252">
        <v>3</v>
      </c>
      <c r="C4252" s="309"/>
      <c r="D4252" s="310"/>
    </row>
    <row r="4253" spans="1:4" x14ac:dyDescent="0.25">
      <c r="A4253" s="418" t="s">
        <v>16028</v>
      </c>
      <c r="B4253">
        <v>2</v>
      </c>
      <c r="C4253" s="309"/>
      <c r="D4253" s="310"/>
    </row>
    <row r="4254" spans="1:4" x14ac:dyDescent="0.25">
      <c r="A4254" s="418" t="s">
        <v>11328</v>
      </c>
      <c r="B4254">
        <v>3</v>
      </c>
      <c r="C4254" s="309"/>
      <c r="D4254" s="310"/>
    </row>
    <row r="4255" spans="1:4" x14ac:dyDescent="0.25">
      <c r="A4255" s="418" t="s">
        <v>11329</v>
      </c>
      <c r="B4255">
        <v>3</v>
      </c>
      <c r="C4255" s="309"/>
      <c r="D4255" s="310"/>
    </row>
    <row r="4256" spans="1:4" x14ac:dyDescent="0.25">
      <c r="A4256" s="418" t="s">
        <v>11330</v>
      </c>
      <c r="B4256">
        <v>1</v>
      </c>
      <c r="C4256" s="309"/>
      <c r="D4256" s="310"/>
    </row>
    <row r="4257" spans="1:4" x14ac:dyDescent="0.25">
      <c r="A4257" s="418" t="s">
        <v>11331</v>
      </c>
      <c r="B4257">
        <v>4</v>
      </c>
      <c r="C4257" s="309"/>
      <c r="D4257" s="310"/>
    </row>
    <row r="4258" spans="1:4" x14ac:dyDescent="0.25">
      <c r="A4258" s="418" t="s">
        <v>15218</v>
      </c>
      <c r="B4258">
        <v>1</v>
      </c>
      <c r="C4258" s="309"/>
      <c r="D4258" s="310"/>
    </row>
    <row r="4259" spans="1:4" x14ac:dyDescent="0.25">
      <c r="A4259" s="418" t="s">
        <v>17158</v>
      </c>
      <c r="B4259">
        <v>1</v>
      </c>
      <c r="C4259" s="309"/>
      <c r="D4259" s="310"/>
    </row>
    <row r="4260" spans="1:4" x14ac:dyDescent="0.25">
      <c r="A4260" s="418" t="s">
        <v>17159</v>
      </c>
      <c r="B4260">
        <v>2</v>
      </c>
      <c r="C4260" s="309"/>
      <c r="D4260" s="310"/>
    </row>
    <row r="4261" spans="1:4" x14ac:dyDescent="0.25">
      <c r="A4261" s="418" t="s">
        <v>12296</v>
      </c>
      <c r="B4261">
        <v>2</v>
      </c>
      <c r="C4261" s="309"/>
      <c r="D4261" s="310"/>
    </row>
    <row r="4262" spans="1:4" x14ac:dyDescent="0.25">
      <c r="A4262" s="418" t="s">
        <v>15543</v>
      </c>
      <c r="B4262">
        <v>1</v>
      </c>
      <c r="C4262" s="309"/>
      <c r="D4262" s="310"/>
    </row>
    <row r="4263" spans="1:4" x14ac:dyDescent="0.25">
      <c r="A4263" s="418" t="s">
        <v>9113</v>
      </c>
      <c r="B4263">
        <v>1</v>
      </c>
      <c r="C4263" s="309"/>
      <c r="D4263" s="310"/>
    </row>
    <row r="4264" spans="1:4" x14ac:dyDescent="0.25">
      <c r="A4264" s="418" t="s">
        <v>11882</v>
      </c>
      <c r="B4264">
        <v>6</v>
      </c>
      <c r="C4264" s="309"/>
      <c r="D4264" s="310"/>
    </row>
    <row r="4265" spans="1:4" x14ac:dyDescent="0.25">
      <c r="A4265" s="418" t="s">
        <v>12050</v>
      </c>
      <c r="B4265">
        <v>1</v>
      </c>
      <c r="C4265" s="309"/>
      <c r="D4265" s="310"/>
    </row>
    <row r="4266" spans="1:4" x14ac:dyDescent="0.25">
      <c r="A4266" s="418" t="s">
        <v>11512</v>
      </c>
      <c r="B4266">
        <v>3</v>
      </c>
      <c r="C4266" s="309"/>
      <c r="D4266" s="310"/>
    </row>
    <row r="4267" spans="1:4" x14ac:dyDescent="0.25">
      <c r="A4267" s="418" t="s">
        <v>15544</v>
      </c>
      <c r="B4267">
        <v>1</v>
      </c>
      <c r="C4267" s="309"/>
      <c r="D4267" s="310"/>
    </row>
    <row r="4268" spans="1:4" x14ac:dyDescent="0.25">
      <c r="A4268" s="418" t="s">
        <v>16485</v>
      </c>
      <c r="B4268">
        <v>1</v>
      </c>
      <c r="C4268" s="309"/>
      <c r="D4268" s="310"/>
    </row>
    <row r="4269" spans="1:4" x14ac:dyDescent="0.25">
      <c r="A4269" s="418" t="s">
        <v>16486</v>
      </c>
      <c r="B4269">
        <v>2</v>
      </c>
      <c r="C4269" s="309"/>
      <c r="D4269" s="310"/>
    </row>
    <row r="4270" spans="1:4" x14ac:dyDescent="0.25">
      <c r="A4270" s="418" t="s">
        <v>11883</v>
      </c>
      <c r="B4270">
        <v>1</v>
      </c>
      <c r="C4270" s="309"/>
      <c r="D4270" s="310"/>
    </row>
    <row r="4271" spans="1:4" x14ac:dyDescent="0.25">
      <c r="A4271" s="418" t="s">
        <v>16487</v>
      </c>
      <c r="B4271">
        <v>2</v>
      </c>
      <c r="C4271" s="309"/>
      <c r="D4271" s="310"/>
    </row>
    <row r="4272" spans="1:4" x14ac:dyDescent="0.25">
      <c r="A4272" s="418" t="s">
        <v>15545</v>
      </c>
      <c r="B4272">
        <v>3</v>
      </c>
      <c r="C4272" s="309"/>
      <c r="D4272" s="310"/>
    </row>
    <row r="4273" spans="1:4" x14ac:dyDescent="0.25">
      <c r="A4273" s="418" t="s">
        <v>11654</v>
      </c>
      <c r="B4273">
        <v>2</v>
      </c>
      <c r="C4273" s="309"/>
      <c r="D4273" s="310"/>
    </row>
    <row r="4274" spans="1:4" x14ac:dyDescent="0.25">
      <c r="A4274" s="418" t="s">
        <v>11372</v>
      </c>
      <c r="B4274">
        <v>2</v>
      </c>
      <c r="C4274" s="309"/>
      <c r="D4274" s="310"/>
    </row>
    <row r="4275" spans="1:4" x14ac:dyDescent="0.25">
      <c r="A4275" s="418" t="s">
        <v>12150</v>
      </c>
      <c r="B4275">
        <v>1</v>
      </c>
      <c r="C4275" s="309"/>
      <c r="D4275" s="310"/>
    </row>
    <row r="4276" spans="1:4" x14ac:dyDescent="0.25">
      <c r="A4276" s="418" t="s">
        <v>11332</v>
      </c>
      <c r="B4276">
        <v>2</v>
      </c>
      <c r="C4276" s="309"/>
      <c r="D4276" s="310"/>
    </row>
    <row r="4277" spans="1:4" x14ac:dyDescent="0.25">
      <c r="A4277" s="418" t="s">
        <v>12258</v>
      </c>
      <c r="B4277">
        <v>1</v>
      </c>
      <c r="C4277" s="309"/>
      <c r="D4277" s="310"/>
    </row>
    <row r="4278" spans="1:4" x14ac:dyDescent="0.25">
      <c r="A4278" s="418" t="s">
        <v>12051</v>
      </c>
      <c r="B4278">
        <v>1</v>
      </c>
      <c r="C4278" s="309"/>
      <c r="D4278" s="310"/>
    </row>
    <row r="4279" spans="1:4" x14ac:dyDescent="0.25">
      <c r="A4279" s="418" t="s">
        <v>12052</v>
      </c>
      <c r="B4279">
        <v>1</v>
      </c>
      <c r="C4279" s="309"/>
      <c r="D4279" s="310"/>
    </row>
    <row r="4280" spans="1:4" x14ac:dyDescent="0.25">
      <c r="A4280" s="418" t="s">
        <v>11215</v>
      </c>
      <c r="B4280">
        <v>1</v>
      </c>
      <c r="C4280" s="309"/>
      <c r="D4280" s="310"/>
    </row>
    <row r="4281" spans="1:4" x14ac:dyDescent="0.25">
      <c r="A4281" s="418" t="s">
        <v>12297</v>
      </c>
      <c r="B4281">
        <v>3</v>
      </c>
      <c r="C4281" s="309"/>
      <c r="D4281" s="310"/>
    </row>
    <row r="4282" spans="1:4" x14ac:dyDescent="0.25">
      <c r="A4282" s="418" t="s">
        <v>16488</v>
      </c>
      <c r="B4282">
        <v>1</v>
      </c>
      <c r="C4282" s="309"/>
      <c r="D4282" s="310"/>
    </row>
    <row r="4283" spans="1:4" x14ac:dyDescent="0.25">
      <c r="A4283" s="418" t="s">
        <v>12414</v>
      </c>
      <c r="B4283">
        <v>3</v>
      </c>
      <c r="C4283" s="309"/>
      <c r="D4283" s="310"/>
    </row>
    <row r="4284" spans="1:4" x14ac:dyDescent="0.25">
      <c r="A4284" s="418" t="s">
        <v>11216</v>
      </c>
      <c r="B4284">
        <v>3</v>
      </c>
      <c r="C4284" s="309"/>
      <c r="D4284" s="310"/>
    </row>
    <row r="4285" spans="1:4" x14ac:dyDescent="0.25">
      <c r="A4285" s="418" t="s">
        <v>11794</v>
      </c>
      <c r="B4285">
        <v>2</v>
      </c>
      <c r="C4285" s="309"/>
      <c r="D4285" s="310"/>
    </row>
    <row r="4286" spans="1:4" x14ac:dyDescent="0.25">
      <c r="A4286" s="418" t="s">
        <v>12053</v>
      </c>
      <c r="B4286">
        <v>1</v>
      </c>
      <c r="C4286" s="309"/>
      <c r="D4286" s="310"/>
    </row>
    <row r="4287" spans="1:4" x14ac:dyDescent="0.25">
      <c r="A4287" s="418" t="s">
        <v>12460</v>
      </c>
      <c r="B4287">
        <v>3</v>
      </c>
      <c r="C4287" s="309"/>
      <c r="D4287" s="310"/>
    </row>
    <row r="4288" spans="1:4" x14ac:dyDescent="0.25">
      <c r="A4288" s="418" t="s">
        <v>11884</v>
      </c>
      <c r="B4288">
        <v>6</v>
      </c>
      <c r="C4288" s="309"/>
      <c r="D4288" s="310"/>
    </row>
    <row r="4289" spans="1:4" x14ac:dyDescent="0.25">
      <c r="A4289" s="418" t="s">
        <v>12461</v>
      </c>
      <c r="B4289">
        <v>3</v>
      </c>
      <c r="C4289" s="309"/>
      <c r="D4289" s="310"/>
    </row>
    <row r="4290" spans="1:4" x14ac:dyDescent="0.25">
      <c r="A4290" s="418" t="s">
        <v>12462</v>
      </c>
      <c r="B4290">
        <v>2</v>
      </c>
      <c r="C4290" s="309"/>
      <c r="D4290" s="310"/>
    </row>
    <row r="4291" spans="1:4" x14ac:dyDescent="0.25">
      <c r="A4291" s="418" t="s">
        <v>17160</v>
      </c>
      <c r="B4291">
        <v>2</v>
      </c>
      <c r="C4291" s="309"/>
      <c r="D4291" s="310"/>
    </row>
    <row r="4292" spans="1:4" x14ac:dyDescent="0.25">
      <c r="A4292" s="418" t="s">
        <v>17161</v>
      </c>
      <c r="B4292">
        <v>2</v>
      </c>
      <c r="C4292" s="309"/>
      <c r="D4292" s="310"/>
    </row>
    <row r="4293" spans="1:4" x14ac:dyDescent="0.25">
      <c r="A4293" s="418" t="s">
        <v>11599</v>
      </c>
      <c r="B4293">
        <v>3</v>
      </c>
      <c r="C4293" s="309"/>
      <c r="D4293" s="310"/>
    </row>
    <row r="4294" spans="1:4" x14ac:dyDescent="0.25">
      <c r="A4294" s="418" t="s">
        <v>11600</v>
      </c>
      <c r="B4294">
        <v>2</v>
      </c>
      <c r="C4294" s="309"/>
      <c r="D4294" s="310"/>
    </row>
    <row r="4295" spans="1:4" x14ac:dyDescent="0.25">
      <c r="A4295" s="418" t="s">
        <v>12259</v>
      </c>
      <c r="B4295">
        <v>3</v>
      </c>
      <c r="C4295" s="309"/>
      <c r="D4295" s="310"/>
    </row>
    <row r="4296" spans="1:4" x14ac:dyDescent="0.25">
      <c r="A4296" s="418" t="s">
        <v>12260</v>
      </c>
      <c r="B4296">
        <v>3</v>
      </c>
      <c r="C4296" s="309"/>
      <c r="D4296" s="310"/>
    </row>
    <row r="4297" spans="1:4" x14ac:dyDescent="0.25">
      <c r="A4297" s="418" t="s">
        <v>16860</v>
      </c>
      <c r="B4297">
        <v>1</v>
      </c>
      <c r="C4297" s="309"/>
      <c r="D4297" s="310"/>
    </row>
    <row r="4298" spans="1:4" x14ac:dyDescent="0.25">
      <c r="A4298" s="418" t="s">
        <v>12346</v>
      </c>
      <c r="B4298">
        <v>1</v>
      </c>
      <c r="C4298" s="309"/>
      <c r="D4298" s="310"/>
    </row>
    <row r="4299" spans="1:4" x14ac:dyDescent="0.25">
      <c r="A4299" s="418" t="s">
        <v>11795</v>
      </c>
      <c r="B4299">
        <v>3</v>
      </c>
      <c r="C4299" s="309"/>
      <c r="D4299" s="310"/>
    </row>
    <row r="4300" spans="1:4" x14ac:dyDescent="0.25">
      <c r="A4300" s="418" t="s">
        <v>12298</v>
      </c>
      <c r="B4300">
        <v>1</v>
      </c>
      <c r="C4300" s="309"/>
      <c r="D4300" s="310"/>
    </row>
    <row r="4301" spans="1:4" x14ac:dyDescent="0.25">
      <c r="A4301" s="418" t="s">
        <v>12261</v>
      </c>
      <c r="B4301">
        <v>1</v>
      </c>
      <c r="C4301" s="309"/>
      <c r="D4301" s="310"/>
    </row>
    <row r="4302" spans="1:4" x14ac:dyDescent="0.25">
      <c r="A4302" s="418" t="s">
        <v>4363</v>
      </c>
      <c r="B4302">
        <v>2</v>
      </c>
      <c r="C4302" s="309"/>
      <c r="D4302" s="310"/>
    </row>
    <row r="4303" spans="1:4" x14ac:dyDescent="0.25">
      <c r="A4303" s="418" t="s">
        <v>4364</v>
      </c>
      <c r="B4303">
        <v>2</v>
      </c>
      <c r="C4303" s="309"/>
      <c r="D4303" s="310"/>
    </row>
    <row r="4304" spans="1:4" x14ac:dyDescent="0.25">
      <c r="A4304" s="418" t="s">
        <v>5292</v>
      </c>
      <c r="B4304">
        <v>1</v>
      </c>
      <c r="C4304" s="309"/>
      <c r="D4304" s="310"/>
    </row>
    <row r="4305" spans="1:4" x14ac:dyDescent="0.25">
      <c r="A4305" s="418" t="s">
        <v>16489</v>
      </c>
      <c r="B4305">
        <v>2</v>
      </c>
      <c r="C4305" s="309"/>
      <c r="D4305" s="310"/>
    </row>
    <row r="4306" spans="1:4" x14ac:dyDescent="0.25">
      <c r="A4306" s="418" t="s">
        <v>12109</v>
      </c>
      <c r="B4306">
        <v>5</v>
      </c>
      <c r="C4306" s="309"/>
      <c r="D4306" s="310"/>
    </row>
    <row r="4307" spans="1:4" x14ac:dyDescent="0.25">
      <c r="A4307" s="418" t="s">
        <v>12110</v>
      </c>
      <c r="B4307">
        <v>3</v>
      </c>
      <c r="C4307" s="309"/>
      <c r="D4307" s="310"/>
    </row>
    <row r="4308" spans="1:4" x14ac:dyDescent="0.25">
      <c r="A4308" s="418" t="s">
        <v>11601</v>
      </c>
      <c r="B4308">
        <v>4</v>
      </c>
      <c r="C4308" s="309"/>
      <c r="D4308" s="310"/>
    </row>
    <row r="4309" spans="1:4" x14ac:dyDescent="0.25">
      <c r="A4309" s="418" t="s">
        <v>16490</v>
      </c>
      <c r="B4309">
        <v>1</v>
      </c>
      <c r="C4309" s="309"/>
      <c r="D4309" s="310"/>
    </row>
    <row r="4310" spans="1:4" x14ac:dyDescent="0.25">
      <c r="A4310" s="418" t="s">
        <v>16491</v>
      </c>
      <c r="B4310">
        <v>1</v>
      </c>
      <c r="C4310" s="309"/>
      <c r="D4310" s="310"/>
    </row>
    <row r="4311" spans="1:4" x14ac:dyDescent="0.25">
      <c r="A4311" s="418" t="s">
        <v>11513</v>
      </c>
      <c r="B4311">
        <v>11</v>
      </c>
      <c r="C4311" s="309"/>
      <c r="D4311" s="310"/>
    </row>
    <row r="4312" spans="1:4" x14ac:dyDescent="0.25">
      <c r="A4312" s="418" t="s">
        <v>11446</v>
      </c>
      <c r="B4312">
        <v>13</v>
      </c>
      <c r="C4312" s="309"/>
      <c r="D4312" s="310"/>
    </row>
    <row r="4313" spans="1:4" x14ac:dyDescent="0.25">
      <c r="A4313" s="418" t="s">
        <v>12111</v>
      </c>
      <c r="B4313">
        <v>6</v>
      </c>
      <c r="C4313" s="309"/>
      <c r="D4313" s="310"/>
    </row>
    <row r="4314" spans="1:4" x14ac:dyDescent="0.25">
      <c r="A4314" s="418" t="s">
        <v>16492</v>
      </c>
      <c r="B4314">
        <v>1</v>
      </c>
      <c r="C4314" s="309"/>
      <c r="D4314" s="310"/>
    </row>
    <row r="4315" spans="1:4" x14ac:dyDescent="0.25">
      <c r="A4315" s="418" t="s">
        <v>11447</v>
      </c>
      <c r="B4315">
        <v>10</v>
      </c>
      <c r="C4315" s="309"/>
      <c r="D4315" s="310"/>
    </row>
    <row r="4316" spans="1:4" x14ac:dyDescent="0.25">
      <c r="A4316" s="418" t="s">
        <v>11448</v>
      </c>
      <c r="B4316">
        <v>11</v>
      </c>
      <c r="C4316" s="309"/>
      <c r="D4316" s="310"/>
    </row>
    <row r="4317" spans="1:4" x14ac:dyDescent="0.25">
      <c r="A4317" s="418" t="s">
        <v>15326</v>
      </c>
      <c r="B4317">
        <v>3</v>
      </c>
      <c r="C4317" s="309"/>
      <c r="D4317" s="310"/>
    </row>
    <row r="4318" spans="1:4" x14ac:dyDescent="0.25">
      <c r="A4318" s="418" t="s">
        <v>12127</v>
      </c>
      <c r="B4318">
        <v>2</v>
      </c>
      <c r="C4318" s="309"/>
      <c r="D4318" s="310"/>
    </row>
    <row r="4319" spans="1:4" x14ac:dyDescent="0.25">
      <c r="A4319" s="418" t="s">
        <v>11602</v>
      </c>
      <c r="B4319">
        <v>1</v>
      </c>
      <c r="C4319" s="309"/>
      <c r="D4319" s="310"/>
    </row>
    <row r="4320" spans="1:4" x14ac:dyDescent="0.25">
      <c r="A4320" s="418" t="s">
        <v>11603</v>
      </c>
      <c r="B4320">
        <v>1</v>
      </c>
      <c r="C4320" s="309"/>
      <c r="D4320" s="310"/>
    </row>
    <row r="4321" spans="1:4" x14ac:dyDescent="0.25">
      <c r="A4321" s="418" t="s">
        <v>12299</v>
      </c>
      <c r="B4321">
        <v>1</v>
      </c>
      <c r="C4321" s="309"/>
      <c r="D4321" s="310"/>
    </row>
    <row r="4322" spans="1:4" x14ac:dyDescent="0.25">
      <c r="A4322" s="418" t="s">
        <v>12300</v>
      </c>
      <c r="B4322">
        <v>1</v>
      </c>
      <c r="C4322" s="309"/>
      <c r="D4322" s="310"/>
    </row>
    <row r="4323" spans="1:4" x14ac:dyDescent="0.25">
      <c r="A4323" s="418" t="s">
        <v>16127</v>
      </c>
      <c r="B4323">
        <v>4</v>
      </c>
      <c r="C4323" s="309"/>
      <c r="D4323" s="310"/>
    </row>
    <row r="4324" spans="1:4" x14ac:dyDescent="0.25">
      <c r="A4324" s="418" t="s">
        <v>16128</v>
      </c>
      <c r="B4324">
        <v>5</v>
      </c>
      <c r="C4324" s="309"/>
      <c r="D4324" s="310"/>
    </row>
    <row r="4325" spans="1:4" x14ac:dyDescent="0.25">
      <c r="A4325" s="418" t="s">
        <v>16129</v>
      </c>
      <c r="B4325">
        <v>4</v>
      </c>
      <c r="C4325" s="309"/>
      <c r="D4325" s="310"/>
    </row>
    <row r="4326" spans="1:4" x14ac:dyDescent="0.25">
      <c r="A4326" s="418" t="s">
        <v>16493</v>
      </c>
      <c r="B4326">
        <v>1</v>
      </c>
      <c r="C4326" s="309"/>
      <c r="D4326" s="310"/>
    </row>
    <row r="4327" spans="1:4" x14ac:dyDescent="0.25">
      <c r="A4327" s="418" t="s">
        <v>16494</v>
      </c>
      <c r="B4327">
        <v>1</v>
      </c>
      <c r="C4327" s="309"/>
      <c r="D4327" s="310"/>
    </row>
    <row r="4328" spans="1:4" x14ac:dyDescent="0.25">
      <c r="A4328" s="418" t="s">
        <v>11551</v>
      </c>
      <c r="B4328">
        <v>7</v>
      </c>
      <c r="C4328" s="309"/>
      <c r="D4328" s="310"/>
    </row>
    <row r="4329" spans="1:4" x14ac:dyDescent="0.25">
      <c r="A4329" s="418" t="s">
        <v>11373</v>
      </c>
      <c r="B4329">
        <v>7</v>
      </c>
      <c r="C4329" s="309"/>
      <c r="D4329" s="310"/>
    </row>
    <row r="4330" spans="1:4" x14ac:dyDescent="0.25">
      <c r="A4330" s="418" t="s">
        <v>15172</v>
      </c>
      <c r="B4330">
        <v>7</v>
      </c>
      <c r="C4330" s="309"/>
      <c r="D4330" s="310"/>
    </row>
    <row r="4331" spans="1:4" x14ac:dyDescent="0.25">
      <c r="A4331" s="418" t="s">
        <v>16495</v>
      </c>
      <c r="B4331">
        <v>1</v>
      </c>
      <c r="C4331" s="309"/>
      <c r="D4331" s="310"/>
    </row>
    <row r="4332" spans="1:4" x14ac:dyDescent="0.25">
      <c r="A4332" s="418" t="s">
        <v>12370</v>
      </c>
      <c r="B4332">
        <v>1</v>
      </c>
      <c r="C4332" s="309"/>
      <c r="D4332" s="310"/>
    </row>
    <row r="4333" spans="1:4" x14ac:dyDescent="0.25">
      <c r="A4333" s="418" t="s">
        <v>16215</v>
      </c>
      <c r="B4333">
        <v>2</v>
      </c>
      <c r="C4333" s="309"/>
      <c r="D4333" s="310"/>
    </row>
    <row r="4334" spans="1:4" x14ac:dyDescent="0.25">
      <c r="A4334" s="418" t="s">
        <v>11374</v>
      </c>
      <c r="B4334">
        <v>4</v>
      </c>
      <c r="C4334" s="309"/>
      <c r="D4334" s="310"/>
    </row>
    <row r="4335" spans="1:4" x14ac:dyDescent="0.25">
      <c r="A4335" s="418" t="s">
        <v>16216</v>
      </c>
      <c r="B4335">
        <v>1</v>
      </c>
      <c r="C4335" s="309"/>
      <c r="D4335" s="310"/>
    </row>
    <row r="4336" spans="1:4" x14ac:dyDescent="0.25">
      <c r="A4336" s="418" t="s">
        <v>11375</v>
      </c>
      <c r="B4336">
        <v>2</v>
      </c>
      <c r="C4336" s="309"/>
      <c r="D4336" s="310"/>
    </row>
    <row r="4337" spans="1:4" x14ac:dyDescent="0.25">
      <c r="A4337" s="418" t="s">
        <v>15680</v>
      </c>
      <c r="B4337">
        <v>3</v>
      </c>
      <c r="C4337" s="309"/>
      <c r="D4337" s="310"/>
    </row>
    <row r="4338" spans="1:4" x14ac:dyDescent="0.25">
      <c r="A4338" s="418" t="s">
        <v>11449</v>
      </c>
      <c r="B4338">
        <v>1</v>
      </c>
      <c r="C4338" s="309"/>
      <c r="D4338" s="310"/>
    </row>
    <row r="4339" spans="1:4" x14ac:dyDescent="0.25">
      <c r="A4339" s="418" t="s">
        <v>12262</v>
      </c>
      <c r="B4339">
        <v>1</v>
      </c>
      <c r="C4339" s="309"/>
      <c r="D4339" s="310"/>
    </row>
    <row r="4340" spans="1:4" x14ac:dyDescent="0.25">
      <c r="A4340" s="418" t="s">
        <v>15327</v>
      </c>
      <c r="B4340">
        <v>3</v>
      </c>
      <c r="C4340" s="309"/>
      <c r="D4340" s="310"/>
    </row>
    <row r="4341" spans="1:4" x14ac:dyDescent="0.25">
      <c r="A4341" s="418" t="s">
        <v>11552</v>
      </c>
      <c r="B4341">
        <v>1</v>
      </c>
      <c r="C4341" s="309"/>
      <c r="D4341" s="310"/>
    </row>
    <row r="4342" spans="1:4" x14ac:dyDescent="0.25">
      <c r="A4342" s="418" t="s">
        <v>11553</v>
      </c>
      <c r="B4342">
        <v>2</v>
      </c>
      <c r="C4342" s="309"/>
      <c r="D4342" s="310"/>
    </row>
    <row r="4343" spans="1:4" x14ac:dyDescent="0.25">
      <c r="A4343" s="418" t="s">
        <v>11554</v>
      </c>
      <c r="B4343">
        <v>1</v>
      </c>
      <c r="C4343" s="309"/>
      <c r="D4343" s="310"/>
    </row>
    <row r="4344" spans="1:4" x14ac:dyDescent="0.25">
      <c r="A4344" s="418" t="s">
        <v>12112</v>
      </c>
      <c r="B4344">
        <v>3</v>
      </c>
      <c r="C4344" s="309"/>
      <c r="D4344" s="310"/>
    </row>
    <row r="4345" spans="1:4" x14ac:dyDescent="0.25">
      <c r="A4345" s="418" t="s">
        <v>12113</v>
      </c>
      <c r="B4345">
        <v>2</v>
      </c>
      <c r="C4345" s="309"/>
      <c r="D4345" s="310"/>
    </row>
    <row r="4346" spans="1:4" x14ac:dyDescent="0.25">
      <c r="A4346" s="418" t="s">
        <v>16496</v>
      </c>
      <c r="B4346">
        <v>1</v>
      </c>
      <c r="C4346" s="309"/>
      <c r="D4346" s="310"/>
    </row>
    <row r="4347" spans="1:4" x14ac:dyDescent="0.25">
      <c r="A4347" s="418" t="s">
        <v>11450</v>
      </c>
      <c r="B4347">
        <v>1</v>
      </c>
      <c r="C4347" s="309"/>
      <c r="D4347" s="310"/>
    </row>
    <row r="4348" spans="1:4" x14ac:dyDescent="0.25">
      <c r="A4348" s="418" t="s">
        <v>11451</v>
      </c>
      <c r="B4348">
        <v>1</v>
      </c>
      <c r="C4348" s="309"/>
      <c r="D4348" s="310"/>
    </row>
    <row r="4349" spans="1:4" x14ac:dyDescent="0.25">
      <c r="A4349" s="418" t="s">
        <v>15546</v>
      </c>
      <c r="B4349">
        <v>1</v>
      </c>
      <c r="C4349" s="309"/>
      <c r="D4349" s="310"/>
    </row>
    <row r="4350" spans="1:4" x14ac:dyDescent="0.25">
      <c r="A4350" s="418" t="s">
        <v>15547</v>
      </c>
      <c r="B4350">
        <v>1</v>
      </c>
      <c r="C4350" s="309"/>
      <c r="D4350" s="310"/>
    </row>
    <row r="4351" spans="1:4" x14ac:dyDescent="0.25">
      <c r="A4351" s="418" t="s">
        <v>15548</v>
      </c>
      <c r="B4351">
        <v>1</v>
      </c>
      <c r="C4351" s="309"/>
      <c r="D4351" s="310"/>
    </row>
    <row r="4352" spans="1:4" x14ac:dyDescent="0.25">
      <c r="A4352" s="418" t="s">
        <v>4488</v>
      </c>
      <c r="B4352">
        <v>3</v>
      </c>
      <c r="C4352" s="309"/>
      <c r="D4352" s="310"/>
    </row>
    <row r="4353" spans="1:4" x14ac:dyDescent="0.25">
      <c r="A4353" s="418" t="s">
        <v>4489</v>
      </c>
      <c r="B4353">
        <v>4</v>
      </c>
      <c r="C4353" s="309"/>
      <c r="D4353" s="310"/>
    </row>
    <row r="4354" spans="1:4" x14ac:dyDescent="0.25">
      <c r="A4354" s="418" t="s">
        <v>4813</v>
      </c>
      <c r="B4354">
        <v>3</v>
      </c>
      <c r="C4354" s="309"/>
      <c r="D4354" s="310"/>
    </row>
    <row r="4355" spans="1:4" x14ac:dyDescent="0.25">
      <c r="A4355" s="418" t="s">
        <v>12371</v>
      </c>
      <c r="B4355">
        <v>1</v>
      </c>
      <c r="C4355" s="309"/>
      <c r="D4355" s="310"/>
    </row>
    <row r="4356" spans="1:4" x14ac:dyDescent="0.25">
      <c r="A4356" s="418" t="s">
        <v>12372</v>
      </c>
      <c r="B4356">
        <v>2</v>
      </c>
      <c r="C4356" s="309"/>
      <c r="D4356" s="310"/>
    </row>
    <row r="4357" spans="1:4" x14ac:dyDescent="0.25">
      <c r="A4357" s="418" t="s">
        <v>11514</v>
      </c>
      <c r="B4357">
        <v>1</v>
      </c>
      <c r="C4357" s="309"/>
      <c r="D4357" s="310"/>
    </row>
    <row r="4358" spans="1:4" x14ac:dyDescent="0.25">
      <c r="A4358" s="418" t="s">
        <v>11270</v>
      </c>
      <c r="B4358">
        <v>3</v>
      </c>
      <c r="C4358" s="309"/>
      <c r="D4358" s="310"/>
    </row>
    <row r="4359" spans="1:4" x14ac:dyDescent="0.25">
      <c r="A4359" s="418" t="s">
        <v>16497</v>
      </c>
      <c r="B4359">
        <v>1</v>
      </c>
      <c r="C4359" s="309"/>
      <c r="D4359" s="310"/>
    </row>
    <row r="4360" spans="1:4" x14ac:dyDescent="0.25">
      <c r="A4360" s="418" t="s">
        <v>16498</v>
      </c>
      <c r="B4360">
        <v>1</v>
      </c>
      <c r="C4360" s="309"/>
      <c r="D4360" s="310"/>
    </row>
    <row r="4361" spans="1:4" x14ac:dyDescent="0.25">
      <c r="A4361" s="418" t="s">
        <v>11975</v>
      </c>
      <c r="B4361">
        <v>1</v>
      </c>
      <c r="C4361" s="309"/>
      <c r="D4361" s="310"/>
    </row>
    <row r="4362" spans="1:4" x14ac:dyDescent="0.25">
      <c r="A4362" s="418" t="s">
        <v>11976</v>
      </c>
      <c r="B4362">
        <v>2</v>
      </c>
      <c r="C4362" s="309"/>
      <c r="D4362" s="310"/>
    </row>
    <row r="4363" spans="1:4" x14ac:dyDescent="0.25">
      <c r="A4363" s="418" t="s">
        <v>17162</v>
      </c>
      <c r="B4363">
        <v>1</v>
      </c>
      <c r="C4363" s="309"/>
      <c r="D4363" s="310"/>
    </row>
    <row r="4364" spans="1:4" x14ac:dyDescent="0.25">
      <c r="A4364" s="418" t="s">
        <v>11718</v>
      </c>
      <c r="B4364">
        <v>1</v>
      </c>
      <c r="C4364" s="309"/>
      <c r="D4364" s="310"/>
    </row>
    <row r="4365" spans="1:4" x14ac:dyDescent="0.25">
      <c r="A4365" s="418" t="s">
        <v>16499</v>
      </c>
      <c r="B4365">
        <v>1</v>
      </c>
      <c r="C4365" s="309"/>
      <c r="D4365" s="310"/>
    </row>
    <row r="4366" spans="1:4" x14ac:dyDescent="0.25">
      <c r="A4366" s="418" t="s">
        <v>17163</v>
      </c>
      <c r="B4366">
        <v>1</v>
      </c>
      <c r="C4366" s="309"/>
      <c r="D4366" s="310"/>
    </row>
    <row r="4367" spans="1:4" x14ac:dyDescent="0.25">
      <c r="A4367" s="418" t="s">
        <v>11719</v>
      </c>
      <c r="B4367">
        <v>3</v>
      </c>
      <c r="C4367" s="309"/>
      <c r="D4367" s="310"/>
    </row>
    <row r="4368" spans="1:4" x14ac:dyDescent="0.25">
      <c r="A4368" s="418" t="s">
        <v>15681</v>
      </c>
      <c r="B4368">
        <v>1</v>
      </c>
      <c r="C4368" s="309"/>
      <c r="D4368" s="310"/>
    </row>
    <row r="4369" spans="1:4" x14ac:dyDescent="0.25">
      <c r="A4369" s="418" t="s">
        <v>16500</v>
      </c>
      <c r="B4369">
        <v>1</v>
      </c>
      <c r="C4369" s="309"/>
      <c r="D4369" s="310"/>
    </row>
    <row r="4370" spans="1:4" x14ac:dyDescent="0.25">
      <c r="A4370" s="418" t="s">
        <v>11555</v>
      </c>
      <c r="B4370">
        <v>1</v>
      </c>
      <c r="C4370" s="309"/>
      <c r="D4370" s="310"/>
    </row>
    <row r="4371" spans="1:4" x14ac:dyDescent="0.25">
      <c r="A4371" s="418" t="s">
        <v>15328</v>
      </c>
      <c r="B4371">
        <v>1</v>
      </c>
      <c r="C4371" s="309"/>
      <c r="D4371" s="310"/>
    </row>
    <row r="4372" spans="1:4" x14ac:dyDescent="0.25">
      <c r="A4372" s="418" t="s">
        <v>16501</v>
      </c>
      <c r="B4372">
        <v>2</v>
      </c>
      <c r="C4372" s="309"/>
      <c r="D4372" s="310"/>
    </row>
    <row r="4373" spans="1:4" x14ac:dyDescent="0.25">
      <c r="A4373" s="418" t="s">
        <v>16502</v>
      </c>
      <c r="B4373">
        <v>3</v>
      </c>
      <c r="C4373" s="309"/>
      <c r="D4373" s="310"/>
    </row>
    <row r="4374" spans="1:4" x14ac:dyDescent="0.25">
      <c r="A4374" s="418" t="s">
        <v>16503</v>
      </c>
      <c r="B4374">
        <v>2</v>
      </c>
      <c r="C4374" s="309"/>
      <c r="D4374" s="310"/>
    </row>
    <row r="4375" spans="1:4" x14ac:dyDescent="0.25">
      <c r="A4375" s="418" t="s">
        <v>11885</v>
      </c>
      <c r="B4375">
        <v>2</v>
      </c>
      <c r="C4375" s="309"/>
      <c r="D4375" s="310"/>
    </row>
    <row r="4376" spans="1:4" x14ac:dyDescent="0.25">
      <c r="A4376" s="418" t="s">
        <v>11886</v>
      </c>
      <c r="B4376">
        <v>2</v>
      </c>
      <c r="C4376" s="309"/>
      <c r="D4376" s="310"/>
    </row>
    <row r="4377" spans="1:4" x14ac:dyDescent="0.25">
      <c r="A4377" s="418" t="s">
        <v>11887</v>
      </c>
      <c r="B4377">
        <v>1</v>
      </c>
      <c r="C4377" s="309"/>
      <c r="D4377" s="310"/>
    </row>
    <row r="4378" spans="1:4" x14ac:dyDescent="0.25">
      <c r="A4378" s="418" t="s">
        <v>12114</v>
      </c>
      <c r="B4378">
        <v>3</v>
      </c>
      <c r="C4378" s="309"/>
      <c r="D4378" s="310"/>
    </row>
    <row r="4379" spans="1:4" x14ac:dyDescent="0.25">
      <c r="A4379" s="418" t="s">
        <v>12115</v>
      </c>
      <c r="B4379">
        <v>3</v>
      </c>
      <c r="C4379" s="309"/>
      <c r="D4379" s="310"/>
    </row>
    <row r="4380" spans="1:4" x14ac:dyDescent="0.25">
      <c r="A4380" s="418" t="s">
        <v>17164</v>
      </c>
      <c r="B4380">
        <v>2</v>
      </c>
      <c r="C4380" s="309"/>
      <c r="D4380" s="310"/>
    </row>
    <row r="4381" spans="1:4" x14ac:dyDescent="0.25">
      <c r="A4381" s="418" t="s">
        <v>17165</v>
      </c>
      <c r="B4381">
        <v>2</v>
      </c>
      <c r="C4381" s="309"/>
      <c r="D4381" s="310"/>
    </row>
    <row r="4382" spans="1:4" x14ac:dyDescent="0.25">
      <c r="A4382" s="418" t="s">
        <v>17166</v>
      </c>
      <c r="B4382">
        <v>1</v>
      </c>
      <c r="C4382" s="309"/>
      <c r="D4382" s="310"/>
    </row>
    <row r="4383" spans="1:4" x14ac:dyDescent="0.25">
      <c r="A4383" s="418" t="s">
        <v>17167</v>
      </c>
      <c r="B4383">
        <v>2</v>
      </c>
      <c r="C4383" s="309"/>
      <c r="D4383" s="310"/>
    </row>
    <row r="4384" spans="1:4" x14ac:dyDescent="0.25">
      <c r="A4384" s="418" t="s">
        <v>12347</v>
      </c>
      <c r="B4384">
        <v>3</v>
      </c>
      <c r="C4384" s="309"/>
      <c r="D4384" s="310"/>
    </row>
    <row r="4385" spans="1:4" x14ac:dyDescent="0.25">
      <c r="A4385" s="418" t="s">
        <v>12348</v>
      </c>
      <c r="B4385">
        <v>3</v>
      </c>
      <c r="C4385" s="309"/>
      <c r="D4385" s="310"/>
    </row>
    <row r="4386" spans="1:4" x14ac:dyDescent="0.25">
      <c r="A4386" s="418" t="s">
        <v>12054</v>
      </c>
      <c r="B4386">
        <v>1</v>
      </c>
      <c r="C4386" s="309"/>
      <c r="D4386" s="310"/>
    </row>
    <row r="4387" spans="1:4" x14ac:dyDescent="0.25">
      <c r="A4387" s="418" t="s">
        <v>15329</v>
      </c>
      <c r="B4387">
        <v>1</v>
      </c>
      <c r="C4387" s="309"/>
      <c r="D4387" s="310"/>
    </row>
    <row r="4388" spans="1:4" x14ac:dyDescent="0.25">
      <c r="A4388" s="418" t="s">
        <v>12055</v>
      </c>
      <c r="B4388">
        <v>1</v>
      </c>
      <c r="C4388" s="309"/>
      <c r="D4388" s="310"/>
    </row>
    <row r="4389" spans="1:4" x14ac:dyDescent="0.25">
      <c r="A4389" s="418" t="s">
        <v>12056</v>
      </c>
      <c r="B4389">
        <v>1</v>
      </c>
      <c r="C4389" s="309"/>
      <c r="D4389" s="310"/>
    </row>
    <row r="4390" spans="1:4" x14ac:dyDescent="0.25">
      <c r="A4390" s="418" t="s">
        <v>15549</v>
      </c>
      <c r="B4390">
        <v>1</v>
      </c>
      <c r="C4390" s="309"/>
      <c r="D4390" s="310"/>
    </row>
    <row r="4391" spans="1:4" x14ac:dyDescent="0.25">
      <c r="A4391" s="418" t="s">
        <v>11977</v>
      </c>
      <c r="B4391">
        <v>1</v>
      </c>
      <c r="C4391" s="309"/>
      <c r="D4391" s="310"/>
    </row>
    <row r="4392" spans="1:4" x14ac:dyDescent="0.25">
      <c r="A4392" s="418" t="s">
        <v>12116</v>
      </c>
      <c r="B4392">
        <v>3</v>
      </c>
      <c r="C4392" s="309"/>
      <c r="D4392" s="310"/>
    </row>
    <row r="4393" spans="1:4" x14ac:dyDescent="0.25">
      <c r="A4393" s="418" t="s">
        <v>12128</v>
      </c>
      <c r="B4393">
        <v>5</v>
      </c>
      <c r="C4393" s="309"/>
      <c r="D4393" s="310"/>
    </row>
    <row r="4394" spans="1:4" x14ac:dyDescent="0.25">
      <c r="A4394" s="418" t="s">
        <v>12117</v>
      </c>
      <c r="B4394">
        <v>3</v>
      </c>
      <c r="C4394" s="309"/>
      <c r="D4394" s="310"/>
    </row>
    <row r="4395" spans="1:4" x14ac:dyDescent="0.25">
      <c r="A4395" s="418" t="s">
        <v>16130</v>
      </c>
      <c r="B4395">
        <v>3</v>
      </c>
      <c r="C4395" s="309"/>
      <c r="D4395" s="310"/>
    </row>
    <row r="4396" spans="1:4" x14ac:dyDescent="0.25">
      <c r="A4396" s="418" t="s">
        <v>16131</v>
      </c>
      <c r="B4396">
        <v>2</v>
      </c>
      <c r="C4396" s="309"/>
      <c r="D4396" s="310"/>
    </row>
    <row r="4397" spans="1:4" x14ac:dyDescent="0.25">
      <c r="A4397" s="418" t="s">
        <v>12151</v>
      </c>
      <c r="B4397">
        <v>6</v>
      </c>
      <c r="C4397" s="309"/>
      <c r="D4397" s="310"/>
    </row>
    <row r="4398" spans="1:4" x14ac:dyDescent="0.25">
      <c r="A4398" s="418" t="s">
        <v>12152</v>
      </c>
      <c r="B4398">
        <v>6</v>
      </c>
      <c r="C4398" s="309"/>
      <c r="D4398" s="310"/>
    </row>
    <row r="4399" spans="1:4" x14ac:dyDescent="0.25">
      <c r="A4399" s="418" t="s">
        <v>12153</v>
      </c>
      <c r="B4399">
        <v>3</v>
      </c>
      <c r="C4399" s="309"/>
      <c r="D4399" s="310"/>
    </row>
    <row r="4400" spans="1:4" x14ac:dyDescent="0.25">
      <c r="A4400" s="418" t="s">
        <v>12373</v>
      </c>
      <c r="B4400">
        <v>1</v>
      </c>
      <c r="C4400" s="309"/>
      <c r="D4400" s="310"/>
    </row>
    <row r="4401" spans="1:4" x14ac:dyDescent="0.25">
      <c r="A4401" s="418" t="s">
        <v>12057</v>
      </c>
      <c r="B4401">
        <v>3</v>
      </c>
      <c r="C4401" s="309"/>
      <c r="D4401" s="310"/>
    </row>
    <row r="4402" spans="1:4" x14ac:dyDescent="0.25">
      <c r="A4402" s="418" t="s">
        <v>12058</v>
      </c>
      <c r="B4402">
        <v>5</v>
      </c>
      <c r="C4402" s="309"/>
      <c r="D4402" s="310"/>
    </row>
    <row r="4403" spans="1:4" x14ac:dyDescent="0.25">
      <c r="A4403" s="418" t="s">
        <v>17168</v>
      </c>
      <c r="B4403">
        <v>1</v>
      </c>
      <c r="C4403" s="309"/>
      <c r="D4403" s="310"/>
    </row>
    <row r="4404" spans="1:4" x14ac:dyDescent="0.25">
      <c r="A4404" s="418" t="s">
        <v>4586</v>
      </c>
      <c r="B4404">
        <v>2</v>
      </c>
      <c r="C4404" s="309"/>
      <c r="D4404" s="310"/>
    </row>
    <row r="4405" spans="1:4" x14ac:dyDescent="0.25">
      <c r="A4405" s="418" t="s">
        <v>4016</v>
      </c>
      <c r="B4405">
        <v>3</v>
      </c>
      <c r="C4405" s="309"/>
      <c r="D4405" s="310"/>
    </row>
    <row r="4406" spans="1:4" x14ac:dyDescent="0.25">
      <c r="A4406" s="418" t="s">
        <v>6641</v>
      </c>
      <c r="B4406">
        <v>3</v>
      </c>
      <c r="C4406" s="309"/>
      <c r="D4406" s="310"/>
    </row>
    <row r="4407" spans="1:4" x14ac:dyDescent="0.25">
      <c r="A4407" s="418" t="s">
        <v>5268</v>
      </c>
      <c r="B4407">
        <v>3</v>
      </c>
      <c r="C4407" s="309"/>
      <c r="D4407" s="310"/>
    </row>
    <row r="4408" spans="1:4" x14ac:dyDescent="0.25">
      <c r="A4408" s="418" t="s">
        <v>12374</v>
      </c>
      <c r="B4408">
        <v>1</v>
      </c>
      <c r="C4408" s="309"/>
      <c r="D4408" s="310"/>
    </row>
    <row r="4409" spans="1:4" x14ac:dyDescent="0.25">
      <c r="A4409" s="418" t="s">
        <v>12375</v>
      </c>
      <c r="B4409">
        <v>1</v>
      </c>
      <c r="C4409" s="309"/>
      <c r="D4409" s="310"/>
    </row>
    <row r="4410" spans="1:4" x14ac:dyDescent="0.25">
      <c r="A4410" s="418" t="s">
        <v>12059</v>
      </c>
      <c r="B4410">
        <v>1</v>
      </c>
      <c r="C4410" s="309"/>
      <c r="D4410" s="310"/>
    </row>
    <row r="4411" spans="1:4" x14ac:dyDescent="0.25">
      <c r="A4411" s="418" t="s">
        <v>12060</v>
      </c>
      <c r="B4411">
        <v>1</v>
      </c>
      <c r="C4411" s="309"/>
      <c r="D4411" s="310"/>
    </row>
    <row r="4412" spans="1:4" x14ac:dyDescent="0.25">
      <c r="A4412" s="418" t="s">
        <v>11751</v>
      </c>
      <c r="B4412">
        <v>1</v>
      </c>
      <c r="C4412" s="309"/>
      <c r="D4412" s="310"/>
    </row>
    <row r="4413" spans="1:4" x14ac:dyDescent="0.25">
      <c r="A4413" s="418" t="s">
        <v>11752</v>
      </c>
      <c r="B4413">
        <v>1</v>
      </c>
      <c r="C4413" s="309"/>
      <c r="D4413" s="310"/>
    </row>
    <row r="4414" spans="1:4" x14ac:dyDescent="0.25">
      <c r="A4414" s="418" t="s">
        <v>11753</v>
      </c>
      <c r="B4414">
        <v>2</v>
      </c>
      <c r="C4414" s="309"/>
      <c r="D4414" s="310"/>
    </row>
    <row r="4415" spans="1:4" x14ac:dyDescent="0.25">
      <c r="A4415" s="418" t="s">
        <v>11978</v>
      </c>
      <c r="B4415">
        <v>1</v>
      </c>
      <c r="C4415" s="309"/>
      <c r="D4415" s="310"/>
    </row>
    <row r="4416" spans="1:4" x14ac:dyDescent="0.25">
      <c r="A4416" s="418" t="s">
        <v>12263</v>
      </c>
      <c r="B4416">
        <v>1</v>
      </c>
      <c r="C4416" s="309"/>
      <c r="D4416" s="310"/>
    </row>
    <row r="4417" spans="1:4" x14ac:dyDescent="0.25">
      <c r="A4417" s="418" t="s">
        <v>15173</v>
      </c>
      <c r="B4417">
        <v>1</v>
      </c>
      <c r="C4417" s="309"/>
      <c r="D4417" s="310"/>
    </row>
    <row r="4418" spans="1:4" x14ac:dyDescent="0.25">
      <c r="A4418" s="418" t="s">
        <v>17169</v>
      </c>
      <c r="B4418">
        <v>2</v>
      </c>
      <c r="C4418" s="309"/>
      <c r="D4418" s="310"/>
    </row>
    <row r="4419" spans="1:4" x14ac:dyDescent="0.25">
      <c r="A4419" s="418" t="s">
        <v>12154</v>
      </c>
      <c r="B4419">
        <v>5</v>
      </c>
      <c r="C4419" s="309"/>
      <c r="D4419" s="310"/>
    </row>
    <row r="4420" spans="1:4" x14ac:dyDescent="0.25">
      <c r="A4420" s="418" t="s">
        <v>16504</v>
      </c>
      <c r="B4420">
        <v>1</v>
      </c>
      <c r="C4420" s="309"/>
      <c r="D4420" s="310"/>
    </row>
    <row r="4421" spans="1:4" x14ac:dyDescent="0.25">
      <c r="A4421" s="418" t="s">
        <v>17170</v>
      </c>
      <c r="B4421">
        <v>1</v>
      </c>
      <c r="C4421" s="309"/>
      <c r="D4421" s="310"/>
    </row>
    <row r="4422" spans="1:4" x14ac:dyDescent="0.25">
      <c r="A4422" s="418" t="s">
        <v>11720</v>
      </c>
      <c r="B4422">
        <v>2</v>
      </c>
      <c r="C4422" s="309"/>
      <c r="D4422" s="310"/>
    </row>
    <row r="4423" spans="1:4" x14ac:dyDescent="0.25">
      <c r="A4423" s="418" t="s">
        <v>11721</v>
      </c>
      <c r="B4423">
        <v>1</v>
      </c>
      <c r="C4423" s="309"/>
      <c r="D4423" s="310"/>
    </row>
    <row r="4424" spans="1:4" x14ac:dyDescent="0.25">
      <c r="A4424" s="418" t="s">
        <v>11888</v>
      </c>
      <c r="B4424">
        <v>6</v>
      </c>
      <c r="C4424" s="309"/>
      <c r="D4424" s="310"/>
    </row>
    <row r="4425" spans="1:4" x14ac:dyDescent="0.25">
      <c r="A4425" s="418" t="s">
        <v>11889</v>
      </c>
      <c r="B4425">
        <v>6</v>
      </c>
      <c r="C4425" s="309"/>
      <c r="D4425" s="310"/>
    </row>
    <row r="4426" spans="1:4" x14ac:dyDescent="0.25">
      <c r="A4426" s="418" t="s">
        <v>12463</v>
      </c>
      <c r="B4426">
        <v>2</v>
      </c>
      <c r="C4426" s="309"/>
      <c r="D4426" s="310"/>
    </row>
    <row r="4427" spans="1:4" x14ac:dyDescent="0.25">
      <c r="A4427" s="418" t="s">
        <v>12464</v>
      </c>
      <c r="B4427">
        <v>3</v>
      </c>
      <c r="C4427" s="309"/>
      <c r="D4427" s="310"/>
    </row>
    <row r="4428" spans="1:4" x14ac:dyDescent="0.25">
      <c r="A4428" s="418" t="s">
        <v>17171</v>
      </c>
      <c r="B4428">
        <v>1</v>
      </c>
      <c r="C4428" s="309"/>
      <c r="D4428" s="310"/>
    </row>
    <row r="4429" spans="1:4" x14ac:dyDescent="0.25">
      <c r="A4429" s="418" t="s">
        <v>11683</v>
      </c>
      <c r="B4429">
        <v>3</v>
      </c>
      <c r="C4429" s="309"/>
      <c r="D4429" s="310"/>
    </row>
    <row r="4430" spans="1:4" x14ac:dyDescent="0.25">
      <c r="A4430" s="418" t="s">
        <v>11890</v>
      </c>
      <c r="B4430">
        <v>3</v>
      </c>
      <c r="C4430" s="309"/>
      <c r="D4430" s="310"/>
    </row>
    <row r="4431" spans="1:4" x14ac:dyDescent="0.25">
      <c r="A4431" s="418" t="s">
        <v>11684</v>
      </c>
      <c r="B4431">
        <v>1</v>
      </c>
      <c r="C4431" s="309"/>
      <c r="D4431" s="310"/>
    </row>
    <row r="4432" spans="1:4" x14ac:dyDescent="0.25">
      <c r="A4432" s="418" t="s">
        <v>11685</v>
      </c>
      <c r="B4432">
        <v>1</v>
      </c>
      <c r="C4432" s="309"/>
      <c r="D4432" s="310"/>
    </row>
    <row r="4433" spans="1:4" x14ac:dyDescent="0.25">
      <c r="A4433" s="418" t="s">
        <v>16861</v>
      </c>
      <c r="B4433">
        <v>1</v>
      </c>
      <c r="C4433" s="309"/>
      <c r="D4433" s="310"/>
    </row>
    <row r="4434" spans="1:4" x14ac:dyDescent="0.25">
      <c r="A4434" s="418" t="s">
        <v>16862</v>
      </c>
      <c r="B4434">
        <v>1</v>
      </c>
      <c r="C4434" s="309"/>
      <c r="D4434" s="310"/>
    </row>
    <row r="4435" spans="1:4" x14ac:dyDescent="0.25">
      <c r="A4435" s="418" t="s">
        <v>16863</v>
      </c>
      <c r="B4435">
        <v>1</v>
      </c>
      <c r="C4435" s="309"/>
      <c r="D4435" s="310"/>
    </row>
    <row r="4436" spans="1:4" x14ac:dyDescent="0.25">
      <c r="A4436" s="418" t="s">
        <v>11825</v>
      </c>
      <c r="B4436">
        <v>1</v>
      </c>
      <c r="C4436" s="309"/>
      <c r="D4436" s="310"/>
    </row>
    <row r="4437" spans="1:4" x14ac:dyDescent="0.25">
      <c r="A4437" s="418" t="s">
        <v>11826</v>
      </c>
      <c r="B4437">
        <v>1</v>
      </c>
      <c r="C4437" s="309"/>
      <c r="D4437" s="310"/>
    </row>
    <row r="4438" spans="1:4" x14ac:dyDescent="0.25">
      <c r="A4438" s="418" t="s">
        <v>11827</v>
      </c>
      <c r="B4438">
        <v>1</v>
      </c>
      <c r="C4438" s="309"/>
      <c r="D4438" s="310"/>
    </row>
    <row r="4439" spans="1:4" x14ac:dyDescent="0.25">
      <c r="A4439" s="418" t="s">
        <v>17172</v>
      </c>
      <c r="B4439">
        <v>2</v>
      </c>
      <c r="C4439" s="309"/>
      <c r="D4439" s="310"/>
    </row>
    <row r="4440" spans="1:4" x14ac:dyDescent="0.25">
      <c r="A4440" s="418" t="s">
        <v>17173</v>
      </c>
      <c r="B4440">
        <v>4</v>
      </c>
      <c r="C4440" s="309"/>
      <c r="D4440" s="310"/>
    </row>
    <row r="4441" spans="1:4" x14ac:dyDescent="0.25">
      <c r="A4441" s="418" t="s">
        <v>11515</v>
      </c>
      <c r="B4441">
        <v>1</v>
      </c>
      <c r="C4441" s="309"/>
      <c r="D4441" s="310"/>
    </row>
    <row r="4442" spans="1:4" x14ac:dyDescent="0.25">
      <c r="A4442" s="418" t="s">
        <v>11516</v>
      </c>
      <c r="B4442">
        <v>1</v>
      </c>
      <c r="C4442" s="309"/>
      <c r="D4442" s="310"/>
    </row>
    <row r="4443" spans="1:4" x14ac:dyDescent="0.25">
      <c r="A4443" s="418" t="s">
        <v>16505</v>
      </c>
      <c r="B4443">
        <v>1</v>
      </c>
      <c r="C4443" s="309"/>
      <c r="D4443" s="310"/>
    </row>
    <row r="4444" spans="1:4" x14ac:dyDescent="0.25">
      <c r="A4444" s="418" t="s">
        <v>17174</v>
      </c>
      <c r="B4444">
        <v>2</v>
      </c>
      <c r="C4444" s="309"/>
      <c r="D4444" s="310"/>
    </row>
    <row r="4445" spans="1:4" x14ac:dyDescent="0.25">
      <c r="A4445" s="418" t="s">
        <v>17175</v>
      </c>
      <c r="B4445">
        <v>2</v>
      </c>
      <c r="C4445" s="309"/>
      <c r="D4445" s="310"/>
    </row>
    <row r="4446" spans="1:4" x14ac:dyDescent="0.25">
      <c r="A4446" s="418" t="s">
        <v>17176</v>
      </c>
      <c r="B4446">
        <v>2</v>
      </c>
      <c r="C4446" s="309"/>
      <c r="D4446" s="310"/>
    </row>
    <row r="4447" spans="1:4" x14ac:dyDescent="0.25">
      <c r="A4447" s="418" t="s">
        <v>17177</v>
      </c>
      <c r="B4447">
        <v>1</v>
      </c>
      <c r="C4447" s="309"/>
      <c r="D4447" s="310"/>
    </row>
    <row r="4448" spans="1:4" x14ac:dyDescent="0.25">
      <c r="A4448" s="418" t="s">
        <v>15237</v>
      </c>
      <c r="B4448">
        <v>4</v>
      </c>
      <c r="C4448" s="309"/>
      <c r="D4448" s="310"/>
    </row>
    <row r="4449" spans="1:4" x14ac:dyDescent="0.25">
      <c r="A4449" s="418" t="s">
        <v>15238</v>
      </c>
      <c r="B4449">
        <v>4</v>
      </c>
      <c r="C4449" s="309"/>
      <c r="D4449" s="310"/>
    </row>
    <row r="4450" spans="1:4" x14ac:dyDescent="0.25">
      <c r="A4450" s="418" t="s">
        <v>15957</v>
      </c>
      <c r="B4450">
        <v>1</v>
      </c>
      <c r="C4450" s="309"/>
      <c r="D4450" s="310"/>
    </row>
    <row r="4451" spans="1:4" x14ac:dyDescent="0.25">
      <c r="A4451" s="418" t="s">
        <v>15239</v>
      </c>
      <c r="B4451">
        <v>2</v>
      </c>
      <c r="C4451" s="309"/>
      <c r="D4451" s="310"/>
    </row>
    <row r="4452" spans="1:4" x14ac:dyDescent="0.25">
      <c r="A4452" s="418" t="s">
        <v>16029</v>
      </c>
      <c r="B4452">
        <v>2</v>
      </c>
      <c r="C4452" s="309"/>
      <c r="D4452" s="310"/>
    </row>
    <row r="4453" spans="1:4" x14ac:dyDescent="0.25">
      <c r="A4453" s="418" t="s">
        <v>16030</v>
      </c>
      <c r="B4453">
        <v>2</v>
      </c>
      <c r="C4453" s="309"/>
      <c r="D4453" s="310"/>
    </row>
    <row r="4454" spans="1:4" x14ac:dyDescent="0.25">
      <c r="A4454" s="418" t="s">
        <v>11828</v>
      </c>
      <c r="B4454">
        <v>1</v>
      </c>
      <c r="C4454" s="309"/>
      <c r="D4454" s="310"/>
    </row>
    <row r="4455" spans="1:4" x14ac:dyDescent="0.25">
      <c r="A4455" s="418" t="s">
        <v>11829</v>
      </c>
      <c r="B4455">
        <v>1</v>
      </c>
      <c r="C4455" s="309"/>
      <c r="D4455" s="310"/>
    </row>
    <row r="4456" spans="1:4" x14ac:dyDescent="0.25">
      <c r="A4456" s="418" t="s">
        <v>11830</v>
      </c>
      <c r="B4456">
        <v>1</v>
      </c>
      <c r="C4456" s="309"/>
      <c r="D4456" s="310"/>
    </row>
    <row r="4457" spans="1:4" x14ac:dyDescent="0.25">
      <c r="A4457" s="418" t="s">
        <v>12415</v>
      </c>
      <c r="B4457">
        <v>2</v>
      </c>
      <c r="C4457" s="309"/>
      <c r="D4457" s="310"/>
    </row>
    <row r="4458" spans="1:4" x14ac:dyDescent="0.25">
      <c r="A4458" s="418" t="s">
        <v>12264</v>
      </c>
      <c r="B4458">
        <v>3</v>
      </c>
      <c r="C4458" s="309"/>
      <c r="D4458" s="310"/>
    </row>
    <row r="4459" spans="1:4" x14ac:dyDescent="0.25">
      <c r="A4459" s="418" t="s">
        <v>12265</v>
      </c>
      <c r="B4459">
        <v>3</v>
      </c>
      <c r="C4459" s="309"/>
      <c r="D4459" s="310"/>
    </row>
    <row r="4460" spans="1:4" x14ac:dyDescent="0.25">
      <c r="A4460" s="418" t="s">
        <v>17178</v>
      </c>
      <c r="B4460">
        <v>1</v>
      </c>
      <c r="C4460" s="309"/>
      <c r="D4460" s="310"/>
    </row>
    <row r="4461" spans="1:4" x14ac:dyDescent="0.25">
      <c r="A4461" s="418" t="s">
        <v>16864</v>
      </c>
      <c r="B4461">
        <v>2</v>
      </c>
      <c r="C4461" s="309"/>
      <c r="D4461" s="310"/>
    </row>
    <row r="4462" spans="1:4" x14ac:dyDescent="0.25">
      <c r="A4462" s="418" t="s">
        <v>11722</v>
      </c>
      <c r="B4462">
        <v>1</v>
      </c>
      <c r="C4462" s="309"/>
      <c r="D4462" s="310"/>
    </row>
    <row r="4463" spans="1:4" x14ac:dyDescent="0.25">
      <c r="A4463" s="418" t="s">
        <v>11723</v>
      </c>
      <c r="B4463">
        <v>1</v>
      </c>
      <c r="C4463" s="309"/>
      <c r="D4463" s="310"/>
    </row>
    <row r="4464" spans="1:4" x14ac:dyDescent="0.25">
      <c r="A4464" s="418" t="s">
        <v>16506</v>
      </c>
      <c r="B4464">
        <v>1</v>
      </c>
      <c r="C4464" s="309"/>
      <c r="D4464" s="310"/>
    </row>
    <row r="4465" spans="1:4" x14ac:dyDescent="0.25">
      <c r="A4465" s="418" t="s">
        <v>16507</v>
      </c>
      <c r="B4465">
        <v>1</v>
      </c>
      <c r="C4465" s="309"/>
      <c r="D4465" s="310"/>
    </row>
    <row r="4466" spans="1:4" x14ac:dyDescent="0.25">
      <c r="A4466" s="418" t="s">
        <v>11556</v>
      </c>
      <c r="B4466">
        <v>1</v>
      </c>
      <c r="C4466" s="309"/>
      <c r="D4466" s="310"/>
    </row>
    <row r="4467" spans="1:4" x14ac:dyDescent="0.25">
      <c r="A4467" s="418" t="s">
        <v>11655</v>
      </c>
      <c r="B4467">
        <v>7</v>
      </c>
      <c r="C4467" s="309"/>
      <c r="D4467" s="310"/>
    </row>
    <row r="4468" spans="1:4" x14ac:dyDescent="0.25">
      <c r="A4468" s="418" t="s">
        <v>11831</v>
      </c>
      <c r="B4468">
        <v>6</v>
      </c>
      <c r="C4468" s="309"/>
      <c r="D4468" s="310"/>
    </row>
    <row r="4469" spans="1:4" x14ac:dyDescent="0.25">
      <c r="A4469" s="418" t="s">
        <v>17179</v>
      </c>
      <c r="B4469">
        <v>1</v>
      </c>
      <c r="C4469" s="309"/>
      <c r="D4469" s="310"/>
    </row>
    <row r="4470" spans="1:4" x14ac:dyDescent="0.25">
      <c r="A4470" s="418" t="s">
        <v>12301</v>
      </c>
      <c r="B4470">
        <v>1</v>
      </c>
      <c r="C4470" s="309"/>
      <c r="D4470" s="310"/>
    </row>
    <row r="4471" spans="1:4" x14ac:dyDescent="0.25">
      <c r="A4471" s="418" t="s">
        <v>16508</v>
      </c>
      <c r="B4471">
        <v>1</v>
      </c>
      <c r="C4471" s="309"/>
      <c r="D4471" s="310"/>
    </row>
    <row r="4472" spans="1:4" x14ac:dyDescent="0.25">
      <c r="A4472" s="418" t="s">
        <v>16509</v>
      </c>
      <c r="B4472">
        <v>1</v>
      </c>
      <c r="C4472" s="309"/>
      <c r="D4472" s="310"/>
    </row>
    <row r="4473" spans="1:4" x14ac:dyDescent="0.25">
      <c r="A4473" s="418" t="s">
        <v>12266</v>
      </c>
      <c r="B4473">
        <v>2</v>
      </c>
      <c r="C4473" s="309"/>
      <c r="D4473" s="310"/>
    </row>
    <row r="4474" spans="1:4" x14ac:dyDescent="0.25">
      <c r="A4474" s="418" t="s">
        <v>12267</v>
      </c>
      <c r="B4474">
        <v>2</v>
      </c>
      <c r="C4474" s="309"/>
      <c r="D4474" s="310"/>
    </row>
    <row r="4475" spans="1:4" x14ac:dyDescent="0.25">
      <c r="A4475" s="418" t="s">
        <v>12268</v>
      </c>
      <c r="B4475">
        <v>1</v>
      </c>
      <c r="C4475" s="309"/>
      <c r="D4475" s="310"/>
    </row>
    <row r="4476" spans="1:4" x14ac:dyDescent="0.25">
      <c r="A4476" s="418" t="s">
        <v>15550</v>
      </c>
      <c r="B4476">
        <v>1</v>
      </c>
      <c r="C4476" s="309"/>
      <c r="D4476" s="310"/>
    </row>
    <row r="4477" spans="1:4" x14ac:dyDescent="0.25">
      <c r="A4477" s="418" t="s">
        <v>15551</v>
      </c>
      <c r="B4477">
        <v>1</v>
      </c>
      <c r="C4477" s="309"/>
      <c r="D4477" s="310"/>
    </row>
    <row r="4478" spans="1:4" x14ac:dyDescent="0.25">
      <c r="A4478" s="418" t="s">
        <v>16132</v>
      </c>
      <c r="B4478">
        <v>1</v>
      </c>
      <c r="C4478" s="309"/>
      <c r="D4478" s="310"/>
    </row>
    <row r="4479" spans="1:4" x14ac:dyDescent="0.25">
      <c r="A4479" s="418" t="s">
        <v>16133</v>
      </c>
      <c r="B4479">
        <v>3</v>
      </c>
      <c r="C4479" s="309"/>
      <c r="D4479" s="310"/>
    </row>
    <row r="4480" spans="1:4" x14ac:dyDescent="0.25">
      <c r="A4480" s="418" t="s">
        <v>16134</v>
      </c>
      <c r="B4480">
        <v>6</v>
      </c>
      <c r="C4480" s="309"/>
      <c r="D4480" s="310"/>
    </row>
    <row r="4481" spans="1:4" x14ac:dyDescent="0.25">
      <c r="A4481" s="418" t="s">
        <v>5977</v>
      </c>
      <c r="B4481">
        <v>1</v>
      </c>
      <c r="C4481" s="309"/>
      <c r="D4481" s="310"/>
    </row>
    <row r="4482" spans="1:4" x14ac:dyDescent="0.25">
      <c r="A4482" s="418" t="s">
        <v>16510</v>
      </c>
      <c r="B4482">
        <v>1</v>
      </c>
      <c r="C4482" s="309"/>
      <c r="D4482" s="310"/>
    </row>
    <row r="4483" spans="1:4" x14ac:dyDescent="0.25">
      <c r="A4483" s="418" t="s">
        <v>16217</v>
      </c>
      <c r="B4483">
        <v>3</v>
      </c>
      <c r="C4483" s="309"/>
      <c r="D4483" s="310"/>
    </row>
    <row r="4484" spans="1:4" x14ac:dyDescent="0.25">
      <c r="A4484" s="418" t="s">
        <v>16218</v>
      </c>
      <c r="B4484">
        <v>2</v>
      </c>
      <c r="C4484" s="309"/>
      <c r="D4484" s="310"/>
    </row>
    <row r="4485" spans="1:4" x14ac:dyDescent="0.25">
      <c r="A4485" s="418" t="s">
        <v>15219</v>
      </c>
      <c r="B4485">
        <v>2</v>
      </c>
      <c r="C4485" s="309"/>
      <c r="D4485" s="310"/>
    </row>
    <row r="4486" spans="1:4" x14ac:dyDescent="0.25">
      <c r="A4486" s="418" t="s">
        <v>12155</v>
      </c>
      <c r="B4486">
        <v>1</v>
      </c>
      <c r="C4486" s="309"/>
      <c r="D4486" s="310"/>
    </row>
    <row r="4487" spans="1:4" x14ac:dyDescent="0.25">
      <c r="A4487" s="418" t="s">
        <v>12156</v>
      </c>
      <c r="B4487">
        <v>1</v>
      </c>
      <c r="C4487" s="309"/>
      <c r="D4487" s="310"/>
    </row>
    <row r="4488" spans="1:4" x14ac:dyDescent="0.25">
      <c r="A4488" s="418" t="s">
        <v>17180</v>
      </c>
      <c r="B4488">
        <v>1</v>
      </c>
      <c r="C4488" s="309"/>
      <c r="D4488" s="310"/>
    </row>
    <row r="4489" spans="1:4" x14ac:dyDescent="0.25">
      <c r="A4489" s="418" t="s">
        <v>12416</v>
      </c>
      <c r="B4489">
        <v>1</v>
      </c>
      <c r="C4489" s="309"/>
      <c r="D4489" s="310"/>
    </row>
    <row r="4490" spans="1:4" x14ac:dyDescent="0.25">
      <c r="A4490" s="418" t="s">
        <v>12417</v>
      </c>
      <c r="B4490">
        <v>1</v>
      </c>
      <c r="C4490" s="309"/>
      <c r="D4490" s="310"/>
    </row>
    <row r="4491" spans="1:4" x14ac:dyDescent="0.25">
      <c r="A4491" s="418" t="s">
        <v>12349</v>
      </c>
      <c r="B4491">
        <v>1</v>
      </c>
      <c r="C4491" s="309"/>
      <c r="D4491" s="310"/>
    </row>
    <row r="4492" spans="1:4" x14ac:dyDescent="0.25">
      <c r="A4492" s="418" t="s">
        <v>12061</v>
      </c>
      <c r="B4492">
        <v>1</v>
      </c>
      <c r="C4492" s="309"/>
      <c r="D4492" s="310"/>
    </row>
    <row r="4493" spans="1:4" x14ac:dyDescent="0.25">
      <c r="A4493" s="418" t="s">
        <v>15958</v>
      </c>
      <c r="B4493">
        <v>1</v>
      </c>
      <c r="C4493" s="309"/>
      <c r="D4493" s="310"/>
    </row>
    <row r="4494" spans="1:4" x14ac:dyDescent="0.25">
      <c r="A4494" s="418" t="s">
        <v>15959</v>
      </c>
      <c r="B4494">
        <v>1</v>
      </c>
      <c r="C4494" s="309"/>
      <c r="D4494" s="310"/>
    </row>
    <row r="4495" spans="1:4" x14ac:dyDescent="0.25">
      <c r="A4495" s="418" t="s">
        <v>15174</v>
      </c>
      <c r="B4495">
        <v>1</v>
      </c>
      <c r="C4495" s="309"/>
      <c r="D4495" s="310"/>
    </row>
    <row r="4496" spans="1:4" x14ac:dyDescent="0.25">
      <c r="A4496" s="418" t="s">
        <v>15175</v>
      </c>
      <c r="B4496">
        <v>2</v>
      </c>
      <c r="C4496" s="309"/>
      <c r="D4496" s="310"/>
    </row>
    <row r="4497" spans="1:4" x14ac:dyDescent="0.25">
      <c r="A4497" s="418" t="s">
        <v>15176</v>
      </c>
      <c r="B4497">
        <v>2</v>
      </c>
      <c r="C4497" s="309"/>
      <c r="D4497" s="310"/>
    </row>
    <row r="4498" spans="1:4" x14ac:dyDescent="0.25">
      <c r="A4498" s="418" t="s">
        <v>12465</v>
      </c>
      <c r="B4498">
        <v>1</v>
      </c>
      <c r="C4498" s="309"/>
      <c r="D4498" s="310"/>
    </row>
    <row r="4499" spans="1:4" x14ac:dyDescent="0.25">
      <c r="A4499" s="418" t="s">
        <v>17181</v>
      </c>
      <c r="B4499">
        <v>1</v>
      </c>
      <c r="C4499" s="309"/>
      <c r="D4499" s="310"/>
    </row>
    <row r="4500" spans="1:4" x14ac:dyDescent="0.25">
      <c r="A4500" s="418" t="s">
        <v>16865</v>
      </c>
      <c r="B4500">
        <v>2</v>
      </c>
      <c r="C4500" s="309"/>
      <c r="D4500" s="310"/>
    </row>
    <row r="4501" spans="1:4" x14ac:dyDescent="0.25">
      <c r="A4501" s="418" t="s">
        <v>17182</v>
      </c>
      <c r="B4501">
        <v>1</v>
      </c>
      <c r="C4501" s="309"/>
      <c r="D4501" s="310"/>
    </row>
    <row r="4502" spans="1:4" x14ac:dyDescent="0.25">
      <c r="A4502" s="418" t="s">
        <v>16866</v>
      </c>
      <c r="B4502">
        <v>2</v>
      </c>
      <c r="C4502" s="309"/>
      <c r="D4502" s="310"/>
    </row>
    <row r="4503" spans="1:4" x14ac:dyDescent="0.25">
      <c r="A4503" s="418" t="s">
        <v>16511</v>
      </c>
      <c r="B4503">
        <v>2</v>
      </c>
      <c r="C4503" s="309"/>
      <c r="D4503" s="310"/>
    </row>
    <row r="4504" spans="1:4" x14ac:dyDescent="0.25">
      <c r="A4504" s="418" t="s">
        <v>16512</v>
      </c>
      <c r="B4504">
        <v>1</v>
      </c>
      <c r="C4504" s="309"/>
      <c r="D4504" s="310"/>
    </row>
    <row r="4505" spans="1:4" x14ac:dyDescent="0.25">
      <c r="A4505" s="418" t="s">
        <v>16867</v>
      </c>
      <c r="B4505">
        <v>1</v>
      </c>
      <c r="C4505" s="309"/>
      <c r="D4505" s="310"/>
    </row>
    <row r="4506" spans="1:4" x14ac:dyDescent="0.25">
      <c r="A4506" s="418" t="s">
        <v>16868</v>
      </c>
      <c r="B4506">
        <v>4</v>
      </c>
      <c r="C4506" s="309"/>
      <c r="D4506" s="310"/>
    </row>
    <row r="4507" spans="1:4" x14ac:dyDescent="0.25">
      <c r="A4507" s="418" t="s">
        <v>17183</v>
      </c>
      <c r="B4507">
        <v>1</v>
      </c>
      <c r="C4507" s="309"/>
      <c r="D4507" s="310"/>
    </row>
    <row r="4508" spans="1:4" x14ac:dyDescent="0.25">
      <c r="A4508" s="418" t="s">
        <v>16031</v>
      </c>
      <c r="B4508">
        <v>3</v>
      </c>
      <c r="C4508" s="309"/>
      <c r="D4508" s="310"/>
    </row>
    <row r="4509" spans="1:4" x14ac:dyDescent="0.25">
      <c r="A4509" s="418" t="s">
        <v>17184</v>
      </c>
      <c r="B4509">
        <v>3</v>
      </c>
      <c r="C4509" s="309"/>
      <c r="D4509" s="310"/>
    </row>
    <row r="4510" spans="1:4" x14ac:dyDescent="0.25">
      <c r="A4510" s="418" t="s">
        <v>16869</v>
      </c>
      <c r="B4510">
        <v>1</v>
      </c>
      <c r="C4510" s="309"/>
      <c r="D4510" s="310"/>
    </row>
    <row r="4511" spans="1:4" x14ac:dyDescent="0.25">
      <c r="A4511" s="418" t="s">
        <v>15429</v>
      </c>
      <c r="B4511">
        <v>2</v>
      </c>
      <c r="C4511" s="309"/>
      <c r="D4511" s="310"/>
    </row>
    <row r="4512" spans="1:4" x14ac:dyDescent="0.25">
      <c r="A4512" s="418" t="s">
        <v>15430</v>
      </c>
      <c r="B4512">
        <v>2</v>
      </c>
      <c r="C4512" s="309"/>
      <c r="D4512" s="310"/>
    </row>
    <row r="4513" spans="1:4" x14ac:dyDescent="0.25">
      <c r="A4513" s="418" t="s">
        <v>17185</v>
      </c>
      <c r="B4513">
        <v>3</v>
      </c>
      <c r="C4513" s="309"/>
      <c r="D4513" s="310"/>
    </row>
    <row r="4514" spans="1:4" x14ac:dyDescent="0.25">
      <c r="A4514" s="418" t="s">
        <v>17186</v>
      </c>
      <c r="B4514">
        <v>1</v>
      </c>
      <c r="C4514" s="309"/>
      <c r="D4514" s="310"/>
    </row>
    <row r="4515" spans="1:4" x14ac:dyDescent="0.25">
      <c r="A4515" s="418" t="s">
        <v>17187</v>
      </c>
      <c r="B4515">
        <v>2</v>
      </c>
      <c r="C4515" s="309"/>
      <c r="D4515" s="310"/>
    </row>
    <row r="4516" spans="1:4" x14ac:dyDescent="0.25">
      <c r="A4516" s="418" t="s">
        <v>17188</v>
      </c>
      <c r="B4516">
        <v>1</v>
      </c>
      <c r="C4516" s="309"/>
      <c r="D4516" s="310"/>
    </row>
    <row r="4517" spans="1:4" x14ac:dyDescent="0.25">
      <c r="A4517" s="418" t="s">
        <v>12062</v>
      </c>
      <c r="B4517">
        <v>3</v>
      </c>
      <c r="C4517" s="309"/>
      <c r="D4517" s="310"/>
    </row>
    <row r="4518" spans="1:4" x14ac:dyDescent="0.25">
      <c r="A4518" s="418" t="s">
        <v>12063</v>
      </c>
      <c r="B4518">
        <v>2</v>
      </c>
      <c r="C4518" s="309"/>
      <c r="D4518" s="310"/>
    </row>
    <row r="4519" spans="1:4" x14ac:dyDescent="0.25">
      <c r="A4519" s="418" t="s">
        <v>12064</v>
      </c>
      <c r="B4519">
        <v>1</v>
      </c>
      <c r="C4519" s="309"/>
      <c r="D4519" s="310"/>
    </row>
    <row r="4520" spans="1:4" x14ac:dyDescent="0.25">
      <c r="A4520" s="418" t="s">
        <v>12302</v>
      </c>
      <c r="B4520">
        <v>1</v>
      </c>
      <c r="C4520" s="309"/>
      <c r="D4520" s="310"/>
    </row>
    <row r="4521" spans="1:4" x14ac:dyDescent="0.25">
      <c r="A4521" s="418" t="s">
        <v>12303</v>
      </c>
      <c r="B4521">
        <v>1</v>
      </c>
      <c r="C4521" s="309"/>
      <c r="D4521" s="310"/>
    </row>
    <row r="4522" spans="1:4" x14ac:dyDescent="0.25">
      <c r="A4522" s="418" t="s">
        <v>17189</v>
      </c>
      <c r="B4522">
        <v>1</v>
      </c>
      <c r="C4522" s="309"/>
      <c r="D4522" s="310"/>
    </row>
    <row r="4523" spans="1:4" x14ac:dyDescent="0.25">
      <c r="A4523" s="418" t="s">
        <v>12065</v>
      </c>
      <c r="B4523">
        <v>4</v>
      </c>
      <c r="C4523" s="309"/>
      <c r="D4523" s="310"/>
    </row>
    <row r="4524" spans="1:4" x14ac:dyDescent="0.25">
      <c r="A4524" s="418" t="s">
        <v>16870</v>
      </c>
      <c r="B4524">
        <v>2</v>
      </c>
      <c r="C4524" s="309"/>
      <c r="D4524" s="310"/>
    </row>
    <row r="4525" spans="1:4" x14ac:dyDescent="0.25">
      <c r="A4525" s="418" t="s">
        <v>17190</v>
      </c>
      <c r="B4525">
        <v>3</v>
      </c>
      <c r="C4525" s="309"/>
      <c r="D4525" s="310"/>
    </row>
    <row r="4526" spans="1:4" x14ac:dyDescent="0.25">
      <c r="A4526" s="418" t="s">
        <v>16871</v>
      </c>
      <c r="B4526">
        <v>1</v>
      </c>
      <c r="C4526" s="309"/>
      <c r="D4526" s="310"/>
    </row>
    <row r="4527" spans="1:4" x14ac:dyDescent="0.25">
      <c r="A4527" s="418" t="s">
        <v>11891</v>
      </c>
      <c r="B4527">
        <v>1</v>
      </c>
      <c r="C4527" s="309"/>
      <c r="D4527" s="310"/>
    </row>
    <row r="4528" spans="1:4" x14ac:dyDescent="0.25">
      <c r="A4528" s="418" t="s">
        <v>15610</v>
      </c>
      <c r="B4528">
        <v>3</v>
      </c>
      <c r="C4528" s="309"/>
      <c r="D4528" s="310"/>
    </row>
    <row r="4529" spans="1:4" x14ac:dyDescent="0.25">
      <c r="A4529" s="418" t="s">
        <v>17191</v>
      </c>
      <c r="B4529">
        <v>1</v>
      </c>
      <c r="C4529" s="309"/>
      <c r="D4529" s="310"/>
    </row>
    <row r="4530" spans="1:4" x14ac:dyDescent="0.25">
      <c r="A4530" s="418" t="s">
        <v>16135</v>
      </c>
      <c r="B4530">
        <v>1</v>
      </c>
      <c r="C4530" s="309"/>
      <c r="D4530" s="310"/>
    </row>
    <row r="4531" spans="1:4" x14ac:dyDescent="0.25">
      <c r="A4531" s="418" t="s">
        <v>17192</v>
      </c>
      <c r="B4531">
        <v>1</v>
      </c>
      <c r="C4531" s="309"/>
      <c r="D4531" s="310"/>
    </row>
    <row r="4532" spans="1:4" x14ac:dyDescent="0.25">
      <c r="A4532" s="418" t="s">
        <v>16136</v>
      </c>
      <c r="B4532">
        <v>1</v>
      </c>
      <c r="C4532" s="309"/>
      <c r="D4532" s="310"/>
    </row>
    <row r="4533" spans="1:4" x14ac:dyDescent="0.25">
      <c r="A4533" s="418" t="s">
        <v>6446</v>
      </c>
      <c r="B4533">
        <v>2</v>
      </c>
      <c r="C4533" s="309"/>
      <c r="D4533" s="310"/>
    </row>
    <row r="4534" spans="1:4" x14ac:dyDescent="0.25">
      <c r="A4534" s="418" t="s">
        <v>6447</v>
      </c>
      <c r="B4534">
        <v>2</v>
      </c>
      <c r="C4534" s="309"/>
      <c r="D4534" s="310"/>
    </row>
    <row r="4535" spans="1:4" x14ac:dyDescent="0.25">
      <c r="A4535" s="418" t="s">
        <v>7313</v>
      </c>
      <c r="B4535">
        <v>1</v>
      </c>
      <c r="C4535" s="309"/>
      <c r="D4535" s="310"/>
    </row>
    <row r="4536" spans="1:4" x14ac:dyDescent="0.25">
      <c r="A4536" s="418" t="s">
        <v>12157</v>
      </c>
      <c r="B4536">
        <v>6</v>
      </c>
      <c r="C4536" s="309"/>
      <c r="D4536" s="310"/>
    </row>
    <row r="4537" spans="1:4" x14ac:dyDescent="0.25">
      <c r="A4537" s="418" t="s">
        <v>12158</v>
      </c>
      <c r="B4537">
        <v>5</v>
      </c>
      <c r="C4537" s="309"/>
      <c r="D4537" s="310"/>
    </row>
    <row r="4538" spans="1:4" x14ac:dyDescent="0.25">
      <c r="A4538" s="418" t="s">
        <v>15960</v>
      </c>
      <c r="B4538">
        <v>1</v>
      </c>
      <c r="C4538" s="309"/>
      <c r="D4538" s="310"/>
    </row>
    <row r="4539" spans="1:4" x14ac:dyDescent="0.25">
      <c r="A4539" s="418" t="s">
        <v>15961</v>
      </c>
      <c r="B4539">
        <v>1</v>
      </c>
      <c r="C4539" s="309"/>
      <c r="D4539" s="310"/>
    </row>
    <row r="4540" spans="1:4" x14ac:dyDescent="0.25">
      <c r="A4540" s="418" t="s">
        <v>16513</v>
      </c>
      <c r="B4540">
        <v>2</v>
      </c>
      <c r="C4540" s="309"/>
      <c r="D4540" s="310"/>
    </row>
    <row r="4541" spans="1:4" x14ac:dyDescent="0.25">
      <c r="A4541" s="418" t="s">
        <v>16514</v>
      </c>
      <c r="B4541">
        <v>1</v>
      </c>
      <c r="C4541" s="309"/>
      <c r="D4541" s="310"/>
    </row>
    <row r="4542" spans="1:4" x14ac:dyDescent="0.25">
      <c r="A4542" s="418" t="s">
        <v>16515</v>
      </c>
      <c r="B4542">
        <v>1</v>
      </c>
      <c r="C4542" s="309"/>
      <c r="D4542" s="310"/>
    </row>
    <row r="4543" spans="1:4" x14ac:dyDescent="0.25">
      <c r="A4543" s="418" t="s">
        <v>16516</v>
      </c>
      <c r="B4543">
        <v>1</v>
      </c>
      <c r="C4543" s="309"/>
      <c r="D4543" s="310"/>
    </row>
    <row r="4544" spans="1:4" x14ac:dyDescent="0.25">
      <c r="A4544" s="418" t="s">
        <v>16517</v>
      </c>
      <c r="B4544">
        <v>1</v>
      </c>
      <c r="C4544" s="309"/>
      <c r="D4544" s="310"/>
    </row>
    <row r="4545" spans="1:4" x14ac:dyDescent="0.25">
      <c r="A4545" s="418" t="s">
        <v>16518</v>
      </c>
      <c r="B4545">
        <v>1</v>
      </c>
      <c r="C4545" s="309"/>
      <c r="D4545" s="310"/>
    </row>
    <row r="4546" spans="1:4" x14ac:dyDescent="0.25">
      <c r="A4546" s="418" t="s">
        <v>16519</v>
      </c>
      <c r="B4546">
        <v>1</v>
      </c>
      <c r="C4546" s="309"/>
      <c r="D4546" s="310"/>
    </row>
    <row r="4547" spans="1:4" x14ac:dyDescent="0.25">
      <c r="A4547" s="418" t="s">
        <v>12066</v>
      </c>
      <c r="B4547">
        <v>3</v>
      </c>
      <c r="C4547" s="309"/>
      <c r="D4547" s="310"/>
    </row>
    <row r="4548" spans="1:4" x14ac:dyDescent="0.25">
      <c r="A4548" s="418" t="s">
        <v>12466</v>
      </c>
      <c r="B4548">
        <v>4</v>
      </c>
      <c r="C4548" s="309"/>
      <c r="D4548" s="310"/>
    </row>
    <row r="4549" spans="1:4" x14ac:dyDescent="0.25">
      <c r="A4549" s="418" t="s">
        <v>16137</v>
      </c>
      <c r="B4549">
        <v>1</v>
      </c>
      <c r="C4549" s="309"/>
      <c r="D4549" s="310"/>
    </row>
    <row r="4550" spans="1:4" x14ac:dyDescent="0.25">
      <c r="A4550" s="418" t="s">
        <v>17193</v>
      </c>
      <c r="B4550">
        <v>1</v>
      </c>
      <c r="C4550" s="309"/>
      <c r="D4550" s="310"/>
    </row>
    <row r="4551" spans="1:4" x14ac:dyDescent="0.25">
      <c r="A4551" s="418" t="s">
        <v>16520</v>
      </c>
      <c r="B4551">
        <v>1</v>
      </c>
      <c r="C4551" s="309"/>
      <c r="D4551" s="310"/>
    </row>
    <row r="4552" spans="1:4" x14ac:dyDescent="0.25">
      <c r="A4552" s="418" t="s">
        <v>12067</v>
      </c>
      <c r="B4552">
        <v>1</v>
      </c>
      <c r="C4552" s="309"/>
      <c r="D4552" s="310"/>
    </row>
    <row r="4553" spans="1:4" x14ac:dyDescent="0.25">
      <c r="A4553" s="418" t="s">
        <v>12068</v>
      </c>
      <c r="B4553">
        <v>1</v>
      </c>
      <c r="C4553" s="309"/>
      <c r="D4553" s="310"/>
    </row>
    <row r="4554" spans="1:4" x14ac:dyDescent="0.25">
      <c r="A4554" s="418" t="s">
        <v>12069</v>
      </c>
      <c r="B4554">
        <v>1</v>
      </c>
      <c r="C4554" s="309"/>
      <c r="D4554" s="310"/>
    </row>
    <row r="4555" spans="1:4" x14ac:dyDescent="0.25">
      <c r="A4555" s="418" t="s">
        <v>12070</v>
      </c>
      <c r="B4555">
        <v>1</v>
      </c>
      <c r="C4555" s="309"/>
      <c r="D4555" s="310"/>
    </row>
    <row r="4556" spans="1:4" x14ac:dyDescent="0.25">
      <c r="A4556" s="418" t="s">
        <v>12071</v>
      </c>
      <c r="B4556">
        <v>1</v>
      </c>
      <c r="C4556" s="309"/>
      <c r="D4556" s="310"/>
    </row>
    <row r="4557" spans="1:4" x14ac:dyDescent="0.25">
      <c r="A4557" s="418" t="s">
        <v>12072</v>
      </c>
      <c r="B4557">
        <v>1</v>
      </c>
      <c r="C4557" s="309"/>
      <c r="D4557" s="310"/>
    </row>
    <row r="4558" spans="1:4" x14ac:dyDescent="0.25">
      <c r="A4558" s="418" t="s">
        <v>12376</v>
      </c>
      <c r="B4558">
        <v>3</v>
      </c>
      <c r="C4558" s="309"/>
      <c r="D4558" s="310"/>
    </row>
    <row r="4559" spans="1:4" x14ac:dyDescent="0.25">
      <c r="A4559" s="418" t="s">
        <v>16521</v>
      </c>
      <c r="B4559">
        <v>2</v>
      </c>
      <c r="C4559" s="309"/>
      <c r="D4559" s="310"/>
    </row>
    <row r="4560" spans="1:4" x14ac:dyDescent="0.25">
      <c r="A4560" s="418" t="s">
        <v>12377</v>
      </c>
      <c r="B4560">
        <v>3</v>
      </c>
      <c r="C4560" s="309"/>
      <c r="D4560" s="310"/>
    </row>
    <row r="4561" spans="1:4" x14ac:dyDescent="0.25">
      <c r="A4561" s="418" t="s">
        <v>16522</v>
      </c>
      <c r="B4561">
        <v>2</v>
      </c>
      <c r="C4561" s="309"/>
      <c r="D4561" s="310"/>
    </row>
    <row r="4562" spans="1:4" x14ac:dyDescent="0.25">
      <c r="A4562" s="418" t="s">
        <v>15177</v>
      </c>
      <c r="B4562">
        <v>2</v>
      </c>
      <c r="C4562" s="309"/>
      <c r="D4562" s="310"/>
    </row>
    <row r="4563" spans="1:4" x14ac:dyDescent="0.25">
      <c r="A4563" s="418" t="s">
        <v>17194</v>
      </c>
      <c r="B4563">
        <v>1</v>
      </c>
      <c r="C4563" s="309"/>
      <c r="D4563" s="310"/>
    </row>
    <row r="4564" spans="1:4" x14ac:dyDescent="0.25">
      <c r="A4564" s="418" t="s">
        <v>12378</v>
      </c>
      <c r="B4564">
        <v>1</v>
      </c>
      <c r="C4564" s="309"/>
      <c r="D4564" s="310"/>
    </row>
    <row r="4565" spans="1:4" x14ac:dyDescent="0.25">
      <c r="A4565" s="418" t="s">
        <v>12379</v>
      </c>
      <c r="B4565">
        <v>1</v>
      </c>
      <c r="C4565" s="309"/>
      <c r="D4565" s="310"/>
    </row>
    <row r="4566" spans="1:4" x14ac:dyDescent="0.25">
      <c r="A4566" s="418" t="s">
        <v>12073</v>
      </c>
      <c r="B4566">
        <v>1</v>
      </c>
      <c r="C4566" s="309"/>
      <c r="D4566" s="310"/>
    </row>
    <row r="4567" spans="1:4" x14ac:dyDescent="0.25">
      <c r="A4567" s="418" t="s">
        <v>12074</v>
      </c>
      <c r="B4567">
        <v>1</v>
      </c>
      <c r="C4567" s="309"/>
      <c r="D4567" s="310"/>
    </row>
    <row r="4568" spans="1:4" x14ac:dyDescent="0.25">
      <c r="A4568" s="418" t="s">
        <v>17195</v>
      </c>
      <c r="B4568">
        <v>1</v>
      </c>
      <c r="C4568" s="309"/>
      <c r="D4568" s="310"/>
    </row>
    <row r="4569" spans="1:4" x14ac:dyDescent="0.25">
      <c r="A4569" s="418" t="s">
        <v>17196</v>
      </c>
      <c r="B4569">
        <v>3</v>
      </c>
      <c r="C4569" s="309"/>
      <c r="D4569" s="310"/>
    </row>
    <row r="4570" spans="1:4" x14ac:dyDescent="0.25">
      <c r="A4570" s="418" t="s">
        <v>12075</v>
      </c>
      <c r="B4570">
        <v>1</v>
      </c>
      <c r="C4570" s="309"/>
      <c r="D4570" s="310"/>
    </row>
    <row r="4571" spans="1:4" x14ac:dyDescent="0.25">
      <c r="A4571" s="418" t="s">
        <v>12076</v>
      </c>
      <c r="B4571">
        <v>1</v>
      </c>
      <c r="C4571" s="309"/>
      <c r="D4571" s="310"/>
    </row>
    <row r="4572" spans="1:4" x14ac:dyDescent="0.25">
      <c r="A4572" s="418" t="s">
        <v>16328</v>
      </c>
      <c r="B4572">
        <v>2</v>
      </c>
      <c r="C4572" s="309"/>
      <c r="D4572" s="310"/>
    </row>
    <row r="4573" spans="1:4" x14ac:dyDescent="0.25">
      <c r="A4573" s="418" t="s">
        <v>16523</v>
      </c>
      <c r="B4573">
        <v>1</v>
      </c>
      <c r="C4573" s="309"/>
      <c r="D4573" s="310"/>
    </row>
    <row r="4574" spans="1:4" x14ac:dyDescent="0.25">
      <c r="A4574" s="418" t="s">
        <v>16524</v>
      </c>
      <c r="B4574">
        <v>1</v>
      </c>
      <c r="C4574" s="309"/>
      <c r="D4574" s="310"/>
    </row>
    <row r="4575" spans="1:4" x14ac:dyDescent="0.25">
      <c r="A4575" s="418" t="s">
        <v>12118</v>
      </c>
      <c r="B4575">
        <v>2</v>
      </c>
      <c r="C4575" s="309"/>
      <c r="D4575" s="310"/>
    </row>
    <row r="4576" spans="1:4" x14ac:dyDescent="0.25">
      <c r="A4576" s="418" t="s">
        <v>16525</v>
      </c>
      <c r="B4576">
        <v>1</v>
      </c>
      <c r="C4576" s="309"/>
      <c r="D4576" s="310"/>
    </row>
    <row r="4577" spans="1:4" x14ac:dyDescent="0.25">
      <c r="A4577" s="418" t="s">
        <v>16526</v>
      </c>
      <c r="B4577">
        <v>1</v>
      </c>
      <c r="C4577" s="309"/>
      <c r="D4577" s="310"/>
    </row>
    <row r="4578" spans="1:4" x14ac:dyDescent="0.25">
      <c r="A4578" s="418" t="s">
        <v>15611</v>
      </c>
      <c r="B4578">
        <v>1</v>
      </c>
      <c r="C4578" s="309"/>
      <c r="D4578" s="310"/>
    </row>
    <row r="4579" spans="1:4" x14ac:dyDescent="0.25">
      <c r="A4579" s="418" t="s">
        <v>15178</v>
      </c>
      <c r="B4579">
        <v>3</v>
      </c>
      <c r="C4579" s="309"/>
      <c r="D4579" s="310"/>
    </row>
    <row r="4580" spans="1:4" x14ac:dyDescent="0.25">
      <c r="A4580" s="418" t="s">
        <v>16527</v>
      </c>
      <c r="B4580">
        <v>1</v>
      </c>
      <c r="C4580" s="309"/>
      <c r="D4580" s="310"/>
    </row>
    <row r="4581" spans="1:4" x14ac:dyDescent="0.25">
      <c r="A4581" s="418" t="s">
        <v>16528</v>
      </c>
      <c r="B4581">
        <v>1</v>
      </c>
      <c r="C4581" s="309"/>
      <c r="D4581" s="310"/>
    </row>
    <row r="4582" spans="1:4" x14ac:dyDescent="0.25">
      <c r="A4582" s="418" t="s">
        <v>15552</v>
      </c>
      <c r="B4582">
        <v>1</v>
      </c>
      <c r="C4582" s="309"/>
      <c r="D4582" s="310"/>
    </row>
    <row r="4583" spans="1:4" x14ac:dyDescent="0.25">
      <c r="A4583" s="418" t="s">
        <v>17197</v>
      </c>
      <c r="B4583">
        <v>2</v>
      </c>
      <c r="C4583" s="309"/>
      <c r="D4583" s="310"/>
    </row>
    <row r="4584" spans="1:4" x14ac:dyDescent="0.25">
      <c r="A4584" s="418" t="s">
        <v>16138</v>
      </c>
      <c r="B4584">
        <v>1</v>
      </c>
      <c r="C4584" s="309"/>
      <c r="D4584" s="310"/>
    </row>
    <row r="4585" spans="1:4" x14ac:dyDescent="0.25">
      <c r="A4585" s="418" t="s">
        <v>16301</v>
      </c>
      <c r="B4585">
        <v>3</v>
      </c>
      <c r="C4585" s="309"/>
      <c r="D4585" s="310"/>
    </row>
    <row r="4586" spans="1:4" x14ac:dyDescent="0.25">
      <c r="A4586" s="418" t="s">
        <v>15220</v>
      </c>
      <c r="B4586">
        <v>4</v>
      </c>
      <c r="C4586" s="309"/>
      <c r="D4586" s="310"/>
    </row>
    <row r="4587" spans="1:4" x14ac:dyDescent="0.25">
      <c r="A4587" s="418" t="s">
        <v>15221</v>
      </c>
      <c r="B4587">
        <v>5</v>
      </c>
      <c r="C4587" s="309"/>
      <c r="D4587" s="310"/>
    </row>
    <row r="4588" spans="1:4" x14ac:dyDescent="0.25">
      <c r="A4588" s="418" t="s">
        <v>11557</v>
      </c>
      <c r="B4588">
        <v>3</v>
      </c>
      <c r="C4588" s="309"/>
      <c r="D4588" s="310"/>
    </row>
    <row r="4589" spans="1:4" x14ac:dyDescent="0.25">
      <c r="A4589" s="418" t="s">
        <v>17198</v>
      </c>
      <c r="B4589">
        <v>1</v>
      </c>
      <c r="C4589" s="309"/>
      <c r="D4589" s="310"/>
    </row>
    <row r="4590" spans="1:4" x14ac:dyDescent="0.25">
      <c r="A4590" s="418" t="s">
        <v>12380</v>
      </c>
      <c r="B4590">
        <v>1</v>
      </c>
      <c r="C4590" s="309"/>
      <c r="D4590" s="310"/>
    </row>
    <row r="4591" spans="1:4" x14ac:dyDescent="0.25">
      <c r="A4591" s="418" t="s">
        <v>12381</v>
      </c>
      <c r="B4591">
        <v>2</v>
      </c>
      <c r="C4591" s="309"/>
      <c r="D4591" s="310"/>
    </row>
    <row r="4592" spans="1:4" x14ac:dyDescent="0.25">
      <c r="A4592" s="418" t="s">
        <v>16139</v>
      </c>
      <c r="B4592">
        <v>2</v>
      </c>
      <c r="C4592" s="309"/>
      <c r="D4592" s="310"/>
    </row>
    <row r="4593" spans="1:4" x14ac:dyDescent="0.25">
      <c r="A4593" s="418" t="s">
        <v>17199</v>
      </c>
      <c r="B4593">
        <v>1</v>
      </c>
      <c r="C4593" s="309"/>
      <c r="D4593" s="310"/>
    </row>
    <row r="4594" spans="1:4" x14ac:dyDescent="0.25">
      <c r="A4594" s="418" t="s">
        <v>16529</v>
      </c>
      <c r="B4594">
        <v>1</v>
      </c>
      <c r="C4594" s="309"/>
      <c r="D4594" s="310"/>
    </row>
    <row r="4595" spans="1:4" x14ac:dyDescent="0.25">
      <c r="A4595" s="418" t="s">
        <v>16140</v>
      </c>
      <c r="B4595">
        <v>1</v>
      </c>
      <c r="C4595" s="309"/>
      <c r="D4595" s="310"/>
    </row>
    <row r="4596" spans="1:4" x14ac:dyDescent="0.25">
      <c r="A4596" s="418" t="s">
        <v>16141</v>
      </c>
      <c r="B4596">
        <v>2</v>
      </c>
      <c r="C4596" s="309"/>
      <c r="D4596" s="310"/>
    </row>
    <row r="4597" spans="1:4" x14ac:dyDescent="0.25">
      <c r="A4597" s="418" t="s">
        <v>12350</v>
      </c>
      <c r="B4597">
        <v>1</v>
      </c>
      <c r="C4597" s="309"/>
      <c r="D4597" s="310"/>
    </row>
    <row r="4598" spans="1:4" x14ac:dyDescent="0.25">
      <c r="A4598" s="418" t="s">
        <v>12351</v>
      </c>
      <c r="B4598">
        <v>1</v>
      </c>
      <c r="C4598" s="309"/>
      <c r="D4598" s="310"/>
    </row>
    <row r="4599" spans="1:4" x14ac:dyDescent="0.25">
      <c r="A4599" s="418" t="s">
        <v>12382</v>
      </c>
      <c r="B4599">
        <v>3</v>
      </c>
      <c r="C4599" s="309"/>
      <c r="D4599" s="310"/>
    </row>
    <row r="4600" spans="1:4" x14ac:dyDescent="0.25">
      <c r="A4600" s="418" t="s">
        <v>12383</v>
      </c>
      <c r="B4600">
        <v>4</v>
      </c>
      <c r="C4600" s="309"/>
      <c r="D4600" s="310"/>
    </row>
    <row r="4601" spans="1:4" x14ac:dyDescent="0.25">
      <c r="A4601" s="418" t="s">
        <v>16530</v>
      </c>
      <c r="B4601">
        <v>1</v>
      </c>
      <c r="C4601" s="309"/>
      <c r="D4601" s="310"/>
    </row>
    <row r="4602" spans="1:4" x14ac:dyDescent="0.25">
      <c r="A4602" s="418" t="s">
        <v>16142</v>
      </c>
      <c r="B4602">
        <v>2</v>
      </c>
      <c r="C4602" s="309"/>
      <c r="D4602" s="310"/>
    </row>
    <row r="4603" spans="1:4" x14ac:dyDescent="0.25">
      <c r="A4603" s="418" t="s">
        <v>16143</v>
      </c>
      <c r="B4603">
        <v>2</v>
      </c>
      <c r="C4603" s="309"/>
      <c r="D4603" s="310"/>
    </row>
    <row r="4604" spans="1:4" x14ac:dyDescent="0.25">
      <c r="A4604" s="418" t="s">
        <v>12467</v>
      </c>
      <c r="B4604">
        <v>6</v>
      </c>
      <c r="C4604" s="309"/>
      <c r="D4604" s="310"/>
    </row>
    <row r="4605" spans="1:4" x14ac:dyDescent="0.25">
      <c r="A4605" s="418" t="s">
        <v>12468</v>
      </c>
      <c r="B4605">
        <v>7</v>
      </c>
      <c r="C4605" s="309"/>
      <c r="D4605" s="310"/>
    </row>
    <row r="4606" spans="1:4" x14ac:dyDescent="0.25">
      <c r="A4606" s="418" t="s">
        <v>16531</v>
      </c>
      <c r="B4606">
        <v>4</v>
      </c>
      <c r="C4606" s="309"/>
      <c r="D4606" s="310"/>
    </row>
    <row r="4607" spans="1:4" x14ac:dyDescent="0.25">
      <c r="A4607" s="418" t="s">
        <v>17200</v>
      </c>
      <c r="B4607">
        <v>1</v>
      </c>
      <c r="C4607" s="309"/>
      <c r="D4607" s="310"/>
    </row>
    <row r="4608" spans="1:4" x14ac:dyDescent="0.25">
      <c r="A4608" s="418" t="s">
        <v>17201</v>
      </c>
      <c r="B4608">
        <v>1</v>
      </c>
      <c r="C4608" s="309"/>
      <c r="D4608" s="310"/>
    </row>
    <row r="4609" spans="1:4" x14ac:dyDescent="0.25">
      <c r="A4609" s="418" t="s">
        <v>6534</v>
      </c>
      <c r="B4609">
        <v>3</v>
      </c>
      <c r="C4609" s="309"/>
      <c r="D4609" s="310"/>
    </row>
    <row r="4610" spans="1:4" x14ac:dyDescent="0.25">
      <c r="A4610" s="418" t="s">
        <v>6773</v>
      </c>
      <c r="B4610">
        <v>3</v>
      </c>
      <c r="C4610" s="309"/>
      <c r="D4610" s="310"/>
    </row>
    <row r="4611" spans="1:4" x14ac:dyDescent="0.25">
      <c r="A4611" s="418" t="s">
        <v>7130</v>
      </c>
      <c r="B4611">
        <v>1</v>
      </c>
      <c r="C4611" s="309"/>
      <c r="D4611" s="310"/>
    </row>
    <row r="4612" spans="1:4" x14ac:dyDescent="0.25">
      <c r="A4612" s="418" t="s">
        <v>6774</v>
      </c>
      <c r="B4612">
        <v>3</v>
      </c>
      <c r="C4612" s="309"/>
      <c r="D4612" s="310"/>
    </row>
    <row r="4613" spans="1:4" x14ac:dyDescent="0.25">
      <c r="A4613" s="418" t="s">
        <v>15553</v>
      </c>
      <c r="B4613">
        <v>1</v>
      </c>
      <c r="C4613" s="309"/>
      <c r="D4613" s="310"/>
    </row>
    <row r="4614" spans="1:4" x14ac:dyDescent="0.25">
      <c r="A4614" s="418" t="s">
        <v>15554</v>
      </c>
      <c r="B4614">
        <v>2</v>
      </c>
      <c r="C4614" s="309"/>
      <c r="D4614" s="310"/>
    </row>
    <row r="4615" spans="1:4" x14ac:dyDescent="0.25">
      <c r="A4615" s="418" t="s">
        <v>15555</v>
      </c>
      <c r="B4615">
        <v>2</v>
      </c>
      <c r="C4615" s="309"/>
      <c r="D4615" s="310"/>
    </row>
    <row r="4616" spans="1:4" x14ac:dyDescent="0.25">
      <c r="A4616" s="418" t="s">
        <v>12384</v>
      </c>
      <c r="B4616">
        <v>4</v>
      </c>
      <c r="C4616" s="309"/>
      <c r="D4616" s="310"/>
    </row>
    <row r="4617" spans="1:4" x14ac:dyDescent="0.25">
      <c r="A4617" s="418" t="s">
        <v>12385</v>
      </c>
      <c r="B4617">
        <v>4</v>
      </c>
      <c r="C4617" s="309"/>
      <c r="D4617" s="310"/>
    </row>
    <row r="4618" spans="1:4" x14ac:dyDescent="0.25">
      <c r="A4618" s="418" t="s">
        <v>12386</v>
      </c>
      <c r="B4618">
        <v>4</v>
      </c>
      <c r="C4618" s="309"/>
      <c r="D4618" s="310"/>
    </row>
    <row r="4619" spans="1:4" x14ac:dyDescent="0.25">
      <c r="A4619" s="418" t="s">
        <v>15222</v>
      </c>
      <c r="B4619">
        <v>2</v>
      </c>
      <c r="C4619" s="309"/>
      <c r="D4619" s="310"/>
    </row>
    <row r="4620" spans="1:4" x14ac:dyDescent="0.25">
      <c r="A4620" s="418" t="s">
        <v>12387</v>
      </c>
      <c r="B4620">
        <v>2</v>
      </c>
      <c r="C4620" s="309"/>
      <c r="D4620" s="310"/>
    </row>
    <row r="4621" spans="1:4" x14ac:dyDescent="0.25">
      <c r="A4621" s="418" t="s">
        <v>16532</v>
      </c>
      <c r="B4621">
        <v>1</v>
      </c>
      <c r="C4621" s="309"/>
      <c r="D4621" s="310"/>
    </row>
    <row r="4622" spans="1:4" x14ac:dyDescent="0.25">
      <c r="A4622" s="418" t="s">
        <v>15223</v>
      </c>
      <c r="B4622">
        <v>2</v>
      </c>
      <c r="C4622" s="309"/>
      <c r="D4622" s="310"/>
    </row>
    <row r="4623" spans="1:4" x14ac:dyDescent="0.25">
      <c r="A4623" s="418" t="s">
        <v>12352</v>
      </c>
      <c r="B4623">
        <v>3</v>
      </c>
      <c r="C4623" s="309"/>
      <c r="D4623" s="310"/>
    </row>
    <row r="4624" spans="1:4" x14ac:dyDescent="0.25">
      <c r="A4624" s="418" t="s">
        <v>17202</v>
      </c>
      <c r="B4624">
        <v>1</v>
      </c>
      <c r="C4624" s="309"/>
      <c r="D4624" s="310"/>
    </row>
    <row r="4625" spans="1:4" x14ac:dyDescent="0.25">
      <c r="A4625" s="418" t="s">
        <v>15556</v>
      </c>
      <c r="B4625">
        <v>2</v>
      </c>
      <c r="C4625" s="309"/>
      <c r="D4625" s="310"/>
    </row>
    <row r="4626" spans="1:4" x14ac:dyDescent="0.25">
      <c r="A4626" s="418" t="s">
        <v>16533</v>
      </c>
      <c r="B4626">
        <v>1</v>
      </c>
      <c r="C4626" s="309"/>
      <c r="D4626" s="310"/>
    </row>
    <row r="4627" spans="1:4" x14ac:dyDescent="0.25">
      <c r="A4627" s="418" t="s">
        <v>16534</v>
      </c>
      <c r="B4627">
        <v>1</v>
      </c>
      <c r="C4627" s="309"/>
      <c r="D4627" s="310"/>
    </row>
    <row r="4628" spans="1:4" x14ac:dyDescent="0.25">
      <c r="A4628" s="418" t="s">
        <v>15330</v>
      </c>
      <c r="B4628">
        <v>1</v>
      </c>
      <c r="C4628" s="309"/>
      <c r="D4628" s="310"/>
    </row>
    <row r="4629" spans="1:4" x14ac:dyDescent="0.25">
      <c r="A4629" s="418" t="s">
        <v>15331</v>
      </c>
      <c r="B4629">
        <v>1</v>
      </c>
      <c r="C4629" s="309"/>
      <c r="D4629" s="310"/>
    </row>
    <row r="4630" spans="1:4" x14ac:dyDescent="0.25">
      <c r="A4630" s="418" t="s">
        <v>16535</v>
      </c>
      <c r="B4630">
        <v>1</v>
      </c>
      <c r="C4630" s="309"/>
      <c r="D4630" s="310"/>
    </row>
    <row r="4631" spans="1:4" x14ac:dyDescent="0.25">
      <c r="A4631" s="418" t="s">
        <v>16872</v>
      </c>
      <c r="B4631">
        <v>1</v>
      </c>
      <c r="C4631" s="309"/>
      <c r="D4631" s="310"/>
    </row>
    <row r="4632" spans="1:4" x14ac:dyDescent="0.25">
      <c r="A4632" s="418" t="s">
        <v>4365</v>
      </c>
      <c r="B4632">
        <v>3</v>
      </c>
      <c r="C4632" s="309"/>
      <c r="D4632" s="310"/>
    </row>
    <row r="4633" spans="1:4" x14ac:dyDescent="0.25">
      <c r="A4633" s="418" t="s">
        <v>4966</v>
      </c>
      <c r="B4633">
        <v>1</v>
      </c>
      <c r="C4633" s="309"/>
      <c r="D4633" s="310"/>
    </row>
    <row r="4634" spans="1:4" x14ac:dyDescent="0.25">
      <c r="A4634" s="418" t="s">
        <v>16536</v>
      </c>
      <c r="B4634">
        <v>1</v>
      </c>
      <c r="C4634" s="309"/>
      <c r="D4634" s="310"/>
    </row>
    <row r="4635" spans="1:4" x14ac:dyDescent="0.25">
      <c r="A4635" s="418" t="s">
        <v>15612</v>
      </c>
      <c r="B4635">
        <v>1</v>
      </c>
      <c r="C4635" s="309"/>
      <c r="D4635" s="310"/>
    </row>
    <row r="4636" spans="1:4" x14ac:dyDescent="0.25">
      <c r="A4636" s="418" t="s">
        <v>15613</v>
      </c>
      <c r="B4636">
        <v>1</v>
      </c>
      <c r="C4636" s="309"/>
      <c r="D4636" s="310"/>
    </row>
    <row r="4637" spans="1:4" x14ac:dyDescent="0.25">
      <c r="A4637" s="418" t="s">
        <v>15614</v>
      </c>
      <c r="B4637">
        <v>1</v>
      </c>
      <c r="C4637" s="309"/>
      <c r="D4637" s="310"/>
    </row>
    <row r="4638" spans="1:4" x14ac:dyDescent="0.25">
      <c r="A4638" s="418" t="s">
        <v>17203</v>
      </c>
      <c r="B4638">
        <v>1</v>
      </c>
      <c r="C4638" s="309"/>
      <c r="D4638" s="310"/>
    </row>
    <row r="4639" spans="1:4" x14ac:dyDescent="0.25">
      <c r="A4639" s="418" t="s">
        <v>17204</v>
      </c>
      <c r="B4639">
        <v>1</v>
      </c>
      <c r="C4639" s="309"/>
      <c r="D4639" s="310"/>
    </row>
    <row r="4640" spans="1:4" x14ac:dyDescent="0.25">
      <c r="A4640" s="418" t="s">
        <v>16537</v>
      </c>
      <c r="B4640">
        <v>1</v>
      </c>
      <c r="C4640" s="309"/>
      <c r="D4640" s="310"/>
    </row>
    <row r="4641" spans="1:4" x14ac:dyDescent="0.25">
      <c r="A4641" s="418" t="s">
        <v>17205</v>
      </c>
      <c r="B4641">
        <v>2</v>
      </c>
      <c r="C4641" s="309"/>
      <c r="D4641" s="310"/>
    </row>
    <row r="4642" spans="1:4" x14ac:dyDescent="0.25">
      <c r="A4642" s="418" t="s">
        <v>16873</v>
      </c>
      <c r="B4642">
        <v>2</v>
      </c>
      <c r="C4642" s="309"/>
      <c r="D4642" s="310"/>
    </row>
    <row r="4643" spans="1:4" x14ac:dyDescent="0.25">
      <c r="A4643" s="418" t="s">
        <v>16874</v>
      </c>
      <c r="B4643">
        <v>2</v>
      </c>
      <c r="C4643" s="309"/>
      <c r="D4643" s="310"/>
    </row>
    <row r="4644" spans="1:4" x14ac:dyDescent="0.25">
      <c r="A4644" s="418" t="s">
        <v>10319</v>
      </c>
      <c r="B4644">
        <v>5</v>
      </c>
      <c r="C4644" s="309"/>
      <c r="D4644" s="310"/>
    </row>
    <row r="4645" spans="1:4" x14ac:dyDescent="0.25">
      <c r="A4645" s="418" t="s">
        <v>8590</v>
      </c>
      <c r="B4645">
        <v>4</v>
      </c>
      <c r="C4645" s="309"/>
      <c r="D4645" s="310"/>
    </row>
    <row r="4646" spans="1:4" x14ac:dyDescent="0.25">
      <c r="A4646" s="418" t="s">
        <v>8154</v>
      </c>
      <c r="B4646">
        <v>3</v>
      </c>
      <c r="C4646" s="309"/>
      <c r="D4646" s="310"/>
    </row>
    <row r="4647" spans="1:4" x14ac:dyDescent="0.25">
      <c r="A4647" s="418" t="s">
        <v>10320</v>
      </c>
      <c r="B4647">
        <v>1</v>
      </c>
      <c r="C4647" s="309"/>
      <c r="D4647" s="310"/>
    </row>
    <row r="4648" spans="1:4" x14ac:dyDescent="0.25">
      <c r="A4648" s="418" t="s">
        <v>15179</v>
      </c>
      <c r="B4648">
        <v>8</v>
      </c>
      <c r="C4648" s="309"/>
      <c r="D4648" s="310"/>
    </row>
    <row r="4649" spans="1:4" x14ac:dyDescent="0.25">
      <c r="A4649" s="418" t="s">
        <v>15180</v>
      </c>
      <c r="B4649">
        <v>7</v>
      </c>
      <c r="C4649" s="309"/>
      <c r="D4649" s="310"/>
    </row>
    <row r="4650" spans="1:4" x14ac:dyDescent="0.25">
      <c r="A4650" s="418" t="s">
        <v>16302</v>
      </c>
      <c r="B4650">
        <v>6</v>
      </c>
      <c r="C4650" s="309"/>
      <c r="D4650" s="310"/>
    </row>
    <row r="4651" spans="1:4" x14ac:dyDescent="0.25">
      <c r="A4651" s="418" t="s">
        <v>15557</v>
      </c>
      <c r="B4651">
        <v>2</v>
      </c>
      <c r="C4651" s="309"/>
      <c r="D4651" s="310"/>
    </row>
    <row r="4652" spans="1:4" x14ac:dyDescent="0.25">
      <c r="A4652" s="418" t="s">
        <v>15615</v>
      </c>
      <c r="B4652">
        <v>1</v>
      </c>
      <c r="C4652" s="309"/>
      <c r="D4652" s="310"/>
    </row>
    <row r="4653" spans="1:4" x14ac:dyDescent="0.25">
      <c r="A4653" s="418" t="s">
        <v>16144</v>
      </c>
      <c r="B4653">
        <v>2</v>
      </c>
      <c r="C4653" s="309"/>
      <c r="D4653" s="310"/>
    </row>
    <row r="4654" spans="1:4" x14ac:dyDescent="0.25">
      <c r="A4654" s="418" t="s">
        <v>16145</v>
      </c>
      <c r="B4654">
        <v>3</v>
      </c>
      <c r="C4654" s="309"/>
      <c r="D4654" s="310"/>
    </row>
    <row r="4655" spans="1:4" x14ac:dyDescent="0.25">
      <c r="A4655" s="418" t="s">
        <v>16146</v>
      </c>
      <c r="B4655">
        <v>1</v>
      </c>
      <c r="C4655" s="309"/>
      <c r="D4655" s="310"/>
    </row>
    <row r="4656" spans="1:4" x14ac:dyDescent="0.25">
      <c r="A4656" s="418" t="s">
        <v>16875</v>
      </c>
      <c r="B4656">
        <v>1</v>
      </c>
      <c r="C4656" s="309"/>
      <c r="D4656" s="310"/>
    </row>
    <row r="4657" spans="1:4" x14ac:dyDescent="0.25">
      <c r="A4657" s="418" t="s">
        <v>16876</v>
      </c>
      <c r="B4657">
        <v>1</v>
      </c>
      <c r="C4657" s="309"/>
      <c r="D4657" s="310"/>
    </row>
    <row r="4658" spans="1:4" x14ac:dyDescent="0.25">
      <c r="A4658" s="418" t="s">
        <v>15332</v>
      </c>
      <c r="B4658">
        <v>4</v>
      </c>
      <c r="C4658" s="309"/>
      <c r="D4658" s="310"/>
    </row>
    <row r="4659" spans="1:4" x14ac:dyDescent="0.25">
      <c r="A4659" s="418" t="s">
        <v>16538</v>
      </c>
      <c r="B4659">
        <v>1</v>
      </c>
      <c r="C4659" s="309"/>
      <c r="D4659" s="310"/>
    </row>
    <row r="4660" spans="1:4" x14ac:dyDescent="0.25">
      <c r="A4660" s="418" t="s">
        <v>16877</v>
      </c>
      <c r="B4660">
        <v>1</v>
      </c>
      <c r="C4660" s="309"/>
      <c r="D4660" s="310"/>
    </row>
    <row r="4661" spans="1:4" x14ac:dyDescent="0.25">
      <c r="A4661" s="418" t="s">
        <v>16539</v>
      </c>
      <c r="B4661">
        <v>1</v>
      </c>
      <c r="C4661" s="309"/>
      <c r="D4661" s="310"/>
    </row>
    <row r="4662" spans="1:4" x14ac:dyDescent="0.25">
      <c r="A4662" s="418" t="s">
        <v>16540</v>
      </c>
      <c r="B4662">
        <v>1</v>
      </c>
      <c r="C4662" s="309"/>
      <c r="D4662" s="310"/>
    </row>
    <row r="4663" spans="1:4" x14ac:dyDescent="0.25">
      <c r="A4663" s="418" t="s">
        <v>16541</v>
      </c>
      <c r="B4663">
        <v>1</v>
      </c>
      <c r="C4663" s="309"/>
      <c r="D4663" s="310"/>
    </row>
    <row r="4664" spans="1:4" x14ac:dyDescent="0.25">
      <c r="A4664" s="418" t="s">
        <v>16542</v>
      </c>
      <c r="B4664">
        <v>5</v>
      </c>
      <c r="C4664" s="309"/>
      <c r="D4664" s="310"/>
    </row>
    <row r="4665" spans="1:4" x14ac:dyDescent="0.25">
      <c r="A4665" s="418" t="s">
        <v>16543</v>
      </c>
      <c r="B4665">
        <v>3</v>
      </c>
      <c r="C4665" s="309"/>
      <c r="D4665" s="310"/>
    </row>
    <row r="4666" spans="1:4" x14ac:dyDescent="0.25">
      <c r="A4666" s="418" t="s">
        <v>16544</v>
      </c>
      <c r="B4666">
        <v>2</v>
      </c>
      <c r="C4666" s="309"/>
      <c r="D4666" s="310"/>
    </row>
    <row r="4667" spans="1:4" x14ac:dyDescent="0.25">
      <c r="A4667" s="418" t="s">
        <v>15333</v>
      </c>
      <c r="B4667">
        <v>1</v>
      </c>
      <c r="C4667" s="309"/>
      <c r="D4667" s="310"/>
    </row>
    <row r="4668" spans="1:4" x14ac:dyDescent="0.25">
      <c r="A4668" s="418" t="s">
        <v>15334</v>
      </c>
      <c r="B4668">
        <v>2</v>
      </c>
      <c r="C4668" s="309"/>
      <c r="D4668" s="310"/>
    </row>
    <row r="4669" spans="1:4" x14ac:dyDescent="0.25">
      <c r="A4669" s="418" t="s">
        <v>16545</v>
      </c>
      <c r="B4669">
        <v>1</v>
      </c>
      <c r="C4669" s="309"/>
      <c r="D4669" s="310"/>
    </row>
    <row r="4670" spans="1:4" x14ac:dyDescent="0.25">
      <c r="A4670" s="418" t="s">
        <v>17206</v>
      </c>
      <c r="B4670">
        <v>2</v>
      </c>
      <c r="C4670" s="309"/>
      <c r="D4670" s="310"/>
    </row>
    <row r="4671" spans="1:4" x14ac:dyDescent="0.25">
      <c r="A4671" s="418" t="s">
        <v>16878</v>
      </c>
      <c r="B4671">
        <v>4</v>
      </c>
      <c r="C4671" s="309"/>
      <c r="D4671" s="310"/>
    </row>
    <row r="4672" spans="1:4" x14ac:dyDescent="0.25">
      <c r="A4672" s="418" t="s">
        <v>16879</v>
      </c>
      <c r="B4672">
        <v>2</v>
      </c>
      <c r="C4672" s="309"/>
      <c r="D4672" s="310"/>
    </row>
    <row r="4673" spans="1:4" x14ac:dyDescent="0.25">
      <c r="A4673" s="418" t="s">
        <v>15558</v>
      </c>
      <c r="B4673">
        <v>3</v>
      </c>
      <c r="C4673" s="309"/>
      <c r="D4673" s="310"/>
    </row>
    <row r="4674" spans="1:4" x14ac:dyDescent="0.25">
      <c r="A4674" s="418" t="s">
        <v>15559</v>
      </c>
      <c r="B4674">
        <v>1</v>
      </c>
      <c r="C4674" s="309"/>
      <c r="D4674" s="310"/>
    </row>
    <row r="4675" spans="1:4" x14ac:dyDescent="0.25">
      <c r="A4675" s="418" t="s">
        <v>16546</v>
      </c>
      <c r="B4675">
        <v>2</v>
      </c>
      <c r="C4675" s="309"/>
      <c r="D4675" s="310"/>
    </row>
    <row r="4676" spans="1:4" x14ac:dyDescent="0.25">
      <c r="A4676" s="418" t="s">
        <v>16547</v>
      </c>
      <c r="B4676">
        <v>1</v>
      </c>
      <c r="C4676" s="309"/>
      <c r="D4676" s="310"/>
    </row>
    <row r="4677" spans="1:4" x14ac:dyDescent="0.25">
      <c r="A4677" s="418" t="s">
        <v>15335</v>
      </c>
      <c r="B4677">
        <v>2</v>
      </c>
      <c r="C4677" s="309"/>
      <c r="D4677" s="310"/>
    </row>
    <row r="4678" spans="1:4" x14ac:dyDescent="0.25">
      <c r="A4678" s="418" t="s">
        <v>15336</v>
      </c>
      <c r="B4678">
        <v>2</v>
      </c>
      <c r="C4678" s="309"/>
      <c r="D4678" s="310"/>
    </row>
    <row r="4679" spans="1:4" x14ac:dyDescent="0.25">
      <c r="A4679" s="418" t="s">
        <v>16880</v>
      </c>
      <c r="B4679">
        <v>1</v>
      </c>
      <c r="C4679" s="309"/>
      <c r="D4679" s="310"/>
    </row>
    <row r="4680" spans="1:4" x14ac:dyDescent="0.25">
      <c r="A4680" s="418" t="s">
        <v>16147</v>
      </c>
      <c r="B4680">
        <v>3</v>
      </c>
      <c r="C4680" s="309"/>
      <c r="D4680" s="310"/>
    </row>
    <row r="4681" spans="1:4" x14ac:dyDescent="0.25">
      <c r="A4681" s="418" t="s">
        <v>16148</v>
      </c>
      <c r="B4681">
        <v>2</v>
      </c>
      <c r="C4681" s="309"/>
      <c r="D4681" s="310"/>
    </row>
    <row r="4682" spans="1:4" x14ac:dyDescent="0.25">
      <c r="A4682" s="418" t="s">
        <v>16149</v>
      </c>
      <c r="B4682">
        <v>2</v>
      </c>
      <c r="C4682" s="309"/>
      <c r="D4682" s="310"/>
    </row>
    <row r="4683" spans="1:4" x14ac:dyDescent="0.25">
      <c r="A4683" s="418" t="s">
        <v>16150</v>
      </c>
      <c r="B4683">
        <v>1</v>
      </c>
      <c r="C4683" s="309"/>
      <c r="D4683" s="310"/>
    </row>
    <row r="4684" spans="1:4" x14ac:dyDescent="0.25">
      <c r="A4684" s="418" t="s">
        <v>16881</v>
      </c>
      <c r="B4684">
        <v>1</v>
      </c>
      <c r="C4684" s="309"/>
      <c r="D4684" s="310"/>
    </row>
    <row r="4685" spans="1:4" x14ac:dyDescent="0.25">
      <c r="A4685" s="418" t="s">
        <v>15560</v>
      </c>
      <c r="B4685">
        <v>1</v>
      </c>
      <c r="C4685" s="309"/>
      <c r="D4685" s="310"/>
    </row>
    <row r="4686" spans="1:4" x14ac:dyDescent="0.25">
      <c r="A4686" s="418" t="s">
        <v>16548</v>
      </c>
      <c r="B4686">
        <v>1</v>
      </c>
      <c r="C4686" s="309"/>
      <c r="D4686" s="310"/>
    </row>
    <row r="4687" spans="1:4" x14ac:dyDescent="0.25">
      <c r="A4687" s="418" t="s">
        <v>16549</v>
      </c>
      <c r="B4687">
        <v>1</v>
      </c>
      <c r="C4687" s="309"/>
      <c r="D4687" s="310"/>
    </row>
    <row r="4688" spans="1:4" x14ac:dyDescent="0.25">
      <c r="A4688" s="418" t="s">
        <v>16151</v>
      </c>
      <c r="B4688">
        <v>3</v>
      </c>
      <c r="C4688" s="309"/>
      <c r="D4688" s="310"/>
    </row>
    <row r="4689" spans="1:4" x14ac:dyDescent="0.25">
      <c r="A4689" s="418" t="s">
        <v>16152</v>
      </c>
      <c r="B4689">
        <v>3</v>
      </c>
      <c r="C4689" s="309"/>
      <c r="D4689" s="310"/>
    </row>
    <row r="4690" spans="1:4" x14ac:dyDescent="0.25">
      <c r="A4690" s="418" t="s">
        <v>16153</v>
      </c>
      <c r="B4690">
        <v>2</v>
      </c>
      <c r="C4690" s="309"/>
      <c r="D4690" s="310"/>
    </row>
    <row r="4691" spans="1:4" x14ac:dyDescent="0.25">
      <c r="A4691" s="418" t="s">
        <v>16154</v>
      </c>
      <c r="B4691">
        <v>1</v>
      </c>
      <c r="C4691" s="309"/>
      <c r="D4691" s="310"/>
    </row>
    <row r="4692" spans="1:4" x14ac:dyDescent="0.25">
      <c r="A4692" s="418" t="s">
        <v>16155</v>
      </c>
      <c r="B4692">
        <v>1</v>
      </c>
      <c r="C4692" s="309"/>
      <c r="D4692" s="310"/>
    </row>
    <row r="4693" spans="1:4" x14ac:dyDescent="0.25">
      <c r="A4693" s="418" t="s">
        <v>15561</v>
      </c>
      <c r="B4693">
        <v>1</v>
      </c>
      <c r="C4693" s="309"/>
      <c r="D4693" s="310"/>
    </row>
    <row r="4694" spans="1:4" x14ac:dyDescent="0.25">
      <c r="A4694" s="418" t="s">
        <v>15562</v>
      </c>
      <c r="B4694">
        <v>1</v>
      </c>
      <c r="C4694" s="309"/>
      <c r="D4694" s="310"/>
    </row>
    <row r="4695" spans="1:4" x14ac:dyDescent="0.25">
      <c r="A4695" s="418" t="s">
        <v>17207</v>
      </c>
      <c r="B4695">
        <v>1</v>
      </c>
      <c r="C4695" s="309"/>
      <c r="D4695" s="310"/>
    </row>
    <row r="4696" spans="1:4" x14ac:dyDescent="0.25">
      <c r="A4696" s="418" t="s">
        <v>16550</v>
      </c>
      <c r="B4696">
        <v>2</v>
      </c>
      <c r="C4696" s="309"/>
      <c r="D4696" s="310"/>
    </row>
    <row r="4697" spans="1:4" x14ac:dyDescent="0.25">
      <c r="A4697" s="418" t="s">
        <v>16882</v>
      </c>
      <c r="B4697">
        <v>2</v>
      </c>
      <c r="C4697" s="309"/>
      <c r="D4697" s="310"/>
    </row>
    <row r="4698" spans="1:4" x14ac:dyDescent="0.25">
      <c r="A4698" s="418" t="s">
        <v>17208</v>
      </c>
      <c r="B4698">
        <v>1</v>
      </c>
      <c r="C4698" s="309"/>
      <c r="D4698" s="310"/>
    </row>
    <row r="4699" spans="1:4" x14ac:dyDescent="0.25">
      <c r="A4699" s="418" t="s">
        <v>15682</v>
      </c>
      <c r="B4699">
        <v>1</v>
      </c>
      <c r="C4699" s="309"/>
      <c r="D4699" s="310"/>
    </row>
    <row r="4700" spans="1:4" x14ac:dyDescent="0.25">
      <c r="A4700" s="418" t="s">
        <v>16329</v>
      </c>
      <c r="B4700">
        <v>3</v>
      </c>
      <c r="C4700" s="309"/>
      <c r="D4700" s="310"/>
    </row>
    <row r="4701" spans="1:4" x14ac:dyDescent="0.25">
      <c r="A4701" s="418" t="s">
        <v>16551</v>
      </c>
      <c r="B4701">
        <v>2</v>
      </c>
      <c r="C4701" s="309"/>
      <c r="D4701" s="310"/>
    </row>
    <row r="4702" spans="1:4" x14ac:dyDescent="0.25">
      <c r="A4702" s="418" t="s">
        <v>16552</v>
      </c>
      <c r="B4702">
        <v>1</v>
      </c>
      <c r="C4702" s="309"/>
      <c r="D4702" s="310"/>
    </row>
    <row r="4703" spans="1:4" x14ac:dyDescent="0.25">
      <c r="A4703" s="418" t="s">
        <v>16553</v>
      </c>
      <c r="B4703">
        <v>1</v>
      </c>
      <c r="C4703" s="309"/>
      <c r="D4703" s="310"/>
    </row>
    <row r="4704" spans="1:4" x14ac:dyDescent="0.25">
      <c r="A4704" s="418" t="s">
        <v>16156</v>
      </c>
      <c r="B4704">
        <v>4</v>
      </c>
      <c r="C4704" s="309"/>
      <c r="D4704" s="310"/>
    </row>
    <row r="4705" spans="1:4" x14ac:dyDescent="0.25">
      <c r="A4705" s="418" t="s">
        <v>16157</v>
      </c>
      <c r="B4705">
        <v>2</v>
      </c>
      <c r="C4705" s="309"/>
      <c r="D4705" s="310"/>
    </row>
    <row r="4706" spans="1:4" x14ac:dyDescent="0.25">
      <c r="A4706" s="418" t="s">
        <v>15563</v>
      </c>
      <c r="B4706">
        <v>1</v>
      </c>
      <c r="C4706" s="309"/>
      <c r="D4706" s="310"/>
    </row>
    <row r="4707" spans="1:4" x14ac:dyDescent="0.25">
      <c r="A4707" s="418" t="s">
        <v>15564</v>
      </c>
      <c r="B4707">
        <v>4</v>
      </c>
      <c r="C4707" s="309"/>
      <c r="D4707" s="310"/>
    </row>
    <row r="4708" spans="1:4" x14ac:dyDescent="0.25">
      <c r="A4708" s="418" t="s">
        <v>15565</v>
      </c>
      <c r="B4708">
        <v>1</v>
      </c>
      <c r="C4708" s="309"/>
      <c r="D4708" s="310"/>
    </row>
    <row r="4709" spans="1:4" x14ac:dyDescent="0.25">
      <c r="A4709" s="418" t="s">
        <v>16883</v>
      </c>
      <c r="B4709">
        <v>1</v>
      </c>
      <c r="C4709" s="309"/>
      <c r="D4709" s="310"/>
    </row>
    <row r="4710" spans="1:4" x14ac:dyDescent="0.25">
      <c r="A4710" s="418" t="s">
        <v>16884</v>
      </c>
      <c r="B4710">
        <v>1</v>
      </c>
      <c r="C4710" s="309"/>
      <c r="D4710" s="310"/>
    </row>
    <row r="4711" spans="1:4" x14ac:dyDescent="0.25">
      <c r="A4711" s="418" t="s">
        <v>17209</v>
      </c>
      <c r="B4711">
        <v>1</v>
      </c>
      <c r="C4711" s="309"/>
      <c r="D4711" s="310"/>
    </row>
    <row r="4712" spans="1:4" x14ac:dyDescent="0.25">
      <c r="A4712" s="418" t="s">
        <v>17210</v>
      </c>
      <c r="B4712">
        <v>1</v>
      </c>
      <c r="C4712" s="309"/>
      <c r="D4712" s="310"/>
    </row>
    <row r="4713" spans="1:4" x14ac:dyDescent="0.25">
      <c r="A4713" s="418" t="s">
        <v>16554</v>
      </c>
      <c r="B4713">
        <v>1</v>
      </c>
      <c r="C4713" s="309"/>
      <c r="D4713" s="310"/>
    </row>
    <row r="4714" spans="1:4" x14ac:dyDescent="0.25">
      <c r="A4714" s="418" t="s">
        <v>5687</v>
      </c>
      <c r="B4714">
        <v>1</v>
      </c>
      <c r="C4714" s="309"/>
      <c r="D4714" s="310"/>
    </row>
    <row r="4715" spans="1:4" x14ac:dyDescent="0.25">
      <c r="A4715" s="418" t="s">
        <v>16885</v>
      </c>
      <c r="B4715">
        <v>1</v>
      </c>
      <c r="C4715" s="309"/>
      <c r="D4715" s="310"/>
    </row>
    <row r="4716" spans="1:4" x14ac:dyDescent="0.25">
      <c r="A4716" s="418" t="s">
        <v>15616</v>
      </c>
      <c r="B4716">
        <v>6</v>
      </c>
      <c r="C4716" s="309"/>
      <c r="D4716" s="310"/>
    </row>
    <row r="4717" spans="1:4" x14ac:dyDescent="0.25">
      <c r="A4717" s="418" t="s">
        <v>15617</v>
      </c>
      <c r="B4717">
        <v>6</v>
      </c>
      <c r="C4717" s="309"/>
      <c r="D4717" s="310"/>
    </row>
    <row r="4718" spans="1:4" x14ac:dyDescent="0.25">
      <c r="A4718" s="418" t="s">
        <v>17211</v>
      </c>
      <c r="B4718">
        <v>1</v>
      </c>
      <c r="C4718" s="309"/>
      <c r="D4718" s="310"/>
    </row>
    <row r="4719" spans="1:4" x14ac:dyDescent="0.25">
      <c r="A4719" s="418" t="s">
        <v>17212</v>
      </c>
      <c r="B4719">
        <v>1</v>
      </c>
      <c r="C4719" s="309"/>
      <c r="D4719" s="310"/>
    </row>
    <row r="4720" spans="1:4" x14ac:dyDescent="0.25">
      <c r="A4720" s="418" t="s">
        <v>17213</v>
      </c>
      <c r="B4720">
        <v>2</v>
      </c>
      <c r="C4720" s="309"/>
      <c r="D4720" s="310"/>
    </row>
    <row r="4721" spans="1:4" x14ac:dyDescent="0.25">
      <c r="A4721" s="418" t="s">
        <v>17214</v>
      </c>
      <c r="B4721">
        <v>1</v>
      </c>
      <c r="C4721" s="309"/>
      <c r="D4721" s="310"/>
    </row>
    <row r="4722" spans="1:4" x14ac:dyDescent="0.25">
      <c r="A4722" s="418" t="s">
        <v>17215</v>
      </c>
      <c r="B4722">
        <v>2</v>
      </c>
      <c r="C4722" s="309"/>
      <c r="D4722" s="310"/>
    </row>
    <row r="4723" spans="1:4" x14ac:dyDescent="0.25">
      <c r="A4723" s="418" t="s">
        <v>17216</v>
      </c>
      <c r="B4723">
        <v>3</v>
      </c>
      <c r="C4723" s="309"/>
      <c r="D4723" s="310"/>
    </row>
    <row r="4724" spans="1:4" x14ac:dyDescent="0.25">
      <c r="A4724" s="418" t="s">
        <v>16555</v>
      </c>
      <c r="B4724">
        <v>1</v>
      </c>
      <c r="C4724" s="309"/>
      <c r="D4724" s="310"/>
    </row>
    <row r="4725" spans="1:4" x14ac:dyDescent="0.25">
      <c r="A4725" s="418" t="s">
        <v>16556</v>
      </c>
      <c r="B4725">
        <v>1</v>
      </c>
      <c r="C4725" s="309"/>
      <c r="D4725" s="310"/>
    </row>
    <row r="4726" spans="1:4" x14ac:dyDescent="0.25">
      <c r="A4726" s="418" t="s">
        <v>16557</v>
      </c>
      <c r="B4726">
        <v>1</v>
      </c>
      <c r="C4726" s="309"/>
      <c r="D4726" s="310"/>
    </row>
    <row r="4727" spans="1:4" x14ac:dyDescent="0.25">
      <c r="A4727" s="418" t="s">
        <v>16558</v>
      </c>
      <c r="B4727">
        <v>4</v>
      </c>
      <c r="C4727" s="309"/>
      <c r="D4727" s="310"/>
    </row>
    <row r="4728" spans="1:4" x14ac:dyDescent="0.25">
      <c r="A4728" s="418" t="s">
        <v>16559</v>
      </c>
      <c r="B4728">
        <v>6</v>
      </c>
      <c r="C4728" s="309"/>
      <c r="D4728" s="310"/>
    </row>
    <row r="4729" spans="1:4" x14ac:dyDescent="0.25">
      <c r="A4729" s="418" t="s">
        <v>16886</v>
      </c>
      <c r="B4729">
        <v>1</v>
      </c>
      <c r="C4729" s="309"/>
      <c r="D4729" s="310"/>
    </row>
    <row r="4730" spans="1:4" x14ac:dyDescent="0.25">
      <c r="A4730" s="418" t="s">
        <v>16560</v>
      </c>
      <c r="B4730">
        <v>2</v>
      </c>
      <c r="C4730" s="309"/>
      <c r="D4730" s="310"/>
    </row>
    <row r="4731" spans="1:4" x14ac:dyDescent="0.25">
      <c r="A4731" s="418" t="s">
        <v>16561</v>
      </c>
      <c r="B4731">
        <v>2</v>
      </c>
      <c r="C4731" s="309"/>
      <c r="D4731" s="310"/>
    </row>
    <row r="4732" spans="1:4" x14ac:dyDescent="0.25">
      <c r="A4732" s="418" t="s">
        <v>16562</v>
      </c>
      <c r="B4732">
        <v>1</v>
      </c>
      <c r="C4732" s="309"/>
      <c r="D4732" s="310"/>
    </row>
    <row r="4733" spans="1:4" x14ac:dyDescent="0.25">
      <c r="A4733" s="418" t="s">
        <v>16887</v>
      </c>
      <c r="B4733">
        <v>1</v>
      </c>
      <c r="C4733" s="309"/>
      <c r="D4733" s="310"/>
    </row>
    <row r="4734" spans="1:4" x14ac:dyDescent="0.25">
      <c r="A4734" s="418" t="s">
        <v>16888</v>
      </c>
      <c r="B4734">
        <v>1</v>
      </c>
      <c r="C4734" s="309"/>
      <c r="D4734" s="310"/>
    </row>
    <row r="4735" spans="1:4" x14ac:dyDescent="0.25">
      <c r="A4735" s="418" t="s">
        <v>16563</v>
      </c>
      <c r="B4735">
        <v>1</v>
      </c>
      <c r="C4735" s="309"/>
      <c r="D4735" s="310"/>
    </row>
    <row r="4736" spans="1:4" x14ac:dyDescent="0.25">
      <c r="A4736" s="418" t="s">
        <v>16564</v>
      </c>
      <c r="B4736">
        <v>1</v>
      </c>
      <c r="C4736" s="309"/>
      <c r="D4736" s="310"/>
    </row>
    <row r="4737" spans="1:4" x14ac:dyDescent="0.25">
      <c r="A4737" s="418" t="s">
        <v>17217</v>
      </c>
      <c r="B4737">
        <v>1</v>
      </c>
      <c r="C4737" s="309"/>
      <c r="D4737" s="310"/>
    </row>
    <row r="4738" spans="1:4" x14ac:dyDescent="0.25">
      <c r="A4738" s="418" t="s">
        <v>16889</v>
      </c>
      <c r="B4738">
        <v>3</v>
      </c>
      <c r="C4738" s="309"/>
      <c r="D4738" s="310"/>
    </row>
    <row r="4739" spans="1:4" x14ac:dyDescent="0.25">
      <c r="A4739" s="418" t="s">
        <v>17218</v>
      </c>
      <c r="B4739">
        <v>1</v>
      </c>
      <c r="C4739" s="309"/>
      <c r="D4739" s="310"/>
    </row>
    <row r="4740" spans="1:4" x14ac:dyDescent="0.25">
      <c r="A4740" s="418" t="s">
        <v>16565</v>
      </c>
      <c r="B4740">
        <v>1</v>
      </c>
      <c r="C4740" s="309"/>
      <c r="D4740" s="310"/>
    </row>
    <row r="4741" spans="1:4" x14ac:dyDescent="0.25">
      <c r="A4741" s="418" t="s">
        <v>16890</v>
      </c>
      <c r="B4741">
        <v>5</v>
      </c>
      <c r="C4741" s="309"/>
      <c r="D4741" s="310"/>
    </row>
    <row r="4742" spans="1:4" x14ac:dyDescent="0.25">
      <c r="A4742" s="418" t="s">
        <v>16891</v>
      </c>
      <c r="B4742">
        <v>4</v>
      </c>
      <c r="C4742" s="309"/>
      <c r="D4742" s="310"/>
    </row>
    <row r="4743" spans="1:4" x14ac:dyDescent="0.25">
      <c r="A4743" s="418" t="s">
        <v>16892</v>
      </c>
      <c r="B4743">
        <v>2</v>
      </c>
      <c r="C4743" s="309"/>
      <c r="D4743" s="310"/>
    </row>
    <row r="4744" spans="1:4" x14ac:dyDescent="0.25">
      <c r="A4744" s="418" t="s">
        <v>17219</v>
      </c>
      <c r="B4744">
        <v>1</v>
      </c>
      <c r="C4744" s="309"/>
      <c r="D4744" s="310"/>
    </row>
    <row r="4745" spans="1:4" x14ac:dyDescent="0.25">
      <c r="A4745" s="418" t="s">
        <v>17220</v>
      </c>
      <c r="B4745">
        <v>1</v>
      </c>
      <c r="C4745" s="309"/>
      <c r="D4745" s="310"/>
    </row>
    <row r="4746" spans="1:4" x14ac:dyDescent="0.25">
      <c r="A4746" s="418" t="s">
        <v>17221</v>
      </c>
      <c r="B4746">
        <v>1</v>
      </c>
      <c r="C4746" s="309"/>
      <c r="D4746" s="310"/>
    </row>
    <row r="4747" spans="1:4" x14ac:dyDescent="0.25">
      <c r="A4747" s="418" t="s">
        <v>17222</v>
      </c>
      <c r="B4747">
        <v>1</v>
      </c>
      <c r="C4747" s="309"/>
      <c r="D4747" s="310"/>
    </row>
    <row r="4748" spans="1:4" x14ac:dyDescent="0.25">
      <c r="A4748" s="418" t="s">
        <v>17223</v>
      </c>
      <c r="B4748">
        <v>1</v>
      </c>
      <c r="C4748" s="309"/>
      <c r="D4748" s="310"/>
    </row>
    <row r="4749" spans="1:4" x14ac:dyDescent="0.25">
      <c r="A4749" s="418" t="s">
        <v>17224</v>
      </c>
      <c r="B4749">
        <v>1</v>
      </c>
      <c r="C4749" s="309"/>
      <c r="D4749" s="310"/>
    </row>
    <row r="4750" spans="1:4" x14ac:dyDescent="0.25">
      <c r="A4750" s="418" t="s">
        <v>17225</v>
      </c>
      <c r="B4750">
        <v>1</v>
      </c>
      <c r="C4750" s="309"/>
      <c r="D4750" s="310"/>
    </row>
    <row r="4751" spans="1:4" x14ac:dyDescent="0.25">
      <c r="A4751" s="418" t="s">
        <v>17226</v>
      </c>
      <c r="B4751">
        <v>1</v>
      </c>
      <c r="C4751" s="309"/>
      <c r="D4751" s="310"/>
    </row>
    <row r="4752" spans="1:4" x14ac:dyDescent="0.25">
      <c r="A4752" s="418" t="s">
        <v>16566</v>
      </c>
      <c r="B4752">
        <v>1</v>
      </c>
      <c r="C4752" s="309"/>
      <c r="D4752" s="310"/>
    </row>
    <row r="4753" spans="1:4" x14ac:dyDescent="0.25">
      <c r="A4753" s="418" t="s">
        <v>16567</v>
      </c>
      <c r="B4753">
        <v>1</v>
      </c>
      <c r="C4753" s="309"/>
      <c r="D4753" s="310"/>
    </row>
    <row r="4754" spans="1:4" x14ac:dyDescent="0.25">
      <c r="A4754" s="418" t="s">
        <v>17227</v>
      </c>
      <c r="B4754">
        <v>1</v>
      </c>
      <c r="C4754" s="309"/>
      <c r="D4754" s="310"/>
    </row>
    <row r="4755" spans="1:4" x14ac:dyDescent="0.25">
      <c r="A4755" s="418" t="s">
        <v>17228</v>
      </c>
      <c r="B4755">
        <v>1</v>
      </c>
      <c r="C4755" s="309"/>
      <c r="D4755" s="310"/>
    </row>
    <row r="4756" spans="1:4" x14ac:dyDescent="0.25">
      <c r="A4756" s="418" t="s">
        <v>17229</v>
      </c>
      <c r="B4756">
        <v>1</v>
      </c>
      <c r="C4756" s="309"/>
      <c r="D4756" s="310"/>
    </row>
    <row r="4757" spans="1:4" x14ac:dyDescent="0.25">
      <c r="A4757" s="418" t="s">
        <v>17230</v>
      </c>
      <c r="B4757">
        <v>1</v>
      </c>
      <c r="C4757" s="309"/>
      <c r="D4757" s="310"/>
    </row>
    <row r="4758" spans="1:4" x14ac:dyDescent="0.25">
      <c r="A4758" s="418" t="s">
        <v>17231</v>
      </c>
      <c r="B4758">
        <v>1</v>
      </c>
      <c r="C4758" s="309"/>
      <c r="D4758" s="310"/>
    </row>
    <row r="4759" spans="1:4" x14ac:dyDescent="0.25">
      <c r="A4759" s="418" t="s">
        <v>17232</v>
      </c>
      <c r="B4759">
        <v>1</v>
      </c>
      <c r="C4759" s="309"/>
      <c r="D4759" s="310"/>
    </row>
    <row r="4760" spans="1:4" x14ac:dyDescent="0.25">
      <c r="A4760" s="418" t="s">
        <v>16893</v>
      </c>
      <c r="B4760">
        <v>3</v>
      </c>
      <c r="C4760" s="309"/>
      <c r="D4760" s="310"/>
    </row>
    <row r="4761" spans="1:4" x14ac:dyDescent="0.25">
      <c r="A4761" s="418" t="s">
        <v>17233</v>
      </c>
      <c r="B4761">
        <v>1</v>
      </c>
      <c r="C4761" s="309"/>
      <c r="D4761" s="310"/>
    </row>
    <row r="4762" spans="1:4" x14ac:dyDescent="0.25">
      <c r="A4762" s="418" t="s">
        <v>17234</v>
      </c>
      <c r="B4762">
        <v>1</v>
      </c>
      <c r="C4762" s="309"/>
      <c r="D4762" s="310"/>
    </row>
    <row r="4763" spans="1:4" x14ac:dyDescent="0.25">
      <c r="A4763" s="418" t="s">
        <v>17235</v>
      </c>
      <c r="B4763">
        <v>2</v>
      </c>
      <c r="C4763" s="309"/>
      <c r="D4763" s="310"/>
    </row>
    <row r="4764" spans="1:4" x14ac:dyDescent="0.25">
      <c r="A4764" s="418" t="s">
        <v>17236</v>
      </c>
      <c r="B4764">
        <v>2</v>
      </c>
      <c r="C4764" s="309"/>
      <c r="D4764" s="310"/>
    </row>
    <row r="4765" spans="1:4" x14ac:dyDescent="0.25">
      <c r="A4765" s="418" t="s">
        <v>17237</v>
      </c>
      <c r="B4765">
        <v>1</v>
      </c>
      <c r="C4765" s="309"/>
      <c r="D4765" s="310"/>
    </row>
    <row r="4766" spans="1:4" x14ac:dyDescent="0.25">
      <c r="A4766" s="418" t="s">
        <v>17238</v>
      </c>
      <c r="B4766">
        <v>1</v>
      </c>
      <c r="C4766" s="309"/>
      <c r="D4766" s="310"/>
    </row>
    <row r="4767" spans="1:4" x14ac:dyDescent="0.25">
      <c r="A4767" s="418" t="s">
        <v>17239</v>
      </c>
      <c r="B4767">
        <v>1</v>
      </c>
      <c r="C4767" s="309"/>
      <c r="D4767" s="310"/>
    </row>
    <row r="4768" spans="1:4" x14ac:dyDescent="0.25">
      <c r="A4768" s="418" t="s">
        <v>17240</v>
      </c>
      <c r="B4768">
        <v>1</v>
      </c>
      <c r="C4768" s="309"/>
      <c r="D4768" s="310"/>
    </row>
    <row r="4769" spans="1:4" x14ac:dyDescent="0.25">
      <c r="A4769" s="418" t="s">
        <v>17241</v>
      </c>
      <c r="B4769">
        <v>1</v>
      </c>
      <c r="C4769" s="309"/>
      <c r="D4769" s="310"/>
    </row>
    <row r="4770" spans="1:4" x14ac:dyDescent="0.25">
      <c r="A4770" s="418" t="s">
        <v>4279</v>
      </c>
      <c r="B4770">
        <v>3</v>
      </c>
      <c r="C4770" s="309"/>
      <c r="D4770" s="310"/>
    </row>
    <row r="4771" spans="1:4" x14ac:dyDescent="0.25">
      <c r="A4771" s="418" t="s">
        <v>4280</v>
      </c>
      <c r="B4771">
        <v>4</v>
      </c>
      <c r="C4771" s="309"/>
      <c r="D4771" s="310"/>
    </row>
    <row r="4772" spans="1:4" x14ac:dyDescent="0.25">
      <c r="A4772" s="418" t="s">
        <v>4281</v>
      </c>
      <c r="B4772">
        <v>3</v>
      </c>
      <c r="C4772" s="309"/>
      <c r="D4772" s="310"/>
    </row>
    <row r="4773" spans="1:4" x14ac:dyDescent="0.25">
      <c r="A4773" s="418" t="s">
        <v>6775</v>
      </c>
      <c r="B4773">
        <v>1</v>
      </c>
      <c r="C4773" s="309"/>
      <c r="D4773" s="310"/>
    </row>
    <row r="4774" spans="1:4" x14ac:dyDescent="0.25">
      <c r="A4774" s="418" t="s">
        <v>6776</v>
      </c>
      <c r="B4774">
        <v>1</v>
      </c>
      <c r="C4774" s="309"/>
      <c r="D4774" s="310"/>
    </row>
    <row r="4775" spans="1:4" x14ac:dyDescent="0.25">
      <c r="A4775" s="418" t="s">
        <v>10476</v>
      </c>
      <c r="B4775">
        <v>3</v>
      </c>
      <c r="C4775" s="309"/>
      <c r="D4775" s="310"/>
    </row>
    <row r="4776" spans="1:4" x14ac:dyDescent="0.25">
      <c r="A4776" s="418" t="s">
        <v>6972</v>
      </c>
      <c r="B4776">
        <v>5</v>
      </c>
      <c r="C4776" s="309"/>
      <c r="D4776" s="310"/>
    </row>
    <row r="4777" spans="1:4" x14ac:dyDescent="0.25">
      <c r="A4777" s="418" t="s">
        <v>6973</v>
      </c>
      <c r="B4777">
        <v>3</v>
      </c>
      <c r="C4777" s="309"/>
      <c r="D4777" s="310"/>
    </row>
    <row r="4778" spans="1:4" x14ac:dyDescent="0.25">
      <c r="A4778" s="418" t="s">
        <v>7524</v>
      </c>
      <c r="B4778">
        <v>2</v>
      </c>
      <c r="C4778" s="309"/>
      <c r="D4778" s="310"/>
    </row>
    <row r="4779" spans="1:4" x14ac:dyDescent="0.25">
      <c r="A4779" s="418" t="s">
        <v>3934</v>
      </c>
      <c r="B4779">
        <v>5</v>
      </c>
      <c r="C4779" s="309"/>
      <c r="D4779" s="310"/>
    </row>
    <row r="4780" spans="1:4" x14ac:dyDescent="0.25">
      <c r="A4780" s="418" t="s">
        <v>4017</v>
      </c>
      <c r="B4780">
        <v>5</v>
      </c>
      <c r="C4780" s="309"/>
      <c r="D4780" s="310"/>
    </row>
    <row r="4781" spans="1:4" x14ac:dyDescent="0.25">
      <c r="A4781" s="418" t="s">
        <v>4018</v>
      </c>
      <c r="B4781">
        <v>4</v>
      </c>
      <c r="C4781" s="309"/>
      <c r="D4781" s="310"/>
    </row>
    <row r="4782" spans="1:4" x14ac:dyDescent="0.25">
      <c r="A4782" s="418" t="s">
        <v>4066</v>
      </c>
      <c r="B4782">
        <v>4</v>
      </c>
      <c r="C4782" s="309"/>
      <c r="D4782" s="310"/>
    </row>
    <row r="4783" spans="1:4" x14ac:dyDescent="0.25">
      <c r="A4783" s="418" t="s">
        <v>4067</v>
      </c>
      <c r="B4783">
        <v>3</v>
      </c>
      <c r="C4783" s="309"/>
      <c r="D4783" s="310"/>
    </row>
    <row r="4784" spans="1:4" x14ac:dyDescent="0.25">
      <c r="A4784" s="418" t="s">
        <v>4428</v>
      </c>
      <c r="B4784">
        <v>3</v>
      </c>
      <c r="C4784" s="309"/>
      <c r="D4784" s="310"/>
    </row>
    <row r="4785" spans="1:4" x14ac:dyDescent="0.25">
      <c r="A4785" s="418" t="s">
        <v>8487</v>
      </c>
      <c r="B4785">
        <v>3</v>
      </c>
      <c r="C4785" s="309"/>
      <c r="D4785" s="310"/>
    </row>
    <row r="4786" spans="1:4" x14ac:dyDescent="0.25">
      <c r="A4786" s="418" t="s">
        <v>8091</v>
      </c>
      <c r="B4786">
        <v>6</v>
      </c>
      <c r="C4786" s="309"/>
      <c r="D4786" s="310"/>
    </row>
    <row r="4787" spans="1:4" x14ac:dyDescent="0.25">
      <c r="A4787" s="418" t="s">
        <v>8092</v>
      </c>
      <c r="B4787">
        <v>4</v>
      </c>
      <c r="C4787" s="309"/>
      <c r="D4787" s="310"/>
    </row>
    <row r="4788" spans="1:4" x14ac:dyDescent="0.25">
      <c r="A4788" s="418" t="s">
        <v>8093</v>
      </c>
      <c r="B4788">
        <v>3</v>
      </c>
      <c r="C4788" s="309"/>
      <c r="D4788" s="310"/>
    </row>
    <row r="4789" spans="1:4" x14ac:dyDescent="0.25">
      <c r="A4789" s="418" t="s">
        <v>8686</v>
      </c>
      <c r="B4789">
        <v>2</v>
      </c>
      <c r="C4789" s="309"/>
      <c r="D4789" s="310"/>
    </row>
    <row r="4790" spans="1:4" x14ac:dyDescent="0.25">
      <c r="A4790" s="418" t="s">
        <v>8687</v>
      </c>
      <c r="B4790">
        <v>3</v>
      </c>
      <c r="C4790" s="309"/>
      <c r="D4790" s="310"/>
    </row>
    <row r="4791" spans="1:4" x14ac:dyDescent="0.25">
      <c r="A4791" s="418" t="s">
        <v>8688</v>
      </c>
      <c r="B4791">
        <v>2</v>
      </c>
      <c r="C4791" s="309"/>
      <c r="D4791" s="310"/>
    </row>
    <row r="4792" spans="1:4" x14ac:dyDescent="0.25">
      <c r="A4792" s="418" t="s">
        <v>3935</v>
      </c>
      <c r="B4792">
        <v>3</v>
      </c>
      <c r="C4792" s="309"/>
      <c r="D4792" s="310"/>
    </row>
    <row r="4793" spans="1:4" x14ac:dyDescent="0.25">
      <c r="A4793" s="418" t="s">
        <v>4019</v>
      </c>
      <c r="B4793">
        <v>4</v>
      </c>
      <c r="C4793" s="309"/>
      <c r="D4793" s="310"/>
    </row>
    <row r="4794" spans="1:4" x14ac:dyDescent="0.25">
      <c r="A4794" s="418" t="s">
        <v>4020</v>
      </c>
      <c r="B4794">
        <v>2</v>
      </c>
      <c r="C4794" s="309"/>
      <c r="D4794" s="310"/>
    </row>
    <row r="4795" spans="1:4" x14ac:dyDescent="0.25">
      <c r="A4795" s="418" t="s">
        <v>6417</v>
      </c>
      <c r="B4795">
        <v>2</v>
      </c>
      <c r="C4795" s="309"/>
      <c r="D4795" s="310"/>
    </row>
    <row r="4796" spans="1:4" x14ac:dyDescent="0.25">
      <c r="A4796" s="418" t="s">
        <v>6930</v>
      </c>
      <c r="B4796">
        <v>4</v>
      </c>
      <c r="C4796" s="309"/>
      <c r="D4796" s="310"/>
    </row>
    <row r="4797" spans="1:4" x14ac:dyDescent="0.25">
      <c r="A4797" s="418" t="s">
        <v>7375</v>
      </c>
      <c r="B4797">
        <v>1</v>
      </c>
      <c r="C4797" s="309"/>
      <c r="D4797" s="310"/>
    </row>
    <row r="4798" spans="1:4" x14ac:dyDescent="0.25">
      <c r="A4798" s="418" t="s">
        <v>10379</v>
      </c>
      <c r="B4798">
        <v>3</v>
      </c>
      <c r="C4798" s="309"/>
      <c r="D4798" s="310"/>
    </row>
    <row r="4799" spans="1:4" x14ac:dyDescent="0.25">
      <c r="A4799" s="418" t="s">
        <v>10380</v>
      </c>
      <c r="B4799">
        <v>3</v>
      </c>
      <c r="C4799" s="309"/>
      <c r="D4799" s="310"/>
    </row>
    <row r="4800" spans="1:4" x14ac:dyDescent="0.25">
      <c r="A4800" s="418" t="s">
        <v>10381</v>
      </c>
      <c r="B4800">
        <v>3</v>
      </c>
      <c r="C4800" s="309"/>
      <c r="D4800" s="310"/>
    </row>
    <row r="4801" spans="1:4" x14ac:dyDescent="0.25">
      <c r="A4801" s="418" t="s">
        <v>10538</v>
      </c>
      <c r="B4801">
        <v>1</v>
      </c>
      <c r="C4801" s="309"/>
      <c r="D4801" s="310"/>
    </row>
    <row r="4802" spans="1:4" x14ac:dyDescent="0.25">
      <c r="A4802" s="418" t="s">
        <v>9469</v>
      </c>
      <c r="B4802">
        <v>1</v>
      </c>
      <c r="C4802" s="309"/>
      <c r="D4802" s="310"/>
    </row>
    <row r="4803" spans="1:4" x14ac:dyDescent="0.25">
      <c r="A4803" s="418" t="s">
        <v>9579</v>
      </c>
      <c r="B4803">
        <v>1</v>
      </c>
      <c r="C4803" s="309"/>
      <c r="D4803" s="310"/>
    </row>
    <row r="4804" spans="1:4" x14ac:dyDescent="0.25">
      <c r="A4804" s="418" t="s">
        <v>8888</v>
      </c>
      <c r="B4804">
        <v>1</v>
      </c>
      <c r="C4804" s="309"/>
      <c r="D4804" s="310"/>
    </row>
    <row r="4805" spans="1:4" x14ac:dyDescent="0.25">
      <c r="A4805" s="418" t="s">
        <v>7207</v>
      </c>
      <c r="B4805">
        <v>2</v>
      </c>
      <c r="C4805" s="309"/>
      <c r="D4805" s="310"/>
    </row>
    <row r="4806" spans="1:4" x14ac:dyDescent="0.25">
      <c r="A4806" s="418" t="s">
        <v>7208</v>
      </c>
      <c r="B4806">
        <v>3</v>
      </c>
      <c r="C4806" s="309"/>
      <c r="D4806" s="310"/>
    </row>
    <row r="4807" spans="1:4" x14ac:dyDescent="0.25">
      <c r="A4807" s="418" t="s">
        <v>9952</v>
      </c>
      <c r="B4807">
        <v>1</v>
      </c>
      <c r="C4807" s="309"/>
      <c r="D4807" s="310"/>
    </row>
    <row r="4808" spans="1:4" x14ac:dyDescent="0.25">
      <c r="A4808" s="418" t="s">
        <v>8094</v>
      </c>
      <c r="B4808">
        <v>3</v>
      </c>
      <c r="C4808" s="309"/>
      <c r="D4808" s="310"/>
    </row>
    <row r="4809" spans="1:4" x14ac:dyDescent="0.25">
      <c r="A4809" s="418" t="s">
        <v>11012</v>
      </c>
      <c r="B4809">
        <v>2</v>
      </c>
      <c r="C4809" s="309"/>
      <c r="D4809" s="310"/>
    </row>
    <row r="4810" spans="1:4" x14ac:dyDescent="0.25">
      <c r="A4810" s="418" t="s">
        <v>5860</v>
      </c>
      <c r="B4810">
        <v>3</v>
      </c>
      <c r="C4810" s="309"/>
      <c r="D4810" s="310"/>
    </row>
    <row r="4811" spans="1:4" x14ac:dyDescent="0.25">
      <c r="A4811" s="418" t="s">
        <v>4587</v>
      </c>
      <c r="B4811">
        <v>3</v>
      </c>
      <c r="C4811" s="309"/>
      <c r="D4811" s="310"/>
    </row>
    <row r="4812" spans="1:4" x14ac:dyDescent="0.25">
      <c r="A4812" s="418" t="s">
        <v>5861</v>
      </c>
      <c r="B4812">
        <v>3</v>
      </c>
      <c r="C4812" s="309"/>
      <c r="D4812" s="310"/>
    </row>
    <row r="4813" spans="1:4" x14ac:dyDescent="0.25">
      <c r="A4813" s="418" t="s">
        <v>4873</v>
      </c>
      <c r="B4813">
        <v>2</v>
      </c>
      <c r="C4813" s="309"/>
      <c r="D4813" s="310"/>
    </row>
    <row r="4814" spans="1:4" x14ac:dyDescent="0.25">
      <c r="A4814" s="418" t="s">
        <v>5220</v>
      </c>
      <c r="B4814">
        <v>2</v>
      </c>
      <c r="C4814" s="309"/>
      <c r="D4814" s="310"/>
    </row>
    <row r="4815" spans="1:4" x14ac:dyDescent="0.25">
      <c r="A4815" s="418" t="s">
        <v>6974</v>
      </c>
      <c r="B4815">
        <v>1</v>
      </c>
      <c r="C4815" s="309"/>
      <c r="D4815" s="310"/>
    </row>
    <row r="4816" spans="1:4" x14ac:dyDescent="0.25">
      <c r="A4816" s="418" t="s">
        <v>5078</v>
      </c>
      <c r="B4816">
        <v>3</v>
      </c>
      <c r="C4816" s="309"/>
      <c r="D4816" s="310"/>
    </row>
    <row r="4817" spans="1:4" x14ac:dyDescent="0.25">
      <c r="A4817" s="418" t="s">
        <v>4819</v>
      </c>
      <c r="B4817">
        <v>4</v>
      </c>
      <c r="C4817" s="309"/>
      <c r="D4817" s="310"/>
    </row>
    <row r="4818" spans="1:4" x14ac:dyDescent="0.25">
      <c r="A4818" s="418" t="s">
        <v>4820</v>
      </c>
      <c r="B4818">
        <v>2</v>
      </c>
      <c r="C4818" s="309"/>
      <c r="D4818" s="310"/>
    </row>
    <row r="4819" spans="1:4" x14ac:dyDescent="0.25">
      <c r="A4819" s="418" t="s">
        <v>4429</v>
      </c>
      <c r="B4819">
        <v>3</v>
      </c>
      <c r="C4819" s="309"/>
      <c r="D4819" s="310"/>
    </row>
    <row r="4820" spans="1:4" x14ac:dyDescent="0.25">
      <c r="A4820" s="418" t="s">
        <v>3820</v>
      </c>
      <c r="B4820">
        <v>3</v>
      </c>
      <c r="C4820" s="309"/>
      <c r="D4820" s="310"/>
    </row>
    <row r="4821" spans="1:4" x14ac:dyDescent="0.25">
      <c r="A4821" s="418" t="s">
        <v>3821</v>
      </c>
      <c r="B4821">
        <v>1</v>
      </c>
      <c r="C4821" s="309"/>
      <c r="D4821" s="310"/>
    </row>
    <row r="4822" spans="1:4" x14ac:dyDescent="0.25">
      <c r="A4822" s="418" t="s">
        <v>3822</v>
      </c>
      <c r="B4822">
        <v>4</v>
      </c>
      <c r="C4822" s="309"/>
      <c r="D4822" s="310"/>
    </row>
    <row r="4823" spans="1:4" x14ac:dyDescent="0.25">
      <c r="A4823" s="418" t="s">
        <v>4366</v>
      </c>
      <c r="B4823">
        <v>1</v>
      </c>
      <c r="C4823" s="309"/>
      <c r="D4823" s="310"/>
    </row>
    <row r="4824" spans="1:4" x14ac:dyDescent="0.25">
      <c r="A4824" s="418" t="s">
        <v>4367</v>
      </c>
      <c r="B4824">
        <v>1</v>
      </c>
      <c r="C4824" s="309"/>
      <c r="D4824" s="310"/>
    </row>
    <row r="4825" spans="1:4" x14ac:dyDescent="0.25">
      <c r="A4825" s="418" t="s">
        <v>4368</v>
      </c>
      <c r="B4825">
        <v>1</v>
      </c>
      <c r="C4825" s="309"/>
      <c r="D4825" s="310"/>
    </row>
    <row r="4826" spans="1:4" x14ac:dyDescent="0.25">
      <c r="A4826" s="418" t="s">
        <v>4369</v>
      </c>
      <c r="B4826">
        <v>3</v>
      </c>
      <c r="C4826" s="309"/>
      <c r="D4826" s="310"/>
    </row>
    <row r="4827" spans="1:4" x14ac:dyDescent="0.25">
      <c r="A4827" s="418" t="s">
        <v>6202</v>
      </c>
      <c r="B4827">
        <v>3</v>
      </c>
      <c r="C4827" s="309"/>
      <c r="D4827" s="310"/>
    </row>
    <row r="4828" spans="1:4" x14ac:dyDescent="0.25">
      <c r="A4828" s="418" t="s">
        <v>6203</v>
      </c>
      <c r="B4828">
        <v>3</v>
      </c>
      <c r="C4828" s="309"/>
      <c r="D4828" s="310"/>
    </row>
    <row r="4829" spans="1:4" x14ac:dyDescent="0.25">
      <c r="A4829" s="418" t="s">
        <v>6204</v>
      </c>
      <c r="B4829">
        <v>4</v>
      </c>
      <c r="C4829" s="309"/>
      <c r="D4829" s="310"/>
    </row>
    <row r="4830" spans="1:4" x14ac:dyDescent="0.25">
      <c r="A4830" s="418" t="s">
        <v>8095</v>
      </c>
      <c r="B4830">
        <v>1</v>
      </c>
      <c r="C4830" s="309"/>
      <c r="D4830" s="310"/>
    </row>
    <row r="4831" spans="1:4" x14ac:dyDescent="0.25">
      <c r="A4831" s="418" t="s">
        <v>5862</v>
      </c>
      <c r="B4831">
        <v>1</v>
      </c>
      <c r="C4831" s="309"/>
      <c r="D4831" s="310"/>
    </row>
    <row r="4832" spans="1:4" x14ac:dyDescent="0.25">
      <c r="A4832" s="418" t="s">
        <v>4068</v>
      </c>
      <c r="B4832">
        <v>3</v>
      </c>
      <c r="C4832" s="309"/>
      <c r="D4832" s="310"/>
    </row>
    <row r="4833" spans="1:4" x14ac:dyDescent="0.25">
      <c r="A4833" s="418" t="s">
        <v>4069</v>
      </c>
      <c r="B4833">
        <v>4</v>
      </c>
      <c r="C4833" s="309"/>
      <c r="D4833" s="310"/>
    </row>
    <row r="4834" spans="1:4" x14ac:dyDescent="0.25">
      <c r="A4834" s="418" t="s">
        <v>4070</v>
      </c>
      <c r="B4834">
        <v>3</v>
      </c>
      <c r="C4834" s="309"/>
      <c r="D4834" s="310"/>
    </row>
    <row r="4835" spans="1:4" x14ac:dyDescent="0.25">
      <c r="A4835" s="418" t="s">
        <v>9953</v>
      </c>
      <c r="B4835">
        <v>1</v>
      </c>
      <c r="C4835" s="309"/>
      <c r="D4835" s="310"/>
    </row>
    <row r="4836" spans="1:4" x14ac:dyDescent="0.25">
      <c r="A4836" s="418" t="s">
        <v>11013</v>
      </c>
      <c r="B4836">
        <v>2</v>
      </c>
      <c r="C4836" s="309"/>
      <c r="D4836" s="310"/>
    </row>
    <row r="4837" spans="1:4" x14ac:dyDescent="0.25">
      <c r="A4837" s="418" t="s">
        <v>4096</v>
      </c>
      <c r="B4837">
        <v>14</v>
      </c>
      <c r="C4837" s="309"/>
      <c r="D4837" s="310"/>
    </row>
    <row r="4838" spans="1:4" x14ac:dyDescent="0.25">
      <c r="A4838" s="418" t="s">
        <v>4097</v>
      </c>
      <c r="B4838">
        <v>15</v>
      </c>
      <c r="C4838" s="309"/>
      <c r="D4838" s="310"/>
    </row>
    <row r="4839" spans="1:4" x14ac:dyDescent="0.25">
      <c r="A4839" s="418" t="s">
        <v>4098</v>
      </c>
      <c r="B4839">
        <v>11</v>
      </c>
      <c r="C4839" s="309"/>
      <c r="D4839" s="310"/>
    </row>
    <row r="4840" spans="1:4" x14ac:dyDescent="0.25">
      <c r="A4840" s="418" t="s">
        <v>7344</v>
      </c>
      <c r="B4840">
        <v>3</v>
      </c>
      <c r="C4840" s="309"/>
      <c r="D4840" s="310"/>
    </row>
    <row r="4841" spans="1:4" x14ac:dyDescent="0.25">
      <c r="A4841" s="418" t="s">
        <v>12469</v>
      </c>
      <c r="B4841">
        <v>23</v>
      </c>
      <c r="C4841" s="309"/>
      <c r="D4841" s="310"/>
    </row>
    <row r="4842" spans="1:4" x14ac:dyDescent="0.25">
      <c r="A4842" s="418" t="s">
        <v>12470</v>
      </c>
      <c r="B4842">
        <v>26</v>
      </c>
      <c r="C4842" s="309"/>
      <c r="D4842" s="310"/>
    </row>
    <row r="4843" spans="1:4" x14ac:dyDescent="0.25">
      <c r="A4843" s="418" t="s">
        <v>12471</v>
      </c>
      <c r="B4843">
        <v>28</v>
      </c>
      <c r="C4843" s="309"/>
      <c r="D4843" s="310"/>
    </row>
    <row r="4844" spans="1:4" x14ac:dyDescent="0.25">
      <c r="A4844" s="418" t="s">
        <v>12472</v>
      </c>
      <c r="B4844">
        <v>28</v>
      </c>
      <c r="C4844" s="309"/>
      <c r="D4844" s="310"/>
    </row>
    <row r="4845" spans="1:4" x14ac:dyDescent="0.25">
      <c r="A4845" s="418" t="s">
        <v>12473</v>
      </c>
      <c r="B4845">
        <v>26</v>
      </c>
      <c r="C4845" s="309"/>
      <c r="D4845" s="310"/>
    </row>
    <row r="4846" spans="1:4" x14ac:dyDescent="0.25">
      <c r="A4846" s="418" t="s">
        <v>12474</v>
      </c>
      <c r="B4846">
        <v>29</v>
      </c>
      <c r="C4846" s="309"/>
      <c r="D4846" s="310"/>
    </row>
    <row r="4847" spans="1:4" x14ac:dyDescent="0.25">
      <c r="A4847" s="418" t="s">
        <v>12475</v>
      </c>
      <c r="B4847">
        <v>30</v>
      </c>
      <c r="C4847" s="309"/>
      <c r="D4847" s="310"/>
    </row>
    <row r="4848" spans="1:4" x14ac:dyDescent="0.25">
      <c r="A4848" s="418" t="s">
        <v>12476</v>
      </c>
      <c r="B4848">
        <v>24</v>
      </c>
      <c r="C4848" s="309"/>
      <c r="D4848" s="310"/>
    </row>
    <row r="4849" spans="1:4" x14ac:dyDescent="0.25">
      <c r="A4849" s="418" t="s">
        <v>12477</v>
      </c>
      <c r="B4849">
        <v>29</v>
      </c>
      <c r="C4849" s="309"/>
      <c r="D4849" s="310"/>
    </row>
    <row r="4850" spans="1:4" x14ac:dyDescent="0.25">
      <c r="A4850" s="418" t="s">
        <v>12478</v>
      </c>
      <c r="B4850">
        <v>28</v>
      </c>
      <c r="C4850" s="309"/>
      <c r="D4850" s="310"/>
    </row>
    <row r="4851" spans="1:4" x14ac:dyDescent="0.25">
      <c r="A4851" s="418" t="s">
        <v>12479</v>
      </c>
      <c r="B4851">
        <v>25</v>
      </c>
      <c r="C4851" s="309"/>
      <c r="D4851" s="310"/>
    </row>
    <row r="4852" spans="1:4" x14ac:dyDescent="0.25">
      <c r="A4852" s="418" t="s">
        <v>12480</v>
      </c>
      <c r="B4852">
        <v>25</v>
      </c>
      <c r="C4852" s="309"/>
      <c r="D4852" s="310"/>
    </row>
    <row r="4853" spans="1:4" x14ac:dyDescent="0.25">
      <c r="A4853" s="418" t="s">
        <v>12481</v>
      </c>
      <c r="B4853">
        <v>25</v>
      </c>
      <c r="C4853" s="309"/>
      <c r="D4853" s="310"/>
    </row>
    <row r="4854" spans="1:4" x14ac:dyDescent="0.25">
      <c r="A4854" s="418" t="s">
        <v>12482</v>
      </c>
      <c r="B4854">
        <v>23</v>
      </c>
      <c r="C4854" s="309"/>
      <c r="D4854" s="310"/>
    </row>
    <row r="4855" spans="1:4" x14ac:dyDescent="0.25">
      <c r="A4855" s="418" t="s">
        <v>12483</v>
      </c>
      <c r="B4855">
        <v>25</v>
      </c>
      <c r="C4855" s="309"/>
      <c r="D4855" s="310"/>
    </row>
    <row r="4856" spans="1:4" x14ac:dyDescent="0.25">
      <c r="A4856" s="418" t="s">
        <v>12484</v>
      </c>
      <c r="B4856">
        <v>25</v>
      </c>
      <c r="C4856" s="309"/>
      <c r="D4856" s="310"/>
    </row>
    <row r="4857" spans="1:4" x14ac:dyDescent="0.25">
      <c r="A4857" s="418" t="s">
        <v>12485</v>
      </c>
      <c r="B4857">
        <v>21</v>
      </c>
      <c r="C4857" s="309"/>
      <c r="D4857" s="310"/>
    </row>
    <row r="4858" spans="1:4" x14ac:dyDescent="0.25">
      <c r="A4858" s="418" t="s">
        <v>12486</v>
      </c>
      <c r="B4858">
        <v>28</v>
      </c>
      <c r="C4858" s="309"/>
      <c r="D4858" s="310"/>
    </row>
    <row r="4859" spans="1:4" x14ac:dyDescent="0.25">
      <c r="A4859" s="418" t="s">
        <v>12487</v>
      </c>
      <c r="B4859">
        <v>24</v>
      </c>
      <c r="C4859" s="309"/>
      <c r="D4859" s="310"/>
    </row>
    <row r="4860" spans="1:4" x14ac:dyDescent="0.25">
      <c r="A4860" s="418" t="s">
        <v>12488</v>
      </c>
      <c r="B4860">
        <v>24</v>
      </c>
      <c r="C4860" s="309"/>
      <c r="D4860" s="310"/>
    </row>
    <row r="4861" spans="1:4" x14ac:dyDescent="0.25">
      <c r="A4861" s="418" t="s">
        <v>12489</v>
      </c>
      <c r="B4861">
        <v>28</v>
      </c>
      <c r="C4861" s="309"/>
      <c r="D4861" s="310"/>
    </row>
    <row r="4862" spans="1:4" x14ac:dyDescent="0.25">
      <c r="A4862" s="418" t="s">
        <v>12490</v>
      </c>
      <c r="B4862">
        <v>27</v>
      </c>
      <c r="C4862" s="309"/>
      <c r="D4862" s="310"/>
    </row>
    <row r="4863" spans="1:4" x14ac:dyDescent="0.25">
      <c r="A4863" s="418" t="s">
        <v>12491</v>
      </c>
      <c r="B4863">
        <v>24</v>
      </c>
      <c r="C4863" s="309"/>
      <c r="D4863" s="310"/>
    </row>
    <row r="4864" spans="1:4" x14ac:dyDescent="0.25">
      <c r="A4864" s="418" t="s">
        <v>12492</v>
      </c>
      <c r="B4864">
        <v>23</v>
      </c>
      <c r="C4864" s="309"/>
      <c r="D4864" s="310"/>
    </row>
    <row r="4865" spans="1:4" x14ac:dyDescent="0.25">
      <c r="A4865" s="418" t="s">
        <v>12493</v>
      </c>
      <c r="B4865">
        <v>25</v>
      </c>
      <c r="C4865" s="309"/>
      <c r="D4865" s="310"/>
    </row>
    <row r="4866" spans="1:4" x14ac:dyDescent="0.25">
      <c r="A4866" s="418" t="s">
        <v>12494</v>
      </c>
      <c r="B4866">
        <v>27</v>
      </c>
      <c r="C4866" s="309"/>
      <c r="D4866" s="310"/>
    </row>
    <row r="4867" spans="1:4" x14ac:dyDescent="0.25">
      <c r="A4867" s="418" t="s">
        <v>12495</v>
      </c>
      <c r="B4867">
        <v>25</v>
      </c>
      <c r="C4867" s="309"/>
      <c r="D4867" s="310"/>
    </row>
    <row r="4868" spans="1:4" x14ac:dyDescent="0.25">
      <c r="A4868" s="418" t="s">
        <v>12496</v>
      </c>
      <c r="B4868">
        <v>23</v>
      </c>
      <c r="C4868" s="309"/>
      <c r="D4868" s="310"/>
    </row>
    <row r="4869" spans="1:4" x14ac:dyDescent="0.25">
      <c r="A4869" s="418" t="s">
        <v>12497</v>
      </c>
      <c r="B4869">
        <v>26</v>
      </c>
      <c r="C4869" s="309"/>
      <c r="D4869" s="310"/>
    </row>
    <row r="4870" spans="1:4" x14ac:dyDescent="0.25">
      <c r="A4870" s="418" t="s">
        <v>12498</v>
      </c>
      <c r="B4870">
        <v>27</v>
      </c>
      <c r="C4870" s="309"/>
      <c r="D4870" s="310"/>
    </row>
    <row r="4871" spans="1:4" x14ac:dyDescent="0.25">
      <c r="A4871" s="418" t="s">
        <v>12499</v>
      </c>
      <c r="B4871">
        <v>21</v>
      </c>
      <c r="C4871" s="309"/>
      <c r="D4871" s="310"/>
    </row>
    <row r="4872" spans="1:4" x14ac:dyDescent="0.25">
      <c r="A4872" s="418" t="s">
        <v>12500</v>
      </c>
      <c r="B4872">
        <v>28</v>
      </c>
      <c r="C4872" s="309"/>
      <c r="D4872" s="310"/>
    </row>
    <row r="4873" spans="1:4" x14ac:dyDescent="0.25">
      <c r="A4873" s="418" t="s">
        <v>12501</v>
      </c>
      <c r="B4873">
        <v>25.5</v>
      </c>
      <c r="C4873" s="309"/>
      <c r="D4873" s="310"/>
    </row>
    <row r="4874" spans="1:4" x14ac:dyDescent="0.25">
      <c r="A4874" s="418" t="s">
        <v>12502</v>
      </c>
      <c r="B4874">
        <v>25</v>
      </c>
      <c r="C4874" s="309"/>
      <c r="D4874" s="310"/>
    </row>
    <row r="4875" spans="1:4" x14ac:dyDescent="0.25">
      <c r="A4875" s="418" t="s">
        <v>12503</v>
      </c>
      <c r="B4875">
        <v>25</v>
      </c>
      <c r="C4875" s="309"/>
      <c r="D4875" s="310"/>
    </row>
    <row r="4876" spans="1:4" x14ac:dyDescent="0.25">
      <c r="A4876" s="418" t="s">
        <v>12504</v>
      </c>
      <c r="B4876">
        <v>20</v>
      </c>
      <c r="C4876" s="309"/>
      <c r="D4876" s="310"/>
    </row>
    <row r="4877" spans="1:4" x14ac:dyDescent="0.25">
      <c r="A4877" s="418" t="s">
        <v>12505</v>
      </c>
      <c r="B4877">
        <v>28</v>
      </c>
      <c r="C4877" s="309"/>
      <c r="D4877" s="310"/>
    </row>
    <row r="4878" spans="1:4" x14ac:dyDescent="0.25">
      <c r="A4878" s="418" t="s">
        <v>12506</v>
      </c>
      <c r="B4878">
        <v>27</v>
      </c>
      <c r="C4878" s="309"/>
      <c r="D4878" s="310"/>
    </row>
    <row r="4879" spans="1:4" x14ac:dyDescent="0.25">
      <c r="A4879" s="418" t="s">
        <v>12507</v>
      </c>
      <c r="B4879">
        <v>27</v>
      </c>
      <c r="C4879" s="309"/>
      <c r="D4879" s="310"/>
    </row>
    <row r="4880" spans="1:4" x14ac:dyDescent="0.25">
      <c r="A4880" s="418" t="s">
        <v>12508</v>
      </c>
      <c r="B4880">
        <v>30</v>
      </c>
      <c r="C4880" s="309"/>
      <c r="D4880" s="310"/>
    </row>
    <row r="4881" spans="1:4" x14ac:dyDescent="0.25">
      <c r="A4881" s="418" t="s">
        <v>12509</v>
      </c>
      <c r="B4881">
        <v>29</v>
      </c>
      <c r="C4881" s="309"/>
      <c r="D4881" s="310"/>
    </row>
    <row r="4882" spans="1:4" x14ac:dyDescent="0.25">
      <c r="A4882" s="418" t="s">
        <v>12510</v>
      </c>
      <c r="B4882">
        <v>20</v>
      </c>
      <c r="C4882" s="309"/>
      <c r="D4882" s="310"/>
    </row>
    <row r="4883" spans="1:4" x14ac:dyDescent="0.25">
      <c r="A4883" s="418" t="s">
        <v>12511</v>
      </c>
      <c r="B4883">
        <v>30</v>
      </c>
      <c r="C4883" s="309"/>
      <c r="D4883" s="310"/>
    </row>
    <row r="4884" spans="1:4" x14ac:dyDescent="0.25">
      <c r="A4884" s="418" t="s">
        <v>12512</v>
      </c>
      <c r="B4884">
        <v>24</v>
      </c>
      <c r="C4884" s="309"/>
      <c r="D4884" s="310"/>
    </row>
    <row r="4885" spans="1:4" x14ac:dyDescent="0.25">
      <c r="A4885" s="418" t="s">
        <v>12513</v>
      </c>
      <c r="B4885">
        <v>28</v>
      </c>
      <c r="C4885" s="309"/>
      <c r="D4885" s="310"/>
    </row>
    <row r="4886" spans="1:4" x14ac:dyDescent="0.25">
      <c r="A4886" s="418" t="s">
        <v>12514</v>
      </c>
      <c r="B4886">
        <v>25</v>
      </c>
      <c r="C4886" s="309"/>
      <c r="D4886" s="310"/>
    </row>
    <row r="4887" spans="1:4" x14ac:dyDescent="0.25">
      <c r="A4887" s="418" t="s">
        <v>12515</v>
      </c>
      <c r="B4887">
        <v>30</v>
      </c>
      <c r="C4887" s="309"/>
      <c r="D4887" s="310"/>
    </row>
    <row r="4888" spans="1:4" x14ac:dyDescent="0.25">
      <c r="A4888" s="418" t="s">
        <v>12516</v>
      </c>
      <c r="B4888">
        <v>30</v>
      </c>
      <c r="C4888" s="309"/>
      <c r="D4888" s="310"/>
    </row>
    <row r="4889" spans="1:4" x14ac:dyDescent="0.25">
      <c r="A4889" s="418" t="s">
        <v>12517</v>
      </c>
      <c r="B4889">
        <v>29</v>
      </c>
      <c r="C4889" s="309"/>
      <c r="D4889" s="310"/>
    </row>
    <row r="4890" spans="1:4" x14ac:dyDescent="0.25">
      <c r="A4890" s="418" t="s">
        <v>12518</v>
      </c>
      <c r="B4890">
        <v>30</v>
      </c>
      <c r="C4890" s="309"/>
      <c r="D4890" s="310"/>
    </row>
    <row r="4891" spans="1:4" x14ac:dyDescent="0.25">
      <c r="A4891" s="418" t="s">
        <v>12519</v>
      </c>
      <c r="B4891">
        <v>21</v>
      </c>
      <c r="C4891" s="309"/>
      <c r="D4891" s="310"/>
    </row>
    <row r="4892" spans="1:4" x14ac:dyDescent="0.25">
      <c r="A4892" s="418" t="s">
        <v>12520</v>
      </c>
      <c r="B4892">
        <v>23</v>
      </c>
      <c r="C4892" s="309"/>
      <c r="D4892" s="310"/>
    </row>
    <row r="4893" spans="1:4" x14ac:dyDescent="0.25">
      <c r="A4893" s="418" t="s">
        <v>12521</v>
      </c>
      <c r="B4893">
        <v>22</v>
      </c>
      <c r="C4893" s="309"/>
      <c r="D4893" s="310"/>
    </row>
    <row r="4894" spans="1:4" x14ac:dyDescent="0.25">
      <c r="A4894" s="418" t="s">
        <v>12522</v>
      </c>
      <c r="B4894">
        <v>19</v>
      </c>
      <c r="C4894" s="309"/>
      <c r="D4894" s="310"/>
    </row>
    <row r="4895" spans="1:4" x14ac:dyDescent="0.25">
      <c r="A4895" s="418" t="s">
        <v>12523</v>
      </c>
      <c r="B4895">
        <v>21</v>
      </c>
      <c r="C4895" s="309"/>
      <c r="D4895" s="310"/>
    </row>
    <row r="4896" spans="1:4" x14ac:dyDescent="0.25">
      <c r="A4896" s="418" t="s">
        <v>12524</v>
      </c>
      <c r="B4896">
        <v>22</v>
      </c>
      <c r="C4896" s="309"/>
      <c r="D4896" s="310"/>
    </row>
    <row r="4897" spans="1:4" x14ac:dyDescent="0.25">
      <c r="A4897" s="418" t="s">
        <v>12525</v>
      </c>
      <c r="B4897">
        <v>27</v>
      </c>
      <c r="C4897" s="309"/>
      <c r="D4897" s="310"/>
    </row>
    <row r="4898" spans="1:4" x14ac:dyDescent="0.25">
      <c r="A4898" s="418" t="s">
        <v>12526</v>
      </c>
      <c r="B4898">
        <v>27</v>
      </c>
      <c r="C4898" s="309"/>
      <c r="D4898" s="310"/>
    </row>
    <row r="4899" spans="1:4" x14ac:dyDescent="0.25">
      <c r="A4899" s="418" t="s">
        <v>12527</v>
      </c>
      <c r="B4899">
        <v>25</v>
      </c>
      <c r="C4899" s="309"/>
      <c r="D4899" s="310"/>
    </row>
    <row r="4900" spans="1:4" x14ac:dyDescent="0.25">
      <c r="A4900" s="418" t="s">
        <v>12528</v>
      </c>
      <c r="B4900">
        <v>29</v>
      </c>
      <c r="C4900" s="309"/>
      <c r="D4900" s="310"/>
    </row>
    <row r="4901" spans="1:4" x14ac:dyDescent="0.25">
      <c r="A4901" s="418" t="s">
        <v>12529</v>
      </c>
      <c r="B4901">
        <v>23</v>
      </c>
      <c r="C4901" s="309"/>
      <c r="D4901" s="310"/>
    </row>
    <row r="4902" spans="1:4" x14ac:dyDescent="0.25">
      <c r="A4902" s="418" t="s">
        <v>12530</v>
      </c>
      <c r="B4902">
        <v>26</v>
      </c>
      <c r="C4902" s="309"/>
      <c r="D4902" s="310"/>
    </row>
    <row r="4903" spans="1:4" x14ac:dyDescent="0.25">
      <c r="A4903" s="418" t="s">
        <v>12531</v>
      </c>
      <c r="B4903">
        <v>22</v>
      </c>
      <c r="C4903" s="309"/>
      <c r="D4903" s="310"/>
    </row>
    <row r="4904" spans="1:4" x14ac:dyDescent="0.25">
      <c r="A4904" s="418" t="s">
        <v>12532</v>
      </c>
      <c r="B4904">
        <v>24</v>
      </c>
      <c r="C4904" s="309"/>
      <c r="D4904" s="310"/>
    </row>
    <row r="4905" spans="1:4" x14ac:dyDescent="0.25">
      <c r="A4905" s="418" t="s">
        <v>12533</v>
      </c>
      <c r="B4905">
        <v>25</v>
      </c>
      <c r="C4905" s="309"/>
      <c r="D4905" s="310"/>
    </row>
    <row r="4906" spans="1:4" x14ac:dyDescent="0.25">
      <c r="A4906" s="418" t="s">
        <v>12534</v>
      </c>
      <c r="B4906">
        <v>22</v>
      </c>
      <c r="C4906" s="309"/>
      <c r="D4906" s="310"/>
    </row>
    <row r="4907" spans="1:4" x14ac:dyDescent="0.25">
      <c r="A4907" s="418" t="s">
        <v>12535</v>
      </c>
      <c r="B4907">
        <v>29</v>
      </c>
      <c r="C4907" s="309"/>
      <c r="D4907" s="310"/>
    </row>
    <row r="4908" spans="1:4" x14ac:dyDescent="0.25">
      <c r="A4908" s="418" t="s">
        <v>12536</v>
      </c>
      <c r="B4908">
        <v>25</v>
      </c>
      <c r="C4908" s="309"/>
      <c r="D4908" s="310"/>
    </row>
    <row r="4909" spans="1:4" x14ac:dyDescent="0.25">
      <c r="A4909" s="418" t="s">
        <v>12537</v>
      </c>
      <c r="B4909">
        <v>29</v>
      </c>
      <c r="C4909" s="309"/>
      <c r="D4909" s="310"/>
    </row>
    <row r="4910" spans="1:4" x14ac:dyDescent="0.25">
      <c r="A4910" s="418" t="s">
        <v>12538</v>
      </c>
      <c r="B4910">
        <v>26</v>
      </c>
      <c r="C4910" s="309"/>
      <c r="D4910" s="310"/>
    </row>
    <row r="4911" spans="1:4" x14ac:dyDescent="0.25">
      <c r="A4911" s="418" t="s">
        <v>12539</v>
      </c>
      <c r="B4911">
        <v>26</v>
      </c>
      <c r="C4911" s="309"/>
      <c r="D4911" s="310"/>
    </row>
    <row r="4912" spans="1:4" x14ac:dyDescent="0.25">
      <c r="A4912" s="418" t="s">
        <v>12540</v>
      </c>
      <c r="B4912">
        <v>23</v>
      </c>
      <c r="C4912" s="309"/>
      <c r="D4912" s="310"/>
    </row>
    <row r="4913" spans="1:4" x14ac:dyDescent="0.25">
      <c r="A4913" s="418" t="s">
        <v>12541</v>
      </c>
      <c r="B4913">
        <v>27</v>
      </c>
      <c r="C4913" s="309"/>
      <c r="D4913" s="310"/>
    </row>
    <row r="4914" spans="1:4" x14ac:dyDescent="0.25">
      <c r="A4914" s="418" t="s">
        <v>12542</v>
      </c>
      <c r="B4914">
        <v>29</v>
      </c>
      <c r="C4914" s="309"/>
      <c r="D4914" s="310"/>
    </row>
    <row r="4915" spans="1:4" x14ac:dyDescent="0.25">
      <c r="A4915" s="418" t="s">
        <v>12543</v>
      </c>
      <c r="B4915">
        <v>29.5</v>
      </c>
      <c r="C4915" s="309"/>
      <c r="D4915" s="310"/>
    </row>
    <row r="4916" spans="1:4" x14ac:dyDescent="0.25">
      <c r="A4916" s="418" t="s">
        <v>12544</v>
      </c>
      <c r="B4916">
        <v>22</v>
      </c>
      <c r="C4916" s="309"/>
      <c r="D4916" s="310"/>
    </row>
    <row r="4917" spans="1:4" x14ac:dyDescent="0.25">
      <c r="A4917" s="418" t="s">
        <v>12545</v>
      </c>
      <c r="B4917">
        <v>25</v>
      </c>
      <c r="C4917" s="309"/>
      <c r="D4917" s="310"/>
    </row>
    <row r="4918" spans="1:4" x14ac:dyDescent="0.25">
      <c r="A4918" s="418" t="s">
        <v>12546</v>
      </c>
      <c r="B4918">
        <v>29</v>
      </c>
      <c r="C4918" s="309"/>
      <c r="D4918" s="310"/>
    </row>
    <row r="4919" spans="1:4" x14ac:dyDescent="0.25">
      <c r="A4919" s="418" t="s">
        <v>12547</v>
      </c>
      <c r="B4919">
        <v>28</v>
      </c>
      <c r="C4919" s="309"/>
      <c r="D4919" s="310"/>
    </row>
    <row r="4920" spans="1:4" x14ac:dyDescent="0.25">
      <c r="A4920" s="418" t="s">
        <v>12548</v>
      </c>
      <c r="B4920">
        <v>29</v>
      </c>
      <c r="C4920" s="309"/>
      <c r="D4920" s="310"/>
    </row>
    <row r="4921" spans="1:4" x14ac:dyDescent="0.25">
      <c r="A4921" s="418" t="s">
        <v>12549</v>
      </c>
      <c r="B4921">
        <v>27</v>
      </c>
      <c r="C4921" s="309"/>
      <c r="D4921" s="310"/>
    </row>
    <row r="4922" spans="1:4" x14ac:dyDescent="0.25">
      <c r="A4922" s="418" t="s">
        <v>12550</v>
      </c>
      <c r="B4922">
        <v>24</v>
      </c>
      <c r="C4922" s="309"/>
      <c r="D4922" s="310"/>
    </row>
    <row r="4923" spans="1:4" x14ac:dyDescent="0.25">
      <c r="A4923" s="418" t="s">
        <v>12551</v>
      </c>
      <c r="B4923">
        <v>25</v>
      </c>
      <c r="C4923" s="309"/>
      <c r="D4923" s="310"/>
    </row>
    <row r="4924" spans="1:4" x14ac:dyDescent="0.25">
      <c r="A4924" s="418" t="s">
        <v>12552</v>
      </c>
      <c r="B4924">
        <v>28</v>
      </c>
      <c r="C4924" s="309"/>
      <c r="D4924" s="310"/>
    </row>
    <row r="4925" spans="1:4" x14ac:dyDescent="0.25">
      <c r="A4925" s="418" t="s">
        <v>12553</v>
      </c>
      <c r="B4925">
        <v>30</v>
      </c>
      <c r="C4925" s="309"/>
      <c r="D4925" s="310"/>
    </row>
    <row r="4926" spans="1:4" x14ac:dyDescent="0.25">
      <c r="A4926" s="418" t="s">
        <v>12554</v>
      </c>
      <c r="B4926">
        <v>29</v>
      </c>
      <c r="C4926" s="309"/>
      <c r="D4926" s="310"/>
    </row>
    <row r="4927" spans="1:4" x14ac:dyDescent="0.25">
      <c r="A4927" s="418" t="s">
        <v>12555</v>
      </c>
      <c r="B4927">
        <v>21</v>
      </c>
      <c r="C4927" s="309"/>
      <c r="D4927" s="310"/>
    </row>
    <row r="4928" spans="1:4" x14ac:dyDescent="0.25">
      <c r="A4928" s="418" t="s">
        <v>12556</v>
      </c>
      <c r="B4928">
        <v>25</v>
      </c>
      <c r="C4928" s="309"/>
      <c r="D4928" s="310"/>
    </row>
    <row r="4929" spans="1:4" x14ac:dyDescent="0.25">
      <c r="A4929" s="418" t="s">
        <v>12557</v>
      </c>
      <c r="B4929">
        <v>29</v>
      </c>
      <c r="C4929" s="309"/>
      <c r="D4929" s="310"/>
    </row>
    <row r="4930" spans="1:4" x14ac:dyDescent="0.25">
      <c r="A4930" s="418" t="s">
        <v>12558</v>
      </c>
      <c r="B4930">
        <v>24</v>
      </c>
      <c r="C4930" s="309"/>
      <c r="D4930" s="310"/>
    </row>
    <row r="4931" spans="1:4" x14ac:dyDescent="0.25">
      <c r="A4931" s="418" t="s">
        <v>12559</v>
      </c>
      <c r="B4931">
        <v>27</v>
      </c>
      <c r="C4931" s="309"/>
      <c r="D4931" s="310"/>
    </row>
    <row r="4932" spans="1:4" x14ac:dyDescent="0.25">
      <c r="A4932" s="418" t="s">
        <v>12560</v>
      </c>
      <c r="B4932">
        <v>20</v>
      </c>
      <c r="C4932" s="309"/>
      <c r="D4932" s="310"/>
    </row>
    <row r="4933" spans="1:4" x14ac:dyDescent="0.25">
      <c r="A4933" s="418" t="s">
        <v>12561</v>
      </c>
      <c r="B4933">
        <v>24</v>
      </c>
      <c r="C4933" s="309"/>
      <c r="D4933" s="310"/>
    </row>
    <row r="4934" spans="1:4" x14ac:dyDescent="0.25">
      <c r="A4934" s="418" t="s">
        <v>12562</v>
      </c>
      <c r="B4934">
        <v>28</v>
      </c>
      <c r="C4934" s="309"/>
      <c r="D4934" s="310"/>
    </row>
    <row r="4935" spans="1:4" x14ac:dyDescent="0.25">
      <c r="A4935" s="418" t="s">
        <v>12563</v>
      </c>
      <c r="B4935">
        <v>29</v>
      </c>
      <c r="C4935" s="309"/>
      <c r="D4935" s="310"/>
    </row>
    <row r="4936" spans="1:4" x14ac:dyDescent="0.25">
      <c r="A4936" s="418" t="s">
        <v>12564</v>
      </c>
      <c r="B4936">
        <v>28</v>
      </c>
      <c r="C4936" s="309"/>
      <c r="D4936" s="310"/>
    </row>
    <row r="4937" spans="1:4" x14ac:dyDescent="0.25">
      <c r="A4937" s="418" t="s">
        <v>12565</v>
      </c>
      <c r="B4937">
        <v>27</v>
      </c>
      <c r="C4937" s="309"/>
      <c r="D4937" s="310"/>
    </row>
    <row r="4938" spans="1:4" x14ac:dyDescent="0.25">
      <c r="A4938" s="418" t="s">
        <v>12566</v>
      </c>
      <c r="B4938">
        <v>27</v>
      </c>
      <c r="C4938" s="309"/>
      <c r="D4938" s="310"/>
    </row>
    <row r="4939" spans="1:4" x14ac:dyDescent="0.25">
      <c r="A4939" s="418" t="s">
        <v>12567</v>
      </c>
      <c r="B4939">
        <v>26</v>
      </c>
      <c r="C4939" s="309"/>
      <c r="D4939" s="310"/>
    </row>
    <row r="4940" spans="1:4" x14ac:dyDescent="0.25">
      <c r="A4940" s="418" t="s">
        <v>12568</v>
      </c>
      <c r="B4940">
        <v>30</v>
      </c>
      <c r="C4940" s="309"/>
      <c r="D4940" s="310"/>
    </row>
    <row r="4941" spans="1:4" x14ac:dyDescent="0.25">
      <c r="A4941" s="418" t="s">
        <v>12569</v>
      </c>
      <c r="B4941">
        <v>30</v>
      </c>
      <c r="C4941" s="309"/>
      <c r="D4941" s="310"/>
    </row>
    <row r="4942" spans="1:4" x14ac:dyDescent="0.25">
      <c r="A4942" s="418" t="s">
        <v>12570</v>
      </c>
      <c r="B4942">
        <v>28</v>
      </c>
      <c r="C4942" s="309"/>
      <c r="D4942" s="310"/>
    </row>
    <row r="4943" spans="1:4" x14ac:dyDescent="0.25">
      <c r="A4943" s="418" t="s">
        <v>12571</v>
      </c>
      <c r="B4943">
        <v>28</v>
      </c>
      <c r="C4943" s="309"/>
      <c r="D4943" s="310"/>
    </row>
    <row r="4944" spans="1:4" x14ac:dyDescent="0.25">
      <c r="A4944" s="418" t="s">
        <v>12572</v>
      </c>
      <c r="B4944">
        <v>29</v>
      </c>
      <c r="C4944" s="309"/>
      <c r="D4944" s="310"/>
    </row>
    <row r="4945" spans="1:4" x14ac:dyDescent="0.25">
      <c r="A4945" s="418" t="s">
        <v>12573</v>
      </c>
      <c r="B4945">
        <v>30</v>
      </c>
      <c r="C4945" s="309"/>
      <c r="D4945" s="310"/>
    </row>
    <row r="4946" spans="1:4" x14ac:dyDescent="0.25">
      <c r="A4946" s="418" t="s">
        <v>12574</v>
      </c>
      <c r="B4946">
        <v>28</v>
      </c>
      <c r="C4946" s="309"/>
      <c r="D4946" s="310"/>
    </row>
    <row r="4947" spans="1:4" x14ac:dyDescent="0.25">
      <c r="A4947" s="418" t="s">
        <v>12575</v>
      </c>
      <c r="B4947">
        <v>23</v>
      </c>
      <c r="C4947" s="309"/>
      <c r="D4947" s="310"/>
    </row>
    <row r="4948" spans="1:4" x14ac:dyDescent="0.25">
      <c r="A4948" s="418" t="s">
        <v>12576</v>
      </c>
      <c r="B4948">
        <v>28</v>
      </c>
      <c r="C4948" s="309"/>
      <c r="D4948" s="310"/>
    </row>
    <row r="4949" spans="1:4" x14ac:dyDescent="0.25">
      <c r="A4949" s="418" t="s">
        <v>12577</v>
      </c>
      <c r="B4949">
        <v>29</v>
      </c>
      <c r="C4949" s="309"/>
      <c r="D4949" s="310"/>
    </row>
    <row r="4950" spans="1:4" x14ac:dyDescent="0.25">
      <c r="A4950" s="418" t="s">
        <v>12578</v>
      </c>
      <c r="B4950">
        <v>28</v>
      </c>
      <c r="C4950" s="309"/>
      <c r="D4950" s="310"/>
    </row>
    <row r="4951" spans="1:4" x14ac:dyDescent="0.25">
      <c r="A4951" s="418" t="s">
        <v>12579</v>
      </c>
      <c r="B4951">
        <v>28</v>
      </c>
      <c r="C4951" s="309"/>
      <c r="D4951" s="310"/>
    </row>
    <row r="4952" spans="1:4" x14ac:dyDescent="0.25">
      <c r="A4952" s="418" t="s">
        <v>12580</v>
      </c>
      <c r="B4952">
        <v>30</v>
      </c>
      <c r="C4952" s="309"/>
      <c r="D4952" s="310"/>
    </row>
    <row r="4953" spans="1:4" x14ac:dyDescent="0.25">
      <c r="A4953" s="418" t="s">
        <v>12581</v>
      </c>
      <c r="B4953">
        <v>25</v>
      </c>
      <c r="C4953" s="309"/>
      <c r="D4953" s="310"/>
    </row>
    <row r="4954" spans="1:4" x14ac:dyDescent="0.25">
      <c r="A4954" s="418" t="s">
        <v>12582</v>
      </c>
      <c r="B4954">
        <v>25</v>
      </c>
      <c r="C4954" s="309"/>
      <c r="D4954" s="310"/>
    </row>
    <row r="4955" spans="1:4" x14ac:dyDescent="0.25">
      <c r="A4955" s="418" t="s">
        <v>12583</v>
      </c>
      <c r="B4955">
        <v>27</v>
      </c>
      <c r="C4955" s="309"/>
      <c r="D4955" s="310"/>
    </row>
    <row r="4956" spans="1:4" x14ac:dyDescent="0.25">
      <c r="A4956" s="418" t="s">
        <v>12584</v>
      </c>
      <c r="B4956">
        <v>30</v>
      </c>
      <c r="C4956" s="309"/>
      <c r="D4956" s="310"/>
    </row>
    <row r="4957" spans="1:4" x14ac:dyDescent="0.25">
      <c r="A4957" s="418" t="s">
        <v>12585</v>
      </c>
      <c r="B4957">
        <v>28</v>
      </c>
      <c r="C4957" s="309"/>
      <c r="D4957" s="310"/>
    </row>
    <row r="4958" spans="1:4" x14ac:dyDescent="0.25">
      <c r="A4958" s="418" t="s">
        <v>12586</v>
      </c>
      <c r="B4958">
        <v>27</v>
      </c>
      <c r="C4958" s="309"/>
      <c r="D4958" s="310"/>
    </row>
    <row r="4959" spans="1:4" x14ac:dyDescent="0.25">
      <c r="A4959" s="418" t="s">
        <v>12587</v>
      </c>
      <c r="B4959">
        <v>27</v>
      </c>
      <c r="C4959" s="309"/>
      <c r="D4959" s="310"/>
    </row>
    <row r="4960" spans="1:4" x14ac:dyDescent="0.25">
      <c r="A4960" s="418" t="s">
        <v>12588</v>
      </c>
      <c r="B4960">
        <v>24</v>
      </c>
      <c r="C4960" s="309"/>
      <c r="D4960" s="310"/>
    </row>
    <row r="4961" spans="1:4" x14ac:dyDescent="0.25">
      <c r="A4961" s="418" t="s">
        <v>12589</v>
      </c>
      <c r="B4961">
        <v>30</v>
      </c>
      <c r="C4961" s="309"/>
      <c r="D4961" s="310"/>
    </row>
    <row r="4962" spans="1:4" x14ac:dyDescent="0.25">
      <c r="A4962" s="418" t="s">
        <v>12590</v>
      </c>
      <c r="B4962">
        <v>17</v>
      </c>
      <c r="C4962" s="309"/>
      <c r="D4962" s="310"/>
    </row>
    <row r="4963" spans="1:4" x14ac:dyDescent="0.25">
      <c r="A4963" s="418" t="s">
        <v>12591</v>
      </c>
      <c r="B4963">
        <v>27</v>
      </c>
      <c r="C4963" s="309"/>
      <c r="D4963" s="310"/>
    </row>
    <row r="4964" spans="1:4" x14ac:dyDescent="0.25">
      <c r="A4964" s="418" t="s">
        <v>12592</v>
      </c>
      <c r="B4964">
        <v>21</v>
      </c>
      <c r="C4964" s="309"/>
      <c r="D4964" s="310"/>
    </row>
    <row r="4965" spans="1:4" x14ac:dyDescent="0.25">
      <c r="A4965" s="418" t="s">
        <v>12593</v>
      </c>
      <c r="B4965">
        <v>29.5</v>
      </c>
      <c r="C4965" s="309"/>
      <c r="D4965" s="310"/>
    </row>
    <row r="4966" spans="1:4" x14ac:dyDescent="0.25">
      <c r="A4966" s="418" t="s">
        <v>12594</v>
      </c>
      <c r="B4966">
        <v>30</v>
      </c>
      <c r="C4966" s="309"/>
      <c r="D4966" s="310"/>
    </row>
    <row r="4967" spans="1:4" x14ac:dyDescent="0.25">
      <c r="A4967" s="418" t="s">
        <v>12595</v>
      </c>
      <c r="B4967">
        <v>29</v>
      </c>
      <c r="C4967" s="309"/>
      <c r="D4967" s="310"/>
    </row>
    <row r="4968" spans="1:4" x14ac:dyDescent="0.25">
      <c r="A4968" s="418" t="s">
        <v>12596</v>
      </c>
      <c r="B4968">
        <v>27.5</v>
      </c>
      <c r="C4968" s="309"/>
      <c r="D4968" s="310"/>
    </row>
    <row r="4969" spans="1:4" x14ac:dyDescent="0.25">
      <c r="A4969" s="418" t="s">
        <v>12597</v>
      </c>
      <c r="B4969">
        <v>30</v>
      </c>
      <c r="C4969" s="309"/>
      <c r="D4969" s="310"/>
    </row>
    <row r="4970" spans="1:4" x14ac:dyDescent="0.25">
      <c r="A4970" s="418" t="s">
        <v>12598</v>
      </c>
      <c r="B4970">
        <v>27</v>
      </c>
      <c r="C4970" s="309"/>
      <c r="D4970" s="310"/>
    </row>
    <row r="4971" spans="1:4" x14ac:dyDescent="0.25">
      <c r="A4971" s="418" t="s">
        <v>12599</v>
      </c>
      <c r="B4971">
        <v>25</v>
      </c>
      <c r="C4971" s="309"/>
      <c r="D4971" s="310"/>
    </row>
    <row r="4972" spans="1:4" x14ac:dyDescent="0.25">
      <c r="A4972" s="418" t="s">
        <v>12600</v>
      </c>
      <c r="B4972">
        <v>30</v>
      </c>
      <c r="C4972" s="309"/>
      <c r="D4972" s="310"/>
    </row>
    <row r="4973" spans="1:4" x14ac:dyDescent="0.25">
      <c r="A4973" s="418" t="s">
        <v>12601</v>
      </c>
      <c r="B4973">
        <v>28</v>
      </c>
      <c r="C4973" s="309"/>
      <c r="D4973" s="310"/>
    </row>
    <row r="4974" spans="1:4" x14ac:dyDescent="0.25">
      <c r="A4974" s="418" t="s">
        <v>12602</v>
      </c>
      <c r="B4974">
        <v>27</v>
      </c>
      <c r="C4974" s="309"/>
      <c r="D4974" s="310"/>
    </row>
    <row r="4975" spans="1:4" x14ac:dyDescent="0.25">
      <c r="A4975" s="418" t="s">
        <v>12603</v>
      </c>
      <c r="B4975">
        <v>28</v>
      </c>
      <c r="C4975" s="309"/>
      <c r="D4975" s="310"/>
    </row>
    <row r="4976" spans="1:4" x14ac:dyDescent="0.25">
      <c r="A4976" s="418" t="s">
        <v>12604</v>
      </c>
      <c r="B4976">
        <v>29</v>
      </c>
      <c r="C4976" s="309"/>
      <c r="D4976" s="310"/>
    </row>
    <row r="4977" spans="1:4" x14ac:dyDescent="0.25">
      <c r="A4977" s="418" t="s">
        <v>12605</v>
      </c>
      <c r="B4977">
        <v>29</v>
      </c>
      <c r="C4977" s="309"/>
      <c r="D4977" s="310"/>
    </row>
    <row r="4978" spans="1:4" x14ac:dyDescent="0.25">
      <c r="A4978" s="418" t="s">
        <v>12606</v>
      </c>
      <c r="B4978">
        <v>28</v>
      </c>
      <c r="C4978" s="309"/>
      <c r="D4978" s="310"/>
    </row>
    <row r="4979" spans="1:4" x14ac:dyDescent="0.25">
      <c r="A4979" s="418" t="s">
        <v>12607</v>
      </c>
      <c r="B4979">
        <v>27</v>
      </c>
      <c r="C4979" s="309"/>
      <c r="D4979" s="310"/>
    </row>
    <row r="4980" spans="1:4" x14ac:dyDescent="0.25">
      <c r="A4980" s="418" t="s">
        <v>12608</v>
      </c>
      <c r="B4980">
        <v>38</v>
      </c>
      <c r="C4980" s="309"/>
      <c r="D4980" s="310"/>
    </row>
    <row r="4981" spans="1:4" x14ac:dyDescent="0.25">
      <c r="A4981" s="418" t="s">
        <v>12609</v>
      </c>
      <c r="B4981">
        <v>25</v>
      </c>
      <c r="C4981" s="309"/>
      <c r="D4981" s="310"/>
    </row>
    <row r="4982" spans="1:4" x14ac:dyDescent="0.25">
      <c r="A4982" s="418" t="s">
        <v>12610</v>
      </c>
      <c r="B4982">
        <v>28</v>
      </c>
      <c r="C4982" s="309"/>
      <c r="D4982" s="310"/>
    </row>
    <row r="4983" spans="1:4" x14ac:dyDescent="0.25">
      <c r="A4983" s="418" t="s">
        <v>12611</v>
      </c>
      <c r="B4983">
        <v>30</v>
      </c>
      <c r="C4983" s="309"/>
      <c r="D4983" s="310"/>
    </row>
    <row r="4984" spans="1:4" x14ac:dyDescent="0.25">
      <c r="A4984" s="418" t="s">
        <v>12612</v>
      </c>
      <c r="B4984">
        <v>26</v>
      </c>
      <c r="C4984" s="309"/>
      <c r="D4984" s="310"/>
    </row>
    <row r="4985" spans="1:4" x14ac:dyDescent="0.25">
      <c r="A4985" s="418" t="s">
        <v>12613</v>
      </c>
      <c r="B4985">
        <v>27</v>
      </c>
      <c r="C4985" s="309"/>
      <c r="D4985" s="310"/>
    </row>
    <row r="4986" spans="1:4" x14ac:dyDescent="0.25">
      <c r="A4986" s="418" t="s">
        <v>12614</v>
      </c>
      <c r="B4986">
        <v>25</v>
      </c>
      <c r="C4986" s="309"/>
      <c r="D4986" s="310"/>
    </row>
    <row r="4987" spans="1:4" x14ac:dyDescent="0.25">
      <c r="A4987" s="418" t="s">
        <v>12615</v>
      </c>
      <c r="B4987">
        <v>29</v>
      </c>
      <c r="C4987" s="309"/>
      <c r="D4987" s="310"/>
    </row>
    <row r="4988" spans="1:4" x14ac:dyDescent="0.25">
      <c r="A4988" s="418" t="s">
        <v>12616</v>
      </c>
      <c r="B4988">
        <v>26</v>
      </c>
      <c r="C4988" s="309"/>
      <c r="D4988" s="310"/>
    </row>
    <row r="4989" spans="1:4" x14ac:dyDescent="0.25">
      <c r="A4989" s="418" t="s">
        <v>12617</v>
      </c>
      <c r="B4989">
        <v>28</v>
      </c>
      <c r="C4989" s="309"/>
      <c r="D4989" s="310"/>
    </row>
    <row r="4990" spans="1:4" x14ac:dyDescent="0.25">
      <c r="A4990" s="418" t="s">
        <v>12618</v>
      </c>
      <c r="B4990">
        <v>28</v>
      </c>
      <c r="C4990" s="309"/>
      <c r="D4990" s="310"/>
    </row>
    <row r="4991" spans="1:4" x14ac:dyDescent="0.25">
      <c r="A4991" s="418" t="s">
        <v>12619</v>
      </c>
      <c r="B4991">
        <v>30</v>
      </c>
      <c r="C4991" s="309"/>
      <c r="D4991" s="310"/>
    </row>
    <row r="4992" spans="1:4" x14ac:dyDescent="0.25">
      <c r="A4992" s="418" t="s">
        <v>12620</v>
      </c>
      <c r="B4992">
        <v>29</v>
      </c>
      <c r="C4992" s="309"/>
      <c r="D4992" s="310"/>
    </row>
    <row r="4993" spans="1:4" x14ac:dyDescent="0.25">
      <c r="A4993" s="418" t="s">
        <v>12621</v>
      </c>
      <c r="B4993">
        <v>26</v>
      </c>
      <c r="C4993" s="309"/>
      <c r="D4993" s="310"/>
    </row>
    <row r="4994" spans="1:4" x14ac:dyDescent="0.25">
      <c r="A4994" s="418" t="s">
        <v>12622</v>
      </c>
      <c r="B4994">
        <v>28</v>
      </c>
      <c r="C4994" s="309"/>
      <c r="D4994" s="310"/>
    </row>
    <row r="4995" spans="1:4" x14ac:dyDescent="0.25">
      <c r="A4995" s="418" t="s">
        <v>12623</v>
      </c>
      <c r="B4995">
        <v>30</v>
      </c>
      <c r="C4995" s="309"/>
      <c r="D4995" s="310"/>
    </row>
    <row r="4996" spans="1:4" x14ac:dyDescent="0.25">
      <c r="A4996" s="418" t="s">
        <v>12624</v>
      </c>
      <c r="B4996">
        <v>27</v>
      </c>
      <c r="C4996" s="309"/>
      <c r="D4996" s="310"/>
    </row>
    <row r="4997" spans="1:4" x14ac:dyDescent="0.25">
      <c r="A4997" s="418" t="s">
        <v>12625</v>
      </c>
      <c r="B4997">
        <v>30</v>
      </c>
      <c r="C4997" s="309"/>
      <c r="D4997" s="310"/>
    </row>
    <row r="4998" spans="1:4" x14ac:dyDescent="0.25">
      <c r="A4998" s="418" t="s">
        <v>12626</v>
      </c>
      <c r="B4998">
        <v>30</v>
      </c>
      <c r="C4998" s="309"/>
      <c r="D4998" s="310"/>
    </row>
    <row r="4999" spans="1:4" x14ac:dyDescent="0.25">
      <c r="A4999" s="418" t="s">
        <v>12627</v>
      </c>
      <c r="B4999">
        <v>30</v>
      </c>
      <c r="C4999" s="309"/>
      <c r="D4999" s="310"/>
    </row>
    <row r="5000" spans="1:4" x14ac:dyDescent="0.25">
      <c r="A5000" s="418" t="s">
        <v>12628</v>
      </c>
      <c r="B5000">
        <v>29</v>
      </c>
      <c r="C5000" s="309"/>
      <c r="D5000" s="310"/>
    </row>
    <row r="5001" spans="1:4" x14ac:dyDescent="0.25">
      <c r="A5001" s="418" t="s">
        <v>12629</v>
      </c>
      <c r="B5001">
        <v>26</v>
      </c>
      <c r="C5001" s="309"/>
      <c r="D5001" s="310"/>
    </row>
    <row r="5002" spans="1:4" x14ac:dyDescent="0.25">
      <c r="A5002" s="418" t="s">
        <v>12630</v>
      </c>
      <c r="B5002">
        <v>30</v>
      </c>
      <c r="C5002" s="309"/>
      <c r="D5002" s="310"/>
    </row>
    <row r="5003" spans="1:4" x14ac:dyDescent="0.25">
      <c r="A5003" s="418" t="s">
        <v>12631</v>
      </c>
      <c r="B5003">
        <v>29</v>
      </c>
      <c r="C5003" s="309"/>
      <c r="D5003" s="310"/>
    </row>
    <row r="5004" spans="1:4" x14ac:dyDescent="0.25">
      <c r="A5004" s="418" t="s">
        <v>12632</v>
      </c>
      <c r="B5004">
        <v>27</v>
      </c>
      <c r="C5004" s="309"/>
      <c r="D5004" s="310"/>
    </row>
    <row r="5005" spans="1:4" x14ac:dyDescent="0.25">
      <c r="A5005" s="418" t="s">
        <v>12633</v>
      </c>
      <c r="B5005">
        <v>27</v>
      </c>
      <c r="C5005" s="309"/>
      <c r="D5005" s="310"/>
    </row>
    <row r="5006" spans="1:4" x14ac:dyDescent="0.25">
      <c r="A5006" s="418" t="s">
        <v>12634</v>
      </c>
      <c r="B5006">
        <v>28</v>
      </c>
      <c r="C5006" s="309"/>
      <c r="D5006" s="310"/>
    </row>
    <row r="5007" spans="1:4" x14ac:dyDescent="0.25">
      <c r="A5007" s="418" t="s">
        <v>12635</v>
      </c>
      <c r="B5007">
        <v>28</v>
      </c>
      <c r="C5007" s="309"/>
      <c r="D5007" s="310"/>
    </row>
    <row r="5008" spans="1:4" x14ac:dyDescent="0.25">
      <c r="A5008" s="418" t="s">
        <v>12636</v>
      </c>
      <c r="B5008">
        <v>29</v>
      </c>
      <c r="C5008" s="309"/>
      <c r="D5008" s="310"/>
    </row>
    <row r="5009" spans="1:4" x14ac:dyDescent="0.25">
      <c r="A5009" s="418" t="s">
        <v>12637</v>
      </c>
      <c r="B5009">
        <v>29</v>
      </c>
      <c r="C5009" s="309"/>
      <c r="D5009" s="310"/>
    </row>
    <row r="5010" spans="1:4" x14ac:dyDescent="0.25">
      <c r="A5010" s="418" t="s">
        <v>12638</v>
      </c>
      <c r="B5010">
        <v>29</v>
      </c>
      <c r="C5010" s="309"/>
      <c r="D5010" s="310"/>
    </row>
    <row r="5011" spans="1:4" x14ac:dyDescent="0.25">
      <c r="A5011" s="418" t="s">
        <v>12639</v>
      </c>
      <c r="B5011">
        <v>30</v>
      </c>
      <c r="C5011" s="309"/>
      <c r="D5011" s="310"/>
    </row>
    <row r="5012" spans="1:4" x14ac:dyDescent="0.25">
      <c r="A5012" s="418" t="s">
        <v>12640</v>
      </c>
      <c r="B5012">
        <v>28</v>
      </c>
      <c r="C5012" s="309"/>
      <c r="D5012" s="310"/>
    </row>
    <row r="5013" spans="1:4" x14ac:dyDescent="0.25">
      <c r="A5013" s="418" t="s">
        <v>12641</v>
      </c>
      <c r="B5013">
        <v>28</v>
      </c>
      <c r="C5013" s="309"/>
      <c r="D5013" s="310"/>
    </row>
    <row r="5014" spans="1:4" x14ac:dyDescent="0.25">
      <c r="A5014" s="418" t="s">
        <v>12642</v>
      </c>
      <c r="B5014">
        <v>28</v>
      </c>
      <c r="C5014" s="309"/>
      <c r="D5014" s="310"/>
    </row>
    <row r="5015" spans="1:4" x14ac:dyDescent="0.25">
      <c r="A5015" s="418" t="s">
        <v>12643</v>
      </c>
      <c r="B5015">
        <v>27</v>
      </c>
      <c r="C5015" s="309"/>
      <c r="D5015" s="310"/>
    </row>
    <row r="5016" spans="1:4" x14ac:dyDescent="0.25">
      <c r="A5016" s="418" t="s">
        <v>12644</v>
      </c>
      <c r="B5016">
        <v>26</v>
      </c>
      <c r="C5016" s="309"/>
      <c r="D5016" s="310"/>
    </row>
    <row r="5017" spans="1:4" x14ac:dyDescent="0.25">
      <c r="A5017" s="418" t="s">
        <v>12645</v>
      </c>
      <c r="B5017">
        <v>30</v>
      </c>
      <c r="C5017" s="309"/>
      <c r="D5017" s="310"/>
    </row>
    <row r="5018" spans="1:4" x14ac:dyDescent="0.25">
      <c r="A5018" s="418" t="s">
        <v>12646</v>
      </c>
      <c r="B5018">
        <v>27</v>
      </c>
      <c r="C5018" s="309"/>
      <c r="D5018" s="310"/>
    </row>
    <row r="5019" spans="1:4" x14ac:dyDescent="0.25">
      <c r="A5019" s="418" t="s">
        <v>12647</v>
      </c>
      <c r="B5019">
        <v>28</v>
      </c>
      <c r="C5019" s="309"/>
      <c r="D5019" s="310"/>
    </row>
    <row r="5020" spans="1:4" x14ac:dyDescent="0.25">
      <c r="A5020" s="418" t="s">
        <v>12648</v>
      </c>
      <c r="B5020">
        <v>28</v>
      </c>
      <c r="C5020" s="309"/>
      <c r="D5020" s="310"/>
    </row>
    <row r="5021" spans="1:4" x14ac:dyDescent="0.25">
      <c r="A5021" s="418" t="s">
        <v>12649</v>
      </c>
      <c r="B5021">
        <v>26</v>
      </c>
      <c r="C5021" s="309"/>
      <c r="D5021" s="310"/>
    </row>
    <row r="5022" spans="1:4" x14ac:dyDescent="0.25">
      <c r="A5022" s="418" t="s">
        <v>12650</v>
      </c>
      <c r="B5022">
        <v>30</v>
      </c>
      <c r="C5022" s="309"/>
      <c r="D5022" s="310"/>
    </row>
    <row r="5023" spans="1:4" x14ac:dyDescent="0.25">
      <c r="A5023" s="418" t="s">
        <v>12651</v>
      </c>
      <c r="B5023">
        <v>29</v>
      </c>
      <c r="C5023" s="309"/>
      <c r="D5023" s="310"/>
    </row>
    <row r="5024" spans="1:4" x14ac:dyDescent="0.25">
      <c r="A5024" s="418" t="s">
        <v>12652</v>
      </c>
      <c r="B5024">
        <v>30</v>
      </c>
      <c r="C5024" s="309"/>
      <c r="D5024" s="310"/>
    </row>
    <row r="5025" spans="1:4" x14ac:dyDescent="0.25">
      <c r="A5025" s="418" t="s">
        <v>12653</v>
      </c>
      <c r="B5025">
        <v>30</v>
      </c>
      <c r="C5025" s="309"/>
      <c r="D5025" s="310"/>
    </row>
    <row r="5026" spans="1:4" x14ac:dyDescent="0.25">
      <c r="A5026" s="418" t="s">
        <v>12654</v>
      </c>
      <c r="B5026">
        <v>30</v>
      </c>
      <c r="C5026" s="309"/>
      <c r="D5026" s="310"/>
    </row>
    <row r="5027" spans="1:4" x14ac:dyDescent="0.25">
      <c r="A5027" s="418" t="s">
        <v>12655</v>
      </c>
      <c r="B5027">
        <v>28</v>
      </c>
      <c r="C5027" s="309"/>
      <c r="D5027" s="310"/>
    </row>
    <row r="5028" spans="1:4" x14ac:dyDescent="0.25">
      <c r="A5028" s="418" t="s">
        <v>12656</v>
      </c>
      <c r="B5028">
        <v>28</v>
      </c>
      <c r="C5028" s="309"/>
      <c r="D5028" s="310"/>
    </row>
    <row r="5029" spans="1:4" x14ac:dyDescent="0.25">
      <c r="A5029" s="418" t="s">
        <v>12657</v>
      </c>
      <c r="B5029">
        <v>29</v>
      </c>
      <c r="C5029" s="309"/>
      <c r="D5029" s="310"/>
    </row>
    <row r="5030" spans="1:4" x14ac:dyDescent="0.25">
      <c r="A5030" s="418" t="s">
        <v>12658</v>
      </c>
      <c r="B5030">
        <v>27</v>
      </c>
      <c r="C5030" s="309"/>
      <c r="D5030" s="310"/>
    </row>
    <row r="5031" spans="1:4" x14ac:dyDescent="0.25">
      <c r="A5031" s="418" t="s">
        <v>12659</v>
      </c>
      <c r="B5031">
        <v>30</v>
      </c>
      <c r="C5031" s="309"/>
      <c r="D5031" s="310"/>
    </row>
    <row r="5032" spans="1:4" x14ac:dyDescent="0.25">
      <c r="A5032" s="418" t="s">
        <v>12660</v>
      </c>
      <c r="B5032">
        <v>30</v>
      </c>
      <c r="C5032" s="309"/>
      <c r="D5032" s="310"/>
    </row>
    <row r="5033" spans="1:4" x14ac:dyDescent="0.25">
      <c r="A5033" s="418" t="s">
        <v>12661</v>
      </c>
      <c r="B5033">
        <v>25</v>
      </c>
      <c r="C5033" s="309"/>
      <c r="D5033" s="310"/>
    </row>
    <row r="5034" spans="1:4" x14ac:dyDescent="0.25">
      <c r="A5034" s="418" t="s">
        <v>12662</v>
      </c>
      <c r="B5034">
        <v>26</v>
      </c>
      <c r="C5034" s="309"/>
      <c r="D5034" s="310"/>
    </row>
    <row r="5035" spans="1:4" x14ac:dyDescent="0.25">
      <c r="A5035" s="418" t="s">
        <v>12663</v>
      </c>
      <c r="B5035">
        <v>27</v>
      </c>
      <c r="C5035" s="309"/>
      <c r="D5035" s="310"/>
    </row>
    <row r="5036" spans="1:4" x14ac:dyDescent="0.25">
      <c r="A5036" s="418" t="s">
        <v>12664</v>
      </c>
      <c r="B5036">
        <v>26</v>
      </c>
      <c r="C5036" s="309"/>
      <c r="D5036" s="310"/>
    </row>
    <row r="5037" spans="1:4" x14ac:dyDescent="0.25">
      <c r="A5037" s="418" t="s">
        <v>12665</v>
      </c>
      <c r="B5037">
        <v>29</v>
      </c>
      <c r="C5037" s="309"/>
      <c r="D5037" s="310"/>
    </row>
    <row r="5038" spans="1:4" x14ac:dyDescent="0.25">
      <c r="A5038" s="418" t="s">
        <v>12666</v>
      </c>
      <c r="B5038">
        <v>23</v>
      </c>
      <c r="C5038" s="309"/>
      <c r="D5038" s="310"/>
    </row>
    <row r="5039" spans="1:4" x14ac:dyDescent="0.25">
      <c r="A5039" s="418" t="s">
        <v>12667</v>
      </c>
      <c r="B5039">
        <v>30</v>
      </c>
      <c r="C5039" s="309"/>
      <c r="D5039" s="310"/>
    </row>
    <row r="5040" spans="1:4" x14ac:dyDescent="0.25">
      <c r="A5040" s="418" t="s">
        <v>12668</v>
      </c>
      <c r="B5040">
        <v>29</v>
      </c>
      <c r="C5040" s="309"/>
      <c r="D5040" s="310"/>
    </row>
    <row r="5041" spans="1:4" x14ac:dyDescent="0.25">
      <c r="A5041" s="418" t="s">
        <v>12669</v>
      </c>
      <c r="B5041">
        <v>29</v>
      </c>
      <c r="C5041" s="309"/>
      <c r="D5041" s="310"/>
    </row>
    <row r="5042" spans="1:4" x14ac:dyDescent="0.25">
      <c r="A5042" s="418" t="s">
        <v>12670</v>
      </c>
      <c r="B5042">
        <v>27</v>
      </c>
      <c r="C5042" s="309"/>
      <c r="D5042" s="310"/>
    </row>
    <row r="5043" spans="1:4" x14ac:dyDescent="0.25">
      <c r="A5043" s="418" t="s">
        <v>12671</v>
      </c>
      <c r="B5043">
        <v>28</v>
      </c>
      <c r="C5043" s="309"/>
      <c r="D5043" s="310"/>
    </row>
    <row r="5044" spans="1:4" x14ac:dyDescent="0.25">
      <c r="A5044" s="418" t="s">
        <v>12672</v>
      </c>
      <c r="B5044">
        <v>28</v>
      </c>
      <c r="C5044" s="309"/>
      <c r="D5044" s="310"/>
    </row>
    <row r="5045" spans="1:4" x14ac:dyDescent="0.25">
      <c r="A5045" s="418" t="s">
        <v>12673</v>
      </c>
      <c r="B5045">
        <v>28</v>
      </c>
      <c r="C5045" s="309"/>
      <c r="D5045" s="310"/>
    </row>
    <row r="5046" spans="1:4" x14ac:dyDescent="0.25">
      <c r="A5046" s="418" t="s">
        <v>16219</v>
      </c>
      <c r="B5046">
        <v>29</v>
      </c>
      <c r="C5046" s="309"/>
      <c r="D5046" s="310"/>
    </row>
    <row r="5047" spans="1:4" x14ac:dyDescent="0.25">
      <c r="A5047" s="418" t="s">
        <v>12674</v>
      </c>
      <c r="B5047">
        <v>28</v>
      </c>
      <c r="C5047" s="309"/>
      <c r="D5047" s="310"/>
    </row>
    <row r="5048" spans="1:4" x14ac:dyDescent="0.25">
      <c r="A5048" s="418" t="s">
        <v>12675</v>
      </c>
      <c r="B5048">
        <v>27</v>
      </c>
      <c r="C5048" s="309"/>
      <c r="D5048" s="310"/>
    </row>
    <row r="5049" spans="1:4" x14ac:dyDescent="0.25">
      <c r="A5049" s="418" t="s">
        <v>12676</v>
      </c>
      <c r="B5049">
        <v>30</v>
      </c>
      <c r="C5049" s="309"/>
      <c r="D5049" s="310"/>
    </row>
    <row r="5050" spans="1:4" x14ac:dyDescent="0.25">
      <c r="A5050" s="418" t="s">
        <v>12677</v>
      </c>
      <c r="B5050">
        <v>28</v>
      </c>
      <c r="C5050" s="309"/>
      <c r="D5050" s="310"/>
    </row>
    <row r="5051" spans="1:4" x14ac:dyDescent="0.25">
      <c r="A5051" s="418" t="s">
        <v>12678</v>
      </c>
      <c r="B5051">
        <v>30</v>
      </c>
      <c r="C5051" s="309"/>
      <c r="D5051" s="310"/>
    </row>
    <row r="5052" spans="1:4" x14ac:dyDescent="0.25">
      <c r="A5052" s="418" t="s">
        <v>12679</v>
      </c>
      <c r="B5052">
        <v>25</v>
      </c>
      <c r="C5052" s="309"/>
      <c r="D5052" s="310"/>
    </row>
    <row r="5053" spans="1:4" x14ac:dyDescent="0.25">
      <c r="A5053" s="418" t="s">
        <v>12680</v>
      </c>
      <c r="B5053">
        <v>27</v>
      </c>
      <c r="C5053" s="309"/>
      <c r="D5053" s="310"/>
    </row>
    <row r="5054" spans="1:4" x14ac:dyDescent="0.25">
      <c r="A5054" s="418" t="s">
        <v>12681</v>
      </c>
      <c r="B5054">
        <v>29</v>
      </c>
      <c r="C5054" s="309"/>
      <c r="D5054" s="310"/>
    </row>
    <row r="5055" spans="1:4" x14ac:dyDescent="0.25">
      <c r="A5055" s="418" t="s">
        <v>12682</v>
      </c>
      <c r="B5055">
        <v>28</v>
      </c>
      <c r="C5055" s="309"/>
      <c r="D5055" s="310"/>
    </row>
    <row r="5056" spans="1:4" x14ac:dyDescent="0.25">
      <c r="A5056" s="418" t="s">
        <v>12683</v>
      </c>
      <c r="B5056">
        <v>27</v>
      </c>
      <c r="C5056" s="309"/>
      <c r="D5056" s="310"/>
    </row>
    <row r="5057" spans="1:4" x14ac:dyDescent="0.25">
      <c r="A5057" s="418" t="s">
        <v>12684</v>
      </c>
      <c r="B5057">
        <v>29</v>
      </c>
      <c r="C5057" s="309"/>
      <c r="D5057" s="310"/>
    </row>
    <row r="5058" spans="1:4" x14ac:dyDescent="0.25">
      <c r="A5058" s="418" t="s">
        <v>12685</v>
      </c>
      <c r="B5058">
        <v>28</v>
      </c>
      <c r="C5058" s="309"/>
      <c r="D5058" s="310"/>
    </row>
    <row r="5059" spans="1:4" x14ac:dyDescent="0.25">
      <c r="A5059" s="418" t="s">
        <v>12686</v>
      </c>
      <c r="B5059">
        <v>30</v>
      </c>
      <c r="C5059" s="309"/>
      <c r="D5059" s="310"/>
    </row>
    <row r="5060" spans="1:4" x14ac:dyDescent="0.25">
      <c r="A5060" s="418" t="s">
        <v>12687</v>
      </c>
      <c r="B5060">
        <v>26</v>
      </c>
      <c r="C5060" s="309"/>
      <c r="D5060" s="310"/>
    </row>
    <row r="5061" spans="1:4" x14ac:dyDescent="0.25">
      <c r="A5061" s="418" t="s">
        <v>12688</v>
      </c>
      <c r="B5061">
        <v>28</v>
      </c>
      <c r="C5061" s="309"/>
      <c r="D5061" s="310"/>
    </row>
    <row r="5062" spans="1:4" x14ac:dyDescent="0.25">
      <c r="A5062" s="418" t="s">
        <v>12689</v>
      </c>
      <c r="B5062">
        <v>30</v>
      </c>
      <c r="C5062" s="309"/>
      <c r="D5062" s="310"/>
    </row>
    <row r="5063" spans="1:4" x14ac:dyDescent="0.25">
      <c r="A5063" s="418" t="s">
        <v>12690</v>
      </c>
      <c r="B5063">
        <v>28</v>
      </c>
      <c r="C5063" s="309"/>
      <c r="D5063" s="310"/>
    </row>
    <row r="5064" spans="1:4" x14ac:dyDescent="0.25">
      <c r="A5064" s="418" t="s">
        <v>12691</v>
      </c>
      <c r="B5064">
        <v>27</v>
      </c>
      <c r="C5064" s="309"/>
      <c r="D5064" s="310"/>
    </row>
    <row r="5065" spans="1:4" x14ac:dyDescent="0.25">
      <c r="A5065" s="418" t="s">
        <v>12692</v>
      </c>
      <c r="B5065">
        <v>30</v>
      </c>
      <c r="C5065" s="309"/>
      <c r="D5065" s="310"/>
    </row>
    <row r="5066" spans="1:4" x14ac:dyDescent="0.25">
      <c r="A5066" s="418" t="s">
        <v>12693</v>
      </c>
      <c r="B5066">
        <v>29</v>
      </c>
      <c r="C5066" s="309"/>
      <c r="D5066" s="310"/>
    </row>
    <row r="5067" spans="1:4" x14ac:dyDescent="0.25">
      <c r="A5067" s="418" t="s">
        <v>12694</v>
      </c>
      <c r="B5067">
        <v>29</v>
      </c>
      <c r="C5067" s="309"/>
      <c r="D5067" s="310"/>
    </row>
    <row r="5068" spans="1:4" x14ac:dyDescent="0.25">
      <c r="A5068" s="418" t="s">
        <v>12695</v>
      </c>
      <c r="B5068">
        <v>28</v>
      </c>
      <c r="C5068" s="309"/>
      <c r="D5068" s="310"/>
    </row>
    <row r="5069" spans="1:4" x14ac:dyDescent="0.25">
      <c r="A5069" s="418" t="s">
        <v>12696</v>
      </c>
      <c r="B5069">
        <v>27</v>
      </c>
      <c r="C5069" s="309"/>
      <c r="D5069" s="310"/>
    </row>
    <row r="5070" spans="1:4" x14ac:dyDescent="0.25">
      <c r="A5070" s="418" t="s">
        <v>12697</v>
      </c>
      <c r="B5070">
        <v>29</v>
      </c>
      <c r="C5070" s="309"/>
      <c r="D5070" s="310"/>
    </row>
    <row r="5071" spans="1:4" x14ac:dyDescent="0.25">
      <c r="A5071" s="418" t="s">
        <v>12698</v>
      </c>
      <c r="B5071">
        <v>28</v>
      </c>
      <c r="C5071" s="309"/>
      <c r="D5071" s="310"/>
    </row>
    <row r="5072" spans="1:4" x14ac:dyDescent="0.25">
      <c r="A5072" s="418" t="s">
        <v>12699</v>
      </c>
      <c r="B5072">
        <v>30</v>
      </c>
      <c r="C5072" s="309"/>
      <c r="D5072" s="310"/>
    </row>
    <row r="5073" spans="1:4" x14ac:dyDescent="0.25">
      <c r="A5073" s="418" t="s">
        <v>12700</v>
      </c>
      <c r="B5073">
        <v>29</v>
      </c>
      <c r="C5073" s="309"/>
      <c r="D5073" s="310"/>
    </row>
    <row r="5074" spans="1:4" x14ac:dyDescent="0.25">
      <c r="A5074" s="418" t="s">
        <v>12701</v>
      </c>
      <c r="B5074">
        <v>27</v>
      </c>
      <c r="C5074" s="309"/>
      <c r="D5074" s="310"/>
    </row>
    <row r="5075" spans="1:4" x14ac:dyDescent="0.25">
      <c r="A5075" s="418" t="s">
        <v>12702</v>
      </c>
      <c r="B5075">
        <v>26</v>
      </c>
      <c r="C5075" s="309"/>
      <c r="D5075" s="310"/>
    </row>
    <row r="5076" spans="1:4" x14ac:dyDescent="0.25">
      <c r="A5076" s="418" t="s">
        <v>12703</v>
      </c>
      <c r="B5076">
        <v>29</v>
      </c>
      <c r="C5076" s="309"/>
      <c r="D5076" s="310"/>
    </row>
    <row r="5077" spans="1:4" x14ac:dyDescent="0.25">
      <c r="A5077" s="418" t="s">
        <v>12704</v>
      </c>
      <c r="B5077">
        <v>28</v>
      </c>
      <c r="C5077" s="309"/>
      <c r="D5077" s="310"/>
    </row>
    <row r="5078" spans="1:4" x14ac:dyDescent="0.25">
      <c r="A5078" s="418" t="s">
        <v>12705</v>
      </c>
      <c r="B5078">
        <v>27</v>
      </c>
      <c r="C5078" s="309"/>
      <c r="D5078" s="310"/>
    </row>
    <row r="5079" spans="1:4" x14ac:dyDescent="0.25">
      <c r="A5079" s="418" t="s">
        <v>12706</v>
      </c>
      <c r="B5079">
        <v>29</v>
      </c>
      <c r="C5079" s="309"/>
      <c r="D5079" s="310"/>
    </row>
    <row r="5080" spans="1:4" x14ac:dyDescent="0.25">
      <c r="A5080" s="418" t="s">
        <v>12707</v>
      </c>
      <c r="B5080">
        <v>30</v>
      </c>
      <c r="C5080" s="309"/>
      <c r="D5080" s="310"/>
    </row>
    <row r="5081" spans="1:4" x14ac:dyDescent="0.25">
      <c r="A5081" s="418" t="s">
        <v>12708</v>
      </c>
      <c r="B5081">
        <v>29</v>
      </c>
      <c r="C5081" s="309"/>
      <c r="D5081" s="310"/>
    </row>
    <row r="5082" spans="1:4" x14ac:dyDescent="0.25">
      <c r="A5082" s="418" t="s">
        <v>12709</v>
      </c>
      <c r="B5082">
        <v>29</v>
      </c>
      <c r="C5082" s="309"/>
      <c r="D5082" s="310"/>
    </row>
    <row r="5083" spans="1:4" x14ac:dyDescent="0.25">
      <c r="A5083" s="418" t="s">
        <v>12710</v>
      </c>
      <c r="B5083">
        <v>27</v>
      </c>
      <c r="C5083" s="309"/>
      <c r="D5083" s="310"/>
    </row>
    <row r="5084" spans="1:4" x14ac:dyDescent="0.25">
      <c r="A5084" s="418" t="s">
        <v>12711</v>
      </c>
      <c r="B5084">
        <v>29</v>
      </c>
      <c r="C5084" s="309"/>
      <c r="D5084" s="310"/>
    </row>
    <row r="5085" spans="1:4" x14ac:dyDescent="0.25">
      <c r="A5085" s="418" t="s">
        <v>12712</v>
      </c>
      <c r="B5085">
        <v>29</v>
      </c>
      <c r="C5085" s="309"/>
      <c r="D5085" s="310"/>
    </row>
    <row r="5086" spans="1:4" x14ac:dyDescent="0.25">
      <c r="A5086" s="418" t="s">
        <v>12713</v>
      </c>
      <c r="B5086">
        <v>30</v>
      </c>
      <c r="C5086" s="309"/>
      <c r="D5086" s="310"/>
    </row>
    <row r="5087" spans="1:4" x14ac:dyDescent="0.25">
      <c r="A5087" s="418" t="s">
        <v>12714</v>
      </c>
      <c r="B5087">
        <v>26</v>
      </c>
      <c r="C5087" s="309"/>
      <c r="D5087" s="310"/>
    </row>
    <row r="5088" spans="1:4" x14ac:dyDescent="0.25">
      <c r="A5088" s="418" t="s">
        <v>12715</v>
      </c>
      <c r="B5088">
        <v>27</v>
      </c>
      <c r="C5088" s="309"/>
      <c r="D5088" s="310"/>
    </row>
    <row r="5089" spans="1:4" x14ac:dyDescent="0.25">
      <c r="A5089" s="418" t="s">
        <v>12716</v>
      </c>
      <c r="B5089">
        <v>29</v>
      </c>
      <c r="C5089" s="309"/>
      <c r="D5089" s="310"/>
    </row>
    <row r="5090" spans="1:4" x14ac:dyDescent="0.25">
      <c r="A5090" s="418" t="s">
        <v>12717</v>
      </c>
      <c r="B5090">
        <v>27</v>
      </c>
      <c r="C5090" s="309"/>
      <c r="D5090" s="310"/>
    </row>
    <row r="5091" spans="1:4" x14ac:dyDescent="0.25">
      <c r="A5091" s="418" t="s">
        <v>12718</v>
      </c>
      <c r="B5091">
        <v>30</v>
      </c>
      <c r="C5091" s="309"/>
      <c r="D5091" s="310"/>
    </row>
    <row r="5092" spans="1:4" x14ac:dyDescent="0.25">
      <c r="A5092" s="418" t="s">
        <v>12719</v>
      </c>
      <c r="B5092">
        <v>30</v>
      </c>
      <c r="C5092" s="309"/>
      <c r="D5092" s="310"/>
    </row>
    <row r="5093" spans="1:4" x14ac:dyDescent="0.25">
      <c r="A5093" s="418" t="s">
        <v>12720</v>
      </c>
      <c r="B5093">
        <v>25</v>
      </c>
      <c r="C5093" s="309"/>
      <c r="D5093" s="310"/>
    </row>
    <row r="5094" spans="1:4" x14ac:dyDescent="0.25">
      <c r="A5094" s="418" t="s">
        <v>12721</v>
      </c>
      <c r="B5094">
        <v>29</v>
      </c>
      <c r="C5094" s="309"/>
      <c r="D5094" s="310"/>
    </row>
    <row r="5095" spans="1:4" x14ac:dyDescent="0.25">
      <c r="A5095" s="418" t="s">
        <v>12722</v>
      </c>
      <c r="B5095">
        <v>30</v>
      </c>
      <c r="C5095" s="309"/>
      <c r="D5095" s="310"/>
    </row>
    <row r="5096" spans="1:4" x14ac:dyDescent="0.25">
      <c r="A5096" s="418" t="s">
        <v>12723</v>
      </c>
      <c r="B5096">
        <v>27</v>
      </c>
      <c r="C5096" s="309"/>
      <c r="D5096" s="310"/>
    </row>
    <row r="5097" spans="1:4" x14ac:dyDescent="0.25">
      <c r="A5097" s="418" t="s">
        <v>12724</v>
      </c>
      <c r="B5097">
        <v>27</v>
      </c>
      <c r="C5097" s="309"/>
      <c r="D5097" s="310"/>
    </row>
    <row r="5098" spans="1:4" x14ac:dyDescent="0.25">
      <c r="A5098" s="418" t="s">
        <v>12725</v>
      </c>
      <c r="B5098">
        <v>28</v>
      </c>
      <c r="C5098" s="309"/>
      <c r="D5098" s="310"/>
    </row>
    <row r="5099" spans="1:4" x14ac:dyDescent="0.25">
      <c r="A5099" s="418" t="s">
        <v>12726</v>
      </c>
      <c r="B5099">
        <v>28</v>
      </c>
      <c r="C5099" s="309"/>
      <c r="D5099" s="310"/>
    </row>
    <row r="5100" spans="1:4" x14ac:dyDescent="0.25">
      <c r="A5100" s="418" t="s">
        <v>12727</v>
      </c>
      <c r="B5100">
        <v>29</v>
      </c>
      <c r="C5100" s="309"/>
      <c r="D5100" s="310"/>
    </row>
    <row r="5101" spans="1:4" x14ac:dyDescent="0.25">
      <c r="A5101" s="418" t="s">
        <v>12728</v>
      </c>
      <c r="B5101">
        <v>30</v>
      </c>
      <c r="C5101" s="309"/>
      <c r="D5101" s="310"/>
    </row>
    <row r="5102" spans="1:4" x14ac:dyDescent="0.25">
      <c r="A5102" s="418" t="s">
        <v>12729</v>
      </c>
      <c r="B5102">
        <v>27</v>
      </c>
      <c r="C5102" s="309"/>
      <c r="D5102" s="310"/>
    </row>
    <row r="5103" spans="1:4" x14ac:dyDescent="0.25">
      <c r="A5103" s="418" t="s">
        <v>12730</v>
      </c>
      <c r="B5103">
        <v>26</v>
      </c>
      <c r="C5103" s="309"/>
      <c r="D5103" s="310"/>
    </row>
    <row r="5104" spans="1:4" x14ac:dyDescent="0.25">
      <c r="A5104" s="418" t="s">
        <v>12731</v>
      </c>
      <c r="B5104">
        <v>28</v>
      </c>
      <c r="C5104" s="309"/>
      <c r="D5104" s="310"/>
    </row>
    <row r="5105" spans="1:4" x14ac:dyDescent="0.25">
      <c r="A5105" s="418" t="s">
        <v>12732</v>
      </c>
      <c r="B5105">
        <v>26</v>
      </c>
      <c r="C5105" s="309"/>
      <c r="D5105" s="310"/>
    </row>
    <row r="5106" spans="1:4" x14ac:dyDescent="0.25">
      <c r="A5106" s="418" t="s">
        <v>12733</v>
      </c>
      <c r="B5106">
        <v>27</v>
      </c>
      <c r="C5106" s="309"/>
      <c r="D5106" s="310"/>
    </row>
    <row r="5107" spans="1:4" x14ac:dyDescent="0.25">
      <c r="A5107" s="418" t="s">
        <v>12734</v>
      </c>
      <c r="B5107">
        <v>30</v>
      </c>
      <c r="C5107" s="309"/>
      <c r="D5107" s="310"/>
    </row>
    <row r="5108" spans="1:4" x14ac:dyDescent="0.25">
      <c r="A5108" s="418" t="s">
        <v>12735</v>
      </c>
      <c r="B5108">
        <v>27</v>
      </c>
      <c r="C5108" s="309"/>
      <c r="D5108" s="310"/>
    </row>
    <row r="5109" spans="1:4" x14ac:dyDescent="0.25">
      <c r="A5109" s="418" t="s">
        <v>12736</v>
      </c>
      <c r="B5109">
        <v>29</v>
      </c>
      <c r="C5109" s="309"/>
      <c r="D5109" s="310"/>
    </row>
    <row r="5110" spans="1:4" x14ac:dyDescent="0.25">
      <c r="A5110" s="418" t="s">
        <v>12737</v>
      </c>
      <c r="B5110">
        <v>28</v>
      </c>
      <c r="C5110" s="309"/>
      <c r="D5110" s="310"/>
    </row>
    <row r="5111" spans="1:4" x14ac:dyDescent="0.25">
      <c r="A5111" s="418" t="s">
        <v>12738</v>
      </c>
      <c r="B5111">
        <v>28</v>
      </c>
      <c r="C5111" s="309"/>
      <c r="D5111" s="310"/>
    </row>
    <row r="5112" spans="1:4" x14ac:dyDescent="0.25">
      <c r="A5112" s="418" t="s">
        <v>12739</v>
      </c>
      <c r="B5112">
        <v>30</v>
      </c>
      <c r="C5112" s="309"/>
      <c r="D5112" s="310"/>
    </row>
    <row r="5113" spans="1:4" x14ac:dyDescent="0.25">
      <c r="A5113" s="418" t="s">
        <v>12740</v>
      </c>
      <c r="B5113">
        <v>30</v>
      </c>
      <c r="C5113" s="309"/>
      <c r="D5113" s="310"/>
    </row>
    <row r="5114" spans="1:4" x14ac:dyDescent="0.25">
      <c r="A5114" s="418" t="s">
        <v>12741</v>
      </c>
      <c r="B5114">
        <v>26</v>
      </c>
      <c r="C5114" s="309"/>
      <c r="D5114" s="310"/>
    </row>
    <row r="5115" spans="1:4" x14ac:dyDescent="0.25">
      <c r="A5115" s="418" t="s">
        <v>12742</v>
      </c>
      <c r="B5115">
        <v>29</v>
      </c>
      <c r="C5115" s="309"/>
      <c r="D5115" s="310"/>
    </row>
    <row r="5116" spans="1:4" x14ac:dyDescent="0.25">
      <c r="A5116" s="418" t="s">
        <v>12743</v>
      </c>
      <c r="B5116">
        <v>30</v>
      </c>
      <c r="C5116" s="309"/>
      <c r="D5116" s="310"/>
    </row>
    <row r="5117" spans="1:4" x14ac:dyDescent="0.25">
      <c r="A5117" s="418" t="s">
        <v>12744</v>
      </c>
      <c r="B5117">
        <v>30</v>
      </c>
      <c r="C5117" s="309"/>
      <c r="D5117" s="310"/>
    </row>
    <row r="5118" spans="1:4" x14ac:dyDescent="0.25">
      <c r="A5118" s="418" t="s">
        <v>12745</v>
      </c>
      <c r="B5118">
        <v>30</v>
      </c>
      <c r="C5118" s="309"/>
      <c r="D5118" s="310"/>
    </row>
    <row r="5119" spans="1:4" x14ac:dyDescent="0.25">
      <c r="A5119" s="418" t="s">
        <v>12746</v>
      </c>
      <c r="B5119">
        <v>28</v>
      </c>
      <c r="C5119" s="309"/>
      <c r="D5119" s="310"/>
    </row>
    <row r="5120" spans="1:4" x14ac:dyDescent="0.25">
      <c r="A5120" s="418" t="s">
        <v>12747</v>
      </c>
      <c r="B5120">
        <v>30</v>
      </c>
      <c r="C5120" s="309"/>
      <c r="D5120" s="310"/>
    </row>
    <row r="5121" spans="1:4" x14ac:dyDescent="0.25">
      <c r="A5121" s="418" t="s">
        <v>12748</v>
      </c>
      <c r="B5121">
        <v>26</v>
      </c>
      <c r="C5121" s="309"/>
      <c r="D5121" s="310"/>
    </row>
    <row r="5122" spans="1:4" x14ac:dyDescent="0.25">
      <c r="A5122" s="418" t="s">
        <v>12749</v>
      </c>
      <c r="B5122">
        <v>26</v>
      </c>
      <c r="C5122" s="309"/>
      <c r="D5122" s="310"/>
    </row>
    <row r="5123" spans="1:4" x14ac:dyDescent="0.25">
      <c r="A5123" s="418" t="s">
        <v>12750</v>
      </c>
      <c r="B5123">
        <v>30</v>
      </c>
      <c r="C5123" s="309"/>
      <c r="D5123" s="310"/>
    </row>
    <row r="5124" spans="1:4" x14ac:dyDescent="0.25">
      <c r="A5124" s="418" t="s">
        <v>12751</v>
      </c>
      <c r="B5124">
        <v>29</v>
      </c>
      <c r="C5124" s="309"/>
      <c r="D5124" s="310"/>
    </row>
    <row r="5125" spans="1:4" x14ac:dyDescent="0.25">
      <c r="A5125" s="418" t="s">
        <v>12752</v>
      </c>
      <c r="B5125">
        <v>29</v>
      </c>
      <c r="C5125" s="309"/>
      <c r="D5125" s="310"/>
    </row>
    <row r="5126" spans="1:4" x14ac:dyDescent="0.25">
      <c r="A5126" s="418" t="s">
        <v>12753</v>
      </c>
      <c r="B5126">
        <v>29</v>
      </c>
      <c r="C5126" s="309"/>
      <c r="D5126" s="310"/>
    </row>
    <row r="5127" spans="1:4" x14ac:dyDescent="0.25">
      <c r="A5127" s="418" t="s">
        <v>16894</v>
      </c>
      <c r="B5127">
        <v>30</v>
      </c>
      <c r="C5127" s="309"/>
      <c r="D5127" s="310"/>
    </row>
    <row r="5128" spans="1:4" x14ac:dyDescent="0.25">
      <c r="A5128" s="418" t="s">
        <v>12754</v>
      </c>
      <c r="B5128">
        <v>28</v>
      </c>
      <c r="C5128" s="309"/>
      <c r="D5128" s="310"/>
    </row>
    <row r="5129" spans="1:4" x14ac:dyDescent="0.25">
      <c r="A5129" s="418" t="s">
        <v>12755</v>
      </c>
      <c r="B5129">
        <v>30</v>
      </c>
      <c r="C5129" s="309"/>
      <c r="D5129" s="310"/>
    </row>
    <row r="5130" spans="1:4" x14ac:dyDescent="0.25">
      <c r="A5130" s="418" t="s">
        <v>12756</v>
      </c>
      <c r="B5130">
        <v>30</v>
      </c>
      <c r="C5130" s="309"/>
      <c r="D5130" s="310"/>
    </row>
    <row r="5131" spans="1:4" x14ac:dyDescent="0.25">
      <c r="A5131" s="418" t="s">
        <v>12757</v>
      </c>
      <c r="B5131">
        <v>29</v>
      </c>
      <c r="C5131" s="309"/>
      <c r="D5131" s="310"/>
    </row>
    <row r="5132" spans="1:4" x14ac:dyDescent="0.25">
      <c r="A5132" s="418" t="s">
        <v>12758</v>
      </c>
      <c r="B5132">
        <v>27</v>
      </c>
      <c r="C5132" s="309"/>
      <c r="D5132" s="310"/>
    </row>
    <row r="5133" spans="1:4" x14ac:dyDescent="0.25">
      <c r="A5133" s="418" t="s">
        <v>12759</v>
      </c>
      <c r="B5133">
        <v>27</v>
      </c>
      <c r="C5133" s="309"/>
      <c r="D5133" s="310"/>
    </row>
    <row r="5134" spans="1:4" x14ac:dyDescent="0.25">
      <c r="A5134" s="418" t="s">
        <v>12760</v>
      </c>
      <c r="B5134">
        <v>24</v>
      </c>
      <c r="C5134" s="309"/>
      <c r="D5134" s="310"/>
    </row>
    <row r="5135" spans="1:4" x14ac:dyDescent="0.25">
      <c r="A5135" s="418" t="s">
        <v>12761</v>
      </c>
      <c r="B5135">
        <v>25</v>
      </c>
      <c r="C5135" s="309"/>
      <c r="D5135" s="310"/>
    </row>
    <row r="5136" spans="1:4" x14ac:dyDescent="0.25">
      <c r="A5136" s="418" t="s">
        <v>12762</v>
      </c>
      <c r="B5136">
        <v>29</v>
      </c>
      <c r="C5136" s="309"/>
      <c r="D5136" s="310"/>
    </row>
    <row r="5137" spans="1:4" x14ac:dyDescent="0.25">
      <c r="A5137" s="418" t="s">
        <v>12763</v>
      </c>
      <c r="B5137">
        <v>26</v>
      </c>
      <c r="C5137" s="309"/>
      <c r="D5137" s="310"/>
    </row>
    <row r="5138" spans="1:4" x14ac:dyDescent="0.25">
      <c r="A5138" s="418" t="s">
        <v>12764</v>
      </c>
      <c r="B5138">
        <v>30</v>
      </c>
      <c r="C5138" s="309"/>
      <c r="D5138" s="310"/>
    </row>
    <row r="5139" spans="1:4" x14ac:dyDescent="0.25">
      <c r="A5139" s="418" t="s">
        <v>12765</v>
      </c>
      <c r="B5139">
        <v>26</v>
      </c>
      <c r="C5139" s="309"/>
      <c r="D5139" s="310"/>
    </row>
    <row r="5140" spans="1:4" x14ac:dyDescent="0.25">
      <c r="A5140" s="418" t="s">
        <v>12766</v>
      </c>
      <c r="B5140">
        <v>24</v>
      </c>
      <c r="C5140" s="309"/>
      <c r="D5140" s="310"/>
    </row>
    <row r="5141" spans="1:4" x14ac:dyDescent="0.25">
      <c r="A5141" s="418" t="s">
        <v>12767</v>
      </c>
      <c r="B5141">
        <v>26</v>
      </c>
      <c r="C5141" s="309"/>
      <c r="D5141" s="310"/>
    </row>
    <row r="5142" spans="1:4" x14ac:dyDescent="0.25">
      <c r="A5142" s="418" t="s">
        <v>12768</v>
      </c>
      <c r="B5142">
        <v>30</v>
      </c>
      <c r="C5142" s="309"/>
      <c r="D5142" s="310"/>
    </row>
    <row r="5143" spans="1:4" x14ac:dyDescent="0.25">
      <c r="A5143" s="418" t="s">
        <v>12769</v>
      </c>
      <c r="B5143">
        <v>27</v>
      </c>
      <c r="C5143" s="309"/>
      <c r="D5143" s="310"/>
    </row>
    <row r="5144" spans="1:4" x14ac:dyDescent="0.25">
      <c r="A5144" s="418" t="s">
        <v>12770</v>
      </c>
      <c r="B5144">
        <v>30</v>
      </c>
      <c r="C5144" s="309"/>
      <c r="D5144" s="310"/>
    </row>
    <row r="5145" spans="1:4" x14ac:dyDescent="0.25">
      <c r="A5145" s="418" t="s">
        <v>12771</v>
      </c>
      <c r="B5145">
        <v>29</v>
      </c>
      <c r="C5145" s="309"/>
      <c r="D5145" s="310"/>
    </row>
    <row r="5146" spans="1:4" x14ac:dyDescent="0.25">
      <c r="A5146" s="418" t="s">
        <v>12772</v>
      </c>
      <c r="B5146">
        <v>28</v>
      </c>
      <c r="C5146" s="309"/>
      <c r="D5146" s="310"/>
    </row>
    <row r="5147" spans="1:4" x14ac:dyDescent="0.25">
      <c r="A5147" s="418" t="s">
        <v>12773</v>
      </c>
      <c r="B5147">
        <v>28</v>
      </c>
      <c r="C5147" s="309"/>
      <c r="D5147" s="310"/>
    </row>
    <row r="5148" spans="1:4" x14ac:dyDescent="0.25">
      <c r="A5148" s="418" t="s">
        <v>12774</v>
      </c>
      <c r="B5148">
        <v>28</v>
      </c>
      <c r="C5148" s="309"/>
      <c r="D5148" s="310"/>
    </row>
    <row r="5149" spans="1:4" x14ac:dyDescent="0.25">
      <c r="A5149" s="418" t="s">
        <v>12775</v>
      </c>
      <c r="B5149">
        <v>26</v>
      </c>
      <c r="C5149" s="309"/>
      <c r="D5149" s="310"/>
    </row>
    <row r="5150" spans="1:4" x14ac:dyDescent="0.25">
      <c r="A5150" s="418" t="s">
        <v>12776</v>
      </c>
      <c r="B5150">
        <v>29</v>
      </c>
      <c r="C5150" s="309"/>
      <c r="D5150" s="310"/>
    </row>
    <row r="5151" spans="1:4" x14ac:dyDescent="0.25">
      <c r="A5151" s="418" t="s">
        <v>12777</v>
      </c>
      <c r="B5151">
        <v>26</v>
      </c>
      <c r="C5151" s="309"/>
      <c r="D5151" s="310"/>
    </row>
    <row r="5152" spans="1:4" x14ac:dyDescent="0.25">
      <c r="A5152" s="418" t="s">
        <v>12778</v>
      </c>
      <c r="B5152">
        <v>30</v>
      </c>
      <c r="C5152" s="309"/>
      <c r="D5152" s="310"/>
    </row>
    <row r="5153" spans="1:4" x14ac:dyDescent="0.25">
      <c r="A5153" s="418" t="s">
        <v>12779</v>
      </c>
      <c r="B5153">
        <v>29</v>
      </c>
      <c r="C5153" s="309"/>
      <c r="D5153" s="310"/>
    </row>
    <row r="5154" spans="1:4" x14ac:dyDescent="0.25">
      <c r="A5154" s="418" t="s">
        <v>12780</v>
      </c>
      <c r="B5154">
        <v>28</v>
      </c>
      <c r="C5154" s="309"/>
      <c r="D5154" s="310"/>
    </row>
    <row r="5155" spans="1:4" x14ac:dyDescent="0.25">
      <c r="A5155" s="418" t="s">
        <v>12781</v>
      </c>
      <c r="B5155">
        <v>27</v>
      </c>
      <c r="C5155" s="309"/>
      <c r="D5155" s="310"/>
    </row>
    <row r="5156" spans="1:4" x14ac:dyDescent="0.25">
      <c r="A5156" s="418" t="s">
        <v>12782</v>
      </c>
      <c r="B5156">
        <v>29</v>
      </c>
      <c r="C5156" s="309"/>
      <c r="D5156" s="310"/>
    </row>
    <row r="5157" spans="1:4" x14ac:dyDescent="0.25">
      <c r="A5157" s="418" t="s">
        <v>12783</v>
      </c>
      <c r="B5157">
        <v>28</v>
      </c>
      <c r="C5157" s="309"/>
      <c r="D5157" s="310"/>
    </row>
    <row r="5158" spans="1:4" x14ac:dyDescent="0.25">
      <c r="A5158" s="418" t="s">
        <v>12784</v>
      </c>
      <c r="B5158">
        <v>30</v>
      </c>
      <c r="C5158" s="309"/>
      <c r="D5158" s="310"/>
    </row>
    <row r="5159" spans="1:4" x14ac:dyDescent="0.25">
      <c r="A5159" s="418" t="s">
        <v>12785</v>
      </c>
      <c r="B5159">
        <v>28</v>
      </c>
      <c r="C5159" s="309"/>
      <c r="D5159" s="310"/>
    </row>
    <row r="5160" spans="1:4" x14ac:dyDescent="0.25">
      <c r="A5160" s="418" t="s">
        <v>12786</v>
      </c>
      <c r="B5160">
        <v>27</v>
      </c>
      <c r="C5160" s="309"/>
      <c r="D5160" s="310"/>
    </row>
    <row r="5161" spans="1:4" x14ac:dyDescent="0.25">
      <c r="A5161" s="418" t="s">
        <v>12787</v>
      </c>
      <c r="B5161">
        <v>27</v>
      </c>
      <c r="C5161" s="309"/>
      <c r="D5161" s="310"/>
    </row>
    <row r="5162" spans="1:4" x14ac:dyDescent="0.25">
      <c r="A5162" s="418" t="s">
        <v>12788</v>
      </c>
      <c r="B5162">
        <v>30</v>
      </c>
      <c r="C5162" s="309"/>
      <c r="D5162" s="310"/>
    </row>
    <row r="5163" spans="1:4" x14ac:dyDescent="0.25">
      <c r="A5163" s="418" t="s">
        <v>12789</v>
      </c>
      <c r="B5163">
        <v>28</v>
      </c>
      <c r="C5163" s="309"/>
      <c r="D5163" s="310"/>
    </row>
    <row r="5164" spans="1:4" x14ac:dyDescent="0.25">
      <c r="A5164" s="418" t="s">
        <v>12790</v>
      </c>
      <c r="B5164">
        <v>27</v>
      </c>
      <c r="C5164" s="309"/>
      <c r="D5164" s="310"/>
    </row>
    <row r="5165" spans="1:4" x14ac:dyDescent="0.25">
      <c r="A5165" s="418" t="s">
        <v>12791</v>
      </c>
      <c r="B5165">
        <v>29</v>
      </c>
      <c r="C5165" s="309"/>
      <c r="D5165" s="310"/>
    </row>
    <row r="5166" spans="1:4" x14ac:dyDescent="0.25">
      <c r="A5166" s="418" t="s">
        <v>12792</v>
      </c>
      <c r="B5166">
        <v>29</v>
      </c>
      <c r="C5166" s="309"/>
      <c r="D5166" s="310"/>
    </row>
    <row r="5167" spans="1:4" x14ac:dyDescent="0.25">
      <c r="A5167" s="418" t="s">
        <v>12793</v>
      </c>
      <c r="B5167">
        <v>27</v>
      </c>
      <c r="C5167" s="309"/>
      <c r="D5167" s="310"/>
    </row>
    <row r="5168" spans="1:4" x14ac:dyDescent="0.25">
      <c r="A5168" s="418" t="s">
        <v>12794</v>
      </c>
      <c r="B5168">
        <v>30</v>
      </c>
      <c r="C5168" s="309"/>
      <c r="D5168" s="310"/>
    </row>
    <row r="5169" spans="1:4" x14ac:dyDescent="0.25">
      <c r="A5169" s="418" t="s">
        <v>12795</v>
      </c>
      <c r="B5169">
        <v>28</v>
      </c>
      <c r="C5169" s="309"/>
      <c r="D5169" s="310"/>
    </row>
    <row r="5170" spans="1:4" x14ac:dyDescent="0.25">
      <c r="A5170" s="418" t="s">
        <v>12796</v>
      </c>
      <c r="B5170">
        <v>28</v>
      </c>
      <c r="C5170" s="309"/>
      <c r="D5170" s="310"/>
    </row>
    <row r="5171" spans="1:4" x14ac:dyDescent="0.25">
      <c r="A5171" s="418" t="s">
        <v>12797</v>
      </c>
      <c r="B5171">
        <v>28</v>
      </c>
      <c r="C5171" s="309"/>
      <c r="D5171" s="310"/>
    </row>
    <row r="5172" spans="1:4" x14ac:dyDescent="0.25">
      <c r="A5172" s="418" t="s">
        <v>12798</v>
      </c>
      <c r="B5172">
        <v>30</v>
      </c>
      <c r="C5172" s="309"/>
      <c r="D5172" s="310"/>
    </row>
    <row r="5173" spans="1:4" x14ac:dyDescent="0.25">
      <c r="A5173" s="418" t="s">
        <v>12799</v>
      </c>
      <c r="B5173">
        <v>29</v>
      </c>
      <c r="C5173" s="309"/>
      <c r="D5173" s="310"/>
    </row>
    <row r="5174" spans="1:4" x14ac:dyDescent="0.25">
      <c r="A5174" s="418" t="s">
        <v>12800</v>
      </c>
      <c r="B5174">
        <v>28</v>
      </c>
      <c r="C5174" s="309"/>
      <c r="D5174" s="310"/>
    </row>
    <row r="5175" spans="1:4" x14ac:dyDescent="0.25">
      <c r="A5175" s="418" t="s">
        <v>12801</v>
      </c>
      <c r="B5175">
        <v>30</v>
      </c>
      <c r="C5175" s="309"/>
      <c r="D5175" s="310"/>
    </row>
    <row r="5176" spans="1:4" x14ac:dyDescent="0.25">
      <c r="A5176" s="418" t="s">
        <v>12802</v>
      </c>
      <c r="B5176">
        <v>27</v>
      </c>
      <c r="C5176" s="309"/>
      <c r="D5176" s="310"/>
    </row>
    <row r="5177" spans="1:4" x14ac:dyDescent="0.25">
      <c r="A5177" s="418" t="s">
        <v>12803</v>
      </c>
      <c r="B5177">
        <v>29</v>
      </c>
      <c r="C5177" s="309"/>
      <c r="D5177" s="310"/>
    </row>
    <row r="5178" spans="1:4" x14ac:dyDescent="0.25">
      <c r="A5178" s="418" t="s">
        <v>12804</v>
      </c>
      <c r="B5178">
        <v>29</v>
      </c>
      <c r="C5178" s="309"/>
      <c r="D5178" s="310"/>
    </row>
    <row r="5179" spans="1:4" x14ac:dyDescent="0.25">
      <c r="A5179" s="418" t="s">
        <v>12805</v>
      </c>
      <c r="B5179">
        <v>27</v>
      </c>
      <c r="C5179" s="309"/>
      <c r="D5179" s="310"/>
    </row>
    <row r="5180" spans="1:4" x14ac:dyDescent="0.25">
      <c r="A5180" s="418" t="s">
        <v>12806</v>
      </c>
      <c r="B5180">
        <v>28</v>
      </c>
      <c r="C5180" s="309"/>
      <c r="D5180" s="310"/>
    </row>
    <row r="5181" spans="1:4" x14ac:dyDescent="0.25">
      <c r="A5181" s="418" t="s">
        <v>12807</v>
      </c>
      <c r="B5181">
        <v>30</v>
      </c>
      <c r="C5181" s="309"/>
      <c r="D5181" s="310"/>
    </row>
    <row r="5182" spans="1:4" x14ac:dyDescent="0.25">
      <c r="A5182" s="418" t="s">
        <v>12808</v>
      </c>
      <c r="B5182">
        <v>29</v>
      </c>
      <c r="C5182" s="309"/>
      <c r="D5182" s="310"/>
    </row>
    <row r="5183" spans="1:4" x14ac:dyDescent="0.25">
      <c r="A5183" s="418" t="s">
        <v>12809</v>
      </c>
      <c r="B5183">
        <v>26</v>
      </c>
      <c r="C5183" s="309"/>
      <c r="D5183" s="310"/>
    </row>
    <row r="5184" spans="1:4" x14ac:dyDescent="0.25">
      <c r="A5184" s="418" t="s">
        <v>12810</v>
      </c>
      <c r="B5184">
        <v>30</v>
      </c>
      <c r="C5184" s="309"/>
      <c r="D5184" s="310"/>
    </row>
    <row r="5185" spans="1:4" x14ac:dyDescent="0.25">
      <c r="A5185" s="418" t="s">
        <v>12811</v>
      </c>
      <c r="B5185">
        <v>30</v>
      </c>
      <c r="C5185" s="309"/>
      <c r="D5185" s="310"/>
    </row>
    <row r="5186" spans="1:4" x14ac:dyDescent="0.25">
      <c r="A5186" s="418" t="s">
        <v>12812</v>
      </c>
      <c r="B5186">
        <v>28</v>
      </c>
      <c r="C5186" s="309"/>
      <c r="D5186" s="310"/>
    </row>
    <row r="5187" spans="1:4" x14ac:dyDescent="0.25">
      <c r="A5187" s="418" t="s">
        <v>12813</v>
      </c>
      <c r="B5187">
        <v>26</v>
      </c>
      <c r="C5187" s="309"/>
      <c r="D5187" s="310"/>
    </row>
    <row r="5188" spans="1:4" x14ac:dyDescent="0.25">
      <c r="A5188" s="418" t="s">
        <v>12814</v>
      </c>
      <c r="B5188">
        <v>30</v>
      </c>
      <c r="C5188" s="309"/>
      <c r="D5188" s="310"/>
    </row>
    <row r="5189" spans="1:4" x14ac:dyDescent="0.25">
      <c r="A5189" s="418" t="s">
        <v>12815</v>
      </c>
      <c r="B5189">
        <v>29</v>
      </c>
      <c r="C5189" s="309"/>
      <c r="D5189" s="310"/>
    </row>
    <row r="5190" spans="1:4" x14ac:dyDescent="0.25">
      <c r="A5190" s="418" t="s">
        <v>17242</v>
      </c>
      <c r="B5190">
        <v>30</v>
      </c>
      <c r="C5190" s="309"/>
      <c r="D5190" s="310"/>
    </row>
    <row r="5191" spans="1:4" x14ac:dyDescent="0.25">
      <c r="A5191" s="418" t="s">
        <v>12816</v>
      </c>
      <c r="B5191">
        <v>26</v>
      </c>
      <c r="C5191" s="309"/>
      <c r="D5191" s="310"/>
    </row>
    <row r="5192" spans="1:4" x14ac:dyDescent="0.25">
      <c r="A5192" s="418" t="s">
        <v>12817</v>
      </c>
      <c r="B5192">
        <v>29</v>
      </c>
      <c r="C5192" s="309"/>
      <c r="D5192" s="310"/>
    </row>
    <row r="5193" spans="1:4" x14ac:dyDescent="0.25">
      <c r="A5193" s="418" t="s">
        <v>12818</v>
      </c>
      <c r="B5193">
        <v>27</v>
      </c>
      <c r="C5193" s="309"/>
      <c r="D5193" s="310"/>
    </row>
    <row r="5194" spans="1:4" x14ac:dyDescent="0.25">
      <c r="A5194" s="418" t="s">
        <v>12819</v>
      </c>
      <c r="B5194">
        <v>29</v>
      </c>
      <c r="C5194" s="309"/>
      <c r="D5194" s="310"/>
    </row>
    <row r="5195" spans="1:4" x14ac:dyDescent="0.25">
      <c r="A5195" s="418" t="s">
        <v>12820</v>
      </c>
      <c r="B5195">
        <v>30</v>
      </c>
      <c r="C5195" s="309"/>
      <c r="D5195" s="310"/>
    </row>
    <row r="5196" spans="1:4" x14ac:dyDescent="0.25">
      <c r="A5196" s="418" t="s">
        <v>12821</v>
      </c>
      <c r="B5196">
        <v>29</v>
      </c>
      <c r="C5196" s="309"/>
      <c r="D5196" s="310"/>
    </row>
    <row r="5197" spans="1:4" x14ac:dyDescent="0.25">
      <c r="A5197" s="418" t="s">
        <v>12822</v>
      </c>
      <c r="B5197">
        <v>27</v>
      </c>
      <c r="C5197" s="309"/>
      <c r="D5197" s="310"/>
    </row>
    <row r="5198" spans="1:4" x14ac:dyDescent="0.25">
      <c r="A5198" s="418" t="s">
        <v>12823</v>
      </c>
      <c r="B5198">
        <v>27</v>
      </c>
      <c r="C5198" s="309"/>
      <c r="D5198" s="310"/>
    </row>
    <row r="5199" spans="1:4" x14ac:dyDescent="0.25">
      <c r="A5199" s="418" t="s">
        <v>12824</v>
      </c>
      <c r="B5199">
        <v>27</v>
      </c>
      <c r="C5199" s="309"/>
      <c r="D5199" s="310"/>
    </row>
    <row r="5200" spans="1:4" x14ac:dyDescent="0.25">
      <c r="A5200" s="418" t="s">
        <v>12825</v>
      </c>
      <c r="B5200">
        <v>29</v>
      </c>
      <c r="C5200" s="309"/>
      <c r="D5200" s="310"/>
    </row>
    <row r="5201" spans="1:4" x14ac:dyDescent="0.25">
      <c r="A5201" s="418" t="s">
        <v>12826</v>
      </c>
      <c r="B5201">
        <v>29</v>
      </c>
      <c r="C5201" s="309"/>
      <c r="D5201" s="310"/>
    </row>
    <row r="5202" spans="1:4" x14ac:dyDescent="0.25">
      <c r="A5202" s="418" t="s">
        <v>12827</v>
      </c>
      <c r="B5202">
        <v>28</v>
      </c>
      <c r="C5202" s="309"/>
      <c r="D5202" s="310"/>
    </row>
    <row r="5203" spans="1:4" x14ac:dyDescent="0.25">
      <c r="A5203" s="418" t="s">
        <v>12828</v>
      </c>
      <c r="B5203">
        <v>29</v>
      </c>
      <c r="C5203" s="309"/>
      <c r="D5203" s="310"/>
    </row>
    <row r="5204" spans="1:4" x14ac:dyDescent="0.25">
      <c r="A5204" s="418" t="s">
        <v>12829</v>
      </c>
      <c r="B5204">
        <v>30</v>
      </c>
      <c r="C5204" s="309"/>
      <c r="D5204" s="310"/>
    </row>
    <row r="5205" spans="1:4" x14ac:dyDescent="0.25">
      <c r="A5205" s="418" t="s">
        <v>12830</v>
      </c>
      <c r="B5205">
        <v>30</v>
      </c>
      <c r="C5205" s="309"/>
      <c r="D5205" s="310"/>
    </row>
    <row r="5206" spans="1:4" x14ac:dyDescent="0.25">
      <c r="A5206" s="418" t="s">
        <v>12831</v>
      </c>
      <c r="B5206">
        <v>29</v>
      </c>
      <c r="C5206" s="309"/>
      <c r="D5206" s="310"/>
    </row>
    <row r="5207" spans="1:4" x14ac:dyDescent="0.25">
      <c r="A5207" s="418" t="s">
        <v>12832</v>
      </c>
      <c r="B5207">
        <v>29</v>
      </c>
      <c r="C5207" s="309"/>
      <c r="D5207" s="310"/>
    </row>
    <row r="5208" spans="1:4" x14ac:dyDescent="0.25">
      <c r="A5208" s="418" t="s">
        <v>12833</v>
      </c>
      <c r="B5208">
        <v>30</v>
      </c>
      <c r="C5208" s="309"/>
      <c r="D5208" s="310"/>
    </row>
    <row r="5209" spans="1:4" x14ac:dyDescent="0.25">
      <c r="A5209" s="418" t="s">
        <v>12834</v>
      </c>
      <c r="B5209">
        <v>30</v>
      </c>
      <c r="C5209" s="309"/>
      <c r="D5209" s="310"/>
    </row>
    <row r="5210" spans="1:4" x14ac:dyDescent="0.25">
      <c r="A5210" s="418" t="s">
        <v>12835</v>
      </c>
      <c r="B5210">
        <v>28</v>
      </c>
      <c r="C5210" s="309"/>
      <c r="D5210" s="310"/>
    </row>
    <row r="5211" spans="1:4" x14ac:dyDescent="0.25">
      <c r="A5211" s="418" t="s">
        <v>12836</v>
      </c>
      <c r="B5211">
        <v>30</v>
      </c>
      <c r="C5211" s="309"/>
      <c r="D5211" s="310"/>
    </row>
    <row r="5212" spans="1:4" x14ac:dyDescent="0.25">
      <c r="A5212" s="418" t="s">
        <v>12837</v>
      </c>
      <c r="B5212">
        <v>28</v>
      </c>
      <c r="C5212" s="309"/>
      <c r="D5212" s="310"/>
    </row>
    <row r="5213" spans="1:4" x14ac:dyDescent="0.25">
      <c r="A5213" s="418" t="s">
        <v>12838</v>
      </c>
      <c r="B5213">
        <v>27</v>
      </c>
      <c r="C5213" s="309"/>
      <c r="D5213" s="310"/>
    </row>
    <row r="5214" spans="1:4" x14ac:dyDescent="0.25">
      <c r="A5214" s="418" t="s">
        <v>12839</v>
      </c>
      <c r="B5214">
        <v>29</v>
      </c>
      <c r="C5214" s="309"/>
      <c r="D5214" s="310"/>
    </row>
    <row r="5215" spans="1:4" x14ac:dyDescent="0.25">
      <c r="A5215" s="418" t="s">
        <v>12840</v>
      </c>
      <c r="B5215">
        <v>29</v>
      </c>
      <c r="C5215" s="309"/>
      <c r="D5215" s="310"/>
    </row>
    <row r="5216" spans="1:4" x14ac:dyDescent="0.25">
      <c r="A5216" s="418" t="s">
        <v>12841</v>
      </c>
      <c r="B5216">
        <v>23</v>
      </c>
      <c r="C5216" s="309"/>
      <c r="D5216" s="310"/>
    </row>
    <row r="5217" spans="1:4" x14ac:dyDescent="0.25">
      <c r="A5217" s="418" t="s">
        <v>12842</v>
      </c>
      <c r="B5217">
        <v>24</v>
      </c>
      <c r="C5217" s="309"/>
      <c r="D5217" s="310"/>
    </row>
    <row r="5218" spans="1:4" x14ac:dyDescent="0.25">
      <c r="A5218" s="418" t="s">
        <v>12843</v>
      </c>
      <c r="B5218">
        <v>30</v>
      </c>
      <c r="C5218" s="309"/>
      <c r="D5218" s="310"/>
    </row>
    <row r="5219" spans="1:4" x14ac:dyDescent="0.25">
      <c r="A5219" s="418" t="s">
        <v>12844</v>
      </c>
      <c r="B5219">
        <v>27</v>
      </c>
      <c r="C5219" s="309"/>
      <c r="D5219" s="310"/>
    </row>
    <row r="5220" spans="1:4" x14ac:dyDescent="0.25">
      <c r="A5220" s="418" t="s">
        <v>12845</v>
      </c>
      <c r="B5220">
        <v>29</v>
      </c>
      <c r="C5220" s="309"/>
      <c r="D5220" s="310"/>
    </row>
    <row r="5221" spans="1:4" x14ac:dyDescent="0.25">
      <c r="A5221" s="418" t="s">
        <v>12846</v>
      </c>
      <c r="B5221">
        <v>27</v>
      </c>
      <c r="C5221" s="309"/>
      <c r="D5221" s="310"/>
    </row>
    <row r="5222" spans="1:4" x14ac:dyDescent="0.25">
      <c r="A5222" s="418" t="s">
        <v>12847</v>
      </c>
      <c r="B5222">
        <v>26</v>
      </c>
      <c r="C5222" s="309"/>
      <c r="D5222" s="310"/>
    </row>
    <row r="5223" spans="1:4" x14ac:dyDescent="0.25">
      <c r="A5223" s="418" t="s">
        <v>12848</v>
      </c>
      <c r="B5223">
        <v>29</v>
      </c>
      <c r="C5223" s="309"/>
      <c r="D5223" s="310"/>
    </row>
    <row r="5224" spans="1:4" x14ac:dyDescent="0.25">
      <c r="A5224" s="418" t="s">
        <v>12849</v>
      </c>
      <c r="B5224">
        <v>26</v>
      </c>
      <c r="C5224" s="309"/>
      <c r="D5224" s="310"/>
    </row>
    <row r="5225" spans="1:4" x14ac:dyDescent="0.25">
      <c r="A5225" s="418" t="s">
        <v>12850</v>
      </c>
      <c r="B5225">
        <v>28</v>
      </c>
      <c r="C5225" s="309"/>
      <c r="D5225" s="310"/>
    </row>
    <row r="5226" spans="1:4" x14ac:dyDescent="0.25">
      <c r="A5226" s="418" t="s">
        <v>12851</v>
      </c>
      <c r="B5226">
        <v>29</v>
      </c>
      <c r="C5226" s="309"/>
      <c r="D5226" s="310"/>
    </row>
    <row r="5227" spans="1:4" x14ac:dyDescent="0.25">
      <c r="A5227" s="418" t="s">
        <v>12852</v>
      </c>
      <c r="B5227">
        <v>30</v>
      </c>
      <c r="C5227" s="309"/>
      <c r="D5227" s="310"/>
    </row>
    <row r="5228" spans="1:4" x14ac:dyDescent="0.25">
      <c r="A5228" s="418" t="s">
        <v>12853</v>
      </c>
      <c r="B5228">
        <v>27</v>
      </c>
      <c r="C5228" s="309"/>
      <c r="D5228" s="310"/>
    </row>
    <row r="5229" spans="1:4" x14ac:dyDescent="0.25">
      <c r="A5229" s="418" t="s">
        <v>12854</v>
      </c>
      <c r="B5229">
        <v>28</v>
      </c>
      <c r="C5229" s="309"/>
      <c r="D5229" s="310"/>
    </row>
    <row r="5230" spans="1:4" x14ac:dyDescent="0.25">
      <c r="A5230" s="418" t="s">
        <v>12855</v>
      </c>
      <c r="B5230">
        <v>26</v>
      </c>
      <c r="C5230" s="309"/>
      <c r="D5230" s="310"/>
    </row>
    <row r="5231" spans="1:4" x14ac:dyDescent="0.25">
      <c r="A5231" s="418" t="s">
        <v>12856</v>
      </c>
      <c r="B5231">
        <v>27</v>
      </c>
      <c r="C5231" s="309"/>
      <c r="D5231" s="310"/>
    </row>
    <row r="5232" spans="1:4" x14ac:dyDescent="0.25">
      <c r="A5232" s="418" t="s">
        <v>15962</v>
      </c>
      <c r="B5232">
        <v>30</v>
      </c>
      <c r="C5232" s="309"/>
      <c r="D5232" s="310"/>
    </row>
    <row r="5233" spans="1:4" x14ac:dyDescent="0.25">
      <c r="A5233" s="418" t="s">
        <v>12857</v>
      </c>
      <c r="B5233">
        <v>29</v>
      </c>
      <c r="C5233" s="309"/>
      <c r="D5233" s="310"/>
    </row>
    <row r="5234" spans="1:4" x14ac:dyDescent="0.25">
      <c r="A5234" s="418" t="s">
        <v>12858</v>
      </c>
      <c r="B5234">
        <v>30</v>
      </c>
      <c r="C5234" s="309"/>
      <c r="D5234" s="310"/>
    </row>
    <row r="5235" spans="1:4" x14ac:dyDescent="0.25">
      <c r="A5235" s="418" t="s">
        <v>12859</v>
      </c>
      <c r="B5235">
        <v>30</v>
      </c>
      <c r="C5235" s="309"/>
      <c r="D5235" s="310"/>
    </row>
    <row r="5236" spans="1:4" x14ac:dyDescent="0.25">
      <c r="A5236" s="418" t="s">
        <v>12860</v>
      </c>
      <c r="B5236">
        <v>28</v>
      </c>
      <c r="C5236" s="309"/>
      <c r="D5236" s="310"/>
    </row>
    <row r="5237" spans="1:4" x14ac:dyDescent="0.25">
      <c r="A5237" s="418" t="s">
        <v>16568</v>
      </c>
      <c r="B5237">
        <v>28</v>
      </c>
      <c r="C5237" s="309"/>
      <c r="D5237" s="310"/>
    </row>
    <row r="5238" spans="1:4" x14ac:dyDescent="0.25">
      <c r="A5238" s="418" t="s">
        <v>12861</v>
      </c>
      <c r="B5238">
        <v>30</v>
      </c>
      <c r="C5238" s="309"/>
      <c r="D5238" s="310"/>
    </row>
    <row r="5239" spans="1:4" x14ac:dyDescent="0.25">
      <c r="A5239" s="418" t="s">
        <v>12862</v>
      </c>
      <c r="B5239">
        <v>30</v>
      </c>
      <c r="C5239" s="309"/>
      <c r="D5239" s="310"/>
    </row>
    <row r="5240" spans="1:4" x14ac:dyDescent="0.25">
      <c r="A5240" s="418" t="s">
        <v>12863</v>
      </c>
      <c r="B5240">
        <v>29</v>
      </c>
      <c r="C5240" s="309"/>
      <c r="D5240" s="310"/>
    </row>
    <row r="5241" spans="1:4" x14ac:dyDescent="0.25">
      <c r="A5241" s="418" t="s">
        <v>12864</v>
      </c>
      <c r="B5241">
        <v>29</v>
      </c>
      <c r="C5241" s="309"/>
      <c r="D5241" s="310"/>
    </row>
    <row r="5242" spans="1:4" x14ac:dyDescent="0.25">
      <c r="A5242" s="418" t="s">
        <v>16569</v>
      </c>
      <c r="B5242">
        <v>30</v>
      </c>
      <c r="C5242" s="309"/>
      <c r="D5242" s="310"/>
    </row>
    <row r="5243" spans="1:4" x14ac:dyDescent="0.25">
      <c r="A5243" s="418" t="s">
        <v>12865</v>
      </c>
      <c r="B5243">
        <v>28</v>
      </c>
      <c r="C5243" s="309"/>
      <c r="D5243" s="310"/>
    </row>
    <row r="5244" spans="1:4" x14ac:dyDescent="0.25">
      <c r="A5244" s="418" t="s">
        <v>12866</v>
      </c>
      <c r="B5244">
        <v>26</v>
      </c>
      <c r="C5244" s="309"/>
      <c r="D5244" s="310"/>
    </row>
    <row r="5245" spans="1:4" x14ac:dyDescent="0.25">
      <c r="A5245" s="418" t="s">
        <v>12867</v>
      </c>
      <c r="B5245">
        <v>24</v>
      </c>
      <c r="C5245" s="309"/>
      <c r="D5245" s="310"/>
    </row>
    <row r="5246" spans="1:4" x14ac:dyDescent="0.25">
      <c r="A5246" s="418" t="s">
        <v>12868</v>
      </c>
      <c r="B5246">
        <v>28</v>
      </c>
      <c r="C5246" s="309"/>
      <c r="D5246" s="310"/>
    </row>
    <row r="5247" spans="1:4" x14ac:dyDescent="0.25">
      <c r="A5247" s="418" t="s">
        <v>12869</v>
      </c>
      <c r="B5247">
        <v>30</v>
      </c>
      <c r="C5247" s="309"/>
      <c r="D5247" s="310"/>
    </row>
    <row r="5248" spans="1:4" x14ac:dyDescent="0.25">
      <c r="A5248" s="418" t="s">
        <v>12870</v>
      </c>
      <c r="B5248">
        <v>27</v>
      </c>
      <c r="C5248" s="309"/>
      <c r="D5248" s="310"/>
    </row>
    <row r="5249" spans="1:4" x14ac:dyDescent="0.25">
      <c r="A5249" s="418" t="s">
        <v>12871</v>
      </c>
      <c r="B5249">
        <v>26</v>
      </c>
      <c r="C5249" s="309"/>
      <c r="D5249" s="310"/>
    </row>
    <row r="5250" spans="1:4" x14ac:dyDescent="0.25">
      <c r="A5250" s="418" t="s">
        <v>16570</v>
      </c>
      <c r="B5250">
        <v>30</v>
      </c>
      <c r="C5250" s="309"/>
      <c r="D5250" s="310"/>
    </row>
    <row r="5251" spans="1:4" x14ac:dyDescent="0.25">
      <c r="A5251" s="418" t="s">
        <v>12872</v>
      </c>
      <c r="B5251">
        <v>28</v>
      </c>
      <c r="C5251" s="309"/>
      <c r="D5251" s="310"/>
    </row>
    <row r="5252" spans="1:4" x14ac:dyDescent="0.25">
      <c r="A5252" s="418" t="s">
        <v>12873</v>
      </c>
      <c r="B5252">
        <v>29</v>
      </c>
      <c r="C5252" s="309"/>
      <c r="D5252" s="310"/>
    </row>
    <row r="5253" spans="1:4" x14ac:dyDescent="0.25">
      <c r="A5253" s="418" t="s">
        <v>12874</v>
      </c>
      <c r="B5253">
        <v>30</v>
      </c>
      <c r="C5253" s="309"/>
      <c r="D5253" s="310"/>
    </row>
    <row r="5254" spans="1:4" x14ac:dyDescent="0.25">
      <c r="A5254" s="418" t="s">
        <v>12875</v>
      </c>
      <c r="B5254">
        <v>28</v>
      </c>
      <c r="C5254" s="309"/>
      <c r="D5254" s="310"/>
    </row>
    <row r="5255" spans="1:4" x14ac:dyDescent="0.25">
      <c r="A5255" s="418" t="s">
        <v>12876</v>
      </c>
      <c r="B5255">
        <v>29</v>
      </c>
      <c r="C5255" s="309"/>
      <c r="D5255" s="310"/>
    </row>
    <row r="5256" spans="1:4" x14ac:dyDescent="0.25">
      <c r="A5256" s="418" t="s">
        <v>12877</v>
      </c>
      <c r="B5256">
        <v>30</v>
      </c>
      <c r="C5256" s="309"/>
      <c r="D5256" s="310"/>
    </row>
    <row r="5257" spans="1:4" x14ac:dyDescent="0.25">
      <c r="A5257" s="418" t="s">
        <v>12878</v>
      </c>
      <c r="B5257">
        <v>28</v>
      </c>
      <c r="C5257" s="309"/>
      <c r="D5257" s="310"/>
    </row>
    <row r="5258" spans="1:4" x14ac:dyDescent="0.25">
      <c r="A5258" s="418" t="s">
        <v>12879</v>
      </c>
      <c r="B5258">
        <v>27</v>
      </c>
      <c r="C5258" s="309"/>
      <c r="D5258" s="310"/>
    </row>
    <row r="5259" spans="1:4" x14ac:dyDescent="0.25">
      <c r="A5259" s="418" t="s">
        <v>12880</v>
      </c>
      <c r="B5259">
        <v>29</v>
      </c>
      <c r="C5259" s="309"/>
      <c r="D5259" s="310"/>
    </row>
    <row r="5260" spans="1:4" x14ac:dyDescent="0.25">
      <c r="A5260" s="418" t="s">
        <v>12881</v>
      </c>
      <c r="B5260">
        <v>29</v>
      </c>
      <c r="C5260" s="309"/>
      <c r="D5260" s="310"/>
    </row>
    <row r="5261" spans="1:4" x14ac:dyDescent="0.25">
      <c r="A5261" s="418" t="s">
        <v>12882</v>
      </c>
      <c r="B5261">
        <v>28</v>
      </c>
      <c r="C5261" s="309"/>
      <c r="D5261" s="310"/>
    </row>
    <row r="5262" spans="1:4" x14ac:dyDescent="0.25">
      <c r="A5262" s="418" t="s">
        <v>12883</v>
      </c>
      <c r="B5262">
        <v>30</v>
      </c>
      <c r="C5262" s="309"/>
      <c r="D5262" s="310"/>
    </row>
    <row r="5263" spans="1:4" x14ac:dyDescent="0.25">
      <c r="A5263" s="418" t="s">
        <v>12884</v>
      </c>
      <c r="B5263">
        <v>29</v>
      </c>
      <c r="C5263" s="309"/>
      <c r="D5263" s="310"/>
    </row>
    <row r="5264" spans="1:4" x14ac:dyDescent="0.25">
      <c r="A5264" s="418" t="s">
        <v>12885</v>
      </c>
      <c r="B5264">
        <v>29</v>
      </c>
      <c r="C5264" s="309"/>
      <c r="D5264" s="310"/>
    </row>
    <row r="5265" spans="1:4" x14ac:dyDescent="0.25">
      <c r="A5265" s="418" t="s">
        <v>17243</v>
      </c>
      <c r="B5265">
        <v>29</v>
      </c>
      <c r="C5265" s="309"/>
      <c r="D5265" s="310"/>
    </row>
    <row r="5266" spans="1:4" x14ac:dyDescent="0.25">
      <c r="A5266" s="418" t="s">
        <v>12886</v>
      </c>
      <c r="B5266">
        <v>30</v>
      </c>
      <c r="C5266" s="309"/>
      <c r="D5266" s="310"/>
    </row>
    <row r="5267" spans="1:4" x14ac:dyDescent="0.25">
      <c r="A5267" s="418" t="s">
        <v>12887</v>
      </c>
      <c r="B5267">
        <v>26</v>
      </c>
      <c r="C5267" s="309"/>
      <c r="D5267" s="310"/>
    </row>
    <row r="5268" spans="1:4" x14ac:dyDescent="0.25">
      <c r="A5268" s="418" t="s">
        <v>12888</v>
      </c>
      <c r="B5268">
        <v>28</v>
      </c>
      <c r="C5268" s="309"/>
      <c r="D5268" s="310"/>
    </row>
    <row r="5269" spans="1:4" x14ac:dyDescent="0.25">
      <c r="A5269" s="418" t="s">
        <v>12889</v>
      </c>
      <c r="B5269">
        <v>29</v>
      </c>
      <c r="C5269" s="309"/>
      <c r="D5269" s="310"/>
    </row>
    <row r="5270" spans="1:4" x14ac:dyDescent="0.25">
      <c r="A5270" s="418" t="s">
        <v>12890</v>
      </c>
      <c r="B5270">
        <v>29</v>
      </c>
      <c r="C5270" s="309"/>
      <c r="D5270" s="310"/>
    </row>
    <row r="5271" spans="1:4" x14ac:dyDescent="0.25">
      <c r="A5271" s="418" t="s">
        <v>12891</v>
      </c>
      <c r="B5271">
        <v>28</v>
      </c>
      <c r="C5271" s="309"/>
      <c r="D5271" s="310"/>
    </row>
    <row r="5272" spans="1:4" x14ac:dyDescent="0.25">
      <c r="A5272" s="418" t="s">
        <v>12892</v>
      </c>
      <c r="B5272">
        <v>28</v>
      </c>
      <c r="C5272" s="309"/>
      <c r="D5272" s="310"/>
    </row>
    <row r="5273" spans="1:4" x14ac:dyDescent="0.25">
      <c r="A5273" s="418" t="s">
        <v>12893</v>
      </c>
      <c r="B5273">
        <v>29</v>
      </c>
      <c r="C5273" s="309"/>
      <c r="D5273" s="310"/>
    </row>
    <row r="5274" spans="1:4" x14ac:dyDescent="0.25">
      <c r="A5274" s="418" t="s">
        <v>12894</v>
      </c>
      <c r="B5274">
        <v>30</v>
      </c>
      <c r="C5274" s="309"/>
      <c r="D5274" s="310"/>
    </row>
    <row r="5275" spans="1:4" x14ac:dyDescent="0.25">
      <c r="A5275" s="418" t="s">
        <v>12895</v>
      </c>
      <c r="B5275">
        <v>27</v>
      </c>
      <c r="C5275" s="309"/>
      <c r="D5275" s="310"/>
    </row>
    <row r="5276" spans="1:4" x14ac:dyDescent="0.25">
      <c r="A5276" s="418" t="s">
        <v>12896</v>
      </c>
      <c r="B5276">
        <v>29</v>
      </c>
      <c r="C5276" s="309"/>
      <c r="D5276" s="310"/>
    </row>
    <row r="5277" spans="1:4" x14ac:dyDescent="0.25">
      <c r="A5277" s="418" t="s">
        <v>12897</v>
      </c>
      <c r="B5277">
        <v>29</v>
      </c>
      <c r="C5277" s="309"/>
      <c r="D5277" s="310"/>
    </row>
    <row r="5278" spans="1:4" x14ac:dyDescent="0.25">
      <c r="A5278" s="418" t="s">
        <v>12898</v>
      </c>
      <c r="B5278">
        <v>27</v>
      </c>
      <c r="C5278" s="309"/>
      <c r="D5278" s="310"/>
    </row>
    <row r="5279" spans="1:4" x14ac:dyDescent="0.25">
      <c r="A5279" s="418" t="s">
        <v>12899</v>
      </c>
      <c r="B5279">
        <v>27</v>
      </c>
      <c r="C5279" s="309"/>
      <c r="D5279" s="310"/>
    </row>
    <row r="5280" spans="1:4" x14ac:dyDescent="0.25">
      <c r="A5280" s="418" t="s">
        <v>17244</v>
      </c>
      <c r="B5280">
        <v>30</v>
      </c>
      <c r="C5280" s="309"/>
      <c r="D5280" s="310"/>
    </row>
    <row r="5281" spans="1:4" x14ac:dyDescent="0.25">
      <c r="A5281" s="418" t="s">
        <v>12900</v>
      </c>
      <c r="B5281">
        <v>28</v>
      </c>
      <c r="C5281" s="309"/>
      <c r="D5281" s="310"/>
    </row>
    <row r="5282" spans="1:4" x14ac:dyDescent="0.25">
      <c r="A5282" s="418" t="s">
        <v>12901</v>
      </c>
      <c r="B5282">
        <v>28</v>
      </c>
      <c r="C5282" s="309"/>
      <c r="D5282" s="310"/>
    </row>
    <row r="5283" spans="1:4" x14ac:dyDescent="0.25">
      <c r="A5283" s="418" t="s">
        <v>12902</v>
      </c>
      <c r="B5283">
        <v>26</v>
      </c>
      <c r="C5283" s="309"/>
      <c r="D5283" s="310"/>
    </row>
    <row r="5284" spans="1:4" x14ac:dyDescent="0.25">
      <c r="A5284" s="418" t="s">
        <v>15431</v>
      </c>
      <c r="B5284">
        <v>28</v>
      </c>
      <c r="C5284" s="309"/>
      <c r="D5284" s="310"/>
    </row>
    <row r="5285" spans="1:4" x14ac:dyDescent="0.25">
      <c r="A5285" s="418" t="s">
        <v>12903</v>
      </c>
      <c r="B5285">
        <v>28</v>
      </c>
      <c r="C5285" s="309"/>
      <c r="D5285" s="310"/>
    </row>
    <row r="5286" spans="1:4" x14ac:dyDescent="0.25">
      <c r="A5286" s="418" t="s">
        <v>12904</v>
      </c>
      <c r="B5286">
        <v>29</v>
      </c>
      <c r="C5286" s="309"/>
      <c r="D5286" s="310"/>
    </row>
    <row r="5287" spans="1:4" x14ac:dyDescent="0.25">
      <c r="A5287" s="418" t="s">
        <v>12905</v>
      </c>
      <c r="B5287">
        <v>30</v>
      </c>
      <c r="C5287" s="309"/>
      <c r="D5287" s="310"/>
    </row>
    <row r="5288" spans="1:4" x14ac:dyDescent="0.25">
      <c r="A5288" s="418" t="s">
        <v>12906</v>
      </c>
      <c r="B5288">
        <v>30</v>
      </c>
      <c r="C5288" s="309"/>
      <c r="D5288" s="310"/>
    </row>
    <row r="5289" spans="1:4" x14ac:dyDescent="0.25">
      <c r="A5289" s="418" t="s">
        <v>12907</v>
      </c>
      <c r="B5289">
        <v>30</v>
      </c>
      <c r="C5289" s="309"/>
      <c r="D5289" s="310"/>
    </row>
    <row r="5290" spans="1:4" x14ac:dyDescent="0.25">
      <c r="A5290" s="418" t="s">
        <v>16330</v>
      </c>
      <c r="B5290">
        <v>29</v>
      </c>
      <c r="C5290" s="309"/>
      <c r="D5290" s="310"/>
    </row>
    <row r="5291" spans="1:4" x14ac:dyDescent="0.25">
      <c r="A5291" s="418" t="s">
        <v>12908</v>
      </c>
      <c r="B5291">
        <v>28</v>
      </c>
      <c r="C5291" s="309"/>
      <c r="D5291" s="310"/>
    </row>
    <row r="5292" spans="1:4" x14ac:dyDescent="0.25">
      <c r="A5292" s="418" t="s">
        <v>16571</v>
      </c>
      <c r="B5292">
        <v>29</v>
      </c>
      <c r="C5292" s="309"/>
      <c r="D5292" s="310"/>
    </row>
    <row r="5293" spans="1:4" x14ac:dyDescent="0.25">
      <c r="A5293" s="418" t="s">
        <v>12909</v>
      </c>
      <c r="B5293">
        <v>26</v>
      </c>
      <c r="C5293" s="309"/>
      <c r="D5293" s="310"/>
    </row>
    <row r="5294" spans="1:4" x14ac:dyDescent="0.25">
      <c r="A5294" s="418" t="s">
        <v>12910</v>
      </c>
      <c r="B5294">
        <v>30</v>
      </c>
      <c r="C5294" s="309"/>
      <c r="D5294" s="310"/>
    </row>
    <row r="5295" spans="1:4" x14ac:dyDescent="0.25">
      <c r="A5295" s="418" t="s">
        <v>12911</v>
      </c>
      <c r="B5295">
        <v>30</v>
      </c>
      <c r="C5295" s="309"/>
      <c r="D5295" s="310"/>
    </row>
    <row r="5296" spans="1:4" x14ac:dyDescent="0.25">
      <c r="A5296" s="418" t="s">
        <v>12912</v>
      </c>
      <c r="B5296">
        <v>28</v>
      </c>
      <c r="C5296" s="309"/>
      <c r="D5296" s="310"/>
    </row>
    <row r="5297" spans="1:4" x14ac:dyDescent="0.25">
      <c r="A5297" s="418" t="s">
        <v>12913</v>
      </c>
      <c r="B5297">
        <v>28</v>
      </c>
      <c r="C5297" s="309"/>
      <c r="D5297" s="310"/>
    </row>
    <row r="5298" spans="1:4" x14ac:dyDescent="0.25">
      <c r="A5298" s="418" t="s">
        <v>12914</v>
      </c>
      <c r="B5298">
        <v>29</v>
      </c>
      <c r="C5298" s="309"/>
      <c r="D5298" s="310"/>
    </row>
    <row r="5299" spans="1:4" x14ac:dyDescent="0.25">
      <c r="A5299" s="418" t="s">
        <v>12915</v>
      </c>
      <c r="B5299">
        <v>30</v>
      </c>
      <c r="C5299" s="309"/>
      <c r="D5299" s="310"/>
    </row>
    <row r="5300" spans="1:4" x14ac:dyDescent="0.25">
      <c r="A5300" s="418" t="s">
        <v>12916</v>
      </c>
      <c r="B5300">
        <v>28</v>
      </c>
      <c r="C5300" s="309"/>
      <c r="D5300" s="310"/>
    </row>
    <row r="5301" spans="1:4" x14ac:dyDescent="0.25">
      <c r="A5301" s="418" t="s">
        <v>12917</v>
      </c>
      <c r="B5301">
        <v>30</v>
      </c>
      <c r="C5301" s="309"/>
      <c r="D5301" s="310"/>
    </row>
    <row r="5302" spans="1:4" x14ac:dyDescent="0.25">
      <c r="A5302" s="418" t="s">
        <v>12918</v>
      </c>
      <c r="B5302">
        <v>27</v>
      </c>
      <c r="C5302" s="309"/>
      <c r="D5302" s="310"/>
    </row>
    <row r="5303" spans="1:4" x14ac:dyDescent="0.25">
      <c r="A5303" s="418" t="s">
        <v>12919</v>
      </c>
      <c r="B5303">
        <v>29</v>
      </c>
      <c r="C5303" s="309"/>
      <c r="D5303" s="310"/>
    </row>
    <row r="5304" spans="1:4" x14ac:dyDescent="0.25">
      <c r="A5304" s="418" t="s">
        <v>12920</v>
      </c>
      <c r="B5304">
        <v>29</v>
      </c>
      <c r="C5304" s="309"/>
      <c r="D5304" s="310"/>
    </row>
    <row r="5305" spans="1:4" x14ac:dyDescent="0.25">
      <c r="A5305" s="418" t="s">
        <v>12921</v>
      </c>
      <c r="B5305">
        <v>27</v>
      </c>
      <c r="C5305" s="309"/>
      <c r="D5305" s="310"/>
    </row>
    <row r="5306" spans="1:4" x14ac:dyDescent="0.25">
      <c r="A5306" s="418" t="s">
        <v>12922</v>
      </c>
      <c r="B5306">
        <v>28</v>
      </c>
      <c r="C5306" s="309"/>
      <c r="D5306" s="310"/>
    </row>
    <row r="5307" spans="1:4" x14ac:dyDescent="0.25">
      <c r="A5307" s="418" t="s">
        <v>12923</v>
      </c>
      <c r="B5307">
        <v>28</v>
      </c>
      <c r="C5307" s="309"/>
      <c r="D5307" s="310"/>
    </row>
    <row r="5308" spans="1:4" x14ac:dyDescent="0.25">
      <c r="A5308" s="418" t="s">
        <v>12924</v>
      </c>
      <c r="B5308">
        <v>28</v>
      </c>
      <c r="C5308" s="309"/>
      <c r="D5308" s="310"/>
    </row>
    <row r="5309" spans="1:4" x14ac:dyDescent="0.25">
      <c r="A5309" s="418" t="s">
        <v>12925</v>
      </c>
      <c r="B5309">
        <v>30</v>
      </c>
      <c r="C5309" s="309"/>
      <c r="D5309" s="310"/>
    </row>
    <row r="5310" spans="1:4" x14ac:dyDescent="0.25">
      <c r="A5310" s="418" t="s">
        <v>12926</v>
      </c>
      <c r="B5310">
        <v>30</v>
      </c>
      <c r="C5310" s="309"/>
      <c r="D5310" s="310"/>
    </row>
    <row r="5311" spans="1:4" x14ac:dyDescent="0.25">
      <c r="A5311" s="418" t="s">
        <v>12927</v>
      </c>
      <c r="B5311">
        <v>30</v>
      </c>
      <c r="C5311" s="309"/>
      <c r="D5311" s="310"/>
    </row>
    <row r="5312" spans="1:4" x14ac:dyDescent="0.25">
      <c r="A5312" s="418" t="s">
        <v>12928</v>
      </c>
      <c r="B5312">
        <v>30</v>
      </c>
      <c r="C5312" s="309"/>
      <c r="D5312" s="310"/>
    </row>
    <row r="5313" spans="1:4" x14ac:dyDescent="0.25">
      <c r="A5313" s="418" t="s">
        <v>12929</v>
      </c>
      <c r="B5313">
        <v>30</v>
      </c>
      <c r="C5313" s="309"/>
      <c r="D5313" s="310"/>
    </row>
    <row r="5314" spans="1:4" x14ac:dyDescent="0.25">
      <c r="A5314" s="418" t="s">
        <v>12930</v>
      </c>
      <c r="B5314">
        <v>29</v>
      </c>
      <c r="C5314" s="309"/>
      <c r="D5314" s="310"/>
    </row>
    <row r="5315" spans="1:4" x14ac:dyDescent="0.25">
      <c r="A5315" s="418" t="s">
        <v>12931</v>
      </c>
      <c r="B5315">
        <v>28</v>
      </c>
      <c r="C5315" s="309"/>
      <c r="D5315" s="310"/>
    </row>
    <row r="5316" spans="1:4" x14ac:dyDescent="0.25">
      <c r="A5316" s="418" t="s">
        <v>15432</v>
      </c>
      <c r="B5316">
        <v>28</v>
      </c>
      <c r="C5316" s="309"/>
      <c r="D5316" s="310"/>
    </row>
    <row r="5317" spans="1:4" x14ac:dyDescent="0.25">
      <c r="A5317" s="418" t="s">
        <v>12932</v>
      </c>
      <c r="B5317">
        <v>30</v>
      </c>
      <c r="C5317" s="309"/>
      <c r="D5317" s="310"/>
    </row>
    <row r="5318" spans="1:4" x14ac:dyDescent="0.25">
      <c r="A5318" s="418" t="s">
        <v>12933</v>
      </c>
      <c r="B5318">
        <v>29</v>
      </c>
      <c r="C5318" s="309"/>
      <c r="D5318" s="310"/>
    </row>
    <row r="5319" spans="1:4" x14ac:dyDescent="0.25">
      <c r="A5319" s="418" t="s">
        <v>12934</v>
      </c>
      <c r="B5319">
        <v>27</v>
      </c>
      <c r="C5319" s="309"/>
      <c r="D5319" s="310"/>
    </row>
    <row r="5320" spans="1:4" x14ac:dyDescent="0.25">
      <c r="A5320" s="418" t="s">
        <v>12935</v>
      </c>
      <c r="B5320">
        <v>30</v>
      </c>
      <c r="C5320" s="309"/>
      <c r="D5320" s="310"/>
    </row>
    <row r="5321" spans="1:4" x14ac:dyDescent="0.25">
      <c r="A5321" s="418" t="s">
        <v>12936</v>
      </c>
      <c r="B5321">
        <v>26</v>
      </c>
      <c r="C5321" s="309"/>
      <c r="D5321" s="310"/>
    </row>
    <row r="5322" spans="1:4" x14ac:dyDescent="0.25">
      <c r="A5322" s="418" t="s">
        <v>12937</v>
      </c>
      <c r="B5322">
        <v>27</v>
      </c>
      <c r="C5322" s="309"/>
      <c r="D5322" s="310"/>
    </row>
    <row r="5323" spans="1:4" x14ac:dyDescent="0.25">
      <c r="A5323" s="418" t="s">
        <v>15566</v>
      </c>
      <c r="B5323">
        <v>30</v>
      </c>
      <c r="C5323" s="309"/>
      <c r="D5323" s="310"/>
    </row>
    <row r="5324" spans="1:4" x14ac:dyDescent="0.25">
      <c r="A5324" s="418" t="s">
        <v>12938</v>
      </c>
      <c r="B5324">
        <v>30</v>
      </c>
      <c r="C5324" s="309"/>
      <c r="D5324" s="310"/>
    </row>
    <row r="5325" spans="1:4" x14ac:dyDescent="0.25">
      <c r="A5325" s="418" t="s">
        <v>12939</v>
      </c>
      <c r="B5325">
        <v>26</v>
      </c>
      <c r="C5325" s="309"/>
      <c r="D5325" s="310"/>
    </row>
    <row r="5326" spans="1:4" x14ac:dyDescent="0.25">
      <c r="A5326" s="418" t="s">
        <v>12940</v>
      </c>
      <c r="B5326">
        <v>27</v>
      </c>
      <c r="C5326" s="309"/>
      <c r="D5326" s="310"/>
    </row>
    <row r="5327" spans="1:4" x14ac:dyDescent="0.25">
      <c r="A5327" s="418" t="s">
        <v>12941</v>
      </c>
      <c r="B5327">
        <v>26</v>
      </c>
      <c r="C5327" s="309"/>
      <c r="D5327" s="310"/>
    </row>
    <row r="5328" spans="1:4" x14ac:dyDescent="0.25">
      <c r="A5328" s="418" t="s">
        <v>12942</v>
      </c>
      <c r="B5328">
        <v>29</v>
      </c>
      <c r="C5328" s="309"/>
      <c r="D5328" s="310"/>
    </row>
    <row r="5329" spans="1:4" x14ac:dyDescent="0.25">
      <c r="A5329" s="418" t="s">
        <v>12943</v>
      </c>
      <c r="B5329">
        <v>30</v>
      </c>
      <c r="C5329" s="309"/>
      <c r="D5329" s="310"/>
    </row>
    <row r="5330" spans="1:4" x14ac:dyDescent="0.25">
      <c r="A5330" s="418" t="s">
        <v>16572</v>
      </c>
      <c r="B5330">
        <v>28</v>
      </c>
      <c r="C5330" s="309"/>
      <c r="D5330" s="310"/>
    </row>
    <row r="5331" spans="1:4" x14ac:dyDescent="0.25">
      <c r="A5331" s="418" t="s">
        <v>12944</v>
      </c>
      <c r="B5331">
        <v>30</v>
      </c>
      <c r="C5331" s="309"/>
      <c r="D5331" s="310"/>
    </row>
    <row r="5332" spans="1:4" x14ac:dyDescent="0.25">
      <c r="A5332" s="418" t="s">
        <v>12945</v>
      </c>
      <c r="B5332">
        <v>27</v>
      </c>
      <c r="C5332" s="309"/>
      <c r="D5332" s="310"/>
    </row>
    <row r="5333" spans="1:4" x14ac:dyDescent="0.25">
      <c r="A5333" s="418" t="s">
        <v>12946</v>
      </c>
      <c r="B5333">
        <v>29</v>
      </c>
      <c r="C5333" s="309"/>
      <c r="D5333" s="310"/>
    </row>
    <row r="5334" spans="1:4" x14ac:dyDescent="0.25">
      <c r="A5334" s="418" t="s">
        <v>12947</v>
      </c>
      <c r="B5334">
        <v>28</v>
      </c>
      <c r="C5334" s="309"/>
      <c r="D5334" s="310"/>
    </row>
    <row r="5335" spans="1:4" x14ac:dyDescent="0.25">
      <c r="A5335" s="418" t="s">
        <v>12948</v>
      </c>
      <c r="B5335">
        <v>29</v>
      </c>
      <c r="C5335" s="309"/>
      <c r="D5335" s="310"/>
    </row>
    <row r="5336" spans="1:4" x14ac:dyDescent="0.25">
      <c r="A5336" s="418" t="s">
        <v>16573</v>
      </c>
      <c r="B5336">
        <v>30</v>
      </c>
      <c r="C5336" s="309"/>
      <c r="D5336" s="310"/>
    </row>
    <row r="5337" spans="1:4" x14ac:dyDescent="0.25">
      <c r="A5337" s="418" t="s">
        <v>12949</v>
      </c>
      <c r="B5337">
        <v>29</v>
      </c>
      <c r="C5337" s="309"/>
      <c r="D5337" s="310"/>
    </row>
    <row r="5338" spans="1:4" x14ac:dyDescent="0.25">
      <c r="A5338" s="418" t="s">
        <v>12950</v>
      </c>
      <c r="B5338">
        <v>30</v>
      </c>
      <c r="C5338" s="309"/>
      <c r="D5338" s="310"/>
    </row>
    <row r="5339" spans="1:4" x14ac:dyDescent="0.25">
      <c r="A5339" s="418" t="s">
        <v>12951</v>
      </c>
      <c r="B5339">
        <v>29</v>
      </c>
      <c r="C5339" s="309"/>
      <c r="D5339" s="310"/>
    </row>
    <row r="5340" spans="1:4" x14ac:dyDescent="0.25">
      <c r="A5340" s="418" t="s">
        <v>15181</v>
      </c>
      <c r="B5340">
        <v>30</v>
      </c>
      <c r="C5340" s="309"/>
      <c r="D5340" s="310"/>
    </row>
    <row r="5341" spans="1:4" x14ac:dyDescent="0.25">
      <c r="A5341" s="418" t="s">
        <v>12952</v>
      </c>
      <c r="B5341">
        <v>25</v>
      </c>
      <c r="C5341" s="309"/>
      <c r="D5341" s="310"/>
    </row>
    <row r="5342" spans="1:4" x14ac:dyDescent="0.25">
      <c r="A5342" s="418" t="s">
        <v>16574</v>
      </c>
      <c r="B5342">
        <v>28</v>
      </c>
      <c r="C5342" s="309"/>
      <c r="D5342" s="310"/>
    </row>
    <row r="5343" spans="1:4" x14ac:dyDescent="0.25">
      <c r="A5343" s="418" t="s">
        <v>12953</v>
      </c>
      <c r="B5343">
        <v>30</v>
      </c>
      <c r="C5343" s="309"/>
      <c r="D5343" s="310"/>
    </row>
    <row r="5344" spans="1:4" x14ac:dyDescent="0.25">
      <c r="A5344" s="418" t="s">
        <v>12954</v>
      </c>
      <c r="B5344">
        <v>26</v>
      </c>
      <c r="C5344" s="309"/>
      <c r="D5344" s="310"/>
    </row>
    <row r="5345" spans="1:4" x14ac:dyDescent="0.25">
      <c r="A5345" s="418" t="s">
        <v>12955</v>
      </c>
      <c r="B5345">
        <v>30</v>
      </c>
      <c r="C5345" s="309"/>
      <c r="D5345" s="310"/>
    </row>
    <row r="5346" spans="1:4" x14ac:dyDescent="0.25">
      <c r="A5346" s="418" t="s">
        <v>12956</v>
      </c>
      <c r="B5346">
        <v>27</v>
      </c>
      <c r="C5346" s="309"/>
      <c r="D5346" s="310"/>
    </row>
    <row r="5347" spans="1:4" x14ac:dyDescent="0.25">
      <c r="A5347" s="418" t="s">
        <v>12957</v>
      </c>
      <c r="B5347">
        <v>25</v>
      </c>
      <c r="C5347" s="309"/>
      <c r="D5347" s="310"/>
    </row>
    <row r="5348" spans="1:4" x14ac:dyDescent="0.25">
      <c r="A5348" s="418" t="s">
        <v>15240</v>
      </c>
      <c r="B5348">
        <v>30</v>
      </c>
      <c r="C5348" s="309"/>
      <c r="D5348" s="310"/>
    </row>
    <row r="5349" spans="1:4" x14ac:dyDescent="0.25">
      <c r="A5349" s="418" t="s">
        <v>15241</v>
      </c>
      <c r="B5349">
        <v>30</v>
      </c>
      <c r="C5349" s="309"/>
      <c r="D5349" s="310"/>
    </row>
    <row r="5350" spans="1:4" x14ac:dyDescent="0.25">
      <c r="A5350" s="418" t="s">
        <v>15567</v>
      </c>
      <c r="B5350">
        <v>29</v>
      </c>
      <c r="C5350" s="309"/>
      <c r="D5350" s="310"/>
    </row>
    <row r="5351" spans="1:4" x14ac:dyDescent="0.25">
      <c r="A5351" s="418" t="s">
        <v>15182</v>
      </c>
      <c r="B5351">
        <v>30</v>
      </c>
      <c r="C5351" s="309"/>
      <c r="D5351" s="310"/>
    </row>
    <row r="5352" spans="1:4" x14ac:dyDescent="0.25">
      <c r="A5352" s="418" t="s">
        <v>15433</v>
      </c>
      <c r="B5352">
        <v>29</v>
      </c>
      <c r="C5352" s="309"/>
      <c r="D5352" s="310"/>
    </row>
    <row r="5353" spans="1:4" x14ac:dyDescent="0.25">
      <c r="A5353" s="418" t="s">
        <v>16575</v>
      </c>
      <c r="B5353">
        <v>30</v>
      </c>
      <c r="C5353" s="309"/>
      <c r="D5353" s="310"/>
    </row>
    <row r="5354" spans="1:4" x14ac:dyDescent="0.25">
      <c r="A5354" s="418" t="s">
        <v>15183</v>
      </c>
      <c r="B5354">
        <v>27</v>
      </c>
      <c r="C5354" s="309"/>
      <c r="D5354" s="310"/>
    </row>
    <row r="5355" spans="1:4" x14ac:dyDescent="0.25">
      <c r="A5355" s="418" t="s">
        <v>16158</v>
      </c>
      <c r="B5355">
        <v>25</v>
      </c>
      <c r="C5355" s="309"/>
      <c r="D5355" s="310"/>
    </row>
    <row r="5356" spans="1:4" x14ac:dyDescent="0.25">
      <c r="A5356" s="418" t="s">
        <v>15568</v>
      </c>
      <c r="B5356">
        <v>28</v>
      </c>
      <c r="C5356" s="309"/>
      <c r="D5356" s="310"/>
    </row>
    <row r="5357" spans="1:4" x14ac:dyDescent="0.25">
      <c r="A5357" s="418" t="s">
        <v>15569</v>
      </c>
      <c r="B5357">
        <v>30</v>
      </c>
      <c r="C5357" s="309"/>
      <c r="D5357" s="310"/>
    </row>
    <row r="5358" spans="1:4" x14ac:dyDescent="0.25">
      <c r="A5358" s="418" t="s">
        <v>16331</v>
      </c>
      <c r="B5358">
        <v>29</v>
      </c>
      <c r="C5358" s="309"/>
      <c r="D5358" s="310"/>
    </row>
    <row r="5359" spans="1:4" x14ac:dyDescent="0.25">
      <c r="A5359" s="418" t="s">
        <v>15570</v>
      </c>
      <c r="B5359">
        <v>30</v>
      </c>
      <c r="C5359" s="309"/>
      <c r="D5359" s="310"/>
    </row>
    <row r="5360" spans="1:4" x14ac:dyDescent="0.25">
      <c r="A5360" s="418" t="s">
        <v>16332</v>
      </c>
      <c r="B5360">
        <v>30</v>
      </c>
      <c r="C5360" s="309"/>
      <c r="D5360" s="310"/>
    </row>
    <row r="5361" spans="1:4" x14ac:dyDescent="0.25">
      <c r="A5361" s="418" t="s">
        <v>15571</v>
      </c>
      <c r="B5361">
        <v>29</v>
      </c>
      <c r="C5361" s="309"/>
      <c r="D5361" s="310"/>
    </row>
    <row r="5362" spans="1:4" x14ac:dyDescent="0.25">
      <c r="A5362" s="418" t="s">
        <v>17245</v>
      </c>
      <c r="B5362">
        <v>28</v>
      </c>
      <c r="C5362" s="309"/>
      <c r="D5362" s="310"/>
    </row>
    <row r="5363" spans="1:4" x14ac:dyDescent="0.25">
      <c r="A5363" s="418" t="s">
        <v>15434</v>
      </c>
      <c r="B5363">
        <v>29</v>
      </c>
      <c r="C5363" s="309"/>
      <c r="D5363" s="310"/>
    </row>
    <row r="5364" spans="1:4" x14ac:dyDescent="0.25">
      <c r="A5364" s="418" t="s">
        <v>16333</v>
      </c>
      <c r="B5364">
        <v>28</v>
      </c>
      <c r="C5364" s="309"/>
      <c r="D5364" s="310"/>
    </row>
    <row r="5365" spans="1:4" x14ac:dyDescent="0.25">
      <c r="A5365" s="418" t="s">
        <v>15572</v>
      </c>
      <c r="B5365">
        <v>30</v>
      </c>
      <c r="C5365" s="309"/>
      <c r="D5365" s="310"/>
    </row>
    <row r="5366" spans="1:4" x14ac:dyDescent="0.25">
      <c r="A5366" s="418" t="s">
        <v>16334</v>
      </c>
      <c r="B5366">
        <v>30</v>
      </c>
      <c r="C5366" s="309"/>
      <c r="D5366" s="310"/>
    </row>
    <row r="5367" spans="1:4" x14ac:dyDescent="0.25">
      <c r="A5367" s="418" t="s">
        <v>16335</v>
      </c>
      <c r="B5367">
        <v>29</v>
      </c>
      <c r="C5367" s="309"/>
      <c r="D5367" s="310"/>
    </row>
    <row r="5368" spans="1:4" x14ac:dyDescent="0.25">
      <c r="A5368" s="418" t="s">
        <v>16576</v>
      </c>
      <c r="B5368">
        <v>30</v>
      </c>
      <c r="C5368" s="309"/>
      <c r="D5368" s="310"/>
    </row>
    <row r="5369" spans="1:4" x14ac:dyDescent="0.25">
      <c r="A5369" s="418" t="s">
        <v>15963</v>
      </c>
      <c r="B5369">
        <v>30</v>
      </c>
      <c r="C5369" s="309"/>
      <c r="D5369" s="310"/>
    </row>
    <row r="5370" spans="1:4" x14ac:dyDescent="0.25">
      <c r="A5370" s="418" t="s">
        <v>16895</v>
      </c>
      <c r="B5370">
        <v>30</v>
      </c>
      <c r="C5370" s="309"/>
      <c r="D5370" s="310"/>
    </row>
    <row r="5371" spans="1:4" x14ac:dyDescent="0.25">
      <c r="A5371" s="418" t="s">
        <v>16577</v>
      </c>
      <c r="B5371">
        <v>27</v>
      </c>
      <c r="C5371" s="309"/>
      <c r="D5371" s="310"/>
    </row>
    <row r="5372" spans="1:4" x14ac:dyDescent="0.25">
      <c r="A5372" s="418" t="s">
        <v>16578</v>
      </c>
      <c r="B5372">
        <v>28</v>
      </c>
      <c r="C5372" s="309"/>
      <c r="D5372" s="310"/>
    </row>
    <row r="5373" spans="1:4" x14ac:dyDescent="0.25">
      <c r="A5373" s="418" t="s">
        <v>16159</v>
      </c>
      <c r="B5373">
        <v>30</v>
      </c>
      <c r="C5373" s="309"/>
      <c r="D5373" s="310"/>
    </row>
    <row r="5374" spans="1:4" x14ac:dyDescent="0.25">
      <c r="A5374" s="418" t="s">
        <v>16896</v>
      </c>
      <c r="B5374">
        <v>29</v>
      </c>
      <c r="C5374" s="309"/>
      <c r="D5374" s="310"/>
    </row>
    <row r="5375" spans="1:4" x14ac:dyDescent="0.25">
      <c r="A5375" s="418" t="s">
        <v>16336</v>
      </c>
      <c r="B5375">
        <v>30</v>
      </c>
      <c r="C5375" s="309"/>
      <c r="D5375" s="310"/>
    </row>
    <row r="5376" spans="1:4" x14ac:dyDescent="0.25">
      <c r="A5376" s="418" t="s">
        <v>16579</v>
      </c>
      <c r="B5376">
        <v>28</v>
      </c>
      <c r="C5376" s="309"/>
      <c r="D5376" s="310"/>
    </row>
    <row r="5377" spans="1:4" x14ac:dyDescent="0.25">
      <c r="A5377" s="418" t="s">
        <v>16337</v>
      </c>
      <c r="B5377">
        <v>30</v>
      </c>
      <c r="C5377" s="309"/>
      <c r="D5377" s="310"/>
    </row>
    <row r="5378" spans="1:4" x14ac:dyDescent="0.25">
      <c r="A5378" s="418" t="s">
        <v>16220</v>
      </c>
      <c r="B5378">
        <v>28</v>
      </c>
      <c r="C5378" s="309"/>
      <c r="D5378" s="310"/>
    </row>
    <row r="5379" spans="1:4" x14ac:dyDescent="0.25">
      <c r="A5379" s="418" t="s">
        <v>16580</v>
      </c>
      <c r="B5379">
        <v>30</v>
      </c>
      <c r="C5379" s="309"/>
      <c r="D5379" s="310"/>
    </row>
    <row r="5380" spans="1:4" x14ac:dyDescent="0.25">
      <c r="A5380" s="418" t="s">
        <v>16581</v>
      </c>
      <c r="B5380">
        <v>24</v>
      </c>
      <c r="C5380" s="309"/>
      <c r="D5380" s="310"/>
    </row>
    <row r="5381" spans="1:4" x14ac:dyDescent="0.25">
      <c r="A5381" s="418" t="s">
        <v>16897</v>
      </c>
      <c r="B5381">
        <v>30</v>
      </c>
      <c r="C5381" s="309"/>
      <c r="D5381" s="310"/>
    </row>
    <row r="5382" spans="1:4" x14ac:dyDescent="0.25">
      <c r="A5382" s="418" t="s">
        <v>16582</v>
      </c>
      <c r="B5382">
        <v>30</v>
      </c>
      <c r="C5382" s="309"/>
      <c r="D5382" s="310"/>
    </row>
    <row r="5383" spans="1:4" x14ac:dyDescent="0.25">
      <c r="A5383" s="418" t="s">
        <v>16583</v>
      </c>
      <c r="B5383">
        <v>30</v>
      </c>
      <c r="C5383" s="309"/>
      <c r="D5383" s="310"/>
    </row>
    <row r="5384" spans="1:4" x14ac:dyDescent="0.25">
      <c r="A5384" s="418" t="s">
        <v>16303</v>
      </c>
      <c r="B5384">
        <v>28</v>
      </c>
      <c r="C5384" s="309"/>
      <c r="D5384" s="310"/>
    </row>
    <row r="5385" spans="1:4" x14ac:dyDescent="0.25">
      <c r="A5385" s="418" t="s">
        <v>16584</v>
      </c>
      <c r="B5385">
        <v>29</v>
      </c>
      <c r="C5385" s="309"/>
      <c r="D5385" s="310"/>
    </row>
    <row r="5386" spans="1:4" x14ac:dyDescent="0.25">
      <c r="A5386" s="418" t="s">
        <v>16338</v>
      </c>
      <c r="B5386">
        <v>28</v>
      </c>
      <c r="C5386" s="309"/>
      <c r="D5386" s="310"/>
    </row>
    <row r="5387" spans="1:4" x14ac:dyDescent="0.25">
      <c r="A5387" s="418" t="s">
        <v>16585</v>
      </c>
      <c r="B5387">
        <v>30</v>
      </c>
      <c r="C5387" s="309"/>
      <c r="D5387" s="310"/>
    </row>
    <row r="5388" spans="1:4" x14ac:dyDescent="0.25">
      <c r="A5388" s="418" t="s">
        <v>16586</v>
      </c>
      <c r="B5388">
        <v>30</v>
      </c>
      <c r="C5388" s="309"/>
      <c r="D5388" s="310"/>
    </row>
    <row r="5389" spans="1:4" x14ac:dyDescent="0.25">
      <c r="A5389" s="418" t="s">
        <v>16587</v>
      </c>
      <c r="B5389">
        <v>28</v>
      </c>
      <c r="C5389" s="309"/>
      <c r="D5389" s="310"/>
    </row>
    <row r="5390" spans="1:4" x14ac:dyDescent="0.25">
      <c r="A5390" s="418" t="s">
        <v>16588</v>
      </c>
      <c r="B5390">
        <v>26</v>
      </c>
      <c r="C5390" s="309"/>
      <c r="D5390" s="310"/>
    </row>
    <row r="5391" spans="1:4" x14ac:dyDescent="0.25">
      <c r="A5391" s="418" t="s">
        <v>16589</v>
      </c>
      <c r="B5391">
        <v>30</v>
      </c>
      <c r="C5391" s="309"/>
      <c r="D5391" s="310"/>
    </row>
    <row r="5392" spans="1:4" x14ac:dyDescent="0.25">
      <c r="A5392" s="418" t="s">
        <v>16590</v>
      </c>
      <c r="B5392">
        <v>30</v>
      </c>
      <c r="C5392" s="309"/>
      <c r="D5392" s="310"/>
    </row>
    <row r="5393" spans="1:4" x14ac:dyDescent="0.25">
      <c r="A5393" s="418" t="s">
        <v>17246</v>
      </c>
      <c r="B5393">
        <v>30</v>
      </c>
      <c r="C5393" s="309"/>
      <c r="D5393" s="310"/>
    </row>
    <row r="5394" spans="1:4" x14ac:dyDescent="0.25">
      <c r="A5394" s="418" t="s">
        <v>16898</v>
      </c>
      <c r="B5394">
        <v>28</v>
      </c>
      <c r="C5394" s="309"/>
      <c r="D5394" s="310"/>
    </row>
    <row r="5395" spans="1:4" x14ac:dyDescent="0.25">
      <c r="A5395" s="418" t="s">
        <v>16899</v>
      </c>
      <c r="B5395">
        <v>28</v>
      </c>
      <c r="C5395" s="309"/>
      <c r="D5395" s="310"/>
    </row>
    <row r="5396" spans="1:4" x14ac:dyDescent="0.25">
      <c r="A5396" s="418" t="s">
        <v>17247</v>
      </c>
      <c r="B5396">
        <v>27</v>
      </c>
      <c r="C5396" s="309"/>
      <c r="D5396" s="310"/>
    </row>
    <row r="5397" spans="1:4" x14ac:dyDescent="0.25">
      <c r="A5397" s="418" t="s">
        <v>16591</v>
      </c>
      <c r="B5397">
        <v>28</v>
      </c>
      <c r="C5397" s="309"/>
      <c r="D5397" s="310"/>
    </row>
    <row r="5398" spans="1:4" x14ac:dyDescent="0.25">
      <c r="A5398" s="418" t="s">
        <v>16592</v>
      </c>
      <c r="B5398">
        <v>28</v>
      </c>
      <c r="C5398" s="309"/>
      <c r="D5398" s="310"/>
    </row>
    <row r="5399" spans="1:4" x14ac:dyDescent="0.25">
      <c r="A5399" s="418" t="s">
        <v>16900</v>
      </c>
      <c r="B5399">
        <v>25</v>
      </c>
      <c r="C5399" s="309"/>
      <c r="D5399" s="310"/>
    </row>
    <row r="5400" spans="1:4" x14ac:dyDescent="0.25">
      <c r="A5400" s="418" t="s">
        <v>16593</v>
      </c>
      <c r="B5400">
        <v>30</v>
      </c>
      <c r="C5400" s="309"/>
      <c r="D5400" s="310"/>
    </row>
    <row r="5401" spans="1:4" x14ac:dyDescent="0.25">
      <c r="A5401" s="418" t="s">
        <v>17248</v>
      </c>
      <c r="B5401">
        <v>30</v>
      </c>
      <c r="C5401" s="309"/>
      <c r="D5401" s="310"/>
    </row>
    <row r="5402" spans="1:4" x14ac:dyDescent="0.25">
      <c r="A5402" s="418" t="s">
        <v>17249</v>
      </c>
      <c r="B5402">
        <v>30</v>
      </c>
      <c r="C5402" s="309"/>
      <c r="D5402" s="310"/>
    </row>
    <row r="5403" spans="1:4" x14ac:dyDescent="0.25">
      <c r="A5403" s="418" t="s">
        <v>17250</v>
      </c>
      <c r="B5403">
        <v>27</v>
      </c>
      <c r="C5403" s="309"/>
      <c r="D5403" s="310"/>
    </row>
    <row r="5404" spans="1:4" x14ac:dyDescent="0.25">
      <c r="A5404" s="418" t="s">
        <v>16901</v>
      </c>
      <c r="B5404">
        <v>28</v>
      </c>
      <c r="C5404" s="309"/>
      <c r="D5404" s="310"/>
    </row>
    <row r="5405" spans="1:4" x14ac:dyDescent="0.25">
      <c r="A5405" s="418" t="s">
        <v>17251</v>
      </c>
      <c r="B5405">
        <v>30</v>
      </c>
      <c r="C5405" s="309"/>
      <c r="D5405" s="310"/>
    </row>
    <row r="5406" spans="1:4" x14ac:dyDescent="0.25">
      <c r="A5406" s="418" t="s">
        <v>17252</v>
      </c>
      <c r="B5406">
        <v>30</v>
      </c>
      <c r="C5406" s="309"/>
      <c r="D5406" s="310"/>
    </row>
    <row r="5407" spans="1:4" x14ac:dyDescent="0.25">
      <c r="A5407" s="418" t="s">
        <v>17253</v>
      </c>
      <c r="B5407">
        <v>30</v>
      </c>
      <c r="C5407" s="309"/>
      <c r="D5407" s="310"/>
    </row>
    <row r="5408" spans="1:4" x14ac:dyDescent="0.25">
      <c r="A5408" s="418" t="s">
        <v>17254</v>
      </c>
      <c r="B5408">
        <v>29</v>
      </c>
      <c r="C5408" s="309"/>
      <c r="D5408" s="310"/>
    </row>
    <row r="5409" spans="1:4" x14ac:dyDescent="0.25">
      <c r="A5409" s="418" t="s">
        <v>17255</v>
      </c>
      <c r="B5409">
        <v>30</v>
      </c>
      <c r="C5409" s="309"/>
      <c r="D5409" s="310"/>
    </row>
    <row r="5410" spans="1:4" x14ac:dyDescent="0.25">
      <c r="A5410" s="418" t="s">
        <v>17256</v>
      </c>
      <c r="B5410">
        <v>30</v>
      </c>
      <c r="C5410" s="309"/>
      <c r="D5410" s="310"/>
    </row>
    <row r="5411" spans="1:4" x14ac:dyDescent="0.25">
      <c r="A5411" s="418" t="s">
        <v>17257</v>
      </c>
      <c r="B5411">
        <v>27</v>
      </c>
      <c r="C5411" s="309"/>
      <c r="D5411" s="310"/>
    </row>
    <row r="5412" spans="1:4" x14ac:dyDescent="0.25">
      <c r="A5412" s="418" t="s">
        <v>17258</v>
      </c>
      <c r="B5412">
        <v>28</v>
      </c>
      <c r="C5412" s="309"/>
      <c r="D5412" s="310"/>
    </row>
    <row r="5413" spans="1:4" x14ac:dyDescent="0.25">
      <c r="A5413" s="418" t="s">
        <v>17259</v>
      </c>
      <c r="B5413">
        <v>28</v>
      </c>
      <c r="C5413" s="309"/>
      <c r="D5413" s="310"/>
    </row>
    <row r="5414" spans="1:4" x14ac:dyDescent="0.25">
      <c r="A5414" s="418" t="s">
        <v>12958</v>
      </c>
      <c r="B5414">
        <v>33</v>
      </c>
      <c r="C5414" s="309"/>
      <c r="D5414" s="310"/>
    </row>
    <row r="5415" spans="1:4" x14ac:dyDescent="0.25">
      <c r="A5415" s="418" t="s">
        <v>12959</v>
      </c>
      <c r="B5415">
        <v>36</v>
      </c>
      <c r="C5415" s="309"/>
      <c r="D5415" s="310"/>
    </row>
    <row r="5416" spans="1:4" x14ac:dyDescent="0.25">
      <c r="A5416" s="418" t="s">
        <v>12960</v>
      </c>
      <c r="B5416">
        <v>38</v>
      </c>
      <c r="C5416" s="309"/>
      <c r="D5416" s="310"/>
    </row>
    <row r="5417" spans="1:4" x14ac:dyDescent="0.25">
      <c r="A5417" s="418" t="s">
        <v>12961</v>
      </c>
      <c r="B5417">
        <v>35</v>
      </c>
      <c r="C5417" s="309"/>
      <c r="D5417" s="310"/>
    </row>
    <row r="5418" spans="1:4" x14ac:dyDescent="0.25">
      <c r="A5418" s="418" t="s">
        <v>12962</v>
      </c>
      <c r="B5418">
        <v>38</v>
      </c>
      <c r="C5418" s="309"/>
      <c r="D5418" s="310"/>
    </row>
    <row r="5419" spans="1:4" x14ac:dyDescent="0.25">
      <c r="A5419" s="418" t="s">
        <v>12963</v>
      </c>
      <c r="B5419">
        <v>35</v>
      </c>
      <c r="C5419" s="309"/>
      <c r="D5419" s="310"/>
    </row>
    <row r="5420" spans="1:4" x14ac:dyDescent="0.25">
      <c r="A5420" s="418" t="s">
        <v>12964</v>
      </c>
      <c r="B5420">
        <v>36</v>
      </c>
      <c r="C5420" s="309"/>
      <c r="D5420" s="310"/>
    </row>
    <row r="5421" spans="1:4" x14ac:dyDescent="0.25">
      <c r="A5421" s="418" t="s">
        <v>12965</v>
      </c>
      <c r="B5421">
        <v>38</v>
      </c>
      <c r="C5421" s="309"/>
      <c r="D5421" s="310"/>
    </row>
    <row r="5422" spans="1:4" x14ac:dyDescent="0.25">
      <c r="A5422" s="418" t="s">
        <v>12966</v>
      </c>
      <c r="B5422">
        <v>32</v>
      </c>
      <c r="C5422" s="309"/>
      <c r="D5422" s="310"/>
    </row>
    <row r="5423" spans="1:4" x14ac:dyDescent="0.25">
      <c r="A5423" s="418" t="s">
        <v>12967</v>
      </c>
      <c r="B5423">
        <v>33</v>
      </c>
      <c r="C5423" s="309"/>
      <c r="D5423" s="310"/>
    </row>
    <row r="5424" spans="1:4" x14ac:dyDescent="0.25">
      <c r="A5424" s="418" t="s">
        <v>12968</v>
      </c>
      <c r="B5424">
        <v>35</v>
      </c>
      <c r="C5424" s="309"/>
      <c r="D5424" s="310"/>
    </row>
    <row r="5425" spans="1:4" x14ac:dyDescent="0.25">
      <c r="A5425" s="418" t="s">
        <v>12969</v>
      </c>
      <c r="B5425">
        <v>32</v>
      </c>
      <c r="C5425" s="309"/>
      <c r="D5425" s="310"/>
    </row>
    <row r="5426" spans="1:4" x14ac:dyDescent="0.25">
      <c r="A5426" s="418" t="s">
        <v>12970</v>
      </c>
      <c r="B5426">
        <v>33</v>
      </c>
      <c r="C5426" s="309"/>
      <c r="D5426" s="310"/>
    </row>
    <row r="5427" spans="1:4" x14ac:dyDescent="0.25">
      <c r="A5427" s="418" t="s">
        <v>12971</v>
      </c>
      <c r="B5427">
        <v>33</v>
      </c>
      <c r="C5427" s="309"/>
      <c r="D5427" s="310"/>
    </row>
    <row r="5428" spans="1:4" x14ac:dyDescent="0.25">
      <c r="A5428" s="418" t="s">
        <v>12972</v>
      </c>
      <c r="B5428">
        <v>36</v>
      </c>
      <c r="C5428" s="309"/>
      <c r="D5428" s="310"/>
    </row>
    <row r="5429" spans="1:4" x14ac:dyDescent="0.25">
      <c r="A5429" s="418" t="s">
        <v>12973</v>
      </c>
      <c r="B5429">
        <v>35</v>
      </c>
      <c r="C5429" s="309"/>
      <c r="D5429" s="310"/>
    </row>
    <row r="5430" spans="1:4" x14ac:dyDescent="0.25">
      <c r="A5430" s="418" t="s">
        <v>12974</v>
      </c>
      <c r="B5430">
        <v>39</v>
      </c>
      <c r="C5430" s="309"/>
      <c r="D5430" s="310"/>
    </row>
    <row r="5431" spans="1:4" x14ac:dyDescent="0.25">
      <c r="A5431" s="418" t="s">
        <v>12975</v>
      </c>
      <c r="B5431">
        <v>34</v>
      </c>
      <c r="C5431" s="309"/>
      <c r="D5431" s="310"/>
    </row>
    <row r="5432" spans="1:4" x14ac:dyDescent="0.25">
      <c r="A5432" s="418" t="s">
        <v>12976</v>
      </c>
      <c r="B5432">
        <v>37</v>
      </c>
      <c r="C5432" s="309"/>
      <c r="D5432" s="310"/>
    </row>
    <row r="5433" spans="1:4" x14ac:dyDescent="0.25">
      <c r="A5433" s="418" t="s">
        <v>12977</v>
      </c>
      <c r="B5433">
        <v>31</v>
      </c>
      <c r="C5433" s="309"/>
      <c r="D5433" s="310"/>
    </row>
    <row r="5434" spans="1:4" x14ac:dyDescent="0.25">
      <c r="A5434" s="418" t="s">
        <v>12978</v>
      </c>
      <c r="B5434">
        <v>36</v>
      </c>
      <c r="C5434" s="309"/>
      <c r="D5434" s="310"/>
    </row>
    <row r="5435" spans="1:4" x14ac:dyDescent="0.25">
      <c r="A5435" s="418" t="s">
        <v>12979</v>
      </c>
      <c r="B5435">
        <v>40</v>
      </c>
      <c r="C5435" s="309"/>
      <c r="D5435" s="310"/>
    </row>
    <row r="5436" spans="1:4" x14ac:dyDescent="0.25">
      <c r="A5436" s="418" t="s">
        <v>12980</v>
      </c>
      <c r="B5436">
        <v>38</v>
      </c>
      <c r="C5436" s="309"/>
      <c r="D5436" s="310"/>
    </row>
    <row r="5437" spans="1:4" x14ac:dyDescent="0.25">
      <c r="A5437" s="418" t="s">
        <v>12981</v>
      </c>
      <c r="B5437">
        <v>34</v>
      </c>
      <c r="C5437" s="309"/>
      <c r="D5437" s="310"/>
    </row>
    <row r="5438" spans="1:4" x14ac:dyDescent="0.25">
      <c r="A5438" s="418" t="s">
        <v>12982</v>
      </c>
      <c r="B5438">
        <v>35</v>
      </c>
      <c r="C5438" s="309"/>
      <c r="D5438" s="310"/>
    </row>
    <row r="5439" spans="1:4" x14ac:dyDescent="0.25">
      <c r="A5439" s="418" t="s">
        <v>12983</v>
      </c>
      <c r="B5439">
        <v>35</v>
      </c>
      <c r="C5439" s="309"/>
      <c r="D5439" s="310"/>
    </row>
    <row r="5440" spans="1:4" x14ac:dyDescent="0.25">
      <c r="A5440" s="418" t="s">
        <v>12984</v>
      </c>
      <c r="B5440">
        <v>39</v>
      </c>
      <c r="C5440" s="309"/>
      <c r="D5440" s="310"/>
    </row>
    <row r="5441" spans="1:4" x14ac:dyDescent="0.25">
      <c r="A5441" s="418" t="s">
        <v>12985</v>
      </c>
      <c r="B5441">
        <v>31</v>
      </c>
      <c r="C5441" s="309"/>
      <c r="D5441" s="310"/>
    </row>
    <row r="5442" spans="1:4" x14ac:dyDescent="0.25">
      <c r="A5442" s="418" t="s">
        <v>12986</v>
      </c>
      <c r="B5442">
        <v>36</v>
      </c>
      <c r="C5442" s="309"/>
      <c r="D5442" s="310"/>
    </row>
    <row r="5443" spans="1:4" x14ac:dyDescent="0.25">
      <c r="A5443" s="418" t="s">
        <v>12987</v>
      </c>
      <c r="B5443">
        <v>34</v>
      </c>
      <c r="C5443" s="309"/>
      <c r="D5443" s="310"/>
    </row>
    <row r="5444" spans="1:4" x14ac:dyDescent="0.25">
      <c r="A5444" s="418" t="s">
        <v>12988</v>
      </c>
      <c r="B5444">
        <v>37</v>
      </c>
      <c r="C5444" s="309"/>
      <c r="D5444" s="310"/>
    </row>
    <row r="5445" spans="1:4" x14ac:dyDescent="0.25">
      <c r="A5445" s="418" t="s">
        <v>12989</v>
      </c>
      <c r="B5445">
        <v>30</v>
      </c>
      <c r="C5445" s="309"/>
      <c r="D5445" s="310"/>
    </row>
    <row r="5446" spans="1:4" x14ac:dyDescent="0.25">
      <c r="A5446" s="418" t="s">
        <v>12990</v>
      </c>
      <c r="B5446">
        <v>37</v>
      </c>
      <c r="C5446" s="309"/>
      <c r="D5446" s="310"/>
    </row>
    <row r="5447" spans="1:4" x14ac:dyDescent="0.25">
      <c r="A5447" s="418" t="s">
        <v>12991</v>
      </c>
      <c r="B5447">
        <v>36</v>
      </c>
      <c r="C5447" s="309"/>
      <c r="D5447" s="310"/>
    </row>
    <row r="5448" spans="1:4" x14ac:dyDescent="0.25">
      <c r="A5448" s="418" t="s">
        <v>12992</v>
      </c>
      <c r="B5448">
        <v>39</v>
      </c>
      <c r="C5448" s="309"/>
      <c r="D5448" s="310"/>
    </row>
    <row r="5449" spans="1:4" x14ac:dyDescent="0.25">
      <c r="A5449" s="418" t="s">
        <v>12993</v>
      </c>
      <c r="B5449">
        <v>33</v>
      </c>
      <c r="C5449" s="309"/>
      <c r="D5449" s="310"/>
    </row>
    <row r="5450" spans="1:4" x14ac:dyDescent="0.25">
      <c r="A5450" s="418" t="s">
        <v>12994</v>
      </c>
      <c r="B5450">
        <v>39</v>
      </c>
      <c r="C5450" s="309"/>
      <c r="D5450" s="310"/>
    </row>
    <row r="5451" spans="1:4" x14ac:dyDescent="0.25">
      <c r="A5451" s="418" t="s">
        <v>12995</v>
      </c>
      <c r="B5451">
        <v>34</v>
      </c>
      <c r="C5451" s="309"/>
      <c r="D5451" s="310"/>
    </row>
    <row r="5452" spans="1:4" x14ac:dyDescent="0.25">
      <c r="A5452" s="418" t="s">
        <v>12996</v>
      </c>
      <c r="B5452">
        <v>37</v>
      </c>
      <c r="C5452" s="309"/>
      <c r="D5452" s="310"/>
    </row>
    <row r="5453" spans="1:4" x14ac:dyDescent="0.25">
      <c r="A5453" s="418" t="s">
        <v>12997</v>
      </c>
      <c r="B5453">
        <v>36</v>
      </c>
      <c r="C5453" s="309"/>
      <c r="D5453" s="310"/>
    </row>
    <row r="5454" spans="1:4" x14ac:dyDescent="0.25">
      <c r="A5454" s="418" t="s">
        <v>12998</v>
      </c>
      <c r="B5454">
        <v>34</v>
      </c>
      <c r="C5454" s="309"/>
      <c r="D5454" s="310"/>
    </row>
    <row r="5455" spans="1:4" x14ac:dyDescent="0.25">
      <c r="A5455" s="418" t="s">
        <v>12999</v>
      </c>
      <c r="B5455">
        <v>35</v>
      </c>
      <c r="C5455" s="309"/>
      <c r="D5455" s="310"/>
    </row>
    <row r="5456" spans="1:4" x14ac:dyDescent="0.25">
      <c r="A5456" s="418" t="s">
        <v>13000</v>
      </c>
      <c r="B5456">
        <v>37</v>
      </c>
      <c r="C5456" s="309"/>
      <c r="D5456" s="310"/>
    </row>
    <row r="5457" spans="1:4" x14ac:dyDescent="0.25">
      <c r="A5457" s="418" t="s">
        <v>13001</v>
      </c>
      <c r="B5457">
        <v>40</v>
      </c>
      <c r="C5457" s="309"/>
      <c r="D5457" s="310"/>
    </row>
    <row r="5458" spans="1:4" x14ac:dyDescent="0.25">
      <c r="A5458" s="418" t="s">
        <v>13002</v>
      </c>
      <c r="B5458">
        <v>30</v>
      </c>
      <c r="C5458" s="309"/>
      <c r="D5458" s="310"/>
    </row>
    <row r="5459" spans="1:4" x14ac:dyDescent="0.25">
      <c r="A5459" s="418" t="s">
        <v>13003</v>
      </c>
      <c r="B5459">
        <v>40</v>
      </c>
      <c r="C5459" s="309"/>
      <c r="D5459" s="310"/>
    </row>
    <row r="5460" spans="1:4" x14ac:dyDescent="0.25">
      <c r="A5460" s="418" t="s">
        <v>13004</v>
      </c>
      <c r="B5460">
        <v>39</v>
      </c>
      <c r="C5460" s="309"/>
      <c r="D5460" s="310"/>
    </row>
    <row r="5461" spans="1:4" x14ac:dyDescent="0.25">
      <c r="A5461" s="418" t="s">
        <v>13005</v>
      </c>
      <c r="B5461">
        <v>31</v>
      </c>
      <c r="C5461" s="309"/>
      <c r="D5461" s="310"/>
    </row>
    <row r="5462" spans="1:4" x14ac:dyDescent="0.25">
      <c r="A5462" s="418" t="s">
        <v>13006</v>
      </c>
      <c r="B5462">
        <v>39</v>
      </c>
      <c r="C5462" s="309"/>
      <c r="D5462" s="310"/>
    </row>
    <row r="5463" spans="1:4" x14ac:dyDescent="0.25">
      <c r="A5463" s="418" t="s">
        <v>13007</v>
      </c>
      <c r="B5463">
        <v>38</v>
      </c>
      <c r="C5463" s="309"/>
      <c r="D5463" s="310"/>
    </row>
    <row r="5464" spans="1:4" x14ac:dyDescent="0.25">
      <c r="A5464" s="418" t="s">
        <v>13008</v>
      </c>
      <c r="B5464">
        <v>38</v>
      </c>
      <c r="C5464" s="309"/>
      <c r="D5464" s="310"/>
    </row>
    <row r="5465" spans="1:4" x14ac:dyDescent="0.25">
      <c r="A5465" s="418" t="s">
        <v>13009</v>
      </c>
      <c r="B5465">
        <v>39</v>
      </c>
      <c r="C5465" s="309"/>
      <c r="D5465" s="310"/>
    </row>
    <row r="5466" spans="1:4" x14ac:dyDescent="0.25">
      <c r="A5466" s="418" t="s">
        <v>13010</v>
      </c>
      <c r="B5466">
        <v>38</v>
      </c>
      <c r="C5466" s="309"/>
      <c r="D5466" s="310"/>
    </row>
    <row r="5467" spans="1:4" x14ac:dyDescent="0.25">
      <c r="A5467" s="418" t="s">
        <v>13011</v>
      </c>
      <c r="B5467">
        <v>39</v>
      </c>
      <c r="C5467" s="309"/>
      <c r="D5467" s="310"/>
    </row>
    <row r="5468" spans="1:4" x14ac:dyDescent="0.25">
      <c r="A5468" s="418" t="s">
        <v>13012</v>
      </c>
      <c r="B5468">
        <v>36</v>
      </c>
      <c r="C5468" s="309"/>
      <c r="D5468" s="310"/>
    </row>
    <row r="5469" spans="1:4" x14ac:dyDescent="0.25">
      <c r="A5469" s="418" t="s">
        <v>13013</v>
      </c>
      <c r="B5469">
        <v>37</v>
      </c>
      <c r="C5469" s="309"/>
      <c r="D5469" s="310"/>
    </row>
    <row r="5470" spans="1:4" x14ac:dyDescent="0.25">
      <c r="A5470" s="418" t="s">
        <v>13014</v>
      </c>
      <c r="B5470">
        <v>39</v>
      </c>
      <c r="C5470" s="309"/>
      <c r="D5470" s="310"/>
    </row>
    <row r="5471" spans="1:4" x14ac:dyDescent="0.25">
      <c r="A5471" s="418" t="s">
        <v>13015</v>
      </c>
      <c r="B5471">
        <v>39</v>
      </c>
      <c r="C5471" s="309"/>
      <c r="D5471" s="310"/>
    </row>
    <row r="5472" spans="1:4" x14ac:dyDescent="0.25">
      <c r="A5472" s="418" t="s">
        <v>13016</v>
      </c>
      <c r="B5472">
        <v>31</v>
      </c>
      <c r="C5472" s="309"/>
      <c r="D5472" s="310"/>
    </row>
    <row r="5473" spans="1:4" x14ac:dyDescent="0.25">
      <c r="A5473" s="418" t="s">
        <v>13017</v>
      </c>
      <c r="B5473">
        <v>35</v>
      </c>
      <c r="C5473" s="309"/>
      <c r="D5473" s="310"/>
    </row>
    <row r="5474" spans="1:4" x14ac:dyDescent="0.25">
      <c r="A5474" s="418" t="s">
        <v>13018</v>
      </c>
      <c r="B5474">
        <v>32</v>
      </c>
      <c r="C5474" s="309"/>
      <c r="D5474" s="310"/>
    </row>
    <row r="5475" spans="1:4" x14ac:dyDescent="0.25">
      <c r="A5475" s="418" t="s">
        <v>13019</v>
      </c>
      <c r="B5475">
        <v>34</v>
      </c>
      <c r="C5475" s="309"/>
      <c r="D5475" s="310"/>
    </row>
    <row r="5476" spans="1:4" x14ac:dyDescent="0.25">
      <c r="A5476" s="418" t="s">
        <v>13020</v>
      </c>
      <c r="B5476">
        <v>36</v>
      </c>
      <c r="C5476" s="309"/>
      <c r="D5476" s="310"/>
    </row>
    <row r="5477" spans="1:4" x14ac:dyDescent="0.25">
      <c r="A5477" s="418" t="s">
        <v>13021</v>
      </c>
      <c r="B5477">
        <v>39</v>
      </c>
      <c r="C5477" s="309"/>
      <c r="D5477" s="310"/>
    </row>
    <row r="5478" spans="1:4" x14ac:dyDescent="0.25">
      <c r="A5478" s="418" t="s">
        <v>13022</v>
      </c>
      <c r="B5478">
        <v>40</v>
      </c>
      <c r="C5478" s="309"/>
      <c r="D5478" s="310"/>
    </row>
    <row r="5479" spans="1:4" x14ac:dyDescent="0.25">
      <c r="A5479" s="418" t="s">
        <v>13023</v>
      </c>
      <c r="B5479">
        <v>33</v>
      </c>
      <c r="C5479" s="309"/>
      <c r="D5479" s="310"/>
    </row>
    <row r="5480" spans="1:4" x14ac:dyDescent="0.25">
      <c r="A5480" s="418" t="s">
        <v>13024</v>
      </c>
      <c r="B5480">
        <v>40</v>
      </c>
      <c r="C5480" s="309"/>
      <c r="D5480" s="310"/>
    </row>
    <row r="5481" spans="1:4" x14ac:dyDescent="0.25">
      <c r="A5481" s="418" t="s">
        <v>13025</v>
      </c>
      <c r="B5481">
        <v>39</v>
      </c>
      <c r="C5481" s="309"/>
      <c r="D5481" s="310"/>
    </row>
    <row r="5482" spans="1:4" x14ac:dyDescent="0.25">
      <c r="A5482" s="418" t="s">
        <v>13026</v>
      </c>
      <c r="B5482">
        <v>38</v>
      </c>
      <c r="C5482" s="309"/>
      <c r="D5482" s="310"/>
    </row>
    <row r="5483" spans="1:4" x14ac:dyDescent="0.25">
      <c r="A5483" s="418" t="s">
        <v>13027</v>
      </c>
      <c r="B5483">
        <v>39</v>
      </c>
      <c r="C5483" s="309"/>
      <c r="D5483" s="310"/>
    </row>
    <row r="5484" spans="1:4" x14ac:dyDescent="0.25">
      <c r="A5484" s="418" t="s">
        <v>13028</v>
      </c>
      <c r="B5484">
        <v>36</v>
      </c>
      <c r="C5484" s="309"/>
      <c r="D5484" s="310"/>
    </row>
    <row r="5485" spans="1:4" x14ac:dyDescent="0.25">
      <c r="A5485" s="418" t="s">
        <v>13029</v>
      </c>
      <c r="B5485">
        <v>37</v>
      </c>
      <c r="C5485" s="309"/>
      <c r="D5485" s="310"/>
    </row>
    <row r="5486" spans="1:4" x14ac:dyDescent="0.25">
      <c r="A5486" s="418" t="s">
        <v>13030</v>
      </c>
      <c r="B5486">
        <v>38</v>
      </c>
      <c r="C5486" s="309"/>
      <c r="D5486" s="310"/>
    </row>
    <row r="5487" spans="1:4" x14ac:dyDescent="0.25">
      <c r="A5487" s="418" t="s">
        <v>13031</v>
      </c>
      <c r="B5487">
        <v>38</v>
      </c>
      <c r="C5487" s="309"/>
      <c r="D5487" s="310"/>
    </row>
    <row r="5488" spans="1:4" x14ac:dyDescent="0.25">
      <c r="A5488" s="418" t="s">
        <v>13032</v>
      </c>
      <c r="B5488">
        <v>37</v>
      </c>
      <c r="C5488" s="309"/>
      <c r="D5488" s="310"/>
    </row>
    <row r="5489" spans="1:4" x14ac:dyDescent="0.25">
      <c r="A5489" s="418" t="s">
        <v>13033</v>
      </c>
      <c r="B5489">
        <v>33</v>
      </c>
      <c r="C5489" s="309"/>
      <c r="D5489" s="310"/>
    </row>
    <row r="5490" spans="1:4" x14ac:dyDescent="0.25">
      <c r="A5490" s="418" t="s">
        <v>13034</v>
      </c>
      <c r="B5490">
        <v>28</v>
      </c>
      <c r="C5490" s="309"/>
      <c r="D5490" s="310"/>
    </row>
    <row r="5491" spans="1:4" x14ac:dyDescent="0.25">
      <c r="A5491" s="418" t="s">
        <v>13035</v>
      </c>
      <c r="B5491">
        <v>35</v>
      </c>
      <c r="C5491" s="309"/>
      <c r="D5491" s="310"/>
    </row>
    <row r="5492" spans="1:4" x14ac:dyDescent="0.25">
      <c r="A5492" s="418" t="s">
        <v>13036</v>
      </c>
      <c r="B5492">
        <v>39</v>
      </c>
      <c r="C5492" s="309"/>
      <c r="D5492" s="310"/>
    </row>
    <row r="5493" spans="1:4" x14ac:dyDescent="0.25">
      <c r="A5493" s="418" t="s">
        <v>13037</v>
      </c>
      <c r="B5493">
        <v>34</v>
      </c>
      <c r="C5493" s="309"/>
      <c r="D5493" s="310"/>
    </row>
    <row r="5494" spans="1:4" x14ac:dyDescent="0.25">
      <c r="A5494" s="418" t="s">
        <v>13038</v>
      </c>
      <c r="B5494">
        <v>39</v>
      </c>
      <c r="C5494" s="309"/>
      <c r="D5494" s="310"/>
    </row>
    <row r="5495" spans="1:4" x14ac:dyDescent="0.25">
      <c r="A5495" s="418" t="s">
        <v>13039</v>
      </c>
      <c r="B5495">
        <v>37</v>
      </c>
      <c r="C5495" s="309"/>
      <c r="D5495" s="310"/>
    </row>
    <row r="5496" spans="1:4" x14ac:dyDescent="0.25">
      <c r="A5496" s="418" t="s">
        <v>13040</v>
      </c>
      <c r="B5496">
        <v>38</v>
      </c>
      <c r="C5496" s="309"/>
      <c r="D5496" s="310"/>
    </row>
    <row r="5497" spans="1:4" x14ac:dyDescent="0.25">
      <c r="A5497" s="418" t="s">
        <v>13041</v>
      </c>
      <c r="B5497">
        <v>40</v>
      </c>
      <c r="C5497" s="309"/>
      <c r="D5497" s="310"/>
    </row>
    <row r="5498" spans="1:4" x14ac:dyDescent="0.25">
      <c r="A5498" s="418" t="s">
        <v>13042</v>
      </c>
      <c r="B5498">
        <v>40</v>
      </c>
      <c r="C5498" s="309"/>
      <c r="D5498" s="310"/>
    </row>
    <row r="5499" spans="1:4" x14ac:dyDescent="0.25">
      <c r="A5499" s="418" t="s">
        <v>13043</v>
      </c>
      <c r="B5499">
        <v>37</v>
      </c>
      <c r="C5499" s="309"/>
      <c r="D5499" s="310"/>
    </row>
    <row r="5500" spans="1:4" x14ac:dyDescent="0.25">
      <c r="A5500" s="418" t="s">
        <v>13044</v>
      </c>
      <c r="B5500">
        <v>37</v>
      </c>
      <c r="C5500" s="309"/>
      <c r="D5500" s="310"/>
    </row>
    <row r="5501" spans="1:4" x14ac:dyDescent="0.25">
      <c r="A5501" s="418" t="s">
        <v>13045</v>
      </c>
      <c r="B5501">
        <v>36</v>
      </c>
      <c r="C5501" s="309"/>
      <c r="D5501" s="310"/>
    </row>
    <row r="5502" spans="1:4" x14ac:dyDescent="0.25">
      <c r="A5502" s="418" t="s">
        <v>13046</v>
      </c>
      <c r="B5502">
        <v>40</v>
      </c>
      <c r="C5502" s="309"/>
      <c r="D5502" s="310"/>
    </row>
    <row r="5503" spans="1:4" x14ac:dyDescent="0.25">
      <c r="A5503" s="418" t="s">
        <v>13047</v>
      </c>
      <c r="B5503">
        <v>40</v>
      </c>
      <c r="C5503" s="309"/>
      <c r="D5503" s="310"/>
    </row>
    <row r="5504" spans="1:4" x14ac:dyDescent="0.25">
      <c r="A5504" s="418" t="s">
        <v>13048</v>
      </c>
      <c r="B5504">
        <v>40</v>
      </c>
      <c r="C5504" s="309"/>
      <c r="D5504" s="310"/>
    </row>
    <row r="5505" spans="1:4" x14ac:dyDescent="0.25">
      <c r="A5505" s="418" t="s">
        <v>13049</v>
      </c>
      <c r="B5505">
        <v>40</v>
      </c>
      <c r="C5505" s="309"/>
      <c r="D5505" s="310"/>
    </row>
    <row r="5506" spans="1:4" x14ac:dyDescent="0.25">
      <c r="A5506" s="418" t="s">
        <v>13050</v>
      </c>
      <c r="B5506">
        <v>38</v>
      </c>
      <c r="C5506" s="309"/>
      <c r="D5506" s="310"/>
    </row>
    <row r="5507" spans="1:4" x14ac:dyDescent="0.25">
      <c r="A5507" s="418" t="s">
        <v>13051</v>
      </c>
      <c r="B5507">
        <v>38</v>
      </c>
      <c r="C5507" s="309"/>
      <c r="D5507" s="310"/>
    </row>
    <row r="5508" spans="1:4" x14ac:dyDescent="0.25">
      <c r="A5508" s="418" t="s">
        <v>13052</v>
      </c>
      <c r="B5508">
        <v>39</v>
      </c>
      <c r="C5508" s="309"/>
      <c r="D5508" s="310"/>
    </row>
    <row r="5509" spans="1:4" x14ac:dyDescent="0.25">
      <c r="A5509" s="418" t="s">
        <v>13053</v>
      </c>
      <c r="B5509">
        <v>38</v>
      </c>
      <c r="C5509" s="309"/>
      <c r="D5509" s="310"/>
    </row>
    <row r="5510" spans="1:4" x14ac:dyDescent="0.25">
      <c r="A5510" s="418" t="s">
        <v>13054</v>
      </c>
      <c r="B5510">
        <v>35</v>
      </c>
      <c r="C5510" s="309"/>
      <c r="D5510" s="310"/>
    </row>
    <row r="5511" spans="1:4" x14ac:dyDescent="0.25">
      <c r="A5511" s="418" t="s">
        <v>13055</v>
      </c>
      <c r="B5511">
        <v>38</v>
      </c>
      <c r="C5511" s="309"/>
      <c r="D5511" s="310"/>
    </row>
    <row r="5512" spans="1:4" x14ac:dyDescent="0.25">
      <c r="A5512" s="418" t="s">
        <v>13056</v>
      </c>
      <c r="B5512">
        <v>39</v>
      </c>
      <c r="C5512" s="309"/>
      <c r="D5512" s="310"/>
    </row>
    <row r="5513" spans="1:4" x14ac:dyDescent="0.25">
      <c r="A5513" s="418" t="s">
        <v>13057</v>
      </c>
      <c r="B5513">
        <v>40</v>
      </c>
      <c r="C5513" s="309"/>
      <c r="D5513" s="310"/>
    </row>
    <row r="5514" spans="1:4" x14ac:dyDescent="0.25">
      <c r="A5514" s="418" t="s">
        <v>13058</v>
      </c>
      <c r="B5514">
        <v>38</v>
      </c>
      <c r="C5514" s="309"/>
      <c r="D5514" s="310"/>
    </row>
    <row r="5515" spans="1:4" x14ac:dyDescent="0.25">
      <c r="A5515" s="418" t="s">
        <v>13059</v>
      </c>
      <c r="B5515">
        <v>34</v>
      </c>
      <c r="C5515" s="309"/>
      <c r="D5515" s="310"/>
    </row>
    <row r="5516" spans="1:4" x14ac:dyDescent="0.25">
      <c r="A5516" s="418" t="s">
        <v>13060</v>
      </c>
      <c r="B5516">
        <v>36</v>
      </c>
      <c r="C5516" s="309"/>
      <c r="D5516" s="310"/>
    </row>
    <row r="5517" spans="1:4" x14ac:dyDescent="0.25">
      <c r="A5517" s="418" t="s">
        <v>13061</v>
      </c>
      <c r="B5517">
        <v>40</v>
      </c>
      <c r="C5517" s="309"/>
      <c r="D5517" s="310"/>
    </row>
    <row r="5518" spans="1:4" x14ac:dyDescent="0.25">
      <c r="A5518" s="418" t="s">
        <v>13062</v>
      </c>
      <c r="B5518">
        <v>36</v>
      </c>
      <c r="C5518" s="309"/>
      <c r="D5518" s="310"/>
    </row>
    <row r="5519" spans="1:4" x14ac:dyDescent="0.25">
      <c r="A5519" s="418" t="s">
        <v>13063</v>
      </c>
      <c r="B5519">
        <v>35</v>
      </c>
      <c r="C5519" s="309"/>
      <c r="D5519" s="310"/>
    </row>
    <row r="5520" spans="1:4" x14ac:dyDescent="0.25">
      <c r="A5520" s="418" t="s">
        <v>13064</v>
      </c>
      <c r="B5520">
        <v>39</v>
      </c>
      <c r="C5520" s="309"/>
      <c r="D5520" s="310"/>
    </row>
    <row r="5521" spans="1:4" x14ac:dyDescent="0.25">
      <c r="A5521" s="418" t="s">
        <v>13065</v>
      </c>
      <c r="B5521">
        <v>40</v>
      </c>
      <c r="C5521" s="309"/>
      <c r="D5521" s="310"/>
    </row>
    <row r="5522" spans="1:4" x14ac:dyDescent="0.25">
      <c r="A5522" s="418" t="s">
        <v>13066</v>
      </c>
      <c r="B5522">
        <v>37</v>
      </c>
      <c r="C5522" s="309"/>
      <c r="D5522" s="310"/>
    </row>
    <row r="5523" spans="1:4" x14ac:dyDescent="0.25">
      <c r="A5523" s="418" t="s">
        <v>13067</v>
      </c>
      <c r="B5523">
        <v>35</v>
      </c>
      <c r="C5523" s="309"/>
      <c r="D5523" s="310"/>
    </row>
    <row r="5524" spans="1:4" x14ac:dyDescent="0.25">
      <c r="A5524" s="418" t="s">
        <v>13068</v>
      </c>
      <c r="B5524">
        <v>33</v>
      </c>
      <c r="C5524" s="309"/>
      <c r="D5524" s="310"/>
    </row>
    <row r="5525" spans="1:4" x14ac:dyDescent="0.25">
      <c r="A5525" s="418" t="s">
        <v>13069</v>
      </c>
      <c r="B5525">
        <v>39</v>
      </c>
      <c r="C5525" s="309"/>
      <c r="D5525" s="310"/>
    </row>
    <row r="5526" spans="1:4" x14ac:dyDescent="0.25">
      <c r="A5526" s="418" t="s">
        <v>13070</v>
      </c>
      <c r="B5526">
        <v>37</v>
      </c>
      <c r="C5526" s="309"/>
      <c r="D5526" s="310"/>
    </row>
    <row r="5527" spans="1:4" x14ac:dyDescent="0.25">
      <c r="A5527" s="418" t="s">
        <v>13071</v>
      </c>
      <c r="B5527">
        <v>40</v>
      </c>
      <c r="C5527" s="309"/>
      <c r="D5527" s="310"/>
    </row>
    <row r="5528" spans="1:4" x14ac:dyDescent="0.25">
      <c r="A5528" s="418" t="s">
        <v>13072</v>
      </c>
      <c r="B5528">
        <v>40</v>
      </c>
      <c r="C5528" s="309"/>
      <c r="D5528" s="310"/>
    </row>
    <row r="5529" spans="1:4" x14ac:dyDescent="0.25">
      <c r="A5529" s="418" t="s">
        <v>13073</v>
      </c>
      <c r="B5529">
        <v>31</v>
      </c>
      <c r="C5529" s="309"/>
      <c r="D5529" s="310"/>
    </row>
    <row r="5530" spans="1:4" x14ac:dyDescent="0.25">
      <c r="A5530" s="418" t="s">
        <v>13074</v>
      </c>
      <c r="B5530">
        <v>39</v>
      </c>
      <c r="C5530" s="309"/>
      <c r="D5530" s="310"/>
    </row>
    <row r="5531" spans="1:4" x14ac:dyDescent="0.25">
      <c r="A5531" s="418" t="s">
        <v>13075</v>
      </c>
      <c r="B5531">
        <v>39</v>
      </c>
      <c r="C5531" s="309"/>
      <c r="D5531" s="310"/>
    </row>
    <row r="5532" spans="1:4" x14ac:dyDescent="0.25">
      <c r="A5532" s="418" t="s">
        <v>13076</v>
      </c>
      <c r="B5532">
        <v>38</v>
      </c>
      <c r="C5532" s="309"/>
      <c r="D5532" s="310"/>
    </row>
    <row r="5533" spans="1:4" x14ac:dyDescent="0.25">
      <c r="A5533" s="418" t="s">
        <v>13077</v>
      </c>
      <c r="B5533">
        <v>35</v>
      </c>
      <c r="C5533" s="309"/>
      <c r="D5533" s="310"/>
    </row>
    <row r="5534" spans="1:4" x14ac:dyDescent="0.25">
      <c r="A5534" s="418" t="s">
        <v>13078</v>
      </c>
      <c r="B5534">
        <v>40</v>
      </c>
      <c r="C5534" s="309"/>
      <c r="D5534" s="310"/>
    </row>
    <row r="5535" spans="1:4" x14ac:dyDescent="0.25">
      <c r="A5535" s="418" t="s">
        <v>16221</v>
      </c>
      <c r="B5535">
        <v>40</v>
      </c>
      <c r="C5535" s="309"/>
      <c r="D5535" s="310"/>
    </row>
    <row r="5536" spans="1:4" x14ac:dyDescent="0.25">
      <c r="A5536" s="418" t="s">
        <v>13079</v>
      </c>
      <c r="B5536">
        <v>39</v>
      </c>
      <c r="C5536" s="309"/>
      <c r="D5536" s="310"/>
    </row>
    <row r="5537" spans="1:4" x14ac:dyDescent="0.25">
      <c r="A5537" s="418" t="s">
        <v>13080</v>
      </c>
      <c r="B5537">
        <v>40</v>
      </c>
      <c r="C5537" s="309"/>
      <c r="D5537" s="310"/>
    </row>
    <row r="5538" spans="1:4" x14ac:dyDescent="0.25">
      <c r="A5538" s="418" t="s">
        <v>13081</v>
      </c>
      <c r="B5538">
        <v>39</v>
      </c>
      <c r="C5538" s="309"/>
      <c r="D5538" s="310"/>
    </row>
    <row r="5539" spans="1:4" x14ac:dyDescent="0.25">
      <c r="A5539" s="418" t="s">
        <v>13082</v>
      </c>
      <c r="B5539">
        <v>39</v>
      </c>
      <c r="C5539" s="309"/>
      <c r="D5539" s="310"/>
    </row>
    <row r="5540" spans="1:4" x14ac:dyDescent="0.25">
      <c r="A5540" s="418" t="s">
        <v>13083</v>
      </c>
      <c r="B5540">
        <v>36</v>
      </c>
      <c r="C5540" s="309"/>
      <c r="D5540" s="310"/>
    </row>
    <row r="5541" spans="1:4" x14ac:dyDescent="0.25">
      <c r="A5541" s="418" t="s">
        <v>13084</v>
      </c>
      <c r="B5541">
        <v>33</v>
      </c>
      <c r="C5541" s="309"/>
      <c r="D5541" s="310"/>
    </row>
    <row r="5542" spans="1:4" x14ac:dyDescent="0.25">
      <c r="A5542" s="418" t="s">
        <v>13085</v>
      </c>
      <c r="B5542">
        <v>38</v>
      </c>
      <c r="C5542" s="309"/>
      <c r="D5542" s="310"/>
    </row>
    <row r="5543" spans="1:4" x14ac:dyDescent="0.25">
      <c r="A5543" s="418" t="s">
        <v>13086</v>
      </c>
      <c r="B5543">
        <v>40</v>
      </c>
      <c r="C5543" s="309"/>
      <c r="D5543" s="310"/>
    </row>
    <row r="5544" spans="1:4" x14ac:dyDescent="0.25">
      <c r="A5544" s="418" t="s">
        <v>13087</v>
      </c>
      <c r="B5544">
        <v>37</v>
      </c>
      <c r="C5544" s="309"/>
      <c r="D5544" s="310"/>
    </row>
    <row r="5545" spans="1:4" x14ac:dyDescent="0.25">
      <c r="A5545" s="418" t="s">
        <v>13088</v>
      </c>
      <c r="B5545">
        <v>38</v>
      </c>
      <c r="C5545" s="309"/>
      <c r="D5545" s="310"/>
    </row>
    <row r="5546" spans="1:4" x14ac:dyDescent="0.25">
      <c r="A5546" s="418" t="s">
        <v>13089</v>
      </c>
      <c r="B5546">
        <v>37</v>
      </c>
      <c r="C5546" s="309"/>
      <c r="D5546" s="310"/>
    </row>
    <row r="5547" spans="1:4" x14ac:dyDescent="0.25">
      <c r="A5547" s="418" t="s">
        <v>13090</v>
      </c>
      <c r="B5547">
        <v>38</v>
      </c>
      <c r="C5547" s="309"/>
      <c r="D5547" s="310"/>
    </row>
    <row r="5548" spans="1:4" x14ac:dyDescent="0.25">
      <c r="A5548" s="418" t="s">
        <v>13091</v>
      </c>
      <c r="B5548">
        <v>38</v>
      </c>
      <c r="C5548" s="309"/>
      <c r="D5548" s="310"/>
    </row>
    <row r="5549" spans="1:4" x14ac:dyDescent="0.25">
      <c r="A5549" s="418" t="s">
        <v>13092</v>
      </c>
      <c r="B5549">
        <v>39</v>
      </c>
      <c r="C5549" s="309"/>
      <c r="D5549" s="310"/>
    </row>
    <row r="5550" spans="1:4" x14ac:dyDescent="0.25">
      <c r="A5550" s="418" t="s">
        <v>13093</v>
      </c>
      <c r="B5550">
        <v>39</v>
      </c>
      <c r="C5550" s="309"/>
      <c r="D5550" s="310"/>
    </row>
    <row r="5551" spans="1:4" x14ac:dyDescent="0.25">
      <c r="A5551" s="418" t="s">
        <v>13094</v>
      </c>
      <c r="B5551">
        <v>40</v>
      </c>
      <c r="C5551" s="309"/>
      <c r="D5551" s="310"/>
    </row>
    <row r="5552" spans="1:4" x14ac:dyDescent="0.25">
      <c r="A5552" s="418" t="s">
        <v>13095</v>
      </c>
      <c r="B5552">
        <v>30</v>
      </c>
      <c r="C5552" s="309"/>
      <c r="D5552" s="310"/>
    </row>
    <row r="5553" spans="1:4" x14ac:dyDescent="0.25">
      <c r="A5553" s="418" t="s">
        <v>13096</v>
      </c>
      <c r="B5553">
        <v>39</v>
      </c>
      <c r="C5553" s="309"/>
      <c r="D5553" s="310"/>
    </row>
    <row r="5554" spans="1:4" x14ac:dyDescent="0.25">
      <c r="A5554" s="418" t="s">
        <v>13097</v>
      </c>
      <c r="B5554">
        <v>40</v>
      </c>
      <c r="C5554" s="309"/>
      <c r="D5554" s="310"/>
    </row>
    <row r="5555" spans="1:4" x14ac:dyDescent="0.25">
      <c r="A5555" s="418" t="s">
        <v>13098</v>
      </c>
      <c r="B5555">
        <v>28</v>
      </c>
      <c r="C5555" s="309"/>
      <c r="D5555" s="310"/>
    </row>
    <row r="5556" spans="1:4" x14ac:dyDescent="0.25">
      <c r="A5556" s="418" t="s">
        <v>13099</v>
      </c>
      <c r="B5556">
        <v>37</v>
      </c>
      <c r="C5556" s="309"/>
      <c r="D5556" s="310"/>
    </row>
    <row r="5557" spans="1:4" x14ac:dyDescent="0.25">
      <c r="A5557" s="418" t="s">
        <v>13100</v>
      </c>
      <c r="B5557">
        <v>34</v>
      </c>
      <c r="C5557" s="309"/>
      <c r="D5557" s="310"/>
    </row>
    <row r="5558" spans="1:4" x14ac:dyDescent="0.25">
      <c r="A5558" s="418" t="s">
        <v>13101</v>
      </c>
      <c r="B5558">
        <v>39</v>
      </c>
      <c r="C5558" s="309"/>
      <c r="D5558" s="310"/>
    </row>
    <row r="5559" spans="1:4" x14ac:dyDescent="0.25">
      <c r="A5559" s="418" t="s">
        <v>13102</v>
      </c>
      <c r="B5559">
        <v>39</v>
      </c>
      <c r="C5559" s="309"/>
      <c r="D5559" s="310"/>
    </row>
    <row r="5560" spans="1:4" x14ac:dyDescent="0.25">
      <c r="A5560" s="418" t="s">
        <v>13103</v>
      </c>
      <c r="B5560">
        <v>39</v>
      </c>
      <c r="C5560" s="309"/>
      <c r="D5560" s="310"/>
    </row>
    <row r="5561" spans="1:4" x14ac:dyDescent="0.25">
      <c r="A5561" s="418" t="s">
        <v>13104</v>
      </c>
      <c r="B5561">
        <v>38</v>
      </c>
      <c r="C5561" s="309"/>
      <c r="D5561" s="310"/>
    </row>
    <row r="5562" spans="1:4" x14ac:dyDescent="0.25">
      <c r="A5562" s="418" t="s">
        <v>13105</v>
      </c>
      <c r="B5562">
        <v>39</v>
      </c>
      <c r="C5562" s="309"/>
      <c r="D5562" s="310"/>
    </row>
    <row r="5563" spans="1:4" x14ac:dyDescent="0.25">
      <c r="A5563" s="418" t="s">
        <v>13106</v>
      </c>
      <c r="B5563">
        <v>37</v>
      </c>
      <c r="C5563" s="309"/>
      <c r="D5563" s="310"/>
    </row>
    <row r="5564" spans="1:4" x14ac:dyDescent="0.25">
      <c r="A5564" s="418" t="s">
        <v>13107</v>
      </c>
      <c r="B5564">
        <v>38</v>
      </c>
      <c r="C5564" s="309"/>
      <c r="D5564" s="310"/>
    </row>
    <row r="5565" spans="1:4" x14ac:dyDescent="0.25">
      <c r="A5565" s="418" t="s">
        <v>13108</v>
      </c>
      <c r="B5565">
        <v>36</v>
      </c>
      <c r="C5565" s="309"/>
      <c r="D5565" s="310"/>
    </row>
    <row r="5566" spans="1:4" x14ac:dyDescent="0.25">
      <c r="A5566" s="418" t="s">
        <v>13109</v>
      </c>
      <c r="B5566">
        <v>39</v>
      </c>
      <c r="C5566" s="309"/>
      <c r="D5566" s="310"/>
    </row>
    <row r="5567" spans="1:4" x14ac:dyDescent="0.25">
      <c r="A5567" s="418" t="s">
        <v>13110</v>
      </c>
      <c r="B5567">
        <v>40</v>
      </c>
      <c r="C5567" s="309"/>
      <c r="D5567" s="310"/>
    </row>
    <row r="5568" spans="1:4" x14ac:dyDescent="0.25">
      <c r="A5568" s="418" t="s">
        <v>13111</v>
      </c>
      <c r="B5568">
        <v>40</v>
      </c>
      <c r="C5568" s="309"/>
      <c r="D5568" s="310"/>
    </row>
    <row r="5569" spans="1:4" x14ac:dyDescent="0.25">
      <c r="A5569" s="418" t="s">
        <v>13112</v>
      </c>
      <c r="B5569">
        <v>38</v>
      </c>
      <c r="C5569" s="309"/>
      <c r="D5569" s="310"/>
    </row>
    <row r="5570" spans="1:4" x14ac:dyDescent="0.25">
      <c r="A5570" s="418" t="s">
        <v>13113</v>
      </c>
      <c r="B5570">
        <v>40</v>
      </c>
      <c r="C5570" s="309"/>
      <c r="D5570" s="310"/>
    </row>
    <row r="5571" spans="1:4" x14ac:dyDescent="0.25">
      <c r="A5571" s="418" t="s">
        <v>13114</v>
      </c>
      <c r="B5571">
        <v>34</v>
      </c>
      <c r="C5571" s="309"/>
      <c r="D5571" s="310"/>
    </row>
    <row r="5572" spans="1:4" x14ac:dyDescent="0.25">
      <c r="A5572" s="418" t="s">
        <v>13115</v>
      </c>
      <c r="B5572">
        <v>38</v>
      </c>
      <c r="C5572" s="309"/>
      <c r="D5572" s="310"/>
    </row>
    <row r="5573" spans="1:4" x14ac:dyDescent="0.25">
      <c r="A5573" s="418" t="s">
        <v>13116</v>
      </c>
      <c r="B5573">
        <v>36</v>
      </c>
      <c r="C5573" s="309"/>
      <c r="D5573" s="310"/>
    </row>
    <row r="5574" spans="1:4" x14ac:dyDescent="0.25">
      <c r="A5574" s="418" t="s">
        <v>13117</v>
      </c>
      <c r="B5574">
        <v>37</v>
      </c>
      <c r="C5574" s="309"/>
      <c r="D5574" s="310"/>
    </row>
    <row r="5575" spans="1:4" x14ac:dyDescent="0.25">
      <c r="A5575" s="418" t="s">
        <v>13118</v>
      </c>
      <c r="B5575">
        <v>38</v>
      </c>
      <c r="C5575" s="309"/>
      <c r="D5575" s="310"/>
    </row>
    <row r="5576" spans="1:4" x14ac:dyDescent="0.25">
      <c r="A5576" s="418" t="s">
        <v>13119</v>
      </c>
      <c r="B5576">
        <v>36</v>
      </c>
      <c r="C5576" s="309"/>
      <c r="D5576" s="310"/>
    </row>
    <row r="5577" spans="1:4" x14ac:dyDescent="0.25">
      <c r="A5577" s="418" t="s">
        <v>13120</v>
      </c>
      <c r="B5577">
        <v>40</v>
      </c>
      <c r="C5577" s="309"/>
      <c r="D5577" s="310"/>
    </row>
    <row r="5578" spans="1:4" x14ac:dyDescent="0.25">
      <c r="A5578" s="418" t="s">
        <v>13121</v>
      </c>
      <c r="B5578">
        <v>36</v>
      </c>
      <c r="C5578" s="309"/>
      <c r="D5578" s="310"/>
    </row>
    <row r="5579" spans="1:4" x14ac:dyDescent="0.25">
      <c r="A5579" s="418" t="s">
        <v>13122</v>
      </c>
      <c r="B5579">
        <v>40</v>
      </c>
      <c r="C5579" s="309"/>
      <c r="D5579" s="310"/>
    </row>
    <row r="5580" spans="1:4" x14ac:dyDescent="0.25">
      <c r="A5580" s="418" t="s">
        <v>13123</v>
      </c>
      <c r="B5580">
        <v>37</v>
      </c>
      <c r="C5580" s="309"/>
      <c r="D5580" s="310"/>
    </row>
    <row r="5581" spans="1:4" x14ac:dyDescent="0.25">
      <c r="A5581" s="418" t="s">
        <v>13124</v>
      </c>
      <c r="B5581">
        <v>39</v>
      </c>
      <c r="C5581" s="309"/>
      <c r="D5581" s="310"/>
    </row>
    <row r="5582" spans="1:4" x14ac:dyDescent="0.25">
      <c r="A5582" s="418" t="s">
        <v>13125</v>
      </c>
      <c r="B5582">
        <v>37</v>
      </c>
      <c r="C5582" s="309"/>
      <c r="D5582" s="310"/>
    </row>
    <row r="5583" spans="1:4" x14ac:dyDescent="0.25">
      <c r="A5583" s="418" t="s">
        <v>13126</v>
      </c>
      <c r="B5583">
        <v>38</v>
      </c>
      <c r="C5583" s="309"/>
      <c r="D5583" s="310"/>
    </row>
    <row r="5584" spans="1:4" x14ac:dyDescent="0.25">
      <c r="A5584" s="418" t="s">
        <v>13127</v>
      </c>
      <c r="B5584">
        <v>36</v>
      </c>
      <c r="C5584" s="309"/>
      <c r="D5584" s="310"/>
    </row>
    <row r="5585" spans="1:4" x14ac:dyDescent="0.25">
      <c r="A5585" s="418" t="s">
        <v>13128</v>
      </c>
      <c r="B5585">
        <v>31</v>
      </c>
      <c r="C5585" s="309"/>
      <c r="D5585" s="310"/>
    </row>
    <row r="5586" spans="1:4" x14ac:dyDescent="0.25">
      <c r="A5586" s="418" t="s">
        <v>13129</v>
      </c>
      <c r="B5586">
        <v>38</v>
      </c>
      <c r="C5586" s="309"/>
      <c r="D5586" s="310"/>
    </row>
    <row r="5587" spans="1:4" x14ac:dyDescent="0.25">
      <c r="A5587" s="418" t="s">
        <v>13130</v>
      </c>
      <c r="B5587">
        <v>40</v>
      </c>
      <c r="C5587" s="309"/>
      <c r="D5587" s="310"/>
    </row>
    <row r="5588" spans="1:4" x14ac:dyDescent="0.25">
      <c r="A5588" s="418" t="s">
        <v>13131</v>
      </c>
      <c r="B5588">
        <v>39</v>
      </c>
      <c r="C5588" s="309"/>
      <c r="D5588" s="310"/>
    </row>
    <row r="5589" spans="1:4" x14ac:dyDescent="0.25">
      <c r="A5589" s="418" t="s">
        <v>13132</v>
      </c>
      <c r="B5589">
        <v>40</v>
      </c>
      <c r="C5589" s="309"/>
      <c r="D5589" s="310"/>
    </row>
    <row r="5590" spans="1:4" x14ac:dyDescent="0.25">
      <c r="A5590" s="418" t="s">
        <v>13133</v>
      </c>
      <c r="B5590">
        <v>40</v>
      </c>
      <c r="C5590" s="309"/>
      <c r="D5590" s="310"/>
    </row>
    <row r="5591" spans="1:4" x14ac:dyDescent="0.25">
      <c r="A5591" s="418" t="s">
        <v>13134</v>
      </c>
      <c r="B5591">
        <v>37</v>
      </c>
      <c r="C5591" s="309"/>
      <c r="D5591" s="310"/>
    </row>
    <row r="5592" spans="1:4" x14ac:dyDescent="0.25">
      <c r="A5592" s="418" t="s">
        <v>13135</v>
      </c>
      <c r="B5592">
        <v>39</v>
      </c>
      <c r="C5592" s="309"/>
      <c r="D5592" s="310"/>
    </row>
    <row r="5593" spans="1:4" x14ac:dyDescent="0.25">
      <c r="A5593" s="418" t="s">
        <v>13136</v>
      </c>
      <c r="B5593">
        <v>39</v>
      </c>
      <c r="C5593" s="309"/>
      <c r="D5593" s="310"/>
    </row>
    <row r="5594" spans="1:4" x14ac:dyDescent="0.25">
      <c r="A5594" s="418" t="s">
        <v>13137</v>
      </c>
      <c r="B5594">
        <v>39</v>
      </c>
      <c r="C5594" s="309"/>
      <c r="D5594" s="310"/>
    </row>
    <row r="5595" spans="1:4" x14ac:dyDescent="0.25">
      <c r="A5595" s="418" t="s">
        <v>13138</v>
      </c>
      <c r="B5595">
        <v>40</v>
      </c>
      <c r="C5595" s="309"/>
      <c r="D5595" s="310"/>
    </row>
    <row r="5596" spans="1:4" x14ac:dyDescent="0.25">
      <c r="A5596" s="418" t="s">
        <v>13139</v>
      </c>
      <c r="B5596">
        <v>40</v>
      </c>
      <c r="C5596" s="309"/>
      <c r="D5596" s="310"/>
    </row>
    <row r="5597" spans="1:4" x14ac:dyDescent="0.25">
      <c r="A5597" s="418" t="s">
        <v>13140</v>
      </c>
      <c r="B5597">
        <v>39</v>
      </c>
      <c r="C5597" s="309"/>
      <c r="D5597" s="310"/>
    </row>
    <row r="5598" spans="1:4" x14ac:dyDescent="0.25">
      <c r="A5598" s="418" t="s">
        <v>13141</v>
      </c>
      <c r="B5598">
        <v>39</v>
      </c>
      <c r="C5598" s="309"/>
      <c r="D5598" s="310"/>
    </row>
    <row r="5599" spans="1:4" x14ac:dyDescent="0.25">
      <c r="A5599" s="418" t="s">
        <v>13142</v>
      </c>
      <c r="B5599">
        <v>39</v>
      </c>
      <c r="C5599" s="309"/>
      <c r="D5599" s="310"/>
    </row>
    <row r="5600" spans="1:4" x14ac:dyDescent="0.25">
      <c r="A5600" s="418" t="s">
        <v>13143</v>
      </c>
      <c r="B5600">
        <v>36</v>
      </c>
      <c r="C5600" s="309"/>
      <c r="D5600" s="310"/>
    </row>
    <row r="5601" spans="1:4" x14ac:dyDescent="0.25">
      <c r="A5601" s="418" t="s">
        <v>13144</v>
      </c>
      <c r="B5601">
        <v>39</v>
      </c>
      <c r="C5601" s="309"/>
      <c r="D5601" s="310"/>
    </row>
    <row r="5602" spans="1:4" x14ac:dyDescent="0.25">
      <c r="A5602" s="418" t="s">
        <v>13145</v>
      </c>
      <c r="B5602">
        <v>37</v>
      </c>
      <c r="C5602" s="309"/>
      <c r="D5602" s="310"/>
    </row>
    <row r="5603" spans="1:4" x14ac:dyDescent="0.25">
      <c r="A5603" s="418" t="s">
        <v>13146</v>
      </c>
      <c r="B5603">
        <v>38</v>
      </c>
      <c r="C5603" s="309"/>
      <c r="D5603" s="310"/>
    </row>
    <row r="5604" spans="1:4" x14ac:dyDescent="0.25">
      <c r="A5604" s="418" t="s">
        <v>16902</v>
      </c>
      <c r="B5604">
        <v>40</v>
      </c>
      <c r="C5604" s="309"/>
      <c r="D5604" s="310"/>
    </row>
    <row r="5605" spans="1:4" x14ac:dyDescent="0.25">
      <c r="A5605" s="418" t="s">
        <v>13147</v>
      </c>
      <c r="B5605">
        <v>39</v>
      </c>
      <c r="C5605" s="309"/>
      <c r="D5605" s="310"/>
    </row>
    <row r="5606" spans="1:4" x14ac:dyDescent="0.25">
      <c r="A5606" s="418" t="s">
        <v>13148</v>
      </c>
      <c r="B5606">
        <v>40</v>
      </c>
      <c r="C5606" s="309"/>
      <c r="D5606" s="310"/>
    </row>
    <row r="5607" spans="1:4" x14ac:dyDescent="0.25">
      <c r="A5607" s="418" t="s">
        <v>13149</v>
      </c>
      <c r="B5607">
        <v>40</v>
      </c>
      <c r="C5607" s="309"/>
      <c r="D5607" s="310"/>
    </row>
    <row r="5608" spans="1:4" x14ac:dyDescent="0.25">
      <c r="A5608" s="418" t="s">
        <v>13150</v>
      </c>
      <c r="B5608">
        <v>38</v>
      </c>
      <c r="C5608" s="309"/>
      <c r="D5608" s="310"/>
    </row>
    <row r="5609" spans="1:4" x14ac:dyDescent="0.25">
      <c r="A5609" s="418" t="s">
        <v>13151</v>
      </c>
      <c r="B5609">
        <v>40</v>
      </c>
      <c r="C5609" s="309"/>
      <c r="D5609" s="310"/>
    </row>
    <row r="5610" spans="1:4" x14ac:dyDescent="0.25">
      <c r="A5610" s="418" t="s">
        <v>13152</v>
      </c>
      <c r="B5610">
        <v>40</v>
      </c>
      <c r="C5610" s="309"/>
      <c r="D5610" s="310"/>
    </row>
    <row r="5611" spans="1:4" x14ac:dyDescent="0.25">
      <c r="A5611" s="418" t="s">
        <v>13153</v>
      </c>
      <c r="B5611">
        <v>39</v>
      </c>
      <c r="C5611" s="309"/>
      <c r="D5611" s="310"/>
    </row>
    <row r="5612" spans="1:4" x14ac:dyDescent="0.25">
      <c r="A5612" s="418" t="s">
        <v>13154</v>
      </c>
      <c r="B5612">
        <v>36</v>
      </c>
      <c r="C5612" s="309"/>
      <c r="D5612" s="310"/>
    </row>
    <row r="5613" spans="1:4" x14ac:dyDescent="0.25">
      <c r="A5613" s="418" t="s">
        <v>13155</v>
      </c>
      <c r="B5613">
        <v>35</v>
      </c>
      <c r="C5613" s="309"/>
      <c r="D5613" s="310"/>
    </row>
    <row r="5614" spans="1:4" x14ac:dyDescent="0.25">
      <c r="A5614" s="418" t="s">
        <v>13156</v>
      </c>
      <c r="B5614">
        <v>39</v>
      </c>
      <c r="C5614" s="309"/>
      <c r="D5614" s="310"/>
    </row>
    <row r="5615" spans="1:4" x14ac:dyDescent="0.25">
      <c r="A5615" s="418" t="s">
        <v>13157</v>
      </c>
      <c r="B5615">
        <v>39</v>
      </c>
      <c r="C5615" s="309"/>
      <c r="D5615" s="310"/>
    </row>
    <row r="5616" spans="1:4" x14ac:dyDescent="0.25">
      <c r="A5616" s="418" t="s">
        <v>13158</v>
      </c>
      <c r="B5616">
        <v>40</v>
      </c>
      <c r="C5616" s="309"/>
      <c r="D5616" s="310"/>
    </row>
    <row r="5617" spans="1:4" x14ac:dyDescent="0.25">
      <c r="A5617" s="418" t="s">
        <v>13159</v>
      </c>
      <c r="B5617">
        <v>39</v>
      </c>
      <c r="C5617" s="309"/>
      <c r="D5617" s="310"/>
    </row>
    <row r="5618" spans="1:4" x14ac:dyDescent="0.25">
      <c r="A5618" s="418" t="s">
        <v>13160</v>
      </c>
      <c r="B5618">
        <v>39</v>
      </c>
      <c r="C5618" s="309"/>
      <c r="D5618" s="310"/>
    </row>
    <row r="5619" spans="1:4" x14ac:dyDescent="0.25">
      <c r="A5619" s="418" t="s">
        <v>13161</v>
      </c>
      <c r="B5619">
        <v>40</v>
      </c>
      <c r="C5619" s="309"/>
      <c r="D5619" s="310"/>
    </row>
    <row r="5620" spans="1:4" x14ac:dyDescent="0.25">
      <c r="A5620" s="418" t="s">
        <v>13162</v>
      </c>
      <c r="B5620">
        <v>34</v>
      </c>
      <c r="C5620" s="309"/>
      <c r="D5620" s="310"/>
    </row>
    <row r="5621" spans="1:4" x14ac:dyDescent="0.25">
      <c r="A5621" s="418" t="s">
        <v>13163</v>
      </c>
      <c r="B5621">
        <v>38</v>
      </c>
      <c r="C5621" s="309"/>
      <c r="D5621" s="310"/>
    </row>
    <row r="5622" spans="1:4" x14ac:dyDescent="0.25">
      <c r="A5622" s="418" t="s">
        <v>13164</v>
      </c>
      <c r="B5622">
        <v>39</v>
      </c>
      <c r="C5622" s="309"/>
      <c r="D5622" s="310"/>
    </row>
    <row r="5623" spans="1:4" x14ac:dyDescent="0.25">
      <c r="A5623" s="418" t="s">
        <v>13165</v>
      </c>
      <c r="B5623">
        <v>39</v>
      </c>
      <c r="C5623" s="309"/>
      <c r="D5623" s="310"/>
    </row>
    <row r="5624" spans="1:4" x14ac:dyDescent="0.25">
      <c r="A5624" s="418" t="s">
        <v>13166</v>
      </c>
      <c r="B5624">
        <v>39</v>
      </c>
      <c r="C5624" s="309"/>
      <c r="D5624" s="310"/>
    </row>
    <row r="5625" spans="1:4" x14ac:dyDescent="0.25">
      <c r="A5625" s="418" t="s">
        <v>13167</v>
      </c>
      <c r="B5625">
        <v>39</v>
      </c>
      <c r="C5625" s="309"/>
      <c r="D5625" s="310"/>
    </row>
    <row r="5626" spans="1:4" x14ac:dyDescent="0.25">
      <c r="A5626" s="418" t="s">
        <v>13168</v>
      </c>
      <c r="B5626">
        <v>38</v>
      </c>
      <c r="C5626" s="309"/>
      <c r="D5626" s="310"/>
    </row>
    <row r="5627" spans="1:4" x14ac:dyDescent="0.25">
      <c r="A5627" s="418" t="s">
        <v>13169</v>
      </c>
      <c r="B5627">
        <v>39</v>
      </c>
      <c r="C5627" s="309"/>
      <c r="D5627" s="310"/>
    </row>
    <row r="5628" spans="1:4" x14ac:dyDescent="0.25">
      <c r="A5628" s="418" t="s">
        <v>13170</v>
      </c>
      <c r="B5628">
        <v>39</v>
      </c>
      <c r="C5628" s="309"/>
      <c r="D5628" s="310"/>
    </row>
    <row r="5629" spans="1:4" x14ac:dyDescent="0.25">
      <c r="A5629" s="418" t="s">
        <v>13171</v>
      </c>
      <c r="B5629">
        <v>39</v>
      </c>
      <c r="C5629" s="309"/>
      <c r="D5629" s="310"/>
    </row>
    <row r="5630" spans="1:4" x14ac:dyDescent="0.25">
      <c r="A5630" s="418" t="s">
        <v>13172</v>
      </c>
      <c r="B5630">
        <v>38</v>
      </c>
      <c r="C5630" s="309"/>
      <c r="D5630" s="310"/>
    </row>
    <row r="5631" spans="1:4" x14ac:dyDescent="0.25">
      <c r="A5631" s="418" t="s">
        <v>13173</v>
      </c>
      <c r="B5631">
        <v>40</v>
      </c>
      <c r="C5631" s="309"/>
      <c r="D5631" s="310"/>
    </row>
    <row r="5632" spans="1:4" x14ac:dyDescent="0.25">
      <c r="A5632" s="418" t="s">
        <v>13174</v>
      </c>
      <c r="B5632">
        <v>38</v>
      </c>
      <c r="C5632" s="309"/>
      <c r="D5632" s="310"/>
    </row>
    <row r="5633" spans="1:4" x14ac:dyDescent="0.25">
      <c r="A5633" s="418" t="s">
        <v>13175</v>
      </c>
      <c r="B5633">
        <v>39</v>
      </c>
      <c r="C5633" s="309"/>
      <c r="D5633" s="310"/>
    </row>
    <row r="5634" spans="1:4" x14ac:dyDescent="0.25">
      <c r="A5634" s="418" t="s">
        <v>13176</v>
      </c>
      <c r="B5634">
        <v>40</v>
      </c>
      <c r="C5634" s="309"/>
      <c r="D5634" s="310"/>
    </row>
    <row r="5635" spans="1:4" x14ac:dyDescent="0.25">
      <c r="A5635" s="418" t="s">
        <v>13177</v>
      </c>
      <c r="B5635">
        <v>36</v>
      </c>
      <c r="C5635" s="309"/>
      <c r="D5635" s="310"/>
    </row>
    <row r="5636" spans="1:4" x14ac:dyDescent="0.25">
      <c r="A5636" s="418" t="s">
        <v>13178</v>
      </c>
      <c r="B5636">
        <v>40</v>
      </c>
      <c r="C5636" s="309"/>
      <c r="D5636" s="310"/>
    </row>
    <row r="5637" spans="1:4" x14ac:dyDescent="0.25">
      <c r="A5637" s="418" t="s">
        <v>13179</v>
      </c>
      <c r="B5637">
        <v>38</v>
      </c>
      <c r="C5637" s="309"/>
      <c r="D5637" s="310"/>
    </row>
    <row r="5638" spans="1:4" x14ac:dyDescent="0.25">
      <c r="A5638" s="418" t="s">
        <v>13180</v>
      </c>
      <c r="B5638">
        <v>35</v>
      </c>
      <c r="C5638" s="309"/>
      <c r="D5638" s="310"/>
    </row>
    <row r="5639" spans="1:4" x14ac:dyDescent="0.25">
      <c r="A5639" s="418" t="s">
        <v>13181</v>
      </c>
      <c r="B5639">
        <v>40</v>
      </c>
      <c r="C5639" s="309"/>
      <c r="D5639" s="310"/>
    </row>
    <row r="5640" spans="1:4" x14ac:dyDescent="0.25">
      <c r="A5640" s="418" t="s">
        <v>13182</v>
      </c>
      <c r="B5640">
        <v>35</v>
      </c>
      <c r="C5640" s="309"/>
      <c r="D5640" s="310"/>
    </row>
    <row r="5641" spans="1:4" x14ac:dyDescent="0.25">
      <c r="A5641" s="418" t="s">
        <v>13183</v>
      </c>
      <c r="B5641">
        <v>37</v>
      </c>
      <c r="C5641" s="309"/>
      <c r="D5641" s="310"/>
    </row>
    <row r="5642" spans="1:4" x14ac:dyDescent="0.25">
      <c r="A5642" s="418" t="s">
        <v>13184</v>
      </c>
      <c r="B5642">
        <v>38</v>
      </c>
      <c r="C5642" s="309"/>
      <c r="D5642" s="310"/>
    </row>
    <row r="5643" spans="1:4" x14ac:dyDescent="0.25">
      <c r="A5643" s="418" t="s">
        <v>13185</v>
      </c>
      <c r="B5643">
        <v>37</v>
      </c>
      <c r="C5643" s="309"/>
      <c r="D5643" s="310"/>
    </row>
    <row r="5644" spans="1:4" x14ac:dyDescent="0.25">
      <c r="A5644" s="418" t="s">
        <v>13186</v>
      </c>
      <c r="B5644">
        <v>40</v>
      </c>
      <c r="C5644" s="309"/>
      <c r="D5644" s="310"/>
    </row>
    <row r="5645" spans="1:4" x14ac:dyDescent="0.25">
      <c r="A5645" s="418" t="s">
        <v>13187</v>
      </c>
      <c r="B5645">
        <v>40</v>
      </c>
      <c r="C5645" s="309"/>
      <c r="D5645" s="310"/>
    </row>
    <row r="5646" spans="1:4" x14ac:dyDescent="0.25">
      <c r="A5646" s="418" t="s">
        <v>13188</v>
      </c>
      <c r="B5646">
        <v>40</v>
      </c>
      <c r="C5646" s="309"/>
      <c r="D5646" s="310"/>
    </row>
    <row r="5647" spans="1:4" x14ac:dyDescent="0.25">
      <c r="A5647" s="418" t="s">
        <v>13189</v>
      </c>
      <c r="B5647">
        <v>34</v>
      </c>
      <c r="C5647" s="309"/>
      <c r="D5647" s="310"/>
    </row>
    <row r="5648" spans="1:4" x14ac:dyDescent="0.25">
      <c r="A5648" s="418" t="s">
        <v>13190</v>
      </c>
      <c r="B5648">
        <v>40</v>
      </c>
      <c r="C5648" s="309"/>
      <c r="D5648" s="310"/>
    </row>
    <row r="5649" spans="1:4" x14ac:dyDescent="0.25">
      <c r="A5649" s="418" t="s">
        <v>13191</v>
      </c>
      <c r="B5649">
        <v>40</v>
      </c>
      <c r="C5649" s="309"/>
      <c r="D5649" s="310"/>
    </row>
    <row r="5650" spans="1:4" x14ac:dyDescent="0.25">
      <c r="A5650" s="418" t="s">
        <v>17260</v>
      </c>
      <c r="B5650">
        <v>40</v>
      </c>
      <c r="C5650" s="309"/>
      <c r="D5650" s="310"/>
    </row>
    <row r="5651" spans="1:4" x14ac:dyDescent="0.25">
      <c r="A5651" s="418" t="s">
        <v>13192</v>
      </c>
      <c r="B5651">
        <v>38</v>
      </c>
      <c r="C5651" s="309"/>
      <c r="D5651" s="310"/>
    </row>
    <row r="5652" spans="1:4" x14ac:dyDescent="0.25">
      <c r="A5652" s="418" t="s">
        <v>13193</v>
      </c>
      <c r="B5652">
        <v>39</v>
      </c>
      <c r="C5652" s="309"/>
      <c r="D5652" s="310"/>
    </row>
    <row r="5653" spans="1:4" x14ac:dyDescent="0.25">
      <c r="A5653" s="418" t="s">
        <v>13194</v>
      </c>
      <c r="B5653">
        <v>38</v>
      </c>
      <c r="C5653" s="309"/>
      <c r="D5653" s="310"/>
    </row>
    <row r="5654" spans="1:4" x14ac:dyDescent="0.25">
      <c r="A5654" s="418" t="s">
        <v>13195</v>
      </c>
      <c r="B5654">
        <v>40</v>
      </c>
      <c r="C5654" s="309"/>
      <c r="D5654" s="310"/>
    </row>
    <row r="5655" spans="1:4" x14ac:dyDescent="0.25">
      <c r="A5655" s="418" t="s">
        <v>13196</v>
      </c>
      <c r="B5655">
        <v>28</v>
      </c>
      <c r="C5655" s="309"/>
      <c r="D5655" s="310"/>
    </row>
    <row r="5656" spans="1:4" x14ac:dyDescent="0.25">
      <c r="A5656" s="418" t="s">
        <v>13197</v>
      </c>
      <c r="B5656">
        <v>40</v>
      </c>
      <c r="C5656" s="309"/>
      <c r="D5656" s="310"/>
    </row>
    <row r="5657" spans="1:4" x14ac:dyDescent="0.25">
      <c r="A5657" s="418" t="s">
        <v>13198</v>
      </c>
      <c r="B5657">
        <v>39</v>
      </c>
      <c r="C5657" s="309"/>
      <c r="D5657" s="310"/>
    </row>
    <row r="5658" spans="1:4" x14ac:dyDescent="0.25">
      <c r="A5658" s="418" t="s">
        <v>13199</v>
      </c>
      <c r="B5658">
        <v>30</v>
      </c>
      <c r="C5658" s="309"/>
      <c r="D5658" s="310"/>
    </row>
    <row r="5659" spans="1:4" x14ac:dyDescent="0.25">
      <c r="A5659" s="418" t="s">
        <v>13200</v>
      </c>
      <c r="B5659">
        <v>38</v>
      </c>
      <c r="C5659" s="309"/>
      <c r="D5659" s="310"/>
    </row>
    <row r="5660" spans="1:4" x14ac:dyDescent="0.25">
      <c r="A5660" s="418" t="s">
        <v>13201</v>
      </c>
      <c r="B5660">
        <v>35</v>
      </c>
      <c r="C5660" s="309"/>
      <c r="D5660" s="310"/>
    </row>
    <row r="5661" spans="1:4" x14ac:dyDescent="0.25">
      <c r="A5661" s="418" t="s">
        <v>13202</v>
      </c>
      <c r="B5661">
        <v>40</v>
      </c>
      <c r="C5661" s="309"/>
      <c r="D5661" s="310"/>
    </row>
    <row r="5662" spans="1:4" x14ac:dyDescent="0.25">
      <c r="A5662" s="418" t="s">
        <v>13203</v>
      </c>
      <c r="B5662">
        <v>40</v>
      </c>
      <c r="C5662" s="309"/>
      <c r="D5662" s="310"/>
    </row>
    <row r="5663" spans="1:4" x14ac:dyDescent="0.25">
      <c r="A5663" s="418" t="s">
        <v>13204</v>
      </c>
      <c r="B5663">
        <v>36</v>
      </c>
      <c r="C5663" s="309"/>
      <c r="D5663" s="310"/>
    </row>
    <row r="5664" spans="1:4" x14ac:dyDescent="0.25">
      <c r="A5664" s="418" t="s">
        <v>13205</v>
      </c>
      <c r="B5664">
        <v>40</v>
      </c>
      <c r="C5664" s="309"/>
      <c r="D5664" s="310"/>
    </row>
    <row r="5665" spans="1:4" x14ac:dyDescent="0.25">
      <c r="A5665" s="418" t="s">
        <v>13206</v>
      </c>
      <c r="B5665">
        <v>40</v>
      </c>
      <c r="C5665" s="309"/>
      <c r="D5665" s="310"/>
    </row>
    <row r="5666" spans="1:4" x14ac:dyDescent="0.25">
      <c r="A5666" s="418" t="s">
        <v>13207</v>
      </c>
      <c r="B5666">
        <v>40</v>
      </c>
      <c r="C5666" s="309"/>
      <c r="D5666" s="310"/>
    </row>
    <row r="5667" spans="1:4" x14ac:dyDescent="0.25">
      <c r="A5667" s="418" t="s">
        <v>13208</v>
      </c>
      <c r="B5667">
        <v>38</v>
      </c>
      <c r="C5667" s="309"/>
      <c r="D5667" s="310"/>
    </row>
    <row r="5668" spans="1:4" x14ac:dyDescent="0.25">
      <c r="A5668" s="418" t="s">
        <v>13209</v>
      </c>
      <c r="B5668">
        <v>35</v>
      </c>
      <c r="C5668" s="309"/>
      <c r="D5668" s="310"/>
    </row>
    <row r="5669" spans="1:4" x14ac:dyDescent="0.25">
      <c r="A5669" s="418" t="s">
        <v>13210</v>
      </c>
      <c r="B5669">
        <v>33</v>
      </c>
      <c r="C5669" s="309"/>
      <c r="D5669" s="310"/>
    </row>
    <row r="5670" spans="1:4" x14ac:dyDescent="0.25">
      <c r="A5670" s="418" t="s">
        <v>13211</v>
      </c>
      <c r="B5670">
        <v>38</v>
      </c>
      <c r="C5670" s="309"/>
      <c r="D5670" s="310"/>
    </row>
    <row r="5671" spans="1:4" x14ac:dyDescent="0.25">
      <c r="A5671" s="418" t="s">
        <v>13212</v>
      </c>
      <c r="B5671">
        <v>40</v>
      </c>
      <c r="C5671" s="309"/>
      <c r="D5671" s="310"/>
    </row>
    <row r="5672" spans="1:4" x14ac:dyDescent="0.25">
      <c r="A5672" s="418" t="s">
        <v>13213</v>
      </c>
      <c r="B5672">
        <v>39</v>
      </c>
      <c r="C5672" s="309"/>
      <c r="D5672" s="310"/>
    </row>
    <row r="5673" spans="1:4" x14ac:dyDescent="0.25">
      <c r="A5673" s="418" t="s">
        <v>17261</v>
      </c>
      <c r="B5673">
        <v>39</v>
      </c>
      <c r="C5673" s="309"/>
      <c r="D5673" s="310"/>
    </row>
    <row r="5674" spans="1:4" x14ac:dyDescent="0.25">
      <c r="A5674" s="418" t="s">
        <v>13214</v>
      </c>
      <c r="B5674">
        <v>37</v>
      </c>
      <c r="C5674" s="309"/>
      <c r="D5674" s="310"/>
    </row>
    <row r="5675" spans="1:4" x14ac:dyDescent="0.25">
      <c r="A5675" s="418" t="s">
        <v>13215</v>
      </c>
      <c r="B5675">
        <v>40</v>
      </c>
      <c r="C5675" s="309"/>
      <c r="D5675" s="310"/>
    </row>
    <row r="5676" spans="1:4" x14ac:dyDescent="0.25">
      <c r="A5676" s="418" t="s">
        <v>13216</v>
      </c>
      <c r="B5676">
        <v>30</v>
      </c>
      <c r="C5676" s="309"/>
      <c r="D5676" s="310"/>
    </row>
    <row r="5677" spans="1:4" x14ac:dyDescent="0.25">
      <c r="A5677" s="418" t="s">
        <v>13217</v>
      </c>
      <c r="B5677">
        <v>36</v>
      </c>
      <c r="C5677" s="309"/>
      <c r="D5677" s="310"/>
    </row>
    <row r="5678" spans="1:4" x14ac:dyDescent="0.25">
      <c r="A5678" s="418" t="s">
        <v>13218</v>
      </c>
      <c r="B5678">
        <v>38</v>
      </c>
      <c r="C5678" s="309"/>
      <c r="D5678" s="310"/>
    </row>
    <row r="5679" spans="1:4" x14ac:dyDescent="0.25">
      <c r="A5679" s="418" t="s">
        <v>13219</v>
      </c>
      <c r="B5679">
        <v>37</v>
      </c>
      <c r="C5679" s="309"/>
      <c r="D5679" s="310"/>
    </row>
    <row r="5680" spans="1:4" x14ac:dyDescent="0.25">
      <c r="A5680" s="418" t="s">
        <v>13220</v>
      </c>
      <c r="B5680">
        <v>36</v>
      </c>
      <c r="C5680" s="309"/>
      <c r="D5680" s="310"/>
    </row>
    <row r="5681" spans="1:4" x14ac:dyDescent="0.25">
      <c r="A5681" s="418" t="s">
        <v>13221</v>
      </c>
      <c r="B5681">
        <v>38</v>
      </c>
      <c r="C5681" s="309"/>
      <c r="D5681" s="310"/>
    </row>
    <row r="5682" spans="1:4" x14ac:dyDescent="0.25">
      <c r="A5682" s="418" t="s">
        <v>13222</v>
      </c>
      <c r="B5682">
        <v>40</v>
      </c>
      <c r="C5682" s="309"/>
      <c r="D5682" s="310"/>
    </row>
    <row r="5683" spans="1:4" x14ac:dyDescent="0.25">
      <c r="A5683" s="418" t="s">
        <v>13223</v>
      </c>
      <c r="B5683">
        <v>39</v>
      </c>
      <c r="C5683" s="309"/>
      <c r="D5683" s="310"/>
    </row>
    <row r="5684" spans="1:4" x14ac:dyDescent="0.25">
      <c r="A5684" s="418" t="s">
        <v>13224</v>
      </c>
      <c r="B5684">
        <v>40</v>
      </c>
      <c r="C5684" s="309"/>
      <c r="D5684" s="310"/>
    </row>
    <row r="5685" spans="1:4" x14ac:dyDescent="0.25">
      <c r="A5685" s="418" t="s">
        <v>13225</v>
      </c>
      <c r="B5685">
        <v>39</v>
      </c>
      <c r="C5685" s="309"/>
      <c r="D5685" s="310"/>
    </row>
    <row r="5686" spans="1:4" x14ac:dyDescent="0.25">
      <c r="A5686" s="418" t="s">
        <v>13226</v>
      </c>
      <c r="B5686">
        <v>40</v>
      </c>
      <c r="C5686" s="309"/>
      <c r="D5686" s="310"/>
    </row>
    <row r="5687" spans="1:4" x14ac:dyDescent="0.25">
      <c r="A5687" s="418" t="s">
        <v>13227</v>
      </c>
      <c r="B5687">
        <v>38</v>
      </c>
      <c r="C5687" s="309"/>
      <c r="D5687" s="310"/>
    </row>
    <row r="5688" spans="1:4" x14ac:dyDescent="0.25">
      <c r="A5688" s="418" t="s">
        <v>13228</v>
      </c>
      <c r="B5688">
        <v>40</v>
      </c>
      <c r="C5688" s="309"/>
      <c r="D5688" s="310"/>
    </row>
    <row r="5689" spans="1:4" x14ac:dyDescent="0.25">
      <c r="A5689" s="418" t="s">
        <v>13229</v>
      </c>
      <c r="B5689">
        <v>36</v>
      </c>
      <c r="C5689" s="309"/>
      <c r="D5689" s="310"/>
    </row>
    <row r="5690" spans="1:4" x14ac:dyDescent="0.25">
      <c r="A5690" s="418" t="s">
        <v>13230</v>
      </c>
      <c r="B5690">
        <v>38</v>
      </c>
      <c r="C5690" s="309"/>
      <c r="D5690" s="310"/>
    </row>
    <row r="5691" spans="1:4" x14ac:dyDescent="0.25">
      <c r="A5691" s="418" t="s">
        <v>13231</v>
      </c>
      <c r="B5691">
        <v>36</v>
      </c>
      <c r="C5691" s="309"/>
      <c r="D5691" s="310"/>
    </row>
    <row r="5692" spans="1:4" x14ac:dyDescent="0.25">
      <c r="A5692" s="418" t="s">
        <v>13232</v>
      </c>
      <c r="B5692">
        <v>40</v>
      </c>
      <c r="C5692" s="309"/>
      <c r="D5692" s="310"/>
    </row>
    <row r="5693" spans="1:4" x14ac:dyDescent="0.25">
      <c r="A5693" s="418" t="s">
        <v>13233</v>
      </c>
      <c r="B5693">
        <v>32</v>
      </c>
      <c r="C5693" s="309"/>
      <c r="D5693" s="310"/>
    </row>
    <row r="5694" spans="1:4" x14ac:dyDescent="0.25">
      <c r="A5694" s="418" t="s">
        <v>13234</v>
      </c>
      <c r="B5694">
        <v>38</v>
      </c>
      <c r="C5694" s="309"/>
      <c r="D5694" s="310"/>
    </row>
    <row r="5695" spans="1:4" x14ac:dyDescent="0.25">
      <c r="A5695" s="418" t="s">
        <v>13235</v>
      </c>
      <c r="B5695">
        <v>40</v>
      </c>
      <c r="C5695" s="309"/>
      <c r="D5695" s="310"/>
    </row>
    <row r="5696" spans="1:4" x14ac:dyDescent="0.25">
      <c r="A5696" s="418" t="s">
        <v>13236</v>
      </c>
      <c r="B5696">
        <v>39</v>
      </c>
      <c r="C5696" s="309"/>
      <c r="D5696" s="310"/>
    </row>
    <row r="5697" spans="1:4" x14ac:dyDescent="0.25">
      <c r="A5697" s="418" t="s">
        <v>16594</v>
      </c>
      <c r="B5697">
        <v>37</v>
      </c>
      <c r="C5697" s="309"/>
      <c r="D5697" s="310"/>
    </row>
    <row r="5698" spans="1:4" x14ac:dyDescent="0.25">
      <c r="A5698" s="418" t="s">
        <v>13237</v>
      </c>
      <c r="B5698">
        <v>40</v>
      </c>
      <c r="C5698" s="309"/>
      <c r="D5698" s="310"/>
    </row>
    <row r="5699" spans="1:4" x14ac:dyDescent="0.25">
      <c r="A5699" s="418" t="s">
        <v>13238</v>
      </c>
      <c r="B5699">
        <v>38</v>
      </c>
      <c r="C5699" s="309"/>
      <c r="D5699" s="310"/>
    </row>
    <row r="5700" spans="1:4" x14ac:dyDescent="0.25">
      <c r="A5700" s="418" t="s">
        <v>13239</v>
      </c>
      <c r="B5700">
        <v>40</v>
      </c>
      <c r="C5700" s="309"/>
      <c r="D5700" s="310"/>
    </row>
    <row r="5701" spans="1:4" x14ac:dyDescent="0.25">
      <c r="A5701" s="418" t="s">
        <v>13240</v>
      </c>
      <c r="B5701">
        <v>40</v>
      </c>
      <c r="C5701" s="309"/>
      <c r="D5701" s="310"/>
    </row>
    <row r="5702" spans="1:4" x14ac:dyDescent="0.25">
      <c r="A5702" s="418" t="s">
        <v>13241</v>
      </c>
      <c r="B5702">
        <v>39</v>
      </c>
      <c r="C5702" s="309"/>
      <c r="D5702" s="310"/>
    </row>
    <row r="5703" spans="1:4" x14ac:dyDescent="0.25">
      <c r="A5703" s="418" t="s">
        <v>13242</v>
      </c>
      <c r="B5703">
        <v>40</v>
      </c>
      <c r="C5703" s="309"/>
      <c r="D5703" s="310"/>
    </row>
    <row r="5704" spans="1:4" x14ac:dyDescent="0.25">
      <c r="A5704" s="418" t="s">
        <v>13243</v>
      </c>
      <c r="B5704">
        <v>39</v>
      </c>
      <c r="C5704" s="309"/>
      <c r="D5704" s="310"/>
    </row>
    <row r="5705" spans="1:4" x14ac:dyDescent="0.25">
      <c r="A5705" s="418" t="s">
        <v>13244</v>
      </c>
      <c r="B5705">
        <v>40</v>
      </c>
      <c r="C5705" s="309"/>
      <c r="D5705" s="310"/>
    </row>
    <row r="5706" spans="1:4" x14ac:dyDescent="0.25">
      <c r="A5706" s="418" t="s">
        <v>13245</v>
      </c>
      <c r="B5706">
        <v>37</v>
      </c>
      <c r="C5706" s="309"/>
      <c r="D5706" s="310"/>
    </row>
    <row r="5707" spans="1:4" x14ac:dyDescent="0.25">
      <c r="A5707" s="418" t="s">
        <v>13246</v>
      </c>
      <c r="B5707">
        <v>38</v>
      </c>
      <c r="C5707" s="309"/>
      <c r="D5707" s="310"/>
    </row>
    <row r="5708" spans="1:4" x14ac:dyDescent="0.25">
      <c r="A5708" s="418" t="s">
        <v>13247</v>
      </c>
      <c r="B5708">
        <v>40</v>
      </c>
      <c r="C5708" s="309"/>
      <c r="D5708" s="310"/>
    </row>
    <row r="5709" spans="1:4" x14ac:dyDescent="0.25">
      <c r="A5709" s="418" t="s">
        <v>13248</v>
      </c>
      <c r="B5709">
        <v>40</v>
      </c>
      <c r="C5709" s="309"/>
      <c r="D5709" s="310"/>
    </row>
    <row r="5710" spans="1:4" x14ac:dyDescent="0.25">
      <c r="A5710" s="418" t="s">
        <v>13249</v>
      </c>
      <c r="B5710">
        <v>38</v>
      </c>
      <c r="C5710" s="309"/>
      <c r="D5710" s="310"/>
    </row>
    <row r="5711" spans="1:4" x14ac:dyDescent="0.25">
      <c r="A5711" s="418" t="s">
        <v>13250</v>
      </c>
      <c r="B5711">
        <v>40</v>
      </c>
      <c r="C5711" s="309"/>
      <c r="D5711" s="310"/>
    </row>
    <row r="5712" spans="1:4" x14ac:dyDescent="0.25">
      <c r="A5712" s="418" t="s">
        <v>13251</v>
      </c>
      <c r="B5712">
        <v>38</v>
      </c>
      <c r="C5712" s="309"/>
      <c r="D5712" s="310"/>
    </row>
    <row r="5713" spans="1:4" x14ac:dyDescent="0.25">
      <c r="A5713" s="418" t="s">
        <v>13252</v>
      </c>
      <c r="B5713">
        <v>39</v>
      </c>
      <c r="C5713" s="309"/>
      <c r="D5713" s="310"/>
    </row>
    <row r="5714" spans="1:4" x14ac:dyDescent="0.25">
      <c r="A5714" s="418" t="s">
        <v>13253</v>
      </c>
      <c r="B5714">
        <v>39</v>
      </c>
      <c r="C5714" s="309"/>
      <c r="D5714" s="310"/>
    </row>
    <row r="5715" spans="1:4" x14ac:dyDescent="0.25">
      <c r="A5715" s="418" t="s">
        <v>13254</v>
      </c>
      <c r="B5715">
        <v>39</v>
      </c>
      <c r="C5715" s="309"/>
      <c r="D5715" s="310"/>
    </row>
    <row r="5716" spans="1:4" x14ac:dyDescent="0.25">
      <c r="A5716" s="418" t="s">
        <v>13255</v>
      </c>
      <c r="B5716">
        <v>40</v>
      </c>
      <c r="C5716" s="309"/>
      <c r="D5716" s="310"/>
    </row>
    <row r="5717" spans="1:4" x14ac:dyDescent="0.25">
      <c r="A5717" s="418" t="s">
        <v>13256</v>
      </c>
      <c r="B5717">
        <v>39</v>
      </c>
      <c r="C5717" s="309"/>
      <c r="D5717" s="310"/>
    </row>
    <row r="5718" spans="1:4" x14ac:dyDescent="0.25">
      <c r="A5718" s="418" t="s">
        <v>13257</v>
      </c>
      <c r="B5718">
        <v>40</v>
      </c>
      <c r="C5718" s="309"/>
      <c r="D5718" s="310"/>
    </row>
    <row r="5719" spans="1:4" x14ac:dyDescent="0.25">
      <c r="A5719" s="418" t="s">
        <v>13258</v>
      </c>
      <c r="B5719">
        <v>37</v>
      </c>
      <c r="C5719" s="309"/>
      <c r="D5719" s="310"/>
    </row>
    <row r="5720" spans="1:4" x14ac:dyDescent="0.25">
      <c r="A5720" s="418" t="s">
        <v>13259</v>
      </c>
      <c r="B5720">
        <v>40</v>
      </c>
      <c r="C5720" s="309"/>
      <c r="D5720" s="310"/>
    </row>
    <row r="5721" spans="1:4" x14ac:dyDescent="0.25">
      <c r="A5721" s="418" t="s">
        <v>13260</v>
      </c>
      <c r="B5721">
        <v>40</v>
      </c>
      <c r="C5721" s="309"/>
      <c r="D5721" s="310"/>
    </row>
    <row r="5722" spans="1:4" x14ac:dyDescent="0.25">
      <c r="A5722" s="418" t="s">
        <v>13261</v>
      </c>
      <c r="B5722">
        <v>38</v>
      </c>
      <c r="C5722" s="309"/>
      <c r="D5722" s="310"/>
    </row>
    <row r="5723" spans="1:4" x14ac:dyDescent="0.25">
      <c r="A5723" s="418" t="s">
        <v>13262</v>
      </c>
      <c r="B5723">
        <v>36</v>
      </c>
      <c r="C5723" s="309"/>
      <c r="D5723" s="310"/>
    </row>
    <row r="5724" spans="1:4" x14ac:dyDescent="0.25">
      <c r="A5724" s="418" t="s">
        <v>13263</v>
      </c>
      <c r="B5724">
        <v>40</v>
      </c>
      <c r="C5724" s="309"/>
      <c r="D5724" s="310"/>
    </row>
    <row r="5725" spans="1:4" x14ac:dyDescent="0.25">
      <c r="A5725" s="418" t="s">
        <v>13264</v>
      </c>
      <c r="B5725">
        <v>40</v>
      </c>
      <c r="C5725" s="309"/>
      <c r="D5725" s="310"/>
    </row>
    <row r="5726" spans="1:4" x14ac:dyDescent="0.25">
      <c r="A5726" s="418" t="s">
        <v>13265</v>
      </c>
      <c r="B5726">
        <v>40</v>
      </c>
      <c r="C5726" s="309"/>
      <c r="D5726" s="310"/>
    </row>
    <row r="5727" spans="1:4" x14ac:dyDescent="0.25">
      <c r="A5727" s="418" t="s">
        <v>17262</v>
      </c>
      <c r="B5727">
        <v>40</v>
      </c>
      <c r="C5727" s="309"/>
      <c r="D5727" s="310"/>
    </row>
    <row r="5728" spans="1:4" x14ac:dyDescent="0.25">
      <c r="A5728" s="418" t="s">
        <v>13266</v>
      </c>
      <c r="B5728">
        <v>40</v>
      </c>
      <c r="C5728" s="309"/>
      <c r="D5728" s="310"/>
    </row>
    <row r="5729" spans="1:4" x14ac:dyDescent="0.25">
      <c r="A5729" s="418" t="s">
        <v>13267</v>
      </c>
      <c r="B5729">
        <v>40</v>
      </c>
      <c r="C5729" s="309"/>
      <c r="D5729" s="310"/>
    </row>
    <row r="5730" spans="1:4" x14ac:dyDescent="0.25">
      <c r="A5730" s="418" t="s">
        <v>13268</v>
      </c>
      <c r="B5730">
        <v>40</v>
      </c>
      <c r="C5730" s="309"/>
      <c r="D5730" s="310"/>
    </row>
    <row r="5731" spans="1:4" x14ac:dyDescent="0.25">
      <c r="A5731" s="418" t="s">
        <v>13269</v>
      </c>
      <c r="B5731">
        <v>40</v>
      </c>
      <c r="C5731" s="309"/>
      <c r="D5731" s="310"/>
    </row>
    <row r="5732" spans="1:4" x14ac:dyDescent="0.25">
      <c r="A5732" s="418" t="s">
        <v>15435</v>
      </c>
      <c r="B5732">
        <v>39</v>
      </c>
      <c r="C5732" s="309"/>
      <c r="D5732" s="310"/>
    </row>
    <row r="5733" spans="1:4" x14ac:dyDescent="0.25">
      <c r="A5733" s="418" t="s">
        <v>13270</v>
      </c>
      <c r="B5733">
        <v>40</v>
      </c>
      <c r="C5733" s="309"/>
      <c r="D5733" s="310"/>
    </row>
    <row r="5734" spans="1:4" x14ac:dyDescent="0.25">
      <c r="A5734" s="418" t="s">
        <v>13271</v>
      </c>
      <c r="B5734">
        <v>40</v>
      </c>
      <c r="C5734" s="309"/>
      <c r="D5734" s="310"/>
    </row>
    <row r="5735" spans="1:4" x14ac:dyDescent="0.25">
      <c r="A5735" s="418" t="s">
        <v>13272</v>
      </c>
      <c r="B5735">
        <v>40</v>
      </c>
      <c r="C5735" s="309"/>
      <c r="D5735" s="310"/>
    </row>
    <row r="5736" spans="1:4" x14ac:dyDescent="0.25">
      <c r="A5736" s="418" t="s">
        <v>16339</v>
      </c>
      <c r="B5736">
        <v>36</v>
      </c>
      <c r="C5736" s="309"/>
      <c r="D5736" s="310"/>
    </row>
    <row r="5737" spans="1:4" x14ac:dyDescent="0.25">
      <c r="A5737" s="418" t="s">
        <v>13273</v>
      </c>
      <c r="B5737">
        <v>37</v>
      </c>
      <c r="C5737" s="309"/>
      <c r="D5737" s="310"/>
    </row>
    <row r="5738" spans="1:4" x14ac:dyDescent="0.25">
      <c r="A5738" s="418" t="s">
        <v>13274</v>
      </c>
      <c r="B5738">
        <v>40</v>
      </c>
      <c r="C5738" s="309"/>
      <c r="D5738" s="310"/>
    </row>
    <row r="5739" spans="1:4" x14ac:dyDescent="0.25">
      <c r="A5739" s="418" t="s">
        <v>13275</v>
      </c>
      <c r="B5739">
        <v>37</v>
      </c>
      <c r="C5739" s="309"/>
      <c r="D5739" s="310"/>
    </row>
    <row r="5740" spans="1:4" x14ac:dyDescent="0.25">
      <c r="A5740" s="418" t="s">
        <v>13276</v>
      </c>
      <c r="B5740">
        <v>39</v>
      </c>
      <c r="C5740" s="309"/>
      <c r="D5740" s="310"/>
    </row>
    <row r="5741" spans="1:4" x14ac:dyDescent="0.25">
      <c r="A5741" s="418" t="s">
        <v>13277</v>
      </c>
      <c r="B5741">
        <v>36</v>
      </c>
      <c r="C5741" s="309"/>
      <c r="D5741" s="310"/>
    </row>
    <row r="5742" spans="1:4" x14ac:dyDescent="0.25">
      <c r="A5742" s="418" t="s">
        <v>13278</v>
      </c>
      <c r="B5742">
        <v>40</v>
      </c>
      <c r="C5742" s="309"/>
      <c r="D5742" s="310"/>
    </row>
    <row r="5743" spans="1:4" x14ac:dyDescent="0.25">
      <c r="A5743" s="418" t="s">
        <v>13279</v>
      </c>
      <c r="B5743">
        <v>38</v>
      </c>
      <c r="C5743" s="309"/>
      <c r="D5743" s="310"/>
    </row>
    <row r="5744" spans="1:4" x14ac:dyDescent="0.25">
      <c r="A5744" s="418" t="s">
        <v>13280</v>
      </c>
      <c r="B5744">
        <v>37</v>
      </c>
      <c r="C5744" s="309"/>
      <c r="D5744" s="310"/>
    </row>
    <row r="5745" spans="1:4" x14ac:dyDescent="0.25">
      <c r="A5745" s="418" t="s">
        <v>13281</v>
      </c>
      <c r="B5745">
        <v>37</v>
      </c>
      <c r="C5745" s="309"/>
      <c r="D5745" s="310"/>
    </row>
    <row r="5746" spans="1:4" x14ac:dyDescent="0.25">
      <c r="A5746" s="418" t="s">
        <v>13282</v>
      </c>
      <c r="B5746">
        <v>39</v>
      </c>
      <c r="C5746" s="309"/>
      <c r="D5746" s="310"/>
    </row>
    <row r="5747" spans="1:4" x14ac:dyDescent="0.25">
      <c r="A5747" s="418" t="s">
        <v>13283</v>
      </c>
      <c r="B5747">
        <v>35</v>
      </c>
      <c r="C5747" s="309"/>
      <c r="D5747" s="310"/>
    </row>
    <row r="5748" spans="1:4" x14ac:dyDescent="0.25">
      <c r="A5748" s="418" t="s">
        <v>13284</v>
      </c>
      <c r="B5748">
        <v>39</v>
      </c>
      <c r="C5748" s="309"/>
      <c r="D5748" s="310"/>
    </row>
    <row r="5749" spans="1:4" x14ac:dyDescent="0.25">
      <c r="A5749" s="418" t="s">
        <v>13285</v>
      </c>
      <c r="B5749">
        <v>40</v>
      </c>
      <c r="C5749" s="309"/>
      <c r="D5749" s="310"/>
    </row>
    <row r="5750" spans="1:4" x14ac:dyDescent="0.25">
      <c r="A5750" s="418" t="s">
        <v>13286</v>
      </c>
      <c r="B5750">
        <v>40</v>
      </c>
      <c r="C5750" s="309"/>
      <c r="D5750" s="310"/>
    </row>
    <row r="5751" spans="1:4" x14ac:dyDescent="0.25">
      <c r="A5751" s="418" t="s">
        <v>13287</v>
      </c>
      <c r="B5751">
        <v>39</v>
      </c>
      <c r="C5751" s="309"/>
      <c r="D5751" s="310"/>
    </row>
    <row r="5752" spans="1:4" x14ac:dyDescent="0.25">
      <c r="A5752" s="418" t="s">
        <v>13288</v>
      </c>
      <c r="B5752">
        <v>35</v>
      </c>
      <c r="C5752" s="309"/>
      <c r="D5752" s="310"/>
    </row>
    <row r="5753" spans="1:4" x14ac:dyDescent="0.25">
      <c r="A5753" s="418" t="s">
        <v>13289</v>
      </c>
      <c r="B5753">
        <v>38</v>
      </c>
      <c r="C5753" s="309"/>
      <c r="D5753" s="310"/>
    </row>
    <row r="5754" spans="1:4" x14ac:dyDescent="0.25">
      <c r="A5754" s="418" t="s">
        <v>13290</v>
      </c>
      <c r="B5754">
        <v>36</v>
      </c>
      <c r="C5754" s="309"/>
      <c r="D5754" s="310"/>
    </row>
    <row r="5755" spans="1:4" x14ac:dyDescent="0.25">
      <c r="A5755" s="418" t="s">
        <v>13291</v>
      </c>
      <c r="B5755">
        <v>39</v>
      </c>
      <c r="C5755" s="309"/>
      <c r="D5755" s="310"/>
    </row>
    <row r="5756" spans="1:4" x14ac:dyDescent="0.25">
      <c r="A5756" s="418" t="s">
        <v>13292</v>
      </c>
      <c r="B5756">
        <v>40</v>
      </c>
      <c r="C5756" s="309"/>
      <c r="D5756" s="310"/>
    </row>
    <row r="5757" spans="1:4" x14ac:dyDescent="0.25">
      <c r="A5757" s="418" t="s">
        <v>13293</v>
      </c>
      <c r="B5757">
        <v>38</v>
      </c>
      <c r="C5757" s="309"/>
      <c r="D5757" s="310"/>
    </row>
    <row r="5758" spans="1:4" x14ac:dyDescent="0.25">
      <c r="A5758" s="418" t="s">
        <v>13294</v>
      </c>
      <c r="B5758">
        <v>37</v>
      </c>
      <c r="C5758" s="309"/>
      <c r="D5758" s="310"/>
    </row>
    <row r="5759" spans="1:4" x14ac:dyDescent="0.25">
      <c r="A5759" s="418" t="s">
        <v>15436</v>
      </c>
      <c r="B5759">
        <v>39</v>
      </c>
      <c r="C5759" s="309"/>
      <c r="D5759" s="310"/>
    </row>
    <row r="5760" spans="1:4" x14ac:dyDescent="0.25">
      <c r="A5760" s="418" t="s">
        <v>13295</v>
      </c>
      <c r="B5760">
        <v>40</v>
      </c>
      <c r="C5760" s="309"/>
      <c r="D5760" s="310"/>
    </row>
    <row r="5761" spans="1:4" x14ac:dyDescent="0.25">
      <c r="A5761" s="418" t="s">
        <v>13296</v>
      </c>
      <c r="B5761">
        <v>40</v>
      </c>
      <c r="C5761" s="309"/>
      <c r="D5761" s="310"/>
    </row>
    <row r="5762" spans="1:4" x14ac:dyDescent="0.25">
      <c r="A5762" s="418" t="s">
        <v>13297</v>
      </c>
      <c r="B5762">
        <v>38</v>
      </c>
      <c r="C5762" s="309"/>
      <c r="D5762" s="310"/>
    </row>
    <row r="5763" spans="1:4" x14ac:dyDescent="0.25">
      <c r="A5763" s="418" t="s">
        <v>13298</v>
      </c>
      <c r="B5763">
        <v>40</v>
      </c>
      <c r="C5763" s="309"/>
      <c r="D5763" s="310"/>
    </row>
    <row r="5764" spans="1:4" x14ac:dyDescent="0.25">
      <c r="A5764" s="418" t="s">
        <v>13299</v>
      </c>
      <c r="B5764">
        <v>38</v>
      </c>
      <c r="C5764" s="309"/>
      <c r="D5764" s="310"/>
    </row>
    <row r="5765" spans="1:4" x14ac:dyDescent="0.25">
      <c r="A5765" s="418" t="s">
        <v>13300</v>
      </c>
      <c r="B5765">
        <v>39</v>
      </c>
      <c r="C5765" s="309"/>
      <c r="D5765" s="310"/>
    </row>
    <row r="5766" spans="1:4" x14ac:dyDescent="0.25">
      <c r="A5766" s="418" t="s">
        <v>13301</v>
      </c>
      <c r="B5766">
        <v>40</v>
      </c>
      <c r="C5766" s="309"/>
      <c r="D5766" s="310"/>
    </row>
    <row r="5767" spans="1:4" x14ac:dyDescent="0.25">
      <c r="A5767" s="418" t="s">
        <v>13302</v>
      </c>
      <c r="B5767">
        <v>40</v>
      </c>
      <c r="C5767" s="309"/>
      <c r="D5767" s="310"/>
    </row>
    <row r="5768" spans="1:4" x14ac:dyDescent="0.25">
      <c r="A5768" s="418" t="s">
        <v>13303</v>
      </c>
      <c r="B5768">
        <v>35</v>
      </c>
      <c r="C5768" s="309"/>
      <c r="D5768" s="310"/>
    </row>
    <row r="5769" spans="1:4" x14ac:dyDescent="0.25">
      <c r="A5769" s="418" t="s">
        <v>13304</v>
      </c>
      <c r="B5769">
        <v>40</v>
      </c>
      <c r="C5769" s="309"/>
      <c r="D5769" s="310"/>
    </row>
    <row r="5770" spans="1:4" x14ac:dyDescent="0.25">
      <c r="A5770" s="418" t="s">
        <v>13305</v>
      </c>
      <c r="B5770">
        <v>40</v>
      </c>
      <c r="C5770" s="309"/>
      <c r="D5770" s="310"/>
    </row>
    <row r="5771" spans="1:4" x14ac:dyDescent="0.25">
      <c r="A5771" s="418" t="s">
        <v>13306</v>
      </c>
      <c r="B5771">
        <v>40</v>
      </c>
      <c r="C5771" s="309"/>
      <c r="D5771" s="310"/>
    </row>
    <row r="5772" spans="1:4" x14ac:dyDescent="0.25">
      <c r="A5772" s="418" t="s">
        <v>13307</v>
      </c>
      <c r="B5772">
        <v>38</v>
      </c>
      <c r="C5772" s="309"/>
      <c r="D5772" s="310"/>
    </row>
    <row r="5773" spans="1:4" x14ac:dyDescent="0.25">
      <c r="A5773" s="418" t="s">
        <v>13308</v>
      </c>
      <c r="B5773">
        <v>37</v>
      </c>
      <c r="C5773" s="309"/>
      <c r="D5773" s="310"/>
    </row>
    <row r="5774" spans="1:4" x14ac:dyDescent="0.25">
      <c r="A5774" s="418" t="s">
        <v>13309</v>
      </c>
      <c r="B5774">
        <v>37</v>
      </c>
      <c r="C5774" s="309"/>
      <c r="D5774" s="310"/>
    </row>
    <row r="5775" spans="1:4" x14ac:dyDescent="0.25">
      <c r="A5775" s="418" t="s">
        <v>17263</v>
      </c>
      <c r="B5775">
        <v>31</v>
      </c>
      <c r="C5775" s="309"/>
      <c r="D5775" s="310"/>
    </row>
    <row r="5776" spans="1:4" x14ac:dyDescent="0.25">
      <c r="A5776" s="418" t="s">
        <v>16340</v>
      </c>
      <c r="B5776">
        <v>37</v>
      </c>
      <c r="C5776" s="309"/>
      <c r="D5776" s="310"/>
    </row>
    <row r="5777" spans="1:4" x14ac:dyDescent="0.25">
      <c r="A5777" s="418" t="s">
        <v>13310</v>
      </c>
      <c r="B5777">
        <v>40</v>
      </c>
      <c r="C5777" s="309"/>
      <c r="D5777" s="310"/>
    </row>
    <row r="5778" spans="1:4" x14ac:dyDescent="0.25">
      <c r="A5778" s="418" t="s">
        <v>16595</v>
      </c>
      <c r="B5778">
        <v>40</v>
      </c>
      <c r="C5778" s="309"/>
      <c r="D5778" s="310"/>
    </row>
    <row r="5779" spans="1:4" x14ac:dyDescent="0.25">
      <c r="A5779" s="418" t="s">
        <v>13311</v>
      </c>
      <c r="B5779">
        <v>38</v>
      </c>
      <c r="C5779" s="309"/>
      <c r="D5779" s="310"/>
    </row>
    <row r="5780" spans="1:4" x14ac:dyDescent="0.25">
      <c r="A5780" s="418" t="s">
        <v>15184</v>
      </c>
      <c r="B5780">
        <v>37</v>
      </c>
      <c r="C5780" s="309"/>
      <c r="D5780" s="310"/>
    </row>
    <row r="5781" spans="1:4" x14ac:dyDescent="0.25">
      <c r="A5781" s="418" t="s">
        <v>13312</v>
      </c>
      <c r="B5781">
        <v>40</v>
      </c>
      <c r="C5781" s="309"/>
      <c r="D5781" s="310"/>
    </row>
    <row r="5782" spans="1:4" x14ac:dyDescent="0.25">
      <c r="A5782" s="418" t="s">
        <v>16596</v>
      </c>
      <c r="B5782">
        <v>38</v>
      </c>
      <c r="C5782" s="309"/>
      <c r="D5782" s="310"/>
    </row>
    <row r="5783" spans="1:4" x14ac:dyDescent="0.25">
      <c r="A5783" s="418" t="s">
        <v>13313</v>
      </c>
      <c r="B5783">
        <v>40</v>
      </c>
      <c r="C5783" s="309"/>
      <c r="D5783" s="310"/>
    </row>
    <row r="5784" spans="1:4" x14ac:dyDescent="0.25">
      <c r="A5784" s="418" t="s">
        <v>13314</v>
      </c>
      <c r="B5784">
        <v>40</v>
      </c>
      <c r="C5784" s="309"/>
      <c r="D5784" s="310"/>
    </row>
    <row r="5785" spans="1:4" x14ac:dyDescent="0.25">
      <c r="A5785" s="418" t="s">
        <v>13315</v>
      </c>
      <c r="B5785">
        <v>37</v>
      </c>
      <c r="C5785" s="309"/>
      <c r="D5785" s="310"/>
    </row>
    <row r="5786" spans="1:4" x14ac:dyDescent="0.25">
      <c r="A5786" s="418" t="s">
        <v>15242</v>
      </c>
      <c r="B5786">
        <v>40</v>
      </c>
      <c r="C5786" s="309"/>
      <c r="D5786" s="310"/>
    </row>
    <row r="5787" spans="1:4" x14ac:dyDescent="0.25">
      <c r="A5787" s="418" t="s">
        <v>17264</v>
      </c>
      <c r="B5787">
        <v>40</v>
      </c>
      <c r="C5787" s="309"/>
      <c r="D5787" s="310"/>
    </row>
    <row r="5788" spans="1:4" x14ac:dyDescent="0.25">
      <c r="A5788" s="418" t="s">
        <v>13316</v>
      </c>
      <c r="B5788">
        <v>40</v>
      </c>
      <c r="C5788" s="309"/>
      <c r="D5788" s="310"/>
    </row>
    <row r="5789" spans="1:4" x14ac:dyDescent="0.25">
      <c r="A5789" s="418" t="s">
        <v>15243</v>
      </c>
      <c r="B5789">
        <v>40</v>
      </c>
      <c r="C5789" s="309"/>
      <c r="D5789" s="310"/>
    </row>
    <row r="5790" spans="1:4" x14ac:dyDescent="0.25">
      <c r="A5790" s="418" t="s">
        <v>15573</v>
      </c>
      <c r="B5790">
        <v>38</v>
      </c>
      <c r="C5790" s="309"/>
      <c r="D5790" s="310"/>
    </row>
    <row r="5791" spans="1:4" x14ac:dyDescent="0.25">
      <c r="A5791" s="418" t="s">
        <v>15185</v>
      </c>
      <c r="B5791">
        <v>39</v>
      </c>
      <c r="C5791" s="309"/>
      <c r="D5791" s="310"/>
    </row>
    <row r="5792" spans="1:4" x14ac:dyDescent="0.25">
      <c r="A5792" s="418" t="s">
        <v>15437</v>
      </c>
      <c r="B5792">
        <v>39</v>
      </c>
      <c r="C5792" s="309"/>
      <c r="D5792" s="310"/>
    </row>
    <row r="5793" spans="1:4" x14ac:dyDescent="0.25">
      <c r="A5793" s="418" t="s">
        <v>16597</v>
      </c>
      <c r="B5793">
        <v>40</v>
      </c>
      <c r="C5793" s="309"/>
      <c r="D5793" s="310"/>
    </row>
    <row r="5794" spans="1:4" x14ac:dyDescent="0.25">
      <c r="A5794" s="418" t="s">
        <v>15244</v>
      </c>
      <c r="B5794">
        <v>40</v>
      </c>
      <c r="C5794" s="309"/>
      <c r="D5794" s="310"/>
    </row>
    <row r="5795" spans="1:4" x14ac:dyDescent="0.25">
      <c r="A5795" s="418" t="s">
        <v>15186</v>
      </c>
      <c r="B5795">
        <v>40</v>
      </c>
      <c r="C5795" s="309"/>
      <c r="D5795" s="310"/>
    </row>
    <row r="5796" spans="1:4" x14ac:dyDescent="0.25">
      <c r="A5796" s="418" t="s">
        <v>17265</v>
      </c>
      <c r="B5796">
        <v>40</v>
      </c>
      <c r="C5796" s="309"/>
      <c r="D5796" s="310"/>
    </row>
    <row r="5797" spans="1:4" x14ac:dyDescent="0.25">
      <c r="A5797" s="418" t="s">
        <v>16160</v>
      </c>
      <c r="B5797">
        <v>37</v>
      </c>
      <c r="C5797" s="309"/>
      <c r="D5797" s="310"/>
    </row>
    <row r="5798" spans="1:4" x14ac:dyDescent="0.25">
      <c r="A5798" s="418" t="s">
        <v>16903</v>
      </c>
      <c r="B5798">
        <v>37</v>
      </c>
      <c r="C5798" s="309"/>
      <c r="D5798" s="310"/>
    </row>
    <row r="5799" spans="1:4" x14ac:dyDescent="0.25">
      <c r="A5799" s="418" t="s">
        <v>15574</v>
      </c>
      <c r="B5799">
        <v>40</v>
      </c>
      <c r="C5799" s="309"/>
      <c r="D5799" s="310"/>
    </row>
    <row r="5800" spans="1:4" x14ac:dyDescent="0.25">
      <c r="A5800" s="418" t="s">
        <v>15575</v>
      </c>
      <c r="B5800">
        <v>36</v>
      </c>
      <c r="C5800" s="309"/>
      <c r="D5800" s="310"/>
    </row>
    <row r="5801" spans="1:4" x14ac:dyDescent="0.25">
      <c r="A5801" s="418" t="s">
        <v>16341</v>
      </c>
      <c r="B5801">
        <v>40</v>
      </c>
      <c r="C5801" s="309"/>
      <c r="D5801" s="310"/>
    </row>
    <row r="5802" spans="1:4" x14ac:dyDescent="0.25">
      <c r="A5802" s="418" t="s">
        <v>16598</v>
      </c>
      <c r="B5802">
        <v>39</v>
      </c>
      <c r="C5802" s="309"/>
      <c r="D5802" s="310"/>
    </row>
    <row r="5803" spans="1:4" x14ac:dyDescent="0.25">
      <c r="A5803" s="418" t="s">
        <v>15576</v>
      </c>
      <c r="B5803">
        <v>40</v>
      </c>
      <c r="C5803" s="309"/>
      <c r="D5803" s="310"/>
    </row>
    <row r="5804" spans="1:4" x14ac:dyDescent="0.25">
      <c r="A5804" s="418" t="s">
        <v>17266</v>
      </c>
      <c r="B5804">
        <v>31</v>
      </c>
      <c r="C5804" s="309"/>
      <c r="D5804" s="310"/>
    </row>
    <row r="5805" spans="1:4" x14ac:dyDescent="0.25">
      <c r="A5805" s="418" t="s">
        <v>16599</v>
      </c>
      <c r="B5805">
        <v>40</v>
      </c>
      <c r="C5805" s="309"/>
      <c r="D5805" s="310"/>
    </row>
    <row r="5806" spans="1:4" x14ac:dyDescent="0.25">
      <c r="A5806" s="418" t="s">
        <v>15577</v>
      </c>
      <c r="B5806">
        <v>39</v>
      </c>
      <c r="C5806" s="309"/>
      <c r="D5806" s="310"/>
    </row>
    <row r="5807" spans="1:4" x14ac:dyDescent="0.25">
      <c r="A5807" s="418" t="s">
        <v>16342</v>
      </c>
      <c r="B5807">
        <v>38</v>
      </c>
      <c r="C5807" s="309"/>
      <c r="D5807" s="310"/>
    </row>
    <row r="5808" spans="1:4" x14ac:dyDescent="0.25">
      <c r="A5808" s="418" t="s">
        <v>16600</v>
      </c>
      <c r="B5808">
        <v>34</v>
      </c>
      <c r="C5808" s="309"/>
      <c r="D5808" s="310"/>
    </row>
    <row r="5809" spans="1:4" x14ac:dyDescent="0.25">
      <c r="A5809" s="418" t="s">
        <v>16343</v>
      </c>
      <c r="B5809">
        <v>40</v>
      </c>
      <c r="C5809" s="309"/>
      <c r="D5809" s="310"/>
    </row>
    <row r="5810" spans="1:4" x14ac:dyDescent="0.25">
      <c r="A5810" s="418" t="s">
        <v>16222</v>
      </c>
      <c r="B5810">
        <v>40</v>
      </c>
      <c r="C5810" s="309"/>
      <c r="D5810" s="310"/>
    </row>
    <row r="5811" spans="1:4" x14ac:dyDescent="0.25">
      <c r="A5811" s="418" t="s">
        <v>16904</v>
      </c>
      <c r="B5811">
        <v>37</v>
      </c>
      <c r="C5811" s="309"/>
      <c r="D5811" s="310"/>
    </row>
    <row r="5812" spans="1:4" x14ac:dyDescent="0.25">
      <c r="A5812" s="418" t="s">
        <v>16601</v>
      </c>
      <c r="B5812">
        <v>40</v>
      </c>
      <c r="C5812" s="309"/>
      <c r="D5812" s="310"/>
    </row>
    <row r="5813" spans="1:4" x14ac:dyDescent="0.25">
      <c r="A5813" s="418" t="s">
        <v>16905</v>
      </c>
      <c r="B5813">
        <v>39</v>
      </c>
      <c r="C5813" s="309"/>
      <c r="D5813" s="310"/>
    </row>
    <row r="5814" spans="1:4" x14ac:dyDescent="0.25">
      <c r="A5814" s="418" t="s">
        <v>16906</v>
      </c>
      <c r="B5814">
        <v>40</v>
      </c>
      <c r="C5814" s="309"/>
      <c r="D5814" s="310"/>
    </row>
    <row r="5815" spans="1:4" x14ac:dyDescent="0.25">
      <c r="A5815" s="418" t="s">
        <v>16344</v>
      </c>
      <c r="B5815">
        <v>38</v>
      </c>
      <c r="C5815" s="309"/>
      <c r="D5815" s="310"/>
    </row>
    <row r="5816" spans="1:4" x14ac:dyDescent="0.25">
      <c r="A5816" s="418" t="s">
        <v>16907</v>
      </c>
      <c r="B5816">
        <v>38</v>
      </c>
      <c r="C5816" s="309"/>
      <c r="D5816" s="310"/>
    </row>
    <row r="5817" spans="1:4" x14ac:dyDescent="0.25">
      <c r="A5817" s="418" t="s">
        <v>16345</v>
      </c>
      <c r="B5817">
        <v>33</v>
      </c>
      <c r="C5817" s="309"/>
      <c r="D5817" s="310"/>
    </row>
    <row r="5818" spans="1:4" x14ac:dyDescent="0.25">
      <c r="A5818" s="418" t="s">
        <v>16602</v>
      </c>
      <c r="B5818">
        <v>40</v>
      </c>
      <c r="C5818" s="309"/>
      <c r="D5818" s="310"/>
    </row>
    <row r="5819" spans="1:4" x14ac:dyDescent="0.25">
      <c r="A5819" s="418" t="s">
        <v>16603</v>
      </c>
      <c r="B5819">
        <v>40</v>
      </c>
      <c r="C5819" s="309"/>
      <c r="D5819" s="310"/>
    </row>
    <row r="5820" spans="1:4" x14ac:dyDescent="0.25">
      <c r="A5820" s="418" t="s">
        <v>16346</v>
      </c>
      <c r="B5820">
        <v>37</v>
      </c>
      <c r="C5820" s="309"/>
      <c r="D5820" s="310"/>
    </row>
    <row r="5821" spans="1:4" x14ac:dyDescent="0.25">
      <c r="A5821" s="418" t="s">
        <v>16604</v>
      </c>
      <c r="B5821">
        <v>40</v>
      </c>
      <c r="C5821" s="309"/>
      <c r="D5821" s="310"/>
    </row>
    <row r="5822" spans="1:4" x14ac:dyDescent="0.25">
      <c r="A5822" s="418" t="s">
        <v>16605</v>
      </c>
      <c r="B5822">
        <v>36</v>
      </c>
      <c r="C5822" s="309"/>
      <c r="D5822" s="310"/>
    </row>
    <row r="5823" spans="1:4" x14ac:dyDescent="0.25">
      <c r="A5823" s="418" t="s">
        <v>16908</v>
      </c>
      <c r="B5823">
        <v>38</v>
      </c>
      <c r="C5823" s="309"/>
      <c r="D5823" s="310"/>
    </row>
    <row r="5824" spans="1:4" x14ac:dyDescent="0.25">
      <c r="A5824" s="418" t="s">
        <v>17267</v>
      </c>
      <c r="B5824">
        <v>38</v>
      </c>
      <c r="C5824" s="309"/>
      <c r="D5824" s="310"/>
    </row>
    <row r="5825" spans="1:4" x14ac:dyDescent="0.25">
      <c r="A5825" s="418" t="s">
        <v>16606</v>
      </c>
      <c r="B5825">
        <v>40</v>
      </c>
      <c r="C5825" s="309"/>
      <c r="D5825" s="310"/>
    </row>
    <row r="5826" spans="1:4" x14ac:dyDescent="0.25">
      <c r="A5826" s="418" t="s">
        <v>16607</v>
      </c>
      <c r="B5826">
        <v>40</v>
      </c>
      <c r="C5826" s="309"/>
      <c r="D5826" s="310"/>
    </row>
    <row r="5827" spans="1:4" x14ac:dyDescent="0.25">
      <c r="A5827" s="418" t="s">
        <v>17268</v>
      </c>
      <c r="B5827">
        <v>40</v>
      </c>
      <c r="C5827" s="309"/>
      <c r="D5827" s="310"/>
    </row>
    <row r="5828" spans="1:4" x14ac:dyDescent="0.25">
      <c r="A5828" s="418" t="s">
        <v>16909</v>
      </c>
      <c r="B5828">
        <v>40</v>
      </c>
      <c r="C5828" s="309"/>
      <c r="D5828" s="310"/>
    </row>
    <row r="5829" spans="1:4" x14ac:dyDescent="0.25">
      <c r="A5829" s="418" t="s">
        <v>16910</v>
      </c>
      <c r="B5829">
        <v>40</v>
      </c>
      <c r="C5829" s="309"/>
      <c r="D5829" s="310"/>
    </row>
    <row r="5830" spans="1:4" x14ac:dyDescent="0.25">
      <c r="A5830" s="418" t="s">
        <v>17269</v>
      </c>
      <c r="B5830">
        <v>40</v>
      </c>
      <c r="C5830" s="309"/>
      <c r="D5830" s="310"/>
    </row>
    <row r="5831" spans="1:4" x14ac:dyDescent="0.25">
      <c r="A5831" s="418" t="s">
        <v>16608</v>
      </c>
      <c r="B5831">
        <v>40</v>
      </c>
      <c r="C5831" s="309"/>
      <c r="D5831" s="310"/>
    </row>
    <row r="5832" spans="1:4" x14ac:dyDescent="0.25">
      <c r="A5832" s="418" t="s">
        <v>16609</v>
      </c>
      <c r="B5832">
        <v>40</v>
      </c>
      <c r="C5832" s="309"/>
      <c r="D5832" s="310"/>
    </row>
    <row r="5833" spans="1:4" x14ac:dyDescent="0.25">
      <c r="A5833" s="418" t="s">
        <v>16911</v>
      </c>
      <c r="B5833">
        <v>38</v>
      </c>
      <c r="C5833" s="309"/>
      <c r="D5833" s="310"/>
    </row>
    <row r="5834" spans="1:4" x14ac:dyDescent="0.25">
      <c r="A5834" s="418" t="s">
        <v>17270</v>
      </c>
      <c r="B5834">
        <v>40</v>
      </c>
      <c r="C5834" s="309"/>
      <c r="D5834" s="310"/>
    </row>
    <row r="5835" spans="1:4" x14ac:dyDescent="0.25">
      <c r="A5835" s="418" t="s">
        <v>16912</v>
      </c>
      <c r="B5835">
        <v>40</v>
      </c>
      <c r="C5835" s="309"/>
      <c r="D5835" s="310"/>
    </row>
    <row r="5836" spans="1:4" x14ac:dyDescent="0.25">
      <c r="A5836" s="418" t="s">
        <v>16913</v>
      </c>
      <c r="B5836">
        <v>40</v>
      </c>
      <c r="C5836" s="309"/>
      <c r="D5836" s="310"/>
    </row>
    <row r="5837" spans="1:4" x14ac:dyDescent="0.25">
      <c r="A5837" s="418" t="s">
        <v>16610</v>
      </c>
      <c r="B5837">
        <v>40</v>
      </c>
      <c r="C5837" s="309"/>
      <c r="D5837" s="310"/>
    </row>
    <row r="5838" spans="1:4" x14ac:dyDescent="0.25">
      <c r="A5838" s="418" t="s">
        <v>16914</v>
      </c>
      <c r="B5838">
        <v>38</v>
      </c>
      <c r="C5838" s="309"/>
      <c r="D5838" s="310"/>
    </row>
    <row r="5839" spans="1:4" x14ac:dyDescent="0.25">
      <c r="A5839" s="418" t="s">
        <v>17271</v>
      </c>
      <c r="B5839">
        <v>40</v>
      </c>
      <c r="C5839" s="309"/>
      <c r="D5839" s="310"/>
    </row>
    <row r="5840" spans="1:4" x14ac:dyDescent="0.25">
      <c r="A5840" s="418" t="s">
        <v>16611</v>
      </c>
      <c r="B5840">
        <v>40</v>
      </c>
      <c r="C5840" s="309"/>
      <c r="D5840" s="310"/>
    </row>
    <row r="5841" spans="1:4" x14ac:dyDescent="0.25">
      <c r="A5841" s="418" t="s">
        <v>17272</v>
      </c>
      <c r="B5841">
        <v>39</v>
      </c>
      <c r="C5841" s="309"/>
      <c r="D5841" s="310"/>
    </row>
    <row r="5842" spans="1:4" x14ac:dyDescent="0.25">
      <c r="A5842" s="418" t="s">
        <v>17273</v>
      </c>
      <c r="B5842">
        <v>40</v>
      </c>
      <c r="C5842" s="309"/>
      <c r="D5842" s="310"/>
    </row>
    <row r="5843" spans="1:4" x14ac:dyDescent="0.25">
      <c r="A5843" s="418" t="s">
        <v>17274</v>
      </c>
      <c r="B5843">
        <v>40</v>
      </c>
      <c r="C5843" s="309"/>
      <c r="D5843" s="310"/>
    </row>
    <row r="5844" spans="1:4" x14ac:dyDescent="0.25">
      <c r="A5844" s="418" t="s">
        <v>17275</v>
      </c>
      <c r="B5844">
        <v>40</v>
      </c>
      <c r="C5844" s="309"/>
      <c r="D5844" s="310"/>
    </row>
    <row r="5845" spans="1:4" x14ac:dyDescent="0.25">
      <c r="A5845" s="418" t="s">
        <v>17276</v>
      </c>
      <c r="B5845">
        <v>38</v>
      </c>
      <c r="C5845" s="309"/>
      <c r="D5845" s="310"/>
    </row>
    <row r="5846" spans="1:4" x14ac:dyDescent="0.25">
      <c r="A5846" s="418" t="s">
        <v>17277</v>
      </c>
      <c r="B5846">
        <v>35</v>
      </c>
      <c r="C5846" s="309"/>
      <c r="D5846" s="310"/>
    </row>
    <row r="5847" spans="1:4" x14ac:dyDescent="0.25">
      <c r="A5847" s="418" t="s">
        <v>17278</v>
      </c>
      <c r="B5847">
        <v>40</v>
      </c>
      <c r="C5847" s="309"/>
      <c r="D5847" s="310"/>
    </row>
    <row r="5848" spans="1:4" x14ac:dyDescent="0.25">
      <c r="A5848" s="418" t="s">
        <v>13317</v>
      </c>
      <c r="B5848">
        <v>26</v>
      </c>
      <c r="C5848" s="309"/>
      <c r="D5848" s="310"/>
    </row>
    <row r="5849" spans="1:4" x14ac:dyDescent="0.25">
      <c r="A5849" s="418" t="s">
        <v>13318</v>
      </c>
      <c r="B5849">
        <v>26</v>
      </c>
      <c r="C5849" s="309"/>
      <c r="D5849" s="310"/>
    </row>
    <row r="5850" spans="1:4" x14ac:dyDescent="0.25">
      <c r="A5850" s="418" t="s">
        <v>13319</v>
      </c>
      <c r="B5850">
        <v>19</v>
      </c>
      <c r="C5850" s="309"/>
      <c r="D5850" s="310"/>
    </row>
    <row r="5851" spans="1:4" x14ac:dyDescent="0.25">
      <c r="A5851" s="418" t="s">
        <v>13320</v>
      </c>
      <c r="B5851">
        <v>26</v>
      </c>
      <c r="C5851" s="309"/>
      <c r="D5851" s="310"/>
    </row>
    <row r="5852" spans="1:4" x14ac:dyDescent="0.25">
      <c r="A5852" s="418" t="s">
        <v>13321</v>
      </c>
      <c r="B5852">
        <v>29</v>
      </c>
      <c r="C5852" s="309"/>
      <c r="D5852" s="310"/>
    </row>
    <row r="5853" spans="1:4" x14ac:dyDescent="0.25">
      <c r="A5853" s="418" t="s">
        <v>13322</v>
      </c>
      <c r="B5853">
        <v>27</v>
      </c>
      <c r="C5853" s="309"/>
      <c r="D5853" s="310"/>
    </row>
    <row r="5854" spans="1:4" x14ac:dyDescent="0.25">
      <c r="A5854" s="418" t="s">
        <v>13323</v>
      </c>
      <c r="B5854">
        <v>29</v>
      </c>
      <c r="C5854" s="309"/>
      <c r="D5854" s="310"/>
    </row>
    <row r="5855" spans="1:4" x14ac:dyDescent="0.25">
      <c r="A5855" s="418" t="s">
        <v>13324</v>
      </c>
      <c r="B5855">
        <v>26</v>
      </c>
      <c r="C5855" s="309"/>
      <c r="D5855" s="310"/>
    </row>
    <row r="5856" spans="1:4" x14ac:dyDescent="0.25">
      <c r="A5856" s="418" t="s">
        <v>13325</v>
      </c>
      <c r="B5856">
        <v>25</v>
      </c>
      <c r="C5856" s="309"/>
      <c r="D5856" s="310"/>
    </row>
    <row r="5857" spans="1:4" x14ac:dyDescent="0.25">
      <c r="A5857" s="418" t="s">
        <v>13326</v>
      </c>
      <c r="B5857">
        <v>25</v>
      </c>
      <c r="C5857" s="309"/>
      <c r="D5857" s="310"/>
    </row>
    <row r="5858" spans="1:4" x14ac:dyDescent="0.25">
      <c r="A5858" s="418" t="s">
        <v>13327</v>
      </c>
      <c r="B5858">
        <v>25</v>
      </c>
      <c r="C5858" s="309"/>
      <c r="D5858" s="310"/>
    </row>
    <row r="5859" spans="1:4" x14ac:dyDescent="0.25">
      <c r="A5859" s="418" t="s">
        <v>13328</v>
      </c>
      <c r="B5859">
        <v>29</v>
      </c>
      <c r="C5859" s="309"/>
      <c r="D5859" s="310"/>
    </row>
    <row r="5860" spans="1:4" x14ac:dyDescent="0.25">
      <c r="A5860" s="418" t="s">
        <v>13329</v>
      </c>
      <c r="B5860">
        <v>22</v>
      </c>
      <c r="C5860" s="309"/>
      <c r="D5860" s="310"/>
    </row>
    <row r="5861" spans="1:4" x14ac:dyDescent="0.25">
      <c r="A5861" s="418" t="s">
        <v>13330</v>
      </c>
      <c r="B5861">
        <v>26</v>
      </c>
      <c r="C5861" s="309"/>
      <c r="D5861" s="310"/>
    </row>
    <row r="5862" spans="1:4" x14ac:dyDescent="0.25">
      <c r="A5862" s="418" t="s">
        <v>13331</v>
      </c>
      <c r="B5862">
        <v>25</v>
      </c>
      <c r="C5862" s="309"/>
      <c r="D5862" s="310"/>
    </row>
    <row r="5863" spans="1:4" x14ac:dyDescent="0.25">
      <c r="A5863" s="418" t="s">
        <v>13332</v>
      </c>
      <c r="B5863">
        <v>25</v>
      </c>
      <c r="C5863" s="309"/>
      <c r="D5863" s="310"/>
    </row>
    <row r="5864" spans="1:4" x14ac:dyDescent="0.25">
      <c r="A5864" s="418" t="s">
        <v>13333</v>
      </c>
      <c r="B5864">
        <v>24</v>
      </c>
      <c r="C5864" s="309"/>
      <c r="D5864" s="310"/>
    </row>
    <row r="5865" spans="1:4" x14ac:dyDescent="0.25">
      <c r="A5865" s="418" t="s">
        <v>13334</v>
      </c>
      <c r="B5865">
        <v>21</v>
      </c>
      <c r="C5865" s="309"/>
      <c r="D5865" s="310"/>
    </row>
    <row r="5866" spans="1:4" x14ac:dyDescent="0.25">
      <c r="A5866" s="418" t="s">
        <v>13335</v>
      </c>
      <c r="B5866">
        <v>29</v>
      </c>
      <c r="C5866" s="309"/>
      <c r="D5866" s="310"/>
    </row>
    <row r="5867" spans="1:4" x14ac:dyDescent="0.25">
      <c r="A5867" s="418" t="s">
        <v>13336</v>
      </c>
      <c r="B5867">
        <v>25</v>
      </c>
      <c r="C5867" s="309"/>
      <c r="D5867" s="310"/>
    </row>
    <row r="5868" spans="1:4" x14ac:dyDescent="0.25">
      <c r="A5868" s="418" t="s">
        <v>13337</v>
      </c>
      <c r="B5868">
        <v>21</v>
      </c>
      <c r="C5868" s="309"/>
      <c r="D5868" s="310"/>
    </row>
    <row r="5869" spans="1:4" x14ac:dyDescent="0.25">
      <c r="A5869" s="418" t="s">
        <v>13338</v>
      </c>
      <c r="B5869">
        <v>18</v>
      </c>
      <c r="C5869" s="309"/>
      <c r="D5869" s="310"/>
    </row>
    <row r="5870" spans="1:4" x14ac:dyDescent="0.25">
      <c r="A5870" s="418" t="s">
        <v>13339</v>
      </c>
      <c r="B5870">
        <v>24</v>
      </c>
      <c r="C5870" s="309"/>
      <c r="D5870" s="310"/>
    </row>
    <row r="5871" spans="1:4" x14ac:dyDescent="0.25">
      <c r="A5871" s="418" t="s">
        <v>13340</v>
      </c>
      <c r="B5871">
        <v>27</v>
      </c>
      <c r="C5871" s="309"/>
      <c r="D5871" s="310"/>
    </row>
    <row r="5872" spans="1:4" x14ac:dyDescent="0.25">
      <c r="A5872" s="418" t="s">
        <v>13341</v>
      </c>
      <c r="B5872">
        <v>27</v>
      </c>
      <c r="C5872" s="309"/>
      <c r="D5872" s="310"/>
    </row>
    <row r="5873" spans="1:4" x14ac:dyDescent="0.25">
      <c r="A5873" s="418" t="s">
        <v>13342</v>
      </c>
      <c r="B5873">
        <v>24</v>
      </c>
      <c r="C5873" s="309"/>
      <c r="D5873" s="310"/>
    </row>
    <row r="5874" spans="1:4" x14ac:dyDescent="0.25">
      <c r="A5874" s="418" t="s">
        <v>13343</v>
      </c>
      <c r="B5874">
        <v>26</v>
      </c>
      <c r="C5874" s="309"/>
      <c r="D5874" s="310"/>
    </row>
    <row r="5875" spans="1:4" x14ac:dyDescent="0.25">
      <c r="A5875" s="418" t="s">
        <v>13344</v>
      </c>
      <c r="B5875">
        <v>25</v>
      </c>
      <c r="C5875" s="309"/>
      <c r="D5875" s="310"/>
    </row>
    <row r="5876" spans="1:4" x14ac:dyDescent="0.25">
      <c r="A5876" s="418" t="s">
        <v>13345</v>
      </c>
      <c r="B5876">
        <v>22</v>
      </c>
      <c r="C5876" s="309"/>
      <c r="D5876" s="310"/>
    </row>
    <row r="5877" spans="1:4" x14ac:dyDescent="0.25">
      <c r="A5877" s="418" t="s">
        <v>13346</v>
      </c>
      <c r="B5877">
        <v>23</v>
      </c>
      <c r="C5877" s="309"/>
      <c r="D5877" s="310"/>
    </row>
    <row r="5878" spans="1:4" x14ac:dyDescent="0.25">
      <c r="A5878" s="418" t="s">
        <v>13347</v>
      </c>
      <c r="B5878">
        <v>28</v>
      </c>
      <c r="C5878" s="309"/>
      <c r="D5878" s="310"/>
    </row>
    <row r="5879" spans="1:4" x14ac:dyDescent="0.25">
      <c r="A5879" s="418" t="s">
        <v>13348</v>
      </c>
      <c r="B5879">
        <v>26</v>
      </c>
      <c r="C5879" s="309"/>
      <c r="D5879" s="310"/>
    </row>
    <row r="5880" spans="1:4" x14ac:dyDescent="0.25">
      <c r="A5880" s="418" t="s">
        <v>13349</v>
      </c>
      <c r="B5880">
        <v>27</v>
      </c>
      <c r="C5880" s="309"/>
      <c r="D5880" s="310"/>
    </row>
    <row r="5881" spans="1:4" x14ac:dyDescent="0.25">
      <c r="A5881" s="418" t="s">
        <v>13350</v>
      </c>
      <c r="B5881">
        <v>27</v>
      </c>
      <c r="C5881" s="309"/>
      <c r="D5881" s="310"/>
    </row>
    <row r="5882" spans="1:4" x14ac:dyDescent="0.25">
      <c r="A5882" s="418" t="s">
        <v>13351</v>
      </c>
      <c r="B5882">
        <v>30</v>
      </c>
      <c r="C5882" s="309"/>
      <c r="D5882" s="310"/>
    </row>
    <row r="5883" spans="1:4" x14ac:dyDescent="0.25">
      <c r="A5883" s="418" t="s">
        <v>13352</v>
      </c>
      <c r="B5883">
        <v>29</v>
      </c>
      <c r="C5883" s="309"/>
      <c r="D5883" s="310"/>
    </row>
    <row r="5884" spans="1:4" x14ac:dyDescent="0.25">
      <c r="A5884" s="418" t="s">
        <v>13353</v>
      </c>
      <c r="B5884">
        <v>25</v>
      </c>
      <c r="C5884" s="309"/>
      <c r="D5884" s="310"/>
    </row>
    <row r="5885" spans="1:4" x14ac:dyDescent="0.25">
      <c r="A5885" s="418" t="s">
        <v>13354</v>
      </c>
      <c r="B5885">
        <v>28</v>
      </c>
      <c r="C5885" s="309"/>
      <c r="D5885" s="310"/>
    </row>
    <row r="5886" spans="1:4" x14ac:dyDescent="0.25">
      <c r="A5886" s="418" t="s">
        <v>13355</v>
      </c>
      <c r="B5886">
        <v>30</v>
      </c>
      <c r="C5886" s="309"/>
      <c r="D5886" s="310"/>
    </row>
    <row r="5887" spans="1:4" x14ac:dyDescent="0.25">
      <c r="A5887" s="418" t="s">
        <v>13356</v>
      </c>
      <c r="B5887">
        <v>28</v>
      </c>
      <c r="C5887" s="309"/>
      <c r="D5887" s="310"/>
    </row>
    <row r="5888" spans="1:4" x14ac:dyDescent="0.25">
      <c r="A5888" s="418" t="s">
        <v>13357</v>
      </c>
      <c r="B5888">
        <v>23</v>
      </c>
      <c r="C5888" s="309"/>
      <c r="D5888" s="310"/>
    </row>
    <row r="5889" spans="1:4" x14ac:dyDescent="0.25">
      <c r="A5889" s="418" t="s">
        <v>13358</v>
      </c>
      <c r="B5889">
        <v>28</v>
      </c>
      <c r="C5889" s="309"/>
      <c r="D5889" s="310"/>
    </row>
    <row r="5890" spans="1:4" x14ac:dyDescent="0.25">
      <c r="A5890" s="418" t="s">
        <v>13359</v>
      </c>
      <c r="B5890">
        <v>27</v>
      </c>
      <c r="C5890" s="309"/>
      <c r="D5890" s="310"/>
    </row>
    <row r="5891" spans="1:4" x14ac:dyDescent="0.25">
      <c r="A5891" s="418" t="s">
        <v>13360</v>
      </c>
      <c r="B5891">
        <v>29</v>
      </c>
      <c r="C5891" s="309"/>
      <c r="D5891" s="310"/>
    </row>
    <row r="5892" spans="1:4" x14ac:dyDescent="0.25">
      <c r="A5892" s="418" t="s">
        <v>13361</v>
      </c>
      <c r="B5892">
        <v>25</v>
      </c>
      <c r="C5892" s="309"/>
      <c r="D5892" s="310"/>
    </row>
    <row r="5893" spans="1:4" x14ac:dyDescent="0.25">
      <c r="A5893" s="418" t="s">
        <v>13362</v>
      </c>
      <c r="B5893">
        <v>27</v>
      </c>
      <c r="C5893" s="309"/>
      <c r="D5893" s="310"/>
    </row>
    <row r="5894" spans="1:4" x14ac:dyDescent="0.25">
      <c r="A5894" s="418" t="s">
        <v>13363</v>
      </c>
      <c r="B5894">
        <v>22</v>
      </c>
      <c r="C5894" s="309"/>
      <c r="D5894" s="310"/>
    </row>
    <row r="5895" spans="1:4" x14ac:dyDescent="0.25">
      <c r="A5895" s="418" t="s">
        <v>13364</v>
      </c>
      <c r="B5895">
        <v>24</v>
      </c>
      <c r="C5895" s="309"/>
      <c r="D5895" s="310"/>
    </row>
    <row r="5896" spans="1:4" x14ac:dyDescent="0.25">
      <c r="A5896" s="418" t="s">
        <v>13365</v>
      </c>
      <c r="B5896">
        <v>27</v>
      </c>
      <c r="C5896" s="309"/>
      <c r="D5896" s="310"/>
    </row>
    <row r="5897" spans="1:4" x14ac:dyDescent="0.25">
      <c r="A5897" s="418" t="s">
        <v>13366</v>
      </c>
      <c r="B5897">
        <v>29</v>
      </c>
      <c r="C5897" s="309"/>
      <c r="D5897" s="310"/>
    </row>
    <row r="5898" spans="1:4" x14ac:dyDescent="0.25">
      <c r="A5898" s="418" t="s">
        <v>13367</v>
      </c>
      <c r="B5898">
        <v>26</v>
      </c>
      <c r="C5898" s="309"/>
      <c r="D5898" s="310"/>
    </row>
    <row r="5899" spans="1:4" x14ac:dyDescent="0.25">
      <c r="A5899" s="418" t="s">
        <v>13368</v>
      </c>
      <c r="B5899">
        <v>28</v>
      </c>
      <c r="C5899" s="309"/>
      <c r="D5899" s="310"/>
    </row>
    <row r="5900" spans="1:4" x14ac:dyDescent="0.25">
      <c r="A5900" s="418" t="s">
        <v>13369</v>
      </c>
      <c r="B5900">
        <v>21</v>
      </c>
      <c r="C5900" s="309"/>
      <c r="D5900" s="310"/>
    </row>
    <row r="5901" spans="1:4" x14ac:dyDescent="0.25">
      <c r="A5901" s="418" t="s">
        <v>13370</v>
      </c>
      <c r="B5901">
        <v>29</v>
      </c>
      <c r="C5901" s="309"/>
      <c r="D5901" s="310"/>
    </row>
    <row r="5902" spans="1:4" x14ac:dyDescent="0.25">
      <c r="A5902" s="418" t="s">
        <v>13371</v>
      </c>
      <c r="B5902">
        <v>25</v>
      </c>
      <c r="C5902" s="309"/>
      <c r="D5902" s="310"/>
    </row>
    <row r="5903" spans="1:4" x14ac:dyDescent="0.25">
      <c r="A5903" s="418" t="s">
        <v>13372</v>
      </c>
      <c r="B5903">
        <v>25.5</v>
      </c>
      <c r="C5903" s="309"/>
      <c r="D5903" s="310"/>
    </row>
    <row r="5904" spans="1:4" x14ac:dyDescent="0.25">
      <c r="A5904" s="418" t="s">
        <v>13373</v>
      </c>
      <c r="B5904">
        <v>25</v>
      </c>
      <c r="C5904" s="309"/>
      <c r="D5904" s="310"/>
    </row>
    <row r="5905" spans="1:4" x14ac:dyDescent="0.25">
      <c r="A5905" s="418" t="s">
        <v>13374</v>
      </c>
      <c r="B5905">
        <v>23.5</v>
      </c>
      <c r="C5905" s="309"/>
      <c r="D5905" s="310"/>
    </row>
    <row r="5906" spans="1:4" x14ac:dyDescent="0.25">
      <c r="A5906" s="418" t="s">
        <v>13375</v>
      </c>
      <c r="B5906">
        <v>25</v>
      </c>
      <c r="C5906" s="309"/>
      <c r="D5906" s="310"/>
    </row>
    <row r="5907" spans="1:4" x14ac:dyDescent="0.25">
      <c r="A5907" s="418" t="s">
        <v>13376</v>
      </c>
      <c r="B5907">
        <v>28</v>
      </c>
      <c r="C5907" s="309"/>
      <c r="D5907" s="310"/>
    </row>
    <row r="5908" spans="1:4" x14ac:dyDescent="0.25">
      <c r="A5908" s="418" t="s">
        <v>13377</v>
      </c>
      <c r="B5908">
        <v>27</v>
      </c>
      <c r="C5908" s="309"/>
      <c r="D5908" s="310"/>
    </row>
    <row r="5909" spans="1:4" x14ac:dyDescent="0.25">
      <c r="A5909" s="418" t="s">
        <v>13378</v>
      </c>
      <c r="B5909">
        <v>25</v>
      </c>
      <c r="C5909" s="309"/>
      <c r="D5909" s="310"/>
    </row>
    <row r="5910" spans="1:4" x14ac:dyDescent="0.25">
      <c r="A5910" s="418" t="s">
        <v>13379</v>
      </c>
      <c r="B5910">
        <v>30</v>
      </c>
      <c r="C5910" s="309"/>
      <c r="D5910" s="310"/>
    </row>
    <row r="5911" spans="1:4" x14ac:dyDescent="0.25">
      <c r="A5911" s="418" t="s">
        <v>13380</v>
      </c>
      <c r="B5911">
        <v>30</v>
      </c>
      <c r="C5911" s="309"/>
      <c r="D5911" s="310"/>
    </row>
    <row r="5912" spans="1:4" x14ac:dyDescent="0.25">
      <c r="A5912" s="418" t="s">
        <v>13381</v>
      </c>
      <c r="B5912">
        <v>28</v>
      </c>
      <c r="C5912" s="309"/>
      <c r="D5912" s="310"/>
    </row>
    <row r="5913" spans="1:4" x14ac:dyDescent="0.25">
      <c r="A5913" s="418" t="s">
        <v>13382</v>
      </c>
      <c r="B5913">
        <v>30</v>
      </c>
      <c r="C5913" s="309"/>
      <c r="D5913" s="310"/>
    </row>
    <row r="5914" spans="1:4" x14ac:dyDescent="0.25">
      <c r="A5914" s="418" t="s">
        <v>13383</v>
      </c>
      <c r="B5914">
        <v>27</v>
      </c>
      <c r="C5914" s="309"/>
      <c r="D5914" s="310"/>
    </row>
    <row r="5915" spans="1:4" x14ac:dyDescent="0.25">
      <c r="A5915" s="418" t="s">
        <v>13384</v>
      </c>
      <c r="B5915">
        <v>28</v>
      </c>
      <c r="C5915" s="309"/>
      <c r="D5915" s="310"/>
    </row>
    <row r="5916" spans="1:4" x14ac:dyDescent="0.25">
      <c r="A5916" s="418" t="s">
        <v>13385</v>
      </c>
      <c r="B5916">
        <v>28</v>
      </c>
      <c r="C5916" s="309"/>
      <c r="D5916" s="310"/>
    </row>
    <row r="5917" spans="1:4" x14ac:dyDescent="0.25">
      <c r="A5917" s="418" t="s">
        <v>13386</v>
      </c>
      <c r="B5917">
        <v>28</v>
      </c>
      <c r="C5917" s="309"/>
      <c r="D5917" s="310"/>
    </row>
    <row r="5918" spans="1:4" x14ac:dyDescent="0.25">
      <c r="A5918" s="418" t="s">
        <v>13387</v>
      </c>
      <c r="B5918">
        <v>22</v>
      </c>
      <c r="C5918" s="309"/>
      <c r="D5918" s="310"/>
    </row>
    <row r="5919" spans="1:4" x14ac:dyDescent="0.25">
      <c r="A5919" s="418" t="s">
        <v>13388</v>
      </c>
      <c r="B5919">
        <v>27</v>
      </c>
      <c r="C5919" s="309"/>
      <c r="D5919" s="310"/>
    </row>
    <row r="5920" spans="1:4" x14ac:dyDescent="0.25">
      <c r="A5920" s="418" t="s">
        <v>13389</v>
      </c>
      <c r="B5920">
        <v>30</v>
      </c>
      <c r="C5920" s="309"/>
      <c r="D5920" s="310"/>
    </row>
    <row r="5921" spans="1:4" x14ac:dyDescent="0.25">
      <c r="A5921" s="418" t="s">
        <v>13390</v>
      </c>
      <c r="B5921">
        <v>28</v>
      </c>
      <c r="C5921" s="309"/>
      <c r="D5921" s="310"/>
    </row>
    <row r="5922" spans="1:4" x14ac:dyDescent="0.25">
      <c r="A5922" s="418" t="s">
        <v>13391</v>
      </c>
      <c r="B5922">
        <v>26</v>
      </c>
      <c r="C5922" s="309"/>
      <c r="D5922" s="310"/>
    </row>
    <row r="5923" spans="1:4" x14ac:dyDescent="0.25">
      <c r="A5923" s="418" t="s">
        <v>13392</v>
      </c>
      <c r="B5923">
        <v>29</v>
      </c>
      <c r="C5923" s="309"/>
      <c r="D5923" s="310"/>
    </row>
    <row r="5924" spans="1:4" x14ac:dyDescent="0.25">
      <c r="A5924" s="418" t="s">
        <v>13393</v>
      </c>
      <c r="B5924">
        <v>26</v>
      </c>
      <c r="C5924" s="309"/>
      <c r="D5924" s="310"/>
    </row>
    <row r="5925" spans="1:4" x14ac:dyDescent="0.25">
      <c r="A5925" s="418" t="s">
        <v>13394</v>
      </c>
      <c r="B5925">
        <v>30</v>
      </c>
      <c r="C5925" s="309"/>
      <c r="D5925" s="310"/>
    </row>
    <row r="5926" spans="1:4" x14ac:dyDescent="0.25">
      <c r="A5926" s="418" t="s">
        <v>13395</v>
      </c>
      <c r="B5926">
        <v>26</v>
      </c>
      <c r="C5926" s="309"/>
      <c r="D5926" s="310"/>
    </row>
    <row r="5927" spans="1:4" x14ac:dyDescent="0.25">
      <c r="A5927" s="418" t="s">
        <v>13396</v>
      </c>
      <c r="B5927">
        <v>30</v>
      </c>
      <c r="C5927" s="309"/>
      <c r="D5927" s="310"/>
    </row>
    <row r="5928" spans="1:4" x14ac:dyDescent="0.25">
      <c r="A5928" s="418" t="s">
        <v>13397</v>
      </c>
      <c r="B5928">
        <v>28</v>
      </c>
      <c r="C5928" s="309"/>
      <c r="D5928" s="310"/>
    </row>
    <row r="5929" spans="1:4" x14ac:dyDescent="0.25">
      <c r="A5929" s="418" t="s">
        <v>13398</v>
      </c>
      <c r="B5929">
        <v>23</v>
      </c>
      <c r="C5929" s="309"/>
      <c r="D5929" s="310"/>
    </row>
    <row r="5930" spans="1:4" x14ac:dyDescent="0.25">
      <c r="A5930" s="418" t="s">
        <v>13399</v>
      </c>
      <c r="B5930">
        <v>29</v>
      </c>
      <c r="C5930" s="309"/>
      <c r="D5930" s="310"/>
    </row>
    <row r="5931" spans="1:4" x14ac:dyDescent="0.25">
      <c r="A5931" s="418" t="s">
        <v>13400</v>
      </c>
      <c r="B5931">
        <v>24</v>
      </c>
      <c r="C5931" s="309"/>
      <c r="D5931" s="310"/>
    </row>
    <row r="5932" spans="1:4" x14ac:dyDescent="0.25">
      <c r="A5932" s="418" t="s">
        <v>13401</v>
      </c>
      <c r="B5932">
        <v>26</v>
      </c>
      <c r="C5932" s="309"/>
      <c r="D5932" s="310"/>
    </row>
    <row r="5933" spans="1:4" x14ac:dyDescent="0.25">
      <c r="A5933" s="418" t="s">
        <v>13402</v>
      </c>
      <c r="B5933">
        <v>25</v>
      </c>
      <c r="C5933" s="309"/>
      <c r="D5933" s="310"/>
    </row>
    <row r="5934" spans="1:4" x14ac:dyDescent="0.25">
      <c r="A5934" s="418" t="s">
        <v>13403</v>
      </c>
      <c r="B5934">
        <v>25</v>
      </c>
      <c r="C5934" s="309"/>
      <c r="D5934" s="310"/>
    </row>
    <row r="5935" spans="1:4" x14ac:dyDescent="0.25">
      <c r="A5935" s="418" t="s">
        <v>13404</v>
      </c>
      <c r="B5935">
        <v>26</v>
      </c>
      <c r="C5935" s="309"/>
      <c r="D5935" s="310"/>
    </row>
    <row r="5936" spans="1:4" x14ac:dyDescent="0.25">
      <c r="A5936" s="418" t="s">
        <v>13405</v>
      </c>
      <c r="B5936">
        <v>30</v>
      </c>
      <c r="C5936" s="309"/>
      <c r="D5936" s="310"/>
    </row>
    <row r="5937" spans="1:4" x14ac:dyDescent="0.25">
      <c r="A5937" s="418" t="s">
        <v>13406</v>
      </c>
      <c r="B5937">
        <v>29</v>
      </c>
      <c r="C5937" s="309"/>
      <c r="D5937" s="310"/>
    </row>
    <row r="5938" spans="1:4" x14ac:dyDescent="0.25">
      <c r="A5938" s="418" t="s">
        <v>13407</v>
      </c>
      <c r="B5938">
        <v>27</v>
      </c>
      <c r="C5938" s="309"/>
      <c r="D5938" s="310"/>
    </row>
    <row r="5939" spans="1:4" x14ac:dyDescent="0.25">
      <c r="A5939" s="418" t="s">
        <v>13408</v>
      </c>
      <c r="B5939">
        <v>26</v>
      </c>
      <c r="C5939" s="309"/>
      <c r="D5939" s="310"/>
    </row>
    <row r="5940" spans="1:4" x14ac:dyDescent="0.25">
      <c r="A5940" s="418" t="s">
        <v>13409</v>
      </c>
      <c r="B5940">
        <v>27</v>
      </c>
      <c r="C5940" s="309"/>
      <c r="D5940" s="310"/>
    </row>
    <row r="5941" spans="1:4" x14ac:dyDescent="0.25">
      <c r="A5941" s="418" t="s">
        <v>13410</v>
      </c>
      <c r="B5941">
        <v>30</v>
      </c>
      <c r="C5941" s="309"/>
      <c r="D5941" s="310"/>
    </row>
    <row r="5942" spans="1:4" x14ac:dyDescent="0.25">
      <c r="A5942" s="418" t="s">
        <v>13411</v>
      </c>
      <c r="B5942">
        <v>27</v>
      </c>
      <c r="C5942" s="309"/>
      <c r="D5942" s="310"/>
    </row>
    <row r="5943" spans="1:4" x14ac:dyDescent="0.25">
      <c r="A5943" s="418" t="s">
        <v>13412</v>
      </c>
      <c r="B5943">
        <v>29</v>
      </c>
      <c r="C5943" s="309"/>
      <c r="D5943" s="310"/>
    </row>
    <row r="5944" spans="1:4" x14ac:dyDescent="0.25">
      <c r="A5944" s="418" t="s">
        <v>13413</v>
      </c>
      <c r="B5944">
        <v>30</v>
      </c>
      <c r="C5944" s="309"/>
      <c r="D5944" s="310"/>
    </row>
    <row r="5945" spans="1:4" x14ac:dyDescent="0.25">
      <c r="A5945" s="418" t="s">
        <v>13414</v>
      </c>
      <c r="B5945">
        <v>29</v>
      </c>
      <c r="C5945" s="309"/>
      <c r="D5945" s="310"/>
    </row>
    <row r="5946" spans="1:4" x14ac:dyDescent="0.25">
      <c r="A5946" s="418" t="s">
        <v>13415</v>
      </c>
      <c r="B5946">
        <v>26</v>
      </c>
      <c r="C5946" s="309"/>
      <c r="D5946" s="310"/>
    </row>
    <row r="5947" spans="1:4" x14ac:dyDescent="0.25">
      <c r="A5947" s="418" t="s">
        <v>13416</v>
      </c>
      <c r="B5947">
        <v>27</v>
      </c>
      <c r="C5947" s="309"/>
      <c r="D5947" s="310"/>
    </row>
    <row r="5948" spans="1:4" x14ac:dyDescent="0.25">
      <c r="A5948" s="418" t="s">
        <v>13417</v>
      </c>
      <c r="B5948">
        <v>28</v>
      </c>
      <c r="C5948" s="309"/>
      <c r="D5948" s="310"/>
    </row>
    <row r="5949" spans="1:4" x14ac:dyDescent="0.25">
      <c r="A5949" s="418" t="s">
        <v>13418</v>
      </c>
      <c r="B5949">
        <v>27</v>
      </c>
      <c r="C5949" s="309"/>
      <c r="D5949" s="310"/>
    </row>
    <row r="5950" spans="1:4" x14ac:dyDescent="0.25">
      <c r="A5950" s="418" t="s">
        <v>13419</v>
      </c>
      <c r="B5950">
        <v>27</v>
      </c>
      <c r="C5950" s="309"/>
      <c r="D5950" s="310"/>
    </row>
    <row r="5951" spans="1:4" x14ac:dyDescent="0.25">
      <c r="A5951" s="418" t="s">
        <v>13420</v>
      </c>
      <c r="B5951">
        <v>28</v>
      </c>
      <c r="C5951" s="309"/>
      <c r="D5951" s="310"/>
    </row>
    <row r="5952" spans="1:4" x14ac:dyDescent="0.25">
      <c r="A5952" s="418" t="s">
        <v>13421</v>
      </c>
      <c r="B5952">
        <v>28</v>
      </c>
      <c r="C5952" s="309"/>
      <c r="D5952" s="310"/>
    </row>
    <row r="5953" spans="1:4" x14ac:dyDescent="0.25">
      <c r="A5953" s="418" t="s">
        <v>13422</v>
      </c>
      <c r="B5953">
        <v>29</v>
      </c>
      <c r="C5953" s="309"/>
      <c r="D5953" s="310"/>
    </row>
    <row r="5954" spans="1:4" x14ac:dyDescent="0.25">
      <c r="A5954" s="418" t="s">
        <v>13423</v>
      </c>
      <c r="B5954">
        <v>26</v>
      </c>
      <c r="C5954" s="309"/>
      <c r="D5954" s="310"/>
    </row>
    <row r="5955" spans="1:4" x14ac:dyDescent="0.25">
      <c r="A5955" s="418" t="s">
        <v>13424</v>
      </c>
      <c r="B5955">
        <v>30</v>
      </c>
      <c r="C5955" s="309"/>
      <c r="D5955" s="310"/>
    </row>
    <row r="5956" spans="1:4" x14ac:dyDescent="0.25">
      <c r="A5956" s="418" t="s">
        <v>13425</v>
      </c>
      <c r="B5956">
        <v>29</v>
      </c>
      <c r="C5956" s="309"/>
      <c r="D5956" s="310"/>
    </row>
    <row r="5957" spans="1:4" x14ac:dyDescent="0.25">
      <c r="A5957" s="418" t="s">
        <v>13426</v>
      </c>
      <c r="B5957">
        <v>27</v>
      </c>
      <c r="C5957" s="309"/>
      <c r="D5957" s="310"/>
    </row>
    <row r="5958" spans="1:4" x14ac:dyDescent="0.25">
      <c r="A5958" s="418" t="s">
        <v>13427</v>
      </c>
      <c r="B5958">
        <v>27</v>
      </c>
      <c r="C5958" s="309"/>
      <c r="D5958" s="310"/>
    </row>
    <row r="5959" spans="1:4" x14ac:dyDescent="0.25">
      <c r="A5959" s="418" t="s">
        <v>13428</v>
      </c>
      <c r="B5959">
        <v>25</v>
      </c>
      <c r="C5959" s="309"/>
      <c r="D5959" s="310"/>
    </row>
    <row r="5960" spans="1:4" x14ac:dyDescent="0.25">
      <c r="A5960" s="418" t="s">
        <v>13429</v>
      </c>
      <c r="B5960">
        <v>25</v>
      </c>
      <c r="C5960" s="309"/>
      <c r="D5960" s="310"/>
    </row>
    <row r="5961" spans="1:4" x14ac:dyDescent="0.25">
      <c r="A5961" s="418" t="s">
        <v>13430</v>
      </c>
      <c r="B5961">
        <v>30</v>
      </c>
      <c r="C5961" s="309"/>
      <c r="D5961" s="310"/>
    </row>
    <row r="5962" spans="1:4" x14ac:dyDescent="0.25">
      <c r="A5962" s="418" t="s">
        <v>13431</v>
      </c>
      <c r="B5962">
        <v>30</v>
      </c>
      <c r="C5962" s="309"/>
      <c r="D5962" s="310"/>
    </row>
    <row r="5963" spans="1:4" x14ac:dyDescent="0.25">
      <c r="A5963" s="418" t="s">
        <v>13432</v>
      </c>
      <c r="B5963">
        <v>24</v>
      </c>
      <c r="C5963" s="309"/>
      <c r="D5963" s="310"/>
    </row>
    <row r="5964" spans="1:4" x14ac:dyDescent="0.25">
      <c r="A5964" s="418" t="s">
        <v>13433</v>
      </c>
      <c r="B5964">
        <v>27</v>
      </c>
      <c r="C5964" s="309"/>
      <c r="D5964" s="310"/>
    </row>
    <row r="5965" spans="1:4" x14ac:dyDescent="0.25">
      <c r="A5965" s="418" t="s">
        <v>13434</v>
      </c>
      <c r="B5965">
        <v>26</v>
      </c>
      <c r="C5965" s="309"/>
      <c r="D5965" s="310"/>
    </row>
    <row r="5966" spans="1:4" x14ac:dyDescent="0.25">
      <c r="A5966" s="418" t="s">
        <v>13435</v>
      </c>
      <c r="B5966">
        <v>29</v>
      </c>
      <c r="C5966" s="309"/>
      <c r="D5966" s="310"/>
    </row>
    <row r="5967" spans="1:4" x14ac:dyDescent="0.25">
      <c r="A5967" s="418" t="s">
        <v>13436</v>
      </c>
      <c r="B5967">
        <v>28</v>
      </c>
      <c r="C5967" s="309"/>
      <c r="D5967" s="310"/>
    </row>
    <row r="5968" spans="1:4" x14ac:dyDescent="0.25">
      <c r="A5968" s="418" t="s">
        <v>13437</v>
      </c>
      <c r="B5968">
        <v>29</v>
      </c>
      <c r="C5968" s="309"/>
      <c r="D5968" s="310"/>
    </row>
    <row r="5969" spans="1:4" x14ac:dyDescent="0.25">
      <c r="A5969" s="418" t="s">
        <v>13438</v>
      </c>
      <c r="B5969">
        <v>28</v>
      </c>
      <c r="C5969" s="309"/>
      <c r="D5969" s="310"/>
    </row>
    <row r="5970" spans="1:4" x14ac:dyDescent="0.25">
      <c r="A5970" s="418" t="s">
        <v>13439</v>
      </c>
      <c r="B5970">
        <v>26</v>
      </c>
      <c r="C5970" s="309"/>
      <c r="D5970" s="310"/>
    </row>
    <row r="5971" spans="1:4" x14ac:dyDescent="0.25">
      <c r="A5971" s="418" t="s">
        <v>13440</v>
      </c>
      <c r="B5971">
        <v>28</v>
      </c>
      <c r="C5971" s="309"/>
      <c r="D5971" s="310"/>
    </row>
    <row r="5972" spans="1:4" x14ac:dyDescent="0.25">
      <c r="A5972" s="418" t="s">
        <v>13441</v>
      </c>
      <c r="B5972">
        <v>28</v>
      </c>
      <c r="C5972" s="309"/>
      <c r="D5972" s="310"/>
    </row>
    <row r="5973" spans="1:4" x14ac:dyDescent="0.25">
      <c r="A5973" s="418" t="s">
        <v>13442</v>
      </c>
      <c r="B5973">
        <v>29</v>
      </c>
      <c r="C5973" s="309"/>
      <c r="D5973" s="310"/>
    </row>
    <row r="5974" spans="1:4" x14ac:dyDescent="0.25">
      <c r="A5974" s="418" t="s">
        <v>13443</v>
      </c>
      <c r="B5974">
        <v>29</v>
      </c>
      <c r="C5974" s="309"/>
      <c r="D5974" s="310"/>
    </row>
    <row r="5975" spans="1:4" x14ac:dyDescent="0.25">
      <c r="A5975" s="418" t="s">
        <v>13444</v>
      </c>
      <c r="B5975">
        <v>27</v>
      </c>
      <c r="C5975" s="309"/>
      <c r="D5975" s="310"/>
    </row>
    <row r="5976" spans="1:4" x14ac:dyDescent="0.25">
      <c r="A5976" s="418" t="s">
        <v>13445</v>
      </c>
      <c r="B5976">
        <v>28</v>
      </c>
      <c r="C5976" s="309"/>
      <c r="D5976" s="310"/>
    </row>
    <row r="5977" spans="1:4" x14ac:dyDescent="0.25">
      <c r="A5977" s="418" t="s">
        <v>13446</v>
      </c>
      <c r="B5977">
        <v>30</v>
      </c>
      <c r="C5977" s="309"/>
      <c r="D5977" s="310"/>
    </row>
    <row r="5978" spans="1:4" x14ac:dyDescent="0.25">
      <c r="A5978" s="418" t="s">
        <v>13447</v>
      </c>
      <c r="B5978">
        <v>28</v>
      </c>
      <c r="C5978" s="309"/>
      <c r="D5978" s="310"/>
    </row>
    <row r="5979" spans="1:4" x14ac:dyDescent="0.25">
      <c r="A5979" s="418" t="s">
        <v>13448</v>
      </c>
      <c r="B5979">
        <v>30</v>
      </c>
      <c r="C5979" s="309"/>
      <c r="D5979" s="310"/>
    </row>
    <row r="5980" spans="1:4" x14ac:dyDescent="0.25">
      <c r="A5980" s="418" t="s">
        <v>13449</v>
      </c>
      <c r="B5980">
        <v>30</v>
      </c>
      <c r="C5980" s="309"/>
      <c r="D5980" s="310"/>
    </row>
    <row r="5981" spans="1:4" x14ac:dyDescent="0.25">
      <c r="A5981" s="418" t="s">
        <v>13450</v>
      </c>
      <c r="B5981">
        <v>28</v>
      </c>
      <c r="C5981" s="309"/>
      <c r="D5981" s="310"/>
    </row>
    <row r="5982" spans="1:4" x14ac:dyDescent="0.25">
      <c r="A5982" s="418" t="s">
        <v>13451</v>
      </c>
      <c r="B5982">
        <v>28</v>
      </c>
      <c r="C5982" s="309"/>
      <c r="D5982" s="310"/>
    </row>
    <row r="5983" spans="1:4" x14ac:dyDescent="0.25">
      <c r="A5983" s="418" t="s">
        <v>13452</v>
      </c>
      <c r="B5983">
        <v>28</v>
      </c>
      <c r="C5983" s="309"/>
      <c r="D5983" s="310"/>
    </row>
    <row r="5984" spans="1:4" x14ac:dyDescent="0.25">
      <c r="A5984" s="418" t="s">
        <v>13453</v>
      </c>
      <c r="B5984">
        <v>30</v>
      </c>
      <c r="C5984" s="309"/>
      <c r="D5984" s="310"/>
    </row>
    <row r="5985" spans="1:4" x14ac:dyDescent="0.25">
      <c r="A5985" s="418" t="s">
        <v>13454</v>
      </c>
      <c r="B5985">
        <v>26</v>
      </c>
      <c r="C5985" s="309"/>
      <c r="D5985" s="310"/>
    </row>
    <row r="5986" spans="1:4" x14ac:dyDescent="0.25">
      <c r="A5986" s="418" t="s">
        <v>13455</v>
      </c>
      <c r="B5986">
        <v>29</v>
      </c>
      <c r="C5986" s="309"/>
      <c r="D5986" s="310"/>
    </row>
    <row r="5987" spans="1:4" x14ac:dyDescent="0.25">
      <c r="A5987" s="418" t="s">
        <v>13456</v>
      </c>
      <c r="B5987">
        <v>30</v>
      </c>
      <c r="C5987" s="309"/>
      <c r="D5987" s="310"/>
    </row>
    <row r="5988" spans="1:4" x14ac:dyDescent="0.25">
      <c r="A5988" s="418" t="s">
        <v>13457</v>
      </c>
      <c r="B5988">
        <v>30</v>
      </c>
      <c r="C5988" s="309"/>
      <c r="D5988" s="310"/>
    </row>
    <row r="5989" spans="1:4" x14ac:dyDescent="0.25">
      <c r="A5989" s="418" t="s">
        <v>13458</v>
      </c>
      <c r="B5989">
        <v>30</v>
      </c>
      <c r="C5989" s="309"/>
      <c r="D5989" s="310"/>
    </row>
    <row r="5990" spans="1:4" x14ac:dyDescent="0.25">
      <c r="A5990" s="418" t="s">
        <v>13459</v>
      </c>
      <c r="B5990">
        <v>29</v>
      </c>
      <c r="C5990" s="309"/>
      <c r="D5990" s="310"/>
    </row>
    <row r="5991" spans="1:4" x14ac:dyDescent="0.25">
      <c r="A5991" s="418" t="s">
        <v>13460</v>
      </c>
      <c r="B5991">
        <v>29</v>
      </c>
      <c r="C5991" s="309"/>
      <c r="D5991" s="310"/>
    </row>
    <row r="5992" spans="1:4" x14ac:dyDescent="0.25">
      <c r="A5992" s="418" t="s">
        <v>13461</v>
      </c>
      <c r="B5992">
        <v>27</v>
      </c>
      <c r="C5992" s="309"/>
      <c r="D5992" s="310"/>
    </row>
    <row r="5993" spans="1:4" x14ac:dyDescent="0.25">
      <c r="A5993" s="418" t="s">
        <v>13462</v>
      </c>
      <c r="B5993">
        <v>23</v>
      </c>
      <c r="C5993" s="309"/>
      <c r="D5993" s="310"/>
    </row>
    <row r="5994" spans="1:4" x14ac:dyDescent="0.25">
      <c r="A5994" s="418" t="s">
        <v>13463</v>
      </c>
      <c r="B5994">
        <v>23</v>
      </c>
      <c r="C5994" s="309"/>
      <c r="D5994" s="310"/>
    </row>
    <row r="5995" spans="1:4" x14ac:dyDescent="0.25">
      <c r="A5995" s="418" t="s">
        <v>13464</v>
      </c>
      <c r="B5995">
        <v>30</v>
      </c>
      <c r="C5995" s="309"/>
      <c r="D5995" s="310"/>
    </row>
    <row r="5996" spans="1:4" x14ac:dyDescent="0.25">
      <c r="A5996" s="418" t="s">
        <v>13465</v>
      </c>
      <c r="B5996">
        <v>23</v>
      </c>
      <c r="C5996" s="309"/>
      <c r="D5996" s="310"/>
    </row>
    <row r="5997" spans="1:4" x14ac:dyDescent="0.25">
      <c r="A5997" s="418" t="s">
        <v>13466</v>
      </c>
      <c r="B5997">
        <v>30</v>
      </c>
      <c r="C5997" s="309"/>
      <c r="D5997" s="310"/>
    </row>
    <row r="5998" spans="1:4" x14ac:dyDescent="0.25">
      <c r="A5998" s="418" t="s">
        <v>13467</v>
      </c>
      <c r="B5998">
        <v>29</v>
      </c>
      <c r="C5998" s="309"/>
      <c r="D5998" s="310"/>
    </row>
    <row r="5999" spans="1:4" x14ac:dyDescent="0.25">
      <c r="A5999" s="418" t="s">
        <v>13468</v>
      </c>
      <c r="B5999">
        <v>30</v>
      </c>
      <c r="C5999" s="309"/>
      <c r="D5999" s="310"/>
    </row>
    <row r="6000" spans="1:4" x14ac:dyDescent="0.25">
      <c r="A6000" s="418" t="s">
        <v>13469</v>
      </c>
      <c r="B6000">
        <v>30</v>
      </c>
      <c r="C6000" s="309"/>
      <c r="D6000" s="310"/>
    </row>
    <row r="6001" spans="1:4" x14ac:dyDescent="0.25">
      <c r="A6001" s="418" t="s">
        <v>13470</v>
      </c>
      <c r="B6001">
        <v>28</v>
      </c>
      <c r="C6001" s="309"/>
      <c r="D6001" s="310"/>
    </row>
    <row r="6002" spans="1:4" x14ac:dyDescent="0.25">
      <c r="A6002" s="418" t="s">
        <v>13471</v>
      </c>
      <c r="B6002">
        <v>27</v>
      </c>
      <c r="C6002" s="309"/>
      <c r="D6002" s="310"/>
    </row>
    <row r="6003" spans="1:4" x14ac:dyDescent="0.25">
      <c r="A6003" s="418" t="s">
        <v>13472</v>
      </c>
      <c r="B6003">
        <v>27</v>
      </c>
      <c r="C6003" s="309"/>
      <c r="D6003" s="310"/>
    </row>
    <row r="6004" spans="1:4" x14ac:dyDescent="0.25">
      <c r="A6004" s="418" t="s">
        <v>13473</v>
      </c>
      <c r="B6004">
        <v>26</v>
      </c>
      <c r="C6004" s="309"/>
      <c r="D6004" s="310"/>
    </row>
    <row r="6005" spans="1:4" x14ac:dyDescent="0.25">
      <c r="A6005" s="418" t="s">
        <v>13474</v>
      </c>
      <c r="B6005">
        <v>29</v>
      </c>
      <c r="C6005" s="309"/>
      <c r="D6005" s="310"/>
    </row>
    <row r="6006" spans="1:4" x14ac:dyDescent="0.25">
      <c r="A6006" s="418" t="s">
        <v>13475</v>
      </c>
      <c r="B6006">
        <v>30</v>
      </c>
      <c r="C6006" s="309"/>
      <c r="D6006" s="310"/>
    </row>
    <row r="6007" spans="1:4" x14ac:dyDescent="0.25">
      <c r="A6007" s="418" t="s">
        <v>13476</v>
      </c>
      <c r="B6007">
        <v>26</v>
      </c>
      <c r="C6007" s="309"/>
      <c r="D6007" s="310"/>
    </row>
    <row r="6008" spans="1:4" x14ac:dyDescent="0.25">
      <c r="A6008" s="418" t="s">
        <v>13477</v>
      </c>
      <c r="B6008">
        <v>28</v>
      </c>
      <c r="C6008" s="309"/>
      <c r="D6008" s="310"/>
    </row>
    <row r="6009" spans="1:4" x14ac:dyDescent="0.25">
      <c r="A6009" s="418" t="s">
        <v>13478</v>
      </c>
      <c r="B6009">
        <v>27</v>
      </c>
      <c r="C6009" s="309"/>
      <c r="D6009" s="310"/>
    </row>
    <row r="6010" spans="1:4" x14ac:dyDescent="0.25">
      <c r="A6010" s="418" t="s">
        <v>13479</v>
      </c>
      <c r="B6010">
        <v>26</v>
      </c>
      <c r="C6010" s="309"/>
      <c r="D6010" s="310"/>
    </row>
    <row r="6011" spans="1:4" x14ac:dyDescent="0.25">
      <c r="A6011" s="418" t="s">
        <v>13480</v>
      </c>
      <c r="B6011">
        <v>29</v>
      </c>
      <c r="C6011" s="309"/>
      <c r="D6011" s="310"/>
    </row>
    <row r="6012" spans="1:4" x14ac:dyDescent="0.25">
      <c r="A6012" s="418" t="s">
        <v>13481</v>
      </c>
      <c r="B6012">
        <v>28</v>
      </c>
      <c r="C6012" s="309"/>
      <c r="D6012" s="310"/>
    </row>
    <row r="6013" spans="1:4" x14ac:dyDescent="0.25">
      <c r="A6013" s="418" t="s">
        <v>13482</v>
      </c>
      <c r="B6013">
        <v>30</v>
      </c>
      <c r="C6013" s="309"/>
      <c r="D6013" s="310"/>
    </row>
    <row r="6014" spans="1:4" x14ac:dyDescent="0.25">
      <c r="A6014" s="418" t="s">
        <v>13483</v>
      </c>
      <c r="B6014">
        <v>23</v>
      </c>
      <c r="C6014" s="309"/>
      <c r="D6014" s="310"/>
    </row>
    <row r="6015" spans="1:4" x14ac:dyDescent="0.25">
      <c r="A6015" s="418" t="s">
        <v>13484</v>
      </c>
      <c r="B6015">
        <v>30</v>
      </c>
      <c r="C6015" s="309"/>
      <c r="D6015" s="310"/>
    </row>
    <row r="6016" spans="1:4" x14ac:dyDescent="0.25">
      <c r="A6016" s="418" t="s">
        <v>13485</v>
      </c>
      <c r="B6016">
        <v>28</v>
      </c>
      <c r="C6016" s="309"/>
      <c r="D6016" s="310"/>
    </row>
    <row r="6017" spans="1:4" x14ac:dyDescent="0.25">
      <c r="A6017" s="418" t="s">
        <v>13486</v>
      </c>
      <c r="B6017">
        <v>29</v>
      </c>
      <c r="C6017" s="309"/>
      <c r="D6017" s="310"/>
    </row>
    <row r="6018" spans="1:4" x14ac:dyDescent="0.25">
      <c r="A6018" s="418" t="s">
        <v>13487</v>
      </c>
      <c r="B6018">
        <v>30</v>
      </c>
      <c r="C6018" s="309"/>
      <c r="D6018" s="310"/>
    </row>
    <row r="6019" spans="1:4" x14ac:dyDescent="0.25">
      <c r="A6019" s="418" t="s">
        <v>13488</v>
      </c>
      <c r="B6019">
        <v>26</v>
      </c>
      <c r="C6019" s="309"/>
      <c r="D6019" s="310"/>
    </row>
    <row r="6020" spans="1:4" x14ac:dyDescent="0.25">
      <c r="A6020" s="418" t="s">
        <v>13489</v>
      </c>
      <c r="B6020">
        <v>26</v>
      </c>
      <c r="C6020" s="309"/>
      <c r="D6020" s="310"/>
    </row>
    <row r="6021" spans="1:4" x14ac:dyDescent="0.25">
      <c r="A6021" s="418" t="s">
        <v>13490</v>
      </c>
      <c r="B6021">
        <v>30</v>
      </c>
      <c r="C6021" s="309"/>
      <c r="D6021" s="310"/>
    </row>
    <row r="6022" spans="1:4" x14ac:dyDescent="0.25">
      <c r="A6022" s="418" t="s">
        <v>13491</v>
      </c>
      <c r="B6022">
        <v>29</v>
      </c>
      <c r="C6022" s="309"/>
      <c r="D6022" s="310"/>
    </row>
    <row r="6023" spans="1:4" x14ac:dyDescent="0.25">
      <c r="A6023" s="418" t="s">
        <v>13492</v>
      </c>
      <c r="B6023">
        <v>29</v>
      </c>
      <c r="C6023" s="309"/>
      <c r="D6023" s="310"/>
    </row>
    <row r="6024" spans="1:4" x14ac:dyDescent="0.25">
      <c r="A6024" s="418" t="s">
        <v>13493</v>
      </c>
      <c r="B6024">
        <v>30</v>
      </c>
      <c r="C6024" s="309"/>
      <c r="D6024" s="310"/>
    </row>
    <row r="6025" spans="1:4" x14ac:dyDescent="0.25">
      <c r="A6025" s="418" t="s">
        <v>13494</v>
      </c>
      <c r="B6025">
        <v>30</v>
      </c>
      <c r="C6025" s="309"/>
      <c r="D6025" s="310"/>
    </row>
    <row r="6026" spans="1:4" x14ac:dyDescent="0.25">
      <c r="A6026" s="418" t="s">
        <v>13495</v>
      </c>
      <c r="B6026">
        <v>23</v>
      </c>
      <c r="C6026" s="309"/>
      <c r="D6026" s="310"/>
    </row>
    <row r="6027" spans="1:4" x14ac:dyDescent="0.25">
      <c r="A6027" s="418" t="s">
        <v>13496</v>
      </c>
      <c r="B6027">
        <v>26</v>
      </c>
      <c r="C6027" s="309"/>
      <c r="D6027" s="310"/>
    </row>
    <row r="6028" spans="1:4" x14ac:dyDescent="0.25">
      <c r="A6028" s="418" t="s">
        <v>13497</v>
      </c>
      <c r="B6028">
        <v>30</v>
      </c>
      <c r="C6028" s="309"/>
      <c r="D6028" s="310"/>
    </row>
    <row r="6029" spans="1:4" x14ac:dyDescent="0.25">
      <c r="A6029" s="418" t="s">
        <v>13498</v>
      </c>
      <c r="B6029">
        <v>30</v>
      </c>
      <c r="C6029" s="309"/>
      <c r="D6029" s="310"/>
    </row>
    <row r="6030" spans="1:4" x14ac:dyDescent="0.25">
      <c r="A6030" s="418" t="s">
        <v>13499</v>
      </c>
      <c r="B6030">
        <v>30</v>
      </c>
      <c r="C6030" s="309"/>
      <c r="D6030" s="310"/>
    </row>
    <row r="6031" spans="1:4" x14ac:dyDescent="0.25">
      <c r="A6031" s="418" t="s">
        <v>13500</v>
      </c>
      <c r="B6031">
        <v>30</v>
      </c>
      <c r="C6031" s="309"/>
      <c r="D6031" s="310"/>
    </row>
    <row r="6032" spans="1:4" x14ac:dyDescent="0.25">
      <c r="A6032" s="418" t="s">
        <v>13501</v>
      </c>
      <c r="B6032">
        <v>27</v>
      </c>
      <c r="C6032" s="309"/>
      <c r="D6032" s="310"/>
    </row>
    <row r="6033" spans="1:4" x14ac:dyDescent="0.25">
      <c r="A6033" s="418" t="s">
        <v>13502</v>
      </c>
      <c r="B6033">
        <v>26</v>
      </c>
      <c r="C6033" s="309"/>
      <c r="D6033" s="310"/>
    </row>
    <row r="6034" spans="1:4" x14ac:dyDescent="0.25">
      <c r="A6034" s="418" t="s">
        <v>13503</v>
      </c>
      <c r="B6034">
        <v>24</v>
      </c>
      <c r="C6034" s="309"/>
      <c r="D6034" s="310"/>
    </row>
    <row r="6035" spans="1:4" x14ac:dyDescent="0.25">
      <c r="A6035" s="418" t="s">
        <v>13504</v>
      </c>
      <c r="B6035">
        <v>25</v>
      </c>
      <c r="C6035" s="309"/>
      <c r="D6035" s="310"/>
    </row>
    <row r="6036" spans="1:4" x14ac:dyDescent="0.25">
      <c r="A6036" s="418" t="s">
        <v>13505</v>
      </c>
      <c r="B6036">
        <v>29</v>
      </c>
      <c r="C6036" s="309"/>
      <c r="D6036" s="310"/>
    </row>
    <row r="6037" spans="1:4" x14ac:dyDescent="0.25">
      <c r="A6037" s="418" t="s">
        <v>17279</v>
      </c>
      <c r="B6037">
        <v>30</v>
      </c>
      <c r="C6037" s="309"/>
      <c r="D6037" s="310"/>
    </row>
    <row r="6038" spans="1:4" x14ac:dyDescent="0.25">
      <c r="A6038" s="418" t="s">
        <v>13506</v>
      </c>
      <c r="B6038">
        <v>29</v>
      </c>
      <c r="C6038" s="309"/>
      <c r="D6038" s="310"/>
    </row>
    <row r="6039" spans="1:4" x14ac:dyDescent="0.25">
      <c r="A6039" s="418" t="s">
        <v>13507</v>
      </c>
      <c r="B6039">
        <v>27</v>
      </c>
      <c r="C6039" s="309"/>
      <c r="D6039" s="310"/>
    </row>
    <row r="6040" spans="1:4" x14ac:dyDescent="0.25">
      <c r="A6040" s="418" t="s">
        <v>13508</v>
      </c>
      <c r="B6040">
        <v>30</v>
      </c>
      <c r="C6040" s="309"/>
      <c r="D6040" s="310"/>
    </row>
    <row r="6041" spans="1:4" x14ac:dyDescent="0.25">
      <c r="A6041" s="418" t="s">
        <v>13509</v>
      </c>
      <c r="B6041">
        <v>29</v>
      </c>
      <c r="C6041" s="309"/>
      <c r="D6041" s="310"/>
    </row>
    <row r="6042" spans="1:4" x14ac:dyDescent="0.25">
      <c r="A6042" s="418" t="s">
        <v>13510</v>
      </c>
      <c r="B6042">
        <v>26</v>
      </c>
      <c r="C6042" s="309"/>
      <c r="D6042" s="310"/>
    </row>
    <row r="6043" spans="1:4" x14ac:dyDescent="0.25">
      <c r="A6043" s="418" t="s">
        <v>13511</v>
      </c>
      <c r="B6043">
        <v>28</v>
      </c>
      <c r="C6043" s="309"/>
      <c r="D6043" s="310"/>
    </row>
    <row r="6044" spans="1:4" x14ac:dyDescent="0.25">
      <c r="A6044" s="418" t="s">
        <v>13512</v>
      </c>
      <c r="B6044">
        <v>27</v>
      </c>
      <c r="C6044" s="309"/>
      <c r="D6044" s="310"/>
    </row>
    <row r="6045" spans="1:4" x14ac:dyDescent="0.25">
      <c r="A6045" s="418" t="s">
        <v>13513</v>
      </c>
      <c r="B6045">
        <v>30</v>
      </c>
      <c r="C6045" s="309"/>
      <c r="D6045" s="310"/>
    </row>
    <row r="6046" spans="1:4" x14ac:dyDescent="0.25">
      <c r="A6046" s="418" t="s">
        <v>13514</v>
      </c>
      <c r="B6046">
        <v>30</v>
      </c>
      <c r="C6046" s="309"/>
      <c r="D6046" s="310"/>
    </row>
    <row r="6047" spans="1:4" x14ac:dyDescent="0.25">
      <c r="A6047" s="418" t="s">
        <v>13515</v>
      </c>
      <c r="B6047">
        <v>26</v>
      </c>
      <c r="C6047" s="309"/>
      <c r="D6047" s="310"/>
    </row>
    <row r="6048" spans="1:4" x14ac:dyDescent="0.25">
      <c r="A6048" s="418" t="s">
        <v>17280</v>
      </c>
      <c r="B6048">
        <v>28</v>
      </c>
      <c r="C6048" s="309"/>
      <c r="D6048" s="310"/>
    </row>
    <row r="6049" spans="1:4" x14ac:dyDescent="0.25">
      <c r="A6049" s="418" t="s">
        <v>13516</v>
      </c>
      <c r="B6049">
        <v>30</v>
      </c>
      <c r="C6049" s="309"/>
      <c r="D6049" s="310"/>
    </row>
    <row r="6050" spans="1:4" x14ac:dyDescent="0.25">
      <c r="A6050" s="418" t="s">
        <v>13517</v>
      </c>
      <c r="B6050">
        <v>27</v>
      </c>
      <c r="C6050" s="309"/>
      <c r="D6050" s="310"/>
    </row>
    <row r="6051" spans="1:4" x14ac:dyDescent="0.25">
      <c r="A6051" s="418" t="s">
        <v>13518</v>
      </c>
      <c r="B6051">
        <v>30</v>
      </c>
      <c r="C6051" s="309"/>
      <c r="D6051" s="310"/>
    </row>
    <row r="6052" spans="1:4" x14ac:dyDescent="0.25">
      <c r="A6052" s="418" t="s">
        <v>13519</v>
      </c>
      <c r="B6052">
        <v>28</v>
      </c>
      <c r="C6052" s="309"/>
      <c r="D6052" s="310"/>
    </row>
    <row r="6053" spans="1:4" x14ac:dyDescent="0.25">
      <c r="A6053" s="418" t="s">
        <v>13520</v>
      </c>
      <c r="B6053">
        <v>30</v>
      </c>
      <c r="C6053" s="309"/>
      <c r="D6053" s="310"/>
    </row>
    <row r="6054" spans="1:4" x14ac:dyDescent="0.25">
      <c r="A6054" s="418" t="s">
        <v>13521</v>
      </c>
      <c r="B6054">
        <v>29</v>
      </c>
      <c r="C6054" s="309"/>
      <c r="D6054" s="310"/>
    </row>
    <row r="6055" spans="1:4" x14ac:dyDescent="0.25">
      <c r="A6055" s="418" t="s">
        <v>17281</v>
      </c>
      <c r="B6055">
        <v>29</v>
      </c>
      <c r="C6055" s="309"/>
      <c r="D6055" s="310"/>
    </row>
    <row r="6056" spans="1:4" x14ac:dyDescent="0.25">
      <c r="A6056" s="418" t="s">
        <v>13522</v>
      </c>
      <c r="B6056">
        <v>30</v>
      </c>
      <c r="C6056" s="309"/>
      <c r="D6056" s="310"/>
    </row>
    <row r="6057" spans="1:4" x14ac:dyDescent="0.25">
      <c r="A6057" s="418" t="s">
        <v>13523</v>
      </c>
      <c r="B6057">
        <v>29</v>
      </c>
      <c r="C6057" s="309"/>
      <c r="D6057" s="310"/>
    </row>
    <row r="6058" spans="1:4" x14ac:dyDescent="0.25">
      <c r="A6058" s="418" t="s">
        <v>13524</v>
      </c>
      <c r="B6058">
        <v>26</v>
      </c>
      <c r="C6058" s="309"/>
      <c r="D6058" s="310"/>
    </row>
    <row r="6059" spans="1:4" x14ac:dyDescent="0.25">
      <c r="A6059" s="418" t="s">
        <v>13525</v>
      </c>
      <c r="B6059">
        <v>27</v>
      </c>
      <c r="C6059" s="309"/>
      <c r="D6059" s="310"/>
    </row>
    <row r="6060" spans="1:4" x14ac:dyDescent="0.25">
      <c r="A6060" s="418" t="s">
        <v>13526</v>
      </c>
      <c r="B6060">
        <v>30</v>
      </c>
      <c r="C6060" s="309"/>
      <c r="D6060" s="310"/>
    </row>
    <row r="6061" spans="1:4" x14ac:dyDescent="0.25">
      <c r="A6061" s="418" t="s">
        <v>13527</v>
      </c>
      <c r="B6061">
        <v>30</v>
      </c>
      <c r="C6061" s="309"/>
      <c r="D6061" s="310"/>
    </row>
    <row r="6062" spans="1:4" x14ac:dyDescent="0.25">
      <c r="A6062" s="418" t="s">
        <v>13528</v>
      </c>
      <c r="B6062">
        <v>27</v>
      </c>
      <c r="C6062" s="309"/>
      <c r="D6062" s="310"/>
    </row>
    <row r="6063" spans="1:4" x14ac:dyDescent="0.25">
      <c r="A6063" s="418" t="s">
        <v>16612</v>
      </c>
      <c r="B6063">
        <v>29</v>
      </c>
      <c r="C6063" s="309"/>
      <c r="D6063" s="310"/>
    </row>
    <row r="6064" spans="1:4" x14ac:dyDescent="0.25">
      <c r="A6064" s="418" t="s">
        <v>13529</v>
      </c>
      <c r="B6064">
        <v>28</v>
      </c>
      <c r="C6064" s="309"/>
      <c r="D6064" s="310"/>
    </row>
    <row r="6065" spans="1:4" x14ac:dyDescent="0.25">
      <c r="A6065" s="418" t="s">
        <v>13530</v>
      </c>
      <c r="B6065">
        <v>28</v>
      </c>
      <c r="C6065" s="309"/>
      <c r="D6065" s="310"/>
    </row>
    <row r="6066" spans="1:4" x14ac:dyDescent="0.25">
      <c r="A6066" s="418" t="s">
        <v>13531</v>
      </c>
      <c r="B6066">
        <v>28</v>
      </c>
      <c r="C6066" s="309"/>
      <c r="D6066" s="310"/>
    </row>
    <row r="6067" spans="1:4" x14ac:dyDescent="0.25">
      <c r="A6067" s="418" t="s">
        <v>13532</v>
      </c>
      <c r="B6067">
        <v>29</v>
      </c>
      <c r="C6067" s="309"/>
      <c r="D6067" s="310"/>
    </row>
    <row r="6068" spans="1:4" x14ac:dyDescent="0.25">
      <c r="A6068" s="418" t="s">
        <v>13533</v>
      </c>
      <c r="B6068">
        <v>30</v>
      </c>
      <c r="C6068" s="309"/>
      <c r="D6068" s="310"/>
    </row>
    <row r="6069" spans="1:4" x14ac:dyDescent="0.25">
      <c r="A6069" s="418" t="s">
        <v>13534</v>
      </c>
      <c r="B6069">
        <v>29</v>
      </c>
      <c r="C6069" s="309"/>
      <c r="D6069" s="310"/>
    </row>
    <row r="6070" spans="1:4" x14ac:dyDescent="0.25">
      <c r="A6070" s="418" t="s">
        <v>13535</v>
      </c>
      <c r="B6070">
        <v>30</v>
      </c>
      <c r="C6070" s="309"/>
      <c r="D6070" s="310"/>
    </row>
    <row r="6071" spans="1:4" x14ac:dyDescent="0.25">
      <c r="A6071" s="418" t="s">
        <v>13536</v>
      </c>
      <c r="B6071">
        <v>28</v>
      </c>
      <c r="C6071" s="309"/>
      <c r="D6071" s="310"/>
    </row>
    <row r="6072" spans="1:4" x14ac:dyDescent="0.25">
      <c r="A6072" s="418" t="s">
        <v>13537</v>
      </c>
      <c r="B6072">
        <v>30</v>
      </c>
      <c r="C6072" s="309"/>
      <c r="D6072" s="310"/>
    </row>
    <row r="6073" spans="1:4" x14ac:dyDescent="0.25">
      <c r="A6073" s="418" t="s">
        <v>13538</v>
      </c>
      <c r="B6073">
        <v>30</v>
      </c>
      <c r="C6073" s="309"/>
      <c r="D6073" s="310"/>
    </row>
    <row r="6074" spans="1:4" x14ac:dyDescent="0.25">
      <c r="A6074" s="418" t="s">
        <v>13539</v>
      </c>
      <c r="B6074">
        <v>30</v>
      </c>
      <c r="C6074" s="309"/>
      <c r="D6074" s="310"/>
    </row>
    <row r="6075" spans="1:4" x14ac:dyDescent="0.25">
      <c r="A6075" s="418" t="s">
        <v>13540</v>
      </c>
      <c r="B6075">
        <v>27</v>
      </c>
      <c r="C6075" s="309"/>
      <c r="D6075" s="310"/>
    </row>
    <row r="6076" spans="1:4" x14ac:dyDescent="0.25">
      <c r="A6076" s="418" t="s">
        <v>13541</v>
      </c>
      <c r="B6076">
        <v>28</v>
      </c>
      <c r="C6076" s="309"/>
      <c r="D6076" s="310"/>
    </row>
    <row r="6077" spans="1:4" x14ac:dyDescent="0.25">
      <c r="A6077" s="418" t="s">
        <v>13542</v>
      </c>
      <c r="B6077">
        <v>29</v>
      </c>
      <c r="C6077" s="309"/>
      <c r="D6077" s="310"/>
    </row>
    <row r="6078" spans="1:4" x14ac:dyDescent="0.25">
      <c r="A6078" s="418" t="s">
        <v>13543</v>
      </c>
      <c r="B6078">
        <v>28</v>
      </c>
      <c r="C6078" s="309"/>
      <c r="D6078" s="310"/>
    </row>
    <row r="6079" spans="1:4" x14ac:dyDescent="0.25">
      <c r="A6079" s="418" t="s">
        <v>13544</v>
      </c>
      <c r="B6079">
        <v>29</v>
      </c>
      <c r="C6079" s="309"/>
      <c r="D6079" s="310"/>
    </row>
    <row r="6080" spans="1:4" x14ac:dyDescent="0.25">
      <c r="A6080" s="418" t="s">
        <v>13545</v>
      </c>
      <c r="B6080">
        <v>29</v>
      </c>
      <c r="C6080" s="309"/>
      <c r="D6080" s="310"/>
    </row>
    <row r="6081" spans="1:4" x14ac:dyDescent="0.25">
      <c r="A6081" s="418" t="s">
        <v>13546</v>
      </c>
      <c r="B6081">
        <v>30</v>
      </c>
      <c r="C6081" s="309"/>
      <c r="D6081" s="310"/>
    </row>
    <row r="6082" spans="1:4" x14ac:dyDescent="0.25">
      <c r="A6082" s="418" t="s">
        <v>13547</v>
      </c>
      <c r="B6082">
        <v>30</v>
      </c>
      <c r="C6082" s="309"/>
      <c r="D6082" s="310"/>
    </row>
    <row r="6083" spans="1:4" x14ac:dyDescent="0.25">
      <c r="A6083" s="418" t="s">
        <v>13548</v>
      </c>
      <c r="B6083">
        <v>30</v>
      </c>
      <c r="C6083" s="309"/>
      <c r="D6083" s="310"/>
    </row>
    <row r="6084" spans="1:4" x14ac:dyDescent="0.25">
      <c r="A6084" s="418" t="s">
        <v>17282</v>
      </c>
      <c r="B6084">
        <v>30</v>
      </c>
      <c r="C6084" s="309"/>
      <c r="D6084" s="310"/>
    </row>
    <row r="6085" spans="1:4" x14ac:dyDescent="0.25">
      <c r="A6085" s="418" t="s">
        <v>13549</v>
      </c>
      <c r="B6085">
        <v>28</v>
      </c>
      <c r="C6085" s="309"/>
      <c r="D6085" s="310"/>
    </row>
    <row r="6086" spans="1:4" x14ac:dyDescent="0.25">
      <c r="A6086" s="418" t="s">
        <v>13550</v>
      </c>
      <c r="B6086">
        <v>27</v>
      </c>
      <c r="C6086" s="309"/>
      <c r="D6086" s="310"/>
    </row>
    <row r="6087" spans="1:4" x14ac:dyDescent="0.25">
      <c r="A6087" s="418" t="s">
        <v>13551</v>
      </c>
      <c r="B6087">
        <v>28</v>
      </c>
      <c r="C6087" s="309"/>
      <c r="D6087" s="310"/>
    </row>
    <row r="6088" spans="1:4" x14ac:dyDescent="0.25">
      <c r="A6088" s="418" t="s">
        <v>13552</v>
      </c>
      <c r="B6088">
        <v>30</v>
      </c>
      <c r="C6088" s="309"/>
      <c r="D6088" s="310"/>
    </row>
    <row r="6089" spans="1:4" x14ac:dyDescent="0.25">
      <c r="A6089" s="418" t="s">
        <v>13553</v>
      </c>
      <c r="B6089">
        <v>29</v>
      </c>
      <c r="C6089" s="309"/>
      <c r="D6089" s="310"/>
    </row>
    <row r="6090" spans="1:4" x14ac:dyDescent="0.25">
      <c r="A6090" s="418" t="s">
        <v>16347</v>
      </c>
      <c r="B6090">
        <v>24</v>
      </c>
      <c r="C6090" s="309"/>
      <c r="D6090" s="310"/>
    </row>
    <row r="6091" spans="1:4" x14ac:dyDescent="0.25">
      <c r="A6091" s="418" t="s">
        <v>13554</v>
      </c>
      <c r="B6091">
        <v>30</v>
      </c>
      <c r="C6091" s="309"/>
      <c r="D6091" s="310"/>
    </row>
    <row r="6092" spans="1:4" x14ac:dyDescent="0.25">
      <c r="A6092" s="418" t="s">
        <v>13555</v>
      </c>
      <c r="B6092">
        <v>26</v>
      </c>
      <c r="C6092" s="309"/>
      <c r="D6092" s="310"/>
    </row>
    <row r="6093" spans="1:4" x14ac:dyDescent="0.25">
      <c r="A6093" s="418" t="s">
        <v>16613</v>
      </c>
      <c r="B6093">
        <v>28</v>
      </c>
      <c r="C6093" s="309"/>
      <c r="D6093" s="310"/>
    </row>
    <row r="6094" spans="1:4" x14ac:dyDescent="0.25">
      <c r="A6094" s="418" t="s">
        <v>13556</v>
      </c>
      <c r="B6094">
        <v>29</v>
      </c>
      <c r="C6094" s="309"/>
      <c r="D6094" s="310"/>
    </row>
    <row r="6095" spans="1:4" x14ac:dyDescent="0.25">
      <c r="A6095" s="418" t="s">
        <v>13557</v>
      </c>
      <c r="B6095">
        <v>30</v>
      </c>
      <c r="C6095" s="309"/>
      <c r="D6095" s="310"/>
    </row>
    <row r="6096" spans="1:4" x14ac:dyDescent="0.25">
      <c r="A6096" s="418" t="s">
        <v>13558</v>
      </c>
      <c r="B6096">
        <v>30</v>
      </c>
      <c r="C6096" s="309"/>
      <c r="D6096" s="310"/>
    </row>
    <row r="6097" spans="1:4" x14ac:dyDescent="0.25">
      <c r="A6097" s="418" t="s">
        <v>15683</v>
      </c>
      <c r="B6097">
        <v>28</v>
      </c>
      <c r="C6097" s="309"/>
      <c r="D6097" s="310"/>
    </row>
    <row r="6098" spans="1:4" x14ac:dyDescent="0.25">
      <c r="A6098" s="418" t="s">
        <v>17283</v>
      </c>
      <c r="B6098">
        <v>30</v>
      </c>
      <c r="C6098" s="309"/>
      <c r="D6098" s="310"/>
    </row>
    <row r="6099" spans="1:4" x14ac:dyDescent="0.25">
      <c r="A6099" s="418" t="s">
        <v>17284</v>
      </c>
      <c r="B6099">
        <v>30</v>
      </c>
      <c r="C6099" s="309"/>
      <c r="D6099" s="310"/>
    </row>
    <row r="6100" spans="1:4" x14ac:dyDescent="0.25">
      <c r="A6100" s="418" t="s">
        <v>15578</v>
      </c>
      <c r="B6100">
        <v>28</v>
      </c>
      <c r="C6100" s="309"/>
      <c r="D6100" s="310"/>
    </row>
    <row r="6101" spans="1:4" x14ac:dyDescent="0.25">
      <c r="A6101" s="418" t="s">
        <v>15579</v>
      </c>
      <c r="B6101">
        <v>28</v>
      </c>
      <c r="C6101" s="309"/>
      <c r="D6101" s="310"/>
    </row>
    <row r="6102" spans="1:4" x14ac:dyDescent="0.25">
      <c r="A6102" s="418" t="s">
        <v>15580</v>
      </c>
      <c r="B6102">
        <v>23</v>
      </c>
      <c r="C6102" s="309"/>
      <c r="D6102" s="310"/>
    </row>
    <row r="6103" spans="1:4" x14ac:dyDescent="0.25">
      <c r="A6103" s="418" t="s">
        <v>16032</v>
      </c>
      <c r="B6103">
        <v>30</v>
      </c>
      <c r="C6103" s="309"/>
      <c r="D6103" s="310"/>
    </row>
    <row r="6104" spans="1:4" x14ac:dyDescent="0.25">
      <c r="A6104" s="418" t="s">
        <v>16348</v>
      </c>
      <c r="B6104">
        <v>30</v>
      </c>
      <c r="C6104" s="309"/>
      <c r="D6104" s="310"/>
    </row>
    <row r="6105" spans="1:4" x14ac:dyDescent="0.25">
      <c r="A6105" s="418" t="s">
        <v>16614</v>
      </c>
      <c r="B6105">
        <v>28</v>
      </c>
      <c r="C6105" s="309"/>
      <c r="D6105" s="310"/>
    </row>
    <row r="6106" spans="1:4" x14ac:dyDescent="0.25">
      <c r="A6106" s="418" t="s">
        <v>16349</v>
      </c>
      <c r="B6106">
        <v>29</v>
      </c>
      <c r="C6106" s="309"/>
      <c r="D6106" s="310"/>
    </row>
    <row r="6107" spans="1:4" x14ac:dyDescent="0.25">
      <c r="A6107" s="418" t="s">
        <v>16615</v>
      </c>
      <c r="B6107">
        <v>30</v>
      </c>
      <c r="C6107" s="309"/>
      <c r="D6107" s="310"/>
    </row>
    <row r="6108" spans="1:4" x14ac:dyDescent="0.25">
      <c r="A6108" s="418" t="s">
        <v>16223</v>
      </c>
      <c r="B6108">
        <v>30</v>
      </c>
      <c r="C6108" s="309"/>
      <c r="D6108" s="310"/>
    </row>
    <row r="6109" spans="1:4" x14ac:dyDescent="0.25">
      <c r="A6109" s="418" t="s">
        <v>16915</v>
      </c>
      <c r="B6109">
        <v>30</v>
      </c>
      <c r="C6109" s="309"/>
      <c r="D6109" s="310"/>
    </row>
    <row r="6110" spans="1:4" x14ac:dyDescent="0.25">
      <c r="A6110" s="418" t="s">
        <v>16616</v>
      </c>
      <c r="B6110">
        <v>27</v>
      </c>
      <c r="C6110" s="309"/>
      <c r="D6110" s="310"/>
    </row>
    <row r="6111" spans="1:4" x14ac:dyDescent="0.25">
      <c r="A6111" s="418" t="s">
        <v>16617</v>
      </c>
      <c r="B6111">
        <v>30</v>
      </c>
      <c r="C6111" s="309"/>
      <c r="D6111" s="310"/>
    </row>
    <row r="6112" spans="1:4" x14ac:dyDescent="0.25">
      <c r="A6112" s="418" t="s">
        <v>16618</v>
      </c>
      <c r="B6112">
        <v>25</v>
      </c>
      <c r="C6112" s="309"/>
      <c r="D6112" s="310"/>
    </row>
    <row r="6113" spans="1:4" x14ac:dyDescent="0.25">
      <c r="A6113" s="418" t="s">
        <v>16350</v>
      </c>
      <c r="B6113">
        <v>22</v>
      </c>
      <c r="C6113" s="309"/>
      <c r="D6113" s="310"/>
    </row>
    <row r="6114" spans="1:4" x14ac:dyDescent="0.25">
      <c r="A6114" s="418" t="s">
        <v>16619</v>
      </c>
      <c r="B6114">
        <v>26</v>
      </c>
      <c r="C6114" s="309"/>
      <c r="D6114" s="310"/>
    </row>
    <row r="6115" spans="1:4" x14ac:dyDescent="0.25">
      <c r="A6115" s="418" t="s">
        <v>16620</v>
      </c>
      <c r="B6115">
        <v>30</v>
      </c>
      <c r="C6115" s="309"/>
      <c r="D6115" s="310"/>
    </row>
    <row r="6116" spans="1:4" x14ac:dyDescent="0.25">
      <c r="A6116" s="418" t="s">
        <v>16351</v>
      </c>
      <c r="B6116">
        <v>27</v>
      </c>
      <c r="C6116" s="309"/>
      <c r="D6116" s="310"/>
    </row>
    <row r="6117" spans="1:4" x14ac:dyDescent="0.25">
      <c r="A6117" s="418" t="s">
        <v>16621</v>
      </c>
      <c r="B6117">
        <v>28</v>
      </c>
      <c r="C6117" s="309"/>
      <c r="D6117" s="310"/>
    </row>
    <row r="6118" spans="1:4" x14ac:dyDescent="0.25">
      <c r="A6118" s="418" t="s">
        <v>16622</v>
      </c>
      <c r="B6118">
        <v>30</v>
      </c>
      <c r="C6118" s="309"/>
      <c r="D6118" s="310"/>
    </row>
    <row r="6119" spans="1:4" x14ac:dyDescent="0.25">
      <c r="A6119" s="418" t="s">
        <v>16916</v>
      </c>
      <c r="B6119">
        <v>30</v>
      </c>
      <c r="C6119" s="309"/>
      <c r="D6119" s="310"/>
    </row>
    <row r="6120" spans="1:4" x14ac:dyDescent="0.25">
      <c r="A6120" s="418" t="s">
        <v>16623</v>
      </c>
      <c r="B6120">
        <v>30</v>
      </c>
      <c r="C6120" s="309"/>
      <c r="D6120" s="310"/>
    </row>
    <row r="6121" spans="1:4" x14ac:dyDescent="0.25">
      <c r="A6121" s="418" t="s">
        <v>16624</v>
      </c>
      <c r="B6121">
        <v>27</v>
      </c>
      <c r="C6121" s="309"/>
      <c r="D6121" s="310"/>
    </row>
    <row r="6122" spans="1:4" x14ac:dyDescent="0.25">
      <c r="A6122" s="418" t="s">
        <v>17285</v>
      </c>
      <c r="B6122">
        <v>30</v>
      </c>
      <c r="C6122" s="309"/>
      <c r="D6122" s="310"/>
    </row>
    <row r="6123" spans="1:4" x14ac:dyDescent="0.25">
      <c r="A6123" s="418" t="s">
        <v>16625</v>
      </c>
      <c r="B6123">
        <v>30</v>
      </c>
      <c r="C6123" s="309"/>
      <c r="D6123" s="310"/>
    </row>
    <row r="6124" spans="1:4" x14ac:dyDescent="0.25">
      <c r="A6124" s="418" t="s">
        <v>16626</v>
      </c>
      <c r="B6124">
        <v>30</v>
      </c>
      <c r="C6124" s="309"/>
      <c r="D6124" s="310"/>
    </row>
    <row r="6125" spans="1:4" x14ac:dyDescent="0.25">
      <c r="A6125" s="418" t="s">
        <v>16917</v>
      </c>
      <c r="B6125">
        <v>30</v>
      </c>
      <c r="C6125" s="309"/>
      <c r="D6125" s="310"/>
    </row>
    <row r="6126" spans="1:4" x14ac:dyDescent="0.25">
      <c r="A6126" s="418" t="s">
        <v>16918</v>
      </c>
      <c r="B6126">
        <v>30</v>
      </c>
      <c r="C6126" s="309"/>
      <c r="D6126" s="310"/>
    </row>
    <row r="6127" spans="1:4" x14ac:dyDescent="0.25">
      <c r="A6127" s="418" t="s">
        <v>16919</v>
      </c>
      <c r="B6127">
        <v>30</v>
      </c>
      <c r="C6127" s="309"/>
      <c r="D6127" s="310"/>
    </row>
    <row r="6128" spans="1:4" x14ac:dyDescent="0.25">
      <c r="A6128" s="418" t="s">
        <v>16627</v>
      </c>
      <c r="B6128">
        <v>29</v>
      </c>
      <c r="C6128" s="309"/>
      <c r="D6128" s="310"/>
    </row>
    <row r="6129" spans="1:4" x14ac:dyDescent="0.25">
      <c r="A6129" s="418" t="s">
        <v>16628</v>
      </c>
      <c r="B6129">
        <v>30</v>
      </c>
      <c r="C6129" s="309"/>
      <c r="D6129" s="310"/>
    </row>
    <row r="6130" spans="1:4" x14ac:dyDescent="0.25">
      <c r="A6130" s="418" t="s">
        <v>17286</v>
      </c>
      <c r="B6130">
        <v>30</v>
      </c>
      <c r="C6130" s="309"/>
      <c r="D6130" s="310"/>
    </row>
    <row r="6131" spans="1:4" x14ac:dyDescent="0.25">
      <c r="A6131" s="418" t="s">
        <v>17287</v>
      </c>
      <c r="B6131">
        <v>25</v>
      </c>
      <c r="C6131" s="309"/>
      <c r="D6131" s="310"/>
    </row>
    <row r="6132" spans="1:4" x14ac:dyDescent="0.25">
      <c r="A6132" s="418" t="s">
        <v>16920</v>
      </c>
      <c r="B6132">
        <v>28</v>
      </c>
      <c r="C6132" s="309"/>
      <c r="D6132" s="310"/>
    </row>
    <row r="6133" spans="1:4" x14ac:dyDescent="0.25">
      <c r="A6133" s="418" t="s">
        <v>17288</v>
      </c>
      <c r="B6133">
        <v>30</v>
      </c>
      <c r="C6133" s="309"/>
      <c r="D6133" s="310"/>
    </row>
    <row r="6134" spans="1:4" x14ac:dyDescent="0.25">
      <c r="A6134" s="418" t="s">
        <v>17289</v>
      </c>
      <c r="B6134">
        <v>29</v>
      </c>
      <c r="C6134" s="309"/>
      <c r="D6134" s="310"/>
    </row>
    <row r="6135" spans="1:4" x14ac:dyDescent="0.25">
      <c r="A6135" s="418" t="s">
        <v>17290</v>
      </c>
      <c r="B6135">
        <v>30</v>
      </c>
      <c r="C6135" s="309"/>
      <c r="D6135" s="310"/>
    </row>
    <row r="6136" spans="1:4" x14ac:dyDescent="0.25">
      <c r="A6136" s="418" t="s">
        <v>17291</v>
      </c>
      <c r="B6136">
        <v>28</v>
      </c>
      <c r="C6136" s="309"/>
      <c r="D6136" s="310"/>
    </row>
    <row r="6137" spans="1:4" x14ac:dyDescent="0.25">
      <c r="A6137" s="418" t="s">
        <v>17292</v>
      </c>
      <c r="B6137">
        <v>30</v>
      </c>
      <c r="C6137" s="309"/>
      <c r="D6137" s="310"/>
    </row>
    <row r="6138" spans="1:4" x14ac:dyDescent="0.25">
      <c r="A6138" s="418" t="s">
        <v>17293</v>
      </c>
      <c r="B6138">
        <v>30</v>
      </c>
      <c r="C6138" s="309"/>
      <c r="D6138" s="310"/>
    </row>
    <row r="6139" spans="1:4" x14ac:dyDescent="0.25">
      <c r="A6139" s="418" t="s">
        <v>17294</v>
      </c>
      <c r="B6139">
        <v>30</v>
      </c>
      <c r="C6139" s="309"/>
      <c r="D6139" s="310"/>
    </row>
    <row r="6140" spans="1:4" x14ac:dyDescent="0.25">
      <c r="A6140" s="418" t="s">
        <v>17295</v>
      </c>
      <c r="B6140">
        <v>29</v>
      </c>
      <c r="C6140" s="309"/>
      <c r="D6140" s="310"/>
    </row>
    <row r="6141" spans="1:4" x14ac:dyDescent="0.25">
      <c r="A6141" s="418" t="s">
        <v>17296</v>
      </c>
      <c r="B6141">
        <v>30</v>
      </c>
      <c r="C6141" s="309"/>
      <c r="D6141" s="310"/>
    </row>
    <row r="6142" spans="1:4" x14ac:dyDescent="0.25">
      <c r="A6142" s="418" t="s">
        <v>17297</v>
      </c>
      <c r="B6142">
        <v>29</v>
      </c>
      <c r="C6142" s="309"/>
      <c r="D6142" s="310"/>
    </row>
    <row r="6143" spans="1:4" x14ac:dyDescent="0.25">
      <c r="A6143" s="418" t="s">
        <v>17298</v>
      </c>
      <c r="B6143">
        <v>25</v>
      </c>
      <c r="C6143" s="309"/>
      <c r="D6143" s="310"/>
    </row>
    <row r="6144" spans="1:4" x14ac:dyDescent="0.25">
      <c r="A6144" s="418" t="s">
        <v>13559</v>
      </c>
      <c r="B6144">
        <v>55</v>
      </c>
      <c r="C6144" s="309"/>
      <c r="D6144" s="310"/>
    </row>
    <row r="6145" spans="1:4" x14ac:dyDescent="0.25">
      <c r="A6145" s="418" t="s">
        <v>13560</v>
      </c>
      <c r="B6145">
        <v>59</v>
      </c>
      <c r="C6145" s="309"/>
      <c r="D6145" s="310"/>
    </row>
    <row r="6146" spans="1:4" x14ac:dyDescent="0.25">
      <c r="A6146" s="418" t="s">
        <v>13561</v>
      </c>
      <c r="B6146">
        <v>60</v>
      </c>
      <c r="C6146" s="309"/>
      <c r="D6146" s="310"/>
    </row>
    <row r="6147" spans="1:4" x14ac:dyDescent="0.25">
      <c r="A6147" s="418" t="s">
        <v>13562</v>
      </c>
      <c r="B6147">
        <v>54</v>
      </c>
      <c r="C6147" s="309"/>
      <c r="D6147" s="310"/>
    </row>
    <row r="6148" spans="1:4" x14ac:dyDescent="0.25">
      <c r="A6148" s="418" t="s">
        <v>13563</v>
      </c>
      <c r="B6148">
        <v>59</v>
      </c>
      <c r="C6148" s="309"/>
      <c r="D6148" s="310"/>
    </row>
    <row r="6149" spans="1:4" x14ac:dyDescent="0.25">
      <c r="A6149" s="418" t="s">
        <v>13564</v>
      </c>
      <c r="B6149">
        <v>57</v>
      </c>
      <c r="C6149" s="309"/>
      <c r="D6149" s="310"/>
    </row>
    <row r="6150" spans="1:4" x14ac:dyDescent="0.25">
      <c r="A6150" s="418" t="s">
        <v>13565</v>
      </c>
      <c r="B6150">
        <v>54</v>
      </c>
      <c r="C6150" s="309"/>
      <c r="D6150" s="310"/>
    </row>
    <row r="6151" spans="1:4" x14ac:dyDescent="0.25">
      <c r="A6151" s="418" t="s">
        <v>13566</v>
      </c>
      <c r="B6151">
        <v>57</v>
      </c>
      <c r="C6151" s="309"/>
      <c r="D6151" s="310"/>
    </row>
    <row r="6152" spans="1:4" x14ac:dyDescent="0.25">
      <c r="A6152" s="418" t="s">
        <v>13567</v>
      </c>
      <c r="B6152">
        <v>59</v>
      </c>
      <c r="C6152" s="309"/>
      <c r="D6152" s="310"/>
    </row>
    <row r="6153" spans="1:4" x14ac:dyDescent="0.25">
      <c r="A6153" s="418" t="s">
        <v>13568</v>
      </c>
      <c r="B6153">
        <v>58</v>
      </c>
      <c r="C6153" s="309"/>
      <c r="D6153" s="310"/>
    </row>
    <row r="6154" spans="1:4" x14ac:dyDescent="0.25">
      <c r="A6154" s="418" t="s">
        <v>13569</v>
      </c>
      <c r="B6154">
        <v>59</v>
      </c>
      <c r="C6154" s="309"/>
      <c r="D6154" s="310"/>
    </row>
    <row r="6155" spans="1:4" x14ac:dyDescent="0.25">
      <c r="A6155" s="418" t="s">
        <v>13570</v>
      </c>
      <c r="B6155">
        <v>50</v>
      </c>
      <c r="C6155" s="309"/>
      <c r="D6155" s="310"/>
    </row>
    <row r="6156" spans="1:4" x14ac:dyDescent="0.25">
      <c r="A6156" s="418" t="s">
        <v>13571</v>
      </c>
      <c r="B6156">
        <v>51</v>
      </c>
      <c r="C6156" s="309"/>
      <c r="D6156" s="310"/>
    </row>
    <row r="6157" spans="1:4" x14ac:dyDescent="0.25">
      <c r="A6157" s="418" t="s">
        <v>13572</v>
      </c>
      <c r="B6157">
        <v>57</v>
      </c>
      <c r="C6157" s="309"/>
      <c r="D6157" s="310"/>
    </row>
    <row r="6158" spans="1:4" x14ac:dyDescent="0.25">
      <c r="A6158" s="418" t="s">
        <v>13573</v>
      </c>
      <c r="B6158">
        <v>58</v>
      </c>
      <c r="C6158" s="309"/>
      <c r="D6158" s="310"/>
    </row>
    <row r="6159" spans="1:4" x14ac:dyDescent="0.25">
      <c r="A6159" s="418" t="s">
        <v>13574</v>
      </c>
      <c r="B6159">
        <v>58</v>
      </c>
      <c r="C6159" s="309"/>
      <c r="D6159" s="310"/>
    </row>
    <row r="6160" spans="1:4" x14ac:dyDescent="0.25">
      <c r="A6160" s="418" t="s">
        <v>13575</v>
      </c>
      <c r="B6160">
        <v>58</v>
      </c>
      <c r="C6160" s="309"/>
      <c r="D6160" s="310"/>
    </row>
    <row r="6161" spans="1:4" x14ac:dyDescent="0.25">
      <c r="A6161" s="418" t="s">
        <v>13576</v>
      </c>
      <c r="B6161">
        <v>59</v>
      </c>
      <c r="C6161" s="309"/>
      <c r="D6161" s="310"/>
    </row>
    <row r="6162" spans="1:4" x14ac:dyDescent="0.25">
      <c r="A6162" s="418" t="s">
        <v>13577</v>
      </c>
      <c r="B6162">
        <v>59</v>
      </c>
      <c r="C6162" s="309"/>
      <c r="D6162" s="310"/>
    </row>
    <row r="6163" spans="1:4" x14ac:dyDescent="0.25">
      <c r="A6163" s="418" t="s">
        <v>13578</v>
      </c>
      <c r="B6163">
        <v>60</v>
      </c>
      <c r="C6163" s="309"/>
      <c r="D6163" s="310"/>
    </row>
    <row r="6164" spans="1:4" x14ac:dyDescent="0.25">
      <c r="A6164" s="418" t="s">
        <v>13579</v>
      </c>
      <c r="B6164">
        <v>56</v>
      </c>
      <c r="C6164" s="309"/>
      <c r="D6164" s="310"/>
    </row>
    <row r="6165" spans="1:4" x14ac:dyDescent="0.25">
      <c r="A6165" s="418" t="s">
        <v>13580</v>
      </c>
      <c r="B6165">
        <v>50</v>
      </c>
      <c r="C6165" s="309"/>
      <c r="D6165" s="310"/>
    </row>
    <row r="6166" spans="1:4" x14ac:dyDescent="0.25">
      <c r="A6166" s="418" t="s">
        <v>13581</v>
      </c>
      <c r="B6166">
        <v>55</v>
      </c>
      <c r="C6166" s="309"/>
      <c r="D6166" s="310"/>
    </row>
    <row r="6167" spans="1:4" x14ac:dyDescent="0.25">
      <c r="A6167" s="418" t="s">
        <v>13582</v>
      </c>
      <c r="B6167">
        <v>58</v>
      </c>
      <c r="C6167" s="309"/>
      <c r="D6167" s="310"/>
    </row>
    <row r="6168" spans="1:4" x14ac:dyDescent="0.25">
      <c r="A6168" s="418" t="s">
        <v>13583</v>
      </c>
      <c r="B6168">
        <v>43</v>
      </c>
      <c r="C6168" s="309"/>
      <c r="D6168" s="310"/>
    </row>
    <row r="6169" spans="1:4" x14ac:dyDescent="0.25">
      <c r="A6169" s="418" t="s">
        <v>13584</v>
      </c>
      <c r="B6169">
        <v>58</v>
      </c>
      <c r="C6169" s="309"/>
      <c r="D6169" s="310"/>
    </row>
    <row r="6170" spans="1:4" x14ac:dyDescent="0.25">
      <c r="A6170" s="418" t="s">
        <v>13585</v>
      </c>
      <c r="B6170">
        <v>58</v>
      </c>
      <c r="C6170" s="309"/>
      <c r="D6170" s="310"/>
    </row>
    <row r="6171" spans="1:4" x14ac:dyDescent="0.25">
      <c r="A6171" s="418" t="s">
        <v>13586</v>
      </c>
      <c r="B6171">
        <v>57</v>
      </c>
      <c r="C6171" s="309"/>
      <c r="D6171" s="310"/>
    </row>
    <row r="6172" spans="1:4" x14ac:dyDescent="0.25">
      <c r="A6172" s="418" t="s">
        <v>13587</v>
      </c>
      <c r="B6172">
        <v>56</v>
      </c>
      <c r="C6172" s="309"/>
      <c r="D6172" s="310"/>
    </row>
    <row r="6173" spans="1:4" x14ac:dyDescent="0.25">
      <c r="A6173" s="418" t="s">
        <v>13588</v>
      </c>
      <c r="B6173">
        <v>60</v>
      </c>
      <c r="C6173" s="309"/>
      <c r="D6173" s="310"/>
    </row>
    <row r="6174" spans="1:4" x14ac:dyDescent="0.25">
      <c r="A6174" s="418" t="s">
        <v>13589</v>
      </c>
      <c r="B6174">
        <v>60</v>
      </c>
      <c r="C6174" s="309"/>
      <c r="D6174" s="310"/>
    </row>
    <row r="6175" spans="1:4" x14ac:dyDescent="0.25">
      <c r="A6175" s="418" t="s">
        <v>13590</v>
      </c>
      <c r="B6175">
        <v>55</v>
      </c>
      <c r="C6175" s="309"/>
      <c r="D6175" s="310"/>
    </row>
    <row r="6176" spans="1:4" x14ac:dyDescent="0.25">
      <c r="A6176" s="418" t="s">
        <v>13591</v>
      </c>
      <c r="B6176">
        <v>54</v>
      </c>
      <c r="C6176" s="309"/>
      <c r="D6176" s="310"/>
    </row>
    <row r="6177" spans="1:4" x14ac:dyDescent="0.25">
      <c r="A6177" s="418" t="s">
        <v>13592</v>
      </c>
      <c r="B6177">
        <v>52</v>
      </c>
      <c r="C6177" s="309"/>
      <c r="D6177" s="310"/>
    </row>
    <row r="6178" spans="1:4" x14ac:dyDescent="0.25">
      <c r="A6178" s="418" t="s">
        <v>13593</v>
      </c>
      <c r="B6178">
        <v>60</v>
      </c>
      <c r="C6178" s="309"/>
      <c r="D6178" s="310"/>
    </row>
    <row r="6179" spans="1:4" x14ac:dyDescent="0.25">
      <c r="A6179" s="418" t="s">
        <v>13594</v>
      </c>
      <c r="B6179">
        <v>56</v>
      </c>
      <c r="C6179" s="309"/>
      <c r="D6179" s="310"/>
    </row>
    <row r="6180" spans="1:4" x14ac:dyDescent="0.25">
      <c r="A6180" s="418" t="s">
        <v>13595</v>
      </c>
      <c r="B6180">
        <v>56</v>
      </c>
      <c r="C6180" s="309"/>
      <c r="D6180" s="310"/>
    </row>
    <row r="6181" spans="1:4" x14ac:dyDescent="0.25">
      <c r="A6181" s="418" t="s">
        <v>13596</v>
      </c>
      <c r="B6181">
        <v>49</v>
      </c>
      <c r="C6181" s="309"/>
      <c r="D6181" s="310"/>
    </row>
    <row r="6182" spans="1:4" x14ac:dyDescent="0.25">
      <c r="A6182" s="418" t="s">
        <v>13597</v>
      </c>
      <c r="B6182">
        <v>51</v>
      </c>
      <c r="C6182" s="309"/>
      <c r="D6182" s="310"/>
    </row>
    <row r="6183" spans="1:4" x14ac:dyDescent="0.25">
      <c r="A6183" s="418" t="s">
        <v>13598</v>
      </c>
      <c r="B6183">
        <v>57</v>
      </c>
      <c r="C6183" s="309"/>
      <c r="D6183" s="310"/>
    </row>
    <row r="6184" spans="1:4" x14ac:dyDescent="0.25">
      <c r="A6184" s="418" t="s">
        <v>13599</v>
      </c>
      <c r="B6184">
        <v>51</v>
      </c>
      <c r="C6184" s="309"/>
      <c r="D6184" s="310"/>
    </row>
    <row r="6185" spans="1:4" x14ac:dyDescent="0.25">
      <c r="A6185" s="418" t="s">
        <v>13600</v>
      </c>
      <c r="B6185">
        <v>37</v>
      </c>
      <c r="C6185" s="309"/>
      <c r="D6185" s="310"/>
    </row>
    <row r="6186" spans="1:4" x14ac:dyDescent="0.25">
      <c r="A6186" s="418" t="s">
        <v>13601</v>
      </c>
      <c r="B6186">
        <v>59</v>
      </c>
      <c r="C6186" s="309"/>
      <c r="D6186" s="310"/>
    </row>
    <row r="6187" spans="1:4" x14ac:dyDescent="0.25">
      <c r="A6187" s="418" t="s">
        <v>13602</v>
      </c>
      <c r="B6187">
        <v>48</v>
      </c>
      <c r="C6187" s="309"/>
      <c r="D6187" s="310"/>
    </row>
    <row r="6188" spans="1:4" x14ac:dyDescent="0.25">
      <c r="A6188" s="418" t="s">
        <v>13603</v>
      </c>
      <c r="B6188">
        <v>56</v>
      </c>
      <c r="C6188" s="309"/>
      <c r="D6188" s="310"/>
    </row>
    <row r="6189" spans="1:4" x14ac:dyDescent="0.25">
      <c r="A6189" s="418" t="s">
        <v>13604</v>
      </c>
      <c r="B6189">
        <v>55</v>
      </c>
      <c r="C6189" s="309"/>
      <c r="D6189" s="310"/>
    </row>
    <row r="6190" spans="1:4" x14ac:dyDescent="0.25">
      <c r="A6190" s="418" t="s">
        <v>13605</v>
      </c>
      <c r="B6190">
        <v>54</v>
      </c>
      <c r="C6190" s="309"/>
      <c r="D6190" s="310"/>
    </row>
    <row r="6191" spans="1:4" x14ac:dyDescent="0.25">
      <c r="A6191" s="418" t="s">
        <v>13606</v>
      </c>
      <c r="B6191">
        <v>59</v>
      </c>
      <c r="C6191" s="309"/>
      <c r="D6191" s="310"/>
    </row>
    <row r="6192" spans="1:4" x14ac:dyDescent="0.25">
      <c r="A6192" s="418" t="s">
        <v>13607</v>
      </c>
      <c r="B6192">
        <v>60</v>
      </c>
      <c r="C6192" s="309"/>
      <c r="D6192" s="310"/>
    </row>
    <row r="6193" spans="1:4" x14ac:dyDescent="0.25">
      <c r="A6193" s="418" t="s">
        <v>13608</v>
      </c>
      <c r="B6193">
        <v>48</v>
      </c>
      <c r="C6193" s="309"/>
      <c r="D6193" s="310"/>
    </row>
    <row r="6194" spans="1:4" x14ac:dyDescent="0.25">
      <c r="A6194" s="418" t="s">
        <v>13609</v>
      </c>
      <c r="B6194">
        <v>57</v>
      </c>
      <c r="C6194" s="309"/>
      <c r="D6194" s="310"/>
    </row>
    <row r="6195" spans="1:4" x14ac:dyDescent="0.25">
      <c r="A6195" s="418" t="s">
        <v>13610</v>
      </c>
      <c r="B6195">
        <v>60</v>
      </c>
      <c r="C6195" s="309"/>
      <c r="D6195" s="310"/>
    </row>
    <row r="6196" spans="1:4" x14ac:dyDescent="0.25">
      <c r="A6196" s="418" t="s">
        <v>13611</v>
      </c>
      <c r="B6196">
        <v>54</v>
      </c>
      <c r="C6196" s="309"/>
      <c r="D6196" s="310"/>
    </row>
    <row r="6197" spans="1:4" x14ac:dyDescent="0.25">
      <c r="A6197" s="418" t="s">
        <v>13612</v>
      </c>
      <c r="B6197">
        <v>59</v>
      </c>
      <c r="C6197" s="309"/>
      <c r="D6197" s="310"/>
    </row>
    <row r="6198" spans="1:4" x14ac:dyDescent="0.25">
      <c r="A6198" s="418" t="s">
        <v>13613</v>
      </c>
      <c r="B6198">
        <v>60</v>
      </c>
      <c r="C6198" s="309"/>
      <c r="D6198" s="310"/>
    </row>
    <row r="6199" spans="1:4" x14ac:dyDescent="0.25">
      <c r="A6199" s="418" t="s">
        <v>13614</v>
      </c>
      <c r="B6199">
        <v>58</v>
      </c>
      <c r="C6199" s="309"/>
      <c r="D6199" s="310"/>
    </row>
    <row r="6200" spans="1:4" x14ac:dyDescent="0.25">
      <c r="A6200" s="418" t="s">
        <v>13615</v>
      </c>
      <c r="B6200">
        <v>58</v>
      </c>
      <c r="C6200" s="309"/>
      <c r="D6200" s="310"/>
    </row>
    <row r="6201" spans="1:4" x14ac:dyDescent="0.25">
      <c r="A6201" s="418" t="s">
        <v>13616</v>
      </c>
      <c r="B6201">
        <v>60</v>
      </c>
      <c r="C6201" s="309"/>
      <c r="D6201" s="310"/>
    </row>
    <row r="6202" spans="1:4" x14ac:dyDescent="0.25">
      <c r="A6202" s="418" t="s">
        <v>13617</v>
      </c>
      <c r="B6202">
        <v>53</v>
      </c>
      <c r="C6202" s="309"/>
      <c r="D6202" s="310"/>
    </row>
    <row r="6203" spans="1:4" x14ac:dyDescent="0.25">
      <c r="A6203" s="418" t="s">
        <v>13618</v>
      </c>
      <c r="B6203">
        <v>58</v>
      </c>
      <c r="C6203" s="309"/>
      <c r="D6203" s="310"/>
    </row>
    <row r="6204" spans="1:4" x14ac:dyDescent="0.25">
      <c r="A6204" s="418" t="s">
        <v>13619</v>
      </c>
      <c r="B6204">
        <v>38</v>
      </c>
      <c r="C6204" s="309"/>
      <c r="D6204" s="310"/>
    </row>
    <row r="6205" spans="1:4" x14ac:dyDescent="0.25">
      <c r="A6205" s="418" t="s">
        <v>13620</v>
      </c>
      <c r="B6205">
        <v>53</v>
      </c>
      <c r="C6205" s="309"/>
      <c r="D6205" s="310"/>
    </row>
    <row r="6206" spans="1:4" x14ac:dyDescent="0.25">
      <c r="A6206" s="418" t="s">
        <v>13621</v>
      </c>
      <c r="B6206">
        <v>57</v>
      </c>
      <c r="C6206" s="309"/>
      <c r="D6206" s="310"/>
    </row>
    <row r="6207" spans="1:4" x14ac:dyDescent="0.25">
      <c r="A6207" s="418" t="s">
        <v>13622</v>
      </c>
      <c r="B6207">
        <v>53</v>
      </c>
      <c r="C6207" s="309"/>
      <c r="D6207" s="310"/>
    </row>
    <row r="6208" spans="1:4" x14ac:dyDescent="0.25">
      <c r="A6208" s="418" t="s">
        <v>13623</v>
      </c>
      <c r="B6208">
        <v>57</v>
      </c>
      <c r="C6208" s="309"/>
      <c r="D6208" s="310"/>
    </row>
    <row r="6209" spans="1:4" x14ac:dyDescent="0.25">
      <c r="A6209" s="418" t="s">
        <v>13624</v>
      </c>
      <c r="B6209">
        <v>58</v>
      </c>
      <c r="C6209" s="309"/>
      <c r="D6209" s="310"/>
    </row>
    <row r="6210" spans="1:4" x14ac:dyDescent="0.25">
      <c r="A6210" s="418" t="s">
        <v>13625</v>
      </c>
      <c r="B6210">
        <v>59</v>
      </c>
      <c r="C6210" s="309"/>
      <c r="D6210" s="310"/>
    </row>
    <row r="6211" spans="1:4" x14ac:dyDescent="0.25">
      <c r="A6211" s="418" t="s">
        <v>13626</v>
      </c>
      <c r="B6211">
        <v>55</v>
      </c>
      <c r="C6211" s="309"/>
      <c r="D6211" s="310"/>
    </row>
    <row r="6212" spans="1:4" x14ac:dyDescent="0.25">
      <c r="A6212" s="418" t="s">
        <v>13627</v>
      </c>
      <c r="B6212">
        <v>59</v>
      </c>
      <c r="C6212" s="309"/>
      <c r="D6212" s="310"/>
    </row>
    <row r="6213" spans="1:4" x14ac:dyDescent="0.25">
      <c r="A6213" s="418" t="s">
        <v>13628</v>
      </c>
      <c r="B6213">
        <v>59</v>
      </c>
      <c r="C6213" s="309"/>
      <c r="D6213" s="310"/>
    </row>
    <row r="6214" spans="1:4" x14ac:dyDescent="0.25">
      <c r="A6214" s="418" t="s">
        <v>13629</v>
      </c>
      <c r="B6214">
        <v>60</v>
      </c>
      <c r="C6214" s="309"/>
      <c r="D6214" s="310"/>
    </row>
    <row r="6215" spans="1:4" x14ac:dyDescent="0.25">
      <c r="A6215" s="418" t="s">
        <v>13630</v>
      </c>
      <c r="B6215">
        <v>55</v>
      </c>
      <c r="C6215" s="309"/>
      <c r="D6215" s="310"/>
    </row>
    <row r="6216" spans="1:4" x14ac:dyDescent="0.25">
      <c r="A6216" s="418" t="s">
        <v>13631</v>
      </c>
      <c r="B6216">
        <v>44</v>
      </c>
      <c r="C6216" s="309"/>
      <c r="D6216" s="310"/>
    </row>
    <row r="6217" spans="1:4" x14ac:dyDescent="0.25">
      <c r="A6217" s="418" t="s">
        <v>13632</v>
      </c>
      <c r="B6217">
        <v>59</v>
      </c>
      <c r="C6217" s="309"/>
      <c r="D6217" s="310"/>
    </row>
    <row r="6218" spans="1:4" x14ac:dyDescent="0.25">
      <c r="A6218" s="418" t="s">
        <v>13633</v>
      </c>
      <c r="B6218">
        <v>60</v>
      </c>
      <c r="C6218" s="309"/>
      <c r="D6218" s="310"/>
    </row>
    <row r="6219" spans="1:4" x14ac:dyDescent="0.25">
      <c r="A6219" s="418" t="s">
        <v>13634</v>
      </c>
      <c r="B6219">
        <v>60</v>
      </c>
      <c r="C6219" s="309"/>
      <c r="D6219" s="310"/>
    </row>
    <row r="6220" spans="1:4" x14ac:dyDescent="0.25">
      <c r="A6220" s="418" t="s">
        <v>13635</v>
      </c>
      <c r="B6220">
        <v>57</v>
      </c>
      <c r="C6220" s="309"/>
      <c r="D6220" s="310"/>
    </row>
    <row r="6221" spans="1:4" x14ac:dyDescent="0.25">
      <c r="A6221" s="418" t="s">
        <v>13636</v>
      </c>
      <c r="B6221">
        <v>49</v>
      </c>
      <c r="C6221" s="309"/>
      <c r="D6221" s="310"/>
    </row>
    <row r="6222" spans="1:4" x14ac:dyDescent="0.25">
      <c r="A6222" s="418" t="s">
        <v>13637</v>
      </c>
      <c r="B6222">
        <v>58</v>
      </c>
      <c r="C6222" s="309"/>
      <c r="D6222" s="310"/>
    </row>
    <row r="6223" spans="1:4" x14ac:dyDescent="0.25">
      <c r="A6223" s="418" t="s">
        <v>13638</v>
      </c>
      <c r="B6223">
        <v>59</v>
      </c>
      <c r="C6223" s="309"/>
      <c r="D6223" s="310"/>
    </row>
    <row r="6224" spans="1:4" x14ac:dyDescent="0.25">
      <c r="A6224" s="418" t="s">
        <v>13639</v>
      </c>
      <c r="B6224">
        <v>58</v>
      </c>
      <c r="C6224" s="309"/>
      <c r="D6224" s="310"/>
    </row>
    <row r="6225" spans="1:4" x14ac:dyDescent="0.25">
      <c r="A6225" s="418" t="s">
        <v>13640</v>
      </c>
      <c r="B6225">
        <v>56</v>
      </c>
      <c r="C6225" s="309"/>
      <c r="D6225" s="310"/>
    </row>
    <row r="6226" spans="1:4" x14ac:dyDescent="0.25">
      <c r="A6226" s="418" t="s">
        <v>13641</v>
      </c>
      <c r="B6226">
        <v>53</v>
      </c>
      <c r="C6226" s="309"/>
      <c r="D6226" s="310"/>
    </row>
    <row r="6227" spans="1:4" x14ac:dyDescent="0.25">
      <c r="A6227" s="418" t="s">
        <v>13642</v>
      </c>
      <c r="B6227">
        <v>46</v>
      </c>
      <c r="C6227" s="309"/>
      <c r="D6227" s="310"/>
    </row>
    <row r="6228" spans="1:4" x14ac:dyDescent="0.25">
      <c r="A6228" s="418" t="s">
        <v>13643</v>
      </c>
      <c r="B6228">
        <v>57</v>
      </c>
      <c r="C6228" s="309"/>
      <c r="D6228" s="310"/>
    </row>
    <row r="6229" spans="1:4" x14ac:dyDescent="0.25">
      <c r="A6229" s="418" t="s">
        <v>13644</v>
      </c>
      <c r="B6229">
        <v>52</v>
      </c>
      <c r="C6229" s="309"/>
      <c r="D6229" s="310"/>
    </row>
    <row r="6230" spans="1:4" x14ac:dyDescent="0.25">
      <c r="A6230" s="418" t="s">
        <v>13645</v>
      </c>
      <c r="B6230">
        <v>60</v>
      </c>
      <c r="C6230" s="309"/>
      <c r="D6230" s="310"/>
    </row>
    <row r="6231" spans="1:4" x14ac:dyDescent="0.25">
      <c r="A6231" s="418" t="s">
        <v>13646</v>
      </c>
      <c r="B6231">
        <v>56</v>
      </c>
      <c r="C6231" s="309"/>
      <c r="D6231" s="310"/>
    </row>
    <row r="6232" spans="1:4" x14ac:dyDescent="0.25">
      <c r="A6232" s="418" t="s">
        <v>13647</v>
      </c>
      <c r="B6232">
        <v>52</v>
      </c>
      <c r="C6232" s="309"/>
      <c r="D6232" s="310"/>
    </row>
    <row r="6233" spans="1:4" x14ac:dyDescent="0.25">
      <c r="A6233" s="418" t="s">
        <v>13648</v>
      </c>
      <c r="B6233">
        <v>53</v>
      </c>
      <c r="C6233" s="309"/>
      <c r="D6233" s="310"/>
    </row>
    <row r="6234" spans="1:4" x14ac:dyDescent="0.25">
      <c r="A6234" s="418" t="s">
        <v>13649</v>
      </c>
      <c r="B6234">
        <v>56</v>
      </c>
      <c r="C6234" s="309"/>
      <c r="D6234" s="310"/>
    </row>
    <row r="6235" spans="1:4" x14ac:dyDescent="0.25">
      <c r="A6235" s="418" t="s">
        <v>13650</v>
      </c>
      <c r="B6235">
        <v>58</v>
      </c>
      <c r="C6235" s="309"/>
      <c r="D6235" s="310"/>
    </row>
    <row r="6236" spans="1:4" x14ac:dyDescent="0.25">
      <c r="A6236" s="418" t="s">
        <v>13651</v>
      </c>
      <c r="B6236">
        <v>59</v>
      </c>
      <c r="C6236" s="309"/>
      <c r="D6236" s="310"/>
    </row>
    <row r="6237" spans="1:4" x14ac:dyDescent="0.25">
      <c r="A6237" s="418" t="s">
        <v>13652</v>
      </c>
      <c r="B6237">
        <v>58</v>
      </c>
      <c r="C6237" s="309"/>
      <c r="D6237" s="310"/>
    </row>
    <row r="6238" spans="1:4" x14ac:dyDescent="0.25">
      <c r="A6238" s="418" t="s">
        <v>13653</v>
      </c>
      <c r="B6238">
        <v>57</v>
      </c>
      <c r="C6238" s="309"/>
      <c r="D6238" s="310"/>
    </row>
    <row r="6239" spans="1:4" x14ac:dyDescent="0.25">
      <c r="A6239" s="418" t="s">
        <v>13654</v>
      </c>
      <c r="B6239">
        <v>59</v>
      </c>
      <c r="C6239" s="309"/>
      <c r="D6239" s="310"/>
    </row>
    <row r="6240" spans="1:4" x14ac:dyDescent="0.25">
      <c r="A6240" s="418" t="s">
        <v>13655</v>
      </c>
      <c r="B6240">
        <v>60</v>
      </c>
      <c r="C6240" s="309"/>
      <c r="D6240" s="310"/>
    </row>
    <row r="6241" spans="1:4" x14ac:dyDescent="0.25">
      <c r="A6241" s="418" t="s">
        <v>13656</v>
      </c>
      <c r="B6241">
        <v>56</v>
      </c>
      <c r="C6241" s="309"/>
      <c r="D6241" s="310"/>
    </row>
    <row r="6242" spans="1:4" x14ac:dyDescent="0.25">
      <c r="A6242" s="418" t="s">
        <v>13657</v>
      </c>
      <c r="B6242">
        <v>50</v>
      </c>
      <c r="C6242" s="309"/>
      <c r="D6242" s="310"/>
    </row>
    <row r="6243" spans="1:4" x14ac:dyDescent="0.25">
      <c r="A6243" s="418" t="s">
        <v>13658</v>
      </c>
      <c r="B6243">
        <v>59</v>
      </c>
      <c r="C6243" s="309"/>
      <c r="D6243" s="310"/>
    </row>
    <row r="6244" spans="1:4" x14ac:dyDescent="0.25">
      <c r="A6244" s="418" t="s">
        <v>13659</v>
      </c>
      <c r="B6244">
        <v>59</v>
      </c>
      <c r="C6244" s="309"/>
      <c r="D6244" s="310"/>
    </row>
    <row r="6245" spans="1:4" x14ac:dyDescent="0.25">
      <c r="A6245" s="418" t="s">
        <v>13660</v>
      </c>
      <c r="B6245">
        <v>58</v>
      </c>
      <c r="C6245" s="309"/>
      <c r="D6245" s="310"/>
    </row>
    <row r="6246" spans="1:4" x14ac:dyDescent="0.25">
      <c r="A6246" s="418" t="s">
        <v>13661</v>
      </c>
      <c r="B6246">
        <v>57</v>
      </c>
      <c r="C6246" s="309"/>
      <c r="D6246" s="310"/>
    </row>
    <row r="6247" spans="1:4" x14ac:dyDescent="0.25">
      <c r="A6247" s="418" t="s">
        <v>13662</v>
      </c>
      <c r="B6247">
        <v>60</v>
      </c>
      <c r="C6247" s="309"/>
      <c r="D6247" s="310"/>
    </row>
    <row r="6248" spans="1:4" x14ac:dyDescent="0.25">
      <c r="A6248" s="418" t="s">
        <v>13663</v>
      </c>
      <c r="B6248">
        <v>60</v>
      </c>
      <c r="C6248" s="309"/>
      <c r="D6248" s="310"/>
    </row>
    <row r="6249" spans="1:4" x14ac:dyDescent="0.25">
      <c r="A6249" s="418" t="s">
        <v>13664</v>
      </c>
      <c r="B6249">
        <v>60</v>
      </c>
      <c r="C6249" s="309"/>
      <c r="D6249" s="310"/>
    </row>
    <row r="6250" spans="1:4" x14ac:dyDescent="0.25">
      <c r="A6250" s="418" t="s">
        <v>13665</v>
      </c>
      <c r="B6250">
        <v>57</v>
      </c>
      <c r="C6250" s="309"/>
      <c r="D6250" s="310"/>
    </row>
    <row r="6251" spans="1:4" x14ac:dyDescent="0.25">
      <c r="A6251" s="418" t="s">
        <v>13666</v>
      </c>
      <c r="B6251">
        <v>60</v>
      </c>
      <c r="C6251" s="309"/>
      <c r="D6251" s="310"/>
    </row>
    <row r="6252" spans="1:4" x14ac:dyDescent="0.25">
      <c r="A6252" s="418" t="s">
        <v>13667</v>
      </c>
      <c r="B6252">
        <v>60</v>
      </c>
      <c r="C6252" s="309"/>
      <c r="D6252" s="310"/>
    </row>
    <row r="6253" spans="1:4" x14ac:dyDescent="0.25">
      <c r="A6253" s="418" t="s">
        <v>13668</v>
      </c>
      <c r="B6253">
        <v>59</v>
      </c>
      <c r="C6253" s="309"/>
      <c r="D6253" s="310"/>
    </row>
    <row r="6254" spans="1:4" x14ac:dyDescent="0.25">
      <c r="A6254" s="418" t="s">
        <v>13669</v>
      </c>
      <c r="B6254">
        <v>59</v>
      </c>
      <c r="C6254" s="309"/>
      <c r="D6254" s="310"/>
    </row>
    <row r="6255" spans="1:4" x14ac:dyDescent="0.25">
      <c r="A6255" s="418" t="s">
        <v>13670</v>
      </c>
      <c r="B6255">
        <v>60</v>
      </c>
      <c r="C6255" s="309"/>
      <c r="D6255" s="310"/>
    </row>
    <row r="6256" spans="1:4" x14ac:dyDescent="0.25">
      <c r="A6256" s="418" t="s">
        <v>13671</v>
      </c>
      <c r="B6256">
        <v>55</v>
      </c>
      <c r="C6256" s="309"/>
      <c r="D6256" s="310"/>
    </row>
    <row r="6257" spans="1:4" x14ac:dyDescent="0.25">
      <c r="A6257" s="418" t="s">
        <v>13672</v>
      </c>
      <c r="B6257">
        <v>59</v>
      </c>
      <c r="C6257" s="309"/>
      <c r="D6257" s="310"/>
    </row>
    <row r="6258" spans="1:4" x14ac:dyDescent="0.25">
      <c r="A6258" s="418" t="s">
        <v>13673</v>
      </c>
      <c r="B6258">
        <v>56</v>
      </c>
      <c r="C6258" s="309"/>
      <c r="D6258" s="310"/>
    </row>
    <row r="6259" spans="1:4" x14ac:dyDescent="0.25">
      <c r="A6259" s="418" t="s">
        <v>13674</v>
      </c>
      <c r="B6259">
        <v>60</v>
      </c>
      <c r="C6259" s="309"/>
      <c r="D6259" s="310"/>
    </row>
    <row r="6260" spans="1:4" x14ac:dyDescent="0.25">
      <c r="A6260" s="418" t="s">
        <v>13675</v>
      </c>
      <c r="B6260">
        <v>56</v>
      </c>
      <c r="C6260" s="309"/>
      <c r="D6260" s="310"/>
    </row>
    <row r="6261" spans="1:4" x14ac:dyDescent="0.25">
      <c r="A6261" s="418" t="s">
        <v>13676</v>
      </c>
      <c r="B6261">
        <v>38</v>
      </c>
      <c r="C6261" s="309"/>
      <c r="D6261" s="310"/>
    </row>
    <row r="6262" spans="1:4" x14ac:dyDescent="0.25">
      <c r="A6262" s="418" t="s">
        <v>13677</v>
      </c>
      <c r="B6262">
        <v>58</v>
      </c>
      <c r="C6262" s="309"/>
      <c r="D6262" s="310"/>
    </row>
    <row r="6263" spans="1:4" x14ac:dyDescent="0.25">
      <c r="A6263" s="418" t="s">
        <v>13678</v>
      </c>
      <c r="B6263">
        <v>54</v>
      </c>
      <c r="C6263" s="309"/>
      <c r="D6263" s="310"/>
    </row>
    <row r="6264" spans="1:4" x14ac:dyDescent="0.25">
      <c r="A6264" s="418" t="s">
        <v>13679</v>
      </c>
      <c r="B6264">
        <v>58</v>
      </c>
      <c r="C6264" s="309"/>
      <c r="D6264" s="310"/>
    </row>
    <row r="6265" spans="1:4" x14ac:dyDescent="0.25">
      <c r="A6265" s="418" t="s">
        <v>13680</v>
      </c>
      <c r="B6265">
        <v>58</v>
      </c>
      <c r="C6265" s="309"/>
      <c r="D6265" s="310"/>
    </row>
    <row r="6266" spans="1:4" x14ac:dyDescent="0.25">
      <c r="A6266" s="418" t="s">
        <v>13681</v>
      </c>
      <c r="B6266">
        <v>58</v>
      </c>
      <c r="C6266" s="309"/>
      <c r="D6266" s="310"/>
    </row>
    <row r="6267" spans="1:4" x14ac:dyDescent="0.25">
      <c r="A6267" s="418" t="s">
        <v>13682</v>
      </c>
      <c r="B6267">
        <v>60</v>
      </c>
      <c r="C6267" s="309"/>
      <c r="D6267" s="310"/>
    </row>
    <row r="6268" spans="1:4" x14ac:dyDescent="0.25">
      <c r="A6268" s="418" t="s">
        <v>13683</v>
      </c>
      <c r="B6268">
        <v>58</v>
      </c>
      <c r="C6268" s="309"/>
      <c r="D6268" s="310"/>
    </row>
    <row r="6269" spans="1:4" x14ac:dyDescent="0.25">
      <c r="A6269" s="418" t="s">
        <v>13684</v>
      </c>
      <c r="B6269">
        <v>59</v>
      </c>
      <c r="C6269" s="309"/>
      <c r="D6269" s="310"/>
    </row>
    <row r="6270" spans="1:4" x14ac:dyDescent="0.25">
      <c r="A6270" s="418" t="s">
        <v>13685</v>
      </c>
      <c r="B6270">
        <v>57</v>
      </c>
      <c r="C6270" s="309"/>
      <c r="D6270" s="310"/>
    </row>
    <row r="6271" spans="1:4" x14ac:dyDescent="0.25">
      <c r="A6271" s="418" t="s">
        <v>13686</v>
      </c>
      <c r="B6271">
        <v>53</v>
      </c>
      <c r="C6271" s="309"/>
      <c r="D6271" s="310"/>
    </row>
    <row r="6272" spans="1:4" x14ac:dyDescent="0.25">
      <c r="A6272" s="418" t="s">
        <v>13687</v>
      </c>
      <c r="B6272">
        <v>59</v>
      </c>
      <c r="C6272" s="309"/>
      <c r="D6272" s="310"/>
    </row>
    <row r="6273" spans="1:4" x14ac:dyDescent="0.25">
      <c r="A6273" s="418" t="s">
        <v>13688</v>
      </c>
      <c r="B6273">
        <v>57</v>
      </c>
      <c r="C6273" s="309"/>
      <c r="D6273" s="310"/>
    </row>
    <row r="6274" spans="1:4" x14ac:dyDescent="0.25">
      <c r="A6274" s="418" t="s">
        <v>13689</v>
      </c>
      <c r="B6274">
        <v>59</v>
      </c>
      <c r="C6274" s="309"/>
      <c r="D6274" s="310"/>
    </row>
    <row r="6275" spans="1:4" x14ac:dyDescent="0.25">
      <c r="A6275" s="418" t="s">
        <v>13690</v>
      </c>
      <c r="B6275">
        <v>57</v>
      </c>
      <c r="C6275" s="309"/>
      <c r="D6275" s="310"/>
    </row>
    <row r="6276" spans="1:4" x14ac:dyDescent="0.25">
      <c r="A6276" s="418" t="s">
        <v>13691</v>
      </c>
      <c r="B6276">
        <v>56</v>
      </c>
      <c r="C6276" s="309"/>
      <c r="D6276" s="310"/>
    </row>
    <row r="6277" spans="1:4" x14ac:dyDescent="0.25">
      <c r="A6277" s="418" t="s">
        <v>13692</v>
      </c>
      <c r="B6277">
        <v>57</v>
      </c>
      <c r="C6277" s="309"/>
      <c r="D6277" s="310"/>
    </row>
    <row r="6278" spans="1:4" x14ac:dyDescent="0.25">
      <c r="A6278" s="418" t="s">
        <v>13693</v>
      </c>
      <c r="B6278">
        <v>58</v>
      </c>
      <c r="C6278" s="309"/>
      <c r="D6278" s="310"/>
    </row>
    <row r="6279" spans="1:4" x14ac:dyDescent="0.25">
      <c r="A6279" s="418" t="s">
        <v>13694</v>
      </c>
      <c r="B6279">
        <v>54</v>
      </c>
      <c r="C6279" s="309"/>
      <c r="D6279" s="310"/>
    </row>
    <row r="6280" spans="1:4" x14ac:dyDescent="0.25">
      <c r="A6280" s="418" t="s">
        <v>13695</v>
      </c>
      <c r="B6280">
        <v>60</v>
      </c>
      <c r="C6280" s="309"/>
      <c r="D6280" s="310"/>
    </row>
    <row r="6281" spans="1:4" x14ac:dyDescent="0.25">
      <c r="A6281" s="418" t="s">
        <v>13696</v>
      </c>
      <c r="B6281">
        <v>60</v>
      </c>
      <c r="C6281" s="309"/>
      <c r="D6281" s="310"/>
    </row>
    <row r="6282" spans="1:4" x14ac:dyDescent="0.25">
      <c r="A6282" s="418" t="s">
        <v>13697</v>
      </c>
      <c r="B6282">
        <v>57</v>
      </c>
      <c r="C6282" s="309"/>
      <c r="D6282" s="310"/>
    </row>
    <row r="6283" spans="1:4" x14ac:dyDescent="0.25">
      <c r="A6283" s="418" t="s">
        <v>13698</v>
      </c>
      <c r="B6283">
        <v>57</v>
      </c>
      <c r="C6283" s="309"/>
      <c r="D6283" s="310"/>
    </row>
    <row r="6284" spans="1:4" x14ac:dyDescent="0.25">
      <c r="A6284" s="418" t="s">
        <v>13699</v>
      </c>
      <c r="B6284">
        <v>58</v>
      </c>
      <c r="C6284" s="309"/>
      <c r="D6284" s="310"/>
    </row>
    <row r="6285" spans="1:4" x14ac:dyDescent="0.25">
      <c r="A6285" s="418" t="s">
        <v>13700</v>
      </c>
      <c r="B6285">
        <v>56</v>
      </c>
      <c r="C6285" s="309"/>
      <c r="D6285" s="310"/>
    </row>
    <row r="6286" spans="1:4" x14ac:dyDescent="0.25">
      <c r="A6286" s="418" t="s">
        <v>13701</v>
      </c>
      <c r="B6286">
        <v>60</v>
      </c>
      <c r="C6286" s="309"/>
      <c r="D6286" s="310"/>
    </row>
    <row r="6287" spans="1:4" x14ac:dyDescent="0.25">
      <c r="A6287" s="418" t="s">
        <v>13702</v>
      </c>
      <c r="B6287">
        <v>55</v>
      </c>
      <c r="C6287" s="309"/>
      <c r="D6287" s="310"/>
    </row>
    <row r="6288" spans="1:4" x14ac:dyDescent="0.25">
      <c r="A6288" s="418" t="s">
        <v>13703</v>
      </c>
      <c r="B6288">
        <v>59</v>
      </c>
      <c r="C6288" s="309"/>
      <c r="D6288" s="310"/>
    </row>
    <row r="6289" spans="1:4" x14ac:dyDescent="0.25">
      <c r="A6289" s="418" t="s">
        <v>13704</v>
      </c>
      <c r="B6289">
        <v>56</v>
      </c>
      <c r="C6289" s="309"/>
      <c r="D6289" s="310"/>
    </row>
    <row r="6290" spans="1:4" x14ac:dyDescent="0.25">
      <c r="A6290" s="418" t="s">
        <v>13705</v>
      </c>
      <c r="B6290">
        <v>60</v>
      </c>
      <c r="C6290" s="309"/>
      <c r="D6290" s="310"/>
    </row>
    <row r="6291" spans="1:4" x14ac:dyDescent="0.25">
      <c r="A6291" s="418" t="s">
        <v>13706</v>
      </c>
      <c r="B6291">
        <v>53</v>
      </c>
      <c r="C6291" s="309"/>
      <c r="D6291" s="310"/>
    </row>
    <row r="6292" spans="1:4" x14ac:dyDescent="0.25">
      <c r="A6292" s="418" t="s">
        <v>13707</v>
      </c>
      <c r="B6292">
        <v>56</v>
      </c>
      <c r="C6292" s="309"/>
      <c r="D6292" s="310"/>
    </row>
    <row r="6293" spans="1:4" x14ac:dyDescent="0.25">
      <c r="A6293" s="418" t="s">
        <v>13708</v>
      </c>
      <c r="B6293">
        <v>39</v>
      </c>
      <c r="C6293" s="309"/>
      <c r="D6293" s="310"/>
    </row>
    <row r="6294" spans="1:4" x14ac:dyDescent="0.25">
      <c r="A6294" s="418" t="s">
        <v>13709</v>
      </c>
      <c r="B6294">
        <v>56</v>
      </c>
      <c r="C6294" s="309"/>
      <c r="D6294" s="310"/>
    </row>
    <row r="6295" spans="1:4" x14ac:dyDescent="0.25">
      <c r="A6295" s="418" t="s">
        <v>13710</v>
      </c>
      <c r="B6295">
        <v>53</v>
      </c>
      <c r="C6295" s="309"/>
      <c r="D6295" s="310"/>
    </row>
    <row r="6296" spans="1:4" x14ac:dyDescent="0.25">
      <c r="A6296" s="418" t="s">
        <v>13711</v>
      </c>
      <c r="B6296">
        <v>59</v>
      </c>
      <c r="C6296" s="309"/>
      <c r="D6296" s="310"/>
    </row>
    <row r="6297" spans="1:4" x14ac:dyDescent="0.25">
      <c r="A6297" s="418" t="s">
        <v>13712</v>
      </c>
      <c r="B6297">
        <v>60</v>
      </c>
      <c r="C6297" s="309"/>
      <c r="D6297" s="310"/>
    </row>
    <row r="6298" spans="1:4" x14ac:dyDescent="0.25">
      <c r="A6298" s="418" t="s">
        <v>13713</v>
      </c>
      <c r="B6298">
        <v>59</v>
      </c>
      <c r="C6298" s="309"/>
      <c r="D6298" s="310"/>
    </row>
    <row r="6299" spans="1:4" x14ac:dyDescent="0.25">
      <c r="A6299" s="418" t="s">
        <v>13714</v>
      </c>
      <c r="B6299">
        <v>60</v>
      </c>
      <c r="C6299" s="309"/>
      <c r="D6299" s="310"/>
    </row>
    <row r="6300" spans="1:4" x14ac:dyDescent="0.25">
      <c r="A6300" s="418" t="s">
        <v>13715</v>
      </c>
      <c r="B6300">
        <v>54</v>
      </c>
      <c r="C6300" s="309"/>
      <c r="D6300" s="310"/>
    </row>
    <row r="6301" spans="1:4" x14ac:dyDescent="0.25">
      <c r="A6301" s="418" t="s">
        <v>13716</v>
      </c>
      <c r="B6301">
        <v>58</v>
      </c>
      <c r="C6301" s="309"/>
      <c r="D6301" s="310"/>
    </row>
    <row r="6302" spans="1:4" x14ac:dyDescent="0.25">
      <c r="A6302" s="418" t="s">
        <v>13717</v>
      </c>
      <c r="B6302">
        <v>60</v>
      </c>
      <c r="C6302" s="309"/>
      <c r="D6302" s="310"/>
    </row>
    <row r="6303" spans="1:4" x14ac:dyDescent="0.25">
      <c r="A6303" s="418" t="s">
        <v>13718</v>
      </c>
      <c r="B6303">
        <v>59</v>
      </c>
      <c r="C6303" s="309"/>
      <c r="D6303" s="310"/>
    </row>
    <row r="6304" spans="1:4" x14ac:dyDescent="0.25">
      <c r="A6304" s="418" t="s">
        <v>13719</v>
      </c>
      <c r="B6304">
        <v>52</v>
      </c>
      <c r="C6304" s="309"/>
      <c r="D6304" s="310"/>
    </row>
    <row r="6305" spans="1:4" x14ac:dyDescent="0.25">
      <c r="A6305" s="418" t="s">
        <v>13720</v>
      </c>
      <c r="B6305">
        <v>57</v>
      </c>
      <c r="C6305" s="309"/>
      <c r="D6305" s="310"/>
    </row>
    <row r="6306" spans="1:4" x14ac:dyDescent="0.25">
      <c r="A6306" s="418" t="s">
        <v>13721</v>
      </c>
      <c r="B6306">
        <v>58</v>
      </c>
      <c r="C6306" s="309"/>
      <c r="D6306" s="310"/>
    </row>
    <row r="6307" spans="1:4" x14ac:dyDescent="0.25">
      <c r="A6307" s="418" t="s">
        <v>13722</v>
      </c>
      <c r="B6307">
        <v>59</v>
      </c>
      <c r="C6307" s="309"/>
      <c r="D6307" s="310"/>
    </row>
    <row r="6308" spans="1:4" x14ac:dyDescent="0.25">
      <c r="A6308" s="418" t="s">
        <v>13723</v>
      </c>
      <c r="B6308">
        <v>59</v>
      </c>
      <c r="C6308" s="309"/>
      <c r="D6308" s="310"/>
    </row>
    <row r="6309" spans="1:4" x14ac:dyDescent="0.25">
      <c r="A6309" s="418" t="s">
        <v>13724</v>
      </c>
      <c r="B6309">
        <v>57</v>
      </c>
      <c r="C6309" s="309"/>
      <c r="D6309" s="310"/>
    </row>
    <row r="6310" spans="1:4" x14ac:dyDescent="0.25">
      <c r="A6310" s="418" t="s">
        <v>13725</v>
      </c>
      <c r="B6310">
        <v>52</v>
      </c>
      <c r="C6310" s="309"/>
      <c r="D6310" s="310"/>
    </row>
    <row r="6311" spans="1:4" x14ac:dyDescent="0.25">
      <c r="A6311" s="418" t="s">
        <v>13726</v>
      </c>
      <c r="B6311">
        <v>58</v>
      </c>
      <c r="C6311" s="309"/>
      <c r="D6311" s="310"/>
    </row>
    <row r="6312" spans="1:4" x14ac:dyDescent="0.25">
      <c r="A6312" s="418" t="s">
        <v>13727</v>
      </c>
      <c r="B6312">
        <v>59</v>
      </c>
      <c r="C6312" s="309"/>
      <c r="D6312" s="310"/>
    </row>
    <row r="6313" spans="1:4" x14ac:dyDescent="0.25">
      <c r="A6313" s="418" t="s">
        <v>13728</v>
      </c>
      <c r="B6313">
        <v>55</v>
      </c>
      <c r="C6313" s="309"/>
      <c r="D6313" s="310"/>
    </row>
    <row r="6314" spans="1:4" x14ac:dyDescent="0.25">
      <c r="A6314" s="418" t="s">
        <v>13729</v>
      </c>
      <c r="B6314">
        <v>55</v>
      </c>
      <c r="C6314" s="309"/>
      <c r="D6314" s="310"/>
    </row>
    <row r="6315" spans="1:4" x14ac:dyDescent="0.25">
      <c r="A6315" s="418" t="s">
        <v>13730</v>
      </c>
      <c r="B6315">
        <v>59</v>
      </c>
      <c r="C6315" s="309"/>
      <c r="D6315" s="310"/>
    </row>
    <row r="6316" spans="1:4" x14ac:dyDescent="0.25">
      <c r="A6316" s="418" t="s">
        <v>13731</v>
      </c>
      <c r="B6316">
        <v>55</v>
      </c>
      <c r="C6316" s="309"/>
      <c r="D6316" s="310"/>
    </row>
    <row r="6317" spans="1:4" x14ac:dyDescent="0.25">
      <c r="A6317" s="418" t="s">
        <v>13732</v>
      </c>
      <c r="B6317">
        <v>60</v>
      </c>
      <c r="C6317" s="309"/>
      <c r="D6317" s="310"/>
    </row>
    <row r="6318" spans="1:4" x14ac:dyDescent="0.25">
      <c r="A6318" s="418" t="s">
        <v>13733</v>
      </c>
      <c r="B6318">
        <v>57</v>
      </c>
      <c r="C6318" s="309"/>
      <c r="D6318" s="310"/>
    </row>
    <row r="6319" spans="1:4" x14ac:dyDescent="0.25">
      <c r="A6319" s="418" t="s">
        <v>13734</v>
      </c>
      <c r="B6319">
        <v>59</v>
      </c>
      <c r="C6319" s="309"/>
      <c r="D6319" s="310"/>
    </row>
    <row r="6320" spans="1:4" x14ac:dyDescent="0.25">
      <c r="A6320" s="418" t="s">
        <v>13735</v>
      </c>
      <c r="B6320">
        <v>58</v>
      </c>
      <c r="C6320" s="309"/>
      <c r="D6320" s="310"/>
    </row>
    <row r="6321" spans="1:4" x14ac:dyDescent="0.25">
      <c r="A6321" s="418" t="s">
        <v>13736</v>
      </c>
      <c r="B6321">
        <v>57</v>
      </c>
      <c r="C6321" s="309"/>
      <c r="D6321" s="310"/>
    </row>
    <row r="6322" spans="1:4" x14ac:dyDescent="0.25">
      <c r="A6322" s="418" t="s">
        <v>13737</v>
      </c>
      <c r="B6322">
        <v>55</v>
      </c>
      <c r="C6322" s="309"/>
      <c r="D6322" s="310"/>
    </row>
    <row r="6323" spans="1:4" x14ac:dyDescent="0.25">
      <c r="A6323" s="418" t="s">
        <v>13738</v>
      </c>
      <c r="B6323">
        <v>59</v>
      </c>
      <c r="C6323" s="309"/>
      <c r="D6323" s="310"/>
    </row>
    <row r="6324" spans="1:4" x14ac:dyDescent="0.25">
      <c r="A6324" s="418" t="s">
        <v>13739</v>
      </c>
      <c r="B6324">
        <v>60</v>
      </c>
      <c r="C6324" s="309"/>
      <c r="D6324" s="310"/>
    </row>
    <row r="6325" spans="1:4" x14ac:dyDescent="0.25">
      <c r="A6325" s="418" t="s">
        <v>13740</v>
      </c>
      <c r="B6325">
        <v>55</v>
      </c>
      <c r="C6325" s="309"/>
      <c r="D6325" s="310"/>
    </row>
    <row r="6326" spans="1:4" x14ac:dyDescent="0.25">
      <c r="A6326" s="418" t="s">
        <v>13741</v>
      </c>
      <c r="B6326">
        <v>57</v>
      </c>
      <c r="C6326" s="309"/>
      <c r="D6326" s="310"/>
    </row>
    <row r="6327" spans="1:4" x14ac:dyDescent="0.25">
      <c r="A6327" s="418" t="s">
        <v>13742</v>
      </c>
      <c r="B6327">
        <v>59</v>
      </c>
      <c r="C6327" s="309"/>
      <c r="D6327" s="310"/>
    </row>
    <row r="6328" spans="1:4" x14ac:dyDescent="0.25">
      <c r="A6328" s="418" t="s">
        <v>13743</v>
      </c>
      <c r="B6328">
        <v>59</v>
      </c>
      <c r="C6328" s="309"/>
      <c r="D6328" s="310"/>
    </row>
    <row r="6329" spans="1:4" x14ac:dyDescent="0.25">
      <c r="A6329" s="418" t="s">
        <v>13744</v>
      </c>
      <c r="B6329">
        <v>60</v>
      </c>
      <c r="C6329" s="309"/>
      <c r="D6329" s="310"/>
    </row>
    <row r="6330" spans="1:4" x14ac:dyDescent="0.25">
      <c r="A6330" s="418" t="s">
        <v>13745</v>
      </c>
      <c r="B6330">
        <v>56</v>
      </c>
      <c r="C6330" s="309"/>
      <c r="D6330" s="310"/>
    </row>
    <row r="6331" spans="1:4" x14ac:dyDescent="0.25">
      <c r="A6331" s="418" t="s">
        <v>13746</v>
      </c>
      <c r="B6331">
        <v>56</v>
      </c>
      <c r="C6331" s="309"/>
      <c r="D6331" s="310"/>
    </row>
    <row r="6332" spans="1:4" x14ac:dyDescent="0.25">
      <c r="A6332" s="418" t="s">
        <v>13747</v>
      </c>
      <c r="B6332">
        <v>59</v>
      </c>
      <c r="C6332" s="309"/>
      <c r="D6332" s="310"/>
    </row>
    <row r="6333" spans="1:4" x14ac:dyDescent="0.25">
      <c r="A6333" s="418" t="s">
        <v>13748</v>
      </c>
      <c r="B6333">
        <v>60</v>
      </c>
      <c r="C6333" s="309"/>
      <c r="D6333" s="310"/>
    </row>
    <row r="6334" spans="1:4" x14ac:dyDescent="0.25">
      <c r="A6334" s="418" t="s">
        <v>13749</v>
      </c>
      <c r="B6334">
        <v>58</v>
      </c>
      <c r="C6334" s="309"/>
      <c r="D6334" s="310"/>
    </row>
    <row r="6335" spans="1:4" x14ac:dyDescent="0.25">
      <c r="A6335" s="418" t="s">
        <v>13750</v>
      </c>
      <c r="B6335">
        <v>59</v>
      </c>
      <c r="C6335" s="309"/>
      <c r="D6335" s="310"/>
    </row>
    <row r="6336" spans="1:4" x14ac:dyDescent="0.25">
      <c r="A6336" s="418" t="s">
        <v>13751</v>
      </c>
      <c r="B6336">
        <v>56</v>
      </c>
      <c r="C6336" s="309"/>
      <c r="D6336" s="310"/>
    </row>
    <row r="6337" spans="1:4" x14ac:dyDescent="0.25">
      <c r="A6337" s="418" t="s">
        <v>13752</v>
      </c>
      <c r="B6337">
        <v>59</v>
      </c>
      <c r="C6337" s="309"/>
      <c r="D6337" s="310"/>
    </row>
    <row r="6338" spans="1:4" x14ac:dyDescent="0.25">
      <c r="A6338" s="418" t="s">
        <v>13753</v>
      </c>
      <c r="B6338">
        <v>55</v>
      </c>
      <c r="C6338" s="309"/>
      <c r="D6338" s="310"/>
    </row>
    <row r="6339" spans="1:4" x14ac:dyDescent="0.25">
      <c r="A6339" s="418" t="s">
        <v>13754</v>
      </c>
      <c r="B6339">
        <v>47</v>
      </c>
      <c r="C6339" s="309"/>
      <c r="D6339" s="310"/>
    </row>
    <row r="6340" spans="1:4" x14ac:dyDescent="0.25">
      <c r="A6340" s="418" t="s">
        <v>13755</v>
      </c>
      <c r="B6340">
        <v>60</v>
      </c>
      <c r="C6340" s="309"/>
      <c r="D6340" s="310"/>
    </row>
    <row r="6341" spans="1:4" x14ac:dyDescent="0.25">
      <c r="A6341" s="418" t="s">
        <v>13756</v>
      </c>
      <c r="B6341">
        <v>58</v>
      </c>
      <c r="C6341" s="309"/>
      <c r="D6341" s="310"/>
    </row>
    <row r="6342" spans="1:4" x14ac:dyDescent="0.25">
      <c r="A6342" s="418" t="s">
        <v>13757</v>
      </c>
      <c r="B6342">
        <v>53</v>
      </c>
      <c r="C6342" s="309"/>
      <c r="D6342" s="310"/>
    </row>
    <row r="6343" spans="1:4" x14ac:dyDescent="0.25">
      <c r="A6343" s="418" t="s">
        <v>13758</v>
      </c>
      <c r="B6343">
        <v>58</v>
      </c>
      <c r="C6343" s="309"/>
      <c r="D6343" s="310"/>
    </row>
    <row r="6344" spans="1:4" x14ac:dyDescent="0.25">
      <c r="A6344" s="418" t="s">
        <v>13759</v>
      </c>
      <c r="B6344">
        <v>60</v>
      </c>
      <c r="C6344" s="309"/>
      <c r="D6344" s="310"/>
    </row>
    <row r="6345" spans="1:4" x14ac:dyDescent="0.25">
      <c r="A6345" s="418" t="s">
        <v>13760</v>
      </c>
      <c r="B6345">
        <v>53</v>
      </c>
      <c r="C6345" s="309"/>
      <c r="D6345" s="310"/>
    </row>
    <row r="6346" spans="1:4" x14ac:dyDescent="0.25">
      <c r="A6346" s="418" t="s">
        <v>13761</v>
      </c>
      <c r="B6346">
        <v>60</v>
      </c>
      <c r="C6346" s="309"/>
      <c r="D6346" s="310"/>
    </row>
    <row r="6347" spans="1:4" x14ac:dyDescent="0.25">
      <c r="A6347" s="418" t="s">
        <v>13762</v>
      </c>
      <c r="B6347">
        <v>60</v>
      </c>
      <c r="C6347" s="309"/>
      <c r="D6347" s="310"/>
    </row>
    <row r="6348" spans="1:4" x14ac:dyDescent="0.25">
      <c r="A6348" s="418" t="s">
        <v>13763</v>
      </c>
      <c r="B6348">
        <v>58</v>
      </c>
      <c r="C6348" s="309"/>
      <c r="D6348" s="310"/>
    </row>
    <row r="6349" spans="1:4" x14ac:dyDescent="0.25">
      <c r="A6349" s="418" t="s">
        <v>13764</v>
      </c>
      <c r="B6349">
        <v>59</v>
      </c>
      <c r="C6349" s="309"/>
      <c r="D6349" s="310"/>
    </row>
    <row r="6350" spans="1:4" x14ac:dyDescent="0.25">
      <c r="A6350" s="418" t="s">
        <v>13765</v>
      </c>
      <c r="B6350">
        <v>54</v>
      </c>
      <c r="C6350" s="309"/>
      <c r="D6350" s="310"/>
    </row>
    <row r="6351" spans="1:4" x14ac:dyDescent="0.25">
      <c r="A6351" s="418" t="s">
        <v>13766</v>
      </c>
      <c r="B6351">
        <v>59</v>
      </c>
      <c r="C6351" s="309"/>
      <c r="D6351" s="310"/>
    </row>
    <row r="6352" spans="1:4" x14ac:dyDescent="0.25">
      <c r="A6352" s="418" t="s">
        <v>13767</v>
      </c>
      <c r="B6352">
        <v>57</v>
      </c>
      <c r="C6352" s="309"/>
      <c r="D6352" s="310"/>
    </row>
    <row r="6353" spans="1:4" x14ac:dyDescent="0.25">
      <c r="A6353" s="418" t="s">
        <v>13768</v>
      </c>
      <c r="B6353">
        <v>57</v>
      </c>
      <c r="C6353" s="309"/>
      <c r="D6353" s="310"/>
    </row>
    <row r="6354" spans="1:4" x14ac:dyDescent="0.25">
      <c r="A6354" s="418" t="s">
        <v>13769</v>
      </c>
      <c r="B6354">
        <v>58</v>
      </c>
      <c r="C6354" s="309"/>
      <c r="D6354" s="310"/>
    </row>
    <row r="6355" spans="1:4" x14ac:dyDescent="0.25">
      <c r="A6355" s="418" t="s">
        <v>13770</v>
      </c>
      <c r="B6355">
        <v>56</v>
      </c>
      <c r="C6355" s="309"/>
      <c r="D6355" s="310"/>
    </row>
    <row r="6356" spans="1:4" x14ac:dyDescent="0.25">
      <c r="A6356" s="418" t="s">
        <v>13771</v>
      </c>
      <c r="B6356">
        <v>59</v>
      </c>
      <c r="C6356" s="309"/>
      <c r="D6356" s="310"/>
    </row>
    <row r="6357" spans="1:4" x14ac:dyDescent="0.25">
      <c r="A6357" s="418" t="s">
        <v>13772</v>
      </c>
      <c r="B6357">
        <v>60</v>
      </c>
      <c r="C6357" s="309"/>
      <c r="D6357" s="310"/>
    </row>
    <row r="6358" spans="1:4" x14ac:dyDescent="0.25">
      <c r="A6358" s="418" t="s">
        <v>13773</v>
      </c>
      <c r="B6358">
        <v>60</v>
      </c>
      <c r="C6358" s="309"/>
      <c r="D6358" s="310"/>
    </row>
    <row r="6359" spans="1:4" x14ac:dyDescent="0.25">
      <c r="A6359" s="418" t="s">
        <v>16629</v>
      </c>
      <c r="B6359">
        <v>56</v>
      </c>
      <c r="C6359" s="309"/>
      <c r="D6359" s="310"/>
    </row>
    <row r="6360" spans="1:4" x14ac:dyDescent="0.25">
      <c r="A6360" s="418" t="s">
        <v>13774</v>
      </c>
      <c r="B6360">
        <v>54</v>
      </c>
      <c r="C6360" s="309"/>
      <c r="D6360" s="310"/>
    </row>
    <row r="6361" spans="1:4" x14ac:dyDescent="0.25">
      <c r="A6361" s="418" t="s">
        <v>13775</v>
      </c>
      <c r="B6361">
        <v>59</v>
      </c>
      <c r="C6361" s="309"/>
      <c r="D6361" s="310"/>
    </row>
    <row r="6362" spans="1:4" x14ac:dyDescent="0.25">
      <c r="A6362" s="418" t="s">
        <v>13776</v>
      </c>
      <c r="B6362">
        <v>58</v>
      </c>
      <c r="C6362" s="309"/>
      <c r="D6362" s="310"/>
    </row>
    <row r="6363" spans="1:4" x14ac:dyDescent="0.25">
      <c r="A6363" s="418" t="s">
        <v>13777</v>
      </c>
      <c r="B6363">
        <v>58</v>
      </c>
      <c r="C6363" s="309"/>
      <c r="D6363" s="310"/>
    </row>
    <row r="6364" spans="1:4" x14ac:dyDescent="0.25">
      <c r="A6364" s="418" t="s">
        <v>13778</v>
      </c>
      <c r="B6364">
        <v>55</v>
      </c>
      <c r="C6364" s="309"/>
      <c r="D6364" s="310"/>
    </row>
    <row r="6365" spans="1:4" x14ac:dyDescent="0.25">
      <c r="A6365" s="418" t="s">
        <v>13779</v>
      </c>
      <c r="B6365">
        <v>60</v>
      </c>
      <c r="C6365" s="309"/>
      <c r="D6365" s="310"/>
    </row>
    <row r="6366" spans="1:4" x14ac:dyDescent="0.25">
      <c r="A6366" s="418" t="s">
        <v>13780</v>
      </c>
      <c r="B6366">
        <v>60</v>
      </c>
      <c r="C6366" s="309"/>
      <c r="D6366" s="310"/>
    </row>
    <row r="6367" spans="1:4" x14ac:dyDescent="0.25">
      <c r="A6367" s="418" t="s">
        <v>13781</v>
      </c>
      <c r="B6367">
        <v>58</v>
      </c>
      <c r="C6367" s="309"/>
      <c r="D6367" s="310"/>
    </row>
    <row r="6368" spans="1:4" x14ac:dyDescent="0.25">
      <c r="A6368" s="418" t="s">
        <v>13782</v>
      </c>
      <c r="B6368">
        <v>60</v>
      </c>
      <c r="C6368" s="309"/>
      <c r="D6368" s="310"/>
    </row>
    <row r="6369" spans="1:4" x14ac:dyDescent="0.25">
      <c r="A6369" s="418" t="s">
        <v>13783</v>
      </c>
      <c r="B6369">
        <v>56</v>
      </c>
      <c r="C6369" s="309"/>
      <c r="D6369" s="310"/>
    </row>
    <row r="6370" spans="1:4" x14ac:dyDescent="0.25">
      <c r="A6370" s="418" t="s">
        <v>13784</v>
      </c>
      <c r="B6370">
        <v>59</v>
      </c>
      <c r="C6370" s="309"/>
      <c r="D6370" s="310"/>
    </row>
    <row r="6371" spans="1:4" x14ac:dyDescent="0.25">
      <c r="A6371" s="418" t="s">
        <v>13785</v>
      </c>
      <c r="B6371">
        <v>56</v>
      </c>
      <c r="C6371" s="309"/>
      <c r="D6371" s="310"/>
    </row>
    <row r="6372" spans="1:4" x14ac:dyDescent="0.25">
      <c r="A6372" s="418" t="s">
        <v>17299</v>
      </c>
      <c r="B6372">
        <v>60</v>
      </c>
      <c r="C6372" s="309"/>
      <c r="D6372" s="310"/>
    </row>
    <row r="6373" spans="1:4" x14ac:dyDescent="0.25">
      <c r="A6373" s="418" t="s">
        <v>13786</v>
      </c>
      <c r="B6373">
        <v>54</v>
      </c>
      <c r="C6373" s="309"/>
      <c r="D6373" s="310"/>
    </row>
    <row r="6374" spans="1:4" x14ac:dyDescent="0.25">
      <c r="A6374" s="418" t="s">
        <v>13787</v>
      </c>
      <c r="B6374">
        <v>60</v>
      </c>
      <c r="C6374" s="309"/>
      <c r="D6374" s="310"/>
    </row>
    <row r="6375" spans="1:4" x14ac:dyDescent="0.25">
      <c r="A6375" s="418" t="s">
        <v>13788</v>
      </c>
      <c r="B6375">
        <v>60</v>
      </c>
      <c r="C6375" s="309"/>
      <c r="D6375" s="310"/>
    </row>
    <row r="6376" spans="1:4" x14ac:dyDescent="0.25">
      <c r="A6376" s="418" t="s">
        <v>13789</v>
      </c>
      <c r="B6376">
        <v>60</v>
      </c>
      <c r="C6376" s="309"/>
      <c r="D6376" s="310"/>
    </row>
    <row r="6377" spans="1:4" x14ac:dyDescent="0.25">
      <c r="A6377" s="418" t="s">
        <v>13790</v>
      </c>
      <c r="B6377">
        <v>57</v>
      </c>
      <c r="C6377" s="309"/>
      <c r="D6377" s="310"/>
    </row>
    <row r="6378" spans="1:4" x14ac:dyDescent="0.25">
      <c r="A6378" s="418" t="s">
        <v>13791</v>
      </c>
      <c r="B6378">
        <v>53</v>
      </c>
      <c r="C6378" s="309"/>
      <c r="D6378" s="310"/>
    </row>
    <row r="6379" spans="1:4" x14ac:dyDescent="0.25">
      <c r="A6379" s="418" t="s">
        <v>13792</v>
      </c>
      <c r="B6379">
        <v>59</v>
      </c>
      <c r="C6379" s="309"/>
      <c r="D6379" s="310"/>
    </row>
    <row r="6380" spans="1:4" x14ac:dyDescent="0.25">
      <c r="A6380" s="418" t="s">
        <v>13793</v>
      </c>
      <c r="B6380">
        <v>56</v>
      </c>
      <c r="C6380" s="309"/>
      <c r="D6380" s="310"/>
    </row>
    <row r="6381" spans="1:4" x14ac:dyDescent="0.25">
      <c r="A6381" s="418" t="s">
        <v>13794</v>
      </c>
      <c r="B6381">
        <v>58</v>
      </c>
      <c r="C6381" s="309"/>
      <c r="D6381" s="310"/>
    </row>
    <row r="6382" spans="1:4" x14ac:dyDescent="0.25">
      <c r="A6382" s="418" t="s">
        <v>13795</v>
      </c>
      <c r="B6382">
        <v>59</v>
      </c>
      <c r="C6382" s="309"/>
      <c r="D6382" s="310"/>
    </row>
    <row r="6383" spans="1:4" x14ac:dyDescent="0.25">
      <c r="A6383" s="418" t="s">
        <v>13796</v>
      </c>
      <c r="B6383">
        <v>60</v>
      </c>
      <c r="C6383" s="309"/>
      <c r="D6383" s="310"/>
    </row>
    <row r="6384" spans="1:4" x14ac:dyDescent="0.25">
      <c r="A6384" s="418" t="s">
        <v>13797</v>
      </c>
      <c r="B6384">
        <v>46</v>
      </c>
      <c r="C6384" s="309"/>
      <c r="D6384" s="310"/>
    </row>
    <row r="6385" spans="1:4" x14ac:dyDescent="0.25">
      <c r="A6385" s="418" t="s">
        <v>13798</v>
      </c>
      <c r="B6385">
        <v>60</v>
      </c>
      <c r="C6385" s="309"/>
      <c r="D6385" s="310"/>
    </row>
    <row r="6386" spans="1:4" x14ac:dyDescent="0.25">
      <c r="A6386" s="418" t="s">
        <v>13799</v>
      </c>
      <c r="B6386">
        <v>58</v>
      </c>
      <c r="C6386" s="309"/>
      <c r="D6386" s="310"/>
    </row>
    <row r="6387" spans="1:4" x14ac:dyDescent="0.25">
      <c r="A6387" s="418" t="s">
        <v>13800</v>
      </c>
      <c r="B6387">
        <v>50</v>
      </c>
      <c r="C6387" s="309"/>
      <c r="D6387" s="310"/>
    </row>
    <row r="6388" spans="1:4" x14ac:dyDescent="0.25">
      <c r="A6388" s="418" t="s">
        <v>17300</v>
      </c>
      <c r="B6388">
        <v>60</v>
      </c>
      <c r="C6388" s="309"/>
      <c r="D6388" s="310"/>
    </row>
    <row r="6389" spans="1:4" x14ac:dyDescent="0.25">
      <c r="A6389" s="418" t="s">
        <v>13801</v>
      </c>
      <c r="B6389">
        <v>60</v>
      </c>
      <c r="C6389" s="309"/>
      <c r="D6389" s="310"/>
    </row>
    <row r="6390" spans="1:4" x14ac:dyDescent="0.25">
      <c r="A6390" s="418" t="s">
        <v>13802</v>
      </c>
      <c r="B6390">
        <v>57</v>
      </c>
      <c r="C6390" s="309"/>
      <c r="D6390" s="310"/>
    </row>
    <row r="6391" spans="1:4" x14ac:dyDescent="0.25">
      <c r="A6391" s="418" t="s">
        <v>13803</v>
      </c>
      <c r="B6391">
        <v>58</v>
      </c>
      <c r="C6391" s="309"/>
      <c r="D6391" s="310"/>
    </row>
    <row r="6392" spans="1:4" x14ac:dyDescent="0.25">
      <c r="A6392" s="418" t="s">
        <v>13804</v>
      </c>
      <c r="B6392">
        <v>58</v>
      </c>
      <c r="C6392" s="309"/>
      <c r="D6392" s="310"/>
    </row>
    <row r="6393" spans="1:4" x14ac:dyDescent="0.25">
      <c r="A6393" s="418" t="s">
        <v>13805</v>
      </c>
      <c r="B6393">
        <v>60</v>
      </c>
      <c r="C6393" s="309"/>
      <c r="D6393" s="310"/>
    </row>
    <row r="6394" spans="1:4" x14ac:dyDescent="0.25">
      <c r="A6394" s="418" t="s">
        <v>13806</v>
      </c>
      <c r="B6394">
        <v>58</v>
      </c>
      <c r="C6394" s="309"/>
      <c r="D6394" s="310"/>
    </row>
    <row r="6395" spans="1:4" x14ac:dyDescent="0.25">
      <c r="A6395" s="418" t="s">
        <v>13807</v>
      </c>
      <c r="B6395">
        <v>58</v>
      </c>
      <c r="C6395" s="309"/>
      <c r="D6395" s="310"/>
    </row>
    <row r="6396" spans="1:4" x14ac:dyDescent="0.25">
      <c r="A6396" s="418" t="s">
        <v>13808</v>
      </c>
      <c r="B6396">
        <v>59</v>
      </c>
      <c r="C6396" s="309"/>
      <c r="D6396" s="310"/>
    </row>
    <row r="6397" spans="1:4" x14ac:dyDescent="0.25">
      <c r="A6397" s="418" t="s">
        <v>13809</v>
      </c>
      <c r="B6397">
        <v>44</v>
      </c>
      <c r="C6397" s="309"/>
      <c r="D6397" s="310"/>
    </row>
    <row r="6398" spans="1:4" x14ac:dyDescent="0.25">
      <c r="A6398" s="418" t="s">
        <v>13810</v>
      </c>
      <c r="B6398">
        <v>56</v>
      </c>
      <c r="C6398" s="309"/>
      <c r="D6398" s="310"/>
    </row>
    <row r="6399" spans="1:4" x14ac:dyDescent="0.25">
      <c r="A6399" s="418" t="s">
        <v>13811</v>
      </c>
      <c r="B6399">
        <v>52</v>
      </c>
      <c r="C6399" s="309"/>
      <c r="D6399" s="310"/>
    </row>
    <row r="6400" spans="1:4" x14ac:dyDescent="0.25">
      <c r="A6400" s="418" t="s">
        <v>13812</v>
      </c>
      <c r="B6400">
        <v>59</v>
      </c>
      <c r="C6400" s="309"/>
      <c r="D6400" s="310"/>
    </row>
    <row r="6401" spans="1:4" x14ac:dyDescent="0.25">
      <c r="A6401" s="418" t="s">
        <v>13813</v>
      </c>
      <c r="B6401">
        <v>60</v>
      </c>
      <c r="C6401" s="309"/>
      <c r="D6401" s="310"/>
    </row>
    <row r="6402" spans="1:4" x14ac:dyDescent="0.25">
      <c r="A6402" s="418" t="s">
        <v>13814</v>
      </c>
      <c r="B6402">
        <v>58</v>
      </c>
      <c r="C6402" s="309"/>
      <c r="D6402" s="310"/>
    </row>
    <row r="6403" spans="1:4" x14ac:dyDescent="0.25">
      <c r="A6403" s="418" t="s">
        <v>13815</v>
      </c>
      <c r="B6403">
        <v>58</v>
      </c>
      <c r="C6403" s="309"/>
      <c r="D6403" s="310"/>
    </row>
    <row r="6404" spans="1:4" x14ac:dyDescent="0.25">
      <c r="A6404" s="418" t="s">
        <v>13816</v>
      </c>
      <c r="B6404">
        <v>56</v>
      </c>
      <c r="C6404" s="309"/>
      <c r="D6404" s="310"/>
    </row>
    <row r="6405" spans="1:4" x14ac:dyDescent="0.25">
      <c r="A6405" s="418" t="s">
        <v>13817</v>
      </c>
      <c r="B6405">
        <v>57</v>
      </c>
      <c r="C6405" s="309"/>
      <c r="D6405" s="310"/>
    </row>
    <row r="6406" spans="1:4" x14ac:dyDescent="0.25">
      <c r="A6406" s="418" t="s">
        <v>13818</v>
      </c>
      <c r="B6406">
        <v>56</v>
      </c>
      <c r="C6406" s="309"/>
      <c r="D6406" s="310"/>
    </row>
    <row r="6407" spans="1:4" x14ac:dyDescent="0.25">
      <c r="A6407" s="418" t="s">
        <v>13819</v>
      </c>
      <c r="B6407">
        <v>45</v>
      </c>
      <c r="C6407" s="309"/>
      <c r="D6407" s="310"/>
    </row>
    <row r="6408" spans="1:4" x14ac:dyDescent="0.25">
      <c r="A6408" s="418" t="s">
        <v>13820</v>
      </c>
      <c r="B6408">
        <v>60</v>
      </c>
      <c r="C6408" s="309"/>
      <c r="D6408" s="310"/>
    </row>
    <row r="6409" spans="1:4" x14ac:dyDescent="0.25">
      <c r="A6409" s="418" t="s">
        <v>17301</v>
      </c>
      <c r="B6409">
        <v>54</v>
      </c>
      <c r="C6409" s="309"/>
      <c r="D6409" s="310"/>
    </row>
    <row r="6410" spans="1:4" x14ac:dyDescent="0.25">
      <c r="A6410" s="418" t="s">
        <v>13821</v>
      </c>
      <c r="B6410">
        <v>59</v>
      </c>
      <c r="C6410" s="309"/>
      <c r="D6410" s="310"/>
    </row>
    <row r="6411" spans="1:4" x14ac:dyDescent="0.25">
      <c r="A6411" s="418" t="s">
        <v>13822</v>
      </c>
      <c r="B6411">
        <v>60</v>
      </c>
      <c r="C6411" s="309"/>
      <c r="D6411" s="310"/>
    </row>
    <row r="6412" spans="1:4" x14ac:dyDescent="0.25">
      <c r="A6412" s="418" t="s">
        <v>13823</v>
      </c>
      <c r="B6412">
        <v>57</v>
      </c>
      <c r="C6412" s="309"/>
      <c r="D6412" s="310"/>
    </row>
    <row r="6413" spans="1:4" x14ac:dyDescent="0.25">
      <c r="A6413" s="418" t="s">
        <v>13824</v>
      </c>
      <c r="B6413">
        <v>56</v>
      </c>
      <c r="C6413" s="309"/>
      <c r="D6413" s="310"/>
    </row>
    <row r="6414" spans="1:4" x14ac:dyDescent="0.25">
      <c r="A6414" s="418" t="s">
        <v>13825</v>
      </c>
      <c r="B6414">
        <v>59</v>
      </c>
      <c r="C6414" s="309"/>
      <c r="D6414" s="310"/>
    </row>
    <row r="6415" spans="1:4" x14ac:dyDescent="0.25">
      <c r="A6415" s="418" t="s">
        <v>13826</v>
      </c>
      <c r="B6415">
        <v>58</v>
      </c>
      <c r="C6415" s="309"/>
      <c r="D6415" s="310"/>
    </row>
    <row r="6416" spans="1:4" x14ac:dyDescent="0.25">
      <c r="A6416" s="418" t="s">
        <v>13827</v>
      </c>
      <c r="B6416">
        <v>54</v>
      </c>
      <c r="C6416" s="309"/>
      <c r="D6416" s="310"/>
    </row>
    <row r="6417" spans="1:4" x14ac:dyDescent="0.25">
      <c r="A6417" s="418" t="s">
        <v>13828</v>
      </c>
      <c r="B6417">
        <v>58</v>
      </c>
      <c r="C6417" s="309"/>
      <c r="D6417" s="310"/>
    </row>
    <row r="6418" spans="1:4" x14ac:dyDescent="0.25">
      <c r="A6418" s="418" t="s">
        <v>13829</v>
      </c>
      <c r="B6418">
        <v>60</v>
      </c>
      <c r="C6418" s="309"/>
      <c r="D6418" s="310"/>
    </row>
    <row r="6419" spans="1:4" x14ac:dyDescent="0.25">
      <c r="A6419" s="418" t="s">
        <v>13830</v>
      </c>
      <c r="B6419">
        <v>58</v>
      </c>
      <c r="C6419" s="309"/>
      <c r="D6419" s="310"/>
    </row>
    <row r="6420" spans="1:4" x14ac:dyDescent="0.25">
      <c r="A6420" s="418" t="s">
        <v>13831</v>
      </c>
      <c r="B6420">
        <v>59</v>
      </c>
      <c r="C6420" s="309"/>
      <c r="D6420" s="310"/>
    </row>
    <row r="6421" spans="1:4" x14ac:dyDescent="0.25">
      <c r="A6421" s="418" t="s">
        <v>13832</v>
      </c>
      <c r="B6421">
        <v>60</v>
      </c>
      <c r="C6421" s="309"/>
      <c r="D6421" s="310"/>
    </row>
    <row r="6422" spans="1:4" x14ac:dyDescent="0.25">
      <c r="A6422" s="418" t="s">
        <v>13833</v>
      </c>
      <c r="B6422">
        <v>57</v>
      </c>
      <c r="C6422" s="309"/>
      <c r="D6422" s="310"/>
    </row>
    <row r="6423" spans="1:4" x14ac:dyDescent="0.25">
      <c r="A6423" s="418" t="s">
        <v>13834</v>
      </c>
      <c r="B6423">
        <v>59</v>
      </c>
      <c r="C6423" s="309"/>
      <c r="D6423" s="310"/>
    </row>
    <row r="6424" spans="1:4" x14ac:dyDescent="0.25">
      <c r="A6424" s="418" t="s">
        <v>13835</v>
      </c>
      <c r="B6424">
        <v>57</v>
      </c>
      <c r="C6424" s="309"/>
      <c r="D6424" s="310"/>
    </row>
    <row r="6425" spans="1:4" x14ac:dyDescent="0.25">
      <c r="A6425" s="418" t="s">
        <v>13836</v>
      </c>
      <c r="B6425">
        <v>56</v>
      </c>
      <c r="C6425" s="309"/>
      <c r="D6425" s="310"/>
    </row>
    <row r="6426" spans="1:4" x14ac:dyDescent="0.25">
      <c r="A6426" s="418" t="s">
        <v>13837</v>
      </c>
      <c r="B6426">
        <v>59</v>
      </c>
      <c r="C6426" s="309"/>
      <c r="D6426" s="310"/>
    </row>
    <row r="6427" spans="1:4" x14ac:dyDescent="0.25">
      <c r="A6427" s="418" t="s">
        <v>13838</v>
      </c>
      <c r="B6427">
        <v>60</v>
      </c>
      <c r="C6427" s="309"/>
      <c r="D6427" s="310"/>
    </row>
    <row r="6428" spans="1:4" x14ac:dyDescent="0.25">
      <c r="A6428" s="418" t="s">
        <v>13839</v>
      </c>
      <c r="B6428">
        <v>57</v>
      </c>
      <c r="C6428" s="309"/>
      <c r="D6428" s="310"/>
    </row>
    <row r="6429" spans="1:4" x14ac:dyDescent="0.25">
      <c r="A6429" s="418" t="s">
        <v>13840</v>
      </c>
      <c r="B6429">
        <v>57</v>
      </c>
      <c r="C6429" s="309"/>
      <c r="D6429" s="310"/>
    </row>
    <row r="6430" spans="1:4" x14ac:dyDescent="0.25">
      <c r="A6430" s="418" t="s">
        <v>13841</v>
      </c>
      <c r="B6430">
        <v>59</v>
      </c>
      <c r="C6430" s="309"/>
      <c r="D6430" s="310"/>
    </row>
    <row r="6431" spans="1:4" x14ac:dyDescent="0.25">
      <c r="A6431" s="418" t="s">
        <v>13842</v>
      </c>
      <c r="B6431">
        <v>58</v>
      </c>
      <c r="C6431" s="309"/>
      <c r="D6431" s="310"/>
    </row>
    <row r="6432" spans="1:4" x14ac:dyDescent="0.25">
      <c r="A6432" s="418" t="s">
        <v>13843</v>
      </c>
      <c r="B6432">
        <v>54</v>
      </c>
      <c r="C6432" s="309"/>
      <c r="D6432" s="310"/>
    </row>
    <row r="6433" spans="1:4" x14ac:dyDescent="0.25">
      <c r="A6433" s="418" t="s">
        <v>13844</v>
      </c>
      <c r="B6433">
        <v>60</v>
      </c>
      <c r="C6433" s="309"/>
      <c r="D6433" s="310"/>
    </row>
    <row r="6434" spans="1:4" x14ac:dyDescent="0.25">
      <c r="A6434" s="418" t="s">
        <v>13845</v>
      </c>
      <c r="B6434">
        <v>57</v>
      </c>
      <c r="C6434" s="309"/>
      <c r="D6434" s="310"/>
    </row>
    <row r="6435" spans="1:4" x14ac:dyDescent="0.25">
      <c r="A6435" s="418" t="s">
        <v>16352</v>
      </c>
      <c r="B6435">
        <v>58</v>
      </c>
      <c r="C6435" s="309"/>
      <c r="D6435" s="310"/>
    </row>
    <row r="6436" spans="1:4" x14ac:dyDescent="0.25">
      <c r="A6436" s="418" t="s">
        <v>13846</v>
      </c>
      <c r="B6436">
        <v>48</v>
      </c>
      <c r="C6436" s="309"/>
      <c r="D6436" s="310"/>
    </row>
    <row r="6437" spans="1:4" x14ac:dyDescent="0.25">
      <c r="A6437" s="418" t="s">
        <v>13847</v>
      </c>
      <c r="B6437">
        <v>57</v>
      </c>
      <c r="C6437" s="309"/>
      <c r="D6437" s="310"/>
    </row>
    <row r="6438" spans="1:4" x14ac:dyDescent="0.25">
      <c r="A6438" s="418" t="s">
        <v>13848</v>
      </c>
      <c r="B6438">
        <v>60</v>
      </c>
      <c r="C6438" s="309"/>
      <c r="D6438" s="310"/>
    </row>
    <row r="6439" spans="1:4" x14ac:dyDescent="0.25">
      <c r="A6439" s="418" t="s">
        <v>13849</v>
      </c>
      <c r="B6439">
        <v>57</v>
      </c>
      <c r="C6439" s="309"/>
      <c r="D6439" s="310"/>
    </row>
    <row r="6440" spans="1:4" x14ac:dyDescent="0.25">
      <c r="A6440" s="418" t="s">
        <v>13850</v>
      </c>
      <c r="B6440">
        <v>58</v>
      </c>
      <c r="C6440" s="309"/>
      <c r="D6440" s="310"/>
    </row>
    <row r="6441" spans="1:4" x14ac:dyDescent="0.25">
      <c r="A6441" s="418" t="s">
        <v>13851</v>
      </c>
      <c r="B6441">
        <v>58</v>
      </c>
      <c r="C6441" s="309"/>
      <c r="D6441" s="310"/>
    </row>
    <row r="6442" spans="1:4" x14ac:dyDescent="0.25">
      <c r="A6442" s="418" t="s">
        <v>13852</v>
      </c>
      <c r="B6442">
        <v>58</v>
      </c>
      <c r="C6442" s="309"/>
      <c r="D6442" s="310"/>
    </row>
    <row r="6443" spans="1:4" x14ac:dyDescent="0.25">
      <c r="A6443" s="418" t="s">
        <v>13853</v>
      </c>
      <c r="B6443">
        <v>59</v>
      </c>
      <c r="C6443" s="309"/>
      <c r="D6443" s="310"/>
    </row>
    <row r="6444" spans="1:4" x14ac:dyDescent="0.25">
      <c r="A6444" s="418" t="s">
        <v>17302</v>
      </c>
      <c r="B6444">
        <v>59</v>
      </c>
      <c r="C6444" s="309"/>
      <c r="D6444" s="310"/>
    </row>
    <row r="6445" spans="1:4" x14ac:dyDescent="0.25">
      <c r="A6445" s="418" t="s">
        <v>13854</v>
      </c>
      <c r="B6445">
        <v>43</v>
      </c>
      <c r="C6445" s="309"/>
      <c r="D6445" s="310"/>
    </row>
    <row r="6446" spans="1:4" x14ac:dyDescent="0.25">
      <c r="A6446" s="418" t="s">
        <v>13855</v>
      </c>
      <c r="B6446">
        <v>59</v>
      </c>
      <c r="C6446" s="309"/>
      <c r="D6446" s="310"/>
    </row>
    <row r="6447" spans="1:4" x14ac:dyDescent="0.25">
      <c r="A6447" s="418" t="s">
        <v>13856</v>
      </c>
      <c r="B6447">
        <v>59</v>
      </c>
      <c r="C6447" s="309"/>
      <c r="D6447" s="310"/>
    </row>
    <row r="6448" spans="1:4" x14ac:dyDescent="0.25">
      <c r="A6448" s="418" t="s">
        <v>13857</v>
      </c>
      <c r="B6448">
        <v>56</v>
      </c>
      <c r="C6448" s="309"/>
      <c r="D6448" s="310"/>
    </row>
    <row r="6449" spans="1:4" x14ac:dyDescent="0.25">
      <c r="A6449" s="418" t="s">
        <v>13858</v>
      </c>
      <c r="B6449">
        <v>56</v>
      </c>
      <c r="C6449" s="309"/>
      <c r="D6449" s="310"/>
    </row>
    <row r="6450" spans="1:4" x14ac:dyDescent="0.25">
      <c r="A6450" s="418" t="s">
        <v>13859</v>
      </c>
      <c r="B6450">
        <v>60</v>
      </c>
      <c r="C6450" s="309"/>
      <c r="D6450" s="310"/>
    </row>
    <row r="6451" spans="1:4" x14ac:dyDescent="0.25">
      <c r="A6451" s="418" t="s">
        <v>13860</v>
      </c>
      <c r="B6451">
        <v>59</v>
      </c>
      <c r="C6451" s="309"/>
      <c r="D6451" s="310"/>
    </row>
    <row r="6452" spans="1:4" x14ac:dyDescent="0.25">
      <c r="A6452" s="418" t="s">
        <v>13861</v>
      </c>
      <c r="B6452">
        <v>56</v>
      </c>
      <c r="C6452" s="309"/>
      <c r="D6452" s="310"/>
    </row>
    <row r="6453" spans="1:4" x14ac:dyDescent="0.25">
      <c r="A6453" s="418" t="s">
        <v>13862</v>
      </c>
      <c r="B6453">
        <v>58</v>
      </c>
      <c r="C6453" s="309"/>
      <c r="D6453" s="310"/>
    </row>
    <row r="6454" spans="1:4" x14ac:dyDescent="0.25">
      <c r="A6454" s="418" t="s">
        <v>13863</v>
      </c>
      <c r="B6454">
        <v>60</v>
      </c>
      <c r="C6454" s="309"/>
      <c r="D6454" s="310"/>
    </row>
    <row r="6455" spans="1:4" x14ac:dyDescent="0.25">
      <c r="A6455" s="418" t="s">
        <v>13864</v>
      </c>
      <c r="B6455">
        <v>60</v>
      </c>
      <c r="C6455" s="309"/>
      <c r="D6455" s="310"/>
    </row>
    <row r="6456" spans="1:4" x14ac:dyDescent="0.25">
      <c r="A6456" s="418" t="s">
        <v>13865</v>
      </c>
      <c r="B6456">
        <v>60</v>
      </c>
      <c r="C6456" s="309"/>
      <c r="D6456" s="310"/>
    </row>
    <row r="6457" spans="1:4" x14ac:dyDescent="0.25">
      <c r="A6457" s="418" t="s">
        <v>13866</v>
      </c>
      <c r="B6457">
        <v>58</v>
      </c>
      <c r="C6457" s="309"/>
      <c r="D6457" s="310"/>
    </row>
    <row r="6458" spans="1:4" x14ac:dyDescent="0.25">
      <c r="A6458" s="418" t="s">
        <v>17303</v>
      </c>
      <c r="B6458">
        <v>55</v>
      </c>
      <c r="C6458" s="309"/>
      <c r="D6458" s="310"/>
    </row>
    <row r="6459" spans="1:4" x14ac:dyDescent="0.25">
      <c r="A6459" s="418" t="s">
        <v>13867</v>
      </c>
      <c r="B6459">
        <v>58</v>
      </c>
      <c r="C6459" s="309"/>
      <c r="D6459" s="310"/>
    </row>
    <row r="6460" spans="1:4" x14ac:dyDescent="0.25">
      <c r="A6460" s="418" t="s">
        <v>16921</v>
      </c>
      <c r="B6460">
        <v>58</v>
      </c>
      <c r="C6460" s="309"/>
      <c r="D6460" s="310"/>
    </row>
    <row r="6461" spans="1:4" x14ac:dyDescent="0.25">
      <c r="A6461" s="418" t="s">
        <v>13868</v>
      </c>
      <c r="B6461">
        <v>60</v>
      </c>
      <c r="C6461" s="309"/>
      <c r="D6461" s="310"/>
    </row>
    <row r="6462" spans="1:4" x14ac:dyDescent="0.25">
      <c r="A6462" s="418" t="s">
        <v>17304</v>
      </c>
      <c r="B6462">
        <v>59</v>
      </c>
      <c r="C6462" s="309"/>
      <c r="D6462" s="310"/>
    </row>
    <row r="6463" spans="1:4" x14ac:dyDescent="0.25">
      <c r="A6463" s="418" t="s">
        <v>13869</v>
      </c>
      <c r="B6463">
        <v>60</v>
      </c>
      <c r="C6463" s="309"/>
      <c r="D6463" s="310"/>
    </row>
    <row r="6464" spans="1:4" x14ac:dyDescent="0.25">
      <c r="A6464" s="418" t="s">
        <v>13870</v>
      </c>
      <c r="B6464">
        <v>58</v>
      </c>
      <c r="C6464" s="309"/>
      <c r="D6464" s="310"/>
    </row>
    <row r="6465" spans="1:4" x14ac:dyDescent="0.25">
      <c r="A6465" s="418" t="s">
        <v>13871</v>
      </c>
      <c r="B6465">
        <v>30</v>
      </c>
      <c r="C6465" s="309"/>
      <c r="D6465" s="310"/>
    </row>
    <row r="6466" spans="1:4" x14ac:dyDescent="0.25">
      <c r="A6466" s="418" t="s">
        <v>13872</v>
      </c>
      <c r="B6466">
        <v>58</v>
      </c>
      <c r="C6466" s="309"/>
      <c r="D6466" s="310"/>
    </row>
    <row r="6467" spans="1:4" x14ac:dyDescent="0.25">
      <c r="A6467" s="418" t="s">
        <v>13873</v>
      </c>
      <c r="B6467">
        <v>56</v>
      </c>
      <c r="C6467" s="309"/>
      <c r="D6467" s="310"/>
    </row>
    <row r="6468" spans="1:4" x14ac:dyDescent="0.25">
      <c r="A6468" s="418" t="s">
        <v>13874</v>
      </c>
      <c r="B6468">
        <v>55</v>
      </c>
      <c r="C6468" s="309"/>
      <c r="D6468" s="310"/>
    </row>
    <row r="6469" spans="1:4" x14ac:dyDescent="0.25">
      <c r="A6469" s="418" t="s">
        <v>13875</v>
      </c>
      <c r="B6469">
        <v>52</v>
      </c>
      <c r="C6469" s="309"/>
      <c r="D6469" s="310"/>
    </row>
    <row r="6470" spans="1:4" x14ac:dyDescent="0.25">
      <c r="A6470" s="418" t="s">
        <v>13876</v>
      </c>
      <c r="B6470">
        <v>59</v>
      </c>
      <c r="C6470" s="309"/>
      <c r="D6470" s="310"/>
    </row>
    <row r="6471" spans="1:4" x14ac:dyDescent="0.25">
      <c r="A6471" s="418" t="s">
        <v>13877</v>
      </c>
      <c r="B6471">
        <v>58</v>
      </c>
      <c r="C6471" s="309"/>
      <c r="D6471" s="310"/>
    </row>
    <row r="6472" spans="1:4" x14ac:dyDescent="0.25">
      <c r="A6472" s="418" t="s">
        <v>13878</v>
      </c>
      <c r="B6472">
        <v>60</v>
      </c>
      <c r="C6472" s="309"/>
      <c r="D6472" s="310"/>
    </row>
    <row r="6473" spans="1:4" x14ac:dyDescent="0.25">
      <c r="A6473" s="418" t="s">
        <v>13879</v>
      </c>
      <c r="B6473">
        <v>57</v>
      </c>
      <c r="C6473" s="309"/>
      <c r="D6473" s="310"/>
    </row>
    <row r="6474" spans="1:4" x14ac:dyDescent="0.25">
      <c r="A6474" s="418" t="s">
        <v>13880</v>
      </c>
      <c r="B6474">
        <v>54</v>
      </c>
      <c r="C6474" s="309"/>
      <c r="D6474" s="310"/>
    </row>
    <row r="6475" spans="1:4" x14ac:dyDescent="0.25">
      <c r="A6475" s="418" t="s">
        <v>13881</v>
      </c>
      <c r="B6475">
        <v>57</v>
      </c>
      <c r="C6475" s="309"/>
      <c r="D6475" s="310"/>
    </row>
    <row r="6476" spans="1:4" x14ac:dyDescent="0.25">
      <c r="A6476" s="418" t="s">
        <v>13882</v>
      </c>
      <c r="B6476">
        <v>56</v>
      </c>
      <c r="C6476" s="309"/>
      <c r="D6476" s="310"/>
    </row>
    <row r="6477" spans="1:4" x14ac:dyDescent="0.25">
      <c r="A6477" s="418" t="s">
        <v>13883</v>
      </c>
      <c r="B6477">
        <v>58</v>
      </c>
      <c r="C6477" s="309"/>
      <c r="D6477" s="310"/>
    </row>
    <row r="6478" spans="1:4" x14ac:dyDescent="0.25">
      <c r="A6478" s="418" t="s">
        <v>13884</v>
      </c>
      <c r="B6478">
        <v>60</v>
      </c>
      <c r="C6478" s="309"/>
      <c r="D6478" s="310"/>
    </row>
    <row r="6479" spans="1:4" x14ac:dyDescent="0.25">
      <c r="A6479" s="418" t="s">
        <v>13885</v>
      </c>
      <c r="B6479">
        <v>59</v>
      </c>
      <c r="C6479" s="309"/>
      <c r="D6479" s="310"/>
    </row>
    <row r="6480" spans="1:4" x14ac:dyDescent="0.25">
      <c r="A6480" s="418" t="s">
        <v>13886</v>
      </c>
      <c r="B6480">
        <v>60</v>
      </c>
      <c r="C6480" s="309"/>
      <c r="D6480" s="310"/>
    </row>
    <row r="6481" spans="1:4" x14ac:dyDescent="0.25">
      <c r="A6481" s="418" t="s">
        <v>13887</v>
      </c>
      <c r="B6481">
        <v>57</v>
      </c>
      <c r="C6481" s="309"/>
      <c r="D6481" s="310"/>
    </row>
    <row r="6482" spans="1:4" x14ac:dyDescent="0.25">
      <c r="A6482" s="418" t="s">
        <v>13888</v>
      </c>
      <c r="B6482">
        <v>60</v>
      </c>
      <c r="C6482" s="309"/>
      <c r="D6482" s="310"/>
    </row>
    <row r="6483" spans="1:4" x14ac:dyDescent="0.25">
      <c r="A6483" s="418" t="s">
        <v>13889</v>
      </c>
      <c r="B6483">
        <v>59</v>
      </c>
      <c r="C6483" s="309"/>
      <c r="D6483" s="310"/>
    </row>
    <row r="6484" spans="1:4" x14ac:dyDescent="0.25">
      <c r="A6484" s="418" t="s">
        <v>16630</v>
      </c>
      <c r="B6484">
        <v>60</v>
      </c>
      <c r="C6484" s="309"/>
      <c r="D6484" s="310"/>
    </row>
    <row r="6485" spans="1:4" x14ac:dyDescent="0.25">
      <c r="A6485" s="418" t="s">
        <v>16631</v>
      </c>
      <c r="B6485">
        <v>60</v>
      </c>
      <c r="C6485" s="309"/>
      <c r="D6485" s="310"/>
    </row>
    <row r="6486" spans="1:4" x14ac:dyDescent="0.25">
      <c r="A6486" s="418" t="s">
        <v>13890</v>
      </c>
      <c r="B6486">
        <v>57</v>
      </c>
      <c r="C6486" s="309"/>
      <c r="D6486" s="310"/>
    </row>
    <row r="6487" spans="1:4" x14ac:dyDescent="0.25">
      <c r="A6487" s="418" t="s">
        <v>13891</v>
      </c>
      <c r="B6487">
        <v>60</v>
      </c>
      <c r="C6487" s="309"/>
      <c r="D6487" s="310"/>
    </row>
    <row r="6488" spans="1:4" x14ac:dyDescent="0.25">
      <c r="A6488" s="418" t="s">
        <v>16632</v>
      </c>
      <c r="B6488">
        <v>56</v>
      </c>
      <c r="C6488" s="309"/>
      <c r="D6488" s="310"/>
    </row>
    <row r="6489" spans="1:4" x14ac:dyDescent="0.25">
      <c r="A6489" s="418" t="s">
        <v>13892</v>
      </c>
      <c r="B6489">
        <v>58</v>
      </c>
      <c r="C6489" s="309"/>
      <c r="D6489" s="310"/>
    </row>
    <row r="6490" spans="1:4" x14ac:dyDescent="0.25">
      <c r="A6490" s="418" t="s">
        <v>13893</v>
      </c>
      <c r="B6490">
        <v>56</v>
      </c>
      <c r="C6490" s="309"/>
      <c r="D6490" s="310"/>
    </row>
    <row r="6491" spans="1:4" x14ac:dyDescent="0.25">
      <c r="A6491" s="418" t="s">
        <v>13894</v>
      </c>
      <c r="B6491">
        <v>57</v>
      </c>
      <c r="C6491" s="309"/>
      <c r="D6491" s="310"/>
    </row>
    <row r="6492" spans="1:4" x14ac:dyDescent="0.25">
      <c r="A6492" s="418" t="s">
        <v>16633</v>
      </c>
      <c r="B6492">
        <v>56</v>
      </c>
      <c r="C6492" s="309"/>
      <c r="D6492" s="310"/>
    </row>
    <row r="6493" spans="1:4" x14ac:dyDescent="0.25">
      <c r="A6493" s="418" t="s">
        <v>13895</v>
      </c>
      <c r="B6493">
        <v>57</v>
      </c>
      <c r="C6493" s="309"/>
      <c r="D6493" s="310"/>
    </row>
    <row r="6494" spans="1:4" x14ac:dyDescent="0.25">
      <c r="A6494" s="418" t="s">
        <v>13896</v>
      </c>
      <c r="B6494">
        <v>57</v>
      </c>
      <c r="C6494" s="309"/>
      <c r="D6494" s="310"/>
    </row>
    <row r="6495" spans="1:4" x14ac:dyDescent="0.25">
      <c r="A6495" s="418" t="s">
        <v>13897</v>
      </c>
      <c r="B6495">
        <v>58</v>
      </c>
      <c r="C6495" s="309"/>
      <c r="D6495" s="310"/>
    </row>
    <row r="6496" spans="1:4" x14ac:dyDescent="0.25">
      <c r="A6496" s="418" t="s">
        <v>17305</v>
      </c>
      <c r="B6496">
        <v>58</v>
      </c>
      <c r="C6496" s="309"/>
      <c r="D6496" s="310"/>
    </row>
    <row r="6497" spans="1:4" x14ac:dyDescent="0.25">
      <c r="A6497" s="418" t="s">
        <v>13898</v>
      </c>
      <c r="B6497">
        <v>57</v>
      </c>
      <c r="C6497" s="309"/>
      <c r="D6497" s="310"/>
    </row>
    <row r="6498" spans="1:4" x14ac:dyDescent="0.25">
      <c r="A6498" s="418" t="s">
        <v>13899</v>
      </c>
      <c r="B6498">
        <v>60</v>
      </c>
      <c r="C6498" s="309"/>
      <c r="D6498" s="310"/>
    </row>
    <row r="6499" spans="1:4" x14ac:dyDescent="0.25">
      <c r="A6499" s="418" t="s">
        <v>13900</v>
      </c>
      <c r="B6499">
        <v>58</v>
      </c>
      <c r="C6499" s="309"/>
      <c r="D6499" s="310"/>
    </row>
    <row r="6500" spans="1:4" x14ac:dyDescent="0.25">
      <c r="A6500" s="418" t="s">
        <v>13901</v>
      </c>
      <c r="B6500">
        <v>59</v>
      </c>
      <c r="C6500" s="309"/>
      <c r="D6500" s="310"/>
    </row>
    <row r="6501" spans="1:4" x14ac:dyDescent="0.25">
      <c r="A6501" s="418" t="s">
        <v>16634</v>
      </c>
      <c r="B6501">
        <v>59</v>
      </c>
      <c r="C6501" s="309"/>
      <c r="D6501" s="310"/>
    </row>
    <row r="6502" spans="1:4" x14ac:dyDescent="0.25">
      <c r="A6502" s="418" t="s">
        <v>16635</v>
      </c>
      <c r="B6502">
        <v>60</v>
      </c>
      <c r="C6502" s="309"/>
      <c r="D6502" s="310"/>
    </row>
    <row r="6503" spans="1:4" x14ac:dyDescent="0.25">
      <c r="A6503" s="418" t="s">
        <v>13902</v>
      </c>
      <c r="B6503">
        <v>59</v>
      </c>
      <c r="C6503" s="309"/>
      <c r="D6503" s="310"/>
    </row>
    <row r="6504" spans="1:4" x14ac:dyDescent="0.25">
      <c r="A6504" s="418" t="s">
        <v>13903</v>
      </c>
      <c r="B6504">
        <v>56</v>
      </c>
      <c r="C6504" s="309"/>
      <c r="D6504" s="310"/>
    </row>
    <row r="6505" spans="1:4" x14ac:dyDescent="0.25">
      <c r="A6505" s="418" t="s">
        <v>13904</v>
      </c>
      <c r="B6505">
        <v>60</v>
      </c>
      <c r="C6505" s="309"/>
      <c r="D6505" s="310"/>
    </row>
    <row r="6506" spans="1:4" x14ac:dyDescent="0.25">
      <c r="A6506" s="418" t="s">
        <v>13905</v>
      </c>
      <c r="B6506">
        <v>58</v>
      </c>
      <c r="C6506" s="309"/>
      <c r="D6506" s="310"/>
    </row>
    <row r="6507" spans="1:4" x14ac:dyDescent="0.25">
      <c r="A6507" s="418" t="s">
        <v>16161</v>
      </c>
      <c r="B6507">
        <v>60</v>
      </c>
      <c r="C6507" s="309"/>
      <c r="D6507" s="310"/>
    </row>
    <row r="6508" spans="1:4" x14ac:dyDescent="0.25">
      <c r="A6508" s="418" t="s">
        <v>13906</v>
      </c>
      <c r="B6508">
        <v>60</v>
      </c>
      <c r="C6508" s="309"/>
      <c r="D6508" s="310"/>
    </row>
    <row r="6509" spans="1:4" x14ac:dyDescent="0.25">
      <c r="A6509" s="418" t="s">
        <v>13907</v>
      </c>
      <c r="B6509">
        <v>59</v>
      </c>
      <c r="C6509" s="309"/>
      <c r="D6509" s="310"/>
    </row>
    <row r="6510" spans="1:4" x14ac:dyDescent="0.25">
      <c r="A6510" s="418" t="s">
        <v>16162</v>
      </c>
      <c r="B6510">
        <v>58</v>
      </c>
      <c r="C6510" s="309"/>
      <c r="D6510" s="310"/>
    </row>
    <row r="6511" spans="1:4" x14ac:dyDescent="0.25">
      <c r="A6511" s="418" t="s">
        <v>13908</v>
      </c>
      <c r="B6511">
        <v>58</v>
      </c>
      <c r="C6511" s="309"/>
      <c r="D6511" s="310"/>
    </row>
    <row r="6512" spans="1:4" x14ac:dyDescent="0.25">
      <c r="A6512" s="418" t="s">
        <v>13909</v>
      </c>
      <c r="B6512">
        <v>56</v>
      </c>
      <c r="C6512" s="309"/>
      <c r="D6512" s="310"/>
    </row>
    <row r="6513" spans="1:4" x14ac:dyDescent="0.25">
      <c r="A6513" s="418" t="s">
        <v>13910</v>
      </c>
      <c r="B6513">
        <v>59</v>
      </c>
      <c r="C6513" s="309"/>
      <c r="D6513" s="310"/>
    </row>
    <row r="6514" spans="1:4" x14ac:dyDescent="0.25">
      <c r="A6514" s="418" t="s">
        <v>13911</v>
      </c>
      <c r="B6514">
        <v>58</v>
      </c>
      <c r="C6514" s="309"/>
      <c r="D6514" s="310"/>
    </row>
    <row r="6515" spans="1:4" x14ac:dyDescent="0.25">
      <c r="A6515" s="418" t="s">
        <v>13912</v>
      </c>
      <c r="B6515">
        <v>55</v>
      </c>
      <c r="C6515" s="309"/>
      <c r="D6515" s="310"/>
    </row>
    <row r="6516" spans="1:4" x14ac:dyDescent="0.25">
      <c r="A6516" s="418" t="s">
        <v>13913</v>
      </c>
      <c r="B6516">
        <v>58</v>
      </c>
      <c r="C6516" s="309"/>
      <c r="D6516" s="310"/>
    </row>
    <row r="6517" spans="1:4" x14ac:dyDescent="0.25">
      <c r="A6517" s="418" t="s">
        <v>13914</v>
      </c>
      <c r="B6517">
        <v>60</v>
      </c>
      <c r="C6517" s="309"/>
      <c r="D6517" s="310"/>
    </row>
    <row r="6518" spans="1:4" x14ac:dyDescent="0.25">
      <c r="A6518" s="418" t="s">
        <v>16636</v>
      </c>
      <c r="B6518">
        <v>60</v>
      </c>
      <c r="C6518" s="309"/>
      <c r="D6518" s="310"/>
    </row>
    <row r="6519" spans="1:4" x14ac:dyDescent="0.25">
      <c r="A6519" s="418" t="s">
        <v>13915</v>
      </c>
      <c r="B6519">
        <v>60</v>
      </c>
      <c r="C6519" s="309"/>
      <c r="D6519" s="310"/>
    </row>
    <row r="6520" spans="1:4" x14ac:dyDescent="0.25">
      <c r="A6520" s="418" t="s">
        <v>16637</v>
      </c>
      <c r="B6520">
        <v>58</v>
      </c>
      <c r="C6520" s="309"/>
      <c r="D6520" s="310"/>
    </row>
    <row r="6521" spans="1:4" x14ac:dyDescent="0.25">
      <c r="A6521" s="418" t="s">
        <v>13916</v>
      </c>
      <c r="B6521">
        <v>60</v>
      </c>
      <c r="C6521" s="309"/>
      <c r="D6521" s="310"/>
    </row>
    <row r="6522" spans="1:4" x14ac:dyDescent="0.25">
      <c r="A6522" s="418" t="s">
        <v>13917</v>
      </c>
      <c r="B6522">
        <v>56</v>
      </c>
      <c r="C6522" s="309"/>
      <c r="D6522" s="310"/>
    </row>
    <row r="6523" spans="1:4" x14ac:dyDescent="0.25">
      <c r="A6523" s="418" t="s">
        <v>13918</v>
      </c>
      <c r="B6523">
        <v>55</v>
      </c>
      <c r="C6523" s="309"/>
      <c r="D6523" s="310"/>
    </row>
    <row r="6524" spans="1:4" x14ac:dyDescent="0.25">
      <c r="A6524" s="418" t="s">
        <v>13919</v>
      </c>
      <c r="B6524">
        <v>54</v>
      </c>
      <c r="C6524" s="309"/>
      <c r="D6524" s="310"/>
    </row>
    <row r="6525" spans="1:4" x14ac:dyDescent="0.25">
      <c r="A6525" s="418" t="s">
        <v>16638</v>
      </c>
      <c r="B6525">
        <v>59</v>
      </c>
      <c r="C6525" s="309"/>
      <c r="D6525" s="310"/>
    </row>
    <row r="6526" spans="1:4" x14ac:dyDescent="0.25">
      <c r="A6526" s="418" t="s">
        <v>13920</v>
      </c>
      <c r="B6526">
        <v>59</v>
      </c>
      <c r="C6526" s="309"/>
      <c r="D6526" s="310"/>
    </row>
    <row r="6527" spans="1:4" x14ac:dyDescent="0.25">
      <c r="A6527" s="418" t="s">
        <v>17306</v>
      </c>
      <c r="B6527">
        <v>58</v>
      </c>
      <c r="C6527" s="309"/>
      <c r="D6527" s="310"/>
    </row>
    <row r="6528" spans="1:4" x14ac:dyDescent="0.25">
      <c r="A6528" s="418" t="s">
        <v>13921</v>
      </c>
      <c r="B6528">
        <v>60</v>
      </c>
      <c r="C6528" s="309"/>
      <c r="D6528" s="310"/>
    </row>
    <row r="6529" spans="1:4" x14ac:dyDescent="0.25">
      <c r="A6529" s="418" t="s">
        <v>13922</v>
      </c>
      <c r="B6529">
        <v>54</v>
      </c>
      <c r="C6529" s="309"/>
      <c r="D6529" s="310"/>
    </row>
    <row r="6530" spans="1:4" x14ac:dyDescent="0.25">
      <c r="A6530" s="418" t="s">
        <v>13923</v>
      </c>
      <c r="B6530">
        <v>60</v>
      </c>
      <c r="C6530" s="309"/>
      <c r="D6530" s="310"/>
    </row>
    <row r="6531" spans="1:4" x14ac:dyDescent="0.25">
      <c r="A6531" s="418" t="s">
        <v>16639</v>
      </c>
      <c r="B6531">
        <v>60</v>
      </c>
      <c r="C6531" s="309"/>
      <c r="D6531" s="310"/>
    </row>
    <row r="6532" spans="1:4" x14ac:dyDescent="0.25">
      <c r="A6532" s="418" t="s">
        <v>13924</v>
      </c>
      <c r="B6532">
        <v>57</v>
      </c>
      <c r="C6532" s="309"/>
      <c r="D6532" s="310"/>
    </row>
    <row r="6533" spans="1:4" x14ac:dyDescent="0.25">
      <c r="A6533" s="418" t="s">
        <v>13925</v>
      </c>
      <c r="B6533">
        <v>60</v>
      </c>
      <c r="C6533" s="309"/>
      <c r="D6533" s="310"/>
    </row>
    <row r="6534" spans="1:4" x14ac:dyDescent="0.25">
      <c r="A6534" s="418" t="s">
        <v>13926</v>
      </c>
      <c r="B6534">
        <v>53</v>
      </c>
      <c r="C6534" s="309"/>
      <c r="D6534" s="310"/>
    </row>
    <row r="6535" spans="1:4" x14ac:dyDescent="0.25">
      <c r="A6535" s="418" t="s">
        <v>13927</v>
      </c>
      <c r="B6535">
        <v>58</v>
      </c>
      <c r="C6535" s="309"/>
      <c r="D6535" s="310"/>
    </row>
    <row r="6536" spans="1:4" x14ac:dyDescent="0.25">
      <c r="A6536" s="418" t="s">
        <v>13928</v>
      </c>
      <c r="B6536">
        <v>57</v>
      </c>
      <c r="C6536" s="309"/>
      <c r="D6536" s="310"/>
    </row>
    <row r="6537" spans="1:4" x14ac:dyDescent="0.25">
      <c r="A6537" s="418" t="s">
        <v>13929</v>
      </c>
      <c r="B6537">
        <v>58</v>
      </c>
      <c r="C6537" s="309"/>
      <c r="D6537" s="310"/>
    </row>
    <row r="6538" spans="1:4" x14ac:dyDescent="0.25">
      <c r="A6538" s="418" t="s">
        <v>16163</v>
      </c>
      <c r="B6538">
        <v>60</v>
      </c>
      <c r="C6538" s="309"/>
      <c r="D6538" s="310"/>
    </row>
    <row r="6539" spans="1:4" x14ac:dyDescent="0.25">
      <c r="A6539" s="418" t="s">
        <v>13930</v>
      </c>
      <c r="B6539">
        <v>58</v>
      </c>
      <c r="C6539" s="309"/>
      <c r="D6539" s="310"/>
    </row>
    <row r="6540" spans="1:4" x14ac:dyDescent="0.25">
      <c r="A6540" s="418" t="s">
        <v>13931</v>
      </c>
      <c r="B6540">
        <v>58</v>
      </c>
      <c r="C6540" s="309"/>
      <c r="D6540" s="310"/>
    </row>
    <row r="6541" spans="1:4" x14ac:dyDescent="0.25">
      <c r="A6541" s="418" t="s">
        <v>13932</v>
      </c>
      <c r="B6541">
        <v>60</v>
      </c>
      <c r="C6541" s="309"/>
      <c r="D6541" s="310"/>
    </row>
    <row r="6542" spans="1:4" x14ac:dyDescent="0.25">
      <c r="A6542" s="418" t="s">
        <v>13933</v>
      </c>
      <c r="B6542">
        <v>60</v>
      </c>
      <c r="C6542" s="309"/>
      <c r="D6542" s="310"/>
    </row>
    <row r="6543" spans="1:4" x14ac:dyDescent="0.25">
      <c r="A6543" s="418" t="s">
        <v>13934</v>
      </c>
      <c r="B6543">
        <v>58</v>
      </c>
      <c r="C6543" s="309"/>
      <c r="D6543" s="310"/>
    </row>
    <row r="6544" spans="1:4" x14ac:dyDescent="0.25">
      <c r="A6544" s="418" t="s">
        <v>13935</v>
      </c>
      <c r="B6544">
        <v>60</v>
      </c>
      <c r="C6544" s="309"/>
      <c r="D6544" s="310"/>
    </row>
    <row r="6545" spans="1:4" x14ac:dyDescent="0.25">
      <c r="A6545" s="418" t="s">
        <v>15224</v>
      </c>
      <c r="B6545">
        <v>58</v>
      </c>
      <c r="C6545" s="309"/>
      <c r="D6545" s="310"/>
    </row>
    <row r="6546" spans="1:4" x14ac:dyDescent="0.25">
      <c r="A6546" s="418" t="s">
        <v>16640</v>
      </c>
      <c r="B6546">
        <v>58</v>
      </c>
      <c r="C6546" s="309"/>
      <c r="D6546" s="310"/>
    </row>
    <row r="6547" spans="1:4" x14ac:dyDescent="0.25">
      <c r="A6547" s="418" t="s">
        <v>13936</v>
      </c>
      <c r="B6547">
        <v>60</v>
      </c>
      <c r="C6547" s="309"/>
      <c r="D6547" s="310"/>
    </row>
    <row r="6548" spans="1:4" x14ac:dyDescent="0.25">
      <c r="A6548" s="418" t="s">
        <v>13937</v>
      </c>
      <c r="B6548">
        <v>60</v>
      </c>
      <c r="C6548" s="309"/>
      <c r="D6548" s="310"/>
    </row>
    <row r="6549" spans="1:4" x14ac:dyDescent="0.25">
      <c r="A6549" s="418" t="s">
        <v>16641</v>
      </c>
      <c r="B6549">
        <v>53</v>
      </c>
      <c r="C6549" s="309"/>
      <c r="D6549" s="310"/>
    </row>
    <row r="6550" spans="1:4" x14ac:dyDescent="0.25">
      <c r="A6550" s="418" t="s">
        <v>13938</v>
      </c>
      <c r="B6550">
        <v>58</v>
      </c>
      <c r="C6550" s="309"/>
      <c r="D6550" s="310"/>
    </row>
    <row r="6551" spans="1:4" x14ac:dyDescent="0.25">
      <c r="A6551" s="418" t="s">
        <v>13939</v>
      </c>
      <c r="B6551">
        <v>46</v>
      </c>
      <c r="C6551" s="309"/>
      <c r="D6551" s="310"/>
    </row>
    <row r="6552" spans="1:4" x14ac:dyDescent="0.25">
      <c r="A6552" s="418" t="s">
        <v>13940</v>
      </c>
      <c r="B6552">
        <v>57</v>
      </c>
      <c r="C6552" s="309"/>
      <c r="D6552" s="310"/>
    </row>
    <row r="6553" spans="1:4" x14ac:dyDescent="0.25">
      <c r="A6553" s="418" t="s">
        <v>13941</v>
      </c>
      <c r="B6553">
        <v>55</v>
      </c>
      <c r="C6553" s="309"/>
      <c r="D6553" s="310"/>
    </row>
    <row r="6554" spans="1:4" x14ac:dyDescent="0.25">
      <c r="A6554" s="418" t="s">
        <v>13942</v>
      </c>
      <c r="B6554">
        <v>60</v>
      </c>
      <c r="C6554" s="309"/>
      <c r="D6554" s="310"/>
    </row>
    <row r="6555" spans="1:4" x14ac:dyDescent="0.25">
      <c r="A6555" s="418" t="s">
        <v>16642</v>
      </c>
      <c r="B6555">
        <v>57</v>
      </c>
      <c r="C6555" s="309"/>
      <c r="D6555" s="310"/>
    </row>
    <row r="6556" spans="1:4" x14ac:dyDescent="0.25">
      <c r="A6556" s="418" t="s">
        <v>13943</v>
      </c>
      <c r="B6556">
        <v>57</v>
      </c>
      <c r="C6556" s="309"/>
      <c r="D6556" s="310"/>
    </row>
    <row r="6557" spans="1:4" x14ac:dyDescent="0.25">
      <c r="A6557" s="418" t="s">
        <v>13944</v>
      </c>
      <c r="B6557">
        <v>60</v>
      </c>
      <c r="C6557" s="309"/>
      <c r="D6557" s="310"/>
    </row>
    <row r="6558" spans="1:4" x14ac:dyDescent="0.25">
      <c r="A6558" s="418" t="s">
        <v>13945</v>
      </c>
      <c r="B6558">
        <v>59</v>
      </c>
      <c r="C6558" s="309"/>
      <c r="D6558" s="310"/>
    </row>
    <row r="6559" spans="1:4" x14ac:dyDescent="0.25">
      <c r="A6559" s="418" t="s">
        <v>13946</v>
      </c>
      <c r="B6559">
        <v>54</v>
      </c>
      <c r="C6559" s="309"/>
      <c r="D6559" s="310"/>
    </row>
    <row r="6560" spans="1:4" x14ac:dyDescent="0.25">
      <c r="A6560" s="418" t="s">
        <v>13947</v>
      </c>
      <c r="B6560">
        <v>59</v>
      </c>
      <c r="C6560" s="309"/>
      <c r="D6560" s="310"/>
    </row>
    <row r="6561" spans="1:4" x14ac:dyDescent="0.25">
      <c r="A6561" s="418" t="s">
        <v>13948</v>
      </c>
      <c r="B6561">
        <v>30</v>
      </c>
      <c r="C6561" s="309"/>
      <c r="D6561" s="310"/>
    </row>
    <row r="6562" spans="1:4" x14ac:dyDescent="0.25">
      <c r="A6562" s="418" t="s">
        <v>13949</v>
      </c>
      <c r="B6562">
        <v>57</v>
      </c>
      <c r="C6562" s="309"/>
      <c r="D6562" s="310"/>
    </row>
    <row r="6563" spans="1:4" x14ac:dyDescent="0.25">
      <c r="A6563" s="418" t="s">
        <v>15684</v>
      </c>
      <c r="B6563">
        <v>57</v>
      </c>
      <c r="C6563" s="309"/>
      <c r="D6563" s="310"/>
    </row>
    <row r="6564" spans="1:4" x14ac:dyDescent="0.25">
      <c r="A6564" s="418" t="s">
        <v>15438</v>
      </c>
      <c r="B6564">
        <v>57</v>
      </c>
      <c r="C6564" s="309"/>
      <c r="D6564" s="310"/>
    </row>
    <row r="6565" spans="1:4" x14ac:dyDescent="0.25">
      <c r="A6565" s="418" t="s">
        <v>16643</v>
      </c>
      <c r="B6565">
        <v>58</v>
      </c>
      <c r="C6565" s="309"/>
      <c r="D6565" s="310"/>
    </row>
    <row r="6566" spans="1:4" x14ac:dyDescent="0.25">
      <c r="A6566" s="418" t="s">
        <v>13950</v>
      </c>
      <c r="B6566">
        <v>57</v>
      </c>
      <c r="C6566" s="309"/>
      <c r="D6566" s="310"/>
    </row>
    <row r="6567" spans="1:4" x14ac:dyDescent="0.25">
      <c r="A6567" s="418" t="s">
        <v>13951</v>
      </c>
      <c r="B6567">
        <v>55</v>
      </c>
      <c r="C6567" s="309"/>
      <c r="D6567" s="310"/>
    </row>
    <row r="6568" spans="1:4" x14ac:dyDescent="0.25">
      <c r="A6568" s="418" t="s">
        <v>13952</v>
      </c>
      <c r="B6568">
        <v>60</v>
      </c>
      <c r="C6568" s="309"/>
      <c r="D6568" s="310"/>
    </row>
    <row r="6569" spans="1:4" x14ac:dyDescent="0.25">
      <c r="A6569" s="418" t="s">
        <v>13953</v>
      </c>
      <c r="B6569">
        <v>58</v>
      </c>
      <c r="C6569" s="309"/>
      <c r="D6569" s="310"/>
    </row>
    <row r="6570" spans="1:4" x14ac:dyDescent="0.25">
      <c r="A6570" s="418" t="s">
        <v>13954</v>
      </c>
      <c r="B6570">
        <v>60</v>
      </c>
      <c r="C6570" s="309"/>
      <c r="D6570" s="310"/>
    </row>
    <row r="6571" spans="1:4" x14ac:dyDescent="0.25">
      <c r="A6571" s="418" t="s">
        <v>17307</v>
      </c>
      <c r="B6571">
        <v>56</v>
      </c>
      <c r="C6571" s="309"/>
      <c r="D6571" s="310"/>
    </row>
    <row r="6572" spans="1:4" x14ac:dyDescent="0.25">
      <c r="A6572" s="418" t="s">
        <v>15964</v>
      </c>
      <c r="B6572">
        <v>59</v>
      </c>
      <c r="C6572" s="309"/>
      <c r="D6572" s="310"/>
    </row>
    <row r="6573" spans="1:4" x14ac:dyDescent="0.25">
      <c r="A6573" s="418" t="s">
        <v>13955</v>
      </c>
      <c r="B6573">
        <v>59</v>
      </c>
      <c r="C6573" s="309"/>
      <c r="D6573" s="310"/>
    </row>
    <row r="6574" spans="1:4" x14ac:dyDescent="0.25">
      <c r="A6574" s="418" t="s">
        <v>16644</v>
      </c>
      <c r="B6574">
        <v>58</v>
      </c>
      <c r="C6574" s="309"/>
      <c r="D6574" s="310"/>
    </row>
    <row r="6575" spans="1:4" x14ac:dyDescent="0.25">
      <c r="A6575" s="418" t="s">
        <v>16645</v>
      </c>
      <c r="B6575">
        <v>55</v>
      </c>
      <c r="C6575" s="309"/>
      <c r="D6575" s="310"/>
    </row>
    <row r="6576" spans="1:4" x14ac:dyDescent="0.25">
      <c r="A6576" s="418" t="s">
        <v>13956</v>
      </c>
      <c r="B6576">
        <v>60</v>
      </c>
      <c r="C6576" s="309"/>
      <c r="D6576" s="310"/>
    </row>
    <row r="6577" spans="1:4" x14ac:dyDescent="0.25">
      <c r="A6577" s="418" t="s">
        <v>16164</v>
      </c>
      <c r="B6577">
        <v>57</v>
      </c>
      <c r="C6577" s="309"/>
      <c r="D6577" s="310"/>
    </row>
    <row r="6578" spans="1:4" x14ac:dyDescent="0.25">
      <c r="A6578" s="418" t="s">
        <v>16646</v>
      </c>
      <c r="B6578">
        <v>59</v>
      </c>
      <c r="C6578" s="309"/>
      <c r="D6578" s="310"/>
    </row>
    <row r="6579" spans="1:4" x14ac:dyDescent="0.25">
      <c r="A6579" s="418" t="s">
        <v>17308</v>
      </c>
      <c r="B6579">
        <v>53</v>
      </c>
      <c r="C6579" s="309"/>
      <c r="D6579" s="310"/>
    </row>
    <row r="6580" spans="1:4" x14ac:dyDescent="0.25">
      <c r="A6580" s="418" t="s">
        <v>16353</v>
      </c>
      <c r="B6580">
        <v>60</v>
      </c>
      <c r="C6580" s="309"/>
      <c r="D6580" s="310"/>
    </row>
    <row r="6581" spans="1:4" x14ac:dyDescent="0.25">
      <c r="A6581" s="418" t="s">
        <v>15693</v>
      </c>
      <c r="B6581">
        <v>59</v>
      </c>
      <c r="C6581" s="309"/>
      <c r="D6581" s="310"/>
    </row>
    <row r="6582" spans="1:4" x14ac:dyDescent="0.25">
      <c r="A6582" s="418" t="s">
        <v>13957</v>
      </c>
      <c r="B6582">
        <v>54</v>
      </c>
      <c r="C6582" s="309"/>
      <c r="D6582" s="310"/>
    </row>
    <row r="6583" spans="1:4" x14ac:dyDescent="0.25">
      <c r="A6583" s="418" t="s">
        <v>13958</v>
      </c>
      <c r="B6583">
        <v>60</v>
      </c>
      <c r="C6583" s="309"/>
      <c r="D6583" s="310"/>
    </row>
    <row r="6584" spans="1:4" x14ac:dyDescent="0.25">
      <c r="A6584" s="418" t="s">
        <v>16647</v>
      </c>
      <c r="B6584">
        <v>59</v>
      </c>
      <c r="C6584" s="309"/>
      <c r="D6584" s="310"/>
    </row>
    <row r="6585" spans="1:4" x14ac:dyDescent="0.25">
      <c r="A6585" s="418" t="s">
        <v>15439</v>
      </c>
      <c r="B6585">
        <v>57</v>
      </c>
      <c r="C6585" s="309"/>
      <c r="D6585" s="310"/>
    </row>
    <row r="6586" spans="1:4" x14ac:dyDescent="0.25">
      <c r="A6586" s="418" t="s">
        <v>13959</v>
      </c>
      <c r="B6586">
        <v>56</v>
      </c>
      <c r="C6586" s="309"/>
      <c r="D6586" s="310"/>
    </row>
    <row r="6587" spans="1:4" x14ac:dyDescent="0.25">
      <c r="A6587" s="418" t="s">
        <v>13960</v>
      </c>
      <c r="B6587">
        <v>60</v>
      </c>
      <c r="C6587" s="309"/>
      <c r="D6587" s="310"/>
    </row>
    <row r="6588" spans="1:4" x14ac:dyDescent="0.25">
      <c r="A6588" s="418" t="s">
        <v>15685</v>
      </c>
      <c r="B6588">
        <v>57</v>
      </c>
      <c r="C6588" s="309"/>
      <c r="D6588" s="310"/>
    </row>
    <row r="6589" spans="1:4" x14ac:dyDescent="0.25">
      <c r="A6589" s="418" t="s">
        <v>13961</v>
      </c>
      <c r="B6589">
        <v>55</v>
      </c>
      <c r="C6589" s="309"/>
      <c r="D6589" s="310"/>
    </row>
    <row r="6590" spans="1:4" x14ac:dyDescent="0.25">
      <c r="A6590" s="418" t="s">
        <v>17309</v>
      </c>
      <c r="B6590">
        <v>59</v>
      </c>
      <c r="C6590" s="309"/>
      <c r="D6590" s="310"/>
    </row>
    <row r="6591" spans="1:4" x14ac:dyDescent="0.25">
      <c r="A6591" s="418" t="s">
        <v>16922</v>
      </c>
      <c r="B6591">
        <v>55</v>
      </c>
      <c r="C6591" s="309"/>
      <c r="D6591" s="310"/>
    </row>
    <row r="6592" spans="1:4" x14ac:dyDescent="0.25">
      <c r="A6592" s="418" t="s">
        <v>17310</v>
      </c>
      <c r="B6592">
        <v>60</v>
      </c>
      <c r="C6592" s="309"/>
      <c r="D6592" s="310"/>
    </row>
    <row r="6593" spans="1:4" x14ac:dyDescent="0.25">
      <c r="A6593" s="418" t="s">
        <v>16224</v>
      </c>
      <c r="B6593">
        <v>56</v>
      </c>
      <c r="C6593" s="309"/>
      <c r="D6593" s="310"/>
    </row>
    <row r="6594" spans="1:4" x14ac:dyDescent="0.25">
      <c r="A6594" s="418" t="s">
        <v>17311</v>
      </c>
      <c r="B6594">
        <v>60</v>
      </c>
      <c r="C6594" s="309"/>
      <c r="D6594" s="310"/>
    </row>
    <row r="6595" spans="1:4" x14ac:dyDescent="0.25">
      <c r="A6595" s="418" t="s">
        <v>16923</v>
      </c>
      <c r="B6595">
        <v>57</v>
      </c>
      <c r="C6595" s="309"/>
      <c r="D6595" s="310"/>
    </row>
    <row r="6596" spans="1:4" x14ac:dyDescent="0.25">
      <c r="A6596" s="418" t="s">
        <v>16924</v>
      </c>
      <c r="B6596">
        <v>58</v>
      </c>
      <c r="C6596" s="309"/>
      <c r="D6596" s="310"/>
    </row>
    <row r="6597" spans="1:4" x14ac:dyDescent="0.25">
      <c r="A6597" s="418" t="s">
        <v>16165</v>
      </c>
      <c r="B6597">
        <v>60</v>
      </c>
      <c r="C6597" s="309"/>
      <c r="D6597" s="310"/>
    </row>
    <row r="6598" spans="1:4" x14ac:dyDescent="0.25">
      <c r="A6598" s="418" t="s">
        <v>16925</v>
      </c>
      <c r="B6598">
        <v>57</v>
      </c>
      <c r="C6598" s="309"/>
      <c r="D6598" s="310"/>
    </row>
    <row r="6599" spans="1:4" x14ac:dyDescent="0.25">
      <c r="A6599" s="418" t="s">
        <v>17312</v>
      </c>
      <c r="B6599">
        <v>59</v>
      </c>
      <c r="C6599" s="309"/>
      <c r="D6599" s="310"/>
    </row>
    <row r="6600" spans="1:4" x14ac:dyDescent="0.25">
      <c r="A6600" s="418" t="s">
        <v>17313</v>
      </c>
      <c r="B6600">
        <v>60</v>
      </c>
      <c r="C6600" s="309"/>
      <c r="D6600" s="310"/>
    </row>
    <row r="6601" spans="1:4" x14ac:dyDescent="0.25">
      <c r="A6601" s="418" t="s">
        <v>13962</v>
      </c>
      <c r="B6601">
        <v>58</v>
      </c>
      <c r="C6601" s="309"/>
      <c r="D6601" s="310"/>
    </row>
    <row r="6602" spans="1:4" x14ac:dyDescent="0.25">
      <c r="A6602" s="418" t="s">
        <v>15225</v>
      </c>
      <c r="B6602">
        <v>55</v>
      </c>
      <c r="C6602" s="309"/>
      <c r="D6602" s="310"/>
    </row>
    <row r="6603" spans="1:4" x14ac:dyDescent="0.25">
      <c r="A6603" s="418" t="s">
        <v>17314</v>
      </c>
      <c r="B6603">
        <v>58</v>
      </c>
      <c r="C6603" s="309"/>
      <c r="D6603" s="310"/>
    </row>
    <row r="6604" spans="1:4" x14ac:dyDescent="0.25">
      <c r="A6604" s="418" t="s">
        <v>15440</v>
      </c>
      <c r="B6604">
        <v>59</v>
      </c>
      <c r="C6604" s="309"/>
      <c r="D6604" s="310"/>
    </row>
    <row r="6605" spans="1:4" x14ac:dyDescent="0.25">
      <c r="A6605" s="418" t="s">
        <v>16166</v>
      </c>
      <c r="B6605">
        <v>56</v>
      </c>
      <c r="C6605" s="309"/>
      <c r="D6605" s="310"/>
    </row>
    <row r="6606" spans="1:4" x14ac:dyDescent="0.25">
      <c r="A6606" s="418" t="s">
        <v>17315</v>
      </c>
      <c r="B6606">
        <v>59</v>
      </c>
      <c r="C6606" s="309"/>
      <c r="D6606" s="310"/>
    </row>
    <row r="6607" spans="1:4" x14ac:dyDescent="0.25">
      <c r="A6607" s="418" t="s">
        <v>17316</v>
      </c>
      <c r="B6607">
        <v>58</v>
      </c>
      <c r="C6607" s="309"/>
      <c r="D6607" s="310"/>
    </row>
    <row r="6608" spans="1:4" x14ac:dyDescent="0.25">
      <c r="A6608" s="418" t="s">
        <v>16648</v>
      </c>
      <c r="B6608">
        <v>60</v>
      </c>
      <c r="C6608" s="309"/>
      <c r="D6608" s="310"/>
    </row>
    <row r="6609" spans="1:4" x14ac:dyDescent="0.25">
      <c r="A6609" s="418" t="s">
        <v>15618</v>
      </c>
      <c r="B6609">
        <v>58</v>
      </c>
      <c r="C6609" s="309"/>
      <c r="D6609" s="310"/>
    </row>
    <row r="6610" spans="1:4" x14ac:dyDescent="0.25">
      <c r="A6610" s="418" t="s">
        <v>17317</v>
      </c>
      <c r="B6610">
        <v>57</v>
      </c>
      <c r="C6610" s="309"/>
      <c r="D6610" s="310"/>
    </row>
    <row r="6611" spans="1:4" x14ac:dyDescent="0.25">
      <c r="A6611" s="418" t="s">
        <v>16167</v>
      </c>
      <c r="B6611">
        <v>60</v>
      </c>
      <c r="C6611" s="309"/>
      <c r="D6611" s="310"/>
    </row>
    <row r="6612" spans="1:4" x14ac:dyDescent="0.25">
      <c r="A6612" s="418" t="s">
        <v>16168</v>
      </c>
      <c r="B6612">
        <v>60</v>
      </c>
      <c r="C6612" s="309"/>
      <c r="D6612" s="310"/>
    </row>
    <row r="6613" spans="1:4" x14ac:dyDescent="0.25">
      <c r="A6613" s="418" t="s">
        <v>16169</v>
      </c>
      <c r="B6613">
        <v>60</v>
      </c>
      <c r="C6613" s="309"/>
      <c r="D6613" s="310"/>
    </row>
    <row r="6614" spans="1:4" x14ac:dyDescent="0.25">
      <c r="A6614" s="418" t="s">
        <v>16649</v>
      </c>
      <c r="B6614">
        <v>58</v>
      </c>
      <c r="C6614" s="309"/>
      <c r="D6614" s="310"/>
    </row>
    <row r="6615" spans="1:4" x14ac:dyDescent="0.25">
      <c r="A6615" s="418" t="s">
        <v>17318</v>
      </c>
      <c r="B6615">
        <v>59</v>
      </c>
      <c r="C6615" s="309"/>
      <c r="D6615" s="310"/>
    </row>
    <row r="6616" spans="1:4" x14ac:dyDescent="0.25">
      <c r="A6616" s="418" t="s">
        <v>15581</v>
      </c>
      <c r="B6616">
        <v>55</v>
      </c>
      <c r="C6616" s="309"/>
      <c r="D6616" s="310"/>
    </row>
    <row r="6617" spans="1:4" x14ac:dyDescent="0.25">
      <c r="A6617" s="418" t="s">
        <v>16926</v>
      </c>
      <c r="B6617">
        <v>60</v>
      </c>
      <c r="C6617" s="309"/>
      <c r="D6617" s="310"/>
    </row>
    <row r="6618" spans="1:4" x14ac:dyDescent="0.25">
      <c r="A6618" s="418" t="s">
        <v>15694</v>
      </c>
      <c r="B6618">
        <v>58</v>
      </c>
      <c r="C6618" s="309"/>
      <c r="D6618" s="310"/>
    </row>
    <row r="6619" spans="1:4" x14ac:dyDescent="0.25">
      <c r="A6619" s="418" t="s">
        <v>17319</v>
      </c>
      <c r="B6619">
        <v>51</v>
      </c>
      <c r="C6619" s="309"/>
      <c r="D6619" s="310"/>
    </row>
    <row r="6620" spans="1:4" x14ac:dyDescent="0.25">
      <c r="A6620" s="418" t="s">
        <v>16650</v>
      </c>
      <c r="B6620">
        <v>60</v>
      </c>
      <c r="C6620" s="309"/>
      <c r="D6620" s="310"/>
    </row>
    <row r="6621" spans="1:4" x14ac:dyDescent="0.25">
      <c r="A6621" s="418" t="s">
        <v>16651</v>
      </c>
      <c r="B6621">
        <v>59</v>
      </c>
      <c r="C6621" s="309"/>
      <c r="D6621" s="310"/>
    </row>
    <row r="6622" spans="1:4" x14ac:dyDescent="0.25">
      <c r="A6622" s="418" t="s">
        <v>16927</v>
      </c>
      <c r="B6622">
        <v>58</v>
      </c>
      <c r="C6622" s="309"/>
      <c r="D6622" s="310"/>
    </row>
    <row r="6623" spans="1:4" x14ac:dyDescent="0.25">
      <c r="A6623" s="418" t="s">
        <v>17320</v>
      </c>
      <c r="B6623">
        <v>60</v>
      </c>
      <c r="C6623" s="309"/>
      <c r="D6623" s="310"/>
    </row>
    <row r="6624" spans="1:4" x14ac:dyDescent="0.25">
      <c r="A6624" s="418" t="s">
        <v>16652</v>
      </c>
      <c r="B6624">
        <v>56</v>
      </c>
      <c r="C6624" s="309"/>
      <c r="D6624" s="310"/>
    </row>
    <row r="6625" spans="1:4" x14ac:dyDescent="0.25">
      <c r="A6625" s="418" t="s">
        <v>17321</v>
      </c>
      <c r="B6625">
        <v>58</v>
      </c>
      <c r="C6625" s="309"/>
      <c r="D6625" s="310"/>
    </row>
    <row r="6626" spans="1:4" x14ac:dyDescent="0.25">
      <c r="A6626" s="418" t="s">
        <v>17322</v>
      </c>
      <c r="B6626">
        <v>60</v>
      </c>
      <c r="C6626" s="309"/>
      <c r="D6626" s="310"/>
    </row>
    <row r="6627" spans="1:4" x14ac:dyDescent="0.25">
      <c r="A6627" s="418" t="s">
        <v>16653</v>
      </c>
      <c r="B6627">
        <v>60</v>
      </c>
      <c r="C6627" s="309"/>
      <c r="D6627" s="310"/>
    </row>
    <row r="6628" spans="1:4" x14ac:dyDescent="0.25">
      <c r="A6628" s="418" t="s">
        <v>17323</v>
      </c>
      <c r="B6628">
        <v>60</v>
      </c>
      <c r="C6628" s="309"/>
      <c r="D6628" s="310"/>
    </row>
    <row r="6629" spans="1:4" x14ac:dyDescent="0.25">
      <c r="A6629" s="418" t="s">
        <v>17324</v>
      </c>
      <c r="B6629">
        <v>58</v>
      </c>
      <c r="C6629" s="309"/>
      <c r="D6629" s="310"/>
    </row>
    <row r="6630" spans="1:4" x14ac:dyDescent="0.25">
      <c r="A6630" s="418" t="s">
        <v>16654</v>
      </c>
      <c r="B6630">
        <v>59</v>
      </c>
      <c r="C6630" s="309"/>
      <c r="D6630" s="310"/>
    </row>
    <row r="6631" spans="1:4" x14ac:dyDescent="0.25">
      <c r="A6631" s="418" t="s">
        <v>17325</v>
      </c>
      <c r="B6631">
        <v>58</v>
      </c>
      <c r="C6631" s="309"/>
      <c r="D6631" s="310"/>
    </row>
    <row r="6632" spans="1:4" x14ac:dyDescent="0.25">
      <c r="A6632" s="418" t="s">
        <v>16655</v>
      </c>
      <c r="B6632">
        <v>60</v>
      </c>
      <c r="C6632" s="309"/>
      <c r="D6632" s="310"/>
    </row>
    <row r="6633" spans="1:4" x14ac:dyDescent="0.25">
      <c r="A6633" s="418" t="s">
        <v>17326</v>
      </c>
      <c r="B6633">
        <v>60</v>
      </c>
      <c r="C6633" s="309"/>
      <c r="D6633" s="310"/>
    </row>
    <row r="6634" spans="1:4" x14ac:dyDescent="0.25">
      <c r="A6634" s="418" t="s">
        <v>17327</v>
      </c>
      <c r="B6634">
        <v>60</v>
      </c>
      <c r="C6634" s="309"/>
      <c r="D6634" s="310"/>
    </row>
    <row r="6635" spans="1:4" x14ac:dyDescent="0.25">
      <c r="A6635" s="418" t="s">
        <v>13963</v>
      </c>
      <c r="B6635">
        <v>77</v>
      </c>
      <c r="C6635" s="309"/>
      <c r="D6635" s="310"/>
    </row>
    <row r="6636" spans="1:4" x14ac:dyDescent="0.25">
      <c r="A6636" s="418" t="s">
        <v>13964</v>
      </c>
      <c r="B6636">
        <v>77</v>
      </c>
      <c r="C6636" s="309"/>
      <c r="D6636" s="310"/>
    </row>
    <row r="6637" spans="1:4" x14ac:dyDescent="0.25">
      <c r="A6637" s="418" t="s">
        <v>13965</v>
      </c>
      <c r="B6637">
        <v>78</v>
      </c>
      <c r="C6637" s="309"/>
      <c r="D6637" s="310"/>
    </row>
    <row r="6638" spans="1:4" x14ac:dyDescent="0.25">
      <c r="A6638" s="418" t="s">
        <v>13966</v>
      </c>
      <c r="B6638">
        <v>73</v>
      </c>
      <c r="C6638" s="309"/>
      <c r="D6638" s="310"/>
    </row>
    <row r="6639" spans="1:4" x14ac:dyDescent="0.25">
      <c r="A6639" s="418" t="s">
        <v>13967</v>
      </c>
      <c r="B6639">
        <v>78</v>
      </c>
      <c r="C6639" s="309"/>
      <c r="D6639" s="310"/>
    </row>
    <row r="6640" spans="1:4" x14ac:dyDescent="0.25">
      <c r="A6640" s="418" t="s">
        <v>13968</v>
      </c>
      <c r="B6640">
        <v>79</v>
      </c>
      <c r="C6640" s="309"/>
      <c r="D6640" s="310"/>
    </row>
    <row r="6641" spans="1:4" x14ac:dyDescent="0.25">
      <c r="A6641" s="418" t="s">
        <v>13969</v>
      </c>
      <c r="B6641">
        <v>76</v>
      </c>
      <c r="C6641" s="309"/>
      <c r="D6641" s="310"/>
    </row>
    <row r="6642" spans="1:4" x14ac:dyDescent="0.25">
      <c r="A6642" s="418" t="s">
        <v>13970</v>
      </c>
      <c r="B6642">
        <v>79</v>
      </c>
      <c r="C6642" s="309"/>
      <c r="D6642" s="310"/>
    </row>
    <row r="6643" spans="1:4" x14ac:dyDescent="0.25">
      <c r="A6643" s="418" t="s">
        <v>13971</v>
      </c>
      <c r="B6643">
        <v>79</v>
      </c>
      <c r="C6643" s="309"/>
      <c r="D6643" s="310"/>
    </row>
    <row r="6644" spans="1:4" x14ac:dyDescent="0.25">
      <c r="A6644" s="418" t="s">
        <v>13972</v>
      </c>
      <c r="B6644">
        <v>76</v>
      </c>
      <c r="C6644" s="309"/>
      <c r="D6644" s="310"/>
    </row>
    <row r="6645" spans="1:4" x14ac:dyDescent="0.25">
      <c r="A6645" s="418" t="s">
        <v>13973</v>
      </c>
      <c r="B6645">
        <v>71</v>
      </c>
      <c r="C6645" s="309"/>
      <c r="D6645" s="310"/>
    </row>
    <row r="6646" spans="1:4" x14ac:dyDescent="0.25">
      <c r="A6646" s="418" t="s">
        <v>13974</v>
      </c>
      <c r="B6646">
        <v>77</v>
      </c>
      <c r="C6646" s="309"/>
      <c r="D6646" s="310"/>
    </row>
    <row r="6647" spans="1:4" x14ac:dyDescent="0.25">
      <c r="A6647" s="418" t="s">
        <v>13975</v>
      </c>
      <c r="B6647">
        <v>62</v>
      </c>
      <c r="C6647" s="309"/>
      <c r="D6647" s="310"/>
    </row>
    <row r="6648" spans="1:4" x14ac:dyDescent="0.25">
      <c r="A6648" s="418" t="s">
        <v>13976</v>
      </c>
      <c r="B6648">
        <v>80</v>
      </c>
      <c r="C6648" s="309"/>
      <c r="D6648" s="310"/>
    </row>
    <row r="6649" spans="1:4" x14ac:dyDescent="0.25">
      <c r="A6649" s="418" t="s">
        <v>13977</v>
      </c>
      <c r="B6649">
        <v>74</v>
      </c>
      <c r="C6649" s="309"/>
      <c r="D6649" s="310"/>
    </row>
    <row r="6650" spans="1:4" x14ac:dyDescent="0.25">
      <c r="A6650" s="418" t="s">
        <v>13978</v>
      </c>
      <c r="B6650">
        <v>69</v>
      </c>
      <c r="C6650" s="309"/>
      <c r="D6650" s="310"/>
    </row>
    <row r="6651" spans="1:4" x14ac:dyDescent="0.25">
      <c r="A6651" s="418" t="s">
        <v>13979</v>
      </c>
      <c r="B6651">
        <v>76</v>
      </c>
      <c r="C6651" s="309"/>
      <c r="D6651" s="310"/>
    </row>
    <row r="6652" spans="1:4" x14ac:dyDescent="0.25">
      <c r="A6652" s="418" t="s">
        <v>13980</v>
      </c>
      <c r="B6652">
        <v>75</v>
      </c>
      <c r="C6652" s="309"/>
      <c r="D6652" s="310"/>
    </row>
    <row r="6653" spans="1:4" x14ac:dyDescent="0.25">
      <c r="A6653" s="418" t="s">
        <v>13981</v>
      </c>
      <c r="B6653">
        <v>76</v>
      </c>
      <c r="C6653" s="309"/>
      <c r="D6653" s="310"/>
    </row>
    <row r="6654" spans="1:4" x14ac:dyDescent="0.25">
      <c r="A6654" s="418" t="s">
        <v>13982</v>
      </c>
      <c r="B6654">
        <v>70</v>
      </c>
      <c r="C6654" s="309"/>
      <c r="D6654" s="310"/>
    </row>
    <row r="6655" spans="1:4" x14ac:dyDescent="0.25">
      <c r="A6655" s="418" t="s">
        <v>13983</v>
      </c>
      <c r="B6655">
        <v>65</v>
      </c>
      <c r="C6655" s="309"/>
      <c r="D6655" s="310"/>
    </row>
    <row r="6656" spans="1:4" x14ac:dyDescent="0.25">
      <c r="A6656" s="418" t="s">
        <v>13984</v>
      </c>
      <c r="B6656">
        <v>76</v>
      </c>
      <c r="C6656" s="309"/>
      <c r="D6656" s="310"/>
    </row>
    <row r="6657" spans="1:4" x14ac:dyDescent="0.25">
      <c r="A6657" s="418" t="s">
        <v>13985</v>
      </c>
      <c r="B6657">
        <v>71</v>
      </c>
      <c r="C6657" s="309"/>
      <c r="D6657" s="310"/>
    </row>
    <row r="6658" spans="1:4" x14ac:dyDescent="0.25">
      <c r="A6658" s="418" t="s">
        <v>13986</v>
      </c>
      <c r="B6658">
        <v>79</v>
      </c>
      <c r="C6658" s="309"/>
      <c r="D6658" s="310"/>
    </row>
    <row r="6659" spans="1:4" x14ac:dyDescent="0.25">
      <c r="A6659" s="418" t="s">
        <v>13987</v>
      </c>
      <c r="B6659">
        <v>72</v>
      </c>
      <c r="C6659" s="309"/>
      <c r="D6659" s="310"/>
    </row>
    <row r="6660" spans="1:4" x14ac:dyDescent="0.25">
      <c r="A6660" s="418" t="s">
        <v>13988</v>
      </c>
      <c r="B6660">
        <v>72</v>
      </c>
      <c r="C6660" s="309"/>
      <c r="D6660" s="310"/>
    </row>
    <row r="6661" spans="1:4" x14ac:dyDescent="0.25">
      <c r="A6661" s="418" t="s">
        <v>13989</v>
      </c>
      <c r="B6661">
        <v>77</v>
      </c>
      <c r="C6661" s="309"/>
      <c r="D6661" s="310"/>
    </row>
    <row r="6662" spans="1:4" x14ac:dyDescent="0.25">
      <c r="A6662" s="418" t="s">
        <v>13990</v>
      </c>
      <c r="B6662">
        <v>73</v>
      </c>
      <c r="C6662" s="309"/>
      <c r="D6662" s="310"/>
    </row>
    <row r="6663" spans="1:4" x14ac:dyDescent="0.25">
      <c r="A6663" s="418" t="s">
        <v>13991</v>
      </c>
      <c r="B6663">
        <v>64</v>
      </c>
      <c r="C6663" s="309"/>
      <c r="D6663" s="310"/>
    </row>
    <row r="6664" spans="1:4" x14ac:dyDescent="0.25">
      <c r="A6664" s="418" t="s">
        <v>13992</v>
      </c>
      <c r="B6664">
        <v>73</v>
      </c>
      <c r="C6664" s="309"/>
      <c r="D6664" s="310"/>
    </row>
    <row r="6665" spans="1:4" x14ac:dyDescent="0.25">
      <c r="A6665" s="418" t="s">
        <v>13993</v>
      </c>
      <c r="B6665">
        <v>77</v>
      </c>
      <c r="C6665" s="309"/>
      <c r="D6665" s="310"/>
    </row>
    <row r="6666" spans="1:4" x14ac:dyDescent="0.25">
      <c r="A6666" s="418" t="s">
        <v>13994</v>
      </c>
      <c r="B6666">
        <v>73</v>
      </c>
      <c r="C6666" s="309"/>
      <c r="D6666" s="310"/>
    </row>
    <row r="6667" spans="1:4" x14ac:dyDescent="0.25">
      <c r="A6667" s="418" t="s">
        <v>13995</v>
      </c>
      <c r="B6667">
        <v>75</v>
      </c>
      <c r="C6667" s="309"/>
      <c r="D6667" s="310"/>
    </row>
    <row r="6668" spans="1:4" x14ac:dyDescent="0.25">
      <c r="A6668" s="418" t="s">
        <v>13996</v>
      </c>
      <c r="B6668">
        <v>72</v>
      </c>
      <c r="C6668" s="309"/>
      <c r="D6668" s="310"/>
    </row>
    <row r="6669" spans="1:4" x14ac:dyDescent="0.25">
      <c r="A6669" s="418" t="s">
        <v>13997</v>
      </c>
      <c r="B6669">
        <v>77</v>
      </c>
      <c r="C6669" s="309"/>
      <c r="D6669" s="310"/>
    </row>
    <row r="6670" spans="1:4" x14ac:dyDescent="0.25">
      <c r="A6670" s="418" t="s">
        <v>13998</v>
      </c>
      <c r="B6670">
        <v>76</v>
      </c>
      <c r="C6670" s="309"/>
      <c r="D6670" s="310"/>
    </row>
    <row r="6671" spans="1:4" x14ac:dyDescent="0.25">
      <c r="A6671" s="418" t="s">
        <v>13999</v>
      </c>
      <c r="B6671">
        <v>78</v>
      </c>
      <c r="C6671" s="309"/>
      <c r="D6671" s="310"/>
    </row>
    <row r="6672" spans="1:4" x14ac:dyDescent="0.25">
      <c r="A6672" s="418" t="s">
        <v>14000</v>
      </c>
      <c r="B6672">
        <v>67</v>
      </c>
      <c r="C6672" s="309"/>
      <c r="D6672" s="310"/>
    </row>
    <row r="6673" spans="1:4" x14ac:dyDescent="0.25">
      <c r="A6673" s="418" t="s">
        <v>14001</v>
      </c>
      <c r="B6673">
        <v>74</v>
      </c>
      <c r="C6673" s="309"/>
      <c r="D6673" s="310"/>
    </row>
    <row r="6674" spans="1:4" x14ac:dyDescent="0.25">
      <c r="A6674" s="418" t="s">
        <v>14002</v>
      </c>
      <c r="B6674">
        <v>74</v>
      </c>
      <c r="C6674" s="309"/>
      <c r="D6674" s="310"/>
    </row>
    <row r="6675" spans="1:4" x14ac:dyDescent="0.25">
      <c r="A6675" s="418" t="s">
        <v>14003</v>
      </c>
      <c r="B6675">
        <v>73</v>
      </c>
      <c r="C6675" s="309"/>
      <c r="D6675" s="310"/>
    </row>
    <row r="6676" spans="1:4" x14ac:dyDescent="0.25">
      <c r="A6676" s="418" t="s">
        <v>14004</v>
      </c>
      <c r="B6676">
        <v>75</v>
      </c>
      <c r="C6676" s="309"/>
      <c r="D6676" s="310"/>
    </row>
    <row r="6677" spans="1:4" x14ac:dyDescent="0.25">
      <c r="A6677" s="418" t="s">
        <v>14005</v>
      </c>
      <c r="B6677">
        <v>76</v>
      </c>
      <c r="C6677" s="309"/>
      <c r="D6677" s="310"/>
    </row>
    <row r="6678" spans="1:4" x14ac:dyDescent="0.25">
      <c r="A6678" s="418" t="s">
        <v>14006</v>
      </c>
      <c r="B6678">
        <v>76</v>
      </c>
      <c r="C6678" s="309"/>
      <c r="D6678" s="310"/>
    </row>
    <row r="6679" spans="1:4" x14ac:dyDescent="0.25">
      <c r="A6679" s="418" t="s">
        <v>14007</v>
      </c>
      <c r="B6679">
        <v>53</v>
      </c>
      <c r="C6679" s="309"/>
      <c r="D6679" s="310"/>
    </row>
    <row r="6680" spans="1:4" x14ac:dyDescent="0.25">
      <c r="A6680" s="418" t="s">
        <v>14008</v>
      </c>
      <c r="B6680">
        <v>77</v>
      </c>
      <c r="C6680" s="309"/>
      <c r="D6680" s="310"/>
    </row>
    <row r="6681" spans="1:4" x14ac:dyDescent="0.25">
      <c r="A6681" s="418" t="s">
        <v>14009</v>
      </c>
      <c r="B6681">
        <v>79</v>
      </c>
      <c r="C6681" s="309"/>
      <c r="D6681" s="310"/>
    </row>
    <row r="6682" spans="1:4" x14ac:dyDescent="0.25">
      <c r="A6682" s="418" t="s">
        <v>14010</v>
      </c>
      <c r="B6682">
        <v>80</v>
      </c>
      <c r="C6682" s="309"/>
      <c r="D6682" s="310"/>
    </row>
    <row r="6683" spans="1:4" x14ac:dyDescent="0.25">
      <c r="A6683" s="418" t="s">
        <v>14011</v>
      </c>
      <c r="B6683">
        <v>74</v>
      </c>
      <c r="C6683" s="309"/>
      <c r="D6683" s="310"/>
    </row>
    <row r="6684" spans="1:4" x14ac:dyDescent="0.25">
      <c r="A6684" s="418" t="s">
        <v>14012</v>
      </c>
      <c r="B6684">
        <v>76</v>
      </c>
      <c r="C6684" s="309"/>
      <c r="D6684" s="310"/>
    </row>
    <row r="6685" spans="1:4" x14ac:dyDescent="0.25">
      <c r="A6685" s="418" t="s">
        <v>14013</v>
      </c>
      <c r="B6685">
        <v>77</v>
      </c>
      <c r="C6685" s="309"/>
      <c r="D6685" s="310"/>
    </row>
    <row r="6686" spans="1:4" x14ac:dyDescent="0.25">
      <c r="A6686" s="418" t="s">
        <v>14014</v>
      </c>
      <c r="B6686">
        <v>80</v>
      </c>
      <c r="C6686" s="309"/>
      <c r="D6686" s="310"/>
    </row>
    <row r="6687" spans="1:4" x14ac:dyDescent="0.25">
      <c r="A6687" s="418" t="s">
        <v>14015</v>
      </c>
      <c r="B6687">
        <v>73</v>
      </c>
      <c r="C6687" s="309"/>
      <c r="D6687" s="310"/>
    </row>
    <row r="6688" spans="1:4" x14ac:dyDescent="0.25">
      <c r="A6688" s="418" t="s">
        <v>14016</v>
      </c>
      <c r="B6688">
        <v>72</v>
      </c>
      <c r="C6688" s="309"/>
      <c r="D6688" s="310"/>
    </row>
    <row r="6689" spans="1:4" x14ac:dyDescent="0.25">
      <c r="A6689" s="418" t="s">
        <v>14017</v>
      </c>
      <c r="B6689">
        <v>76</v>
      </c>
      <c r="C6689" s="309"/>
      <c r="D6689" s="310"/>
    </row>
    <row r="6690" spans="1:4" x14ac:dyDescent="0.25">
      <c r="A6690" s="418" t="s">
        <v>14018</v>
      </c>
      <c r="B6690">
        <v>73</v>
      </c>
      <c r="C6690" s="309"/>
      <c r="D6690" s="310"/>
    </row>
    <row r="6691" spans="1:4" x14ac:dyDescent="0.25">
      <c r="A6691" s="418" t="s">
        <v>14019</v>
      </c>
      <c r="B6691">
        <v>73</v>
      </c>
      <c r="C6691" s="309"/>
      <c r="D6691" s="310"/>
    </row>
    <row r="6692" spans="1:4" x14ac:dyDescent="0.25">
      <c r="A6692" s="418" t="s">
        <v>14020</v>
      </c>
      <c r="B6692">
        <v>79</v>
      </c>
      <c r="C6692" s="309"/>
      <c r="D6692" s="310"/>
    </row>
    <row r="6693" spans="1:4" x14ac:dyDescent="0.25">
      <c r="A6693" s="418" t="s">
        <v>14021</v>
      </c>
      <c r="B6693">
        <v>79</v>
      </c>
      <c r="C6693" s="309"/>
      <c r="D6693" s="310"/>
    </row>
    <row r="6694" spans="1:4" x14ac:dyDescent="0.25">
      <c r="A6694" s="418" t="s">
        <v>14022</v>
      </c>
      <c r="B6694">
        <v>74</v>
      </c>
      <c r="C6694" s="309"/>
      <c r="D6694" s="310"/>
    </row>
    <row r="6695" spans="1:4" x14ac:dyDescent="0.25">
      <c r="A6695" s="418" t="s">
        <v>14023</v>
      </c>
      <c r="B6695">
        <v>73</v>
      </c>
      <c r="C6695" s="309"/>
      <c r="D6695" s="310"/>
    </row>
    <row r="6696" spans="1:4" x14ac:dyDescent="0.25">
      <c r="A6696" s="418" t="s">
        <v>14024</v>
      </c>
      <c r="B6696">
        <v>78</v>
      </c>
      <c r="C6696" s="309"/>
      <c r="D6696" s="310"/>
    </row>
    <row r="6697" spans="1:4" x14ac:dyDescent="0.25">
      <c r="A6697" s="418" t="s">
        <v>14025</v>
      </c>
      <c r="B6697">
        <v>70</v>
      </c>
      <c r="C6697" s="309"/>
      <c r="D6697" s="310"/>
    </row>
    <row r="6698" spans="1:4" x14ac:dyDescent="0.25">
      <c r="A6698" s="418" t="s">
        <v>14026</v>
      </c>
      <c r="B6698">
        <v>72</v>
      </c>
      <c r="C6698" s="309"/>
      <c r="D6698" s="310"/>
    </row>
    <row r="6699" spans="1:4" x14ac:dyDescent="0.25">
      <c r="A6699" s="418" t="s">
        <v>14027</v>
      </c>
      <c r="B6699">
        <v>78</v>
      </c>
      <c r="C6699" s="309"/>
      <c r="D6699" s="310"/>
    </row>
    <row r="6700" spans="1:4" x14ac:dyDescent="0.25">
      <c r="A6700" s="418" t="s">
        <v>14028</v>
      </c>
      <c r="B6700">
        <v>76</v>
      </c>
      <c r="C6700" s="309"/>
      <c r="D6700" s="310"/>
    </row>
    <row r="6701" spans="1:4" x14ac:dyDescent="0.25">
      <c r="A6701" s="418" t="s">
        <v>14029</v>
      </c>
      <c r="B6701">
        <v>79</v>
      </c>
      <c r="C6701" s="309"/>
      <c r="D6701" s="310"/>
    </row>
    <row r="6702" spans="1:4" x14ac:dyDescent="0.25">
      <c r="A6702" s="418" t="s">
        <v>14030</v>
      </c>
      <c r="B6702">
        <v>73</v>
      </c>
      <c r="C6702" s="309"/>
      <c r="D6702" s="310"/>
    </row>
    <row r="6703" spans="1:4" x14ac:dyDescent="0.25">
      <c r="A6703" s="418" t="s">
        <v>14031</v>
      </c>
      <c r="B6703">
        <v>74</v>
      </c>
      <c r="C6703" s="309"/>
      <c r="D6703" s="310"/>
    </row>
    <row r="6704" spans="1:4" x14ac:dyDescent="0.25">
      <c r="A6704" s="418" t="s">
        <v>14032</v>
      </c>
      <c r="B6704">
        <v>79</v>
      </c>
      <c r="C6704" s="309"/>
      <c r="D6704" s="310"/>
    </row>
    <row r="6705" spans="1:4" x14ac:dyDescent="0.25">
      <c r="A6705" s="418" t="s">
        <v>14033</v>
      </c>
      <c r="B6705">
        <v>78</v>
      </c>
      <c r="C6705" s="309"/>
      <c r="D6705" s="310"/>
    </row>
    <row r="6706" spans="1:4" x14ac:dyDescent="0.25">
      <c r="A6706" s="418" t="s">
        <v>14034</v>
      </c>
      <c r="B6706">
        <v>78</v>
      </c>
      <c r="C6706" s="309"/>
      <c r="D6706" s="310"/>
    </row>
    <row r="6707" spans="1:4" x14ac:dyDescent="0.25">
      <c r="A6707" s="418" t="s">
        <v>14035</v>
      </c>
      <c r="B6707">
        <v>76</v>
      </c>
      <c r="C6707" s="309"/>
      <c r="D6707" s="310"/>
    </row>
    <row r="6708" spans="1:4" x14ac:dyDescent="0.25">
      <c r="A6708" s="418" t="s">
        <v>14036</v>
      </c>
      <c r="B6708">
        <v>78</v>
      </c>
      <c r="C6708" s="309"/>
      <c r="D6708" s="310"/>
    </row>
    <row r="6709" spans="1:4" x14ac:dyDescent="0.25">
      <c r="A6709" s="418" t="s">
        <v>14037</v>
      </c>
      <c r="B6709">
        <v>75</v>
      </c>
      <c r="C6709" s="309"/>
      <c r="D6709" s="310"/>
    </row>
    <row r="6710" spans="1:4" x14ac:dyDescent="0.25">
      <c r="A6710" s="418" t="s">
        <v>14038</v>
      </c>
      <c r="B6710">
        <v>76</v>
      </c>
      <c r="C6710" s="309"/>
      <c r="D6710" s="310"/>
    </row>
    <row r="6711" spans="1:4" x14ac:dyDescent="0.25">
      <c r="A6711" s="418" t="s">
        <v>14039</v>
      </c>
      <c r="B6711">
        <v>73</v>
      </c>
      <c r="C6711" s="309"/>
      <c r="D6711" s="310"/>
    </row>
    <row r="6712" spans="1:4" x14ac:dyDescent="0.25">
      <c r="A6712" s="418" t="s">
        <v>14040</v>
      </c>
      <c r="B6712">
        <v>69</v>
      </c>
      <c r="C6712" s="309"/>
      <c r="D6712" s="310"/>
    </row>
    <row r="6713" spans="1:4" x14ac:dyDescent="0.25">
      <c r="A6713" s="418" t="s">
        <v>14041</v>
      </c>
      <c r="B6713">
        <v>80</v>
      </c>
      <c r="C6713" s="309"/>
      <c r="D6713" s="310"/>
    </row>
    <row r="6714" spans="1:4" x14ac:dyDescent="0.25">
      <c r="A6714" s="418" t="s">
        <v>14042</v>
      </c>
      <c r="B6714">
        <v>73</v>
      </c>
      <c r="C6714" s="309"/>
      <c r="D6714" s="310"/>
    </row>
    <row r="6715" spans="1:4" x14ac:dyDescent="0.25">
      <c r="A6715" s="418" t="s">
        <v>14043</v>
      </c>
      <c r="B6715">
        <v>78</v>
      </c>
      <c r="C6715" s="309"/>
      <c r="D6715" s="310"/>
    </row>
    <row r="6716" spans="1:4" x14ac:dyDescent="0.25">
      <c r="A6716" s="418" t="s">
        <v>14044</v>
      </c>
      <c r="B6716">
        <v>70</v>
      </c>
      <c r="C6716" s="309"/>
      <c r="D6716" s="310"/>
    </row>
    <row r="6717" spans="1:4" x14ac:dyDescent="0.25">
      <c r="A6717" s="418" t="s">
        <v>14045</v>
      </c>
      <c r="B6717">
        <v>72</v>
      </c>
      <c r="C6717" s="309"/>
      <c r="D6717" s="310"/>
    </row>
    <row r="6718" spans="1:4" x14ac:dyDescent="0.25">
      <c r="A6718" s="418" t="s">
        <v>14046</v>
      </c>
      <c r="B6718">
        <v>73</v>
      </c>
      <c r="C6718" s="309"/>
      <c r="D6718" s="310"/>
    </row>
    <row r="6719" spans="1:4" x14ac:dyDescent="0.25">
      <c r="A6719" s="418" t="s">
        <v>14047</v>
      </c>
      <c r="B6719">
        <v>75</v>
      </c>
      <c r="C6719" s="309"/>
      <c r="D6719" s="310"/>
    </row>
    <row r="6720" spans="1:4" x14ac:dyDescent="0.25">
      <c r="A6720" s="418" t="s">
        <v>14048</v>
      </c>
      <c r="B6720">
        <v>80</v>
      </c>
      <c r="C6720" s="309"/>
      <c r="D6720" s="310"/>
    </row>
    <row r="6721" spans="1:4" x14ac:dyDescent="0.25">
      <c r="A6721" s="418" t="s">
        <v>14049</v>
      </c>
      <c r="B6721">
        <v>80</v>
      </c>
      <c r="C6721" s="309"/>
      <c r="D6721" s="310"/>
    </row>
    <row r="6722" spans="1:4" x14ac:dyDescent="0.25">
      <c r="A6722" s="418" t="s">
        <v>14050</v>
      </c>
      <c r="B6722">
        <v>74</v>
      </c>
      <c r="C6722" s="309"/>
      <c r="D6722" s="310"/>
    </row>
    <row r="6723" spans="1:4" x14ac:dyDescent="0.25">
      <c r="A6723" s="418" t="s">
        <v>14051</v>
      </c>
      <c r="B6723">
        <v>78</v>
      </c>
      <c r="C6723" s="309"/>
      <c r="D6723" s="310"/>
    </row>
    <row r="6724" spans="1:4" x14ac:dyDescent="0.25">
      <c r="A6724" s="418" t="s">
        <v>14052</v>
      </c>
      <c r="B6724">
        <v>76</v>
      </c>
      <c r="C6724" s="309"/>
      <c r="D6724" s="310"/>
    </row>
    <row r="6725" spans="1:4" x14ac:dyDescent="0.25">
      <c r="A6725" s="418" t="s">
        <v>14053</v>
      </c>
      <c r="B6725">
        <v>78</v>
      </c>
      <c r="C6725" s="309"/>
      <c r="D6725" s="310"/>
    </row>
    <row r="6726" spans="1:4" x14ac:dyDescent="0.25">
      <c r="A6726" s="418" t="s">
        <v>14054</v>
      </c>
      <c r="B6726">
        <v>75</v>
      </c>
      <c r="C6726" s="309"/>
      <c r="D6726" s="310"/>
    </row>
    <row r="6727" spans="1:4" x14ac:dyDescent="0.25">
      <c r="A6727" s="418" t="s">
        <v>14055</v>
      </c>
      <c r="B6727">
        <v>80</v>
      </c>
      <c r="C6727" s="309"/>
      <c r="D6727" s="310"/>
    </row>
    <row r="6728" spans="1:4" x14ac:dyDescent="0.25">
      <c r="A6728" s="418" t="s">
        <v>14056</v>
      </c>
      <c r="B6728">
        <v>77</v>
      </c>
      <c r="C6728" s="309"/>
      <c r="D6728" s="310"/>
    </row>
    <row r="6729" spans="1:4" x14ac:dyDescent="0.25">
      <c r="A6729" s="418" t="s">
        <v>14057</v>
      </c>
      <c r="B6729">
        <v>80</v>
      </c>
      <c r="C6729" s="309"/>
      <c r="D6729" s="310"/>
    </row>
    <row r="6730" spans="1:4" x14ac:dyDescent="0.25">
      <c r="A6730" s="418" t="s">
        <v>14058</v>
      </c>
      <c r="B6730">
        <v>79</v>
      </c>
      <c r="C6730" s="309"/>
      <c r="D6730" s="310"/>
    </row>
    <row r="6731" spans="1:4" x14ac:dyDescent="0.25">
      <c r="A6731" s="418" t="s">
        <v>14059</v>
      </c>
      <c r="B6731">
        <v>79</v>
      </c>
      <c r="C6731" s="309"/>
      <c r="D6731" s="310"/>
    </row>
    <row r="6732" spans="1:4" x14ac:dyDescent="0.25">
      <c r="A6732" s="418" t="s">
        <v>14060</v>
      </c>
      <c r="B6732">
        <v>74</v>
      </c>
      <c r="C6732" s="309"/>
      <c r="D6732" s="310"/>
    </row>
    <row r="6733" spans="1:4" x14ac:dyDescent="0.25">
      <c r="A6733" s="418" t="s">
        <v>14061</v>
      </c>
      <c r="B6733">
        <v>75</v>
      </c>
      <c r="C6733" s="309"/>
      <c r="D6733" s="310"/>
    </row>
    <row r="6734" spans="1:4" x14ac:dyDescent="0.25">
      <c r="A6734" s="418" t="s">
        <v>14062</v>
      </c>
      <c r="B6734">
        <v>78</v>
      </c>
      <c r="C6734" s="309"/>
      <c r="D6734" s="310"/>
    </row>
    <row r="6735" spans="1:4" x14ac:dyDescent="0.25">
      <c r="A6735" s="418" t="s">
        <v>14063</v>
      </c>
      <c r="B6735">
        <v>70</v>
      </c>
      <c r="C6735" s="309"/>
      <c r="D6735" s="310"/>
    </row>
    <row r="6736" spans="1:4" x14ac:dyDescent="0.25">
      <c r="A6736" s="418" t="s">
        <v>14064</v>
      </c>
      <c r="B6736">
        <v>79</v>
      </c>
      <c r="C6736" s="309"/>
      <c r="D6736" s="310"/>
    </row>
    <row r="6737" spans="1:4" x14ac:dyDescent="0.25">
      <c r="A6737" s="418" t="s">
        <v>14065</v>
      </c>
      <c r="B6737">
        <v>77</v>
      </c>
      <c r="C6737" s="309"/>
      <c r="D6737" s="310"/>
    </row>
    <row r="6738" spans="1:4" x14ac:dyDescent="0.25">
      <c r="A6738" s="418" t="s">
        <v>14066</v>
      </c>
      <c r="B6738">
        <v>80</v>
      </c>
      <c r="C6738" s="309"/>
      <c r="D6738" s="310"/>
    </row>
    <row r="6739" spans="1:4" x14ac:dyDescent="0.25">
      <c r="A6739" s="418" t="s">
        <v>14067</v>
      </c>
      <c r="B6739">
        <v>70</v>
      </c>
      <c r="C6739" s="309"/>
      <c r="D6739" s="310"/>
    </row>
    <row r="6740" spans="1:4" x14ac:dyDescent="0.25">
      <c r="A6740" s="418" t="s">
        <v>14068</v>
      </c>
      <c r="B6740">
        <v>76</v>
      </c>
      <c r="C6740" s="309"/>
      <c r="D6740" s="310"/>
    </row>
    <row r="6741" spans="1:4" x14ac:dyDescent="0.25">
      <c r="A6741" s="418" t="s">
        <v>14069</v>
      </c>
      <c r="B6741">
        <v>79</v>
      </c>
      <c r="C6741" s="309"/>
      <c r="D6741" s="310"/>
    </row>
    <row r="6742" spans="1:4" x14ac:dyDescent="0.25">
      <c r="A6742" s="418" t="s">
        <v>14070</v>
      </c>
      <c r="B6742">
        <v>80</v>
      </c>
      <c r="C6742" s="309"/>
      <c r="D6742" s="310"/>
    </row>
    <row r="6743" spans="1:4" x14ac:dyDescent="0.25">
      <c r="A6743" s="418" t="s">
        <v>14071</v>
      </c>
      <c r="B6743">
        <v>77</v>
      </c>
      <c r="C6743" s="309"/>
      <c r="D6743" s="310"/>
    </row>
    <row r="6744" spans="1:4" x14ac:dyDescent="0.25">
      <c r="A6744" s="418" t="s">
        <v>14072</v>
      </c>
      <c r="B6744">
        <v>78</v>
      </c>
      <c r="C6744" s="309"/>
      <c r="D6744" s="310"/>
    </row>
    <row r="6745" spans="1:4" x14ac:dyDescent="0.25">
      <c r="A6745" s="418" t="s">
        <v>14073</v>
      </c>
      <c r="B6745">
        <v>72</v>
      </c>
      <c r="C6745" s="309"/>
      <c r="D6745" s="310"/>
    </row>
    <row r="6746" spans="1:4" x14ac:dyDescent="0.25">
      <c r="A6746" s="418" t="s">
        <v>14074</v>
      </c>
      <c r="B6746">
        <v>74</v>
      </c>
      <c r="C6746" s="309"/>
      <c r="D6746" s="310"/>
    </row>
    <row r="6747" spans="1:4" x14ac:dyDescent="0.25">
      <c r="A6747" s="418" t="s">
        <v>14075</v>
      </c>
      <c r="B6747">
        <v>76</v>
      </c>
      <c r="C6747" s="309"/>
      <c r="D6747" s="310"/>
    </row>
    <row r="6748" spans="1:4" x14ac:dyDescent="0.25">
      <c r="A6748" s="418" t="s">
        <v>14076</v>
      </c>
      <c r="B6748">
        <v>75</v>
      </c>
      <c r="C6748" s="309"/>
      <c r="D6748" s="310"/>
    </row>
    <row r="6749" spans="1:4" x14ac:dyDescent="0.25">
      <c r="A6749" s="418" t="s">
        <v>14077</v>
      </c>
      <c r="B6749">
        <v>79</v>
      </c>
      <c r="C6749" s="309"/>
      <c r="D6749" s="310"/>
    </row>
    <row r="6750" spans="1:4" x14ac:dyDescent="0.25">
      <c r="A6750" s="418" t="s">
        <v>14078</v>
      </c>
      <c r="B6750">
        <v>77</v>
      </c>
      <c r="C6750" s="309"/>
      <c r="D6750" s="310"/>
    </row>
    <row r="6751" spans="1:4" x14ac:dyDescent="0.25">
      <c r="A6751" s="418" t="s">
        <v>14079</v>
      </c>
      <c r="B6751">
        <v>79</v>
      </c>
      <c r="C6751" s="309"/>
      <c r="D6751" s="310"/>
    </row>
    <row r="6752" spans="1:4" x14ac:dyDescent="0.25">
      <c r="A6752" s="418" t="s">
        <v>14080</v>
      </c>
      <c r="B6752">
        <v>76</v>
      </c>
      <c r="C6752" s="309"/>
      <c r="D6752" s="310"/>
    </row>
    <row r="6753" spans="1:4" x14ac:dyDescent="0.25">
      <c r="A6753" s="418" t="s">
        <v>14081</v>
      </c>
      <c r="B6753">
        <v>77</v>
      </c>
      <c r="C6753" s="309"/>
      <c r="D6753" s="310"/>
    </row>
    <row r="6754" spans="1:4" x14ac:dyDescent="0.25">
      <c r="A6754" s="418" t="s">
        <v>14082</v>
      </c>
      <c r="B6754">
        <v>80</v>
      </c>
      <c r="C6754" s="309"/>
      <c r="D6754" s="310"/>
    </row>
    <row r="6755" spans="1:4" x14ac:dyDescent="0.25">
      <c r="A6755" s="418" t="s">
        <v>14083</v>
      </c>
      <c r="B6755">
        <v>74</v>
      </c>
      <c r="C6755" s="309"/>
      <c r="D6755" s="310"/>
    </row>
    <row r="6756" spans="1:4" x14ac:dyDescent="0.25">
      <c r="A6756" s="418" t="s">
        <v>14084</v>
      </c>
      <c r="B6756">
        <v>74</v>
      </c>
      <c r="C6756" s="309"/>
      <c r="D6756" s="310"/>
    </row>
    <row r="6757" spans="1:4" x14ac:dyDescent="0.25">
      <c r="A6757" s="418" t="s">
        <v>14085</v>
      </c>
      <c r="B6757">
        <v>75</v>
      </c>
      <c r="C6757" s="309"/>
      <c r="D6757" s="310"/>
    </row>
    <row r="6758" spans="1:4" x14ac:dyDescent="0.25">
      <c r="A6758" s="418" t="s">
        <v>14086</v>
      </c>
      <c r="B6758">
        <v>70</v>
      </c>
      <c r="C6758" s="309"/>
      <c r="D6758" s="310"/>
    </row>
    <row r="6759" spans="1:4" x14ac:dyDescent="0.25">
      <c r="A6759" s="418" t="s">
        <v>14087</v>
      </c>
      <c r="B6759">
        <v>75</v>
      </c>
      <c r="C6759" s="309"/>
      <c r="D6759" s="310"/>
    </row>
    <row r="6760" spans="1:4" x14ac:dyDescent="0.25">
      <c r="A6760" s="418" t="s">
        <v>14088</v>
      </c>
      <c r="B6760">
        <v>76</v>
      </c>
      <c r="C6760" s="309"/>
      <c r="D6760" s="310"/>
    </row>
    <row r="6761" spans="1:4" x14ac:dyDescent="0.25">
      <c r="A6761" s="418" t="s">
        <v>14089</v>
      </c>
      <c r="B6761">
        <v>74</v>
      </c>
      <c r="C6761" s="309"/>
      <c r="D6761" s="310"/>
    </row>
    <row r="6762" spans="1:4" x14ac:dyDescent="0.25">
      <c r="A6762" s="418" t="s">
        <v>14090</v>
      </c>
      <c r="B6762">
        <v>80</v>
      </c>
      <c r="C6762" s="309"/>
      <c r="D6762" s="310"/>
    </row>
    <row r="6763" spans="1:4" x14ac:dyDescent="0.25">
      <c r="A6763" s="418" t="s">
        <v>14091</v>
      </c>
      <c r="B6763">
        <v>80</v>
      </c>
      <c r="C6763" s="309"/>
      <c r="D6763" s="310"/>
    </row>
    <row r="6764" spans="1:4" x14ac:dyDescent="0.25">
      <c r="A6764" s="418" t="s">
        <v>14092</v>
      </c>
      <c r="B6764">
        <v>78</v>
      </c>
      <c r="C6764" s="309"/>
      <c r="D6764" s="310"/>
    </row>
    <row r="6765" spans="1:4" x14ac:dyDescent="0.25">
      <c r="A6765" s="418" t="s">
        <v>14093</v>
      </c>
      <c r="B6765">
        <v>80</v>
      </c>
      <c r="C6765" s="309"/>
      <c r="D6765" s="310"/>
    </row>
    <row r="6766" spans="1:4" x14ac:dyDescent="0.25">
      <c r="A6766" s="418" t="s">
        <v>16656</v>
      </c>
      <c r="B6766">
        <v>76</v>
      </c>
      <c r="C6766" s="309"/>
      <c r="D6766" s="310"/>
    </row>
    <row r="6767" spans="1:4" x14ac:dyDescent="0.25">
      <c r="A6767" s="418" t="s">
        <v>14094</v>
      </c>
      <c r="B6767">
        <v>77</v>
      </c>
      <c r="C6767" s="309"/>
      <c r="D6767" s="310"/>
    </row>
    <row r="6768" spans="1:4" x14ac:dyDescent="0.25">
      <c r="A6768" s="418" t="s">
        <v>14095</v>
      </c>
      <c r="B6768">
        <v>72</v>
      </c>
      <c r="C6768" s="309"/>
      <c r="D6768" s="310"/>
    </row>
    <row r="6769" spans="1:4" x14ac:dyDescent="0.25">
      <c r="A6769" s="418" t="s">
        <v>14096</v>
      </c>
      <c r="B6769">
        <v>80</v>
      </c>
      <c r="C6769" s="309"/>
      <c r="D6769" s="310"/>
    </row>
    <row r="6770" spans="1:4" x14ac:dyDescent="0.25">
      <c r="A6770" s="418" t="s">
        <v>14097</v>
      </c>
      <c r="B6770">
        <v>77</v>
      </c>
      <c r="C6770" s="309"/>
      <c r="D6770" s="310"/>
    </row>
    <row r="6771" spans="1:4" x14ac:dyDescent="0.25">
      <c r="A6771" s="418" t="s">
        <v>16657</v>
      </c>
      <c r="B6771">
        <v>77</v>
      </c>
      <c r="C6771" s="309"/>
      <c r="D6771" s="310"/>
    </row>
    <row r="6772" spans="1:4" x14ac:dyDescent="0.25">
      <c r="A6772" s="418" t="s">
        <v>14098</v>
      </c>
      <c r="B6772">
        <v>80</v>
      </c>
      <c r="C6772" s="309"/>
      <c r="D6772" s="310"/>
    </row>
    <row r="6773" spans="1:4" x14ac:dyDescent="0.25">
      <c r="A6773" s="418" t="s">
        <v>14099</v>
      </c>
      <c r="B6773">
        <v>79</v>
      </c>
      <c r="C6773" s="309"/>
      <c r="D6773" s="310"/>
    </row>
    <row r="6774" spans="1:4" x14ac:dyDescent="0.25">
      <c r="A6774" s="418" t="s">
        <v>14100</v>
      </c>
      <c r="B6774">
        <v>74</v>
      </c>
      <c r="C6774" s="309"/>
      <c r="D6774" s="310"/>
    </row>
    <row r="6775" spans="1:4" x14ac:dyDescent="0.25">
      <c r="A6775" s="418" t="s">
        <v>14101</v>
      </c>
      <c r="B6775">
        <v>79</v>
      </c>
      <c r="C6775" s="309"/>
      <c r="D6775" s="310"/>
    </row>
    <row r="6776" spans="1:4" x14ac:dyDescent="0.25">
      <c r="A6776" s="418" t="s">
        <v>14102</v>
      </c>
      <c r="B6776">
        <v>78</v>
      </c>
      <c r="C6776" s="309"/>
      <c r="D6776" s="310"/>
    </row>
    <row r="6777" spans="1:4" x14ac:dyDescent="0.25">
      <c r="A6777" s="418" t="s">
        <v>14103</v>
      </c>
      <c r="B6777">
        <v>79</v>
      </c>
      <c r="C6777" s="309"/>
      <c r="D6777" s="310"/>
    </row>
    <row r="6778" spans="1:4" x14ac:dyDescent="0.25">
      <c r="A6778" s="418" t="s">
        <v>14104</v>
      </c>
      <c r="B6778">
        <v>76</v>
      </c>
      <c r="C6778" s="309"/>
      <c r="D6778" s="310"/>
    </row>
    <row r="6779" spans="1:4" x14ac:dyDescent="0.25">
      <c r="A6779" s="418" t="s">
        <v>14105</v>
      </c>
      <c r="B6779">
        <v>79</v>
      </c>
      <c r="C6779" s="309"/>
      <c r="D6779" s="310"/>
    </row>
    <row r="6780" spans="1:4" x14ac:dyDescent="0.25">
      <c r="A6780" s="418" t="s">
        <v>14106</v>
      </c>
      <c r="B6780">
        <v>80</v>
      </c>
      <c r="C6780" s="309"/>
      <c r="D6780" s="310"/>
    </row>
    <row r="6781" spans="1:4" x14ac:dyDescent="0.25">
      <c r="A6781" s="418" t="s">
        <v>14107</v>
      </c>
      <c r="B6781">
        <v>75</v>
      </c>
      <c r="C6781" s="309"/>
      <c r="D6781" s="310"/>
    </row>
    <row r="6782" spans="1:4" x14ac:dyDescent="0.25">
      <c r="A6782" s="418" t="s">
        <v>14108</v>
      </c>
      <c r="B6782">
        <v>74</v>
      </c>
      <c r="C6782" s="309"/>
      <c r="D6782" s="310"/>
    </row>
    <row r="6783" spans="1:4" x14ac:dyDescent="0.25">
      <c r="A6783" s="418" t="s">
        <v>14109</v>
      </c>
      <c r="B6783">
        <v>80</v>
      </c>
      <c r="C6783" s="309"/>
      <c r="D6783" s="310"/>
    </row>
    <row r="6784" spans="1:4" x14ac:dyDescent="0.25">
      <c r="A6784" s="418" t="s">
        <v>14110</v>
      </c>
      <c r="B6784">
        <v>78</v>
      </c>
      <c r="C6784" s="309"/>
      <c r="D6784" s="310"/>
    </row>
    <row r="6785" spans="1:4" x14ac:dyDescent="0.25">
      <c r="A6785" s="418" t="s">
        <v>14111</v>
      </c>
      <c r="B6785">
        <v>76</v>
      </c>
      <c r="C6785" s="309"/>
      <c r="D6785" s="310"/>
    </row>
    <row r="6786" spans="1:4" x14ac:dyDescent="0.25">
      <c r="A6786" s="418" t="s">
        <v>14112</v>
      </c>
      <c r="B6786">
        <v>75</v>
      </c>
      <c r="C6786" s="309"/>
      <c r="D6786" s="310"/>
    </row>
    <row r="6787" spans="1:4" x14ac:dyDescent="0.25">
      <c r="A6787" s="418" t="s">
        <v>17328</v>
      </c>
      <c r="B6787">
        <v>80</v>
      </c>
      <c r="C6787" s="309"/>
      <c r="D6787" s="310"/>
    </row>
    <row r="6788" spans="1:4" x14ac:dyDescent="0.25">
      <c r="A6788" s="418" t="s">
        <v>14113</v>
      </c>
      <c r="B6788">
        <v>77</v>
      </c>
      <c r="C6788" s="309"/>
      <c r="D6788" s="310"/>
    </row>
    <row r="6789" spans="1:4" x14ac:dyDescent="0.25">
      <c r="A6789" s="418" t="s">
        <v>14114</v>
      </c>
      <c r="B6789">
        <v>80</v>
      </c>
      <c r="C6789" s="309"/>
      <c r="D6789" s="310"/>
    </row>
    <row r="6790" spans="1:4" x14ac:dyDescent="0.25">
      <c r="A6790" s="418" t="s">
        <v>14115</v>
      </c>
      <c r="B6790">
        <v>79</v>
      </c>
      <c r="C6790" s="309"/>
      <c r="D6790" s="310"/>
    </row>
    <row r="6791" spans="1:4" x14ac:dyDescent="0.25">
      <c r="A6791" s="418" t="s">
        <v>14116</v>
      </c>
      <c r="B6791">
        <v>77</v>
      </c>
      <c r="C6791" s="309"/>
      <c r="D6791" s="310"/>
    </row>
    <row r="6792" spans="1:4" x14ac:dyDescent="0.25">
      <c r="A6792" s="418" t="s">
        <v>14117</v>
      </c>
      <c r="B6792">
        <v>72</v>
      </c>
      <c r="C6792" s="309"/>
      <c r="D6792" s="310"/>
    </row>
    <row r="6793" spans="1:4" x14ac:dyDescent="0.25">
      <c r="A6793" s="418" t="s">
        <v>14118</v>
      </c>
      <c r="B6793">
        <v>80</v>
      </c>
      <c r="C6793" s="309"/>
      <c r="D6793" s="310"/>
    </row>
    <row r="6794" spans="1:4" x14ac:dyDescent="0.25">
      <c r="A6794" s="418" t="s">
        <v>14119</v>
      </c>
      <c r="B6794">
        <v>71</v>
      </c>
      <c r="C6794" s="309"/>
      <c r="D6794" s="310"/>
    </row>
    <row r="6795" spans="1:4" x14ac:dyDescent="0.25">
      <c r="A6795" s="418" t="s">
        <v>14120</v>
      </c>
      <c r="B6795">
        <v>77</v>
      </c>
      <c r="C6795" s="309"/>
      <c r="D6795" s="310"/>
    </row>
    <row r="6796" spans="1:4" x14ac:dyDescent="0.25">
      <c r="A6796" s="418" t="s">
        <v>14121</v>
      </c>
      <c r="B6796">
        <v>73</v>
      </c>
      <c r="C6796" s="309"/>
      <c r="D6796" s="310"/>
    </row>
    <row r="6797" spans="1:4" x14ac:dyDescent="0.25">
      <c r="A6797" s="418" t="s">
        <v>14122</v>
      </c>
      <c r="B6797">
        <v>77</v>
      </c>
      <c r="C6797" s="309"/>
      <c r="D6797" s="310"/>
    </row>
    <row r="6798" spans="1:4" x14ac:dyDescent="0.25">
      <c r="A6798" s="418" t="s">
        <v>17329</v>
      </c>
      <c r="B6798">
        <v>80</v>
      </c>
      <c r="C6798" s="309"/>
      <c r="D6798" s="310"/>
    </row>
    <row r="6799" spans="1:4" x14ac:dyDescent="0.25">
      <c r="A6799" s="418" t="s">
        <v>14123</v>
      </c>
      <c r="B6799">
        <v>78</v>
      </c>
      <c r="C6799" s="309"/>
      <c r="D6799" s="310"/>
    </row>
    <row r="6800" spans="1:4" x14ac:dyDescent="0.25">
      <c r="A6800" s="418" t="s">
        <v>14124</v>
      </c>
      <c r="B6800">
        <v>78</v>
      </c>
      <c r="C6800" s="309"/>
      <c r="D6800" s="310"/>
    </row>
    <row r="6801" spans="1:4" x14ac:dyDescent="0.25">
      <c r="A6801" s="418" t="s">
        <v>14125</v>
      </c>
      <c r="B6801">
        <v>79</v>
      </c>
      <c r="C6801" s="309"/>
      <c r="D6801" s="310"/>
    </row>
    <row r="6802" spans="1:4" x14ac:dyDescent="0.25">
      <c r="A6802" s="418" t="s">
        <v>14126</v>
      </c>
      <c r="B6802">
        <v>78</v>
      </c>
      <c r="C6802" s="309"/>
      <c r="D6802" s="310"/>
    </row>
    <row r="6803" spans="1:4" x14ac:dyDescent="0.25">
      <c r="A6803" s="418" t="s">
        <v>14127</v>
      </c>
      <c r="B6803">
        <v>79</v>
      </c>
      <c r="C6803" s="309"/>
      <c r="D6803" s="310"/>
    </row>
    <row r="6804" spans="1:4" x14ac:dyDescent="0.25">
      <c r="A6804" s="418" t="s">
        <v>14128</v>
      </c>
      <c r="B6804">
        <v>80</v>
      </c>
      <c r="C6804" s="309"/>
      <c r="D6804" s="310"/>
    </row>
    <row r="6805" spans="1:4" x14ac:dyDescent="0.25">
      <c r="A6805" s="418" t="s">
        <v>14129</v>
      </c>
      <c r="B6805">
        <v>80</v>
      </c>
      <c r="C6805" s="309"/>
      <c r="D6805" s="310"/>
    </row>
    <row r="6806" spans="1:4" x14ac:dyDescent="0.25">
      <c r="A6806" s="418" t="s">
        <v>14130</v>
      </c>
      <c r="B6806">
        <v>78</v>
      </c>
      <c r="C6806" s="309"/>
      <c r="D6806" s="310"/>
    </row>
    <row r="6807" spans="1:4" x14ac:dyDescent="0.25">
      <c r="A6807" s="418" t="s">
        <v>14131</v>
      </c>
      <c r="B6807">
        <v>75</v>
      </c>
      <c r="C6807" s="309"/>
      <c r="D6807" s="310"/>
    </row>
    <row r="6808" spans="1:4" x14ac:dyDescent="0.25">
      <c r="A6808" s="418" t="s">
        <v>14132</v>
      </c>
      <c r="B6808">
        <v>70</v>
      </c>
      <c r="C6808" s="309"/>
      <c r="D6808" s="310"/>
    </row>
    <row r="6809" spans="1:4" x14ac:dyDescent="0.25">
      <c r="A6809" s="418" t="s">
        <v>14133</v>
      </c>
      <c r="B6809">
        <v>80</v>
      </c>
      <c r="C6809" s="309"/>
      <c r="D6809" s="310"/>
    </row>
    <row r="6810" spans="1:4" x14ac:dyDescent="0.25">
      <c r="A6810" s="418" t="s">
        <v>14134</v>
      </c>
      <c r="B6810">
        <v>72</v>
      </c>
      <c r="C6810" s="309"/>
      <c r="D6810" s="310"/>
    </row>
    <row r="6811" spans="1:4" x14ac:dyDescent="0.25">
      <c r="A6811" s="418" t="s">
        <v>14135</v>
      </c>
      <c r="B6811">
        <v>77</v>
      </c>
      <c r="C6811" s="309"/>
      <c r="D6811" s="310"/>
    </row>
    <row r="6812" spans="1:4" x14ac:dyDescent="0.25">
      <c r="A6812" s="418" t="s">
        <v>14136</v>
      </c>
      <c r="B6812">
        <v>80</v>
      </c>
      <c r="C6812" s="309"/>
      <c r="D6812" s="310"/>
    </row>
    <row r="6813" spans="1:4" x14ac:dyDescent="0.25">
      <c r="A6813" s="418" t="s">
        <v>14137</v>
      </c>
      <c r="B6813">
        <v>77</v>
      </c>
      <c r="C6813" s="309"/>
      <c r="D6813" s="310"/>
    </row>
    <row r="6814" spans="1:4" x14ac:dyDescent="0.25">
      <c r="A6814" s="418" t="s">
        <v>14138</v>
      </c>
      <c r="B6814">
        <v>78</v>
      </c>
      <c r="C6814" s="309"/>
      <c r="D6814" s="310"/>
    </row>
    <row r="6815" spans="1:4" x14ac:dyDescent="0.25">
      <c r="A6815" s="418" t="s">
        <v>14139</v>
      </c>
      <c r="B6815">
        <v>78</v>
      </c>
      <c r="C6815" s="309"/>
      <c r="D6815" s="310"/>
    </row>
    <row r="6816" spans="1:4" x14ac:dyDescent="0.25">
      <c r="A6816" s="418" t="s">
        <v>14140</v>
      </c>
      <c r="B6816">
        <v>77</v>
      </c>
      <c r="C6816" s="309"/>
      <c r="D6816" s="310"/>
    </row>
    <row r="6817" spans="1:4" x14ac:dyDescent="0.25">
      <c r="A6817" s="418" t="s">
        <v>14141</v>
      </c>
      <c r="B6817">
        <v>77</v>
      </c>
      <c r="C6817" s="309"/>
      <c r="D6817" s="310"/>
    </row>
    <row r="6818" spans="1:4" x14ac:dyDescent="0.25">
      <c r="A6818" s="418" t="s">
        <v>14142</v>
      </c>
      <c r="B6818">
        <v>78</v>
      </c>
      <c r="C6818" s="309"/>
      <c r="D6818" s="310"/>
    </row>
    <row r="6819" spans="1:4" x14ac:dyDescent="0.25">
      <c r="A6819" s="418" t="s">
        <v>14143</v>
      </c>
      <c r="B6819">
        <v>80</v>
      </c>
      <c r="C6819" s="309"/>
      <c r="D6819" s="310"/>
    </row>
    <row r="6820" spans="1:4" x14ac:dyDescent="0.25">
      <c r="A6820" s="418" t="s">
        <v>14144</v>
      </c>
      <c r="B6820">
        <v>75</v>
      </c>
      <c r="C6820" s="309"/>
      <c r="D6820" s="310"/>
    </row>
    <row r="6821" spans="1:4" x14ac:dyDescent="0.25">
      <c r="A6821" s="418" t="s">
        <v>15187</v>
      </c>
      <c r="B6821">
        <v>80</v>
      </c>
      <c r="C6821" s="309"/>
      <c r="D6821" s="310"/>
    </row>
    <row r="6822" spans="1:4" x14ac:dyDescent="0.25">
      <c r="A6822" s="418" t="s">
        <v>14145</v>
      </c>
      <c r="B6822">
        <v>80</v>
      </c>
      <c r="C6822" s="309"/>
      <c r="D6822" s="310"/>
    </row>
    <row r="6823" spans="1:4" x14ac:dyDescent="0.25">
      <c r="A6823" s="418" t="s">
        <v>16928</v>
      </c>
      <c r="B6823">
        <v>78</v>
      </c>
      <c r="C6823" s="309"/>
      <c r="D6823" s="310"/>
    </row>
    <row r="6824" spans="1:4" x14ac:dyDescent="0.25">
      <c r="A6824" s="418" t="s">
        <v>14146</v>
      </c>
      <c r="B6824">
        <v>80</v>
      </c>
      <c r="C6824" s="309"/>
      <c r="D6824" s="310"/>
    </row>
    <row r="6825" spans="1:4" x14ac:dyDescent="0.25">
      <c r="A6825" s="418" t="s">
        <v>14147</v>
      </c>
      <c r="B6825">
        <v>80</v>
      </c>
      <c r="C6825" s="309"/>
      <c r="D6825" s="310"/>
    </row>
    <row r="6826" spans="1:4" x14ac:dyDescent="0.25">
      <c r="A6826" s="418" t="s">
        <v>14148</v>
      </c>
      <c r="B6826">
        <v>80</v>
      </c>
      <c r="C6826" s="309"/>
      <c r="D6826" s="310"/>
    </row>
    <row r="6827" spans="1:4" x14ac:dyDescent="0.25">
      <c r="A6827" s="418" t="s">
        <v>14149</v>
      </c>
      <c r="B6827">
        <v>79</v>
      </c>
      <c r="C6827" s="309"/>
      <c r="D6827" s="310"/>
    </row>
    <row r="6828" spans="1:4" x14ac:dyDescent="0.25">
      <c r="A6828" s="418" t="s">
        <v>14150</v>
      </c>
      <c r="B6828">
        <v>77</v>
      </c>
      <c r="C6828" s="309"/>
      <c r="D6828" s="310"/>
    </row>
    <row r="6829" spans="1:4" x14ac:dyDescent="0.25">
      <c r="A6829" s="418" t="s">
        <v>14151</v>
      </c>
      <c r="B6829">
        <v>79</v>
      </c>
      <c r="C6829" s="309"/>
      <c r="D6829" s="310"/>
    </row>
    <row r="6830" spans="1:4" x14ac:dyDescent="0.25">
      <c r="A6830" s="418" t="s">
        <v>14152</v>
      </c>
      <c r="B6830">
        <v>80</v>
      </c>
      <c r="C6830" s="309"/>
      <c r="D6830" s="310"/>
    </row>
    <row r="6831" spans="1:4" x14ac:dyDescent="0.25">
      <c r="A6831" s="418" t="s">
        <v>14153</v>
      </c>
      <c r="B6831">
        <v>76</v>
      </c>
      <c r="C6831" s="309"/>
      <c r="D6831" s="310"/>
    </row>
    <row r="6832" spans="1:4" x14ac:dyDescent="0.25">
      <c r="A6832" s="418" t="s">
        <v>14154</v>
      </c>
      <c r="B6832">
        <v>76</v>
      </c>
      <c r="C6832" s="309"/>
      <c r="D6832" s="310"/>
    </row>
    <row r="6833" spans="1:4" x14ac:dyDescent="0.25">
      <c r="A6833" s="418" t="s">
        <v>17330</v>
      </c>
      <c r="B6833">
        <v>80</v>
      </c>
      <c r="C6833" s="309"/>
      <c r="D6833" s="310"/>
    </row>
    <row r="6834" spans="1:4" x14ac:dyDescent="0.25">
      <c r="A6834" s="418" t="s">
        <v>14155</v>
      </c>
      <c r="B6834">
        <v>76</v>
      </c>
      <c r="C6834" s="309"/>
      <c r="D6834" s="310"/>
    </row>
    <row r="6835" spans="1:4" x14ac:dyDescent="0.25">
      <c r="A6835" s="418" t="s">
        <v>14156</v>
      </c>
      <c r="B6835">
        <v>77</v>
      </c>
      <c r="C6835" s="309"/>
      <c r="D6835" s="310"/>
    </row>
    <row r="6836" spans="1:4" x14ac:dyDescent="0.25">
      <c r="A6836" s="418" t="s">
        <v>14157</v>
      </c>
      <c r="B6836">
        <v>75</v>
      </c>
      <c r="C6836" s="309"/>
      <c r="D6836" s="310"/>
    </row>
    <row r="6837" spans="1:4" x14ac:dyDescent="0.25">
      <c r="A6837" s="418" t="s">
        <v>14158</v>
      </c>
      <c r="B6837">
        <v>80</v>
      </c>
      <c r="C6837" s="309"/>
      <c r="D6837" s="310"/>
    </row>
    <row r="6838" spans="1:4" x14ac:dyDescent="0.25">
      <c r="A6838" s="418" t="s">
        <v>14159</v>
      </c>
      <c r="B6838">
        <v>79</v>
      </c>
      <c r="C6838" s="309"/>
      <c r="D6838" s="310"/>
    </row>
    <row r="6839" spans="1:4" x14ac:dyDescent="0.25">
      <c r="A6839" s="418" t="s">
        <v>14160</v>
      </c>
      <c r="B6839">
        <v>78</v>
      </c>
      <c r="C6839" s="309"/>
      <c r="D6839" s="310"/>
    </row>
    <row r="6840" spans="1:4" x14ac:dyDescent="0.25">
      <c r="A6840" s="418" t="s">
        <v>14161</v>
      </c>
      <c r="B6840">
        <v>79</v>
      </c>
      <c r="C6840" s="309"/>
      <c r="D6840" s="310"/>
    </row>
    <row r="6841" spans="1:4" x14ac:dyDescent="0.25">
      <c r="A6841" s="418" t="s">
        <v>14162</v>
      </c>
      <c r="B6841">
        <v>76</v>
      </c>
      <c r="C6841" s="309"/>
      <c r="D6841" s="310"/>
    </row>
    <row r="6842" spans="1:4" x14ac:dyDescent="0.25">
      <c r="A6842" s="418" t="s">
        <v>14163</v>
      </c>
      <c r="B6842">
        <v>79</v>
      </c>
      <c r="C6842" s="309"/>
      <c r="D6842" s="310"/>
    </row>
    <row r="6843" spans="1:4" x14ac:dyDescent="0.25">
      <c r="A6843" s="418" t="s">
        <v>15582</v>
      </c>
      <c r="B6843">
        <v>75</v>
      </c>
      <c r="C6843" s="309"/>
      <c r="D6843" s="310"/>
    </row>
    <row r="6844" spans="1:4" x14ac:dyDescent="0.25">
      <c r="A6844" s="418" t="s">
        <v>14164</v>
      </c>
      <c r="B6844">
        <v>75</v>
      </c>
      <c r="C6844" s="309"/>
      <c r="D6844" s="310"/>
    </row>
    <row r="6845" spans="1:4" x14ac:dyDescent="0.25">
      <c r="A6845" s="418" t="s">
        <v>14165</v>
      </c>
      <c r="B6845">
        <v>78</v>
      </c>
      <c r="C6845" s="309"/>
      <c r="D6845" s="310"/>
    </row>
    <row r="6846" spans="1:4" x14ac:dyDescent="0.25">
      <c r="A6846" s="418" t="s">
        <v>14166</v>
      </c>
      <c r="B6846">
        <v>80</v>
      </c>
      <c r="C6846" s="309"/>
      <c r="D6846" s="310"/>
    </row>
    <row r="6847" spans="1:4" x14ac:dyDescent="0.25">
      <c r="A6847" s="418" t="s">
        <v>16658</v>
      </c>
      <c r="B6847">
        <v>80</v>
      </c>
      <c r="C6847" s="309"/>
      <c r="D6847" s="310"/>
    </row>
    <row r="6848" spans="1:4" x14ac:dyDescent="0.25">
      <c r="A6848" s="418" t="s">
        <v>14167</v>
      </c>
      <c r="B6848">
        <v>79</v>
      </c>
      <c r="C6848" s="309"/>
      <c r="D6848" s="310"/>
    </row>
    <row r="6849" spans="1:4" x14ac:dyDescent="0.25">
      <c r="A6849" s="418" t="s">
        <v>14168</v>
      </c>
      <c r="B6849">
        <v>79</v>
      </c>
      <c r="C6849" s="309"/>
      <c r="D6849" s="310"/>
    </row>
    <row r="6850" spans="1:4" x14ac:dyDescent="0.25">
      <c r="A6850" s="418" t="s">
        <v>14169</v>
      </c>
      <c r="B6850">
        <v>72</v>
      </c>
      <c r="C6850" s="309"/>
      <c r="D6850" s="310"/>
    </row>
    <row r="6851" spans="1:4" x14ac:dyDescent="0.25">
      <c r="A6851" s="418" t="s">
        <v>16659</v>
      </c>
      <c r="B6851">
        <v>78</v>
      </c>
      <c r="C6851" s="309"/>
      <c r="D6851" s="310"/>
    </row>
    <row r="6852" spans="1:4" x14ac:dyDescent="0.25">
      <c r="A6852" s="418" t="s">
        <v>14170</v>
      </c>
      <c r="B6852">
        <v>79</v>
      </c>
      <c r="C6852" s="309"/>
      <c r="D6852" s="310"/>
    </row>
    <row r="6853" spans="1:4" x14ac:dyDescent="0.25">
      <c r="A6853" s="418" t="s">
        <v>14171</v>
      </c>
      <c r="B6853">
        <v>79</v>
      </c>
      <c r="C6853" s="309"/>
      <c r="D6853" s="310"/>
    </row>
    <row r="6854" spans="1:4" x14ac:dyDescent="0.25">
      <c r="A6854" s="418" t="s">
        <v>14172</v>
      </c>
      <c r="B6854">
        <v>77</v>
      </c>
      <c r="C6854" s="309"/>
      <c r="D6854" s="310"/>
    </row>
    <row r="6855" spans="1:4" x14ac:dyDescent="0.25">
      <c r="A6855" s="418" t="s">
        <v>14173</v>
      </c>
      <c r="B6855">
        <v>80</v>
      </c>
      <c r="C6855" s="309"/>
      <c r="D6855" s="310"/>
    </row>
    <row r="6856" spans="1:4" x14ac:dyDescent="0.25">
      <c r="A6856" s="418" t="s">
        <v>16660</v>
      </c>
      <c r="B6856">
        <v>78</v>
      </c>
      <c r="C6856" s="309"/>
      <c r="D6856" s="310"/>
    </row>
    <row r="6857" spans="1:4" x14ac:dyDescent="0.25">
      <c r="A6857" s="418" t="s">
        <v>14174</v>
      </c>
      <c r="B6857">
        <v>76</v>
      </c>
      <c r="C6857" s="309"/>
      <c r="D6857" s="310"/>
    </row>
    <row r="6858" spans="1:4" x14ac:dyDescent="0.25">
      <c r="A6858" s="418" t="s">
        <v>14175</v>
      </c>
      <c r="B6858">
        <v>75</v>
      </c>
      <c r="C6858" s="309"/>
      <c r="D6858" s="310"/>
    </row>
    <row r="6859" spans="1:4" x14ac:dyDescent="0.25">
      <c r="A6859" s="418" t="s">
        <v>14176</v>
      </c>
      <c r="B6859">
        <v>76</v>
      </c>
      <c r="C6859" s="309"/>
      <c r="D6859" s="310"/>
    </row>
    <row r="6860" spans="1:4" x14ac:dyDescent="0.25">
      <c r="A6860" s="418" t="s">
        <v>14177</v>
      </c>
      <c r="B6860">
        <v>80</v>
      </c>
      <c r="C6860" s="309"/>
      <c r="D6860" s="310"/>
    </row>
    <row r="6861" spans="1:4" x14ac:dyDescent="0.25">
      <c r="A6861" s="418" t="s">
        <v>14178</v>
      </c>
      <c r="B6861">
        <v>78</v>
      </c>
      <c r="C6861" s="309"/>
      <c r="D6861" s="310"/>
    </row>
    <row r="6862" spans="1:4" x14ac:dyDescent="0.25">
      <c r="A6862" s="418" t="s">
        <v>16304</v>
      </c>
      <c r="B6862">
        <v>79</v>
      </c>
      <c r="C6862" s="309"/>
      <c r="D6862" s="310"/>
    </row>
    <row r="6863" spans="1:4" x14ac:dyDescent="0.25">
      <c r="A6863" s="418" t="s">
        <v>14179</v>
      </c>
      <c r="B6863">
        <v>74</v>
      </c>
      <c r="C6863" s="309"/>
      <c r="D6863" s="310"/>
    </row>
    <row r="6864" spans="1:4" x14ac:dyDescent="0.25">
      <c r="A6864" s="418" t="s">
        <v>14180</v>
      </c>
      <c r="B6864">
        <v>78</v>
      </c>
      <c r="C6864" s="309"/>
      <c r="D6864" s="310"/>
    </row>
    <row r="6865" spans="1:4" x14ac:dyDescent="0.25">
      <c r="A6865" s="418" t="s">
        <v>14181</v>
      </c>
      <c r="B6865">
        <v>79</v>
      </c>
      <c r="C6865" s="309"/>
      <c r="D6865" s="310"/>
    </row>
    <row r="6866" spans="1:4" x14ac:dyDescent="0.25">
      <c r="A6866" s="418" t="s">
        <v>14182</v>
      </c>
      <c r="B6866">
        <v>80</v>
      </c>
      <c r="C6866" s="309"/>
      <c r="D6866" s="310"/>
    </row>
    <row r="6867" spans="1:4" x14ac:dyDescent="0.25">
      <c r="A6867" s="418" t="s">
        <v>14183</v>
      </c>
      <c r="B6867">
        <v>79</v>
      </c>
      <c r="C6867" s="309"/>
      <c r="D6867" s="310"/>
    </row>
    <row r="6868" spans="1:4" x14ac:dyDescent="0.25">
      <c r="A6868" s="418" t="s">
        <v>14184</v>
      </c>
      <c r="B6868">
        <v>79</v>
      </c>
      <c r="C6868" s="309"/>
      <c r="D6868" s="310"/>
    </row>
    <row r="6869" spans="1:4" x14ac:dyDescent="0.25">
      <c r="A6869" s="418" t="s">
        <v>14185</v>
      </c>
      <c r="B6869">
        <v>79</v>
      </c>
      <c r="C6869" s="309"/>
      <c r="D6869" s="310"/>
    </row>
    <row r="6870" spans="1:4" x14ac:dyDescent="0.25">
      <c r="A6870" s="418" t="s">
        <v>16929</v>
      </c>
      <c r="B6870">
        <v>80</v>
      </c>
      <c r="C6870" s="309"/>
      <c r="D6870" s="310"/>
    </row>
    <row r="6871" spans="1:4" x14ac:dyDescent="0.25">
      <c r="A6871" s="418" t="s">
        <v>14186</v>
      </c>
      <c r="B6871">
        <v>79</v>
      </c>
      <c r="C6871" s="309"/>
      <c r="D6871" s="310"/>
    </row>
    <row r="6872" spans="1:4" x14ac:dyDescent="0.25">
      <c r="A6872" s="418" t="s">
        <v>14187</v>
      </c>
      <c r="B6872">
        <v>77</v>
      </c>
      <c r="C6872" s="309"/>
      <c r="D6872" s="310"/>
    </row>
    <row r="6873" spans="1:4" x14ac:dyDescent="0.25">
      <c r="A6873" s="418" t="s">
        <v>14188</v>
      </c>
      <c r="B6873">
        <v>80</v>
      </c>
      <c r="C6873" s="309"/>
      <c r="D6873" s="310"/>
    </row>
    <row r="6874" spans="1:4" x14ac:dyDescent="0.25">
      <c r="A6874" s="418" t="s">
        <v>14189</v>
      </c>
      <c r="B6874">
        <v>78</v>
      </c>
      <c r="C6874" s="309"/>
      <c r="D6874" s="310"/>
    </row>
    <row r="6875" spans="1:4" x14ac:dyDescent="0.25">
      <c r="A6875" s="418" t="s">
        <v>14190</v>
      </c>
      <c r="B6875">
        <v>79</v>
      </c>
      <c r="C6875" s="309"/>
      <c r="D6875" s="310"/>
    </row>
    <row r="6876" spans="1:4" x14ac:dyDescent="0.25">
      <c r="A6876" s="418" t="s">
        <v>15943</v>
      </c>
      <c r="B6876">
        <v>80</v>
      </c>
      <c r="C6876" s="309"/>
      <c r="D6876" s="310"/>
    </row>
    <row r="6877" spans="1:4" x14ac:dyDescent="0.25">
      <c r="A6877" s="418" t="s">
        <v>14191</v>
      </c>
      <c r="B6877">
        <v>80</v>
      </c>
      <c r="C6877" s="309"/>
      <c r="D6877" s="310"/>
    </row>
    <row r="6878" spans="1:4" x14ac:dyDescent="0.25">
      <c r="A6878" s="418" t="s">
        <v>14192</v>
      </c>
      <c r="B6878">
        <v>80</v>
      </c>
      <c r="C6878" s="309"/>
      <c r="D6878" s="310"/>
    </row>
    <row r="6879" spans="1:4" x14ac:dyDescent="0.25">
      <c r="A6879" s="418" t="s">
        <v>14193</v>
      </c>
      <c r="B6879">
        <v>75</v>
      </c>
      <c r="C6879" s="309"/>
      <c r="D6879" s="310"/>
    </row>
    <row r="6880" spans="1:4" x14ac:dyDescent="0.25">
      <c r="A6880" s="418" t="s">
        <v>14194</v>
      </c>
      <c r="B6880">
        <v>75</v>
      </c>
      <c r="C6880" s="309"/>
      <c r="D6880" s="310"/>
    </row>
    <row r="6881" spans="1:4" x14ac:dyDescent="0.25">
      <c r="A6881" s="418" t="s">
        <v>14195</v>
      </c>
      <c r="B6881">
        <v>80</v>
      </c>
      <c r="C6881" s="309"/>
      <c r="D6881" s="310"/>
    </row>
    <row r="6882" spans="1:4" x14ac:dyDescent="0.25">
      <c r="A6882" s="418" t="s">
        <v>14196</v>
      </c>
      <c r="B6882">
        <v>75</v>
      </c>
      <c r="C6882" s="309"/>
      <c r="D6882" s="310"/>
    </row>
    <row r="6883" spans="1:4" x14ac:dyDescent="0.25">
      <c r="A6883" s="418" t="s">
        <v>14197</v>
      </c>
      <c r="B6883">
        <v>74</v>
      </c>
      <c r="C6883" s="309"/>
      <c r="D6883" s="310"/>
    </row>
    <row r="6884" spans="1:4" x14ac:dyDescent="0.25">
      <c r="A6884" s="418" t="s">
        <v>14198</v>
      </c>
      <c r="B6884">
        <v>79</v>
      </c>
      <c r="C6884" s="309"/>
      <c r="D6884" s="310"/>
    </row>
    <row r="6885" spans="1:4" x14ac:dyDescent="0.25">
      <c r="A6885" s="418" t="s">
        <v>14199</v>
      </c>
      <c r="B6885">
        <v>76</v>
      </c>
      <c r="C6885" s="309"/>
      <c r="D6885" s="310"/>
    </row>
    <row r="6886" spans="1:4" x14ac:dyDescent="0.25">
      <c r="A6886" s="418" t="s">
        <v>16661</v>
      </c>
      <c r="B6886">
        <v>80</v>
      </c>
      <c r="C6886" s="309"/>
      <c r="D6886" s="310"/>
    </row>
    <row r="6887" spans="1:4" x14ac:dyDescent="0.25">
      <c r="A6887" s="418" t="s">
        <v>14200</v>
      </c>
      <c r="B6887">
        <v>79</v>
      </c>
      <c r="C6887" s="309"/>
      <c r="D6887" s="310"/>
    </row>
    <row r="6888" spans="1:4" x14ac:dyDescent="0.25">
      <c r="A6888" s="418" t="s">
        <v>17331</v>
      </c>
      <c r="B6888">
        <v>79</v>
      </c>
      <c r="C6888" s="309"/>
      <c r="D6888" s="310"/>
    </row>
    <row r="6889" spans="1:4" x14ac:dyDescent="0.25">
      <c r="A6889" s="418" t="s">
        <v>14201</v>
      </c>
      <c r="B6889">
        <v>80</v>
      </c>
      <c r="C6889" s="309"/>
      <c r="D6889" s="310"/>
    </row>
    <row r="6890" spans="1:4" x14ac:dyDescent="0.25">
      <c r="A6890" s="418" t="s">
        <v>14202</v>
      </c>
      <c r="B6890">
        <v>79</v>
      </c>
      <c r="C6890" s="309"/>
      <c r="D6890" s="310"/>
    </row>
    <row r="6891" spans="1:4" x14ac:dyDescent="0.25">
      <c r="A6891" s="418" t="s">
        <v>14203</v>
      </c>
      <c r="B6891">
        <v>79</v>
      </c>
      <c r="C6891" s="309"/>
      <c r="D6891" s="310"/>
    </row>
    <row r="6892" spans="1:4" x14ac:dyDescent="0.25">
      <c r="A6892" s="418" t="s">
        <v>14204</v>
      </c>
      <c r="B6892">
        <v>79</v>
      </c>
      <c r="C6892" s="309"/>
      <c r="D6892" s="310"/>
    </row>
    <row r="6893" spans="1:4" x14ac:dyDescent="0.25">
      <c r="A6893" s="418" t="s">
        <v>16930</v>
      </c>
      <c r="B6893">
        <v>80</v>
      </c>
      <c r="C6893" s="309"/>
      <c r="D6893" s="310"/>
    </row>
    <row r="6894" spans="1:4" x14ac:dyDescent="0.25">
      <c r="A6894" s="418" t="s">
        <v>14205</v>
      </c>
      <c r="B6894">
        <v>80</v>
      </c>
      <c r="C6894" s="309"/>
      <c r="D6894" s="310"/>
    </row>
    <row r="6895" spans="1:4" x14ac:dyDescent="0.25">
      <c r="A6895" s="418" t="s">
        <v>14206</v>
      </c>
      <c r="B6895">
        <v>77</v>
      </c>
      <c r="C6895" s="309"/>
      <c r="D6895" s="310"/>
    </row>
    <row r="6896" spans="1:4" x14ac:dyDescent="0.25">
      <c r="A6896" s="418" t="s">
        <v>14207</v>
      </c>
      <c r="B6896">
        <v>78</v>
      </c>
      <c r="C6896" s="309"/>
      <c r="D6896" s="310"/>
    </row>
    <row r="6897" spans="1:4" x14ac:dyDescent="0.25">
      <c r="A6897" s="418" t="s">
        <v>14208</v>
      </c>
      <c r="B6897">
        <v>80</v>
      </c>
      <c r="C6897" s="309"/>
      <c r="D6897" s="310"/>
    </row>
    <row r="6898" spans="1:4" x14ac:dyDescent="0.25">
      <c r="A6898" s="418" t="s">
        <v>14209</v>
      </c>
      <c r="B6898">
        <v>80</v>
      </c>
      <c r="C6898" s="309"/>
      <c r="D6898" s="310"/>
    </row>
    <row r="6899" spans="1:4" x14ac:dyDescent="0.25">
      <c r="A6899" s="418" t="s">
        <v>14210</v>
      </c>
      <c r="B6899">
        <v>79</v>
      </c>
      <c r="C6899" s="309"/>
      <c r="D6899" s="310"/>
    </row>
    <row r="6900" spans="1:4" x14ac:dyDescent="0.25">
      <c r="A6900" s="418" t="s">
        <v>16662</v>
      </c>
      <c r="B6900">
        <v>77</v>
      </c>
      <c r="C6900" s="309"/>
      <c r="D6900" s="310"/>
    </row>
    <row r="6901" spans="1:4" x14ac:dyDescent="0.25">
      <c r="A6901" s="418" t="s">
        <v>14211</v>
      </c>
      <c r="B6901">
        <v>80</v>
      </c>
      <c r="C6901" s="309"/>
      <c r="D6901" s="310"/>
    </row>
    <row r="6902" spans="1:4" x14ac:dyDescent="0.25">
      <c r="A6902" s="418" t="s">
        <v>14212</v>
      </c>
      <c r="B6902">
        <v>77</v>
      </c>
      <c r="C6902" s="309"/>
      <c r="D6902" s="310"/>
    </row>
    <row r="6903" spans="1:4" x14ac:dyDescent="0.25">
      <c r="A6903" s="418" t="s">
        <v>14213</v>
      </c>
      <c r="B6903">
        <v>73</v>
      </c>
      <c r="C6903" s="309"/>
      <c r="D6903" s="310"/>
    </row>
    <row r="6904" spans="1:4" x14ac:dyDescent="0.25">
      <c r="A6904" s="418" t="s">
        <v>17332</v>
      </c>
      <c r="B6904">
        <v>75</v>
      </c>
      <c r="C6904" s="309"/>
      <c r="D6904" s="310"/>
    </row>
    <row r="6905" spans="1:4" x14ac:dyDescent="0.25">
      <c r="A6905" s="418" t="s">
        <v>14214</v>
      </c>
      <c r="B6905">
        <v>79</v>
      </c>
      <c r="C6905" s="309"/>
      <c r="D6905" s="310"/>
    </row>
    <row r="6906" spans="1:4" x14ac:dyDescent="0.25">
      <c r="A6906" s="418" t="s">
        <v>14215</v>
      </c>
      <c r="B6906">
        <v>78</v>
      </c>
      <c r="C6906" s="309"/>
      <c r="D6906" s="310"/>
    </row>
    <row r="6907" spans="1:4" x14ac:dyDescent="0.25">
      <c r="A6907" s="418" t="s">
        <v>14216</v>
      </c>
      <c r="B6907">
        <v>77</v>
      </c>
      <c r="C6907" s="309"/>
      <c r="D6907" s="310"/>
    </row>
    <row r="6908" spans="1:4" x14ac:dyDescent="0.25">
      <c r="A6908" s="418" t="s">
        <v>16663</v>
      </c>
      <c r="B6908">
        <v>77</v>
      </c>
      <c r="C6908" s="309"/>
      <c r="D6908" s="310"/>
    </row>
    <row r="6909" spans="1:4" x14ac:dyDescent="0.25">
      <c r="A6909" s="418" t="s">
        <v>14217</v>
      </c>
      <c r="B6909">
        <v>76</v>
      </c>
      <c r="C6909" s="309"/>
      <c r="D6909" s="310"/>
    </row>
    <row r="6910" spans="1:4" x14ac:dyDescent="0.25">
      <c r="A6910" s="418" t="s">
        <v>14218</v>
      </c>
      <c r="B6910">
        <v>58</v>
      </c>
      <c r="C6910" s="309"/>
      <c r="D6910" s="310"/>
    </row>
    <row r="6911" spans="1:4" x14ac:dyDescent="0.25">
      <c r="A6911" s="418" t="s">
        <v>14219</v>
      </c>
      <c r="B6911">
        <v>78</v>
      </c>
      <c r="C6911" s="309"/>
      <c r="D6911" s="310"/>
    </row>
    <row r="6912" spans="1:4" x14ac:dyDescent="0.25">
      <c r="A6912" s="418" t="s">
        <v>14220</v>
      </c>
      <c r="B6912">
        <v>75</v>
      </c>
      <c r="C6912" s="309"/>
      <c r="D6912" s="310"/>
    </row>
    <row r="6913" spans="1:4" x14ac:dyDescent="0.25">
      <c r="A6913" s="418" t="s">
        <v>14221</v>
      </c>
      <c r="B6913">
        <v>78</v>
      </c>
      <c r="C6913" s="309"/>
      <c r="D6913" s="310"/>
    </row>
    <row r="6914" spans="1:4" x14ac:dyDescent="0.25">
      <c r="A6914" s="418" t="s">
        <v>14222</v>
      </c>
      <c r="B6914">
        <v>78</v>
      </c>
      <c r="C6914" s="309"/>
      <c r="D6914" s="310"/>
    </row>
    <row r="6915" spans="1:4" x14ac:dyDescent="0.25">
      <c r="A6915" s="418" t="s">
        <v>14223</v>
      </c>
      <c r="B6915">
        <v>79</v>
      </c>
      <c r="C6915" s="309"/>
      <c r="D6915" s="310"/>
    </row>
    <row r="6916" spans="1:4" x14ac:dyDescent="0.25">
      <c r="A6916" s="418" t="s">
        <v>14224</v>
      </c>
      <c r="B6916">
        <v>78</v>
      </c>
      <c r="C6916" s="309"/>
      <c r="D6916" s="310"/>
    </row>
    <row r="6917" spans="1:4" x14ac:dyDescent="0.25">
      <c r="A6917" s="418" t="s">
        <v>14225</v>
      </c>
      <c r="B6917">
        <v>76</v>
      </c>
      <c r="C6917" s="309"/>
      <c r="D6917" s="310"/>
    </row>
    <row r="6918" spans="1:4" x14ac:dyDescent="0.25">
      <c r="A6918" s="418" t="s">
        <v>14226</v>
      </c>
      <c r="B6918">
        <v>75</v>
      </c>
      <c r="C6918" s="309"/>
      <c r="D6918" s="310"/>
    </row>
    <row r="6919" spans="1:4" x14ac:dyDescent="0.25">
      <c r="A6919" s="418" t="s">
        <v>16354</v>
      </c>
      <c r="B6919">
        <v>78</v>
      </c>
      <c r="C6919" s="309"/>
      <c r="D6919" s="310"/>
    </row>
    <row r="6920" spans="1:4" x14ac:dyDescent="0.25">
      <c r="A6920" s="418" t="s">
        <v>16170</v>
      </c>
      <c r="B6920">
        <v>80</v>
      </c>
      <c r="C6920" s="309"/>
      <c r="D6920" s="310"/>
    </row>
    <row r="6921" spans="1:4" x14ac:dyDescent="0.25">
      <c r="A6921" s="418" t="s">
        <v>16664</v>
      </c>
      <c r="B6921">
        <v>76</v>
      </c>
      <c r="C6921" s="309"/>
      <c r="D6921" s="310"/>
    </row>
    <row r="6922" spans="1:4" x14ac:dyDescent="0.25">
      <c r="A6922" s="418" t="s">
        <v>14227</v>
      </c>
      <c r="B6922">
        <v>79</v>
      </c>
      <c r="C6922" s="309"/>
      <c r="D6922" s="310"/>
    </row>
    <row r="6923" spans="1:4" x14ac:dyDescent="0.25">
      <c r="A6923" s="418" t="s">
        <v>16931</v>
      </c>
      <c r="B6923">
        <v>79</v>
      </c>
      <c r="C6923" s="309"/>
      <c r="D6923" s="310"/>
    </row>
    <row r="6924" spans="1:4" x14ac:dyDescent="0.25">
      <c r="A6924" s="418" t="s">
        <v>16665</v>
      </c>
      <c r="B6924">
        <v>80</v>
      </c>
      <c r="C6924" s="309"/>
      <c r="D6924" s="310"/>
    </row>
    <row r="6925" spans="1:4" x14ac:dyDescent="0.25">
      <c r="A6925" s="418" t="s">
        <v>14228</v>
      </c>
      <c r="B6925">
        <v>80</v>
      </c>
      <c r="C6925" s="309"/>
      <c r="D6925" s="310"/>
    </row>
    <row r="6926" spans="1:4" x14ac:dyDescent="0.25">
      <c r="A6926" s="418" t="s">
        <v>14229</v>
      </c>
      <c r="B6926">
        <v>76</v>
      </c>
      <c r="C6926" s="309"/>
      <c r="D6926" s="310"/>
    </row>
    <row r="6927" spans="1:4" x14ac:dyDescent="0.25">
      <c r="A6927" s="418" t="s">
        <v>14230</v>
      </c>
      <c r="B6927">
        <v>73</v>
      </c>
      <c r="C6927" s="309"/>
      <c r="D6927" s="310"/>
    </row>
    <row r="6928" spans="1:4" x14ac:dyDescent="0.25">
      <c r="A6928" s="418" t="s">
        <v>14231</v>
      </c>
      <c r="B6928">
        <v>79</v>
      </c>
      <c r="C6928" s="309"/>
      <c r="D6928" s="310"/>
    </row>
    <row r="6929" spans="1:4" x14ac:dyDescent="0.25">
      <c r="A6929" s="418" t="s">
        <v>15188</v>
      </c>
      <c r="B6929">
        <v>79</v>
      </c>
      <c r="C6929" s="309"/>
      <c r="D6929" s="310"/>
    </row>
    <row r="6930" spans="1:4" x14ac:dyDescent="0.25">
      <c r="A6930" s="418" t="s">
        <v>14232</v>
      </c>
      <c r="B6930">
        <v>79</v>
      </c>
      <c r="C6930" s="309"/>
      <c r="D6930" s="310"/>
    </row>
    <row r="6931" spans="1:4" x14ac:dyDescent="0.25">
      <c r="A6931" s="418" t="s">
        <v>14233</v>
      </c>
      <c r="B6931">
        <v>80</v>
      </c>
      <c r="C6931" s="309"/>
      <c r="D6931" s="310"/>
    </row>
    <row r="6932" spans="1:4" x14ac:dyDescent="0.25">
      <c r="A6932" s="418" t="s">
        <v>16666</v>
      </c>
      <c r="B6932">
        <v>77</v>
      </c>
      <c r="C6932" s="309"/>
      <c r="D6932" s="310"/>
    </row>
    <row r="6933" spans="1:4" x14ac:dyDescent="0.25">
      <c r="A6933" s="418" t="s">
        <v>16667</v>
      </c>
      <c r="B6933">
        <v>78</v>
      </c>
      <c r="C6933" s="309"/>
      <c r="D6933" s="310"/>
    </row>
    <row r="6934" spans="1:4" x14ac:dyDescent="0.25">
      <c r="A6934" s="418" t="s">
        <v>14234</v>
      </c>
      <c r="B6934">
        <v>79</v>
      </c>
      <c r="C6934" s="309"/>
      <c r="D6934" s="310"/>
    </row>
    <row r="6935" spans="1:4" x14ac:dyDescent="0.25">
      <c r="A6935" s="418" t="s">
        <v>14235</v>
      </c>
      <c r="B6935">
        <v>80</v>
      </c>
      <c r="C6935" s="309"/>
      <c r="D6935" s="310"/>
    </row>
    <row r="6936" spans="1:4" x14ac:dyDescent="0.25">
      <c r="A6936" s="418" t="s">
        <v>16668</v>
      </c>
      <c r="B6936">
        <v>78</v>
      </c>
      <c r="C6936" s="309"/>
      <c r="D6936" s="310"/>
    </row>
    <row r="6937" spans="1:4" x14ac:dyDescent="0.25">
      <c r="A6937" s="418" t="s">
        <v>15583</v>
      </c>
      <c r="B6937">
        <v>76</v>
      </c>
      <c r="C6937" s="309"/>
      <c r="D6937" s="310"/>
    </row>
    <row r="6938" spans="1:4" x14ac:dyDescent="0.25">
      <c r="A6938" s="418" t="s">
        <v>15584</v>
      </c>
      <c r="B6938">
        <v>78</v>
      </c>
      <c r="C6938" s="309"/>
      <c r="D6938" s="310"/>
    </row>
    <row r="6939" spans="1:4" x14ac:dyDescent="0.25">
      <c r="A6939" s="418" t="s">
        <v>14236</v>
      </c>
      <c r="B6939">
        <v>79</v>
      </c>
      <c r="C6939" s="309"/>
      <c r="D6939" s="310"/>
    </row>
    <row r="6940" spans="1:4" x14ac:dyDescent="0.25">
      <c r="A6940" s="418" t="s">
        <v>14237</v>
      </c>
      <c r="B6940">
        <v>80</v>
      </c>
      <c r="C6940" s="309"/>
      <c r="D6940" s="310"/>
    </row>
    <row r="6941" spans="1:4" x14ac:dyDescent="0.25">
      <c r="A6941" s="418" t="s">
        <v>14238</v>
      </c>
      <c r="B6941">
        <v>79</v>
      </c>
      <c r="C6941" s="309"/>
      <c r="D6941" s="310"/>
    </row>
    <row r="6942" spans="1:4" x14ac:dyDescent="0.25">
      <c r="A6942" s="418" t="s">
        <v>16669</v>
      </c>
      <c r="B6942">
        <v>80</v>
      </c>
      <c r="C6942" s="309"/>
      <c r="D6942" s="310"/>
    </row>
    <row r="6943" spans="1:4" x14ac:dyDescent="0.25">
      <c r="A6943" s="418" t="s">
        <v>14239</v>
      </c>
      <c r="B6943">
        <v>78</v>
      </c>
      <c r="C6943" s="309"/>
      <c r="D6943" s="310"/>
    </row>
    <row r="6944" spans="1:4" x14ac:dyDescent="0.25">
      <c r="A6944" s="418" t="s">
        <v>14240</v>
      </c>
      <c r="B6944">
        <v>78</v>
      </c>
      <c r="C6944" s="309"/>
      <c r="D6944" s="310"/>
    </row>
    <row r="6945" spans="1:4" x14ac:dyDescent="0.25">
      <c r="A6945" s="418" t="s">
        <v>14241</v>
      </c>
      <c r="B6945">
        <v>78</v>
      </c>
      <c r="C6945" s="309"/>
      <c r="D6945" s="310"/>
    </row>
    <row r="6946" spans="1:4" x14ac:dyDescent="0.25">
      <c r="A6946" s="418" t="s">
        <v>16932</v>
      </c>
      <c r="B6946">
        <v>80</v>
      </c>
      <c r="C6946" s="309"/>
      <c r="D6946" s="310"/>
    </row>
    <row r="6947" spans="1:4" x14ac:dyDescent="0.25">
      <c r="A6947" s="418" t="s">
        <v>16171</v>
      </c>
      <c r="B6947">
        <v>76</v>
      </c>
      <c r="C6947" s="309"/>
      <c r="D6947" s="310"/>
    </row>
    <row r="6948" spans="1:4" x14ac:dyDescent="0.25">
      <c r="A6948" s="418" t="s">
        <v>14242</v>
      </c>
      <c r="B6948">
        <v>72</v>
      </c>
      <c r="C6948" s="309"/>
      <c r="D6948" s="310"/>
    </row>
    <row r="6949" spans="1:4" x14ac:dyDescent="0.25">
      <c r="A6949" s="418" t="s">
        <v>14243</v>
      </c>
      <c r="B6949">
        <v>76</v>
      </c>
      <c r="C6949" s="309"/>
      <c r="D6949" s="310"/>
    </row>
    <row r="6950" spans="1:4" x14ac:dyDescent="0.25">
      <c r="A6950" s="418" t="s">
        <v>16670</v>
      </c>
      <c r="B6950">
        <v>80</v>
      </c>
      <c r="C6950" s="309"/>
      <c r="D6950" s="310"/>
    </row>
    <row r="6951" spans="1:4" x14ac:dyDescent="0.25">
      <c r="A6951" s="418" t="s">
        <v>14244</v>
      </c>
      <c r="B6951">
        <v>70</v>
      </c>
      <c r="C6951" s="309"/>
      <c r="D6951" s="310"/>
    </row>
    <row r="6952" spans="1:4" x14ac:dyDescent="0.25">
      <c r="A6952" s="418" t="s">
        <v>16933</v>
      </c>
      <c r="B6952">
        <v>79</v>
      </c>
      <c r="C6952" s="309"/>
      <c r="D6952" s="310"/>
    </row>
    <row r="6953" spans="1:4" x14ac:dyDescent="0.25">
      <c r="A6953" s="418" t="s">
        <v>14245</v>
      </c>
      <c r="B6953">
        <v>79</v>
      </c>
      <c r="C6953" s="309"/>
      <c r="D6953" s="310"/>
    </row>
    <row r="6954" spans="1:4" x14ac:dyDescent="0.25">
      <c r="A6954" s="418" t="s">
        <v>14246</v>
      </c>
      <c r="B6954">
        <v>78</v>
      </c>
      <c r="C6954" s="309"/>
      <c r="D6954" s="310"/>
    </row>
    <row r="6955" spans="1:4" x14ac:dyDescent="0.25">
      <c r="A6955" s="418" t="s">
        <v>17333</v>
      </c>
      <c r="B6955">
        <v>70</v>
      </c>
      <c r="C6955" s="309"/>
      <c r="D6955" s="310"/>
    </row>
    <row r="6956" spans="1:4" x14ac:dyDescent="0.25">
      <c r="A6956" s="418" t="s">
        <v>14247</v>
      </c>
      <c r="B6956">
        <v>80</v>
      </c>
      <c r="C6956" s="309"/>
      <c r="D6956" s="310"/>
    </row>
    <row r="6957" spans="1:4" x14ac:dyDescent="0.25">
      <c r="A6957" s="418" t="s">
        <v>15944</v>
      </c>
      <c r="B6957">
        <v>78</v>
      </c>
      <c r="C6957" s="309"/>
      <c r="D6957" s="310"/>
    </row>
    <row r="6958" spans="1:4" x14ac:dyDescent="0.25">
      <c r="A6958" s="418" t="s">
        <v>14248</v>
      </c>
      <c r="B6958">
        <v>79</v>
      </c>
      <c r="C6958" s="309"/>
      <c r="D6958" s="310"/>
    </row>
    <row r="6959" spans="1:4" x14ac:dyDescent="0.25">
      <c r="A6959" s="418" t="s">
        <v>14249</v>
      </c>
      <c r="B6959">
        <v>80</v>
      </c>
      <c r="C6959" s="309"/>
      <c r="D6959" s="310"/>
    </row>
    <row r="6960" spans="1:4" x14ac:dyDescent="0.25">
      <c r="A6960" s="418" t="s">
        <v>14250</v>
      </c>
      <c r="B6960">
        <v>80</v>
      </c>
      <c r="C6960" s="309"/>
      <c r="D6960" s="310"/>
    </row>
    <row r="6961" spans="1:4" x14ac:dyDescent="0.25">
      <c r="A6961" s="418" t="s">
        <v>14251</v>
      </c>
      <c r="B6961">
        <v>73</v>
      </c>
      <c r="C6961" s="309"/>
      <c r="D6961" s="310"/>
    </row>
    <row r="6962" spans="1:4" x14ac:dyDescent="0.25">
      <c r="A6962" s="418" t="s">
        <v>16671</v>
      </c>
      <c r="B6962">
        <v>78</v>
      </c>
      <c r="C6962" s="309"/>
      <c r="D6962" s="310"/>
    </row>
    <row r="6963" spans="1:4" x14ac:dyDescent="0.25">
      <c r="A6963" s="418" t="s">
        <v>16934</v>
      </c>
      <c r="B6963">
        <v>77</v>
      </c>
      <c r="C6963" s="309"/>
      <c r="D6963" s="310"/>
    </row>
    <row r="6964" spans="1:4" x14ac:dyDescent="0.25">
      <c r="A6964" s="418" t="s">
        <v>14252</v>
      </c>
      <c r="B6964">
        <v>78</v>
      </c>
      <c r="C6964" s="309"/>
      <c r="D6964" s="310"/>
    </row>
    <row r="6965" spans="1:4" x14ac:dyDescent="0.25">
      <c r="A6965" s="418" t="s">
        <v>16672</v>
      </c>
      <c r="B6965">
        <v>80</v>
      </c>
      <c r="C6965" s="309"/>
      <c r="D6965" s="310"/>
    </row>
    <row r="6966" spans="1:4" x14ac:dyDescent="0.25">
      <c r="A6966" s="418" t="s">
        <v>16355</v>
      </c>
      <c r="B6966">
        <v>80</v>
      </c>
      <c r="C6966" s="309"/>
      <c r="D6966" s="310"/>
    </row>
    <row r="6967" spans="1:4" x14ac:dyDescent="0.25">
      <c r="A6967" s="418" t="s">
        <v>17334</v>
      </c>
      <c r="B6967">
        <v>78</v>
      </c>
      <c r="C6967" s="309"/>
      <c r="D6967" s="310"/>
    </row>
    <row r="6968" spans="1:4" x14ac:dyDescent="0.25">
      <c r="A6968" s="418" t="s">
        <v>14253</v>
      </c>
      <c r="B6968">
        <v>80</v>
      </c>
      <c r="C6968" s="309"/>
      <c r="D6968" s="310"/>
    </row>
    <row r="6969" spans="1:4" x14ac:dyDescent="0.25">
      <c r="A6969" s="418" t="s">
        <v>16172</v>
      </c>
      <c r="B6969">
        <v>79</v>
      </c>
      <c r="C6969" s="309"/>
      <c r="D6969" s="310"/>
    </row>
    <row r="6970" spans="1:4" x14ac:dyDescent="0.25">
      <c r="A6970" s="418" t="s">
        <v>14254</v>
      </c>
      <c r="B6970">
        <v>79</v>
      </c>
      <c r="C6970" s="309"/>
      <c r="D6970" s="310"/>
    </row>
    <row r="6971" spans="1:4" x14ac:dyDescent="0.25">
      <c r="A6971" s="418" t="s">
        <v>16935</v>
      </c>
      <c r="B6971">
        <v>80</v>
      </c>
      <c r="C6971" s="309"/>
      <c r="D6971" s="310"/>
    </row>
    <row r="6972" spans="1:4" x14ac:dyDescent="0.25">
      <c r="A6972" s="418" t="s">
        <v>16673</v>
      </c>
      <c r="B6972">
        <v>77</v>
      </c>
      <c r="C6972" s="309"/>
      <c r="D6972" s="310"/>
    </row>
    <row r="6973" spans="1:4" x14ac:dyDescent="0.25">
      <c r="A6973" s="418" t="s">
        <v>16356</v>
      </c>
      <c r="B6973">
        <v>78</v>
      </c>
      <c r="C6973" s="309"/>
      <c r="D6973" s="310"/>
    </row>
    <row r="6974" spans="1:4" x14ac:dyDescent="0.25">
      <c r="A6974" s="418" t="s">
        <v>16674</v>
      </c>
      <c r="B6974">
        <v>79</v>
      </c>
      <c r="C6974" s="309"/>
      <c r="D6974" s="310"/>
    </row>
    <row r="6975" spans="1:4" x14ac:dyDescent="0.25">
      <c r="A6975" s="418" t="s">
        <v>14255</v>
      </c>
      <c r="B6975">
        <v>78</v>
      </c>
      <c r="C6975" s="309"/>
      <c r="D6975" s="310"/>
    </row>
    <row r="6976" spans="1:4" x14ac:dyDescent="0.25">
      <c r="A6976" s="418" t="s">
        <v>14256</v>
      </c>
      <c r="B6976">
        <v>78</v>
      </c>
      <c r="C6976" s="309"/>
      <c r="D6976" s="310"/>
    </row>
    <row r="6977" spans="1:4" x14ac:dyDescent="0.25">
      <c r="A6977" s="418" t="s">
        <v>16675</v>
      </c>
      <c r="B6977">
        <v>76</v>
      </c>
      <c r="C6977" s="309"/>
      <c r="D6977" s="310"/>
    </row>
    <row r="6978" spans="1:4" x14ac:dyDescent="0.25">
      <c r="A6978" s="418" t="s">
        <v>16676</v>
      </c>
      <c r="B6978">
        <v>78</v>
      </c>
      <c r="C6978" s="309"/>
      <c r="D6978" s="310"/>
    </row>
    <row r="6979" spans="1:4" x14ac:dyDescent="0.25">
      <c r="A6979" s="418" t="s">
        <v>15585</v>
      </c>
      <c r="B6979">
        <v>80</v>
      </c>
      <c r="C6979" s="309"/>
      <c r="D6979" s="310"/>
    </row>
    <row r="6980" spans="1:4" x14ac:dyDescent="0.25">
      <c r="A6980" s="418" t="s">
        <v>14257</v>
      </c>
      <c r="B6980">
        <v>75</v>
      </c>
      <c r="C6980" s="309"/>
      <c r="D6980" s="310"/>
    </row>
    <row r="6981" spans="1:4" x14ac:dyDescent="0.25">
      <c r="A6981" s="418" t="s">
        <v>17335</v>
      </c>
      <c r="B6981">
        <v>79</v>
      </c>
      <c r="C6981" s="309"/>
      <c r="D6981" s="310"/>
    </row>
    <row r="6982" spans="1:4" x14ac:dyDescent="0.25">
      <c r="A6982" s="418" t="s">
        <v>14258</v>
      </c>
      <c r="B6982">
        <v>77</v>
      </c>
      <c r="C6982" s="309"/>
      <c r="D6982" s="310"/>
    </row>
    <row r="6983" spans="1:4" x14ac:dyDescent="0.25">
      <c r="A6983" s="418" t="s">
        <v>17336</v>
      </c>
      <c r="B6983">
        <v>77</v>
      </c>
      <c r="C6983" s="309"/>
      <c r="D6983" s="310"/>
    </row>
    <row r="6984" spans="1:4" x14ac:dyDescent="0.25">
      <c r="A6984" s="418" t="s">
        <v>14259</v>
      </c>
      <c r="B6984">
        <v>78</v>
      </c>
      <c r="C6984" s="309"/>
      <c r="D6984" s="310"/>
    </row>
    <row r="6985" spans="1:4" x14ac:dyDescent="0.25">
      <c r="A6985" s="418" t="s">
        <v>16936</v>
      </c>
      <c r="B6985">
        <v>78</v>
      </c>
      <c r="C6985" s="309"/>
      <c r="D6985" s="310"/>
    </row>
    <row r="6986" spans="1:4" x14ac:dyDescent="0.25">
      <c r="A6986" s="418" t="s">
        <v>17337</v>
      </c>
      <c r="B6986">
        <v>68</v>
      </c>
      <c r="C6986" s="309"/>
      <c r="D6986" s="310"/>
    </row>
    <row r="6987" spans="1:4" x14ac:dyDescent="0.25">
      <c r="A6987" s="418" t="s">
        <v>17338</v>
      </c>
      <c r="B6987">
        <v>79</v>
      </c>
      <c r="C6987" s="309"/>
      <c r="D6987" s="310"/>
    </row>
    <row r="6988" spans="1:4" x14ac:dyDescent="0.25">
      <c r="A6988" s="418" t="s">
        <v>14260</v>
      </c>
      <c r="B6988">
        <v>78</v>
      </c>
      <c r="C6988" s="309"/>
      <c r="D6988" s="310"/>
    </row>
    <row r="6989" spans="1:4" x14ac:dyDescent="0.25">
      <c r="A6989" s="418" t="s">
        <v>16305</v>
      </c>
      <c r="B6989">
        <v>76</v>
      </c>
      <c r="C6989" s="309"/>
      <c r="D6989" s="310"/>
    </row>
    <row r="6990" spans="1:4" x14ac:dyDescent="0.25">
      <c r="A6990" s="418" t="s">
        <v>15441</v>
      </c>
      <c r="B6990">
        <v>79</v>
      </c>
      <c r="C6990" s="309"/>
      <c r="D6990" s="310"/>
    </row>
    <row r="6991" spans="1:4" x14ac:dyDescent="0.25">
      <c r="A6991" s="418" t="s">
        <v>16677</v>
      </c>
      <c r="B6991">
        <v>80</v>
      </c>
      <c r="C6991" s="309"/>
      <c r="D6991" s="310"/>
    </row>
    <row r="6992" spans="1:4" x14ac:dyDescent="0.25">
      <c r="A6992" s="418" t="s">
        <v>16937</v>
      </c>
      <c r="B6992">
        <v>74</v>
      </c>
      <c r="C6992" s="309"/>
      <c r="D6992" s="310"/>
    </row>
    <row r="6993" spans="1:4" x14ac:dyDescent="0.25">
      <c r="A6993" s="418" t="s">
        <v>16678</v>
      </c>
      <c r="B6993">
        <v>78</v>
      </c>
      <c r="C6993" s="309"/>
      <c r="D6993" s="310"/>
    </row>
    <row r="6994" spans="1:4" x14ac:dyDescent="0.25">
      <c r="A6994" s="418" t="s">
        <v>17339</v>
      </c>
      <c r="B6994">
        <v>80</v>
      </c>
      <c r="C6994" s="309"/>
      <c r="D6994" s="310"/>
    </row>
    <row r="6995" spans="1:4" x14ac:dyDescent="0.25">
      <c r="A6995" s="418" t="s">
        <v>17340</v>
      </c>
      <c r="B6995">
        <v>79</v>
      </c>
      <c r="C6995" s="309"/>
      <c r="D6995" s="310"/>
    </row>
    <row r="6996" spans="1:4" x14ac:dyDescent="0.25">
      <c r="A6996" s="418" t="s">
        <v>16679</v>
      </c>
      <c r="B6996">
        <v>80</v>
      </c>
      <c r="C6996" s="309"/>
      <c r="D6996" s="310"/>
    </row>
    <row r="6997" spans="1:4" x14ac:dyDescent="0.25">
      <c r="A6997" s="418" t="s">
        <v>16938</v>
      </c>
      <c r="B6997">
        <v>79</v>
      </c>
      <c r="C6997" s="309"/>
      <c r="D6997" s="310"/>
    </row>
    <row r="6998" spans="1:4" x14ac:dyDescent="0.25">
      <c r="A6998" s="418" t="s">
        <v>16939</v>
      </c>
      <c r="B6998">
        <v>79</v>
      </c>
      <c r="C6998" s="309"/>
      <c r="D6998" s="310"/>
    </row>
    <row r="6999" spans="1:4" x14ac:dyDescent="0.25">
      <c r="A6999" s="418" t="s">
        <v>16940</v>
      </c>
      <c r="B6999">
        <v>80</v>
      </c>
      <c r="C6999" s="309"/>
      <c r="D6999" s="310"/>
    </row>
    <row r="7000" spans="1:4" x14ac:dyDescent="0.25">
      <c r="A7000" s="418" t="s">
        <v>16680</v>
      </c>
      <c r="B7000">
        <v>79</v>
      </c>
      <c r="C7000" s="309"/>
      <c r="D7000" s="310"/>
    </row>
    <row r="7001" spans="1:4" x14ac:dyDescent="0.25">
      <c r="A7001" s="418" t="s">
        <v>15586</v>
      </c>
      <c r="B7001">
        <v>80</v>
      </c>
      <c r="C7001" s="309"/>
      <c r="D7001" s="310"/>
    </row>
    <row r="7002" spans="1:4" x14ac:dyDescent="0.25">
      <c r="A7002" s="418" t="s">
        <v>16173</v>
      </c>
      <c r="B7002">
        <v>80</v>
      </c>
      <c r="C7002" s="309"/>
      <c r="D7002" s="310"/>
    </row>
    <row r="7003" spans="1:4" x14ac:dyDescent="0.25">
      <c r="A7003" s="418" t="s">
        <v>16681</v>
      </c>
      <c r="B7003">
        <v>78</v>
      </c>
      <c r="C7003" s="309"/>
      <c r="D7003" s="310"/>
    </row>
    <row r="7004" spans="1:4" x14ac:dyDescent="0.25">
      <c r="A7004" s="418" t="s">
        <v>15587</v>
      </c>
      <c r="B7004">
        <v>79</v>
      </c>
      <c r="C7004" s="309"/>
      <c r="D7004" s="310"/>
    </row>
    <row r="7005" spans="1:4" x14ac:dyDescent="0.25">
      <c r="A7005" s="418" t="s">
        <v>17341</v>
      </c>
      <c r="B7005">
        <v>80</v>
      </c>
      <c r="C7005" s="309"/>
      <c r="D7005" s="310"/>
    </row>
    <row r="7006" spans="1:4" x14ac:dyDescent="0.25">
      <c r="A7006" s="418" t="s">
        <v>15588</v>
      </c>
      <c r="B7006">
        <v>76</v>
      </c>
      <c r="C7006" s="309"/>
      <c r="D7006" s="310"/>
    </row>
    <row r="7007" spans="1:4" x14ac:dyDescent="0.25">
      <c r="A7007" s="418" t="s">
        <v>16682</v>
      </c>
      <c r="B7007">
        <v>80</v>
      </c>
      <c r="C7007" s="309"/>
      <c r="D7007" s="310"/>
    </row>
    <row r="7008" spans="1:4" x14ac:dyDescent="0.25">
      <c r="A7008" s="418" t="s">
        <v>16683</v>
      </c>
      <c r="B7008">
        <v>78</v>
      </c>
      <c r="C7008" s="309"/>
      <c r="D7008" s="310"/>
    </row>
    <row r="7009" spans="1:4" x14ac:dyDescent="0.25">
      <c r="A7009" s="418" t="s">
        <v>16684</v>
      </c>
      <c r="B7009">
        <v>77</v>
      </c>
      <c r="C7009" s="309"/>
      <c r="D7009" s="310"/>
    </row>
    <row r="7010" spans="1:4" x14ac:dyDescent="0.25">
      <c r="A7010" s="418" t="s">
        <v>17342</v>
      </c>
      <c r="B7010">
        <v>79</v>
      </c>
      <c r="C7010" s="309"/>
      <c r="D7010" s="310"/>
    </row>
    <row r="7011" spans="1:4" x14ac:dyDescent="0.25">
      <c r="A7011" s="418" t="s">
        <v>16941</v>
      </c>
      <c r="B7011">
        <v>80</v>
      </c>
      <c r="C7011" s="309"/>
      <c r="D7011" s="310"/>
    </row>
    <row r="7012" spans="1:4" x14ac:dyDescent="0.25">
      <c r="A7012" s="418" t="s">
        <v>16685</v>
      </c>
      <c r="B7012">
        <v>79</v>
      </c>
      <c r="C7012" s="309"/>
      <c r="D7012" s="310"/>
    </row>
    <row r="7013" spans="1:4" x14ac:dyDescent="0.25">
      <c r="A7013" s="418" t="s">
        <v>16686</v>
      </c>
      <c r="B7013">
        <v>78</v>
      </c>
      <c r="C7013" s="309"/>
      <c r="D7013" s="310"/>
    </row>
    <row r="7014" spans="1:4" x14ac:dyDescent="0.25">
      <c r="A7014" s="418" t="s">
        <v>17343</v>
      </c>
      <c r="B7014">
        <v>80</v>
      </c>
      <c r="C7014" s="309"/>
      <c r="D7014" s="310"/>
    </row>
    <row r="7015" spans="1:4" x14ac:dyDescent="0.25">
      <c r="A7015" s="418" t="s">
        <v>16942</v>
      </c>
      <c r="B7015">
        <v>80</v>
      </c>
      <c r="C7015" s="309"/>
      <c r="D7015" s="310"/>
    </row>
    <row r="7016" spans="1:4" x14ac:dyDescent="0.25">
      <c r="A7016" s="418" t="s">
        <v>17344</v>
      </c>
      <c r="B7016">
        <v>80</v>
      </c>
      <c r="C7016" s="309"/>
      <c r="D7016" s="310"/>
    </row>
    <row r="7017" spans="1:4" x14ac:dyDescent="0.25">
      <c r="A7017" s="418" t="s">
        <v>17345</v>
      </c>
      <c r="B7017">
        <v>78</v>
      </c>
      <c r="C7017" s="309"/>
      <c r="D7017" s="310"/>
    </row>
    <row r="7018" spans="1:4" x14ac:dyDescent="0.25">
      <c r="A7018" s="418" t="s">
        <v>16943</v>
      </c>
      <c r="B7018">
        <v>80</v>
      </c>
      <c r="C7018" s="309"/>
      <c r="D7018" s="310"/>
    </row>
    <row r="7019" spans="1:4" x14ac:dyDescent="0.25">
      <c r="A7019" s="418" t="s">
        <v>16944</v>
      </c>
      <c r="B7019">
        <v>77</v>
      </c>
      <c r="C7019" s="309"/>
      <c r="D7019" s="310"/>
    </row>
    <row r="7020" spans="1:4" x14ac:dyDescent="0.25">
      <c r="A7020" s="418" t="s">
        <v>17346</v>
      </c>
      <c r="B7020">
        <v>80</v>
      </c>
      <c r="C7020" s="309"/>
      <c r="D7020" s="310"/>
    </row>
    <row r="7021" spans="1:4" x14ac:dyDescent="0.25">
      <c r="A7021" s="418" t="s">
        <v>16687</v>
      </c>
      <c r="B7021">
        <v>78</v>
      </c>
      <c r="C7021" s="309"/>
      <c r="D7021" s="310"/>
    </row>
    <row r="7022" spans="1:4" x14ac:dyDescent="0.25">
      <c r="A7022" s="418" t="s">
        <v>17347</v>
      </c>
      <c r="B7022">
        <v>79</v>
      </c>
      <c r="C7022" s="309"/>
      <c r="D7022" s="310"/>
    </row>
    <row r="7023" spans="1:4" x14ac:dyDescent="0.25">
      <c r="A7023" s="418" t="s">
        <v>17348</v>
      </c>
      <c r="B7023">
        <v>74</v>
      </c>
      <c r="C7023" s="309"/>
      <c r="D7023" s="310"/>
    </row>
    <row r="7024" spans="1:4" x14ac:dyDescent="0.25">
      <c r="A7024" s="418" t="s">
        <v>16688</v>
      </c>
      <c r="B7024">
        <v>79</v>
      </c>
      <c r="C7024" s="309"/>
      <c r="D7024" s="310"/>
    </row>
    <row r="7025" spans="1:4" x14ac:dyDescent="0.25">
      <c r="A7025" s="418" t="s">
        <v>16225</v>
      </c>
      <c r="B7025">
        <v>78</v>
      </c>
      <c r="C7025" s="309"/>
      <c r="D7025" s="310"/>
    </row>
    <row r="7026" spans="1:4" x14ac:dyDescent="0.25">
      <c r="A7026" s="418" t="s">
        <v>17349</v>
      </c>
      <c r="B7026">
        <v>80</v>
      </c>
      <c r="C7026" s="309"/>
      <c r="D7026" s="310"/>
    </row>
    <row r="7027" spans="1:4" x14ac:dyDescent="0.25">
      <c r="A7027" s="418" t="s">
        <v>16945</v>
      </c>
      <c r="B7027">
        <v>78</v>
      </c>
      <c r="C7027" s="309"/>
      <c r="D7027" s="310"/>
    </row>
    <row r="7028" spans="1:4" x14ac:dyDescent="0.25">
      <c r="A7028" s="418" t="s">
        <v>17350</v>
      </c>
      <c r="B7028">
        <v>79</v>
      </c>
      <c r="C7028" s="309"/>
      <c r="D7028" s="310"/>
    </row>
    <row r="7029" spans="1:4" x14ac:dyDescent="0.25">
      <c r="A7029" s="418" t="s">
        <v>17351</v>
      </c>
      <c r="B7029">
        <v>80</v>
      </c>
      <c r="C7029" s="309"/>
      <c r="D7029" s="310"/>
    </row>
    <row r="7030" spans="1:4" x14ac:dyDescent="0.25">
      <c r="A7030" s="418" t="s">
        <v>14261</v>
      </c>
      <c r="B7030">
        <v>60</v>
      </c>
      <c r="C7030" s="309"/>
      <c r="D7030" s="310"/>
    </row>
    <row r="7031" spans="1:4" x14ac:dyDescent="0.25">
      <c r="A7031" s="418" t="s">
        <v>14262</v>
      </c>
      <c r="B7031">
        <v>60</v>
      </c>
      <c r="C7031" s="309"/>
      <c r="D7031" s="310"/>
    </row>
    <row r="7032" spans="1:4" x14ac:dyDescent="0.25">
      <c r="A7032" s="418" t="s">
        <v>14263</v>
      </c>
      <c r="B7032">
        <v>52</v>
      </c>
      <c r="C7032" s="309"/>
      <c r="D7032" s="310"/>
    </row>
    <row r="7033" spans="1:4" x14ac:dyDescent="0.25">
      <c r="A7033" s="418" t="s">
        <v>14264</v>
      </c>
      <c r="B7033">
        <v>53</v>
      </c>
      <c r="C7033" s="309"/>
      <c r="D7033" s="310"/>
    </row>
    <row r="7034" spans="1:4" x14ac:dyDescent="0.25">
      <c r="A7034" s="418" t="s">
        <v>14265</v>
      </c>
      <c r="B7034">
        <v>58</v>
      </c>
      <c r="C7034" s="309"/>
      <c r="D7034" s="310"/>
    </row>
    <row r="7035" spans="1:4" x14ac:dyDescent="0.25">
      <c r="A7035" s="418" t="s">
        <v>14266</v>
      </c>
      <c r="B7035">
        <v>59</v>
      </c>
      <c r="C7035" s="309"/>
      <c r="D7035" s="310"/>
    </row>
    <row r="7036" spans="1:4" x14ac:dyDescent="0.25">
      <c r="A7036" s="418" t="s">
        <v>14267</v>
      </c>
      <c r="B7036">
        <v>37</v>
      </c>
      <c r="C7036" s="309"/>
      <c r="D7036" s="310"/>
    </row>
    <row r="7037" spans="1:4" x14ac:dyDescent="0.25">
      <c r="A7037" s="418" t="s">
        <v>14268</v>
      </c>
      <c r="B7037">
        <v>53</v>
      </c>
      <c r="C7037" s="309"/>
      <c r="D7037" s="310"/>
    </row>
    <row r="7038" spans="1:4" x14ac:dyDescent="0.25">
      <c r="A7038" s="418" t="s">
        <v>14269</v>
      </c>
      <c r="B7038">
        <v>58.5</v>
      </c>
      <c r="C7038" s="309"/>
      <c r="D7038" s="310"/>
    </row>
    <row r="7039" spans="1:4" x14ac:dyDescent="0.25">
      <c r="A7039" s="418" t="s">
        <v>14270</v>
      </c>
      <c r="B7039">
        <v>54</v>
      </c>
      <c r="C7039" s="309"/>
      <c r="D7039" s="310"/>
    </row>
    <row r="7040" spans="1:4" x14ac:dyDescent="0.25">
      <c r="A7040" s="418" t="s">
        <v>14271</v>
      </c>
      <c r="B7040">
        <v>37</v>
      </c>
      <c r="C7040" s="309"/>
      <c r="D7040" s="310"/>
    </row>
    <row r="7041" spans="1:4" x14ac:dyDescent="0.25">
      <c r="A7041" s="418" t="s">
        <v>14272</v>
      </c>
      <c r="B7041">
        <v>53</v>
      </c>
      <c r="C7041" s="309"/>
      <c r="D7041" s="310"/>
    </row>
    <row r="7042" spans="1:4" x14ac:dyDescent="0.25">
      <c r="A7042" s="418" t="s">
        <v>14273</v>
      </c>
      <c r="B7042">
        <v>60</v>
      </c>
      <c r="C7042" s="309"/>
      <c r="D7042" s="310"/>
    </row>
    <row r="7043" spans="1:4" x14ac:dyDescent="0.25">
      <c r="A7043" s="418" t="s">
        <v>14274</v>
      </c>
      <c r="B7043">
        <v>41</v>
      </c>
      <c r="C7043" s="309"/>
      <c r="D7043" s="310"/>
    </row>
    <row r="7044" spans="1:4" x14ac:dyDescent="0.25">
      <c r="A7044" s="418" t="s">
        <v>14275</v>
      </c>
      <c r="B7044">
        <v>53</v>
      </c>
      <c r="C7044" s="309"/>
      <c r="D7044" s="310"/>
    </row>
    <row r="7045" spans="1:4" x14ac:dyDescent="0.25">
      <c r="A7045" s="418" t="s">
        <v>14276</v>
      </c>
      <c r="B7045">
        <v>53</v>
      </c>
      <c r="C7045" s="309"/>
      <c r="D7045" s="310"/>
    </row>
    <row r="7046" spans="1:4" x14ac:dyDescent="0.25">
      <c r="A7046" s="418" t="s">
        <v>14277</v>
      </c>
      <c r="B7046">
        <v>58</v>
      </c>
      <c r="C7046" s="309"/>
      <c r="D7046" s="310"/>
    </row>
    <row r="7047" spans="1:4" x14ac:dyDescent="0.25">
      <c r="A7047" s="418" t="s">
        <v>14278</v>
      </c>
      <c r="B7047">
        <v>59</v>
      </c>
      <c r="C7047" s="309"/>
      <c r="D7047" s="310"/>
    </row>
    <row r="7048" spans="1:4" x14ac:dyDescent="0.25">
      <c r="A7048" s="418" t="s">
        <v>14279</v>
      </c>
      <c r="B7048">
        <v>58</v>
      </c>
      <c r="C7048" s="309"/>
      <c r="D7048" s="310"/>
    </row>
    <row r="7049" spans="1:4" x14ac:dyDescent="0.25">
      <c r="A7049" s="418" t="s">
        <v>14280</v>
      </c>
      <c r="B7049">
        <v>56</v>
      </c>
      <c r="C7049" s="309"/>
      <c r="D7049" s="310"/>
    </row>
    <row r="7050" spans="1:4" x14ac:dyDescent="0.25">
      <c r="A7050" s="418" t="s">
        <v>14281</v>
      </c>
      <c r="B7050">
        <v>60</v>
      </c>
      <c r="C7050" s="309"/>
      <c r="D7050" s="310"/>
    </row>
    <row r="7051" spans="1:4" x14ac:dyDescent="0.25">
      <c r="A7051" s="418" t="s">
        <v>14282</v>
      </c>
      <c r="B7051">
        <v>50</v>
      </c>
      <c r="C7051" s="309"/>
      <c r="D7051" s="310"/>
    </row>
    <row r="7052" spans="1:4" x14ac:dyDescent="0.25">
      <c r="A7052" s="418" t="s">
        <v>14283</v>
      </c>
      <c r="B7052">
        <v>56</v>
      </c>
      <c r="C7052" s="309"/>
      <c r="D7052" s="310"/>
    </row>
    <row r="7053" spans="1:4" x14ac:dyDescent="0.25">
      <c r="A7053" s="418" t="s">
        <v>14284</v>
      </c>
      <c r="B7053">
        <v>53</v>
      </c>
      <c r="C7053" s="309"/>
      <c r="D7053" s="310"/>
    </row>
    <row r="7054" spans="1:4" x14ac:dyDescent="0.25">
      <c r="A7054" s="418" t="s">
        <v>14285</v>
      </c>
      <c r="B7054">
        <v>53</v>
      </c>
      <c r="C7054" s="309"/>
      <c r="D7054" s="310"/>
    </row>
    <row r="7055" spans="1:4" x14ac:dyDescent="0.25">
      <c r="A7055" s="418" t="s">
        <v>14286</v>
      </c>
      <c r="B7055">
        <v>48</v>
      </c>
      <c r="C7055" s="309"/>
      <c r="D7055" s="310"/>
    </row>
    <row r="7056" spans="1:4" x14ac:dyDescent="0.25">
      <c r="A7056" s="418" t="s">
        <v>14287</v>
      </c>
      <c r="B7056">
        <v>51</v>
      </c>
      <c r="C7056" s="309"/>
      <c r="D7056" s="310"/>
    </row>
    <row r="7057" spans="1:4" x14ac:dyDescent="0.25">
      <c r="A7057" s="418" t="s">
        <v>14288</v>
      </c>
      <c r="B7057">
        <v>51</v>
      </c>
      <c r="C7057" s="309"/>
      <c r="D7057" s="310"/>
    </row>
    <row r="7058" spans="1:4" x14ac:dyDescent="0.25">
      <c r="A7058" s="418" t="s">
        <v>14289</v>
      </c>
      <c r="B7058">
        <v>55</v>
      </c>
      <c r="C7058" s="309"/>
      <c r="D7058" s="310"/>
    </row>
    <row r="7059" spans="1:4" x14ac:dyDescent="0.25">
      <c r="A7059" s="418" t="s">
        <v>14290</v>
      </c>
      <c r="B7059">
        <v>57</v>
      </c>
      <c r="C7059" s="309"/>
      <c r="D7059" s="310"/>
    </row>
    <row r="7060" spans="1:4" x14ac:dyDescent="0.25">
      <c r="A7060" s="418" t="s">
        <v>14291</v>
      </c>
      <c r="B7060">
        <v>60</v>
      </c>
      <c r="C7060" s="309"/>
      <c r="D7060" s="310"/>
    </row>
    <row r="7061" spans="1:4" x14ac:dyDescent="0.25">
      <c r="A7061" s="418" t="s">
        <v>14292</v>
      </c>
      <c r="B7061">
        <v>51</v>
      </c>
      <c r="C7061" s="309"/>
      <c r="D7061" s="310"/>
    </row>
    <row r="7062" spans="1:4" x14ac:dyDescent="0.25">
      <c r="A7062" s="418" t="s">
        <v>14293</v>
      </c>
      <c r="B7062">
        <v>52</v>
      </c>
      <c r="C7062" s="309"/>
      <c r="D7062" s="310"/>
    </row>
    <row r="7063" spans="1:4" x14ac:dyDescent="0.25">
      <c r="A7063" s="418" t="s">
        <v>14294</v>
      </c>
      <c r="B7063">
        <v>56</v>
      </c>
      <c r="C7063" s="309"/>
      <c r="D7063" s="310"/>
    </row>
    <row r="7064" spans="1:4" x14ac:dyDescent="0.25">
      <c r="A7064" s="418" t="s">
        <v>14295</v>
      </c>
      <c r="B7064">
        <v>54</v>
      </c>
      <c r="C7064" s="309"/>
      <c r="D7064" s="310"/>
    </row>
    <row r="7065" spans="1:4" x14ac:dyDescent="0.25">
      <c r="A7065" s="418" t="s">
        <v>14296</v>
      </c>
      <c r="B7065">
        <v>50</v>
      </c>
      <c r="C7065" s="309"/>
      <c r="D7065" s="310"/>
    </row>
    <row r="7066" spans="1:4" x14ac:dyDescent="0.25">
      <c r="A7066" s="418" t="s">
        <v>14297</v>
      </c>
      <c r="B7066">
        <v>50</v>
      </c>
      <c r="C7066" s="309"/>
      <c r="D7066" s="310"/>
    </row>
    <row r="7067" spans="1:4" x14ac:dyDescent="0.25">
      <c r="A7067" s="418" t="s">
        <v>14298</v>
      </c>
      <c r="B7067">
        <v>51</v>
      </c>
      <c r="C7067" s="309"/>
      <c r="D7067" s="310"/>
    </row>
    <row r="7068" spans="1:4" x14ac:dyDescent="0.25">
      <c r="A7068" s="418" t="s">
        <v>14299</v>
      </c>
      <c r="B7068">
        <v>55</v>
      </c>
      <c r="C7068" s="309"/>
      <c r="D7068" s="310"/>
    </row>
    <row r="7069" spans="1:4" x14ac:dyDescent="0.25">
      <c r="A7069" s="418" t="s">
        <v>14300</v>
      </c>
      <c r="B7069">
        <v>54</v>
      </c>
      <c r="C7069" s="309"/>
      <c r="D7069" s="310"/>
    </row>
    <row r="7070" spans="1:4" x14ac:dyDescent="0.25">
      <c r="A7070" s="418" t="s">
        <v>14301</v>
      </c>
      <c r="B7070">
        <v>55</v>
      </c>
      <c r="C7070" s="309"/>
      <c r="D7070" s="310"/>
    </row>
    <row r="7071" spans="1:4" x14ac:dyDescent="0.25">
      <c r="A7071" s="418" t="s">
        <v>14302</v>
      </c>
      <c r="B7071">
        <v>60</v>
      </c>
      <c r="C7071" s="309"/>
      <c r="D7071" s="310"/>
    </row>
    <row r="7072" spans="1:4" x14ac:dyDescent="0.25">
      <c r="A7072" s="418" t="s">
        <v>14303</v>
      </c>
      <c r="B7072">
        <v>54</v>
      </c>
      <c r="C7072" s="309"/>
      <c r="D7072" s="310"/>
    </row>
    <row r="7073" spans="1:4" x14ac:dyDescent="0.25">
      <c r="A7073" s="418" t="s">
        <v>14304</v>
      </c>
      <c r="B7073">
        <v>58</v>
      </c>
      <c r="C7073" s="309"/>
      <c r="D7073" s="310"/>
    </row>
    <row r="7074" spans="1:4" x14ac:dyDescent="0.25">
      <c r="A7074" s="418" t="s">
        <v>14305</v>
      </c>
      <c r="B7074">
        <v>57</v>
      </c>
      <c r="C7074" s="309"/>
      <c r="D7074" s="310"/>
    </row>
    <row r="7075" spans="1:4" x14ac:dyDescent="0.25">
      <c r="A7075" s="418" t="s">
        <v>14306</v>
      </c>
      <c r="B7075">
        <v>60</v>
      </c>
      <c r="C7075" s="309"/>
      <c r="D7075" s="310"/>
    </row>
    <row r="7076" spans="1:4" x14ac:dyDescent="0.25">
      <c r="A7076" s="418" t="s">
        <v>14307</v>
      </c>
      <c r="B7076">
        <v>56</v>
      </c>
      <c r="C7076" s="309"/>
      <c r="D7076" s="310"/>
    </row>
    <row r="7077" spans="1:4" x14ac:dyDescent="0.25">
      <c r="A7077" s="418" t="s">
        <v>14308</v>
      </c>
      <c r="B7077">
        <v>51</v>
      </c>
      <c r="C7077" s="309"/>
      <c r="D7077" s="310"/>
    </row>
    <row r="7078" spans="1:4" x14ac:dyDescent="0.25">
      <c r="A7078" s="418" t="s">
        <v>14309</v>
      </c>
      <c r="B7078">
        <v>56</v>
      </c>
      <c r="C7078" s="309"/>
      <c r="D7078" s="310"/>
    </row>
    <row r="7079" spans="1:4" x14ac:dyDescent="0.25">
      <c r="A7079" s="418" t="s">
        <v>14310</v>
      </c>
      <c r="B7079">
        <v>55</v>
      </c>
      <c r="C7079" s="309"/>
      <c r="D7079" s="310"/>
    </row>
    <row r="7080" spans="1:4" x14ac:dyDescent="0.25">
      <c r="A7080" s="418" t="s">
        <v>14311</v>
      </c>
      <c r="B7080">
        <v>59</v>
      </c>
      <c r="C7080" s="309"/>
      <c r="D7080" s="310"/>
    </row>
    <row r="7081" spans="1:4" x14ac:dyDescent="0.25">
      <c r="A7081" s="418" t="s">
        <v>14312</v>
      </c>
      <c r="B7081">
        <v>48</v>
      </c>
      <c r="C7081" s="309"/>
      <c r="D7081" s="310"/>
    </row>
    <row r="7082" spans="1:4" x14ac:dyDescent="0.25">
      <c r="A7082" s="418" t="s">
        <v>14313</v>
      </c>
      <c r="B7082">
        <v>50</v>
      </c>
      <c r="C7082" s="309"/>
      <c r="D7082" s="310"/>
    </row>
    <row r="7083" spans="1:4" x14ac:dyDescent="0.25">
      <c r="A7083" s="418" t="s">
        <v>14314</v>
      </c>
      <c r="B7083">
        <v>55</v>
      </c>
      <c r="C7083" s="309"/>
      <c r="D7083" s="310"/>
    </row>
    <row r="7084" spans="1:4" x14ac:dyDescent="0.25">
      <c r="A7084" s="418" t="s">
        <v>14315</v>
      </c>
      <c r="B7084">
        <v>58</v>
      </c>
      <c r="C7084" s="309"/>
      <c r="D7084" s="310"/>
    </row>
    <row r="7085" spans="1:4" x14ac:dyDescent="0.25">
      <c r="A7085" s="418" t="s">
        <v>14316</v>
      </c>
      <c r="B7085">
        <v>58</v>
      </c>
      <c r="C7085" s="309"/>
      <c r="D7085" s="310"/>
    </row>
    <row r="7086" spans="1:4" x14ac:dyDescent="0.25">
      <c r="A7086" s="418" t="s">
        <v>14317</v>
      </c>
      <c r="B7086">
        <v>56</v>
      </c>
      <c r="C7086" s="309"/>
      <c r="D7086" s="310"/>
    </row>
    <row r="7087" spans="1:4" x14ac:dyDescent="0.25">
      <c r="A7087" s="418" t="s">
        <v>14318</v>
      </c>
      <c r="B7087">
        <v>49</v>
      </c>
      <c r="C7087" s="309"/>
      <c r="D7087" s="310"/>
    </row>
    <row r="7088" spans="1:4" x14ac:dyDescent="0.25">
      <c r="A7088" s="418" t="s">
        <v>14319</v>
      </c>
      <c r="B7088">
        <v>51</v>
      </c>
      <c r="C7088" s="309"/>
      <c r="D7088" s="310"/>
    </row>
    <row r="7089" spans="1:4" x14ac:dyDescent="0.25">
      <c r="A7089" s="418" t="s">
        <v>14320</v>
      </c>
      <c r="B7089">
        <v>51</v>
      </c>
      <c r="C7089" s="309"/>
      <c r="D7089" s="310"/>
    </row>
    <row r="7090" spans="1:4" x14ac:dyDescent="0.25">
      <c r="A7090" s="418" t="s">
        <v>14321</v>
      </c>
      <c r="B7090">
        <v>60</v>
      </c>
      <c r="C7090" s="309"/>
      <c r="D7090" s="310"/>
    </row>
    <row r="7091" spans="1:4" x14ac:dyDescent="0.25">
      <c r="A7091" s="418" t="s">
        <v>14322</v>
      </c>
      <c r="B7091">
        <v>54</v>
      </c>
      <c r="C7091" s="309"/>
      <c r="D7091" s="310"/>
    </row>
    <row r="7092" spans="1:4" x14ac:dyDescent="0.25">
      <c r="A7092" s="418" t="s">
        <v>14323</v>
      </c>
      <c r="B7092">
        <v>58</v>
      </c>
      <c r="C7092" s="309"/>
      <c r="D7092" s="310"/>
    </row>
    <row r="7093" spans="1:4" x14ac:dyDescent="0.25">
      <c r="A7093" s="418" t="s">
        <v>14324</v>
      </c>
      <c r="B7093">
        <v>58</v>
      </c>
      <c r="C7093" s="309"/>
      <c r="D7093" s="310"/>
    </row>
    <row r="7094" spans="1:4" x14ac:dyDescent="0.25">
      <c r="A7094" s="418" t="s">
        <v>14325</v>
      </c>
      <c r="B7094">
        <v>60</v>
      </c>
      <c r="C7094" s="309"/>
      <c r="D7094" s="310"/>
    </row>
    <row r="7095" spans="1:4" x14ac:dyDescent="0.25">
      <c r="A7095" s="418" t="s">
        <v>14326</v>
      </c>
      <c r="B7095">
        <v>49</v>
      </c>
      <c r="C7095" s="309"/>
      <c r="D7095" s="310"/>
    </row>
    <row r="7096" spans="1:4" x14ac:dyDescent="0.25">
      <c r="A7096" s="418" t="s">
        <v>14327</v>
      </c>
      <c r="B7096">
        <v>60</v>
      </c>
      <c r="C7096" s="309"/>
      <c r="D7096" s="310"/>
    </row>
    <row r="7097" spans="1:4" x14ac:dyDescent="0.25">
      <c r="A7097" s="418" t="s">
        <v>14328</v>
      </c>
      <c r="B7097">
        <v>57</v>
      </c>
      <c r="C7097" s="309"/>
      <c r="D7097" s="310"/>
    </row>
    <row r="7098" spans="1:4" x14ac:dyDescent="0.25">
      <c r="A7098" s="418" t="s">
        <v>14329</v>
      </c>
      <c r="B7098">
        <v>55</v>
      </c>
      <c r="C7098" s="309"/>
      <c r="D7098" s="310"/>
    </row>
    <row r="7099" spans="1:4" x14ac:dyDescent="0.25">
      <c r="A7099" s="418" t="s">
        <v>14330</v>
      </c>
      <c r="B7099">
        <v>52</v>
      </c>
      <c r="C7099" s="309"/>
      <c r="D7099" s="310"/>
    </row>
    <row r="7100" spans="1:4" x14ac:dyDescent="0.25">
      <c r="A7100" s="418" t="s">
        <v>14331</v>
      </c>
      <c r="B7100">
        <v>54</v>
      </c>
      <c r="C7100" s="309"/>
      <c r="D7100" s="310"/>
    </row>
    <row r="7101" spans="1:4" x14ac:dyDescent="0.25">
      <c r="A7101" s="418" t="s">
        <v>14332</v>
      </c>
      <c r="B7101">
        <v>58</v>
      </c>
      <c r="C7101" s="309"/>
      <c r="D7101" s="310"/>
    </row>
    <row r="7102" spans="1:4" x14ac:dyDescent="0.25">
      <c r="A7102" s="418" t="s">
        <v>14333</v>
      </c>
      <c r="B7102">
        <v>60</v>
      </c>
      <c r="C7102" s="309"/>
      <c r="D7102" s="310"/>
    </row>
    <row r="7103" spans="1:4" x14ac:dyDescent="0.25">
      <c r="A7103" s="418" t="s">
        <v>14334</v>
      </c>
      <c r="B7103">
        <v>60</v>
      </c>
      <c r="C7103" s="309"/>
      <c r="D7103" s="310"/>
    </row>
    <row r="7104" spans="1:4" x14ac:dyDescent="0.25">
      <c r="A7104" s="418" t="s">
        <v>14335</v>
      </c>
      <c r="B7104">
        <v>56</v>
      </c>
      <c r="C7104" s="309"/>
      <c r="D7104" s="310"/>
    </row>
    <row r="7105" spans="1:4" x14ac:dyDescent="0.25">
      <c r="A7105" s="418" t="s">
        <v>14336</v>
      </c>
      <c r="B7105">
        <v>53</v>
      </c>
      <c r="C7105" s="309"/>
      <c r="D7105" s="310"/>
    </row>
    <row r="7106" spans="1:4" x14ac:dyDescent="0.25">
      <c r="A7106" s="418" t="s">
        <v>14337</v>
      </c>
      <c r="B7106">
        <v>56</v>
      </c>
      <c r="C7106" s="309"/>
      <c r="D7106" s="310"/>
    </row>
    <row r="7107" spans="1:4" x14ac:dyDescent="0.25">
      <c r="A7107" s="418" t="s">
        <v>14338</v>
      </c>
      <c r="B7107">
        <v>56</v>
      </c>
      <c r="C7107" s="309"/>
      <c r="D7107" s="310"/>
    </row>
    <row r="7108" spans="1:4" x14ac:dyDescent="0.25">
      <c r="A7108" s="418" t="s">
        <v>14339</v>
      </c>
      <c r="B7108">
        <v>58</v>
      </c>
      <c r="C7108" s="309"/>
      <c r="D7108" s="310"/>
    </row>
    <row r="7109" spans="1:4" x14ac:dyDescent="0.25">
      <c r="A7109" s="418" t="s">
        <v>14340</v>
      </c>
      <c r="B7109">
        <v>55</v>
      </c>
      <c r="C7109" s="309"/>
      <c r="D7109" s="310"/>
    </row>
    <row r="7110" spans="1:4" x14ac:dyDescent="0.25">
      <c r="A7110" s="418" t="s">
        <v>14341</v>
      </c>
      <c r="B7110">
        <v>60</v>
      </c>
      <c r="C7110" s="309"/>
      <c r="D7110" s="310"/>
    </row>
    <row r="7111" spans="1:4" x14ac:dyDescent="0.25">
      <c r="A7111" s="418" t="s">
        <v>14342</v>
      </c>
      <c r="B7111">
        <v>52</v>
      </c>
      <c r="C7111" s="309"/>
      <c r="D7111" s="310"/>
    </row>
    <row r="7112" spans="1:4" x14ac:dyDescent="0.25">
      <c r="A7112" s="418" t="s">
        <v>14343</v>
      </c>
      <c r="B7112">
        <v>50</v>
      </c>
      <c r="C7112" s="309"/>
      <c r="D7112" s="310"/>
    </row>
    <row r="7113" spans="1:4" x14ac:dyDescent="0.25">
      <c r="A7113" s="418" t="s">
        <v>14344</v>
      </c>
      <c r="B7113">
        <v>60</v>
      </c>
      <c r="C7113" s="309"/>
      <c r="D7113" s="310"/>
    </row>
    <row r="7114" spans="1:4" x14ac:dyDescent="0.25">
      <c r="A7114" s="418" t="s">
        <v>14345</v>
      </c>
      <c r="B7114">
        <v>52</v>
      </c>
      <c r="C7114" s="309"/>
      <c r="D7114" s="310"/>
    </row>
    <row r="7115" spans="1:4" x14ac:dyDescent="0.25">
      <c r="A7115" s="418" t="s">
        <v>14346</v>
      </c>
      <c r="B7115">
        <v>60</v>
      </c>
      <c r="C7115" s="309"/>
      <c r="D7115" s="310"/>
    </row>
    <row r="7116" spans="1:4" x14ac:dyDescent="0.25">
      <c r="A7116" s="418" t="s">
        <v>14347</v>
      </c>
      <c r="B7116">
        <v>54</v>
      </c>
      <c r="C7116" s="309"/>
      <c r="D7116" s="310"/>
    </row>
    <row r="7117" spans="1:4" x14ac:dyDescent="0.25">
      <c r="A7117" s="418" t="s">
        <v>14348</v>
      </c>
      <c r="B7117">
        <v>56</v>
      </c>
      <c r="C7117" s="309"/>
      <c r="D7117" s="310"/>
    </row>
    <row r="7118" spans="1:4" x14ac:dyDescent="0.25">
      <c r="A7118" s="418" t="s">
        <v>14349</v>
      </c>
      <c r="B7118">
        <v>60</v>
      </c>
      <c r="C7118" s="309"/>
      <c r="D7118" s="310"/>
    </row>
    <row r="7119" spans="1:4" x14ac:dyDescent="0.25">
      <c r="A7119" s="418" t="s">
        <v>14350</v>
      </c>
      <c r="B7119">
        <v>44</v>
      </c>
      <c r="C7119" s="309"/>
      <c r="D7119" s="310"/>
    </row>
    <row r="7120" spans="1:4" x14ac:dyDescent="0.25">
      <c r="A7120" s="418" t="s">
        <v>14351</v>
      </c>
      <c r="B7120">
        <v>58</v>
      </c>
      <c r="C7120" s="309"/>
      <c r="D7120" s="310"/>
    </row>
    <row r="7121" spans="1:4" x14ac:dyDescent="0.25">
      <c r="A7121" s="418" t="s">
        <v>14352</v>
      </c>
      <c r="B7121">
        <v>60</v>
      </c>
      <c r="C7121" s="309"/>
      <c r="D7121" s="310"/>
    </row>
    <row r="7122" spans="1:4" x14ac:dyDescent="0.25">
      <c r="A7122" s="418" t="s">
        <v>14353</v>
      </c>
      <c r="B7122">
        <v>57</v>
      </c>
      <c r="C7122" s="309"/>
      <c r="D7122" s="310"/>
    </row>
    <row r="7123" spans="1:4" x14ac:dyDescent="0.25">
      <c r="A7123" s="418" t="s">
        <v>14354</v>
      </c>
      <c r="B7123">
        <v>58</v>
      </c>
      <c r="C7123" s="309"/>
      <c r="D7123" s="310"/>
    </row>
    <row r="7124" spans="1:4" x14ac:dyDescent="0.25">
      <c r="A7124" s="418" t="s">
        <v>14355</v>
      </c>
      <c r="B7124">
        <v>58</v>
      </c>
      <c r="C7124" s="309"/>
      <c r="D7124" s="310"/>
    </row>
    <row r="7125" spans="1:4" x14ac:dyDescent="0.25">
      <c r="A7125" s="418" t="s">
        <v>14356</v>
      </c>
      <c r="B7125">
        <v>51</v>
      </c>
      <c r="C7125" s="309"/>
      <c r="D7125" s="310"/>
    </row>
    <row r="7126" spans="1:4" x14ac:dyDescent="0.25">
      <c r="A7126" s="418" t="s">
        <v>14357</v>
      </c>
      <c r="B7126">
        <v>58</v>
      </c>
      <c r="C7126" s="309"/>
      <c r="D7126" s="310"/>
    </row>
    <row r="7127" spans="1:4" x14ac:dyDescent="0.25">
      <c r="A7127" s="418" t="s">
        <v>14358</v>
      </c>
      <c r="B7127">
        <v>58</v>
      </c>
      <c r="C7127" s="309"/>
      <c r="D7127" s="310"/>
    </row>
    <row r="7128" spans="1:4" x14ac:dyDescent="0.25">
      <c r="A7128" s="418" t="s">
        <v>14359</v>
      </c>
      <c r="B7128">
        <v>55</v>
      </c>
      <c r="C7128" s="309"/>
      <c r="D7128" s="310"/>
    </row>
    <row r="7129" spans="1:4" x14ac:dyDescent="0.25">
      <c r="A7129" s="418" t="s">
        <v>14360</v>
      </c>
      <c r="B7129">
        <v>57</v>
      </c>
      <c r="C7129" s="309"/>
      <c r="D7129" s="310"/>
    </row>
    <row r="7130" spans="1:4" x14ac:dyDescent="0.25">
      <c r="A7130" s="418" t="s">
        <v>14361</v>
      </c>
      <c r="B7130">
        <v>47</v>
      </c>
      <c r="C7130" s="309"/>
      <c r="D7130" s="310"/>
    </row>
    <row r="7131" spans="1:4" x14ac:dyDescent="0.25">
      <c r="A7131" s="418" t="s">
        <v>14362</v>
      </c>
      <c r="B7131">
        <v>58</v>
      </c>
      <c r="C7131" s="309"/>
      <c r="D7131" s="310"/>
    </row>
    <row r="7132" spans="1:4" x14ac:dyDescent="0.25">
      <c r="A7132" s="418" t="s">
        <v>14363</v>
      </c>
      <c r="B7132">
        <v>59</v>
      </c>
      <c r="C7132" s="309"/>
      <c r="D7132" s="310"/>
    </row>
    <row r="7133" spans="1:4" x14ac:dyDescent="0.25">
      <c r="A7133" s="418" t="s">
        <v>14364</v>
      </c>
      <c r="B7133">
        <v>57</v>
      </c>
      <c r="C7133" s="309"/>
      <c r="D7133" s="310"/>
    </row>
    <row r="7134" spans="1:4" x14ac:dyDescent="0.25">
      <c r="A7134" s="418" t="s">
        <v>14365</v>
      </c>
      <c r="B7134">
        <v>56</v>
      </c>
      <c r="C7134" s="309"/>
      <c r="D7134" s="310"/>
    </row>
    <row r="7135" spans="1:4" x14ac:dyDescent="0.25">
      <c r="A7135" s="418" t="s">
        <v>14366</v>
      </c>
      <c r="B7135">
        <v>55</v>
      </c>
      <c r="C7135" s="309"/>
      <c r="D7135" s="310"/>
    </row>
    <row r="7136" spans="1:4" x14ac:dyDescent="0.25">
      <c r="A7136" s="418" t="s">
        <v>14367</v>
      </c>
      <c r="B7136">
        <v>59</v>
      </c>
      <c r="C7136" s="309"/>
      <c r="D7136" s="310"/>
    </row>
    <row r="7137" spans="1:4" x14ac:dyDescent="0.25">
      <c r="A7137" s="418" t="s">
        <v>14368</v>
      </c>
      <c r="B7137">
        <v>56</v>
      </c>
      <c r="C7137" s="309"/>
      <c r="D7137" s="310"/>
    </row>
    <row r="7138" spans="1:4" x14ac:dyDescent="0.25">
      <c r="A7138" s="418" t="s">
        <v>14369</v>
      </c>
      <c r="B7138">
        <v>60</v>
      </c>
      <c r="C7138" s="309"/>
      <c r="D7138" s="310"/>
    </row>
    <row r="7139" spans="1:4" x14ac:dyDescent="0.25">
      <c r="A7139" s="418" t="s">
        <v>14370</v>
      </c>
      <c r="B7139">
        <v>56</v>
      </c>
      <c r="C7139" s="309"/>
      <c r="D7139" s="310"/>
    </row>
    <row r="7140" spans="1:4" x14ac:dyDescent="0.25">
      <c r="A7140" s="418" t="s">
        <v>14371</v>
      </c>
      <c r="B7140">
        <v>55</v>
      </c>
      <c r="C7140" s="309"/>
      <c r="D7140" s="310"/>
    </row>
    <row r="7141" spans="1:4" x14ac:dyDescent="0.25">
      <c r="A7141" s="418" t="s">
        <v>14372</v>
      </c>
      <c r="B7141">
        <v>52</v>
      </c>
      <c r="C7141" s="309"/>
      <c r="D7141" s="310"/>
    </row>
    <row r="7142" spans="1:4" x14ac:dyDescent="0.25">
      <c r="A7142" s="418" t="s">
        <v>14373</v>
      </c>
      <c r="B7142">
        <v>57</v>
      </c>
      <c r="C7142" s="309"/>
      <c r="D7142" s="310"/>
    </row>
    <row r="7143" spans="1:4" x14ac:dyDescent="0.25">
      <c r="A7143" s="418" t="s">
        <v>14374</v>
      </c>
      <c r="B7143">
        <v>55</v>
      </c>
      <c r="C7143" s="309"/>
      <c r="D7143" s="310"/>
    </row>
    <row r="7144" spans="1:4" x14ac:dyDescent="0.25">
      <c r="A7144" s="418" t="s">
        <v>14375</v>
      </c>
      <c r="B7144">
        <v>54</v>
      </c>
      <c r="C7144" s="309"/>
      <c r="D7144" s="310"/>
    </row>
    <row r="7145" spans="1:4" x14ac:dyDescent="0.25">
      <c r="A7145" s="418" t="s">
        <v>14376</v>
      </c>
      <c r="B7145">
        <v>58</v>
      </c>
      <c r="C7145" s="309"/>
      <c r="D7145" s="310"/>
    </row>
    <row r="7146" spans="1:4" x14ac:dyDescent="0.25">
      <c r="A7146" s="418" t="s">
        <v>14377</v>
      </c>
      <c r="B7146">
        <v>57</v>
      </c>
      <c r="C7146" s="309"/>
      <c r="D7146" s="310"/>
    </row>
    <row r="7147" spans="1:4" x14ac:dyDescent="0.25">
      <c r="A7147" s="418" t="s">
        <v>14378</v>
      </c>
      <c r="B7147">
        <v>55</v>
      </c>
      <c r="C7147" s="309"/>
      <c r="D7147" s="310"/>
    </row>
    <row r="7148" spans="1:4" x14ac:dyDescent="0.25">
      <c r="A7148" s="418" t="s">
        <v>14379</v>
      </c>
      <c r="B7148">
        <v>58</v>
      </c>
      <c r="C7148" s="309"/>
      <c r="D7148" s="310"/>
    </row>
    <row r="7149" spans="1:4" x14ac:dyDescent="0.25">
      <c r="A7149" s="418" t="s">
        <v>14380</v>
      </c>
      <c r="B7149">
        <v>57</v>
      </c>
      <c r="C7149" s="309"/>
      <c r="D7149" s="310"/>
    </row>
    <row r="7150" spans="1:4" x14ac:dyDescent="0.25">
      <c r="A7150" s="418" t="s">
        <v>14381</v>
      </c>
      <c r="B7150">
        <v>56</v>
      </c>
      <c r="C7150" s="309"/>
      <c r="D7150" s="310"/>
    </row>
    <row r="7151" spans="1:4" x14ac:dyDescent="0.25">
      <c r="A7151" s="418" t="s">
        <v>14382</v>
      </c>
      <c r="B7151">
        <v>57</v>
      </c>
      <c r="C7151" s="309"/>
      <c r="D7151" s="310"/>
    </row>
    <row r="7152" spans="1:4" x14ac:dyDescent="0.25">
      <c r="A7152" s="418" t="s">
        <v>14383</v>
      </c>
      <c r="B7152">
        <v>59</v>
      </c>
      <c r="C7152" s="309"/>
      <c r="D7152" s="310"/>
    </row>
    <row r="7153" spans="1:4" x14ac:dyDescent="0.25">
      <c r="A7153" s="418" t="s">
        <v>14384</v>
      </c>
      <c r="B7153">
        <v>56</v>
      </c>
      <c r="C7153" s="309"/>
      <c r="D7153" s="310"/>
    </row>
    <row r="7154" spans="1:4" x14ac:dyDescent="0.25">
      <c r="A7154" s="418" t="s">
        <v>14385</v>
      </c>
      <c r="B7154">
        <v>60</v>
      </c>
      <c r="C7154" s="309"/>
      <c r="D7154" s="310"/>
    </row>
    <row r="7155" spans="1:4" x14ac:dyDescent="0.25">
      <c r="A7155" s="418" t="s">
        <v>14386</v>
      </c>
      <c r="B7155">
        <v>59</v>
      </c>
      <c r="C7155" s="309"/>
      <c r="D7155" s="310"/>
    </row>
    <row r="7156" spans="1:4" x14ac:dyDescent="0.25">
      <c r="A7156" s="418" t="s">
        <v>14387</v>
      </c>
      <c r="B7156">
        <v>55</v>
      </c>
      <c r="C7156" s="309"/>
      <c r="D7156" s="310"/>
    </row>
    <row r="7157" spans="1:4" x14ac:dyDescent="0.25">
      <c r="A7157" s="418" t="s">
        <v>14388</v>
      </c>
      <c r="B7157">
        <v>60</v>
      </c>
      <c r="C7157" s="309"/>
      <c r="D7157" s="310"/>
    </row>
    <row r="7158" spans="1:4" x14ac:dyDescent="0.25">
      <c r="A7158" s="418" t="s">
        <v>14389</v>
      </c>
      <c r="B7158">
        <v>55</v>
      </c>
      <c r="C7158" s="309"/>
      <c r="D7158" s="310"/>
    </row>
    <row r="7159" spans="1:4" x14ac:dyDescent="0.25">
      <c r="A7159" s="418" t="s">
        <v>16689</v>
      </c>
      <c r="B7159">
        <v>60</v>
      </c>
      <c r="C7159" s="309"/>
      <c r="D7159" s="310"/>
    </row>
    <row r="7160" spans="1:4" x14ac:dyDescent="0.25">
      <c r="A7160" s="418" t="s">
        <v>14390</v>
      </c>
      <c r="B7160">
        <v>56</v>
      </c>
      <c r="C7160" s="309"/>
      <c r="D7160" s="310"/>
    </row>
    <row r="7161" spans="1:4" x14ac:dyDescent="0.25">
      <c r="A7161" s="418" t="s">
        <v>14391</v>
      </c>
      <c r="B7161">
        <v>57</v>
      </c>
      <c r="C7161" s="309"/>
      <c r="D7161" s="310"/>
    </row>
    <row r="7162" spans="1:4" x14ac:dyDescent="0.25">
      <c r="A7162" s="418" t="s">
        <v>14392</v>
      </c>
      <c r="B7162">
        <v>54</v>
      </c>
      <c r="C7162" s="309"/>
      <c r="D7162" s="310"/>
    </row>
    <row r="7163" spans="1:4" x14ac:dyDescent="0.25">
      <c r="A7163" s="418" t="s">
        <v>14393</v>
      </c>
      <c r="B7163">
        <v>58</v>
      </c>
      <c r="C7163" s="309"/>
      <c r="D7163" s="310"/>
    </row>
    <row r="7164" spans="1:4" x14ac:dyDescent="0.25">
      <c r="A7164" s="418" t="s">
        <v>17352</v>
      </c>
      <c r="B7164">
        <v>58</v>
      </c>
      <c r="C7164" s="309"/>
      <c r="D7164" s="310"/>
    </row>
    <row r="7165" spans="1:4" x14ac:dyDescent="0.25">
      <c r="A7165" s="418" t="s">
        <v>14394</v>
      </c>
      <c r="B7165">
        <v>58</v>
      </c>
      <c r="C7165" s="309"/>
      <c r="D7165" s="310"/>
    </row>
    <row r="7166" spans="1:4" x14ac:dyDescent="0.25">
      <c r="A7166" s="418" t="s">
        <v>14395</v>
      </c>
      <c r="B7166">
        <v>58</v>
      </c>
      <c r="C7166" s="309"/>
      <c r="D7166" s="310"/>
    </row>
    <row r="7167" spans="1:4" x14ac:dyDescent="0.25">
      <c r="A7167" s="418" t="s">
        <v>14396</v>
      </c>
      <c r="B7167">
        <v>57</v>
      </c>
      <c r="C7167" s="309"/>
      <c r="D7167" s="310"/>
    </row>
    <row r="7168" spans="1:4" x14ac:dyDescent="0.25">
      <c r="A7168" s="418" t="s">
        <v>14397</v>
      </c>
      <c r="B7168">
        <v>57</v>
      </c>
      <c r="C7168" s="309"/>
      <c r="D7168" s="310"/>
    </row>
    <row r="7169" spans="1:4" x14ac:dyDescent="0.25">
      <c r="A7169" s="418" t="s">
        <v>14398</v>
      </c>
      <c r="B7169">
        <v>60</v>
      </c>
      <c r="C7169" s="309"/>
      <c r="D7169" s="310"/>
    </row>
    <row r="7170" spans="1:4" x14ac:dyDescent="0.25">
      <c r="A7170" s="418" t="s">
        <v>17353</v>
      </c>
      <c r="B7170">
        <v>60</v>
      </c>
      <c r="C7170" s="309"/>
      <c r="D7170" s="310"/>
    </row>
    <row r="7171" spans="1:4" x14ac:dyDescent="0.25">
      <c r="A7171" s="418" t="s">
        <v>14399</v>
      </c>
      <c r="B7171">
        <v>39</v>
      </c>
      <c r="C7171" s="309"/>
      <c r="D7171" s="310"/>
    </row>
    <row r="7172" spans="1:4" x14ac:dyDescent="0.25">
      <c r="A7172" s="418" t="s">
        <v>14400</v>
      </c>
      <c r="B7172">
        <v>58</v>
      </c>
      <c r="C7172" s="309"/>
      <c r="D7172" s="310"/>
    </row>
    <row r="7173" spans="1:4" x14ac:dyDescent="0.25">
      <c r="A7173" s="418" t="s">
        <v>17354</v>
      </c>
      <c r="B7173">
        <v>60</v>
      </c>
      <c r="C7173" s="309"/>
      <c r="D7173" s="310"/>
    </row>
    <row r="7174" spans="1:4" x14ac:dyDescent="0.25">
      <c r="A7174" s="418" t="s">
        <v>14401</v>
      </c>
      <c r="B7174">
        <v>57</v>
      </c>
      <c r="C7174" s="309"/>
      <c r="D7174" s="310"/>
    </row>
    <row r="7175" spans="1:4" x14ac:dyDescent="0.25">
      <c r="A7175" s="418" t="s">
        <v>14402</v>
      </c>
      <c r="B7175">
        <v>58</v>
      </c>
      <c r="C7175" s="309"/>
      <c r="D7175" s="310"/>
    </row>
    <row r="7176" spans="1:4" x14ac:dyDescent="0.25">
      <c r="A7176" s="418" t="s">
        <v>14403</v>
      </c>
      <c r="B7176">
        <v>54</v>
      </c>
      <c r="C7176" s="309"/>
      <c r="D7176" s="310"/>
    </row>
    <row r="7177" spans="1:4" x14ac:dyDescent="0.25">
      <c r="A7177" s="418" t="s">
        <v>14404</v>
      </c>
      <c r="B7177">
        <v>60</v>
      </c>
      <c r="C7177" s="309"/>
      <c r="D7177" s="310"/>
    </row>
    <row r="7178" spans="1:4" x14ac:dyDescent="0.25">
      <c r="A7178" s="418" t="s">
        <v>14405</v>
      </c>
      <c r="B7178">
        <v>60</v>
      </c>
      <c r="C7178" s="309"/>
      <c r="D7178" s="310"/>
    </row>
    <row r="7179" spans="1:4" x14ac:dyDescent="0.25">
      <c r="A7179" s="418" t="s">
        <v>14406</v>
      </c>
      <c r="B7179">
        <v>60</v>
      </c>
      <c r="C7179" s="309"/>
      <c r="D7179" s="310"/>
    </row>
    <row r="7180" spans="1:4" x14ac:dyDescent="0.25">
      <c r="A7180" s="418" t="s">
        <v>14407</v>
      </c>
      <c r="B7180">
        <v>58</v>
      </c>
      <c r="C7180" s="309"/>
      <c r="D7180" s="310"/>
    </row>
    <row r="7181" spans="1:4" x14ac:dyDescent="0.25">
      <c r="A7181" s="418" t="s">
        <v>14408</v>
      </c>
      <c r="B7181">
        <v>58</v>
      </c>
      <c r="C7181" s="309"/>
      <c r="D7181" s="310"/>
    </row>
    <row r="7182" spans="1:4" x14ac:dyDescent="0.25">
      <c r="A7182" s="418" t="s">
        <v>14409</v>
      </c>
      <c r="B7182">
        <v>60</v>
      </c>
      <c r="C7182" s="309"/>
      <c r="D7182" s="310"/>
    </row>
    <row r="7183" spans="1:4" x14ac:dyDescent="0.25">
      <c r="A7183" s="418" t="s">
        <v>14410</v>
      </c>
      <c r="B7183">
        <v>60</v>
      </c>
      <c r="C7183" s="309"/>
      <c r="D7183" s="310"/>
    </row>
    <row r="7184" spans="1:4" x14ac:dyDescent="0.25">
      <c r="A7184" s="418" t="s">
        <v>14411</v>
      </c>
      <c r="B7184">
        <v>54</v>
      </c>
      <c r="C7184" s="309"/>
      <c r="D7184" s="310"/>
    </row>
    <row r="7185" spans="1:4" x14ac:dyDescent="0.25">
      <c r="A7185" s="418" t="s">
        <v>14412</v>
      </c>
      <c r="B7185">
        <v>57</v>
      </c>
      <c r="C7185" s="309"/>
      <c r="D7185" s="310"/>
    </row>
    <row r="7186" spans="1:4" x14ac:dyDescent="0.25">
      <c r="A7186" s="418" t="s">
        <v>14413</v>
      </c>
      <c r="B7186">
        <v>60</v>
      </c>
      <c r="C7186" s="309"/>
      <c r="D7186" s="310"/>
    </row>
    <row r="7187" spans="1:4" x14ac:dyDescent="0.25">
      <c r="A7187" s="418" t="s">
        <v>14414</v>
      </c>
      <c r="B7187">
        <v>60</v>
      </c>
      <c r="C7187" s="309"/>
      <c r="D7187" s="310"/>
    </row>
    <row r="7188" spans="1:4" x14ac:dyDescent="0.25">
      <c r="A7188" s="418" t="s">
        <v>14415</v>
      </c>
      <c r="B7188">
        <v>57</v>
      </c>
      <c r="C7188" s="309"/>
      <c r="D7188" s="310"/>
    </row>
    <row r="7189" spans="1:4" x14ac:dyDescent="0.25">
      <c r="A7189" s="418" t="s">
        <v>14416</v>
      </c>
      <c r="B7189">
        <v>56</v>
      </c>
      <c r="C7189" s="309"/>
      <c r="D7189" s="310"/>
    </row>
    <row r="7190" spans="1:4" x14ac:dyDescent="0.25">
      <c r="A7190" s="418" t="s">
        <v>14417</v>
      </c>
      <c r="B7190">
        <v>55</v>
      </c>
      <c r="C7190" s="309"/>
      <c r="D7190" s="310"/>
    </row>
    <row r="7191" spans="1:4" x14ac:dyDescent="0.25">
      <c r="A7191" s="418" t="s">
        <v>14418</v>
      </c>
      <c r="B7191">
        <v>60</v>
      </c>
      <c r="C7191" s="309"/>
      <c r="D7191" s="310"/>
    </row>
    <row r="7192" spans="1:4" x14ac:dyDescent="0.25">
      <c r="A7192" s="418" t="s">
        <v>14419</v>
      </c>
      <c r="B7192">
        <v>57</v>
      </c>
      <c r="C7192" s="309"/>
      <c r="D7192" s="310"/>
    </row>
    <row r="7193" spans="1:4" x14ac:dyDescent="0.25">
      <c r="A7193" s="418" t="s">
        <v>14420</v>
      </c>
      <c r="B7193">
        <v>57</v>
      </c>
      <c r="C7193" s="309"/>
      <c r="D7193" s="310"/>
    </row>
    <row r="7194" spans="1:4" x14ac:dyDescent="0.25">
      <c r="A7194" s="418" t="s">
        <v>14421</v>
      </c>
      <c r="B7194">
        <v>57</v>
      </c>
      <c r="C7194" s="309"/>
      <c r="D7194" s="310"/>
    </row>
    <row r="7195" spans="1:4" x14ac:dyDescent="0.25">
      <c r="A7195" s="418" t="s">
        <v>14422</v>
      </c>
      <c r="B7195">
        <v>60</v>
      </c>
      <c r="C7195" s="309"/>
      <c r="D7195" s="310"/>
    </row>
    <row r="7196" spans="1:4" x14ac:dyDescent="0.25">
      <c r="A7196" s="418" t="s">
        <v>17355</v>
      </c>
      <c r="B7196">
        <v>60</v>
      </c>
      <c r="C7196" s="309"/>
      <c r="D7196" s="310"/>
    </row>
    <row r="7197" spans="1:4" x14ac:dyDescent="0.25">
      <c r="A7197" s="418" t="s">
        <v>14423</v>
      </c>
      <c r="B7197">
        <v>49</v>
      </c>
      <c r="C7197" s="309"/>
      <c r="D7197" s="310"/>
    </row>
    <row r="7198" spans="1:4" x14ac:dyDescent="0.25">
      <c r="A7198" s="418" t="s">
        <v>14424</v>
      </c>
      <c r="B7198">
        <v>55</v>
      </c>
      <c r="C7198" s="309"/>
      <c r="D7198" s="310"/>
    </row>
    <row r="7199" spans="1:4" x14ac:dyDescent="0.25">
      <c r="A7199" s="418" t="s">
        <v>14425</v>
      </c>
      <c r="B7199">
        <v>57</v>
      </c>
      <c r="C7199" s="309"/>
      <c r="D7199" s="310"/>
    </row>
    <row r="7200" spans="1:4" x14ac:dyDescent="0.25">
      <c r="A7200" s="418" t="s">
        <v>14426</v>
      </c>
      <c r="B7200">
        <v>52</v>
      </c>
      <c r="C7200" s="309"/>
      <c r="D7200" s="310"/>
    </row>
    <row r="7201" spans="1:4" x14ac:dyDescent="0.25">
      <c r="A7201" s="418" t="s">
        <v>14427</v>
      </c>
      <c r="B7201">
        <v>57</v>
      </c>
      <c r="C7201" s="309"/>
      <c r="D7201" s="310"/>
    </row>
    <row r="7202" spans="1:4" x14ac:dyDescent="0.25">
      <c r="A7202" s="418" t="s">
        <v>14428</v>
      </c>
      <c r="B7202">
        <v>58</v>
      </c>
      <c r="C7202" s="309"/>
      <c r="D7202" s="310"/>
    </row>
    <row r="7203" spans="1:4" x14ac:dyDescent="0.25">
      <c r="A7203" s="418" t="s">
        <v>14429</v>
      </c>
      <c r="B7203">
        <v>56</v>
      </c>
      <c r="C7203" s="309"/>
      <c r="D7203" s="310"/>
    </row>
    <row r="7204" spans="1:4" x14ac:dyDescent="0.25">
      <c r="A7204" s="418" t="s">
        <v>14430</v>
      </c>
      <c r="B7204">
        <v>49</v>
      </c>
      <c r="C7204" s="309"/>
      <c r="D7204" s="310"/>
    </row>
    <row r="7205" spans="1:4" x14ac:dyDescent="0.25">
      <c r="A7205" s="418" t="s">
        <v>14431</v>
      </c>
      <c r="B7205">
        <v>58</v>
      </c>
      <c r="C7205" s="309"/>
      <c r="D7205" s="310"/>
    </row>
    <row r="7206" spans="1:4" x14ac:dyDescent="0.25">
      <c r="A7206" s="418" t="s">
        <v>14432</v>
      </c>
      <c r="B7206">
        <v>58</v>
      </c>
      <c r="C7206" s="309"/>
      <c r="D7206" s="310"/>
    </row>
    <row r="7207" spans="1:4" x14ac:dyDescent="0.25">
      <c r="A7207" s="418" t="s">
        <v>14433</v>
      </c>
      <c r="B7207">
        <v>59</v>
      </c>
      <c r="C7207" s="309"/>
      <c r="D7207" s="310"/>
    </row>
    <row r="7208" spans="1:4" x14ac:dyDescent="0.25">
      <c r="A7208" s="418" t="s">
        <v>14434</v>
      </c>
      <c r="B7208">
        <v>59</v>
      </c>
      <c r="C7208" s="309"/>
      <c r="D7208" s="310"/>
    </row>
    <row r="7209" spans="1:4" x14ac:dyDescent="0.25">
      <c r="A7209" s="418" t="s">
        <v>14435</v>
      </c>
      <c r="B7209">
        <v>60</v>
      </c>
      <c r="C7209" s="309"/>
      <c r="D7209" s="310"/>
    </row>
    <row r="7210" spans="1:4" x14ac:dyDescent="0.25">
      <c r="A7210" s="418" t="s">
        <v>16690</v>
      </c>
      <c r="B7210">
        <v>50</v>
      </c>
      <c r="C7210" s="309"/>
      <c r="D7210" s="310"/>
    </row>
    <row r="7211" spans="1:4" x14ac:dyDescent="0.25">
      <c r="A7211" s="418" t="s">
        <v>14436</v>
      </c>
      <c r="B7211">
        <v>59</v>
      </c>
      <c r="C7211" s="309"/>
      <c r="D7211" s="310"/>
    </row>
    <row r="7212" spans="1:4" x14ac:dyDescent="0.25">
      <c r="A7212" s="418" t="s">
        <v>14437</v>
      </c>
      <c r="B7212">
        <v>56</v>
      </c>
      <c r="C7212" s="309"/>
      <c r="D7212" s="310"/>
    </row>
    <row r="7213" spans="1:4" x14ac:dyDescent="0.25">
      <c r="A7213" s="418" t="s">
        <v>14438</v>
      </c>
      <c r="B7213">
        <v>60</v>
      </c>
      <c r="C7213" s="309"/>
      <c r="D7213" s="310"/>
    </row>
    <row r="7214" spans="1:4" x14ac:dyDescent="0.25">
      <c r="A7214" s="418" t="s">
        <v>14439</v>
      </c>
      <c r="B7214">
        <v>57</v>
      </c>
      <c r="C7214" s="309"/>
      <c r="D7214" s="310"/>
    </row>
    <row r="7215" spans="1:4" x14ac:dyDescent="0.25">
      <c r="A7215" s="418" t="s">
        <v>16691</v>
      </c>
      <c r="B7215">
        <v>60</v>
      </c>
      <c r="C7215" s="309"/>
      <c r="D7215" s="310"/>
    </row>
    <row r="7216" spans="1:4" x14ac:dyDescent="0.25">
      <c r="A7216" s="418" t="s">
        <v>14440</v>
      </c>
      <c r="B7216">
        <v>60</v>
      </c>
      <c r="C7216" s="309"/>
      <c r="D7216" s="310"/>
    </row>
    <row r="7217" spans="1:4" x14ac:dyDescent="0.25">
      <c r="A7217" s="418" t="s">
        <v>14441</v>
      </c>
      <c r="B7217">
        <v>57</v>
      </c>
      <c r="C7217" s="309"/>
      <c r="D7217" s="310"/>
    </row>
    <row r="7218" spans="1:4" x14ac:dyDescent="0.25">
      <c r="A7218" s="418" t="s">
        <v>16692</v>
      </c>
      <c r="B7218">
        <v>57</v>
      </c>
      <c r="C7218" s="309"/>
      <c r="D7218" s="310"/>
    </row>
    <row r="7219" spans="1:4" x14ac:dyDescent="0.25">
      <c r="A7219" s="418" t="s">
        <v>14442</v>
      </c>
      <c r="B7219">
        <v>58</v>
      </c>
      <c r="C7219" s="309"/>
      <c r="D7219" s="310"/>
    </row>
    <row r="7220" spans="1:4" x14ac:dyDescent="0.25">
      <c r="A7220" s="418" t="s">
        <v>14443</v>
      </c>
      <c r="B7220">
        <v>57</v>
      </c>
      <c r="C7220" s="309"/>
      <c r="D7220" s="310"/>
    </row>
    <row r="7221" spans="1:4" x14ac:dyDescent="0.25">
      <c r="A7221" s="418" t="s">
        <v>16693</v>
      </c>
      <c r="B7221">
        <v>53</v>
      </c>
      <c r="C7221" s="309"/>
      <c r="D7221" s="310"/>
    </row>
    <row r="7222" spans="1:4" x14ac:dyDescent="0.25">
      <c r="A7222" s="418" t="s">
        <v>14444</v>
      </c>
      <c r="B7222">
        <v>57</v>
      </c>
      <c r="C7222" s="309"/>
      <c r="D7222" s="310"/>
    </row>
    <row r="7223" spans="1:4" x14ac:dyDescent="0.25">
      <c r="A7223" s="418" t="s">
        <v>14445</v>
      </c>
      <c r="B7223">
        <v>60</v>
      </c>
      <c r="C7223" s="309"/>
      <c r="D7223" s="310"/>
    </row>
    <row r="7224" spans="1:4" x14ac:dyDescent="0.25">
      <c r="A7224" s="418" t="s">
        <v>14446</v>
      </c>
      <c r="B7224">
        <v>59</v>
      </c>
      <c r="C7224" s="309"/>
      <c r="D7224" s="310"/>
    </row>
    <row r="7225" spans="1:4" x14ac:dyDescent="0.25">
      <c r="A7225" s="418" t="s">
        <v>14447</v>
      </c>
      <c r="B7225">
        <v>57</v>
      </c>
      <c r="C7225" s="309"/>
      <c r="D7225" s="310"/>
    </row>
    <row r="7226" spans="1:4" x14ac:dyDescent="0.25">
      <c r="A7226" s="418" t="s">
        <v>14448</v>
      </c>
      <c r="B7226">
        <v>57</v>
      </c>
      <c r="C7226" s="309"/>
      <c r="D7226" s="310"/>
    </row>
    <row r="7227" spans="1:4" x14ac:dyDescent="0.25">
      <c r="A7227" s="418" t="s">
        <v>14449</v>
      </c>
      <c r="B7227">
        <v>58</v>
      </c>
      <c r="C7227" s="309"/>
      <c r="D7227" s="310"/>
    </row>
    <row r="7228" spans="1:4" x14ac:dyDescent="0.25">
      <c r="A7228" s="418" t="s">
        <v>14450</v>
      </c>
      <c r="B7228">
        <v>59</v>
      </c>
      <c r="C7228" s="309"/>
      <c r="D7228" s="310"/>
    </row>
    <row r="7229" spans="1:4" x14ac:dyDescent="0.25">
      <c r="A7229" s="418" t="s">
        <v>17356</v>
      </c>
      <c r="B7229">
        <v>58</v>
      </c>
      <c r="C7229" s="309"/>
      <c r="D7229" s="310"/>
    </row>
    <row r="7230" spans="1:4" x14ac:dyDescent="0.25">
      <c r="A7230" s="418" t="s">
        <v>14451</v>
      </c>
      <c r="B7230">
        <v>59</v>
      </c>
      <c r="C7230" s="309"/>
      <c r="D7230" s="310"/>
    </row>
    <row r="7231" spans="1:4" x14ac:dyDescent="0.25">
      <c r="A7231" s="418" t="s">
        <v>14452</v>
      </c>
      <c r="B7231">
        <v>60</v>
      </c>
      <c r="C7231" s="309"/>
      <c r="D7231" s="310"/>
    </row>
    <row r="7232" spans="1:4" x14ac:dyDescent="0.25">
      <c r="A7232" s="418" t="s">
        <v>14453</v>
      </c>
      <c r="B7232">
        <v>54</v>
      </c>
      <c r="C7232" s="309"/>
      <c r="D7232" s="310"/>
    </row>
    <row r="7233" spans="1:4" x14ac:dyDescent="0.25">
      <c r="A7233" s="418" t="s">
        <v>14454</v>
      </c>
      <c r="B7233">
        <v>60</v>
      </c>
      <c r="C7233" s="309"/>
      <c r="D7233" s="310"/>
    </row>
    <row r="7234" spans="1:4" x14ac:dyDescent="0.25">
      <c r="A7234" s="418" t="s">
        <v>16174</v>
      </c>
      <c r="B7234">
        <v>58</v>
      </c>
      <c r="C7234" s="309"/>
      <c r="D7234" s="310"/>
    </row>
    <row r="7235" spans="1:4" x14ac:dyDescent="0.25">
      <c r="A7235" s="418" t="s">
        <v>15945</v>
      </c>
      <c r="B7235">
        <v>58</v>
      </c>
      <c r="C7235" s="309"/>
      <c r="D7235" s="310"/>
    </row>
    <row r="7236" spans="1:4" x14ac:dyDescent="0.25">
      <c r="A7236" s="418" t="s">
        <v>16694</v>
      </c>
      <c r="B7236">
        <v>59</v>
      </c>
      <c r="C7236" s="309"/>
      <c r="D7236" s="310"/>
    </row>
    <row r="7237" spans="1:4" x14ac:dyDescent="0.25">
      <c r="A7237" s="418" t="s">
        <v>14455</v>
      </c>
      <c r="B7237">
        <v>58</v>
      </c>
      <c r="C7237" s="309"/>
      <c r="D7237" s="310"/>
    </row>
    <row r="7238" spans="1:4" x14ac:dyDescent="0.25">
      <c r="A7238" s="418" t="s">
        <v>14456</v>
      </c>
      <c r="B7238">
        <v>56</v>
      </c>
      <c r="C7238" s="309"/>
      <c r="D7238" s="310"/>
    </row>
    <row r="7239" spans="1:4" x14ac:dyDescent="0.25">
      <c r="A7239" s="418" t="s">
        <v>14457</v>
      </c>
      <c r="B7239">
        <v>60</v>
      </c>
      <c r="C7239" s="309"/>
      <c r="D7239" s="310"/>
    </row>
    <row r="7240" spans="1:4" x14ac:dyDescent="0.25">
      <c r="A7240" s="418" t="s">
        <v>14458</v>
      </c>
      <c r="B7240">
        <v>56</v>
      </c>
      <c r="C7240" s="309"/>
      <c r="D7240" s="310"/>
    </row>
    <row r="7241" spans="1:4" x14ac:dyDescent="0.25">
      <c r="A7241" s="418" t="s">
        <v>16946</v>
      </c>
      <c r="B7241">
        <v>60</v>
      </c>
      <c r="C7241" s="309"/>
      <c r="D7241" s="310"/>
    </row>
    <row r="7242" spans="1:4" x14ac:dyDescent="0.25">
      <c r="A7242" s="418" t="s">
        <v>14459</v>
      </c>
      <c r="B7242">
        <v>59</v>
      </c>
      <c r="C7242" s="309"/>
      <c r="D7242" s="310"/>
    </row>
    <row r="7243" spans="1:4" x14ac:dyDescent="0.25">
      <c r="A7243" s="418" t="s">
        <v>14460</v>
      </c>
      <c r="B7243">
        <v>58</v>
      </c>
      <c r="C7243" s="309"/>
      <c r="D7243" s="310"/>
    </row>
    <row r="7244" spans="1:4" x14ac:dyDescent="0.25">
      <c r="A7244" s="418" t="s">
        <v>14461</v>
      </c>
      <c r="B7244">
        <v>60</v>
      </c>
      <c r="C7244" s="309"/>
      <c r="D7244" s="310"/>
    </row>
    <row r="7245" spans="1:4" x14ac:dyDescent="0.25">
      <c r="A7245" s="418" t="s">
        <v>14462</v>
      </c>
      <c r="B7245">
        <v>55</v>
      </c>
      <c r="C7245" s="309"/>
      <c r="D7245" s="310"/>
    </row>
    <row r="7246" spans="1:4" x14ac:dyDescent="0.25">
      <c r="A7246" s="418" t="s">
        <v>14463</v>
      </c>
      <c r="B7246">
        <v>56</v>
      </c>
      <c r="C7246" s="309"/>
      <c r="D7246" s="310"/>
    </row>
    <row r="7247" spans="1:4" x14ac:dyDescent="0.25">
      <c r="A7247" s="418" t="s">
        <v>14464</v>
      </c>
      <c r="B7247">
        <v>58</v>
      </c>
      <c r="C7247" s="309"/>
      <c r="D7247" s="310"/>
    </row>
    <row r="7248" spans="1:4" x14ac:dyDescent="0.25">
      <c r="A7248" s="418" t="s">
        <v>14465</v>
      </c>
      <c r="B7248">
        <v>60</v>
      </c>
      <c r="C7248" s="309"/>
      <c r="D7248" s="310"/>
    </row>
    <row r="7249" spans="1:4" x14ac:dyDescent="0.25">
      <c r="A7249" s="418" t="s">
        <v>14466</v>
      </c>
      <c r="B7249">
        <v>57</v>
      </c>
      <c r="C7249" s="309"/>
      <c r="D7249" s="310"/>
    </row>
    <row r="7250" spans="1:4" x14ac:dyDescent="0.25">
      <c r="A7250" s="418" t="s">
        <v>14467</v>
      </c>
      <c r="B7250">
        <v>60</v>
      </c>
      <c r="C7250" s="309"/>
      <c r="D7250" s="310"/>
    </row>
    <row r="7251" spans="1:4" x14ac:dyDescent="0.25">
      <c r="A7251" s="418" t="s">
        <v>15589</v>
      </c>
      <c r="B7251">
        <v>55</v>
      </c>
      <c r="C7251" s="309"/>
      <c r="D7251" s="310"/>
    </row>
    <row r="7252" spans="1:4" x14ac:dyDescent="0.25">
      <c r="A7252" s="418" t="s">
        <v>14468</v>
      </c>
      <c r="B7252">
        <v>54</v>
      </c>
      <c r="C7252" s="309"/>
      <c r="D7252" s="310"/>
    </row>
    <row r="7253" spans="1:4" x14ac:dyDescent="0.25">
      <c r="A7253" s="418" t="s">
        <v>17357</v>
      </c>
      <c r="B7253">
        <v>60</v>
      </c>
      <c r="C7253" s="309"/>
      <c r="D7253" s="310"/>
    </row>
    <row r="7254" spans="1:4" x14ac:dyDescent="0.25">
      <c r="A7254" s="418" t="s">
        <v>14469</v>
      </c>
      <c r="B7254">
        <v>59</v>
      </c>
      <c r="C7254" s="309"/>
      <c r="D7254" s="310"/>
    </row>
    <row r="7255" spans="1:4" x14ac:dyDescent="0.25">
      <c r="A7255" s="418" t="s">
        <v>14470</v>
      </c>
      <c r="B7255">
        <v>59</v>
      </c>
      <c r="C7255" s="309"/>
      <c r="D7255" s="310"/>
    </row>
    <row r="7256" spans="1:4" x14ac:dyDescent="0.25">
      <c r="A7256" s="418" t="s">
        <v>14471</v>
      </c>
      <c r="B7256">
        <v>59</v>
      </c>
      <c r="C7256" s="309"/>
      <c r="D7256" s="310"/>
    </row>
    <row r="7257" spans="1:4" x14ac:dyDescent="0.25">
      <c r="A7257" s="418" t="s">
        <v>14472</v>
      </c>
      <c r="B7257">
        <v>56</v>
      </c>
      <c r="C7257" s="309"/>
      <c r="D7257" s="310"/>
    </row>
    <row r="7258" spans="1:4" x14ac:dyDescent="0.25">
      <c r="A7258" s="418" t="s">
        <v>14473</v>
      </c>
      <c r="B7258">
        <v>58</v>
      </c>
      <c r="C7258" s="309"/>
      <c r="D7258" s="310"/>
    </row>
    <row r="7259" spans="1:4" x14ac:dyDescent="0.25">
      <c r="A7259" s="418" t="s">
        <v>14474</v>
      </c>
      <c r="B7259">
        <v>59</v>
      </c>
      <c r="C7259" s="309"/>
      <c r="D7259" s="310"/>
    </row>
    <row r="7260" spans="1:4" x14ac:dyDescent="0.25">
      <c r="A7260" s="418" t="s">
        <v>16695</v>
      </c>
      <c r="B7260">
        <v>60</v>
      </c>
      <c r="C7260" s="309"/>
      <c r="D7260" s="310"/>
    </row>
    <row r="7261" spans="1:4" x14ac:dyDescent="0.25">
      <c r="A7261" s="418" t="s">
        <v>14475</v>
      </c>
      <c r="B7261">
        <v>58</v>
      </c>
      <c r="C7261" s="309"/>
      <c r="D7261" s="310"/>
    </row>
    <row r="7262" spans="1:4" x14ac:dyDescent="0.25">
      <c r="A7262" s="418" t="s">
        <v>14476</v>
      </c>
      <c r="B7262">
        <v>60</v>
      </c>
      <c r="C7262" s="309"/>
      <c r="D7262" s="310"/>
    </row>
    <row r="7263" spans="1:4" x14ac:dyDescent="0.25">
      <c r="A7263" s="418" t="s">
        <v>14477</v>
      </c>
      <c r="B7263">
        <v>58</v>
      </c>
      <c r="C7263" s="309"/>
      <c r="D7263" s="310"/>
    </row>
    <row r="7264" spans="1:4" x14ac:dyDescent="0.25">
      <c r="A7264" s="418" t="s">
        <v>16696</v>
      </c>
      <c r="B7264">
        <v>59</v>
      </c>
      <c r="C7264" s="309"/>
      <c r="D7264" s="310"/>
    </row>
    <row r="7265" spans="1:4" x14ac:dyDescent="0.25">
      <c r="A7265" s="418" t="s">
        <v>16947</v>
      </c>
      <c r="B7265">
        <v>59</v>
      </c>
      <c r="C7265" s="309"/>
      <c r="D7265" s="310"/>
    </row>
    <row r="7266" spans="1:4" x14ac:dyDescent="0.25">
      <c r="A7266" s="418" t="s">
        <v>14478</v>
      </c>
      <c r="B7266">
        <v>57</v>
      </c>
      <c r="C7266" s="309"/>
      <c r="D7266" s="310"/>
    </row>
    <row r="7267" spans="1:4" x14ac:dyDescent="0.25">
      <c r="A7267" s="418" t="s">
        <v>16948</v>
      </c>
      <c r="B7267">
        <v>59</v>
      </c>
      <c r="C7267" s="309"/>
      <c r="D7267" s="310"/>
    </row>
    <row r="7268" spans="1:4" x14ac:dyDescent="0.25">
      <c r="A7268" s="418" t="s">
        <v>14479</v>
      </c>
      <c r="B7268">
        <v>60</v>
      </c>
      <c r="C7268" s="309"/>
      <c r="D7268" s="310"/>
    </row>
    <row r="7269" spans="1:4" x14ac:dyDescent="0.25">
      <c r="A7269" s="418" t="s">
        <v>14480</v>
      </c>
      <c r="B7269">
        <v>59</v>
      </c>
      <c r="C7269" s="309"/>
      <c r="D7269" s="310"/>
    </row>
    <row r="7270" spans="1:4" x14ac:dyDescent="0.25">
      <c r="A7270" s="418" t="s">
        <v>14481</v>
      </c>
      <c r="B7270">
        <v>59</v>
      </c>
      <c r="C7270" s="309"/>
      <c r="D7270" s="310"/>
    </row>
    <row r="7271" spans="1:4" x14ac:dyDescent="0.25">
      <c r="A7271" s="418" t="s">
        <v>14482</v>
      </c>
      <c r="B7271">
        <v>57</v>
      </c>
      <c r="C7271" s="309"/>
      <c r="D7271" s="310"/>
    </row>
    <row r="7272" spans="1:4" x14ac:dyDescent="0.25">
      <c r="A7272" s="418" t="s">
        <v>14483</v>
      </c>
      <c r="B7272">
        <v>47</v>
      </c>
      <c r="C7272" s="309"/>
      <c r="D7272" s="310"/>
    </row>
    <row r="7273" spans="1:4" x14ac:dyDescent="0.25">
      <c r="A7273" s="418" t="s">
        <v>14484</v>
      </c>
      <c r="B7273">
        <v>58</v>
      </c>
      <c r="C7273" s="309"/>
      <c r="D7273" s="310"/>
    </row>
    <row r="7274" spans="1:4" x14ac:dyDescent="0.25">
      <c r="A7274" s="418" t="s">
        <v>15590</v>
      </c>
      <c r="B7274">
        <v>58</v>
      </c>
      <c r="C7274" s="309"/>
      <c r="D7274" s="310"/>
    </row>
    <row r="7275" spans="1:4" x14ac:dyDescent="0.25">
      <c r="A7275" s="418" t="s">
        <v>14485</v>
      </c>
      <c r="B7275">
        <v>56</v>
      </c>
      <c r="C7275" s="309"/>
      <c r="D7275" s="310"/>
    </row>
    <row r="7276" spans="1:4" x14ac:dyDescent="0.25">
      <c r="A7276" s="418" t="s">
        <v>14486</v>
      </c>
      <c r="B7276">
        <v>60</v>
      </c>
      <c r="C7276" s="309"/>
      <c r="D7276" s="310"/>
    </row>
    <row r="7277" spans="1:4" x14ac:dyDescent="0.25">
      <c r="A7277" s="418" t="s">
        <v>16949</v>
      </c>
      <c r="B7277">
        <v>60</v>
      </c>
      <c r="C7277" s="309"/>
      <c r="D7277" s="310"/>
    </row>
    <row r="7278" spans="1:4" x14ac:dyDescent="0.25">
      <c r="A7278" s="418" t="s">
        <v>16697</v>
      </c>
      <c r="B7278">
        <v>60</v>
      </c>
      <c r="C7278" s="309"/>
      <c r="D7278" s="310"/>
    </row>
    <row r="7279" spans="1:4" x14ac:dyDescent="0.25">
      <c r="A7279" s="418" t="s">
        <v>14487</v>
      </c>
      <c r="B7279">
        <v>58</v>
      </c>
      <c r="C7279" s="309"/>
      <c r="D7279" s="310"/>
    </row>
    <row r="7280" spans="1:4" x14ac:dyDescent="0.25">
      <c r="A7280" s="418" t="s">
        <v>14488</v>
      </c>
      <c r="B7280">
        <v>60</v>
      </c>
      <c r="C7280" s="309"/>
      <c r="D7280" s="310"/>
    </row>
    <row r="7281" spans="1:4" x14ac:dyDescent="0.25">
      <c r="A7281" s="418" t="s">
        <v>14489</v>
      </c>
      <c r="B7281">
        <v>52</v>
      </c>
      <c r="C7281" s="309"/>
      <c r="D7281" s="310"/>
    </row>
    <row r="7282" spans="1:4" x14ac:dyDescent="0.25">
      <c r="A7282" s="418" t="s">
        <v>16698</v>
      </c>
      <c r="B7282">
        <v>59</v>
      </c>
      <c r="C7282" s="309"/>
      <c r="D7282" s="310"/>
    </row>
    <row r="7283" spans="1:4" x14ac:dyDescent="0.25">
      <c r="A7283" s="418" t="s">
        <v>15686</v>
      </c>
      <c r="B7283">
        <v>55</v>
      </c>
      <c r="C7283" s="309"/>
      <c r="D7283" s="310"/>
    </row>
    <row r="7284" spans="1:4" x14ac:dyDescent="0.25">
      <c r="A7284" s="418" t="s">
        <v>17358</v>
      </c>
      <c r="B7284">
        <v>60</v>
      </c>
      <c r="C7284" s="309"/>
      <c r="D7284" s="310"/>
    </row>
    <row r="7285" spans="1:4" x14ac:dyDescent="0.25">
      <c r="A7285" s="418" t="s">
        <v>14490</v>
      </c>
      <c r="B7285">
        <v>60</v>
      </c>
      <c r="C7285" s="309"/>
      <c r="D7285" s="310"/>
    </row>
    <row r="7286" spans="1:4" x14ac:dyDescent="0.25">
      <c r="A7286" s="418" t="s">
        <v>14491</v>
      </c>
      <c r="B7286">
        <v>53</v>
      </c>
      <c r="C7286" s="309"/>
      <c r="D7286" s="310"/>
    </row>
    <row r="7287" spans="1:4" x14ac:dyDescent="0.25">
      <c r="A7287" s="418" t="s">
        <v>14492</v>
      </c>
      <c r="B7287">
        <v>60</v>
      </c>
      <c r="C7287" s="309"/>
      <c r="D7287" s="310"/>
    </row>
    <row r="7288" spans="1:4" x14ac:dyDescent="0.25">
      <c r="A7288" s="418" t="s">
        <v>14493</v>
      </c>
      <c r="B7288">
        <v>58</v>
      </c>
      <c r="C7288" s="309"/>
      <c r="D7288" s="310"/>
    </row>
    <row r="7289" spans="1:4" x14ac:dyDescent="0.25">
      <c r="A7289" s="418" t="s">
        <v>16699</v>
      </c>
      <c r="B7289">
        <v>57</v>
      </c>
      <c r="C7289" s="309"/>
      <c r="D7289" s="310"/>
    </row>
    <row r="7290" spans="1:4" x14ac:dyDescent="0.25">
      <c r="A7290" s="418" t="s">
        <v>14494</v>
      </c>
      <c r="B7290">
        <v>59</v>
      </c>
      <c r="C7290" s="309"/>
      <c r="D7290" s="310"/>
    </row>
    <row r="7291" spans="1:4" x14ac:dyDescent="0.25">
      <c r="A7291" s="418" t="s">
        <v>14495</v>
      </c>
      <c r="B7291">
        <v>57</v>
      </c>
      <c r="C7291" s="309"/>
      <c r="D7291" s="310"/>
    </row>
    <row r="7292" spans="1:4" x14ac:dyDescent="0.25">
      <c r="A7292" s="418" t="s">
        <v>16950</v>
      </c>
      <c r="B7292">
        <v>55</v>
      </c>
      <c r="C7292" s="309"/>
      <c r="D7292" s="310"/>
    </row>
    <row r="7293" spans="1:4" x14ac:dyDescent="0.25">
      <c r="A7293" s="418" t="s">
        <v>14496</v>
      </c>
      <c r="B7293">
        <v>53</v>
      </c>
      <c r="C7293" s="309"/>
      <c r="D7293" s="310"/>
    </row>
    <row r="7294" spans="1:4" x14ac:dyDescent="0.25">
      <c r="A7294" s="418" t="s">
        <v>16700</v>
      </c>
      <c r="B7294">
        <v>57</v>
      </c>
      <c r="C7294" s="309"/>
      <c r="D7294" s="310"/>
    </row>
    <row r="7295" spans="1:4" x14ac:dyDescent="0.25">
      <c r="A7295" s="418" t="s">
        <v>17359</v>
      </c>
      <c r="B7295">
        <v>52</v>
      </c>
      <c r="C7295" s="309"/>
      <c r="D7295" s="310"/>
    </row>
    <row r="7296" spans="1:4" x14ac:dyDescent="0.25">
      <c r="A7296" s="418" t="s">
        <v>16357</v>
      </c>
      <c r="B7296">
        <v>54</v>
      </c>
      <c r="C7296" s="309"/>
      <c r="D7296" s="310"/>
    </row>
    <row r="7297" spans="1:4" x14ac:dyDescent="0.25">
      <c r="A7297" s="418" t="s">
        <v>16951</v>
      </c>
      <c r="B7297">
        <v>57</v>
      </c>
      <c r="C7297" s="309"/>
      <c r="D7297" s="310"/>
    </row>
    <row r="7298" spans="1:4" x14ac:dyDescent="0.25">
      <c r="A7298" s="418" t="s">
        <v>15687</v>
      </c>
      <c r="B7298">
        <v>60</v>
      </c>
      <c r="C7298" s="309"/>
      <c r="D7298" s="310"/>
    </row>
    <row r="7299" spans="1:4" x14ac:dyDescent="0.25">
      <c r="A7299" s="418" t="s">
        <v>16701</v>
      </c>
      <c r="B7299">
        <v>55</v>
      </c>
      <c r="C7299" s="309"/>
      <c r="D7299" s="310"/>
    </row>
    <row r="7300" spans="1:4" x14ac:dyDescent="0.25">
      <c r="A7300" s="418" t="s">
        <v>17360</v>
      </c>
      <c r="B7300">
        <v>56</v>
      </c>
      <c r="C7300" s="309"/>
      <c r="D7300" s="310"/>
    </row>
    <row r="7301" spans="1:4" x14ac:dyDescent="0.25">
      <c r="A7301" s="418" t="s">
        <v>16358</v>
      </c>
      <c r="B7301">
        <v>57</v>
      </c>
      <c r="C7301" s="309"/>
      <c r="D7301" s="310"/>
    </row>
    <row r="7302" spans="1:4" x14ac:dyDescent="0.25">
      <c r="A7302" s="418" t="s">
        <v>16702</v>
      </c>
      <c r="B7302">
        <v>58</v>
      </c>
      <c r="C7302" s="309"/>
      <c r="D7302" s="310"/>
    </row>
    <row r="7303" spans="1:4" x14ac:dyDescent="0.25">
      <c r="A7303" s="418" t="s">
        <v>14497</v>
      </c>
      <c r="B7303">
        <v>54</v>
      </c>
      <c r="C7303" s="309"/>
      <c r="D7303" s="310"/>
    </row>
    <row r="7304" spans="1:4" x14ac:dyDescent="0.25">
      <c r="A7304" s="418" t="s">
        <v>14498</v>
      </c>
      <c r="B7304">
        <v>60</v>
      </c>
      <c r="C7304" s="309"/>
      <c r="D7304" s="310"/>
    </row>
    <row r="7305" spans="1:4" x14ac:dyDescent="0.25">
      <c r="A7305" s="418" t="s">
        <v>16952</v>
      </c>
      <c r="B7305">
        <v>55</v>
      </c>
      <c r="C7305" s="309"/>
      <c r="D7305" s="310"/>
    </row>
    <row r="7306" spans="1:4" x14ac:dyDescent="0.25">
      <c r="A7306" s="418" t="s">
        <v>16703</v>
      </c>
      <c r="B7306">
        <v>55</v>
      </c>
      <c r="C7306" s="309"/>
      <c r="D7306" s="310"/>
    </row>
    <row r="7307" spans="1:4" x14ac:dyDescent="0.25">
      <c r="A7307" s="418" t="s">
        <v>16704</v>
      </c>
      <c r="B7307">
        <v>58</v>
      </c>
      <c r="C7307" s="309"/>
      <c r="D7307" s="310"/>
    </row>
    <row r="7308" spans="1:4" x14ac:dyDescent="0.25">
      <c r="A7308" s="418" t="s">
        <v>17361</v>
      </c>
      <c r="B7308">
        <v>58</v>
      </c>
      <c r="C7308" s="309"/>
      <c r="D7308" s="310"/>
    </row>
    <row r="7309" spans="1:4" x14ac:dyDescent="0.25">
      <c r="A7309" s="418" t="s">
        <v>16226</v>
      </c>
      <c r="B7309">
        <v>56</v>
      </c>
      <c r="C7309" s="309"/>
      <c r="D7309" s="310"/>
    </row>
    <row r="7310" spans="1:4" x14ac:dyDescent="0.25">
      <c r="A7310" s="418" t="s">
        <v>17362</v>
      </c>
      <c r="B7310">
        <v>53</v>
      </c>
      <c r="C7310" s="309"/>
      <c r="D7310" s="310"/>
    </row>
    <row r="7311" spans="1:4" x14ac:dyDescent="0.25">
      <c r="A7311" s="418" t="s">
        <v>17363</v>
      </c>
      <c r="B7311">
        <v>50</v>
      </c>
      <c r="C7311" s="309"/>
      <c r="D7311" s="310"/>
    </row>
    <row r="7312" spans="1:4" x14ac:dyDescent="0.25">
      <c r="A7312" s="418" t="s">
        <v>17364</v>
      </c>
      <c r="B7312">
        <v>54</v>
      </c>
      <c r="C7312" s="309"/>
      <c r="D7312" s="310"/>
    </row>
    <row r="7313" spans="1:4" x14ac:dyDescent="0.25">
      <c r="A7313" s="418" t="s">
        <v>16175</v>
      </c>
      <c r="B7313">
        <v>59</v>
      </c>
      <c r="C7313" s="309"/>
      <c r="D7313" s="310"/>
    </row>
    <row r="7314" spans="1:4" x14ac:dyDescent="0.25">
      <c r="A7314" s="418" t="s">
        <v>16953</v>
      </c>
      <c r="B7314">
        <v>58</v>
      </c>
      <c r="C7314" s="309"/>
      <c r="D7314" s="310"/>
    </row>
    <row r="7315" spans="1:4" x14ac:dyDescent="0.25">
      <c r="A7315" s="418" t="s">
        <v>14499</v>
      </c>
      <c r="B7315">
        <v>60</v>
      </c>
      <c r="C7315" s="309"/>
      <c r="D7315" s="310"/>
    </row>
    <row r="7316" spans="1:4" x14ac:dyDescent="0.25">
      <c r="A7316" s="418" t="s">
        <v>14500</v>
      </c>
      <c r="B7316">
        <v>59</v>
      </c>
      <c r="C7316" s="309"/>
      <c r="D7316" s="310"/>
    </row>
    <row r="7317" spans="1:4" x14ac:dyDescent="0.25">
      <c r="A7317" s="418" t="s">
        <v>16359</v>
      </c>
      <c r="B7317">
        <v>60</v>
      </c>
      <c r="C7317" s="309"/>
      <c r="D7317" s="310"/>
    </row>
    <row r="7318" spans="1:4" x14ac:dyDescent="0.25">
      <c r="A7318" s="418" t="s">
        <v>16176</v>
      </c>
      <c r="B7318">
        <v>58</v>
      </c>
      <c r="C7318" s="309"/>
      <c r="D7318" s="310"/>
    </row>
    <row r="7319" spans="1:4" x14ac:dyDescent="0.25">
      <c r="A7319" s="418" t="s">
        <v>16705</v>
      </c>
      <c r="B7319">
        <v>60</v>
      </c>
      <c r="C7319" s="309"/>
      <c r="D7319" s="310"/>
    </row>
    <row r="7320" spans="1:4" x14ac:dyDescent="0.25">
      <c r="A7320" s="418" t="s">
        <v>16954</v>
      </c>
      <c r="B7320">
        <v>57</v>
      </c>
      <c r="C7320" s="309"/>
      <c r="D7320" s="310"/>
    </row>
    <row r="7321" spans="1:4" x14ac:dyDescent="0.25">
      <c r="A7321" s="418" t="s">
        <v>16955</v>
      </c>
      <c r="B7321">
        <v>60</v>
      </c>
      <c r="C7321" s="309"/>
      <c r="D7321" s="310"/>
    </row>
    <row r="7322" spans="1:4" x14ac:dyDescent="0.25">
      <c r="A7322" s="418" t="s">
        <v>16706</v>
      </c>
      <c r="B7322">
        <v>60</v>
      </c>
      <c r="C7322" s="309"/>
      <c r="D7322" s="310"/>
    </row>
    <row r="7323" spans="1:4" x14ac:dyDescent="0.25">
      <c r="A7323" s="418" t="s">
        <v>15591</v>
      </c>
      <c r="B7323">
        <v>56</v>
      </c>
      <c r="C7323" s="309"/>
      <c r="D7323" s="310"/>
    </row>
    <row r="7324" spans="1:4" x14ac:dyDescent="0.25">
      <c r="A7324" s="418" t="s">
        <v>15592</v>
      </c>
      <c r="B7324">
        <v>59</v>
      </c>
      <c r="C7324" s="309"/>
      <c r="D7324" s="310"/>
    </row>
    <row r="7325" spans="1:4" x14ac:dyDescent="0.25">
      <c r="A7325" s="418" t="s">
        <v>16707</v>
      </c>
      <c r="B7325">
        <v>56</v>
      </c>
      <c r="C7325" s="309"/>
      <c r="D7325" s="310"/>
    </row>
    <row r="7326" spans="1:4" x14ac:dyDescent="0.25">
      <c r="A7326" s="418" t="s">
        <v>15593</v>
      </c>
      <c r="B7326">
        <v>58</v>
      </c>
      <c r="C7326" s="309"/>
      <c r="D7326" s="310"/>
    </row>
    <row r="7327" spans="1:4" x14ac:dyDescent="0.25">
      <c r="A7327" s="418" t="s">
        <v>17365</v>
      </c>
      <c r="B7327">
        <v>60</v>
      </c>
      <c r="C7327" s="309"/>
      <c r="D7327" s="310"/>
    </row>
    <row r="7328" spans="1:4" x14ac:dyDescent="0.25">
      <c r="A7328" s="418" t="s">
        <v>16708</v>
      </c>
      <c r="B7328">
        <v>57</v>
      </c>
      <c r="C7328" s="309"/>
      <c r="D7328" s="310"/>
    </row>
    <row r="7329" spans="1:4" x14ac:dyDescent="0.25">
      <c r="A7329" s="418" t="s">
        <v>16956</v>
      </c>
      <c r="B7329">
        <v>57</v>
      </c>
      <c r="C7329" s="309"/>
      <c r="D7329" s="310"/>
    </row>
    <row r="7330" spans="1:4" x14ac:dyDescent="0.25">
      <c r="A7330" s="418" t="s">
        <v>16709</v>
      </c>
      <c r="B7330">
        <v>58</v>
      </c>
      <c r="C7330" s="309"/>
      <c r="D7330" s="310"/>
    </row>
    <row r="7331" spans="1:4" x14ac:dyDescent="0.25">
      <c r="A7331" s="418" t="s">
        <v>16957</v>
      </c>
      <c r="B7331">
        <v>60</v>
      </c>
      <c r="C7331" s="309"/>
      <c r="D7331" s="310"/>
    </row>
    <row r="7332" spans="1:4" x14ac:dyDescent="0.25">
      <c r="A7332" s="418" t="s">
        <v>16958</v>
      </c>
      <c r="B7332">
        <v>59</v>
      </c>
      <c r="C7332" s="309"/>
      <c r="D7332" s="310"/>
    </row>
    <row r="7333" spans="1:4" x14ac:dyDescent="0.25">
      <c r="A7333" s="418" t="s">
        <v>16710</v>
      </c>
      <c r="B7333">
        <v>58</v>
      </c>
      <c r="C7333" s="309"/>
      <c r="D7333" s="310"/>
    </row>
    <row r="7334" spans="1:4" x14ac:dyDescent="0.25">
      <c r="A7334" s="418" t="s">
        <v>17366</v>
      </c>
      <c r="B7334">
        <v>60</v>
      </c>
      <c r="C7334" s="309"/>
      <c r="D7334" s="310"/>
    </row>
    <row r="7335" spans="1:4" x14ac:dyDescent="0.25">
      <c r="A7335" s="418" t="s">
        <v>16959</v>
      </c>
      <c r="B7335">
        <v>60</v>
      </c>
      <c r="C7335" s="309"/>
      <c r="D7335" s="310"/>
    </row>
    <row r="7336" spans="1:4" x14ac:dyDescent="0.25">
      <c r="A7336" s="418" t="s">
        <v>17367</v>
      </c>
      <c r="B7336">
        <v>60</v>
      </c>
      <c r="C7336" s="309"/>
      <c r="D7336" s="310"/>
    </row>
    <row r="7337" spans="1:4" x14ac:dyDescent="0.25">
      <c r="A7337" s="418" t="s">
        <v>17368</v>
      </c>
      <c r="B7337">
        <v>54</v>
      </c>
      <c r="C7337" s="309"/>
      <c r="D7337" s="310"/>
    </row>
    <row r="7338" spans="1:4" x14ac:dyDescent="0.25">
      <c r="A7338" s="418" t="s">
        <v>17369</v>
      </c>
      <c r="B7338">
        <v>58</v>
      </c>
      <c r="C7338" s="309"/>
      <c r="D7338" s="310"/>
    </row>
    <row r="7339" spans="1:4" x14ac:dyDescent="0.25">
      <c r="A7339" s="418" t="s">
        <v>17370</v>
      </c>
      <c r="B7339">
        <v>59</v>
      </c>
      <c r="C7339" s="309"/>
      <c r="D7339" s="310"/>
    </row>
    <row r="7340" spans="1:4" x14ac:dyDescent="0.25">
      <c r="A7340" s="418" t="s">
        <v>17371</v>
      </c>
      <c r="B7340">
        <v>60</v>
      </c>
      <c r="C7340" s="309"/>
      <c r="D7340" s="310"/>
    </row>
    <row r="7341" spans="1:4" x14ac:dyDescent="0.25">
      <c r="A7341" s="418" t="s">
        <v>14501</v>
      </c>
      <c r="B7341">
        <v>46</v>
      </c>
      <c r="C7341" s="309"/>
      <c r="D7341" s="310"/>
    </row>
    <row r="7342" spans="1:4" x14ac:dyDescent="0.25">
      <c r="A7342" s="418" t="s">
        <v>14502</v>
      </c>
      <c r="B7342">
        <v>56</v>
      </c>
      <c r="C7342" s="309"/>
      <c r="D7342" s="310"/>
    </row>
    <row r="7343" spans="1:4" x14ac:dyDescent="0.25">
      <c r="A7343" s="418" t="s">
        <v>14503</v>
      </c>
      <c r="B7343">
        <v>47</v>
      </c>
      <c r="C7343" s="309"/>
      <c r="D7343" s="310"/>
    </row>
    <row r="7344" spans="1:4" x14ac:dyDescent="0.25">
      <c r="A7344" s="418" t="s">
        <v>14504</v>
      </c>
      <c r="B7344">
        <v>48</v>
      </c>
      <c r="C7344" s="309"/>
      <c r="D7344" s="310"/>
    </row>
    <row r="7345" spans="1:4" x14ac:dyDescent="0.25">
      <c r="A7345" s="418" t="s">
        <v>14505</v>
      </c>
      <c r="B7345">
        <v>59</v>
      </c>
      <c r="C7345" s="309"/>
      <c r="D7345" s="310"/>
    </row>
    <row r="7346" spans="1:4" x14ac:dyDescent="0.25">
      <c r="A7346" s="418" t="s">
        <v>14506</v>
      </c>
      <c r="B7346">
        <v>56</v>
      </c>
      <c r="C7346" s="309"/>
      <c r="D7346" s="310"/>
    </row>
    <row r="7347" spans="1:4" x14ac:dyDescent="0.25">
      <c r="A7347" s="418" t="s">
        <v>14507</v>
      </c>
      <c r="B7347">
        <v>57</v>
      </c>
      <c r="C7347" s="309"/>
      <c r="D7347" s="310"/>
    </row>
    <row r="7348" spans="1:4" x14ac:dyDescent="0.25">
      <c r="A7348" s="418" t="s">
        <v>14508</v>
      </c>
      <c r="B7348">
        <v>60</v>
      </c>
      <c r="C7348" s="309"/>
      <c r="D7348" s="310"/>
    </row>
    <row r="7349" spans="1:4" x14ac:dyDescent="0.25">
      <c r="A7349" s="418" t="s">
        <v>16711</v>
      </c>
      <c r="B7349">
        <v>56</v>
      </c>
      <c r="C7349" s="309"/>
      <c r="D7349" s="310"/>
    </row>
    <row r="7350" spans="1:4" x14ac:dyDescent="0.25">
      <c r="A7350" s="418" t="s">
        <v>14509</v>
      </c>
      <c r="B7350">
        <v>51</v>
      </c>
      <c r="C7350" s="309"/>
      <c r="D7350" s="310"/>
    </row>
    <row r="7351" spans="1:4" x14ac:dyDescent="0.25">
      <c r="A7351" s="418" t="s">
        <v>14510</v>
      </c>
      <c r="B7351">
        <v>55</v>
      </c>
      <c r="C7351" s="309"/>
      <c r="D7351" s="310"/>
    </row>
    <row r="7352" spans="1:4" x14ac:dyDescent="0.25">
      <c r="A7352" s="418" t="s">
        <v>14511</v>
      </c>
      <c r="B7352">
        <v>58</v>
      </c>
      <c r="C7352" s="309"/>
      <c r="D7352" s="310"/>
    </row>
    <row r="7353" spans="1:4" x14ac:dyDescent="0.25">
      <c r="A7353" s="418" t="s">
        <v>14512</v>
      </c>
      <c r="B7353">
        <v>50</v>
      </c>
      <c r="C7353" s="309"/>
      <c r="D7353" s="310"/>
    </row>
    <row r="7354" spans="1:4" x14ac:dyDescent="0.25">
      <c r="A7354" s="418" t="s">
        <v>14513</v>
      </c>
      <c r="B7354">
        <v>54</v>
      </c>
      <c r="C7354" s="309"/>
      <c r="D7354" s="310"/>
    </row>
    <row r="7355" spans="1:4" x14ac:dyDescent="0.25">
      <c r="A7355" s="418" t="s">
        <v>14514</v>
      </c>
      <c r="B7355">
        <v>57</v>
      </c>
      <c r="C7355" s="309"/>
      <c r="D7355" s="310"/>
    </row>
    <row r="7356" spans="1:4" x14ac:dyDescent="0.25">
      <c r="A7356" s="418" t="s">
        <v>14515</v>
      </c>
      <c r="B7356">
        <v>49</v>
      </c>
      <c r="C7356" s="309"/>
      <c r="D7356" s="310"/>
    </row>
    <row r="7357" spans="1:4" x14ac:dyDescent="0.25">
      <c r="A7357" s="418" t="s">
        <v>14516</v>
      </c>
      <c r="B7357">
        <v>46</v>
      </c>
      <c r="C7357" s="309"/>
      <c r="D7357" s="310"/>
    </row>
    <row r="7358" spans="1:4" x14ac:dyDescent="0.25">
      <c r="A7358" s="418" t="s">
        <v>14517</v>
      </c>
      <c r="B7358">
        <v>57</v>
      </c>
      <c r="C7358" s="309"/>
      <c r="D7358" s="310"/>
    </row>
    <row r="7359" spans="1:4" x14ac:dyDescent="0.25">
      <c r="A7359" s="418" t="s">
        <v>14518</v>
      </c>
      <c r="B7359">
        <v>58</v>
      </c>
      <c r="C7359" s="309"/>
      <c r="D7359" s="310"/>
    </row>
    <row r="7360" spans="1:4" x14ac:dyDescent="0.25">
      <c r="A7360" s="418" t="s">
        <v>14519</v>
      </c>
      <c r="B7360">
        <v>54</v>
      </c>
      <c r="C7360" s="309"/>
      <c r="D7360" s="310"/>
    </row>
    <row r="7361" spans="1:4" x14ac:dyDescent="0.25">
      <c r="A7361" s="418" t="s">
        <v>14520</v>
      </c>
      <c r="B7361">
        <v>60</v>
      </c>
      <c r="C7361" s="309"/>
      <c r="D7361" s="310"/>
    </row>
    <row r="7362" spans="1:4" x14ac:dyDescent="0.25">
      <c r="A7362" s="418" t="s">
        <v>14521</v>
      </c>
      <c r="B7362">
        <v>60</v>
      </c>
      <c r="C7362" s="309"/>
      <c r="D7362" s="310"/>
    </row>
    <row r="7363" spans="1:4" x14ac:dyDescent="0.25">
      <c r="A7363" s="418" t="s">
        <v>14522</v>
      </c>
      <c r="B7363">
        <v>60</v>
      </c>
      <c r="C7363" s="309"/>
      <c r="D7363" s="310"/>
    </row>
    <row r="7364" spans="1:4" x14ac:dyDescent="0.25">
      <c r="A7364" s="418" t="s">
        <v>14523</v>
      </c>
      <c r="B7364">
        <v>57</v>
      </c>
      <c r="C7364" s="309"/>
      <c r="D7364" s="310"/>
    </row>
    <row r="7365" spans="1:4" x14ac:dyDescent="0.25">
      <c r="A7365" s="418" t="s">
        <v>14524</v>
      </c>
      <c r="B7365">
        <v>57</v>
      </c>
      <c r="C7365" s="309"/>
      <c r="D7365" s="310"/>
    </row>
    <row r="7366" spans="1:4" x14ac:dyDescent="0.25">
      <c r="A7366" s="418" t="s">
        <v>14525</v>
      </c>
      <c r="B7366">
        <v>57</v>
      </c>
      <c r="C7366" s="309"/>
      <c r="D7366" s="310"/>
    </row>
    <row r="7367" spans="1:4" x14ac:dyDescent="0.25">
      <c r="A7367" s="418" t="s">
        <v>14526</v>
      </c>
      <c r="B7367">
        <v>56</v>
      </c>
      <c r="C7367" s="309"/>
      <c r="D7367" s="310"/>
    </row>
    <row r="7368" spans="1:4" x14ac:dyDescent="0.25">
      <c r="A7368" s="418" t="s">
        <v>14527</v>
      </c>
      <c r="B7368">
        <v>59</v>
      </c>
      <c r="C7368" s="309"/>
      <c r="D7368" s="310"/>
    </row>
    <row r="7369" spans="1:4" x14ac:dyDescent="0.25">
      <c r="A7369" s="418" t="s">
        <v>14528</v>
      </c>
      <c r="B7369">
        <v>56</v>
      </c>
      <c r="C7369" s="309"/>
      <c r="D7369" s="310"/>
    </row>
    <row r="7370" spans="1:4" x14ac:dyDescent="0.25">
      <c r="A7370" s="418" t="s">
        <v>14529</v>
      </c>
      <c r="B7370">
        <v>56</v>
      </c>
      <c r="C7370" s="309"/>
      <c r="D7370" s="310"/>
    </row>
    <row r="7371" spans="1:4" x14ac:dyDescent="0.25">
      <c r="A7371" s="418" t="s">
        <v>14530</v>
      </c>
      <c r="B7371">
        <v>58</v>
      </c>
      <c r="C7371" s="309"/>
      <c r="D7371" s="310"/>
    </row>
    <row r="7372" spans="1:4" x14ac:dyDescent="0.25">
      <c r="A7372" s="418" t="s">
        <v>14531</v>
      </c>
      <c r="B7372">
        <v>58</v>
      </c>
      <c r="C7372" s="309"/>
      <c r="D7372" s="310"/>
    </row>
    <row r="7373" spans="1:4" x14ac:dyDescent="0.25">
      <c r="A7373" s="418" t="s">
        <v>14532</v>
      </c>
      <c r="B7373">
        <v>58</v>
      </c>
      <c r="C7373" s="309"/>
      <c r="D7373" s="310"/>
    </row>
    <row r="7374" spans="1:4" x14ac:dyDescent="0.25">
      <c r="A7374" s="418" t="s">
        <v>14533</v>
      </c>
      <c r="B7374">
        <v>54</v>
      </c>
      <c r="C7374" s="309"/>
      <c r="D7374" s="310"/>
    </row>
    <row r="7375" spans="1:4" x14ac:dyDescent="0.25">
      <c r="A7375" s="418" t="s">
        <v>14534</v>
      </c>
      <c r="B7375">
        <v>58</v>
      </c>
      <c r="C7375" s="309"/>
      <c r="D7375" s="310"/>
    </row>
    <row r="7376" spans="1:4" x14ac:dyDescent="0.25">
      <c r="A7376" s="418" t="s">
        <v>14535</v>
      </c>
      <c r="B7376">
        <v>60</v>
      </c>
      <c r="C7376" s="309"/>
      <c r="D7376" s="310"/>
    </row>
    <row r="7377" spans="1:4" x14ac:dyDescent="0.25">
      <c r="A7377" s="418" t="s">
        <v>14536</v>
      </c>
      <c r="B7377">
        <v>54</v>
      </c>
      <c r="C7377" s="309"/>
      <c r="D7377" s="310"/>
    </row>
    <row r="7378" spans="1:4" x14ac:dyDescent="0.25">
      <c r="A7378" s="418" t="s">
        <v>14537</v>
      </c>
      <c r="B7378">
        <v>53</v>
      </c>
      <c r="C7378" s="309"/>
      <c r="D7378" s="310"/>
    </row>
    <row r="7379" spans="1:4" x14ac:dyDescent="0.25">
      <c r="A7379" s="418" t="s">
        <v>14538</v>
      </c>
      <c r="B7379">
        <v>60</v>
      </c>
      <c r="C7379" s="309"/>
      <c r="D7379" s="310"/>
    </row>
    <row r="7380" spans="1:4" x14ac:dyDescent="0.25">
      <c r="A7380" s="418" t="s">
        <v>14539</v>
      </c>
      <c r="B7380">
        <v>54</v>
      </c>
      <c r="C7380" s="309"/>
      <c r="D7380" s="310"/>
    </row>
    <row r="7381" spans="1:4" x14ac:dyDescent="0.25">
      <c r="A7381" s="418" t="s">
        <v>14540</v>
      </c>
      <c r="B7381">
        <v>47</v>
      </c>
      <c r="C7381" s="309"/>
      <c r="D7381" s="310"/>
    </row>
    <row r="7382" spans="1:4" x14ac:dyDescent="0.25">
      <c r="A7382" s="418" t="s">
        <v>14541</v>
      </c>
      <c r="B7382">
        <v>60</v>
      </c>
      <c r="C7382" s="309"/>
      <c r="D7382" s="310"/>
    </row>
    <row r="7383" spans="1:4" x14ac:dyDescent="0.25">
      <c r="A7383" s="418" t="s">
        <v>14542</v>
      </c>
      <c r="B7383">
        <v>52</v>
      </c>
      <c r="C7383" s="309"/>
      <c r="D7383" s="310"/>
    </row>
    <row r="7384" spans="1:4" x14ac:dyDescent="0.25">
      <c r="A7384" s="418" t="s">
        <v>14543</v>
      </c>
      <c r="B7384">
        <v>57</v>
      </c>
      <c r="C7384" s="309"/>
      <c r="D7384" s="310"/>
    </row>
    <row r="7385" spans="1:4" x14ac:dyDescent="0.25">
      <c r="A7385" s="418" t="s">
        <v>14544</v>
      </c>
      <c r="B7385">
        <v>60</v>
      </c>
      <c r="C7385" s="309"/>
      <c r="D7385" s="310"/>
    </row>
    <row r="7386" spans="1:4" x14ac:dyDescent="0.25">
      <c r="A7386" s="418" t="s">
        <v>14545</v>
      </c>
      <c r="B7386">
        <v>58</v>
      </c>
      <c r="C7386" s="309"/>
      <c r="D7386" s="310"/>
    </row>
    <row r="7387" spans="1:4" x14ac:dyDescent="0.25">
      <c r="A7387" s="418" t="s">
        <v>14546</v>
      </c>
      <c r="B7387">
        <v>58</v>
      </c>
      <c r="C7387" s="309"/>
      <c r="D7387" s="310"/>
    </row>
    <row r="7388" spans="1:4" x14ac:dyDescent="0.25">
      <c r="A7388" s="418" t="s">
        <v>14547</v>
      </c>
      <c r="B7388">
        <v>56</v>
      </c>
      <c r="C7388" s="309"/>
      <c r="D7388" s="310"/>
    </row>
    <row r="7389" spans="1:4" x14ac:dyDescent="0.25">
      <c r="A7389" s="418" t="s">
        <v>14548</v>
      </c>
      <c r="B7389">
        <v>48</v>
      </c>
      <c r="C7389" s="309"/>
      <c r="D7389" s="310"/>
    </row>
    <row r="7390" spans="1:4" x14ac:dyDescent="0.25">
      <c r="A7390" s="418" t="s">
        <v>14549</v>
      </c>
      <c r="B7390">
        <v>58</v>
      </c>
      <c r="C7390" s="309"/>
      <c r="D7390" s="310"/>
    </row>
    <row r="7391" spans="1:4" x14ac:dyDescent="0.25">
      <c r="A7391" s="418" t="s">
        <v>14550</v>
      </c>
      <c r="B7391">
        <v>49</v>
      </c>
      <c r="C7391" s="309"/>
      <c r="D7391" s="310"/>
    </row>
    <row r="7392" spans="1:4" x14ac:dyDescent="0.25">
      <c r="A7392" s="418" t="s">
        <v>14551</v>
      </c>
      <c r="B7392">
        <v>56</v>
      </c>
      <c r="C7392" s="309"/>
      <c r="D7392" s="310"/>
    </row>
    <row r="7393" spans="1:4" x14ac:dyDescent="0.25">
      <c r="A7393" s="418" t="s">
        <v>14552</v>
      </c>
      <c r="B7393">
        <v>55</v>
      </c>
      <c r="C7393" s="309"/>
      <c r="D7393" s="310"/>
    </row>
    <row r="7394" spans="1:4" x14ac:dyDescent="0.25">
      <c r="A7394" s="418" t="s">
        <v>14553</v>
      </c>
      <c r="B7394">
        <v>56</v>
      </c>
      <c r="C7394" s="309"/>
      <c r="D7394" s="310"/>
    </row>
    <row r="7395" spans="1:4" x14ac:dyDescent="0.25">
      <c r="A7395" s="418" t="s">
        <v>14554</v>
      </c>
      <c r="B7395">
        <v>52</v>
      </c>
      <c r="C7395" s="309"/>
      <c r="D7395" s="310"/>
    </row>
    <row r="7396" spans="1:4" x14ac:dyDescent="0.25">
      <c r="A7396" s="418" t="s">
        <v>14555</v>
      </c>
      <c r="B7396">
        <v>58</v>
      </c>
      <c r="C7396" s="309"/>
      <c r="D7396" s="310"/>
    </row>
    <row r="7397" spans="1:4" x14ac:dyDescent="0.25">
      <c r="A7397" s="418" t="s">
        <v>14556</v>
      </c>
      <c r="B7397">
        <v>52</v>
      </c>
      <c r="C7397" s="309"/>
      <c r="D7397" s="310"/>
    </row>
    <row r="7398" spans="1:4" x14ac:dyDescent="0.25">
      <c r="A7398" s="418" t="s">
        <v>14557</v>
      </c>
      <c r="B7398">
        <v>59</v>
      </c>
      <c r="C7398" s="309"/>
      <c r="D7398" s="310"/>
    </row>
    <row r="7399" spans="1:4" x14ac:dyDescent="0.25">
      <c r="A7399" s="418" t="s">
        <v>14558</v>
      </c>
      <c r="B7399">
        <v>60</v>
      </c>
      <c r="C7399" s="309"/>
      <c r="D7399" s="310"/>
    </row>
    <row r="7400" spans="1:4" x14ac:dyDescent="0.25">
      <c r="A7400" s="418" t="s">
        <v>14559</v>
      </c>
      <c r="B7400">
        <v>59</v>
      </c>
      <c r="C7400" s="309"/>
      <c r="D7400" s="310"/>
    </row>
    <row r="7401" spans="1:4" x14ac:dyDescent="0.25">
      <c r="A7401" s="418" t="s">
        <v>14560</v>
      </c>
      <c r="B7401">
        <v>56</v>
      </c>
      <c r="C7401" s="309"/>
      <c r="D7401" s="310"/>
    </row>
    <row r="7402" spans="1:4" x14ac:dyDescent="0.25">
      <c r="A7402" s="418" t="s">
        <v>14561</v>
      </c>
      <c r="B7402">
        <v>57</v>
      </c>
      <c r="C7402" s="309"/>
      <c r="D7402" s="310"/>
    </row>
    <row r="7403" spans="1:4" x14ac:dyDescent="0.25">
      <c r="A7403" s="418" t="s">
        <v>14562</v>
      </c>
      <c r="B7403">
        <v>59</v>
      </c>
      <c r="C7403" s="309"/>
      <c r="D7403" s="310"/>
    </row>
    <row r="7404" spans="1:4" x14ac:dyDescent="0.25">
      <c r="A7404" s="418" t="s">
        <v>14563</v>
      </c>
      <c r="B7404">
        <v>56</v>
      </c>
      <c r="C7404" s="309"/>
      <c r="D7404" s="310"/>
    </row>
    <row r="7405" spans="1:4" x14ac:dyDescent="0.25">
      <c r="A7405" s="418" t="s">
        <v>14564</v>
      </c>
      <c r="B7405">
        <v>57</v>
      </c>
      <c r="C7405" s="309"/>
      <c r="D7405" s="310"/>
    </row>
    <row r="7406" spans="1:4" x14ac:dyDescent="0.25">
      <c r="A7406" s="418" t="s">
        <v>14565</v>
      </c>
      <c r="B7406">
        <v>56</v>
      </c>
      <c r="C7406" s="309"/>
      <c r="D7406" s="310"/>
    </row>
    <row r="7407" spans="1:4" x14ac:dyDescent="0.25">
      <c r="A7407" s="418" t="s">
        <v>14566</v>
      </c>
      <c r="B7407">
        <v>58</v>
      </c>
      <c r="C7407" s="309"/>
      <c r="D7407" s="310"/>
    </row>
    <row r="7408" spans="1:4" x14ac:dyDescent="0.25">
      <c r="A7408" s="418" t="s">
        <v>14567</v>
      </c>
      <c r="B7408">
        <v>60</v>
      </c>
      <c r="C7408" s="309"/>
      <c r="D7408" s="310"/>
    </row>
    <row r="7409" spans="1:4" x14ac:dyDescent="0.25">
      <c r="A7409" s="418" t="s">
        <v>14568</v>
      </c>
      <c r="B7409">
        <v>55</v>
      </c>
      <c r="C7409" s="309"/>
      <c r="D7409" s="310"/>
    </row>
    <row r="7410" spans="1:4" x14ac:dyDescent="0.25">
      <c r="A7410" s="418" t="s">
        <v>14569</v>
      </c>
      <c r="B7410">
        <v>59</v>
      </c>
      <c r="C7410" s="309"/>
      <c r="D7410" s="310"/>
    </row>
    <row r="7411" spans="1:4" x14ac:dyDescent="0.25">
      <c r="A7411" s="418" t="s">
        <v>14570</v>
      </c>
      <c r="B7411">
        <v>54</v>
      </c>
      <c r="C7411" s="309"/>
      <c r="D7411" s="310"/>
    </row>
    <row r="7412" spans="1:4" x14ac:dyDescent="0.25">
      <c r="A7412" s="418" t="s">
        <v>14571</v>
      </c>
      <c r="B7412">
        <v>60</v>
      </c>
      <c r="C7412" s="309"/>
      <c r="D7412" s="310"/>
    </row>
    <row r="7413" spans="1:4" x14ac:dyDescent="0.25">
      <c r="A7413" s="418" t="s">
        <v>14572</v>
      </c>
      <c r="B7413">
        <v>58</v>
      </c>
      <c r="C7413" s="309"/>
      <c r="D7413" s="310"/>
    </row>
    <row r="7414" spans="1:4" x14ac:dyDescent="0.25">
      <c r="A7414" s="418" t="s">
        <v>14573</v>
      </c>
      <c r="B7414">
        <v>54</v>
      </c>
      <c r="C7414" s="309"/>
      <c r="D7414" s="310"/>
    </row>
    <row r="7415" spans="1:4" x14ac:dyDescent="0.25">
      <c r="A7415" s="418" t="s">
        <v>14574</v>
      </c>
      <c r="B7415">
        <v>59</v>
      </c>
      <c r="C7415" s="309"/>
      <c r="D7415" s="310"/>
    </row>
    <row r="7416" spans="1:4" x14ac:dyDescent="0.25">
      <c r="A7416" s="418" t="s">
        <v>14575</v>
      </c>
      <c r="B7416">
        <v>54</v>
      </c>
      <c r="C7416" s="309"/>
      <c r="D7416" s="310"/>
    </row>
    <row r="7417" spans="1:4" x14ac:dyDescent="0.25">
      <c r="A7417" s="418" t="s">
        <v>14576</v>
      </c>
      <c r="B7417">
        <v>60</v>
      </c>
      <c r="C7417" s="309"/>
      <c r="D7417" s="310"/>
    </row>
    <row r="7418" spans="1:4" x14ac:dyDescent="0.25">
      <c r="A7418" s="418" t="s">
        <v>14577</v>
      </c>
      <c r="B7418">
        <v>53</v>
      </c>
      <c r="C7418" s="309"/>
      <c r="D7418" s="310"/>
    </row>
    <row r="7419" spans="1:4" x14ac:dyDescent="0.25">
      <c r="A7419" s="418" t="s">
        <v>14578</v>
      </c>
      <c r="B7419">
        <v>51</v>
      </c>
      <c r="C7419" s="309"/>
      <c r="D7419" s="310"/>
    </row>
    <row r="7420" spans="1:4" x14ac:dyDescent="0.25">
      <c r="A7420" s="418" t="s">
        <v>14579</v>
      </c>
      <c r="B7420">
        <v>57</v>
      </c>
      <c r="C7420" s="309"/>
      <c r="D7420" s="310"/>
    </row>
    <row r="7421" spans="1:4" x14ac:dyDescent="0.25">
      <c r="A7421" s="418" t="s">
        <v>14580</v>
      </c>
      <c r="B7421">
        <v>52</v>
      </c>
      <c r="C7421" s="309"/>
      <c r="D7421" s="310"/>
    </row>
    <row r="7422" spans="1:4" x14ac:dyDescent="0.25">
      <c r="A7422" s="418" t="s">
        <v>14581</v>
      </c>
      <c r="B7422">
        <v>58</v>
      </c>
      <c r="C7422" s="309"/>
      <c r="D7422" s="310"/>
    </row>
    <row r="7423" spans="1:4" x14ac:dyDescent="0.25">
      <c r="A7423" s="418" t="s">
        <v>14582</v>
      </c>
      <c r="B7423">
        <v>59</v>
      </c>
      <c r="C7423" s="309"/>
      <c r="D7423" s="310"/>
    </row>
    <row r="7424" spans="1:4" x14ac:dyDescent="0.25">
      <c r="A7424" s="418" t="s">
        <v>14583</v>
      </c>
      <c r="B7424">
        <v>56</v>
      </c>
      <c r="C7424" s="309"/>
      <c r="D7424" s="310"/>
    </row>
    <row r="7425" spans="1:4" x14ac:dyDescent="0.25">
      <c r="A7425" s="418" t="s">
        <v>14584</v>
      </c>
      <c r="B7425">
        <v>60</v>
      </c>
      <c r="C7425" s="309"/>
      <c r="D7425" s="310"/>
    </row>
    <row r="7426" spans="1:4" x14ac:dyDescent="0.25">
      <c r="A7426" s="418" t="s">
        <v>14585</v>
      </c>
      <c r="B7426">
        <v>59</v>
      </c>
      <c r="C7426" s="309"/>
      <c r="D7426" s="310"/>
    </row>
    <row r="7427" spans="1:4" x14ac:dyDescent="0.25">
      <c r="A7427" s="418" t="s">
        <v>14586</v>
      </c>
      <c r="B7427">
        <v>54</v>
      </c>
      <c r="C7427" s="309"/>
      <c r="D7427" s="310"/>
    </row>
    <row r="7428" spans="1:4" x14ac:dyDescent="0.25">
      <c r="A7428" s="418" t="s">
        <v>14587</v>
      </c>
      <c r="B7428">
        <v>58</v>
      </c>
      <c r="C7428" s="309"/>
      <c r="D7428" s="310"/>
    </row>
    <row r="7429" spans="1:4" x14ac:dyDescent="0.25">
      <c r="A7429" s="418" t="s">
        <v>14588</v>
      </c>
      <c r="B7429">
        <v>55</v>
      </c>
      <c r="C7429" s="309"/>
      <c r="D7429" s="310"/>
    </row>
    <row r="7430" spans="1:4" x14ac:dyDescent="0.25">
      <c r="A7430" s="418" t="s">
        <v>14589</v>
      </c>
      <c r="B7430">
        <v>56</v>
      </c>
      <c r="C7430" s="309"/>
      <c r="D7430" s="310"/>
    </row>
    <row r="7431" spans="1:4" x14ac:dyDescent="0.25">
      <c r="A7431" s="418" t="s">
        <v>14590</v>
      </c>
      <c r="B7431">
        <v>58</v>
      </c>
      <c r="C7431" s="309"/>
      <c r="D7431" s="310"/>
    </row>
    <row r="7432" spans="1:4" x14ac:dyDescent="0.25">
      <c r="A7432" s="418" t="s">
        <v>14591</v>
      </c>
      <c r="B7432">
        <v>60</v>
      </c>
      <c r="C7432" s="309"/>
      <c r="D7432" s="310"/>
    </row>
    <row r="7433" spans="1:4" x14ac:dyDescent="0.25">
      <c r="A7433" s="418" t="s">
        <v>14592</v>
      </c>
      <c r="B7433">
        <v>57</v>
      </c>
      <c r="C7433" s="309"/>
      <c r="D7433" s="310"/>
    </row>
    <row r="7434" spans="1:4" x14ac:dyDescent="0.25">
      <c r="A7434" s="418" t="s">
        <v>14593</v>
      </c>
      <c r="B7434">
        <v>53</v>
      </c>
      <c r="C7434" s="309"/>
      <c r="D7434" s="310"/>
    </row>
    <row r="7435" spans="1:4" x14ac:dyDescent="0.25">
      <c r="A7435" s="418" t="s">
        <v>14594</v>
      </c>
      <c r="B7435">
        <v>58</v>
      </c>
      <c r="C7435" s="309"/>
      <c r="D7435" s="310"/>
    </row>
    <row r="7436" spans="1:4" x14ac:dyDescent="0.25">
      <c r="A7436" s="418" t="s">
        <v>14595</v>
      </c>
      <c r="B7436">
        <v>60</v>
      </c>
      <c r="C7436" s="309"/>
      <c r="D7436" s="310"/>
    </row>
    <row r="7437" spans="1:4" x14ac:dyDescent="0.25">
      <c r="A7437" s="418" t="s">
        <v>14596</v>
      </c>
      <c r="B7437">
        <v>58</v>
      </c>
      <c r="C7437" s="309"/>
      <c r="D7437" s="310"/>
    </row>
    <row r="7438" spans="1:4" x14ac:dyDescent="0.25">
      <c r="A7438" s="418" t="s">
        <v>14597</v>
      </c>
      <c r="B7438">
        <v>60</v>
      </c>
      <c r="C7438" s="309"/>
      <c r="D7438" s="310"/>
    </row>
    <row r="7439" spans="1:4" x14ac:dyDescent="0.25">
      <c r="A7439" s="418" t="s">
        <v>14598</v>
      </c>
      <c r="B7439">
        <v>57</v>
      </c>
      <c r="C7439" s="309"/>
      <c r="D7439" s="310"/>
    </row>
    <row r="7440" spans="1:4" x14ac:dyDescent="0.25">
      <c r="A7440" s="418" t="s">
        <v>14599</v>
      </c>
      <c r="B7440">
        <v>59</v>
      </c>
      <c r="C7440" s="309"/>
      <c r="D7440" s="310"/>
    </row>
    <row r="7441" spans="1:4" x14ac:dyDescent="0.25">
      <c r="A7441" s="418" t="s">
        <v>14600</v>
      </c>
      <c r="B7441">
        <v>49</v>
      </c>
      <c r="C7441" s="309"/>
      <c r="D7441" s="310"/>
    </row>
    <row r="7442" spans="1:4" x14ac:dyDescent="0.25">
      <c r="A7442" s="418" t="s">
        <v>14601</v>
      </c>
      <c r="B7442">
        <v>59</v>
      </c>
      <c r="C7442" s="309"/>
      <c r="D7442" s="310"/>
    </row>
    <row r="7443" spans="1:4" x14ac:dyDescent="0.25">
      <c r="A7443" s="418" t="s">
        <v>14602</v>
      </c>
      <c r="B7443">
        <v>52</v>
      </c>
      <c r="C7443" s="309"/>
      <c r="D7443" s="310"/>
    </row>
    <row r="7444" spans="1:4" x14ac:dyDescent="0.25">
      <c r="A7444" s="418" t="s">
        <v>14603</v>
      </c>
      <c r="B7444">
        <v>58</v>
      </c>
      <c r="C7444" s="309"/>
      <c r="D7444" s="310"/>
    </row>
    <row r="7445" spans="1:4" x14ac:dyDescent="0.25">
      <c r="A7445" s="418" t="s">
        <v>14604</v>
      </c>
      <c r="B7445">
        <v>58</v>
      </c>
      <c r="C7445" s="309"/>
      <c r="D7445" s="310"/>
    </row>
    <row r="7446" spans="1:4" x14ac:dyDescent="0.25">
      <c r="A7446" s="418" t="s">
        <v>14605</v>
      </c>
      <c r="B7446">
        <v>56</v>
      </c>
      <c r="C7446" s="309"/>
      <c r="D7446" s="310"/>
    </row>
    <row r="7447" spans="1:4" x14ac:dyDescent="0.25">
      <c r="A7447" s="418" t="s">
        <v>14606</v>
      </c>
      <c r="B7447">
        <v>52</v>
      </c>
      <c r="C7447" s="309"/>
      <c r="D7447" s="310"/>
    </row>
    <row r="7448" spans="1:4" x14ac:dyDescent="0.25">
      <c r="A7448" s="418" t="s">
        <v>14607</v>
      </c>
      <c r="B7448">
        <v>57</v>
      </c>
      <c r="C7448" s="309"/>
      <c r="D7448" s="310"/>
    </row>
    <row r="7449" spans="1:4" x14ac:dyDescent="0.25">
      <c r="A7449" s="418" t="s">
        <v>14608</v>
      </c>
      <c r="B7449">
        <v>59</v>
      </c>
      <c r="C7449" s="309"/>
      <c r="D7449" s="310"/>
    </row>
    <row r="7450" spans="1:4" x14ac:dyDescent="0.25">
      <c r="A7450" s="418" t="s">
        <v>14609</v>
      </c>
      <c r="B7450">
        <v>53</v>
      </c>
      <c r="C7450" s="309"/>
      <c r="D7450" s="310"/>
    </row>
    <row r="7451" spans="1:4" x14ac:dyDescent="0.25">
      <c r="A7451" s="418" t="s">
        <v>14610</v>
      </c>
      <c r="B7451">
        <v>55</v>
      </c>
      <c r="C7451" s="309"/>
      <c r="D7451" s="310"/>
    </row>
    <row r="7452" spans="1:4" x14ac:dyDescent="0.25">
      <c r="A7452" s="418" t="s">
        <v>14611</v>
      </c>
      <c r="B7452">
        <v>58</v>
      </c>
      <c r="C7452" s="309"/>
      <c r="D7452" s="310"/>
    </row>
    <row r="7453" spans="1:4" x14ac:dyDescent="0.25">
      <c r="A7453" s="418" t="s">
        <v>14612</v>
      </c>
      <c r="B7453">
        <v>60</v>
      </c>
      <c r="C7453" s="309"/>
      <c r="D7453" s="310"/>
    </row>
    <row r="7454" spans="1:4" x14ac:dyDescent="0.25">
      <c r="A7454" s="418" t="s">
        <v>14613</v>
      </c>
      <c r="B7454">
        <v>58</v>
      </c>
      <c r="C7454" s="309"/>
      <c r="D7454" s="310"/>
    </row>
    <row r="7455" spans="1:4" x14ac:dyDescent="0.25">
      <c r="A7455" s="418" t="s">
        <v>14614</v>
      </c>
      <c r="B7455">
        <v>60</v>
      </c>
      <c r="C7455" s="309"/>
      <c r="D7455" s="310"/>
    </row>
    <row r="7456" spans="1:4" x14ac:dyDescent="0.25">
      <c r="A7456" s="418" t="s">
        <v>14615</v>
      </c>
      <c r="B7456">
        <v>59</v>
      </c>
      <c r="C7456" s="309"/>
      <c r="D7456" s="310"/>
    </row>
    <row r="7457" spans="1:4" x14ac:dyDescent="0.25">
      <c r="A7457" s="418" t="s">
        <v>14616</v>
      </c>
      <c r="B7457">
        <v>60</v>
      </c>
      <c r="C7457" s="309"/>
      <c r="D7457" s="310"/>
    </row>
    <row r="7458" spans="1:4" x14ac:dyDescent="0.25">
      <c r="A7458" s="418" t="s">
        <v>14617</v>
      </c>
      <c r="B7458">
        <v>56</v>
      </c>
      <c r="C7458" s="309"/>
      <c r="D7458" s="310"/>
    </row>
    <row r="7459" spans="1:4" x14ac:dyDescent="0.25">
      <c r="A7459" s="418" t="s">
        <v>14618</v>
      </c>
      <c r="B7459">
        <v>58</v>
      </c>
      <c r="C7459" s="309"/>
      <c r="D7459" s="310"/>
    </row>
    <row r="7460" spans="1:4" x14ac:dyDescent="0.25">
      <c r="A7460" s="418" t="s">
        <v>14619</v>
      </c>
      <c r="B7460">
        <v>57</v>
      </c>
      <c r="C7460" s="309"/>
      <c r="D7460" s="310"/>
    </row>
    <row r="7461" spans="1:4" x14ac:dyDescent="0.25">
      <c r="A7461" s="418" t="s">
        <v>14620</v>
      </c>
      <c r="B7461">
        <v>56</v>
      </c>
      <c r="C7461" s="309"/>
      <c r="D7461" s="310"/>
    </row>
    <row r="7462" spans="1:4" x14ac:dyDescent="0.25">
      <c r="A7462" s="418" t="s">
        <v>14621</v>
      </c>
      <c r="B7462">
        <v>56</v>
      </c>
      <c r="C7462" s="309"/>
      <c r="D7462" s="310"/>
    </row>
    <row r="7463" spans="1:4" x14ac:dyDescent="0.25">
      <c r="A7463" s="418" t="s">
        <v>14622</v>
      </c>
      <c r="B7463">
        <v>58</v>
      </c>
      <c r="C7463" s="309"/>
      <c r="D7463" s="310"/>
    </row>
    <row r="7464" spans="1:4" x14ac:dyDescent="0.25">
      <c r="A7464" s="418" t="s">
        <v>14623</v>
      </c>
      <c r="B7464">
        <v>56</v>
      </c>
      <c r="C7464" s="309"/>
      <c r="D7464" s="310"/>
    </row>
    <row r="7465" spans="1:4" x14ac:dyDescent="0.25">
      <c r="A7465" s="418" t="s">
        <v>14624</v>
      </c>
      <c r="B7465">
        <v>57</v>
      </c>
      <c r="C7465" s="309"/>
      <c r="D7465" s="310"/>
    </row>
    <row r="7466" spans="1:4" x14ac:dyDescent="0.25">
      <c r="A7466" s="418" t="s">
        <v>14625</v>
      </c>
      <c r="B7466">
        <v>52</v>
      </c>
      <c r="C7466" s="309"/>
      <c r="D7466" s="310"/>
    </row>
    <row r="7467" spans="1:4" x14ac:dyDescent="0.25">
      <c r="A7467" s="418" t="s">
        <v>14626</v>
      </c>
      <c r="B7467">
        <v>54</v>
      </c>
      <c r="C7467" s="309"/>
      <c r="D7467" s="310"/>
    </row>
    <row r="7468" spans="1:4" x14ac:dyDescent="0.25">
      <c r="A7468" s="418" t="s">
        <v>14627</v>
      </c>
      <c r="B7468">
        <v>60</v>
      </c>
      <c r="C7468" s="309"/>
      <c r="D7468" s="310"/>
    </row>
    <row r="7469" spans="1:4" x14ac:dyDescent="0.25">
      <c r="A7469" s="418" t="s">
        <v>14628</v>
      </c>
      <c r="B7469">
        <v>59</v>
      </c>
      <c r="C7469" s="309"/>
      <c r="D7469" s="310"/>
    </row>
    <row r="7470" spans="1:4" x14ac:dyDescent="0.25">
      <c r="A7470" s="418" t="s">
        <v>14629</v>
      </c>
      <c r="B7470">
        <v>60</v>
      </c>
      <c r="C7470" s="309"/>
      <c r="D7470" s="310"/>
    </row>
    <row r="7471" spans="1:4" x14ac:dyDescent="0.25">
      <c r="A7471" s="418" t="s">
        <v>14630</v>
      </c>
      <c r="B7471">
        <v>55</v>
      </c>
      <c r="C7471" s="309"/>
      <c r="D7471" s="310"/>
    </row>
    <row r="7472" spans="1:4" x14ac:dyDescent="0.25">
      <c r="A7472" s="418" t="s">
        <v>14631</v>
      </c>
      <c r="B7472">
        <v>60</v>
      </c>
      <c r="C7472" s="309"/>
      <c r="D7472" s="310"/>
    </row>
    <row r="7473" spans="1:4" x14ac:dyDescent="0.25">
      <c r="A7473" s="418" t="s">
        <v>14632</v>
      </c>
      <c r="B7473">
        <v>49</v>
      </c>
      <c r="C7473" s="309"/>
      <c r="D7473" s="310"/>
    </row>
    <row r="7474" spans="1:4" x14ac:dyDescent="0.25">
      <c r="A7474" s="418" t="s">
        <v>14633</v>
      </c>
      <c r="B7474">
        <v>59</v>
      </c>
      <c r="C7474" s="309"/>
      <c r="D7474" s="310"/>
    </row>
    <row r="7475" spans="1:4" x14ac:dyDescent="0.25">
      <c r="A7475" s="418" t="s">
        <v>14634</v>
      </c>
      <c r="B7475">
        <v>56</v>
      </c>
      <c r="C7475" s="309"/>
      <c r="D7475" s="310"/>
    </row>
    <row r="7476" spans="1:4" x14ac:dyDescent="0.25">
      <c r="A7476" s="418" t="s">
        <v>14635</v>
      </c>
      <c r="B7476">
        <v>58</v>
      </c>
      <c r="C7476" s="309"/>
      <c r="D7476" s="310"/>
    </row>
    <row r="7477" spans="1:4" x14ac:dyDescent="0.25">
      <c r="A7477" s="418" t="s">
        <v>16360</v>
      </c>
      <c r="B7477">
        <v>59</v>
      </c>
      <c r="C7477" s="309"/>
      <c r="D7477" s="310"/>
    </row>
    <row r="7478" spans="1:4" x14ac:dyDescent="0.25">
      <c r="A7478" s="418" t="s">
        <v>14636</v>
      </c>
      <c r="B7478">
        <v>60</v>
      </c>
      <c r="C7478" s="309"/>
      <c r="D7478" s="310"/>
    </row>
    <row r="7479" spans="1:4" x14ac:dyDescent="0.25">
      <c r="A7479" s="418" t="s">
        <v>14637</v>
      </c>
      <c r="B7479">
        <v>59</v>
      </c>
      <c r="C7479" s="309"/>
      <c r="D7479" s="310"/>
    </row>
    <row r="7480" spans="1:4" x14ac:dyDescent="0.25">
      <c r="A7480" s="418" t="s">
        <v>14638</v>
      </c>
      <c r="B7480">
        <v>59</v>
      </c>
      <c r="C7480" s="309"/>
      <c r="D7480" s="310"/>
    </row>
    <row r="7481" spans="1:4" x14ac:dyDescent="0.25">
      <c r="A7481" s="418" t="s">
        <v>14639</v>
      </c>
      <c r="B7481">
        <v>58</v>
      </c>
      <c r="C7481" s="309"/>
      <c r="D7481" s="310"/>
    </row>
    <row r="7482" spans="1:4" x14ac:dyDescent="0.25">
      <c r="A7482" s="418" t="s">
        <v>14640</v>
      </c>
      <c r="B7482">
        <v>59</v>
      </c>
      <c r="C7482" s="309"/>
      <c r="D7482" s="310"/>
    </row>
    <row r="7483" spans="1:4" x14ac:dyDescent="0.25">
      <c r="A7483" s="418" t="s">
        <v>14641</v>
      </c>
      <c r="B7483">
        <v>57</v>
      </c>
      <c r="C7483" s="309"/>
      <c r="D7483" s="310"/>
    </row>
    <row r="7484" spans="1:4" x14ac:dyDescent="0.25">
      <c r="A7484" s="418" t="s">
        <v>14642</v>
      </c>
      <c r="B7484">
        <v>54</v>
      </c>
      <c r="C7484" s="309"/>
      <c r="D7484" s="310"/>
    </row>
    <row r="7485" spans="1:4" x14ac:dyDescent="0.25">
      <c r="A7485" s="418" t="s">
        <v>14643</v>
      </c>
      <c r="B7485">
        <v>58</v>
      </c>
      <c r="C7485" s="309"/>
      <c r="D7485" s="310"/>
    </row>
    <row r="7486" spans="1:4" x14ac:dyDescent="0.25">
      <c r="A7486" s="418" t="s">
        <v>14644</v>
      </c>
      <c r="B7486">
        <v>56</v>
      </c>
      <c r="C7486" s="309"/>
      <c r="D7486" s="310"/>
    </row>
    <row r="7487" spans="1:4" x14ac:dyDescent="0.25">
      <c r="A7487" s="418" t="s">
        <v>14645</v>
      </c>
      <c r="B7487">
        <v>57</v>
      </c>
      <c r="C7487" s="309"/>
      <c r="D7487" s="310"/>
    </row>
    <row r="7488" spans="1:4" x14ac:dyDescent="0.25">
      <c r="A7488" s="418" t="s">
        <v>14646</v>
      </c>
      <c r="B7488">
        <v>59</v>
      </c>
      <c r="C7488" s="309"/>
      <c r="D7488" s="310"/>
    </row>
    <row r="7489" spans="1:4" x14ac:dyDescent="0.25">
      <c r="A7489" s="418" t="s">
        <v>14647</v>
      </c>
      <c r="B7489">
        <v>56</v>
      </c>
      <c r="C7489" s="309"/>
      <c r="D7489" s="310"/>
    </row>
    <row r="7490" spans="1:4" x14ac:dyDescent="0.25">
      <c r="A7490" s="418" t="s">
        <v>16712</v>
      </c>
      <c r="B7490">
        <v>60</v>
      </c>
      <c r="C7490" s="309"/>
      <c r="D7490" s="310"/>
    </row>
    <row r="7491" spans="1:4" x14ac:dyDescent="0.25">
      <c r="A7491" s="418" t="s">
        <v>14648</v>
      </c>
      <c r="B7491">
        <v>60</v>
      </c>
      <c r="C7491" s="309"/>
      <c r="D7491" s="310"/>
    </row>
    <row r="7492" spans="1:4" x14ac:dyDescent="0.25">
      <c r="A7492" s="418" t="s">
        <v>14649</v>
      </c>
      <c r="B7492">
        <v>60</v>
      </c>
      <c r="C7492" s="309"/>
      <c r="D7492" s="310"/>
    </row>
    <row r="7493" spans="1:4" x14ac:dyDescent="0.25">
      <c r="A7493" s="418" t="s">
        <v>14650</v>
      </c>
      <c r="B7493">
        <v>60</v>
      </c>
      <c r="C7493" s="309"/>
      <c r="D7493" s="310"/>
    </row>
    <row r="7494" spans="1:4" x14ac:dyDescent="0.25">
      <c r="A7494" s="418" t="s">
        <v>14651</v>
      </c>
      <c r="B7494">
        <v>59</v>
      </c>
      <c r="C7494" s="309"/>
      <c r="D7494" s="310"/>
    </row>
    <row r="7495" spans="1:4" x14ac:dyDescent="0.25">
      <c r="A7495" s="418" t="s">
        <v>14652</v>
      </c>
      <c r="B7495">
        <v>60</v>
      </c>
      <c r="C7495" s="309"/>
      <c r="D7495" s="310"/>
    </row>
    <row r="7496" spans="1:4" x14ac:dyDescent="0.25">
      <c r="A7496" s="418" t="s">
        <v>14653</v>
      </c>
      <c r="B7496">
        <v>60</v>
      </c>
      <c r="C7496" s="309"/>
      <c r="D7496" s="310"/>
    </row>
    <row r="7497" spans="1:4" x14ac:dyDescent="0.25">
      <c r="A7497" s="418" t="s">
        <v>14654</v>
      </c>
      <c r="B7497">
        <v>58</v>
      </c>
      <c r="C7497" s="309"/>
      <c r="D7497" s="310"/>
    </row>
    <row r="7498" spans="1:4" x14ac:dyDescent="0.25">
      <c r="A7498" s="418" t="s">
        <v>14655</v>
      </c>
      <c r="B7498">
        <v>59</v>
      </c>
      <c r="C7498" s="309"/>
      <c r="D7498" s="310"/>
    </row>
    <row r="7499" spans="1:4" x14ac:dyDescent="0.25">
      <c r="A7499" s="418" t="s">
        <v>14656</v>
      </c>
      <c r="B7499">
        <v>60</v>
      </c>
      <c r="C7499" s="309"/>
      <c r="D7499" s="310"/>
    </row>
    <row r="7500" spans="1:4" x14ac:dyDescent="0.25">
      <c r="A7500" s="418" t="s">
        <v>14657</v>
      </c>
      <c r="B7500">
        <v>54</v>
      </c>
      <c r="C7500" s="309"/>
      <c r="D7500" s="310"/>
    </row>
    <row r="7501" spans="1:4" x14ac:dyDescent="0.25">
      <c r="A7501" s="418" t="s">
        <v>14658</v>
      </c>
      <c r="B7501">
        <v>60</v>
      </c>
      <c r="C7501" s="309"/>
      <c r="D7501" s="310"/>
    </row>
    <row r="7502" spans="1:4" x14ac:dyDescent="0.25">
      <c r="A7502" s="418" t="s">
        <v>14659</v>
      </c>
      <c r="B7502">
        <v>58</v>
      </c>
      <c r="C7502" s="309"/>
      <c r="D7502" s="310"/>
    </row>
    <row r="7503" spans="1:4" x14ac:dyDescent="0.25">
      <c r="A7503" s="418" t="s">
        <v>14660</v>
      </c>
      <c r="B7503">
        <v>58</v>
      </c>
      <c r="C7503" s="309"/>
      <c r="D7503" s="310"/>
    </row>
    <row r="7504" spans="1:4" x14ac:dyDescent="0.25">
      <c r="A7504" s="418" t="s">
        <v>14661</v>
      </c>
      <c r="B7504">
        <v>58</v>
      </c>
      <c r="C7504" s="309"/>
      <c r="D7504" s="310"/>
    </row>
    <row r="7505" spans="1:4" x14ac:dyDescent="0.25">
      <c r="A7505" s="418" t="s">
        <v>14662</v>
      </c>
      <c r="B7505">
        <v>59</v>
      </c>
      <c r="C7505" s="309"/>
      <c r="D7505" s="310"/>
    </row>
    <row r="7506" spans="1:4" x14ac:dyDescent="0.25">
      <c r="A7506" s="418" t="s">
        <v>14663</v>
      </c>
      <c r="B7506">
        <v>56</v>
      </c>
      <c r="C7506" s="309"/>
      <c r="D7506" s="310"/>
    </row>
    <row r="7507" spans="1:4" x14ac:dyDescent="0.25">
      <c r="A7507" s="418" t="s">
        <v>14664</v>
      </c>
      <c r="B7507">
        <v>60</v>
      </c>
      <c r="C7507" s="309"/>
      <c r="D7507" s="310"/>
    </row>
    <row r="7508" spans="1:4" x14ac:dyDescent="0.25">
      <c r="A7508" s="418" t="s">
        <v>14665</v>
      </c>
      <c r="B7508">
        <v>54</v>
      </c>
      <c r="C7508" s="309"/>
      <c r="D7508" s="310"/>
    </row>
    <row r="7509" spans="1:4" x14ac:dyDescent="0.25">
      <c r="A7509" s="418" t="s">
        <v>14666</v>
      </c>
      <c r="B7509">
        <v>57</v>
      </c>
      <c r="C7509" s="309"/>
      <c r="D7509" s="310"/>
    </row>
    <row r="7510" spans="1:4" x14ac:dyDescent="0.25">
      <c r="A7510" s="418" t="s">
        <v>14667</v>
      </c>
      <c r="B7510">
        <v>60</v>
      </c>
      <c r="C7510" s="309"/>
      <c r="D7510" s="310"/>
    </row>
    <row r="7511" spans="1:4" x14ac:dyDescent="0.25">
      <c r="A7511" s="418" t="s">
        <v>14668</v>
      </c>
      <c r="B7511">
        <v>58</v>
      </c>
      <c r="C7511" s="309"/>
      <c r="D7511" s="310"/>
    </row>
    <row r="7512" spans="1:4" x14ac:dyDescent="0.25">
      <c r="A7512" s="418" t="s">
        <v>14669</v>
      </c>
      <c r="B7512">
        <v>60</v>
      </c>
      <c r="C7512" s="309"/>
      <c r="D7512" s="310"/>
    </row>
    <row r="7513" spans="1:4" x14ac:dyDescent="0.25">
      <c r="A7513" s="418" t="s">
        <v>14670</v>
      </c>
      <c r="B7513">
        <v>60</v>
      </c>
      <c r="C7513" s="309"/>
      <c r="D7513" s="310"/>
    </row>
    <row r="7514" spans="1:4" x14ac:dyDescent="0.25">
      <c r="A7514" s="418" t="s">
        <v>14671</v>
      </c>
      <c r="B7514">
        <v>58</v>
      </c>
      <c r="C7514" s="309"/>
      <c r="D7514" s="310"/>
    </row>
    <row r="7515" spans="1:4" x14ac:dyDescent="0.25">
      <c r="A7515" s="418" t="s">
        <v>14672</v>
      </c>
      <c r="B7515">
        <v>55</v>
      </c>
      <c r="C7515" s="309"/>
      <c r="D7515" s="310"/>
    </row>
    <row r="7516" spans="1:4" x14ac:dyDescent="0.25">
      <c r="A7516" s="418" t="s">
        <v>14673</v>
      </c>
      <c r="B7516">
        <v>55</v>
      </c>
      <c r="C7516" s="309"/>
      <c r="D7516" s="310"/>
    </row>
    <row r="7517" spans="1:4" x14ac:dyDescent="0.25">
      <c r="A7517" s="418" t="s">
        <v>14674</v>
      </c>
      <c r="B7517">
        <v>57</v>
      </c>
      <c r="C7517" s="309"/>
      <c r="D7517" s="310"/>
    </row>
    <row r="7518" spans="1:4" x14ac:dyDescent="0.25">
      <c r="A7518" s="418" t="s">
        <v>14675</v>
      </c>
      <c r="B7518">
        <v>55</v>
      </c>
      <c r="C7518" s="309"/>
      <c r="D7518" s="310"/>
    </row>
    <row r="7519" spans="1:4" x14ac:dyDescent="0.25">
      <c r="A7519" s="418" t="s">
        <v>14676</v>
      </c>
      <c r="B7519">
        <v>56</v>
      </c>
      <c r="C7519" s="309"/>
      <c r="D7519" s="310"/>
    </row>
    <row r="7520" spans="1:4" x14ac:dyDescent="0.25">
      <c r="A7520" s="418" t="s">
        <v>14677</v>
      </c>
      <c r="B7520">
        <v>57</v>
      </c>
      <c r="C7520" s="309"/>
      <c r="D7520" s="310"/>
    </row>
    <row r="7521" spans="1:4" x14ac:dyDescent="0.25">
      <c r="A7521" s="418" t="s">
        <v>14678</v>
      </c>
      <c r="B7521">
        <v>59</v>
      </c>
      <c r="C7521" s="309"/>
      <c r="D7521" s="310"/>
    </row>
    <row r="7522" spans="1:4" x14ac:dyDescent="0.25">
      <c r="A7522" s="418" t="s">
        <v>14679</v>
      </c>
      <c r="B7522">
        <v>60</v>
      </c>
      <c r="C7522" s="309"/>
      <c r="D7522" s="310"/>
    </row>
    <row r="7523" spans="1:4" x14ac:dyDescent="0.25">
      <c r="A7523" s="418" t="s">
        <v>17372</v>
      </c>
      <c r="B7523">
        <v>60</v>
      </c>
      <c r="C7523" s="309"/>
      <c r="D7523" s="310"/>
    </row>
    <row r="7524" spans="1:4" x14ac:dyDescent="0.25">
      <c r="A7524" s="418" t="s">
        <v>14680</v>
      </c>
      <c r="B7524">
        <v>58</v>
      </c>
      <c r="C7524" s="309"/>
      <c r="D7524" s="310"/>
    </row>
    <row r="7525" spans="1:4" x14ac:dyDescent="0.25">
      <c r="A7525" s="418" t="s">
        <v>14681</v>
      </c>
      <c r="B7525">
        <v>60</v>
      </c>
      <c r="C7525" s="309"/>
      <c r="D7525" s="310"/>
    </row>
    <row r="7526" spans="1:4" x14ac:dyDescent="0.25">
      <c r="A7526" s="418" t="s">
        <v>17373</v>
      </c>
      <c r="B7526">
        <v>56</v>
      </c>
      <c r="C7526" s="309"/>
      <c r="D7526" s="310"/>
    </row>
    <row r="7527" spans="1:4" x14ac:dyDescent="0.25">
      <c r="A7527" s="418" t="s">
        <v>14682</v>
      </c>
      <c r="B7527">
        <v>51</v>
      </c>
      <c r="C7527" s="309"/>
      <c r="D7527" s="310"/>
    </row>
    <row r="7528" spans="1:4" x14ac:dyDescent="0.25">
      <c r="A7528" s="418" t="s">
        <v>14683</v>
      </c>
      <c r="B7528">
        <v>48</v>
      </c>
      <c r="C7528" s="309"/>
      <c r="D7528" s="310"/>
    </row>
    <row r="7529" spans="1:4" x14ac:dyDescent="0.25">
      <c r="A7529" s="418" t="s">
        <v>14684</v>
      </c>
      <c r="B7529">
        <v>55</v>
      </c>
      <c r="C7529" s="309"/>
      <c r="D7529" s="310"/>
    </row>
    <row r="7530" spans="1:4" x14ac:dyDescent="0.25">
      <c r="A7530" s="418" t="s">
        <v>14685</v>
      </c>
      <c r="B7530">
        <v>58</v>
      </c>
      <c r="C7530" s="309"/>
      <c r="D7530" s="310"/>
    </row>
    <row r="7531" spans="1:4" x14ac:dyDescent="0.25">
      <c r="A7531" s="418" t="s">
        <v>14686</v>
      </c>
      <c r="B7531">
        <v>60</v>
      </c>
      <c r="C7531" s="309"/>
      <c r="D7531" s="310"/>
    </row>
    <row r="7532" spans="1:4" x14ac:dyDescent="0.25">
      <c r="A7532" s="418" t="s">
        <v>16713</v>
      </c>
      <c r="B7532">
        <v>59</v>
      </c>
      <c r="C7532" s="309"/>
      <c r="D7532" s="310"/>
    </row>
    <row r="7533" spans="1:4" x14ac:dyDescent="0.25">
      <c r="A7533" s="418" t="s">
        <v>14687</v>
      </c>
      <c r="B7533">
        <v>60</v>
      </c>
      <c r="C7533" s="309"/>
      <c r="D7533" s="310"/>
    </row>
    <row r="7534" spans="1:4" x14ac:dyDescent="0.25">
      <c r="A7534" s="418" t="s">
        <v>14688</v>
      </c>
      <c r="B7534">
        <v>60</v>
      </c>
      <c r="C7534" s="309"/>
      <c r="D7534" s="310"/>
    </row>
    <row r="7535" spans="1:4" x14ac:dyDescent="0.25">
      <c r="A7535" s="418" t="s">
        <v>14689</v>
      </c>
      <c r="B7535">
        <v>59</v>
      </c>
      <c r="C7535" s="309"/>
      <c r="D7535" s="310"/>
    </row>
    <row r="7536" spans="1:4" x14ac:dyDescent="0.25">
      <c r="A7536" s="418" t="s">
        <v>14690</v>
      </c>
      <c r="B7536">
        <v>57</v>
      </c>
      <c r="C7536" s="309"/>
      <c r="D7536" s="310"/>
    </row>
    <row r="7537" spans="1:4" x14ac:dyDescent="0.25">
      <c r="A7537" s="418" t="s">
        <v>14691</v>
      </c>
      <c r="B7537">
        <v>47</v>
      </c>
      <c r="C7537" s="309"/>
      <c r="D7537" s="310"/>
    </row>
    <row r="7538" spans="1:4" x14ac:dyDescent="0.25">
      <c r="A7538" s="418" t="s">
        <v>14692</v>
      </c>
      <c r="B7538">
        <v>60</v>
      </c>
      <c r="C7538" s="309"/>
      <c r="D7538" s="310"/>
    </row>
    <row r="7539" spans="1:4" x14ac:dyDescent="0.25">
      <c r="A7539" s="418" t="s">
        <v>14693</v>
      </c>
      <c r="B7539">
        <v>55</v>
      </c>
      <c r="C7539" s="309"/>
      <c r="D7539" s="310"/>
    </row>
    <row r="7540" spans="1:4" x14ac:dyDescent="0.25">
      <c r="A7540" s="418" t="s">
        <v>14694</v>
      </c>
      <c r="B7540">
        <v>60</v>
      </c>
      <c r="C7540" s="309"/>
      <c r="D7540" s="310"/>
    </row>
    <row r="7541" spans="1:4" x14ac:dyDescent="0.25">
      <c r="A7541" s="418" t="s">
        <v>14695</v>
      </c>
      <c r="B7541">
        <v>60</v>
      </c>
      <c r="C7541" s="309"/>
      <c r="D7541" s="310"/>
    </row>
    <row r="7542" spans="1:4" x14ac:dyDescent="0.25">
      <c r="A7542" s="418" t="s">
        <v>14696</v>
      </c>
      <c r="B7542">
        <v>60</v>
      </c>
      <c r="C7542" s="309"/>
      <c r="D7542" s="310"/>
    </row>
    <row r="7543" spans="1:4" x14ac:dyDescent="0.25">
      <c r="A7543" s="418" t="s">
        <v>14697</v>
      </c>
      <c r="B7543">
        <v>58</v>
      </c>
      <c r="C7543" s="309"/>
      <c r="D7543" s="310"/>
    </row>
    <row r="7544" spans="1:4" x14ac:dyDescent="0.25">
      <c r="A7544" s="418" t="s">
        <v>14698</v>
      </c>
      <c r="B7544">
        <v>56</v>
      </c>
      <c r="C7544" s="309"/>
      <c r="D7544" s="310"/>
    </row>
    <row r="7545" spans="1:4" x14ac:dyDescent="0.25">
      <c r="A7545" s="418" t="s">
        <v>14699</v>
      </c>
      <c r="B7545">
        <v>58</v>
      </c>
      <c r="C7545" s="309"/>
      <c r="D7545" s="310"/>
    </row>
    <row r="7546" spans="1:4" x14ac:dyDescent="0.25">
      <c r="A7546" s="418" t="s">
        <v>14700</v>
      </c>
      <c r="B7546">
        <v>49</v>
      </c>
      <c r="C7546" s="309"/>
      <c r="D7546" s="310"/>
    </row>
    <row r="7547" spans="1:4" x14ac:dyDescent="0.25">
      <c r="A7547" s="418" t="s">
        <v>17374</v>
      </c>
      <c r="B7547">
        <v>58</v>
      </c>
      <c r="C7547" s="309"/>
      <c r="D7547" s="310"/>
    </row>
    <row r="7548" spans="1:4" x14ac:dyDescent="0.25">
      <c r="A7548" s="418" t="s">
        <v>14701</v>
      </c>
      <c r="B7548">
        <v>60</v>
      </c>
      <c r="C7548" s="309"/>
      <c r="D7548" s="310"/>
    </row>
    <row r="7549" spans="1:4" x14ac:dyDescent="0.25">
      <c r="A7549" s="418" t="s">
        <v>14702</v>
      </c>
      <c r="B7549">
        <v>59</v>
      </c>
      <c r="C7549" s="309"/>
      <c r="D7549" s="310"/>
    </row>
    <row r="7550" spans="1:4" x14ac:dyDescent="0.25">
      <c r="A7550" s="418" t="s">
        <v>14703</v>
      </c>
      <c r="B7550">
        <v>47</v>
      </c>
      <c r="C7550" s="309"/>
      <c r="D7550" s="310"/>
    </row>
    <row r="7551" spans="1:4" x14ac:dyDescent="0.25">
      <c r="A7551" s="418" t="s">
        <v>14704</v>
      </c>
      <c r="B7551">
        <v>59</v>
      </c>
      <c r="C7551" s="309"/>
      <c r="D7551" s="310"/>
    </row>
    <row r="7552" spans="1:4" x14ac:dyDescent="0.25">
      <c r="A7552" s="418" t="s">
        <v>14705</v>
      </c>
      <c r="B7552">
        <v>59</v>
      </c>
      <c r="C7552" s="309"/>
      <c r="D7552" s="310"/>
    </row>
    <row r="7553" spans="1:4" x14ac:dyDescent="0.25">
      <c r="A7553" s="418" t="s">
        <v>14706</v>
      </c>
      <c r="B7553">
        <v>60</v>
      </c>
      <c r="C7553" s="309"/>
      <c r="D7553" s="310"/>
    </row>
    <row r="7554" spans="1:4" x14ac:dyDescent="0.25">
      <c r="A7554" s="418" t="s">
        <v>14707</v>
      </c>
      <c r="B7554">
        <v>53</v>
      </c>
      <c r="C7554" s="309"/>
      <c r="D7554" s="310"/>
    </row>
    <row r="7555" spans="1:4" x14ac:dyDescent="0.25">
      <c r="A7555" s="418" t="s">
        <v>14708</v>
      </c>
      <c r="B7555">
        <v>60</v>
      </c>
      <c r="C7555" s="309"/>
      <c r="D7555" s="310"/>
    </row>
    <row r="7556" spans="1:4" x14ac:dyDescent="0.25">
      <c r="A7556" s="418" t="s">
        <v>14709</v>
      </c>
      <c r="B7556">
        <v>57</v>
      </c>
      <c r="C7556" s="309"/>
      <c r="D7556" s="310"/>
    </row>
    <row r="7557" spans="1:4" x14ac:dyDescent="0.25">
      <c r="A7557" s="418" t="s">
        <v>14710</v>
      </c>
      <c r="B7557">
        <v>58</v>
      </c>
      <c r="C7557" s="309"/>
      <c r="D7557" s="310"/>
    </row>
    <row r="7558" spans="1:4" x14ac:dyDescent="0.25">
      <c r="A7558" s="418" t="s">
        <v>14711</v>
      </c>
      <c r="B7558">
        <v>60</v>
      </c>
      <c r="C7558" s="309"/>
      <c r="D7558" s="310"/>
    </row>
    <row r="7559" spans="1:4" x14ac:dyDescent="0.25">
      <c r="A7559" s="418" t="s">
        <v>14712</v>
      </c>
      <c r="B7559">
        <v>60</v>
      </c>
      <c r="C7559" s="309"/>
      <c r="D7559" s="310"/>
    </row>
    <row r="7560" spans="1:4" x14ac:dyDescent="0.25">
      <c r="A7560" s="418" t="s">
        <v>14713</v>
      </c>
      <c r="B7560">
        <v>59</v>
      </c>
      <c r="C7560" s="309"/>
      <c r="D7560" s="310"/>
    </row>
    <row r="7561" spans="1:4" x14ac:dyDescent="0.25">
      <c r="A7561" s="418" t="s">
        <v>14714</v>
      </c>
      <c r="B7561">
        <v>60</v>
      </c>
      <c r="C7561" s="309"/>
      <c r="D7561" s="310"/>
    </row>
    <row r="7562" spans="1:4" x14ac:dyDescent="0.25">
      <c r="A7562" s="418" t="s">
        <v>14715</v>
      </c>
      <c r="B7562">
        <v>56</v>
      </c>
      <c r="C7562" s="309"/>
      <c r="D7562" s="310"/>
    </row>
    <row r="7563" spans="1:4" x14ac:dyDescent="0.25">
      <c r="A7563" s="418" t="s">
        <v>15203</v>
      </c>
      <c r="B7563">
        <v>59</v>
      </c>
      <c r="C7563" s="309"/>
      <c r="D7563" s="310"/>
    </row>
    <row r="7564" spans="1:4" x14ac:dyDescent="0.25">
      <c r="A7564" s="418" t="s">
        <v>14716</v>
      </c>
      <c r="B7564">
        <v>55</v>
      </c>
      <c r="C7564" s="309"/>
      <c r="D7564" s="310"/>
    </row>
    <row r="7565" spans="1:4" x14ac:dyDescent="0.25">
      <c r="A7565" s="418" t="s">
        <v>16960</v>
      </c>
      <c r="B7565">
        <v>52</v>
      </c>
      <c r="C7565" s="309"/>
      <c r="D7565" s="310"/>
    </row>
    <row r="7566" spans="1:4" x14ac:dyDescent="0.25">
      <c r="A7566" s="418" t="s">
        <v>14717</v>
      </c>
      <c r="B7566">
        <v>55</v>
      </c>
      <c r="C7566" s="309"/>
      <c r="D7566" s="310"/>
    </row>
    <row r="7567" spans="1:4" x14ac:dyDescent="0.25">
      <c r="A7567" s="418" t="s">
        <v>14718</v>
      </c>
      <c r="B7567">
        <v>57</v>
      </c>
      <c r="C7567" s="309"/>
      <c r="D7567" s="310"/>
    </row>
    <row r="7568" spans="1:4" x14ac:dyDescent="0.25">
      <c r="A7568" s="418" t="s">
        <v>14719</v>
      </c>
      <c r="B7568">
        <v>59</v>
      </c>
      <c r="C7568" s="309"/>
      <c r="D7568" s="310"/>
    </row>
    <row r="7569" spans="1:4" x14ac:dyDescent="0.25">
      <c r="A7569" s="418" t="s">
        <v>14720</v>
      </c>
      <c r="B7569">
        <v>55</v>
      </c>
      <c r="C7569" s="309"/>
      <c r="D7569" s="310"/>
    </row>
    <row r="7570" spans="1:4" x14ac:dyDescent="0.25">
      <c r="A7570" s="418" t="s">
        <v>14721</v>
      </c>
      <c r="B7570">
        <v>57</v>
      </c>
      <c r="C7570" s="309"/>
      <c r="D7570" s="310"/>
    </row>
    <row r="7571" spans="1:4" x14ac:dyDescent="0.25">
      <c r="A7571" s="418" t="s">
        <v>14722</v>
      </c>
      <c r="B7571">
        <v>55</v>
      </c>
      <c r="C7571" s="309"/>
      <c r="D7571" s="310"/>
    </row>
    <row r="7572" spans="1:4" x14ac:dyDescent="0.25">
      <c r="A7572" s="418" t="s">
        <v>14723</v>
      </c>
      <c r="B7572">
        <v>60</v>
      </c>
      <c r="C7572" s="309"/>
      <c r="D7572" s="310"/>
    </row>
    <row r="7573" spans="1:4" x14ac:dyDescent="0.25">
      <c r="A7573" s="418" t="s">
        <v>14724</v>
      </c>
      <c r="B7573">
        <v>56</v>
      </c>
      <c r="C7573" s="309"/>
      <c r="D7573" s="310"/>
    </row>
    <row r="7574" spans="1:4" x14ac:dyDescent="0.25">
      <c r="A7574" s="418" t="s">
        <v>14725</v>
      </c>
      <c r="B7574">
        <v>57</v>
      </c>
      <c r="C7574" s="309"/>
      <c r="D7574" s="310"/>
    </row>
    <row r="7575" spans="1:4" x14ac:dyDescent="0.25">
      <c r="A7575" s="418" t="s">
        <v>14726</v>
      </c>
      <c r="B7575">
        <v>60</v>
      </c>
      <c r="C7575" s="309"/>
      <c r="D7575" s="310"/>
    </row>
    <row r="7576" spans="1:4" x14ac:dyDescent="0.25">
      <c r="A7576" s="418" t="s">
        <v>14727</v>
      </c>
      <c r="B7576">
        <v>57</v>
      </c>
      <c r="C7576" s="309"/>
      <c r="D7576" s="310"/>
    </row>
    <row r="7577" spans="1:4" x14ac:dyDescent="0.25">
      <c r="A7577" s="418" t="s">
        <v>14728</v>
      </c>
      <c r="B7577">
        <v>57</v>
      </c>
      <c r="C7577" s="309"/>
      <c r="D7577" s="310"/>
    </row>
    <row r="7578" spans="1:4" x14ac:dyDescent="0.25">
      <c r="A7578" s="418" t="s">
        <v>17375</v>
      </c>
      <c r="B7578">
        <v>59</v>
      </c>
      <c r="C7578" s="309"/>
      <c r="D7578" s="310"/>
    </row>
    <row r="7579" spans="1:4" x14ac:dyDescent="0.25">
      <c r="A7579" s="418" t="s">
        <v>14729</v>
      </c>
      <c r="B7579">
        <v>52</v>
      </c>
      <c r="C7579" s="309"/>
      <c r="D7579" s="310"/>
    </row>
    <row r="7580" spans="1:4" x14ac:dyDescent="0.25">
      <c r="A7580" s="418" t="s">
        <v>14730</v>
      </c>
      <c r="B7580">
        <v>50</v>
      </c>
      <c r="C7580" s="309"/>
      <c r="D7580" s="310"/>
    </row>
    <row r="7581" spans="1:4" x14ac:dyDescent="0.25">
      <c r="A7581" s="418" t="s">
        <v>14731</v>
      </c>
      <c r="B7581">
        <v>58</v>
      </c>
      <c r="C7581" s="309"/>
      <c r="D7581" s="310"/>
    </row>
    <row r="7582" spans="1:4" x14ac:dyDescent="0.25">
      <c r="A7582" s="418" t="s">
        <v>14732</v>
      </c>
      <c r="B7582">
        <v>52</v>
      </c>
      <c r="C7582" s="309"/>
      <c r="D7582" s="310"/>
    </row>
    <row r="7583" spans="1:4" x14ac:dyDescent="0.25">
      <c r="A7583" s="418" t="s">
        <v>16177</v>
      </c>
      <c r="B7583">
        <v>57</v>
      </c>
      <c r="C7583" s="309"/>
      <c r="D7583" s="310"/>
    </row>
    <row r="7584" spans="1:4" x14ac:dyDescent="0.25">
      <c r="A7584" s="418" t="s">
        <v>14733</v>
      </c>
      <c r="B7584">
        <v>57</v>
      </c>
      <c r="C7584" s="309"/>
      <c r="D7584" s="310"/>
    </row>
    <row r="7585" spans="1:4" x14ac:dyDescent="0.25">
      <c r="A7585" s="418" t="s">
        <v>17376</v>
      </c>
      <c r="B7585">
        <v>54</v>
      </c>
      <c r="C7585" s="309"/>
      <c r="D7585" s="310"/>
    </row>
    <row r="7586" spans="1:4" x14ac:dyDescent="0.25">
      <c r="A7586" s="418" t="s">
        <v>14734</v>
      </c>
      <c r="B7586">
        <v>57</v>
      </c>
      <c r="C7586" s="309"/>
      <c r="D7586" s="310"/>
    </row>
    <row r="7587" spans="1:4" x14ac:dyDescent="0.25">
      <c r="A7587" s="418" t="s">
        <v>14735</v>
      </c>
      <c r="B7587">
        <v>58</v>
      </c>
      <c r="C7587" s="309"/>
      <c r="D7587" s="310"/>
    </row>
    <row r="7588" spans="1:4" x14ac:dyDescent="0.25">
      <c r="A7588" s="418" t="s">
        <v>16961</v>
      </c>
      <c r="B7588">
        <v>58</v>
      </c>
      <c r="C7588" s="309"/>
      <c r="D7588" s="310"/>
    </row>
    <row r="7589" spans="1:4" x14ac:dyDescent="0.25">
      <c r="A7589" s="418" t="s">
        <v>15965</v>
      </c>
      <c r="B7589">
        <v>57</v>
      </c>
      <c r="C7589" s="309"/>
      <c r="D7589" s="310"/>
    </row>
    <row r="7590" spans="1:4" x14ac:dyDescent="0.25">
      <c r="A7590" s="418" t="s">
        <v>16714</v>
      </c>
      <c r="B7590">
        <v>60</v>
      </c>
      <c r="C7590" s="309"/>
      <c r="D7590" s="310"/>
    </row>
    <row r="7591" spans="1:4" x14ac:dyDescent="0.25">
      <c r="A7591" s="418" t="s">
        <v>14736</v>
      </c>
      <c r="B7591">
        <v>57</v>
      </c>
      <c r="C7591" s="309"/>
      <c r="D7591" s="310"/>
    </row>
    <row r="7592" spans="1:4" x14ac:dyDescent="0.25">
      <c r="A7592" s="418" t="s">
        <v>14737</v>
      </c>
      <c r="B7592">
        <v>59</v>
      </c>
      <c r="C7592" s="309"/>
      <c r="D7592" s="310"/>
    </row>
    <row r="7593" spans="1:4" x14ac:dyDescent="0.25">
      <c r="A7593" s="418" t="s">
        <v>14738</v>
      </c>
      <c r="B7593">
        <v>60</v>
      </c>
      <c r="C7593" s="309"/>
      <c r="D7593" s="310"/>
    </row>
    <row r="7594" spans="1:4" x14ac:dyDescent="0.25">
      <c r="A7594" s="418" t="s">
        <v>14739</v>
      </c>
      <c r="B7594">
        <v>59</v>
      </c>
      <c r="C7594" s="309"/>
      <c r="D7594" s="310"/>
    </row>
    <row r="7595" spans="1:4" x14ac:dyDescent="0.25">
      <c r="A7595" s="418" t="s">
        <v>14740</v>
      </c>
      <c r="B7595">
        <v>58</v>
      </c>
      <c r="C7595" s="309"/>
      <c r="D7595" s="310"/>
    </row>
    <row r="7596" spans="1:4" x14ac:dyDescent="0.25">
      <c r="A7596" s="418" t="s">
        <v>14741</v>
      </c>
      <c r="B7596">
        <v>58</v>
      </c>
      <c r="C7596" s="309"/>
      <c r="D7596" s="310"/>
    </row>
    <row r="7597" spans="1:4" x14ac:dyDescent="0.25">
      <c r="A7597" s="418" t="s">
        <v>14742</v>
      </c>
      <c r="B7597">
        <v>58</v>
      </c>
      <c r="C7597" s="309"/>
      <c r="D7597" s="310"/>
    </row>
    <row r="7598" spans="1:4" x14ac:dyDescent="0.25">
      <c r="A7598" s="418" t="s">
        <v>14743</v>
      </c>
      <c r="B7598">
        <v>53</v>
      </c>
      <c r="C7598" s="309"/>
      <c r="D7598" s="310"/>
    </row>
    <row r="7599" spans="1:4" x14ac:dyDescent="0.25">
      <c r="A7599" s="418" t="s">
        <v>14744</v>
      </c>
      <c r="B7599">
        <v>59</v>
      </c>
      <c r="C7599" s="309"/>
      <c r="D7599" s="310"/>
    </row>
    <row r="7600" spans="1:4" x14ac:dyDescent="0.25">
      <c r="A7600" s="418" t="s">
        <v>16715</v>
      </c>
      <c r="B7600">
        <v>60</v>
      </c>
      <c r="C7600" s="309"/>
      <c r="D7600" s="310"/>
    </row>
    <row r="7601" spans="1:4" x14ac:dyDescent="0.25">
      <c r="A7601" s="418" t="s">
        <v>14745</v>
      </c>
      <c r="B7601">
        <v>57</v>
      </c>
      <c r="C7601" s="309"/>
      <c r="D7601" s="310"/>
    </row>
    <row r="7602" spans="1:4" x14ac:dyDescent="0.25">
      <c r="A7602" s="418" t="s">
        <v>14746</v>
      </c>
      <c r="B7602">
        <v>57</v>
      </c>
      <c r="C7602" s="309"/>
      <c r="D7602" s="310"/>
    </row>
    <row r="7603" spans="1:4" x14ac:dyDescent="0.25">
      <c r="A7603" s="418" t="s">
        <v>14747</v>
      </c>
      <c r="B7603">
        <v>59</v>
      </c>
      <c r="C7603" s="309"/>
      <c r="D7603" s="310"/>
    </row>
    <row r="7604" spans="1:4" x14ac:dyDescent="0.25">
      <c r="A7604" s="418" t="s">
        <v>14748</v>
      </c>
      <c r="B7604">
        <v>52</v>
      </c>
      <c r="C7604" s="309"/>
      <c r="D7604" s="310"/>
    </row>
    <row r="7605" spans="1:4" x14ac:dyDescent="0.25">
      <c r="A7605" s="418" t="s">
        <v>14749</v>
      </c>
      <c r="B7605">
        <v>52</v>
      </c>
      <c r="C7605" s="309"/>
      <c r="D7605" s="310"/>
    </row>
    <row r="7606" spans="1:4" x14ac:dyDescent="0.25">
      <c r="A7606" s="418" t="s">
        <v>16306</v>
      </c>
      <c r="B7606">
        <v>58</v>
      </c>
      <c r="C7606" s="309"/>
      <c r="D7606" s="310"/>
    </row>
    <row r="7607" spans="1:4" x14ac:dyDescent="0.25">
      <c r="A7607" s="418" t="s">
        <v>14750</v>
      </c>
      <c r="B7607">
        <v>60</v>
      </c>
      <c r="C7607" s="309"/>
      <c r="D7607" s="310"/>
    </row>
    <row r="7608" spans="1:4" x14ac:dyDescent="0.25">
      <c r="A7608" s="418" t="s">
        <v>14751</v>
      </c>
      <c r="B7608">
        <v>57</v>
      </c>
      <c r="C7608" s="309"/>
      <c r="D7608" s="310"/>
    </row>
    <row r="7609" spans="1:4" x14ac:dyDescent="0.25">
      <c r="A7609" s="418" t="s">
        <v>14752</v>
      </c>
      <c r="B7609">
        <v>58</v>
      </c>
      <c r="C7609" s="309"/>
      <c r="D7609" s="310"/>
    </row>
    <row r="7610" spans="1:4" x14ac:dyDescent="0.25">
      <c r="A7610" s="418" t="s">
        <v>14753</v>
      </c>
      <c r="B7610">
        <v>58</v>
      </c>
      <c r="C7610" s="309"/>
      <c r="D7610" s="310"/>
    </row>
    <row r="7611" spans="1:4" x14ac:dyDescent="0.25">
      <c r="A7611" s="418" t="s">
        <v>14754</v>
      </c>
      <c r="B7611">
        <v>57</v>
      </c>
      <c r="C7611" s="309"/>
      <c r="D7611" s="310"/>
    </row>
    <row r="7612" spans="1:4" x14ac:dyDescent="0.25">
      <c r="A7612" s="418" t="s">
        <v>14755</v>
      </c>
      <c r="B7612">
        <v>60</v>
      </c>
      <c r="C7612" s="309"/>
      <c r="D7612" s="310"/>
    </row>
    <row r="7613" spans="1:4" x14ac:dyDescent="0.25">
      <c r="A7613" s="418" t="s">
        <v>14756</v>
      </c>
      <c r="B7613">
        <v>56</v>
      </c>
      <c r="C7613" s="309"/>
      <c r="D7613" s="310"/>
    </row>
    <row r="7614" spans="1:4" x14ac:dyDescent="0.25">
      <c r="A7614" s="418" t="s">
        <v>14757</v>
      </c>
      <c r="B7614">
        <v>57</v>
      </c>
      <c r="C7614" s="309"/>
      <c r="D7614" s="310"/>
    </row>
    <row r="7615" spans="1:4" x14ac:dyDescent="0.25">
      <c r="A7615" s="418" t="s">
        <v>14758</v>
      </c>
      <c r="B7615">
        <v>57</v>
      </c>
      <c r="C7615" s="309"/>
      <c r="D7615" s="310"/>
    </row>
    <row r="7616" spans="1:4" x14ac:dyDescent="0.25">
      <c r="A7616" s="418" t="s">
        <v>16307</v>
      </c>
      <c r="B7616">
        <v>56</v>
      </c>
      <c r="C7616" s="309"/>
      <c r="D7616" s="310"/>
    </row>
    <row r="7617" spans="1:4" x14ac:dyDescent="0.25">
      <c r="A7617" s="418" t="s">
        <v>17377</v>
      </c>
      <c r="B7617">
        <v>60</v>
      </c>
      <c r="C7617" s="309"/>
      <c r="D7617" s="310"/>
    </row>
    <row r="7618" spans="1:4" x14ac:dyDescent="0.25">
      <c r="A7618" s="418" t="s">
        <v>14759</v>
      </c>
      <c r="B7618">
        <v>56</v>
      </c>
      <c r="C7618" s="309"/>
      <c r="D7618" s="310"/>
    </row>
    <row r="7619" spans="1:4" x14ac:dyDescent="0.25">
      <c r="A7619" s="418" t="s">
        <v>14760</v>
      </c>
      <c r="B7619">
        <v>59</v>
      </c>
      <c r="C7619" s="309"/>
      <c r="D7619" s="310"/>
    </row>
    <row r="7620" spans="1:4" x14ac:dyDescent="0.25">
      <c r="A7620" s="418" t="s">
        <v>14761</v>
      </c>
      <c r="B7620">
        <v>60</v>
      </c>
      <c r="C7620" s="309"/>
      <c r="D7620" s="310"/>
    </row>
    <row r="7621" spans="1:4" x14ac:dyDescent="0.25">
      <c r="A7621" s="418" t="s">
        <v>14762</v>
      </c>
      <c r="B7621">
        <v>60</v>
      </c>
      <c r="C7621" s="309"/>
      <c r="D7621" s="310"/>
    </row>
    <row r="7622" spans="1:4" x14ac:dyDescent="0.25">
      <c r="A7622" s="418" t="s">
        <v>14763</v>
      </c>
      <c r="B7622">
        <v>60</v>
      </c>
      <c r="C7622" s="309"/>
      <c r="D7622" s="310"/>
    </row>
    <row r="7623" spans="1:4" x14ac:dyDescent="0.25">
      <c r="A7623" s="418" t="s">
        <v>14764</v>
      </c>
      <c r="B7623">
        <v>59</v>
      </c>
      <c r="C7623" s="309"/>
      <c r="D7623" s="310"/>
    </row>
    <row r="7624" spans="1:4" x14ac:dyDescent="0.25">
      <c r="A7624" s="418" t="s">
        <v>17378</v>
      </c>
      <c r="B7624">
        <v>59</v>
      </c>
      <c r="C7624" s="309"/>
      <c r="D7624" s="310"/>
    </row>
    <row r="7625" spans="1:4" x14ac:dyDescent="0.25">
      <c r="A7625" s="418" t="s">
        <v>14765</v>
      </c>
      <c r="B7625">
        <v>56</v>
      </c>
      <c r="C7625" s="309"/>
      <c r="D7625" s="310"/>
    </row>
    <row r="7626" spans="1:4" x14ac:dyDescent="0.25">
      <c r="A7626" s="418" t="s">
        <v>14766</v>
      </c>
      <c r="B7626">
        <v>60</v>
      </c>
      <c r="C7626" s="309"/>
      <c r="D7626" s="310"/>
    </row>
    <row r="7627" spans="1:4" x14ac:dyDescent="0.25">
      <c r="A7627" s="418" t="s">
        <v>14767</v>
      </c>
      <c r="B7627">
        <v>57</v>
      </c>
      <c r="C7627" s="309"/>
      <c r="D7627" s="310"/>
    </row>
    <row r="7628" spans="1:4" x14ac:dyDescent="0.25">
      <c r="A7628" s="418" t="s">
        <v>14768</v>
      </c>
      <c r="B7628">
        <v>58</v>
      </c>
      <c r="C7628" s="309"/>
      <c r="D7628" s="310"/>
    </row>
    <row r="7629" spans="1:4" x14ac:dyDescent="0.25">
      <c r="A7629" s="418" t="s">
        <v>14769</v>
      </c>
      <c r="B7629">
        <v>56</v>
      </c>
      <c r="C7629" s="309"/>
      <c r="D7629" s="310"/>
    </row>
    <row r="7630" spans="1:4" x14ac:dyDescent="0.25">
      <c r="A7630" s="418" t="s">
        <v>14770</v>
      </c>
      <c r="B7630">
        <v>58</v>
      </c>
      <c r="C7630" s="309"/>
      <c r="D7630" s="310"/>
    </row>
    <row r="7631" spans="1:4" x14ac:dyDescent="0.25">
      <c r="A7631" s="418" t="s">
        <v>16227</v>
      </c>
      <c r="B7631">
        <v>59</v>
      </c>
      <c r="C7631" s="309"/>
      <c r="D7631" s="310"/>
    </row>
    <row r="7632" spans="1:4" x14ac:dyDescent="0.25">
      <c r="A7632" s="418" t="s">
        <v>14771</v>
      </c>
      <c r="B7632">
        <v>60</v>
      </c>
      <c r="C7632" s="309"/>
      <c r="D7632" s="310"/>
    </row>
    <row r="7633" spans="1:4" x14ac:dyDescent="0.25">
      <c r="A7633" s="418" t="s">
        <v>17379</v>
      </c>
      <c r="B7633">
        <v>55</v>
      </c>
      <c r="C7633" s="309"/>
      <c r="D7633" s="310"/>
    </row>
    <row r="7634" spans="1:4" x14ac:dyDescent="0.25">
      <c r="A7634" s="418" t="s">
        <v>14772</v>
      </c>
      <c r="B7634">
        <v>60</v>
      </c>
      <c r="C7634" s="309"/>
      <c r="D7634" s="310"/>
    </row>
    <row r="7635" spans="1:4" x14ac:dyDescent="0.25">
      <c r="A7635" s="418" t="s">
        <v>14773</v>
      </c>
      <c r="B7635">
        <v>52</v>
      </c>
      <c r="C7635" s="309"/>
      <c r="D7635" s="310"/>
    </row>
    <row r="7636" spans="1:4" x14ac:dyDescent="0.25">
      <c r="A7636" s="418" t="s">
        <v>14774</v>
      </c>
      <c r="B7636">
        <v>60</v>
      </c>
      <c r="C7636" s="309"/>
      <c r="D7636" s="310"/>
    </row>
    <row r="7637" spans="1:4" x14ac:dyDescent="0.25">
      <c r="A7637" s="418" t="s">
        <v>14775</v>
      </c>
      <c r="B7637">
        <v>57</v>
      </c>
      <c r="C7637" s="309"/>
      <c r="D7637" s="310"/>
    </row>
    <row r="7638" spans="1:4" x14ac:dyDescent="0.25">
      <c r="A7638" s="418" t="s">
        <v>16716</v>
      </c>
      <c r="B7638">
        <v>56</v>
      </c>
      <c r="C7638" s="309"/>
      <c r="D7638" s="310"/>
    </row>
    <row r="7639" spans="1:4" x14ac:dyDescent="0.25">
      <c r="A7639" s="418" t="s">
        <v>16717</v>
      </c>
      <c r="B7639">
        <v>58</v>
      </c>
      <c r="C7639" s="309"/>
      <c r="D7639" s="310"/>
    </row>
    <row r="7640" spans="1:4" x14ac:dyDescent="0.25">
      <c r="A7640" s="418" t="s">
        <v>14776</v>
      </c>
      <c r="B7640">
        <v>54</v>
      </c>
      <c r="C7640" s="309"/>
      <c r="D7640" s="310"/>
    </row>
    <row r="7641" spans="1:4" x14ac:dyDescent="0.25">
      <c r="A7641" s="418" t="s">
        <v>16718</v>
      </c>
      <c r="B7641">
        <v>59</v>
      </c>
      <c r="C7641" s="309"/>
      <c r="D7641" s="310"/>
    </row>
    <row r="7642" spans="1:4" x14ac:dyDescent="0.25">
      <c r="A7642" s="418" t="s">
        <v>17380</v>
      </c>
      <c r="B7642">
        <v>57</v>
      </c>
      <c r="C7642" s="309"/>
      <c r="D7642" s="310"/>
    </row>
    <row r="7643" spans="1:4" x14ac:dyDescent="0.25">
      <c r="A7643" s="418" t="s">
        <v>16719</v>
      </c>
      <c r="B7643">
        <v>60</v>
      </c>
      <c r="C7643" s="309"/>
      <c r="D7643" s="310"/>
    </row>
    <row r="7644" spans="1:4" x14ac:dyDescent="0.25">
      <c r="A7644" s="418" t="s">
        <v>14777</v>
      </c>
      <c r="B7644">
        <v>60</v>
      </c>
      <c r="C7644" s="309"/>
      <c r="D7644" s="310"/>
    </row>
    <row r="7645" spans="1:4" x14ac:dyDescent="0.25">
      <c r="A7645" s="418" t="s">
        <v>14778</v>
      </c>
      <c r="B7645">
        <v>60</v>
      </c>
      <c r="C7645" s="309"/>
      <c r="D7645" s="310"/>
    </row>
    <row r="7646" spans="1:4" x14ac:dyDescent="0.25">
      <c r="A7646" s="418" t="s">
        <v>16720</v>
      </c>
      <c r="B7646">
        <v>59</v>
      </c>
      <c r="C7646" s="309"/>
      <c r="D7646" s="310"/>
    </row>
    <row r="7647" spans="1:4" x14ac:dyDescent="0.25">
      <c r="A7647" s="418" t="s">
        <v>14779</v>
      </c>
      <c r="B7647">
        <v>60</v>
      </c>
      <c r="C7647" s="309"/>
      <c r="D7647" s="310"/>
    </row>
    <row r="7648" spans="1:4" x14ac:dyDescent="0.25">
      <c r="A7648" s="418" t="s">
        <v>15337</v>
      </c>
      <c r="B7648">
        <v>57</v>
      </c>
      <c r="C7648" s="309"/>
      <c r="D7648" s="310"/>
    </row>
    <row r="7649" spans="1:4" x14ac:dyDescent="0.25">
      <c r="A7649" s="418" t="s">
        <v>14780</v>
      </c>
      <c r="B7649">
        <v>58</v>
      </c>
      <c r="C7649" s="309"/>
      <c r="D7649" s="310"/>
    </row>
    <row r="7650" spans="1:4" x14ac:dyDescent="0.25">
      <c r="A7650" s="418" t="s">
        <v>14781</v>
      </c>
      <c r="B7650">
        <v>58</v>
      </c>
      <c r="C7650" s="309"/>
      <c r="D7650" s="310"/>
    </row>
    <row r="7651" spans="1:4" x14ac:dyDescent="0.25">
      <c r="A7651" s="418" t="s">
        <v>17381</v>
      </c>
      <c r="B7651">
        <v>58</v>
      </c>
      <c r="C7651" s="309"/>
      <c r="D7651" s="310"/>
    </row>
    <row r="7652" spans="1:4" x14ac:dyDescent="0.25">
      <c r="A7652" s="418" t="s">
        <v>14782</v>
      </c>
      <c r="B7652">
        <v>60</v>
      </c>
      <c r="C7652" s="309"/>
      <c r="D7652" s="310"/>
    </row>
    <row r="7653" spans="1:4" x14ac:dyDescent="0.25">
      <c r="A7653" s="418" t="s">
        <v>14783</v>
      </c>
      <c r="B7653">
        <v>60</v>
      </c>
      <c r="C7653" s="309"/>
      <c r="D7653" s="310"/>
    </row>
    <row r="7654" spans="1:4" x14ac:dyDescent="0.25">
      <c r="A7654" s="418" t="s">
        <v>15594</v>
      </c>
      <c r="B7654">
        <v>56</v>
      </c>
      <c r="C7654" s="309"/>
      <c r="D7654" s="310"/>
    </row>
    <row r="7655" spans="1:4" x14ac:dyDescent="0.25">
      <c r="A7655" s="418" t="s">
        <v>16178</v>
      </c>
      <c r="B7655">
        <v>60</v>
      </c>
      <c r="C7655" s="309"/>
      <c r="D7655" s="310"/>
    </row>
    <row r="7656" spans="1:4" x14ac:dyDescent="0.25">
      <c r="A7656" s="418" t="s">
        <v>14784</v>
      </c>
      <c r="B7656">
        <v>59</v>
      </c>
      <c r="C7656" s="309"/>
      <c r="D7656" s="310"/>
    </row>
    <row r="7657" spans="1:4" x14ac:dyDescent="0.25">
      <c r="A7657" s="418" t="s">
        <v>14785</v>
      </c>
      <c r="B7657">
        <v>58</v>
      </c>
      <c r="C7657" s="309"/>
      <c r="D7657" s="310"/>
    </row>
    <row r="7658" spans="1:4" x14ac:dyDescent="0.25">
      <c r="A7658" s="418" t="s">
        <v>16361</v>
      </c>
      <c r="B7658">
        <v>60</v>
      </c>
      <c r="C7658" s="309"/>
      <c r="D7658" s="310"/>
    </row>
    <row r="7659" spans="1:4" x14ac:dyDescent="0.25">
      <c r="A7659" s="418" t="s">
        <v>14786</v>
      </c>
      <c r="B7659">
        <v>60</v>
      </c>
      <c r="C7659" s="309"/>
      <c r="D7659" s="310"/>
    </row>
    <row r="7660" spans="1:4" x14ac:dyDescent="0.25">
      <c r="A7660" s="418" t="s">
        <v>14787</v>
      </c>
      <c r="B7660">
        <v>54</v>
      </c>
      <c r="C7660" s="309"/>
      <c r="D7660" s="310"/>
    </row>
    <row r="7661" spans="1:4" x14ac:dyDescent="0.25">
      <c r="A7661" s="418" t="s">
        <v>14788</v>
      </c>
      <c r="B7661">
        <v>57</v>
      </c>
      <c r="C7661" s="309"/>
      <c r="D7661" s="310"/>
    </row>
    <row r="7662" spans="1:4" x14ac:dyDescent="0.25">
      <c r="A7662" s="418" t="s">
        <v>14789</v>
      </c>
      <c r="B7662">
        <v>59</v>
      </c>
      <c r="C7662" s="309"/>
      <c r="D7662" s="310"/>
    </row>
    <row r="7663" spans="1:4" x14ac:dyDescent="0.25">
      <c r="A7663" s="418" t="s">
        <v>15595</v>
      </c>
      <c r="B7663">
        <v>56</v>
      </c>
      <c r="C7663" s="309"/>
      <c r="D7663" s="310"/>
    </row>
    <row r="7664" spans="1:4" x14ac:dyDescent="0.25">
      <c r="A7664" s="418" t="s">
        <v>16721</v>
      </c>
      <c r="B7664">
        <v>59</v>
      </c>
      <c r="C7664" s="309"/>
      <c r="D7664" s="310"/>
    </row>
    <row r="7665" spans="1:4" x14ac:dyDescent="0.25">
      <c r="A7665" s="418" t="s">
        <v>16962</v>
      </c>
      <c r="B7665">
        <v>60</v>
      </c>
      <c r="C7665" s="309"/>
      <c r="D7665" s="310"/>
    </row>
    <row r="7666" spans="1:4" x14ac:dyDescent="0.25">
      <c r="A7666" s="418" t="s">
        <v>15619</v>
      </c>
      <c r="B7666">
        <v>57</v>
      </c>
      <c r="C7666" s="309"/>
      <c r="D7666" s="310"/>
    </row>
    <row r="7667" spans="1:4" x14ac:dyDescent="0.25">
      <c r="A7667" s="418" t="s">
        <v>14790</v>
      </c>
      <c r="B7667">
        <v>60</v>
      </c>
      <c r="C7667" s="309"/>
      <c r="D7667" s="310"/>
    </row>
    <row r="7668" spans="1:4" x14ac:dyDescent="0.25">
      <c r="A7668" s="418" t="s">
        <v>14791</v>
      </c>
      <c r="B7668">
        <v>59</v>
      </c>
      <c r="C7668" s="309"/>
      <c r="D7668" s="310"/>
    </row>
    <row r="7669" spans="1:4" x14ac:dyDescent="0.25">
      <c r="A7669" s="418" t="s">
        <v>14792</v>
      </c>
      <c r="B7669">
        <v>54</v>
      </c>
      <c r="C7669" s="309"/>
      <c r="D7669" s="310"/>
    </row>
    <row r="7670" spans="1:4" x14ac:dyDescent="0.25">
      <c r="A7670" s="418" t="s">
        <v>14793</v>
      </c>
      <c r="B7670">
        <v>59</v>
      </c>
      <c r="C7670" s="309"/>
      <c r="D7670" s="310"/>
    </row>
    <row r="7671" spans="1:4" x14ac:dyDescent="0.25">
      <c r="A7671" s="418" t="s">
        <v>14794</v>
      </c>
      <c r="B7671">
        <v>59</v>
      </c>
      <c r="C7671" s="309"/>
      <c r="D7671" s="310"/>
    </row>
    <row r="7672" spans="1:4" x14ac:dyDescent="0.25">
      <c r="A7672" s="418" t="s">
        <v>16179</v>
      </c>
      <c r="B7672">
        <v>56</v>
      </c>
      <c r="C7672" s="309"/>
      <c r="D7672" s="310"/>
    </row>
    <row r="7673" spans="1:4" x14ac:dyDescent="0.25">
      <c r="A7673" s="418" t="s">
        <v>14795</v>
      </c>
      <c r="B7673">
        <v>57</v>
      </c>
      <c r="C7673" s="309"/>
      <c r="D7673" s="310"/>
    </row>
    <row r="7674" spans="1:4" x14ac:dyDescent="0.25">
      <c r="A7674" s="418" t="s">
        <v>14796</v>
      </c>
      <c r="B7674">
        <v>60</v>
      </c>
      <c r="C7674" s="309"/>
      <c r="D7674" s="310"/>
    </row>
    <row r="7675" spans="1:4" x14ac:dyDescent="0.25">
      <c r="A7675" s="418" t="s">
        <v>16722</v>
      </c>
      <c r="B7675">
        <v>56</v>
      </c>
      <c r="C7675" s="309"/>
      <c r="D7675" s="310"/>
    </row>
    <row r="7676" spans="1:4" x14ac:dyDescent="0.25">
      <c r="A7676" s="418" t="s">
        <v>14797</v>
      </c>
      <c r="B7676">
        <v>56</v>
      </c>
      <c r="C7676" s="309"/>
      <c r="D7676" s="310"/>
    </row>
    <row r="7677" spans="1:4" x14ac:dyDescent="0.25">
      <c r="A7677" s="418" t="s">
        <v>16180</v>
      </c>
      <c r="B7677">
        <v>60</v>
      </c>
      <c r="C7677" s="309"/>
      <c r="D7677" s="310"/>
    </row>
    <row r="7678" spans="1:4" x14ac:dyDescent="0.25">
      <c r="A7678" s="418" t="s">
        <v>15966</v>
      </c>
      <c r="B7678">
        <v>60</v>
      </c>
      <c r="C7678" s="309"/>
      <c r="D7678" s="310"/>
    </row>
    <row r="7679" spans="1:4" x14ac:dyDescent="0.25">
      <c r="A7679" s="418" t="s">
        <v>14798</v>
      </c>
      <c r="B7679">
        <v>60</v>
      </c>
      <c r="C7679" s="309"/>
      <c r="D7679" s="310"/>
    </row>
    <row r="7680" spans="1:4" x14ac:dyDescent="0.25">
      <c r="A7680" s="418" t="s">
        <v>14799</v>
      </c>
      <c r="B7680">
        <v>60</v>
      </c>
      <c r="C7680" s="309"/>
      <c r="D7680" s="310"/>
    </row>
    <row r="7681" spans="1:4" x14ac:dyDescent="0.25">
      <c r="A7681" s="418" t="s">
        <v>14800</v>
      </c>
      <c r="B7681">
        <v>60</v>
      </c>
      <c r="C7681" s="309"/>
      <c r="D7681" s="310"/>
    </row>
    <row r="7682" spans="1:4" x14ac:dyDescent="0.25">
      <c r="A7682" s="418" t="s">
        <v>14801</v>
      </c>
      <c r="B7682">
        <v>57</v>
      </c>
      <c r="C7682" s="309"/>
      <c r="D7682" s="310"/>
    </row>
    <row r="7683" spans="1:4" x14ac:dyDescent="0.25">
      <c r="A7683" s="418" t="s">
        <v>16963</v>
      </c>
      <c r="B7683">
        <v>59</v>
      </c>
      <c r="C7683" s="309"/>
      <c r="D7683" s="310"/>
    </row>
    <row r="7684" spans="1:4" x14ac:dyDescent="0.25">
      <c r="A7684" s="418" t="s">
        <v>14802</v>
      </c>
      <c r="B7684">
        <v>56</v>
      </c>
      <c r="C7684" s="309"/>
      <c r="D7684" s="310"/>
    </row>
    <row r="7685" spans="1:4" x14ac:dyDescent="0.25">
      <c r="A7685" s="418" t="s">
        <v>17382</v>
      </c>
      <c r="B7685">
        <v>56</v>
      </c>
      <c r="C7685" s="309"/>
      <c r="D7685" s="310"/>
    </row>
    <row r="7686" spans="1:4" x14ac:dyDescent="0.25">
      <c r="A7686" s="418" t="s">
        <v>16362</v>
      </c>
      <c r="B7686">
        <v>55</v>
      </c>
      <c r="C7686" s="309"/>
      <c r="D7686" s="310"/>
    </row>
    <row r="7687" spans="1:4" x14ac:dyDescent="0.25">
      <c r="A7687" s="418" t="s">
        <v>16723</v>
      </c>
      <c r="B7687">
        <v>58</v>
      </c>
      <c r="C7687" s="309"/>
      <c r="D7687" s="310"/>
    </row>
    <row r="7688" spans="1:4" x14ac:dyDescent="0.25">
      <c r="A7688" s="418" t="s">
        <v>16724</v>
      </c>
      <c r="B7688">
        <v>60</v>
      </c>
      <c r="C7688" s="309"/>
      <c r="D7688" s="310"/>
    </row>
    <row r="7689" spans="1:4" x14ac:dyDescent="0.25">
      <c r="A7689" s="418" t="s">
        <v>14803</v>
      </c>
      <c r="B7689">
        <v>60</v>
      </c>
      <c r="C7689" s="309"/>
      <c r="D7689" s="310"/>
    </row>
    <row r="7690" spans="1:4" x14ac:dyDescent="0.25">
      <c r="A7690" s="418" t="s">
        <v>17383</v>
      </c>
      <c r="B7690">
        <v>60</v>
      </c>
      <c r="C7690" s="309"/>
      <c r="D7690" s="310"/>
    </row>
    <row r="7691" spans="1:4" x14ac:dyDescent="0.25">
      <c r="A7691" s="418" t="s">
        <v>17384</v>
      </c>
      <c r="B7691">
        <v>59</v>
      </c>
      <c r="C7691" s="309"/>
      <c r="D7691" s="310"/>
    </row>
    <row r="7692" spans="1:4" x14ac:dyDescent="0.25">
      <c r="A7692" s="418" t="s">
        <v>14804</v>
      </c>
      <c r="B7692">
        <v>60</v>
      </c>
      <c r="C7692" s="309"/>
      <c r="D7692" s="310"/>
    </row>
    <row r="7693" spans="1:4" x14ac:dyDescent="0.25">
      <c r="A7693" s="418" t="s">
        <v>17385</v>
      </c>
      <c r="B7693">
        <v>57</v>
      </c>
      <c r="C7693" s="309"/>
      <c r="D7693" s="310"/>
    </row>
    <row r="7694" spans="1:4" x14ac:dyDescent="0.25">
      <c r="A7694" s="418" t="s">
        <v>17386</v>
      </c>
      <c r="B7694">
        <v>57</v>
      </c>
      <c r="C7694" s="309"/>
      <c r="D7694" s="310"/>
    </row>
    <row r="7695" spans="1:4" x14ac:dyDescent="0.25">
      <c r="A7695" s="418" t="s">
        <v>14805</v>
      </c>
      <c r="B7695">
        <v>53</v>
      </c>
      <c r="C7695" s="309"/>
      <c r="D7695" s="310"/>
    </row>
    <row r="7696" spans="1:4" x14ac:dyDescent="0.25">
      <c r="A7696" s="418" t="s">
        <v>14806</v>
      </c>
      <c r="B7696">
        <v>58</v>
      </c>
      <c r="C7696" s="309"/>
      <c r="D7696" s="310"/>
    </row>
    <row r="7697" spans="1:4" x14ac:dyDescent="0.25">
      <c r="A7697" s="418" t="s">
        <v>14807</v>
      </c>
      <c r="B7697">
        <v>59</v>
      </c>
      <c r="C7697" s="309"/>
      <c r="D7697" s="310"/>
    </row>
    <row r="7698" spans="1:4" x14ac:dyDescent="0.25">
      <c r="A7698" s="418" t="s">
        <v>14808</v>
      </c>
      <c r="B7698">
        <v>60</v>
      </c>
      <c r="C7698" s="309"/>
      <c r="D7698" s="310"/>
    </row>
    <row r="7699" spans="1:4" x14ac:dyDescent="0.25">
      <c r="A7699" s="418" t="s">
        <v>16725</v>
      </c>
      <c r="B7699">
        <v>59</v>
      </c>
      <c r="C7699" s="309"/>
      <c r="D7699" s="310"/>
    </row>
    <row r="7700" spans="1:4" x14ac:dyDescent="0.25">
      <c r="A7700" s="418" t="s">
        <v>17387</v>
      </c>
      <c r="B7700">
        <v>56</v>
      </c>
      <c r="C7700" s="309"/>
      <c r="D7700" s="310"/>
    </row>
    <row r="7701" spans="1:4" x14ac:dyDescent="0.25">
      <c r="A7701" s="418" t="s">
        <v>14809</v>
      </c>
      <c r="B7701">
        <v>57</v>
      </c>
      <c r="C7701" s="309"/>
      <c r="D7701" s="310"/>
    </row>
    <row r="7702" spans="1:4" x14ac:dyDescent="0.25">
      <c r="A7702" s="418" t="s">
        <v>14810</v>
      </c>
      <c r="B7702">
        <v>58</v>
      </c>
      <c r="C7702" s="309"/>
      <c r="D7702" s="310"/>
    </row>
    <row r="7703" spans="1:4" x14ac:dyDescent="0.25">
      <c r="A7703" s="418" t="s">
        <v>14811</v>
      </c>
      <c r="B7703">
        <v>52</v>
      </c>
      <c r="C7703" s="309"/>
      <c r="D7703" s="310"/>
    </row>
    <row r="7704" spans="1:4" x14ac:dyDescent="0.25">
      <c r="A7704" s="418" t="s">
        <v>16726</v>
      </c>
      <c r="B7704">
        <v>58</v>
      </c>
      <c r="C7704" s="309"/>
      <c r="D7704" s="310"/>
    </row>
    <row r="7705" spans="1:4" x14ac:dyDescent="0.25">
      <c r="A7705" s="418" t="s">
        <v>14812</v>
      </c>
      <c r="B7705">
        <v>60</v>
      </c>
      <c r="C7705" s="309"/>
      <c r="D7705" s="310"/>
    </row>
    <row r="7706" spans="1:4" x14ac:dyDescent="0.25">
      <c r="A7706" s="418" t="s">
        <v>16727</v>
      </c>
      <c r="B7706">
        <v>58</v>
      </c>
      <c r="C7706" s="309"/>
      <c r="D7706" s="310"/>
    </row>
    <row r="7707" spans="1:4" x14ac:dyDescent="0.25">
      <c r="A7707" s="418" t="s">
        <v>14813</v>
      </c>
      <c r="B7707">
        <v>59</v>
      </c>
      <c r="C7707" s="309"/>
      <c r="D7707" s="310"/>
    </row>
    <row r="7708" spans="1:4" x14ac:dyDescent="0.25">
      <c r="A7708" s="418" t="s">
        <v>16728</v>
      </c>
      <c r="B7708">
        <v>53</v>
      </c>
      <c r="C7708" s="309"/>
      <c r="D7708" s="310"/>
    </row>
    <row r="7709" spans="1:4" x14ac:dyDescent="0.25">
      <c r="A7709" s="418" t="s">
        <v>16033</v>
      </c>
      <c r="B7709">
        <v>60</v>
      </c>
      <c r="C7709" s="309"/>
      <c r="D7709" s="310"/>
    </row>
    <row r="7710" spans="1:4" x14ac:dyDescent="0.25">
      <c r="A7710" s="418" t="s">
        <v>14814</v>
      </c>
      <c r="B7710">
        <v>56</v>
      </c>
      <c r="C7710" s="309"/>
      <c r="D7710" s="310"/>
    </row>
    <row r="7711" spans="1:4" x14ac:dyDescent="0.25">
      <c r="A7711" s="418" t="s">
        <v>16964</v>
      </c>
      <c r="B7711">
        <v>56</v>
      </c>
      <c r="C7711" s="309"/>
      <c r="D7711" s="310"/>
    </row>
    <row r="7712" spans="1:4" x14ac:dyDescent="0.25">
      <c r="A7712" s="418" t="s">
        <v>14815</v>
      </c>
      <c r="B7712">
        <v>54</v>
      </c>
      <c r="C7712" s="309"/>
      <c r="D7712" s="310"/>
    </row>
    <row r="7713" spans="1:4" x14ac:dyDescent="0.25">
      <c r="A7713" s="418" t="s">
        <v>14816</v>
      </c>
      <c r="B7713">
        <v>51</v>
      </c>
      <c r="C7713" s="309"/>
      <c r="D7713" s="310"/>
    </row>
    <row r="7714" spans="1:4" x14ac:dyDescent="0.25">
      <c r="A7714" s="418" t="s">
        <v>15596</v>
      </c>
      <c r="B7714">
        <v>55</v>
      </c>
      <c r="C7714" s="309"/>
      <c r="D7714" s="310"/>
    </row>
    <row r="7715" spans="1:4" x14ac:dyDescent="0.25">
      <c r="A7715" s="418" t="s">
        <v>14817</v>
      </c>
      <c r="B7715">
        <v>57</v>
      </c>
      <c r="C7715" s="309"/>
      <c r="D7715" s="310"/>
    </row>
    <row r="7716" spans="1:4" x14ac:dyDescent="0.25">
      <c r="A7716" s="418" t="s">
        <v>14818</v>
      </c>
      <c r="B7716">
        <v>59</v>
      </c>
      <c r="C7716" s="309"/>
      <c r="D7716" s="310"/>
    </row>
    <row r="7717" spans="1:4" x14ac:dyDescent="0.25">
      <c r="A7717" s="418" t="s">
        <v>17388</v>
      </c>
      <c r="B7717">
        <v>58</v>
      </c>
      <c r="C7717" s="309"/>
      <c r="D7717" s="310"/>
    </row>
    <row r="7718" spans="1:4" x14ac:dyDescent="0.25">
      <c r="A7718" s="418" t="s">
        <v>14819</v>
      </c>
      <c r="B7718">
        <v>60</v>
      </c>
      <c r="C7718" s="309"/>
      <c r="D7718" s="310"/>
    </row>
    <row r="7719" spans="1:4" x14ac:dyDescent="0.25">
      <c r="A7719" s="418" t="s">
        <v>14820</v>
      </c>
      <c r="B7719">
        <v>59</v>
      </c>
      <c r="C7719" s="309"/>
      <c r="D7719" s="310"/>
    </row>
    <row r="7720" spans="1:4" x14ac:dyDescent="0.25">
      <c r="A7720" s="418" t="s">
        <v>15189</v>
      </c>
      <c r="B7720">
        <v>60</v>
      </c>
      <c r="C7720" s="309"/>
      <c r="D7720" s="310"/>
    </row>
    <row r="7721" spans="1:4" x14ac:dyDescent="0.25">
      <c r="A7721" s="418" t="s">
        <v>15338</v>
      </c>
      <c r="B7721">
        <v>60</v>
      </c>
      <c r="C7721" s="309"/>
      <c r="D7721" s="310"/>
    </row>
    <row r="7722" spans="1:4" x14ac:dyDescent="0.25">
      <c r="A7722" s="418" t="s">
        <v>16729</v>
      </c>
      <c r="B7722">
        <v>59</v>
      </c>
      <c r="C7722" s="309"/>
      <c r="D7722" s="310"/>
    </row>
    <row r="7723" spans="1:4" x14ac:dyDescent="0.25">
      <c r="A7723" s="418" t="s">
        <v>14821</v>
      </c>
      <c r="B7723">
        <v>58</v>
      </c>
      <c r="C7723" s="309"/>
      <c r="D7723" s="310"/>
    </row>
    <row r="7724" spans="1:4" x14ac:dyDescent="0.25">
      <c r="A7724" s="418" t="s">
        <v>14822</v>
      </c>
      <c r="B7724">
        <v>60</v>
      </c>
      <c r="C7724" s="309"/>
      <c r="D7724" s="310"/>
    </row>
    <row r="7725" spans="1:4" x14ac:dyDescent="0.25">
      <c r="A7725" s="418" t="s">
        <v>14823</v>
      </c>
      <c r="B7725">
        <v>59</v>
      </c>
      <c r="C7725" s="309"/>
      <c r="D7725" s="310"/>
    </row>
    <row r="7726" spans="1:4" x14ac:dyDescent="0.25">
      <c r="A7726" s="418" t="s">
        <v>16730</v>
      </c>
      <c r="B7726">
        <v>59</v>
      </c>
      <c r="C7726" s="309"/>
      <c r="D7726" s="310"/>
    </row>
    <row r="7727" spans="1:4" x14ac:dyDescent="0.25">
      <c r="A7727" s="418" t="s">
        <v>15339</v>
      </c>
      <c r="B7727">
        <v>57</v>
      </c>
      <c r="C7727" s="309"/>
      <c r="D7727" s="310"/>
    </row>
    <row r="7728" spans="1:4" x14ac:dyDescent="0.25">
      <c r="A7728" s="418" t="s">
        <v>16731</v>
      </c>
      <c r="B7728">
        <v>59</v>
      </c>
      <c r="C7728" s="309"/>
      <c r="D7728" s="310"/>
    </row>
    <row r="7729" spans="1:4" x14ac:dyDescent="0.25">
      <c r="A7729" s="418" t="s">
        <v>16732</v>
      </c>
      <c r="B7729">
        <v>56</v>
      </c>
      <c r="C7729" s="309"/>
      <c r="D7729" s="310"/>
    </row>
    <row r="7730" spans="1:4" x14ac:dyDescent="0.25">
      <c r="A7730" s="418" t="s">
        <v>16965</v>
      </c>
      <c r="B7730">
        <v>60</v>
      </c>
      <c r="C7730" s="309"/>
      <c r="D7730" s="310"/>
    </row>
    <row r="7731" spans="1:4" x14ac:dyDescent="0.25">
      <c r="A7731" s="418" t="s">
        <v>15695</v>
      </c>
      <c r="B7731">
        <v>59</v>
      </c>
      <c r="C7731" s="309"/>
      <c r="D7731" s="310"/>
    </row>
    <row r="7732" spans="1:4" x14ac:dyDescent="0.25">
      <c r="A7732" s="418" t="s">
        <v>14824</v>
      </c>
      <c r="B7732">
        <v>58</v>
      </c>
      <c r="C7732" s="309"/>
      <c r="D7732" s="310"/>
    </row>
    <row r="7733" spans="1:4" x14ac:dyDescent="0.25">
      <c r="A7733" s="418" t="s">
        <v>16966</v>
      </c>
      <c r="B7733">
        <v>58</v>
      </c>
      <c r="C7733" s="309"/>
      <c r="D7733" s="310"/>
    </row>
    <row r="7734" spans="1:4" x14ac:dyDescent="0.25">
      <c r="A7734" s="418" t="s">
        <v>17389</v>
      </c>
      <c r="B7734">
        <v>60</v>
      </c>
      <c r="C7734" s="309"/>
      <c r="D7734" s="310"/>
    </row>
    <row r="7735" spans="1:4" x14ac:dyDescent="0.25">
      <c r="A7735" s="418" t="s">
        <v>17390</v>
      </c>
      <c r="B7735">
        <v>58</v>
      </c>
      <c r="C7735" s="309"/>
      <c r="D7735" s="310"/>
    </row>
    <row r="7736" spans="1:4" x14ac:dyDescent="0.25">
      <c r="A7736" s="418" t="s">
        <v>17391</v>
      </c>
      <c r="B7736">
        <v>55</v>
      </c>
      <c r="C7736" s="309"/>
      <c r="D7736" s="310"/>
    </row>
    <row r="7737" spans="1:4" x14ac:dyDescent="0.25">
      <c r="A7737" s="418" t="s">
        <v>16967</v>
      </c>
      <c r="B7737">
        <v>56</v>
      </c>
      <c r="C7737" s="309"/>
      <c r="D7737" s="310"/>
    </row>
    <row r="7738" spans="1:4" x14ac:dyDescent="0.25">
      <c r="A7738" s="418" t="s">
        <v>16733</v>
      </c>
      <c r="B7738">
        <v>57</v>
      </c>
      <c r="C7738" s="309"/>
      <c r="D7738" s="310"/>
    </row>
    <row r="7739" spans="1:4" x14ac:dyDescent="0.25">
      <c r="A7739" s="418" t="s">
        <v>16734</v>
      </c>
      <c r="B7739">
        <v>57</v>
      </c>
      <c r="C7739" s="309"/>
      <c r="D7739" s="310"/>
    </row>
    <row r="7740" spans="1:4" x14ac:dyDescent="0.25">
      <c r="A7740" s="418" t="s">
        <v>15967</v>
      </c>
      <c r="B7740">
        <v>57</v>
      </c>
      <c r="C7740" s="309"/>
      <c r="D7740" s="310"/>
    </row>
    <row r="7741" spans="1:4" x14ac:dyDescent="0.25">
      <c r="A7741" s="418" t="s">
        <v>14825</v>
      </c>
      <c r="B7741">
        <v>60</v>
      </c>
      <c r="C7741" s="309"/>
      <c r="D7741" s="310"/>
    </row>
    <row r="7742" spans="1:4" x14ac:dyDescent="0.25">
      <c r="A7742" s="418" t="s">
        <v>15620</v>
      </c>
      <c r="B7742">
        <v>57</v>
      </c>
      <c r="C7742" s="309"/>
      <c r="D7742" s="310"/>
    </row>
    <row r="7743" spans="1:4" x14ac:dyDescent="0.25">
      <c r="A7743" s="418" t="s">
        <v>15597</v>
      </c>
      <c r="B7743">
        <v>58</v>
      </c>
      <c r="C7743" s="309"/>
      <c r="D7743" s="310"/>
    </row>
    <row r="7744" spans="1:4" x14ac:dyDescent="0.25">
      <c r="A7744" s="418" t="s">
        <v>17392</v>
      </c>
      <c r="B7744">
        <v>60</v>
      </c>
      <c r="C7744" s="309"/>
      <c r="D7744" s="310"/>
    </row>
    <row r="7745" spans="1:4" x14ac:dyDescent="0.25">
      <c r="A7745" s="418" t="s">
        <v>16363</v>
      </c>
      <c r="B7745">
        <v>60</v>
      </c>
      <c r="C7745" s="309"/>
      <c r="D7745" s="310"/>
    </row>
    <row r="7746" spans="1:4" x14ac:dyDescent="0.25">
      <c r="A7746" s="418" t="s">
        <v>16735</v>
      </c>
      <c r="B7746">
        <v>58</v>
      </c>
      <c r="C7746" s="309"/>
      <c r="D7746" s="310"/>
    </row>
    <row r="7747" spans="1:4" x14ac:dyDescent="0.25">
      <c r="A7747" s="418" t="s">
        <v>14826</v>
      </c>
      <c r="B7747">
        <v>59</v>
      </c>
      <c r="C7747" s="309"/>
      <c r="D7747" s="310"/>
    </row>
    <row r="7748" spans="1:4" x14ac:dyDescent="0.25">
      <c r="A7748" s="418" t="s">
        <v>16736</v>
      </c>
      <c r="B7748">
        <v>60</v>
      </c>
      <c r="C7748" s="309"/>
      <c r="D7748" s="310"/>
    </row>
    <row r="7749" spans="1:4" x14ac:dyDescent="0.25">
      <c r="A7749" s="418" t="s">
        <v>17393</v>
      </c>
      <c r="B7749">
        <v>59</v>
      </c>
      <c r="C7749" s="309"/>
      <c r="D7749" s="310"/>
    </row>
    <row r="7750" spans="1:4" x14ac:dyDescent="0.25">
      <c r="A7750" s="418" t="s">
        <v>16364</v>
      </c>
      <c r="B7750">
        <v>60</v>
      </c>
      <c r="C7750" s="309"/>
      <c r="D7750" s="310"/>
    </row>
    <row r="7751" spans="1:4" x14ac:dyDescent="0.25">
      <c r="A7751" s="418" t="s">
        <v>17394</v>
      </c>
      <c r="B7751">
        <v>57</v>
      </c>
      <c r="C7751" s="309"/>
      <c r="D7751" s="310"/>
    </row>
    <row r="7752" spans="1:4" x14ac:dyDescent="0.25">
      <c r="A7752" s="418" t="s">
        <v>14827</v>
      </c>
      <c r="B7752">
        <v>60</v>
      </c>
      <c r="C7752" s="309"/>
      <c r="D7752" s="310"/>
    </row>
    <row r="7753" spans="1:4" x14ac:dyDescent="0.25">
      <c r="A7753" s="418" t="s">
        <v>16737</v>
      </c>
      <c r="B7753">
        <v>57</v>
      </c>
      <c r="C7753" s="309"/>
      <c r="D7753" s="310"/>
    </row>
    <row r="7754" spans="1:4" x14ac:dyDescent="0.25">
      <c r="A7754" s="418" t="s">
        <v>16738</v>
      </c>
      <c r="B7754">
        <v>58</v>
      </c>
      <c r="C7754" s="309"/>
      <c r="D7754" s="310"/>
    </row>
    <row r="7755" spans="1:4" x14ac:dyDescent="0.25">
      <c r="A7755" s="418" t="s">
        <v>16739</v>
      </c>
      <c r="B7755">
        <v>58</v>
      </c>
      <c r="C7755" s="309"/>
      <c r="D7755" s="310"/>
    </row>
    <row r="7756" spans="1:4" x14ac:dyDescent="0.25">
      <c r="A7756" s="418" t="s">
        <v>14828</v>
      </c>
      <c r="B7756">
        <v>59</v>
      </c>
      <c r="C7756" s="309"/>
      <c r="D7756" s="310"/>
    </row>
    <row r="7757" spans="1:4" x14ac:dyDescent="0.25">
      <c r="A7757" s="418" t="s">
        <v>16740</v>
      </c>
      <c r="B7757">
        <v>58</v>
      </c>
      <c r="C7757" s="309"/>
      <c r="D7757" s="310"/>
    </row>
    <row r="7758" spans="1:4" x14ac:dyDescent="0.25">
      <c r="A7758" s="418" t="s">
        <v>16741</v>
      </c>
      <c r="B7758">
        <v>59</v>
      </c>
      <c r="C7758" s="309"/>
      <c r="D7758" s="310"/>
    </row>
    <row r="7759" spans="1:4" x14ac:dyDescent="0.25">
      <c r="A7759" s="418" t="s">
        <v>14829</v>
      </c>
      <c r="B7759">
        <v>60</v>
      </c>
      <c r="C7759" s="309"/>
      <c r="D7759" s="310"/>
    </row>
    <row r="7760" spans="1:4" x14ac:dyDescent="0.25">
      <c r="A7760" s="418" t="s">
        <v>16308</v>
      </c>
      <c r="B7760">
        <v>38</v>
      </c>
      <c r="C7760" s="309"/>
      <c r="D7760" s="310"/>
    </row>
    <row r="7761" spans="1:4" x14ac:dyDescent="0.25">
      <c r="A7761" s="418" t="s">
        <v>16365</v>
      </c>
      <c r="B7761">
        <v>58</v>
      </c>
      <c r="C7761" s="309"/>
      <c r="D7761" s="310"/>
    </row>
    <row r="7762" spans="1:4" x14ac:dyDescent="0.25">
      <c r="A7762" s="418" t="s">
        <v>17395</v>
      </c>
      <c r="B7762">
        <v>60</v>
      </c>
      <c r="C7762" s="309"/>
      <c r="D7762" s="310"/>
    </row>
    <row r="7763" spans="1:4" x14ac:dyDescent="0.25">
      <c r="A7763" s="418" t="s">
        <v>16742</v>
      </c>
      <c r="B7763">
        <v>58</v>
      </c>
      <c r="C7763" s="309"/>
      <c r="D7763" s="310"/>
    </row>
    <row r="7764" spans="1:4" x14ac:dyDescent="0.25">
      <c r="A7764" s="418" t="s">
        <v>14830</v>
      </c>
      <c r="B7764">
        <v>60</v>
      </c>
      <c r="C7764" s="309"/>
      <c r="D7764" s="310"/>
    </row>
    <row r="7765" spans="1:4" x14ac:dyDescent="0.25">
      <c r="A7765" s="418" t="s">
        <v>15598</v>
      </c>
      <c r="B7765">
        <v>60</v>
      </c>
      <c r="C7765" s="309"/>
      <c r="D7765" s="310"/>
    </row>
    <row r="7766" spans="1:4" x14ac:dyDescent="0.25">
      <c r="A7766" s="418" t="s">
        <v>17396</v>
      </c>
      <c r="B7766">
        <v>55</v>
      </c>
      <c r="C7766" s="309"/>
      <c r="D7766" s="310"/>
    </row>
    <row r="7767" spans="1:4" x14ac:dyDescent="0.25">
      <c r="A7767" s="418" t="s">
        <v>16181</v>
      </c>
      <c r="B7767">
        <v>56</v>
      </c>
      <c r="C7767" s="309"/>
      <c r="D7767" s="310"/>
    </row>
    <row r="7768" spans="1:4" x14ac:dyDescent="0.25">
      <c r="A7768" s="418" t="s">
        <v>14831</v>
      </c>
      <c r="B7768">
        <v>60</v>
      </c>
      <c r="C7768" s="309"/>
      <c r="D7768" s="310"/>
    </row>
    <row r="7769" spans="1:4" x14ac:dyDescent="0.25">
      <c r="A7769" s="418" t="s">
        <v>16968</v>
      </c>
      <c r="B7769">
        <v>55</v>
      </c>
      <c r="C7769" s="309"/>
      <c r="D7769" s="310"/>
    </row>
    <row r="7770" spans="1:4" x14ac:dyDescent="0.25">
      <c r="A7770" s="418" t="s">
        <v>17397</v>
      </c>
      <c r="B7770">
        <v>50</v>
      </c>
      <c r="C7770" s="309"/>
      <c r="D7770" s="310"/>
    </row>
    <row r="7771" spans="1:4" x14ac:dyDescent="0.25">
      <c r="A7771" s="418" t="s">
        <v>16366</v>
      </c>
      <c r="B7771">
        <v>60</v>
      </c>
      <c r="C7771" s="309"/>
      <c r="D7771" s="310"/>
    </row>
    <row r="7772" spans="1:4" x14ac:dyDescent="0.25">
      <c r="A7772" s="418" t="s">
        <v>16743</v>
      </c>
      <c r="B7772">
        <v>60</v>
      </c>
      <c r="C7772" s="309"/>
      <c r="D7772" s="310"/>
    </row>
    <row r="7773" spans="1:4" x14ac:dyDescent="0.25">
      <c r="A7773" s="418" t="s">
        <v>16969</v>
      </c>
      <c r="B7773">
        <v>56</v>
      </c>
      <c r="C7773" s="309"/>
      <c r="D7773" s="310"/>
    </row>
    <row r="7774" spans="1:4" x14ac:dyDescent="0.25">
      <c r="A7774" s="418" t="s">
        <v>17398</v>
      </c>
      <c r="B7774">
        <v>60</v>
      </c>
      <c r="C7774" s="309"/>
      <c r="D7774" s="310"/>
    </row>
    <row r="7775" spans="1:4" x14ac:dyDescent="0.25">
      <c r="A7775" s="418" t="s">
        <v>17399</v>
      </c>
      <c r="B7775">
        <v>57</v>
      </c>
      <c r="C7775" s="309"/>
      <c r="D7775" s="310"/>
    </row>
    <row r="7776" spans="1:4" x14ac:dyDescent="0.25">
      <c r="A7776" s="418" t="s">
        <v>16970</v>
      </c>
      <c r="B7776">
        <v>57</v>
      </c>
    </row>
    <row r="7777" spans="1:2" x14ac:dyDescent="0.25">
      <c r="A7777" s="418" t="s">
        <v>17400</v>
      </c>
      <c r="B7777">
        <v>60</v>
      </c>
    </row>
    <row r="7778" spans="1:2" x14ac:dyDescent="0.25">
      <c r="A7778" s="418" t="s">
        <v>15688</v>
      </c>
      <c r="B7778">
        <v>60</v>
      </c>
    </row>
    <row r="7779" spans="1:2" x14ac:dyDescent="0.25">
      <c r="A7779" s="418" t="s">
        <v>16744</v>
      </c>
      <c r="B7779">
        <v>60</v>
      </c>
    </row>
    <row r="7780" spans="1:2" x14ac:dyDescent="0.25">
      <c r="A7780" s="418" t="s">
        <v>17401</v>
      </c>
      <c r="B7780">
        <v>60</v>
      </c>
    </row>
    <row r="7781" spans="1:2" x14ac:dyDescent="0.25">
      <c r="A7781" s="418" t="s">
        <v>16367</v>
      </c>
      <c r="B7781">
        <v>58</v>
      </c>
    </row>
    <row r="7782" spans="1:2" x14ac:dyDescent="0.25">
      <c r="A7782" s="418" t="s">
        <v>17402</v>
      </c>
      <c r="B7782">
        <v>60</v>
      </c>
    </row>
    <row r="7783" spans="1:2" x14ac:dyDescent="0.25">
      <c r="A7783" s="418" t="s">
        <v>17403</v>
      </c>
      <c r="B7783">
        <v>58</v>
      </c>
    </row>
    <row r="7784" spans="1:2" x14ac:dyDescent="0.25">
      <c r="A7784" s="418" t="s">
        <v>16745</v>
      </c>
      <c r="B7784">
        <v>60</v>
      </c>
    </row>
    <row r="7785" spans="1:2" x14ac:dyDescent="0.25">
      <c r="A7785" s="418" t="s">
        <v>17404</v>
      </c>
      <c r="B7785">
        <v>56</v>
      </c>
    </row>
    <row r="7786" spans="1:2" x14ac:dyDescent="0.25">
      <c r="A7786" s="418" t="s">
        <v>16971</v>
      </c>
      <c r="B7786">
        <v>56</v>
      </c>
    </row>
    <row r="7787" spans="1:2" x14ac:dyDescent="0.25">
      <c r="A7787" s="418" t="s">
        <v>17405</v>
      </c>
      <c r="B7787">
        <v>56</v>
      </c>
    </row>
    <row r="7788" spans="1:2" x14ac:dyDescent="0.25">
      <c r="A7788" s="418" t="s">
        <v>16182</v>
      </c>
      <c r="B7788">
        <v>60</v>
      </c>
    </row>
    <row r="7789" spans="1:2" x14ac:dyDescent="0.25">
      <c r="A7789" s="418" t="s">
        <v>16972</v>
      </c>
      <c r="B7789">
        <v>56</v>
      </c>
    </row>
    <row r="7790" spans="1:2" x14ac:dyDescent="0.25">
      <c r="A7790" s="418" t="s">
        <v>16973</v>
      </c>
      <c r="B7790">
        <v>60</v>
      </c>
    </row>
    <row r="7791" spans="1:2" x14ac:dyDescent="0.25">
      <c r="A7791" s="418" t="s">
        <v>16368</v>
      </c>
      <c r="B7791">
        <v>60</v>
      </c>
    </row>
    <row r="7792" spans="1:2" x14ac:dyDescent="0.25">
      <c r="A7792" s="418" t="s">
        <v>16746</v>
      </c>
      <c r="B7792">
        <v>52</v>
      </c>
    </row>
    <row r="7793" spans="1:2" x14ac:dyDescent="0.25">
      <c r="A7793" s="418" t="s">
        <v>17406</v>
      </c>
      <c r="B7793">
        <v>58</v>
      </c>
    </row>
    <row r="7794" spans="1:2" x14ac:dyDescent="0.25">
      <c r="A7794" s="418" t="s">
        <v>16974</v>
      </c>
      <c r="B7794">
        <v>60</v>
      </c>
    </row>
    <row r="7795" spans="1:2" x14ac:dyDescent="0.25">
      <c r="A7795" s="418" t="s">
        <v>17407</v>
      </c>
      <c r="B7795">
        <v>58</v>
      </c>
    </row>
    <row r="7796" spans="1:2" x14ac:dyDescent="0.25">
      <c r="A7796" s="418" t="s">
        <v>17408</v>
      </c>
      <c r="B7796">
        <v>60</v>
      </c>
    </row>
    <row r="7797" spans="1:2" x14ac:dyDescent="0.25">
      <c r="A7797" s="418" t="s">
        <v>14832</v>
      </c>
      <c r="B7797">
        <v>73</v>
      </c>
    </row>
    <row r="7798" spans="1:2" x14ac:dyDescent="0.25">
      <c r="A7798" s="418" t="s">
        <v>14833</v>
      </c>
      <c r="B7798">
        <v>67</v>
      </c>
    </row>
    <row r="7799" spans="1:2" x14ac:dyDescent="0.25">
      <c r="A7799" s="418" t="s">
        <v>14834</v>
      </c>
      <c r="B7799">
        <v>78</v>
      </c>
    </row>
    <row r="7800" spans="1:2" x14ac:dyDescent="0.25">
      <c r="A7800" s="418" t="s">
        <v>14835</v>
      </c>
      <c r="B7800">
        <v>67</v>
      </c>
    </row>
    <row r="7801" spans="1:2" x14ac:dyDescent="0.25">
      <c r="A7801" s="418" t="s">
        <v>14836</v>
      </c>
      <c r="B7801">
        <v>79</v>
      </c>
    </row>
    <row r="7802" spans="1:2" x14ac:dyDescent="0.25">
      <c r="A7802" s="418" t="s">
        <v>14837</v>
      </c>
      <c r="B7802">
        <v>79</v>
      </c>
    </row>
    <row r="7803" spans="1:2" x14ac:dyDescent="0.25">
      <c r="A7803" s="418" t="s">
        <v>14838</v>
      </c>
      <c r="B7803">
        <v>75</v>
      </c>
    </row>
    <row r="7804" spans="1:2" x14ac:dyDescent="0.25">
      <c r="A7804" s="418" t="s">
        <v>14839</v>
      </c>
      <c r="B7804">
        <v>59</v>
      </c>
    </row>
    <row r="7805" spans="1:2" x14ac:dyDescent="0.25">
      <c r="A7805" s="418" t="s">
        <v>14840</v>
      </c>
      <c r="B7805">
        <v>76</v>
      </c>
    </row>
    <row r="7806" spans="1:2" x14ac:dyDescent="0.25">
      <c r="A7806" s="418" t="s">
        <v>14841</v>
      </c>
      <c r="B7806">
        <v>72</v>
      </c>
    </row>
    <row r="7807" spans="1:2" x14ac:dyDescent="0.25">
      <c r="A7807" s="418" t="s">
        <v>14842</v>
      </c>
      <c r="B7807">
        <v>77</v>
      </c>
    </row>
    <row r="7808" spans="1:2" x14ac:dyDescent="0.25">
      <c r="A7808" s="418" t="s">
        <v>14843</v>
      </c>
      <c r="B7808">
        <v>80</v>
      </c>
    </row>
    <row r="7809" spans="1:2" x14ac:dyDescent="0.25">
      <c r="A7809" s="418" t="s">
        <v>14844</v>
      </c>
      <c r="B7809">
        <v>75</v>
      </c>
    </row>
    <row r="7810" spans="1:2" x14ac:dyDescent="0.25">
      <c r="A7810" s="418" t="s">
        <v>14845</v>
      </c>
      <c r="B7810">
        <v>72</v>
      </c>
    </row>
    <row r="7811" spans="1:2" x14ac:dyDescent="0.25">
      <c r="A7811" s="418" t="s">
        <v>14846</v>
      </c>
      <c r="B7811">
        <v>75</v>
      </c>
    </row>
    <row r="7812" spans="1:2" x14ac:dyDescent="0.25">
      <c r="A7812" s="418" t="s">
        <v>14847</v>
      </c>
      <c r="B7812">
        <v>79</v>
      </c>
    </row>
    <row r="7813" spans="1:2" x14ac:dyDescent="0.25">
      <c r="A7813" s="418" t="s">
        <v>14848</v>
      </c>
      <c r="B7813">
        <v>80</v>
      </c>
    </row>
    <row r="7814" spans="1:2" x14ac:dyDescent="0.25">
      <c r="A7814" s="418" t="s">
        <v>14849</v>
      </c>
      <c r="B7814">
        <v>78</v>
      </c>
    </row>
    <row r="7815" spans="1:2" x14ac:dyDescent="0.25">
      <c r="A7815" s="418" t="s">
        <v>14850</v>
      </c>
      <c r="B7815">
        <v>78</v>
      </c>
    </row>
    <row r="7816" spans="1:2" x14ac:dyDescent="0.25">
      <c r="A7816" s="418" t="s">
        <v>14851</v>
      </c>
      <c r="B7816">
        <v>76</v>
      </c>
    </row>
    <row r="7817" spans="1:2" x14ac:dyDescent="0.25">
      <c r="A7817" s="418" t="s">
        <v>14852</v>
      </c>
      <c r="B7817">
        <v>76</v>
      </c>
    </row>
    <row r="7818" spans="1:2" x14ac:dyDescent="0.25">
      <c r="A7818" s="418" t="s">
        <v>14853</v>
      </c>
      <c r="B7818">
        <v>73</v>
      </c>
    </row>
    <row r="7819" spans="1:2" x14ac:dyDescent="0.25">
      <c r="A7819" s="418" t="s">
        <v>14854</v>
      </c>
      <c r="B7819">
        <v>76</v>
      </c>
    </row>
    <row r="7820" spans="1:2" x14ac:dyDescent="0.25">
      <c r="A7820" s="418" t="s">
        <v>14855</v>
      </c>
      <c r="B7820">
        <v>76</v>
      </c>
    </row>
    <row r="7821" spans="1:2" x14ac:dyDescent="0.25">
      <c r="A7821" s="418" t="s">
        <v>14856</v>
      </c>
      <c r="B7821">
        <v>68</v>
      </c>
    </row>
    <row r="7822" spans="1:2" x14ac:dyDescent="0.25">
      <c r="A7822" s="418" t="s">
        <v>14857</v>
      </c>
      <c r="B7822">
        <v>70</v>
      </c>
    </row>
    <row r="7823" spans="1:2" x14ac:dyDescent="0.25">
      <c r="A7823" s="418" t="s">
        <v>14858</v>
      </c>
      <c r="B7823">
        <v>75</v>
      </c>
    </row>
    <row r="7824" spans="1:2" x14ac:dyDescent="0.25">
      <c r="A7824" s="418" t="s">
        <v>14859</v>
      </c>
      <c r="B7824">
        <v>63</v>
      </c>
    </row>
    <row r="7825" spans="1:2" x14ac:dyDescent="0.25">
      <c r="A7825" s="418" t="s">
        <v>14860</v>
      </c>
      <c r="B7825">
        <v>74</v>
      </c>
    </row>
    <row r="7826" spans="1:2" x14ac:dyDescent="0.25">
      <c r="A7826" s="418" t="s">
        <v>14861</v>
      </c>
      <c r="B7826">
        <v>75</v>
      </c>
    </row>
    <row r="7827" spans="1:2" x14ac:dyDescent="0.25">
      <c r="A7827" s="418" t="s">
        <v>14862</v>
      </c>
      <c r="B7827">
        <v>72</v>
      </c>
    </row>
    <row r="7828" spans="1:2" x14ac:dyDescent="0.25">
      <c r="A7828" s="418" t="s">
        <v>14863</v>
      </c>
      <c r="B7828">
        <v>80</v>
      </c>
    </row>
    <row r="7829" spans="1:2" x14ac:dyDescent="0.25">
      <c r="A7829" s="418" t="s">
        <v>14864</v>
      </c>
      <c r="B7829">
        <v>77</v>
      </c>
    </row>
    <row r="7830" spans="1:2" x14ac:dyDescent="0.25">
      <c r="A7830" s="418" t="s">
        <v>14865</v>
      </c>
      <c r="B7830">
        <v>68</v>
      </c>
    </row>
    <row r="7831" spans="1:2" x14ac:dyDescent="0.25">
      <c r="A7831" s="418" t="s">
        <v>14866</v>
      </c>
      <c r="B7831">
        <v>77</v>
      </c>
    </row>
    <row r="7832" spans="1:2" x14ac:dyDescent="0.25">
      <c r="A7832" s="418" t="s">
        <v>14867</v>
      </c>
      <c r="B7832">
        <v>75</v>
      </c>
    </row>
    <row r="7833" spans="1:2" x14ac:dyDescent="0.25">
      <c r="A7833" s="418" t="s">
        <v>14868</v>
      </c>
      <c r="B7833">
        <v>76</v>
      </c>
    </row>
    <row r="7834" spans="1:2" x14ac:dyDescent="0.25">
      <c r="A7834" s="418" t="s">
        <v>14869</v>
      </c>
      <c r="B7834">
        <v>80</v>
      </c>
    </row>
    <row r="7835" spans="1:2" x14ac:dyDescent="0.25">
      <c r="A7835" s="418" t="s">
        <v>14870</v>
      </c>
      <c r="B7835">
        <v>71</v>
      </c>
    </row>
    <row r="7836" spans="1:2" x14ac:dyDescent="0.25">
      <c r="A7836" s="418" t="s">
        <v>14871</v>
      </c>
      <c r="B7836">
        <v>80</v>
      </c>
    </row>
    <row r="7837" spans="1:2" x14ac:dyDescent="0.25">
      <c r="A7837" s="418" t="s">
        <v>14872</v>
      </c>
      <c r="B7837">
        <v>75</v>
      </c>
    </row>
    <row r="7838" spans="1:2" x14ac:dyDescent="0.25">
      <c r="A7838" s="418" t="s">
        <v>14873</v>
      </c>
      <c r="B7838">
        <v>77</v>
      </c>
    </row>
    <row r="7839" spans="1:2" x14ac:dyDescent="0.25">
      <c r="A7839" s="418" t="s">
        <v>14874</v>
      </c>
      <c r="B7839">
        <v>74</v>
      </c>
    </row>
    <row r="7840" spans="1:2" x14ac:dyDescent="0.25">
      <c r="A7840" s="418" t="s">
        <v>14875</v>
      </c>
      <c r="B7840">
        <v>78</v>
      </c>
    </row>
    <row r="7841" spans="1:2" x14ac:dyDescent="0.25">
      <c r="A7841" s="418" t="s">
        <v>14876</v>
      </c>
      <c r="B7841">
        <v>72</v>
      </c>
    </row>
    <row r="7842" spans="1:2" x14ac:dyDescent="0.25">
      <c r="A7842" s="418" t="s">
        <v>14877</v>
      </c>
      <c r="B7842">
        <v>71</v>
      </c>
    </row>
    <row r="7843" spans="1:2" x14ac:dyDescent="0.25">
      <c r="A7843" s="418" t="s">
        <v>14878</v>
      </c>
      <c r="B7843">
        <v>78</v>
      </c>
    </row>
    <row r="7844" spans="1:2" x14ac:dyDescent="0.25">
      <c r="A7844" s="418" t="s">
        <v>14879</v>
      </c>
      <c r="B7844">
        <v>79</v>
      </c>
    </row>
    <row r="7845" spans="1:2" x14ac:dyDescent="0.25">
      <c r="A7845" s="418" t="s">
        <v>14880</v>
      </c>
      <c r="B7845">
        <v>76</v>
      </c>
    </row>
    <row r="7846" spans="1:2" x14ac:dyDescent="0.25">
      <c r="A7846" s="418" t="s">
        <v>14881</v>
      </c>
      <c r="B7846">
        <v>77</v>
      </c>
    </row>
    <row r="7847" spans="1:2" x14ac:dyDescent="0.25">
      <c r="A7847" s="418" t="s">
        <v>14882</v>
      </c>
      <c r="B7847">
        <v>79</v>
      </c>
    </row>
    <row r="7848" spans="1:2" x14ac:dyDescent="0.25">
      <c r="A7848" s="418" t="s">
        <v>14883</v>
      </c>
      <c r="B7848">
        <v>77</v>
      </c>
    </row>
    <row r="7849" spans="1:2" x14ac:dyDescent="0.25">
      <c r="A7849" s="418" t="s">
        <v>14884</v>
      </c>
      <c r="B7849">
        <v>75</v>
      </c>
    </row>
    <row r="7850" spans="1:2" x14ac:dyDescent="0.25">
      <c r="A7850" s="418" t="s">
        <v>14885</v>
      </c>
      <c r="B7850">
        <v>79</v>
      </c>
    </row>
    <row r="7851" spans="1:2" x14ac:dyDescent="0.25">
      <c r="A7851" s="418" t="s">
        <v>14886</v>
      </c>
      <c r="B7851">
        <v>74</v>
      </c>
    </row>
    <row r="7852" spans="1:2" x14ac:dyDescent="0.25">
      <c r="A7852" s="418" t="s">
        <v>14887</v>
      </c>
      <c r="B7852">
        <v>78</v>
      </c>
    </row>
    <row r="7853" spans="1:2" x14ac:dyDescent="0.25">
      <c r="A7853" s="418" t="s">
        <v>14888</v>
      </c>
      <c r="B7853">
        <v>79</v>
      </c>
    </row>
    <row r="7854" spans="1:2" x14ac:dyDescent="0.25">
      <c r="A7854" s="418" t="s">
        <v>14889</v>
      </c>
      <c r="B7854">
        <v>80</v>
      </c>
    </row>
    <row r="7855" spans="1:2" x14ac:dyDescent="0.25">
      <c r="A7855" s="418" t="s">
        <v>14890</v>
      </c>
      <c r="B7855">
        <v>80</v>
      </c>
    </row>
    <row r="7856" spans="1:2" x14ac:dyDescent="0.25">
      <c r="A7856" s="418" t="s">
        <v>14891</v>
      </c>
      <c r="B7856">
        <v>80</v>
      </c>
    </row>
    <row r="7857" spans="1:2" x14ac:dyDescent="0.25">
      <c r="A7857" s="418" t="s">
        <v>14892</v>
      </c>
      <c r="B7857">
        <v>80</v>
      </c>
    </row>
    <row r="7858" spans="1:2" x14ac:dyDescent="0.25">
      <c r="A7858" s="418" t="s">
        <v>14893</v>
      </c>
      <c r="B7858">
        <v>66</v>
      </c>
    </row>
    <row r="7859" spans="1:2" x14ac:dyDescent="0.25">
      <c r="A7859" s="418" t="s">
        <v>14894</v>
      </c>
      <c r="B7859">
        <v>77</v>
      </c>
    </row>
    <row r="7860" spans="1:2" x14ac:dyDescent="0.25">
      <c r="A7860" s="418" t="s">
        <v>14895</v>
      </c>
      <c r="B7860">
        <v>78</v>
      </c>
    </row>
    <row r="7861" spans="1:2" x14ac:dyDescent="0.25">
      <c r="A7861" s="418" t="s">
        <v>14896</v>
      </c>
      <c r="B7861">
        <v>78</v>
      </c>
    </row>
    <row r="7862" spans="1:2" x14ac:dyDescent="0.25">
      <c r="A7862" s="418" t="s">
        <v>14897</v>
      </c>
      <c r="B7862">
        <v>78</v>
      </c>
    </row>
    <row r="7863" spans="1:2" x14ac:dyDescent="0.25">
      <c r="A7863" s="418" t="s">
        <v>14898</v>
      </c>
      <c r="B7863">
        <v>79</v>
      </c>
    </row>
    <row r="7864" spans="1:2" x14ac:dyDescent="0.25">
      <c r="A7864" s="418" t="s">
        <v>14899</v>
      </c>
      <c r="B7864">
        <v>76</v>
      </c>
    </row>
    <row r="7865" spans="1:2" x14ac:dyDescent="0.25">
      <c r="A7865" s="418" t="s">
        <v>14900</v>
      </c>
      <c r="B7865">
        <v>75</v>
      </c>
    </row>
    <row r="7866" spans="1:2" x14ac:dyDescent="0.25">
      <c r="A7866" s="418" t="s">
        <v>14901</v>
      </c>
      <c r="B7866">
        <v>77</v>
      </c>
    </row>
    <row r="7867" spans="1:2" x14ac:dyDescent="0.25">
      <c r="A7867" s="418" t="s">
        <v>17409</v>
      </c>
      <c r="B7867">
        <v>80</v>
      </c>
    </row>
    <row r="7868" spans="1:2" x14ac:dyDescent="0.25">
      <c r="A7868" s="418" t="s">
        <v>14902</v>
      </c>
      <c r="B7868">
        <v>72</v>
      </c>
    </row>
    <row r="7869" spans="1:2" x14ac:dyDescent="0.25">
      <c r="A7869" s="418" t="s">
        <v>14903</v>
      </c>
      <c r="B7869">
        <v>79</v>
      </c>
    </row>
    <row r="7870" spans="1:2" x14ac:dyDescent="0.25">
      <c r="A7870" s="418" t="s">
        <v>14904</v>
      </c>
      <c r="B7870">
        <v>70</v>
      </c>
    </row>
    <row r="7871" spans="1:2" x14ac:dyDescent="0.25">
      <c r="A7871" s="418" t="s">
        <v>14905</v>
      </c>
      <c r="B7871">
        <v>80</v>
      </c>
    </row>
    <row r="7872" spans="1:2" x14ac:dyDescent="0.25">
      <c r="A7872" s="418" t="s">
        <v>17410</v>
      </c>
      <c r="B7872">
        <v>80</v>
      </c>
    </row>
    <row r="7873" spans="1:2" x14ac:dyDescent="0.25">
      <c r="A7873" s="418" t="s">
        <v>14906</v>
      </c>
      <c r="B7873">
        <v>76</v>
      </c>
    </row>
    <row r="7874" spans="1:2" x14ac:dyDescent="0.25">
      <c r="A7874" s="418" t="s">
        <v>14907</v>
      </c>
      <c r="B7874">
        <v>80</v>
      </c>
    </row>
    <row r="7875" spans="1:2" x14ac:dyDescent="0.25">
      <c r="A7875" s="418" t="s">
        <v>14908</v>
      </c>
      <c r="B7875">
        <v>78</v>
      </c>
    </row>
    <row r="7876" spans="1:2" x14ac:dyDescent="0.25">
      <c r="A7876" s="418" t="s">
        <v>14909</v>
      </c>
      <c r="B7876">
        <v>80</v>
      </c>
    </row>
    <row r="7877" spans="1:2" x14ac:dyDescent="0.25">
      <c r="A7877" s="418" t="s">
        <v>14910</v>
      </c>
      <c r="B7877">
        <v>77</v>
      </c>
    </row>
    <row r="7878" spans="1:2" x14ac:dyDescent="0.25">
      <c r="A7878" s="418" t="s">
        <v>14911</v>
      </c>
      <c r="B7878">
        <v>80</v>
      </c>
    </row>
    <row r="7879" spans="1:2" x14ac:dyDescent="0.25">
      <c r="A7879" s="418" t="s">
        <v>14912</v>
      </c>
      <c r="B7879">
        <v>74</v>
      </c>
    </row>
    <row r="7880" spans="1:2" x14ac:dyDescent="0.25">
      <c r="A7880" s="418" t="s">
        <v>14913</v>
      </c>
      <c r="B7880">
        <v>73</v>
      </c>
    </row>
    <row r="7881" spans="1:2" x14ac:dyDescent="0.25">
      <c r="A7881" s="418" t="s">
        <v>14914</v>
      </c>
      <c r="B7881">
        <v>79</v>
      </c>
    </row>
    <row r="7882" spans="1:2" x14ac:dyDescent="0.25">
      <c r="A7882" s="418" t="s">
        <v>16747</v>
      </c>
      <c r="B7882">
        <v>76</v>
      </c>
    </row>
    <row r="7883" spans="1:2" x14ac:dyDescent="0.25">
      <c r="A7883" s="418" t="s">
        <v>14915</v>
      </c>
      <c r="B7883">
        <v>75</v>
      </c>
    </row>
    <row r="7884" spans="1:2" x14ac:dyDescent="0.25">
      <c r="A7884" s="418" t="s">
        <v>16034</v>
      </c>
      <c r="B7884">
        <v>79</v>
      </c>
    </row>
    <row r="7885" spans="1:2" x14ac:dyDescent="0.25">
      <c r="A7885" s="418" t="s">
        <v>14916</v>
      </c>
      <c r="B7885">
        <v>80</v>
      </c>
    </row>
    <row r="7886" spans="1:2" x14ac:dyDescent="0.25">
      <c r="A7886" s="418" t="s">
        <v>14917</v>
      </c>
      <c r="B7886">
        <v>77</v>
      </c>
    </row>
    <row r="7887" spans="1:2" x14ac:dyDescent="0.25">
      <c r="A7887" s="418" t="s">
        <v>14918</v>
      </c>
      <c r="B7887">
        <v>78</v>
      </c>
    </row>
    <row r="7888" spans="1:2" x14ac:dyDescent="0.25">
      <c r="A7888" s="418" t="s">
        <v>14919</v>
      </c>
      <c r="B7888">
        <v>80</v>
      </c>
    </row>
    <row r="7889" spans="1:2" x14ac:dyDescent="0.25">
      <c r="A7889" s="418" t="s">
        <v>14920</v>
      </c>
      <c r="B7889">
        <v>76</v>
      </c>
    </row>
    <row r="7890" spans="1:2" x14ac:dyDescent="0.25">
      <c r="A7890" s="418" t="s">
        <v>14921</v>
      </c>
      <c r="B7890">
        <v>80</v>
      </c>
    </row>
    <row r="7891" spans="1:2" x14ac:dyDescent="0.25">
      <c r="A7891" s="418" t="s">
        <v>16748</v>
      </c>
      <c r="B7891">
        <v>80</v>
      </c>
    </row>
    <row r="7892" spans="1:2" x14ac:dyDescent="0.25">
      <c r="A7892" s="418" t="s">
        <v>14922</v>
      </c>
      <c r="B7892">
        <v>78</v>
      </c>
    </row>
    <row r="7893" spans="1:2" x14ac:dyDescent="0.25">
      <c r="A7893" s="418" t="s">
        <v>14923</v>
      </c>
      <c r="B7893">
        <v>76</v>
      </c>
    </row>
    <row r="7894" spans="1:2" x14ac:dyDescent="0.25">
      <c r="A7894" s="418" t="s">
        <v>16975</v>
      </c>
      <c r="B7894">
        <v>80</v>
      </c>
    </row>
    <row r="7895" spans="1:2" x14ac:dyDescent="0.25">
      <c r="A7895" s="418" t="s">
        <v>14924</v>
      </c>
      <c r="B7895">
        <v>78</v>
      </c>
    </row>
    <row r="7896" spans="1:2" x14ac:dyDescent="0.25">
      <c r="A7896" s="418" t="s">
        <v>14925</v>
      </c>
      <c r="B7896">
        <v>79</v>
      </c>
    </row>
    <row r="7897" spans="1:2" x14ac:dyDescent="0.25">
      <c r="A7897" s="418" t="s">
        <v>16749</v>
      </c>
      <c r="B7897">
        <v>75</v>
      </c>
    </row>
    <row r="7898" spans="1:2" x14ac:dyDescent="0.25">
      <c r="A7898" s="418" t="s">
        <v>14926</v>
      </c>
      <c r="B7898">
        <v>80</v>
      </c>
    </row>
    <row r="7899" spans="1:2" x14ac:dyDescent="0.25">
      <c r="A7899" s="418" t="s">
        <v>17411</v>
      </c>
      <c r="B7899">
        <v>80</v>
      </c>
    </row>
    <row r="7900" spans="1:2" x14ac:dyDescent="0.25">
      <c r="A7900" s="418" t="s">
        <v>16309</v>
      </c>
      <c r="B7900">
        <v>76</v>
      </c>
    </row>
    <row r="7901" spans="1:2" x14ac:dyDescent="0.25">
      <c r="A7901" s="418" t="s">
        <v>15190</v>
      </c>
      <c r="B7901">
        <v>76</v>
      </c>
    </row>
    <row r="7902" spans="1:2" x14ac:dyDescent="0.25">
      <c r="A7902" s="418" t="s">
        <v>14927</v>
      </c>
      <c r="B7902">
        <v>77</v>
      </c>
    </row>
    <row r="7903" spans="1:2" x14ac:dyDescent="0.25">
      <c r="A7903" s="418" t="s">
        <v>16750</v>
      </c>
      <c r="B7903">
        <v>80</v>
      </c>
    </row>
    <row r="7904" spans="1:2" x14ac:dyDescent="0.25">
      <c r="A7904" s="418" t="s">
        <v>14928</v>
      </c>
      <c r="B7904">
        <v>78</v>
      </c>
    </row>
    <row r="7905" spans="1:2" x14ac:dyDescent="0.25">
      <c r="A7905" s="418" t="s">
        <v>17412</v>
      </c>
      <c r="B7905">
        <v>78</v>
      </c>
    </row>
    <row r="7906" spans="1:2" x14ac:dyDescent="0.25">
      <c r="A7906" s="418" t="s">
        <v>14929</v>
      </c>
      <c r="B7906">
        <v>80</v>
      </c>
    </row>
    <row r="7907" spans="1:2" x14ac:dyDescent="0.25">
      <c r="A7907" s="418" t="s">
        <v>16183</v>
      </c>
      <c r="B7907">
        <v>78</v>
      </c>
    </row>
    <row r="7908" spans="1:2" x14ac:dyDescent="0.25">
      <c r="A7908" s="418" t="s">
        <v>17413</v>
      </c>
      <c r="B7908">
        <v>79</v>
      </c>
    </row>
    <row r="7909" spans="1:2" x14ac:dyDescent="0.25">
      <c r="A7909" s="418" t="s">
        <v>14930</v>
      </c>
      <c r="B7909">
        <v>73</v>
      </c>
    </row>
    <row r="7910" spans="1:2" x14ac:dyDescent="0.25">
      <c r="A7910" s="418" t="s">
        <v>14931</v>
      </c>
      <c r="B7910">
        <v>72</v>
      </c>
    </row>
    <row r="7911" spans="1:2" x14ac:dyDescent="0.25">
      <c r="A7911" s="418" t="s">
        <v>14932</v>
      </c>
      <c r="B7911">
        <v>80</v>
      </c>
    </row>
    <row r="7912" spans="1:2" x14ac:dyDescent="0.25">
      <c r="A7912" s="418" t="s">
        <v>14933</v>
      </c>
      <c r="B7912">
        <v>78</v>
      </c>
    </row>
    <row r="7913" spans="1:2" x14ac:dyDescent="0.25">
      <c r="A7913" s="418" t="s">
        <v>17414</v>
      </c>
      <c r="B7913">
        <v>74</v>
      </c>
    </row>
    <row r="7914" spans="1:2" x14ac:dyDescent="0.25">
      <c r="A7914" s="418" t="s">
        <v>14934</v>
      </c>
      <c r="B7914">
        <v>78</v>
      </c>
    </row>
    <row r="7915" spans="1:2" x14ac:dyDescent="0.25">
      <c r="A7915" s="418" t="s">
        <v>16751</v>
      </c>
      <c r="B7915">
        <v>80</v>
      </c>
    </row>
    <row r="7916" spans="1:2" x14ac:dyDescent="0.25">
      <c r="A7916" s="418" t="s">
        <v>14935</v>
      </c>
      <c r="B7916">
        <v>75</v>
      </c>
    </row>
    <row r="7917" spans="1:2" x14ac:dyDescent="0.25">
      <c r="A7917" s="418" t="s">
        <v>14936</v>
      </c>
      <c r="B7917">
        <v>79</v>
      </c>
    </row>
    <row r="7918" spans="1:2" x14ac:dyDescent="0.25">
      <c r="A7918" s="418" t="s">
        <v>14937</v>
      </c>
      <c r="B7918">
        <v>80</v>
      </c>
    </row>
    <row r="7919" spans="1:2" x14ac:dyDescent="0.25">
      <c r="A7919" s="418" t="s">
        <v>17415</v>
      </c>
      <c r="B7919">
        <v>76</v>
      </c>
    </row>
    <row r="7920" spans="1:2" x14ac:dyDescent="0.25">
      <c r="A7920" s="418" t="s">
        <v>14938</v>
      </c>
      <c r="B7920">
        <v>78</v>
      </c>
    </row>
    <row r="7921" spans="1:2" x14ac:dyDescent="0.25">
      <c r="A7921" s="418" t="s">
        <v>14939</v>
      </c>
      <c r="B7921">
        <v>80</v>
      </c>
    </row>
    <row r="7922" spans="1:2" x14ac:dyDescent="0.25">
      <c r="A7922" s="418" t="s">
        <v>14940</v>
      </c>
      <c r="B7922">
        <v>80</v>
      </c>
    </row>
    <row r="7923" spans="1:2" x14ac:dyDescent="0.25">
      <c r="A7923" s="418" t="s">
        <v>17416</v>
      </c>
      <c r="B7923">
        <v>72</v>
      </c>
    </row>
    <row r="7924" spans="1:2" x14ac:dyDescent="0.25">
      <c r="A7924" s="418" t="s">
        <v>14941</v>
      </c>
      <c r="B7924">
        <v>80</v>
      </c>
    </row>
    <row r="7925" spans="1:2" x14ac:dyDescent="0.25">
      <c r="A7925" s="418" t="s">
        <v>14942</v>
      </c>
      <c r="B7925">
        <v>80</v>
      </c>
    </row>
    <row r="7926" spans="1:2" x14ac:dyDescent="0.25">
      <c r="A7926" s="418" t="s">
        <v>14943</v>
      </c>
      <c r="B7926">
        <v>78</v>
      </c>
    </row>
    <row r="7927" spans="1:2" x14ac:dyDescent="0.25">
      <c r="A7927" s="418" t="s">
        <v>15696</v>
      </c>
      <c r="B7927">
        <v>74</v>
      </c>
    </row>
    <row r="7928" spans="1:2" x14ac:dyDescent="0.25">
      <c r="A7928" s="418" t="s">
        <v>15621</v>
      </c>
      <c r="B7928">
        <v>80</v>
      </c>
    </row>
    <row r="7929" spans="1:2" x14ac:dyDescent="0.25">
      <c r="A7929" s="418" t="s">
        <v>14944</v>
      </c>
      <c r="B7929">
        <v>76</v>
      </c>
    </row>
    <row r="7930" spans="1:2" x14ac:dyDescent="0.25">
      <c r="A7930" s="418" t="s">
        <v>14945</v>
      </c>
      <c r="B7930">
        <v>66</v>
      </c>
    </row>
    <row r="7931" spans="1:2" x14ac:dyDescent="0.25">
      <c r="A7931" s="418" t="s">
        <v>14946</v>
      </c>
      <c r="B7931">
        <v>79</v>
      </c>
    </row>
    <row r="7932" spans="1:2" x14ac:dyDescent="0.25">
      <c r="A7932" s="418" t="s">
        <v>16752</v>
      </c>
      <c r="B7932">
        <v>77</v>
      </c>
    </row>
    <row r="7933" spans="1:2" x14ac:dyDescent="0.25">
      <c r="A7933" s="418" t="s">
        <v>16753</v>
      </c>
      <c r="B7933">
        <v>80</v>
      </c>
    </row>
    <row r="7934" spans="1:2" x14ac:dyDescent="0.25">
      <c r="A7934" s="418" t="s">
        <v>15226</v>
      </c>
      <c r="B7934">
        <v>72</v>
      </c>
    </row>
    <row r="7935" spans="1:2" x14ac:dyDescent="0.25">
      <c r="A7935" s="418" t="s">
        <v>14947</v>
      </c>
      <c r="B7935">
        <v>75</v>
      </c>
    </row>
    <row r="7936" spans="1:2" x14ac:dyDescent="0.25">
      <c r="A7936" s="418" t="s">
        <v>17417</v>
      </c>
      <c r="B7936">
        <v>78</v>
      </c>
    </row>
    <row r="7937" spans="1:2" x14ac:dyDescent="0.25">
      <c r="A7937" s="418" t="s">
        <v>14948</v>
      </c>
      <c r="B7937">
        <v>77</v>
      </c>
    </row>
    <row r="7938" spans="1:2" x14ac:dyDescent="0.25">
      <c r="A7938" s="418" t="s">
        <v>14949</v>
      </c>
      <c r="B7938">
        <v>79</v>
      </c>
    </row>
    <row r="7939" spans="1:2" x14ac:dyDescent="0.25">
      <c r="A7939" s="418" t="s">
        <v>16976</v>
      </c>
      <c r="B7939">
        <v>76</v>
      </c>
    </row>
    <row r="7940" spans="1:2" x14ac:dyDescent="0.25">
      <c r="A7940" s="418" t="s">
        <v>16184</v>
      </c>
      <c r="B7940">
        <v>74</v>
      </c>
    </row>
    <row r="7941" spans="1:2" x14ac:dyDescent="0.25">
      <c r="A7941" s="418" t="s">
        <v>16977</v>
      </c>
      <c r="B7941">
        <v>78</v>
      </c>
    </row>
    <row r="7942" spans="1:2" x14ac:dyDescent="0.25">
      <c r="A7942" s="418" t="s">
        <v>16978</v>
      </c>
      <c r="B7942">
        <v>80</v>
      </c>
    </row>
    <row r="7943" spans="1:2" x14ac:dyDescent="0.25">
      <c r="A7943" s="418" t="s">
        <v>16754</v>
      </c>
      <c r="B7943">
        <v>75</v>
      </c>
    </row>
    <row r="7944" spans="1:2" x14ac:dyDescent="0.25">
      <c r="A7944" s="418" t="s">
        <v>16979</v>
      </c>
      <c r="B7944">
        <v>80</v>
      </c>
    </row>
    <row r="7945" spans="1:2" x14ac:dyDescent="0.25">
      <c r="A7945" s="418" t="s">
        <v>17418</v>
      </c>
      <c r="B7945">
        <v>78</v>
      </c>
    </row>
    <row r="7946" spans="1:2" x14ac:dyDescent="0.25">
      <c r="A7946" s="418" t="s">
        <v>17419</v>
      </c>
      <c r="B7946">
        <v>77</v>
      </c>
    </row>
    <row r="7947" spans="1:2" x14ac:dyDescent="0.25">
      <c r="A7947" s="418" t="s">
        <v>14950</v>
      </c>
      <c r="B7947">
        <v>78</v>
      </c>
    </row>
    <row r="7948" spans="1:2" x14ac:dyDescent="0.25">
      <c r="A7948" s="418" t="s">
        <v>17420</v>
      </c>
      <c r="B7948">
        <v>73</v>
      </c>
    </row>
    <row r="7949" spans="1:2" x14ac:dyDescent="0.25">
      <c r="A7949" s="418" t="s">
        <v>14951</v>
      </c>
      <c r="B7949">
        <v>56</v>
      </c>
    </row>
    <row r="7950" spans="1:2" x14ac:dyDescent="0.25">
      <c r="A7950" s="418" t="s">
        <v>14952</v>
      </c>
      <c r="B7950">
        <v>47</v>
      </c>
    </row>
    <row r="7951" spans="1:2" x14ac:dyDescent="0.25">
      <c r="A7951" s="418" t="s">
        <v>14953</v>
      </c>
      <c r="B7951">
        <v>52</v>
      </c>
    </row>
    <row r="7952" spans="1:2" x14ac:dyDescent="0.25">
      <c r="A7952" s="418" t="s">
        <v>14954</v>
      </c>
      <c r="B7952">
        <v>59</v>
      </c>
    </row>
    <row r="7953" spans="1:2" x14ac:dyDescent="0.25">
      <c r="A7953" s="418" t="s">
        <v>14955</v>
      </c>
      <c r="B7953">
        <v>58</v>
      </c>
    </row>
    <row r="7954" spans="1:2" x14ac:dyDescent="0.25">
      <c r="A7954" s="418" t="s">
        <v>14956</v>
      </c>
      <c r="B7954">
        <v>59</v>
      </c>
    </row>
    <row r="7955" spans="1:2" x14ac:dyDescent="0.25">
      <c r="A7955" s="418" t="s">
        <v>16755</v>
      </c>
      <c r="B7955">
        <v>56</v>
      </c>
    </row>
    <row r="7956" spans="1:2" x14ac:dyDescent="0.25">
      <c r="A7956" s="418" t="s">
        <v>14957</v>
      </c>
      <c r="B7956">
        <v>55</v>
      </c>
    </row>
    <row r="7957" spans="1:2" x14ac:dyDescent="0.25">
      <c r="A7957" s="418" t="s">
        <v>14958</v>
      </c>
      <c r="B7957">
        <v>38</v>
      </c>
    </row>
    <row r="7958" spans="1:2" x14ac:dyDescent="0.25">
      <c r="A7958" s="418" t="s">
        <v>14959</v>
      </c>
      <c r="B7958">
        <v>54</v>
      </c>
    </row>
    <row r="7959" spans="1:2" x14ac:dyDescent="0.25">
      <c r="A7959" s="418" t="s">
        <v>14960</v>
      </c>
      <c r="B7959">
        <v>60</v>
      </c>
    </row>
    <row r="7960" spans="1:2" x14ac:dyDescent="0.25">
      <c r="A7960" s="418" t="s">
        <v>14961</v>
      </c>
      <c r="B7960">
        <v>60</v>
      </c>
    </row>
    <row r="7961" spans="1:2" x14ac:dyDescent="0.25">
      <c r="A7961" s="418" t="s">
        <v>14962</v>
      </c>
      <c r="B7961">
        <v>60</v>
      </c>
    </row>
    <row r="7962" spans="1:2" x14ac:dyDescent="0.25">
      <c r="A7962" s="418" t="s">
        <v>14963</v>
      </c>
      <c r="B7962">
        <v>59</v>
      </c>
    </row>
    <row r="7963" spans="1:2" x14ac:dyDescent="0.25">
      <c r="A7963" s="418" t="s">
        <v>14964</v>
      </c>
      <c r="B7963">
        <v>60</v>
      </c>
    </row>
    <row r="7964" spans="1:2" x14ac:dyDescent="0.25">
      <c r="A7964" s="418" t="s">
        <v>14965</v>
      </c>
      <c r="B7964">
        <v>57</v>
      </c>
    </row>
    <row r="7965" spans="1:2" x14ac:dyDescent="0.25">
      <c r="A7965" s="418" t="s">
        <v>14966</v>
      </c>
      <c r="B7965">
        <v>49</v>
      </c>
    </row>
    <row r="7966" spans="1:2" x14ac:dyDescent="0.25">
      <c r="A7966" s="418" t="s">
        <v>14967</v>
      </c>
      <c r="B7966">
        <v>57</v>
      </c>
    </row>
    <row r="7967" spans="1:2" x14ac:dyDescent="0.25">
      <c r="A7967" s="418" t="s">
        <v>14968</v>
      </c>
      <c r="B7967">
        <v>60</v>
      </c>
    </row>
    <row r="7968" spans="1:2" x14ac:dyDescent="0.25">
      <c r="A7968" s="418" t="s">
        <v>14969</v>
      </c>
      <c r="B7968">
        <v>44</v>
      </c>
    </row>
    <row r="7969" spans="1:2" x14ac:dyDescent="0.25">
      <c r="A7969" s="418" t="s">
        <v>14970</v>
      </c>
      <c r="B7969">
        <v>57</v>
      </c>
    </row>
    <row r="7970" spans="1:2" x14ac:dyDescent="0.25">
      <c r="A7970" s="418" t="s">
        <v>14971</v>
      </c>
      <c r="B7970">
        <v>55</v>
      </c>
    </row>
    <row r="7971" spans="1:2" x14ac:dyDescent="0.25">
      <c r="A7971" s="418" t="s">
        <v>14972</v>
      </c>
      <c r="B7971">
        <v>57</v>
      </c>
    </row>
    <row r="7972" spans="1:2" x14ac:dyDescent="0.25">
      <c r="A7972" s="418" t="s">
        <v>14973</v>
      </c>
      <c r="B7972">
        <v>56</v>
      </c>
    </row>
    <row r="7973" spans="1:2" x14ac:dyDescent="0.25">
      <c r="A7973" s="418" t="s">
        <v>14974</v>
      </c>
      <c r="B7973">
        <v>57</v>
      </c>
    </row>
    <row r="7974" spans="1:2" x14ac:dyDescent="0.25">
      <c r="A7974" s="418" t="s">
        <v>14975</v>
      </c>
      <c r="B7974">
        <v>48</v>
      </c>
    </row>
    <row r="7975" spans="1:2" x14ac:dyDescent="0.25">
      <c r="A7975" s="418" t="s">
        <v>14976</v>
      </c>
      <c r="B7975">
        <v>60</v>
      </c>
    </row>
    <row r="7976" spans="1:2" x14ac:dyDescent="0.25">
      <c r="A7976" s="418" t="s">
        <v>14977</v>
      </c>
      <c r="B7976">
        <v>60</v>
      </c>
    </row>
    <row r="7977" spans="1:2" x14ac:dyDescent="0.25">
      <c r="A7977" s="418" t="s">
        <v>14978</v>
      </c>
      <c r="B7977">
        <v>40</v>
      </c>
    </row>
    <row r="7978" spans="1:2" x14ac:dyDescent="0.25">
      <c r="A7978" s="418" t="s">
        <v>14979</v>
      </c>
      <c r="B7978">
        <v>58</v>
      </c>
    </row>
    <row r="7979" spans="1:2" x14ac:dyDescent="0.25">
      <c r="A7979" s="418" t="s">
        <v>14980</v>
      </c>
      <c r="B7979">
        <v>57</v>
      </c>
    </row>
    <row r="7980" spans="1:2" x14ac:dyDescent="0.25">
      <c r="A7980" s="418" t="s">
        <v>14981</v>
      </c>
      <c r="B7980">
        <v>57</v>
      </c>
    </row>
    <row r="7981" spans="1:2" x14ac:dyDescent="0.25">
      <c r="A7981" s="418" t="s">
        <v>14982</v>
      </c>
      <c r="B7981">
        <v>49</v>
      </c>
    </row>
    <row r="7982" spans="1:2" x14ac:dyDescent="0.25">
      <c r="A7982" s="418" t="s">
        <v>14983</v>
      </c>
      <c r="B7982">
        <v>58</v>
      </c>
    </row>
    <row r="7983" spans="1:2" x14ac:dyDescent="0.25">
      <c r="A7983" s="418" t="s">
        <v>14984</v>
      </c>
      <c r="B7983">
        <v>58</v>
      </c>
    </row>
    <row r="7984" spans="1:2" x14ac:dyDescent="0.25">
      <c r="A7984" s="418" t="s">
        <v>14985</v>
      </c>
      <c r="B7984">
        <v>58</v>
      </c>
    </row>
    <row r="7985" spans="1:2" x14ac:dyDescent="0.25">
      <c r="A7985" s="418" t="s">
        <v>14986</v>
      </c>
      <c r="B7985">
        <v>60</v>
      </c>
    </row>
    <row r="7986" spans="1:2" x14ac:dyDescent="0.25">
      <c r="A7986" s="418" t="s">
        <v>14987</v>
      </c>
      <c r="B7986">
        <v>58</v>
      </c>
    </row>
    <row r="7987" spans="1:2" x14ac:dyDescent="0.25">
      <c r="A7987" s="418" t="s">
        <v>14988</v>
      </c>
      <c r="B7987">
        <v>58</v>
      </c>
    </row>
    <row r="7988" spans="1:2" x14ac:dyDescent="0.25">
      <c r="A7988" s="418" t="s">
        <v>14989</v>
      </c>
      <c r="B7988">
        <v>51</v>
      </c>
    </row>
    <row r="7989" spans="1:2" x14ac:dyDescent="0.25">
      <c r="A7989" s="418" t="s">
        <v>14990</v>
      </c>
      <c r="B7989">
        <v>54</v>
      </c>
    </row>
    <row r="7990" spans="1:2" x14ac:dyDescent="0.25">
      <c r="A7990" s="418" t="s">
        <v>14991</v>
      </c>
      <c r="B7990">
        <v>52</v>
      </c>
    </row>
    <row r="7991" spans="1:2" x14ac:dyDescent="0.25">
      <c r="A7991" s="418" t="s">
        <v>14992</v>
      </c>
      <c r="B7991">
        <v>54</v>
      </c>
    </row>
    <row r="7992" spans="1:2" x14ac:dyDescent="0.25">
      <c r="A7992" s="418" t="s">
        <v>14993</v>
      </c>
      <c r="B7992">
        <v>60</v>
      </c>
    </row>
    <row r="7993" spans="1:2" x14ac:dyDescent="0.25">
      <c r="A7993" s="418" t="s">
        <v>14994</v>
      </c>
      <c r="B7993">
        <v>60</v>
      </c>
    </row>
    <row r="7994" spans="1:2" x14ac:dyDescent="0.25">
      <c r="A7994" s="418" t="s">
        <v>14995</v>
      </c>
      <c r="B7994">
        <v>55</v>
      </c>
    </row>
    <row r="7995" spans="1:2" x14ac:dyDescent="0.25">
      <c r="A7995" s="418" t="s">
        <v>14996</v>
      </c>
      <c r="B7995">
        <v>53</v>
      </c>
    </row>
    <row r="7996" spans="1:2" x14ac:dyDescent="0.25">
      <c r="A7996" s="418" t="s">
        <v>14997</v>
      </c>
      <c r="B7996">
        <v>58</v>
      </c>
    </row>
    <row r="7997" spans="1:2" x14ac:dyDescent="0.25">
      <c r="A7997" s="418" t="s">
        <v>14998</v>
      </c>
      <c r="B7997">
        <v>58</v>
      </c>
    </row>
    <row r="7998" spans="1:2" x14ac:dyDescent="0.25">
      <c r="A7998" s="418" t="s">
        <v>14999</v>
      </c>
      <c r="B7998">
        <v>43</v>
      </c>
    </row>
    <row r="7999" spans="1:2" x14ac:dyDescent="0.25">
      <c r="A7999" s="418" t="s">
        <v>15000</v>
      </c>
      <c r="B7999">
        <v>53</v>
      </c>
    </row>
    <row r="8000" spans="1:2" x14ac:dyDescent="0.25">
      <c r="A8000" s="418" t="s">
        <v>15001</v>
      </c>
      <c r="B8000">
        <v>59</v>
      </c>
    </row>
    <row r="8001" spans="1:2" x14ac:dyDescent="0.25">
      <c r="A8001" s="418" t="s">
        <v>15002</v>
      </c>
      <c r="B8001">
        <v>47</v>
      </c>
    </row>
    <row r="8002" spans="1:2" x14ac:dyDescent="0.25">
      <c r="A8002" s="418" t="s">
        <v>15003</v>
      </c>
      <c r="B8002">
        <v>58</v>
      </c>
    </row>
    <row r="8003" spans="1:2" x14ac:dyDescent="0.25">
      <c r="A8003" s="418" t="s">
        <v>15004</v>
      </c>
      <c r="B8003">
        <v>59</v>
      </c>
    </row>
    <row r="8004" spans="1:2" x14ac:dyDescent="0.25">
      <c r="A8004" s="418" t="s">
        <v>15005</v>
      </c>
      <c r="B8004">
        <v>60</v>
      </c>
    </row>
    <row r="8005" spans="1:2" x14ac:dyDescent="0.25">
      <c r="A8005" s="418" t="s">
        <v>15006</v>
      </c>
      <c r="B8005">
        <v>60</v>
      </c>
    </row>
    <row r="8006" spans="1:2" x14ac:dyDescent="0.25">
      <c r="A8006" s="418" t="s">
        <v>15007</v>
      </c>
      <c r="B8006">
        <v>55</v>
      </c>
    </row>
    <row r="8007" spans="1:2" x14ac:dyDescent="0.25">
      <c r="A8007" s="418" t="s">
        <v>15008</v>
      </c>
      <c r="B8007">
        <v>56</v>
      </c>
    </row>
    <row r="8008" spans="1:2" x14ac:dyDescent="0.25">
      <c r="A8008" s="418" t="s">
        <v>15009</v>
      </c>
      <c r="B8008">
        <v>58</v>
      </c>
    </row>
    <row r="8009" spans="1:2" x14ac:dyDescent="0.25">
      <c r="A8009" s="418" t="s">
        <v>15010</v>
      </c>
      <c r="B8009">
        <v>58</v>
      </c>
    </row>
    <row r="8010" spans="1:2" x14ac:dyDescent="0.25">
      <c r="A8010" s="418" t="s">
        <v>15011</v>
      </c>
      <c r="B8010">
        <v>53</v>
      </c>
    </row>
    <row r="8011" spans="1:2" x14ac:dyDescent="0.25">
      <c r="A8011" s="418" t="s">
        <v>15012</v>
      </c>
      <c r="B8011">
        <v>48</v>
      </c>
    </row>
    <row r="8012" spans="1:2" x14ac:dyDescent="0.25">
      <c r="A8012" s="418" t="s">
        <v>15013</v>
      </c>
      <c r="B8012">
        <v>55</v>
      </c>
    </row>
    <row r="8013" spans="1:2" x14ac:dyDescent="0.25">
      <c r="A8013" s="418" t="s">
        <v>15014</v>
      </c>
      <c r="B8013">
        <v>54</v>
      </c>
    </row>
    <row r="8014" spans="1:2" x14ac:dyDescent="0.25">
      <c r="A8014" s="418" t="s">
        <v>15015</v>
      </c>
      <c r="B8014">
        <v>57</v>
      </c>
    </row>
    <row r="8015" spans="1:2" x14ac:dyDescent="0.25">
      <c r="A8015" s="418" t="s">
        <v>15016</v>
      </c>
      <c r="B8015">
        <v>57</v>
      </c>
    </row>
    <row r="8016" spans="1:2" x14ac:dyDescent="0.25">
      <c r="A8016" s="418" t="s">
        <v>15017</v>
      </c>
      <c r="B8016">
        <v>58</v>
      </c>
    </row>
    <row r="8017" spans="1:2" x14ac:dyDescent="0.25">
      <c r="A8017" s="418" t="s">
        <v>15018</v>
      </c>
      <c r="B8017">
        <v>57</v>
      </c>
    </row>
    <row r="8018" spans="1:2" x14ac:dyDescent="0.25">
      <c r="A8018" s="418" t="s">
        <v>15019</v>
      </c>
      <c r="B8018">
        <v>58</v>
      </c>
    </row>
    <row r="8019" spans="1:2" x14ac:dyDescent="0.25">
      <c r="A8019" s="418" t="s">
        <v>15020</v>
      </c>
      <c r="B8019">
        <v>59</v>
      </c>
    </row>
    <row r="8020" spans="1:2" x14ac:dyDescent="0.25">
      <c r="A8020" s="418" t="s">
        <v>15021</v>
      </c>
      <c r="B8020">
        <v>59</v>
      </c>
    </row>
    <row r="8021" spans="1:2" x14ac:dyDescent="0.25">
      <c r="A8021" s="418" t="s">
        <v>15022</v>
      </c>
      <c r="B8021">
        <v>60</v>
      </c>
    </row>
    <row r="8022" spans="1:2" x14ac:dyDescent="0.25">
      <c r="A8022" s="418" t="s">
        <v>15023</v>
      </c>
      <c r="B8022">
        <v>58</v>
      </c>
    </row>
    <row r="8023" spans="1:2" x14ac:dyDescent="0.25">
      <c r="A8023" s="418" t="s">
        <v>15024</v>
      </c>
      <c r="B8023">
        <v>52</v>
      </c>
    </row>
    <row r="8024" spans="1:2" x14ac:dyDescent="0.25">
      <c r="A8024" s="418" t="s">
        <v>15025</v>
      </c>
      <c r="B8024">
        <v>57</v>
      </c>
    </row>
    <row r="8025" spans="1:2" x14ac:dyDescent="0.25">
      <c r="A8025" s="418" t="s">
        <v>15026</v>
      </c>
      <c r="B8025">
        <v>58</v>
      </c>
    </row>
    <row r="8026" spans="1:2" x14ac:dyDescent="0.25">
      <c r="A8026" s="418" t="s">
        <v>15027</v>
      </c>
      <c r="B8026">
        <v>52</v>
      </c>
    </row>
    <row r="8027" spans="1:2" x14ac:dyDescent="0.25">
      <c r="A8027" s="418" t="s">
        <v>15028</v>
      </c>
      <c r="B8027">
        <v>59</v>
      </c>
    </row>
    <row r="8028" spans="1:2" x14ac:dyDescent="0.25">
      <c r="A8028" s="418" t="s">
        <v>15029</v>
      </c>
      <c r="B8028">
        <v>56</v>
      </c>
    </row>
    <row r="8029" spans="1:2" x14ac:dyDescent="0.25">
      <c r="A8029" s="418" t="s">
        <v>15030</v>
      </c>
      <c r="B8029">
        <v>57</v>
      </c>
    </row>
    <row r="8030" spans="1:2" x14ac:dyDescent="0.25">
      <c r="A8030" s="418" t="s">
        <v>15031</v>
      </c>
      <c r="B8030">
        <v>59</v>
      </c>
    </row>
    <row r="8031" spans="1:2" x14ac:dyDescent="0.25">
      <c r="A8031" s="418" t="s">
        <v>15032</v>
      </c>
      <c r="B8031">
        <v>57</v>
      </c>
    </row>
    <row r="8032" spans="1:2" x14ac:dyDescent="0.25">
      <c r="A8032" s="418" t="s">
        <v>15033</v>
      </c>
      <c r="B8032">
        <v>46</v>
      </c>
    </row>
    <row r="8033" spans="1:2" x14ac:dyDescent="0.25">
      <c r="A8033" s="418" t="s">
        <v>15034</v>
      </c>
      <c r="B8033">
        <v>57</v>
      </c>
    </row>
    <row r="8034" spans="1:2" x14ac:dyDescent="0.25">
      <c r="A8034" s="418" t="s">
        <v>15035</v>
      </c>
      <c r="B8034">
        <v>60</v>
      </c>
    </row>
    <row r="8035" spans="1:2" x14ac:dyDescent="0.25">
      <c r="A8035" s="418" t="s">
        <v>15036</v>
      </c>
      <c r="B8035">
        <v>58</v>
      </c>
    </row>
    <row r="8036" spans="1:2" x14ac:dyDescent="0.25">
      <c r="A8036" s="418" t="s">
        <v>15037</v>
      </c>
      <c r="B8036">
        <v>58</v>
      </c>
    </row>
    <row r="8037" spans="1:2" x14ac:dyDescent="0.25">
      <c r="A8037" s="418" t="s">
        <v>15038</v>
      </c>
      <c r="B8037">
        <v>59</v>
      </c>
    </row>
    <row r="8038" spans="1:2" x14ac:dyDescent="0.25">
      <c r="A8038" s="418" t="s">
        <v>15039</v>
      </c>
      <c r="B8038">
        <v>56</v>
      </c>
    </row>
    <row r="8039" spans="1:2" x14ac:dyDescent="0.25">
      <c r="A8039" s="418" t="s">
        <v>15040</v>
      </c>
      <c r="B8039">
        <v>56</v>
      </c>
    </row>
    <row r="8040" spans="1:2" x14ac:dyDescent="0.25">
      <c r="A8040" s="418" t="s">
        <v>15041</v>
      </c>
      <c r="B8040">
        <v>57</v>
      </c>
    </row>
    <row r="8041" spans="1:2" x14ac:dyDescent="0.25">
      <c r="A8041" s="418" t="s">
        <v>15042</v>
      </c>
      <c r="B8041">
        <v>60</v>
      </c>
    </row>
    <row r="8042" spans="1:2" x14ac:dyDescent="0.25">
      <c r="A8042" s="418" t="s">
        <v>15043</v>
      </c>
      <c r="B8042">
        <v>59</v>
      </c>
    </row>
    <row r="8043" spans="1:2" x14ac:dyDescent="0.25">
      <c r="A8043" s="418" t="s">
        <v>15044</v>
      </c>
      <c r="B8043">
        <v>55</v>
      </c>
    </row>
    <row r="8044" spans="1:2" x14ac:dyDescent="0.25">
      <c r="A8044" s="418" t="s">
        <v>15045</v>
      </c>
      <c r="B8044">
        <v>56</v>
      </c>
    </row>
    <row r="8045" spans="1:2" x14ac:dyDescent="0.25">
      <c r="A8045" s="418" t="s">
        <v>15046</v>
      </c>
      <c r="B8045">
        <v>58</v>
      </c>
    </row>
    <row r="8046" spans="1:2" x14ac:dyDescent="0.25">
      <c r="A8046" s="418" t="s">
        <v>15047</v>
      </c>
      <c r="B8046">
        <v>60</v>
      </c>
    </row>
    <row r="8047" spans="1:2" x14ac:dyDescent="0.25">
      <c r="A8047" s="418" t="s">
        <v>15048</v>
      </c>
      <c r="B8047">
        <v>56</v>
      </c>
    </row>
    <row r="8048" spans="1:2" x14ac:dyDescent="0.25">
      <c r="A8048" s="418" t="s">
        <v>17421</v>
      </c>
      <c r="B8048">
        <v>55</v>
      </c>
    </row>
    <row r="8049" spans="1:2" x14ac:dyDescent="0.25">
      <c r="A8049" s="418" t="s">
        <v>15049</v>
      </c>
      <c r="B8049">
        <v>50</v>
      </c>
    </row>
    <row r="8050" spans="1:2" x14ac:dyDescent="0.25">
      <c r="A8050" s="418" t="s">
        <v>17422</v>
      </c>
      <c r="B8050">
        <v>54</v>
      </c>
    </row>
    <row r="8051" spans="1:2" x14ac:dyDescent="0.25">
      <c r="A8051" s="418" t="s">
        <v>15050</v>
      </c>
      <c r="B8051">
        <v>60</v>
      </c>
    </row>
    <row r="8052" spans="1:2" x14ac:dyDescent="0.25">
      <c r="A8052" s="418" t="s">
        <v>17423</v>
      </c>
      <c r="B8052">
        <v>58</v>
      </c>
    </row>
    <row r="8053" spans="1:2" x14ac:dyDescent="0.25">
      <c r="A8053" s="418" t="s">
        <v>15051</v>
      </c>
      <c r="B8053">
        <v>60</v>
      </c>
    </row>
    <row r="8054" spans="1:2" x14ac:dyDescent="0.25">
      <c r="A8054" s="418" t="s">
        <v>15052</v>
      </c>
      <c r="B8054">
        <v>57</v>
      </c>
    </row>
    <row r="8055" spans="1:2" x14ac:dyDescent="0.25">
      <c r="A8055" s="418" t="s">
        <v>15053</v>
      </c>
      <c r="B8055">
        <v>54</v>
      </c>
    </row>
    <row r="8056" spans="1:2" x14ac:dyDescent="0.25">
      <c r="A8056" s="418" t="s">
        <v>15054</v>
      </c>
      <c r="B8056">
        <v>55</v>
      </c>
    </row>
    <row r="8057" spans="1:2" x14ac:dyDescent="0.25">
      <c r="A8057" s="418" t="s">
        <v>15055</v>
      </c>
      <c r="B8057">
        <v>58</v>
      </c>
    </row>
    <row r="8058" spans="1:2" x14ac:dyDescent="0.25">
      <c r="A8058" s="418" t="s">
        <v>15056</v>
      </c>
      <c r="B8058">
        <v>58</v>
      </c>
    </row>
    <row r="8059" spans="1:2" x14ac:dyDescent="0.25">
      <c r="A8059" s="418" t="s">
        <v>15057</v>
      </c>
      <c r="B8059">
        <v>58</v>
      </c>
    </row>
    <row r="8060" spans="1:2" x14ac:dyDescent="0.25">
      <c r="A8060" s="418" t="s">
        <v>15058</v>
      </c>
      <c r="B8060">
        <v>56</v>
      </c>
    </row>
    <row r="8061" spans="1:2" x14ac:dyDescent="0.25">
      <c r="A8061" s="418" t="s">
        <v>15059</v>
      </c>
      <c r="B8061">
        <v>55</v>
      </c>
    </row>
    <row r="8062" spans="1:2" x14ac:dyDescent="0.25">
      <c r="A8062" s="418" t="s">
        <v>15060</v>
      </c>
      <c r="B8062">
        <v>58</v>
      </c>
    </row>
    <row r="8063" spans="1:2" x14ac:dyDescent="0.25">
      <c r="A8063" s="418" t="s">
        <v>15061</v>
      </c>
      <c r="B8063">
        <v>57</v>
      </c>
    </row>
    <row r="8064" spans="1:2" x14ac:dyDescent="0.25">
      <c r="A8064" s="418" t="s">
        <v>15062</v>
      </c>
      <c r="B8064">
        <v>51</v>
      </c>
    </row>
    <row r="8065" spans="1:2" x14ac:dyDescent="0.25">
      <c r="A8065" s="418" t="s">
        <v>15063</v>
      </c>
      <c r="B8065">
        <v>60</v>
      </c>
    </row>
    <row r="8066" spans="1:2" x14ac:dyDescent="0.25">
      <c r="A8066" s="418" t="s">
        <v>15064</v>
      </c>
      <c r="B8066">
        <v>55</v>
      </c>
    </row>
    <row r="8067" spans="1:2" x14ac:dyDescent="0.25">
      <c r="A8067" s="418" t="s">
        <v>15065</v>
      </c>
      <c r="B8067">
        <v>56</v>
      </c>
    </row>
    <row r="8068" spans="1:2" x14ac:dyDescent="0.25">
      <c r="A8068" s="418" t="s">
        <v>15066</v>
      </c>
      <c r="B8068">
        <v>57</v>
      </c>
    </row>
    <row r="8069" spans="1:2" x14ac:dyDescent="0.25">
      <c r="A8069" s="418" t="s">
        <v>15067</v>
      </c>
      <c r="B8069">
        <v>60</v>
      </c>
    </row>
    <row r="8070" spans="1:2" x14ac:dyDescent="0.25">
      <c r="A8070" s="418" t="s">
        <v>15068</v>
      </c>
      <c r="B8070">
        <v>58</v>
      </c>
    </row>
    <row r="8071" spans="1:2" x14ac:dyDescent="0.25">
      <c r="A8071" s="418" t="s">
        <v>16980</v>
      </c>
      <c r="B8071">
        <v>57</v>
      </c>
    </row>
    <row r="8072" spans="1:2" x14ac:dyDescent="0.25">
      <c r="A8072" s="418" t="s">
        <v>15069</v>
      </c>
      <c r="B8072">
        <v>50</v>
      </c>
    </row>
    <row r="8073" spans="1:2" x14ac:dyDescent="0.25">
      <c r="A8073" s="418" t="s">
        <v>16035</v>
      </c>
      <c r="B8073">
        <v>56</v>
      </c>
    </row>
    <row r="8074" spans="1:2" x14ac:dyDescent="0.25">
      <c r="A8074" s="418" t="s">
        <v>15070</v>
      </c>
      <c r="B8074">
        <v>60</v>
      </c>
    </row>
    <row r="8075" spans="1:2" x14ac:dyDescent="0.25">
      <c r="A8075" s="418" t="s">
        <v>16756</v>
      </c>
      <c r="B8075">
        <v>54</v>
      </c>
    </row>
    <row r="8076" spans="1:2" x14ac:dyDescent="0.25">
      <c r="A8076" s="418" t="s">
        <v>15071</v>
      </c>
      <c r="B8076">
        <v>55</v>
      </c>
    </row>
    <row r="8077" spans="1:2" x14ac:dyDescent="0.25">
      <c r="A8077" s="418" t="s">
        <v>15072</v>
      </c>
      <c r="B8077">
        <v>60</v>
      </c>
    </row>
    <row r="8078" spans="1:2" x14ac:dyDescent="0.25">
      <c r="A8078" s="418" t="s">
        <v>15073</v>
      </c>
      <c r="B8078">
        <v>60</v>
      </c>
    </row>
    <row r="8079" spans="1:2" x14ac:dyDescent="0.25">
      <c r="A8079" s="418" t="s">
        <v>15074</v>
      </c>
      <c r="B8079">
        <v>59</v>
      </c>
    </row>
    <row r="8080" spans="1:2" x14ac:dyDescent="0.25">
      <c r="A8080" s="418" t="s">
        <v>16981</v>
      </c>
      <c r="B8080">
        <v>60</v>
      </c>
    </row>
    <row r="8081" spans="1:2" x14ac:dyDescent="0.25">
      <c r="A8081" s="418" t="s">
        <v>15075</v>
      </c>
      <c r="B8081">
        <v>60</v>
      </c>
    </row>
    <row r="8082" spans="1:2" x14ac:dyDescent="0.25">
      <c r="A8082" s="418" t="s">
        <v>17424</v>
      </c>
      <c r="B8082">
        <v>60</v>
      </c>
    </row>
    <row r="8083" spans="1:2" x14ac:dyDescent="0.25">
      <c r="A8083" s="418" t="s">
        <v>15622</v>
      </c>
      <c r="B8083">
        <v>60</v>
      </c>
    </row>
    <row r="8084" spans="1:2" x14ac:dyDescent="0.25">
      <c r="A8084" s="418" t="s">
        <v>15076</v>
      </c>
      <c r="B8084">
        <v>59</v>
      </c>
    </row>
    <row r="8085" spans="1:2" x14ac:dyDescent="0.25">
      <c r="A8085" s="418" t="s">
        <v>15077</v>
      </c>
      <c r="B8085">
        <v>58</v>
      </c>
    </row>
    <row r="8086" spans="1:2" x14ac:dyDescent="0.25">
      <c r="A8086" s="418" t="s">
        <v>17425</v>
      </c>
      <c r="B8086">
        <v>60</v>
      </c>
    </row>
    <row r="8087" spans="1:2" x14ac:dyDescent="0.25">
      <c r="A8087" s="418" t="s">
        <v>15340</v>
      </c>
      <c r="B8087">
        <v>58</v>
      </c>
    </row>
    <row r="8088" spans="1:2" x14ac:dyDescent="0.25">
      <c r="A8088" s="418" t="s">
        <v>15078</v>
      </c>
      <c r="B8088">
        <v>59</v>
      </c>
    </row>
    <row r="8089" spans="1:2" x14ac:dyDescent="0.25">
      <c r="A8089" s="418" t="s">
        <v>15079</v>
      </c>
      <c r="B8089">
        <v>60</v>
      </c>
    </row>
    <row r="8090" spans="1:2" x14ac:dyDescent="0.25">
      <c r="A8090" s="418" t="s">
        <v>15080</v>
      </c>
      <c r="B8090">
        <v>60</v>
      </c>
    </row>
    <row r="8091" spans="1:2" x14ac:dyDescent="0.25">
      <c r="A8091" s="418" t="s">
        <v>15081</v>
      </c>
      <c r="B8091">
        <v>58</v>
      </c>
    </row>
    <row r="8092" spans="1:2" x14ac:dyDescent="0.25">
      <c r="A8092" s="418" t="s">
        <v>15082</v>
      </c>
      <c r="B8092">
        <v>60</v>
      </c>
    </row>
    <row r="8093" spans="1:2" x14ac:dyDescent="0.25">
      <c r="A8093" s="418" t="s">
        <v>16228</v>
      </c>
      <c r="B8093">
        <v>56</v>
      </c>
    </row>
    <row r="8094" spans="1:2" x14ac:dyDescent="0.25">
      <c r="A8094" s="418" t="s">
        <v>15083</v>
      </c>
      <c r="B8094">
        <v>60</v>
      </c>
    </row>
    <row r="8095" spans="1:2" x14ac:dyDescent="0.25">
      <c r="A8095" s="418" t="s">
        <v>15084</v>
      </c>
      <c r="B8095">
        <v>58</v>
      </c>
    </row>
    <row r="8096" spans="1:2" x14ac:dyDescent="0.25">
      <c r="A8096" s="418" t="s">
        <v>15085</v>
      </c>
      <c r="B8096">
        <v>60</v>
      </c>
    </row>
    <row r="8097" spans="1:2" x14ac:dyDescent="0.25">
      <c r="A8097" s="418" t="s">
        <v>15599</v>
      </c>
      <c r="B8097">
        <v>56</v>
      </c>
    </row>
    <row r="8098" spans="1:2" x14ac:dyDescent="0.25">
      <c r="A8098" s="418" t="s">
        <v>15086</v>
      </c>
      <c r="B8098">
        <v>59</v>
      </c>
    </row>
    <row r="8099" spans="1:2" x14ac:dyDescent="0.25">
      <c r="A8099" s="418" t="s">
        <v>15087</v>
      </c>
      <c r="B8099">
        <v>58</v>
      </c>
    </row>
    <row r="8100" spans="1:2" x14ac:dyDescent="0.25">
      <c r="A8100" s="418" t="s">
        <v>15088</v>
      </c>
      <c r="B8100">
        <v>59</v>
      </c>
    </row>
    <row r="8101" spans="1:2" x14ac:dyDescent="0.25">
      <c r="A8101" s="418" t="s">
        <v>16757</v>
      </c>
      <c r="B8101">
        <v>60</v>
      </c>
    </row>
    <row r="8102" spans="1:2" x14ac:dyDescent="0.25">
      <c r="A8102" s="418" t="s">
        <v>15089</v>
      </c>
      <c r="B8102">
        <v>57</v>
      </c>
    </row>
    <row r="8103" spans="1:2" x14ac:dyDescent="0.25">
      <c r="A8103" s="418" t="s">
        <v>15090</v>
      </c>
      <c r="B8103">
        <v>57</v>
      </c>
    </row>
    <row r="8104" spans="1:2" x14ac:dyDescent="0.25">
      <c r="A8104" s="418" t="s">
        <v>16185</v>
      </c>
      <c r="B8104">
        <v>60</v>
      </c>
    </row>
    <row r="8105" spans="1:2" x14ac:dyDescent="0.25">
      <c r="A8105" s="418" t="s">
        <v>15091</v>
      </c>
      <c r="B8105">
        <v>60</v>
      </c>
    </row>
    <row r="8106" spans="1:2" x14ac:dyDescent="0.25">
      <c r="A8106" s="418" t="s">
        <v>16758</v>
      </c>
      <c r="B8106">
        <v>57</v>
      </c>
    </row>
    <row r="8107" spans="1:2" x14ac:dyDescent="0.25">
      <c r="A8107" s="418" t="s">
        <v>15092</v>
      </c>
      <c r="B8107">
        <v>59</v>
      </c>
    </row>
    <row r="8108" spans="1:2" x14ac:dyDescent="0.25">
      <c r="A8108" s="418" t="s">
        <v>15093</v>
      </c>
      <c r="B8108">
        <v>57</v>
      </c>
    </row>
    <row r="8109" spans="1:2" x14ac:dyDescent="0.25">
      <c r="A8109" s="418" t="s">
        <v>17426</v>
      </c>
      <c r="B8109">
        <v>58</v>
      </c>
    </row>
    <row r="8110" spans="1:2" x14ac:dyDescent="0.25">
      <c r="A8110" s="418" t="s">
        <v>16186</v>
      </c>
      <c r="B8110">
        <v>60</v>
      </c>
    </row>
    <row r="8111" spans="1:2" x14ac:dyDescent="0.25">
      <c r="A8111" s="418" t="s">
        <v>15094</v>
      </c>
      <c r="B8111">
        <v>60</v>
      </c>
    </row>
    <row r="8112" spans="1:2" x14ac:dyDescent="0.25">
      <c r="A8112" s="418" t="s">
        <v>16759</v>
      </c>
      <c r="B8112">
        <v>56</v>
      </c>
    </row>
    <row r="8113" spans="1:2" x14ac:dyDescent="0.25">
      <c r="A8113" s="418" t="s">
        <v>16187</v>
      </c>
      <c r="B8113">
        <v>59</v>
      </c>
    </row>
    <row r="8114" spans="1:2" x14ac:dyDescent="0.25">
      <c r="A8114" s="418" t="s">
        <v>15095</v>
      </c>
      <c r="B8114">
        <v>60</v>
      </c>
    </row>
    <row r="8115" spans="1:2" x14ac:dyDescent="0.25">
      <c r="A8115" s="418" t="s">
        <v>16760</v>
      </c>
      <c r="B8115">
        <v>60</v>
      </c>
    </row>
    <row r="8116" spans="1:2" x14ac:dyDescent="0.25">
      <c r="A8116" s="418" t="s">
        <v>16982</v>
      </c>
      <c r="B8116">
        <v>60</v>
      </c>
    </row>
    <row r="8117" spans="1:2" x14ac:dyDescent="0.25">
      <c r="A8117" s="418" t="s">
        <v>15096</v>
      </c>
      <c r="B8117">
        <v>60</v>
      </c>
    </row>
    <row r="8118" spans="1:2" x14ac:dyDescent="0.25">
      <c r="A8118" s="418" t="s">
        <v>16761</v>
      </c>
      <c r="B8118">
        <v>58</v>
      </c>
    </row>
    <row r="8119" spans="1:2" x14ac:dyDescent="0.25">
      <c r="A8119" s="418" t="s">
        <v>16188</v>
      </c>
      <c r="B8119">
        <v>60</v>
      </c>
    </row>
    <row r="8120" spans="1:2" x14ac:dyDescent="0.25">
      <c r="A8120" s="418" t="s">
        <v>15097</v>
      </c>
      <c r="B8120">
        <v>60</v>
      </c>
    </row>
    <row r="8121" spans="1:2" x14ac:dyDescent="0.25">
      <c r="A8121" s="418" t="s">
        <v>15098</v>
      </c>
      <c r="B8121">
        <v>60</v>
      </c>
    </row>
    <row r="8122" spans="1:2" x14ac:dyDescent="0.25">
      <c r="A8122" s="418" t="s">
        <v>16369</v>
      </c>
      <c r="B8122">
        <v>60</v>
      </c>
    </row>
    <row r="8123" spans="1:2" x14ac:dyDescent="0.25">
      <c r="A8123" s="418" t="s">
        <v>15099</v>
      </c>
      <c r="B8123">
        <v>54</v>
      </c>
    </row>
    <row r="8124" spans="1:2" x14ac:dyDescent="0.25">
      <c r="A8124" s="418" t="s">
        <v>17427</v>
      </c>
      <c r="B8124">
        <v>58</v>
      </c>
    </row>
    <row r="8125" spans="1:2" x14ac:dyDescent="0.25">
      <c r="A8125" s="418" t="s">
        <v>15100</v>
      </c>
      <c r="B8125">
        <v>60</v>
      </c>
    </row>
    <row r="8126" spans="1:2" x14ac:dyDescent="0.25">
      <c r="A8126" s="418" t="s">
        <v>15101</v>
      </c>
      <c r="B8126">
        <v>53</v>
      </c>
    </row>
    <row r="8127" spans="1:2" x14ac:dyDescent="0.25">
      <c r="A8127" s="418" t="s">
        <v>15968</v>
      </c>
      <c r="B8127">
        <v>60</v>
      </c>
    </row>
    <row r="8128" spans="1:2" x14ac:dyDescent="0.25">
      <c r="A8128" s="418" t="s">
        <v>15102</v>
      </c>
      <c r="B8128">
        <v>59</v>
      </c>
    </row>
    <row r="8129" spans="1:2" x14ac:dyDescent="0.25">
      <c r="A8129" s="418" t="s">
        <v>17428</v>
      </c>
      <c r="B8129">
        <v>58</v>
      </c>
    </row>
    <row r="8130" spans="1:2" x14ac:dyDescent="0.25">
      <c r="A8130" s="418" t="s">
        <v>17429</v>
      </c>
      <c r="B8130">
        <v>59</v>
      </c>
    </row>
    <row r="8131" spans="1:2" x14ac:dyDescent="0.25">
      <c r="A8131" s="418" t="s">
        <v>17430</v>
      </c>
      <c r="B8131">
        <v>54</v>
      </c>
    </row>
    <row r="8132" spans="1:2" x14ac:dyDescent="0.25">
      <c r="A8132" s="418" t="s">
        <v>16762</v>
      </c>
      <c r="B8132">
        <v>59</v>
      </c>
    </row>
    <row r="8133" spans="1:2" x14ac:dyDescent="0.25">
      <c r="A8133" s="418" t="s">
        <v>17431</v>
      </c>
      <c r="B8133">
        <v>60</v>
      </c>
    </row>
    <row r="8134" spans="1:2" x14ac:dyDescent="0.25">
      <c r="A8134" s="418" t="s">
        <v>17432</v>
      </c>
      <c r="B8134">
        <v>53</v>
      </c>
    </row>
    <row r="8135" spans="1:2" x14ac:dyDescent="0.25">
      <c r="A8135" s="418" t="s">
        <v>15103</v>
      </c>
      <c r="B8135">
        <v>53</v>
      </c>
    </row>
    <row r="8136" spans="1:2" x14ac:dyDescent="0.25">
      <c r="A8136" s="418" t="s">
        <v>15104</v>
      </c>
      <c r="B8136">
        <v>55</v>
      </c>
    </row>
    <row r="8137" spans="1:2" x14ac:dyDescent="0.25">
      <c r="A8137" s="418" t="s">
        <v>15105</v>
      </c>
      <c r="B8137">
        <v>60</v>
      </c>
    </row>
    <row r="8138" spans="1:2" x14ac:dyDescent="0.25">
      <c r="A8138" s="418" t="s">
        <v>16189</v>
      </c>
      <c r="B8138">
        <v>60</v>
      </c>
    </row>
    <row r="8139" spans="1:2" x14ac:dyDescent="0.25">
      <c r="A8139" s="418" t="s">
        <v>15106</v>
      </c>
      <c r="B8139">
        <v>59</v>
      </c>
    </row>
    <row r="8140" spans="1:2" x14ac:dyDescent="0.25">
      <c r="A8140" s="418" t="s">
        <v>15107</v>
      </c>
      <c r="B8140">
        <v>60</v>
      </c>
    </row>
    <row r="8141" spans="1:2" x14ac:dyDescent="0.25">
      <c r="A8141" s="418" t="s">
        <v>15108</v>
      </c>
      <c r="B8141">
        <v>54</v>
      </c>
    </row>
    <row r="8142" spans="1:2" x14ac:dyDescent="0.25">
      <c r="A8142" s="418" t="s">
        <v>15109</v>
      </c>
      <c r="B8142">
        <v>59</v>
      </c>
    </row>
    <row r="8143" spans="1:2" x14ac:dyDescent="0.25">
      <c r="A8143" s="418" t="s">
        <v>17433</v>
      </c>
      <c r="B8143">
        <v>54</v>
      </c>
    </row>
    <row r="8144" spans="1:2" x14ac:dyDescent="0.25">
      <c r="A8144" s="418" t="s">
        <v>15110</v>
      </c>
      <c r="B8144">
        <v>56</v>
      </c>
    </row>
    <row r="8145" spans="1:2" x14ac:dyDescent="0.25">
      <c r="A8145" s="418" t="s">
        <v>15111</v>
      </c>
      <c r="B8145">
        <v>54</v>
      </c>
    </row>
    <row r="8146" spans="1:2" x14ac:dyDescent="0.25">
      <c r="A8146" s="418" t="s">
        <v>15623</v>
      </c>
      <c r="B8146">
        <v>57</v>
      </c>
    </row>
    <row r="8147" spans="1:2" x14ac:dyDescent="0.25">
      <c r="A8147" s="418" t="s">
        <v>15112</v>
      </c>
      <c r="B8147">
        <v>60</v>
      </c>
    </row>
    <row r="8148" spans="1:2" x14ac:dyDescent="0.25">
      <c r="A8148" s="418" t="s">
        <v>15969</v>
      </c>
      <c r="B8148">
        <v>58</v>
      </c>
    </row>
    <row r="8149" spans="1:2" x14ac:dyDescent="0.25">
      <c r="A8149" s="418" t="s">
        <v>15113</v>
      </c>
      <c r="B8149">
        <v>56</v>
      </c>
    </row>
    <row r="8150" spans="1:2" x14ac:dyDescent="0.25">
      <c r="A8150" s="418" t="s">
        <v>16763</v>
      </c>
      <c r="B8150">
        <v>57</v>
      </c>
    </row>
    <row r="8151" spans="1:2" x14ac:dyDescent="0.25">
      <c r="A8151" s="418" t="s">
        <v>15341</v>
      </c>
      <c r="B8151">
        <v>60</v>
      </c>
    </row>
    <row r="8152" spans="1:2" x14ac:dyDescent="0.25">
      <c r="A8152" s="418" t="s">
        <v>17434</v>
      </c>
      <c r="B8152">
        <v>60</v>
      </c>
    </row>
    <row r="8153" spans="1:2" x14ac:dyDescent="0.25">
      <c r="A8153" s="418" t="s">
        <v>15114</v>
      </c>
      <c r="B8153">
        <v>60</v>
      </c>
    </row>
    <row r="8154" spans="1:2" x14ac:dyDescent="0.25">
      <c r="A8154" s="418" t="s">
        <v>15697</v>
      </c>
      <c r="B8154">
        <v>60</v>
      </c>
    </row>
    <row r="8155" spans="1:2" x14ac:dyDescent="0.25">
      <c r="A8155" s="418" t="s">
        <v>15115</v>
      </c>
      <c r="B8155">
        <v>58</v>
      </c>
    </row>
    <row r="8156" spans="1:2" x14ac:dyDescent="0.25">
      <c r="A8156" s="418" t="s">
        <v>16764</v>
      </c>
      <c r="B8156">
        <v>58</v>
      </c>
    </row>
    <row r="8157" spans="1:2" x14ac:dyDescent="0.25">
      <c r="A8157" s="418" t="s">
        <v>16983</v>
      </c>
      <c r="B8157">
        <v>57</v>
      </c>
    </row>
    <row r="8158" spans="1:2" x14ac:dyDescent="0.25">
      <c r="A8158" s="418" t="s">
        <v>17435</v>
      </c>
      <c r="B8158">
        <v>60</v>
      </c>
    </row>
    <row r="8159" spans="1:2" x14ac:dyDescent="0.25">
      <c r="A8159" s="418" t="s">
        <v>17436</v>
      </c>
      <c r="B8159">
        <v>54</v>
      </c>
    </row>
    <row r="8160" spans="1:2" x14ac:dyDescent="0.25">
      <c r="A8160" s="418" t="s">
        <v>15116</v>
      </c>
      <c r="B8160">
        <v>58</v>
      </c>
    </row>
    <row r="8161" spans="1:2" x14ac:dyDescent="0.25">
      <c r="A8161" s="418" t="s">
        <v>15117</v>
      </c>
      <c r="B8161">
        <v>56</v>
      </c>
    </row>
    <row r="8162" spans="1:2" x14ac:dyDescent="0.25">
      <c r="A8162" s="418" t="s">
        <v>15118</v>
      </c>
      <c r="B8162">
        <v>60</v>
      </c>
    </row>
    <row r="8163" spans="1:2" x14ac:dyDescent="0.25">
      <c r="A8163" s="418" t="s">
        <v>15600</v>
      </c>
      <c r="B8163">
        <v>54</v>
      </c>
    </row>
    <row r="8164" spans="1:2" x14ac:dyDescent="0.25">
      <c r="A8164" s="418" t="s">
        <v>16765</v>
      </c>
      <c r="B8164">
        <v>60</v>
      </c>
    </row>
    <row r="8165" spans="1:2" x14ac:dyDescent="0.25">
      <c r="A8165" s="418" t="s">
        <v>15119</v>
      </c>
      <c r="B8165">
        <v>58</v>
      </c>
    </row>
    <row r="8166" spans="1:2" x14ac:dyDescent="0.25">
      <c r="A8166" s="418" t="s">
        <v>16370</v>
      </c>
      <c r="B8166">
        <v>55</v>
      </c>
    </row>
    <row r="8167" spans="1:2" x14ac:dyDescent="0.25">
      <c r="A8167" s="418" t="s">
        <v>17437</v>
      </c>
      <c r="B8167">
        <v>55</v>
      </c>
    </row>
    <row r="8168" spans="1:2" x14ac:dyDescent="0.25">
      <c r="A8168" s="418" t="s">
        <v>15946</v>
      </c>
      <c r="B8168">
        <v>56</v>
      </c>
    </row>
    <row r="8169" spans="1:2" x14ac:dyDescent="0.25">
      <c r="A8169" s="418" t="s">
        <v>16984</v>
      </c>
      <c r="B8169">
        <v>58</v>
      </c>
    </row>
    <row r="8170" spans="1:2" x14ac:dyDescent="0.25">
      <c r="A8170" s="418" t="s">
        <v>16766</v>
      </c>
      <c r="B8170">
        <v>60</v>
      </c>
    </row>
    <row r="8171" spans="1:2" x14ac:dyDescent="0.25">
      <c r="A8171" s="418" t="s">
        <v>15601</v>
      </c>
      <c r="B8171">
        <v>56</v>
      </c>
    </row>
    <row r="8172" spans="1:2" x14ac:dyDescent="0.25">
      <c r="A8172" s="418" t="s">
        <v>16767</v>
      </c>
      <c r="B8172">
        <v>60</v>
      </c>
    </row>
    <row r="8173" spans="1:2" x14ac:dyDescent="0.25">
      <c r="A8173" s="418" t="s">
        <v>15120</v>
      </c>
      <c r="B8173">
        <v>58</v>
      </c>
    </row>
    <row r="8174" spans="1:2" x14ac:dyDescent="0.25">
      <c r="A8174" s="418" t="s">
        <v>16985</v>
      </c>
      <c r="B8174">
        <v>54</v>
      </c>
    </row>
    <row r="8175" spans="1:2" x14ac:dyDescent="0.25">
      <c r="A8175" s="418" t="s">
        <v>15121</v>
      </c>
      <c r="B8175">
        <v>57</v>
      </c>
    </row>
    <row r="8176" spans="1:2" x14ac:dyDescent="0.25">
      <c r="A8176" s="418" t="s">
        <v>16986</v>
      </c>
      <c r="B8176">
        <v>57</v>
      </c>
    </row>
    <row r="8177" spans="1:2" x14ac:dyDescent="0.25">
      <c r="A8177" s="418" t="s">
        <v>16768</v>
      </c>
      <c r="B8177">
        <v>58</v>
      </c>
    </row>
    <row r="8178" spans="1:2" x14ac:dyDescent="0.25">
      <c r="A8178" s="418" t="s">
        <v>17438</v>
      </c>
      <c r="B8178">
        <v>60</v>
      </c>
    </row>
    <row r="8179" spans="1:2" x14ac:dyDescent="0.25">
      <c r="A8179" s="418" t="s">
        <v>16371</v>
      </c>
      <c r="B8179">
        <v>60</v>
      </c>
    </row>
    <row r="8180" spans="1:2" x14ac:dyDescent="0.25">
      <c r="A8180" s="418" t="s">
        <v>17439</v>
      </c>
      <c r="B8180">
        <v>55</v>
      </c>
    </row>
    <row r="8181" spans="1:2" x14ac:dyDescent="0.25">
      <c r="A8181" s="418" t="s">
        <v>16987</v>
      </c>
      <c r="B8181">
        <v>58</v>
      </c>
    </row>
    <row r="8182" spans="1:2" x14ac:dyDescent="0.25">
      <c r="A8182" s="418" t="s">
        <v>17440</v>
      </c>
      <c r="B8182">
        <v>60</v>
      </c>
    </row>
    <row r="8183" spans="1:2" x14ac:dyDescent="0.25">
      <c r="A8183" s="418" t="s">
        <v>17441</v>
      </c>
      <c r="B8183">
        <v>59</v>
      </c>
    </row>
    <row r="8184" spans="1:2" x14ac:dyDescent="0.25">
      <c r="A8184" s="418" t="s">
        <v>17442</v>
      </c>
      <c r="B8184">
        <v>60</v>
      </c>
    </row>
    <row r="8185" spans="1:2" x14ac:dyDescent="0.25">
      <c r="A8185" s="418" t="s">
        <v>17443</v>
      </c>
      <c r="B8185">
        <v>59</v>
      </c>
    </row>
    <row r="8186" spans="1:2" x14ac:dyDescent="0.25">
      <c r="A8186" s="418" t="s">
        <v>17444</v>
      </c>
      <c r="B8186">
        <v>60</v>
      </c>
    </row>
    <row r="8187" spans="1:2" x14ac:dyDescent="0.25">
      <c r="A8187" s="418" t="s">
        <v>16769</v>
      </c>
      <c r="B8187">
        <v>58</v>
      </c>
    </row>
    <row r="8188" spans="1:2" x14ac:dyDescent="0.25">
      <c r="A8188" s="418" t="s">
        <v>17445</v>
      </c>
      <c r="B8188">
        <v>58</v>
      </c>
    </row>
    <row r="8189" spans="1:2" x14ac:dyDescent="0.25">
      <c r="A8189" s="418" t="s">
        <v>16770</v>
      </c>
      <c r="B8189">
        <v>60</v>
      </c>
    </row>
    <row r="8190" spans="1:2" x14ac:dyDescent="0.25">
      <c r="A8190" s="418" t="s">
        <v>16988</v>
      </c>
      <c r="B8190">
        <v>60</v>
      </c>
    </row>
    <row r="8191" spans="1:2" x14ac:dyDescent="0.25">
      <c r="A8191" s="418" t="s">
        <v>17446</v>
      </c>
      <c r="B8191">
        <v>60</v>
      </c>
    </row>
    <row r="8192" spans="1:2" x14ac:dyDescent="0.25">
      <c r="A8192" s="418" t="s">
        <v>16372</v>
      </c>
      <c r="B8192">
        <v>60</v>
      </c>
    </row>
    <row r="8193" spans="1:2" x14ac:dyDescent="0.25">
      <c r="A8193" s="418" t="s">
        <v>16771</v>
      </c>
      <c r="B8193">
        <v>57</v>
      </c>
    </row>
    <row r="8194" spans="1:2" x14ac:dyDescent="0.25">
      <c r="A8194" s="418" t="s">
        <v>17447</v>
      </c>
      <c r="B8194">
        <v>60</v>
      </c>
    </row>
    <row r="8195" spans="1:2" x14ac:dyDescent="0.25">
      <c r="A8195" s="418" t="s">
        <v>16989</v>
      </c>
      <c r="B8195">
        <v>60</v>
      </c>
    </row>
    <row r="8196" spans="1:2" x14ac:dyDescent="0.25">
      <c r="A8196" s="418" t="s">
        <v>15698</v>
      </c>
      <c r="B8196">
        <v>3</v>
      </c>
    </row>
    <row r="8197" spans="1:2" x14ac:dyDescent="0.25">
      <c r="A8197" s="418" t="s">
        <v>15699</v>
      </c>
      <c r="B8197">
        <v>1</v>
      </c>
    </row>
    <row r="8198" spans="1:2" x14ac:dyDescent="0.25">
      <c r="A8198" s="418" t="s">
        <v>15700</v>
      </c>
      <c r="B8198">
        <v>1</v>
      </c>
    </row>
    <row r="8199" spans="1:2" x14ac:dyDescent="0.25">
      <c r="A8199" s="418" t="s">
        <v>15701</v>
      </c>
      <c r="B8199">
        <v>5</v>
      </c>
    </row>
    <row r="8200" spans="1:2" x14ac:dyDescent="0.25">
      <c r="A8200" s="418" t="s">
        <v>15702</v>
      </c>
      <c r="B8200">
        <v>1</v>
      </c>
    </row>
    <row r="8201" spans="1:2" x14ac:dyDescent="0.25">
      <c r="A8201" s="418" t="s">
        <v>15703</v>
      </c>
      <c r="B8201">
        <v>5</v>
      </c>
    </row>
    <row r="8202" spans="1:2" x14ac:dyDescent="0.25">
      <c r="A8202" s="418" t="s">
        <v>15704</v>
      </c>
      <c r="B8202">
        <v>5</v>
      </c>
    </row>
    <row r="8203" spans="1:2" x14ac:dyDescent="0.25">
      <c r="A8203" s="418" t="s">
        <v>15705</v>
      </c>
      <c r="B8203">
        <v>1</v>
      </c>
    </row>
    <row r="8204" spans="1:2" x14ac:dyDescent="0.25">
      <c r="A8204" s="418" t="s">
        <v>15706</v>
      </c>
      <c r="B8204">
        <v>2</v>
      </c>
    </row>
    <row r="8205" spans="1:2" x14ac:dyDescent="0.25">
      <c r="A8205" s="418" t="s">
        <v>15707</v>
      </c>
      <c r="B8205">
        <v>2</v>
      </c>
    </row>
    <row r="8206" spans="1:2" x14ac:dyDescent="0.25">
      <c r="A8206" s="418" t="s">
        <v>15708</v>
      </c>
      <c r="B8206">
        <v>1</v>
      </c>
    </row>
    <row r="8207" spans="1:2" x14ac:dyDescent="0.25">
      <c r="A8207" s="418" t="s">
        <v>15709</v>
      </c>
      <c r="B8207">
        <v>2</v>
      </c>
    </row>
    <row r="8208" spans="1:2" x14ac:dyDescent="0.25">
      <c r="A8208" s="418" t="s">
        <v>15710</v>
      </c>
      <c r="B8208">
        <v>3</v>
      </c>
    </row>
    <row r="8209" spans="1:2" x14ac:dyDescent="0.25">
      <c r="A8209" s="418" t="s">
        <v>15711</v>
      </c>
      <c r="B8209">
        <v>1</v>
      </c>
    </row>
    <row r="8210" spans="1:2" x14ac:dyDescent="0.25">
      <c r="A8210" s="418" t="s">
        <v>15712</v>
      </c>
      <c r="B8210">
        <v>2</v>
      </c>
    </row>
    <row r="8211" spans="1:2" x14ac:dyDescent="0.25">
      <c r="A8211" s="418" t="s">
        <v>15713</v>
      </c>
      <c r="B8211">
        <v>1</v>
      </c>
    </row>
    <row r="8212" spans="1:2" x14ac:dyDescent="0.25">
      <c r="A8212" s="418" t="s">
        <v>15714</v>
      </c>
      <c r="B8212">
        <v>2</v>
      </c>
    </row>
    <row r="8213" spans="1:2" x14ac:dyDescent="0.25">
      <c r="A8213" s="418" t="s">
        <v>15715</v>
      </c>
      <c r="B8213">
        <v>1</v>
      </c>
    </row>
    <row r="8214" spans="1:2" x14ac:dyDescent="0.25">
      <c r="A8214" s="418" t="s">
        <v>15716</v>
      </c>
      <c r="B8214">
        <v>5</v>
      </c>
    </row>
    <row r="8215" spans="1:2" x14ac:dyDescent="0.25">
      <c r="A8215" s="418" t="s">
        <v>15717</v>
      </c>
      <c r="B8215">
        <v>4</v>
      </c>
    </row>
    <row r="8216" spans="1:2" x14ac:dyDescent="0.25">
      <c r="A8216" s="418" t="s">
        <v>15718</v>
      </c>
      <c r="B8216">
        <v>4</v>
      </c>
    </row>
    <row r="8217" spans="1:2" x14ac:dyDescent="0.25">
      <c r="A8217" s="418" t="s">
        <v>15719</v>
      </c>
      <c r="B8217">
        <v>6</v>
      </c>
    </row>
    <row r="8218" spans="1:2" x14ac:dyDescent="0.25">
      <c r="A8218" s="418" t="s">
        <v>15720</v>
      </c>
      <c r="B8218">
        <v>2</v>
      </c>
    </row>
    <row r="8219" spans="1:2" x14ac:dyDescent="0.25">
      <c r="A8219" s="418" t="s">
        <v>15721</v>
      </c>
      <c r="B8219">
        <v>1</v>
      </c>
    </row>
    <row r="8220" spans="1:2" x14ac:dyDescent="0.25">
      <c r="A8220" s="418" t="s">
        <v>15722</v>
      </c>
      <c r="B8220">
        <v>5</v>
      </c>
    </row>
    <row r="8221" spans="1:2" x14ac:dyDescent="0.25">
      <c r="A8221" s="418" t="s">
        <v>15723</v>
      </c>
      <c r="B8221">
        <v>1</v>
      </c>
    </row>
    <row r="8222" spans="1:2" x14ac:dyDescent="0.25">
      <c r="A8222" s="418" t="s">
        <v>15724</v>
      </c>
      <c r="B8222">
        <v>5</v>
      </c>
    </row>
    <row r="8223" spans="1:2" x14ac:dyDescent="0.25">
      <c r="A8223" s="418" t="s">
        <v>15725</v>
      </c>
      <c r="B8223">
        <v>1</v>
      </c>
    </row>
    <row r="8224" spans="1:2" x14ac:dyDescent="0.25">
      <c r="A8224" s="418" t="s">
        <v>15726</v>
      </c>
      <c r="B8224">
        <v>10</v>
      </c>
    </row>
    <row r="8225" spans="1:2" x14ac:dyDescent="0.25">
      <c r="A8225" s="418" t="s">
        <v>15727</v>
      </c>
      <c r="B8225">
        <v>4</v>
      </c>
    </row>
    <row r="8226" spans="1:2" x14ac:dyDescent="0.25">
      <c r="A8226" s="418" t="s">
        <v>15728</v>
      </c>
      <c r="B8226">
        <v>1</v>
      </c>
    </row>
    <row r="8227" spans="1:2" x14ac:dyDescent="0.25">
      <c r="A8227" s="418" t="s">
        <v>15729</v>
      </c>
      <c r="B8227">
        <v>8</v>
      </c>
    </row>
    <row r="8228" spans="1:2" x14ac:dyDescent="0.25">
      <c r="A8228" s="418" t="s">
        <v>15730</v>
      </c>
      <c r="B8228">
        <v>3</v>
      </c>
    </row>
    <row r="8229" spans="1:2" x14ac:dyDescent="0.25">
      <c r="A8229" s="418" t="s">
        <v>15731</v>
      </c>
      <c r="B8229">
        <v>1</v>
      </c>
    </row>
    <row r="8230" spans="1:2" x14ac:dyDescent="0.25">
      <c r="A8230" s="418" t="s">
        <v>15732</v>
      </c>
      <c r="B8230">
        <v>5</v>
      </c>
    </row>
    <row r="8231" spans="1:2" x14ac:dyDescent="0.25">
      <c r="A8231" s="418" t="s">
        <v>15733</v>
      </c>
      <c r="B8231">
        <v>2</v>
      </c>
    </row>
    <row r="8232" spans="1:2" x14ac:dyDescent="0.25">
      <c r="A8232" s="418" t="s">
        <v>15734</v>
      </c>
      <c r="B8232">
        <v>1</v>
      </c>
    </row>
    <row r="8233" spans="1:2" x14ac:dyDescent="0.25">
      <c r="A8233" s="418" t="s">
        <v>15735</v>
      </c>
      <c r="B8233">
        <v>1</v>
      </c>
    </row>
    <row r="8234" spans="1:2" x14ac:dyDescent="0.25">
      <c r="A8234" s="418" t="s">
        <v>15736</v>
      </c>
      <c r="B8234">
        <v>10</v>
      </c>
    </row>
    <row r="8235" spans="1:2" x14ac:dyDescent="0.25">
      <c r="A8235" s="418" t="s">
        <v>15737</v>
      </c>
      <c r="B8235">
        <v>1</v>
      </c>
    </row>
    <row r="8236" spans="1:2" x14ac:dyDescent="0.25">
      <c r="A8236" s="418" t="s">
        <v>15738</v>
      </c>
      <c r="B8236">
        <v>1</v>
      </c>
    </row>
    <row r="8237" spans="1:2" x14ac:dyDescent="0.25">
      <c r="A8237" s="418" t="s">
        <v>15739</v>
      </c>
      <c r="B8237">
        <v>11</v>
      </c>
    </row>
    <row r="8238" spans="1:2" x14ac:dyDescent="0.25">
      <c r="A8238" s="418" t="s">
        <v>15740</v>
      </c>
      <c r="B8238">
        <v>5</v>
      </c>
    </row>
    <row r="8239" spans="1:2" x14ac:dyDescent="0.25">
      <c r="A8239" s="418" t="s">
        <v>15741</v>
      </c>
      <c r="B8239">
        <v>4</v>
      </c>
    </row>
    <row r="8240" spans="1:2" x14ac:dyDescent="0.25">
      <c r="A8240" s="418" t="s">
        <v>15742</v>
      </c>
      <c r="B8240">
        <v>1</v>
      </c>
    </row>
    <row r="8241" spans="1:2" x14ac:dyDescent="0.25">
      <c r="A8241" s="418" t="s">
        <v>15743</v>
      </c>
      <c r="B8241">
        <v>2</v>
      </c>
    </row>
    <row r="8242" spans="1:2" x14ac:dyDescent="0.25">
      <c r="A8242" s="418" t="s">
        <v>15744</v>
      </c>
      <c r="B8242">
        <v>1</v>
      </c>
    </row>
    <row r="8243" spans="1:2" x14ac:dyDescent="0.25">
      <c r="A8243" s="418" t="s">
        <v>15745</v>
      </c>
      <c r="B8243">
        <v>1</v>
      </c>
    </row>
    <row r="8244" spans="1:2" x14ac:dyDescent="0.25">
      <c r="A8244" s="418" t="s">
        <v>15746</v>
      </c>
      <c r="B8244">
        <v>1</v>
      </c>
    </row>
    <row r="8245" spans="1:2" x14ac:dyDescent="0.25">
      <c r="A8245" s="418" t="s">
        <v>15747</v>
      </c>
      <c r="B8245">
        <v>4</v>
      </c>
    </row>
    <row r="8246" spans="1:2" x14ac:dyDescent="0.25">
      <c r="A8246" s="418" t="s">
        <v>15748</v>
      </c>
      <c r="B8246">
        <v>1</v>
      </c>
    </row>
    <row r="8247" spans="1:2" x14ac:dyDescent="0.25">
      <c r="A8247" s="418" t="s">
        <v>15749</v>
      </c>
      <c r="B8247">
        <v>2</v>
      </c>
    </row>
    <row r="8248" spans="1:2" x14ac:dyDescent="0.25">
      <c r="A8248" s="418" t="s">
        <v>15750</v>
      </c>
      <c r="B8248">
        <v>5</v>
      </c>
    </row>
    <row r="8249" spans="1:2" x14ac:dyDescent="0.25">
      <c r="A8249" s="418" t="s">
        <v>15751</v>
      </c>
      <c r="B8249">
        <v>1</v>
      </c>
    </row>
    <row r="8250" spans="1:2" x14ac:dyDescent="0.25">
      <c r="A8250" s="418" t="s">
        <v>15752</v>
      </c>
      <c r="B8250">
        <v>2</v>
      </c>
    </row>
    <row r="8251" spans="1:2" x14ac:dyDescent="0.25">
      <c r="A8251" s="418" t="s">
        <v>15753</v>
      </c>
      <c r="B8251">
        <v>3</v>
      </c>
    </row>
    <row r="8252" spans="1:2" x14ac:dyDescent="0.25">
      <c r="A8252" s="418" t="s">
        <v>15754</v>
      </c>
      <c r="B8252">
        <v>1</v>
      </c>
    </row>
    <row r="8253" spans="1:2" x14ac:dyDescent="0.25">
      <c r="A8253" s="418" t="s">
        <v>15755</v>
      </c>
      <c r="B8253">
        <v>1</v>
      </c>
    </row>
    <row r="8254" spans="1:2" x14ac:dyDescent="0.25">
      <c r="A8254" s="418" t="s">
        <v>15756</v>
      </c>
      <c r="B8254">
        <v>2</v>
      </c>
    </row>
    <row r="8255" spans="1:2" x14ac:dyDescent="0.25">
      <c r="A8255" s="418" t="s">
        <v>15757</v>
      </c>
      <c r="B8255">
        <v>1</v>
      </c>
    </row>
    <row r="8256" spans="1:2" x14ac:dyDescent="0.25">
      <c r="A8256" s="418" t="s">
        <v>15758</v>
      </c>
      <c r="B8256">
        <v>2</v>
      </c>
    </row>
    <row r="8257" spans="1:2" x14ac:dyDescent="0.25">
      <c r="A8257" s="418" t="s">
        <v>15759</v>
      </c>
      <c r="B8257">
        <v>8</v>
      </c>
    </row>
    <row r="8258" spans="1:2" x14ac:dyDescent="0.25">
      <c r="A8258" s="418" t="s">
        <v>15760</v>
      </c>
      <c r="B8258">
        <v>1</v>
      </c>
    </row>
    <row r="8259" spans="1:2" x14ac:dyDescent="0.25">
      <c r="A8259" s="418" t="s">
        <v>15761</v>
      </c>
      <c r="B8259">
        <v>3</v>
      </c>
    </row>
    <row r="8260" spans="1:2" x14ac:dyDescent="0.25">
      <c r="A8260" s="418" t="s">
        <v>15762</v>
      </c>
      <c r="B8260">
        <v>3</v>
      </c>
    </row>
    <row r="8261" spans="1:2" x14ac:dyDescent="0.25">
      <c r="A8261" s="418" t="s">
        <v>15763</v>
      </c>
      <c r="B8261">
        <v>1</v>
      </c>
    </row>
    <row r="8262" spans="1:2" x14ac:dyDescent="0.25">
      <c r="A8262" s="418" t="s">
        <v>15764</v>
      </c>
      <c r="B8262">
        <v>4</v>
      </c>
    </row>
    <row r="8263" spans="1:2" x14ac:dyDescent="0.25">
      <c r="A8263" s="418" t="s">
        <v>15765</v>
      </c>
      <c r="B8263">
        <v>5</v>
      </c>
    </row>
    <row r="8264" spans="1:2" x14ac:dyDescent="0.25">
      <c r="A8264" s="418" t="s">
        <v>15766</v>
      </c>
      <c r="B8264">
        <v>6</v>
      </c>
    </row>
    <row r="8265" spans="1:2" x14ac:dyDescent="0.25">
      <c r="A8265" s="418" t="s">
        <v>15767</v>
      </c>
      <c r="B8265">
        <v>2</v>
      </c>
    </row>
    <row r="8266" spans="1:2" x14ac:dyDescent="0.25">
      <c r="A8266" s="418" t="s">
        <v>15768</v>
      </c>
      <c r="B8266">
        <v>5</v>
      </c>
    </row>
    <row r="8267" spans="1:2" x14ac:dyDescent="0.25">
      <c r="A8267" s="418" t="s">
        <v>15769</v>
      </c>
      <c r="B8267">
        <v>9</v>
      </c>
    </row>
    <row r="8268" spans="1:2" x14ac:dyDescent="0.25">
      <c r="A8268" s="418" t="s">
        <v>15770</v>
      </c>
      <c r="B8268">
        <v>3</v>
      </c>
    </row>
    <row r="8269" spans="1:2" x14ac:dyDescent="0.25">
      <c r="A8269" s="418" t="s">
        <v>15771</v>
      </c>
      <c r="B8269">
        <v>2</v>
      </c>
    </row>
    <row r="8270" spans="1:2" x14ac:dyDescent="0.25">
      <c r="A8270" s="418" t="s">
        <v>15772</v>
      </c>
      <c r="B8270">
        <v>3</v>
      </c>
    </row>
    <row r="8271" spans="1:2" x14ac:dyDescent="0.25">
      <c r="A8271" s="418" t="s">
        <v>15773</v>
      </c>
      <c r="B8271">
        <v>5</v>
      </c>
    </row>
    <row r="8272" spans="1:2" x14ac:dyDescent="0.25">
      <c r="A8272" s="418" t="s">
        <v>15774</v>
      </c>
      <c r="B8272">
        <v>5</v>
      </c>
    </row>
    <row r="8273" spans="1:2" x14ac:dyDescent="0.25">
      <c r="A8273" s="418" t="s">
        <v>15775</v>
      </c>
      <c r="B8273">
        <v>6</v>
      </c>
    </row>
    <row r="8274" spans="1:2" x14ac:dyDescent="0.25">
      <c r="A8274" s="418" t="s">
        <v>15776</v>
      </c>
      <c r="B8274">
        <v>6</v>
      </c>
    </row>
    <row r="8275" spans="1:2" x14ac:dyDescent="0.25">
      <c r="A8275" s="418" t="s">
        <v>15777</v>
      </c>
      <c r="B8275">
        <v>3</v>
      </c>
    </row>
    <row r="8276" spans="1:2" x14ac:dyDescent="0.25">
      <c r="A8276" s="418" t="s">
        <v>15778</v>
      </c>
      <c r="B8276">
        <v>30</v>
      </c>
    </row>
    <row r="8277" spans="1:2" x14ac:dyDescent="0.25">
      <c r="A8277" s="418" t="s">
        <v>15779</v>
      </c>
      <c r="B8277">
        <v>5</v>
      </c>
    </row>
    <row r="8278" spans="1:2" x14ac:dyDescent="0.25">
      <c r="A8278" s="418" t="s">
        <v>15780</v>
      </c>
      <c r="B8278">
        <v>2</v>
      </c>
    </row>
    <row r="8279" spans="1:2" x14ac:dyDescent="0.25">
      <c r="A8279" s="418" t="s">
        <v>15781</v>
      </c>
      <c r="B8279">
        <v>1</v>
      </c>
    </row>
    <row r="8280" spans="1:2" x14ac:dyDescent="0.25">
      <c r="A8280" s="418" t="s">
        <v>15782</v>
      </c>
      <c r="B8280">
        <v>3</v>
      </c>
    </row>
    <row r="8281" spans="1:2" x14ac:dyDescent="0.25">
      <c r="A8281" s="418" t="s">
        <v>15783</v>
      </c>
      <c r="B8281">
        <v>1</v>
      </c>
    </row>
    <row r="8282" spans="1:2" x14ac:dyDescent="0.25">
      <c r="A8282" s="418" t="s">
        <v>17448</v>
      </c>
      <c r="B8282">
        <v>1</v>
      </c>
    </row>
    <row r="8283" spans="1:2" x14ac:dyDescent="0.25">
      <c r="A8283" s="418" t="s">
        <v>15784</v>
      </c>
      <c r="B8283">
        <v>2</v>
      </c>
    </row>
    <row r="8284" spans="1:2" x14ac:dyDescent="0.25">
      <c r="A8284" s="418" t="s">
        <v>15785</v>
      </c>
      <c r="B8284">
        <v>1</v>
      </c>
    </row>
    <row r="8285" spans="1:2" x14ac:dyDescent="0.25">
      <c r="A8285" s="418" t="s">
        <v>15786</v>
      </c>
      <c r="B8285">
        <v>1</v>
      </c>
    </row>
    <row r="8286" spans="1:2" x14ac:dyDescent="0.25">
      <c r="A8286" s="418" t="s">
        <v>15787</v>
      </c>
      <c r="B8286">
        <v>5</v>
      </c>
    </row>
    <row r="8287" spans="1:2" x14ac:dyDescent="0.25">
      <c r="A8287" s="418" t="s">
        <v>15788</v>
      </c>
      <c r="B8287">
        <v>5</v>
      </c>
    </row>
    <row r="8288" spans="1:2" x14ac:dyDescent="0.25">
      <c r="A8288" s="418" t="s">
        <v>15789</v>
      </c>
      <c r="B8288">
        <v>5</v>
      </c>
    </row>
    <row r="8289" spans="1:2" x14ac:dyDescent="0.25">
      <c r="A8289" s="418" t="s">
        <v>15790</v>
      </c>
      <c r="B8289">
        <v>6</v>
      </c>
    </row>
    <row r="8290" spans="1:2" x14ac:dyDescent="0.25">
      <c r="A8290" s="418" t="s">
        <v>15791</v>
      </c>
      <c r="B8290">
        <v>3</v>
      </c>
    </row>
    <row r="8291" spans="1:2" x14ac:dyDescent="0.25">
      <c r="A8291" s="418" t="s">
        <v>15792</v>
      </c>
      <c r="B8291">
        <v>2</v>
      </c>
    </row>
    <row r="8292" spans="1:2" x14ac:dyDescent="0.25">
      <c r="A8292" s="418" t="s">
        <v>15793</v>
      </c>
      <c r="B8292">
        <v>2</v>
      </c>
    </row>
    <row r="8293" spans="1:2" x14ac:dyDescent="0.25">
      <c r="A8293" s="418" t="s">
        <v>15794</v>
      </c>
      <c r="B8293">
        <v>2</v>
      </c>
    </row>
    <row r="8294" spans="1:2" x14ac:dyDescent="0.25">
      <c r="A8294" s="418" t="s">
        <v>15795</v>
      </c>
      <c r="B8294">
        <v>1</v>
      </c>
    </row>
    <row r="8295" spans="1:2" x14ac:dyDescent="0.25">
      <c r="A8295" s="418" t="s">
        <v>15796</v>
      </c>
      <c r="B8295">
        <v>1</v>
      </c>
    </row>
    <row r="8296" spans="1:2" x14ac:dyDescent="0.25">
      <c r="A8296" s="418" t="s">
        <v>15797</v>
      </c>
      <c r="B8296">
        <v>1</v>
      </c>
    </row>
    <row r="8297" spans="1:2" x14ac:dyDescent="0.25">
      <c r="A8297" s="418" t="s">
        <v>15798</v>
      </c>
      <c r="B8297">
        <v>5</v>
      </c>
    </row>
    <row r="8298" spans="1:2" x14ac:dyDescent="0.25">
      <c r="A8298" s="418" t="s">
        <v>15799</v>
      </c>
      <c r="B8298">
        <v>1</v>
      </c>
    </row>
    <row r="8299" spans="1:2" x14ac:dyDescent="0.25">
      <c r="A8299" s="418" t="s">
        <v>15800</v>
      </c>
      <c r="B8299">
        <v>5</v>
      </c>
    </row>
    <row r="8300" spans="1:2" x14ac:dyDescent="0.25">
      <c r="A8300" s="418" t="s">
        <v>15801</v>
      </c>
      <c r="B8300">
        <v>4</v>
      </c>
    </row>
    <row r="8301" spans="1:2" x14ac:dyDescent="0.25">
      <c r="A8301" s="418" t="s">
        <v>15802</v>
      </c>
      <c r="B8301">
        <v>3</v>
      </c>
    </row>
    <row r="8302" spans="1:2" x14ac:dyDescent="0.25">
      <c r="A8302" s="418" t="s">
        <v>15803</v>
      </c>
      <c r="B8302">
        <v>1</v>
      </c>
    </row>
    <row r="8303" spans="1:2" x14ac:dyDescent="0.25">
      <c r="A8303" s="418" t="s">
        <v>15804</v>
      </c>
      <c r="B8303">
        <v>4</v>
      </c>
    </row>
    <row r="8304" spans="1:2" x14ac:dyDescent="0.25">
      <c r="A8304" s="418" t="s">
        <v>15805</v>
      </c>
      <c r="B8304">
        <v>1</v>
      </c>
    </row>
    <row r="8305" spans="1:2" x14ac:dyDescent="0.25">
      <c r="A8305" s="418" t="s">
        <v>15806</v>
      </c>
      <c r="B8305">
        <v>1</v>
      </c>
    </row>
    <row r="8306" spans="1:2" x14ac:dyDescent="0.25">
      <c r="A8306" s="418" t="s">
        <v>15807</v>
      </c>
      <c r="B8306">
        <v>2</v>
      </c>
    </row>
    <row r="8307" spans="1:2" x14ac:dyDescent="0.25">
      <c r="A8307" s="418" t="s">
        <v>15808</v>
      </c>
      <c r="B8307">
        <v>5</v>
      </c>
    </row>
    <row r="8308" spans="1:2" x14ac:dyDescent="0.25">
      <c r="A8308" s="418" t="s">
        <v>15809</v>
      </c>
      <c r="B8308">
        <v>3</v>
      </c>
    </row>
    <row r="8309" spans="1:2" x14ac:dyDescent="0.25">
      <c r="A8309" s="418" t="s">
        <v>15810</v>
      </c>
      <c r="B8309">
        <v>1</v>
      </c>
    </row>
    <row r="8310" spans="1:2" x14ac:dyDescent="0.25">
      <c r="A8310" s="418" t="s">
        <v>15811</v>
      </c>
      <c r="B8310">
        <v>1</v>
      </c>
    </row>
    <row r="8311" spans="1:2" x14ac:dyDescent="0.25">
      <c r="A8311" s="418" t="s">
        <v>15812</v>
      </c>
      <c r="B8311">
        <v>10</v>
      </c>
    </row>
    <row r="8312" spans="1:2" x14ac:dyDescent="0.25">
      <c r="A8312" s="418" t="s">
        <v>15813</v>
      </c>
      <c r="B8312">
        <v>1</v>
      </c>
    </row>
    <row r="8313" spans="1:2" x14ac:dyDescent="0.25">
      <c r="A8313" s="418" t="s">
        <v>15814</v>
      </c>
      <c r="B8313">
        <v>5</v>
      </c>
    </row>
    <row r="8314" spans="1:2" x14ac:dyDescent="0.25">
      <c r="A8314" s="418" t="s">
        <v>15815</v>
      </c>
      <c r="B8314">
        <v>2</v>
      </c>
    </row>
    <row r="8315" spans="1:2" x14ac:dyDescent="0.25">
      <c r="A8315" s="418" t="s">
        <v>15816</v>
      </c>
      <c r="B8315">
        <v>1</v>
      </c>
    </row>
    <row r="8316" spans="1:2" x14ac:dyDescent="0.25">
      <c r="A8316" s="418" t="s">
        <v>15817</v>
      </c>
      <c r="B8316">
        <v>3</v>
      </c>
    </row>
    <row r="8317" spans="1:2" x14ac:dyDescent="0.25">
      <c r="A8317" s="418" t="s">
        <v>15818</v>
      </c>
      <c r="B8317">
        <v>1</v>
      </c>
    </row>
    <row r="8318" spans="1:2" x14ac:dyDescent="0.25">
      <c r="A8318" s="418" t="s">
        <v>15819</v>
      </c>
      <c r="B8318">
        <v>2</v>
      </c>
    </row>
    <row r="8319" spans="1:2" x14ac:dyDescent="0.25">
      <c r="A8319" s="418" t="s">
        <v>15820</v>
      </c>
      <c r="B8319">
        <v>16</v>
      </c>
    </row>
    <row r="8320" spans="1:2" x14ac:dyDescent="0.25">
      <c r="A8320" s="418" t="s">
        <v>15821</v>
      </c>
      <c r="B8320">
        <v>2</v>
      </c>
    </row>
    <row r="8321" spans="1:2" x14ac:dyDescent="0.25">
      <c r="A8321" s="418" t="s">
        <v>15822</v>
      </c>
      <c r="B8321">
        <v>13</v>
      </c>
    </row>
    <row r="8322" spans="1:2" x14ac:dyDescent="0.25">
      <c r="A8322" s="418" t="s">
        <v>15823</v>
      </c>
      <c r="B8322">
        <v>1</v>
      </c>
    </row>
    <row r="8323" spans="1:2" x14ac:dyDescent="0.25">
      <c r="A8323" s="418" t="s">
        <v>15824</v>
      </c>
      <c r="B8323">
        <v>6</v>
      </c>
    </row>
    <row r="8324" spans="1:2" x14ac:dyDescent="0.25">
      <c r="A8324" s="418" t="s">
        <v>15825</v>
      </c>
      <c r="B8324">
        <v>2</v>
      </c>
    </row>
    <row r="8325" spans="1:2" x14ac:dyDescent="0.25">
      <c r="A8325" s="418" t="s">
        <v>15826</v>
      </c>
      <c r="B8325">
        <v>9</v>
      </c>
    </row>
    <row r="8326" spans="1:2" x14ac:dyDescent="0.25">
      <c r="A8326" s="418" t="s">
        <v>15827</v>
      </c>
      <c r="B8326">
        <v>5</v>
      </c>
    </row>
    <row r="8327" spans="1:2" x14ac:dyDescent="0.25">
      <c r="A8327" s="418" t="s">
        <v>15828</v>
      </c>
      <c r="B8327">
        <v>6</v>
      </c>
    </row>
    <row r="8328" spans="1:2" x14ac:dyDescent="0.25">
      <c r="A8328" s="418" t="s">
        <v>15829</v>
      </c>
      <c r="B8328">
        <v>8</v>
      </c>
    </row>
    <row r="8329" spans="1:2" x14ac:dyDescent="0.25">
      <c r="A8329" s="418" t="s">
        <v>15830</v>
      </c>
      <c r="B8329">
        <v>6</v>
      </c>
    </row>
    <row r="8330" spans="1:2" x14ac:dyDescent="0.25">
      <c r="A8330" s="418" t="s">
        <v>15831</v>
      </c>
      <c r="B8330">
        <v>1</v>
      </c>
    </row>
    <row r="8331" spans="1:2" x14ac:dyDescent="0.25">
      <c r="A8331" s="418" t="s">
        <v>15832</v>
      </c>
      <c r="B8331">
        <v>2</v>
      </c>
    </row>
    <row r="8332" spans="1:2" x14ac:dyDescent="0.25">
      <c r="A8332" s="418" t="s">
        <v>15833</v>
      </c>
      <c r="B8332">
        <v>6</v>
      </c>
    </row>
    <row r="8333" spans="1:2" x14ac:dyDescent="0.25">
      <c r="A8333" s="418" t="s">
        <v>15834</v>
      </c>
      <c r="B8333">
        <v>1</v>
      </c>
    </row>
    <row r="8334" spans="1:2" x14ac:dyDescent="0.25">
      <c r="A8334" s="418" t="s">
        <v>15835</v>
      </c>
      <c r="B8334">
        <v>1</v>
      </c>
    </row>
    <row r="8335" spans="1:2" x14ac:dyDescent="0.25">
      <c r="A8335" s="418" t="s">
        <v>17449</v>
      </c>
      <c r="B8335">
        <v>1</v>
      </c>
    </row>
    <row r="8336" spans="1:2" x14ac:dyDescent="0.25">
      <c r="A8336" s="418" t="s">
        <v>15836</v>
      </c>
      <c r="B8336">
        <v>1</v>
      </c>
    </row>
    <row r="8337" spans="1:2" x14ac:dyDescent="0.25">
      <c r="A8337" s="418" t="s">
        <v>15837</v>
      </c>
      <c r="B8337">
        <v>1</v>
      </c>
    </row>
    <row r="8338" spans="1:2" x14ac:dyDescent="0.25">
      <c r="A8338" s="418" t="s">
        <v>15838</v>
      </c>
      <c r="B8338">
        <v>4</v>
      </c>
    </row>
    <row r="8339" spans="1:2" x14ac:dyDescent="0.25">
      <c r="A8339" s="418" t="s">
        <v>15839</v>
      </c>
      <c r="B8339">
        <v>6</v>
      </c>
    </row>
    <row r="8340" spans="1:2" x14ac:dyDescent="0.25">
      <c r="A8340" s="418" t="s">
        <v>15840</v>
      </c>
      <c r="B8340">
        <v>2</v>
      </c>
    </row>
    <row r="8341" spans="1:2" x14ac:dyDescent="0.25">
      <c r="A8341" s="418" t="s">
        <v>16190</v>
      </c>
      <c r="B8341">
        <v>1</v>
      </c>
    </row>
    <row r="8342" spans="1:2" x14ac:dyDescent="0.25">
      <c r="A8342" s="418" t="s">
        <v>15841</v>
      </c>
      <c r="B8342">
        <v>1</v>
      </c>
    </row>
    <row r="8343" spans="1:2" x14ac:dyDescent="0.25">
      <c r="A8343" s="418" t="s">
        <v>15842</v>
      </c>
      <c r="B8343">
        <v>13</v>
      </c>
    </row>
    <row r="8344" spans="1:2" x14ac:dyDescent="0.25">
      <c r="A8344" s="418" t="s">
        <v>15843</v>
      </c>
      <c r="B8344">
        <v>2</v>
      </c>
    </row>
    <row r="8345" spans="1:2" x14ac:dyDescent="0.25">
      <c r="A8345" s="418" t="s">
        <v>16772</v>
      </c>
      <c r="B8345">
        <v>1</v>
      </c>
    </row>
    <row r="8346" spans="1:2" x14ac:dyDescent="0.25">
      <c r="A8346" s="418" t="s">
        <v>17450</v>
      </c>
      <c r="B8346">
        <v>1</v>
      </c>
    </row>
    <row r="8347" spans="1:2" x14ac:dyDescent="0.25">
      <c r="A8347" s="418" t="s">
        <v>16990</v>
      </c>
      <c r="B8347">
        <v>1</v>
      </c>
    </row>
    <row r="8348" spans="1:2" x14ac:dyDescent="0.25">
      <c r="A8348" s="418" t="s">
        <v>15844</v>
      </c>
      <c r="B8348">
        <v>1</v>
      </c>
    </row>
    <row r="8349" spans="1:2" x14ac:dyDescent="0.25">
      <c r="A8349" s="418" t="s">
        <v>15845</v>
      </c>
      <c r="B8349">
        <v>2</v>
      </c>
    </row>
    <row r="8350" spans="1:2" x14ac:dyDescent="0.25">
      <c r="A8350" s="418" t="s">
        <v>15846</v>
      </c>
      <c r="B8350">
        <v>1</v>
      </c>
    </row>
    <row r="8351" spans="1:2" x14ac:dyDescent="0.25">
      <c r="A8351" s="418" t="s">
        <v>15847</v>
      </c>
      <c r="B8351">
        <v>4</v>
      </c>
    </row>
    <row r="8352" spans="1:2" x14ac:dyDescent="0.25">
      <c r="A8352" s="418" t="s">
        <v>15848</v>
      </c>
      <c r="B8352">
        <v>4</v>
      </c>
    </row>
    <row r="8353" spans="1:2" x14ac:dyDescent="0.25">
      <c r="A8353" s="418" t="s">
        <v>15849</v>
      </c>
      <c r="B8353">
        <v>5</v>
      </c>
    </row>
    <row r="8354" spans="1:2" x14ac:dyDescent="0.25">
      <c r="A8354" s="418" t="s">
        <v>16773</v>
      </c>
      <c r="B8354">
        <v>1</v>
      </c>
    </row>
    <row r="8355" spans="1:2" x14ac:dyDescent="0.25">
      <c r="A8355" s="418" t="s">
        <v>15850</v>
      </c>
      <c r="B8355">
        <v>2</v>
      </c>
    </row>
    <row r="8356" spans="1:2" x14ac:dyDescent="0.25">
      <c r="A8356" s="418" t="s">
        <v>15851</v>
      </c>
      <c r="B8356">
        <v>7</v>
      </c>
    </row>
    <row r="8357" spans="1:2" x14ac:dyDescent="0.25">
      <c r="A8357" s="418" t="s">
        <v>15852</v>
      </c>
      <c r="B8357">
        <v>1</v>
      </c>
    </row>
    <row r="8358" spans="1:2" x14ac:dyDescent="0.25">
      <c r="A8358" s="418" t="s">
        <v>17451</v>
      </c>
      <c r="B8358">
        <v>1</v>
      </c>
    </row>
    <row r="8359" spans="1:2" x14ac:dyDescent="0.25">
      <c r="A8359" s="418" t="s">
        <v>15853</v>
      </c>
      <c r="B8359">
        <v>3</v>
      </c>
    </row>
    <row r="8360" spans="1:2" x14ac:dyDescent="0.25">
      <c r="A8360" s="418" t="s">
        <v>15854</v>
      </c>
      <c r="B8360">
        <v>1</v>
      </c>
    </row>
    <row r="8361" spans="1:2" x14ac:dyDescent="0.25">
      <c r="A8361" s="418" t="s">
        <v>15855</v>
      </c>
      <c r="B8361">
        <v>6</v>
      </c>
    </row>
    <row r="8362" spans="1:2" x14ac:dyDescent="0.25">
      <c r="A8362" s="418" t="s">
        <v>15856</v>
      </c>
      <c r="B8362">
        <v>6</v>
      </c>
    </row>
    <row r="8363" spans="1:2" x14ac:dyDescent="0.25">
      <c r="A8363" s="418" t="s">
        <v>15857</v>
      </c>
      <c r="B8363">
        <v>6</v>
      </c>
    </row>
    <row r="8364" spans="1:2" x14ac:dyDescent="0.25">
      <c r="A8364" s="418" t="s">
        <v>15858</v>
      </c>
      <c r="B8364">
        <v>1</v>
      </c>
    </row>
    <row r="8365" spans="1:2" x14ac:dyDescent="0.25">
      <c r="A8365" s="418" t="s">
        <v>15859</v>
      </c>
      <c r="B8365">
        <v>1</v>
      </c>
    </row>
    <row r="8366" spans="1:2" x14ac:dyDescent="0.25">
      <c r="A8366" s="418" t="s">
        <v>15860</v>
      </c>
      <c r="B8366">
        <v>4</v>
      </c>
    </row>
    <row r="8367" spans="1:2" x14ac:dyDescent="0.25">
      <c r="A8367" s="418" t="s">
        <v>16191</v>
      </c>
      <c r="B8367">
        <v>1</v>
      </c>
    </row>
    <row r="8368" spans="1:2" x14ac:dyDescent="0.25">
      <c r="A8368" s="418" t="s">
        <v>15861</v>
      </c>
      <c r="B8368">
        <v>2</v>
      </c>
    </row>
    <row r="8369" spans="1:2" x14ac:dyDescent="0.25">
      <c r="A8369" s="418" t="s">
        <v>15862</v>
      </c>
      <c r="B8369">
        <v>2</v>
      </c>
    </row>
    <row r="8370" spans="1:2" x14ac:dyDescent="0.25">
      <c r="A8370" s="418" t="s">
        <v>15863</v>
      </c>
      <c r="B8370">
        <v>3</v>
      </c>
    </row>
    <row r="8371" spans="1:2" x14ac:dyDescent="0.25">
      <c r="A8371" s="418" t="s">
        <v>15864</v>
      </c>
      <c r="B8371">
        <v>2</v>
      </c>
    </row>
    <row r="8372" spans="1:2" x14ac:dyDescent="0.25">
      <c r="A8372" s="418" t="s">
        <v>15865</v>
      </c>
      <c r="B8372">
        <v>1</v>
      </c>
    </row>
    <row r="8373" spans="1:2" x14ac:dyDescent="0.25">
      <c r="A8373" s="418" t="s">
        <v>15866</v>
      </c>
      <c r="B8373">
        <v>1</v>
      </c>
    </row>
    <row r="8374" spans="1:2" x14ac:dyDescent="0.25">
      <c r="A8374" s="418" t="s">
        <v>16774</v>
      </c>
      <c r="B8374">
        <v>1</v>
      </c>
    </row>
    <row r="8375" spans="1:2" x14ac:dyDescent="0.25">
      <c r="A8375" s="418" t="s">
        <v>15867</v>
      </c>
      <c r="B8375">
        <v>1</v>
      </c>
    </row>
    <row r="8376" spans="1:2" x14ac:dyDescent="0.25">
      <c r="A8376" s="418" t="s">
        <v>16192</v>
      </c>
      <c r="B8376">
        <v>1</v>
      </c>
    </row>
    <row r="8377" spans="1:2" x14ac:dyDescent="0.25">
      <c r="A8377" s="418" t="s">
        <v>15868</v>
      </c>
      <c r="B8377">
        <v>2</v>
      </c>
    </row>
    <row r="8378" spans="1:2" x14ac:dyDescent="0.25">
      <c r="A8378" s="418" t="s">
        <v>16775</v>
      </c>
      <c r="B8378">
        <v>1</v>
      </c>
    </row>
    <row r="8379" spans="1:2" x14ac:dyDescent="0.25">
      <c r="A8379" s="418" t="s">
        <v>15869</v>
      </c>
      <c r="B8379">
        <v>22</v>
      </c>
    </row>
    <row r="8380" spans="1:2" x14ac:dyDescent="0.25">
      <c r="A8380" s="418" t="s">
        <v>15870</v>
      </c>
      <c r="B8380">
        <v>1</v>
      </c>
    </row>
    <row r="8381" spans="1:2" x14ac:dyDescent="0.25">
      <c r="A8381" s="418" t="s">
        <v>15871</v>
      </c>
      <c r="B8381">
        <v>3</v>
      </c>
    </row>
    <row r="8382" spans="1:2" x14ac:dyDescent="0.25">
      <c r="A8382" s="418" t="s">
        <v>16193</v>
      </c>
      <c r="B8382">
        <v>1</v>
      </c>
    </row>
    <row r="8383" spans="1:2" x14ac:dyDescent="0.25">
      <c r="A8383" s="418" t="s">
        <v>15872</v>
      </c>
      <c r="B8383">
        <v>5</v>
      </c>
    </row>
    <row r="8384" spans="1:2" x14ac:dyDescent="0.25">
      <c r="A8384" s="418" t="s">
        <v>15873</v>
      </c>
      <c r="B8384">
        <v>1</v>
      </c>
    </row>
    <row r="8385" spans="1:2" x14ac:dyDescent="0.25">
      <c r="A8385" s="418" t="s">
        <v>15874</v>
      </c>
      <c r="B8385">
        <v>2</v>
      </c>
    </row>
    <row r="8386" spans="1:2" x14ac:dyDescent="0.25">
      <c r="A8386" s="418" t="s">
        <v>15875</v>
      </c>
      <c r="B8386">
        <v>2</v>
      </c>
    </row>
    <row r="8387" spans="1:2" x14ac:dyDescent="0.25">
      <c r="A8387" s="418" t="s">
        <v>15876</v>
      </c>
      <c r="B8387">
        <v>1</v>
      </c>
    </row>
    <row r="8388" spans="1:2" x14ac:dyDescent="0.25">
      <c r="A8388" s="418" t="s">
        <v>15877</v>
      </c>
      <c r="B8388">
        <v>1</v>
      </c>
    </row>
    <row r="8389" spans="1:2" x14ac:dyDescent="0.25">
      <c r="A8389" s="418" t="s">
        <v>15878</v>
      </c>
      <c r="B8389">
        <v>6</v>
      </c>
    </row>
    <row r="8390" spans="1:2" x14ac:dyDescent="0.25">
      <c r="A8390" s="418" t="s">
        <v>15879</v>
      </c>
      <c r="B8390">
        <v>4</v>
      </c>
    </row>
    <row r="8391" spans="1:2" x14ac:dyDescent="0.25">
      <c r="A8391" s="418" t="s">
        <v>16776</v>
      </c>
      <c r="B8391">
        <v>2</v>
      </c>
    </row>
    <row r="8392" spans="1:2" x14ac:dyDescent="0.25">
      <c r="A8392" s="418" t="s">
        <v>15880</v>
      </c>
      <c r="B8392">
        <v>4</v>
      </c>
    </row>
    <row r="8393" spans="1:2" x14ac:dyDescent="0.25">
      <c r="A8393" s="418" t="s">
        <v>15881</v>
      </c>
      <c r="B8393">
        <v>10</v>
      </c>
    </row>
    <row r="8394" spans="1:2" x14ac:dyDescent="0.25">
      <c r="A8394" s="418" t="s">
        <v>15882</v>
      </c>
      <c r="B8394">
        <v>1</v>
      </c>
    </row>
    <row r="8395" spans="1:2" x14ac:dyDescent="0.25">
      <c r="A8395" s="418" t="s">
        <v>15883</v>
      </c>
      <c r="B8395">
        <v>7</v>
      </c>
    </row>
    <row r="8396" spans="1:2" x14ac:dyDescent="0.25">
      <c r="A8396" s="418" t="s">
        <v>15884</v>
      </c>
      <c r="B8396">
        <v>2</v>
      </c>
    </row>
    <row r="8397" spans="1:2" x14ac:dyDescent="0.25">
      <c r="A8397" s="418" t="s">
        <v>15885</v>
      </c>
      <c r="B8397">
        <v>4</v>
      </c>
    </row>
    <row r="8398" spans="1:2" x14ac:dyDescent="0.25">
      <c r="A8398" s="418" t="s">
        <v>15886</v>
      </c>
      <c r="B8398">
        <v>2</v>
      </c>
    </row>
    <row r="8399" spans="1:2" x14ac:dyDescent="0.25">
      <c r="A8399" s="418" t="s">
        <v>15887</v>
      </c>
      <c r="B8399">
        <v>2</v>
      </c>
    </row>
    <row r="8400" spans="1:2" x14ac:dyDescent="0.25">
      <c r="A8400" s="418" t="s">
        <v>15888</v>
      </c>
      <c r="B8400">
        <v>7</v>
      </c>
    </row>
    <row r="8401" spans="1:2" x14ac:dyDescent="0.25">
      <c r="A8401" s="418" t="s">
        <v>15889</v>
      </c>
      <c r="B8401">
        <v>1</v>
      </c>
    </row>
    <row r="8402" spans="1:2" x14ac:dyDescent="0.25">
      <c r="A8402" s="418" t="s">
        <v>15890</v>
      </c>
      <c r="B8402">
        <v>5</v>
      </c>
    </row>
    <row r="8403" spans="1:2" x14ac:dyDescent="0.25">
      <c r="A8403" s="418" t="s">
        <v>15891</v>
      </c>
      <c r="B8403">
        <v>2</v>
      </c>
    </row>
    <row r="8404" spans="1:2" x14ac:dyDescent="0.25">
      <c r="A8404" s="418" t="s">
        <v>16310</v>
      </c>
      <c r="B8404">
        <v>2</v>
      </c>
    </row>
    <row r="8405" spans="1:2" x14ac:dyDescent="0.25">
      <c r="A8405" s="418" t="s">
        <v>15892</v>
      </c>
      <c r="B8405">
        <v>2</v>
      </c>
    </row>
    <row r="8406" spans="1:2" x14ac:dyDescent="0.25">
      <c r="A8406" s="418" t="s">
        <v>17452</v>
      </c>
      <c r="B8406">
        <v>1</v>
      </c>
    </row>
    <row r="8407" spans="1:2" x14ac:dyDescent="0.25">
      <c r="A8407" s="418" t="s">
        <v>17453</v>
      </c>
      <c r="B8407">
        <v>1</v>
      </c>
    </row>
    <row r="8408" spans="1:2" x14ac:dyDescent="0.25">
      <c r="A8408" s="418" t="s">
        <v>15893</v>
      </c>
      <c r="B8408">
        <v>3</v>
      </c>
    </row>
    <row r="8409" spans="1:2" x14ac:dyDescent="0.25">
      <c r="A8409" s="418" t="s">
        <v>15894</v>
      </c>
      <c r="B8409">
        <v>7</v>
      </c>
    </row>
    <row r="8410" spans="1:2" x14ac:dyDescent="0.25">
      <c r="A8410" s="418" t="s">
        <v>16777</v>
      </c>
      <c r="B8410">
        <v>1</v>
      </c>
    </row>
    <row r="8411" spans="1:2" x14ac:dyDescent="0.25">
      <c r="A8411" s="418" t="s">
        <v>15895</v>
      </c>
      <c r="B8411">
        <v>14</v>
      </c>
    </row>
    <row r="8412" spans="1:2" x14ac:dyDescent="0.25">
      <c r="A8412" s="418" t="s">
        <v>15896</v>
      </c>
      <c r="B8412">
        <v>2</v>
      </c>
    </row>
    <row r="8413" spans="1:2" x14ac:dyDescent="0.25">
      <c r="A8413" s="418" t="s">
        <v>15897</v>
      </c>
      <c r="B8413">
        <v>2</v>
      </c>
    </row>
    <row r="8414" spans="1:2" x14ac:dyDescent="0.25">
      <c r="A8414" s="418" t="s">
        <v>15898</v>
      </c>
      <c r="B8414">
        <v>3</v>
      </c>
    </row>
    <row r="8415" spans="1:2" x14ac:dyDescent="0.25">
      <c r="A8415" s="418" t="s">
        <v>15899</v>
      </c>
      <c r="B8415">
        <v>2</v>
      </c>
    </row>
    <row r="8416" spans="1:2" x14ac:dyDescent="0.25">
      <c r="A8416" s="418" t="s">
        <v>15900</v>
      </c>
      <c r="B8416">
        <v>1</v>
      </c>
    </row>
    <row r="8417" spans="1:2" x14ac:dyDescent="0.25">
      <c r="A8417" s="418" t="s">
        <v>15901</v>
      </c>
      <c r="B8417">
        <v>1</v>
      </c>
    </row>
    <row r="8418" spans="1:2" x14ac:dyDescent="0.25">
      <c r="A8418" s="418" t="s">
        <v>16991</v>
      </c>
      <c r="B8418">
        <v>1</v>
      </c>
    </row>
    <row r="8419" spans="1:2" x14ac:dyDescent="0.25">
      <c r="A8419" s="418" t="s">
        <v>16311</v>
      </c>
      <c r="B8419">
        <v>2</v>
      </c>
    </row>
    <row r="8420" spans="1:2" x14ac:dyDescent="0.25">
      <c r="A8420" s="418" t="s">
        <v>16992</v>
      </c>
      <c r="B8420">
        <v>1</v>
      </c>
    </row>
    <row r="8421" spans="1:2" x14ac:dyDescent="0.25">
      <c r="A8421" s="418" t="s">
        <v>15902</v>
      </c>
      <c r="B8421">
        <v>1</v>
      </c>
    </row>
    <row r="8422" spans="1:2" x14ac:dyDescent="0.25">
      <c r="A8422" s="418" t="s">
        <v>15903</v>
      </c>
      <c r="B8422">
        <v>2</v>
      </c>
    </row>
    <row r="8423" spans="1:2" x14ac:dyDescent="0.25">
      <c r="A8423" s="418" t="s">
        <v>15904</v>
      </c>
      <c r="B8423">
        <v>17</v>
      </c>
    </row>
    <row r="8424" spans="1:2" x14ac:dyDescent="0.25">
      <c r="A8424" s="418" t="s">
        <v>15905</v>
      </c>
      <c r="B8424">
        <v>1</v>
      </c>
    </row>
    <row r="8425" spans="1:2" x14ac:dyDescent="0.25">
      <c r="A8425" s="418" t="s">
        <v>15906</v>
      </c>
      <c r="B8425">
        <v>1</v>
      </c>
    </row>
    <row r="8426" spans="1:2" x14ac:dyDescent="0.25">
      <c r="A8426" s="418" t="s">
        <v>15907</v>
      </c>
      <c r="B8426">
        <v>1</v>
      </c>
    </row>
    <row r="8427" spans="1:2" x14ac:dyDescent="0.25">
      <c r="A8427" s="418" t="s">
        <v>17454</v>
      </c>
      <c r="B8427">
        <v>1</v>
      </c>
    </row>
    <row r="8428" spans="1:2" x14ac:dyDescent="0.25">
      <c r="A8428" s="418" t="s">
        <v>17455</v>
      </c>
      <c r="B8428">
        <v>1</v>
      </c>
    </row>
    <row r="8429" spans="1:2" x14ac:dyDescent="0.25">
      <c r="A8429" s="418" t="s">
        <v>17456</v>
      </c>
      <c r="B8429">
        <v>1</v>
      </c>
    </row>
    <row r="8430" spans="1:2" x14ac:dyDescent="0.25">
      <c r="A8430" s="418" t="s">
        <v>15908</v>
      </c>
      <c r="B8430">
        <v>5</v>
      </c>
    </row>
    <row r="8431" spans="1:2" x14ac:dyDescent="0.25">
      <c r="A8431" s="418" t="s">
        <v>15970</v>
      </c>
      <c r="B8431">
        <v>1</v>
      </c>
    </row>
    <row r="8432" spans="1:2" x14ac:dyDescent="0.25">
      <c r="A8432" s="418" t="s">
        <v>15909</v>
      </c>
      <c r="B8432">
        <v>1</v>
      </c>
    </row>
    <row r="8433" spans="1:2" x14ac:dyDescent="0.25">
      <c r="A8433" s="418" t="s">
        <v>16778</v>
      </c>
      <c r="B8433">
        <v>1</v>
      </c>
    </row>
    <row r="8434" spans="1:2" x14ac:dyDescent="0.25">
      <c r="A8434" s="418" t="s">
        <v>15910</v>
      </c>
      <c r="B8434">
        <v>1</v>
      </c>
    </row>
    <row r="8435" spans="1:2" x14ac:dyDescent="0.25">
      <c r="A8435" s="418" t="s">
        <v>15911</v>
      </c>
      <c r="B8435">
        <v>5</v>
      </c>
    </row>
    <row r="8436" spans="1:2" x14ac:dyDescent="0.25">
      <c r="A8436" s="418" t="s">
        <v>15912</v>
      </c>
      <c r="B8436">
        <v>3</v>
      </c>
    </row>
    <row r="8437" spans="1:2" x14ac:dyDescent="0.25">
      <c r="A8437" s="418" t="s">
        <v>15913</v>
      </c>
      <c r="B8437">
        <v>1</v>
      </c>
    </row>
    <row r="8438" spans="1:2" x14ac:dyDescent="0.25">
      <c r="A8438" s="418" t="s">
        <v>15914</v>
      </c>
      <c r="B8438">
        <v>1</v>
      </c>
    </row>
    <row r="8439" spans="1:2" x14ac:dyDescent="0.25">
      <c r="A8439" s="418" t="s">
        <v>15915</v>
      </c>
      <c r="B8439">
        <v>2</v>
      </c>
    </row>
    <row r="8440" spans="1:2" x14ac:dyDescent="0.25">
      <c r="A8440" s="418" t="s">
        <v>15916</v>
      </c>
      <c r="B8440">
        <v>6</v>
      </c>
    </row>
    <row r="8441" spans="1:2" x14ac:dyDescent="0.25">
      <c r="A8441" s="418" t="s">
        <v>15917</v>
      </c>
      <c r="B8441">
        <v>27</v>
      </c>
    </row>
    <row r="8442" spans="1:2" x14ac:dyDescent="0.25">
      <c r="A8442" s="418" t="s">
        <v>15918</v>
      </c>
      <c r="B8442">
        <v>6</v>
      </c>
    </row>
    <row r="8443" spans="1:2" x14ac:dyDescent="0.25">
      <c r="A8443" s="418" t="s">
        <v>15919</v>
      </c>
      <c r="B8443">
        <v>3</v>
      </c>
    </row>
    <row r="8444" spans="1:2" x14ac:dyDescent="0.25">
      <c r="A8444" s="418" t="s">
        <v>15920</v>
      </c>
      <c r="B8444">
        <v>1</v>
      </c>
    </row>
    <row r="8445" spans="1:2" x14ac:dyDescent="0.25">
      <c r="A8445" s="418" t="s">
        <v>15921</v>
      </c>
      <c r="B8445">
        <v>33</v>
      </c>
    </row>
    <row r="8446" spans="1:2" x14ac:dyDescent="0.25">
      <c r="A8446" s="418" t="s">
        <v>15922</v>
      </c>
      <c r="B8446">
        <v>2</v>
      </c>
    </row>
    <row r="8447" spans="1:2" x14ac:dyDescent="0.25">
      <c r="A8447" s="418" t="s">
        <v>15923</v>
      </c>
      <c r="B8447">
        <v>1</v>
      </c>
    </row>
    <row r="8448" spans="1:2" x14ac:dyDescent="0.25">
      <c r="A8448" s="418" t="s">
        <v>15924</v>
      </c>
      <c r="B8448">
        <v>1</v>
      </c>
    </row>
    <row r="8449" spans="1:2" x14ac:dyDescent="0.25">
      <c r="A8449" s="418" t="s">
        <v>15925</v>
      </c>
      <c r="B8449">
        <v>1</v>
      </c>
    </row>
    <row r="8450" spans="1:2" x14ac:dyDescent="0.25">
      <c r="A8450" s="418" t="s">
        <v>15926</v>
      </c>
      <c r="B8450">
        <v>1</v>
      </c>
    </row>
    <row r="8451" spans="1:2" x14ac:dyDescent="0.25">
      <c r="A8451" s="418" t="s">
        <v>15927</v>
      </c>
      <c r="B8451">
        <v>5</v>
      </c>
    </row>
    <row r="8452" spans="1:2" x14ac:dyDescent="0.25">
      <c r="A8452" s="418" t="s">
        <v>15928</v>
      </c>
      <c r="B8452">
        <v>4</v>
      </c>
    </row>
    <row r="8453" spans="1:2" x14ac:dyDescent="0.25">
      <c r="A8453" s="418" t="s">
        <v>15929</v>
      </c>
      <c r="B8453">
        <v>1</v>
      </c>
    </row>
    <row r="8454" spans="1:2" x14ac:dyDescent="0.25">
      <c r="A8454" s="418" t="s">
        <v>15930</v>
      </c>
      <c r="B8454">
        <v>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7113"/>
  <sheetViews>
    <sheetView topLeftCell="E1" zoomScale="120" zoomScaleNormal="120" zoomScalePageLayoutView="120" workbookViewId="0">
      <pane ySplit="1" topLeftCell="A275" activePane="bottomLeft" state="frozen"/>
      <selection pane="bottomLeft" sqref="A1:O6774"/>
    </sheetView>
  </sheetViews>
  <sheetFormatPr defaultColWidth="10.7109375" defaultRowHeight="12" x14ac:dyDescent="0.2"/>
  <cols>
    <col min="1" max="1" width="21" style="111" bestFit="1" customWidth="1"/>
    <col min="2" max="2" width="37.5703125" style="112" bestFit="1" customWidth="1"/>
    <col min="3" max="3" width="30.85546875" style="112" customWidth="1"/>
    <col min="4" max="4" width="9.85546875" style="111" bestFit="1" customWidth="1"/>
    <col min="5" max="5" width="14" style="111" bestFit="1" customWidth="1"/>
    <col min="6" max="6" width="29" style="112" bestFit="1" customWidth="1"/>
    <col min="7" max="7" width="19.7109375" style="112" bestFit="1" customWidth="1"/>
    <col min="8" max="8" width="18" style="112" bestFit="1" customWidth="1"/>
    <col min="9" max="9" width="18.42578125" style="112" bestFit="1" customWidth="1"/>
    <col min="10" max="10" width="19.85546875" style="112" bestFit="1" customWidth="1"/>
    <col min="11" max="11" width="18.140625" style="112" bestFit="1" customWidth="1"/>
    <col min="12" max="12" width="18.5703125" style="112" bestFit="1" customWidth="1"/>
    <col min="13" max="13" width="19.7109375" style="112" bestFit="1" customWidth="1"/>
    <col min="14" max="14" width="18" style="112" bestFit="1" customWidth="1"/>
    <col min="15" max="15" width="18.42578125" style="112" bestFit="1" customWidth="1"/>
    <col min="16" max="16" width="8" style="112" bestFit="1" customWidth="1"/>
    <col min="17" max="17" width="7.85546875" style="112" bestFit="1" customWidth="1"/>
    <col min="18" max="18" width="8.140625" style="112" bestFit="1" customWidth="1"/>
    <col min="19" max="19" width="8.140625" style="112" customWidth="1"/>
    <col min="20" max="20" width="8" style="112" bestFit="1" customWidth="1"/>
    <col min="21" max="21" width="7.85546875" style="112" bestFit="1" customWidth="1"/>
    <col min="22" max="22" width="8.140625" style="112" bestFit="1" customWidth="1"/>
    <col min="23" max="23" width="8.140625" style="112" customWidth="1"/>
    <col min="24" max="24" width="8" style="112" bestFit="1" customWidth="1"/>
    <col min="25" max="25" width="7.85546875" style="112" bestFit="1" customWidth="1"/>
    <col min="26" max="26" width="8.140625" style="112" bestFit="1" customWidth="1"/>
    <col min="27" max="27" width="8" style="112" bestFit="1" customWidth="1"/>
    <col min="28" max="28" width="7.85546875" style="112" bestFit="1" customWidth="1"/>
    <col min="29" max="29" width="8.140625" style="112" bestFit="1" customWidth="1"/>
    <col min="30" max="16384" width="10.7109375" style="112"/>
  </cols>
  <sheetData>
    <row r="1" spans="1:15" x14ac:dyDescent="0.2">
      <c r="A1" s="111" t="s">
        <v>3481</v>
      </c>
      <c r="B1" s="112" t="s">
        <v>6642</v>
      </c>
      <c r="C1" s="112" t="s">
        <v>6643</v>
      </c>
      <c r="D1" s="111" t="s">
        <v>6644</v>
      </c>
      <c r="E1" s="111" t="s">
        <v>15933</v>
      </c>
      <c r="F1" s="112" t="s">
        <v>6645</v>
      </c>
      <c r="G1" s="112" t="s">
        <v>15934</v>
      </c>
      <c r="H1" s="112" t="s">
        <v>15935</v>
      </c>
      <c r="I1" s="112" t="s">
        <v>15936</v>
      </c>
      <c r="J1" s="112" t="s">
        <v>15937</v>
      </c>
      <c r="K1" s="112" t="s">
        <v>15938</v>
      </c>
      <c r="L1" s="112" t="s">
        <v>15939</v>
      </c>
      <c r="M1" s="112" t="s">
        <v>15940</v>
      </c>
      <c r="N1" s="112" t="s">
        <v>15941</v>
      </c>
      <c r="O1" s="112" t="s">
        <v>15942</v>
      </c>
    </row>
    <row r="2" spans="1:15" x14ac:dyDescent="0.2">
      <c r="A2" s="111">
        <v>17</v>
      </c>
      <c r="B2" s="421" t="s">
        <v>34</v>
      </c>
      <c r="C2" s="421" t="s">
        <v>501</v>
      </c>
      <c r="D2" s="422" t="s">
        <v>663</v>
      </c>
      <c r="E2" s="111">
        <v>14187</v>
      </c>
      <c r="F2" s="421" t="s">
        <v>664</v>
      </c>
      <c r="G2" s="112">
        <v>2</v>
      </c>
      <c r="H2" s="112">
        <v>1</v>
      </c>
      <c r="I2" s="112">
        <v>1</v>
      </c>
      <c r="J2" s="112">
        <v>13</v>
      </c>
      <c r="K2" s="112">
        <v>13</v>
      </c>
      <c r="L2" s="112">
        <v>11</v>
      </c>
      <c r="M2" s="112">
        <v>6</v>
      </c>
      <c r="N2" s="112">
        <v>6</v>
      </c>
      <c r="O2" s="112">
        <v>9</v>
      </c>
    </row>
    <row r="3" spans="1:15" x14ac:dyDescent="0.2">
      <c r="A3" s="111">
        <v>18</v>
      </c>
      <c r="B3" s="421" t="s">
        <v>35</v>
      </c>
      <c r="C3" s="421" t="s">
        <v>502</v>
      </c>
      <c r="D3" s="422" t="s">
        <v>663</v>
      </c>
      <c r="E3" s="111">
        <v>14284</v>
      </c>
      <c r="F3" s="421" t="s">
        <v>665</v>
      </c>
      <c r="G3" s="112">
        <v>1</v>
      </c>
      <c r="H3" s="112">
        <v>1</v>
      </c>
      <c r="I3" s="112">
        <v>1</v>
      </c>
      <c r="J3" s="112">
        <v>8</v>
      </c>
      <c r="K3" s="112">
        <v>9</v>
      </c>
      <c r="L3" s="112">
        <v>8</v>
      </c>
      <c r="M3" s="112">
        <v>4</v>
      </c>
      <c r="N3" s="112">
        <v>4</v>
      </c>
      <c r="O3" s="112">
        <v>6</v>
      </c>
    </row>
    <row r="4" spans="1:15" x14ac:dyDescent="0.2">
      <c r="A4" s="111">
        <v>19</v>
      </c>
      <c r="B4" s="421" t="s">
        <v>36</v>
      </c>
      <c r="C4" s="421" t="s">
        <v>503</v>
      </c>
      <c r="D4" s="422" t="s">
        <v>666</v>
      </c>
      <c r="E4" s="111">
        <v>14284</v>
      </c>
      <c r="F4" s="421" t="s">
        <v>665</v>
      </c>
    </row>
    <row r="5" spans="1:15" x14ac:dyDescent="0.2">
      <c r="A5" s="111">
        <v>20</v>
      </c>
      <c r="B5" s="421" t="s">
        <v>37</v>
      </c>
      <c r="C5" s="421" t="s">
        <v>502</v>
      </c>
      <c r="D5" s="422" t="s">
        <v>663</v>
      </c>
      <c r="E5" s="111">
        <v>14197</v>
      </c>
      <c r="F5" s="421" t="s">
        <v>667</v>
      </c>
    </row>
    <row r="6" spans="1:15" x14ac:dyDescent="0.2">
      <c r="A6" s="111">
        <v>21</v>
      </c>
      <c r="B6" s="421" t="s">
        <v>38</v>
      </c>
      <c r="C6" s="421" t="s">
        <v>504</v>
      </c>
      <c r="D6" s="422" t="s">
        <v>663</v>
      </c>
      <c r="E6" s="111">
        <v>14197</v>
      </c>
      <c r="F6" s="421" t="s">
        <v>667</v>
      </c>
    </row>
    <row r="7" spans="1:15" x14ac:dyDescent="0.2">
      <c r="A7" s="111">
        <v>22</v>
      </c>
      <c r="B7" s="421" t="s">
        <v>39</v>
      </c>
      <c r="C7" s="421" t="s">
        <v>501</v>
      </c>
      <c r="D7" s="422" t="s">
        <v>663</v>
      </c>
      <c r="E7" s="111">
        <v>14338</v>
      </c>
      <c r="F7" s="421" t="s">
        <v>668</v>
      </c>
    </row>
    <row r="8" spans="1:15" x14ac:dyDescent="0.2">
      <c r="A8" s="111">
        <v>24</v>
      </c>
      <c r="B8" s="421" t="s">
        <v>40</v>
      </c>
      <c r="C8" s="421" t="s">
        <v>501</v>
      </c>
      <c r="D8" s="422" t="s">
        <v>666</v>
      </c>
      <c r="E8" s="111">
        <v>14338</v>
      </c>
      <c r="F8" s="421" t="s">
        <v>668</v>
      </c>
    </row>
    <row r="9" spans="1:15" x14ac:dyDescent="0.2">
      <c r="A9" s="111">
        <v>25</v>
      </c>
      <c r="B9" s="421" t="s">
        <v>41</v>
      </c>
      <c r="C9" s="421" t="s">
        <v>505</v>
      </c>
      <c r="D9" s="422" t="s">
        <v>663</v>
      </c>
      <c r="F9" s="421" t="s">
        <v>669</v>
      </c>
    </row>
    <row r="10" spans="1:15" x14ac:dyDescent="0.2">
      <c r="A10" s="111">
        <v>26</v>
      </c>
      <c r="B10" s="421" t="s">
        <v>42</v>
      </c>
      <c r="C10" s="421" t="s">
        <v>505</v>
      </c>
      <c r="D10" s="422" t="s">
        <v>663</v>
      </c>
      <c r="F10" s="421" t="s">
        <v>669</v>
      </c>
    </row>
    <row r="11" spans="1:15" x14ac:dyDescent="0.2">
      <c r="A11" s="111">
        <v>27</v>
      </c>
      <c r="B11" s="421" t="s">
        <v>43</v>
      </c>
      <c r="C11" s="421" t="s">
        <v>502</v>
      </c>
      <c r="D11" s="422" t="s">
        <v>663</v>
      </c>
      <c r="E11" s="111">
        <v>14122</v>
      </c>
      <c r="F11" s="421" t="s">
        <v>670</v>
      </c>
    </row>
    <row r="12" spans="1:15" x14ac:dyDescent="0.2">
      <c r="A12" s="111">
        <v>28</v>
      </c>
      <c r="B12" s="421" t="s">
        <v>44</v>
      </c>
      <c r="C12" s="421" t="s">
        <v>501</v>
      </c>
      <c r="D12" s="422" t="s">
        <v>663</v>
      </c>
      <c r="E12" s="111">
        <v>1493</v>
      </c>
      <c r="F12" s="421" t="s">
        <v>2125</v>
      </c>
      <c r="G12" s="112">
        <v>1</v>
      </c>
      <c r="H12" s="112">
        <v>1</v>
      </c>
      <c r="I12" s="112">
        <v>1</v>
      </c>
      <c r="J12" s="112">
        <v>10</v>
      </c>
      <c r="K12" s="112">
        <v>8</v>
      </c>
      <c r="L12" s="112">
        <v>9</v>
      </c>
      <c r="M12" s="112">
        <v>4</v>
      </c>
      <c r="N12" s="112">
        <v>3</v>
      </c>
      <c r="O12" s="112">
        <v>6</v>
      </c>
    </row>
    <row r="13" spans="1:15" x14ac:dyDescent="0.2">
      <c r="A13" s="111">
        <v>29</v>
      </c>
      <c r="B13" s="421" t="s">
        <v>45</v>
      </c>
      <c r="C13" s="421" t="s">
        <v>506</v>
      </c>
      <c r="D13" s="422" t="s">
        <v>666</v>
      </c>
      <c r="F13" s="421" t="s">
        <v>671</v>
      </c>
    </row>
    <row r="14" spans="1:15" x14ac:dyDescent="0.2">
      <c r="A14" s="111">
        <v>30</v>
      </c>
      <c r="B14" s="421" t="s">
        <v>46</v>
      </c>
      <c r="C14" s="421" t="s">
        <v>501</v>
      </c>
      <c r="D14" s="422" t="s">
        <v>663</v>
      </c>
      <c r="F14" s="421" t="s">
        <v>671</v>
      </c>
    </row>
    <row r="15" spans="1:15" x14ac:dyDescent="0.2">
      <c r="A15" s="111">
        <v>31</v>
      </c>
      <c r="B15" s="421" t="s">
        <v>47</v>
      </c>
      <c r="C15" s="421" t="s">
        <v>502</v>
      </c>
      <c r="D15" s="422" t="s">
        <v>663</v>
      </c>
      <c r="E15" s="111">
        <v>14189</v>
      </c>
      <c r="F15" s="421" t="s">
        <v>672</v>
      </c>
      <c r="G15" s="112">
        <v>1</v>
      </c>
      <c r="H15" s="112">
        <v>1</v>
      </c>
      <c r="I15" s="112">
        <v>1</v>
      </c>
      <c r="J15" s="112">
        <v>1</v>
      </c>
      <c r="L15" s="112">
        <v>1</v>
      </c>
    </row>
    <row r="16" spans="1:15" x14ac:dyDescent="0.2">
      <c r="A16" s="111">
        <v>32</v>
      </c>
      <c r="B16" s="421" t="s">
        <v>48</v>
      </c>
      <c r="C16" s="421" t="s">
        <v>507</v>
      </c>
      <c r="D16" s="422" t="s">
        <v>663</v>
      </c>
      <c r="F16" s="421" t="s">
        <v>673</v>
      </c>
    </row>
    <row r="17" spans="1:14" x14ac:dyDescent="0.2">
      <c r="A17" s="111">
        <v>33</v>
      </c>
      <c r="B17" s="421" t="s">
        <v>49</v>
      </c>
      <c r="C17" s="421" t="s">
        <v>508</v>
      </c>
      <c r="D17" s="422" t="s">
        <v>663</v>
      </c>
      <c r="E17" s="111">
        <v>14286</v>
      </c>
      <c r="F17" s="421" t="s">
        <v>674</v>
      </c>
      <c r="G17" s="112">
        <v>1</v>
      </c>
      <c r="H17" s="112">
        <v>1</v>
      </c>
      <c r="I17" s="112">
        <v>1</v>
      </c>
    </row>
    <row r="18" spans="1:14" x14ac:dyDescent="0.2">
      <c r="A18" s="111">
        <v>34</v>
      </c>
      <c r="B18" s="421" t="s">
        <v>50</v>
      </c>
      <c r="C18" s="421" t="s">
        <v>509</v>
      </c>
      <c r="D18" s="422" t="s">
        <v>666</v>
      </c>
      <c r="E18" s="111">
        <v>1428</v>
      </c>
      <c r="F18" s="421" t="s">
        <v>675</v>
      </c>
    </row>
    <row r="19" spans="1:14" x14ac:dyDescent="0.2">
      <c r="A19" s="111">
        <v>35</v>
      </c>
      <c r="B19" s="421" t="s">
        <v>51</v>
      </c>
      <c r="C19" s="421" t="s">
        <v>507</v>
      </c>
      <c r="D19" s="422" t="s">
        <v>663</v>
      </c>
      <c r="E19" s="111">
        <v>14240</v>
      </c>
      <c r="F19" s="421" t="s">
        <v>9317</v>
      </c>
    </row>
    <row r="20" spans="1:14" x14ac:dyDescent="0.2">
      <c r="A20" s="111">
        <v>36</v>
      </c>
      <c r="B20" s="421" t="s">
        <v>52</v>
      </c>
      <c r="C20" s="421" t="s">
        <v>510</v>
      </c>
      <c r="D20" s="422" t="s">
        <v>663</v>
      </c>
      <c r="E20" s="111">
        <v>14176</v>
      </c>
      <c r="F20" s="421" t="s">
        <v>676</v>
      </c>
      <c r="G20" s="112">
        <v>1</v>
      </c>
      <c r="H20" s="112">
        <v>1</v>
      </c>
      <c r="I20" s="112">
        <v>1</v>
      </c>
      <c r="K20" s="112">
        <v>1</v>
      </c>
    </row>
    <row r="21" spans="1:14" x14ac:dyDescent="0.2">
      <c r="A21" s="111">
        <v>37</v>
      </c>
      <c r="B21" s="421" t="s">
        <v>53</v>
      </c>
      <c r="C21" s="421" t="s">
        <v>510</v>
      </c>
      <c r="D21" s="422" t="s">
        <v>663</v>
      </c>
      <c r="E21" s="111">
        <v>14176</v>
      </c>
      <c r="F21" s="421" t="s">
        <v>676</v>
      </c>
      <c r="G21" s="112">
        <v>1</v>
      </c>
      <c r="H21" s="112">
        <v>1</v>
      </c>
      <c r="I21" s="112">
        <v>1</v>
      </c>
    </row>
    <row r="22" spans="1:14" x14ac:dyDescent="0.2">
      <c r="A22" s="111">
        <v>38</v>
      </c>
      <c r="B22" s="421" t="s">
        <v>54</v>
      </c>
      <c r="C22" s="421" t="s">
        <v>506</v>
      </c>
      <c r="D22" s="422" t="s">
        <v>666</v>
      </c>
      <c r="E22" s="111">
        <v>144</v>
      </c>
      <c r="F22" s="421" t="s">
        <v>677</v>
      </c>
      <c r="G22" s="112">
        <v>1</v>
      </c>
      <c r="H22" s="112">
        <v>1</v>
      </c>
      <c r="I22" s="112">
        <v>1</v>
      </c>
      <c r="J22" s="112">
        <v>1</v>
      </c>
      <c r="K22" s="112">
        <v>1</v>
      </c>
      <c r="L22" s="112">
        <v>1</v>
      </c>
      <c r="N22" s="112">
        <v>1</v>
      </c>
    </row>
    <row r="23" spans="1:14" x14ac:dyDescent="0.2">
      <c r="A23" s="111">
        <v>39</v>
      </c>
      <c r="B23" s="421" t="s">
        <v>55</v>
      </c>
      <c r="C23" s="421" t="s">
        <v>511</v>
      </c>
      <c r="D23" s="422" t="s">
        <v>666</v>
      </c>
      <c r="E23" s="111">
        <v>1426</v>
      </c>
      <c r="F23" s="421" t="s">
        <v>678</v>
      </c>
      <c r="G23" s="112">
        <v>2</v>
      </c>
      <c r="H23" s="112">
        <v>1</v>
      </c>
      <c r="I23" s="112">
        <v>1</v>
      </c>
    </row>
    <row r="24" spans="1:14" x14ac:dyDescent="0.2">
      <c r="A24" s="111">
        <v>40</v>
      </c>
      <c r="B24" s="421" t="s">
        <v>56</v>
      </c>
      <c r="C24" s="421" t="s">
        <v>512</v>
      </c>
      <c r="D24" s="422" t="s">
        <v>663</v>
      </c>
      <c r="E24" s="111">
        <v>14202</v>
      </c>
      <c r="F24" s="421" t="s">
        <v>679</v>
      </c>
    </row>
    <row r="25" spans="1:14" x14ac:dyDescent="0.2">
      <c r="A25" s="111">
        <v>41</v>
      </c>
      <c r="B25" s="421" t="s">
        <v>57</v>
      </c>
      <c r="C25" s="421" t="s">
        <v>513</v>
      </c>
      <c r="D25" s="422" t="s">
        <v>666</v>
      </c>
      <c r="F25" s="421" t="s">
        <v>680</v>
      </c>
    </row>
    <row r="26" spans="1:14" x14ac:dyDescent="0.2">
      <c r="A26" s="111">
        <v>42</v>
      </c>
      <c r="B26" s="421" t="s">
        <v>58</v>
      </c>
      <c r="C26" s="421" t="s">
        <v>513</v>
      </c>
      <c r="D26" s="422" t="s">
        <v>666</v>
      </c>
      <c r="F26" s="421" t="s">
        <v>680</v>
      </c>
    </row>
    <row r="27" spans="1:14" x14ac:dyDescent="0.2">
      <c r="A27" s="111">
        <v>43</v>
      </c>
      <c r="B27" s="421" t="s">
        <v>59</v>
      </c>
      <c r="C27" s="421" t="s">
        <v>502</v>
      </c>
      <c r="D27" s="422" t="s">
        <v>663</v>
      </c>
      <c r="E27" s="111">
        <v>1483</v>
      </c>
      <c r="F27" s="421" t="s">
        <v>681</v>
      </c>
      <c r="G27" s="112">
        <v>1</v>
      </c>
      <c r="H27" s="112">
        <v>1</v>
      </c>
      <c r="I27" s="112">
        <v>1</v>
      </c>
      <c r="J27" s="112">
        <v>1</v>
      </c>
      <c r="K27" s="112">
        <v>1</v>
      </c>
      <c r="L27" s="112">
        <v>1</v>
      </c>
    </row>
    <row r="28" spans="1:14" x14ac:dyDescent="0.2">
      <c r="A28" s="111">
        <v>44</v>
      </c>
      <c r="B28" s="421" t="s">
        <v>60</v>
      </c>
      <c r="C28" s="421" t="s">
        <v>502</v>
      </c>
      <c r="D28" s="422" t="s">
        <v>666</v>
      </c>
      <c r="E28" s="111">
        <v>1483</v>
      </c>
      <c r="F28" s="421" t="s">
        <v>681</v>
      </c>
      <c r="G28" s="112">
        <v>1</v>
      </c>
      <c r="H28" s="112">
        <v>1</v>
      </c>
      <c r="I28" s="112">
        <v>1</v>
      </c>
      <c r="J28" s="112">
        <v>1</v>
      </c>
      <c r="K28" s="112">
        <v>1</v>
      </c>
      <c r="L28" s="112">
        <v>1</v>
      </c>
    </row>
    <row r="29" spans="1:14" x14ac:dyDescent="0.2">
      <c r="A29" s="111">
        <v>45</v>
      </c>
      <c r="B29" s="421" t="s">
        <v>61</v>
      </c>
      <c r="C29" s="421" t="s">
        <v>514</v>
      </c>
      <c r="D29" s="422" t="s">
        <v>663</v>
      </c>
      <c r="E29" s="111">
        <v>1416</v>
      </c>
      <c r="F29" s="421" t="s">
        <v>4071</v>
      </c>
      <c r="G29" s="112">
        <v>1</v>
      </c>
      <c r="H29" s="112">
        <v>1</v>
      </c>
      <c r="I29" s="112">
        <v>1</v>
      </c>
      <c r="J29" s="112">
        <v>5</v>
      </c>
      <c r="K29" s="112">
        <v>3</v>
      </c>
      <c r="L29" s="112">
        <v>3</v>
      </c>
      <c r="N29" s="112">
        <v>1</v>
      </c>
    </row>
    <row r="30" spans="1:14" x14ac:dyDescent="0.2">
      <c r="A30" s="111">
        <v>46</v>
      </c>
      <c r="B30" s="421" t="s">
        <v>62</v>
      </c>
      <c r="C30" s="421" t="s">
        <v>510</v>
      </c>
      <c r="D30" s="422" t="s">
        <v>663</v>
      </c>
      <c r="F30" s="421" t="s">
        <v>682</v>
      </c>
      <c r="G30" s="112">
        <v>1</v>
      </c>
      <c r="H30" s="112">
        <v>1</v>
      </c>
      <c r="I30" s="112">
        <v>1</v>
      </c>
    </row>
    <row r="31" spans="1:14" x14ac:dyDescent="0.2">
      <c r="A31" s="111">
        <v>47</v>
      </c>
      <c r="B31" s="421" t="s">
        <v>63</v>
      </c>
      <c r="C31" s="421" t="s">
        <v>515</v>
      </c>
      <c r="D31" s="422" t="s">
        <v>666</v>
      </c>
      <c r="E31" s="111">
        <v>14351</v>
      </c>
      <c r="F31" s="421" t="s">
        <v>683</v>
      </c>
      <c r="G31" s="112">
        <v>1</v>
      </c>
      <c r="H31" s="112">
        <v>1</v>
      </c>
      <c r="I31" s="112">
        <v>1</v>
      </c>
      <c r="J31" s="112">
        <v>5</v>
      </c>
      <c r="K31" s="112">
        <v>4</v>
      </c>
      <c r="L31" s="112">
        <v>4</v>
      </c>
    </row>
    <row r="32" spans="1:14" x14ac:dyDescent="0.2">
      <c r="A32" s="111">
        <v>48</v>
      </c>
      <c r="B32" s="421" t="s">
        <v>64</v>
      </c>
      <c r="C32" s="421" t="s">
        <v>516</v>
      </c>
      <c r="D32" s="422" t="s">
        <v>663</v>
      </c>
      <c r="E32" s="111">
        <v>14103</v>
      </c>
      <c r="F32" s="421" t="s">
        <v>684</v>
      </c>
    </row>
    <row r="33" spans="1:15" x14ac:dyDescent="0.2">
      <c r="A33" s="111">
        <v>49</v>
      </c>
      <c r="B33" s="421" t="s">
        <v>65</v>
      </c>
      <c r="C33" s="421" t="s">
        <v>516</v>
      </c>
      <c r="D33" s="422" t="s">
        <v>666</v>
      </c>
      <c r="E33" s="111">
        <v>14103</v>
      </c>
      <c r="F33" s="421" t="s">
        <v>684</v>
      </c>
    </row>
    <row r="34" spans="1:15" x14ac:dyDescent="0.2">
      <c r="A34" s="111">
        <v>50</v>
      </c>
      <c r="B34" s="421" t="s">
        <v>66</v>
      </c>
      <c r="C34" s="421" t="s">
        <v>513</v>
      </c>
      <c r="D34" s="422" t="s">
        <v>663</v>
      </c>
      <c r="E34" s="111">
        <v>1471</v>
      </c>
      <c r="F34" s="421" t="s">
        <v>685</v>
      </c>
      <c r="G34" s="112">
        <v>1</v>
      </c>
      <c r="H34" s="112">
        <v>1</v>
      </c>
      <c r="I34" s="112">
        <v>1</v>
      </c>
      <c r="J34" s="112">
        <v>1</v>
      </c>
      <c r="K34" s="112">
        <v>1</v>
      </c>
      <c r="L34" s="112">
        <v>1</v>
      </c>
      <c r="N34" s="112">
        <v>1</v>
      </c>
      <c r="O34" s="112">
        <v>2</v>
      </c>
    </row>
    <row r="35" spans="1:15" x14ac:dyDescent="0.2">
      <c r="A35" s="111">
        <v>51</v>
      </c>
      <c r="B35" s="421" t="s">
        <v>67</v>
      </c>
      <c r="C35" s="421" t="s">
        <v>516</v>
      </c>
      <c r="D35" s="422" t="s">
        <v>666</v>
      </c>
      <c r="E35" s="111">
        <v>1471</v>
      </c>
      <c r="F35" s="421" t="s">
        <v>685</v>
      </c>
    </row>
    <row r="36" spans="1:15" x14ac:dyDescent="0.2">
      <c r="A36" s="111">
        <v>52</v>
      </c>
      <c r="B36" s="421" t="s">
        <v>68</v>
      </c>
      <c r="C36" s="421" t="s">
        <v>516</v>
      </c>
      <c r="D36" s="422" t="s">
        <v>666</v>
      </c>
      <c r="E36" s="111">
        <v>14106</v>
      </c>
      <c r="F36" s="421" t="s">
        <v>686</v>
      </c>
      <c r="G36" s="112">
        <v>1</v>
      </c>
      <c r="H36" s="112">
        <v>1</v>
      </c>
      <c r="I36" s="112">
        <v>1</v>
      </c>
      <c r="J36" s="112">
        <v>7</v>
      </c>
      <c r="K36" s="112">
        <v>7</v>
      </c>
      <c r="L36" s="112">
        <v>7</v>
      </c>
      <c r="M36" s="112">
        <v>5</v>
      </c>
      <c r="N36" s="112">
        <v>2</v>
      </c>
      <c r="O36" s="112">
        <v>3</v>
      </c>
    </row>
    <row r="37" spans="1:15" x14ac:dyDescent="0.2">
      <c r="A37" s="111">
        <v>53</v>
      </c>
      <c r="B37" s="421" t="s">
        <v>69</v>
      </c>
      <c r="C37" s="421" t="s">
        <v>516</v>
      </c>
      <c r="D37" s="422" t="s">
        <v>663</v>
      </c>
      <c r="E37" s="111">
        <v>14106</v>
      </c>
      <c r="F37" s="421" t="s">
        <v>686</v>
      </c>
      <c r="G37" s="112">
        <v>1</v>
      </c>
      <c r="H37" s="112">
        <v>1</v>
      </c>
      <c r="I37" s="112">
        <v>1</v>
      </c>
      <c r="J37" s="112">
        <v>1</v>
      </c>
      <c r="K37" s="112">
        <v>2</v>
      </c>
      <c r="L37" s="112">
        <v>2</v>
      </c>
    </row>
    <row r="38" spans="1:15" x14ac:dyDescent="0.2">
      <c r="A38" s="111">
        <v>54</v>
      </c>
      <c r="B38" s="421" t="s">
        <v>70</v>
      </c>
      <c r="C38" s="421" t="s">
        <v>514</v>
      </c>
      <c r="D38" s="422" t="s">
        <v>666</v>
      </c>
      <c r="F38" s="421" t="s">
        <v>687</v>
      </c>
    </row>
    <row r="39" spans="1:15" x14ac:dyDescent="0.2">
      <c r="A39" s="111">
        <v>55</v>
      </c>
      <c r="B39" s="421" t="s">
        <v>71</v>
      </c>
      <c r="C39" s="421" t="s">
        <v>510</v>
      </c>
      <c r="D39" s="422" t="s">
        <v>663</v>
      </c>
      <c r="E39" s="111">
        <v>14153</v>
      </c>
      <c r="F39" s="421" t="s">
        <v>688</v>
      </c>
      <c r="G39" s="112">
        <v>1</v>
      </c>
      <c r="H39" s="112">
        <v>1</v>
      </c>
      <c r="I39" s="112">
        <v>1</v>
      </c>
      <c r="J39" s="112">
        <v>1</v>
      </c>
      <c r="K39" s="112">
        <v>1</v>
      </c>
      <c r="L39" s="112">
        <v>1</v>
      </c>
    </row>
    <row r="40" spans="1:15" x14ac:dyDescent="0.2">
      <c r="A40" s="111">
        <v>56</v>
      </c>
      <c r="B40" s="421" t="s">
        <v>72</v>
      </c>
      <c r="C40" s="421" t="s">
        <v>1746</v>
      </c>
      <c r="D40" s="422" t="s">
        <v>663</v>
      </c>
      <c r="E40" s="111">
        <v>14273</v>
      </c>
      <c r="F40" s="421" t="s">
        <v>689</v>
      </c>
    </row>
    <row r="41" spans="1:15" x14ac:dyDescent="0.2">
      <c r="A41" s="111">
        <v>57</v>
      </c>
      <c r="B41" s="421" t="s">
        <v>73</v>
      </c>
      <c r="C41" s="421" t="s">
        <v>501</v>
      </c>
      <c r="D41" s="422" t="s">
        <v>666</v>
      </c>
      <c r="E41" s="111">
        <v>14159</v>
      </c>
      <c r="F41" s="421" t="s">
        <v>690</v>
      </c>
      <c r="G41" s="112">
        <v>1</v>
      </c>
      <c r="H41" s="112">
        <v>1</v>
      </c>
      <c r="I41" s="112">
        <v>1</v>
      </c>
      <c r="J41" s="112">
        <v>1</v>
      </c>
      <c r="K41" s="112">
        <v>1</v>
      </c>
      <c r="L41" s="112">
        <v>1</v>
      </c>
      <c r="M41" s="112">
        <v>1</v>
      </c>
    </row>
    <row r="42" spans="1:15" x14ac:dyDescent="0.2">
      <c r="A42" s="111">
        <v>58</v>
      </c>
      <c r="B42" s="421" t="s">
        <v>74</v>
      </c>
      <c r="C42" s="421" t="s">
        <v>506</v>
      </c>
      <c r="D42" s="422" t="s">
        <v>663</v>
      </c>
      <c r="E42" s="111">
        <v>1454</v>
      </c>
      <c r="F42" s="421" t="s">
        <v>3507</v>
      </c>
      <c r="G42" s="112">
        <v>1</v>
      </c>
      <c r="H42" s="112">
        <v>1</v>
      </c>
    </row>
    <row r="43" spans="1:15" x14ac:dyDescent="0.2">
      <c r="A43" s="111">
        <v>59</v>
      </c>
      <c r="B43" s="421" t="s">
        <v>75</v>
      </c>
      <c r="C43" s="421" t="s">
        <v>510</v>
      </c>
      <c r="D43" s="422" t="s">
        <v>663</v>
      </c>
      <c r="F43" s="421" t="s">
        <v>691</v>
      </c>
      <c r="G43" s="112">
        <v>1</v>
      </c>
      <c r="H43" s="112">
        <v>1</v>
      </c>
      <c r="I43" s="112">
        <v>1</v>
      </c>
      <c r="J43" s="112">
        <v>1</v>
      </c>
      <c r="L43" s="112">
        <v>1</v>
      </c>
    </row>
    <row r="44" spans="1:15" x14ac:dyDescent="0.2">
      <c r="A44" s="111">
        <v>60</v>
      </c>
      <c r="B44" s="421" t="s">
        <v>76</v>
      </c>
      <c r="C44" s="421" t="s">
        <v>517</v>
      </c>
      <c r="D44" s="422" t="s">
        <v>663</v>
      </c>
      <c r="E44" s="111">
        <v>1480</v>
      </c>
      <c r="F44" s="421" t="s">
        <v>692</v>
      </c>
      <c r="G44" s="112">
        <v>1</v>
      </c>
      <c r="H44" s="112">
        <v>1</v>
      </c>
      <c r="I44" s="112">
        <v>1</v>
      </c>
      <c r="J44" s="112">
        <v>4</v>
      </c>
      <c r="K44" s="112">
        <v>3</v>
      </c>
      <c r="L44" s="112">
        <v>3</v>
      </c>
      <c r="M44" s="112">
        <v>4</v>
      </c>
      <c r="N44" s="112">
        <v>2</v>
      </c>
      <c r="O44" s="112">
        <v>2</v>
      </c>
    </row>
    <row r="45" spans="1:15" x14ac:dyDescent="0.2">
      <c r="A45" s="111">
        <v>61</v>
      </c>
      <c r="B45" s="421" t="s">
        <v>77</v>
      </c>
      <c r="C45" s="421" t="s">
        <v>518</v>
      </c>
      <c r="D45" s="422" t="s">
        <v>663</v>
      </c>
      <c r="E45" s="111">
        <v>1480</v>
      </c>
      <c r="F45" s="421" t="s">
        <v>692</v>
      </c>
      <c r="G45" s="112">
        <v>1</v>
      </c>
      <c r="H45" s="112">
        <v>1</v>
      </c>
      <c r="I45" s="112">
        <v>1</v>
      </c>
      <c r="J45" s="112">
        <v>1</v>
      </c>
      <c r="K45" s="112">
        <v>1</v>
      </c>
      <c r="L45" s="112">
        <v>1</v>
      </c>
      <c r="M45" s="112">
        <v>1</v>
      </c>
    </row>
    <row r="46" spans="1:15" x14ac:dyDescent="0.2">
      <c r="A46" s="111">
        <v>62</v>
      </c>
      <c r="B46" s="421" t="s">
        <v>45</v>
      </c>
      <c r="C46" s="421" t="s">
        <v>518</v>
      </c>
      <c r="D46" s="422" t="s">
        <v>666</v>
      </c>
      <c r="E46" s="111">
        <v>1480</v>
      </c>
      <c r="F46" s="421" t="s">
        <v>692</v>
      </c>
      <c r="G46" s="112">
        <v>1</v>
      </c>
      <c r="H46" s="112">
        <v>1</v>
      </c>
      <c r="I46" s="112">
        <v>1</v>
      </c>
      <c r="J46" s="112">
        <v>3</v>
      </c>
      <c r="K46" s="112">
        <v>2</v>
      </c>
      <c r="L46" s="112">
        <v>1</v>
      </c>
    </row>
    <row r="47" spans="1:15" x14ac:dyDescent="0.2">
      <c r="A47" s="111">
        <v>63</v>
      </c>
      <c r="B47" s="421" t="s">
        <v>78</v>
      </c>
      <c r="C47" s="421" t="s">
        <v>513</v>
      </c>
      <c r="D47" s="422" t="s">
        <v>666</v>
      </c>
      <c r="E47" s="111">
        <v>14384</v>
      </c>
      <c r="F47" s="421" t="s">
        <v>693</v>
      </c>
    </row>
    <row r="48" spans="1:15" x14ac:dyDescent="0.2">
      <c r="A48" s="111">
        <v>64</v>
      </c>
      <c r="B48" s="421" t="s">
        <v>79</v>
      </c>
      <c r="C48" s="421" t="s">
        <v>519</v>
      </c>
      <c r="D48" s="422" t="s">
        <v>666</v>
      </c>
      <c r="E48" s="111">
        <v>1470</v>
      </c>
      <c r="F48" s="421" t="s">
        <v>694</v>
      </c>
      <c r="G48" s="112">
        <v>2</v>
      </c>
      <c r="H48" s="112">
        <v>2</v>
      </c>
      <c r="I48" s="112">
        <v>2</v>
      </c>
      <c r="J48" s="112">
        <v>5</v>
      </c>
      <c r="K48" s="112">
        <v>5</v>
      </c>
      <c r="L48" s="112">
        <v>5</v>
      </c>
      <c r="M48" s="112">
        <v>3</v>
      </c>
      <c r="N48" s="112">
        <v>2</v>
      </c>
      <c r="O48" s="112">
        <v>5</v>
      </c>
    </row>
    <row r="49" spans="1:12" x14ac:dyDescent="0.2">
      <c r="A49" s="111">
        <v>65</v>
      </c>
      <c r="B49" s="421" t="s">
        <v>80</v>
      </c>
      <c r="C49" s="421" t="s">
        <v>503</v>
      </c>
      <c r="D49" s="422" t="s">
        <v>663</v>
      </c>
      <c r="F49" s="421" t="s">
        <v>695</v>
      </c>
      <c r="G49" s="112">
        <v>2</v>
      </c>
      <c r="H49" s="112">
        <v>1</v>
      </c>
      <c r="I49" s="112">
        <v>2</v>
      </c>
    </row>
    <row r="50" spans="1:12" x14ac:dyDescent="0.2">
      <c r="A50" s="111">
        <v>66</v>
      </c>
      <c r="B50" s="421" t="s">
        <v>81</v>
      </c>
      <c r="C50" s="421" t="s">
        <v>503</v>
      </c>
      <c r="D50" s="422" t="s">
        <v>666</v>
      </c>
      <c r="F50" s="421" t="s">
        <v>695</v>
      </c>
      <c r="G50" s="112">
        <v>1</v>
      </c>
      <c r="H50" s="112">
        <v>1</v>
      </c>
      <c r="I50" s="112">
        <v>1</v>
      </c>
    </row>
    <row r="51" spans="1:12" x14ac:dyDescent="0.2">
      <c r="A51" s="111">
        <v>67</v>
      </c>
      <c r="B51" s="421" t="s">
        <v>82</v>
      </c>
      <c r="C51" s="421" t="s">
        <v>501</v>
      </c>
      <c r="D51" s="422" t="s">
        <v>666</v>
      </c>
      <c r="E51" s="111">
        <v>16967</v>
      </c>
      <c r="F51" s="421" t="s">
        <v>696</v>
      </c>
    </row>
    <row r="52" spans="1:12" x14ac:dyDescent="0.2">
      <c r="A52" s="111">
        <v>68</v>
      </c>
      <c r="B52" s="421" t="s">
        <v>83</v>
      </c>
      <c r="C52" s="421" t="s">
        <v>501</v>
      </c>
      <c r="D52" s="422" t="s">
        <v>666</v>
      </c>
      <c r="E52" s="111">
        <v>16967</v>
      </c>
      <c r="F52" s="421" t="s">
        <v>696</v>
      </c>
    </row>
    <row r="53" spans="1:12" x14ac:dyDescent="0.2">
      <c r="A53" s="111">
        <v>69</v>
      </c>
      <c r="B53" s="421" t="s">
        <v>84</v>
      </c>
      <c r="C53" s="421" t="s">
        <v>520</v>
      </c>
      <c r="D53" s="422" t="s">
        <v>663</v>
      </c>
      <c r="E53" s="111">
        <v>14342</v>
      </c>
      <c r="F53" s="421" t="s">
        <v>697</v>
      </c>
    </row>
    <row r="54" spans="1:12" x14ac:dyDescent="0.2">
      <c r="A54" s="111">
        <v>70</v>
      </c>
      <c r="B54" s="421" t="s">
        <v>85</v>
      </c>
      <c r="C54" s="421" t="s">
        <v>516</v>
      </c>
      <c r="D54" s="422" t="s">
        <v>666</v>
      </c>
      <c r="F54" s="421" t="s">
        <v>698</v>
      </c>
    </row>
    <row r="55" spans="1:12" x14ac:dyDescent="0.2">
      <c r="A55" s="111">
        <v>71</v>
      </c>
      <c r="B55" s="421" t="s">
        <v>86</v>
      </c>
      <c r="C55" s="421" t="s">
        <v>521</v>
      </c>
      <c r="D55" s="422" t="s">
        <v>663</v>
      </c>
      <c r="F55" s="421" t="s">
        <v>699</v>
      </c>
      <c r="G55" s="112">
        <v>1</v>
      </c>
      <c r="H55" s="112">
        <v>1</v>
      </c>
      <c r="I55" s="112">
        <v>1</v>
      </c>
      <c r="J55" s="112">
        <v>1</v>
      </c>
      <c r="K55" s="112">
        <v>1</v>
      </c>
      <c r="L55" s="112">
        <v>1</v>
      </c>
    </row>
    <row r="56" spans="1:12" x14ac:dyDescent="0.2">
      <c r="A56" s="111">
        <v>72</v>
      </c>
      <c r="B56" s="421" t="s">
        <v>87</v>
      </c>
      <c r="C56" s="421" t="s">
        <v>522</v>
      </c>
      <c r="D56" s="422" t="s">
        <v>666</v>
      </c>
      <c r="F56" s="421" t="s">
        <v>700</v>
      </c>
    </row>
    <row r="57" spans="1:12" x14ac:dyDescent="0.2">
      <c r="A57" s="111">
        <v>73</v>
      </c>
      <c r="B57" s="421" t="s">
        <v>88</v>
      </c>
      <c r="C57" s="421" t="s">
        <v>502</v>
      </c>
      <c r="D57" s="422" t="s">
        <v>666</v>
      </c>
      <c r="E57" s="111">
        <v>1473</v>
      </c>
      <c r="F57" s="421" t="s">
        <v>701</v>
      </c>
    </row>
    <row r="58" spans="1:12" x14ac:dyDescent="0.2">
      <c r="A58" s="111">
        <v>74</v>
      </c>
      <c r="B58" s="421" t="s">
        <v>89</v>
      </c>
      <c r="C58" s="421" t="s">
        <v>4162</v>
      </c>
      <c r="D58" s="422" t="s">
        <v>663</v>
      </c>
      <c r="F58" s="421" t="s">
        <v>702</v>
      </c>
    </row>
    <row r="59" spans="1:12" x14ac:dyDescent="0.2">
      <c r="A59" s="111">
        <v>75</v>
      </c>
      <c r="B59" s="421" t="s">
        <v>90</v>
      </c>
      <c r="C59" s="421" t="s">
        <v>4162</v>
      </c>
      <c r="D59" s="422" t="s">
        <v>666</v>
      </c>
      <c r="F59" s="421" t="s">
        <v>702</v>
      </c>
    </row>
    <row r="60" spans="1:12" x14ac:dyDescent="0.2">
      <c r="A60" s="111">
        <v>76</v>
      </c>
      <c r="B60" s="421" t="s">
        <v>91</v>
      </c>
      <c r="C60" s="421" t="s">
        <v>523</v>
      </c>
      <c r="D60" s="422" t="s">
        <v>663</v>
      </c>
      <c r="E60" s="111">
        <v>1423</v>
      </c>
      <c r="F60" s="421" t="s">
        <v>703</v>
      </c>
      <c r="G60" s="112">
        <v>1</v>
      </c>
      <c r="H60" s="112">
        <v>1</v>
      </c>
      <c r="I60" s="112">
        <v>1</v>
      </c>
      <c r="J60" s="112">
        <v>3</v>
      </c>
      <c r="K60" s="112">
        <v>1</v>
      </c>
      <c r="L60" s="112">
        <v>1</v>
      </c>
    </row>
    <row r="61" spans="1:12" x14ac:dyDescent="0.2">
      <c r="A61" s="111">
        <v>77</v>
      </c>
      <c r="B61" s="421" t="s">
        <v>92</v>
      </c>
      <c r="C61" s="421" t="s">
        <v>523</v>
      </c>
      <c r="D61" s="422" t="s">
        <v>666</v>
      </c>
      <c r="E61" s="111">
        <v>1423</v>
      </c>
      <c r="F61" s="421" t="s">
        <v>703</v>
      </c>
      <c r="G61" s="112">
        <v>1</v>
      </c>
      <c r="H61" s="112">
        <v>1</v>
      </c>
      <c r="I61" s="112">
        <v>1</v>
      </c>
      <c r="J61" s="112">
        <v>2</v>
      </c>
      <c r="K61" s="112">
        <v>1</v>
      </c>
      <c r="L61" s="112">
        <v>1</v>
      </c>
    </row>
    <row r="62" spans="1:12" x14ac:dyDescent="0.2">
      <c r="A62" s="111">
        <v>78</v>
      </c>
      <c r="B62" s="421" t="s">
        <v>93</v>
      </c>
      <c r="C62" s="421" t="s">
        <v>523</v>
      </c>
      <c r="D62" s="422" t="s">
        <v>663</v>
      </c>
      <c r="E62" s="111">
        <v>1491</v>
      </c>
      <c r="F62" s="421" t="s">
        <v>704</v>
      </c>
      <c r="G62" s="112">
        <v>1</v>
      </c>
      <c r="H62" s="112">
        <v>1</v>
      </c>
    </row>
    <row r="63" spans="1:12" x14ac:dyDescent="0.2">
      <c r="A63" s="111">
        <v>79</v>
      </c>
      <c r="B63" s="421" t="s">
        <v>94</v>
      </c>
      <c r="C63" s="421" t="s">
        <v>510</v>
      </c>
      <c r="D63" s="422" t="s">
        <v>666</v>
      </c>
      <c r="E63" s="111">
        <v>14130</v>
      </c>
      <c r="F63" s="421" t="s">
        <v>705</v>
      </c>
      <c r="G63" s="112">
        <v>1</v>
      </c>
      <c r="H63" s="112">
        <v>1</v>
      </c>
      <c r="I63" s="112">
        <v>1</v>
      </c>
    </row>
    <row r="64" spans="1:12" x14ac:dyDescent="0.2">
      <c r="A64" s="111">
        <v>80</v>
      </c>
      <c r="B64" s="421" t="s">
        <v>95</v>
      </c>
      <c r="C64" s="421" t="s">
        <v>509</v>
      </c>
      <c r="D64" s="422" t="s">
        <v>666</v>
      </c>
      <c r="F64" s="421" t="s">
        <v>706</v>
      </c>
      <c r="G64" s="112">
        <v>1</v>
      </c>
      <c r="H64" s="112">
        <v>1</v>
      </c>
      <c r="I64" s="112">
        <v>1</v>
      </c>
    </row>
    <row r="65" spans="1:15" x14ac:dyDescent="0.2">
      <c r="A65" s="111">
        <v>81</v>
      </c>
      <c r="B65" s="421" t="s">
        <v>96</v>
      </c>
      <c r="C65" s="421" t="s">
        <v>501</v>
      </c>
      <c r="D65" s="422" t="s">
        <v>663</v>
      </c>
      <c r="F65" s="421" t="s">
        <v>707</v>
      </c>
    </row>
    <row r="66" spans="1:15" x14ac:dyDescent="0.2">
      <c r="A66" s="111">
        <v>82</v>
      </c>
      <c r="B66" s="421" t="s">
        <v>97</v>
      </c>
      <c r="C66" s="421" t="s">
        <v>506</v>
      </c>
      <c r="D66" s="422" t="s">
        <v>663</v>
      </c>
      <c r="E66" s="111">
        <v>1465</v>
      </c>
      <c r="F66" s="421" t="s">
        <v>708</v>
      </c>
      <c r="G66" s="112">
        <v>1</v>
      </c>
      <c r="H66" s="112">
        <v>1</v>
      </c>
      <c r="I66" s="112">
        <v>1</v>
      </c>
      <c r="J66" s="112">
        <v>3</v>
      </c>
      <c r="K66" s="112">
        <v>2</v>
      </c>
      <c r="L66" s="112">
        <v>3</v>
      </c>
      <c r="M66" s="112">
        <v>2</v>
      </c>
      <c r="N66" s="112">
        <v>1</v>
      </c>
      <c r="O66" s="112">
        <v>2</v>
      </c>
    </row>
    <row r="67" spans="1:15" x14ac:dyDescent="0.2">
      <c r="A67" s="111">
        <v>83</v>
      </c>
      <c r="B67" s="421" t="s">
        <v>98</v>
      </c>
      <c r="C67" s="421" t="s">
        <v>510</v>
      </c>
      <c r="D67" s="422" t="s">
        <v>666</v>
      </c>
      <c r="E67" s="111">
        <v>1429</v>
      </c>
      <c r="F67" s="421" t="s">
        <v>709</v>
      </c>
      <c r="G67" s="112">
        <v>2</v>
      </c>
      <c r="H67" s="112">
        <v>1</v>
      </c>
      <c r="I67" s="112">
        <v>1</v>
      </c>
    </row>
    <row r="68" spans="1:15" x14ac:dyDescent="0.2">
      <c r="A68" s="111">
        <v>84</v>
      </c>
      <c r="B68" s="421" t="s">
        <v>99</v>
      </c>
      <c r="C68" s="421" t="s">
        <v>506</v>
      </c>
      <c r="D68" s="422" t="s">
        <v>666</v>
      </c>
      <c r="F68" s="421" t="s">
        <v>710</v>
      </c>
      <c r="G68" s="112">
        <v>1</v>
      </c>
      <c r="H68" s="112">
        <v>1</v>
      </c>
      <c r="I68" s="112">
        <v>1</v>
      </c>
    </row>
    <row r="69" spans="1:15" x14ac:dyDescent="0.2">
      <c r="A69" s="111">
        <v>85</v>
      </c>
      <c r="B69" s="421" t="s">
        <v>100</v>
      </c>
      <c r="C69" s="421" t="s">
        <v>510</v>
      </c>
      <c r="D69" s="422" t="s">
        <v>666</v>
      </c>
      <c r="E69" s="111">
        <v>1485</v>
      </c>
      <c r="F69" s="421" t="s">
        <v>711</v>
      </c>
      <c r="G69" s="112">
        <v>1</v>
      </c>
      <c r="I69" s="112">
        <v>1</v>
      </c>
    </row>
    <row r="70" spans="1:15" x14ac:dyDescent="0.2">
      <c r="A70" s="111">
        <v>86</v>
      </c>
      <c r="B70" s="421" t="s">
        <v>101</v>
      </c>
      <c r="C70" s="421" t="s">
        <v>502</v>
      </c>
      <c r="D70" s="422" t="s">
        <v>663</v>
      </c>
      <c r="E70" s="111">
        <v>15304</v>
      </c>
      <c r="F70" s="421" t="s">
        <v>712</v>
      </c>
    </row>
    <row r="71" spans="1:15" x14ac:dyDescent="0.2">
      <c r="A71" s="111">
        <v>87</v>
      </c>
      <c r="B71" s="421" t="s">
        <v>102</v>
      </c>
      <c r="C71" s="421" t="s">
        <v>502</v>
      </c>
      <c r="D71" s="422" t="s">
        <v>663</v>
      </c>
      <c r="E71" s="111">
        <v>14189</v>
      </c>
      <c r="F71" s="421" t="s">
        <v>672</v>
      </c>
      <c r="G71" s="112">
        <v>1</v>
      </c>
      <c r="H71" s="112">
        <v>1</v>
      </c>
      <c r="I71" s="112">
        <v>1</v>
      </c>
      <c r="J71" s="112">
        <v>8</v>
      </c>
      <c r="K71" s="112">
        <v>8</v>
      </c>
      <c r="L71" s="112">
        <v>8</v>
      </c>
      <c r="M71" s="112">
        <v>3</v>
      </c>
      <c r="N71" s="112">
        <v>3</v>
      </c>
      <c r="O71" s="112">
        <v>3</v>
      </c>
    </row>
    <row r="72" spans="1:15" x14ac:dyDescent="0.2">
      <c r="A72" s="111">
        <v>88</v>
      </c>
      <c r="B72" s="421" t="s">
        <v>103</v>
      </c>
      <c r="C72" s="421" t="s">
        <v>502</v>
      </c>
      <c r="D72" s="422" t="s">
        <v>663</v>
      </c>
      <c r="E72" s="111">
        <v>14189</v>
      </c>
      <c r="F72" s="421" t="s">
        <v>672</v>
      </c>
      <c r="G72" s="112">
        <v>1</v>
      </c>
      <c r="H72" s="112">
        <v>1</v>
      </c>
      <c r="I72" s="112">
        <v>1</v>
      </c>
      <c r="J72" s="112">
        <v>8</v>
      </c>
      <c r="K72" s="112">
        <v>8</v>
      </c>
      <c r="L72" s="112">
        <v>8</v>
      </c>
      <c r="M72" s="112">
        <v>5</v>
      </c>
      <c r="N72" s="112">
        <v>4</v>
      </c>
      <c r="O72" s="112">
        <v>4</v>
      </c>
    </row>
    <row r="73" spans="1:15" x14ac:dyDescent="0.2">
      <c r="A73" s="111">
        <v>89</v>
      </c>
      <c r="B73" s="421" t="s">
        <v>104</v>
      </c>
      <c r="C73" s="421" t="s">
        <v>524</v>
      </c>
      <c r="D73" s="422" t="s">
        <v>666</v>
      </c>
      <c r="F73" s="421" t="s">
        <v>713</v>
      </c>
      <c r="G73" s="112">
        <v>1</v>
      </c>
      <c r="H73" s="112">
        <v>1</v>
      </c>
      <c r="I73" s="112">
        <v>1</v>
      </c>
      <c r="J73" s="112">
        <v>3</v>
      </c>
      <c r="K73" s="112">
        <v>3</v>
      </c>
      <c r="L73" s="112">
        <v>3</v>
      </c>
    </row>
    <row r="74" spans="1:15" x14ac:dyDescent="0.2">
      <c r="A74" s="111">
        <v>90</v>
      </c>
      <c r="B74" s="421" t="s">
        <v>105</v>
      </c>
      <c r="C74" s="421" t="s">
        <v>514</v>
      </c>
      <c r="D74" s="422" t="s">
        <v>666</v>
      </c>
      <c r="E74" s="111">
        <v>1495</v>
      </c>
      <c r="F74" s="421" t="s">
        <v>714</v>
      </c>
      <c r="G74" s="112">
        <v>1</v>
      </c>
      <c r="H74" s="112">
        <v>1</v>
      </c>
      <c r="I74" s="112">
        <v>1</v>
      </c>
      <c r="J74" s="112">
        <v>7</v>
      </c>
      <c r="K74" s="112">
        <v>7</v>
      </c>
      <c r="L74" s="112">
        <v>7</v>
      </c>
      <c r="M74" s="112">
        <v>3</v>
      </c>
      <c r="N74" s="112">
        <v>3</v>
      </c>
      <c r="O74" s="112">
        <v>4</v>
      </c>
    </row>
    <row r="75" spans="1:15" x14ac:dyDescent="0.2">
      <c r="A75" s="111">
        <v>91</v>
      </c>
      <c r="B75" s="421" t="s">
        <v>106</v>
      </c>
      <c r="C75" s="421" t="s">
        <v>525</v>
      </c>
      <c r="D75" s="422" t="s">
        <v>666</v>
      </c>
      <c r="F75" s="421" t="s">
        <v>715</v>
      </c>
    </row>
    <row r="76" spans="1:15" x14ac:dyDescent="0.2">
      <c r="A76" s="111">
        <v>92</v>
      </c>
      <c r="B76" s="421" t="s">
        <v>107</v>
      </c>
      <c r="C76" s="421" t="s">
        <v>525</v>
      </c>
      <c r="D76" s="422" t="s">
        <v>666</v>
      </c>
      <c r="F76" s="421" t="s">
        <v>715</v>
      </c>
    </row>
    <row r="77" spans="1:15" x14ac:dyDescent="0.2">
      <c r="A77" s="111">
        <v>93</v>
      </c>
      <c r="B77" s="421" t="s">
        <v>108</v>
      </c>
      <c r="C77" s="421" t="s">
        <v>501</v>
      </c>
      <c r="D77" s="422" t="s">
        <v>663</v>
      </c>
      <c r="F77" s="421" t="s">
        <v>716</v>
      </c>
    </row>
    <row r="78" spans="1:15" x14ac:dyDescent="0.2">
      <c r="A78" s="111">
        <v>94</v>
      </c>
      <c r="B78" s="421" t="s">
        <v>109</v>
      </c>
      <c r="C78" s="421" t="s">
        <v>506</v>
      </c>
      <c r="D78" s="422" t="s">
        <v>663</v>
      </c>
      <c r="E78" s="111">
        <v>14118</v>
      </c>
      <c r="F78" s="421" t="s">
        <v>8338</v>
      </c>
      <c r="G78" s="112">
        <v>2</v>
      </c>
      <c r="H78" s="112">
        <v>1</v>
      </c>
      <c r="I78" s="112">
        <v>2</v>
      </c>
      <c r="J78" s="112">
        <v>1</v>
      </c>
      <c r="K78" s="112">
        <v>1</v>
      </c>
      <c r="L78" s="112">
        <v>1</v>
      </c>
    </row>
    <row r="79" spans="1:15" x14ac:dyDescent="0.2">
      <c r="A79" s="111">
        <v>95</v>
      </c>
      <c r="B79" s="421" t="s">
        <v>110</v>
      </c>
      <c r="C79" s="421" t="s">
        <v>503</v>
      </c>
      <c r="D79" s="422" t="s">
        <v>663</v>
      </c>
      <c r="E79" s="111">
        <v>14600</v>
      </c>
      <c r="F79" s="421" t="s">
        <v>717</v>
      </c>
      <c r="G79" s="112">
        <v>1</v>
      </c>
      <c r="H79" s="112">
        <v>1</v>
      </c>
      <c r="I79" s="112">
        <v>1</v>
      </c>
      <c r="J79" s="112">
        <v>8</v>
      </c>
      <c r="K79" s="112">
        <v>8</v>
      </c>
      <c r="L79" s="112">
        <v>8</v>
      </c>
      <c r="M79" s="112">
        <v>3</v>
      </c>
      <c r="N79" s="112">
        <v>3</v>
      </c>
      <c r="O79" s="112">
        <v>3</v>
      </c>
    </row>
    <row r="80" spans="1:15" x14ac:dyDescent="0.2">
      <c r="A80" s="111">
        <v>96</v>
      </c>
      <c r="B80" s="421" t="s">
        <v>111</v>
      </c>
      <c r="C80" s="421" t="s">
        <v>501</v>
      </c>
      <c r="D80" s="422" t="s">
        <v>663</v>
      </c>
      <c r="E80" s="111">
        <v>15745</v>
      </c>
      <c r="F80" s="421" t="s">
        <v>718</v>
      </c>
      <c r="G80" s="112">
        <v>1</v>
      </c>
      <c r="H80" s="112">
        <v>1</v>
      </c>
      <c r="I80" s="112">
        <v>1</v>
      </c>
      <c r="J80" s="112">
        <v>1</v>
      </c>
      <c r="K80" s="112">
        <v>1</v>
      </c>
      <c r="L80" s="112">
        <v>1</v>
      </c>
      <c r="M80" s="112">
        <v>1</v>
      </c>
    </row>
    <row r="81" spans="1:15" x14ac:dyDescent="0.2">
      <c r="A81" s="111">
        <v>97</v>
      </c>
      <c r="B81" s="421" t="s">
        <v>112</v>
      </c>
      <c r="C81" s="421" t="s">
        <v>503</v>
      </c>
      <c r="D81" s="422" t="s">
        <v>663</v>
      </c>
      <c r="F81" s="421" t="s">
        <v>719</v>
      </c>
      <c r="G81" s="112">
        <v>1</v>
      </c>
      <c r="H81" s="112">
        <v>1</v>
      </c>
      <c r="I81" s="112">
        <v>1</v>
      </c>
      <c r="J81" s="112">
        <v>1</v>
      </c>
      <c r="K81" s="112">
        <v>1</v>
      </c>
      <c r="L81" s="112">
        <v>1</v>
      </c>
    </row>
    <row r="82" spans="1:15" x14ac:dyDescent="0.2">
      <c r="A82" s="111">
        <v>98</v>
      </c>
      <c r="B82" s="421" t="s">
        <v>113</v>
      </c>
      <c r="C82" s="421" t="s">
        <v>526</v>
      </c>
      <c r="D82" s="422" t="s">
        <v>663</v>
      </c>
      <c r="F82" s="421" t="s">
        <v>720</v>
      </c>
    </row>
    <row r="83" spans="1:15" x14ac:dyDescent="0.2">
      <c r="A83" s="111">
        <v>99</v>
      </c>
      <c r="B83" s="421" t="s">
        <v>114</v>
      </c>
      <c r="C83" s="421" t="s">
        <v>507</v>
      </c>
      <c r="D83" s="422" t="s">
        <v>663</v>
      </c>
      <c r="F83" s="421" t="s">
        <v>721</v>
      </c>
    </row>
    <row r="84" spans="1:15" x14ac:dyDescent="0.2">
      <c r="A84" s="111">
        <v>100</v>
      </c>
      <c r="B84" s="421" t="s">
        <v>110</v>
      </c>
      <c r="C84" s="421" t="s">
        <v>507</v>
      </c>
      <c r="D84" s="422" t="s">
        <v>663</v>
      </c>
      <c r="F84" s="421" t="s">
        <v>721</v>
      </c>
    </row>
    <row r="85" spans="1:15" x14ac:dyDescent="0.2">
      <c r="A85" s="111">
        <v>101</v>
      </c>
      <c r="B85" s="421" t="s">
        <v>37</v>
      </c>
      <c r="C85" s="421" t="s">
        <v>503</v>
      </c>
      <c r="D85" s="422" t="s">
        <v>663</v>
      </c>
      <c r="F85" s="421" t="s">
        <v>722</v>
      </c>
      <c r="G85" s="112">
        <v>1</v>
      </c>
      <c r="H85" s="112">
        <v>1</v>
      </c>
      <c r="I85" s="112">
        <v>1</v>
      </c>
      <c r="J85" s="112">
        <v>1</v>
      </c>
      <c r="K85" s="112">
        <v>2</v>
      </c>
      <c r="L85" s="112">
        <v>2</v>
      </c>
    </row>
    <row r="86" spans="1:15" x14ac:dyDescent="0.2">
      <c r="A86" s="111">
        <v>102</v>
      </c>
      <c r="B86" s="421" t="s">
        <v>115</v>
      </c>
      <c r="C86" s="421" t="s">
        <v>502</v>
      </c>
      <c r="D86" s="422" t="s">
        <v>663</v>
      </c>
      <c r="E86" s="111">
        <v>14355</v>
      </c>
      <c r="F86" s="421" t="s">
        <v>723</v>
      </c>
      <c r="G86" s="112">
        <v>1</v>
      </c>
      <c r="H86" s="112">
        <v>1</v>
      </c>
      <c r="I86" s="112">
        <v>1</v>
      </c>
      <c r="J86" s="112">
        <v>1</v>
      </c>
      <c r="K86" s="112">
        <v>1</v>
      </c>
      <c r="L86" s="112">
        <v>1</v>
      </c>
      <c r="M86" s="112">
        <v>2</v>
      </c>
      <c r="O86" s="112">
        <v>1</v>
      </c>
    </row>
    <row r="87" spans="1:15" x14ac:dyDescent="0.2">
      <c r="A87" s="111">
        <v>103</v>
      </c>
      <c r="B87" s="421" t="s">
        <v>116</v>
      </c>
      <c r="C87" s="421" t="s">
        <v>518</v>
      </c>
      <c r="D87" s="422" t="s">
        <v>663</v>
      </c>
      <c r="F87" s="421" t="s">
        <v>724</v>
      </c>
      <c r="G87" s="112">
        <v>1</v>
      </c>
      <c r="I87" s="112">
        <v>1</v>
      </c>
    </row>
    <row r="88" spans="1:15" x14ac:dyDescent="0.2">
      <c r="A88" s="111">
        <v>104</v>
      </c>
      <c r="B88" s="421" t="s">
        <v>117</v>
      </c>
      <c r="C88" s="421" t="s">
        <v>510</v>
      </c>
      <c r="D88" s="422" t="s">
        <v>663</v>
      </c>
      <c r="E88" s="111">
        <v>14110</v>
      </c>
      <c r="F88" s="421" t="s">
        <v>725</v>
      </c>
      <c r="G88" s="112">
        <v>1</v>
      </c>
      <c r="H88" s="112">
        <v>1</v>
      </c>
      <c r="I88" s="112">
        <v>1</v>
      </c>
      <c r="J88" s="112">
        <v>2</v>
      </c>
      <c r="K88" s="112">
        <v>1</v>
      </c>
    </row>
    <row r="89" spans="1:15" x14ac:dyDescent="0.2">
      <c r="A89" s="111">
        <v>105</v>
      </c>
      <c r="B89" s="421" t="s">
        <v>118</v>
      </c>
      <c r="C89" s="421" t="s">
        <v>510</v>
      </c>
      <c r="D89" s="422" t="s">
        <v>663</v>
      </c>
      <c r="E89" s="111">
        <v>14110</v>
      </c>
      <c r="F89" s="421" t="s">
        <v>725</v>
      </c>
      <c r="G89" s="112">
        <v>1</v>
      </c>
      <c r="H89" s="112">
        <v>1</v>
      </c>
      <c r="I89" s="112">
        <v>1</v>
      </c>
      <c r="J89" s="112">
        <v>4</v>
      </c>
      <c r="K89" s="112">
        <v>1</v>
      </c>
      <c r="L89" s="112">
        <v>1</v>
      </c>
    </row>
    <row r="90" spans="1:15" x14ac:dyDescent="0.2">
      <c r="A90" s="111">
        <v>106</v>
      </c>
      <c r="B90" s="421" t="s">
        <v>119</v>
      </c>
      <c r="C90" s="421" t="s">
        <v>506</v>
      </c>
      <c r="D90" s="422" t="s">
        <v>663</v>
      </c>
      <c r="E90" s="111">
        <v>14131</v>
      </c>
      <c r="F90" s="421" t="s">
        <v>726</v>
      </c>
      <c r="G90" s="112">
        <v>1</v>
      </c>
      <c r="H90" s="112">
        <v>1</v>
      </c>
      <c r="I90" s="112">
        <v>1</v>
      </c>
      <c r="J90" s="112">
        <v>1</v>
      </c>
    </row>
    <row r="91" spans="1:15" x14ac:dyDescent="0.2">
      <c r="A91" s="111">
        <v>107</v>
      </c>
      <c r="B91" s="421" t="s">
        <v>120</v>
      </c>
      <c r="C91" s="421" t="s">
        <v>503</v>
      </c>
      <c r="D91" s="422" t="s">
        <v>666</v>
      </c>
      <c r="F91" s="421" t="s">
        <v>727</v>
      </c>
      <c r="G91" s="112">
        <v>2</v>
      </c>
      <c r="H91" s="112">
        <v>2</v>
      </c>
      <c r="I91" s="112">
        <v>1</v>
      </c>
      <c r="J91" s="112">
        <v>3</v>
      </c>
      <c r="K91" s="112">
        <v>2</v>
      </c>
      <c r="L91" s="112">
        <v>4</v>
      </c>
    </row>
    <row r="92" spans="1:15" x14ac:dyDescent="0.2">
      <c r="A92" s="111">
        <v>108</v>
      </c>
      <c r="B92" s="421" t="s">
        <v>121</v>
      </c>
      <c r="C92" s="421" t="s">
        <v>501</v>
      </c>
      <c r="D92" s="422" t="s">
        <v>666</v>
      </c>
      <c r="E92" s="111">
        <v>1490</v>
      </c>
      <c r="F92" s="421" t="s">
        <v>728</v>
      </c>
    </row>
    <row r="93" spans="1:15" x14ac:dyDescent="0.2">
      <c r="A93" s="111">
        <v>109</v>
      </c>
      <c r="B93" s="421" t="s">
        <v>122</v>
      </c>
      <c r="C93" s="421" t="s">
        <v>506</v>
      </c>
      <c r="D93" s="422" t="s">
        <v>663</v>
      </c>
      <c r="E93" s="111">
        <v>14113</v>
      </c>
      <c r="F93" s="421" t="s">
        <v>729</v>
      </c>
      <c r="G93" s="112">
        <v>1</v>
      </c>
      <c r="H93" s="112">
        <v>1</v>
      </c>
      <c r="I93" s="112">
        <v>1</v>
      </c>
      <c r="J93" s="112">
        <v>1</v>
      </c>
      <c r="K93" s="112">
        <v>1</v>
      </c>
      <c r="L93" s="112">
        <v>1</v>
      </c>
    </row>
    <row r="94" spans="1:15" x14ac:dyDescent="0.2">
      <c r="A94" s="111">
        <v>110</v>
      </c>
      <c r="B94" s="421" t="s">
        <v>123</v>
      </c>
      <c r="C94" s="421" t="s">
        <v>507</v>
      </c>
      <c r="D94" s="422" t="s">
        <v>666</v>
      </c>
      <c r="E94" s="111">
        <v>14127</v>
      </c>
      <c r="F94" s="421" t="s">
        <v>730</v>
      </c>
    </row>
    <row r="95" spans="1:15" x14ac:dyDescent="0.2">
      <c r="A95" s="111">
        <v>111</v>
      </c>
      <c r="B95" s="421" t="s">
        <v>124</v>
      </c>
      <c r="C95" s="421" t="s">
        <v>527</v>
      </c>
      <c r="D95" s="422" t="s">
        <v>666</v>
      </c>
      <c r="E95" s="111">
        <v>14102</v>
      </c>
      <c r="F95" s="421" t="s">
        <v>731</v>
      </c>
      <c r="G95" s="112">
        <v>2</v>
      </c>
      <c r="H95" s="112">
        <v>1</v>
      </c>
      <c r="I95" s="112">
        <v>1</v>
      </c>
      <c r="J95" s="112">
        <v>8</v>
      </c>
      <c r="K95" s="112">
        <v>7</v>
      </c>
      <c r="L95" s="112">
        <v>8</v>
      </c>
      <c r="M95" s="112">
        <v>5</v>
      </c>
      <c r="N95" s="112">
        <v>3</v>
      </c>
      <c r="O95" s="112">
        <v>6</v>
      </c>
    </row>
    <row r="96" spans="1:15" x14ac:dyDescent="0.2">
      <c r="A96" s="111">
        <v>112</v>
      </c>
      <c r="B96" s="421" t="s">
        <v>125</v>
      </c>
      <c r="C96" s="421" t="s">
        <v>527</v>
      </c>
      <c r="D96" s="422" t="s">
        <v>663</v>
      </c>
      <c r="E96" s="111">
        <v>14102</v>
      </c>
      <c r="F96" s="421" t="s">
        <v>731</v>
      </c>
    </row>
    <row r="97" spans="1:15" x14ac:dyDescent="0.2">
      <c r="A97" s="111">
        <v>113</v>
      </c>
      <c r="B97" s="421" t="s">
        <v>126</v>
      </c>
      <c r="C97" s="421" t="s">
        <v>516</v>
      </c>
      <c r="D97" s="422" t="s">
        <v>666</v>
      </c>
      <c r="E97" s="111">
        <v>14137</v>
      </c>
      <c r="F97" s="421" t="s">
        <v>732</v>
      </c>
      <c r="G97" s="112">
        <v>1</v>
      </c>
      <c r="H97" s="112">
        <v>1</v>
      </c>
      <c r="I97" s="112">
        <v>1</v>
      </c>
      <c r="J97" s="112">
        <v>9</v>
      </c>
      <c r="K97" s="112">
        <v>7</v>
      </c>
      <c r="L97" s="112">
        <v>8</v>
      </c>
      <c r="M97" s="112">
        <v>5</v>
      </c>
      <c r="N97" s="112">
        <v>1</v>
      </c>
      <c r="O97" s="112">
        <v>4</v>
      </c>
    </row>
    <row r="98" spans="1:15" x14ac:dyDescent="0.2">
      <c r="A98" s="111">
        <v>114</v>
      </c>
      <c r="B98" s="421" t="s">
        <v>127</v>
      </c>
      <c r="C98" s="421" t="s">
        <v>528</v>
      </c>
      <c r="D98" s="422" t="s">
        <v>666</v>
      </c>
      <c r="E98" s="111">
        <v>15200</v>
      </c>
      <c r="F98" s="421" t="s">
        <v>733</v>
      </c>
      <c r="G98" s="112">
        <v>1</v>
      </c>
      <c r="H98" s="112">
        <v>1</v>
      </c>
      <c r="I98" s="112">
        <v>1</v>
      </c>
      <c r="J98" s="112">
        <v>1</v>
      </c>
      <c r="K98" s="112">
        <v>1</v>
      </c>
      <c r="L98" s="112">
        <v>1</v>
      </c>
      <c r="N98" s="112">
        <v>1</v>
      </c>
      <c r="O98" s="112">
        <v>1</v>
      </c>
    </row>
    <row r="99" spans="1:15" x14ac:dyDescent="0.2">
      <c r="A99" s="111">
        <v>115</v>
      </c>
      <c r="B99" s="421" t="s">
        <v>128</v>
      </c>
      <c r="C99" s="421" t="s">
        <v>506</v>
      </c>
      <c r="D99" s="422" t="s">
        <v>625</v>
      </c>
      <c r="E99" s="111">
        <v>1466</v>
      </c>
      <c r="F99" s="421" t="s">
        <v>734</v>
      </c>
      <c r="G99" s="112">
        <v>1</v>
      </c>
      <c r="H99" s="112">
        <v>1</v>
      </c>
      <c r="I99" s="112">
        <v>1</v>
      </c>
      <c r="J99" s="112">
        <v>1</v>
      </c>
      <c r="K99" s="112">
        <v>1</v>
      </c>
      <c r="L99" s="112">
        <v>1</v>
      </c>
    </row>
    <row r="100" spans="1:15" x14ac:dyDescent="0.2">
      <c r="A100" s="111">
        <v>116</v>
      </c>
      <c r="B100" s="421" t="s">
        <v>129</v>
      </c>
      <c r="C100" s="421" t="s">
        <v>529</v>
      </c>
      <c r="D100" s="422" t="s">
        <v>663</v>
      </c>
      <c r="E100" s="111">
        <v>14134</v>
      </c>
      <c r="F100" s="421" t="s">
        <v>735</v>
      </c>
      <c r="G100" s="112">
        <v>1</v>
      </c>
    </row>
    <row r="101" spans="1:15" x14ac:dyDescent="0.2">
      <c r="A101" s="111">
        <v>117</v>
      </c>
      <c r="B101" s="421" t="s">
        <v>130</v>
      </c>
      <c r="C101" s="421" t="s">
        <v>530</v>
      </c>
      <c r="D101" s="422" t="s">
        <v>666</v>
      </c>
      <c r="E101" s="111">
        <v>14514</v>
      </c>
      <c r="F101" s="421" t="s">
        <v>736</v>
      </c>
      <c r="G101" s="112">
        <v>1</v>
      </c>
      <c r="H101" s="112">
        <v>1</v>
      </c>
      <c r="I101" s="112">
        <v>1</v>
      </c>
      <c r="J101" s="112">
        <v>11</v>
      </c>
      <c r="K101" s="112">
        <v>10</v>
      </c>
      <c r="L101" s="112">
        <v>7</v>
      </c>
      <c r="M101" s="112">
        <v>5</v>
      </c>
      <c r="N101" s="112">
        <v>4</v>
      </c>
      <c r="O101" s="112">
        <v>6</v>
      </c>
    </row>
    <row r="102" spans="1:15" x14ac:dyDescent="0.2">
      <c r="A102" s="111">
        <v>118</v>
      </c>
      <c r="B102" s="421" t="s">
        <v>131</v>
      </c>
      <c r="C102" s="421" t="s">
        <v>531</v>
      </c>
      <c r="D102" s="422" t="s">
        <v>663</v>
      </c>
      <c r="F102" s="421" t="s">
        <v>737</v>
      </c>
    </row>
    <row r="103" spans="1:15" x14ac:dyDescent="0.2">
      <c r="A103" s="111">
        <v>119</v>
      </c>
      <c r="B103" s="421" t="s">
        <v>132</v>
      </c>
      <c r="C103" s="421" t="s">
        <v>1446</v>
      </c>
      <c r="D103" s="422" t="s">
        <v>666</v>
      </c>
      <c r="E103" s="111">
        <v>14151</v>
      </c>
      <c r="F103" s="421" t="s">
        <v>738</v>
      </c>
      <c r="G103" s="112">
        <v>1</v>
      </c>
      <c r="H103" s="112">
        <v>1</v>
      </c>
      <c r="I103" s="112">
        <v>1</v>
      </c>
      <c r="J103" s="112">
        <v>4</v>
      </c>
      <c r="K103" s="112">
        <v>4</v>
      </c>
      <c r="L103" s="112">
        <v>4</v>
      </c>
      <c r="M103" s="112">
        <v>2</v>
      </c>
      <c r="N103" s="112">
        <v>2</v>
      </c>
      <c r="O103" s="112">
        <v>3</v>
      </c>
    </row>
    <row r="104" spans="1:15" x14ac:dyDescent="0.2">
      <c r="A104" s="111">
        <v>120</v>
      </c>
      <c r="B104" s="421" t="s">
        <v>133</v>
      </c>
      <c r="C104" s="421" t="s">
        <v>532</v>
      </c>
      <c r="D104" s="422" t="s">
        <v>666</v>
      </c>
      <c r="F104" s="421" t="s">
        <v>739</v>
      </c>
    </row>
    <row r="105" spans="1:15" x14ac:dyDescent="0.2">
      <c r="A105" s="111">
        <v>121</v>
      </c>
      <c r="B105" s="421" t="s">
        <v>134</v>
      </c>
      <c r="C105" s="421" t="s">
        <v>533</v>
      </c>
      <c r="D105" s="422" t="s">
        <v>663</v>
      </c>
      <c r="E105" s="111">
        <v>14579</v>
      </c>
      <c r="F105" s="421" t="s">
        <v>740</v>
      </c>
      <c r="G105" s="112">
        <v>2</v>
      </c>
      <c r="H105" s="112">
        <v>1</v>
      </c>
      <c r="I105" s="112">
        <v>1</v>
      </c>
      <c r="J105" s="112">
        <v>1</v>
      </c>
      <c r="K105" s="112">
        <v>1</v>
      </c>
    </row>
    <row r="106" spans="1:15" x14ac:dyDescent="0.2">
      <c r="A106" s="111">
        <v>122</v>
      </c>
      <c r="B106" s="421" t="s">
        <v>135</v>
      </c>
      <c r="C106" s="421" t="s">
        <v>501</v>
      </c>
      <c r="D106" s="422" t="s">
        <v>666</v>
      </c>
      <c r="F106" s="421" t="s">
        <v>741</v>
      </c>
    </row>
    <row r="107" spans="1:15" x14ac:dyDescent="0.2">
      <c r="A107" s="111">
        <v>123</v>
      </c>
      <c r="B107" s="421" t="s">
        <v>136</v>
      </c>
      <c r="C107" s="421" t="s">
        <v>534</v>
      </c>
      <c r="D107" s="422" t="s">
        <v>666</v>
      </c>
      <c r="E107" s="111">
        <v>14239</v>
      </c>
      <c r="F107" s="421" t="s">
        <v>742</v>
      </c>
      <c r="G107" s="112">
        <v>1</v>
      </c>
      <c r="H107" s="112">
        <v>1</v>
      </c>
      <c r="I107" s="112">
        <v>1</v>
      </c>
      <c r="J107" s="112">
        <v>1</v>
      </c>
      <c r="K107" s="112">
        <v>1</v>
      </c>
      <c r="L107" s="112">
        <v>1</v>
      </c>
      <c r="M107" s="112">
        <v>1</v>
      </c>
      <c r="N107" s="112">
        <v>1</v>
      </c>
      <c r="O107" s="112">
        <v>1</v>
      </c>
    </row>
    <row r="108" spans="1:15" x14ac:dyDescent="0.2">
      <c r="A108" s="111">
        <v>124</v>
      </c>
      <c r="B108" s="421" t="s">
        <v>137</v>
      </c>
      <c r="C108" s="421" t="s">
        <v>534</v>
      </c>
      <c r="D108" s="422" t="s">
        <v>663</v>
      </c>
      <c r="E108" s="111">
        <v>14239</v>
      </c>
      <c r="F108" s="421" t="s">
        <v>742</v>
      </c>
      <c r="G108" s="112">
        <v>1</v>
      </c>
      <c r="H108" s="112">
        <v>2</v>
      </c>
      <c r="I108" s="112">
        <v>1</v>
      </c>
      <c r="J108" s="112">
        <v>7</v>
      </c>
      <c r="K108" s="112">
        <v>6</v>
      </c>
      <c r="L108" s="112">
        <v>7</v>
      </c>
      <c r="M108" s="112">
        <v>4</v>
      </c>
      <c r="N108" s="112">
        <v>4</v>
      </c>
      <c r="O108" s="112">
        <v>4</v>
      </c>
    </row>
    <row r="109" spans="1:15" x14ac:dyDescent="0.2">
      <c r="A109" s="111">
        <v>125</v>
      </c>
      <c r="B109" s="421" t="s">
        <v>138</v>
      </c>
      <c r="C109" s="421" t="s">
        <v>535</v>
      </c>
      <c r="D109" s="422" t="s">
        <v>663</v>
      </c>
      <c r="E109" s="111">
        <v>1482</v>
      </c>
      <c r="F109" s="421" t="s">
        <v>743</v>
      </c>
      <c r="G109" s="112">
        <v>1</v>
      </c>
      <c r="H109" s="112">
        <v>1</v>
      </c>
      <c r="I109" s="112">
        <v>1</v>
      </c>
    </row>
    <row r="110" spans="1:15" x14ac:dyDescent="0.2">
      <c r="A110" s="111">
        <v>126</v>
      </c>
      <c r="B110" s="421" t="s">
        <v>139</v>
      </c>
      <c r="C110" s="421" t="s">
        <v>535</v>
      </c>
      <c r="D110" s="422" t="s">
        <v>663</v>
      </c>
      <c r="E110" s="111">
        <v>1482</v>
      </c>
      <c r="F110" s="421" t="s">
        <v>743</v>
      </c>
      <c r="G110" s="112">
        <v>1</v>
      </c>
      <c r="H110" s="112">
        <v>1</v>
      </c>
      <c r="I110" s="112">
        <v>1</v>
      </c>
      <c r="J110" s="112">
        <v>2</v>
      </c>
    </row>
    <row r="111" spans="1:15" x14ac:dyDescent="0.2">
      <c r="A111" s="111">
        <v>127</v>
      </c>
      <c r="B111" s="421" t="s">
        <v>140</v>
      </c>
      <c r="C111" s="421" t="s">
        <v>533</v>
      </c>
      <c r="D111" s="422" t="s">
        <v>666</v>
      </c>
      <c r="E111" s="111">
        <v>1487</v>
      </c>
      <c r="F111" s="421" t="s">
        <v>744</v>
      </c>
      <c r="G111" s="112">
        <v>1</v>
      </c>
      <c r="H111" s="112">
        <v>1</v>
      </c>
      <c r="I111" s="112">
        <v>1</v>
      </c>
      <c r="J111" s="112">
        <v>1</v>
      </c>
      <c r="K111" s="112">
        <v>1</v>
      </c>
      <c r="L111" s="112">
        <v>1</v>
      </c>
    </row>
    <row r="112" spans="1:15" x14ac:dyDescent="0.2">
      <c r="A112" s="111">
        <v>128</v>
      </c>
      <c r="B112" s="421" t="s">
        <v>141</v>
      </c>
      <c r="C112" s="421" t="s">
        <v>530</v>
      </c>
      <c r="D112" s="422" t="s">
        <v>663</v>
      </c>
      <c r="E112" s="111">
        <v>1487</v>
      </c>
      <c r="F112" s="421" t="s">
        <v>744</v>
      </c>
      <c r="G112" s="112">
        <v>1</v>
      </c>
      <c r="H112" s="112">
        <v>1</v>
      </c>
      <c r="I112" s="112">
        <v>1</v>
      </c>
      <c r="J112" s="112">
        <v>3</v>
      </c>
      <c r="K112" s="112">
        <v>3</v>
      </c>
      <c r="L112" s="112">
        <v>3</v>
      </c>
      <c r="M112" s="112">
        <v>3</v>
      </c>
      <c r="N112" s="112">
        <v>2</v>
      </c>
      <c r="O112" s="112">
        <v>2</v>
      </c>
    </row>
    <row r="113" spans="1:15" x14ac:dyDescent="0.2">
      <c r="A113" s="111">
        <v>129</v>
      </c>
      <c r="B113" s="421" t="s">
        <v>142</v>
      </c>
      <c r="C113" s="421" t="s">
        <v>506</v>
      </c>
      <c r="D113" s="422" t="s">
        <v>663</v>
      </c>
      <c r="E113" s="111">
        <v>14213</v>
      </c>
      <c r="F113" s="421" t="s">
        <v>745</v>
      </c>
      <c r="G113" s="112">
        <v>1</v>
      </c>
      <c r="H113" s="112">
        <v>2</v>
      </c>
      <c r="I113" s="112">
        <v>2</v>
      </c>
      <c r="J113" s="112">
        <v>4</v>
      </c>
      <c r="K113" s="112">
        <v>3</v>
      </c>
      <c r="L113" s="112">
        <v>3</v>
      </c>
    </row>
    <row r="114" spans="1:15" x14ac:dyDescent="0.2">
      <c r="A114" s="111">
        <v>130</v>
      </c>
      <c r="B114" s="421" t="s">
        <v>143</v>
      </c>
      <c r="C114" s="421" t="s">
        <v>523</v>
      </c>
      <c r="D114" s="422" t="s">
        <v>666</v>
      </c>
      <c r="E114" s="111">
        <v>14104</v>
      </c>
      <c r="F114" s="421" t="s">
        <v>746</v>
      </c>
      <c r="G114" s="112">
        <v>4</v>
      </c>
      <c r="H114" s="112">
        <v>4</v>
      </c>
      <c r="I114" s="112">
        <v>2</v>
      </c>
    </row>
    <row r="115" spans="1:15" x14ac:dyDescent="0.2">
      <c r="A115" s="111">
        <v>131</v>
      </c>
      <c r="B115" s="421" t="s">
        <v>144</v>
      </c>
      <c r="C115" s="421" t="s">
        <v>523</v>
      </c>
      <c r="D115" s="422" t="s">
        <v>663</v>
      </c>
      <c r="E115" s="111">
        <v>14104</v>
      </c>
      <c r="F115" s="421" t="s">
        <v>746</v>
      </c>
      <c r="G115" s="112">
        <v>2</v>
      </c>
      <c r="H115" s="112">
        <v>1</v>
      </c>
      <c r="I115" s="112">
        <v>1</v>
      </c>
      <c r="J115" s="112">
        <v>7</v>
      </c>
      <c r="K115" s="112">
        <v>9</v>
      </c>
      <c r="L115" s="112">
        <v>8</v>
      </c>
      <c r="M115" s="112">
        <v>5</v>
      </c>
      <c r="N115" s="112">
        <v>5</v>
      </c>
      <c r="O115" s="112">
        <v>5</v>
      </c>
    </row>
    <row r="116" spans="1:15" x14ac:dyDescent="0.2">
      <c r="A116" s="111">
        <v>132</v>
      </c>
      <c r="B116" s="421" t="s">
        <v>145</v>
      </c>
      <c r="C116" s="421" t="s">
        <v>536</v>
      </c>
      <c r="D116" s="422" t="s">
        <v>663</v>
      </c>
      <c r="E116" s="111">
        <v>14341</v>
      </c>
      <c r="F116" s="421" t="s">
        <v>747</v>
      </c>
    </row>
    <row r="117" spans="1:15" x14ac:dyDescent="0.2">
      <c r="A117" s="111">
        <v>134</v>
      </c>
      <c r="B117" s="421" t="s">
        <v>146</v>
      </c>
      <c r="C117" s="421" t="s">
        <v>506</v>
      </c>
      <c r="D117" s="422" t="s">
        <v>663</v>
      </c>
      <c r="E117" s="111">
        <v>1492</v>
      </c>
      <c r="F117" s="421" t="s">
        <v>2115</v>
      </c>
      <c r="G117" s="112">
        <v>1</v>
      </c>
      <c r="H117" s="112">
        <v>1</v>
      </c>
      <c r="I117" s="112">
        <v>1</v>
      </c>
      <c r="J117" s="112">
        <v>1</v>
      </c>
      <c r="K117" s="112">
        <v>2</v>
      </c>
      <c r="L117" s="112">
        <v>2</v>
      </c>
    </row>
    <row r="118" spans="1:15" x14ac:dyDescent="0.2">
      <c r="A118" s="111">
        <v>135</v>
      </c>
      <c r="B118" s="421" t="s">
        <v>147</v>
      </c>
      <c r="C118" s="421" t="s">
        <v>501</v>
      </c>
      <c r="D118" s="422" t="s">
        <v>663</v>
      </c>
      <c r="E118" s="111">
        <v>1455</v>
      </c>
      <c r="F118" s="421" t="s">
        <v>748</v>
      </c>
    </row>
    <row r="119" spans="1:15" x14ac:dyDescent="0.2">
      <c r="A119" s="111">
        <v>136</v>
      </c>
      <c r="B119" s="421" t="s">
        <v>110</v>
      </c>
      <c r="C119" s="421" t="s">
        <v>537</v>
      </c>
      <c r="D119" s="422" t="s">
        <v>666</v>
      </c>
      <c r="E119" s="111">
        <v>1455</v>
      </c>
      <c r="F119" s="421" t="s">
        <v>748</v>
      </c>
    </row>
    <row r="120" spans="1:15" x14ac:dyDescent="0.2">
      <c r="A120" s="111">
        <v>137</v>
      </c>
      <c r="B120" s="421" t="s">
        <v>148</v>
      </c>
      <c r="C120" s="421" t="s">
        <v>521</v>
      </c>
      <c r="D120" s="422" t="s">
        <v>666</v>
      </c>
      <c r="E120" s="111">
        <v>14215</v>
      </c>
      <c r="F120" s="421" t="s">
        <v>749</v>
      </c>
      <c r="G120" s="112">
        <v>2</v>
      </c>
      <c r="H120" s="112">
        <v>2</v>
      </c>
      <c r="I120" s="112">
        <v>2</v>
      </c>
      <c r="J120" s="112">
        <v>2</v>
      </c>
      <c r="K120" s="112">
        <v>2</v>
      </c>
      <c r="L120" s="112">
        <v>1</v>
      </c>
    </row>
    <row r="121" spans="1:15" x14ac:dyDescent="0.2">
      <c r="A121" s="111">
        <v>138</v>
      </c>
      <c r="B121" s="421" t="s">
        <v>149</v>
      </c>
      <c r="C121" s="421" t="s">
        <v>510</v>
      </c>
      <c r="D121" s="422" t="s">
        <v>663</v>
      </c>
      <c r="E121" s="111">
        <v>1472</v>
      </c>
      <c r="F121" s="421" t="s">
        <v>750</v>
      </c>
    </row>
    <row r="122" spans="1:15" x14ac:dyDescent="0.2">
      <c r="A122" s="111">
        <v>139</v>
      </c>
      <c r="B122" s="421" t="s">
        <v>150</v>
      </c>
      <c r="C122" s="421" t="s">
        <v>506</v>
      </c>
      <c r="D122" s="422" t="s">
        <v>663</v>
      </c>
      <c r="E122" s="111">
        <v>14265</v>
      </c>
      <c r="F122" s="421" t="s">
        <v>751</v>
      </c>
      <c r="G122" s="112">
        <v>1</v>
      </c>
      <c r="H122" s="112">
        <v>1</v>
      </c>
      <c r="I122" s="112">
        <v>1</v>
      </c>
      <c r="J122" s="112">
        <v>7</v>
      </c>
      <c r="K122" s="112">
        <v>7</v>
      </c>
      <c r="L122" s="112">
        <v>7</v>
      </c>
      <c r="M122" s="112">
        <v>6</v>
      </c>
      <c r="N122" s="112">
        <v>3</v>
      </c>
      <c r="O122" s="112">
        <v>4</v>
      </c>
    </row>
    <row r="123" spans="1:15" x14ac:dyDescent="0.2">
      <c r="A123" s="111">
        <v>140</v>
      </c>
      <c r="B123" s="421" t="s">
        <v>151</v>
      </c>
      <c r="C123" s="421" t="s">
        <v>514</v>
      </c>
      <c r="D123" s="422" t="s">
        <v>666</v>
      </c>
      <c r="F123" s="421" t="s">
        <v>752</v>
      </c>
    </row>
    <row r="124" spans="1:15" x14ac:dyDescent="0.2">
      <c r="A124" s="111">
        <v>141</v>
      </c>
      <c r="B124" s="421" t="s">
        <v>152</v>
      </c>
      <c r="C124" s="421" t="s">
        <v>501</v>
      </c>
      <c r="D124" s="422" t="s">
        <v>666</v>
      </c>
      <c r="E124" s="111">
        <v>1499</v>
      </c>
      <c r="F124" s="421" t="s">
        <v>753</v>
      </c>
      <c r="G124" s="112">
        <v>1</v>
      </c>
      <c r="H124" s="112">
        <v>1</v>
      </c>
      <c r="I124" s="112">
        <v>1</v>
      </c>
    </row>
    <row r="125" spans="1:15" x14ac:dyDescent="0.2">
      <c r="A125" s="111">
        <v>142</v>
      </c>
      <c r="B125" s="421" t="s">
        <v>153</v>
      </c>
      <c r="C125" s="421" t="s">
        <v>538</v>
      </c>
      <c r="D125" s="422" t="s">
        <v>663</v>
      </c>
      <c r="E125" s="111">
        <v>14222</v>
      </c>
      <c r="F125" s="421" t="s">
        <v>754</v>
      </c>
      <c r="G125" s="112">
        <v>2</v>
      </c>
      <c r="H125" s="112">
        <v>2</v>
      </c>
      <c r="I125" s="112">
        <v>1</v>
      </c>
      <c r="J125" s="112">
        <v>3</v>
      </c>
      <c r="K125" s="112">
        <v>3</v>
      </c>
      <c r="L125" s="112">
        <v>3</v>
      </c>
    </row>
    <row r="126" spans="1:15" x14ac:dyDescent="0.2">
      <c r="A126" s="111">
        <v>143</v>
      </c>
      <c r="B126" s="421" t="s">
        <v>83</v>
      </c>
      <c r="C126" s="421" t="s">
        <v>518</v>
      </c>
      <c r="D126" s="422" t="s">
        <v>666</v>
      </c>
      <c r="E126" s="111">
        <v>1439</v>
      </c>
      <c r="F126" s="421" t="s">
        <v>2833</v>
      </c>
      <c r="G126" s="112">
        <v>1</v>
      </c>
      <c r="H126" s="112">
        <v>2</v>
      </c>
      <c r="I126" s="112">
        <v>1</v>
      </c>
      <c r="J126" s="112">
        <v>1</v>
      </c>
      <c r="K126" s="112">
        <v>1</v>
      </c>
      <c r="L126" s="112">
        <v>1</v>
      </c>
    </row>
    <row r="127" spans="1:15" x14ac:dyDescent="0.2">
      <c r="A127" s="111">
        <v>144</v>
      </c>
      <c r="B127" s="421" t="s">
        <v>154</v>
      </c>
      <c r="C127" s="421" t="s">
        <v>539</v>
      </c>
      <c r="D127" s="422" t="s">
        <v>663</v>
      </c>
      <c r="E127" s="111">
        <v>14231</v>
      </c>
      <c r="F127" s="421" t="s">
        <v>755</v>
      </c>
    </row>
    <row r="128" spans="1:15" x14ac:dyDescent="0.2">
      <c r="A128" s="111">
        <v>145</v>
      </c>
      <c r="B128" s="421" t="s">
        <v>119</v>
      </c>
      <c r="C128" s="421" t="s">
        <v>539</v>
      </c>
      <c r="D128" s="422" t="s">
        <v>663</v>
      </c>
      <c r="E128" s="111">
        <v>14231</v>
      </c>
      <c r="F128" s="421" t="s">
        <v>755</v>
      </c>
      <c r="G128" s="112">
        <v>1</v>
      </c>
      <c r="H128" s="112">
        <v>1</v>
      </c>
      <c r="I128" s="112">
        <v>1</v>
      </c>
    </row>
    <row r="129" spans="1:15" x14ac:dyDescent="0.2">
      <c r="A129" s="111">
        <v>146</v>
      </c>
      <c r="B129" s="421" t="s">
        <v>155</v>
      </c>
      <c r="C129" s="421" t="s">
        <v>501</v>
      </c>
      <c r="D129" s="422" t="s">
        <v>663</v>
      </c>
      <c r="E129" s="111">
        <v>1437</v>
      </c>
      <c r="F129" s="421" t="s">
        <v>756</v>
      </c>
      <c r="G129" s="112">
        <v>1</v>
      </c>
      <c r="H129" s="112">
        <v>1</v>
      </c>
      <c r="I129" s="112">
        <v>1</v>
      </c>
      <c r="J129" s="112">
        <v>7</v>
      </c>
      <c r="K129" s="112">
        <v>7</v>
      </c>
      <c r="L129" s="112">
        <v>8</v>
      </c>
      <c r="M129" s="112">
        <v>3</v>
      </c>
      <c r="N129" s="112">
        <v>3</v>
      </c>
      <c r="O129" s="112">
        <v>4</v>
      </c>
    </row>
    <row r="130" spans="1:15" x14ac:dyDescent="0.2">
      <c r="A130" s="111">
        <v>147</v>
      </c>
      <c r="B130" s="421" t="s">
        <v>156</v>
      </c>
      <c r="C130" s="421" t="s">
        <v>540</v>
      </c>
      <c r="D130" s="422" t="s">
        <v>663</v>
      </c>
      <c r="E130" s="111">
        <v>1437</v>
      </c>
      <c r="F130" s="421" t="s">
        <v>756</v>
      </c>
      <c r="G130" s="112">
        <v>1</v>
      </c>
      <c r="H130" s="112">
        <v>1</v>
      </c>
      <c r="I130" s="112">
        <v>1</v>
      </c>
      <c r="J130" s="112">
        <v>13</v>
      </c>
      <c r="K130" s="112">
        <v>13</v>
      </c>
      <c r="L130" s="112">
        <v>13</v>
      </c>
      <c r="M130" s="112">
        <v>13</v>
      </c>
      <c r="N130" s="112">
        <v>11</v>
      </c>
      <c r="O130" s="112">
        <v>9</v>
      </c>
    </row>
    <row r="131" spans="1:15" x14ac:dyDescent="0.2">
      <c r="A131" s="111">
        <v>148</v>
      </c>
      <c r="B131" s="421" t="s">
        <v>157</v>
      </c>
      <c r="C131" s="421" t="s">
        <v>501</v>
      </c>
      <c r="D131" s="422" t="s">
        <v>663</v>
      </c>
      <c r="E131" s="111">
        <v>1437</v>
      </c>
      <c r="F131" s="421" t="s">
        <v>756</v>
      </c>
      <c r="G131" s="112">
        <v>1</v>
      </c>
      <c r="H131" s="112">
        <v>1</v>
      </c>
      <c r="I131" s="112">
        <v>1</v>
      </c>
      <c r="J131" s="112">
        <v>8</v>
      </c>
      <c r="K131" s="112">
        <v>8</v>
      </c>
      <c r="L131" s="112">
        <v>7</v>
      </c>
      <c r="M131" s="112">
        <v>3</v>
      </c>
      <c r="N131" s="112">
        <v>3</v>
      </c>
      <c r="O131" s="112">
        <v>3</v>
      </c>
    </row>
    <row r="132" spans="1:15" x14ac:dyDescent="0.2">
      <c r="A132" s="111">
        <v>149</v>
      </c>
      <c r="B132" s="421" t="s">
        <v>158</v>
      </c>
      <c r="C132" s="421" t="s">
        <v>502</v>
      </c>
      <c r="D132" s="422" t="s">
        <v>663</v>
      </c>
      <c r="E132" s="111">
        <v>1438</v>
      </c>
      <c r="F132" s="421" t="s">
        <v>757</v>
      </c>
      <c r="G132" s="112">
        <v>1</v>
      </c>
      <c r="H132" s="112">
        <v>1</v>
      </c>
      <c r="I132" s="112">
        <v>1</v>
      </c>
      <c r="L132" s="112">
        <v>1</v>
      </c>
    </row>
    <row r="133" spans="1:15" x14ac:dyDescent="0.2">
      <c r="A133" s="111">
        <v>150</v>
      </c>
      <c r="B133" s="421" t="s">
        <v>159</v>
      </c>
      <c r="C133" s="421" t="s">
        <v>510</v>
      </c>
      <c r="D133" s="422" t="s">
        <v>663</v>
      </c>
      <c r="E133" s="111">
        <v>148</v>
      </c>
      <c r="F133" s="421" t="s">
        <v>758</v>
      </c>
      <c r="G133" s="112">
        <v>1</v>
      </c>
      <c r="H133" s="112">
        <v>1</v>
      </c>
      <c r="I133" s="112">
        <v>1</v>
      </c>
    </row>
    <row r="134" spans="1:15" x14ac:dyDescent="0.2">
      <c r="A134" s="111">
        <v>151</v>
      </c>
      <c r="B134" s="421" t="s">
        <v>160</v>
      </c>
      <c r="C134" s="421" t="s">
        <v>516</v>
      </c>
      <c r="D134" s="422" t="s">
        <v>666</v>
      </c>
      <c r="E134" s="111">
        <v>149</v>
      </c>
      <c r="F134" s="421" t="s">
        <v>759</v>
      </c>
      <c r="G134" s="112">
        <v>1</v>
      </c>
      <c r="H134" s="112">
        <v>1</v>
      </c>
      <c r="I134" s="112">
        <v>1</v>
      </c>
      <c r="J134" s="112">
        <v>3</v>
      </c>
      <c r="K134" s="112">
        <v>3</v>
      </c>
      <c r="L134" s="112">
        <v>3</v>
      </c>
      <c r="M134" s="112">
        <v>2</v>
      </c>
      <c r="N134" s="112">
        <v>2</v>
      </c>
      <c r="O134" s="112">
        <v>2</v>
      </c>
    </row>
    <row r="135" spans="1:15" x14ac:dyDescent="0.2">
      <c r="A135" s="111">
        <v>152</v>
      </c>
      <c r="B135" s="421" t="s">
        <v>161</v>
      </c>
      <c r="C135" s="421" t="s">
        <v>541</v>
      </c>
      <c r="D135" s="422" t="s">
        <v>663</v>
      </c>
      <c r="E135" s="111">
        <v>1410</v>
      </c>
      <c r="F135" s="421" t="s">
        <v>760</v>
      </c>
      <c r="G135" s="112">
        <v>1</v>
      </c>
      <c r="H135" s="112">
        <v>1</v>
      </c>
      <c r="I135" s="112">
        <v>1</v>
      </c>
      <c r="J135" s="112">
        <v>3</v>
      </c>
      <c r="K135" s="112">
        <v>3</v>
      </c>
      <c r="L135" s="112">
        <v>3</v>
      </c>
      <c r="M135" s="112">
        <v>2</v>
      </c>
      <c r="N135" s="112">
        <v>2</v>
      </c>
      <c r="O135" s="112">
        <v>2</v>
      </c>
    </row>
    <row r="136" spans="1:15" x14ac:dyDescent="0.2">
      <c r="A136" s="111">
        <v>153</v>
      </c>
      <c r="B136" s="421" t="s">
        <v>162</v>
      </c>
      <c r="C136" s="421" t="s">
        <v>542</v>
      </c>
      <c r="D136" s="422" t="s">
        <v>663</v>
      </c>
      <c r="E136" s="111">
        <v>1468</v>
      </c>
      <c r="F136" s="421" t="s">
        <v>761</v>
      </c>
    </row>
    <row r="137" spans="1:15" x14ac:dyDescent="0.2">
      <c r="A137" s="111">
        <v>154</v>
      </c>
      <c r="B137" s="421" t="s">
        <v>17457</v>
      </c>
      <c r="C137" s="421" t="s">
        <v>521</v>
      </c>
      <c r="D137" s="422" t="s">
        <v>663</v>
      </c>
      <c r="F137" s="421" t="s">
        <v>762</v>
      </c>
    </row>
    <row r="138" spans="1:15" x14ac:dyDescent="0.2">
      <c r="A138" s="111">
        <v>155</v>
      </c>
      <c r="B138" s="421" t="s">
        <v>163</v>
      </c>
      <c r="C138" s="421" t="s">
        <v>514</v>
      </c>
      <c r="D138" s="422" t="s">
        <v>663</v>
      </c>
      <c r="E138" s="111">
        <v>14133</v>
      </c>
      <c r="F138" s="421" t="s">
        <v>763</v>
      </c>
      <c r="G138" s="112">
        <v>1</v>
      </c>
      <c r="H138" s="112">
        <v>1</v>
      </c>
      <c r="I138" s="112">
        <v>1</v>
      </c>
      <c r="L138" s="112">
        <v>1</v>
      </c>
    </row>
    <row r="139" spans="1:15" x14ac:dyDescent="0.2">
      <c r="A139" s="111">
        <v>156</v>
      </c>
      <c r="B139" s="421" t="s">
        <v>164</v>
      </c>
      <c r="C139" s="421" t="s">
        <v>514</v>
      </c>
      <c r="D139" s="422" t="s">
        <v>666</v>
      </c>
      <c r="E139" s="111">
        <v>14133</v>
      </c>
      <c r="F139" s="421" t="s">
        <v>763</v>
      </c>
    </row>
    <row r="140" spans="1:15" x14ac:dyDescent="0.2">
      <c r="A140" s="111">
        <v>157</v>
      </c>
      <c r="B140" s="421" t="s">
        <v>165</v>
      </c>
      <c r="C140" s="421" t="s">
        <v>516</v>
      </c>
      <c r="D140" s="422" t="s">
        <v>663</v>
      </c>
      <c r="E140" s="111">
        <v>1413</v>
      </c>
      <c r="F140" s="421" t="s">
        <v>764</v>
      </c>
      <c r="G140" s="112">
        <v>1</v>
      </c>
      <c r="H140" s="112">
        <v>1</v>
      </c>
      <c r="I140" s="112">
        <v>1</v>
      </c>
    </row>
    <row r="141" spans="1:15" x14ac:dyDescent="0.2">
      <c r="A141" s="111">
        <v>158</v>
      </c>
      <c r="B141" s="421" t="s">
        <v>166</v>
      </c>
      <c r="C141" s="421" t="s">
        <v>516</v>
      </c>
      <c r="D141" s="422" t="s">
        <v>663</v>
      </c>
      <c r="E141" s="111">
        <v>1413</v>
      </c>
      <c r="F141" s="421" t="s">
        <v>764</v>
      </c>
      <c r="G141" s="112">
        <v>1</v>
      </c>
      <c r="H141" s="112">
        <v>1</v>
      </c>
      <c r="I141" s="112">
        <v>1</v>
      </c>
    </row>
    <row r="142" spans="1:15" x14ac:dyDescent="0.2">
      <c r="A142" s="111">
        <v>159</v>
      </c>
      <c r="B142" s="421" t="s">
        <v>167</v>
      </c>
      <c r="C142" s="421" t="s">
        <v>506</v>
      </c>
      <c r="D142" s="422" t="s">
        <v>666</v>
      </c>
      <c r="E142" s="111">
        <v>1411</v>
      </c>
      <c r="F142" s="421" t="s">
        <v>765</v>
      </c>
      <c r="G142" s="112">
        <v>1</v>
      </c>
      <c r="H142" s="112">
        <v>1</v>
      </c>
      <c r="I142" s="112">
        <v>1</v>
      </c>
      <c r="J142" s="112">
        <v>1</v>
      </c>
      <c r="K142" s="112">
        <v>1</v>
      </c>
      <c r="L142" s="112">
        <v>1</v>
      </c>
      <c r="M142" s="112">
        <v>1</v>
      </c>
      <c r="N142" s="112">
        <v>1</v>
      </c>
    </row>
    <row r="143" spans="1:15" x14ac:dyDescent="0.2">
      <c r="A143" s="111">
        <v>160</v>
      </c>
      <c r="B143" s="421" t="s">
        <v>168</v>
      </c>
      <c r="C143" s="421" t="s">
        <v>1447</v>
      </c>
      <c r="D143" s="422" t="s">
        <v>666</v>
      </c>
      <c r="E143" s="111">
        <v>1412</v>
      </c>
      <c r="F143" s="421" t="s">
        <v>766</v>
      </c>
      <c r="G143" s="112">
        <v>1</v>
      </c>
      <c r="H143" s="112">
        <v>1</v>
      </c>
      <c r="I143" s="112">
        <v>1</v>
      </c>
      <c r="J143" s="112">
        <v>3</v>
      </c>
      <c r="K143" s="112">
        <v>1</v>
      </c>
      <c r="L143" s="112">
        <v>1</v>
      </c>
    </row>
    <row r="144" spans="1:15" x14ac:dyDescent="0.2">
      <c r="A144" s="111">
        <v>161</v>
      </c>
      <c r="B144" s="421" t="s">
        <v>169</v>
      </c>
      <c r="C144" s="421" t="s">
        <v>543</v>
      </c>
      <c r="D144" s="422" t="s">
        <v>663</v>
      </c>
      <c r="E144" s="111">
        <v>1415</v>
      </c>
      <c r="F144" s="421" t="s">
        <v>767</v>
      </c>
      <c r="G144" s="112">
        <v>1</v>
      </c>
      <c r="H144" s="112">
        <v>1</v>
      </c>
      <c r="I144" s="112">
        <v>1</v>
      </c>
    </row>
    <row r="145" spans="1:15" x14ac:dyDescent="0.2">
      <c r="A145" s="111">
        <v>162</v>
      </c>
      <c r="B145" s="421" t="s">
        <v>170</v>
      </c>
      <c r="C145" s="421" t="s">
        <v>503</v>
      </c>
      <c r="D145" s="422" t="s">
        <v>663</v>
      </c>
      <c r="E145" s="111">
        <v>1417</v>
      </c>
      <c r="F145" s="421" t="s">
        <v>768</v>
      </c>
      <c r="G145" s="112">
        <v>1</v>
      </c>
      <c r="H145" s="112">
        <v>1</v>
      </c>
      <c r="I145" s="112">
        <v>1</v>
      </c>
      <c r="J145" s="112">
        <v>7</v>
      </c>
      <c r="K145" s="112">
        <v>7</v>
      </c>
      <c r="L145" s="112">
        <v>7</v>
      </c>
      <c r="M145" s="112">
        <v>3</v>
      </c>
      <c r="N145" s="112">
        <v>3</v>
      </c>
      <c r="O145" s="112">
        <v>4</v>
      </c>
    </row>
    <row r="146" spans="1:15" x14ac:dyDescent="0.2">
      <c r="A146" s="111">
        <v>163</v>
      </c>
      <c r="B146" s="421" t="s">
        <v>171</v>
      </c>
      <c r="C146" s="421" t="s">
        <v>501</v>
      </c>
      <c r="D146" s="422" t="s">
        <v>666</v>
      </c>
      <c r="F146" s="421" t="s">
        <v>769</v>
      </c>
    </row>
    <row r="147" spans="1:15" x14ac:dyDescent="0.2">
      <c r="A147" s="111">
        <v>164</v>
      </c>
      <c r="B147" s="421" t="s">
        <v>172</v>
      </c>
      <c r="C147" s="421" t="s">
        <v>509</v>
      </c>
      <c r="D147" s="422" t="s">
        <v>663</v>
      </c>
      <c r="E147" s="111">
        <v>1418</v>
      </c>
      <c r="F147" s="421" t="s">
        <v>770</v>
      </c>
      <c r="G147" s="112">
        <v>1</v>
      </c>
      <c r="H147" s="112">
        <v>1</v>
      </c>
      <c r="I147" s="112">
        <v>1</v>
      </c>
    </row>
    <row r="148" spans="1:15" x14ac:dyDescent="0.2">
      <c r="A148" s="111">
        <v>165</v>
      </c>
      <c r="B148" s="421" t="s">
        <v>173</v>
      </c>
      <c r="C148" s="421" t="s">
        <v>501</v>
      </c>
      <c r="D148" s="422" t="s">
        <v>663</v>
      </c>
      <c r="E148" s="111">
        <v>1419</v>
      </c>
      <c r="F148" s="421" t="s">
        <v>771</v>
      </c>
      <c r="G148" s="112">
        <v>1</v>
      </c>
      <c r="H148" s="112">
        <v>1</v>
      </c>
      <c r="I148" s="112">
        <v>1</v>
      </c>
      <c r="J148" s="112">
        <v>3</v>
      </c>
      <c r="L148" s="112">
        <v>3</v>
      </c>
    </row>
    <row r="149" spans="1:15" x14ac:dyDescent="0.2">
      <c r="A149" s="111">
        <v>166</v>
      </c>
      <c r="B149" s="421" t="s">
        <v>174</v>
      </c>
      <c r="C149" s="421" t="s">
        <v>501</v>
      </c>
      <c r="D149" s="422" t="s">
        <v>666</v>
      </c>
      <c r="E149" s="111">
        <v>1420</v>
      </c>
      <c r="F149" s="421" t="s">
        <v>772</v>
      </c>
      <c r="G149" s="112">
        <v>1</v>
      </c>
      <c r="H149" s="112">
        <v>1</v>
      </c>
      <c r="I149" s="112">
        <v>1</v>
      </c>
      <c r="J149" s="112">
        <v>4</v>
      </c>
      <c r="K149" s="112">
        <v>4</v>
      </c>
      <c r="L149" s="112">
        <v>4</v>
      </c>
      <c r="M149" s="112">
        <v>2</v>
      </c>
      <c r="N149" s="112">
        <v>2</v>
      </c>
      <c r="O149" s="112">
        <v>7</v>
      </c>
    </row>
    <row r="150" spans="1:15" x14ac:dyDescent="0.2">
      <c r="A150" s="111">
        <v>167</v>
      </c>
      <c r="B150" s="421" t="s">
        <v>175</v>
      </c>
      <c r="C150" s="421" t="s">
        <v>501</v>
      </c>
      <c r="D150" s="422" t="s">
        <v>666</v>
      </c>
      <c r="E150" s="111">
        <v>1421</v>
      </c>
      <c r="F150" s="421" t="s">
        <v>773</v>
      </c>
      <c r="G150" s="112">
        <v>1</v>
      </c>
      <c r="H150" s="112">
        <v>1</v>
      </c>
      <c r="I150" s="112">
        <v>1</v>
      </c>
      <c r="J150" s="112">
        <v>2</v>
      </c>
      <c r="K150" s="112">
        <v>1</v>
      </c>
      <c r="L150" s="112">
        <v>2</v>
      </c>
    </row>
    <row r="151" spans="1:15" x14ac:dyDescent="0.2">
      <c r="A151" s="111">
        <v>168</v>
      </c>
      <c r="B151" s="421" t="s">
        <v>176</v>
      </c>
      <c r="C151" s="421" t="s">
        <v>506</v>
      </c>
      <c r="D151" s="422" t="s">
        <v>666</v>
      </c>
      <c r="E151" s="111">
        <v>1425</v>
      </c>
      <c r="F151" s="421" t="s">
        <v>774</v>
      </c>
    </row>
    <row r="152" spans="1:15" x14ac:dyDescent="0.2">
      <c r="A152" s="111">
        <v>169</v>
      </c>
      <c r="B152" s="421" t="s">
        <v>177</v>
      </c>
      <c r="C152" s="421" t="s">
        <v>506</v>
      </c>
      <c r="D152" s="422" t="s">
        <v>663</v>
      </c>
      <c r="E152" s="111">
        <v>1425</v>
      </c>
      <c r="F152" s="421" t="s">
        <v>774</v>
      </c>
    </row>
    <row r="153" spans="1:15" x14ac:dyDescent="0.2">
      <c r="A153" s="111">
        <v>170</v>
      </c>
      <c r="B153" s="421" t="s">
        <v>178</v>
      </c>
      <c r="C153" s="421" t="s">
        <v>510</v>
      </c>
      <c r="D153" s="422" t="s">
        <v>663</v>
      </c>
      <c r="F153" s="421" t="s">
        <v>775</v>
      </c>
      <c r="H153" s="112">
        <v>1</v>
      </c>
      <c r="I153" s="112">
        <v>1</v>
      </c>
    </row>
    <row r="154" spans="1:15" x14ac:dyDescent="0.2">
      <c r="A154" s="111">
        <v>171</v>
      </c>
      <c r="B154" s="421" t="s">
        <v>179</v>
      </c>
      <c r="C154" s="421" t="s">
        <v>506</v>
      </c>
      <c r="D154" s="422" t="s">
        <v>663</v>
      </c>
      <c r="E154" s="111">
        <v>1457</v>
      </c>
      <c r="F154" s="421" t="s">
        <v>776</v>
      </c>
      <c r="G154" s="112">
        <v>2</v>
      </c>
      <c r="H154" s="112">
        <v>2</v>
      </c>
      <c r="I154" s="112">
        <v>1</v>
      </c>
      <c r="J154" s="112">
        <v>1</v>
      </c>
      <c r="K154" s="112">
        <v>1</v>
      </c>
      <c r="L154" s="112">
        <v>1</v>
      </c>
    </row>
    <row r="155" spans="1:15" x14ac:dyDescent="0.2">
      <c r="A155" s="111">
        <v>172</v>
      </c>
      <c r="B155" s="421" t="s">
        <v>180</v>
      </c>
      <c r="C155" s="421" t="s">
        <v>506</v>
      </c>
      <c r="D155" s="422" t="s">
        <v>666</v>
      </c>
      <c r="E155" s="111">
        <v>14377</v>
      </c>
      <c r="F155" s="421" t="s">
        <v>777</v>
      </c>
      <c r="G155" s="112">
        <v>1</v>
      </c>
      <c r="H155" s="112">
        <v>1</v>
      </c>
      <c r="I155" s="112">
        <v>1</v>
      </c>
    </row>
    <row r="156" spans="1:15" x14ac:dyDescent="0.2">
      <c r="A156" s="111">
        <v>173</v>
      </c>
      <c r="B156" s="421" t="s">
        <v>181</v>
      </c>
      <c r="C156" s="421" t="s">
        <v>513</v>
      </c>
      <c r="D156" s="422" t="s">
        <v>666</v>
      </c>
      <c r="E156" s="111">
        <v>1458</v>
      </c>
      <c r="F156" s="421" t="s">
        <v>778</v>
      </c>
      <c r="G156" s="112">
        <v>1</v>
      </c>
      <c r="H156" s="112">
        <v>1</v>
      </c>
      <c r="I156" s="112">
        <v>1</v>
      </c>
      <c r="J156" s="112">
        <v>1</v>
      </c>
      <c r="K156" s="112">
        <v>1</v>
      </c>
      <c r="L156" s="112">
        <v>1</v>
      </c>
    </row>
    <row r="157" spans="1:15" x14ac:dyDescent="0.2">
      <c r="A157" s="111">
        <v>174</v>
      </c>
      <c r="B157" s="421" t="s">
        <v>182</v>
      </c>
      <c r="C157" s="421" t="s">
        <v>544</v>
      </c>
      <c r="D157" s="422" t="s">
        <v>666</v>
      </c>
      <c r="E157" s="111">
        <v>1458</v>
      </c>
      <c r="F157" s="421" t="s">
        <v>778</v>
      </c>
      <c r="G157" s="112">
        <v>1</v>
      </c>
      <c r="H157" s="112">
        <v>1</v>
      </c>
      <c r="I157" s="112">
        <v>1</v>
      </c>
      <c r="J157" s="112">
        <v>1</v>
      </c>
      <c r="K157" s="112">
        <v>1</v>
      </c>
      <c r="L157" s="112">
        <v>1</v>
      </c>
      <c r="M157" s="112">
        <v>2</v>
      </c>
      <c r="N157" s="112">
        <v>1</v>
      </c>
      <c r="O157" s="112">
        <v>1</v>
      </c>
    </row>
    <row r="158" spans="1:15" x14ac:dyDescent="0.2">
      <c r="A158" s="111">
        <v>175</v>
      </c>
      <c r="B158" s="421" t="s">
        <v>183</v>
      </c>
      <c r="C158" s="421" t="s">
        <v>501</v>
      </c>
      <c r="D158" s="422" t="s">
        <v>663</v>
      </c>
      <c r="E158" s="111">
        <v>1412</v>
      </c>
      <c r="F158" s="421" t="s">
        <v>766</v>
      </c>
      <c r="G158" s="112">
        <v>1</v>
      </c>
      <c r="H158" s="112">
        <v>1</v>
      </c>
      <c r="I158" s="112">
        <v>1</v>
      </c>
      <c r="J158" s="112">
        <v>1</v>
      </c>
      <c r="K158" s="112">
        <v>1</v>
      </c>
      <c r="L158" s="112">
        <v>1</v>
      </c>
      <c r="M158" s="112">
        <v>1</v>
      </c>
      <c r="O158" s="112">
        <v>1</v>
      </c>
    </row>
    <row r="159" spans="1:15" x14ac:dyDescent="0.2">
      <c r="A159" s="111">
        <v>176</v>
      </c>
      <c r="B159" s="421" t="s">
        <v>184</v>
      </c>
      <c r="C159" s="421" t="s">
        <v>505</v>
      </c>
      <c r="D159" s="422" t="s">
        <v>666</v>
      </c>
      <c r="E159" s="111">
        <v>1456</v>
      </c>
      <c r="F159" s="421" t="s">
        <v>779</v>
      </c>
      <c r="H159" s="112">
        <v>1</v>
      </c>
      <c r="I159" s="112">
        <v>1</v>
      </c>
    </row>
    <row r="160" spans="1:15" x14ac:dyDescent="0.2">
      <c r="A160" s="111">
        <v>177</v>
      </c>
      <c r="B160" s="421" t="s">
        <v>143</v>
      </c>
      <c r="C160" s="421" t="s">
        <v>501</v>
      </c>
      <c r="D160" s="422" t="s">
        <v>666</v>
      </c>
      <c r="E160" s="111">
        <v>14817</v>
      </c>
      <c r="F160" s="421" t="s">
        <v>780</v>
      </c>
      <c r="G160" s="112">
        <v>1</v>
      </c>
      <c r="H160" s="112">
        <v>1</v>
      </c>
      <c r="I160" s="112">
        <v>1</v>
      </c>
      <c r="J160" s="112">
        <v>1</v>
      </c>
      <c r="K160" s="112">
        <v>2</v>
      </c>
    </row>
    <row r="161" spans="1:15" x14ac:dyDescent="0.2">
      <c r="A161" s="111">
        <v>178</v>
      </c>
      <c r="B161" s="421" t="s">
        <v>185</v>
      </c>
      <c r="C161" s="421" t="s">
        <v>521</v>
      </c>
      <c r="D161" s="422" t="s">
        <v>663</v>
      </c>
      <c r="F161" s="421" t="s">
        <v>781</v>
      </c>
      <c r="G161" s="112">
        <v>1</v>
      </c>
      <c r="H161" s="112">
        <v>1</v>
      </c>
      <c r="I161" s="112">
        <v>1</v>
      </c>
      <c r="J161" s="112">
        <v>1</v>
      </c>
      <c r="K161" s="112">
        <v>2</v>
      </c>
      <c r="L161" s="112">
        <v>1</v>
      </c>
    </row>
    <row r="162" spans="1:15" x14ac:dyDescent="0.2">
      <c r="A162" s="111">
        <v>179</v>
      </c>
      <c r="B162" s="421" t="s">
        <v>186</v>
      </c>
      <c r="C162" s="421" t="s">
        <v>503</v>
      </c>
      <c r="D162" s="422" t="s">
        <v>666</v>
      </c>
      <c r="E162" s="111">
        <v>1459</v>
      </c>
      <c r="F162" s="421" t="s">
        <v>782</v>
      </c>
      <c r="G162" s="112">
        <v>1</v>
      </c>
      <c r="H162" s="112">
        <v>1</v>
      </c>
      <c r="I162" s="112">
        <v>1</v>
      </c>
    </row>
    <row r="163" spans="1:15" x14ac:dyDescent="0.2">
      <c r="A163" s="111">
        <v>180</v>
      </c>
      <c r="B163" s="421" t="s">
        <v>187</v>
      </c>
      <c r="C163" s="421" t="s">
        <v>513</v>
      </c>
      <c r="D163" s="422" t="s">
        <v>666</v>
      </c>
      <c r="E163" s="111">
        <v>14111</v>
      </c>
      <c r="F163" s="421" t="s">
        <v>783</v>
      </c>
      <c r="G163" s="112">
        <v>2</v>
      </c>
      <c r="H163" s="112">
        <v>1</v>
      </c>
      <c r="I163" s="112">
        <v>1</v>
      </c>
      <c r="J163" s="112">
        <v>4</v>
      </c>
      <c r="K163" s="112">
        <v>1</v>
      </c>
      <c r="L163" s="112">
        <v>2</v>
      </c>
    </row>
    <row r="164" spans="1:15" x14ac:dyDescent="0.2">
      <c r="A164" s="111">
        <v>181</v>
      </c>
      <c r="B164" s="421" t="s">
        <v>188</v>
      </c>
      <c r="C164" s="421" t="s">
        <v>501</v>
      </c>
      <c r="D164" s="422" t="s">
        <v>663</v>
      </c>
      <c r="F164" s="421" t="s">
        <v>784</v>
      </c>
      <c r="G164" s="112">
        <v>1</v>
      </c>
      <c r="H164" s="112">
        <v>1</v>
      </c>
      <c r="I164" s="112">
        <v>1</v>
      </c>
    </row>
    <row r="165" spans="1:15" x14ac:dyDescent="0.2">
      <c r="A165" s="111">
        <v>182</v>
      </c>
      <c r="B165" s="421" t="s">
        <v>189</v>
      </c>
      <c r="C165" s="421" t="s">
        <v>506</v>
      </c>
      <c r="D165" s="422" t="s">
        <v>666</v>
      </c>
      <c r="E165" s="111">
        <v>14270</v>
      </c>
      <c r="F165" s="421" t="s">
        <v>785</v>
      </c>
      <c r="G165" s="112">
        <v>1</v>
      </c>
      <c r="H165" s="112">
        <v>1</v>
      </c>
      <c r="I165" s="112">
        <v>1</v>
      </c>
      <c r="J165" s="112">
        <v>1</v>
      </c>
      <c r="K165" s="112">
        <v>3</v>
      </c>
      <c r="L165" s="112">
        <v>2</v>
      </c>
    </row>
    <row r="166" spans="1:15" x14ac:dyDescent="0.2">
      <c r="A166" s="111">
        <v>183</v>
      </c>
      <c r="B166" s="421" t="s">
        <v>190</v>
      </c>
      <c r="C166" s="421" t="s">
        <v>506</v>
      </c>
      <c r="D166" s="422" t="s">
        <v>663</v>
      </c>
      <c r="E166" s="111">
        <v>1460</v>
      </c>
      <c r="F166" s="421" t="s">
        <v>786</v>
      </c>
      <c r="G166" s="112">
        <v>1</v>
      </c>
      <c r="H166" s="112">
        <v>1</v>
      </c>
      <c r="I166" s="112">
        <v>1</v>
      </c>
      <c r="J166" s="112">
        <v>3</v>
      </c>
      <c r="K166" s="112">
        <v>3</v>
      </c>
      <c r="L166" s="112">
        <v>3</v>
      </c>
      <c r="M166" s="112">
        <v>3</v>
      </c>
      <c r="N166" s="112">
        <v>2</v>
      </c>
      <c r="O166" s="112">
        <v>3</v>
      </c>
    </row>
    <row r="167" spans="1:15" x14ac:dyDescent="0.2">
      <c r="A167" s="111">
        <v>184</v>
      </c>
      <c r="B167" s="421" t="s">
        <v>191</v>
      </c>
      <c r="C167" s="421" t="s">
        <v>545</v>
      </c>
      <c r="D167" s="422" t="s">
        <v>666</v>
      </c>
      <c r="F167" s="421" t="s">
        <v>787</v>
      </c>
      <c r="G167" s="112">
        <v>1</v>
      </c>
      <c r="H167" s="112">
        <v>1</v>
      </c>
      <c r="I167" s="112">
        <v>1</v>
      </c>
    </row>
    <row r="168" spans="1:15" x14ac:dyDescent="0.2">
      <c r="A168" s="111">
        <v>185</v>
      </c>
      <c r="B168" s="421" t="s">
        <v>192</v>
      </c>
      <c r="C168" s="421" t="s">
        <v>506</v>
      </c>
      <c r="D168" s="422" t="s">
        <v>666</v>
      </c>
      <c r="E168" s="111">
        <v>14976</v>
      </c>
      <c r="F168" s="421" t="s">
        <v>1572</v>
      </c>
      <c r="G168" s="112">
        <v>1</v>
      </c>
      <c r="H168" s="112">
        <v>1</v>
      </c>
      <c r="I168" s="112">
        <v>1</v>
      </c>
      <c r="J168" s="112">
        <v>4</v>
      </c>
      <c r="K168" s="112">
        <v>2</v>
      </c>
      <c r="L168" s="112">
        <v>4</v>
      </c>
      <c r="M168" s="112">
        <v>1</v>
      </c>
      <c r="N168" s="112">
        <v>1</v>
      </c>
      <c r="O168" s="112">
        <v>1</v>
      </c>
    </row>
    <row r="169" spans="1:15" x14ac:dyDescent="0.2">
      <c r="A169" s="111">
        <v>186</v>
      </c>
      <c r="B169" s="421" t="s">
        <v>193</v>
      </c>
      <c r="C169" s="421" t="s">
        <v>516</v>
      </c>
      <c r="D169" s="422" t="s">
        <v>663</v>
      </c>
      <c r="E169" s="111">
        <v>1462</v>
      </c>
      <c r="F169" s="421" t="s">
        <v>788</v>
      </c>
      <c r="G169" s="112">
        <v>2</v>
      </c>
      <c r="I169" s="112">
        <v>2</v>
      </c>
      <c r="J169" s="112">
        <v>1</v>
      </c>
    </row>
    <row r="170" spans="1:15" x14ac:dyDescent="0.2">
      <c r="A170" s="111">
        <v>187</v>
      </c>
      <c r="B170" s="421" t="s">
        <v>194</v>
      </c>
      <c r="C170" s="421" t="s">
        <v>501</v>
      </c>
      <c r="D170" s="422" t="s">
        <v>666</v>
      </c>
      <c r="E170" s="111">
        <v>1462</v>
      </c>
      <c r="F170" s="421" t="s">
        <v>788</v>
      </c>
    </row>
    <row r="171" spans="1:15" x14ac:dyDescent="0.2">
      <c r="A171" s="111">
        <v>188</v>
      </c>
      <c r="B171" s="421" t="s">
        <v>195</v>
      </c>
      <c r="C171" s="421" t="s">
        <v>501</v>
      </c>
      <c r="D171" s="422" t="s">
        <v>666</v>
      </c>
      <c r="E171" s="111">
        <v>44147</v>
      </c>
      <c r="F171" s="421" t="s">
        <v>789</v>
      </c>
      <c r="G171" s="112">
        <v>1</v>
      </c>
      <c r="H171" s="112">
        <v>1</v>
      </c>
      <c r="I171" s="112">
        <v>1</v>
      </c>
    </row>
    <row r="172" spans="1:15" x14ac:dyDescent="0.2">
      <c r="A172" s="111">
        <v>189</v>
      </c>
      <c r="B172" s="421" t="s">
        <v>196</v>
      </c>
      <c r="C172" s="421" t="s">
        <v>506</v>
      </c>
      <c r="D172" s="422" t="s">
        <v>663</v>
      </c>
      <c r="E172" s="111">
        <v>1427</v>
      </c>
      <c r="F172" s="421" t="s">
        <v>790</v>
      </c>
      <c r="G172" s="112">
        <v>1</v>
      </c>
      <c r="H172" s="112">
        <v>1</v>
      </c>
      <c r="I172" s="112">
        <v>1</v>
      </c>
      <c r="J172" s="112">
        <v>1</v>
      </c>
      <c r="K172" s="112">
        <v>1</v>
      </c>
      <c r="L172" s="112">
        <v>1</v>
      </c>
    </row>
    <row r="173" spans="1:15" x14ac:dyDescent="0.2">
      <c r="A173" s="111">
        <v>190</v>
      </c>
      <c r="B173" s="421" t="s">
        <v>197</v>
      </c>
      <c r="C173" s="421" t="s">
        <v>506</v>
      </c>
      <c r="D173" s="422" t="s">
        <v>663</v>
      </c>
      <c r="E173" s="111">
        <v>1427</v>
      </c>
      <c r="F173" s="421" t="s">
        <v>790</v>
      </c>
    </row>
    <row r="174" spans="1:15" x14ac:dyDescent="0.2">
      <c r="A174" s="111">
        <v>191</v>
      </c>
      <c r="B174" s="421" t="s">
        <v>198</v>
      </c>
      <c r="C174" s="421" t="s">
        <v>512</v>
      </c>
      <c r="D174" s="422" t="s">
        <v>666</v>
      </c>
      <c r="F174" s="421" t="s">
        <v>791</v>
      </c>
      <c r="G174" s="112">
        <v>1</v>
      </c>
      <c r="H174" s="112">
        <v>1</v>
      </c>
      <c r="I174" s="112">
        <v>1</v>
      </c>
      <c r="J174" s="112">
        <v>2</v>
      </c>
      <c r="L174" s="112">
        <v>2</v>
      </c>
    </row>
    <row r="175" spans="1:15" x14ac:dyDescent="0.2">
      <c r="A175" s="111">
        <v>192</v>
      </c>
      <c r="B175" s="421" t="s">
        <v>199</v>
      </c>
      <c r="C175" s="421" t="s">
        <v>512</v>
      </c>
      <c r="D175" s="422" t="s">
        <v>666</v>
      </c>
      <c r="F175" s="421" t="s">
        <v>791</v>
      </c>
      <c r="G175" s="112">
        <v>3</v>
      </c>
      <c r="H175" s="112">
        <v>3</v>
      </c>
    </row>
    <row r="176" spans="1:15" x14ac:dyDescent="0.2">
      <c r="A176" s="111">
        <v>193</v>
      </c>
      <c r="B176" s="421" t="s">
        <v>200</v>
      </c>
      <c r="C176" s="421" t="s">
        <v>546</v>
      </c>
      <c r="D176" s="422" t="s">
        <v>663</v>
      </c>
      <c r="E176" s="111">
        <v>1424</v>
      </c>
      <c r="F176" s="421" t="s">
        <v>792</v>
      </c>
      <c r="G176" s="112">
        <v>1</v>
      </c>
      <c r="H176" s="112">
        <v>1</v>
      </c>
    </row>
    <row r="177" spans="1:15" x14ac:dyDescent="0.2">
      <c r="A177" s="111">
        <v>194</v>
      </c>
      <c r="B177" s="421" t="s">
        <v>201</v>
      </c>
      <c r="C177" s="421" t="s">
        <v>506</v>
      </c>
      <c r="D177" s="422" t="s">
        <v>663</v>
      </c>
      <c r="F177" s="421" t="s">
        <v>793</v>
      </c>
      <c r="G177" s="112">
        <v>1</v>
      </c>
      <c r="H177" s="112">
        <v>1</v>
      </c>
      <c r="I177" s="112">
        <v>1</v>
      </c>
      <c r="J177" s="112">
        <v>1</v>
      </c>
      <c r="K177" s="112">
        <v>1</v>
      </c>
      <c r="L177" s="112">
        <v>1</v>
      </c>
    </row>
    <row r="178" spans="1:15" x14ac:dyDescent="0.2">
      <c r="A178" s="111">
        <v>195</v>
      </c>
      <c r="B178" s="421" t="s">
        <v>202</v>
      </c>
      <c r="C178" s="421" t="s">
        <v>502</v>
      </c>
      <c r="D178" s="422" t="s">
        <v>666</v>
      </c>
      <c r="E178" s="111">
        <v>1430</v>
      </c>
      <c r="F178" s="421" t="s">
        <v>794</v>
      </c>
      <c r="G178" s="112">
        <v>1</v>
      </c>
      <c r="I178" s="112">
        <v>1</v>
      </c>
    </row>
    <row r="179" spans="1:15" x14ac:dyDescent="0.2">
      <c r="A179" s="111">
        <v>196</v>
      </c>
      <c r="B179" s="421" t="s">
        <v>203</v>
      </c>
      <c r="C179" s="421" t="s">
        <v>547</v>
      </c>
      <c r="D179" s="422" t="s">
        <v>666</v>
      </c>
      <c r="E179" s="111">
        <v>1434</v>
      </c>
      <c r="F179" s="421" t="s">
        <v>795</v>
      </c>
      <c r="G179" s="112">
        <v>2</v>
      </c>
      <c r="I179" s="112">
        <v>3</v>
      </c>
    </row>
    <row r="180" spans="1:15" x14ac:dyDescent="0.2">
      <c r="A180" s="111">
        <v>197</v>
      </c>
      <c r="B180" s="421" t="s">
        <v>204</v>
      </c>
      <c r="C180" s="421" t="s">
        <v>506</v>
      </c>
      <c r="D180" s="422" t="s">
        <v>666</v>
      </c>
      <c r="E180" s="111">
        <v>1436</v>
      </c>
      <c r="F180" s="421" t="s">
        <v>796</v>
      </c>
      <c r="G180" s="112">
        <v>2</v>
      </c>
      <c r="H180" s="112">
        <v>1</v>
      </c>
      <c r="I180" s="112">
        <v>1</v>
      </c>
      <c r="J180" s="112">
        <v>8</v>
      </c>
      <c r="K180" s="112">
        <v>7</v>
      </c>
      <c r="L180" s="112">
        <v>7</v>
      </c>
      <c r="M180" s="112">
        <v>3</v>
      </c>
      <c r="N180" s="112">
        <v>3</v>
      </c>
      <c r="O180" s="112">
        <v>3</v>
      </c>
    </row>
    <row r="181" spans="1:15" x14ac:dyDescent="0.2">
      <c r="A181" s="111">
        <v>198</v>
      </c>
      <c r="B181" s="421" t="s">
        <v>205</v>
      </c>
      <c r="C181" s="421" t="s">
        <v>501</v>
      </c>
      <c r="D181" s="422" t="s">
        <v>663</v>
      </c>
      <c r="E181" s="111">
        <v>1437</v>
      </c>
      <c r="F181" s="421" t="s">
        <v>756</v>
      </c>
      <c r="G181" s="112">
        <v>2</v>
      </c>
      <c r="H181" s="112">
        <v>2</v>
      </c>
      <c r="I181" s="112">
        <v>1</v>
      </c>
      <c r="J181" s="112">
        <v>10</v>
      </c>
      <c r="K181" s="112">
        <v>10</v>
      </c>
      <c r="L181" s="112">
        <v>10</v>
      </c>
      <c r="M181" s="112">
        <v>7</v>
      </c>
      <c r="N181" s="112">
        <v>5</v>
      </c>
      <c r="O181" s="112">
        <v>6</v>
      </c>
    </row>
    <row r="182" spans="1:15" x14ac:dyDescent="0.2">
      <c r="A182" s="111">
        <v>199</v>
      </c>
      <c r="B182" s="421" t="s">
        <v>206</v>
      </c>
      <c r="C182" s="421" t="s">
        <v>537</v>
      </c>
      <c r="D182" s="422" t="s">
        <v>666</v>
      </c>
      <c r="E182" s="111">
        <v>1431</v>
      </c>
      <c r="F182" s="421" t="s">
        <v>797</v>
      </c>
      <c r="G182" s="112">
        <v>1</v>
      </c>
      <c r="H182" s="112">
        <v>1</v>
      </c>
      <c r="I182" s="112">
        <v>1</v>
      </c>
      <c r="J182" s="112">
        <v>1</v>
      </c>
      <c r="K182" s="112">
        <v>1</v>
      </c>
    </row>
    <row r="183" spans="1:15" x14ac:dyDescent="0.2">
      <c r="A183" s="111">
        <v>200</v>
      </c>
      <c r="B183" s="421" t="s">
        <v>53</v>
      </c>
      <c r="C183" s="421" t="s">
        <v>537</v>
      </c>
      <c r="D183" s="422" t="s">
        <v>663</v>
      </c>
      <c r="E183" s="111">
        <v>1442</v>
      </c>
      <c r="F183" s="421" t="s">
        <v>798</v>
      </c>
    </row>
    <row r="184" spans="1:15" x14ac:dyDescent="0.2">
      <c r="A184" s="111">
        <v>201</v>
      </c>
      <c r="B184" s="421" t="s">
        <v>207</v>
      </c>
      <c r="C184" s="421" t="s">
        <v>501</v>
      </c>
      <c r="D184" s="422" t="s">
        <v>666</v>
      </c>
      <c r="E184" s="111">
        <v>1444</v>
      </c>
      <c r="F184" s="421" t="s">
        <v>799</v>
      </c>
      <c r="G184" s="112">
        <v>2</v>
      </c>
      <c r="H184" s="112">
        <v>1</v>
      </c>
      <c r="I184" s="112">
        <v>2</v>
      </c>
      <c r="J184" s="112">
        <v>1</v>
      </c>
      <c r="K184" s="112">
        <v>1</v>
      </c>
      <c r="L184" s="112">
        <v>1</v>
      </c>
    </row>
    <row r="185" spans="1:15" x14ac:dyDescent="0.2">
      <c r="A185" s="111">
        <v>202</v>
      </c>
      <c r="B185" s="421" t="s">
        <v>208</v>
      </c>
      <c r="C185" s="421" t="s">
        <v>501</v>
      </c>
      <c r="D185" s="422" t="s">
        <v>663</v>
      </c>
      <c r="E185" s="111">
        <v>1444</v>
      </c>
      <c r="F185" s="421" t="s">
        <v>799</v>
      </c>
      <c r="G185" s="112">
        <v>1</v>
      </c>
      <c r="H185" s="112">
        <v>1</v>
      </c>
      <c r="I185" s="112">
        <v>1</v>
      </c>
      <c r="J185" s="112">
        <v>4</v>
      </c>
      <c r="K185" s="112">
        <v>2</v>
      </c>
      <c r="L185" s="112">
        <v>1</v>
      </c>
      <c r="M185" s="112">
        <v>3</v>
      </c>
      <c r="O185" s="112">
        <v>1</v>
      </c>
    </row>
    <row r="186" spans="1:15" x14ac:dyDescent="0.2">
      <c r="A186" s="111">
        <v>203</v>
      </c>
      <c r="B186" s="421" t="s">
        <v>209</v>
      </c>
      <c r="C186" s="421" t="s">
        <v>501</v>
      </c>
      <c r="D186" s="422" t="s">
        <v>666</v>
      </c>
      <c r="E186" s="111">
        <v>1445</v>
      </c>
      <c r="F186" s="421" t="s">
        <v>1897</v>
      </c>
      <c r="G186" s="112">
        <v>4</v>
      </c>
      <c r="H186" s="112">
        <v>2</v>
      </c>
      <c r="I186" s="112">
        <v>2</v>
      </c>
      <c r="J186" s="112">
        <v>3</v>
      </c>
      <c r="K186" s="112">
        <v>4</v>
      </c>
      <c r="L186" s="112">
        <v>4</v>
      </c>
      <c r="M186" s="112">
        <v>2</v>
      </c>
      <c r="O186" s="112">
        <v>2</v>
      </c>
    </row>
    <row r="187" spans="1:15" x14ac:dyDescent="0.2">
      <c r="A187" s="111">
        <v>204</v>
      </c>
      <c r="B187" s="421" t="s">
        <v>210</v>
      </c>
      <c r="C187" s="421" t="s">
        <v>548</v>
      </c>
      <c r="D187" s="422" t="s">
        <v>663</v>
      </c>
      <c r="E187" s="111">
        <v>1448</v>
      </c>
      <c r="F187" s="421" t="s">
        <v>800</v>
      </c>
      <c r="G187" s="112">
        <v>1</v>
      </c>
    </row>
    <row r="188" spans="1:15" x14ac:dyDescent="0.2">
      <c r="A188" s="111">
        <v>205</v>
      </c>
      <c r="B188" s="421" t="s">
        <v>211</v>
      </c>
      <c r="C188" s="421" t="s">
        <v>548</v>
      </c>
      <c r="D188" s="422" t="s">
        <v>666</v>
      </c>
      <c r="E188" s="111">
        <v>1448</v>
      </c>
      <c r="F188" s="421" t="s">
        <v>800</v>
      </c>
    </row>
    <row r="189" spans="1:15" x14ac:dyDescent="0.2">
      <c r="A189" s="111">
        <v>206</v>
      </c>
      <c r="B189" s="421" t="s">
        <v>212</v>
      </c>
      <c r="C189" s="421" t="s">
        <v>549</v>
      </c>
      <c r="D189" s="422" t="s">
        <v>666</v>
      </c>
      <c r="E189" s="111">
        <v>1464</v>
      </c>
      <c r="F189" s="421" t="s">
        <v>2834</v>
      </c>
      <c r="G189" s="112">
        <v>2</v>
      </c>
      <c r="H189" s="112">
        <v>2</v>
      </c>
      <c r="I189" s="112">
        <v>2</v>
      </c>
      <c r="J189" s="112">
        <v>8</v>
      </c>
      <c r="K189" s="112">
        <v>8</v>
      </c>
      <c r="L189" s="112">
        <v>8</v>
      </c>
      <c r="M189" s="112">
        <v>6</v>
      </c>
      <c r="N189" s="112">
        <v>5</v>
      </c>
      <c r="O189" s="112">
        <v>6</v>
      </c>
    </row>
    <row r="190" spans="1:15" x14ac:dyDescent="0.2">
      <c r="A190" s="111">
        <v>207</v>
      </c>
      <c r="B190" s="421" t="s">
        <v>213</v>
      </c>
      <c r="C190" s="421" t="s">
        <v>550</v>
      </c>
      <c r="D190" s="422" t="s">
        <v>666</v>
      </c>
      <c r="E190" s="111">
        <v>1433</v>
      </c>
      <c r="F190" s="421" t="s">
        <v>801</v>
      </c>
      <c r="G190" s="112">
        <v>2</v>
      </c>
      <c r="H190" s="112">
        <v>2</v>
      </c>
      <c r="I190" s="112">
        <v>1</v>
      </c>
      <c r="M190" s="112">
        <v>1</v>
      </c>
      <c r="O190" s="112">
        <v>1</v>
      </c>
    </row>
    <row r="191" spans="1:15" x14ac:dyDescent="0.2">
      <c r="A191" s="111">
        <v>208</v>
      </c>
      <c r="B191" s="421" t="s">
        <v>75</v>
      </c>
      <c r="C191" s="421" t="s">
        <v>509</v>
      </c>
      <c r="D191" s="422" t="s">
        <v>663</v>
      </c>
      <c r="E191" s="111">
        <v>1467</v>
      </c>
      <c r="F191" s="421" t="s">
        <v>802</v>
      </c>
    </row>
    <row r="192" spans="1:15" x14ac:dyDescent="0.2">
      <c r="A192" s="111">
        <v>209</v>
      </c>
      <c r="B192" s="421" t="s">
        <v>214</v>
      </c>
      <c r="C192" s="421" t="s">
        <v>509</v>
      </c>
      <c r="D192" s="422" t="s">
        <v>666</v>
      </c>
      <c r="E192" s="111">
        <v>1467</v>
      </c>
      <c r="F192" s="421" t="s">
        <v>802</v>
      </c>
    </row>
    <row r="193" spans="1:15" x14ac:dyDescent="0.2">
      <c r="A193" s="111">
        <v>210</v>
      </c>
      <c r="B193" s="421" t="s">
        <v>215</v>
      </c>
      <c r="C193" s="421" t="s">
        <v>513</v>
      </c>
      <c r="D193" s="422" t="s">
        <v>666</v>
      </c>
      <c r="E193" s="111">
        <v>1469</v>
      </c>
      <c r="F193" s="421" t="s">
        <v>803</v>
      </c>
      <c r="G193" s="112">
        <v>2</v>
      </c>
      <c r="H193" s="112">
        <v>2</v>
      </c>
      <c r="I193" s="112">
        <v>1</v>
      </c>
      <c r="J193" s="112">
        <v>7</v>
      </c>
      <c r="K193" s="112">
        <v>9</v>
      </c>
      <c r="L193" s="112">
        <v>8</v>
      </c>
      <c r="M193" s="112">
        <v>5</v>
      </c>
      <c r="N193" s="112">
        <v>3</v>
      </c>
      <c r="O193" s="112">
        <v>4</v>
      </c>
    </row>
    <row r="194" spans="1:15" x14ac:dyDescent="0.2">
      <c r="A194" s="111">
        <v>211</v>
      </c>
      <c r="B194" s="421" t="s">
        <v>216</v>
      </c>
      <c r="C194" s="421" t="s">
        <v>551</v>
      </c>
      <c r="D194" s="422" t="s">
        <v>663</v>
      </c>
      <c r="E194" s="111">
        <v>14132</v>
      </c>
      <c r="F194" s="421" t="s">
        <v>1573</v>
      </c>
      <c r="G194" s="112">
        <v>1</v>
      </c>
      <c r="H194" s="112">
        <v>1</v>
      </c>
      <c r="I194" s="112">
        <v>1</v>
      </c>
      <c r="J194" s="112">
        <v>3</v>
      </c>
      <c r="K194" s="112">
        <v>2</v>
      </c>
      <c r="L194" s="112">
        <v>3</v>
      </c>
      <c r="M194" s="112">
        <v>2</v>
      </c>
      <c r="N194" s="112">
        <v>2</v>
      </c>
      <c r="O194" s="112">
        <v>1</v>
      </c>
    </row>
    <row r="195" spans="1:15" x14ac:dyDescent="0.2">
      <c r="A195" s="111">
        <v>212</v>
      </c>
      <c r="B195" s="421" t="s">
        <v>217</v>
      </c>
      <c r="C195" s="421" t="s">
        <v>552</v>
      </c>
      <c r="D195" s="422" t="s">
        <v>666</v>
      </c>
      <c r="E195" s="111">
        <v>1474</v>
      </c>
      <c r="F195" s="421" t="s">
        <v>804</v>
      </c>
      <c r="G195" s="112">
        <v>1</v>
      </c>
      <c r="H195" s="112">
        <v>1</v>
      </c>
      <c r="I195" s="112">
        <v>1</v>
      </c>
      <c r="J195" s="112">
        <v>7</v>
      </c>
      <c r="K195" s="112">
        <v>2</v>
      </c>
      <c r="L195" s="112">
        <v>1</v>
      </c>
    </row>
    <row r="196" spans="1:15" x14ac:dyDescent="0.2">
      <c r="A196" s="111">
        <v>213</v>
      </c>
      <c r="B196" s="421" t="s">
        <v>218</v>
      </c>
      <c r="C196" s="421" t="s">
        <v>501</v>
      </c>
      <c r="D196" s="422" t="s">
        <v>666</v>
      </c>
      <c r="E196" s="111">
        <v>1474</v>
      </c>
      <c r="F196" s="421" t="s">
        <v>804</v>
      </c>
      <c r="G196" s="112">
        <v>2</v>
      </c>
      <c r="H196" s="112">
        <v>3</v>
      </c>
      <c r="I196" s="112">
        <v>2</v>
      </c>
    </row>
    <row r="197" spans="1:15" x14ac:dyDescent="0.2">
      <c r="A197" s="111">
        <v>214</v>
      </c>
      <c r="B197" s="421" t="s">
        <v>219</v>
      </c>
      <c r="C197" s="421" t="s">
        <v>502</v>
      </c>
      <c r="D197" s="422" t="s">
        <v>663</v>
      </c>
      <c r="F197" s="421" t="s">
        <v>805</v>
      </c>
      <c r="G197" s="112">
        <v>1</v>
      </c>
      <c r="H197" s="112">
        <v>1</v>
      </c>
      <c r="I197" s="112">
        <v>1</v>
      </c>
    </row>
    <row r="198" spans="1:15" x14ac:dyDescent="0.2">
      <c r="A198" s="111">
        <v>215</v>
      </c>
      <c r="B198" s="421" t="s">
        <v>98</v>
      </c>
      <c r="C198" s="421" t="s">
        <v>502</v>
      </c>
      <c r="D198" s="422" t="s">
        <v>666</v>
      </c>
      <c r="F198" s="421" t="s">
        <v>805</v>
      </c>
      <c r="G198" s="112">
        <v>1</v>
      </c>
      <c r="H198" s="112">
        <v>1</v>
      </c>
    </row>
    <row r="199" spans="1:15" x14ac:dyDescent="0.2">
      <c r="A199" s="111">
        <v>216</v>
      </c>
      <c r="B199" s="421" t="s">
        <v>220</v>
      </c>
      <c r="C199" s="421" t="s">
        <v>501</v>
      </c>
      <c r="D199" s="422" t="s">
        <v>666</v>
      </c>
      <c r="F199" s="421" t="s">
        <v>805</v>
      </c>
    </row>
    <row r="200" spans="1:15" x14ac:dyDescent="0.2">
      <c r="A200" s="111">
        <v>217</v>
      </c>
      <c r="B200" s="421" t="s">
        <v>221</v>
      </c>
      <c r="C200" s="421" t="s">
        <v>516</v>
      </c>
      <c r="D200" s="422" t="s">
        <v>666</v>
      </c>
      <c r="E200" s="111">
        <v>1478</v>
      </c>
      <c r="F200" s="421" t="s">
        <v>806</v>
      </c>
      <c r="G200" s="112">
        <v>1</v>
      </c>
      <c r="H200" s="112">
        <v>1</v>
      </c>
      <c r="I200" s="112">
        <v>1</v>
      </c>
      <c r="K200" s="112">
        <v>1</v>
      </c>
    </row>
    <row r="201" spans="1:15" x14ac:dyDescent="0.2">
      <c r="A201" s="111">
        <v>218</v>
      </c>
      <c r="B201" s="421" t="s">
        <v>193</v>
      </c>
      <c r="C201" s="421" t="s">
        <v>553</v>
      </c>
      <c r="D201" s="422" t="s">
        <v>663</v>
      </c>
      <c r="E201" s="111">
        <v>1478</v>
      </c>
      <c r="F201" s="421" t="s">
        <v>806</v>
      </c>
    </row>
    <row r="202" spans="1:15" x14ac:dyDescent="0.2">
      <c r="A202" s="111">
        <v>219</v>
      </c>
      <c r="B202" s="421" t="s">
        <v>222</v>
      </c>
      <c r="C202" s="421" t="s">
        <v>518</v>
      </c>
      <c r="D202" s="422" t="s">
        <v>663</v>
      </c>
      <c r="E202" s="111">
        <v>14303</v>
      </c>
      <c r="F202" s="421" t="s">
        <v>807</v>
      </c>
      <c r="G202" s="112">
        <v>1</v>
      </c>
      <c r="H202" s="112">
        <v>1</v>
      </c>
      <c r="I202" s="112">
        <v>1</v>
      </c>
      <c r="J202" s="112">
        <v>1</v>
      </c>
      <c r="K202" s="112">
        <v>1</v>
      </c>
      <c r="L202" s="112">
        <v>1</v>
      </c>
      <c r="M202" s="112">
        <v>1</v>
      </c>
      <c r="O202" s="112">
        <v>1</v>
      </c>
    </row>
    <row r="203" spans="1:15" x14ac:dyDescent="0.2">
      <c r="A203" s="111">
        <v>220</v>
      </c>
      <c r="B203" s="421" t="s">
        <v>223</v>
      </c>
      <c r="C203" s="421" t="s">
        <v>554</v>
      </c>
      <c r="D203" s="422" t="s">
        <v>663</v>
      </c>
      <c r="E203" s="111">
        <v>1479</v>
      </c>
      <c r="F203" s="421" t="s">
        <v>808</v>
      </c>
      <c r="G203" s="112">
        <v>1</v>
      </c>
    </row>
    <row r="204" spans="1:15" x14ac:dyDescent="0.2">
      <c r="A204" s="111">
        <v>221</v>
      </c>
      <c r="B204" s="421" t="s">
        <v>224</v>
      </c>
      <c r="C204" s="421" t="s">
        <v>536</v>
      </c>
      <c r="D204" s="422" t="s">
        <v>666</v>
      </c>
      <c r="E204" s="111">
        <v>1479</v>
      </c>
      <c r="F204" s="421" t="s">
        <v>808</v>
      </c>
      <c r="G204" s="112">
        <v>1</v>
      </c>
      <c r="H204" s="112">
        <v>1</v>
      </c>
      <c r="I204" s="112">
        <v>1</v>
      </c>
      <c r="J204" s="112">
        <v>6</v>
      </c>
      <c r="K204" s="112">
        <v>6</v>
      </c>
      <c r="L204" s="112">
        <v>7</v>
      </c>
      <c r="M204" s="112">
        <v>5</v>
      </c>
      <c r="N204" s="112">
        <v>4</v>
      </c>
      <c r="O204" s="112">
        <v>4</v>
      </c>
    </row>
    <row r="205" spans="1:15" x14ac:dyDescent="0.2">
      <c r="A205" s="111">
        <v>222</v>
      </c>
      <c r="B205" s="421" t="s">
        <v>225</v>
      </c>
      <c r="C205" s="421" t="s">
        <v>505</v>
      </c>
      <c r="D205" s="422" t="s">
        <v>663</v>
      </c>
      <c r="E205" s="111">
        <v>1484</v>
      </c>
      <c r="F205" s="421" t="s">
        <v>809</v>
      </c>
      <c r="H205" s="112">
        <v>1</v>
      </c>
      <c r="I205" s="112">
        <v>1</v>
      </c>
    </row>
    <row r="206" spans="1:15" x14ac:dyDescent="0.2">
      <c r="A206" s="111">
        <v>223</v>
      </c>
      <c r="B206" s="421" t="s">
        <v>226</v>
      </c>
      <c r="C206" s="421" t="s">
        <v>544</v>
      </c>
      <c r="D206" s="422" t="s">
        <v>666</v>
      </c>
      <c r="E206" s="111">
        <v>14210</v>
      </c>
      <c r="F206" s="421" t="s">
        <v>810</v>
      </c>
      <c r="G206" s="112">
        <v>1</v>
      </c>
      <c r="H206" s="112">
        <v>1</v>
      </c>
      <c r="I206" s="112">
        <v>1</v>
      </c>
      <c r="J206" s="112">
        <v>1</v>
      </c>
      <c r="K206" s="112">
        <v>1</v>
      </c>
      <c r="L206" s="112">
        <v>1</v>
      </c>
      <c r="O206" s="112">
        <v>1</v>
      </c>
    </row>
    <row r="207" spans="1:15" x14ac:dyDescent="0.2">
      <c r="A207" s="111">
        <v>224</v>
      </c>
      <c r="B207" s="421" t="s">
        <v>227</v>
      </c>
      <c r="C207" s="421" t="s">
        <v>555</v>
      </c>
      <c r="D207" s="422" t="s">
        <v>663</v>
      </c>
      <c r="E207" s="111">
        <v>14105</v>
      </c>
      <c r="F207" s="421" t="s">
        <v>811</v>
      </c>
      <c r="G207" s="112">
        <v>1</v>
      </c>
      <c r="H207" s="112">
        <v>1</v>
      </c>
    </row>
    <row r="208" spans="1:15" x14ac:dyDescent="0.2">
      <c r="A208" s="111">
        <v>225</v>
      </c>
      <c r="B208" s="421" t="s">
        <v>228</v>
      </c>
      <c r="C208" s="421" t="s">
        <v>556</v>
      </c>
      <c r="D208" s="422" t="s">
        <v>666</v>
      </c>
      <c r="E208" s="111">
        <v>14108</v>
      </c>
      <c r="F208" s="421" t="s">
        <v>812</v>
      </c>
    </row>
    <row r="209" spans="1:15" x14ac:dyDescent="0.2">
      <c r="A209" s="111">
        <v>226</v>
      </c>
      <c r="B209" s="421" t="s">
        <v>229</v>
      </c>
      <c r="C209" s="421" t="s">
        <v>556</v>
      </c>
      <c r="D209" s="422" t="s">
        <v>663</v>
      </c>
      <c r="E209" s="111">
        <v>14108</v>
      </c>
      <c r="F209" s="421" t="s">
        <v>812</v>
      </c>
      <c r="G209" s="112">
        <v>1</v>
      </c>
      <c r="H209" s="112">
        <v>1</v>
      </c>
      <c r="I209" s="112">
        <v>1</v>
      </c>
      <c r="J209" s="112">
        <v>1</v>
      </c>
      <c r="K209" s="112">
        <v>1</v>
      </c>
      <c r="L209" s="112">
        <v>1</v>
      </c>
    </row>
    <row r="210" spans="1:15" x14ac:dyDescent="0.2">
      <c r="A210" s="111">
        <v>227</v>
      </c>
      <c r="B210" s="421" t="s">
        <v>230</v>
      </c>
      <c r="C210" s="421" t="s">
        <v>557</v>
      </c>
      <c r="D210" s="422" t="s">
        <v>666</v>
      </c>
      <c r="E210" s="111">
        <v>14332</v>
      </c>
      <c r="F210" s="421" t="s">
        <v>813</v>
      </c>
      <c r="G210" s="112">
        <v>1</v>
      </c>
      <c r="H210" s="112">
        <v>1</v>
      </c>
      <c r="I210" s="112">
        <v>1</v>
      </c>
      <c r="J210" s="112">
        <v>1</v>
      </c>
      <c r="K210" s="112">
        <v>1</v>
      </c>
      <c r="L210" s="112">
        <v>1</v>
      </c>
      <c r="M210" s="112">
        <v>2</v>
      </c>
      <c r="N210" s="112">
        <v>1</v>
      </c>
      <c r="O210" s="112">
        <v>1</v>
      </c>
    </row>
    <row r="211" spans="1:15" x14ac:dyDescent="0.2">
      <c r="A211" s="111">
        <v>228</v>
      </c>
      <c r="B211" s="421" t="s">
        <v>231</v>
      </c>
      <c r="C211" s="421" t="s">
        <v>525</v>
      </c>
      <c r="D211" s="422" t="s">
        <v>666</v>
      </c>
      <c r="E211" s="111">
        <v>1449</v>
      </c>
      <c r="F211" s="421" t="s">
        <v>1465</v>
      </c>
      <c r="G211" s="112">
        <v>1</v>
      </c>
      <c r="H211" s="112">
        <v>1</v>
      </c>
      <c r="I211" s="112">
        <v>1</v>
      </c>
      <c r="J211" s="112">
        <v>1</v>
      </c>
      <c r="K211" s="112">
        <v>1</v>
      </c>
      <c r="L211" s="112">
        <v>1</v>
      </c>
      <c r="M211" s="112">
        <v>1</v>
      </c>
    </row>
    <row r="212" spans="1:15" x14ac:dyDescent="0.2">
      <c r="A212" s="111">
        <v>229</v>
      </c>
      <c r="B212" s="421" t="s">
        <v>232</v>
      </c>
      <c r="C212" s="421" t="s">
        <v>525</v>
      </c>
      <c r="D212" s="422" t="s">
        <v>666</v>
      </c>
      <c r="E212" s="111">
        <v>1449</v>
      </c>
      <c r="F212" s="421" t="s">
        <v>1465</v>
      </c>
      <c r="G212" s="112">
        <v>1</v>
      </c>
      <c r="H212" s="112">
        <v>1</v>
      </c>
      <c r="I212" s="112">
        <v>1</v>
      </c>
      <c r="J212" s="112">
        <v>1</v>
      </c>
      <c r="K212" s="112">
        <v>1</v>
      </c>
      <c r="L212" s="112">
        <v>1</v>
      </c>
    </row>
    <row r="213" spans="1:15" x14ac:dyDescent="0.2">
      <c r="A213" s="111">
        <v>230</v>
      </c>
      <c r="B213" s="421" t="s">
        <v>233</v>
      </c>
      <c r="C213" s="421" t="s">
        <v>558</v>
      </c>
      <c r="D213" s="422" t="s">
        <v>666</v>
      </c>
      <c r="E213" s="111">
        <v>1496</v>
      </c>
      <c r="F213" s="421" t="s">
        <v>814</v>
      </c>
      <c r="G213" s="112">
        <v>1</v>
      </c>
      <c r="H213" s="112">
        <v>1</v>
      </c>
      <c r="I213" s="112">
        <v>1</v>
      </c>
    </row>
    <row r="214" spans="1:15" x14ac:dyDescent="0.2">
      <c r="A214" s="111">
        <v>231</v>
      </c>
      <c r="B214" s="421" t="s">
        <v>234</v>
      </c>
      <c r="C214" s="421" t="s">
        <v>516</v>
      </c>
      <c r="D214" s="422" t="s">
        <v>666</v>
      </c>
      <c r="E214" s="111">
        <v>14116</v>
      </c>
      <c r="F214" s="421" t="s">
        <v>815</v>
      </c>
      <c r="G214" s="112">
        <v>2</v>
      </c>
      <c r="H214" s="112">
        <v>1</v>
      </c>
      <c r="I214" s="112">
        <v>1</v>
      </c>
      <c r="J214" s="112">
        <v>2</v>
      </c>
      <c r="K214" s="112">
        <v>1</v>
      </c>
    </row>
    <row r="215" spans="1:15" x14ac:dyDescent="0.2">
      <c r="A215" s="111">
        <v>232</v>
      </c>
      <c r="B215" s="421" t="s">
        <v>235</v>
      </c>
      <c r="C215" s="421" t="s">
        <v>544</v>
      </c>
      <c r="D215" s="422" t="s">
        <v>663</v>
      </c>
      <c r="E215" s="111">
        <v>14117</v>
      </c>
      <c r="F215" s="421" t="s">
        <v>816</v>
      </c>
      <c r="G215" s="112">
        <v>3</v>
      </c>
      <c r="H215" s="112">
        <v>1</v>
      </c>
      <c r="I215" s="112">
        <v>2</v>
      </c>
      <c r="J215" s="112">
        <v>7</v>
      </c>
      <c r="K215" s="112">
        <v>7</v>
      </c>
      <c r="L215" s="112">
        <v>7</v>
      </c>
      <c r="M215" s="112">
        <v>3</v>
      </c>
      <c r="N215" s="112">
        <v>3</v>
      </c>
      <c r="O215" s="112">
        <v>3</v>
      </c>
    </row>
    <row r="216" spans="1:15" x14ac:dyDescent="0.2">
      <c r="A216" s="111">
        <v>233</v>
      </c>
      <c r="B216" s="421" t="s">
        <v>236</v>
      </c>
      <c r="C216" s="421" t="s">
        <v>559</v>
      </c>
      <c r="D216" s="422" t="s">
        <v>663</v>
      </c>
      <c r="F216" s="421" t="s">
        <v>817</v>
      </c>
      <c r="H216" s="112">
        <v>1</v>
      </c>
    </row>
    <row r="217" spans="1:15" x14ac:dyDescent="0.2">
      <c r="A217" s="111">
        <v>234</v>
      </c>
      <c r="B217" s="421" t="s">
        <v>237</v>
      </c>
      <c r="C217" s="421" t="s">
        <v>501</v>
      </c>
      <c r="D217" s="422" t="s">
        <v>663</v>
      </c>
      <c r="F217" s="421" t="s">
        <v>818</v>
      </c>
    </row>
    <row r="218" spans="1:15" x14ac:dyDescent="0.2">
      <c r="A218" s="111">
        <v>235</v>
      </c>
      <c r="B218" s="421" t="s">
        <v>238</v>
      </c>
      <c r="C218" s="421" t="s">
        <v>534</v>
      </c>
      <c r="D218" s="422" t="s">
        <v>666</v>
      </c>
      <c r="E218" s="111">
        <v>14123</v>
      </c>
      <c r="F218" s="421" t="s">
        <v>819</v>
      </c>
      <c r="G218" s="112">
        <v>2</v>
      </c>
      <c r="H218" s="112">
        <v>1</v>
      </c>
      <c r="I218" s="112">
        <v>1</v>
      </c>
      <c r="J218" s="112">
        <v>5</v>
      </c>
      <c r="K218" s="112">
        <v>2</v>
      </c>
      <c r="L218" s="112">
        <v>1</v>
      </c>
      <c r="M218" s="112">
        <v>3</v>
      </c>
      <c r="O218" s="112">
        <v>2</v>
      </c>
    </row>
    <row r="219" spans="1:15" x14ac:dyDescent="0.2">
      <c r="A219" s="111">
        <v>236</v>
      </c>
      <c r="B219" s="421" t="s">
        <v>239</v>
      </c>
      <c r="C219" s="421" t="s">
        <v>503</v>
      </c>
      <c r="D219" s="422" t="s">
        <v>666</v>
      </c>
      <c r="E219" s="111">
        <v>14124</v>
      </c>
      <c r="F219" s="421" t="s">
        <v>820</v>
      </c>
      <c r="H219" s="112">
        <v>1</v>
      </c>
      <c r="I219" s="112">
        <v>1</v>
      </c>
    </row>
    <row r="220" spans="1:15" x14ac:dyDescent="0.2">
      <c r="A220" s="111">
        <v>237</v>
      </c>
      <c r="B220" s="421" t="s">
        <v>240</v>
      </c>
      <c r="C220" s="421" t="s">
        <v>512</v>
      </c>
      <c r="D220" s="422" t="s">
        <v>666</v>
      </c>
      <c r="E220" s="111">
        <v>14126</v>
      </c>
      <c r="F220" s="421" t="s">
        <v>821</v>
      </c>
    </row>
    <row r="221" spans="1:15" x14ac:dyDescent="0.2">
      <c r="A221" s="111">
        <v>238</v>
      </c>
      <c r="B221" s="421" t="s">
        <v>241</v>
      </c>
      <c r="C221" s="421" t="s">
        <v>506</v>
      </c>
      <c r="D221" s="422" t="s">
        <v>666</v>
      </c>
      <c r="F221" s="421" t="s">
        <v>822</v>
      </c>
    </row>
    <row r="222" spans="1:15" x14ac:dyDescent="0.2">
      <c r="A222" s="111">
        <v>239</v>
      </c>
      <c r="B222" s="421" t="s">
        <v>242</v>
      </c>
      <c r="C222" s="421" t="s">
        <v>560</v>
      </c>
      <c r="D222" s="422" t="s">
        <v>666</v>
      </c>
      <c r="E222" s="111">
        <v>14129</v>
      </c>
      <c r="F222" s="421" t="s">
        <v>823</v>
      </c>
      <c r="G222" s="112">
        <v>1</v>
      </c>
      <c r="H222" s="112">
        <v>1</v>
      </c>
      <c r="J222" s="112">
        <v>1</v>
      </c>
    </row>
    <row r="223" spans="1:15" x14ac:dyDescent="0.2">
      <c r="A223" s="111">
        <v>240</v>
      </c>
      <c r="B223" s="421" t="s">
        <v>243</v>
      </c>
      <c r="C223" s="421" t="s">
        <v>560</v>
      </c>
      <c r="D223" s="422" t="s">
        <v>663</v>
      </c>
      <c r="E223" s="111">
        <v>14129</v>
      </c>
      <c r="F223" s="421" t="s">
        <v>823</v>
      </c>
      <c r="G223" s="112">
        <v>1</v>
      </c>
      <c r="H223" s="112">
        <v>1</v>
      </c>
      <c r="I223" s="112">
        <v>1</v>
      </c>
      <c r="J223" s="112">
        <v>2</v>
      </c>
      <c r="L223" s="112">
        <v>1</v>
      </c>
    </row>
    <row r="224" spans="1:15" x14ac:dyDescent="0.2">
      <c r="A224" s="111">
        <v>241</v>
      </c>
      <c r="B224" s="421" t="s">
        <v>244</v>
      </c>
      <c r="C224" s="421" t="s">
        <v>561</v>
      </c>
      <c r="D224" s="422" t="s">
        <v>666</v>
      </c>
      <c r="E224" s="111">
        <v>14136</v>
      </c>
      <c r="F224" s="421" t="s">
        <v>824</v>
      </c>
      <c r="G224" s="112">
        <v>1</v>
      </c>
      <c r="H224" s="112">
        <v>1</v>
      </c>
      <c r="I224" s="112">
        <v>1</v>
      </c>
    </row>
    <row r="225" spans="1:15" x14ac:dyDescent="0.2">
      <c r="A225" s="111">
        <v>242</v>
      </c>
      <c r="B225" s="421" t="s">
        <v>245</v>
      </c>
      <c r="C225" s="421" t="s">
        <v>561</v>
      </c>
      <c r="D225" s="422" t="s">
        <v>663</v>
      </c>
      <c r="E225" s="111">
        <v>14136</v>
      </c>
      <c r="F225" s="421" t="s">
        <v>824</v>
      </c>
    </row>
    <row r="226" spans="1:15" x14ac:dyDescent="0.2">
      <c r="A226" s="111">
        <v>243</v>
      </c>
      <c r="B226" s="421" t="s">
        <v>246</v>
      </c>
      <c r="C226" s="421" t="s">
        <v>561</v>
      </c>
      <c r="D226" s="422" t="s">
        <v>663</v>
      </c>
      <c r="E226" s="111">
        <v>14136</v>
      </c>
      <c r="F226" s="421" t="s">
        <v>824</v>
      </c>
    </row>
    <row r="227" spans="1:15" x14ac:dyDescent="0.2">
      <c r="A227" s="111">
        <v>244</v>
      </c>
      <c r="B227" s="421" t="s">
        <v>247</v>
      </c>
      <c r="C227" s="421" t="s">
        <v>517</v>
      </c>
      <c r="D227" s="422" t="s">
        <v>663</v>
      </c>
      <c r="E227" s="111">
        <v>14347</v>
      </c>
      <c r="F227" s="421" t="s">
        <v>825</v>
      </c>
      <c r="G227" s="112">
        <v>1</v>
      </c>
      <c r="H227" s="112">
        <v>1</v>
      </c>
      <c r="I227" s="112">
        <v>1</v>
      </c>
    </row>
    <row r="228" spans="1:15" x14ac:dyDescent="0.2">
      <c r="A228" s="111">
        <v>245</v>
      </c>
      <c r="B228" s="421" t="s">
        <v>248</v>
      </c>
      <c r="C228" s="421" t="s">
        <v>507</v>
      </c>
      <c r="D228" s="422" t="s">
        <v>663</v>
      </c>
      <c r="E228" s="111">
        <v>14650</v>
      </c>
      <c r="F228" s="421" t="s">
        <v>826</v>
      </c>
      <c r="G228" s="112">
        <v>3</v>
      </c>
      <c r="H228" s="112">
        <v>1</v>
      </c>
      <c r="I228" s="112">
        <v>1</v>
      </c>
      <c r="J228" s="112">
        <v>1</v>
      </c>
      <c r="K228" s="112">
        <v>2</v>
      </c>
      <c r="L228" s="112">
        <v>1</v>
      </c>
    </row>
    <row r="229" spans="1:15" x14ac:dyDescent="0.2">
      <c r="A229" s="111">
        <v>246</v>
      </c>
      <c r="B229" s="421" t="s">
        <v>249</v>
      </c>
      <c r="C229" s="421" t="s">
        <v>562</v>
      </c>
      <c r="D229" s="422" t="s">
        <v>666</v>
      </c>
      <c r="E229" s="111">
        <v>14139</v>
      </c>
      <c r="F229" s="421" t="s">
        <v>827</v>
      </c>
      <c r="G229" s="112">
        <v>1</v>
      </c>
      <c r="H229" s="112">
        <v>1</v>
      </c>
      <c r="I229" s="112">
        <v>1</v>
      </c>
      <c r="J229" s="112">
        <v>3</v>
      </c>
      <c r="K229" s="112">
        <v>1</v>
      </c>
      <c r="L229" s="112">
        <v>1</v>
      </c>
    </row>
    <row r="230" spans="1:15" x14ac:dyDescent="0.2">
      <c r="A230" s="111">
        <v>247</v>
      </c>
      <c r="B230" s="421" t="s">
        <v>250</v>
      </c>
      <c r="C230" s="421" t="s">
        <v>528</v>
      </c>
      <c r="D230" s="422" t="s">
        <v>666</v>
      </c>
      <c r="E230" s="111">
        <v>1494</v>
      </c>
      <c r="F230" s="421" t="s">
        <v>828</v>
      </c>
      <c r="G230" s="112">
        <v>1</v>
      </c>
      <c r="H230" s="112">
        <v>1</v>
      </c>
      <c r="I230" s="112">
        <v>1</v>
      </c>
      <c r="J230" s="112">
        <v>2</v>
      </c>
      <c r="K230" s="112">
        <v>1</v>
      </c>
      <c r="L230" s="112">
        <v>2</v>
      </c>
    </row>
    <row r="231" spans="1:15" x14ac:dyDescent="0.2">
      <c r="A231" s="111">
        <v>248</v>
      </c>
      <c r="B231" s="421" t="s">
        <v>251</v>
      </c>
      <c r="C231" s="421" t="s">
        <v>502</v>
      </c>
      <c r="D231" s="422" t="s">
        <v>666</v>
      </c>
      <c r="E231" s="111">
        <v>14138</v>
      </c>
      <c r="F231" s="421" t="s">
        <v>829</v>
      </c>
    </row>
    <row r="232" spans="1:15" x14ac:dyDescent="0.2">
      <c r="A232" s="111">
        <v>249</v>
      </c>
      <c r="B232" s="421" t="s">
        <v>252</v>
      </c>
      <c r="C232" s="421" t="s">
        <v>502</v>
      </c>
      <c r="D232" s="422" t="s">
        <v>666</v>
      </c>
      <c r="E232" s="111">
        <v>14138</v>
      </c>
      <c r="F232" s="421" t="s">
        <v>829</v>
      </c>
    </row>
    <row r="233" spans="1:15" x14ac:dyDescent="0.2">
      <c r="A233" s="111">
        <v>250</v>
      </c>
      <c r="B233" s="421" t="s">
        <v>253</v>
      </c>
      <c r="C233" s="421" t="s">
        <v>507</v>
      </c>
      <c r="D233" s="422" t="s">
        <v>666</v>
      </c>
      <c r="F233" s="421" t="s">
        <v>830</v>
      </c>
      <c r="G233" s="112">
        <v>1</v>
      </c>
      <c r="H233" s="112">
        <v>2</v>
      </c>
      <c r="I233" s="112">
        <v>1</v>
      </c>
    </row>
    <row r="234" spans="1:15" x14ac:dyDescent="0.2">
      <c r="A234" s="111">
        <v>251</v>
      </c>
      <c r="B234" s="421" t="s">
        <v>254</v>
      </c>
      <c r="C234" s="421" t="s">
        <v>513</v>
      </c>
      <c r="D234" s="422" t="s">
        <v>666</v>
      </c>
      <c r="E234" s="111">
        <v>14367</v>
      </c>
      <c r="F234" s="421" t="s">
        <v>831</v>
      </c>
      <c r="G234" s="112">
        <v>1</v>
      </c>
      <c r="H234" s="112">
        <v>2</v>
      </c>
      <c r="I234" s="112">
        <v>1</v>
      </c>
      <c r="J234" s="112">
        <v>12</v>
      </c>
      <c r="K234" s="112">
        <v>8</v>
      </c>
      <c r="L234" s="112">
        <v>9</v>
      </c>
      <c r="M234" s="112">
        <v>10</v>
      </c>
      <c r="N234" s="112">
        <v>5</v>
      </c>
      <c r="O234" s="112">
        <v>6</v>
      </c>
    </row>
    <row r="235" spans="1:15" x14ac:dyDescent="0.2">
      <c r="A235" s="111">
        <v>252</v>
      </c>
      <c r="B235" s="421" t="s">
        <v>255</v>
      </c>
      <c r="C235" s="421" t="s">
        <v>557</v>
      </c>
      <c r="D235" s="422" t="s">
        <v>666</v>
      </c>
      <c r="E235" s="111">
        <v>14141</v>
      </c>
      <c r="F235" s="421" t="s">
        <v>832</v>
      </c>
      <c r="G235" s="112">
        <v>1</v>
      </c>
      <c r="H235" s="112">
        <v>1</v>
      </c>
      <c r="I235" s="112">
        <v>1</v>
      </c>
    </row>
    <row r="236" spans="1:15" x14ac:dyDescent="0.2">
      <c r="A236" s="111">
        <v>253</v>
      </c>
      <c r="B236" s="421" t="s">
        <v>108</v>
      </c>
      <c r="C236" s="421" t="s">
        <v>503</v>
      </c>
      <c r="D236" s="422" t="s">
        <v>663</v>
      </c>
      <c r="E236" s="111">
        <v>14999</v>
      </c>
      <c r="F236" s="421" t="s">
        <v>3064</v>
      </c>
      <c r="G236" s="112">
        <v>2</v>
      </c>
      <c r="H236" s="112">
        <v>2</v>
      </c>
      <c r="I236" s="112">
        <v>1</v>
      </c>
      <c r="J236" s="112">
        <v>3</v>
      </c>
      <c r="K236" s="112">
        <v>3</v>
      </c>
      <c r="L236" s="112">
        <v>3</v>
      </c>
      <c r="M236" s="112">
        <v>3</v>
      </c>
      <c r="N236" s="112">
        <v>2</v>
      </c>
      <c r="O236" s="112">
        <v>4</v>
      </c>
    </row>
    <row r="237" spans="1:15" x14ac:dyDescent="0.2">
      <c r="A237" s="111">
        <v>254</v>
      </c>
      <c r="B237" s="421" t="s">
        <v>256</v>
      </c>
      <c r="C237" s="421" t="s">
        <v>561</v>
      </c>
      <c r="D237" s="422" t="s">
        <v>663</v>
      </c>
      <c r="E237" s="111">
        <v>14144</v>
      </c>
      <c r="F237" s="421" t="s">
        <v>833</v>
      </c>
    </row>
    <row r="238" spans="1:15" x14ac:dyDescent="0.2">
      <c r="A238" s="111">
        <v>255</v>
      </c>
      <c r="B238" s="421" t="s">
        <v>257</v>
      </c>
      <c r="C238" s="421" t="s">
        <v>519</v>
      </c>
      <c r="D238" s="422" t="s">
        <v>663</v>
      </c>
      <c r="F238" s="421" t="s">
        <v>834</v>
      </c>
    </row>
    <row r="239" spans="1:15" x14ac:dyDescent="0.2">
      <c r="A239" s="111">
        <v>256</v>
      </c>
      <c r="B239" s="421" t="s">
        <v>258</v>
      </c>
      <c r="C239" s="421" t="s">
        <v>506</v>
      </c>
      <c r="D239" s="422" t="s">
        <v>663</v>
      </c>
      <c r="E239" s="111">
        <v>14175</v>
      </c>
      <c r="F239" s="421" t="s">
        <v>835</v>
      </c>
      <c r="G239" s="112">
        <v>1</v>
      </c>
      <c r="H239" s="112">
        <v>1</v>
      </c>
      <c r="I239" s="112">
        <v>1</v>
      </c>
      <c r="J239" s="112">
        <v>3</v>
      </c>
      <c r="K239" s="112">
        <v>2</v>
      </c>
      <c r="L239" s="112">
        <v>2</v>
      </c>
    </row>
    <row r="240" spans="1:15" x14ac:dyDescent="0.2">
      <c r="A240" s="111">
        <v>257</v>
      </c>
      <c r="B240" s="421" t="s">
        <v>259</v>
      </c>
      <c r="C240" s="421" t="s">
        <v>506</v>
      </c>
      <c r="D240" s="422" t="s">
        <v>666</v>
      </c>
      <c r="E240" s="111">
        <v>14152</v>
      </c>
      <c r="F240" s="421" t="s">
        <v>836</v>
      </c>
      <c r="G240" s="112">
        <v>1</v>
      </c>
      <c r="H240" s="112">
        <v>2</v>
      </c>
      <c r="I240" s="112">
        <v>2</v>
      </c>
      <c r="J240" s="112">
        <v>2</v>
      </c>
      <c r="K240" s="112">
        <v>1</v>
      </c>
      <c r="L240" s="112">
        <v>2</v>
      </c>
    </row>
    <row r="241" spans="1:15" x14ac:dyDescent="0.2">
      <c r="A241" s="111">
        <v>258</v>
      </c>
      <c r="B241" s="421" t="s">
        <v>260</v>
      </c>
      <c r="C241" s="421" t="s">
        <v>502</v>
      </c>
      <c r="D241" s="422" t="s">
        <v>666</v>
      </c>
      <c r="E241" s="111">
        <v>15664</v>
      </c>
      <c r="F241" s="421" t="s">
        <v>837</v>
      </c>
      <c r="G241" s="112">
        <v>2</v>
      </c>
      <c r="H241" s="112">
        <v>1</v>
      </c>
      <c r="I241" s="112">
        <v>1</v>
      </c>
    </row>
    <row r="242" spans="1:15" x14ac:dyDescent="0.2">
      <c r="A242" s="111">
        <v>259</v>
      </c>
      <c r="B242" s="421" t="s">
        <v>261</v>
      </c>
      <c r="C242" s="421" t="s">
        <v>506</v>
      </c>
      <c r="D242" s="422" t="s">
        <v>663</v>
      </c>
      <c r="E242" s="111">
        <v>14497</v>
      </c>
      <c r="F242" s="421" t="s">
        <v>1503</v>
      </c>
      <c r="G242" s="112">
        <v>1</v>
      </c>
      <c r="H242" s="112">
        <v>1</v>
      </c>
      <c r="J242" s="112">
        <v>1</v>
      </c>
    </row>
    <row r="243" spans="1:15" x14ac:dyDescent="0.2">
      <c r="A243" s="111">
        <v>260</v>
      </c>
      <c r="B243" s="421" t="s">
        <v>262</v>
      </c>
      <c r="C243" s="421" t="s">
        <v>563</v>
      </c>
      <c r="D243" s="422" t="s">
        <v>663</v>
      </c>
      <c r="F243" s="421" t="s">
        <v>838</v>
      </c>
    </row>
    <row r="244" spans="1:15" x14ac:dyDescent="0.2">
      <c r="A244" s="111">
        <v>261</v>
      </c>
      <c r="B244" s="421" t="s">
        <v>263</v>
      </c>
      <c r="C244" s="421" t="s">
        <v>540</v>
      </c>
      <c r="D244" s="422" t="s">
        <v>663</v>
      </c>
      <c r="E244" s="111">
        <v>14249</v>
      </c>
      <c r="F244" s="421" t="s">
        <v>839</v>
      </c>
      <c r="G244" s="112">
        <v>3</v>
      </c>
      <c r="H244" s="112">
        <v>2</v>
      </c>
      <c r="I244" s="112">
        <v>3</v>
      </c>
      <c r="J244" s="112">
        <v>5</v>
      </c>
      <c r="K244" s="112">
        <v>6</v>
      </c>
      <c r="L244" s="112">
        <v>6</v>
      </c>
      <c r="M244" s="112">
        <v>5</v>
      </c>
      <c r="N244" s="112">
        <v>5</v>
      </c>
      <c r="O244" s="112">
        <v>5</v>
      </c>
    </row>
    <row r="245" spans="1:15" x14ac:dyDescent="0.2">
      <c r="A245" s="111">
        <v>262</v>
      </c>
      <c r="B245" s="421" t="s">
        <v>264</v>
      </c>
      <c r="C245" s="421" t="s">
        <v>540</v>
      </c>
      <c r="D245" s="422" t="s">
        <v>666</v>
      </c>
      <c r="E245" s="111">
        <v>14249</v>
      </c>
      <c r="F245" s="421" t="s">
        <v>839</v>
      </c>
      <c r="G245" s="112">
        <v>2</v>
      </c>
      <c r="H245" s="112">
        <v>1</v>
      </c>
      <c r="I245" s="112">
        <v>2</v>
      </c>
      <c r="J245" s="112">
        <v>9</v>
      </c>
      <c r="K245" s="112">
        <v>8</v>
      </c>
      <c r="L245" s="112">
        <v>7</v>
      </c>
      <c r="M245" s="112">
        <v>3</v>
      </c>
      <c r="N245" s="112">
        <v>3</v>
      </c>
      <c r="O245" s="112">
        <v>3</v>
      </c>
    </row>
    <row r="246" spans="1:15" x14ac:dyDescent="0.2">
      <c r="A246" s="111">
        <v>263</v>
      </c>
      <c r="B246" s="421" t="s">
        <v>634</v>
      </c>
      <c r="C246" s="421" t="s">
        <v>518</v>
      </c>
      <c r="D246" s="422" t="s">
        <v>663</v>
      </c>
      <c r="E246" s="111">
        <v>14332</v>
      </c>
      <c r="F246" s="421" t="s">
        <v>813</v>
      </c>
    </row>
    <row r="247" spans="1:15" x14ac:dyDescent="0.2">
      <c r="A247" s="111">
        <v>264</v>
      </c>
      <c r="B247" s="421" t="s">
        <v>163</v>
      </c>
      <c r="C247" s="421" t="s">
        <v>554</v>
      </c>
      <c r="D247" s="422" t="s">
        <v>663</v>
      </c>
      <c r="E247" s="111">
        <v>14305</v>
      </c>
      <c r="F247" s="421" t="s">
        <v>840</v>
      </c>
      <c r="G247" s="112">
        <v>2</v>
      </c>
      <c r="H247" s="112">
        <v>1</v>
      </c>
      <c r="I247" s="112">
        <v>2</v>
      </c>
      <c r="J247" s="112">
        <v>3</v>
      </c>
      <c r="K247" s="112">
        <v>3</v>
      </c>
      <c r="L247" s="112">
        <v>2</v>
      </c>
      <c r="M247" s="112">
        <v>2</v>
      </c>
      <c r="N247" s="112">
        <v>1</v>
      </c>
      <c r="O247" s="112">
        <v>1</v>
      </c>
    </row>
    <row r="248" spans="1:15" x14ac:dyDescent="0.2">
      <c r="A248" s="111">
        <v>265</v>
      </c>
      <c r="B248" s="421" t="s">
        <v>265</v>
      </c>
      <c r="C248" s="421" t="s">
        <v>564</v>
      </c>
      <c r="D248" s="422" t="s">
        <v>663</v>
      </c>
      <c r="E248" s="111">
        <v>14145</v>
      </c>
      <c r="F248" s="421" t="s">
        <v>841</v>
      </c>
    </row>
    <row r="249" spans="1:15" x14ac:dyDescent="0.2">
      <c r="A249" s="111">
        <v>266</v>
      </c>
      <c r="B249" s="421" t="s">
        <v>266</v>
      </c>
      <c r="C249" s="421" t="s">
        <v>564</v>
      </c>
      <c r="D249" s="422" t="s">
        <v>663</v>
      </c>
      <c r="E249" s="111">
        <v>14145</v>
      </c>
      <c r="F249" s="421" t="s">
        <v>841</v>
      </c>
    </row>
    <row r="250" spans="1:15" x14ac:dyDescent="0.2">
      <c r="A250" s="111">
        <v>267</v>
      </c>
      <c r="B250" s="421" t="s">
        <v>267</v>
      </c>
      <c r="C250" s="421" t="s">
        <v>537</v>
      </c>
      <c r="D250" s="422" t="s">
        <v>663</v>
      </c>
      <c r="E250" s="111">
        <v>14149</v>
      </c>
      <c r="F250" s="421" t="s">
        <v>842</v>
      </c>
      <c r="I250" s="112">
        <v>1</v>
      </c>
    </row>
    <row r="251" spans="1:15" x14ac:dyDescent="0.2">
      <c r="A251" s="111">
        <v>268</v>
      </c>
      <c r="B251" s="421" t="s">
        <v>268</v>
      </c>
      <c r="C251" s="421" t="s">
        <v>537</v>
      </c>
      <c r="D251" s="422" t="s">
        <v>666</v>
      </c>
      <c r="E251" s="111">
        <v>14149</v>
      </c>
      <c r="F251" s="421" t="s">
        <v>842</v>
      </c>
    </row>
    <row r="252" spans="1:15" x14ac:dyDescent="0.2">
      <c r="A252" s="111">
        <v>269</v>
      </c>
      <c r="B252" s="421" t="s">
        <v>269</v>
      </c>
      <c r="C252" s="421" t="s">
        <v>516</v>
      </c>
      <c r="D252" s="422" t="s">
        <v>663</v>
      </c>
      <c r="E252" s="111">
        <v>14150</v>
      </c>
      <c r="F252" s="421" t="s">
        <v>843</v>
      </c>
    </row>
    <row r="253" spans="1:15" x14ac:dyDescent="0.2">
      <c r="A253" s="111">
        <v>270</v>
      </c>
      <c r="B253" s="421" t="s">
        <v>270</v>
      </c>
      <c r="C253" s="421" t="s">
        <v>501</v>
      </c>
      <c r="D253" s="422" t="s">
        <v>663</v>
      </c>
      <c r="E253" s="111">
        <v>14148</v>
      </c>
      <c r="F253" s="421" t="s">
        <v>844</v>
      </c>
      <c r="G253" s="112">
        <v>2</v>
      </c>
      <c r="H253" s="112">
        <v>1</v>
      </c>
      <c r="I253" s="112">
        <v>2</v>
      </c>
      <c r="J253" s="112">
        <v>1</v>
      </c>
      <c r="K253" s="112">
        <v>1</v>
      </c>
    </row>
    <row r="254" spans="1:15" x14ac:dyDescent="0.2">
      <c r="A254" s="111">
        <v>271</v>
      </c>
      <c r="B254" s="421" t="s">
        <v>271</v>
      </c>
      <c r="C254" s="421" t="s">
        <v>525</v>
      </c>
      <c r="D254" s="422" t="s">
        <v>666</v>
      </c>
      <c r="F254" s="421" t="s">
        <v>845</v>
      </c>
    </row>
    <row r="255" spans="1:15" x14ac:dyDescent="0.2">
      <c r="A255" s="111">
        <v>272</v>
      </c>
      <c r="B255" s="421" t="s">
        <v>272</v>
      </c>
      <c r="C255" s="421" t="s">
        <v>501</v>
      </c>
      <c r="D255" s="422" t="s">
        <v>663</v>
      </c>
      <c r="F255" s="421" t="s">
        <v>846</v>
      </c>
    </row>
    <row r="256" spans="1:15" x14ac:dyDescent="0.2">
      <c r="A256" s="111">
        <v>273</v>
      </c>
      <c r="B256" s="421" t="s">
        <v>273</v>
      </c>
      <c r="C256" s="421" t="s">
        <v>506</v>
      </c>
      <c r="D256" s="422" t="s">
        <v>666</v>
      </c>
      <c r="E256" s="111">
        <v>14155</v>
      </c>
      <c r="F256" s="421" t="s">
        <v>847</v>
      </c>
    </row>
    <row r="257" spans="1:15" x14ac:dyDescent="0.2">
      <c r="A257" s="111">
        <v>274</v>
      </c>
      <c r="B257" s="421" t="s">
        <v>274</v>
      </c>
      <c r="C257" s="421" t="s">
        <v>522</v>
      </c>
      <c r="D257" s="422" t="s">
        <v>666</v>
      </c>
      <c r="E257" s="111">
        <v>14155</v>
      </c>
      <c r="F257" s="421" t="s">
        <v>847</v>
      </c>
    </row>
    <row r="258" spans="1:15" x14ac:dyDescent="0.2">
      <c r="A258" s="111">
        <v>275</v>
      </c>
      <c r="B258" s="421" t="s">
        <v>275</v>
      </c>
      <c r="C258" s="421" t="s">
        <v>506</v>
      </c>
      <c r="D258" s="422" t="s">
        <v>663</v>
      </c>
      <c r="E258" s="111">
        <v>14142</v>
      </c>
      <c r="F258" s="421" t="s">
        <v>848</v>
      </c>
      <c r="G258" s="112">
        <v>1</v>
      </c>
      <c r="H258" s="112">
        <v>1</v>
      </c>
      <c r="I258" s="112">
        <v>1</v>
      </c>
    </row>
    <row r="259" spans="1:15" x14ac:dyDescent="0.2">
      <c r="A259" s="111">
        <v>276</v>
      </c>
      <c r="B259" s="421" t="s">
        <v>276</v>
      </c>
      <c r="C259" s="421" t="s">
        <v>506</v>
      </c>
      <c r="D259" s="422" t="s">
        <v>663</v>
      </c>
      <c r="E259" s="111">
        <v>14143</v>
      </c>
      <c r="F259" s="421" t="s">
        <v>849</v>
      </c>
      <c r="G259" s="112">
        <v>1</v>
      </c>
      <c r="H259" s="112">
        <v>1</v>
      </c>
      <c r="I259" s="112">
        <v>1</v>
      </c>
      <c r="J259" s="112">
        <v>1</v>
      </c>
      <c r="L259" s="112">
        <v>1</v>
      </c>
    </row>
    <row r="260" spans="1:15" x14ac:dyDescent="0.2">
      <c r="A260" s="111">
        <v>277</v>
      </c>
      <c r="B260" s="421" t="s">
        <v>277</v>
      </c>
      <c r="C260" s="421" t="s">
        <v>506</v>
      </c>
      <c r="D260" s="422" t="s">
        <v>663</v>
      </c>
      <c r="F260" s="421" t="s">
        <v>1574</v>
      </c>
      <c r="G260" s="112">
        <v>1</v>
      </c>
      <c r="H260" s="112">
        <v>1</v>
      </c>
      <c r="I260" s="112">
        <v>1</v>
      </c>
      <c r="J260" s="112">
        <v>1</v>
      </c>
      <c r="K260" s="112">
        <v>1</v>
      </c>
      <c r="L260" s="112">
        <v>1</v>
      </c>
      <c r="O260" s="112">
        <v>1</v>
      </c>
    </row>
    <row r="261" spans="1:15" x14ac:dyDescent="0.2">
      <c r="A261" s="111">
        <v>278</v>
      </c>
      <c r="B261" s="421" t="s">
        <v>278</v>
      </c>
      <c r="C261" s="421" t="s">
        <v>506</v>
      </c>
      <c r="D261" s="422" t="s">
        <v>666</v>
      </c>
      <c r="E261" s="111">
        <v>14154</v>
      </c>
      <c r="F261" s="421" t="s">
        <v>850</v>
      </c>
      <c r="G261" s="112">
        <v>2</v>
      </c>
      <c r="H261" s="112">
        <v>2</v>
      </c>
      <c r="I261" s="112">
        <v>2</v>
      </c>
      <c r="J261" s="112">
        <v>2</v>
      </c>
      <c r="K261" s="112">
        <v>3</v>
      </c>
      <c r="L261" s="112">
        <v>2</v>
      </c>
      <c r="N261" s="112">
        <v>3</v>
      </c>
      <c r="O261" s="112">
        <v>6</v>
      </c>
    </row>
    <row r="262" spans="1:15" x14ac:dyDescent="0.2">
      <c r="A262" s="111">
        <v>279</v>
      </c>
      <c r="B262" s="421" t="s">
        <v>123</v>
      </c>
      <c r="C262" s="421" t="s">
        <v>565</v>
      </c>
      <c r="D262" s="422" t="s">
        <v>663</v>
      </c>
      <c r="E262" s="111">
        <v>14157</v>
      </c>
      <c r="F262" s="421" t="s">
        <v>851</v>
      </c>
      <c r="G262" s="112">
        <v>1</v>
      </c>
      <c r="H262" s="112">
        <v>1</v>
      </c>
    </row>
    <row r="263" spans="1:15" x14ac:dyDescent="0.2">
      <c r="A263" s="111">
        <v>280</v>
      </c>
      <c r="B263" s="421" t="s">
        <v>163</v>
      </c>
      <c r="C263" s="421" t="s">
        <v>501</v>
      </c>
      <c r="D263" s="422" t="s">
        <v>663</v>
      </c>
      <c r="F263" s="421" t="s">
        <v>852</v>
      </c>
      <c r="G263" s="112">
        <v>1</v>
      </c>
      <c r="H263" s="112">
        <v>1</v>
      </c>
      <c r="I263" s="112">
        <v>1</v>
      </c>
    </row>
    <row r="264" spans="1:15" x14ac:dyDescent="0.2">
      <c r="A264" s="111">
        <v>281</v>
      </c>
      <c r="B264" s="421" t="s">
        <v>279</v>
      </c>
      <c r="C264" s="421" t="s">
        <v>506</v>
      </c>
      <c r="D264" s="422" t="s">
        <v>663</v>
      </c>
      <c r="F264" s="421" t="s">
        <v>853</v>
      </c>
    </row>
    <row r="265" spans="1:15" x14ac:dyDescent="0.2">
      <c r="A265" s="111">
        <v>282</v>
      </c>
      <c r="B265" s="421" t="s">
        <v>280</v>
      </c>
      <c r="C265" s="421" t="s">
        <v>503</v>
      </c>
      <c r="D265" s="422" t="s">
        <v>663</v>
      </c>
      <c r="E265" s="111">
        <v>14158</v>
      </c>
      <c r="F265" s="421" t="s">
        <v>854</v>
      </c>
      <c r="G265" s="112">
        <v>1</v>
      </c>
      <c r="H265" s="112">
        <v>1</v>
      </c>
      <c r="I265" s="112">
        <v>1</v>
      </c>
      <c r="J265" s="112">
        <v>25</v>
      </c>
      <c r="K265" s="112">
        <v>22</v>
      </c>
      <c r="L265" s="112">
        <v>20</v>
      </c>
      <c r="M265" s="112">
        <v>27</v>
      </c>
      <c r="N265" s="112">
        <v>21</v>
      </c>
      <c r="O265" s="112">
        <v>18</v>
      </c>
    </row>
    <row r="266" spans="1:15" x14ac:dyDescent="0.2">
      <c r="A266" s="111">
        <v>283</v>
      </c>
      <c r="B266" s="421" t="s">
        <v>281</v>
      </c>
      <c r="C266" s="421" t="s">
        <v>503</v>
      </c>
      <c r="D266" s="422" t="s">
        <v>663</v>
      </c>
      <c r="E266" s="111">
        <v>14941</v>
      </c>
      <c r="F266" s="421" t="s">
        <v>3534</v>
      </c>
      <c r="G266" s="112">
        <v>3</v>
      </c>
      <c r="H266" s="112">
        <v>2</v>
      </c>
      <c r="I266" s="112">
        <v>2</v>
      </c>
      <c r="J266" s="112">
        <v>21</v>
      </c>
      <c r="K266" s="112">
        <v>22</v>
      </c>
      <c r="L266" s="112">
        <v>21</v>
      </c>
      <c r="M266" s="112">
        <v>20</v>
      </c>
      <c r="N266" s="112">
        <v>19</v>
      </c>
      <c r="O266" s="112">
        <v>18</v>
      </c>
    </row>
    <row r="267" spans="1:15" x14ac:dyDescent="0.2">
      <c r="A267" s="111">
        <v>284</v>
      </c>
      <c r="B267" s="421" t="s">
        <v>282</v>
      </c>
      <c r="C267" s="421" t="s">
        <v>503</v>
      </c>
      <c r="D267" s="422"/>
      <c r="E267" s="111">
        <v>14160</v>
      </c>
      <c r="F267" s="421" t="s">
        <v>855</v>
      </c>
    </row>
    <row r="268" spans="1:15" x14ac:dyDescent="0.2">
      <c r="A268" s="111">
        <v>285</v>
      </c>
      <c r="B268" s="421" t="s">
        <v>283</v>
      </c>
      <c r="C268" s="421" t="s">
        <v>541</v>
      </c>
      <c r="D268" s="422"/>
      <c r="E268" s="111">
        <v>1410</v>
      </c>
      <c r="F268" s="421" t="s">
        <v>760</v>
      </c>
      <c r="G268" s="112">
        <v>1</v>
      </c>
      <c r="H268" s="112">
        <v>1</v>
      </c>
      <c r="I268" s="112">
        <v>1</v>
      </c>
      <c r="J268" s="112">
        <v>1</v>
      </c>
      <c r="K268" s="112">
        <v>1</v>
      </c>
      <c r="L268" s="112">
        <v>1</v>
      </c>
    </row>
    <row r="269" spans="1:15" x14ac:dyDescent="0.2">
      <c r="A269" s="111">
        <v>286</v>
      </c>
      <c r="B269" s="421" t="s">
        <v>284</v>
      </c>
      <c r="C269" s="421" t="s">
        <v>512</v>
      </c>
      <c r="D269" s="422" t="s">
        <v>666</v>
      </c>
      <c r="E269" s="111">
        <v>14465</v>
      </c>
      <c r="F269" s="421" t="s">
        <v>856</v>
      </c>
      <c r="G269" s="112">
        <v>1</v>
      </c>
      <c r="H269" s="112">
        <v>1</v>
      </c>
      <c r="I269" s="112">
        <v>1</v>
      </c>
      <c r="J269" s="112">
        <v>7</v>
      </c>
      <c r="K269" s="112">
        <v>7</v>
      </c>
      <c r="L269" s="112">
        <v>7</v>
      </c>
      <c r="M269" s="112">
        <v>4</v>
      </c>
      <c r="N269" s="112">
        <v>3</v>
      </c>
      <c r="O269" s="112">
        <v>4</v>
      </c>
    </row>
    <row r="270" spans="1:15" x14ac:dyDescent="0.2">
      <c r="A270" s="111">
        <v>287</v>
      </c>
      <c r="B270" s="421" t="s">
        <v>285</v>
      </c>
      <c r="C270" s="421" t="s">
        <v>506</v>
      </c>
      <c r="D270" s="422" t="s">
        <v>663</v>
      </c>
      <c r="E270" s="111">
        <v>14162</v>
      </c>
      <c r="F270" s="421" t="s">
        <v>857</v>
      </c>
      <c r="G270" s="112">
        <v>1</v>
      </c>
      <c r="H270" s="112">
        <v>1</v>
      </c>
      <c r="I270" s="112">
        <v>1</v>
      </c>
      <c r="J270" s="112">
        <v>7</v>
      </c>
      <c r="K270" s="112">
        <v>7</v>
      </c>
      <c r="L270" s="112">
        <v>8</v>
      </c>
      <c r="M270" s="112">
        <v>4</v>
      </c>
      <c r="N270" s="112">
        <v>3</v>
      </c>
      <c r="O270" s="112">
        <v>5</v>
      </c>
    </row>
    <row r="271" spans="1:15" x14ac:dyDescent="0.2">
      <c r="A271" s="111">
        <v>288</v>
      </c>
      <c r="B271" s="421" t="s">
        <v>286</v>
      </c>
      <c r="C271" s="421" t="s">
        <v>516</v>
      </c>
      <c r="D271" s="422" t="s">
        <v>663</v>
      </c>
      <c r="E271" s="111">
        <v>14163</v>
      </c>
      <c r="F271" s="421" t="s">
        <v>858</v>
      </c>
      <c r="H271" s="112">
        <v>1</v>
      </c>
      <c r="I271" s="112">
        <v>2</v>
      </c>
    </row>
    <row r="272" spans="1:15" x14ac:dyDescent="0.2">
      <c r="A272" s="111">
        <v>289</v>
      </c>
      <c r="B272" s="421" t="s">
        <v>287</v>
      </c>
      <c r="C272" s="421" t="s">
        <v>566</v>
      </c>
      <c r="D272" s="422" t="s">
        <v>663</v>
      </c>
      <c r="F272" s="421" t="s">
        <v>859</v>
      </c>
      <c r="G272" s="112">
        <v>1</v>
      </c>
    </row>
    <row r="273" spans="1:15" x14ac:dyDescent="0.2">
      <c r="A273" s="111">
        <v>290</v>
      </c>
      <c r="B273" s="421" t="s">
        <v>288</v>
      </c>
      <c r="C273" s="421" t="s">
        <v>536</v>
      </c>
      <c r="D273" s="422" t="s">
        <v>666</v>
      </c>
      <c r="E273" s="111">
        <v>14141</v>
      </c>
      <c r="F273" s="421" t="s">
        <v>832</v>
      </c>
    </row>
    <row r="274" spans="1:15" x14ac:dyDescent="0.2">
      <c r="A274" s="111">
        <v>291</v>
      </c>
      <c r="B274" s="421" t="s">
        <v>289</v>
      </c>
      <c r="C274" s="421" t="s">
        <v>530</v>
      </c>
      <c r="D274" s="422" t="s">
        <v>663</v>
      </c>
      <c r="E274" s="111">
        <v>14166</v>
      </c>
      <c r="F274" s="421" t="s">
        <v>860</v>
      </c>
      <c r="G274" s="112">
        <v>1</v>
      </c>
      <c r="H274" s="112">
        <v>1</v>
      </c>
      <c r="I274" s="112">
        <v>1</v>
      </c>
      <c r="J274" s="112">
        <v>1</v>
      </c>
      <c r="K274" s="112">
        <v>2</v>
      </c>
      <c r="L274" s="112">
        <v>2</v>
      </c>
      <c r="M274" s="112">
        <v>1</v>
      </c>
    </row>
    <row r="275" spans="1:15" x14ac:dyDescent="0.2">
      <c r="A275" s="111">
        <v>292</v>
      </c>
      <c r="B275" s="421" t="s">
        <v>290</v>
      </c>
      <c r="C275" s="421" t="s">
        <v>503</v>
      </c>
      <c r="D275" s="422" t="s">
        <v>663</v>
      </c>
      <c r="E275" s="111">
        <v>14167</v>
      </c>
      <c r="F275" s="421" t="s">
        <v>861</v>
      </c>
      <c r="G275" s="112">
        <v>2</v>
      </c>
      <c r="H275" s="112">
        <v>2</v>
      </c>
      <c r="I275" s="112">
        <v>1</v>
      </c>
      <c r="J275" s="112">
        <v>5</v>
      </c>
      <c r="K275" s="112">
        <v>4</v>
      </c>
      <c r="L275" s="112">
        <v>5</v>
      </c>
      <c r="M275" s="112">
        <v>1</v>
      </c>
    </row>
    <row r="276" spans="1:15" x14ac:dyDescent="0.2">
      <c r="A276" s="111">
        <v>293</v>
      </c>
      <c r="B276" s="421" t="s">
        <v>291</v>
      </c>
      <c r="C276" s="421" t="s">
        <v>503</v>
      </c>
      <c r="D276" s="422" t="s">
        <v>666</v>
      </c>
      <c r="E276" s="111">
        <v>14167</v>
      </c>
      <c r="F276" s="421" t="s">
        <v>861</v>
      </c>
      <c r="G276" s="112">
        <v>2</v>
      </c>
      <c r="H276" s="112">
        <v>1</v>
      </c>
      <c r="I276" s="112">
        <v>2</v>
      </c>
      <c r="J276" s="112">
        <v>8</v>
      </c>
      <c r="K276" s="112">
        <v>8</v>
      </c>
      <c r="L276" s="112">
        <v>7</v>
      </c>
      <c r="M276" s="112">
        <v>4</v>
      </c>
      <c r="N276" s="112">
        <v>4</v>
      </c>
      <c r="O276" s="112">
        <v>8</v>
      </c>
    </row>
    <row r="277" spans="1:15" x14ac:dyDescent="0.2">
      <c r="A277" s="111">
        <v>294</v>
      </c>
      <c r="B277" s="421" t="s">
        <v>292</v>
      </c>
      <c r="C277" s="421" t="s">
        <v>567</v>
      </c>
      <c r="D277" s="422" t="s">
        <v>666</v>
      </c>
      <c r="E277" s="111">
        <v>14169</v>
      </c>
      <c r="F277" s="421" t="s">
        <v>862</v>
      </c>
      <c r="G277" s="112">
        <v>2</v>
      </c>
      <c r="H277" s="112">
        <v>2</v>
      </c>
      <c r="I277" s="112">
        <v>2</v>
      </c>
    </row>
    <row r="278" spans="1:15" x14ac:dyDescent="0.2">
      <c r="A278" s="111">
        <v>295</v>
      </c>
      <c r="B278" s="421" t="s">
        <v>215</v>
      </c>
      <c r="C278" s="421" t="s">
        <v>550</v>
      </c>
      <c r="D278" s="422" t="s">
        <v>666</v>
      </c>
      <c r="E278" s="111">
        <v>14140</v>
      </c>
      <c r="F278" s="421" t="s">
        <v>863</v>
      </c>
      <c r="G278" s="112">
        <v>1</v>
      </c>
      <c r="H278" s="112">
        <v>1</v>
      </c>
      <c r="I278" s="112">
        <v>1</v>
      </c>
      <c r="J278" s="112">
        <v>1</v>
      </c>
      <c r="K278" s="112">
        <v>1</v>
      </c>
      <c r="L278" s="112">
        <v>2</v>
      </c>
      <c r="M278" s="112">
        <v>1</v>
      </c>
      <c r="N278" s="112">
        <v>1</v>
      </c>
      <c r="O278" s="112">
        <v>1</v>
      </c>
    </row>
    <row r="279" spans="1:15" x14ac:dyDescent="0.2">
      <c r="A279" s="111">
        <v>296</v>
      </c>
      <c r="B279" s="421" t="s">
        <v>293</v>
      </c>
      <c r="C279" s="421" t="s">
        <v>510</v>
      </c>
      <c r="D279" s="422" t="s">
        <v>666</v>
      </c>
      <c r="F279" s="421" t="s">
        <v>864</v>
      </c>
    </row>
    <row r="280" spans="1:15" x14ac:dyDescent="0.2">
      <c r="A280" s="111">
        <v>297</v>
      </c>
      <c r="B280" s="421" t="s">
        <v>294</v>
      </c>
      <c r="C280" s="421" t="s">
        <v>510</v>
      </c>
      <c r="D280" s="422" t="s">
        <v>666</v>
      </c>
      <c r="F280" s="421" t="s">
        <v>865</v>
      </c>
      <c r="G280" s="112">
        <v>1</v>
      </c>
    </row>
    <row r="281" spans="1:15" x14ac:dyDescent="0.2">
      <c r="A281" s="111">
        <v>298</v>
      </c>
      <c r="B281" s="421" t="s">
        <v>295</v>
      </c>
      <c r="C281" s="421" t="s">
        <v>544</v>
      </c>
      <c r="D281" s="422" t="s">
        <v>663</v>
      </c>
      <c r="E281" s="111">
        <v>14170</v>
      </c>
      <c r="F281" s="421" t="s">
        <v>866</v>
      </c>
      <c r="G281" s="112">
        <v>3</v>
      </c>
      <c r="H281" s="112">
        <v>4</v>
      </c>
      <c r="I281" s="112">
        <v>1</v>
      </c>
      <c r="J281" s="112">
        <v>1</v>
      </c>
      <c r="K281" s="112">
        <v>3</v>
      </c>
      <c r="L281" s="112">
        <v>3</v>
      </c>
    </row>
    <row r="282" spans="1:15" x14ac:dyDescent="0.2">
      <c r="A282" s="111">
        <v>299</v>
      </c>
      <c r="B282" s="421" t="s">
        <v>296</v>
      </c>
      <c r="C282" s="421" t="s">
        <v>510</v>
      </c>
      <c r="D282" s="422" t="s">
        <v>666</v>
      </c>
      <c r="E282" s="111">
        <v>44447</v>
      </c>
      <c r="F282" s="421" t="s">
        <v>867</v>
      </c>
    </row>
    <row r="283" spans="1:15" x14ac:dyDescent="0.2">
      <c r="A283" s="111">
        <v>300</v>
      </c>
      <c r="B283" s="421" t="s">
        <v>297</v>
      </c>
      <c r="C283" s="421" t="s">
        <v>501</v>
      </c>
      <c r="D283" s="422" t="s">
        <v>663</v>
      </c>
      <c r="E283" s="111">
        <v>14171</v>
      </c>
      <c r="F283" s="421" t="s">
        <v>868</v>
      </c>
      <c r="G283" s="112">
        <v>1</v>
      </c>
    </row>
    <row r="284" spans="1:15" x14ac:dyDescent="0.2">
      <c r="A284" s="111">
        <v>301</v>
      </c>
      <c r="B284" s="421" t="s">
        <v>298</v>
      </c>
      <c r="C284" s="421" t="s">
        <v>510</v>
      </c>
      <c r="D284" s="422" t="s">
        <v>663</v>
      </c>
      <c r="F284" s="421" t="s">
        <v>869</v>
      </c>
      <c r="G284" s="112">
        <v>1</v>
      </c>
    </row>
    <row r="285" spans="1:15" x14ac:dyDescent="0.2">
      <c r="A285" s="111">
        <v>302</v>
      </c>
      <c r="B285" s="421" t="s">
        <v>46</v>
      </c>
      <c r="C285" s="421" t="s">
        <v>503</v>
      </c>
      <c r="D285" s="422" t="s">
        <v>663</v>
      </c>
      <c r="E285" s="111">
        <v>14173</v>
      </c>
      <c r="F285" s="421" t="s">
        <v>870</v>
      </c>
      <c r="G285" s="112">
        <v>1</v>
      </c>
      <c r="H285" s="112">
        <v>1</v>
      </c>
      <c r="I285" s="112">
        <v>1</v>
      </c>
      <c r="J285" s="112">
        <v>2</v>
      </c>
      <c r="K285" s="112">
        <v>1</v>
      </c>
      <c r="L285" s="112">
        <v>1</v>
      </c>
    </row>
    <row r="286" spans="1:15" x14ac:dyDescent="0.2">
      <c r="A286" s="111">
        <v>303</v>
      </c>
      <c r="B286" s="421" t="s">
        <v>215</v>
      </c>
      <c r="C286" s="421" t="s">
        <v>503</v>
      </c>
      <c r="D286" s="422" t="s">
        <v>666</v>
      </c>
      <c r="E286" s="111">
        <v>14173</v>
      </c>
      <c r="F286" s="421" t="s">
        <v>870</v>
      </c>
      <c r="G286" s="112">
        <v>1</v>
      </c>
      <c r="H286" s="112">
        <v>1</v>
      </c>
      <c r="I286" s="112">
        <v>1</v>
      </c>
      <c r="K286" s="112">
        <v>1</v>
      </c>
    </row>
    <row r="287" spans="1:15" x14ac:dyDescent="0.2">
      <c r="A287" s="111">
        <v>304</v>
      </c>
      <c r="B287" s="421" t="s">
        <v>299</v>
      </c>
      <c r="C287" s="421" t="s">
        <v>506</v>
      </c>
      <c r="D287" s="422" t="s">
        <v>663</v>
      </c>
      <c r="E287" s="111">
        <v>14229</v>
      </c>
      <c r="F287" s="421" t="s">
        <v>871</v>
      </c>
      <c r="G287" s="112">
        <v>1</v>
      </c>
      <c r="H287" s="112">
        <v>1</v>
      </c>
      <c r="I287" s="112">
        <v>1</v>
      </c>
      <c r="J287" s="112">
        <v>8</v>
      </c>
      <c r="K287" s="112">
        <v>7</v>
      </c>
      <c r="L287" s="112">
        <v>8</v>
      </c>
      <c r="M287" s="112">
        <v>6</v>
      </c>
      <c r="N287" s="112">
        <v>4</v>
      </c>
      <c r="O287" s="112">
        <v>3</v>
      </c>
    </row>
    <row r="288" spans="1:15" x14ac:dyDescent="0.2">
      <c r="A288" s="111">
        <v>305</v>
      </c>
      <c r="B288" s="421" t="s">
        <v>300</v>
      </c>
      <c r="C288" s="421" t="s">
        <v>568</v>
      </c>
      <c r="D288" s="422" t="s">
        <v>663</v>
      </c>
      <c r="E288" s="111">
        <v>14205</v>
      </c>
      <c r="F288" s="421" t="s">
        <v>872</v>
      </c>
      <c r="G288" s="112">
        <v>1</v>
      </c>
      <c r="H288" s="112">
        <v>2</v>
      </c>
      <c r="I288" s="112">
        <v>1</v>
      </c>
      <c r="J288" s="112">
        <v>1</v>
      </c>
      <c r="K288" s="112">
        <v>1</v>
      </c>
      <c r="L288" s="112">
        <v>1</v>
      </c>
      <c r="M288" s="112">
        <v>1</v>
      </c>
      <c r="N288" s="112">
        <v>1</v>
      </c>
      <c r="O288" s="112">
        <v>1</v>
      </c>
    </row>
    <row r="289" spans="1:15" x14ac:dyDescent="0.2">
      <c r="A289" s="111">
        <v>306</v>
      </c>
      <c r="B289" s="421" t="s">
        <v>301</v>
      </c>
      <c r="C289" s="421" t="s">
        <v>522</v>
      </c>
      <c r="D289" s="422" t="s">
        <v>666</v>
      </c>
      <c r="F289" s="421" t="s">
        <v>873</v>
      </c>
    </row>
    <row r="290" spans="1:15" x14ac:dyDescent="0.2">
      <c r="A290" s="111">
        <v>307</v>
      </c>
      <c r="B290" s="421" t="s">
        <v>302</v>
      </c>
      <c r="C290" s="421" t="s">
        <v>506</v>
      </c>
      <c r="D290" s="422" t="s">
        <v>666</v>
      </c>
      <c r="F290" s="421" t="s">
        <v>874</v>
      </c>
      <c r="G290" s="112">
        <v>1</v>
      </c>
    </row>
    <row r="291" spans="1:15" x14ac:dyDescent="0.2">
      <c r="A291" s="111">
        <v>308</v>
      </c>
      <c r="B291" s="421" t="s">
        <v>303</v>
      </c>
      <c r="C291" s="421" t="s">
        <v>534</v>
      </c>
      <c r="D291" s="422" t="s">
        <v>663</v>
      </c>
      <c r="E291" s="111">
        <v>14164</v>
      </c>
      <c r="F291" s="421" t="s">
        <v>875</v>
      </c>
    </row>
    <row r="292" spans="1:15" x14ac:dyDescent="0.2">
      <c r="A292" s="111">
        <v>309</v>
      </c>
      <c r="B292" s="421" t="s">
        <v>304</v>
      </c>
      <c r="C292" s="421" t="s">
        <v>534</v>
      </c>
      <c r="D292" s="422" t="s">
        <v>666</v>
      </c>
      <c r="E292" s="111">
        <v>14164</v>
      </c>
      <c r="F292" s="421" t="s">
        <v>875</v>
      </c>
      <c r="G292" s="112">
        <v>1</v>
      </c>
      <c r="H292" s="112">
        <v>1</v>
      </c>
      <c r="I292" s="112">
        <v>1</v>
      </c>
    </row>
    <row r="293" spans="1:15" x14ac:dyDescent="0.2">
      <c r="A293" s="111">
        <v>310</v>
      </c>
      <c r="B293" s="421" t="s">
        <v>305</v>
      </c>
      <c r="C293" s="421" t="s">
        <v>503</v>
      </c>
      <c r="D293" s="422" t="s">
        <v>663</v>
      </c>
      <c r="E293" s="111">
        <v>14164</v>
      </c>
      <c r="F293" s="421" t="s">
        <v>875</v>
      </c>
      <c r="G293" s="112">
        <v>1</v>
      </c>
      <c r="H293" s="112">
        <v>1</v>
      </c>
      <c r="I293" s="112">
        <v>1</v>
      </c>
    </row>
    <row r="294" spans="1:15" x14ac:dyDescent="0.2">
      <c r="A294" s="111">
        <v>311</v>
      </c>
      <c r="B294" s="421" t="s">
        <v>48</v>
      </c>
      <c r="C294" s="421" t="s">
        <v>530</v>
      </c>
      <c r="D294" s="422" t="s">
        <v>663</v>
      </c>
      <c r="F294" s="421" t="s">
        <v>876</v>
      </c>
      <c r="I294" s="112">
        <v>1</v>
      </c>
    </row>
    <row r="295" spans="1:15" x14ac:dyDescent="0.2">
      <c r="A295" s="111">
        <v>312</v>
      </c>
      <c r="B295" s="421" t="s">
        <v>306</v>
      </c>
      <c r="C295" s="421" t="s">
        <v>550</v>
      </c>
      <c r="D295" s="422" t="s">
        <v>666</v>
      </c>
      <c r="E295" s="111">
        <v>14482</v>
      </c>
      <c r="F295" s="421" t="s">
        <v>877</v>
      </c>
      <c r="G295" s="112">
        <v>1</v>
      </c>
      <c r="I295" s="112">
        <v>1</v>
      </c>
    </row>
    <row r="296" spans="1:15" x14ac:dyDescent="0.2">
      <c r="A296" s="111">
        <v>313</v>
      </c>
      <c r="B296" s="421" t="s">
        <v>307</v>
      </c>
      <c r="C296" s="421" t="s">
        <v>569</v>
      </c>
      <c r="D296" s="422" t="s">
        <v>663</v>
      </c>
      <c r="F296" s="421" t="s">
        <v>878</v>
      </c>
      <c r="G296" s="112">
        <v>1</v>
      </c>
      <c r="H296" s="112">
        <v>1</v>
      </c>
      <c r="I296" s="112">
        <v>1</v>
      </c>
    </row>
    <row r="297" spans="1:15" x14ac:dyDescent="0.2">
      <c r="A297" s="111">
        <v>314</v>
      </c>
      <c r="B297" s="421" t="s">
        <v>308</v>
      </c>
      <c r="C297" s="421" t="s">
        <v>551</v>
      </c>
      <c r="D297" s="422"/>
      <c r="E297" s="111">
        <v>15015</v>
      </c>
      <c r="F297" s="421" t="s">
        <v>879</v>
      </c>
      <c r="G297" s="112">
        <v>1</v>
      </c>
      <c r="H297" s="112">
        <v>1</v>
      </c>
      <c r="I297" s="112">
        <v>1</v>
      </c>
      <c r="J297" s="112">
        <v>1</v>
      </c>
      <c r="K297" s="112">
        <v>2</v>
      </c>
      <c r="L297" s="112">
        <v>1</v>
      </c>
      <c r="M297" s="112">
        <v>4</v>
      </c>
      <c r="O297" s="112">
        <v>1</v>
      </c>
    </row>
    <row r="298" spans="1:15" x14ac:dyDescent="0.2">
      <c r="A298" s="111">
        <v>315</v>
      </c>
      <c r="B298" s="421" t="s">
        <v>309</v>
      </c>
      <c r="C298" s="421" t="s">
        <v>501</v>
      </c>
      <c r="D298" s="422" t="s">
        <v>666</v>
      </c>
      <c r="F298" s="421" t="s">
        <v>880</v>
      </c>
      <c r="G298" s="112">
        <v>1</v>
      </c>
      <c r="H298" s="112">
        <v>1</v>
      </c>
      <c r="I298" s="112">
        <v>1</v>
      </c>
    </row>
    <row r="299" spans="1:15" x14ac:dyDescent="0.2">
      <c r="A299" s="111">
        <v>316</v>
      </c>
      <c r="B299" s="421" t="s">
        <v>310</v>
      </c>
      <c r="C299" s="421" t="s">
        <v>501</v>
      </c>
      <c r="D299" s="422" t="s">
        <v>663</v>
      </c>
      <c r="E299" s="111">
        <v>14177</v>
      </c>
      <c r="F299" s="421" t="s">
        <v>881</v>
      </c>
      <c r="G299" s="112">
        <v>1</v>
      </c>
      <c r="H299" s="112">
        <v>1</v>
      </c>
      <c r="I299" s="112">
        <v>1</v>
      </c>
      <c r="J299" s="112">
        <v>6</v>
      </c>
      <c r="K299" s="112">
        <v>6</v>
      </c>
      <c r="L299" s="112">
        <v>6</v>
      </c>
      <c r="M299" s="112">
        <v>4</v>
      </c>
      <c r="N299" s="112">
        <v>4</v>
      </c>
      <c r="O299" s="112">
        <v>5</v>
      </c>
    </row>
    <row r="300" spans="1:15" x14ac:dyDescent="0.2">
      <c r="A300" s="111">
        <v>317</v>
      </c>
      <c r="B300" s="421" t="s">
        <v>311</v>
      </c>
      <c r="C300" s="421" t="s">
        <v>577</v>
      </c>
      <c r="D300" s="422" t="s">
        <v>666</v>
      </c>
      <c r="E300" s="111">
        <v>14178</v>
      </c>
      <c r="F300" s="421" t="s">
        <v>882</v>
      </c>
      <c r="G300" s="112">
        <v>1</v>
      </c>
      <c r="H300" s="112">
        <v>1</v>
      </c>
      <c r="I300" s="112">
        <v>1</v>
      </c>
      <c r="J300" s="112">
        <v>1</v>
      </c>
      <c r="K300" s="112">
        <v>2</v>
      </c>
      <c r="L300" s="112">
        <v>1</v>
      </c>
      <c r="M300" s="112">
        <v>1</v>
      </c>
    </row>
    <row r="301" spans="1:15" x14ac:dyDescent="0.2">
      <c r="A301" s="111">
        <v>318</v>
      </c>
      <c r="B301" s="421" t="s">
        <v>312</v>
      </c>
      <c r="C301" s="421" t="s">
        <v>577</v>
      </c>
      <c r="D301" s="422" t="s">
        <v>663</v>
      </c>
      <c r="E301" s="111">
        <v>14178</v>
      </c>
      <c r="F301" s="421" t="s">
        <v>882</v>
      </c>
      <c r="G301" s="112">
        <v>1</v>
      </c>
      <c r="H301" s="112">
        <v>1</v>
      </c>
      <c r="I301" s="112">
        <v>2</v>
      </c>
    </row>
    <row r="302" spans="1:15" x14ac:dyDescent="0.2">
      <c r="A302" s="111">
        <v>319</v>
      </c>
      <c r="B302" s="421" t="s">
        <v>313</v>
      </c>
      <c r="C302" s="421" t="s">
        <v>506</v>
      </c>
      <c r="D302" s="422" t="s">
        <v>663</v>
      </c>
      <c r="E302" s="111">
        <v>14179</v>
      </c>
      <c r="F302" s="421" t="s">
        <v>883</v>
      </c>
      <c r="G302" s="112">
        <v>1</v>
      </c>
      <c r="H302" s="112">
        <v>2</v>
      </c>
      <c r="I302" s="112">
        <v>1</v>
      </c>
      <c r="J302" s="112">
        <v>7</v>
      </c>
      <c r="K302" s="112">
        <v>7</v>
      </c>
      <c r="L302" s="112">
        <v>7</v>
      </c>
      <c r="M302" s="112">
        <v>3</v>
      </c>
      <c r="N302" s="112">
        <v>3</v>
      </c>
      <c r="O302" s="112">
        <v>3</v>
      </c>
    </row>
    <row r="303" spans="1:15" x14ac:dyDescent="0.2">
      <c r="A303" s="111">
        <v>320</v>
      </c>
      <c r="B303" s="421" t="s">
        <v>314</v>
      </c>
      <c r="C303" s="421" t="s">
        <v>570</v>
      </c>
      <c r="D303" s="422" t="s">
        <v>663</v>
      </c>
      <c r="E303" s="111">
        <v>14180</v>
      </c>
      <c r="F303" s="421" t="s">
        <v>884</v>
      </c>
      <c r="G303" s="112">
        <v>2</v>
      </c>
      <c r="H303" s="112">
        <v>1</v>
      </c>
      <c r="I303" s="112">
        <v>1</v>
      </c>
    </row>
    <row r="304" spans="1:15" x14ac:dyDescent="0.2">
      <c r="A304" s="111">
        <v>321</v>
      </c>
      <c r="B304" s="421" t="s">
        <v>315</v>
      </c>
      <c r="C304" s="421" t="s">
        <v>507</v>
      </c>
      <c r="D304" s="422"/>
      <c r="E304" s="111">
        <v>14184</v>
      </c>
      <c r="F304" s="421" t="s">
        <v>885</v>
      </c>
      <c r="G304" s="112">
        <v>1</v>
      </c>
      <c r="H304" s="112">
        <v>1</v>
      </c>
      <c r="I304" s="112">
        <v>1</v>
      </c>
      <c r="J304" s="112">
        <v>1</v>
      </c>
      <c r="K304" s="112">
        <v>2</v>
      </c>
      <c r="L304" s="112">
        <v>1</v>
      </c>
    </row>
    <row r="305" spans="1:15" x14ac:dyDescent="0.2">
      <c r="A305" s="111">
        <v>322</v>
      </c>
      <c r="B305" s="421" t="s">
        <v>106</v>
      </c>
      <c r="C305" s="421" t="s">
        <v>506</v>
      </c>
      <c r="D305" s="422" t="s">
        <v>666</v>
      </c>
      <c r="E305" s="111">
        <v>17216</v>
      </c>
      <c r="F305" s="421" t="s">
        <v>886</v>
      </c>
      <c r="G305" s="112">
        <v>2</v>
      </c>
      <c r="H305" s="112">
        <v>1</v>
      </c>
      <c r="I305" s="112">
        <v>1</v>
      </c>
    </row>
    <row r="306" spans="1:15" x14ac:dyDescent="0.2">
      <c r="A306" s="111">
        <v>323</v>
      </c>
      <c r="B306" s="421" t="s">
        <v>316</v>
      </c>
      <c r="C306" s="421" t="s">
        <v>506</v>
      </c>
      <c r="D306" s="422" t="s">
        <v>666</v>
      </c>
      <c r="E306" s="111">
        <v>14221</v>
      </c>
      <c r="F306" s="421" t="s">
        <v>3936</v>
      </c>
      <c r="G306" s="112">
        <v>1</v>
      </c>
      <c r="H306" s="112">
        <v>1</v>
      </c>
      <c r="I306" s="112">
        <v>1</v>
      </c>
      <c r="J306" s="112">
        <v>8</v>
      </c>
      <c r="K306" s="112">
        <v>7</v>
      </c>
      <c r="L306" s="112">
        <v>7</v>
      </c>
      <c r="M306" s="112">
        <v>4</v>
      </c>
      <c r="N306" s="112">
        <v>3</v>
      </c>
      <c r="O306" s="112">
        <v>4</v>
      </c>
    </row>
    <row r="307" spans="1:15" x14ac:dyDescent="0.2">
      <c r="A307" s="111">
        <v>324</v>
      </c>
      <c r="B307" s="421" t="s">
        <v>317</v>
      </c>
      <c r="C307" s="421" t="s">
        <v>565</v>
      </c>
      <c r="D307" s="422"/>
      <c r="E307" s="111">
        <v>14320</v>
      </c>
      <c r="F307" s="421" t="s">
        <v>2946</v>
      </c>
      <c r="G307" s="112">
        <v>1</v>
      </c>
      <c r="H307" s="112">
        <v>1</v>
      </c>
      <c r="I307" s="112">
        <v>1</v>
      </c>
      <c r="J307" s="112">
        <v>2</v>
      </c>
      <c r="K307" s="112">
        <v>2</v>
      </c>
      <c r="L307" s="112">
        <v>2</v>
      </c>
      <c r="M307" s="112">
        <v>2</v>
      </c>
      <c r="N307" s="112">
        <v>1</v>
      </c>
      <c r="O307" s="112">
        <v>3</v>
      </c>
    </row>
    <row r="308" spans="1:15" x14ac:dyDescent="0.2">
      <c r="A308" s="111">
        <v>325</v>
      </c>
      <c r="B308" s="421" t="s">
        <v>318</v>
      </c>
      <c r="C308" s="421" t="s">
        <v>528</v>
      </c>
      <c r="D308" s="422" t="s">
        <v>666</v>
      </c>
      <c r="E308" s="111">
        <v>14182</v>
      </c>
      <c r="F308" s="421" t="s">
        <v>887</v>
      </c>
      <c r="G308" s="112">
        <v>1</v>
      </c>
      <c r="H308" s="112">
        <v>2</v>
      </c>
      <c r="I308" s="112">
        <v>1</v>
      </c>
    </row>
    <row r="309" spans="1:15" x14ac:dyDescent="0.2">
      <c r="A309" s="111">
        <v>326</v>
      </c>
      <c r="B309" s="421" t="s">
        <v>319</v>
      </c>
      <c r="C309" s="421" t="s">
        <v>528</v>
      </c>
      <c r="D309" s="422" t="s">
        <v>663</v>
      </c>
      <c r="E309" s="111">
        <v>14182</v>
      </c>
      <c r="F309" s="421" t="s">
        <v>887</v>
      </c>
      <c r="G309" s="112">
        <v>1</v>
      </c>
      <c r="H309" s="112">
        <v>2</v>
      </c>
      <c r="I309" s="112">
        <v>2</v>
      </c>
    </row>
    <row r="310" spans="1:15" x14ac:dyDescent="0.2">
      <c r="A310" s="111">
        <v>327</v>
      </c>
      <c r="B310" s="421" t="s">
        <v>626</v>
      </c>
      <c r="C310" s="421" t="s">
        <v>510</v>
      </c>
      <c r="D310" s="422" t="s">
        <v>666</v>
      </c>
      <c r="F310" s="421" t="s">
        <v>888</v>
      </c>
      <c r="G310" s="112">
        <v>1</v>
      </c>
      <c r="H310" s="112">
        <v>1</v>
      </c>
      <c r="J310" s="112">
        <v>1</v>
      </c>
      <c r="K310" s="112">
        <v>1</v>
      </c>
    </row>
    <row r="311" spans="1:15" x14ac:dyDescent="0.2">
      <c r="A311" s="111">
        <v>328</v>
      </c>
      <c r="B311" s="421" t="s">
        <v>143</v>
      </c>
      <c r="C311" s="421" t="s">
        <v>536</v>
      </c>
      <c r="D311" s="422" t="s">
        <v>666</v>
      </c>
      <c r="E311" s="111">
        <v>14183</v>
      </c>
      <c r="F311" s="421" t="s">
        <v>889</v>
      </c>
      <c r="G311" s="112">
        <v>1</v>
      </c>
      <c r="H311" s="112">
        <v>2</v>
      </c>
      <c r="I311" s="112">
        <v>2</v>
      </c>
    </row>
    <row r="312" spans="1:15" x14ac:dyDescent="0.2">
      <c r="A312" s="111">
        <v>329</v>
      </c>
      <c r="B312" s="421" t="s">
        <v>320</v>
      </c>
      <c r="C312" s="421" t="s">
        <v>502</v>
      </c>
      <c r="D312" s="422" t="s">
        <v>666</v>
      </c>
      <c r="E312" s="111">
        <v>15024</v>
      </c>
      <c r="F312" s="421" t="s">
        <v>890</v>
      </c>
      <c r="G312" s="112">
        <v>2</v>
      </c>
      <c r="H312" s="112">
        <v>2</v>
      </c>
      <c r="I312" s="112">
        <v>1</v>
      </c>
      <c r="J312" s="112">
        <v>1</v>
      </c>
      <c r="K312" s="112">
        <v>1</v>
      </c>
      <c r="L312" s="112">
        <v>2</v>
      </c>
    </row>
    <row r="313" spans="1:15" x14ac:dyDescent="0.2">
      <c r="A313" s="111">
        <v>330</v>
      </c>
      <c r="B313" s="421" t="s">
        <v>321</v>
      </c>
      <c r="C313" s="421" t="s">
        <v>506</v>
      </c>
      <c r="D313" s="422" t="s">
        <v>663</v>
      </c>
      <c r="F313" s="421" t="s">
        <v>891</v>
      </c>
    </row>
    <row r="314" spans="1:15" x14ac:dyDescent="0.2">
      <c r="A314" s="111">
        <v>331</v>
      </c>
      <c r="B314" s="421" t="s">
        <v>322</v>
      </c>
      <c r="C314" s="421" t="s">
        <v>523</v>
      </c>
      <c r="D314" s="422" t="s">
        <v>666</v>
      </c>
      <c r="E314" s="111">
        <v>14190</v>
      </c>
      <c r="F314" s="421" t="s">
        <v>892</v>
      </c>
      <c r="G314" s="112">
        <v>1</v>
      </c>
      <c r="H314" s="112">
        <v>1</v>
      </c>
      <c r="I314" s="112">
        <v>1</v>
      </c>
      <c r="K314" s="112">
        <v>1</v>
      </c>
    </row>
    <row r="315" spans="1:15" x14ac:dyDescent="0.2">
      <c r="A315" s="111">
        <v>332</v>
      </c>
      <c r="B315" s="421" t="s">
        <v>309</v>
      </c>
      <c r="C315" s="421" t="s">
        <v>523</v>
      </c>
      <c r="D315" s="422" t="s">
        <v>666</v>
      </c>
      <c r="E315" s="111">
        <v>14190</v>
      </c>
      <c r="F315" s="421" t="s">
        <v>892</v>
      </c>
      <c r="G315" s="112">
        <v>1</v>
      </c>
      <c r="H315" s="112">
        <v>1</v>
      </c>
      <c r="I315" s="112">
        <v>1</v>
      </c>
      <c r="J315" s="112">
        <v>5</v>
      </c>
      <c r="K315" s="112">
        <v>5</v>
      </c>
      <c r="L315" s="112">
        <v>5</v>
      </c>
      <c r="M315" s="112">
        <v>5</v>
      </c>
      <c r="N315" s="112">
        <v>5</v>
      </c>
      <c r="O315" s="112">
        <v>5</v>
      </c>
    </row>
    <row r="316" spans="1:15" x14ac:dyDescent="0.2">
      <c r="A316" s="111">
        <v>333</v>
      </c>
      <c r="B316" s="421" t="s">
        <v>323</v>
      </c>
      <c r="C316" s="421" t="s">
        <v>502</v>
      </c>
      <c r="D316" s="422" t="s">
        <v>663</v>
      </c>
      <c r="E316" s="111">
        <v>14190</v>
      </c>
      <c r="F316" s="421" t="s">
        <v>892</v>
      </c>
      <c r="G316" s="112">
        <v>1</v>
      </c>
      <c r="H316" s="112">
        <v>1</v>
      </c>
      <c r="I316" s="112">
        <v>1</v>
      </c>
      <c r="J316" s="112">
        <v>2</v>
      </c>
      <c r="K316" s="112">
        <v>4</v>
      </c>
      <c r="L316" s="112">
        <v>4</v>
      </c>
    </row>
    <row r="317" spans="1:15" x14ac:dyDescent="0.2">
      <c r="A317" s="111">
        <v>334</v>
      </c>
      <c r="B317" s="421" t="s">
        <v>324</v>
      </c>
      <c r="C317" s="421" t="s">
        <v>530</v>
      </c>
      <c r="D317" s="422" t="s">
        <v>663</v>
      </c>
      <c r="E317" s="111">
        <v>14185</v>
      </c>
      <c r="F317" s="421" t="s">
        <v>893</v>
      </c>
      <c r="G317" s="112">
        <v>1</v>
      </c>
      <c r="H317" s="112">
        <v>1</v>
      </c>
      <c r="I317" s="112">
        <v>1</v>
      </c>
      <c r="J317" s="112">
        <v>1</v>
      </c>
      <c r="K317" s="112">
        <v>2</v>
      </c>
      <c r="L317" s="112">
        <v>1</v>
      </c>
      <c r="M317" s="112">
        <v>1</v>
      </c>
      <c r="N317" s="112">
        <v>2</v>
      </c>
      <c r="O317" s="112">
        <v>1</v>
      </c>
    </row>
    <row r="318" spans="1:15" x14ac:dyDescent="0.2">
      <c r="A318" s="111">
        <v>335</v>
      </c>
      <c r="B318" s="421" t="s">
        <v>325</v>
      </c>
      <c r="C318" s="421" t="s">
        <v>501</v>
      </c>
      <c r="D318" s="422" t="s">
        <v>666</v>
      </c>
      <c r="E318" s="111">
        <v>14185</v>
      </c>
      <c r="F318" s="421" t="s">
        <v>893</v>
      </c>
    </row>
    <row r="319" spans="1:15" x14ac:dyDescent="0.2">
      <c r="A319" s="111">
        <v>336</v>
      </c>
      <c r="B319" s="421" t="s">
        <v>326</v>
      </c>
      <c r="C319" s="421" t="s">
        <v>571</v>
      </c>
      <c r="D319" s="422" t="s">
        <v>663</v>
      </c>
      <c r="F319" s="421" t="s">
        <v>894</v>
      </c>
      <c r="G319" s="112">
        <v>1</v>
      </c>
      <c r="H319" s="112">
        <v>1</v>
      </c>
      <c r="I319" s="112">
        <v>1</v>
      </c>
    </row>
    <row r="320" spans="1:15" x14ac:dyDescent="0.2">
      <c r="A320" s="111">
        <v>337</v>
      </c>
      <c r="B320" s="421" t="s">
        <v>159</v>
      </c>
      <c r="C320" s="421" t="s">
        <v>506</v>
      </c>
      <c r="D320" s="422" t="s">
        <v>663</v>
      </c>
      <c r="E320" s="111">
        <v>14186</v>
      </c>
      <c r="F320" s="421" t="s">
        <v>895</v>
      </c>
      <c r="G320" s="112">
        <v>1</v>
      </c>
      <c r="H320" s="112">
        <v>1</v>
      </c>
      <c r="I320" s="112">
        <v>1</v>
      </c>
      <c r="K320" s="112">
        <v>1</v>
      </c>
      <c r="L320" s="112">
        <v>1</v>
      </c>
    </row>
    <row r="321" spans="1:15" x14ac:dyDescent="0.2">
      <c r="A321" s="111">
        <v>338</v>
      </c>
      <c r="B321" s="421" t="s">
        <v>327</v>
      </c>
      <c r="C321" s="421" t="s">
        <v>507</v>
      </c>
      <c r="D321" s="422" t="s">
        <v>663</v>
      </c>
      <c r="E321" s="111">
        <v>14311</v>
      </c>
      <c r="F321" s="421" t="s">
        <v>896</v>
      </c>
      <c r="G321" s="112">
        <v>1</v>
      </c>
    </row>
    <row r="322" spans="1:15" x14ac:dyDescent="0.2">
      <c r="A322" s="111">
        <v>339</v>
      </c>
      <c r="B322" s="421" t="s">
        <v>328</v>
      </c>
      <c r="C322" s="421" t="s">
        <v>506</v>
      </c>
      <c r="D322" s="422" t="s">
        <v>666</v>
      </c>
      <c r="F322" s="421" t="s">
        <v>897</v>
      </c>
    </row>
    <row r="323" spans="1:15" x14ac:dyDescent="0.2">
      <c r="A323" s="111">
        <v>340</v>
      </c>
      <c r="B323" s="421" t="s">
        <v>329</v>
      </c>
      <c r="C323" s="421" t="s">
        <v>532</v>
      </c>
      <c r="D323" s="422" t="s">
        <v>666</v>
      </c>
      <c r="E323" s="111">
        <v>1493</v>
      </c>
      <c r="F323" s="421" t="s">
        <v>2125</v>
      </c>
      <c r="G323" s="112">
        <v>1</v>
      </c>
      <c r="H323" s="112">
        <v>1</v>
      </c>
      <c r="I323" s="112">
        <v>1</v>
      </c>
      <c r="J323" s="112">
        <v>10</v>
      </c>
      <c r="K323" s="112">
        <v>8</v>
      </c>
      <c r="L323" s="112">
        <v>8</v>
      </c>
      <c r="M323" s="112">
        <v>7</v>
      </c>
      <c r="N323" s="112">
        <v>5</v>
      </c>
      <c r="O323" s="112">
        <v>7</v>
      </c>
    </row>
    <row r="324" spans="1:15" x14ac:dyDescent="0.2">
      <c r="A324" s="111">
        <v>341</v>
      </c>
      <c r="B324" s="421" t="s">
        <v>271</v>
      </c>
      <c r="C324" s="421" t="s">
        <v>513</v>
      </c>
      <c r="D324" s="422" t="s">
        <v>666</v>
      </c>
      <c r="E324" s="111">
        <v>14191</v>
      </c>
      <c r="F324" s="421" t="s">
        <v>898</v>
      </c>
      <c r="G324" s="112">
        <v>1</v>
      </c>
      <c r="H324" s="112">
        <v>1</v>
      </c>
      <c r="I324" s="112">
        <v>1</v>
      </c>
      <c r="J324" s="112">
        <v>3</v>
      </c>
      <c r="K324" s="112">
        <v>3</v>
      </c>
      <c r="L324" s="112">
        <v>4</v>
      </c>
      <c r="M324" s="112">
        <v>1</v>
      </c>
      <c r="O324" s="112">
        <v>1</v>
      </c>
    </row>
    <row r="325" spans="1:15" x14ac:dyDescent="0.2">
      <c r="A325" s="111">
        <v>342</v>
      </c>
      <c r="B325" s="421" t="s">
        <v>301</v>
      </c>
      <c r="C325" s="421" t="s">
        <v>534</v>
      </c>
      <c r="D325" s="422"/>
      <c r="F325" s="421" t="s">
        <v>899</v>
      </c>
    </row>
    <row r="326" spans="1:15" x14ac:dyDescent="0.2">
      <c r="A326" s="111">
        <v>343</v>
      </c>
      <c r="B326" s="421" t="s">
        <v>330</v>
      </c>
      <c r="C326" s="421" t="s">
        <v>503</v>
      </c>
      <c r="D326" s="422" t="s">
        <v>663</v>
      </c>
      <c r="F326" s="421" t="s">
        <v>900</v>
      </c>
    </row>
    <row r="327" spans="1:15" x14ac:dyDescent="0.2">
      <c r="A327" s="111">
        <v>344</v>
      </c>
      <c r="B327" s="421" t="s">
        <v>331</v>
      </c>
      <c r="C327" s="421" t="s">
        <v>532</v>
      </c>
      <c r="D327" s="422" t="s">
        <v>663</v>
      </c>
      <c r="F327" s="421" t="s">
        <v>901</v>
      </c>
    </row>
    <row r="328" spans="1:15" x14ac:dyDescent="0.2">
      <c r="A328" s="111">
        <v>345</v>
      </c>
      <c r="B328" s="421" t="s">
        <v>332</v>
      </c>
      <c r="C328" s="421" t="s">
        <v>536</v>
      </c>
      <c r="D328" s="422" t="s">
        <v>666</v>
      </c>
      <c r="E328" s="111">
        <v>1486</v>
      </c>
      <c r="F328" s="421" t="s">
        <v>902</v>
      </c>
      <c r="G328" s="112">
        <v>1</v>
      </c>
      <c r="H328" s="112">
        <v>2</v>
      </c>
      <c r="I328" s="112">
        <v>1</v>
      </c>
      <c r="J328" s="112">
        <v>8</v>
      </c>
      <c r="K328" s="112">
        <v>5</v>
      </c>
      <c r="L328" s="112">
        <v>3</v>
      </c>
      <c r="M328" s="112">
        <v>7</v>
      </c>
      <c r="N328" s="112">
        <v>3</v>
      </c>
      <c r="O328" s="112">
        <v>5</v>
      </c>
    </row>
    <row r="329" spans="1:15" x14ac:dyDescent="0.2">
      <c r="A329" s="111">
        <v>346</v>
      </c>
      <c r="B329" s="421" t="s">
        <v>333</v>
      </c>
      <c r="C329" s="421" t="s">
        <v>525</v>
      </c>
      <c r="D329" s="422" t="s">
        <v>663</v>
      </c>
      <c r="E329" s="111">
        <v>14318</v>
      </c>
      <c r="F329" s="421" t="s">
        <v>903</v>
      </c>
      <c r="G329" s="112">
        <v>1</v>
      </c>
      <c r="H329" s="112">
        <v>1</v>
      </c>
      <c r="I329" s="112">
        <v>1</v>
      </c>
      <c r="J329" s="112">
        <v>1</v>
      </c>
      <c r="L329" s="112">
        <v>1</v>
      </c>
    </row>
    <row r="330" spans="1:15" x14ac:dyDescent="0.2">
      <c r="A330" s="111">
        <v>347</v>
      </c>
      <c r="B330" s="421" t="s">
        <v>334</v>
      </c>
      <c r="C330" s="421" t="s">
        <v>501</v>
      </c>
      <c r="D330" s="422" t="s">
        <v>666</v>
      </c>
      <c r="E330" s="111">
        <v>14172</v>
      </c>
      <c r="F330" s="421" t="s">
        <v>904</v>
      </c>
      <c r="G330" s="112">
        <v>1</v>
      </c>
      <c r="H330" s="112">
        <v>1</v>
      </c>
      <c r="I330" s="112">
        <v>1</v>
      </c>
      <c r="J330" s="112">
        <v>1</v>
      </c>
      <c r="K330" s="112">
        <v>1</v>
      </c>
      <c r="L330" s="112">
        <v>1</v>
      </c>
      <c r="M330" s="112">
        <v>1</v>
      </c>
      <c r="N330" s="112">
        <v>1</v>
      </c>
      <c r="O330" s="112">
        <v>2</v>
      </c>
    </row>
    <row r="331" spans="1:15" x14ac:dyDescent="0.2">
      <c r="A331" s="111">
        <v>348</v>
      </c>
      <c r="B331" s="421" t="s">
        <v>109</v>
      </c>
      <c r="C331" s="421" t="s">
        <v>506</v>
      </c>
      <c r="D331" s="422" t="s">
        <v>663</v>
      </c>
      <c r="E331" s="111">
        <v>14323</v>
      </c>
      <c r="F331" s="421" t="s">
        <v>905</v>
      </c>
    </row>
    <row r="332" spans="1:15" x14ac:dyDescent="0.2">
      <c r="A332" s="111">
        <v>349</v>
      </c>
      <c r="B332" s="421" t="s">
        <v>112</v>
      </c>
      <c r="C332" s="421" t="s">
        <v>521</v>
      </c>
      <c r="D332" s="422" t="s">
        <v>663</v>
      </c>
      <c r="F332" s="421" t="s">
        <v>906</v>
      </c>
      <c r="G332" s="112">
        <v>1</v>
      </c>
      <c r="I332" s="112">
        <v>1</v>
      </c>
    </row>
    <row r="333" spans="1:15" x14ac:dyDescent="0.2">
      <c r="A333" s="111">
        <v>350</v>
      </c>
      <c r="B333" s="421" t="s">
        <v>335</v>
      </c>
      <c r="C333" s="421" t="s">
        <v>506</v>
      </c>
      <c r="D333" s="422" t="s">
        <v>666</v>
      </c>
      <c r="E333" s="111">
        <v>1492</v>
      </c>
      <c r="F333" s="421" t="s">
        <v>2115</v>
      </c>
      <c r="G333" s="112">
        <v>1</v>
      </c>
    </row>
    <row r="334" spans="1:15" x14ac:dyDescent="0.2">
      <c r="A334" s="111">
        <v>351</v>
      </c>
      <c r="B334" s="421" t="s">
        <v>336</v>
      </c>
      <c r="C334" s="421" t="s">
        <v>533</v>
      </c>
      <c r="D334" s="422" t="s">
        <v>666</v>
      </c>
      <c r="F334" s="421" t="s">
        <v>907</v>
      </c>
    </row>
    <row r="335" spans="1:15" x14ac:dyDescent="0.2">
      <c r="A335" s="111">
        <v>352</v>
      </c>
      <c r="B335" s="421" t="s">
        <v>337</v>
      </c>
      <c r="C335" s="421" t="s">
        <v>572</v>
      </c>
      <c r="D335" s="422" t="s">
        <v>666</v>
      </c>
      <c r="E335" s="111">
        <v>14193</v>
      </c>
      <c r="F335" s="421" t="s">
        <v>908</v>
      </c>
    </row>
    <row r="336" spans="1:15" x14ac:dyDescent="0.2">
      <c r="A336" s="111">
        <v>353</v>
      </c>
      <c r="B336" s="421" t="s">
        <v>338</v>
      </c>
      <c r="C336" s="421" t="s">
        <v>504</v>
      </c>
      <c r="D336" s="422" t="s">
        <v>666</v>
      </c>
      <c r="E336" s="111">
        <v>14193</v>
      </c>
      <c r="F336" s="421" t="s">
        <v>908</v>
      </c>
    </row>
    <row r="337" spans="1:15" x14ac:dyDescent="0.2">
      <c r="A337" s="111">
        <v>354</v>
      </c>
      <c r="B337" s="421" t="s">
        <v>93</v>
      </c>
      <c r="C337" s="421" t="s">
        <v>536</v>
      </c>
      <c r="D337" s="422" t="s">
        <v>663</v>
      </c>
      <c r="E337" s="111">
        <v>14195</v>
      </c>
      <c r="F337" s="421" t="s">
        <v>4327</v>
      </c>
      <c r="G337" s="112">
        <v>1</v>
      </c>
      <c r="H337" s="112">
        <v>2</v>
      </c>
      <c r="I337" s="112">
        <v>1</v>
      </c>
      <c r="J337" s="112">
        <v>1</v>
      </c>
      <c r="K337" s="112">
        <v>1</v>
      </c>
      <c r="L337" s="112">
        <v>1</v>
      </c>
    </row>
    <row r="338" spans="1:15" x14ac:dyDescent="0.2">
      <c r="A338" s="111">
        <v>355</v>
      </c>
      <c r="B338" s="421" t="s">
        <v>339</v>
      </c>
      <c r="C338" s="421" t="s">
        <v>573</v>
      </c>
      <c r="D338" s="422" t="s">
        <v>666</v>
      </c>
      <c r="F338" s="421" t="s">
        <v>909</v>
      </c>
      <c r="G338" s="112">
        <v>1</v>
      </c>
      <c r="H338" s="112">
        <v>1</v>
      </c>
    </row>
    <row r="339" spans="1:15" x14ac:dyDescent="0.2">
      <c r="A339" s="111">
        <v>356</v>
      </c>
      <c r="B339" s="421" t="s">
        <v>340</v>
      </c>
      <c r="C339" s="421" t="s">
        <v>513</v>
      </c>
      <c r="D339" s="422" t="s">
        <v>663</v>
      </c>
      <c r="E339" s="111">
        <v>14196</v>
      </c>
      <c r="F339" s="421" t="s">
        <v>910</v>
      </c>
      <c r="G339" s="112">
        <v>1</v>
      </c>
      <c r="H339" s="112">
        <v>1</v>
      </c>
      <c r="I339" s="112">
        <v>1</v>
      </c>
      <c r="J339" s="112">
        <v>8</v>
      </c>
      <c r="K339" s="112">
        <v>8</v>
      </c>
      <c r="L339" s="112">
        <v>7</v>
      </c>
      <c r="M339" s="112">
        <v>5</v>
      </c>
      <c r="N339" s="112">
        <v>3</v>
      </c>
      <c r="O339" s="112">
        <v>3</v>
      </c>
    </row>
    <row r="340" spans="1:15" x14ac:dyDescent="0.2">
      <c r="A340" s="111">
        <v>357</v>
      </c>
      <c r="B340" s="421" t="s">
        <v>341</v>
      </c>
      <c r="C340" s="421" t="s">
        <v>501</v>
      </c>
      <c r="D340" s="422" t="s">
        <v>663</v>
      </c>
      <c r="E340" s="111">
        <v>14246</v>
      </c>
      <c r="F340" s="421" t="s">
        <v>911</v>
      </c>
      <c r="G340" s="112">
        <v>2</v>
      </c>
      <c r="H340" s="112">
        <v>1</v>
      </c>
      <c r="I340" s="112">
        <v>1</v>
      </c>
    </row>
    <row r="341" spans="1:15" x14ac:dyDescent="0.2">
      <c r="A341" s="111">
        <v>358</v>
      </c>
      <c r="B341" s="421" t="s">
        <v>342</v>
      </c>
      <c r="C341" s="421" t="s">
        <v>574</v>
      </c>
      <c r="D341" s="422" t="s">
        <v>663</v>
      </c>
      <c r="E341" s="111">
        <v>14198</v>
      </c>
      <c r="F341" s="421" t="s">
        <v>912</v>
      </c>
      <c r="G341" s="112">
        <v>1</v>
      </c>
      <c r="H341" s="112">
        <v>1</v>
      </c>
      <c r="I341" s="112">
        <v>1</v>
      </c>
      <c r="J341" s="112">
        <v>1</v>
      </c>
      <c r="K341" s="112">
        <v>1</v>
      </c>
    </row>
    <row r="342" spans="1:15" x14ac:dyDescent="0.2">
      <c r="A342" s="111">
        <v>359</v>
      </c>
      <c r="B342" s="421" t="s">
        <v>343</v>
      </c>
      <c r="C342" s="421" t="s">
        <v>575</v>
      </c>
      <c r="D342" s="422" t="s">
        <v>663</v>
      </c>
      <c r="E342" s="111">
        <v>14541</v>
      </c>
      <c r="F342" s="421" t="s">
        <v>913</v>
      </c>
      <c r="G342" s="112">
        <v>1</v>
      </c>
      <c r="H342" s="112">
        <v>1</v>
      </c>
      <c r="I342" s="112">
        <v>1</v>
      </c>
      <c r="J342" s="112">
        <v>3</v>
      </c>
      <c r="K342" s="112">
        <v>3</v>
      </c>
      <c r="L342" s="112">
        <v>3</v>
      </c>
      <c r="M342" s="112">
        <v>2</v>
      </c>
      <c r="O342" s="112">
        <v>1</v>
      </c>
    </row>
    <row r="343" spans="1:15" x14ac:dyDescent="0.2">
      <c r="A343" s="111">
        <v>360</v>
      </c>
      <c r="B343" s="421" t="s">
        <v>37</v>
      </c>
      <c r="C343" s="421" t="s">
        <v>576</v>
      </c>
      <c r="D343" s="422" t="s">
        <v>663</v>
      </c>
      <c r="F343" s="421" t="s">
        <v>914</v>
      </c>
    </row>
    <row r="344" spans="1:15" x14ac:dyDescent="0.2">
      <c r="A344" s="111">
        <v>361</v>
      </c>
      <c r="B344" s="421" t="s">
        <v>344</v>
      </c>
      <c r="C344" s="421" t="s">
        <v>523</v>
      </c>
      <c r="D344" s="422" t="s">
        <v>666</v>
      </c>
      <c r="E344" s="111">
        <v>14199</v>
      </c>
      <c r="F344" s="421" t="s">
        <v>915</v>
      </c>
      <c r="G344" s="112">
        <v>1</v>
      </c>
      <c r="H344" s="112">
        <v>1</v>
      </c>
      <c r="I344" s="112">
        <v>1</v>
      </c>
      <c r="J344" s="112">
        <v>1</v>
      </c>
      <c r="K344" s="112">
        <v>1</v>
      </c>
      <c r="L344" s="112">
        <v>1</v>
      </c>
    </row>
    <row r="345" spans="1:15" x14ac:dyDescent="0.2">
      <c r="A345" s="111">
        <v>362</v>
      </c>
      <c r="B345" s="421" t="s">
        <v>345</v>
      </c>
      <c r="C345" s="421" t="s">
        <v>506</v>
      </c>
      <c r="D345" s="422" t="s">
        <v>663</v>
      </c>
      <c r="E345" s="111">
        <v>14200</v>
      </c>
      <c r="F345" s="421" t="s">
        <v>916</v>
      </c>
      <c r="G345" s="112">
        <v>1</v>
      </c>
      <c r="H345" s="112">
        <v>1</v>
      </c>
      <c r="I345" s="112">
        <v>1</v>
      </c>
      <c r="L345" s="112">
        <v>1</v>
      </c>
    </row>
    <row r="346" spans="1:15" x14ac:dyDescent="0.2">
      <c r="A346" s="111">
        <v>363</v>
      </c>
      <c r="B346" s="421" t="s">
        <v>108</v>
      </c>
      <c r="C346" s="421" t="s">
        <v>506</v>
      </c>
      <c r="D346" s="422" t="s">
        <v>663</v>
      </c>
      <c r="E346" s="111">
        <v>14200</v>
      </c>
      <c r="F346" s="421" t="s">
        <v>916</v>
      </c>
      <c r="G346" s="112">
        <v>1</v>
      </c>
      <c r="H346" s="112">
        <v>1</v>
      </c>
      <c r="I346" s="112">
        <v>1</v>
      </c>
    </row>
    <row r="347" spans="1:15" x14ac:dyDescent="0.2">
      <c r="A347" s="111">
        <v>364</v>
      </c>
      <c r="B347" s="421" t="s">
        <v>346</v>
      </c>
      <c r="C347" s="421" t="s">
        <v>570</v>
      </c>
      <c r="D347" s="422" t="s">
        <v>663</v>
      </c>
      <c r="E347" s="111">
        <v>14241</v>
      </c>
      <c r="F347" s="421" t="s">
        <v>917</v>
      </c>
      <c r="G347" s="112">
        <v>2</v>
      </c>
      <c r="H347" s="112">
        <v>1</v>
      </c>
      <c r="I347" s="112">
        <v>1</v>
      </c>
      <c r="J347" s="112">
        <v>1</v>
      </c>
      <c r="K347" s="112">
        <v>2</v>
      </c>
      <c r="L347" s="112">
        <v>2</v>
      </c>
    </row>
    <row r="348" spans="1:15" x14ac:dyDescent="0.2">
      <c r="A348" s="111">
        <v>365</v>
      </c>
      <c r="B348" s="421" t="s">
        <v>347</v>
      </c>
      <c r="C348" s="421" t="s">
        <v>506</v>
      </c>
      <c r="D348" s="422" t="s">
        <v>663</v>
      </c>
      <c r="F348" s="421" t="s">
        <v>918</v>
      </c>
      <c r="G348" s="112">
        <v>1</v>
      </c>
    </row>
    <row r="349" spans="1:15" x14ac:dyDescent="0.2">
      <c r="A349" s="111">
        <v>366</v>
      </c>
      <c r="B349" s="421" t="s">
        <v>49</v>
      </c>
      <c r="C349" s="421" t="s">
        <v>519</v>
      </c>
      <c r="D349" s="422" t="s">
        <v>666</v>
      </c>
      <c r="F349" s="421" t="s">
        <v>919</v>
      </c>
      <c r="G349" s="112">
        <v>1</v>
      </c>
      <c r="H349" s="112">
        <v>1</v>
      </c>
      <c r="I349" s="112">
        <v>1</v>
      </c>
    </row>
    <row r="350" spans="1:15" x14ac:dyDescent="0.2">
      <c r="A350" s="111">
        <v>367</v>
      </c>
      <c r="B350" s="421" t="s">
        <v>348</v>
      </c>
      <c r="C350" s="421" t="s">
        <v>506</v>
      </c>
      <c r="D350" s="422" t="s">
        <v>663</v>
      </c>
      <c r="E350" s="111">
        <v>14265</v>
      </c>
      <c r="F350" s="421" t="s">
        <v>751</v>
      </c>
      <c r="G350" s="112">
        <v>1</v>
      </c>
      <c r="H350" s="112">
        <v>1</v>
      </c>
      <c r="I350" s="112">
        <v>1</v>
      </c>
      <c r="J350" s="112">
        <v>8</v>
      </c>
      <c r="K350" s="112">
        <v>8</v>
      </c>
      <c r="L350" s="112">
        <v>7</v>
      </c>
      <c r="M350" s="112">
        <v>5</v>
      </c>
      <c r="N350" s="112">
        <v>3</v>
      </c>
      <c r="O350" s="112">
        <v>4</v>
      </c>
    </row>
    <row r="351" spans="1:15" x14ac:dyDescent="0.2">
      <c r="A351" s="111">
        <v>368</v>
      </c>
      <c r="B351" s="421" t="s">
        <v>349</v>
      </c>
      <c r="C351" s="421" t="s">
        <v>516</v>
      </c>
      <c r="D351" s="422" t="s">
        <v>666</v>
      </c>
      <c r="F351" s="421" t="s">
        <v>920</v>
      </c>
      <c r="G351" s="112">
        <v>1</v>
      </c>
      <c r="H351" s="112">
        <v>1</v>
      </c>
      <c r="I351" s="112">
        <v>1</v>
      </c>
      <c r="L351" s="112">
        <v>1</v>
      </c>
    </row>
    <row r="352" spans="1:15" x14ac:dyDescent="0.2">
      <c r="A352" s="111">
        <v>369</v>
      </c>
      <c r="B352" s="421" t="s">
        <v>350</v>
      </c>
      <c r="C352" s="421" t="s">
        <v>512</v>
      </c>
      <c r="D352" s="422" t="s">
        <v>666</v>
      </c>
      <c r="E352" s="111">
        <v>14202</v>
      </c>
      <c r="F352" s="421" t="s">
        <v>679</v>
      </c>
    </row>
    <row r="353" spans="1:15" x14ac:dyDescent="0.2">
      <c r="A353" s="111">
        <v>370</v>
      </c>
      <c r="B353" s="421" t="s">
        <v>351</v>
      </c>
      <c r="C353" s="421" t="s">
        <v>503</v>
      </c>
      <c r="D353" s="422"/>
      <c r="E353" s="111">
        <v>14203</v>
      </c>
      <c r="F353" s="421" t="s">
        <v>921</v>
      </c>
    </row>
    <row r="354" spans="1:15" x14ac:dyDescent="0.2">
      <c r="A354" s="111">
        <v>371</v>
      </c>
      <c r="B354" s="421" t="s">
        <v>139</v>
      </c>
      <c r="C354" s="421" t="s">
        <v>517</v>
      </c>
      <c r="D354" s="422" t="s">
        <v>663</v>
      </c>
      <c r="E354" s="111">
        <v>15006</v>
      </c>
      <c r="F354" s="421" t="s">
        <v>922</v>
      </c>
      <c r="G354" s="112">
        <v>2</v>
      </c>
      <c r="H354" s="112">
        <v>1</v>
      </c>
      <c r="I354" s="112">
        <v>1</v>
      </c>
    </row>
    <row r="355" spans="1:15" x14ac:dyDescent="0.2">
      <c r="A355" s="111">
        <v>372</v>
      </c>
      <c r="B355" s="421" t="s">
        <v>352</v>
      </c>
      <c r="C355" s="421" t="s">
        <v>513</v>
      </c>
      <c r="D355" s="422" t="s">
        <v>666</v>
      </c>
      <c r="F355" s="421" t="s">
        <v>923</v>
      </c>
      <c r="G355" s="112">
        <v>2</v>
      </c>
      <c r="H355" s="112">
        <v>2</v>
      </c>
      <c r="I355" s="112">
        <v>1</v>
      </c>
      <c r="J355" s="112">
        <v>1</v>
      </c>
      <c r="K355" s="112">
        <v>2</v>
      </c>
      <c r="L355" s="112">
        <v>1</v>
      </c>
      <c r="M355" s="112">
        <v>1</v>
      </c>
      <c r="N355" s="112">
        <v>1</v>
      </c>
      <c r="O355" s="112">
        <v>1</v>
      </c>
    </row>
    <row r="356" spans="1:15" x14ac:dyDescent="0.2">
      <c r="A356" s="111">
        <v>373</v>
      </c>
      <c r="B356" s="421" t="s">
        <v>353</v>
      </c>
      <c r="C356" s="421" t="s">
        <v>570</v>
      </c>
      <c r="D356" s="422" t="s">
        <v>663</v>
      </c>
      <c r="E356" s="111">
        <v>14293</v>
      </c>
      <c r="F356" s="421" t="s">
        <v>924</v>
      </c>
      <c r="G356" s="112">
        <v>1</v>
      </c>
      <c r="H356" s="112">
        <v>1</v>
      </c>
      <c r="I356" s="112">
        <v>1</v>
      </c>
      <c r="J356" s="112">
        <v>6</v>
      </c>
      <c r="K356" s="112">
        <v>6</v>
      </c>
      <c r="L356" s="112">
        <v>6</v>
      </c>
      <c r="M356" s="112">
        <v>4</v>
      </c>
      <c r="N356" s="112">
        <v>4</v>
      </c>
      <c r="O356" s="112">
        <v>4</v>
      </c>
    </row>
    <row r="357" spans="1:15" x14ac:dyDescent="0.2">
      <c r="A357" s="111">
        <v>374</v>
      </c>
      <c r="B357" s="421" t="s">
        <v>259</v>
      </c>
      <c r="C357" s="421" t="s">
        <v>503</v>
      </c>
      <c r="D357" s="422" t="s">
        <v>666</v>
      </c>
      <c r="E357" s="111">
        <v>14329</v>
      </c>
      <c r="F357" s="421" t="s">
        <v>1078</v>
      </c>
    </row>
    <row r="358" spans="1:15" x14ac:dyDescent="0.2">
      <c r="A358" s="111">
        <v>375</v>
      </c>
      <c r="B358" s="421" t="s">
        <v>354</v>
      </c>
      <c r="C358" s="421" t="s">
        <v>501</v>
      </c>
      <c r="D358" s="422" t="s">
        <v>666</v>
      </c>
      <c r="F358" s="421" t="s">
        <v>925</v>
      </c>
    </row>
    <row r="359" spans="1:15" x14ac:dyDescent="0.2">
      <c r="A359" s="111">
        <v>376</v>
      </c>
      <c r="B359" s="421" t="s">
        <v>355</v>
      </c>
      <c r="C359" s="421" t="s">
        <v>506</v>
      </c>
      <c r="D359" s="422" t="s">
        <v>663</v>
      </c>
      <c r="E359" s="111">
        <v>17216</v>
      </c>
      <c r="F359" s="421" t="s">
        <v>886</v>
      </c>
      <c r="G359" s="112">
        <v>2</v>
      </c>
      <c r="H359" s="112">
        <v>1</v>
      </c>
    </row>
    <row r="360" spans="1:15" x14ac:dyDescent="0.2">
      <c r="A360" s="111">
        <v>377</v>
      </c>
      <c r="B360" s="421" t="s">
        <v>356</v>
      </c>
      <c r="C360" s="421" t="s">
        <v>577</v>
      </c>
      <c r="D360" s="422" t="s">
        <v>663</v>
      </c>
      <c r="E360" s="111">
        <v>14204</v>
      </c>
      <c r="F360" s="421" t="s">
        <v>926</v>
      </c>
      <c r="G360" s="112">
        <v>2</v>
      </c>
      <c r="H360" s="112">
        <v>2</v>
      </c>
      <c r="I360" s="112">
        <v>2</v>
      </c>
      <c r="J360" s="112">
        <v>2</v>
      </c>
      <c r="K360" s="112">
        <v>1</v>
      </c>
    </row>
    <row r="361" spans="1:15" x14ac:dyDescent="0.2">
      <c r="A361" s="111">
        <v>378</v>
      </c>
      <c r="B361" s="421" t="s">
        <v>357</v>
      </c>
      <c r="C361" s="421" t="s">
        <v>509</v>
      </c>
      <c r="D361" s="422" t="s">
        <v>666</v>
      </c>
      <c r="E361" s="111">
        <v>14204</v>
      </c>
      <c r="F361" s="421" t="s">
        <v>926</v>
      </c>
    </row>
    <row r="362" spans="1:15" x14ac:dyDescent="0.2">
      <c r="A362" s="111">
        <v>379</v>
      </c>
      <c r="B362" s="421" t="s">
        <v>358</v>
      </c>
      <c r="C362" s="421" t="s">
        <v>503</v>
      </c>
      <c r="D362" s="422" t="s">
        <v>666</v>
      </c>
      <c r="F362" s="421" t="s">
        <v>927</v>
      </c>
      <c r="G362" s="112">
        <v>2</v>
      </c>
      <c r="H362" s="112">
        <v>1</v>
      </c>
      <c r="I362" s="112">
        <v>1</v>
      </c>
    </row>
    <row r="363" spans="1:15" x14ac:dyDescent="0.2">
      <c r="A363" s="111">
        <v>380</v>
      </c>
      <c r="B363" s="421" t="s">
        <v>359</v>
      </c>
      <c r="C363" s="421" t="s">
        <v>501</v>
      </c>
      <c r="D363" s="422" t="s">
        <v>666</v>
      </c>
      <c r="E363" s="111">
        <v>14227</v>
      </c>
      <c r="F363" s="421" t="s">
        <v>928</v>
      </c>
      <c r="G363" s="112">
        <v>1</v>
      </c>
    </row>
    <row r="364" spans="1:15" x14ac:dyDescent="0.2">
      <c r="A364" s="111">
        <v>381</v>
      </c>
      <c r="B364" s="421" t="s">
        <v>360</v>
      </c>
      <c r="C364" s="421" t="s">
        <v>555</v>
      </c>
      <c r="D364" s="422" t="s">
        <v>666</v>
      </c>
      <c r="E364" s="111">
        <v>14227</v>
      </c>
      <c r="F364" s="421" t="s">
        <v>928</v>
      </c>
    </row>
    <row r="365" spans="1:15" x14ac:dyDescent="0.2">
      <c r="A365" s="111">
        <v>382</v>
      </c>
      <c r="B365" s="421" t="s">
        <v>361</v>
      </c>
      <c r="C365" s="421" t="s">
        <v>578</v>
      </c>
      <c r="D365" s="422" t="s">
        <v>666</v>
      </c>
      <c r="E365" s="111">
        <v>1489</v>
      </c>
      <c r="F365" s="421" t="s">
        <v>929</v>
      </c>
    </row>
    <row r="366" spans="1:15" x14ac:dyDescent="0.2">
      <c r="A366" s="111">
        <v>383</v>
      </c>
      <c r="B366" s="421" t="s">
        <v>362</v>
      </c>
      <c r="C366" s="421" t="s">
        <v>506</v>
      </c>
      <c r="D366" s="422" t="s">
        <v>663</v>
      </c>
      <c r="F366" s="421" t="s">
        <v>930</v>
      </c>
      <c r="G366" s="112">
        <v>1</v>
      </c>
      <c r="H366" s="112">
        <v>1</v>
      </c>
      <c r="I366" s="112">
        <v>1</v>
      </c>
    </row>
    <row r="367" spans="1:15" x14ac:dyDescent="0.2">
      <c r="A367" s="111">
        <v>384</v>
      </c>
      <c r="B367" s="421" t="s">
        <v>363</v>
      </c>
      <c r="C367" s="421" t="s">
        <v>509</v>
      </c>
      <c r="D367" s="422" t="s">
        <v>663</v>
      </c>
      <c r="E367" s="111">
        <v>14208</v>
      </c>
      <c r="F367" s="421" t="s">
        <v>931</v>
      </c>
    </row>
    <row r="368" spans="1:15" x14ac:dyDescent="0.2">
      <c r="A368" s="111">
        <v>385</v>
      </c>
      <c r="B368" s="421" t="s">
        <v>364</v>
      </c>
      <c r="C368" s="421" t="s">
        <v>579</v>
      </c>
      <c r="D368" s="422" t="s">
        <v>663</v>
      </c>
      <c r="E368" s="111">
        <v>14208</v>
      </c>
      <c r="F368" s="421" t="s">
        <v>931</v>
      </c>
      <c r="G368" s="112">
        <v>3</v>
      </c>
      <c r="H368" s="112">
        <v>1</v>
      </c>
      <c r="I368" s="112">
        <v>2</v>
      </c>
    </row>
    <row r="369" spans="1:15" x14ac:dyDescent="0.2">
      <c r="A369" s="111">
        <v>386</v>
      </c>
      <c r="B369" s="421" t="s">
        <v>365</v>
      </c>
      <c r="C369" s="421" t="s">
        <v>503</v>
      </c>
      <c r="D369" s="422" t="s">
        <v>666</v>
      </c>
      <c r="E369" s="111">
        <v>14209</v>
      </c>
      <c r="F369" s="421" t="s">
        <v>932</v>
      </c>
      <c r="G369" s="112">
        <v>2</v>
      </c>
      <c r="H369" s="112">
        <v>1</v>
      </c>
      <c r="I369" s="112">
        <v>2</v>
      </c>
      <c r="J369" s="112">
        <v>7</v>
      </c>
      <c r="K369" s="112">
        <v>7</v>
      </c>
      <c r="L369" s="112">
        <v>7</v>
      </c>
      <c r="M369" s="112">
        <v>5</v>
      </c>
      <c r="N369" s="112">
        <v>3</v>
      </c>
      <c r="O369" s="112">
        <v>4</v>
      </c>
    </row>
    <row r="370" spans="1:15" x14ac:dyDescent="0.2">
      <c r="A370" s="111">
        <v>387</v>
      </c>
      <c r="B370" s="421" t="s">
        <v>159</v>
      </c>
      <c r="C370" s="421" t="s">
        <v>503</v>
      </c>
      <c r="D370" s="422" t="s">
        <v>663</v>
      </c>
      <c r="E370" s="111">
        <v>14209</v>
      </c>
      <c r="F370" s="421" t="s">
        <v>932</v>
      </c>
      <c r="G370" s="112">
        <v>3</v>
      </c>
      <c r="H370" s="112">
        <v>3</v>
      </c>
      <c r="I370" s="112">
        <v>2</v>
      </c>
      <c r="J370" s="112">
        <v>8</v>
      </c>
      <c r="K370" s="112">
        <v>7</v>
      </c>
      <c r="L370" s="112">
        <v>7</v>
      </c>
      <c r="M370" s="112">
        <v>3</v>
      </c>
      <c r="N370" s="112">
        <v>3</v>
      </c>
      <c r="O370" s="112">
        <v>6</v>
      </c>
    </row>
    <row r="371" spans="1:15" x14ac:dyDescent="0.2">
      <c r="A371" s="111">
        <v>388</v>
      </c>
      <c r="B371" s="421" t="s">
        <v>366</v>
      </c>
      <c r="C371" s="421" t="s">
        <v>506</v>
      </c>
      <c r="D371" s="422" t="s">
        <v>666</v>
      </c>
      <c r="E371" s="111">
        <v>14268</v>
      </c>
      <c r="F371" s="421" t="s">
        <v>933</v>
      </c>
      <c r="G371" s="112">
        <v>1</v>
      </c>
      <c r="H371" s="112">
        <v>1</v>
      </c>
      <c r="I371" s="112">
        <v>1</v>
      </c>
      <c r="J371" s="112">
        <v>1</v>
      </c>
    </row>
    <row r="372" spans="1:15" x14ac:dyDescent="0.2">
      <c r="A372" s="111">
        <v>389</v>
      </c>
      <c r="B372" s="421" t="s">
        <v>108</v>
      </c>
      <c r="C372" s="421" t="s">
        <v>506</v>
      </c>
      <c r="D372" s="422" t="s">
        <v>663</v>
      </c>
      <c r="E372" s="111">
        <v>1466</v>
      </c>
      <c r="F372" s="421" t="s">
        <v>734</v>
      </c>
    </row>
    <row r="373" spans="1:15" x14ac:dyDescent="0.2">
      <c r="A373" s="111">
        <v>390</v>
      </c>
      <c r="B373" s="421" t="s">
        <v>57</v>
      </c>
      <c r="C373" s="421" t="s">
        <v>572</v>
      </c>
      <c r="D373" s="422" t="s">
        <v>666</v>
      </c>
      <c r="F373" s="421" t="s">
        <v>934</v>
      </c>
      <c r="G373" s="112">
        <v>2</v>
      </c>
      <c r="H373" s="112">
        <v>1</v>
      </c>
      <c r="I373" s="112">
        <v>2</v>
      </c>
      <c r="L373" s="112">
        <v>1</v>
      </c>
    </row>
    <row r="374" spans="1:15" x14ac:dyDescent="0.2">
      <c r="A374" s="111">
        <v>391</v>
      </c>
      <c r="B374" s="421" t="s">
        <v>367</v>
      </c>
      <c r="C374" s="421" t="s">
        <v>501</v>
      </c>
      <c r="D374" s="422" t="s">
        <v>663</v>
      </c>
      <c r="F374" s="421" t="s">
        <v>935</v>
      </c>
      <c r="H374" s="112">
        <v>1</v>
      </c>
      <c r="I374" s="112">
        <v>1</v>
      </c>
    </row>
    <row r="375" spans="1:15" x14ac:dyDescent="0.2">
      <c r="A375" s="111">
        <v>392</v>
      </c>
      <c r="B375" s="421" t="s">
        <v>368</v>
      </c>
      <c r="C375" s="421" t="s">
        <v>501</v>
      </c>
      <c r="D375" s="422" t="s">
        <v>663</v>
      </c>
      <c r="E375" s="111">
        <v>1435</v>
      </c>
      <c r="F375" s="421" t="s">
        <v>936</v>
      </c>
      <c r="G375" s="112">
        <v>2</v>
      </c>
      <c r="H375" s="112">
        <v>1</v>
      </c>
      <c r="I375" s="112">
        <v>1</v>
      </c>
      <c r="J375" s="112">
        <v>1</v>
      </c>
      <c r="K375" s="112">
        <v>1</v>
      </c>
      <c r="L375" s="112">
        <v>2</v>
      </c>
    </row>
    <row r="376" spans="1:15" x14ac:dyDescent="0.2">
      <c r="A376" s="111">
        <v>393</v>
      </c>
      <c r="B376" s="421" t="s">
        <v>237</v>
      </c>
      <c r="C376" s="421" t="s">
        <v>504</v>
      </c>
      <c r="D376" s="422" t="s">
        <v>663</v>
      </c>
      <c r="E376" s="111">
        <v>14212</v>
      </c>
      <c r="F376" s="421" t="s">
        <v>937</v>
      </c>
      <c r="G376" s="112">
        <v>2</v>
      </c>
      <c r="H376" s="112">
        <v>1</v>
      </c>
      <c r="I376" s="112">
        <v>1</v>
      </c>
      <c r="J376" s="112">
        <v>1</v>
      </c>
      <c r="K376" s="112">
        <v>1</v>
      </c>
      <c r="L376" s="112">
        <v>1</v>
      </c>
      <c r="M376" s="112">
        <v>2</v>
      </c>
      <c r="O376" s="112">
        <v>4</v>
      </c>
    </row>
    <row r="377" spans="1:15" x14ac:dyDescent="0.2">
      <c r="A377" s="111">
        <v>394</v>
      </c>
      <c r="B377" s="421" t="s">
        <v>108</v>
      </c>
      <c r="C377" s="421" t="s">
        <v>506</v>
      </c>
      <c r="D377" s="422" t="s">
        <v>663</v>
      </c>
      <c r="E377" s="111">
        <v>14213</v>
      </c>
      <c r="F377" s="421" t="s">
        <v>745</v>
      </c>
      <c r="G377" s="112">
        <v>1</v>
      </c>
      <c r="H377" s="112">
        <v>2</v>
      </c>
      <c r="I377" s="112">
        <v>2</v>
      </c>
      <c r="J377" s="112">
        <v>8</v>
      </c>
      <c r="K377" s="112">
        <v>9</v>
      </c>
      <c r="L377" s="112">
        <v>9</v>
      </c>
      <c r="M377" s="112">
        <v>5</v>
      </c>
      <c r="N377" s="112">
        <v>4</v>
      </c>
      <c r="O377" s="112">
        <v>4</v>
      </c>
    </row>
    <row r="378" spans="1:15" x14ac:dyDescent="0.2">
      <c r="A378" s="111">
        <v>395</v>
      </c>
      <c r="B378" s="421" t="s">
        <v>257</v>
      </c>
      <c r="C378" s="421" t="s">
        <v>536</v>
      </c>
      <c r="D378" s="422" t="s">
        <v>663</v>
      </c>
      <c r="E378" s="111">
        <v>14341</v>
      </c>
      <c r="F378" s="421" t="s">
        <v>747</v>
      </c>
      <c r="G378" s="112">
        <v>2</v>
      </c>
      <c r="H378" s="112">
        <v>1</v>
      </c>
      <c r="I378" s="112">
        <v>1</v>
      </c>
    </row>
    <row r="379" spans="1:15" x14ac:dyDescent="0.2">
      <c r="A379" s="111">
        <v>396</v>
      </c>
      <c r="B379" s="421" t="s">
        <v>369</v>
      </c>
      <c r="C379" s="421" t="s">
        <v>580</v>
      </c>
      <c r="D379" s="422" t="s">
        <v>663</v>
      </c>
      <c r="E379" s="111">
        <v>14214</v>
      </c>
      <c r="F379" s="421" t="s">
        <v>3755</v>
      </c>
      <c r="G379" s="112">
        <v>1</v>
      </c>
      <c r="H379" s="112">
        <v>1</v>
      </c>
      <c r="I379" s="112">
        <v>2</v>
      </c>
      <c r="J379" s="112">
        <v>1</v>
      </c>
      <c r="K379" s="112">
        <v>1</v>
      </c>
      <c r="L379" s="112">
        <v>1</v>
      </c>
    </row>
    <row r="380" spans="1:15" x14ac:dyDescent="0.2">
      <c r="A380" s="111">
        <v>397</v>
      </c>
      <c r="B380" s="421" t="s">
        <v>370</v>
      </c>
      <c r="C380" s="421" t="s">
        <v>503</v>
      </c>
      <c r="D380" s="422" t="s">
        <v>666</v>
      </c>
      <c r="F380" s="421" t="s">
        <v>938</v>
      </c>
      <c r="G380" s="112">
        <v>1</v>
      </c>
      <c r="H380" s="112">
        <v>1</v>
      </c>
    </row>
    <row r="381" spans="1:15" x14ac:dyDescent="0.2">
      <c r="A381" s="111">
        <v>398</v>
      </c>
      <c r="B381" s="421" t="s">
        <v>371</v>
      </c>
      <c r="C381" s="421" t="s">
        <v>530</v>
      </c>
      <c r="D381" s="422" t="s">
        <v>663</v>
      </c>
      <c r="E381" s="111">
        <v>14217</v>
      </c>
      <c r="F381" s="421" t="s">
        <v>3728</v>
      </c>
      <c r="G381" s="112">
        <v>3</v>
      </c>
      <c r="H381" s="112">
        <v>3</v>
      </c>
      <c r="I381" s="112">
        <v>3</v>
      </c>
      <c r="J381" s="112">
        <v>4</v>
      </c>
      <c r="K381" s="112">
        <v>3</v>
      </c>
      <c r="L381" s="112">
        <v>3</v>
      </c>
      <c r="M381" s="112">
        <v>2</v>
      </c>
      <c r="N381" s="112">
        <v>2</v>
      </c>
      <c r="O381" s="112">
        <v>4</v>
      </c>
    </row>
    <row r="382" spans="1:15" x14ac:dyDescent="0.2">
      <c r="A382" s="111">
        <v>399</v>
      </c>
      <c r="B382" s="421" t="s">
        <v>372</v>
      </c>
      <c r="C382" s="421" t="s">
        <v>17458</v>
      </c>
      <c r="D382" s="422" t="s">
        <v>666</v>
      </c>
      <c r="E382" s="111">
        <v>14218</v>
      </c>
      <c r="F382" s="421" t="s">
        <v>939</v>
      </c>
      <c r="G382" s="112">
        <v>2</v>
      </c>
      <c r="H382" s="112">
        <v>2</v>
      </c>
      <c r="I382" s="112">
        <v>1</v>
      </c>
    </row>
    <row r="383" spans="1:15" x14ac:dyDescent="0.2">
      <c r="A383" s="111">
        <v>400</v>
      </c>
      <c r="B383" s="421" t="s">
        <v>373</v>
      </c>
      <c r="C383" s="421" t="s">
        <v>506</v>
      </c>
      <c r="D383" s="422" t="s">
        <v>663</v>
      </c>
      <c r="E383" s="111">
        <v>14218</v>
      </c>
      <c r="F383" s="421" t="s">
        <v>939</v>
      </c>
      <c r="G383" s="112">
        <v>1</v>
      </c>
      <c r="H383" s="112">
        <v>1</v>
      </c>
      <c r="I383" s="112">
        <v>1</v>
      </c>
      <c r="J383" s="112">
        <v>1</v>
      </c>
    </row>
    <row r="384" spans="1:15" x14ac:dyDescent="0.2">
      <c r="A384" s="111">
        <v>401</v>
      </c>
      <c r="B384" s="421" t="s">
        <v>374</v>
      </c>
      <c r="C384" s="421" t="s">
        <v>17458</v>
      </c>
      <c r="D384" s="422" t="s">
        <v>666</v>
      </c>
      <c r="E384" s="111">
        <v>14218</v>
      </c>
      <c r="F384" s="421" t="s">
        <v>939</v>
      </c>
    </row>
    <row r="385" spans="1:15" x14ac:dyDescent="0.2">
      <c r="A385" s="111">
        <v>402</v>
      </c>
      <c r="B385" s="421" t="s">
        <v>48</v>
      </c>
      <c r="C385" s="421" t="s">
        <v>501</v>
      </c>
      <c r="D385" s="422" t="s">
        <v>663</v>
      </c>
      <c r="E385" s="111">
        <v>14219</v>
      </c>
      <c r="F385" s="421" t="s">
        <v>940</v>
      </c>
      <c r="G385" s="112">
        <v>2</v>
      </c>
      <c r="H385" s="112">
        <v>1</v>
      </c>
      <c r="I385" s="112">
        <v>1</v>
      </c>
      <c r="J385" s="112">
        <v>1</v>
      </c>
      <c r="K385" s="112">
        <v>2</v>
      </c>
      <c r="L385" s="112">
        <v>1</v>
      </c>
    </row>
    <row r="386" spans="1:15" x14ac:dyDescent="0.2">
      <c r="A386" s="111">
        <v>403</v>
      </c>
      <c r="B386" s="421" t="s">
        <v>119</v>
      </c>
      <c r="C386" s="421" t="s">
        <v>501</v>
      </c>
      <c r="D386" s="422" t="s">
        <v>663</v>
      </c>
      <c r="E386" s="111">
        <v>14219</v>
      </c>
      <c r="F386" s="421" t="s">
        <v>940</v>
      </c>
      <c r="G386" s="112">
        <v>1</v>
      </c>
      <c r="H386" s="112">
        <v>1</v>
      </c>
    </row>
    <row r="387" spans="1:15" x14ac:dyDescent="0.2">
      <c r="A387" s="111">
        <v>404</v>
      </c>
      <c r="B387" s="421" t="s">
        <v>38</v>
      </c>
      <c r="C387" s="421" t="s">
        <v>501</v>
      </c>
      <c r="D387" s="422" t="s">
        <v>663</v>
      </c>
      <c r="E387" s="111">
        <v>14219</v>
      </c>
      <c r="F387" s="421" t="s">
        <v>940</v>
      </c>
      <c r="G387" s="112">
        <v>1</v>
      </c>
      <c r="H387" s="112">
        <v>1</v>
      </c>
      <c r="I387" s="112">
        <v>2</v>
      </c>
      <c r="J387" s="112">
        <v>2</v>
      </c>
      <c r="K387" s="112">
        <v>1</v>
      </c>
      <c r="L387" s="112">
        <v>1</v>
      </c>
    </row>
    <row r="388" spans="1:15" x14ac:dyDescent="0.2">
      <c r="A388" s="111">
        <v>405</v>
      </c>
      <c r="B388" s="421" t="s">
        <v>375</v>
      </c>
      <c r="C388" s="421" t="s">
        <v>581</v>
      </c>
      <c r="D388" s="422" t="s">
        <v>666</v>
      </c>
      <c r="E388" s="111">
        <v>14220</v>
      </c>
      <c r="F388" s="421" t="s">
        <v>941</v>
      </c>
      <c r="G388" s="112">
        <v>2</v>
      </c>
      <c r="H388" s="112">
        <v>1</v>
      </c>
      <c r="I388" s="112">
        <v>1</v>
      </c>
      <c r="J388" s="112">
        <v>1</v>
      </c>
      <c r="K388" s="112">
        <v>1</v>
      </c>
      <c r="L388" s="112">
        <v>1</v>
      </c>
    </row>
    <row r="389" spans="1:15" x14ac:dyDescent="0.2">
      <c r="A389" s="111">
        <v>406</v>
      </c>
      <c r="B389" s="421" t="s">
        <v>376</v>
      </c>
      <c r="C389" s="421" t="s">
        <v>582</v>
      </c>
      <c r="D389" s="422" t="s">
        <v>666</v>
      </c>
      <c r="F389" s="421" t="s">
        <v>942</v>
      </c>
      <c r="G389" s="112">
        <v>1</v>
      </c>
      <c r="H389" s="112">
        <v>1</v>
      </c>
      <c r="I389" s="112">
        <v>1</v>
      </c>
      <c r="K389" s="112">
        <v>1</v>
      </c>
    </row>
    <row r="390" spans="1:15" x14ac:dyDescent="0.2">
      <c r="A390" s="111">
        <v>407</v>
      </c>
      <c r="B390" s="421" t="s">
        <v>215</v>
      </c>
      <c r="C390" s="421" t="s">
        <v>502</v>
      </c>
      <c r="D390" s="422" t="s">
        <v>666</v>
      </c>
      <c r="E390" s="111">
        <v>14339</v>
      </c>
      <c r="F390" s="421" t="s">
        <v>943</v>
      </c>
      <c r="G390" s="112">
        <v>1</v>
      </c>
      <c r="H390" s="112">
        <v>1</v>
      </c>
      <c r="I390" s="112">
        <v>1</v>
      </c>
    </row>
    <row r="391" spans="1:15" x14ac:dyDescent="0.2">
      <c r="A391" s="111">
        <v>408</v>
      </c>
      <c r="B391" s="421" t="s">
        <v>377</v>
      </c>
      <c r="C391" s="421" t="s">
        <v>561</v>
      </c>
      <c r="D391" s="422" t="s">
        <v>666</v>
      </c>
      <c r="E391" s="111">
        <v>14223</v>
      </c>
      <c r="F391" s="421" t="s">
        <v>944</v>
      </c>
      <c r="G391" s="112">
        <v>1</v>
      </c>
      <c r="H391" s="112">
        <v>1</v>
      </c>
      <c r="I391" s="112">
        <v>1</v>
      </c>
      <c r="J391" s="112">
        <v>1</v>
      </c>
    </row>
    <row r="392" spans="1:15" x14ac:dyDescent="0.2">
      <c r="A392" s="111">
        <v>409</v>
      </c>
      <c r="B392" s="421" t="s">
        <v>378</v>
      </c>
      <c r="C392" s="421" t="s">
        <v>540</v>
      </c>
      <c r="D392" s="422" t="s">
        <v>663</v>
      </c>
      <c r="E392" s="111">
        <v>14224</v>
      </c>
      <c r="F392" s="421" t="s">
        <v>945</v>
      </c>
    </row>
    <row r="393" spans="1:15" x14ac:dyDescent="0.2">
      <c r="A393" s="111">
        <v>410</v>
      </c>
      <c r="B393" s="421" t="s">
        <v>379</v>
      </c>
      <c r="C393" s="421" t="s">
        <v>503</v>
      </c>
      <c r="D393" s="422" t="s">
        <v>663</v>
      </c>
      <c r="E393" s="111">
        <v>14225</v>
      </c>
      <c r="F393" s="421" t="s">
        <v>946</v>
      </c>
      <c r="G393" s="112">
        <v>1</v>
      </c>
      <c r="H393" s="112">
        <v>1</v>
      </c>
      <c r="I393" s="112">
        <v>1</v>
      </c>
      <c r="J393" s="112">
        <v>1</v>
      </c>
      <c r="K393" s="112">
        <v>1</v>
      </c>
      <c r="L393" s="112">
        <v>1</v>
      </c>
    </row>
    <row r="394" spans="1:15" x14ac:dyDescent="0.2">
      <c r="A394" s="111">
        <v>411</v>
      </c>
      <c r="B394" s="421" t="s">
        <v>380</v>
      </c>
      <c r="C394" s="421" t="s">
        <v>503</v>
      </c>
      <c r="D394" s="422" t="s">
        <v>663</v>
      </c>
      <c r="E394" s="111">
        <v>14225</v>
      </c>
      <c r="F394" s="421" t="s">
        <v>946</v>
      </c>
      <c r="G394" s="112">
        <v>1</v>
      </c>
      <c r="H394" s="112">
        <v>1</v>
      </c>
      <c r="I394" s="112">
        <v>1</v>
      </c>
      <c r="L394" s="112">
        <v>1</v>
      </c>
    </row>
    <row r="395" spans="1:15" x14ac:dyDescent="0.2">
      <c r="A395" s="111">
        <v>412</v>
      </c>
      <c r="B395" s="421" t="s">
        <v>381</v>
      </c>
      <c r="C395" s="421" t="s">
        <v>550</v>
      </c>
      <c r="D395" s="422" t="s">
        <v>663</v>
      </c>
      <c r="E395" s="111">
        <v>14226</v>
      </c>
      <c r="F395" s="421" t="s">
        <v>947</v>
      </c>
      <c r="G395" s="112">
        <v>2</v>
      </c>
      <c r="H395" s="112">
        <v>2</v>
      </c>
      <c r="I395" s="112">
        <v>2</v>
      </c>
      <c r="J395" s="112">
        <v>1</v>
      </c>
      <c r="K395" s="112">
        <v>1</v>
      </c>
      <c r="L395" s="112">
        <v>2</v>
      </c>
    </row>
    <row r="396" spans="1:15" x14ac:dyDescent="0.2">
      <c r="A396" s="111">
        <v>413</v>
      </c>
      <c r="B396" s="421" t="s">
        <v>365</v>
      </c>
      <c r="C396" s="421" t="s">
        <v>506</v>
      </c>
      <c r="D396" s="422" t="s">
        <v>666</v>
      </c>
      <c r="E396" s="111">
        <v>14228</v>
      </c>
      <c r="F396" s="421" t="s">
        <v>948</v>
      </c>
      <c r="G396" s="112">
        <v>1</v>
      </c>
      <c r="I396" s="112">
        <v>1</v>
      </c>
    </row>
    <row r="397" spans="1:15" x14ac:dyDescent="0.2">
      <c r="A397" s="111">
        <v>414</v>
      </c>
      <c r="B397" s="421" t="s">
        <v>382</v>
      </c>
      <c r="C397" s="421" t="s">
        <v>506</v>
      </c>
      <c r="D397" s="422" t="s">
        <v>663</v>
      </c>
      <c r="F397" s="421" t="s">
        <v>949</v>
      </c>
      <c r="G397" s="112">
        <v>1</v>
      </c>
      <c r="I397" s="112">
        <v>1</v>
      </c>
    </row>
    <row r="398" spans="1:15" x14ac:dyDescent="0.2">
      <c r="A398" s="111">
        <v>415</v>
      </c>
      <c r="B398" s="421" t="s">
        <v>383</v>
      </c>
      <c r="C398" s="421" t="s">
        <v>506</v>
      </c>
      <c r="D398" s="422" t="s">
        <v>666</v>
      </c>
      <c r="E398" s="111">
        <v>1497</v>
      </c>
      <c r="F398" s="421" t="s">
        <v>950</v>
      </c>
      <c r="G398" s="112">
        <v>1</v>
      </c>
      <c r="H398" s="112">
        <v>1</v>
      </c>
      <c r="I398" s="112">
        <v>1</v>
      </c>
      <c r="J398" s="112">
        <v>3</v>
      </c>
      <c r="K398" s="112">
        <v>4</v>
      </c>
      <c r="L398" s="112">
        <v>3</v>
      </c>
    </row>
    <row r="399" spans="1:15" x14ac:dyDescent="0.2">
      <c r="A399" s="111">
        <v>416</v>
      </c>
      <c r="B399" s="421" t="s">
        <v>384</v>
      </c>
      <c r="C399" s="421" t="s">
        <v>506</v>
      </c>
      <c r="D399" s="422" t="s">
        <v>666</v>
      </c>
      <c r="E399" s="111">
        <v>1497</v>
      </c>
      <c r="F399" s="421" t="s">
        <v>950</v>
      </c>
      <c r="G399" s="112">
        <v>1</v>
      </c>
      <c r="H399" s="112">
        <v>1</v>
      </c>
      <c r="I399" s="112">
        <v>1</v>
      </c>
      <c r="J399" s="112">
        <v>8</v>
      </c>
      <c r="K399" s="112">
        <v>10</v>
      </c>
      <c r="L399" s="112">
        <v>8</v>
      </c>
      <c r="M399" s="112">
        <v>7</v>
      </c>
      <c r="N399" s="112">
        <v>6</v>
      </c>
      <c r="O399" s="112">
        <v>8</v>
      </c>
    </row>
    <row r="400" spans="1:15" x14ac:dyDescent="0.2">
      <c r="A400" s="111">
        <v>417</v>
      </c>
      <c r="B400" s="421" t="s">
        <v>385</v>
      </c>
      <c r="C400" s="421" t="s">
        <v>548</v>
      </c>
      <c r="D400" s="422" t="s">
        <v>666</v>
      </c>
      <c r="E400" s="111">
        <v>1497</v>
      </c>
      <c r="F400" s="421" t="s">
        <v>950</v>
      </c>
      <c r="G400" s="112">
        <v>1</v>
      </c>
      <c r="H400" s="112">
        <v>1</v>
      </c>
      <c r="I400" s="112">
        <v>1</v>
      </c>
      <c r="J400" s="112">
        <v>10</v>
      </c>
      <c r="K400" s="112">
        <v>8</v>
      </c>
      <c r="L400" s="112">
        <v>9</v>
      </c>
      <c r="M400" s="112">
        <v>5</v>
      </c>
      <c r="N400" s="112">
        <v>3</v>
      </c>
      <c r="O400" s="112">
        <v>3</v>
      </c>
    </row>
    <row r="401" spans="1:15" x14ac:dyDescent="0.2">
      <c r="A401" s="111">
        <v>418</v>
      </c>
      <c r="B401" s="421" t="s">
        <v>386</v>
      </c>
      <c r="C401" s="421" t="s">
        <v>548</v>
      </c>
      <c r="D401" s="422" t="s">
        <v>666</v>
      </c>
      <c r="F401" s="421" t="s">
        <v>951</v>
      </c>
      <c r="G401" s="112">
        <v>1</v>
      </c>
      <c r="H401" s="112">
        <v>1</v>
      </c>
      <c r="I401" s="112">
        <v>1</v>
      </c>
    </row>
    <row r="402" spans="1:15" x14ac:dyDescent="0.2">
      <c r="A402" s="111">
        <v>419</v>
      </c>
      <c r="B402" s="421" t="s">
        <v>387</v>
      </c>
      <c r="C402" s="421" t="s">
        <v>548</v>
      </c>
      <c r="D402" s="422" t="s">
        <v>663</v>
      </c>
      <c r="F402" s="421" t="s">
        <v>951</v>
      </c>
    </row>
    <row r="403" spans="1:15" x14ac:dyDescent="0.2">
      <c r="A403" s="111">
        <v>420</v>
      </c>
      <c r="B403" s="421" t="s">
        <v>164</v>
      </c>
      <c r="C403" s="421" t="s">
        <v>518</v>
      </c>
      <c r="D403" s="422" t="s">
        <v>666</v>
      </c>
      <c r="E403" s="111">
        <v>14232</v>
      </c>
      <c r="F403" s="421" t="s">
        <v>952</v>
      </c>
    </row>
    <row r="404" spans="1:15" x14ac:dyDescent="0.2">
      <c r="A404" s="111">
        <v>421</v>
      </c>
      <c r="B404" s="421" t="s">
        <v>388</v>
      </c>
      <c r="C404" s="421" t="s">
        <v>1066</v>
      </c>
      <c r="D404" s="422" t="s">
        <v>666</v>
      </c>
      <c r="E404" s="111">
        <v>14233</v>
      </c>
      <c r="F404" s="421" t="s">
        <v>3823</v>
      </c>
      <c r="G404" s="112">
        <v>1</v>
      </c>
      <c r="H404" s="112">
        <v>1</v>
      </c>
      <c r="I404" s="112">
        <v>1</v>
      </c>
      <c r="J404" s="112">
        <v>2</v>
      </c>
      <c r="K404" s="112">
        <v>1</v>
      </c>
      <c r="L404" s="112">
        <v>1</v>
      </c>
    </row>
    <row r="405" spans="1:15" x14ac:dyDescent="0.2">
      <c r="A405" s="111">
        <v>422</v>
      </c>
      <c r="B405" s="421" t="s">
        <v>389</v>
      </c>
      <c r="C405" s="421" t="s">
        <v>534</v>
      </c>
      <c r="D405" s="422" t="s">
        <v>663</v>
      </c>
      <c r="E405" s="111">
        <v>1498</v>
      </c>
      <c r="F405" s="421" t="s">
        <v>953</v>
      </c>
    </row>
    <row r="406" spans="1:15" x14ac:dyDescent="0.2">
      <c r="A406" s="111">
        <v>423</v>
      </c>
      <c r="B406" s="421" t="s">
        <v>390</v>
      </c>
      <c r="C406" s="421" t="s">
        <v>506</v>
      </c>
      <c r="D406" s="422" t="s">
        <v>663</v>
      </c>
      <c r="E406" s="111">
        <v>1498</v>
      </c>
      <c r="F406" s="421" t="s">
        <v>953</v>
      </c>
      <c r="G406" s="112">
        <v>1</v>
      </c>
      <c r="H406" s="112">
        <v>3</v>
      </c>
      <c r="I406" s="112">
        <v>1</v>
      </c>
      <c r="J406" s="112">
        <v>1</v>
      </c>
      <c r="K406" s="112">
        <v>1</v>
      </c>
      <c r="L406" s="112">
        <v>1</v>
      </c>
    </row>
    <row r="407" spans="1:15" x14ac:dyDescent="0.2">
      <c r="A407" s="111">
        <v>424</v>
      </c>
      <c r="B407" s="421" t="s">
        <v>391</v>
      </c>
      <c r="C407" s="421" t="s">
        <v>529</v>
      </c>
      <c r="D407" s="422" t="s">
        <v>666</v>
      </c>
      <c r="E407" s="111">
        <v>1498</v>
      </c>
      <c r="F407" s="421" t="s">
        <v>953</v>
      </c>
    </row>
    <row r="408" spans="1:15" x14ac:dyDescent="0.2">
      <c r="A408" s="111">
        <v>425</v>
      </c>
      <c r="B408" s="421" t="s">
        <v>392</v>
      </c>
      <c r="C408" s="421" t="s">
        <v>528</v>
      </c>
      <c r="D408" s="422" t="s">
        <v>666</v>
      </c>
      <c r="E408" s="111">
        <v>14235</v>
      </c>
      <c r="F408" s="421" t="s">
        <v>954</v>
      </c>
      <c r="G408" s="112">
        <v>3</v>
      </c>
      <c r="H408" s="112">
        <v>3</v>
      </c>
      <c r="I408" s="112">
        <v>3</v>
      </c>
      <c r="J408" s="112">
        <v>3</v>
      </c>
      <c r="K408" s="112">
        <v>5</v>
      </c>
      <c r="L408" s="112">
        <v>4</v>
      </c>
      <c r="M408" s="112">
        <v>2</v>
      </c>
      <c r="N408" s="112">
        <v>2</v>
      </c>
      <c r="O408" s="112">
        <v>2</v>
      </c>
    </row>
    <row r="409" spans="1:15" x14ac:dyDescent="0.2">
      <c r="A409" s="111">
        <v>426</v>
      </c>
      <c r="B409" s="421" t="s">
        <v>393</v>
      </c>
      <c r="C409" s="421" t="s">
        <v>528</v>
      </c>
      <c r="D409" s="422" t="s">
        <v>663</v>
      </c>
      <c r="E409" s="111">
        <v>14235</v>
      </c>
      <c r="F409" s="421" t="s">
        <v>954</v>
      </c>
      <c r="G409" s="112">
        <v>3</v>
      </c>
      <c r="H409" s="112">
        <v>1</v>
      </c>
      <c r="I409" s="112">
        <v>3</v>
      </c>
      <c r="J409" s="112">
        <v>12</v>
      </c>
      <c r="K409" s="112">
        <v>7</v>
      </c>
      <c r="L409" s="112">
        <v>9</v>
      </c>
      <c r="M409" s="112">
        <v>3</v>
      </c>
      <c r="N409" s="112">
        <v>3</v>
      </c>
      <c r="O409" s="112">
        <v>3</v>
      </c>
    </row>
    <row r="410" spans="1:15" x14ac:dyDescent="0.2">
      <c r="A410" s="111">
        <v>427</v>
      </c>
      <c r="B410" s="421" t="s">
        <v>394</v>
      </c>
      <c r="C410" s="421" t="s">
        <v>502</v>
      </c>
      <c r="D410" s="422" t="s">
        <v>663</v>
      </c>
      <c r="F410" s="421" t="s">
        <v>955</v>
      </c>
    </row>
    <row r="411" spans="1:15" x14ac:dyDescent="0.2">
      <c r="A411" s="111">
        <v>428</v>
      </c>
      <c r="B411" s="421" t="s">
        <v>395</v>
      </c>
      <c r="C411" s="421" t="s">
        <v>513</v>
      </c>
      <c r="D411" s="422" t="s">
        <v>663</v>
      </c>
      <c r="F411" s="421" t="s">
        <v>955</v>
      </c>
    </row>
    <row r="412" spans="1:15" x14ac:dyDescent="0.2">
      <c r="A412" s="111">
        <v>429</v>
      </c>
      <c r="B412" s="421" t="s">
        <v>80</v>
      </c>
      <c r="C412" s="421" t="s">
        <v>503</v>
      </c>
      <c r="D412" s="422" t="s">
        <v>663</v>
      </c>
      <c r="E412" s="111">
        <v>14285</v>
      </c>
      <c r="F412" s="421" t="s">
        <v>956</v>
      </c>
      <c r="G412" s="112">
        <v>2</v>
      </c>
      <c r="H412" s="112">
        <v>2</v>
      </c>
      <c r="I412" s="112">
        <v>2</v>
      </c>
      <c r="J412" s="112">
        <v>3</v>
      </c>
      <c r="K412" s="112">
        <v>2</v>
      </c>
      <c r="L412" s="112">
        <v>3</v>
      </c>
    </row>
    <row r="413" spans="1:15" x14ac:dyDescent="0.2">
      <c r="A413" s="111">
        <v>430</v>
      </c>
      <c r="B413" s="421" t="s">
        <v>396</v>
      </c>
      <c r="C413" s="421" t="s">
        <v>506</v>
      </c>
      <c r="D413" s="422" t="s">
        <v>663</v>
      </c>
      <c r="E413" s="111">
        <v>14230</v>
      </c>
      <c r="F413" s="421" t="s">
        <v>957</v>
      </c>
      <c r="G413" s="112">
        <v>1</v>
      </c>
      <c r="H413" s="112">
        <v>1</v>
      </c>
      <c r="I413" s="112">
        <v>1</v>
      </c>
      <c r="J413" s="112">
        <v>1</v>
      </c>
      <c r="K413" s="112">
        <v>1</v>
      </c>
      <c r="L413" s="112">
        <v>1</v>
      </c>
      <c r="N413" s="112">
        <v>1</v>
      </c>
    </row>
    <row r="414" spans="1:15" x14ac:dyDescent="0.2">
      <c r="A414" s="111">
        <v>431</v>
      </c>
      <c r="B414" s="421" t="s">
        <v>397</v>
      </c>
      <c r="C414" s="421" t="s">
        <v>535</v>
      </c>
      <c r="D414" s="422" t="s">
        <v>666</v>
      </c>
      <c r="E414" s="111">
        <v>14230</v>
      </c>
      <c r="F414" s="421" t="s">
        <v>957</v>
      </c>
      <c r="G414" s="112">
        <v>1</v>
      </c>
      <c r="H414" s="112">
        <v>1</v>
      </c>
      <c r="I414" s="112">
        <v>1</v>
      </c>
      <c r="J414" s="112">
        <v>1</v>
      </c>
      <c r="K414" s="112">
        <v>1</v>
      </c>
      <c r="L414" s="112">
        <v>1</v>
      </c>
    </row>
    <row r="415" spans="1:15" x14ac:dyDescent="0.2">
      <c r="A415" s="111">
        <v>432</v>
      </c>
      <c r="B415" s="421" t="s">
        <v>398</v>
      </c>
      <c r="C415" s="421" t="s">
        <v>503</v>
      </c>
      <c r="D415" s="422" t="s">
        <v>663</v>
      </c>
      <c r="E415" s="111">
        <v>14340</v>
      </c>
      <c r="F415" s="421" t="s">
        <v>958</v>
      </c>
      <c r="G415" s="112">
        <v>1</v>
      </c>
      <c r="H415" s="112">
        <v>1</v>
      </c>
      <c r="I415" s="112">
        <v>1</v>
      </c>
      <c r="J415" s="112">
        <v>2</v>
      </c>
      <c r="K415" s="112">
        <v>2</v>
      </c>
      <c r="L415" s="112">
        <v>2</v>
      </c>
      <c r="N415" s="112">
        <v>1</v>
      </c>
      <c r="O415" s="112">
        <v>1</v>
      </c>
    </row>
    <row r="416" spans="1:15" x14ac:dyDescent="0.2">
      <c r="A416" s="111">
        <v>433</v>
      </c>
      <c r="B416" s="421" t="s">
        <v>399</v>
      </c>
      <c r="C416" s="421" t="s">
        <v>1446</v>
      </c>
      <c r="D416" s="422" t="s">
        <v>666</v>
      </c>
      <c r="E416" s="111">
        <v>15200</v>
      </c>
      <c r="F416" s="421" t="s">
        <v>733</v>
      </c>
      <c r="G416" s="112">
        <v>1</v>
      </c>
      <c r="H416" s="112">
        <v>1</v>
      </c>
      <c r="I416" s="112">
        <v>1</v>
      </c>
      <c r="J416" s="112">
        <v>4</v>
      </c>
      <c r="K416" s="112">
        <v>4</v>
      </c>
      <c r="L416" s="112">
        <v>3</v>
      </c>
      <c r="M416" s="112">
        <v>2</v>
      </c>
      <c r="N416" s="112">
        <v>1</v>
      </c>
      <c r="O416" s="112">
        <v>2</v>
      </c>
    </row>
    <row r="417" spans="1:15" x14ac:dyDescent="0.2">
      <c r="A417" s="111">
        <v>434</v>
      </c>
      <c r="B417" s="421" t="s">
        <v>400</v>
      </c>
      <c r="C417" s="421" t="s">
        <v>537</v>
      </c>
      <c r="D417" s="422" t="s">
        <v>666</v>
      </c>
      <c r="E417" s="111">
        <v>14624</v>
      </c>
      <c r="F417" s="421" t="s">
        <v>959</v>
      </c>
    </row>
    <row r="418" spans="1:15" x14ac:dyDescent="0.2">
      <c r="A418" s="111">
        <v>435</v>
      </c>
      <c r="B418" s="421" t="s">
        <v>401</v>
      </c>
      <c r="C418" s="421" t="s">
        <v>547</v>
      </c>
      <c r="D418" s="422" t="s">
        <v>663</v>
      </c>
      <c r="F418" s="421" t="s">
        <v>960</v>
      </c>
      <c r="G418" s="112">
        <v>1</v>
      </c>
    </row>
    <row r="419" spans="1:15" x14ac:dyDescent="0.2">
      <c r="A419" s="111">
        <v>436</v>
      </c>
      <c r="B419" s="421" t="s">
        <v>402</v>
      </c>
      <c r="C419" s="421" t="s">
        <v>507</v>
      </c>
      <c r="D419" s="422" t="s">
        <v>663</v>
      </c>
      <c r="F419" s="421" t="s">
        <v>961</v>
      </c>
    </row>
    <row r="420" spans="1:15" x14ac:dyDescent="0.2">
      <c r="A420" s="111">
        <v>437</v>
      </c>
      <c r="B420" s="421" t="s">
        <v>403</v>
      </c>
      <c r="C420" s="421" t="s">
        <v>504</v>
      </c>
      <c r="D420" s="422" t="s">
        <v>663</v>
      </c>
      <c r="E420" s="111">
        <v>14236</v>
      </c>
      <c r="F420" s="421" t="s">
        <v>962</v>
      </c>
      <c r="G420" s="112">
        <v>2</v>
      </c>
      <c r="H420" s="112">
        <v>1</v>
      </c>
      <c r="I420" s="112">
        <v>1</v>
      </c>
      <c r="J420" s="112">
        <v>1</v>
      </c>
      <c r="K420" s="112">
        <v>1</v>
      </c>
      <c r="L420" s="112">
        <v>1</v>
      </c>
    </row>
    <row r="421" spans="1:15" x14ac:dyDescent="0.2">
      <c r="A421" s="111">
        <v>438</v>
      </c>
      <c r="B421" s="421" t="s">
        <v>404</v>
      </c>
      <c r="C421" s="421" t="s">
        <v>506</v>
      </c>
      <c r="D421" s="422" t="s">
        <v>663</v>
      </c>
      <c r="E421" s="111">
        <v>14237</v>
      </c>
      <c r="F421" s="421" t="s">
        <v>963</v>
      </c>
      <c r="G421" s="112">
        <v>2</v>
      </c>
      <c r="H421" s="112">
        <v>1</v>
      </c>
      <c r="I421" s="112">
        <v>3</v>
      </c>
      <c r="J421" s="112">
        <v>4</v>
      </c>
      <c r="K421" s="112">
        <v>4</v>
      </c>
      <c r="L421" s="112">
        <v>6</v>
      </c>
      <c r="M421" s="112">
        <v>2</v>
      </c>
    </row>
    <row r="422" spans="1:15" x14ac:dyDescent="0.2">
      <c r="A422" s="111">
        <v>439</v>
      </c>
      <c r="B422" s="421" t="s">
        <v>405</v>
      </c>
      <c r="C422" s="421" t="s">
        <v>502</v>
      </c>
      <c r="D422" s="422" t="s">
        <v>666</v>
      </c>
      <c r="E422" s="111">
        <v>14189</v>
      </c>
      <c r="F422" s="421" t="s">
        <v>672</v>
      </c>
      <c r="G422" s="112">
        <v>4</v>
      </c>
      <c r="H422" s="112">
        <v>1</v>
      </c>
      <c r="I422" s="112">
        <v>1</v>
      </c>
      <c r="J422" s="112">
        <v>8</v>
      </c>
      <c r="K422" s="112">
        <v>9</v>
      </c>
      <c r="L422" s="112">
        <v>9</v>
      </c>
      <c r="M422" s="112">
        <v>5</v>
      </c>
      <c r="N422" s="112">
        <v>3</v>
      </c>
      <c r="O422" s="112">
        <v>3</v>
      </c>
    </row>
    <row r="423" spans="1:15" x14ac:dyDescent="0.2">
      <c r="A423" s="111">
        <v>440</v>
      </c>
      <c r="B423" s="421" t="s">
        <v>406</v>
      </c>
      <c r="C423" s="421" t="s">
        <v>574</v>
      </c>
      <c r="D423" s="422" t="s">
        <v>663</v>
      </c>
      <c r="E423" s="111">
        <v>14128</v>
      </c>
      <c r="F423" s="421" t="s">
        <v>964</v>
      </c>
      <c r="G423" s="112">
        <v>1</v>
      </c>
      <c r="H423" s="112">
        <v>1</v>
      </c>
      <c r="I423" s="112">
        <v>1</v>
      </c>
      <c r="L423" s="112">
        <v>1</v>
      </c>
    </row>
    <row r="424" spans="1:15" x14ac:dyDescent="0.2">
      <c r="A424" s="111">
        <v>441</v>
      </c>
      <c r="B424" s="421" t="s">
        <v>407</v>
      </c>
      <c r="C424" s="421" t="s">
        <v>574</v>
      </c>
      <c r="D424" s="422" t="s">
        <v>663</v>
      </c>
      <c r="E424" s="111">
        <v>14128</v>
      </c>
      <c r="F424" s="421" t="s">
        <v>964</v>
      </c>
      <c r="G424" s="112">
        <v>1</v>
      </c>
      <c r="H424" s="112">
        <v>2</v>
      </c>
      <c r="I424" s="112">
        <v>1</v>
      </c>
      <c r="J424" s="112">
        <v>2</v>
      </c>
      <c r="K424" s="112">
        <v>3</v>
      </c>
      <c r="L424" s="112">
        <v>3</v>
      </c>
    </row>
    <row r="425" spans="1:15" x14ac:dyDescent="0.2">
      <c r="A425" s="111">
        <v>442</v>
      </c>
      <c r="B425" s="421" t="s">
        <v>408</v>
      </c>
      <c r="C425" s="421" t="s">
        <v>537</v>
      </c>
      <c r="D425" s="422" t="s">
        <v>663</v>
      </c>
      <c r="F425" s="421" t="s">
        <v>965</v>
      </c>
      <c r="G425" s="112">
        <v>2</v>
      </c>
      <c r="H425" s="112">
        <v>1</v>
      </c>
    </row>
    <row r="426" spans="1:15" x14ac:dyDescent="0.2">
      <c r="A426" s="111">
        <v>443</v>
      </c>
      <c r="B426" s="421" t="s">
        <v>409</v>
      </c>
      <c r="C426" s="421" t="s">
        <v>502</v>
      </c>
      <c r="D426" s="422" t="s">
        <v>666</v>
      </c>
      <c r="E426" s="111">
        <v>141</v>
      </c>
      <c r="F426" s="421" t="s">
        <v>966</v>
      </c>
      <c r="G426" s="112">
        <v>1</v>
      </c>
      <c r="H426" s="112">
        <v>1</v>
      </c>
      <c r="I426" s="112">
        <v>1</v>
      </c>
      <c r="J426" s="112">
        <v>3</v>
      </c>
      <c r="K426" s="112">
        <v>1</v>
      </c>
      <c r="L426" s="112">
        <v>1</v>
      </c>
    </row>
    <row r="427" spans="1:15" x14ac:dyDescent="0.2">
      <c r="A427" s="111">
        <v>444</v>
      </c>
      <c r="B427" s="421" t="s">
        <v>126</v>
      </c>
      <c r="C427" s="421" t="s">
        <v>522</v>
      </c>
      <c r="D427" s="422" t="s">
        <v>666</v>
      </c>
      <c r="E427" s="111">
        <v>14243</v>
      </c>
      <c r="F427" s="421" t="s">
        <v>967</v>
      </c>
      <c r="G427" s="112">
        <v>1</v>
      </c>
      <c r="H427" s="112">
        <v>1</v>
      </c>
      <c r="I427" s="112">
        <v>1</v>
      </c>
      <c r="J427" s="112">
        <v>1</v>
      </c>
      <c r="K427" s="112">
        <v>1</v>
      </c>
      <c r="L427" s="112">
        <v>1</v>
      </c>
    </row>
    <row r="428" spans="1:15" x14ac:dyDescent="0.2">
      <c r="A428" s="111">
        <v>445</v>
      </c>
      <c r="B428" s="421" t="s">
        <v>410</v>
      </c>
      <c r="C428" s="421" t="s">
        <v>503</v>
      </c>
      <c r="D428" s="422" t="s">
        <v>666</v>
      </c>
      <c r="E428" s="111">
        <v>14631</v>
      </c>
      <c r="F428" s="421" t="s">
        <v>968</v>
      </c>
      <c r="G428" s="112">
        <v>1</v>
      </c>
      <c r="H428" s="112">
        <v>1</v>
      </c>
      <c r="I428" s="112">
        <v>1</v>
      </c>
    </row>
    <row r="429" spans="1:15" x14ac:dyDescent="0.2">
      <c r="A429" s="111">
        <v>446</v>
      </c>
      <c r="B429" s="421" t="s">
        <v>411</v>
      </c>
      <c r="C429" s="421" t="s">
        <v>526</v>
      </c>
      <c r="D429" s="422" t="s">
        <v>666</v>
      </c>
      <c r="E429" s="111">
        <v>15069</v>
      </c>
      <c r="F429" s="421" t="s">
        <v>969</v>
      </c>
      <c r="G429" s="112">
        <v>2</v>
      </c>
      <c r="H429" s="112">
        <v>1</v>
      </c>
      <c r="I429" s="112">
        <v>1</v>
      </c>
      <c r="J429" s="112">
        <v>7</v>
      </c>
      <c r="K429" s="112">
        <v>7</v>
      </c>
      <c r="L429" s="112">
        <v>7</v>
      </c>
      <c r="M429" s="112">
        <v>4</v>
      </c>
      <c r="N429" s="112">
        <v>3</v>
      </c>
      <c r="O429" s="112">
        <v>3</v>
      </c>
    </row>
    <row r="430" spans="1:15" x14ac:dyDescent="0.2">
      <c r="A430" s="111">
        <v>447</v>
      </c>
      <c r="B430" s="421" t="s">
        <v>412</v>
      </c>
      <c r="C430" s="421" t="s">
        <v>577</v>
      </c>
      <c r="D430" s="422" t="s">
        <v>666</v>
      </c>
      <c r="E430" s="111">
        <v>14245</v>
      </c>
      <c r="F430" s="421" t="s">
        <v>970</v>
      </c>
      <c r="G430" s="112">
        <v>1</v>
      </c>
      <c r="H430" s="112">
        <v>1</v>
      </c>
      <c r="I430" s="112">
        <v>1</v>
      </c>
    </row>
    <row r="431" spans="1:15" x14ac:dyDescent="0.2">
      <c r="A431" s="111">
        <v>448</v>
      </c>
      <c r="B431" s="421" t="s">
        <v>413</v>
      </c>
      <c r="C431" s="421" t="s">
        <v>577</v>
      </c>
      <c r="D431" s="422" t="s">
        <v>666</v>
      </c>
      <c r="E431" s="111">
        <v>14245</v>
      </c>
      <c r="F431" s="421" t="s">
        <v>970</v>
      </c>
      <c r="G431" s="112">
        <v>1</v>
      </c>
      <c r="H431" s="112">
        <v>1</v>
      </c>
      <c r="I431" s="112">
        <v>1</v>
      </c>
      <c r="J431" s="112">
        <v>1</v>
      </c>
      <c r="K431" s="112">
        <v>1</v>
      </c>
      <c r="L431" s="112">
        <v>1</v>
      </c>
      <c r="M431" s="112">
        <v>1</v>
      </c>
      <c r="N431" s="112">
        <v>1</v>
      </c>
    </row>
    <row r="432" spans="1:15" x14ac:dyDescent="0.2">
      <c r="A432" s="111">
        <v>449</v>
      </c>
      <c r="B432" s="421" t="s">
        <v>414</v>
      </c>
      <c r="C432" s="421" t="s">
        <v>583</v>
      </c>
      <c r="D432" s="422" t="s">
        <v>666</v>
      </c>
      <c r="E432" s="111">
        <v>14244</v>
      </c>
      <c r="F432" s="421" t="s">
        <v>971</v>
      </c>
      <c r="G432" s="112">
        <v>1</v>
      </c>
      <c r="H432" s="112">
        <v>1</v>
      </c>
      <c r="I432" s="112">
        <v>1</v>
      </c>
      <c r="J432" s="112">
        <v>10</v>
      </c>
      <c r="K432" s="112">
        <v>7</v>
      </c>
      <c r="L432" s="112">
        <v>10</v>
      </c>
      <c r="M432" s="112">
        <v>3</v>
      </c>
      <c r="N432" s="112">
        <v>3</v>
      </c>
      <c r="O432" s="112">
        <v>3</v>
      </c>
    </row>
    <row r="433" spans="1:15" x14ac:dyDescent="0.2">
      <c r="A433" s="111">
        <v>450</v>
      </c>
      <c r="B433" s="421" t="s">
        <v>415</v>
      </c>
      <c r="C433" s="421" t="s">
        <v>583</v>
      </c>
      <c r="D433" s="422" t="s">
        <v>666</v>
      </c>
      <c r="E433" s="111">
        <v>14244</v>
      </c>
      <c r="F433" s="421" t="s">
        <v>971</v>
      </c>
      <c r="G433" s="112">
        <v>1</v>
      </c>
      <c r="H433" s="112">
        <v>1</v>
      </c>
      <c r="I433" s="112">
        <v>1</v>
      </c>
      <c r="J433" s="112">
        <v>7</v>
      </c>
      <c r="K433" s="112">
        <v>8</v>
      </c>
      <c r="L433" s="112">
        <v>8</v>
      </c>
      <c r="M433" s="112">
        <v>3</v>
      </c>
      <c r="N433" s="112">
        <v>3</v>
      </c>
      <c r="O433" s="112">
        <v>5</v>
      </c>
    </row>
    <row r="434" spans="1:15" x14ac:dyDescent="0.2">
      <c r="A434" s="111">
        <v>451</v>
      </c>
      <c r="B434" s="421" t="s">
        <v>416</v>
      </c>
      <c r="C434" s="421" t="s">
        <v>501</v>
      </c>
      <c r="D434" s="422" t="s">
        <v>663</v>
      </c>
      <c r="E434" s="111">
        <v>15683</v>
      </c>
      <c r="F434" s="421" t="s">
        <v>972</v>
      </c>
    </row>
    <row r="435" spans="1:15" x14ac:dyDescent="0.2">
      <c r="A435" s="111">
        <v>452</v>
      </c>
      <c r="B435" s="421" t="s">
        <v>417</v>
      </c>
      <c r="C435" s="421" t="s">
        <v>4162</v>
      </c>
      <c r="D435" s="422" t="s">
        <v>666</v>
      </c>
      <c r="E435" s="111">
        <v>14246</v>
      </c>
      <c r="F435" s="421" t="s">
        <v>911</v>
      </c>
    </row>
    <row r="436" spans="1:15" x14ac:dyDescent="0.2">
      <c r="A436" s="111">
        <v>453</v>
      </c>
      <c r="B436" s="421" t="s">
        <v>39</v>
      </c>
      <c r="C436" s="421" t="s">
        <v>550</v>
      </c>
      <c r="D436" s="422" t="s">
        <v>663</v>
      </c>
      <c r="E436" s="111">
        <v>14482</v>
      </c>
      <c r="F436" s="421" t="s">
        <v>877</v>
      </c>
    </row>
    <row r="437" spans="1:15" x14ac:dyDescent="0.2">
      <c r="A437" s="111">
        <v>454</v>
      </c>
      <c r="B437" s="421" t="s">
        <v>418</v>
      </c>
      <c r="C437" s="421" t="s">
        <v>584</v>
      </c>
      <c r="D437" s="422" t="s">
        <v>663</v>
      </c>
      <c r="E437" s="111">
        <v>14207</v>
      </c>
      <c r="F437" s="421" t="s">
        <v>973</v>
      </c>
      <c r="G437" s="112">
        <v>1</v>
      </c>
      <c r="H437" s="112">
        <v>1</v>
      </c>
      <c r="I437" s="112">
        <v>1</v>
      </c>
      <c r="J437" s="112">
        <v>1</v>
      </c>
      <c r="K437" s="112">
        <v>1</v>
      </c>
    </row>
    <row r="438" spans="1:15" x14ac:dyDescent="0.2">
      <c r="A438" s="111">
        <v>455</v>
      </c>
      <c r="B438" s="421" t="s">
        <v>419</v>
      </c>
      <c r="C438" s="421" t="s">
        <v>509</v>
      </c>
      <c r="D438" s="422" t="s">
        <v>666</v>
      </c>
      <c r="E438" s="111">
        <v>14207</v>
      </c>
      <c r="F438" s="421" t="s">
        <v>973</v>
      </c>
      <c r="G438" s="112">
        <v>1</v>
      </c>
      <c r="H438" s="112">
        <v>1</v>
      </c>
      <c r="I438" s="112">
        <v>1</v>
      </c>
      <c r="J438" s="112">
        <v>2</v>
      </c>
      <c r="K438" s="112">
        <v>1</v>
      </c>
      <c r="L438" s="112">
        <v>1</v>
      </c>
      <c r="M438" s="112">
        <v>1</v>
      </c>
      <c r="N438" s="112">
        <v>1</v>
      </c>
      <c r="O438" s="112">
        <v>1</v>
      </c>
    </row>
    <row r="439" spans="1:15" x14ac:dyDescent="0.2">
      <c r="A439" s="111">
        <v>456</v>
      </c>
      <c r="B439" s="421" t="s">
        <v>420</v>
      </c>
      <c r="C439" s="421" t="s">
        <v>570</v>
      </c>
      <c r="D439" s="422" t="s">
        <v>666</v>
      </c>
      <c r="E439" s="111">
        <v>14692</v>
      </c>
      <c r="F439" s="421" t="s">
        <v>974</v>
      </c>
      <c r="G439" s="112">
        <v>1</v>
      </c>
      <c r="H439" s="112">
        <v>1</v>
      </c>
      <c r="I439" s="112">
        <v>1</v>
      </c>
      <c r="J439" s="112">
        <v>1</v>
      </c>
      <c r="K439" s="112">
        <v>1</v>
      </c>
      <c r="L439" s="112">
        <v>1</v>
      </c>
    </row>
    <row r="440" spans="1:15" x14ac:dyDescent="0.2">
      <c r="A440" s="111">
        <v>457</v>
      </c>
      <c r="B440" s="421" t="s">
        <v>421</v>
      </c>
      <c r="C440" s="421" t="s">
        <v>585</v>
      </c>
      <c r="D440" s="422" t="s">
        <v>663</v>
      </c>
      <c r="F440" s="421" t="s">
        <v>975</v>
      </c>
      <c r="G440" s="112">
        <v>1</v>
      </c>
      <c r="H440" s="112">
        <v>1</v>
      </c>
      <c r="I440" s="112">
        <v>1</v>
      </c>
    </row>
    <row r="441" spans="1:15" x14ac:dyDescent="0.2">
      <c r="A441" s="111">
        <v>458</v>
      </c>
      <c r="B441" s="421" t="s">
        <v>422</v>
      </c>
      <c r="C441" s="421" t="s">
        <v>508</v>
      </c>
      <c r="D441" s="422" t="s">
        <v>663</v>
      </c>
      <c r="E441" s="111">
        <v>14248</v>
      </c>
      <c r="F441" s="421" t="s">
        <v>976</v>
      </c>
      <c r="G441" s="112">
        <v>1</v>
      </c>
      <c r="H441" s="112">
        <v>1</v>
      </c>
      <c r="I441" s="112">
        <v>1</v>
      </c>
      <c r="J441" s="112">
        <v>2</v>
      </c>
      <c r="K441" s="112">
        <v>3</v>
      </c>
      <c r="L441" s="112">
        <v>2</v>
      </c>
      <c r="M441" s="112">
        <v>1</v>
      </c>
      <c r="N441" s="112">
        <v>1</v>
      </c>
    </row>
    <row r="442" spans="1:15" x14ac:dyDescent="0.2">
      <c r="A442" s="111">
        <v>459</v>
      </c>
      <c r="B442" s="421" t="s">
        <v>423</v>
      </c>
      <c r="C442" s="421" t="s">
        <v>513</v>
      </c>
      <c r="D442" s="422" t="s">
        <v>663</v>
      </c>
      <c r="E442" s="111">
        <v>14335</v>
      </c>
      <c r="F442" s="421" t="s">
        <v>977</v>
      </c>
      <c r="G442" s="112">
        <v>1</v>
      </c>
      <c r="H442" s="112">
        <v>1</v>
      </c>
      <c r="I442" s="112">
        <v>1</v>
      </c>
      <c r="J442" s="112">
        <v>4</v>
      </c>
      <c r="K442" s="112">
        <v>5</v>
      </c>
      <c r="L442" s="112">
        <v>6</v>
      </c>
      <c r="M442" s="112">
        <v>1</v>
      </c>
      <c r="N442" s="112">
        <v>2</v>
      </c>
    </row>
    <row r="443" spans="1:15" x14ac:dyDescent="0.2">
      <c r="A443" s="111">
        <v>460</v>
      </c>
      <c r="B443" s="421" t="s">
        <v>392</v>
      </c>
      <c r="C443" s="421" t="s">
        <v>513</v>
      </c>
      <c r="D443" s="422" t="s">
        <v>666</v>
      </c>
      <c r="E443" s="111">
        <v>14335</v>
      </c>
      <c r="F443" s="421" t="s">
        <v>977</v>
      </c>
      <c r="G443" s="112">
        <v>1</v>
      </c>
      <c r="H443" s="112">
        <v>1</v>
      </c>
      <c r="I443" s="112">
        <v>1</v>
      </c>
      <c r="J443" s="112">
        <v>8</v>
      </c>
      <c r="K443" s="112">
        <v>6</v>
      </c>
      <c r="L443" s="112">
        <v>5</v>
      </c>
    </row>
    <row r="444" spans="1:15" x14ac:dyDescent="0.2">
      <c r="A444" s="111">
        <v>461</v>
      </c>
      <c r="B444" s="421" t="s">
        <v>424</v>
      </c>
      <c r="C444" s="421" t="s">
        <v>574</v>
      </c>
      <c r="D444" s="422"/>
      <c r="E444" s="111">
        <v>14128</v>
      </c>
      <c r="F444" s="421" t="s">
        <v>964</v>
      </c>
      <c r="G444" s="112">
        <v>1</v>
      </c>
    </row>
    <row r="445" spans="1:15" x14ac:dyDescent="0.2">
      <c r="A445" s="111">
        <v>462</v>
      </c>
      <c r="B445" s="421" t="s">
        <v>425</v>
      </c>
      <c r="C445" s="421" t="s">
        <v>574</v>
      </c>
      <c r="D445" s="422"/>
      <c r="E445" s="111">
        <v>14128</v>
      </c>
      <c r="F445" s="421" t="s">
        <v>964</v>
      </c>
      <c r="G445" s="112">
        <v>2</v>
      </c>
      <c r="H445" s="112">
        <v>2</v>
      </c>
      <c r="I445" s="112">
        <v>1</v>
      </c>
    </row>
    <row r="446" spans="1:15" x14ac:dyDescent="0.2">
      <c r="A446" s="111">
        <v>463</v>
      </c>
      <c r="B446" s="421" t="s">
        <v>426</v>
      </c>
      <c r="C446" s="421" t="s">
        <v>574</v>
      </c>
      <c r="D446" s="422"/>
      <c r="E446" s="111">
        <v>14128</v>
      </c>
      <c r="F446" s="421" t="s">
        <v>964</v>
      </c>
      <c r="G446" s="112">
        <v>1</v>
      </c>
      <c r="H446" s="112">
        <v>1</v>
      </c>
      <c r="I446" s="112">
        <v>1</v>
      </c>
      <c r="J446" s="112">
        <v>1</v>
      </c>
      <c r="K446" s="112">
        <v>1</v>
      </c>
      <c r="L446" s="112">
        <v>1</v>
      </c>
    </row>
    <row r="447" spans="1:15" x14ac:dyDescent="0.2">
      <c r="A447" s="111">
        <v>464</v>
      </c>
      <c r="B447" s="421" t="s">
        <v>128</v>
      </c>
      <c r="C447" s="421" t="s">
        <v>563</v>
      </c>
      <c r="D447" s="422" t="s">
        <v>663</v>
      </c>
      <c r="E447" s="111">
        <v>14250</v>
      </c>
      <c r="F447" s="421" t="s">
        <v>978</v>
      </c>
      <c r="G447" s="112">
        <v>2</v>
      </c>
      <c r="H447" s="112">
        <v>1</v>
      </c>
      <c r="I447" s="112">
        <v>1</v>
      </c>
      <c r="J447" s="112">
        <v>7</v>
      </c>
      <c r="K447" s="112">
        <v>7</v>
      </c>
      <c r="L447" s="112">
        <v>7</v>
      </c>
      <c r="M447" s="112">
        <v>3</v>
      </c>
      <c r="N447" s="112">
        <v>2</v>
      </c>
      <c r="O447" s="112">
        <v>3</v>
      </c>
    </row>
    <row r="448" spans="1:15" x14ac:dyDescent="0.2">
      <c r="A448" s="111">
        <v>465</v>
      </c>
      <c r="B448" s="421" t="s">
        <v>427</v>
      </c>
      <c r="C448" s="421" t="s">
        <v>506</v>
      </c>
      <c r="D448" s="422" t="s">
        <v>666</v>
      </c>
      <c r="E448" s="111">
        <v>14628</v>
      </c>
      <c r="F448" s="421" t="s">
        <v>2108</v>
      </c>
      <c r="G448" s="112">
        <v>1</v>
      </c>
      <c r="H448" s="112">
        <v>1</v>
      </c>
      <c r="I448" s="112">
        <v>1</v>
      </c>
      <c r="J448" s="112">
        <v>1</v>
      </c>
      <c r="K448" s="112">
        <v>1</v>
      </c>
      <c r="L448" s="112">
        <v>2</v>
      </c>
      <c r="M448" s="112">
        <v>2</v>
      </c>
      <c r="O448" s="112">
        <v>2</v>
      </c>
    </row>
    <row r="449" spans="1:15" x14ac:dyDescent="0.2">
      <c r="A449" s="111">
        <v>466</v>
      </c>
      <c r="B449" s="421" t="s">
        <v>428</v>
      </c>
      <c r="C449" s="421" t="s">
        <v>586</v>
      </c>
      <c r="D449" s="422" t="s">
        <v>663</v>
      </c>
      <c r="F449" s="421" t="s">
        <v>979</v>
      </c>
      <c r="G449" s="112">
        <v>1</v>
      </c>
      <c r="H449" s="112">
        <v>1</v>
      </c>
      <c r="I449" s="112">
        <v>1</v>
      </c>
      <c r="J449" s="112">
        <v>1</v>
      </c>
      <c r="K449" s="112">
        <v>2</v>
      </c>
      <c r="L449" s="112">
        <v>1</v>
      </c>
      <c r="N449" s="112">
        <v>1</v>
      </c>
    </row>
    <row r="450" spans="1:15" x14ac:dyDescent="0.2">
      <c r="A450" s="111">
        <v>467</v>
      </c>
      <c r="B450" s="421" t="s">
        <v>429</v>
      </c>
      <c r="C450" s="421" t="s">
        <v>577</v>
      </c>
      <c r="D450" s="422" t="s">
        <v>666</v>
      </c>
      <c r="E450" s="111">
        <v>14253</v>
      </c>
      <c r="F450" s="421" t="s">
        <v>980</v>
      </c>
      <c r="G450" s="112">
        <v>2</v>
      </c>
      <c r="H450" s="112">
        <v>1</v>
      </c>
      <c r="I450" s="112">
        <v>1</v>
      </c>
    </row>
    <row r="451" spans="1:15" x14ac:dyDescent="0.2">
      <c r="A451" s="111">
        <v>468</v>
      </c>
      <c r="B451" s="421" t="s">
        <v>430</v>
      </c>
      <c r="C451" s="421" t="s">
        <v>587</v>
      </c>
      <c r="D451" s="422" t="s">
        <v>666</v>
      </c>
      <c r="E451" s="111">
        <v>14253</v>
      </c>
      <c r="F451" s="421" t="s">
        <v>980</v>
      </c>
      <c r="G451" s="112">
        <v>1</v>
      </c>
      <c r="H451" s="112">
        <v>1</v>
      </c>
      <c r="I451" s="112">
        <v>1</v>
      </c>
      <c r="J451" s="112">
        <v>8</v>
      </c>
      <c r="K451" s="112">
        <v>7</v>
      </c>
      <c r="L451" s="112">
        <v>7</v>
      </c>
      <c r="M451" s="112">
        <v>5</v>
      </c>
      <c r="N451" s="112">
        <v>3</v>
      </c>
      <c r="O451" s="112">
        <v>3</v>
      </c>
    </row>
    <row r="452" spans="1:15" x14ac:dyDescent="0.2">
      <c r="A452" s="111">
        <v>469</v>
      </c>
      <c r="B452" s="421" t="s">
        <v>415</v>
      </c>
      <c r="C452" s="421" t="s">
        <v>547</v>
      </c>
      <c r="D452" s="422" t="s">
        <v>666</v>
      </c>
      <c r="E452" s="111">
        <v>14764</v>
      </c>
      <c r="F452" s="421" t="s">
        <v>981</v>
      </c>
      <c r="G452" s="112">
        <v>1</v>
      </c>
      <c r="H452" s="112">
        <v>1</v>
      </c>
      <c r="I452" s="112">
        <v>1</v>
      </c>
      <c r="J452" s="112">
        <v>2</v>
      </c>
      <c r="K452" s="112">
        <v>1</v>
      </c>
      <c r="L452" s="112">
        <v>1</v>
      </c>
    </row>
    <row r="453" spans="1:15" x14ac:dyDescent="0.2">
      <c r="A453" s="111">
        <v>470</v>
      </c>
      <c r="B453" s="421" t="s">
        <v>336</v>
      </c>
      <c r="C453" s="421" t="s">
        <v>506</v>
      </c>
      <c r="D453" s="422" t="s">
        <v>663</v>
      </c>
      <c r="E453" s="111">
        <v>14154</v>
      </c>
      <c r="F453" s="421" t="s">
        <v>850</v>
      </c>
      <c r="G453" s="112">
        <v>1</v>
      </c>
      <c r="H453" s="112">
        <v>2</v>
      </c>
      <c r="I453" s="112">
        <v>2</v>
      </c>
      <c r="J453" s="112">
        <v>4</v>
      </c>
      <c r="K453" s="112">
        <v>4</v>
      </c>
      <c r="L453" s="112">
        <v>6</v>
      </c>
      <c r="M453" s="112">
        <v>1</v>
      </c>
      <c r="N453" s="112">
        <v>2</v>
      </c>
      <c r="O453" s="112">
        <v>1</v>
      </c>
    </row>
    <row r="454" spans="1:15" x14ac:dyDescent="0.2">
      <c r="A454" s="111">
        <v>471</v>
      </c>
      <c r="B454" s="421" t="s">
        <v>431</v>
      </c>
      <c r="C454" s="421" t="s">
        <v>574</v>
      </c>
      <c r="D454" s="422" t="s">
        <v>666</v>
      </c>
      <c r="E454" s="111">
        <v>14388</v>
      </c>
      <c r="F454" s="421" t="s">
        <v>982</v>
      </c>
      <c r="G454" s="112">
        <v>3</v>
      </c>
      <c r="H454" s="112">
        <v>2</v>
      </c>
      <c r="I454" s="112">
        <v>2</v>
      </c>
    </row>
    <row r="455" spans="1:15" x14ac:dyDescent="0.2">
      <c r="A455" s="111">
        <v>472</v>
      </c>
      <c r="B455" s="421" t="s">
        <v>368</v>
      </c>
      <c r="C455" s="421" t="s">
        <v>588</v>
      </c>
      <c r="D455" s="422" t="s">
        <v>663</v>
      </c>
      <c r="E455" s="111">
        <v>14388</v>
      </c>
      <c r="F455" s="421" t="s">
        <v>982</v>
      </c>
      <c r="G455" s="112">
        <v>1</v>
      </c>
      <c r="H455" s="112">
        <v>2</v>
      </c>
      <c r="I455" s="112">
        <v>2</v>
      </c>
    </row>
    <row r="456" spans="1:15" x14ac:dyDescent="0.2">
      <c r="A456" s="111">
        <v>473</v>
      </c>
      <c r="B456" s="421" t="s">
        <v>432</v>
      </c>
      <c r="C456" s="421" t="s">
        <v>506</v>
      </c>
      <c r="D456" s="422" t="s">
        <v>663</v>
      </c>
      <c r="E456" s="111">
        <v>14252</v>
      </c>
      <c r="F456" s="421" t="s">
        <v>4673</v>
      </c>
      <c r="G456" s="112">
        <v>1</v>
      </c>
      <c r="H456" s="112">
        <v>1</v>
      </c>
      <c r="I456" s="112">
        <v>1</v>
      </c>
      <c r="J456" s="112">
        <v>5</v>
      </c>
      <c r="K456" s="112">
        <v>2</v>
      </c>
      <c r="L456" s="112">
        <v>2</v>
      </c>
      <c r="M456" s="112">
        <v>2</v>
      </c>
      <c r="N456" s="112">
        <v>1</v>
      </c>
      <c r="O456" s="112">
        <v>1</v>
      </c>
    </row>
    <row r="457" spans="1:15" x14ac:dyDescent="0.2">
      <c r="A457" s="111">
        <v>474</v>
      </c>
      <c r="B457" s="421" t="s">
        <v>433</v>
      </c>
      <c r="C457" s="421" t="s">
        <v>506</v>
      </c>
      <c r="D457" s="422" t="s">
        <v>666</v>
      </c>
      <c r="E457" s="111">
        <v>14252</v>
      </c>
      <c r="F457" s="421" t="s">
        <v>4673</v>
      </c>
      <c r="G457" s="112">
        <v>1</v>
      </c>
      <c r="H457" s="112">
        <v>1</v>
      </c>
      <c r="I457" s="112">
        <v>1</v>
      </c>
      <c r="J457" s="112">
        <v>9</v>
      </c>
      <c r="K457" s="112">
        <v>7</v>
      </c>
      <c r="L457" s="112">
        <v>7</v>
      </c>
      <c r="M457" s="112">
        <v>5</v>
      </c>
      <c r="N457" s="112">
        <v>3</v>
      </c>
      <c r="O457" s="112">
        <v>5</v>
      </c>
    </row>
    <row r="458" spans="1:15" x14ac:dyDescent="0.2">
      <c r="A458" s="111">
        <v>475</v>
      </c>
      <c r="B458" s="421" t="s">
        <v>434</v>
      </c>
      <c r="C458" s="421" t="s">
        <v>506</v>
      </c>
      <c r="D458" s="422" t="s">
        <v>666</v>
      </c>
      <c r="E458" s="111">
        <v>15451</v>
      </c>
      <c r="F458" s="421" t="s">
        <v>983</v>
      </c>
      <c r="G458" s="112">
        <v>1</v>
      </c>
      <c r="H458" s="112">
        <v>1</v>
      </c>
      <c r="I458" s="112">
        <v>1</v>
      </c>
      <c r="J458" s="112">
        <v>1</v>
      </c>
      <c r="K458" s="112">
        <v>1</v>
      </c>
      <c r="L458" s="112">
        <v>1</v>
      </c>
    </row>
    <row r="459" spans="1:15" x14ac:dyDescent="0.2">
      <c r="A459" s="111">
        <v>476</v>
      </c>
      <c r="B459" s="421" t="s">
        <v>435</v>
      </c>
      <c r="C459" s="421" t="s">
        <v>501</v>
      </c>
      <c r="D459" s="422" t="s">
        <v>663</v>
      </c>
      <c r="F459" s="421" t="s">
        <v>984</v>
      </c>
    </row>
    <row r="460" spans="1:15" x14ac:dyDescent="0.2">
      <c r="A460" s="111">
        <v>477</v>
      </c>
      <c r="B460" s="421" t="s">
        <v>436</v>
      </c>
      <c r="C460" s="421" t="s">
        <v>503</v>
      </c>
      <c r="D460" s="422" t="s">
        <v>666</v>
      </c>
      <c r="F460" s="421" t="s">
        <v>985</v>
      </c>
    </row>
    <row r="461" spans="1:15" x14ac:dyDescent="0.2">
      <c r="A461" s="111">
        <v>478</v>
      </c>
      <c r="B461" s="421" t="s">
        <v>437</v>
      </c>
      <c r="C461" s="421" t="s">
        <v>506</v>
      </c>
      <c r="D461" s="422" t="s">
        <v>663</v>
      </c>
      <c r="E461" s="111">
        <v>14331</v>
      </c>
      <c r="F461" s="421" t="s">
        <v>986</v>
      </c>
      <c r="G461" s="112">
        <v>1</v>
      </c>
      <c r="H461" s="112">
        <v>1</v>
      </c>
      <c r="I461" s="112">
        <v>1</v>
      </c>
      <c r="J461" s="112">
        <v>15</v>
      </c>
      <c r="K461" s="112">
        <v>14</v>
      </c>
      <c r="L461" s="112">
        <v>13</v>
      </c>
      <c r="M461" s="112">
        <v>15</v>
      </c>
      <c r="N461" s="112">
        <v>11</v>
      </c>
      <c r="O461" s="112">
        <v>12</v>
      </c>
    </row>
    <row r="462" spans="1:15" x14ac:dyDescent="0.2">
      <c r="A462" s="111">
        <v>479</v>
      </c>
      <c r="B462" s="421" t="s">
        <v>438</v>
      </c>
      <c r="C462" s="421" t="s">
        <v>501</v>
      </c>
      <c r="D462" s="422" t="s">
        <v>663</v>
      </c>
      <c r="F462" s="421" t="s">
        <v>987</v>
      </c>
    </row>
    <row r="463" spans="1:15" x14ac:dyDescent="0.2">
      <c r="A463" s="111">
        <v>480</v>
      </c>
      <c r="B463" s="421" t="s">
        <v>262</v>
      </c>
      <c r="C463" s="421" t="s">
        <v>503</v>
      </c>
      <c r="D463" s="422" t="s">
        <v>663</v>
      </c>
      <c r="E463" s="111">
        <v>14255</v>
      </c>
      <c r="F463" s="421" t="s">
        <v>988</v>
      </c>
      <c r="G463" s="112">
        <v>3</v>
      </c>
      <c r="H463" s="112">
        <v>1</v>
      </c>
      <c r="I463" s="112">
        <v>2</v>
      </c>
      <c r="L463" s="112">
        <v>1</v>
      </c>
    </row>
    <row r="464" spans="1:15" x14ac:dyDescent="0.2">
      <c r="A464" s="111">
        <v>481</v>
      </c>
      <c r="B464" s="421" t="s">
        <v>439</v>
      </c>
      <c r="C464" s="421" t="s">
        <v>548</v>
      </c>
      <c r="D464" s="422" t="s">
        <v>663</v>
      </c>
      <c r="E464" s="111">
        <v>15534</v>
      </c>
      <c r="F464" s="421" t="s">
        <v>989</v>
      </c>
      <c r="G464" s="112">
        <v>1</v>
      </c>
      <c r="H464" s="112">
        <v>1</v>
      </c>
      <c r="I464" s="112">
        <v>1</v>
      </c>
      <c r="J464" s="112">
        <v>1</v>
      </c>
    </row>
    <row r="465" spans="1:15" x14ac:dyDescent="0.2">
      <c r="A465" s="111">
        <v>482</v>
      </c>
      <c r="B465" s="421" t="s">
        <v>440</v>
      </c>
      <c r="C465" s="421" t="s">
        <v>589</v>
      </c>
      <c r="D465" s="422" t="s">
        <v>666</v>
      </c>
      <c r="F465" s="421" t="s">
        <v>990</v>
      </c>
    </row>
    <row r="466" spans="1:15" x14ac:dyDescent="0.2">
      <c r="A466" s="111">
        <v>483</v>
      </c>
      <c r="B466" s="421" t="s">
        <v>441</v>
      </c>
      <c r="C466" s="421" t="s">
        <v>518</v>
      </c>
      <c r="D466" s="422" t="s">
        <v>663</v>
      </c>
      <c r="E466" s="111">
        <v>15973</v>
      </c>
      <c r="F466" s="421" t="s">
        <v>991</v>
      </c>
      <c r="G466" s="112">
        <v>1</v>
      </c>
      <c r="H466" s="112">
        <v>1</v>
      </c>
      <c r="I466" s="112">
        <v>1</v>
      </c>
      <c r="J466" s="112">
        <v>1</v>
      </c>
      <c r="K466" s="112">
        <v>1</v>
      </c>
      <c r="L466" s="112">
        <v>1</v>
      </c>
    </row>
    <row r="467" spans="1:15" x14ac:dyDescent="0.2">
      <c r="A467" s="111">
        <v>484</v>
      </c>
      <c r="B467" s="421" t="s">
        <v>442</v>
      </c>
      <c r="C467" s="421" t="s">
        <v>518</v>
      </c>
      <c r="D467" s="422" t="s">
        <v>666</v>
      </c>
      <c r="E467" s="111">
        <v>15973</v>
      </c>
      <c r="F467" s="421" t="s">
        <v>991</v>
      </c>
      <c r="G467" s="112">
        <v>2</v>
      </c>
      <c r="H467" s="112">
        <v>1</v>
      </c>
      <c r="I467" s="112">
        <v>1</v>
      </c>
      <c r="J467" s="112">
        <v>1</v>
      </c>
      <c r="K467" s="112">
        <v>1</v>
      </c>
      <c r="L467" s="112">
        <v>1</v>
      </c>
    </row>
    <row r="468" spans="1:15" x14ac:dyDescent="0.2">
      <c r="A468" s="111">
        <v>485</v>
      </c>
      <c r="B468" s="421" t="s">
        <v>443</v>
      </c>
      <c r="C468" s="421" t="s">
        <v>547</v>
      </c>
      <c r="D468" s="422" t="s">
        <v>663</v>
      </c>
      <c r="E468" s="111">
        <v>14350</v>
      </c>
      <c r="F468" s="421" t="s">
        <v>992</v>
      </c>
    </row>
    <row r="469" spans="1:15" x14ac:dyDescent="0.2">
      <c r="A469" s="111">
        <v>486</v>
      </c>
      <c r="B469" s="421" t="s">
        <v>444</v>
      </c>
      <c r="C469" s="421" t="s">
        <v>547</v>
      </c>
      <c r="D469" s="422" t="s">
        <v>663</v>
      </c>
      <c r="E469" s="111">
        <v>14350</v>
      </c>
      <c r="F469" s="421" t="s">
        <v>992</v>
      </c>
    </row>
    <row r="470" spans="1:15" x14ac:dyDescent="0.2">
      <c r="A470" s="111">
        <v>487</v>
      </c>
      <c r="B470" s="421" t="s">
        <v>445</v>
      </c>
      <c r="C470" s="421" t="s">
        <v>547</v>
      </c>
      <c r="D470" s="422" t="s">
        <v>663</v>
      </c>
      <c r="E470" s="111">
        <v>14350</v>
      </c>
      <c r="F470" s="421" t="s">
        <v>992</v>
      </c>
      <c r="G470" s="112">
        <v>1</v>
      </c>
      <c r="H470" s="112">
        <v>1</v>
      </c>
      <c r="I470" s="112">
        <v>1</v>
      </c>
    </row>
    <row r="471" spans="1:15" x14ac:dyDescent="0.2">
      <c r="A471" s="111">
        <v>488</v>
      </c>
      <c r="B471" s="421" t="s">
        <v>446</v>
      </c>
      <c r="C471" s="421" t="s">
        <v>563</v>
      </c>
      <c r="D471" s="422" t="s">
        <v>666</v>
      </c>
      <c r="E471" s="111">
        <v>14257</v>
      </c>
      <c r="F471" s="421" t="s">
        <v>993</v>
      </c>
    </row>
    <row r="472" spans="1:15" x14ac:dyDescent="0.2">
      <c r="A472" s="111">
        <v>489</v>
      </c>
      <c r="B472" s="421" t="s">
        <v>447</v>
      </c>
      <c r="C472" s="421" t="s">
        <v>518</v>
      </c>
      <c r="D472" s="422" t="s">
        <v>666</v>
      </c>
      <c r="E472" s="111">
        <v>14242</v>
      </c>
      <c r="F472" s="421" t="s">
        <v>994</v>
      </c>
      <c r="G472" s="112">
        <v>1</v>
      </c>
      <c r="H472" s="112">
        <v>1</v>
      </c>
      <c r="I472" s="112">
        <v>1</v>
      </c>
      <c r="J472" s="112">
        <v>1</v>
      </c>
      <c r="K472" s="112">
        <v>1</v>
      </c>
      <c r="L472" s="112">
        <v>1</v>
      </c>
      <c r="M472" s="112">
        <v>1</v>
      </c>
    </row>
    <row r="473" spans="1:15" x14ac:dyDescent="0.2">
      <c r="A473" s="111">
        <v>490</v>
      </c>
      <c r="B473" s="421" t="s">
        <v>448</v>
      </c>
      <c r="C473" s="421" t="s">
        <v>17459</v>
      </c>
      <c r="D473" s="422" t="s">
        <v>666</v>
      </c>
      <c r="E473" s="111">
        <v>14216</v>
      </c>
      <c r="F473" s="421" t="s">
        <v>995</v>
      </c>
      <c r="G473" s="112">
        <v>1</v>
      </c>
      <c r="H473" s="112">
        <v>1</v>
      </c>
      <c r="I473" s="112">
        <v>1</v>
      </c>
      <c r="J473" s="112">
        <v>7</v>
      </c>
      <c r="K473" s="112">
        <v>7</v>
      </c>
      <c r="L473" s="112">
        <v>6</v>
      </c>
      <c r="M473" s="112">
        <v>4</v>
      </c>
      <c r="N473" s="112">
        <v>4</v>
      </c>
      <c r="O473" s="112">
        <v>4</v>
      </c>
    </row>
    <row r="474" spans="1:15" x14ac:dyDescent="0.2">
      <c r="A474" s="111">
        <v>491</v>
      </c>
      <c r="B474" s="421" t="s">
        <v>449</v>
      </c>
      <c r="C474" s="421" t="s">
        <v>519</v>
      </c>
      <c r="D474" s="422" t="s">
        <v>666</v>
      </c>
      <c r="E474" s="111">
        <v>14238</v>
      </c>
      <c r="F474" s="421" t="s">
        <v>996</v>
      </c>
    </row>
    <row r="475" spans="1:15" x14ac:dyDescent="0.2">
      <c r="A475" s="111">
        <v>492</v>
      </c>
      <c r="B475" s="421" t="s">
        <v>450</v>
      </c>
      <c r="C475" s="421" t="s">
        <v>519</v>
      </c>
      <c r="D475" s="422" t="s">
        <v>663</v>
      </c>
      <c r="E475" s="111">
        <v>14238</v>
      </c>
      <c r="F475" s="421" t="s">
        <v>996</v>
      </c>
    </row>
    <row r="476" spans="1:15" x14ac:dyDescent="0.2">
      <c r="A476" s="111">
        <v>493</v>
      </c>
      <c r="B476" s="421" t="s">
        <v>451</v>
      </c>
      <c r="C476" s="421" t="s">
        <v>506</v>
      </c>
      <c r="D476" s="422" t="s">
        <v>663</v>
      </c>
      <c r="E476" s="111">
        <v>14283</v>
      </c>
      <c r="F476" s="421" t="s">
        <v>997</v>
      </c>
      <c r="G476" s="112">
        <v>2</v>
      </c>
      <c r="H476" s="112">
        <v>2</v>
      </c>
      <c r="I476" s="112">
        <v>2</v>
      </c>
      <c r="J476" s="112">
        <v>7</v>
      </c>
      <c r="K476" s="112">
        <v>7</v>
      </c>
      <c r="L476" s="112">
        <v>7</v>
      </c>
      <c r="M476" s="112">
        <v>4</v>
      </c>
      <c r="N476" s="112">
        <v>4</v>
      </c>
      <c r="O476" s="112">
        <v>3</v>
      </c>
    </row>
    <row r="477" spans="1:15" x14ac:dyDescent="0.2">
      <c r="A477" s="111">
        <v>494</v>
      </c>
      <c r="B477" s="421" t="s">
        <v>452</v>
      </c>
      <c r="C477" s="421" t="s">
        <v>501</v>
      </c>
      <c r="D477" s="422" t="s">
        <v>663</v>
      </c>
      <c r="E477" s="111">
        <v>14283</v>
      </c>
      <c r="F477" s="421" t="s">
        <v>997</v>
      </c>
    </row>
    <row r="478" spans="1:15" x14ac:dyDescent="0.2">
      <c r="A478" s="111">
        <v>495</v>
      </c>
      <c r="B478" s="421" t="s">
        <v>453</v>
      </c>
      <c r="C478" s="421" t="s">
        <v>590</v>
      </c>
      <c r="D478" s="422" t="s">
        <v>663</v>
      </c>
      <c r="E478" s="111">
        <v>14258</v>
      </c>
      <c r="F478" s="421" t="s">
        <v>998</v>
      </c>
      <c r="G478" s="112">
        <v>1</v>
      </c>
      <c r="H478" s="112">
        <v>1</v>
      </c>
      <c r="I478" s="112">
        <v>1</v>
      </c>
      <c r="L478" s="112">
        <v>1</v>
      </c>
    </row>
    <row r="479" spans="1:15" x14ac:dyDescent="0.2">
      <c r="A479" s="111">
        <v>496</v>
      </c>
      <c r="B479" s="421" t="s">
        <v>454</v>
      </c>
      <c r="C479" s="421" t="s">
        <v>506</v>
      </c>
      <c r="D479" s="422" t="s">
        <v>663</v>
      </c>
      <c r="F479" s="421" t="s">
        <v>999</v>
      </c>
      <c r="G479" s="112">
        <v>1</v>
      </c>
      <c r="H479" s="112">
        <v>1</v>
      </c>
      <c r="I479" s="112">
        <v>1</v>
      </c>
      <c r="J479" s="112">
        <v>1</v>
      </c>
    </row>
    <row r="480" spans="1:15" x14ac:dyDescent="0.2">
      <c r="A480" s="111">
        <v>497</v>
      </c>
      <c r="B480" s="421" t="s">
        <v>455</v>
      </c>
      <c r="C480" s="421" t="s">
        <v>506</v>
      </c>
      <c r="D480" s="422" t="s">
        <v>663</v>
      </c>
      <c r="F480" s="421" t="s">
        <v>1000</v>
      </c>
      <c r="G480" s="112">
        <v>1</v>
      </c>
      <c r="H480" s="112">
        <v>1</v>
      </c>
    </row>
    <row r="481" spans="1:15" x14ac:dyDescent="0.2">
      <c r="A481" s="111">
        <v>498</v>
      </c>
      <c r="B481" s="421" t="s">
        <v>456</v>
      </c>
      <c r="C481" s="421" t="s">
        <v>582</v>
      </c>
      <c r="D481" s="422"/>
      <c r="E481" s="111">
        <v>14441</v>
      </c>
      <c r="F481" s="421" t="s">
        <v>1001</v>
      </c>
      <c r="G481" s="112">
        <v>1</v>
      </c>
      <c r="H481" s="112">
        <v>1</v>
      </c>
      <c r="I481" s="112">
        <v>1</v>
      </c>
      <c r="J481" s="112">
        <v>1</v>
      </c>
      <c r="K481" s="112">
        <v>2</v>
      </c>
      <c r="L481" s="112">
        <v>1</v>
      </c>
    </row>
    <row r="482" spans="1:15" x14ac:dyDescent="0.2">
      <c r="A482" s="111">
        <v>499</v>
      </c>
      <c r="B482" s="421" t="s">
        <v>133</v>
      </c>
      <c r="C482" s="421" t="s">
        <v>591</v>
      </c>
      <c r="D482" s="422" t="s">
        <v>666</v>
      </c>
      <c r="E482" s="111">
        <v>14259</v>
      </c>
      <c r="F482" s="421" t="s">
        <v>1002</v>
      </c>
      <c r="G482" s="112">
        <v>1</v>
      </c>
      <c r="H482" s="112">
        <v>1</v>
      </c>
      <c r="I482" s="112">
        <v>1</v>
      </c>
      <c r="J482" s="112">
        <v>1</v>
      </c>
      <c r="L482" s="112">
        <v>1</v>
      </c>
    </row>
    <row r="483" spans="1:15" x14ac:dyDescent="0.2">
      <c r="A483" s="111">
        <v>500</v>
      </c>
      <c r="B483" s="421" t="s">
        <v>257</v>
      </c>
      <c r="C483" s="421" t="s">
        <v>539</v>
      </c>
      <c r="D483" s="422" t="s">
        <v>663</v>
      </c>
      <c r="E483" s="111">
        <v>14260</v>
      </c>
      <c r="F483" s="421" t="s">
        <v>1003</v>
      </c>
      <c r="G483" s="112">
        <v>1</v>
      </c>
    </row>
    <row r="484" spans="1:15" x14ac:dyDescent="0.2">
      <c r="A484" s="111">
        <v>501</v>
      </c>
      <c r="B484" s="421" t="s">
        <v>457</v>
      </c>
      <c r="C484" s="421" t="s">
        <v>506</v>
      </c>
      <c r="D484" s="422" t="s">
        <v>663</v>
      </c>
      <c r="E484" s="111">
        <v>14261</v>
      </c>
      <c r="F484" s="421" t="s">
        <v>1004</v>
      </c>
    </row>
    <row r="485" spans="1:15" x14ac:dyDescent="0.2">
      <c r="A485" s="111">
        <v>502</v>
      </c>
      <c r="B485" s="421" t="s">
        <v>458</v>
      </c>
      <c r="C485" s="421" t="s">
        <v>518</v>
      </c>
      <c r="D485" s="422" t="s">
        <v>663</v>
      </c>
      <c r="F485" s="421" t="s">
        <v>1005</v>
      </c>
      <c r="G485" s="112">
        <v>1</v>
      </c>
    </row>
    <row r="486" spans="1:15" x14ac:dyDescent="0.2">
      <c r="A486" s="111">
        <v>503</v>
      </c>
      <c r="B486" s="421" t="s">
        <v>459</v>
      </c>
      <c r="C486" s="421" t="s">
        <v>506</v>
      </c>
      <c r="D486" s="422" t="s">
        <v>666</v>
      </c>
      <c r="E486" s="111">
        <v>14460</v>
      </c>
      <c r="F486" s="421" t="s">
        <v>1006</v>
      </c>
      <c r="G486" s="112">
        <v>2</v>
      </c>
      <c r="H486" s="112">
        <v>1</v>
      </c>
      <c r="I486" s="112">
        <v>1</v>
      </c>
      <c r="J486" s="112">
        <v>7</v>
      </c>
      <c r="K486" s="112">
        <v>7</v>
      </c>
      <c r="L486" s="112">
        <v>5</v>
      </c>
      <c r="M486" s="112">
        <v>2</v>
      </c>
      <c r="N486" s="112">
        <v>3</v>
      </c>
      <c r="O486" s="112">
        <v>2</v>
      </c>
    </row>
    <row r="487" spans="1:15" x14ac:dyDescent="0.2">
      <c r="A487" s="111">
        <v>504</v>
      </c>
      <c r="B487" s="421" t="s">
        <v>460</v>
      </c>
      <c r="C487" s="421" t="s">
        <v>556</v>
      </c>
      <c r="D487" s="422" t="s">
        <v>663</v>
      </c>
      <c r="E487" s="111">
        <v>14262</v>
      </c>
      <c r="F487" s="421" t="s">
        <v>4758</v>
      </c>
      <c r="G487" s="112">
        <v>1</v>
      </c>
      <c r="I487" s="112">
        <v>1</v>
      </c>
    </row>
    <row r="488" spans="1:15" x14ac:dyDescent="0.2">
      <c r="A488" s="111">
        <v>505</v>
      </c>
      <c r="B488" s="421" t="s">
        <v>341</v>
      </c>
      <c r="C488" s="421" t="s">
        <v>563</v>
      </c>
      <c r="D488" s="422" t="s">
        <v>666</v>
      </c>
      <c r="E488" s="111">
        <v>14263</v>
      </c>
      <c r="F488" s="421" t="s">
        <v>1007</v>
      </c>
      <c r="G488" s="112">
        <v>1</v>
      </c>
      <c r="H488" s="112">
        <v>1</v>
      </c>
      <c r="I488" s="112">
        <v>1</v>
      </c>
    </row>
    <row r="489" spans="1:15" x14ac:dyDescent="0.2">
      <c r="A489" s="111">
        <v>506</v>
      </c>
      <c r="B489" s="421" t="s">
        <v>461</v>
      </c>
      <c r="C489" s="421" t="s">
        <v>534</v>
      </c>
      <c r="D489" s="422" t="s">
        <v>663</v>
      </c>
      <c r="E489" s="111">
        <v>14272</v>
      </c>
      <c r="F489" s="421" t="s">
        <v>1008</v>
      </c>
      <c r="G489" s="112">
        <v>1</v>
      </c>
      <c r="H489" s="112">
        <v>1</v>
      </c>
      <c r="K489" s="112">
        <v>1</v>
      </c>
    </row>
    <row r="490" spans="1:15" x14ac:dyDescent="0.2">
      <c r="A490" s="111">
        <v>507</v>
      </c>
      <c r="B490" s="421" t="s">
        <v>462</v>
      </c>
      <c r="C490" s="421" t="s">
        <v>534</v>
      </c>
      <c r="D490" s="422" t="s">
        <v>663</v>
      </c>
      <c r="E490" s="111">
        <v>14272</v>
      </c>
      <c r="F490" s="421" t="s">
        <v>1008</v>
      </c>
      <c r="G490" s="112">
        <v>1</v>
      </c>
      <c r="H490" s="112">
        <v>2</v>
      </c>
      <c r="I490" s="112">
        <v>1</v>
      </c>
    </row>
    <row r="491" spans="1:15" x14ac:dyDescent="0.2">
      <c r="A491" s="111">
        <v>508</v>
      </c>
      <c r="B491" s="421" t="s">
        <v>463</v>
      </c>
      <c r="C491" s="421" t="s">
        <v>501</v>
      </c>
      <c r="D491" s="422" t="s">
        <v>663</v>
      </c>
      <c r="E491" s="111">
        <v>14273</v>
      </c>
      <c r="F491" s="421" t="s">
        <v>689</v>
      </c>
    </row>
    <row r="492" spans="1:15" x14ac:dyDescent="0.2">
      <c r="A492" s="111">
        <v>509</v>
      </c>
      <c r="B492" s="421" t="s">
        <v>464</v>
      </c>
      <c r="C492" s="421" t="s">
        <v>501</v>
      </c>
      <c r="D492" s="422" t="s">
        <v>663</v>
      </c>
      <c r="E492" s="111">
        <v>14273</v>
      </c>
      <c r="F492" s="421" t="s">
        <v>689</v>
      </c>
    </row>
    <row r="493" spans="1:15" x14ac:dyDescent="0.2">
      <c r="A493" s="111">
        <v>510</v>
      </c>
      <c r="B493" s="421" t="s">
        <v>465</v>
      </c>
      <c r="C493" s="421" t="s">
        <v>1446</v>
      </c>
      <c r="D493" s="422" t="s">
        <v>666</v>
      </c>
      <c r="E493" s="111">
        <v>14274</v>
      </c>
      <c r="F493" s="421" t="s">
        <v>1009</v>
      </c>
      <c r="G493" s="112">
        <v>1</v>
      </c>
      <c r="H493" s="112">
        <v>1</v>
      </c>
      <c r="I493" s="112">
        <v>1</v>
      </c>
      <c r="J493" s="112">
        <v>1</v>
      </c>
      <c r="K493" s="112">
        <v>1</v>
      </c>
      <c r="L493" s="112">
        <v>1</v>
      </c>
    </row>
    <row r="494" spans="1:15" x14ac:dyDescent="0.2">
      <c r="A494" s="111">
        <v>511</v>
      </c>
      <c r="B494" s="421" t="s">
        <v>466</v>
      </c>
      <c r="C494" s="421" t="s">
        <v>1446</v>
      </c>
      <c r="D494" s="422" t="s">
        <v>663</v>
      </c>
      <c r="E494" s="111">
        <v>14274</v>
      </c>
      <c r="F494" s="421" t="s">
        <v>1009</v>
      </c>
      <c r="G494" s="112">
        <v>1</v>
      </c>
      <c r="H494" s="112">
        <v>1</v>
      </c>
      <c r="I494" s="112">
        <v>1</v>
      </c>
      <c r="J494" s="112">
        <v>7</v>
      </c>
      <c r="K494" s="112">
        <v>7</v>
      </c>
      <c r="L494" s="112">
        <v>7</v>
      </c>
      <c r="M494" s="112">
        <v>5</v>
      </c>
      <c r="N494" s="112">
        <v>3</v>
      </c>
      <c r="O494" s="112">
        <v>3</v>
      </c>
    </row>
    <row r="495" spans="1:15" x14ac:dyDescent="0.2">
      <c r="A495" s="111">
        <v>512</v>
      </c>
      <c r="B495" s="421" t="s">
        <v>467</v>
      </c>
      <c r="C495" s="421" t="s">
        <v>530</v>
      </c>
      <c r="D495" s="422" t="s">
        <v>666</v>
      </c>
      <c r="E495" s="111">
        <v>14275</v>
      </c>
      <c r="F495" s="421" t="s">
        <v>1010</v>
      </c>
    </row>
    <row r="496" spans="1:15" x14ac:dyDescent="0.2">
      <c r="A496" s="111">
        <v>513</v>
      </c>
      <c r="B496" s="421" t="s">
        <v>304</v>
      </c>
      <c r="C496" s="421" t="s">
        <v>501</v>
      </c>
      <c r="D496" s="422" t="s">
        <v>666</v>
      </c>
      <c r="E496" s="111">
        <v>14276</v>
      </c>
      <c r="F496" s="421" t="s">
        <v>1011</v>
      </c>
    </row>
    <row r="497" spans="1:15" x14ac:dyDescent="0.2">
      <c r="A497" s="111">
        <v>514</v>
      </c>
      <c r="B497" s="421" t="s">
        <v>468</v>
      </c>
      <c r="C497" s="421" t="s">
        <v>516</v>
      </c>
      <c r="D497" s="422" t="s">
        <v>666</v>
      </c>
      <c r="E497" s="111">
        <v>14264</v>
      </c>
      <c r="F497" s="421" t="s">
        <v>1012</v>
      </c>
      <c r="G497" s="112">
        <v>1</v>
      </c>
      <c r="H497" s="112">
        <v>1</v>
      </c>
      <c r="I497" s="112">
        <v>1</v>
      </c>
      <c r="J497" s="112">
        <v>1</v>
      </c>
      <c r="K497" s="112">
        <v>1</v>
      </c>
    </row>
    <row r="498" spans="1:15" x14ac:dyDescent="0.2">
      <c r="A498" s="111">
        <v>515</v>
      </c>
      <c r="B498" s="421" t="s">
        <v>469</v>
      </c>
      <c r="C498" s="421" t="s">
        <v>506</v>
      </c>
      <c r="D498" s="422" t="s">
        <v>663</v>
      </c>
      <c r="E498" s="111">
        <v>14271</v>
      </c>
      <c r="F498" s="421" t="s">
        <v>1013</v>
      </c>
    </row>
    <row r="499" spans="1:15" x14ac:dyDescent="0.2">
      <c r="A499" s="111">
        <v>516</v>
      </c>
      <c r="B499" s="421" t="s">
        <v>470</v>
      </c>
      <c r="C499" s="421" t="s">
        <v>513</v>
      </c>
      <c r="D499" s="422" t="s">
        <v>666</v>
      </c>
      <c r="E499" s="111">
        <v>14211</v>
      </c>
      <c r="F499" s="421" t="s">
        <v>1014</v>
      </c>
      <c r="G499" s="112">
        <v>1</v>
      </c>
      <c r="H499" s="112">
        <v>1</v>
      </c>
      <c r="I499" s="112">
        <v>1</v>
      </c>
    </row>
    <row r="500" spans="1:15" x14ac:dyDescent="0.2">
      <c r="A500" s="111">
        <v>517</v>
      </c>
      <c r="B500" s="421" t="s">
        <v>175</v>
      </c>
      <c r="C500" s="421" t="s">
        <v>516</v>
      </c>
      <c r="D500" s="422" t="s">
        <v>666</v>
      </c>
      <c r="E500" s="111">
        <v>14211</v>
      </c>
      <c r="F500" s="421" t="s">
        <v>1014</v>
      </c>
    </row>
    <row r="501" spans="1:15" x14ac:dyDescent="0.2">
      <c r="A501" s="111">
        <v>518</v>
      </c>
      <c r="B501" s="421" t="s">
        <v>471</v>
      </c>
      <c r="C501" s="421" t="s">
        <v>556</v>
      </c>
      <c r="D501" s="422" t="s">
        <v>666</v>
      </c>
      <c r="E501" s="111">
        <v>14300</v>
      </c>
      <c r="F501" s="421" t="s">
        <v>1015</v>
      </c>
      <c r="G501" s="112">
        <v>1</v>
      </c>
      <c r="H501" s="112">
        <v>1</v>
      </c>
      <c r="I501" s="112">
        <v>1</v>
      </c>
      <c r="J501" s="112">
        <v>2</v>
      </c>
      <c r="K501" s="112">
        <v>2</v>
      </c>
      <c r="L501" s="112">
        <v>2</v>
      </c>
      <c r="M501" s="112">
        <v>1</v>
      </c>
      <c r="N501" s="112">
        <v>2</v>
      </c>
      <c r="O501" s="112">
        <v>3</v>
      </c>
    </row>
    <row r="502" spans="1:15" x14ac:dyDescent="0.2">
      <c r="A502" s="111">
        <v>519</v>
      </c>
      <c r="B502" s="421" t="s">
        <v>472</v>
      </c>
      <c r="C502" s="421" t="s">
        <v>503</v>
      </c>
      <c r="D502" s="422" t="s">
        <v>666</v>
      </c>
      <c r="F502" s="421" t="s">
        <v>1016</v>
      </c>
      <c r="G502" s="112">
        <v>1</v>
      </c>
    </row>
    <row r="503" spans="1:15" x14ac:dyDescent="0.2">
      <c r="A503" s="111">
        <v>520</v>
      </c>
      <c r="B503" s="421" t="s">
        <v>473</v>
      </c>
      <c r="C503" s="421" t="s">
        <v>503</v>
      </c>
      <c r="D503" s="422" t="s">
        <v>666</v>
      </c>
      <c r="F503" s="421" t="s">
        <v>1016</v>
      </c>
      <c r="G503" s="112">
        <v>1</v>
      </c>
    </row>
    <row r="504" spans="1:15" x14ac:dyDescent="0.2">
      <c r="A504" s="111">
        <v>521</v>
      </c>
      <c r="B504" s="421" t="s">
        <v>474</v>
      </c>
      <c r="C504" s="421" t="s">
        <v>506</v>
      </c>
      <c r="D504" s="422" t="s">
        <v>666</v>
      </c>
      <c r="E504" s="111">
        <v>14174</v>
      </c>
      <c r="F504" s="421" t="s">
        <v>1017</v>
      </c>
      <c r="G504" s="112">
        <v>1</v>
      </c>
    </row>
    <row r="505" spans="1:15" x14ac:dyDescent="0.2">
      <c r="A505" s="111">
        <v>522</v>
      </c>
      <c r="B505" s="421" t="s">
        <v>475</v>
      </c>
      <c r="C505" s="421" t="s">
        <v>506</v>
      </c>
      <c r="D505" s="422" t="s">
        <v>663</v>
      </c>
      <c r="E505" s="111">
        <v>14174</v>
      </c>
      <c r="F505" s="421" t="s">
        <v>1017</v>
      </c>
      <c r="G505" s="112">
        <v>1</v>
      </c>
    </row>
    <row r="506" spans="1:15" x14ac:dyDescent="0.2">
      <c r="A506" s="111">
        <v>523</v>
      </c>
      <c r="B506" s="421" t="s">
        <v>476</v>
      </c>
      <c r="C506" s="421" t="s">
        <v>550</v>
      </c>
      <c r="D506" s="422" t="s">
        <v>663</v>
      </c>
      <c r="E506" s="111">
        <v>14165</v>
      </c>
      <c r="F506" s="421" t="s">
        <v>1018</v>
      </c>
    </row>
    <row r="507" spans="1:15" x14ac:dyDescent="0.2">
      <c r="A507" s="111">
        <v>524</v>
      </c>
      <c r="B507" s="421" t="s">
        <v>81</v>
      </c>
      <c r="C507" s="421" t="s">
        <v>518</v>
      </c>
      <c r="D507" s="422" t="s">
        <v>666</v>
      </c>
      <c r="E507" s="111">
        <v>14354</v>
      </c>
      <c r="F507" s="421" t="s">
        <v>1019</v>
      </c>
      <c r="G507" s="112">
        <v>1</v>
      </c>
      <c r="H507" s="112">
        <v>1</v>
      </c>
      <c r="I507" s="112">
        <v>1</v>
      </c>
      <c r="J507" s="112">
        <v>1</v>
      </c>
      <c r="K507" s="112">
        <v>1</v>
      </c>
    </row>
    <row r="508" spans="1:15" x14ac:dyDescent="0.2">
      <c r="A508" s="111">
        <v>525</v>
      </c>
      <c r="B508" s="421" t="s">
        <v>477</v>
      </c>
      <c r="C508" s="421" t="s">
        <v>506</v>
      </c>
      <c r="D508" s="422" t="s">
        <v>666</v>
      </c>
      <c r="F508" s="421" t="s">
        <v>1020</v>
      </c>
    </row>
    <row r="509" spans="1:15" x14ac:dyDescent="0.2">
      <c r="A509" s="111">
        <v>526</v>
      </c>
      <c r="B509" s="421" t="s">
        <v>271</v>
      </c>
      <c r="C509" s="421" t="s">
        <v>504</v>
      </c>
      <c r="D509" s="422" t="s">
        <v>666</v>
      </c>
      <c r="E509" s="111">
        <v>14319</v>
      </c>
      <c r="F509" s="421" t="s">
        <v>1021</v>
      </c>
      <c r="G509" s="112">
        <v>1</v>
      </c>
      <c r="H509" s="112">
        <v>1</v>
      </c>
      <c r="I509" s="112">
        <v>1</v>
      </c>
      <c r="J509" s="112">
        <v>2</v>
      </c>
      <c r="K509" s="112">
        <v>4</v>
      </c>
      <c r="L509" s="112">
        <v>2</v>
      </c>
      <c r="M509" s="112">
        <v>1</v>
      </c>
      <c r="O509" s="112">
        <v>1</v>
      </c>
    </row>
    <row r="510" spans="1:15" x14ac:dyDescent="0.2">
      <c r="A510" s="111">
        <v>527</v>
      </c>
      <c r="B510" s="421" t="s">
        <v>478</v>
      </c>
      <c r="C510" s="421" t="s">
        <v>523</v>
      </c>
      <c r="D510" s="422" t="s">
        <v>663</v>
      </c>
      <c r="E510" s="111">
        <v>14487</v>
      </c>
      <c r="F510" s="421" t="s">
        <v>1022</v>
      </c>
      <c r="G510" s="112">
        <v>1</v>
      </c>
      <c r="H510" s="112">
        <v>1</v>
      </c>
      <c r="I510" s="112">
        <v>1</v>
      </c>
      <c r="J510" s="112">
        <v>1</v>
      </c>
    </row>
    <row r="511" spans="1:15" x14ac:dyDescent="0.2">
      <c r="A511" s="111">
        <v>528</v>
      </c>
      <c r="B511" s="421" t="s">
        <v>479</v>
      </c>
      <c r="C511" s="421" t="s">
        <v>522</v>
      </c>
      <c r="D511" s="422" t="s">
        <v>663</v>
      </c>
      <c r="E511" s="111">
        <v>14297</v>
      </c>
      <c r="F511" s="421" t="s">
        <v>1023</v>
      </c>
      <c r="G511" s="112">
        <v>2</v>
      </c>
      <c r="H511" s="112">
        <v>1</v>
      </c>
      <c r="I511" s="112">
        <v>1</v>
      </c>
      <c r="J511" s="112">
        <v>1</v>
      </c>
      <c r="K511" s="112">
        <v>1</v>
      </c>
      <c r="L511" s="112">
        <v>1</v>
      </c>
    </row>
    <row r="512" spans="1:15" x14ac:dyDescent="0.2">
      <c r="A512" s="111">
        <v>529</v>
      </c>
      <c r="B512" s="421" t="s">
        <v>480</v>
      </c>
      <c r="C512" s="421" t="s">
        <v>507</v>
      </c>
      <c r="D512" s="422" t="s">
        <v>663</v>
      </c>
      <c r="E512" s="111">
        <v>14317</v>
      </c>
      <c r="F512" s="421" t="s">
        <v>1024</v>
      </c>
      <c r="G512" s="112">
        <v>1</v>
      </c>
      <c r="H512" s="112">
        <v>1</v>
      </c>
      <c r="I512" s="112">
        <v>1</v>
      </c>
      <c r="J512" s="112">
        <v>1</v>
      </c>
      <c r="K512" s="112">
        <v>2</v>
      </c>
      <c r="L512" s="112">
        <v>3</v>
      </c>
      <c r="O512" s="112">
        <v>1</v>
      </c>
    </row>
    <row r="513" spans="1:15" x14ac:dyDescent="0.2">
      <c r="A513" s="111">
        <v>530</v>
      </c>
      <c r="B513" s="421" t="s">
        <v>253</v>
      </c>
      <c r="C513" s="421" t="s">
        <v>501</v>
      </c>
      <c r="D513" s="422" t="s">
        <v>666</v>
      </c>
      <c r="E513" s="111">
        <v>14508</v>
      </c>
      <c r="F513" s="421" t="s">
        <v>1025</v>
      </c>
      <c r="G513" s="112">
        <v>1</v>
      </c>
      <c r="H513" s="112">
        <v>1</v>
      </c>
      <c r="I513" s="112">
        <v>1</v>
      </c>
      <c r="J513" s="112">
        <v>1</v>
      </c>
      <c r="K513" s="112">
        <v>1</v>
      </c>
      <c r="L513" s="112">
        <v>1</v>
      </c>
    </row>
    <row r="514" spans="1:15" x14ac:dyDescent="0.2">
      <c r="A514" s="111">
        <v>531</v>
      </c>
      <c r="B514" s="421" t="s">
        <v>481</v>
      </c>
      <c r="C514" s="421" t="s">
        <v>592</v>
      </c>
      <c r="D514" s="422" t="s">
        <v>663</v>
      </c>
      <c r="E514" s="111">
        <v>1440</v>
      </c>
      <c r="F514" s="421" t="s">
        <v>1026</v>
      </c>
      <c r="G514" s="112">
        <v>1</v>
      </c>
      <c r="H514" s="112">
        <v>1</v>
      </c>
      <c r="I514" s="112">
        <v>1</v>
      </c>
      <c r="J514" s="112">
        <v>4</v>
      </c>
      <c r="K514" s="112">
        <v>4</v>
      </c>
      <c r="L514" s="112">
        <v>4</v>
      </c>
      <c r="M514" s="112">
        <v>1</v>
      </c>
      <c r="O514" s="112">
        <v>1</v>
      </c>
    </row>
    <row r="515" spans="1:15" x14ac:dyDescent="0.2">
      <c r="A515" s="111">
        <v>532</v>
      </c>
      <c r="B515" s="421" t="s">
        <v>482</v>
      </c>
      <c r="C515" s="421" t="s">
        <v>506</v>
      </c>
      <c r="D515" s="422" t="s">
        <v>666</v>
      </c>
      <c r="E515" s="111">
        <v>14561</v>
      </c>
      <c r="F515" s="421" t="s">
        <v>1027</v>
      </c>
      <c r="G515" s="112">
        <v>1</v>
      </c>
      <c r="H515" s="112">
        <v>1</v>
      </c>
      <c r="I515" s="112">
        <v>1</v>
      </c>
      <c r="J515" s="112">
        <v>4</v>
      </c>
      <c r="K515" s="112">
        <v>3</v>
      </c>
      <c r="L515" s="112">
        <v>3</v>
      </c>
      <c r="M515" s="112">
        <v>1</v>
      </c>
      <c r="O515" s="112">
        <v>1</v>
      </c>
    </row>
    <row r="516" spans="1:15" x14ac:dyDescent="0.2">
      <c r="A516" s="111">
        <v>533</v>
      </c>
      <c r="B516" s="421" t="s">
        <v>483</v>
      </c>
      <c r="C516" s="421" t="s">
        <v>540</v>
      </c>
      <c r="D516" s="422" t="s">
        <v>663</v>
      </c>
      <c r="E516" s="111">
        <v>14355</v>
      </c>
      <c r="F516" s="421" t="s">
        <v>723</v>
      </c>
      <c r="G516" s="112">
        <v>1</v>
      </c>
      <c r="H516" s="112">
        <v>1</v>
      </c>
      <c r="I516" s="112">
        <v>1</v>
      </c>
      <c r="J516" s="112">
        <v>1</v>
      </c>
      <c r="K516" s="112">
        <v>1</v>
      </c>
      <c r="L516" s="112">
        <v>1</v>
      </c>
      <c r="M516" s="112">
        <v>1</v>
      </c>
      <c r="O516" s="112">
        <v>1</v>
      </c>
    </row>
    <row r="517" spans="1:15" x14ac:dyDescent="0.2">
      <c r="A517" s="111">
        <v>534</v>
      </c>
      <c r="B517" s="421" t="s">
        <v>484</v>
      </c>
      <c r="C517" s="421" t="s">
        <v>506</v>
      </c>
      <c r="D517" s="422" t="s">
        <v>663</v>
      </c>
      <c r="F517" s="421" t="s">
        <v>1028</v>
      </c>
      <c r="G517" s="112">
        <v>1</v>
      </c>
      <c r="H517" s="112">
        <v>1</v>
      </c>
      <c r="I517" s="112">
        <v>1</v>
      </c>
    </row>
    <row r="518" spans="1:15" x14ac:dyDescent="0.2">
      <c r="A518" s="111">
        <v>535</v>
      </c>
      <c r="B518" s="421" t="s">
        <v>485</v>
      </c>
      <c r="C518" s="421" t="s">
        <v>503</v>
      </c>
      <c r="D518" s="422" t="s">
        <v>666</v>
      </c>
      <c r="E518" s="111">
        <v>14408</v>
      </c>
      <c r="F518" s="421" t="s">
        <v>1029</v>
      </c>
      <c r="G518" s="112">
        <v>1</v>
      </c>
      <c r="H518" s="112">
        <v>1</v>
      </c>
      <c r="I518" s="112">
        <v>1</v>
      </c>
    </row>
    <row r="519" spans="1:15" x14ac:dyDescent="0.2">
      <c r="A519" s="111">
        <v>536</v>
      </c>
      <c r="B519" s="421" t="s">
        <v>486</v>
      </c>
      <c r="C519" s="421" t="s">
        <v>534</v>
      </c>
      <c r="D519" s="422" t="s">
        <v>666</v>
      </c>
      <c r="F519" s="421" t="s">
        <v>1030</v>
      </c>
      <c r="G519" s="112">
        <v>1</v>
      </c>
      <c r="H519" s="112">
        <v>1</v>
      </c>
      <c r="I519" s="112">
        <v>1</v>
      </c>
      <c r="K519" s="112">
        <v>1</v>
      </c>
    </row>
    <row r="520" spans="1:15" x14ac:dyDescent="0.2">
      <c r="A520" s="111">
        <v>537</v>
      </c>
      <c r="B520" s="421" t="s">
        <v>487</v>
      </c>
      <c r="C520" s="421" t="s">
        <v>518</v>
      </c>
      <c r="D520" s="422" t="s">
        <v>663</v>
      </c>
      <c r="F520" s="421" t="s">
        <v>1031</v>
      </c>
    </row>
    <row r="521" spans="1:15" x14ac:dyDescent="0.2">
      <c r="A521" s="111">
        <v>538</v>
      </c>
      <c r="B521" s="421" t="s">
        <v>488</v>
      </c>
      <c r="C521" s="421" t="s">
        <v>593</v>
      </c>
      <c r="D521" s="422" t="s">
        <v>666</v>
      </c>
      <c r="E521" s="111">
        <v>17284</v>
      </c>
      <c r="F521" s="421" t="s">
        <v>1032</v>
      </c>
      <c r="G521" s="112">
        <v>1</v>
      </c>
      <c r="H521" s="112">
        <v>1</v>
      </c>
      <c r="I521" s="112">
        <v>2</v>
      </c>
    </row>
    <row r="522" spans="1:15" x14ac:dyDescent="0.2">
      <c r="A522" s="111">
        <v>539</v>
      </c>
      <c r="B522" s="421" t="s">
        <v>594</v>
      </c>
      <c r="C522" s="421" t="s">
        <v>501</v>
      </c>
      <c r="D522" s="422" t="s">
        <v>666</v>
      </c>
      <c r="E522" s="111">
        <v>14277</v>
      </c>
      <c r="F522" s="421" t="s">
        <v>1033</v>
      </c>
      <c r="G522" s="112">
        <v>1</v>
      </c>
      <c r="I522" s="112">
        <v>1</v>
      </c>
      <c r="J522" s="112">
        <v>1</v>
      </c>
      <c r="L522" s="112">
        <v>1</v>
      </c>
    </row>
    <row r="523" spans="1:15" x14ac:dyDescent="0.2">
      <c r="A523" s="111">
        <v>540</v>
      </c>
      <c r="B523" s="421" t="s">
        <v>595</v>
      </c>
      <c r="C523" s="421" t="s">
        <v>510</v>
      </c>
      <c r="D523" s="422" t="s">
        <v>666</v>
      </c>
      <c r="F523" s="421" t="s">
        <v>1034</v>
      </c>
    </row>
    <row r="524" spans="1:15" x14ac:dyDescent="0.2">
      <c r="A524" s="111">
        <v>541</v>
      </c>
      <c r="B524" s="421" t="s">
        <v>597</v>
      </c>
      <c r="C524" s="421" t="s">
        <v>501</v>
      </c>
      <c r="D524" s="422" t="s">
        <v>663</v>
      </c>
      <c r="E524" s="111">
        <v>14336</v>
      </c>
      <c r="F524" s="421" t="s">
        <v>1035</v>
      </c>
      <c r="G524" s="112">
        <v>1</v>
      </c>
    </row>
    <row r="525" spans="1:15" x14ac:dyDescent="0.2">
      <c r="A525" s="111">
        <v>542</v>
      </c>
      <c r="B525" s="421" t="s">
        <v>598</v>
      </c>
      <c r="C525" s="421" t="s">
        <v>628</v>
      </c>
      <c r="D525" s="422" t="s">
        <v>666</v>
      </c>
      <c r="E525" s="111">
        <v>14288</v>
      </c>
      <c r="F525" s="421" t="s">
        <v>3119</v>
      </c>
      <c r="G525" s="112">
        <v>1</v>
      </c>
      <c r="H525" s="112">
        <v>1</v>
      </c>
      <c r="I525" s="112">
        <v>1</v>
      </c>
      <c r="J525" s="112">
        <v>8</v>
      </c>
      <c r="K525" s="112">
        <v>7</v>
      </c>
      <c r="L525" s="112">
        <v>7</v>
      </c>
      <c r="M525" s="112">
        <v>3</v>
      </c>
      <c r="N525" s="112">
        <v>3</v>
      </c>
      <c r="O525" s="112">
        <v>3</v>
      </c>
    </row>
    <row r="526" spans="1:15" x14ac:dyDescent="0.2">
      <c r="A526" s="111">
        <v>543</v>
      </c>
      <c r="B526" s="421" t="s">
        <v>599</v>
      </c>
      <c r="C526" s="421" t="s">
        <v>523</v>
      </c>
      <c r="D526" s="422" t="s">
        <v>666</v>
      </c>
      <c r="E526" s="111">
        <v>14288</v>
      </c>
      <c r="F526" s="421" t="s">
        <v>3119</v>
      </c>
      <c r="G526" s="112">
        <v>1</v>
      </c>
      <c r="H526" s="112">
        <v>1</v>
      </c>
      <c r="I526" s="112">
        <v>1</v>
      </c>
      <c r="J526" s="112">
        <v>7</v>
      </c>
      <c r="K526" s="112">
        <v>7</v>
      </c>
      <c r="L526" s="112">
        <v>7</v>
      </c>
      <c r="M526" s="112">
        <v>3</v>
      </c>
      <c r="N526" s="112">
        <v>3</v>
      </c>
      <c r="O526" s="112">
        <v>3</v>
      </c>
    </row>
    <row r="527" spans="1:15" x14ac:dyDescent="0.2">
      <c r="A527" s="111">
        <v>544</v>
      </c>
      <c r="B527" s="421" t="s">
        <v>627</v>
      </c>
      <c r="C527" s="421" t="s">
        <v>501</v>
      </c>
      <c r="D527" s="422" t="s">
        <v>666</v>
      </c>
      <c r="E527" s="111">
        <v>14278</v>
      </c>
      <c r="F527" s="421" t="s">
        <v>1036</v>
      </c>
      <c r="G527" s="112">
        <v>2</v>
      </c>
      <c r="H527" s="112">
        <v>1</v>
      </c>
      <c r="I527" s="112">
        <v>1</v>
      </c>
    </row>
    <row r="528" spans="1:15" x14ac:dyDescent="0.2">
      <c r="A528" s="111">
        <v>545</v>
      </c>
      <c r="B528" s="421" t="s">
        <v>301</v>
      </c>
      <c r="C528" s="421" t="s">
        <v>581</v>
      </c>
      <c r="D528" s="422" t="s">
        <v>666</v>
      </c>
      <c r="E528" s="111">
        <v>14282</v>
      </c>
      <c r="F528" s="421" t="s">
        <v>1037</v>
      </c>
    </row>
    <row r="529" spans="1:15" x14ac:dyDescent="0.2">
      <c r="A529" s="111">
        <v>546</v>
      </c>
      <c r="B529" s="421" t="s">
        <v>629</v>
      </c>
      <c r="C529" s="421" t="s">
        <v>581</v>
      </c>
      <c r="D529" s="422" t="s">
        <v>663</v>
      </c>
      <c r="E529" s="111">
        <v>14282</v>
      </c>
      <c r="F529" s="421" t="s">
        <v>1037</v>
      </c>
    </row>
    <row r="530" spans="1:15" x14ac:dyDescent="0.2">
      <c r="A530" s="111">
        <v>547</v>
      </c>
      <c r="B530" s="421" t="s">
        <v>630</v>
      </c>
      <c r="C530" s="421" t="s">
        <v>503</v>
      </c>
      <c r="D530" s="422" t="s">
        <v>666</v>
      </c>
      <c r="E530" s="111">
        <v>14100</v>
      </c>
      <c r="F530" s="421" t="s">
        <v>1038</v>
      </c>
      <c r="G530" s="112">
        <v>1</v>
      </c>
      <c r="H530" s="112">
        <v>1</v>
      </c>
      <c r="I530" s="112">
        <v>1</v>
      </c>
      <c r="J530" s="112">
        <v>15</v>
      </c>
      <c r="K530" s="112">
        <v>10</v>
      </c>
      <c r="L530" s="112">
        <v>14</v>
      </c>
      <c r="M530" s="112">
        <v>25</v>
      </c>
      <c r="N530" s="112">
        <v>12</v>
      </c>
      <c r="O530" s="112">
        <v>20</v>
      </c>
    </row>
    <row r="531" spans="1:15" x14ac:dyDescent="0.2">
      <c r="A531" s="111">
        <v>548</v>
      </c>
      <c r="B531" s="421" t="s">
        <v>631</v>
      </c>
      <c r="C531" s="421" t="s">
        <v>503</v>
      </c>
      <c r="D531" s="422" t="s">
        <v>666</v>
      </c>
      <c r="E531" s="111">
        <v>14100</v>
      </c>
      <c r="F531" s="421" t="s">
        <v>1038</v>
      </c>
      <c r="G531" s="112">
        <v>2</v>
      </c>
      <c r="H531" s="112">
        <v>2</v>
      </c>
      <c r="I531" s="112">
        <v>1</v>
      </c>
      <c r="J531" s="112">
        <v>1</v>
      </c>
      <c r="K531" s="112">
        <v>2</v>
      </c>
      <c r="L531" s="112">
        <v>1</v>
      </c>
    </row>
    <row r="532" spans="1:15" x14ac:dyDescent="0.2">
      <c r="A532" s="111">
        <v>549</v>
      </c>
      <c r="B532" s="421" t="s">
        <v>632</v>
      </c>
      <c r="C532" s="421" t="s">
        <v>516</v>
      </c>
      <c r="D532" s="422" t="s">
        <v>666</v>
      </c>
      <c r="E532" s="111">
        <v>14163</v>
      </c>
      <c r="F532" s="421" t="s">
        <v>858</v>
      </c>
      <c r="G532" s="112">
        <v>1</v>
      </c>
      <c r="H532" s="112">
        <v>1</v>
      </c>
      <c r="I532" s="112">
        <v>1</v>
      </c>
      <c r="J532" s="112">
        <v>3</v>
      </c>
      <c r="K532" s="112">
        <v>1</v>
      </c>
      <c r="L532" s="112">
        <v>2</v>
      </c>
      <c r="O532" s="112">
        <v>3</v>
      </c>
    </row>
    <row r="533" spans="1:15" x14ac:dyDescent="0.2">
      <c r="A533" s="111">
        <v>550</v>
      </c>
      <c r="B533" s="421" t="s">
        <v>633</v>
      </c>
      <c r="C533" s="421" t="s">
        <v>521</v>
      </c>
      <c r="D533" s="422" t="s">
        <v>663</v>
      </c>
      <c r="E533" s="111">
        <v>14287</v>
      </c>
      <c r="F533" s="421" t="s">
        <v>1039</v>
      </c>
      <c r="G533" s="112">
        <v>1</v>
      </c>
      <c r="H533" s="112">
        <v>1</v>
      </c>
      <c r="I533" s="112">
        <v>1</v>
      </c>
      <c r="J533" s="112">
        <v>1</v>
      </c>
      <c r="K533" s="112">
        <v>1</v>
      </c>
      <c r="L533" s="112">
        <v>1</v>
      </c>
      <c r="O533" s="112">
        <v>1</v>
      </c>
    </row>
    <row r="534" spans="1:15" x14ac:dyDescent="0.2">
      <c r="A534" s="111">
        <v>551</v>
      </c>
      <c r="B534" s="421" t="s">
        <v>635</v>
      </c>
      <c r="C534" s="421" t="s">
        <v>504</v>
      </c>
      <c r="D534" s="422" t="s">
        <v>663</v>
      </c>
      <c r="F534" s="421" t="s">
        <v>1040</v>
      </c>
    </row>
    <row r="535" spans="1:15" x14ac:dyDescent="0.2">
      <c r="A535" s="111">
        <v>552</v>
      </c>
      <c r="B535" s="421" t="s">
        <v>636</v>
      </c>
      <c r="C535" s="421" t="s">
        <v>1284</v>
      </c>
      <c r="D535" s="422" t="s">
        <v>666</v>
      </c>
      <c r="F535" s="421" t="s">
        <v>1040</v>
      </c>
    </row>
    <row r="536" spans="1:15" x14ac:dyDescent="0.2">
      <c r="A536" s="111">
        <v>553</v>
      </c>
      <c r="B536" s="421" t="s">
        <v>637</v>
      </c>
      <c r="C536" s="421" t="s">
        <v>570</v>
      </c>
      <c r="D536" s="422" t="s">
        <v>663</v>
      </c>
      <c r="E536" s="111">
        <v>14289</v>
      </c>
      <c r="F536" s="421" t="s">
        <v>1041</v>
      </c>
      <c r="G536" s="112">
        <v>1</v>
      </c>
      <c r="H536" s="112">
        <v>1</v>
      </c>
      <c r="I536" s="112">
        <v>1</v>
      </c>
    </row>
    <row r="537" spans="1:15" x14ac:dyDescent="0.2">
      <c r="A537" s="111">
        <v>554</v>
      </c>
      <c r="B537" s="421" t="s">
        <v>638</v>
      </c>
      <c r="C537" s="421" t="s">
        <v>506</v>
      </c>
      <c r="D537" s="422" t="s">
        <v>663</v>
      </c>
      <c r="E537" s="111">
        <v>15724</v>
      </c>
      <c r="F537" s="421" t="s">
        <v>1042</v>
      </c>
      <c r="G537" s="112">
        <v>1</v>
      </c>
      <c r="H537" s="112">
        <v>1</v>
      </c>
      <c r="I537" s="112">
        <v>1</v>
      </c>
      <c r="J537" s="112">
        <v>1</v>
      </c>
      <c r="K537" s="112">
        <v>1</v>
      </c>
      <c r="L537" s="112">
        <v>1</v>
      </c>
    </row>
    <row r="538" spans="1:15" x14ac:dyDescent="0.2">
      <c r="A538" s="111">
        <v>555</v>
      </c>
      <c r="B538" s="421" t="s">
        <v>639</v>
      </c>
      <c r="C538" s="421" t="s">
        <v>501</v>
      </c>
      <c r="D538" s="422" t="s">
        <v>663</v>
      </c>
      <c r="E538" s="111">
        <v>14290</v>
      </c>
      <c r="F538" s="421" t="s">
        <v>1043</v>
      </c>
      <c r="G538" s="112">
        <v>1</v>
      </c>
      <c r="H538" s="112">
        <v>1</v>
      </c>
      <c r="I538" s="112">
        <v>1</v>
      </c>
      <c r="K538" s="112">
        <v>1</v>
      </c>
      <c r="L538" s="112">
        <v>1</v>
      </c>
    </row>
    <row r="539" spans="1:15" x14ac:dyDescent="0.2">
      <c r="A539" s="111">
        <v>556</v>
      </c>
      <c r="B539" s="421" t="s">
        <v>640</v>
      </c>
      <c r="C539" s="421" t="s">
        <v>521</v>
      </c>
      <c r="D539" s="422" t="s">
        <v>666</v>
      </c>
      <c r="E539" s="111">
        <v>14291</v>
      </c>
      <c r="F539" s="421" t="s">
        <v>11892</v>
      </c>
      <c r="G539" s="112">
        <v>3</v>
      </c>
      <c r="H539" s="112">
        <v>2</v>
      </c>
      <c r="I539" s="112">
        <v>1</v>
      </c>
      <c r="J539" s="112">
        <v>1</v>
      </c>
      <c r="K539" s="112">
        <v>1</v>
      </c>
      <c r="L539" s="112">
        <v>1</v>
      </c>
    </row>
    <row r="540" spans="1:15" x14ac:dyDescent="0.2">
      <c r="A540" s="111">
        <v>557</v>
      </c>
      <c r="B540" s="421" t="s">
        <v>641</v>
      </c>
      <c r="C540" s="421" t="s">
        <v>501</v>
      </c>
      <c r="D540" s="422" t="s">
        <v>663</v>
      </c>
      <c r="F540" s="421" t="s">
        <v>1044</v>
      </c>
      <c r="G540" s="112">
        <v>1</v>
      </c>
      <c r="H540" s="112">
        <v>1</v>
      </c>
      <c r="I540" s="112">
        <v>1</v>
      </c>
      <c r="J540" s="112">
        <v>1</v>
      </c>
    </row>
    <row r="541" spans="1:15" x14ac:dyDescent="0.2">
      <c r="A541" s="111">
        <v>558</v>
      </c>
      <c r="B541" s="421" t="s">
        <v>642</v>
      </c>
      <c r="C541" s="421" t="s">
        <v>516</v>
      </c>
      <c r="D541" s="422" t="s">
        <v>663</v>
      </c>
      <c r="E541" s="111">
        <v>15191</v>
      </c>
      <c r="F541" s="421" t="s">
        <v>1045</v>
      </c>
      <c r="G541" s="112">
        <v>1</v>
      </c>
      <c r="H541" s="112">
        <v>1</v>
      </c>
      <c r="I541" s="112">
        <v>1</v>
      </c>
    </row>
    <row r="542" spans="1:15" x14ac:dyDescent="0.2">
      <c r="A542" s="111">
        <v>559</v>
      </c>
      <c r="B542" s="421" t="s">
        <v>2753</v>
      </c>
      <c r="C542" s="421" t="s">
        <v>563</v>
      </c>
      <c r="D542" s="422" t="s">
        <v>663</v>
      </c>
      <c r="E542" s="111">
        <v>14250</v>
      </c>
      <c r="F542" s="421" t="s">
        <v>978</v>
      </c>
      <c r="G542" s="112">
        <v>1</v>
      </c>
      <c r="H542" s="112">
        <v>1</v>
      </c>
      <c r="I542" s="112">
        <v>2</v>
      </c>
      <c r="J542" s="112">
        <v>8</v>
      </c>
      <c r="K542" s="112">
        <v>8</v>
      </c>
      <c r="L542" s="112">
        <v>7</v>
      </c>
      <c r="M542" s="112">
        <v>3</v>
      </c>
      <c r="N542" s="112">
        <v>3</v>
      </c>
      <c r="O542" s="112">
        <v>3</v>
      </c>
    </row>
    <row r="543" spans="1:15" x14ac:dyDescent="0.2">
      <c r="A543" s="111">
        <v>560</v>
      </c>
      <c r="B543" s="421" t="s">
        <v>643</v>
      </c>
      <c r="C543" s="421" t="s">
        <v>516</v>
      </c>
      <c r="D543" s="422" t="s">
        <v>663</v>
      </c>
      <c r="E543" s="111">
        <v>149</v>
      </c>
      <c r="F543" s="421" t="s">
        <v>759</v>
      </c>
      <c r="G543" s="112">
        <v>1</v>
      </c>
      <c r="H543" s="112">
        <v>1</v>
      </c>
      <c r="I543" s="112">
        <v>1</v>
      </c>
    </row>
    <row r="544" spans="1:15" x14ac:dyDescent="0.2">
      <c r="A544" s="111">
        <v>561</v>
      </c>
      <c r="B544" s="421" t="s">
        <v>644</v>
      </c>
      <c r="C544" s="421" t="s">
        <v>572</v>
      </c>
      <c r="D544" s="422" t="s">
        <v>663</v>
      </c>
      <c r="E544" s="111">
        <v>14292</v>
      </c>
      <c r="F544" s="421" t="s">
        <v>2835</v>
      </c>
      <c r="G544" s="112">
        <v>2</v>
      </c>
      <c r="H544" s="112">
        <v>2</v>
      </c>
      <c r="I544" s="112">
        <v>2</v>
      </c>
      <c r="J544" s="112">
        <v>5</v>
      </c>
      <c r="K544" s="112">
        <v>8</v>
      </c>
      <c r="L544" s="112">
        <v>4</v>
      </c>
    </row>
    <row r="545" spans="1:15" x14ac:dyDescent="0.2">
      <c r="A545" s="111">
        <v>562</v>
      </c>
      <c r="B545" s="421" t="s">
        <v>237</v>
      </c>
      <c r="C545" s="421" t="s">
        <v>570</v>
      </c>
      <c r="D545" s="422" t="s">
        <v>663</v>
      </c>
      <c r="E545" s="111">
        <v>14293</v>
      </c>
      <c r="F545" s="421" t="s">
        <v>924</v>
      </c>
      <c r="G545" s="112">
        <v>1</v>
      </c>
      <c r="H545" s="112">
        <v>2</v>
      </c>
      <c r="I545" s="112">
        <v>2</v>
      </c>
      <c r="K545" s="112">
        <v>1</v>
      </c>
    </row>
    <row r="546" spans="1:15" x14ac:dyDescent="0.2">
      <c r="A546" s="111">
        <v>563</v>
      </c>
      <c r="B546" s="421" t="s">
        <v>645</v>
      </c>
      <c r="C546" s="421" t="s">
        <v>514</v>
      </c>
      <c r="D546" s="422" t="s">
        <v>666</v>
      </c>
      <c r="E546" s="111">
        <v>14294</v>
      </c>
      <c r="F546" s="421" t="s">
        <v>1046</v>
      </c>
      <c r="G546" s="112">
        <v>1</v>
      </c>
      <c r="H546" s="112">
        <v>1</v>
      </c>
      <c r="I546" s="112">
        <v>1</v>
      </c>
      <c r="J546" s="112">
        <v>1</v>
      </c>
      <c r="K546" s="112">
        <v>1</v>
      </c>
      <c r="L546" s="112">
        <v>1</v>
      </c>
    </row>
    <row r="547" spans="1:15" x14ac:dyDescent="0.2">
      <c r="A547" s="111">
        <v>564</v>
      </c>
      <c r="B547" s="421" t="s">
        <v>646</v>
      </c>
      <c r="C547" s="421" t="s">
        <v>551</v>
      </c>
      <c r="D547" s="422" t="s">
        <v>666</v>
      </c>
      <c r="E547" s="111">
        <v>14295</v>
      </c>
      <c r="F547" s="421" t="s">
        <v>1047</v>
      </c>
      <c r="G547" s="112">
        <v>1</v>
      </c>
      <c r="H547" s="112">
        <v>1</v>
      </c>
      <c r="I547" s="112">
        <v>1</v>
      </c>
      <c r="J547" s="112">
        <v>4</v>
      </c>
      <c r="K547" s="112">
        <v>1</v>
      </c>
      <c r="L547" s="112">
        <v>3</v>
      </c>
    </row>
    <row r="548" spans="1:15" x14ac:dyDescent="0.2">
      <c r="A548" s="111">
        <v>565</v>
      </c>
      <c r="B548" s="421" t="s">
        <v>647</v>
      </c>
      <c r="C548" s="421" t="s">
        <v>535</v>
      </c>
      <c r="D548" s="422" t="s">
        <v>666</v>
      </c>
      <c r="E548" s="111">
        <v>14296</v>
      </c>
      <c r="F548" s="421" t="s">
        <v>1067</v>
      </c>
      <c r="G548" s="112">
        <v>2</v>
      </c>
      <c r="H548" s="112">
        <v>1</v>
      </c>
      <c r="I548" s="112">
        <v>1</v>
      </c>
      <c r="J548" s="112">
        <v>4</v>
      </c>
      <c r="K548" s="112">
        <v>3</v>
      </c>
      <c r="L548" s="112">
        <v>3</v>
      </c>
      <c r="M548" s="112">
        <v>2</v>
      </c>
      <c r="O548" s="112">
        <v>1</v>
      </c>
    </row>
    <row r="549" spans="1:15" x14ac:dyDescent="0.2">
      <c r="A549" s="111">
        <v>566</v>
      </c>
      <c r="B549" s="421" t="s">
        <v>648</v>
      </c>
      <c r="C549" s="421" t="s">
        <v>501</v>
      </c>
      <c r="D549" s="422" t="s">
        <v>666</v>
      </c>
      <c r="E549" s="111">
        <v>14817</v>
      </c>
      <c r="F549" s="421" t="s">
        <v>780</v>
      </c>
      <c r="G549" s="112">
        <v>1</v>
      </c>
      <c r="H549" s="112">
        <v>1</v>
      </c>
      <c r="I549" s="112">
        <v>1</v>
      </c>
    </row>
    <row r="550" spans="1:15" x14ac:dyDescent="0.2">
      <c r="A550" s="111">
        <v>567</v>
      </c>
      <c r="B550" s="421" t="s">
        <v>365</v>
      </c>
      <c r="C550" s="421" t="s">
        <v>530</v>
      </c>
      <c r="D550" s="422" t="s">
        <v>666</v>
      </c>
      <c r="E550" s="111">
        <v>14302</v>
      </c>
      <c r="F550" s="421" t="s">
        <v>1048</v>
      </c>
      <c r="G550" s="112">
        <v>1</v>
      </c>
      <c r="H550" s="112">
        <v>1</v>
      </c>
      <c r="I550" s="112">
        <v>1</v>
      </c>
      <c r="J550" s="112">
        <v>2</v>
      </c>
      <c r="K550" s="112">
        <v>1</v>
      </c>
      <c r="L550" s="112">
        <v>3</v>
      </c>
      <c r="M550" s="112">
        <v>1</v>
      </c>
      <c r="N550" s="112">
        <v>1</v>
      </c>
    </row>
    <row r="551" spans="1:15" x14ac:dyDescent="0.2">
      <c r="A551" s="111">
        <v>568</v>
      </c>
      <c r="B551" s="421" t="s">
        <v>266</v>
      </c>
      <c r="C551" s="421" t="s">
        <v>1066</v>
      </c>
      <c r="D551" s="422" t="s">
        <v>663</v>
      </c>
      <c r="E551" s="111">
        <v>14234</v>
      </c>
      <c r="F551" s="421" t="s">
        <v>1049</v>
      </c>
    </row>
    <row r="552" spans="1:15" x14ac:dyDescent="0.2">
      <c r="A552" s="111">
        <v>569</v>
      </c>
      <c r="B552" s="421" t="s">
        <v>649</v>
      </c>
      <c r="C552" s="421" t="s">
        <v>1066</v>
      </c>
      <c r="D552" s="422" t="s">
        <v>663</v>
      </c>
      <c r="E552" s="111">
        <v>14234</v>
      </c>
      <c r="F552" s="421" t="s">
        <v>1049</v>
      </c>
      <c r="G552" s="112">
        <v>1</v>
      </c>
      <c r="H552" s="112">
        <v>1</v>
      </c>
      <c r="I552" s="112">
        <v>1</v>
      </c>
    </row>
    <row r="553" spans="1:15" x14ac:dyDescent="0.2">
      <c r="A553" s="111">
        <v>570</v>
      </c>
      <c r="B553" s="421" t="s">
        <v>140</v>
      </c>
      <c r="C553" s="421" t="s">
        <v>506</v>
      </c>
      <c r="D553" s="422" t="s">
        <v>666</v>
      </c>
      <c r="E553" s="111">
        <v>14181</v>
      </c>
      <c r="F553" s="421" t="s">
        <v>1050</v>
      </c>
      <c r="H553" s="112">
        <v>1</v>
      </c>
      <c r="I553" s="112">
        <v>1</v>
      </c>
    </row>
    <row r="554" spans="1:15" x14ac:dyDescent="0.2">
      <c r="A554" s="111">
        <v>571</v>
      </c>
      <c r="B554" s="421" t="s">
        <v>271</v>
      </c>
      <c r="C554" s="421" t="s">
        <v>572</v>
      </c>
      <c r="D554" s="422" t="s">
        <v>663</v>
      </c>
      <c r="E554" s="111">
        <v>14306</v>
      </c>
      <c r="F554" s="421" t="s">
        <v>1051</v>
      </c>
      <c r="G554" s="112">
        <v>1</v>
      </c>
      <c r="H554" s="112">
        <v>1</v>
      </c>
      <c r="I554" s="112">
        <v>1</v>
      </c>
    </row>
    <row r="555" spans="1:15" x14ac:dyDescent="0.2">
      <c r="A555" s="111">
        <v>572</v>
      </c>
      <c r="B555" s="421" t="s">
        <v>1052</v>
      </c>
      <c r="C555" s="421" t="s">
        <v>527</v>
      </c>
      <c r="D555" s="422" t="s">
        <v>663</v>
      </c>
      <c r="F555" s="421" t="s">
        <v>1053</v>
      </c>
      <c r="G555" s="112">
        <v>1</v>
      </c>
      <c r="H555" s="112">
        <v>1</v>
      </c>
      <c r="I555" s="112">
        <v>1</v>
      </c>
      <c r="M555" s="112">
        <v>1</v>
      </c>
    </row>
    <row r="556" spans="1:15" x14ac:dyDescent="0.2">
      <c r="A556" s="111">
        <v>573</v>
      </c>
      <c r="B556" s="421" t="s">
        <v>206</v>
      </c>
      <c r="C556" s="421" t="s">
        <v>503</v>
      </c>
      <c r="D556" s="422" t="s">
        <v>666</v>
      </c>
      <c r="E556" s="111">
        <v>14357</v>
      </c>
      <c r="F556" s="421" t="s">
        <v>1054</v>
      </c>
      <c r="G556" s="112">
        <v>1</v>
      </c>
      <c r="H556" s="112">
        <v>1</v>
      </c>
      <c r="I556" s="112">
        <v>1</v>
      </c>
      <c r="J556" s="112">
        <v>1</v>
      </c>
      <c r="K556" s="112">
        <v>1</v>
      </c>
      <c r="L556" s="112">
        <v>1</v>
      </c>
    </row>
    <row r="557" spans="1:15" x14ac:dyDescent="0.2">
      <c r="A557" s="111">
        <v>574</v>
      </c>
      <c r="B557" s="421" t="s">
        <v>116</v>
      </c>
      <c r="C557" s="421" t="s">
        <v>503</v>
      </c>
      <c r="D557" s="422" t="s">
        <v>663</v>
      </c>
      <c r="E557" s="111">
        <v>14358</v>
      </c>
      <c r="F557" s="421" t="s">
        <v>1776</v>
      </c>
      <c r="G557" s="112">
        <v>1</v>
      </c>
      <c r="H557" s="112">
        <v>1</v>
      </c>
      <c r="I557" s="112">
        <v>1</v>
      </c>
      <c r="K557" s="112">
        <v>1</v>
      </c>
      <c r="L557" s="112">
        <v>1</v>
      </c>
    </row>
    <row r="558" spans="1:15" x14ac:dyDescent="0.2">
      <c r="A558" s="111">
        <v>575</v>
      </c>
      <c r="B558" s="421" t="s">
        <v>1055</v>
      </c>
      <c r="C558" s="421" t="s">
        <v>501</v>
      </c>
      <c r="D558" s="422" t="s">
        <v>663</v>
      </c>
      <c r="E558" s="111">
        <v>14299</v>
      </c>
      <c r="F558" s="421" t="s">
        <v>1056</v>
      </c>
      <c r="G558" s="112">
        <v>1</v>
      </c>
      <c r="H558" s="112">
        <v>1</v>
      </c>
      <c r="I558" s="112">
        <v>1</v>
      </c>
      <c r="J558" s="112">
        <v>4</v>
      </c>
      <c r="K558" s="112">
        <v>4</v>
      </c>
      <c r="L558" s="112">
        <v>3</v>
      </c>
      <c r="M558" s="112">
        <v>7</v>
      </c>
      <c r="N558" s="112">
        <v>4</v>
      </c>
      <c r="O558" s="112">
        <v>4</v>
      </c>
    </row>
    <row r="559" spans="1:15" x14ac:dyDescent="0.2">
      <c r="A559" s="111">
        <v>576</v>
      </c>
      <c r="B559" s="421" t="s">
        <v>1057</v>
      </c>
      <c r="C559" s="421" t="s">
        <v>570</v>
      </c>
      <c r="D559" s="422" t="s">
        <v>663</v>
      </c>
      <c r="E559" s="111">
        <v>14315</v>
      </c>
      <c r="F559" s="421" t="s">
        <v>2647</v>
      </c>
      <c r="G559" s="112">
        <v>1</v>
      </c>
      <c r="H559" s="112">
        <v>1</v>
      </c>
      <c r="I559" s="112">
        <v>1</v>
      </c>
      <c r="J559" s="112">
        <v>1</v>
      </c>
      <c r="K559" s="112">
        <v>2</v>
      </c>
      <c r="L559" s="112">
        <v>1</v>
      </c>
      <c r="M559" s="112">
        <v>1</v>
      </c>
      <c r="N559" s="112">
        <v>1</v>
      </c>
      <c r="O559" s="112">
        <v>1</v>
      </c>
    </row>
    <row r="560" spans="1:15" x14ac:dyDescent="0.2">
      <c r="A560" s="111">
        <v>577</v>
      </c>
      <c r="B560" s="421" t="s">
        <v>1058</v>
      </c>
      <c r="C560" s="421" t="s">
        <v>540</v>
      </c>
      <c r="D560" s="422" t="s">
        <v>663</v>
      </c>
      <c r="E560" s="111">
        <v>14325</v>
      </c>
      <c r="F560" s="421" t="s">
        <v>1059</v>
      </c>
    </row>
    <row r="561" spans="1:15" x14ac:dyDescent="0.2">
      <c r="A561" s="111">
        <v>578</v>
      </c>
      <c r="B561" s="421" t="s">
        <v>1068</v>
      </c>
      <c r="C561" s="421" t="s">
        <v>536</v>
      </c>
      <c r="D561" s="422" t="s">
        <v>663</v>
      </c>
      <c r="E561" s="111">
        <v>14312</v>
      </c>
      <c r="F561" s="421" t="s">
        <v>1069</v>
      </c>
      <c r="H561" s="112">
        <v>1</v>
      </c>
      <c r="I561" s="112">
        <v>1</v>
      </c>
    </row>
    <row r="562" spans="1:15" x14ac:dyDescent="0.2">
      <c r="A562" s="111">
        <v>579</v>
      </c>
      <c r="B562" s="421" t="s">
        <v>1070</v>
      </c>
      <c r="C562" s="421" t="s">
        <v>536</v>
      </c>
      <c r="D562" s="422" t="s">
        <v>666</v>
      </c>
      <c r="E562" s="111">
        <v>14312</v>
      </c>
      <c r="F562" s="421" t="s">
        <v>1069</v>
      </c>
    </row>
    <row r="563" spans="1:15" x14ac:dyDescent="0.2">
      <c r="A563" s="111">
        <v>580</v>
      </c>
      <c r="B563" s="421" t="s">
        <v>175</v>
      </c>
      <c r="C563" s="421" t="s">
        <v>503</v>
      </c>
      <c r="D563" s="422" t="s">
        <v>666</v>
      </c>
      <c r="E563" s="111">
        <v>14310</v>
      </c>
      <c r="F563" s="421" t="s">
        <v>1071</v>
      </c>
      <c r="G563" s="112">
        <v>1</v>
      </c>
      <c r="H563" s="112">
        <v>1</v>
      </c>
      <c r="I563" s="112">
        <v>1</v>
      </c>
      <c r="J563" s="112">
        <v>2</v>
      </c>
      <c r="K563" s="112">
        <v>2</v>
      </c>
      <c r="L563" s="112">
        <v>1</v>
      </c>
    </row>
    <row r="564" spans="1:15" x14ac:dyDescent="0.2">
      <c r="A564" s="111">
        <v>581</v>
      </c>
      <c r="B564" s="421" t="s">
        <v>1072</v>
      </c>
      <c r="C564" s="421" t="s">
        <v>501</v>
      </c>
      <c r="D564" s="422" t="s">
        <v>663</v>
      </c>
      <c r="E564" s="111">
        <v>14310</v>
      </c>
      <c r="F564" s="421" t="s">
        <v>1071</v>
      </c>
      <c r="G564" s="112">
        <v>1</v>
      </c>
      <c r="H564" s="112">
        <v>1</v>
      </c>
      <c r="I564" s="112">
        <v>1</v>
      </c>
      <c r="J564" s="112">
        <v>1</v>
      </c>
      <c r="K564" s="112">
        <v>2</v>
      </c>
      <c r="L564" s="112">
        <v>1</v>
      </c>
    </row>
    <row r="565" spans="1:15" x14ac:dyDescent="0.2">
      <c r="A565" s="111">
        <v>582</v>
      </c>
      <c r="B565" s="421" t="s">
        <v>1073</v>
      </c>
      <c r="C565" s="421" t="s">
        <v>513</v>
      </c>
      <c r="D565" s="422" t="s">
        <v>663</v>
      </c>
      <c r="E565" s="111">
        <v>1469</v>
      </c>
      <c r="F565" s="421" t="s">
        <v>803</v>
      </c>
      <c r="G565" s="112">
        <v>1</v>
      </c>
      <c r="H565" s="112">
        <v>1</v>
      </c>
      <c r="I565" s="112">
        <v>1</v>
      </c>
    </row>
    <row r="566" spans="1:15" x14ac:dyDescent="0.2">
      <c r="A566" s="111">
        <v>583</v>
      </c>
      <c r="B566" s="421" t="s">
        <v>1074</v>
      </c>
      <c r="C566" s="421" t="s">
        <v>572</v>
      </c>
      <c r="D566" s="422" t="s">
        <v>666</v>
      </c>
      <c r="E566" s="111">
        <v>14303</v>
      </c>
      <c r="F566" s="421" t="s">
        <v>807</v>
      </c>
      <c r="G566" s="112">
        <v>1</v>
      </c>
      <c r="H566" s="112">
        <v>1</v>
      </c>
      <c r="I566" s="112">
        <v>1</v>
      </c>
      <c r="L566" s="112">
        <v>1</v>
      </c>
    </row>
    <row r="567" spans="1:15" x14ac:dyDescent="0.2">
      <c r="A567" s="111">
        <v>585</v>
      </c>
      <c r="B567" s="421" t="s">
        <v>1079</v>
      </c>
      <c r="C567" s="421" t="s">
        <v>504</v>
      </c>
      <c r="D567" s="422" t="s">
        <v>663</v>
      </c>
      <c r="E567" s="111">
        <v>14322</v>
      </c>
      <c r="F567" s="421" t="s">
        <v>1080</v>
      </c>
      <c r="G567" s="112">
        <v>1</v>
      </c>
      <c r="H567" s="112">
        <v>1</v>
      </c>
      <c r="I567" s="112">
        <v>1</v>
      </c>
      <c r="J567" s="112">
        <v>4</v>
      </c>
      <c r="K567" s="112">
        <v>3</v>
      </c>
      <c r="L567" s="112">
        <v>3</v>
      </c>
      <c r="M567" s="112">
        <v>6</v>
      </c>
      <c r="N567" s="112">
        <v>2</v>
      </c>
      <c r="O567" s="112">
        <v>3</v>
      </c>
    </row>
    <row r="568" spans="1:15" x14ac:dyDescent="0.2">
      <c r="A568" s="111">
        <v>586</v>
      </c>
      <c r="B568" s="421" t="s">
        <v>119</v>
      </c>
      <c r="C568" s="421" t="s">
        <v>543</v>
      </c>
      <c r="D568" s="422" t="s">
        <v>663</v>
      </c>
      <c r="E568" s="111">
        <v>15757</v>
      </c>
      <c r="F568" s="421" t="s">
        <v>5358</v>
      </c>
      <c r="G568" s="112">
        <v>1</v>
      </c>
      <c r="H568" s="112">
        <v>1</v>
      </c>
    </row>
    <row r="569" spans="1:15" x14ac:dyDescent="0.2">
      <c r="A569" s="111">
        <v>587</v>
      </c>
      <c r="B569" s="421" t="s">
        <v>1081</v>
      </c>
      <c r="C569" s="421" t="s">
        <v>513</v>
      </c>
      <c r="D569" s="422" t="s">
        <v>666</v>
      </c>
      <c r="F569" s="421" t="s">
        <v>1082</v>
      </c>
      <c r="G569" s="112">
        <v>1</v>
      </c>
      <c r="H569" s="112">
        <v>1</v>
      </c>
      <c r="I569" s="112">
        <v>1</v>
      </c>
      <c r="J569" s="112">
        <v>1</v>
      </c>
      <c r="K569" s="112">
        <v>1</v>
      </c>
      <c r="L569" s="112">
        <v>1</v>
      </c>
      <c r="M569" s="112">
        <v>1</v>
      </c>
      <c r="O569" s="112">
        <v>1</v>
      </c>
    </row>
    <row r="570" spans="1:15" x14ac:dyDescent="0.2">
      <c r="A570" s="111">
        <v>588</v>
      </c>
      <c r="B570" s="421" t="s">
        <v>1083</v>
      </c>
      <c r="C570" s="421" t="s">
        <v>503</v>
      </c>
      <c r="D570" s="422" t="s">
        <v>666</v>
      </c>
      <c r="E570" s="111">
        <v>14173</v>
      </c>
      <c r="F570" s="421" t="s">
        <v>870</v>
      </c>
      <c r="G570" s="112">
        <v>1</v>
      </c>
      <c r="H570" s="112">
        <v>1</v>
      </c>
      <c r="I570" s="112">
        <v>1</v>
      </c>
      <c r="J570" s="112">
        <v>2</v>
      </c>
      <c r="K570" s="112">
        <v>1</v>
      </c>
      <c r="L570" s="112">
        <v>1</v>
      </c>
    </row>
    <row r="571" spans="1:15" x14ac:dyDescent="0.2">
      <c r="A571" s="111">
        <v>589</v>
      </c>
      <c r="B571" s="421" t="s">
        <v>37</v>
      </c>
      <c r="C571" s="421" t="s">
        <v>513</v>
      </c>
      <c r="D571" s="422" t="s">
        <v>663</v>
      </c>
      <c r="E571" s="111">
        <v>14304</v>
      </c>
      <c r="F571" s="421" t="s">
        <v>1084</v>
      </c>
    </row>
    <row r="572" spans="1:15" x14ac:dyDescent="0.2">
      <c r="A572" s="111">
        <v>590</v>
      </c>
      <c r="B572" s="421" t="s">
        <v>1085</v>
      </c>
      <c r="C572" s="421" t="s">
        <v>506</v>
      </c>
      <c r="D572" s="422" t="s">
        <v>663</v>
      </c>
      <c r="F572" s="421" t="s">
        <v>1086</v>
      </c>
    </row>
    <row r="573" spans="1:15" x14ac:dyDescent="0.2">
      <c r="A573" s="111">
        <v>591</v>
      </c>
      <c r="B573" s="421" t="s">
        <v>1087</v>
      </c>
      <c r="C573" s="421" t="s">
        <v>550</v>
      </c>
      <c r="D573" s="422" t="s">
        <v>663</v>
      </c>
      <c r="E573" s="111">
        <v>15024</v>
      </c>
      <c r="F573" s="421" t="s">
        <v>890</v>
      </c>
      <c r="G573" s="112">
        <v>2</v>
      </c>
      <c r="H573" s="112">
        <v>2</v>
      </c>
      <c r="I573" s="112">
        <v>1</v>
      </c>
      <c r="J573" s="112">
        <v>5</v>
      </c>
      <c r="K573" s="112">
        <v>6</v>
      </c>
      <c r="L573" s="112">
        <v>5</v>
      </c>
      <c r="M573" s="112">
        <v>3</v>
      </c>
      <c r="N573" s="112">
        <v>3</v>
      </c>
      <c r="O573" s="112">
        <v>1</v>
      </c>
    </row>
    <row r="574" spans="1:15" x14ac:dyDescent="0.2">
      <c r="A574" s="111">
        <v>592</v>
      </c>
      <c r="B574" s="421" t="s">
        <v>1088</v>
      </c>
      <c r="C574" s="421" t="s">
        <v>516</v>
      </c>
      <c r="D574" s="422" t="s">
        <v>663</v>
      </c>
      <c r="E574" s="111">
        <v>14161</v>
      </c>
      <c r="F574" s="421" t="s">
        <v>1089</v>
      </c>
    </row>
    <row r="575" spans="1:15" x14ac:dyDescent="0.2">
      <c r="A575" s="111">
        <v>593</v>
      </c>
      <c r="B575" s="421" t="s">
        <v>209</v>
      </c>
      <c r="C575" s="421" t="s">
        <v>516</v>
      </c>
      <c r="D575" s="422" t="s">
        <v>666</v>
      </c>
      <c r="E575" s="111">
        <v>14161</v>
      </c>
      <c r="F575" s="421" t="s">
        <v>1089</v>
      </c>
    </row>
    <row r="576" spans="1:15" x14ac:dyDescent="0.2">
      <c r="A576" s="111">
        <v>594</v>
      </c>
      <c r="B576" s="421" t="s">
        <v>1090</v>
      </c>
      <c r="C576" s="421" t="s">
        <v>504</v>
      </c>
      <c r="D576" s="422" t="s">
        <v>666</v>
      </c>
      <c r="E576" s="111">
        <v>44480</v>
      </c>
      <c r="F576" s="421" t="s">
        <v>1091</v>
      </c>
    </row>
    <row r="577" spans="1:15" x14ac:dyDescent="0.2">
      <c r="A577" s="111">
        <v>595</v>
      </c>
      <c r="B577" s="421" t="s">
        <v>1092</v>
      </c>
      <c r="C577" s="421" t="s">
        <v>501</v>
      </c>
      <c r="D577" s="422" t="s">
        <v>663</v>
      </c>
      <c r="F577" s="421" t="s">
        <v>1093</v>
      </c>
      <c r="G577" s="112">
        <v>1</v>
      </c>
      <c r="H577" s="112">
        <v>1</v>
      </c>
      <c r="I577" s="112">
        <v>1</v>
      </c>
      <c r="K577" s="112">
        <v>1</v>
      </c>
      <c r="L577" s="112">
        <v>1</v>
      </c>
    </row>
    <row r="578" spans="1:15" x14ac:dyDescent="0.2">
      <c r="A578" s="111">
        <v>596</v>
      </c>
      <c r="B578" s="421" t="s">
        <v>1094</v>
      </c>
      <c r="C578" s="421" t="s">
        <v>1095</v>
      </c>
      <c r="D578" s="422" t="s">
        <v>666</v>
      </c>
      <c r="F578" s="421" t="s">
        <v>1096</v>
      </c>
      <c r="G578" s="112">
        <v>1</v>
      </c>
      <c r="H578" s="112">
        <v>1</v>
      </c>
      <c r="I578" s="112">
        <v>1</v>
      </c>
    </row>
    <row r="579" spans="1:15" x14ac:dyDescent="0.2">
      <c r="A579" s="111">
        <v>597</v>
      </c>
      <c r="B579" s="421" t="s">
        <v>1097</v>
      </c>
      <c r="C579" s="421" t="s">
        <v>502</v>
      </c>
      <c r="D579" s="422" t="s">
        <v>663</v>
      </c>
      <c r="E579" s="111">
        <v>14313</v>
      </c>
      <c r="F579" s="421" t="s">
        <v>1098</v>
      </c>
    </row>
    <row r="580" spans="1:15" x14ac:dyDescent="0.2">
      <c r="A580" s="111">
        <v>598</v>
      </c>
      <c r="B580" s="421" t="s">
        <v>1099</v>
      </c>
      <c r="C580" s="421" t="s">
        <v>522</v>
      </c>
      <c r="D580" s="422" t="s">
        <v>666</v>
      </c>
      <c r="E580" s="111">
        <v>14313</v>
      </c>
      <c r="F580" s="421" t="s">
        <v>1098</v>
      </c>
      <c r="G580" s="112">
        <v>1</v>
      </c>
    </row>
    <row r="581" spans="1:15" x14ac:dyDescent="0.2">
      <c r="A581" s="111">
        <v>599</v>
      </c>
      <c r="B581" s="421" t="s">
        <v>1100</v>
      </c>
      <c r="C581" s="421" t="s">
        <v>1447</v>
      </c>
      <c r="D581" s="422" t="s">
        <v>666</v>
      </c>
      <c r="E581" s="111">
        <v>14343</v>
      </c>
      <c r="F581" s="421" t="s">
        <v>1101</v>
      </c>
      <c r="G581" s="112">
        <v>1</v>
      </c>
      <c r="H581" s="112">
        <v>1</v>
      </c>
      <c r="I581" s="112">
        <v>1</v>
      </c>
      <c r="J581" s="112">
        <v>1</v>
      </c>
    </row>
    <row r="582" spans="1:15" x14ac:dyDescent="0.2">
      <c r="A582" s="111">
        <v>600</v>
      </c>
      <c r="B582" s="421" t="s">
        <v>1102</v>
      </c>
      <c r="C582" s="421" t="s">
        <v>1103</v>
      </c>
      <c r="D582" s="422" t="s">
        <v>663</v>
      </c>
      <c r="E582" s="111">
        <v>1452</v>
      </c>
      <c r="F582" s="421" t="s">
        <v>1104</v>
      </c>
    </row>
    <row r="583" spans="1:15" x14ac:dyDescent="0.2">
      <c r="A583" s="111">
        <v>601</v>
      </c>
      <c r="B583" s="421" t="s">
        <v>1105</v>
      </c>
      <c r="C583" s="421" t="s">
        <v>507</v>
      </c>
      <c r="D583" s="422" t="s">
        <v>663</v>
      </c>
      <c r="E583" s="111">
        <v>14786</v>
      </c>
      <c r="F583" s="421" t="s">
        <v>2337</v>
      </c>
      <c r="G583" s="112">
        <v>1</v>
      </c>
      <c r="H583" s="112">
        <v>1</v>
      </c>
      <c r="I583" s="112">
        <v>1</v>
      </c>
      <c r="J583" s="112">
        <v>2</v>
      </c>
      <c r="K583" s="112">
        <v>1</v>
      </c>
      <c r="L583" s="112">
        <v>1</v>
      </c>
      <c r="M583" s="112">
        <v>1</v>
      </c>
      <c r="N583" s="112">
        <v>1</v>
      </c>
    </row>
    <row r="584" spans="1:15" x14ac:dyDescent="0.2">
      <c r="A584" s="111">
        <v>602</v>
      </c>
      <c r="B584" s="421" t="s">
        <v>1106</v>
      </c>
      <c r="C584" s="421" t="s">
        <v>550</v>
      </c>
      <c r="D584" s="422" t="s">
        <v>663</v>
      </c>
      <c r="E584" s="111">
        <v>44302</v>
      </c>
      <c r="F584" s="421" t="s">
        <v>1107</v>
      </c>
    </row>
    <row r="585" spans="1:15" x14ac:dyDescent="0.2">
      <c r="A585" s="111">
        <v>603</v>
      </c>
      <c r="B585" s="421" t="s">
        <v>163</v>
      </c>
      <c r="C585" s="421" t="s">
        <v>537</v>
      </c>
      <c r="D585" s="422" t="s">
        <v>663</v>
      </c>
      <c r="E585" s="111">
        <v>14298</v>
      </c>
      <c r="F585" s="421" t="s">
        <v>1108</v>
      </c>
      <c r="G585" s="112">
        <v>1</v>
      </c>
      <c r="H585" s="112">
        <v>1</v>
      </c>
      <c r="I585" s="112">
        <v>1</v>
      </c>
    </row>
    <row r="586" spans="1:15" x14ac:dyDescent="0.2">
      <c r="A586" s="111">
        <v>604</v>
      </c>
      <c r="B586" s="421" t="s">
        <v>1109</v>
      </c>
      <c r="C586" s="421" t="s">
        <v>558</v>
      </c>
      <c r="D586" s="422" t="s">
        <v>666</v>
      </c>
      <c r="E586" s="111">
        <v>14348</v>
      </c>
      <c r="F586" s="421" t="s">
        <v>1110</v>
      </c>
      <c r="G586" s="112">
        <v>1</v>
      </c>
      <c r="H586" s="112">
        <v>1</v>
      </c>
      <c r="I586" s="112">
        <v>1</v>
      </c>
      <c r="J586" s="112">
        <v>7</v>
      </c>
      <c r="K586" s="112">
        <v>11</v>
      </c>
      <c r="L586" s="112">
        <v>8</v>
      </c>
      <c r="M586" s="112">
        <v>10</v>
      </c>
      <c r="N586" s="112">
        <v>5</v>
      </c>
      <c r="O586" s="112">
        <v>11</v>
      </c>
    </row>
    <row r="587" spans="1:15" x14ac:dyDescent="0.2">
      <c r="A587" s="111">
        <v>605</v>
      </c>
      <c r="B587" s="421" t="s">
        <v>1111</v>
      </c>
      <c r="C587" s="421" t="s">
        <v>1112</v>
      </c>
      <c r="D587" s="422" t="s">
        <v>666</v>
      </c>
      <c r="E587" s="111">
        <v>14328</v>
      </c>
      <c r="F587" s="421" t="s">
        <v>1113</v>
      </c>
    </row>
    <row r="588" spans="1:15" x14ac:dyDescent="0.2">
      <c r="A588" s="111">
        <v>606</v>
      </c>
      <c r="B588" s="421" t="s">
        <v>1114</v>
      </c>
      <c r="C588" s="421" t="s">
        <v>513</v>
      </c>
      <c r="D588" s="422" t="s">
        <v>663</v>
      </c>
      <c r="E588" s="111">
        <v>14191</v>
      </c>
      <c r="F588" s="421" t="s">
        <v>898</v>
      </c>
      <c r="G588" s="112">
        <v>1</v>
      </c>
      <c r="H588" s="112">
        <v>1</v>
      </c>
      <c r="I588" s="112">
        <v>2</v>
      </c>
      <c r="J588" s="112">
        <v>1</v>
      </c>
      <c r="K588" s="112">
        <v>1</v>
      </c>
      <c r="L588" s="112">
        <v>1</v>
      </c>
      <c r="M588" s="112">
        <v>1</v>
      </c>
    </row>
    <row r="589" spans="1:15" x14ac:dyDescent="0.2">
      <c r="A589" s="111">
        <v>607</v>
      </c>
      <c r="B589" s="421" t="s">
        <v>1115</v>
      </c>
      <c r="C589" s="421" t="s">
        <v>506</v>
      </c>
      <c r="D589" s="422" t="s">
        <v>666</v>
      </c>
      <c r="E589" s="111">
        <v>14301</v>
      </c>
      <c r="F589" s="421" t="s">
        <v>1116</v>
      </c>
      <c r="G589" s="112">
        <v>1</v>
      </c>
      <c r="H589" s="112">
        <v>1</v>
      </c>
      <c r="I589" s="112">
        <v>1</v>
      </c>
      <c r="J589" s="112">
        <v>1</v>
      </c>
      <c r="K589" s="112">
        <v>1</v>
      </c>
      <c r="L589" s="112">
        <v>1</v>
      </c>
      <c r="M589" s="112">
        <v>2</v>
      </c>
      <c r="N589" s="112">
        <v>1</v>
      </c>
      <c r="O589" s="112">
        <v>1</v>
      </c>
    </row>
    <row r="590" spans="1:15" x14ac:dyDescent="0.2">
      <c r="A590" s="111">
        <v>608</v>
      </c>
      <c r="B590" s="421" t="s">
        <v>1117</v>
      </c>
      <c r="C590" s="421" t="s">
        <v>513</v>
      </c>
      <c r="D590" s="422" t="s">
        <v>663</v>
      </c>
      <c r="E590" s="111">
        <v>14301</v>
      </c>
      <c r="F590" s="421" t="s">
        <v>1116</v>
      </c>
    </row>
    <row r="591" spans="1:15" x14ac:dyDescent="0.2">
      <c r="A591" s="111">
        <v>609</v>
      </c>
      <c r="B591" s="421" t="s">
        <v>392</v>
      </c>
      <c r="C591" s="421" t="s">
        <v>510</v>
      </c>
      <c r="D591" s="422" t="s">
        <v>666</v>
      </c>
      <c r="E591" s="111">
        <v>14349</v>
      </c>
      <c r="F591" s="421" t="s">
        <v>1118</v>
      </c>
      <c r="H591" s="112">
        <v>1</v>
      </c>
    </row>
    <row r="592" spans="1:15" x14ac:dyDescent="0.2">
      <c r="A592" s="111">
        <v>610</v>
      </c>
      <c r="B592" s="421" t="s">
        <v>186</v>
      </c>
      <c r="C592" s="421" t="s">
        <v>501</v>
      </c>
      <c r="D592" s="422" t="s">
        <v>666</v>
      </c>
      <c r="E592" s="111">
        <v>14352</v>
      </c>
      <c r="F592" s="421" t="s">
        <v>1119</v>
      </c>
    </row>
    <row r="593" spans="1:15" x14ac:dyDescent="0.2">
      <c r="A593" s="111">
        <v>611</v>
      </c>
      <c r="B593" s="421" t="s">
        <v>186</v>
      </c>
      <c r="C593" s="421" t="s">
        <v>510</v>
      </c>
      <c r="D593" s="422" t="s">
        <v>666</v>
      </c>
      <c r="E593" s="111">
        <v>14442</v>
      </c>
      <c r="F593" s="421" t="s">
        <v>1120</v>
      </c>
      <c r="G593" s="112">
        <v>1</v>
      </c>
      <c r="H593" s="112">
        <v>1</v>
      </c>
      <c r="I593" s="112">
        <v>1</v>
      </c>
    </row>
    <row r="594" spans="1:15" x14ac:dyDescent="0.2">
      <c r="A594" s="111">
        <v>612</v>
      </c>
      <c r="B594" s="421" t="s">
        <v>1121</v>
      </c>
      <c r="C594" s="421" t="s">
        <v>551</v>
      </c>
      <c r="D594" s="422" t="s">
        <v>663</v>
      </c>
      <c r="E594" s="111">
        <v>14353</v>
      </c>
      <c r="F594" s="421" t="s">
        <v>1122</v>
      </c>
      <c r="G594" s="112">
        <v>1</v>
      </c>
      <c r="H594" s="112">
        <v>1</v>
      </c>
      <c r="I594" s="112">
        <v>1</v>
      </c>
      <c r="J594" s="112">
        <v>3</v>
      </c>
      <c r="K594" s="112">
        <v>3</v>
      </c>
      <c r="L594" s="112">
        <v>3</v>
      </c>
      <c r="M594" s="112">
        <v>2</v>
      </c>
      <c r="N594" s="112">
        <v>1</v>
      </c>
      <c r="O594" s="112">
        <v>1</v>
      </c>
    </row>
    <row r="595" spans="1:15" x14ac:dyDescent="0.2">
      <c r="A595" s="111">
        <v>613</v>
      </c>
      <c r="B595" s="421" t="s">
        <v>1123</v>
      </c>
      <c r="C595" s="421" t="s">
        <v>1124</v>
      </c>
      <c r="D595" s="422" t="s">
        <v>666</v>
      </c>
      <c r="E595" s="111">
        <v>14355</v>
      </c>
      <c r="F595" s="421" t="s">
        <v>723</v>
      </c>
      <c r="G595" s="112">
        <v>1</v>
      </c>
      <c r="H595" s="112">
        <v>1</v>
      </c>
      <c r="I595" s="112">
        <v>2</v>
      </c>
      <c r="J595" s="112">
        <v>3</v>
      </c>
      <c r="K595" s="112">
        <v>1</v>
      </c>
      <c r="L595" s="112">
        <v>1</v>
      </c>
    </row>
    <row r="596" spans="1:15" x14ac:dyDescent="0.2">
      <c r="A596" s="111">
        <v>614</v>
      </c>
      <c r="B596" s="421" t="s">
        <v>1125</v>
      </c>
      <c r="C596" s="421" t="s">
        <v>503</v>
      </c>
      <c r="D596" s="422" t="s">
        <v>663</v>
      </c>
      <c r="E596" s="111">
        <v>14356</v>
      </c>
      <c r="F596" s="421" t="s">
        <v>1126</v>
      </c>
      <c r="G596" s="112">
        <v>1</v>
      </c>
      <c r="H596" s="112">
        <v>1</v>
      </c>
      <c r="I596" s="112">
        <v>1</v>
      </c>
    </row>
    <row r="597" spans="1:15" x14ac:dyDescent="0.2">
      <c r="A597" s="111">
        <v>615</v>
      </c>
      <c r="B597" s="421" t="s">
        <v>1127</v>
      </c>
      <c r="C597" s="421" t="s">
        <v>519</v>
      </c>
      <c r="D597" s="422" t="s">
        <v>663</v>
      </c>
      <c r="F597" s="421" t="s">
        <v>1128</v>
      </c>
    </row>
    <row r="598" spans="1:15" x14ac:dyDescent="0.2">
      <c r="A598" s="111">
        <v>616</v>
      </c>
      <c r="B598" s="421" t="s">
        <v>1129</v>
      </c>
      <c r="C598" s="421" t="s">
        <v>503</v>
      </c>
      <c r="D598" s="422" t="s">
        <v>666</v>
      </c>
      <c r="E598" s="111">
        <v>1495</v>
      </c>
      <c r="F598" s="421" t="s">
        <v>714</v>
      </c>
      <c r="G598" s="112">
        <v>1</v>
      </c>
      <c r="H598" s="112">
        <v>1</v>
      </c>
      <c r="I598" s="112">
        <v>1</v>
      </c>
      <c r="J598" s="112">
        <v>11</v>
      </c>
      <c r="K598" s="112">
        <v>11</v>
      </c>
      <c r="L598" s="112">
        <v>11</v>
      </c>
      <c r="M598" s="112">
        <v>9</v>
      </c>
      <c r="N598" s="112">
        <v>9</v>
      </c>
      <c r="O598" s="112">
        <v>9</v>
      </c>
    </row>
    <row r="599" spans="1:15" x14ac:dyDescent="0.2">
      <c r="A599" s="111">
        <v>617</v>
      </c>
      <c r="B599" s="421" t="s">
        <v>133</v>
      </c>
      <c r="C599" s="421" t="s">
        <v>506</v>
      </c>
      <c r="D599" s="422" t="s">
        <v>666</v>
      </c>
      <c r="E599" s="111">
        <v>14359</v>
      </c>
      <c r="F599" s="421" t="s">
        <v>1130</v>
      </c>
      <c r="G599" s="112">
        <v>1</v>
      </c>
    </row>
    <row r="600" spans="1:15" x14ac:dyDescent="0.2">
      <c r="A600" s="111">
        <v>618</v>
      </c>
      <c r="B600" s="421" t="s">
        <v>101</v>
      </c>
      <c r="C600" s="421" t="s">
        <v>1103</v>
      </c>
      <c r="D600" s="422" t="s">
        <v>666</v>
      </c>
      <c r="E600" s="111">
        <v>1452</v>
      </c>
      <c r="F600" s="421" t="s">
        <v>1104</v>
      </c>
    </row>
    <row r="601" spans="1:15" x14ac:dyDescent="0.2">
      <c r="A601" s="111">
        <v>619</v>
      </c>
      <c r="B601" s="421" t="s">
        <v>1189</v>
      </c>
      <c r="C601" s="421" t="s">
        <v>505</v>
      </c>
      <c r="D601" s="422" t="s">
        <v>666</v>
      </c>
      <c r="E601" s="111">
        <v>1456</v>
      </c>
      <c r="F601" s="421" t="s">
        <v>779</v>
      </c>
      <c r="G601" s="112">
        <v>1</v>
      </c>
      <c r="H601" s="112">
        <v>1</v>
      </c>
      <c r="I601" s="112">
        <v>1</v>
      </c>
      <c r="J601" s="112">
        <v>1</v>
      </c>
      <c r="K601" s="112">
        <v>1</v>
      </c>
      <c r="L601" s="112">
        <v>1</v>
      </c>
    </row>
    <row r="602" spans="1:15" x14ac:dyDescent="0.2">
      <c r="A602" s="111">
        <v>620</v>
      </c>
      <c r="B602" s="421" t="s">
        <v>271</v>
      </c>
      <c r="C602" s="421" t="s">
        <v>516</v>
      </c>
      <c r="D602" s="422" t="s">
        <v>666</v>
      </c>
      <c r="E602" s="111">
        <v>16438</v>
      </c>
      <c r="F602" s="421" t="s">
        <v>1190</v>
      </c>
      <c r="G602" s="112">
        <v>1</v>
      </c>
      <c r="H602" s="112">
        <v>1</v>
      </c>
      <c r="I602" s="112">
        <v>1</v>
      </c>
      <c r="J602" s="112">
        <v>1</v>
      </c>
      <c r="L602" s="112">
        <v>1</v>
      </c>
    </row>
    <row r="603" spans="1:15" x14ac:dyDescent="0.2">
      <c r="A603" s="111">
        <v>621</v>
      </c>
      <c r="B603" s="421" t="s">
        <v>159</v>
      </c>
      <c r="C603" s="421" t="s">
        <v>4162</v>
      </c>
      <c r="D603" s="422" t="s">
        <v>663</v>
      </c>
      <c r="E603" s="111">
        <v>14361</v>
      </c>
      <c r="F603" s="421" t="s">
        <v>1191</v>
      </c>
      <c r="G603" s="112">
        <v>1</v>
      </c>
      <c r="I603" s="112">
        <v>1</v>
      </c>
    </row>
    <row r="604" spans="1:15" x14ac:dyDescent="0.2">
      <c r="A604" s="111">
        <v>622</v>
      </c>
      <c r="B604" s="421" t="s">
        <v>1081</v>
      </c>
      <c r="C604" s="421" t="s">
        <v>516</v>
      </c>
      <c r="D604" s="422" t="s">
        <v>666</v>
      </c>
      <c r="E604" s="111">
        <v>14379</v>
      </c>
      <c r="F604" s="421" t="s">
        <v>1192</v>
      </c>
      <c r="G604" s="112">
        <v>1</v>
      </c>
      <c r="H604" s="112">
        <v>1</v>
      </c>
      <c r="I604" s="112">
        <v>1</v>
      </c>
    </row>
    <row r="605" spans="1:15" x14ac:dyDescent="0.2">
      <c r="A605" s="111">
        <v>623</v>
      </c>
      <c r="B605" s="421" t="s">
        <v>1193</v>
      </c>
      <c r="C605" s="421" t="s">
        <v>569</v>
      </c>
      <c r="D605" s="422" t="s">
        <v>663</v>
      </c>
      <c r="E605" s="111">
        <v>14362</v>
      </c>
      <c r="F605" s="421" t="s">
        <v>1194</v>
      </c>
      <c r="G605" s="112">
        <v>1</v>
      </c>
      <c r="I605" s="112">
        <v>1</v>
      </c>
    </row>
    <row r="606" spans="1:15" x14ac:dyDescent="0.2">
      <c r="A606" s="111">
        <v>624</v>
      </c>
      <c r="B606" s="421" t="s">
        <v>125</v>
      </c>
      <c r="C606" s="421" t="s">
        <v>501</v>
      </c>
      <c r="D606" s="422" t="s">
        <v>663</v>
      </c>
      <c r="E606" s="111">
        <v>14362</v>
      </c>
      <c r="F606" s="421" t="s">
        <v>1194</v>
      </c>
      <c r="G606" s="112">
        <v>1</v>
      </c>
      <c r="H606" s="112">
        <v>1</v>
      </c>
    </row>
    <row r="607" spans="1:15" x14ac:dyDescent="0.2">
      <c r="A607" s="111">
        <v>625</v>
      </c>
      <c r="B607" s="421" t="s">
        <v>1195</v>
      </c>
      <c r="C607" s="421" t="s">
        <v>569</v>
      </c>
      <c r="D607" s="422" t="s">
        <v>666</v>
      </c>
      <c r="E607" s="111">
        <v>14362</v>
      </c>
      <c r="F607" s="421" t="s">
        <v>1194</v>
      </c>
    </row>
    <row r="608" spans="1:15" x14ac:dyDescent="0.2">
      <c r="A608" s="111">
        <v>626</v>
      </c>
      <c r="B608" s="421" t="s">
        <v>1196</v>
      </c>
      <c r="C608" s="421" t="s">
        <v>1197</v>
      </c>
      <c r="D608" s="422" t="s">
        <v>663</v>
      </c>
      <c r="E608" s="111">
        <v>14139</v>
      </c>
      <c r="F608" s="421" t="s">
        <v>827</v>
      </c>
      <c r="H608" s="112">
        <v>1</v>
      </c>
    </row>
    <row r="609" spans="1:15" x14ac:dyDescent="0.2">
      <c r="A609" s="111">
        <v>627</v>
      </c>
      <c r="B609" s="421" t="s">
        <v>1198</v>
      </c>
      <c r="C609" s="421" t="s">
        <v>516</v>
      </c>
      <c r="D609" s="422" t="s">
        <v>666</v>
      </c>
      <c r="E609" s="111">
        <v>14363</v>
      </c>
      <c r="F609" s="421" t="s">
        <v>1199</v>
      </c>
      <c r="G609" s="112">
        <v>1</v>
      </c>
      <c r="H609" s="112">
        <v>1</v>
      </c>
      <c r="I609" s="112">
        <v>1</v>
      </c>
      <c r="J609" s="112">
        <v>6</v>
      </c>
      <c r="K609" s="112">
        <v>6</v>
      </c>
      <c r="L609" s="112">
        <v>8</v>
      </c>
      <c r="M609" s="112">
        <v>6</v>
      </c>
      <c r="N609" s="112">
        <v>4</v>
      </c>
      <c r="O609" s="112">
        <v>6</v>
      </c>
    </row>
    <row r="610" spans="1:15" x14ac:dyDescent="0.2">
      <c r="A610" s="111">
        <v>628</v>
      </c>
      <c r="B610" s="421" t="s">
        <v>1200</v>
      </c>
      <c r="C610" s="421" t="s">
        <v>1201</v>
      </c>
      <c r="D610" s="422" t="s">
        <v>666</v>
      </c>
      <c r="E610" s="111">
        <v>14364</v>
      </c>
      <c r="F610" s="421" t="s">
        <v>1202</v>
      </c>
      <c r="G610" s="112">
        <v>1</v>
      </c>
      <c r="I610" s="112">
        <v>1</v>
      </c>
    </row>
    <row r="611" spans="1:15" x14ac:dyDescent="0.2">
      <c r="A611" s="111">
        <v>629</v>
      </c>
      <c r="B611" s="421" t="s">
        <v>1203</v>
      </c>
      <c r="C611" s="421" t="s">
        <v>503</v>
      </c>
      <c r="D611" s="422" t="s">
        <v>666</v>
      </c>
      <c r="E611" s="111">
        <v>14364</v>
      </c>
      <c r="F611" s="421" t="s">
        <v>1202</v>
      </c>
      <c r="G611" s="112">
        <v>1</v>
      </c>
      <c r="H611" s="112">
        <v>1</v>
      </c>
      <c r="I611" s="112">
        <v>1</v>
      </c>
      <c r="J611" s="112">
        <v>5</v>
      </c>
      <c r="K611" s="112">
        <v>5</v>
      </c>
      <c r="L611" s="112">
        <v>4</v>
      </c>
      <c r="M611" s="112">
        <v>1</v>
      </c>
      <c r="N611" s="112">
        <v>1</v>
      </c>
      <c r="O611" s="112">
        <v>3</v>
      </c>
    </row>
    <row r="612" spans="1:15" x14ac:dyDescent="0.2">
      <c r="A612" s="111">
        <v>630</v>
      </c>
      <c r="B612" s="421" t="s">
        <v>1204</v>
      </c>
      <c r="C612" s="421" t="s">
        <v>502</v>
      </c>
      <c r="D612" s="422" t="s">
        <v>663</v>
      </c>
      <c r="E612" s="111">
        <v>14366</v>
      </c>
      <c r="F612" s="421" t="s">
        <v>1205</v>
      </c>
    </row>
    <row r="613" spans="1:15" x14ac:dyDescent="0.2">
      <c r="A613" s="111">
        <v>631</v>
      </c>
      <c r="B613" s="421" t="s">
        <v>1206</v>
      </c>
      <c r="C613" s="421" t="s">
        <v>510</v>
      </c>
      <c r="D613" s="422" t="s">
        <v>663</v>
      </c>
      <c r="E613" s="111">
        <v>14368</v>
      </c>
      <c r="F613" s="421" t="s">
        <v>2836</v>
      </c>
      <c r="G613" s="112">
        <v>1</v>
      </c>
      <c r="H613" s="112">
        <v>1</v>
      </c>
      <c r="I613" s="112">
        <v>1</v>
      </c>
      <c r="J613" s="112">
        <v>3</v>
      </c>
      <c r="K613" s="112">
        <v>3</v>
      </c>
      <c r="L613" s="112">
        <v>3</v>
      </c>
      <c r="M613" s="112">
        <v>3</v>
      </c>
      <c r="N613" s="112">
        <v>5</v>
      </c>
      <c r="O613" s="112">
        <v>3</v>
      </c>
    </row>
    <row r="614" spans="1:15" x14ac:dyDescent="0.2">
      <c r="A614" s="111">
        <v>632</v>
      </c>
      <c r="B614" s="421" t="s">
        <v>1208</v>
      </c>
      <c r="C614" s="421" t="s">
        <v>551</v>
      </c>
      <c r="D614" s="422" t="s">
        <v>663</v>
      </c>
      <c r="F614" s="421" t="s">
        <v>1209</v>
      </c>
      <c r="G614" s="112">
        <v>1</v>
      </c>
      <c r="H614" s="112">
        <v>1</v>
      </c>
      <c r="I614" s="112">
        <v>1</v>
      </c>
    </row>
    <row r="615" spans="1:15" x14ac:dyDescent="0.2">
      <c r="A615" s="111">
        <v>633</v>
      </c>
      <c r="B615" s="421" t="s">
        <v>1210</v>
      </c>
      <c r="C615" s="421" t="s">
        <v>1211</v>
      </c>
      <c r="D615" s="422" t="s">
        <v>663</v>
      </c>
      <c r="E615" s="111">
        <v>14368</v>
      </c>
      <c r="F615" s="421" t="s">
        <v>2836</v>
      </c>
    </row>
    <row r="616" spans="1:15" x14ac:dyDescent="0.2">
      <c r="A616" s="111">
        <v>634</v>
      </c>
      <c r="B616" s="421" t="s">
        <v>1212</v>
      </c>
      <c r="C616" s="421" t="s">
        <v>513</v>
      </c>
      <c r="D616" s="422" t="s">
        <v>663</v>
      </c>
      <c r="E616" s="111">
        <v>1469</v>
      </c>
      <c r="F616" s="421" t="s">
        <v>803</v>
      </c>
    </row>
    <row r="617" spans="1:15" x14ac:dyDescent="0.2">
      <c r="A617" s="111">
        <v>635</v>
      </c>
      <c r="B617" s="421" t="s">
        <v>443</v>
      </c>
      <c r="C617" s="421" t="s">
        <v>551</v>
      </c>
      <c r="D617" s="422" t="s">
        <v>663</v>
      </c>
      <c r="E617" s="111">
        <v>14308</v>
      </c>
      <c r="F617" s="421" t="s">
        <v>1213</v>
      </c>
    </row>
    <row r="618" spans="1:15" x14ac:dyDescent="0.2">
      <c r="A618" s="111">
        <v>636</v>
      </c>
      <c r="B618" s="421" t="s">
        <v>1214</v>
      </c>
      <c r="C618" s="421" t="s">
        <v>501</v>
      </c>
      <c r="D618" s="422" t="s">
        <v>666</v>
      </c>
      <c r="E618" s="111">
        <v>14620</v>
      </c>
      <c r="F618" s="421" t="s">
        <v>1215</v>
      </c>
      <c r="G618" s="112">
        <v>1</v>
      </c>
      <c r="H618" s="112">
        <v>1</v>
      </c>
      <c r="I618" s="112">
        <v>1</v>
      </c>
    </row>
    <row r="619" spans="1:15" x14ac:dyDescent="0.2">
      <c r="A619" s="111">
        <v>637</v>
      </c>
      <c r="B619" s="421" t="s">
        <v>79</v>
      </c>
      <c r="C619" s="421" t="s">
        <v>509</v>
      </c>
      <c r="D619" s="422" t="s">
        <v>666</v>
      </c>
      <c r="E619" s="111">
        <v>14365</v>
      </c>
      <c r="F619" s="421" t="s">
        <v>1216</v>
      </c>
      <c r="G619" s="112">
        <v>2</v>
      </c>
      <c r="H619" s="112">
        <v>1</v>
      </c>
      <c r="I619" s="112">
        <v>1</v>
      </c>
      <c r="J619" s="112">
        <v>1</v>
      </c>
      <c r="K619" s="112">
        <v>1</v>
      </c>
      <c r="L619" s="112">
        <v>1</v>
      </c>
    </row>
    <row r="620" spans="1:15" x14ac:dyDescent="0.2">
      <c r="A620" s="111">
        <v>638</v>
      </c>
      <c r="B620" s="421" t="s">
        <v>1217</v>
      </c>
      <c r="C620" s="421" t="s">
        <v>509</v>
      </c>
      <c r="D620" s="422" t="s">
        <v>663</v>
      </c>
      <c r="E620" s="111">
        <v>14365</v>
      </c>
      <c r="F620" s="421" t="s">
        <v>1216</v>
      </c>
      <c r="G620" s="112">
        <v>1</v>
      </c>
      <c r="H620" s="112">
        <v>1</v>
      </c>
      <c r="I620" s="112">
        <v>1</v>
      </c>
      <c r="J620" s="112">
        <v>2</v>
      </c>
      <c r="K620" s="112">
        <v>1</v>
      </c>
      <c r="L620" s="112">
        <v>1</v>
      </c>
    </row>
    <row r="621" spans="1:15" x14ac:dyDescent="0.2">
      <c r="A621" s="111">
        <v>639</v>
      </c>
      <c r="B621" s="421" t="s">
        <v>1218</v>
      </c>
      <c r="C621" s="421" t="s">
        <v>1211</v>
      </c>
      <c r="D621" s="422" t="s">
        <v>663</v>
      </c>
      <c r="E621" s="111">
        <v>14438</v>
      </c>
      <c r="F621" s="421" t="s">
        <v>1219</v>
      </c>
      <c r="G621" s="112">
        <v>2</v>
      </c>
    </row>
    <row r="622" spans="1:15" x14ac:dyDescent="0.2">
      <c r="A622" s="111">
        <v>640</v>
      </c>
      <c r="B622" s="421" t="s">
        <v>1220</v>
      </c>
      <c r="C622" s="421" t="s">
        <v>513</v>
      </c>
      <c r="D622" s="422" t="s">
        <v>666</v>
      </c>
      <c r="E622" s="111">
        <v>14382</v>
      </c>
      <c r="F622" s="421" t="s">
        <v>1221</v>
      </c>
      <c r="G622" s="112">
        <v>2</v>
      </c>
      <c r="I622" s="112">
        <v>1</v>
      </c>
    </row>
    <row r="623" spans="1:15" x14ac:dyDescent="0.2">
      <c r="A623" s="111">
        <v>641</v>
      </c>
      <c r="B623" s="421" t="s">
        <v>1222</v>
      </c>
      <c r="C623" s="421" t="s">
        <v>528</v>
      </c>
      <c r="D623" s="422" t="s">
        <v>663</v>
      </c>
      <c r="E623" s="111">
        <v>14334</v>
      </c>
      <c r="F623" s="421" t="s">
        <v>1223</v>
      </c>
      <c r="G623" s="112">
        <v>1</v>
      </c>
      <c r="H623" s="112">
        <v>1</v>
      </c>
      <c r="I623" s="112">
        <v>1</v>
      </c>
    </row>
    <row r="624" spans="1:15" x14ac:dyDescent="0.2">
      <c r="A624" s="111">
        <v>642</v>
      </c>
      <c r="B624" s="421" t="s">
        <v>80</v>
      </c>
      <c r="C624" s="421" t="s">
        <v>528</v>
      </c>
      <c r="D624" s="422" t="s">
        <v>666</v>
      </c>
      <c r="E624" s="111">
        <v>14334</v>
      </c>
      <c r="F624" s="421" t="s">
        <v>1223</v>
      </c>
      <c r="G624" s="112">
        <v>2</v>
      </c>
      <c r="H624" s="112">
        <v>1</v>
      </c>
      <c r="I624" s="112">
        <v>1</v>
      </c>
    </row>
    <row r="625" spans="1:15" x14ac:dyDescent="0.2">
      <c r="A625" s="111">
        <v>643</v>
      </c>
      <c r="B625" s="421" t="s">
        <v>1224</v>
      </c>
      <c r="C625" s="421" t="s">
        <v>504</v>
      </c>
      <c r="D625" s="422" t="s">
        <v>666</v>
      </c>
      <c r="E625" s="111">
        <v>14319</v>
      </c>
      <c r="F625" s="421" t="s">
        <v>1021</v>
      </c>
      <c r="G625" s="112">
        <v>2</v>
      </c>
      <c r="H625" s="112">
        <v>1</v>
      </c>
      <c r="I625" s="112">
        <v>1</v>
      </c>
      <c r="J625" s="112">
        <v>2</v>
      </c>
      <c r="K625" s="112">
        <v>1</v>
      </c>
      <c r="L625" s="112">
        <v>1</v>
      </c>
    </row>
    <row r="626" spans="1:15" x14ac:dyDescent="0.2">
      <c r="A626" s="111">
        <v>644</v>
      </c>
      <c r="B626" s="421" t="s">
        <v>1225</v>
      </c>
      <c r="C626" s="421" t="s">
        <v>1226</v>
      </c>
      <c r="D626" s="422" t="s">
        <v>663</v>
      </c>
      <c r="E626" s="111">
        <v>14381</v>
      </c>
      <c r="F626" s="421" t="s">
        <v>1227</v>
      </c>
    </row>
    <row r="627" spans="1:15" x14ac:dyDescent="0.2">
      <c r="A627" s="111">
        <v>645</v>
      </c>
      <c r="B627" s="421" t="s">
        <v>1228</v>
      </c>
      <c r="C627" s="421" t="s">
        <v>589</v>
      </c>
      <c r="D627" s="422" t="s">
        <v>666</v>
      </c>
      <c r="E627" s="111">
        <v>14378</v>
      </c>
      <c r="F627" s="421" t="s">
        <v>1229</v>
      </c>
      <c r="H627" s="112">
        <v>1</v>
      </c>
    </row>
    <row r="628" spans="1:15" x14ac:dyDescent="0.2">
      <c r="A628" s="111">
        <v>646</v>
      </c>
      <c r="B628" s="421" t="s">
        <v>1230</v>
      </c>
      <c r="C628" s="421" t="s">
        <v>589</v>
      </c>
      <c r="D628" s="422" t="s">
        <v>663</v>
      </c>
      <c r="E628" s="111">
        <v>14378</v>
      </c>
      <c r="F628" s="421" t="s">
        <v>1229</v>
      </c>
      <c r="G628" s="112">
        <v>1</v>
      </c>
      <c r="H628" s="112">
        <v>1</v>
      </c>
      <c r="I628" s="112">
        <v>1</v>
      </c>
    </row>
    <row r="629" spans="1:15" x14ac:dyDescent="0.2">
      <c r="A629" s="111">
        <v>647</v>
      </c>
      <c r="B629" s="421" t="s">
        <v>1231</v>
      </c>
      <c r="C629" s="421" t="s">
        <v>506</v>
      </c>
      <c r="D629" s="422" t="s">
        <v>666</v>
      </c>
      <c r="E629" s="111">
        <v>14377</v>
      </c>
      <c r="F629" s="421" t="s">
        <v>777</v>
      </c>
      <c r="G629" s="112">
        <v>1</v>
      </c>
      <c r="H629" s="112">
        <v>1</v>
      </c>
      <c r="I629" s="112">
        <v>1</v>
      </c>
    </row>
    <row r="630" spans="1:15" x14ac:dyDescent="0.2">
      <c r="A630" s="111">
        <v>648</v>
      </c>
      <c r="B630" s="421" t="s">
        <v>1232</v>
      </c>
      <c r="C630" s="421" t="s">
        <v>501</v>
      </c>
      <c r="D630" s="422" t="s">
        <v>663</v>
      </c>
      <c r="E630" s="111">
        <v>14375</v>
      </c>
      <c r="F630" s="421" t="s">
        <v>1233</v>
      </c>
      <c r="G630" s="112">
        <v>1</v>
      </c>
      <c r="H630" s="112">
        <v>1</v>
      </c>
      <c r="I630" s="112">
        <v>1</v>
      </c>
      <c r="J630" s="112">
        <v>3</v>
      </c>
      <c r="K630" s="112">
        <v>3</v>
      </c>
      <c r="L630" s="112">
        <v>3</v>
      </c>
      <c r="N630" s="112">
        <v>2</v>
      </c>
    </row>
    <row r="631" spans="1:15" x14ac:dyDescent="0.2">
      <c r="A631" s="111">
        <v>649</v>
      </c>
      <c r="B631" s="421" t="s">
        <v>1234</v>
      </c>
      <c r="C631" s="421" t="s">
        <v>504</v>
      </c>
      <c r="D631" s="422" t="s">
        <v>663</v>
      </c>
      <c r="E631" s="111">
        <v>14374</v>
      </c>
      <c r="F631" s="421" t="s">
        <v>1235</v>
      </c>
      <c r="G631" s="112">
        <v>1</v>
      </c>
      <c r="H631" s="112">
        <v>1</v>
      </c>
      <c r="I631" s="112">
        <v>1</v>
      </c>
      <c r="J631" s="112">
        <v>3</v>
      </c>
    </row>
    <row r="632" spans="1:15" x14ac:dyDescent="0.2">
      <c r="A632" s="111">
        <v>650</v>
      </c>
      <c r="B632" s="421" t="s">
        <v>1236</v>
      </c>
      <c r="C632" s="421" t="s">
        <v>566</v>
      </c>
      <c r="D632" s="422" t="s">
        <v>666</v>
      </c>
      <c r="E632" s="111">
        <v>14373</v>
      </c>
      <c r="F632" s="421" t="s">
        <v>1237</v>
      </c>
    </row>
    <row r="633" spans="1:15" x14ac:dyDescent="0.2">
      <c r="A633" s="111">
        <v>651</v>
      </c>
      <c r="B633" s="421" t="s">
        <v>1238</v>
      </c>
      <c r="C633" s="421" t="s">
        <v>509</v>
      </c>
      <c r="D633" s="422" t="s">
        <v>666</v>
      </c>
      <c r="E633" s="111">
        <v>14372</v>
      </c>
      <c r="F633" s="421" t="s">
        <v>1239</v>
      </c>
      <c r="G633" s="112">
        <v>1</v>
      </c>
      <c r="H633" s="112">
        <v>1</v>
      </c>
      <c r="I633" s="112">
        <v>2</v>
      </c>
    </row>
    <row r="634" spans="1:15" x14ac:dyDescent="0.2">
      <c r="A634" s="111">
        <v>652</v>
      </c>
      <c r="B634" s="421" t="s">
        <v>1240</v>
      </c>
      <c r="C634" s="421" t="s">
        <v>506</v>
      </c>
      <c r="D634" s="422" t="s">
        <v>663</v>
      </c>
      <c r="E634" s="111">
        <v>14370</v>
      </c>
      <c r="F634" s="421" t="s">
        <v>1241</v>
      </c>
      <c r="G634" s="112">
        <v>1</v>
      </c>
      <c r="H634" s="112">
        <v>1</v>
      </c>
      <c r="I634" s="112">
        <v>1</v>
      </c>
      <c r="L634" s="112">
        <v>1</v>
      </c>
    </row>
    <row r="635" spans="1:15" x14ac:dyDescent="0.2">
      <c r="A635" s="111">
        <v>653</v>
      </c>
      <c r="B635" s="421" t="s">
        <v>627</v>
      </c>
      <c r="C635" s="421" t="s">
        <v>506</v>
      </c>
      <c r="D635" s="422" t="s">
        <v>666</v>
      </c>
      <c r="E635" s="111">
        <v>14383</v>
      </c>
      <c r="F635" s="421" t="s">
        <v>1242</v>
      </c>
      <c r="G635" s="112">
        <v>1</v>
      </c>
      <c r="H635" s="112">
        <v>1</v>
      </c>
      <c r="I635" s="112">
        <v>1</v>
      </c>
      <c r="J635" s="112">
        <v>1</v>
      </c>
      <c r="K635" s="112">
        <v>1</v>
      </c>
      <c r="L635" s="112">
        <v>1</v>
      </c>
    </row>
    <row r="636" spans="1:15" x14ac:dyDescent="0.2">
      <c r="A636" s="111">
        <v>654</v>
      </c>
      <c r="B636" s="421" t="s">
        <v>1243</v>
      </c>
      <c r="C636" s="421" t="s">
        <v>503</v>
      </c>
      <c r="D636" s="422" t="s">
        <v>663</v>
      </c>
      <c r="E636" s="111">
        <v>14380</v>
      </c>
      <c r="F636" s="421" t="s">
        <v>1244</v>
      </c>
      <c r="G636" s="112">
        <v>1</v>
      </c>
      <c r="H636" s="112">
        <v>1</v>
      </c>
      <c r="I636" s="112">
        <v>1</v>
      </c>
    </row>
    <row r="637" spans="1:15" x14ac:dyDescent="0.2">
      <c r="A637" s="111">
        <v>655</v>
      </c>
      <c r="B637" s="421" t="s">
        <v>1245</v>
      </c>
      <c r="C637" s="421" t="s">
        <v>628</v>
      </c>
      <c r="D637" s="422" t="s">
        <v>666</v>
      </c>
      <c r="E637" s="111">
        <v>14369</v>
      </c>
      <c r="F637" s="421" t="s">
        <v>1246</v>
      </c>
      <c r="G637" s="112">
        <v>1</v>
      </c>
      <c r="H637" s="112">
        <v>1</v>
      </c>
      <c r="K637" s="112">
        <v>1</v>
      </c>
    </row>
    <row r="638" spans="1:15" x14ac:dyDescent="0.2">
      <c r="A638" s="111">
        <v>656</v>
      </c>
      <c r="B638" s="421" t="s">
        <v>126</v>
      </c>
      <c r="C638" s="421" t="s">
        <v>533</v>
      </c>
      <c r="D638" s="422" t="s">
        <v>663</v>
      </c>
      <c r="E638" s="111">
        <v>14189</v>
      </c>
      <c r="F638" s="421" t="s">
        <v>672</v>
      </c>
    </row>
    <row r="639" spans="1:15" x14ac:dyDescent="0.2">
      <c r="A639" s="111">
        <v>657</v>
      </c>
      <c r="B639" s="421" t="s">
        <v>1247</v>
      </c>
      <c r="C639" s="421" t="s">
        <v>502</v>
      </c>
      <c r="D639" s="422" t="s">
        <v>666</v>
      </c>
      <c r="E639" s="111">
        <v>14189</v>
      </c>
      <c r="F639" s="421" t="s">
        <v>672</v>
      </c>
    </row>
    <row r="640" spans="1:15" x14ac:dyDescent="0.2">
      <c r="A640" s="111">
        <v>658</v>
      </c>
      <c r="B640" s="421" t="s">
        <v>1248</v>
      </c>
      <c r="C640" s="421" t="s">
        <v>503</v>
      </c>
      <c r="D640" s="422" t="s">
        <v>663</v>
      </c>
      <c r="E640" s="111">
        <v>14246</v>
      </c>
      <c r="F640" s="421" t="s">
        <v>911</v>
      </c>
      <c r="G640" s="112">
        <v>2</v>
      </c>
      <c r="H640" s="112">
        <v>1</v>
      </c>
      <c r="I640" s="112">
        <v>1</v>
      </c>
      <c r="J640" s="112">
        <v>1</v>
      </c>
      <c r="K640" s="112">
        <v>1</v>
      </c>
      <c r="L640" s="112">
        <v>2</v>
      </c>
      <c r="M640" s="112">
        <v>2</v>
      </c>
      <c r="N640" s="112">
        <v>1</v>
      </c>
      <c r="O640" s="112">
        <v>1</v>
      </c>
    </row>
    <row r="641" spans="1:15" x14ac:dyDescent="0.2">
      <c r="A641" s="111">
        <v>659</v>
      </c>
      <c r="B641" s="421" t="s">
        <v>1249</v>
      </c>
      <c r="C641" s="421" t="s">
        <v>554</v>
      </c>
      <c r="D641" s="422"/>
      <c r="E641" s="111">
        <v>14214</v>
      </c>
      <c r="F641" s="421" t="s">
        <v>3755</v>
      </c>
      <c r="G641" s="112">
        <v>1</v>
      </c>
      <c r="H641" s="112">
        <v>2</v>
      </c>
      <c r="I641" s="112">
        <v>1</v>
      </c>
      <c r="L641" s="112">
        <v>1</v>
      </c>
    </row>
    <row r="642" spans="1:15" x14ac:dyDescent="0.2">
      <c r="A642" s="111">
        <v>660</v>
      </c>
      <c r="B642" s="421" t="s">
        <v>1250</v>
      </c>
      <c r="C642" s="421" t="s">
        <v>523</v>
      </c>
      <c r="D642" s="422" t="s">
        <v>663</v>
      </c>
      <c r="E642" s="111">
        <v>15413</v>
      </c>
      <c r="F642" s="421" t="s">
        <v>1251</v>
      </c>
      <c r="G642" s="112">
        <v>1</v>
      </c>
      <c r="H642" s="112">
        <v>1</v>
      </c>
      <c r="I642" s="112">
        <v>1</v>
      </c>
      <c r="J642" s="112">
        <v>3</v>
      </c>
      <c r="K642" s="112">
        <v>3</v>
      </c>
      <c r="L642" s="112">
        <v>3</v>
      </c>
      <c r="M642" s="112">
        <v>2</v>
      </c>
      <c r="N642" s="112">
        <v>2</v>
      </c>
      <c r="O642" s="112">
        <v>2</v>
      </c>
    </row>
    <row r="643" spans="1:15" x14ac:dyDescent="0.2">
      <c r="A643" s="111">
        <v>661</v>
      </c>
      <c r="B643" s="421" t="s">
        <v>1252</v>
      </c>
      <c r="C643" s="421" t="s">
        <v>514</v>
      </c>
      <c r="D643" s="422" t="s">
        <v>663</v>
      </c>
      <c r="F643" s="421" t="s">
        <v>1253</v>
      </c>
    </row>
    <row r="644" spans="1:15" x14ac:dyDescent="0.2">
      <c r="A644" s="111">
        <v>662</v>
      </c>
      <c r="B644" s="421" t="s">
        <v>1254</v>
      </c>
      <c r="C644" s="421" t="s">
        <v>535</v>
      </c>
      <c r="D644" s="422" t="s">
        <v>663</v>
      </c>
      <c r="E644" s="111">
        <v>1461</v>
      </c>
      <c r="F644" s="421" t="s">
        <v>1448</v>
      </c>
      <c r="G644" s="112">
        <v>1</v>
      </c>
      <c r="H644" s="112">
        <v>1</v>
      </c>
      <c r="I644" s="112">
        <v>1</v>
      </c>
    </row>
    <row r="645" spans="1:15" x14ac:dyDescent="0.2">
      <c r="A645" s="111">
        <v>663</v>
      </c>
      <c r="B645" s="421" t="s">
        <v>1255</v>
      </c>
      <c r="C645" s="421" t="s">
        <v>501</v>
      </c>
      <c r="D645" s="422" t="s">
        <v>663</v>
      </c>
      <c r="E645" s="111">
        <v>14389</v>
      </c>
      <c r="F645" s="421" t="s">
        <v>1256</v>
      </c>
      <c r="G645" s="112">
        <v>1</v>
      </c>
      <c r="H645" s="112">
        <v>1</v>
      </c>
      <c r="I645" s="112">
        <v>1</v>
      </c>
      <c r="J645" s="112">
        <v>7</v>
      </c>
      <c r="K645" s="112">
        <v>7</v>
      </c>
      <c r="L645" s="112">
        <v>7</v>
      </c>
      <c r="M645" s="112">
        <v>5</v>
      </c>
      <c r="N645" s="112">
        <v>6</v>
      </c>
      <c r="O645" s="112">
        <v>7</v>
      </c>
    </row>
    <row r="646" spans="1:15" x14ac:dyDescent="0.2">
      <c r="A646" s="111">
        <v>664</v>
      </c>
      <c r="B646" s="421" t="s">
        <v>1257</v>
      </c>
      <c r="C646" s="421" t="s">
        <v>501</v>
      </c>
      <c r="D646" s="422" t="s">
        <v>663</v>
      </c>
      <c r="E646" s="111">
        <v>14389</v>
      </c>
      <c r="F646" s="421" t="s">
        <v>1256</v>
      </c>
      <c r="G646" s="112">
        <v>2</v>
      </c>
      <c r="H646" s="112">
        <v>3</v>
      </c>
      <c r="I646" s="112">
        <v>4</v>
      </c>
      <c r="J646" s="112">
        <v>5</v>
      </c>
      <c r="K646" s="112">
        <v>5</v>
      </c>
      <c r="L646" s="112">
        <v>5</v>
      </c>
      <c r="N646" s="112">
        <v>2</v>
      </c>
      <c r="O646" s="112">
        <v>4</v>
      </c>
    </row>
    <row r="647" spans="1:15" x14ac:dyDescent="0.2">
      <c r="A647" s="111">
        <v>665</v>
      </c>
      <c r="B647" s="421" t="s">
        <v>1258</v>
      </c>
      <c r="C647" s="421" t="s">
        <v>523</v>
      </c>
      <c r="D647" s="422" t="s">
        <v>663</v>
      </c>
      <c r="E647" s="111">
        <v>14519</v>
      </c>
      <c r="F647" s="421" t="s">
        <v>1259</v>
      </c>
      <c r="G647" s="112">
        <v>3</v>
      </c>
      <c r="H647" s="112">
        <v>2</v>
      </c>
      <c r="I647" s="112">
        <v>3</v>
      </c>
      <c r="J647" s="112">
        <v>9</v>
      </c>
      <c r="K647" s="112">
        <v>10</v>
      </c>
      <c r="L647" s="112">
        <v>10</v>
      </c>
      <c r="M647" s="112">
        <v>4</v>
      </c>
      <c r="N647" s="112">
        <v>3</v>
      </c>
      <c r="O647" s="112">
        <v>4</v>
      </c>
    </row>
    <row r="648" spans="1:15" x14ac:dyDescent="0.2">
      <c r="A648" s="111">
        <v>666</v>
      </c>
      <c r="B648" s="421" t="s">
        <v>1260</v>
      </c>
      <c r="C648" s="421" t="s">
        <v>506</v>
      </c>
      <c r="D648" s="422" t="s">
        <v>666</v>
      </c>
      <c r="E648" s="111">
        <v>14397</v>
      </c>
      <c r="F648" s="421" t="s">
        <v>1261</v>
      </c>
      <c r="G648" s="112">
        <v>1</v>
      </c>
      <c r="H648" s="112">
        <v>1</v>
      </c>
      <c r="I648" s="112">
        <v>1</v>
      </c>
    </row>
    <row r="649" spans="1:15" x14ac:dyDescent="0.2">
      <c r="A649" s="111">
        <v>667</v>
      </c>
      <c r="B649" s="421" t="s">
        <v>1262</v>
      </c>
      <c r="C649" s="421" t="s">
        <v>506</v>
      </c>
      <c r="D649" s="422" t="s">
        <v>663</v>
      </c>
      <c r="E649" s="111">
        <v>14390</v>
      </c>
      <c r="F649" s="421" t="s">
        <v>1263</v>
      </c>
    </row>
    <row r="650" spans="1:15" x14ac:dyDescent="0.2">
      <c r="A650" s="111">
        <v>668</v>
      </c>
      <c r="B650" s="421" t="s">
        <v>493</v>
      </c>
      <c r="C650" s="421" t="s">
        <v>529</v>
      </c>
      <c r="D650" s="422" t="s">
        <v>663</v>
      </c>
      <c r="E650" s="111">
        <v>14391</v>
      </c>
      <c r="F650" s="421" t="s">
        <v>1264</v>
      </c>
      <c r="G650" s="112">
        <v>3</v>
      </c>
      <c r="H650" s="112">
        <v>3</v>
      </c>
      <c r="I650" s="112">
        <v>1</v>
      </c>
      <c r="J650" s="112">
        <v>7</v>
      </c>
      <c r="K650" s="112">
        <v>4</v>
      </c>
      <c r="L650" s="112">
        <v>5</v>
      </c>
      <c r="M650" s="112">
        <v>1</v>
      </c>
    </row>
    <row r="651" spans="1:15" x14ac:dyDescent="0.2">
      <c r="A651" s="111">
        <v>669</v>
      </c>
      <c r="B651" s="421" t="s">
        <v>1265</v>
      </c>
      <c r="C651" s="421" t="s">
        <v>530</v>
      </c>
      <c r="D651" s="422" t="s">
        <v>666</v>
      </c>
      <c r="E651" s="111">
        <v>14392</v>
      </c>
      <c r="F651" s="421" t="s">
        <v>1266</v>
      </c>
      <c r="G651" s="112">
        <v>2</v>
      </c>
      <c r="H651" s="112">
        <v>2</v>
      </c>
      <c r="I651" s="112">
        <v>1</v>
      </c>
      <c r="J651" s="112">
        <v>5</v>
      </c>
      <c r="K651" s="112">
        <v>6</v>
      </c>
      <c r="L651" s="112">
        <v>4</v>
      </c>
      <c r="M651" s="112">
        <v>1</v>
      </c>
    </row>
    <row r="652" spans="1:15" x14ac:dyDescent="0.2">
      <c r="A652" s="111">
        <v>670</v>
      </c>
      <c r="B652" s="421" t="s">
        <v>110</v>
      </c>
      <c r="C652" s="421" t="s">
        <v>516</v>
      </c>
      <c r="D652" s="422" t="s">
        <v>666</v>
      </c>
      <c r="E652" s="111">
        <v>14393</v>
      </c>
      <c r="F652" s="421" t="s">
        <v>1267</v>
      </c>
      <c r="G652" s="112">
        <v>1</v>
      </c>
      <c r="H652" s="112">
        <v>1</v>
      </c>
      <c r="I652" s="112">
        <v>1</v>
      </c>
      <c r="K652" s="112">
        <v>1</v>
      </c>
      <c r="L652" s="112">
        <v>1</v>
      </c>
    </row>
    <row r="653" spans="1:15" x14ac:dyDescent="0.2">
      <c r="A653" s="111">
        <v>671</v>
      </c>
      <c r="B653" s="421" t="s">
        <v>1268</v>
      </c>
      <c r="C653" s="421" t="s">
        <v>574</v>
      </c>
      <c r="D653" s="422" t="s">
        <v>663</v>
      </c>
      <c r="E653" s="111">
        <v>14394</v>
      </c>
      <c r="F653" s="421" t="s">
        <v>1269</v>
      </c>
      <c r="G653" s="112">
        <v>1</v>
      </c>
      <c r="H653" s="112">
        <v>1</v>
      </c>
      <c r="I653" s="112">
        <v>1</v>
      </c>
    </row>
    <row r="654" spans="1:15" x14ac:dyDescent="0.2">
      <c r="A654" s="111">
        <v>672</v>
      </c>
      <c r="B654" s="421" t="s">
        <v>416</v>
      </c>
      <c r="C654" s="421" t="s">
        <v>533</v>
      </c>
      <c r="D654" s="422" t="s">
        <v>663</v>
      </c>
      <c r="E654" s="111">
        <v>14395</v>
      </c>
      <c r="F654" s="421" t="s">
        <v>1270</v>
      </c>
      <c r="G654" s="112">
        <v>1</v>
      </c>
      <c r="H654" s="112">
        <v>1</v>
      </c>
      <c r="I654" s="112">
        <v>1</v>
      </c>
      <c r="J654" s="112">
        <v>1</v>
      </c>
      <c r="L654" s="112">
        <v>1</v>
      </c>
    </row>
    <row r="655" spans="1:15" x14ac:dyDescent="0.2">
      <c r="A655" s="111">
        <v>673</v>
      </c>
      <c r="B655" s="421" t="s">
        <v>1271</v>
      </c>
      <c r="C655" s="421" t="s">
        <v>531</v>
      </c>
      <c r="D655" s="422" t="s">
        <v>663</v>
      </c>
      <c r="E655" s="111">
        <v>14396</v>
      </c>
      <c r="F655" s="421" t="s">
        <v>1272</v>
      </c>
      <c r="G655" s="112">
        <v>1</v>
      </c>
      <c r="H655" s="112">
        <v>1</v>
      </c>
      <c r="I655" s="112">
        <v>1</v>
      </c>
      <c r="K655" s="112">
        <v>1</v>
      </c>
      <c r="L655" s="112">
        <v>1</v>
      </c>
    </row>
    <row r="656" spans="1:15" x14ac:dyDescent="0.2">
      <c r="A656" s="111">
        <v>674</v>
      </c>
      <c r="B656" s="421" t="s">
        <v>1273</v>
      </c>
      <c r="C656" s="421" t="s">
        <v>581</v>
      </c>
      <c r="D656" s="422" t="s">
        <v>663</v>
      </c>
      <c r="E656" s="111">
        <v>14291</v>
      </c>
      <c r="F656" s="421" t="s">
        <v>11892</v>
      </c>
      <c r="G656" s="112">
        <v>2</v>
      </c>
      <c r="H656" s="112">
        <v>3</v>
      </c>
      <c r="I656" s="112">
        <v>2</v>
      </c>
      <c r="J656" s="112">
        <v>8</v>
      </c>
      <c r="K656" s="112">
        <v>8</v>
      </c>
      <c r="L656" s="112">
        <v>7</v>
      </c>
      <c r="M656" s="112">
        <v>5</v>
      </c>
      <c r="N656" s="112">
        <v>3</v>
      </c>
      <c r="O656" s="112">
        <v>4</v>
      </c>
    </row>
    <row r="657" spans="1:12" x14ac:dyDescent="0.2">
      <c r="A657" s="111">
        <v>675</v>
      </c>
      <c r="B657" s="421" t="s">
        <v>348</v>
      </c>
      <c r="C657" s="421" t="s">
        <v>501</v>
      </c>
      <c r="D657" s="422" t="s">
        <v>663</v>
      </c>
      <c r="E657" s="111">
        <v>14418</v>
      </c>
      <c r="F657" s="421" t="s">
        <v>1274</v>
      </c>
      <c r="G657" s="112">
        <v>1</v>
      </c>
      <c r="H657" s="112">
        <v>1</v>
      </c>
      <c r="I657" s="112">
        <v>1</v>
      </c>
      <c r="K657" s="112">
        <v>1</v>
      </c>
      <c r="L657" s="112">
        <v>2</v>
      </c>
    </row>
    <row r="658" spans="1:12" x14ac:dyDescent="0.2">
      <c r="A658" s="111">
        <v>676</v>
      </c>
      <c r="B658" s="421" t="s">
        <v>392</v>
      </c>
      <c r="C658" s="421" t="s">
        <v>501</v>
      </c>
      <c r="D658" s="422" t="s">
        <v>663</v>
      </c>
      <c r="F658" s="421" t="s">
        <v>1275</v>
      </c>
    </row>
    <row r="659" spans="1:12" x14ac:dyDescent="0.2">
      <c r="A659" s="111">
        <v>677</v>
      </c>
      <c r="B659" s="421" t="s">
        <v>1276</v>
      </c>
      <c r="C659" s="421" t="s">
        <v>506</v>
      </c>
      <c r="D659" s="422" t="s">
        <v>663</v>
      </c>
      <c r="E659" s="111">
        <v>14326</v>
      </c>
      <c r="F659" s="421" t="s">
        <v>1277</v>
      </c>
      <c r="G659" s="112">
        <v>1</v>
      </c>
      <c r="H659" s="112">
        <v>1</v>
      </c>
      <c r="I659" s="112">
        <v>1</v>
      </c>
      <c r="J659" s="112">
        <v>2</v>
      </c>
      <c r="K659" s="112">
        <v>2</v>
      </c>
      <c r="L659" s="112">
        <v>3</v>
      </c>
    </row>
    <row r="660" spans="1:12" x14ac:dyDescent="0.2">
      <c r="A660" s="111">
        <v>678</v>
      </c>
      <c r="B660" s="421" t="s">
        <v>414</v>
      </c>
      <c r="C660" s="421" t="s">
        <v>533</v>
      </c>
      <c r="D660" s="422" t="s">
        <v>666</v>
      </c>
      <c r="E660" s="111">
        <v>14571</v>
      </c>
      <c r="F660" s="421" t="s">
        <v>1278</v>
      </c>
    </row>
    <row r="661" spans="1:12" x14ac:dyDescent="0.2">
      <c r="A661" s="111">
        <v>679</v>
      </c>
      <c r="B661" s="421" t="s">
        <v>46</v>
      </c>
      <c r="C661" s="421" t="s">
        <v>516</v>
      </c>
      <c r="D661" s="422" t="s">
        <v>663</v>
      </c>
      <c r="E661" s="111">
        <v>14387</v>
      </c>
      <c r="F661" s="421" t="s">
        <v>1279</v>
      </c>
      <c r="G661" s="112">
        <v>1</v>
      </c>
      <c r="H661" s="112">
        <v>1</v>
      </c>
      <c r="I661" s="112">
        <v>1</v>
      </c>
      <c r="J661" s="112">
        <v>1</v>
      </c>
      <c r="K661" s="112">
        <v>1</v>
      </c>
      <c r="L661" s="112">
        <v>1</v>
      </c>
    </row>
    <row r="662" spans="1:12" x14ac:dyDescent="0.2">
      <c r="A662" s="111">
        <v>680</v>
      </c>
      <c r="B662" s="421" t="s">
        <v>1280</v>
      </c>
      <c r="C662" s="421" t="s">
        <v>516</v>
      </c>
      <c r="D662" s="422" t="s">
        <v>663</v>
      </c>
      <c r="E662" s="111">
        <v>14387</v>
      </c>
      <c r="F662" s="421" t="s">
        <v>1279</v>
      </c>
      <c r="G662" s="112">
        <v>1</v>
      </c>
      <c r="H662" s="112">
        <v>1</v>
      </c>
    </row>
    <row r="663" spans="1:12" x14ac:dyDescent="0.2">
      <c r="A663" s="111">
        <v>681</v>
      </c>
      <c r="B663" s="421" t="s">
        <v>1281</v>
      </c>
      <c r="C663" s="421" t="s">
        <v>540</v>
      </c>
      <c r="D663" s="422" t="s">
        <v>663</v>
      </c>
      <c r="E663" s="111">
        <v>14398</v>
      </c>
      <c r="F663" s="421" t="s">
        <v>1282</v>
      </c>
      <c r="G663" s="112">
        <v>1</v>
      </c>
      <c r="H663" s="112">
        <v>1</v>
      </c>
      <c r="I663" s="112">
        <v>1</v>
      </c>
    </row>
    <row r="664" spans="1:12" x14ac:dyDescent="0.2">
      <c r="A664" s="111">
        <v>682</v>
      </c>
      <c r="B664" s="421" t="s">
        <v>1283</v>
      </c>
      <c r="C664" s="421" t="s">
        <v>1284</v>
      </c>
      <c r="D664" s="422" t="s">
        <v>666</v>
      </c>
      <c r="E664" s="111">
        <v>14403</v>
      </c>
      <c r="F664" s="421" t="s">
        <v>1285</v>
      </c>
      <c r="G664" s="112">
        <v>1</v>
      </c>
      <c r="H664" s="112">
        <v>1</v>
      </c>
      <c r="I664" s="112">
        <v>1</v>
      </c>
      <c r="J664" s="112">
        <v>1</v>
      </c>
      <c r="K664" s="112">
        <v>1</v>
      </c>
      <c r="L664" s="112">
        <v>1</v>
      </c>
    </row>
    <row r="665" spans="1:12" x14ac:dyDescent="0.2">
      <c r="A665" s="111">
        <v>683</v>
      </c>
      <c r="B665" s="421" t="s">
        <v>437</v>
      </c>
      <c r="C665" s="421" t="s">
        <v>1288</v>
      </c>
      <c r="D665" s="422" t="s">
        <v>663</v>
      </c>
      <c r="F665" s="421" t="s">
        <v>1289</v>
      </c>
      <c r="G665" s="112">
        <v>1</v>
      </c>
      <c r="H665" s="112">
        <v>1</v>
      </c>
      <c r="I665" s="112">
        <v>1</v>
      </c>
    </row>
    <row r="666" spans="1:12" x14ac:dyDescent="0.2">
      <c r="A666" s="111">
        <v>684</v>
      </c>
      <c r="B666" s="421" t="s">
        <v>1290</v>
      </c>
      <c r="C666" s="421" t="s">
        <v>534</v>
      </c>
      <c r="D666" s="422" t="s">
        <v>666</v>
      </c>
      <c r="E666" s="111">
        <v>14402</v>
      </c>
      <c r="F666" s="421" t="s">
        <v>1291</v>
      </c>
      <c r="H666" s="112">
        <v>1</v>
      </c>
      <c r="I666" s="112">
        <v>1</v>
      </c>
    </row>
    <row r="667" spans="1:12" x14ac:dyDescent="0.2">
      <c r="A667" s="111">
        <v>685</v>
      </c>
      <c r="B667" s="421" t="s">
        <v>1292</v>
      </c>
      <c r="C667" s="421" t="s">
        <v>513</v>
      </c>
      <c r="D667" s="422" t="s">
        <v>663</v>
      </c>
      <c r="E667" s="111">
        <v>14411</v>
      </c>
      <c r="F667" s="421" t="s">
        <v>1293</v>
      </c>
      <c r="G667" s="112">
        <v>1</v>
      </c>
      <c r="H667" s="112">
        <v>1</v>
      </c>
      <c r="I667" s="112">
        <v>1</v>
      </c>
      <c r="J667" s="112">
        <v>1</v>
      </c>
      <c r="K667" s="112">
        <v>1</v>
      </c>
      <c r="L667" s="112">
        <v>1</v>
      </c>
    </row>
    <row r="668" spans="1:12" x14ac:dyDescent="0.2">
      <c r="A668" s="111">
        <v>686</v>
      </c>
      <c r="B668" s="421" t="s">
        <v>1294</v>
      </c>
      <c r="C668" s="421" t="s">
        <v>502</v>
      </c>
      <c r="D668" s="422" t="s">
        <v>666</v>
      </c>
      <c r="E668" s="111">
        <v>14412</v>
      </c>
      <c r="F668" s="421" t="s">
        <v>1295</v>
      </c>
      <c r="G668" s="112">
        <v>2</v>
      </c>
      <c r="H668" s="112">
        <v>2</v>
      </c>
      <c r="I668" s="112">
        <v>3</v>
      </c>
    </row>
    <row r="669" spans="1:12" x14ac:dyDescent="0.2">
      <c r="A669" s="111">
        <v>687</v>
      </c>
      <c r="B669" s="421" t="s">
        <v>93</v>
      </c>
      <c r="C669" s="421" t="s">
        <v>502</v>
      </c>
      <c r="D669" s="422" t="s">
        <v>663</v>
      </c>
      <c r="E669" s="111">
        <v>14412</v>
      </c>
      <c r="F669" s="421" t="s">
        <v>1295</v>
      </c>
    </row>
    <row r="670" spans="1:12" x14ac:dyDescent="0.2">
      <c r="A670" s="111">
        <v>688</v>
      </c>
      <c r="B670" s="421" t="s">
        <v>1296</v>
      </c>
      <c r="C670" s="421" t="s">
        <v>1284</v>
      </c>
      <c r="D670" s="422" t="s">
        <v>663</v>
      </c>
      <c r="E670" s="111">
        <v>14413</v>
      </c>
      <c r="F670" s="421" t="s">
        <v>1297</v>
      </c>
    </row>
    <row r="671" spans="1:12" x14ac:dyDescent="0.2">
      <c r="A671" s="111">
        <v>689</v>
      </c>
      <c r="B671" s="421" t="s">
        <v>38</v>
      </c>
      <c r="C671" s="421" t="s">
        <v>516</v>
      </c>
      <c r="D671" s="422" t="s">
        <v>663</v>
      </c>
      <c r="E671" s="111">
        <v>14413</v>
      </c>
      <c r="F671" s="421" t="s">
        <v>1297</v>
      </c>
      <c r="G671" s="112">
        <v>2</v>
      </c>
      <c r="H671" s="112">
        <v>1</v>
      </c>
      <c r="I671" s="112">
        <v>1</v>
      </c>
    </row>
    <row r="672" spans="1:12" x14ac:dyDescent="0.2">
      <c r="A672" s="111">
        <v>690</v>
      </c>
      <c r="B672" s="421" t="s">
        <v>1298</v>
      </c>
      <c r="C672" s="421" t="s">
        <v>506</v>
      </c>
      <c r="D672" s="422" t="s">
        <v>663</v>
      </c>
      <c r="E672" s="111">
        <v>14414</v>
      </c>
      <c r="F672" s="421" t="s">
        <v>1299</v>
      </c>
    </row>
    <row r="673" spans="1:15" x14ac:dyDescent="0.2">
      <c r="A673" s="111">
        <v>691</v>
      </c>
      <c r="B673" s="421" t="s">
        <v>1300</v>
      </c>
      <c r="C673" s="421" t="s">
        <v>17459</v>
      </c>
      <c r="D673" s="422" t="s">
        <v>663</v>
      </c>
      <c r="E673" s="111">
        <v>14415</v>
      </c>
      <c r="F673" s="421" t="s">
        <v>1301</v>
      </c>
      <c r="G673" s="112">
        <v>1</v>
      </c>
      <c r="H673" s="112">
        <v>1</v>
      </c>
      <c r="I673" s="112">
        <v>1</v>
      </c>
      <c r="J673" s="112">
        <v>9</v>
      </c>
      <c r="K673" s="112">
        <v>9</v>
      </c>
      <c r="L673" s="112">
        <v>9</v>
      </c>
      <c r="M673" s="112">
        <v>5</v>
      </c>
      <c r="N673" s="112">
        <v>5</v>
      </c>
      <c r="O673" s="112">
        <v>5</v>
      </c>
    </row>
    <row r="674" spans="1:15" x14ac:dyDescent="0.2">
      <c r="A674" s="111">
        <v>692</v>
      </c>
      <c r="B674" s="421" t="s">
        <v>1302</v>
      </c>
      <c r="C674" s="421" t="s">
        <v>1303</v>
      </c>
      <c r="D674" s="422" t="s">
        <v>663</v>
      </c>
      <c r="E674" s="111">
        <v>14416</v>
      </c>
      <c r="F674" s="421" t="s">
        <v>1304</v>
      </c>
      <c r="G674" s="112">
        <v>2</v>
      </c>
      <c r="H674" s="112">
        <v>2</v>
      </c>
      <c r="I674" s="112">
        <v>1</v>
      </c>
    </row>
    <row r="675" spans="1:15" x14ac:dyDescent="0.2">
      <c r="A675" s="111">
        <v>693</v>
      </c>
      <c r="B675" s="421" t="s">
        <v>1305</v>
      </c>
      <c r="C675" s="421" t="s">
        <v>1284</v>
      </c>
      <c r="D675" s="422" t="s">
        <v>663</v>
      </c>
      <c r="E675" s="111">
        <v>14410</v>
      </c>
      <c r="F675" s="421" t="s">
        <v>1306</v>
      </c>
      <c r="G675" s="112">
        <v>1</v>
      </c>
      <c r="H675" s="112">
        <v>1</v>
      </c>
      <c r="I675" s="112">
        <v>1</v>
      </c>
    </row>
    <row r="676" spans="1:15" x14ac:dyDescent="0.2">
      <c r="A676" s="111">
        <v>694</v>
      </c>
      <c r="B676" s="421" t="s">
        <v>1307</v>
      </c>
      <c r="C676" s="421" t="s">
        <v>522</v>
      </c>
      <c r="D676" s="422" t="s">
        <v>666</v>
      </c>
      <c r="E676" s="111">
        <v>14410</v>
      </c>
      <c r="F676" s="421" t="s">
        <v>1306</v>
      </c>
      <c r="G676" s="112">
        <v>1</v>
      </c>
      <c r="H676" s="112">
        <v>1</v>
      </c>
      <c r="I676" s="112">
        <v>1</v>
      </c>
      <c r="L676" s="112">
        <v>1</v>
      </c>
    </row>
    <row r="677" spans="1:15" x14ac:dyDescent="0.2">
      <c r="A677" s="111">
        <v>695</v>
      </c>
      <c r="B677" s="421" t="s">
        <v>1308</v>
      </c>
      <c r="C677" s="421" t="s">
        <v>516</v>
      </c>
      <c r="D677" s="422" t="s">
        <v>666</v>
      </c>
      <c r="E677" s="111">
        <v>14417</v>
      </c>
      <c r="F677" s="421" t="s">
        <v>1309</v>
      </c>
      <c r="G677" s="112">
        <v>1</v>
      </c>
      <c r="H677" s="112">
        <v>1</v>
      </c>
      <c r="I677" s="112">
        <v>1</v>
      </c>
    </row>
    <row r="678" spans="1:15" x14ac:dyDescent="0.2">
      <c r="A678" s="111">
        <v>696</v>
      </c>
      <c r="B678" s="421" t="s">
        <v>1310</v>
      </c>
      <c r="C678" s="421" t="s">
        <v>518</v>
      </c>
      <c r="D678" s="422" t="s">
        <v>663</v>
      </c>
      <c r="E678" s="111">
        <v>14420</v>
      </c>
      <c r="F678" s="421" t="s">
        <v>1311</v>
      </c>
      <c r="G678" s="112">
        <v>1</v>
      </c>
      <c r="H678" s="112">
        <v>2</v>
      </c>
      <c r="I678" s="112">
        <v>2</v>
      </c>
    </row>
    <row r="679" spans="1:15" x14ac:dyDescent="0.2">
      <c r="A679" s="111">
        <v>697</v>
      </c>
      <c r="B679" s="421" t="s">
        <v>1312</v>
      </c>
      <c r="C679" s="421" t="s">
        <v>1313</v>
      </c>
      <c r="D679" s="422" t="s">
        <v>663</v>
      </c>
      <c r="E679" s="111">
        <v>14399</v>
      </c>
      <c r="F679" s="421" t="s">
        <v>1314</v>
      </c>
    </row>
    <row r="680" spans="1:15" x14ac:dyDescent="0.2">
      <c r="A680" s="111">
        <v>698</v>
      </c>
      <c r="B680" s="421" t="s">
        <v>1315</v>
      </c>
      <c r="C680" s="421" t="s">
        <v>558</v>
      </c>
      <c r="D680" s="422" t="s">
        <v>666</v>
      </c>
      <c r="E680" s="111">
        <v>14399</v>
      </c>
      <c r="F680" s="421" t="s">
        <v>1314</v>
      </c>
    </row>
    <row r="681" spans="1:15" x14ac:dyDescent="0.2">
      <c r="A681" s="111">
        <v>699</v>
      </c>
      <c r="B681" s="421" t="s">
        <v>1316</v>
      </c>
      <c r="C681" s="421" t="s">
        <v>506</v>
      </c>
      <c r="D681" s="422" t="s">
        <v>666</v>
      </c>
      <c r="E681" s="111">
        <v>14421</v>
      </c>
      <c r="F681" s="421" t="s">
        <v>1317</v>
      </c>
    </row>
    <row r="682" spans="1:15" x14ac:dyDescent="0.2">
      <c r="A682" s="111">
        <v>700</v>
      </c>
      <c r="B682" s="421" t="s">
        <v>293</v>
      </c>
      <c r="C682" s="421" t="s">
        <v>1318</v>
      </c>
      <c r="D682" s="422" t="s">
        <v>666</v>
      </c>
      <c r="E682" s="111">
        <v>14422</v>
      </c>
      <c r="F682" s="421" t="s">
        <v>1319</v>
      </c>
      <c r="G682" s="112">
        <v>1</v>
      </c>
      <c r="H682" s="112">
        <v>1</v>
      </c>
      <c r="I682" s="112">
        <v>1</v>
      </c>
      <c r="K682" s="112">
        <v>1</v>
      </c>
      <c r="L682" s="112">
        <v>1</v>
      </c>
    </row>
    <row r="683" spans="1:15" x14ac:dyDescent="0.2">
      <c r="A683" s="111">
        <v>701</v>
      </c>
      <c r="B683" s="421" t="s">
        <v>1320</v>
      </c>
      <c r="C683" s="421" t="s">
        <v>532</v>
      </c>
      <c r="D683" s="422" t="s">
        <v>666</v>
      </c>
      <c r="E683" s="111">
        <v>14423</v>
      </c>
      <c r="F683" s="421" t="s">
        <v>1321</v>
      </c>
      <c r="G683" s="112">
        <v>1</v>
      </c>
      <c r="H683" s="112">
        <v>1</v>
      </c>
      <c r="I683" s="112">
        <v>1</v>
      </c>
    </row>
    <row r="684" spans="1:15" x14ac:dyDescent="0.2">
      <c r="A684" s="111">
        <v>702</v>
      </c>
      <c r="B684" s="421" t="s">
        <v>416</v>
      </c>
      <c r="C684" s="421" t="s">
        <v>510</v>
      </c>
      <c r="D684" s="422" t="s">
        <v>663</v>
      </c>
      <c r="E684" s="111">
        <v>14424</v>
      </c>
      <c r="F684" s="421" t="s">
        <v>1322</v>
      </c>
      <c r="G684" s="112">
        <v>1</v>
      </c>
      <c r="H684" s="112">
        <v>1</v>
      </c>
      <c r="I684" s="112">
        <v>1</v>
      </c>
      <c r="K684" s="112">
        <v>1</v>
      </c>
      <c r="L684" s="112">
        <v>1</v>
      </c>
    </row>
    <row r="685" spans="1:15" x14ac:dyDescent="0.2">
      <c r="A685" s="111">
        <v>703</v>
      </c>
      <c r="B685" s="421" t="s">
        <v>1323</v>
      </c>
      <c r="C685" s="421" t="s">
        <v>503</v>
      </c>
      <c r="D685" s="422" t="s">
        <v>666</v>
      </c>
      <c r="E685" s="111">
        <v>14425</v>
      </c>
      <c r="F685" s="421" t="s">
        <v>1324</v>
      </c>
      <c r="G685" s="112">
        <v>1</v>
      </c>
      <c r="H685" s="112">
        <v>2</v>
      </c>
      <c r="I685" s="112">
        <v>1</v>
      </c>
    </row>
    <row r="686" spans="1:15" x14ac:dyDescent="0.2">
      <c r="A686" s="111">
        <v>704</v>
      </c>
      <c r="B686" s="421" t="s">
        <v>1325</v>
      </c>
      <c r="C686" s="421" t="s">
        <v>501</v>
      </c>
      <c r="D686" s="422" t="s">
        <v>663</v>
      </c>
      <c r="E686" s="111">
        <v>14426</v>
      </c>
      <c r="F686" s="421" t="s">
        <v>1326</v>
      </c>
      <c r="G686" s="112">
        <v>1</v>
      </c>
      <c r="H686" s="112">
        <v>1</v>
      </c>
      <c r="I686" s="112">
        <v>1</v>
      </c>
      <c r="L686" s="112">
        <v>1</v>
      </c>
    </row>
    <row r="687" spans="1:15" x14ac:dyDescent="0.2">
      <c r="A687" s="111">
        <v>705</v>
      </c>
      <c r="B687" s="421" t="s">
        <v>1327</v>
      </c>
      <c r="C687" s="421" t="s">
        <v>532</v>
      </c>
      <c r="D687" s="422" t="s">
        <v>666</v>
      </c>
      <c r="E687" s="111">
        <v>14427</v>
      </c>
      <c r="F687" s="421" t="s">
        <v>1328</v>
      </c>
    </row>
    <row r="688" spans="1:15" x14ac:dyDescent="0.2">
      <c r="A688" s="111">
        <v>706</v>
      </c>
      <c r="B688" s="421" t="s">
        <v>1329</v>
      </c>
      <c r="C688" s="421" t="s">
        <v>1284</v>
      </c>
      <c r="D688" s="422" t="s">
        <v>663</v>
      </c>
      <c r="E688" s="111">
        <v>14428</v>
      </c>
      <c r="F688" s="421" t="s">
        <v>1330</v>
      </c>
      <c r="G688" s="112">
        <v>1</v>
      </c>
      <c r="H688" s="112">
        <v>1</v>
      </c>
      <c r="I688" s="112">
        <v>1</v>
      </c>
      <c r="K688" s="112">
        <v>1</v>
      </c>
      <c r="L688" s="112">
        <v>1</v>
      </c>
    </row>
    <row r="689" spans="1:15" x14ac:dyDescent="0.2">
      <c r="A689" s="111">
        <v>707</v>
      </c>
      <c r="B689" s="421" t="s">
        <v>1331</v>
      </c>
      <c r="C689" s="421" t="s">
        <v>516</v>
      </c>
      <c r="D689" s="422" t="s">
        <v>666</v>
      </c>
      <c r="E689" s="111">
        <v>14429</v>
      </c>
      <c r="F689" s="421" t="s">
        <v>1332</v>
      </c>
      <c r="G689" s="112">
        <v>1</v>
      </c>
      <c r="H689" s="112">
        <v>1</v>
      </c>
      <c r="I689" s="112">
        <v>1</v>
      </c>
    </row>
    <row r="690" spans="1:15" x14ac:dyDescent="0.2">
      <c r="A690" s="111">
        <v>708</v>
      </c>
      <c r="B690" s="421" t="s">
        <v>1333</v>
      </c>
      <c r="C690" s="421" t="s">
        <v>506</v>
      </c>
      <c r="D690" s="422" t="s">
        <v>666</v>
      </c>
      <c r="E690" s="111">
        <v>14430</v>
      </c>
      <c r="F690" s="421" t="s">
        <v>1334</v>
      </c>
      <c r="G690" s="112">
        <v>1</v>
      </c>
      <c r="H690" s="112">
        <v>1</v>
      </c>
      <c r="I690" s="112">
        <v>2</v>
      </c>
    </row>
    <row r="691" spans="1:15" x14ac:dyDescent="0.2">
      <c r="A691" s="111">
        <v>709</v>
      </c>
      <c r="B691" s="421" t="s">
        <v>356</v>
      </c>
      <c r="C691" s="421" t="s">
        <v>513</v>
      </c>
      <c r="D691" s="422" t="s">
        <v>663</v>
      </c>
      <c r="E691" s="111">
        <v>14431</v>
      </c>
      <c r="F691" s="421" t="s">
        <v>1335</v>
      </c>
    </row>
    <row r="692" spans="1:15" x14ac:dyDescent="0.2">
      <c r="A692" s="111">
        <v>710</v>
      </c>
      <c r="B692" s="421" t="s">
        <v>1336</v>
      </c>
      <c r="C692" s="421" t="s">
        <v>551</v>
      </c>
      <c r="D692" s="422" t="s">
        <v>666</v>
      </c>
      <c r="E692" s="111">
        <v>14431</v>
      </c>
      <c r="F692" s="421" t="s">
        <v>1335</v>
      </c>
    </row>
    <row r="693" spans="1:15" x14ac:dyDescent="0.2">
      <c r="A693" s="111">
        <v>711</v>
      </c>
      <c r="B693" s="421" t="s">
        <v>1337</v>
      </c>
      <c r="C693" s="421" t="s">
        <v>567</v>
      </c>
      <c r="D693" s="422" t="s">
        <v>663</v>
      </c>
      <c r="E693" s="111">
        <v>14432</v>
      </c>
      <c r="F693" s="421" t="s">
        <v>1338</v>
      </c>
      <c r="G693" s="112">
        <v>1</v>
      </c>
      <c r="H693" s="112">
        <v>1</v>
      </c>
      <c r="I693" s="112">
        <v>1</v>
      </c>
      <c r="K693" s="112">
        <v>1</v>
      </c>
    </row>
    <row r="694" spans="1:15" x14ac:dyDescent="0.2">
      <c r="A694" s="111">
        <v>712</v>
      </c>
      <c r="B694" s="421" t="s">
        <v>159</v>
      </c>
      <c r="C694" s="421" t="s">
        <v>533</v>
      </c>
      <c r="D694" s="422" t="s">
        <v>663</v>
      </c>
      <c r="E694" s="111">
        <v>14433</v>
      </c>
      <c r="F694" s="421" t="s">
        <v>1339</v>
      </c>
      <c r="G694" s="112">
        <v>1</v>
      </c>
      <c r="H694" s="112">
        <v>1</v>
      </c>
      <c r="I694" s="112">
        <v>1</v>
      </c>
    </row>
    <row r="695" spans="1:15" x14ac:dyDescent="0.2">
      <c r="A695" s="111">
        <v>713</v>
      </c>
      <c r="B695" s="421" t="s">
        <v>79</v>
      </c>
      <c r="C695" s="421" t="s">
        <v>510</v>
      </c>
      <c r="D695" s="422" t="s">
        <v>666</v>
      </c>
      <c r="E695" s="111">
        <v>14434</v>
      </c>
      <c r="F695" s="421" t="s">
        <v>1340</v>
      </c>
      <c r="G695" s="112">
        <v>2</v>
      </c>
      <c r="H695" s="112">
        <v>1</v>
      </c>
    </row>
    <row r="696" spans="1:15" x14ac:dyDescent="0.2">
      <c r="A696" s="111">
        <v>714</v>
      </c>
      <c r="B696" s="421" t="s">
        <v>1341</v>
      </c>
      <c r="C696" s="421" t="s">
        <v>628</v>
      </c>
      <c r="D696" s="422" t="s">
        <v>666</v>
      </c>
      <c r="E696" s="111">
        <v>14435</v>
      </c>
      <c r="F696" s="421" t="s">
        <v>1342</v>
      </c>
      <c r="G696" s="112">
        <v>1</v>
      </c>
      <c r="I696" s="112">
        <v>1</v>
      </c>
    </row>
    <row r="697" spans="1:15" x14ac:dyDescent="0.2">
      <c r="A697" s="111">
        <v>715</v>
      </c>
      <c r="B697" s="421" t="s">
        <v>123</v>
      </c>
      <c r="C697" s="421" t="s">
        <v>555</v>
      </c>
      <c r="D697" s="422" t="s">
        <v>663</v>
      </c>
      <c r="E697" s="111">
        <v>14262</v>
      </c>
      <c r="F697" s="421" t="s">
        <v>4758</v>
      </c>
      <c r="G697" s="112">
        <v>3</v>
      </c>
      <c r="H697" s="112">
        <v>2</v>
      </c>
      <c r="I697" s="112">
        <v>1</v>
      </c>
      <c r="J697" s="112">
        <v>6</v>
      </c>
      <c r="K697" s="112">
        <v>7</v>
      </c>
      <c r="L697" s="112">
        <v>7</v>
      </c>
      <c r="M697" s="112">
        <v>5</v>
      </c>
      <c r="N697" s="112">
        <v>5</v>
      </c>
      <c r="O697" s="112">
        <v>6</v>
      </c>
    </row>
    <row r="698" spans="1:15" x14ac:dyDescent="0.2">
      <c r="A698" s="111">
        <v>716</v>
      </c>
      <c r="B698" s="421" t="s">
        <v>1343</v>
      </c>
      <c r="C698" s="421" t="s">
        <v>537</v>
      </c>
      <c r="D698" s="422" t="s">
        <v>666</v>
      </c>
      <c r="E698" s="111">
        <v>14407</v>
      </c>
      <c r="F698" s="421" t="s">
        <v>1344</v>
      </c>
      <c r="G698" s="112">
        <v>1</v>
      </c>
      <c r="H698" s="112">
        <v>1</v>
      </c>
      <c r="I698" s="112">
        <v>1</v>
      </c>
    </row>
    <row r="699" spans="1:15" x14ac:dyDescent="0.2">
      <c r="A699" s="111">
        <v>717</v>
      </c>
      <c r="B699" s="421" t="s">
        <v>1345</v>
      </c>
      <c r="C699" s="421" t="s">
        <v>522</v>
      </c>
      <c r="D699" s="422" t="s">
        <v>666</v>
      </c>
      <c r="E699" s="111">
        <v>14410</v>
      </c>
      <c r="F699" s="421" t="s">
        <v>1306</v>
      </c>
    </row>
    <row r="700" spans="1:15" x14ac:dyDescent="0.2">
      <c r="A700" s="111">
        <v>718</v>
      </c>
      <c r="B700" s="421" t="s">
        <v>1346</v>
      </c>
      <c r="C700" s="421" t="s">
        <v>502</v>
      </c>
      <c r="D700" s="422" t="s">
        <v>663</v>
      </c>
      <c r="F700" s="421" t="s">
        <v>1347</v>
      </c>
    </row>
    <row r="701" spans="1:15" x14ac:dyDescent="0.2">
      <c r="A701" s="111">
        <v>719</v>
      </c>
      <c r="B701" s="421" t="s">
        <v>1348</v>
      </c>
      <c r="C701" s="421" t="s">
        <v>540</v>
      </c>
      <c r="D701" s="422" t="s">
        <v>666</v>
      </c>
      <c r="E701" s="111">
        <v>14249</v>
      </c>
      <c r="F701" s="421" t="s">
        <v>839</v>
      </c>
    </row>
    <row r="702" spans="1:15" x14ac:dyDescent="0.2">
      <c r="A702" s="111">
        <v>720</v>
      </c>
      <c r="B702" s="421" t="s">
        <v>1349</v>
      </c>
      <c r="C702" s="421" t="s">
        <v>551</v>
      </c>
      <c r="D702" s="422" t="s">
        <v>663</v>
      </c>
      <c r="E702" s="111">
        <v>14386</v>
      </c>
      <c r="F702" s="421" t="s">
        <v>1350</v>
      </c>
      <c r="G702" s="112">
        <v>1</v>
      </c>
      <c r="H702" s="112">
        <v>1</v>
      </c>
      <c r="I702" s="112">
        <v>1</v>
      </c>
      <c r="J702" s="112">
        <v>1</v>
      </c>
      <c r="K702" s="112">
        <v>1</v>
      </c>
      <c r="L702" s="112">
        <v>1</v>
      </c>
    </row>
    <row r="703" spans="1:15" x14ac:dyDescent="0.2">
      <c r="A703" s="111">
        <v>721</v>
      </c>
      <c r="B703" s="421" t="s">
        <v>1351</v>
      </c>
      <c r="C703" s="421" t="s">
        <v>503</v>
      </c>
      <c r="D703" s="422" t="s">
        <v>663</v>
      </c>
      <c r="E703" s="111">
        <v>14386</v>
      </c>
      <c r="F703" s="421" t="s">
        <v>1350</v>
      </c>
      <c r="G703" s="112">
        <v>1</v>
      </c>
      <c r="H703" s="112">
        <v>1</v>
      </c>
      <c r="I703" s="112">
        <v>1</v>
      </c>
    </row>
    <row r="704" spans="1:15" x14ac:dyDescent="0.2">
      <c r="A704" s="111">
        <v>722</v>
      </c>
      <c r="B704" s="421" t="s">
        <v>1352</v>
      </c>
      <c r="C704" s="421" t="s">
        <v>559</v>
      </c>
      <c r="D704" s="422" t="s">
        <v>666</v>
      </c>
      <c r="E704" s="111">
        <v>14309</v>
      </c>
      <c r="F704" s="421" t="s">
        <v>1353</v>
      </c>
      <c r="G704" s="112">
        <v>2</v>
      </c>
      <c r="H704" s="112">
        <v>1</v>
      </c>
      <c r="I704" s="112">
        <v>1</v>
      </c>
    </row>
    <row r="705" spans="1:15" x14ac:dyDescent="0.2">
      <c r="A705" s="111">
        <v>723</v>
      </c>
      <c r="B705" s="421" t="s">
        <v>1354</v>
      </c>
      <c r="C705" s="421" t="s">
        <v>520</v>
      </c>
      <c r="D705" s="422" t="s">
        <v>663</v>
      </c>
      <c r="E705" s="111">
        <v>14309</v>
      </c>
      <c r="F705" s="421" t="s">
        <v>1353</v>
      </c>
      <c r="G705" s="112">
        <v>1</v>
      </c>
      <c r="H705" s="112">
        <v>1</v>
      </c>
      <c r="I705" s="112">
        <v>1</v>
      </c>
      <c r="J705" s="112">
        <v>5</v>
      </c>
      <c r="K705" s="112">
        <v>3</v>
      </c>
      <c r="L705" s="112">
        <v>2</v>
      </c>
      <c r="M705" s="112">
        <v>1</v>
      </c>
    </row>
    <row r="706" spans="1:15" x14ac:dyDescent="0.2">
      <c r="A706" s="111">
        <v>724</v>
      </c>
      <c r="B706" s="421" t="s">
        <v>1355</v>
      </c>
      <c r="C706" s="421" t="s">
        <v>503</v>
      </c>
      <c r="D706" s="422" t="s">
        <v>663</v>
      </c>
      <c r="E706" s="111">
        <v>14405</v>
      </c>
      <c r="F706" s="421" t="s">
        <v>1356</v>
      </c>
      <c r="G706" s="112">
        <v>1</v>
      </c>
      <c r="H706" s="112">
        <v>1</v>
      </c>
      <c r="I706" s="112">
        <v>1</v>
      </c>
      <c r="K706" s="112">
        <v>1</v>
      </c>
      <c r="L706" s="112">
        <v>1</v>
      </c>
    </row>
    <row r="707" spans="1:15" x14ac:dyDescent="0.2">
      <c r="A707" s="111">
        <v>725</v>
      </c>
      <c r="B707" s="421" t="s">
        <v>1357</v>
      </c>
      <c r="C707" s="421" t="s">
        <v>516</v>
      </c>
      <c r="D707" s="422" t="s">
        <v>663</v>
      </c>
      <c r="E707" s="111">
        <v>14488</v>
      </c>
      <c r="F707" s="421" t="s">
        <v>1358</v>
      </c>
      <c r="G707" s="112">
        <v>1</v>
      </c>
      <c r="H707" s="112">
        <v>1</v>
      </c>
      <c r="I707" s="112">
        <v>1</v>
      </c>
      <c r="J707" s="112">
        <v>2</v>
      </c>
      <c r="K707" s="112">
        <v>2</v>
      </c>
      <c r="L707" s="112">
        <v>3</v>
      </c>
      <c r="O707" s="112">
        <v>1</v>
      </c>
    </row>
    <row r="708" spans="1:15" x14ac:dyDescent="0.2">
      <c r="A708" s="111">
        <v>726</v>
      </c>
      <c r="B708" s="421" t="s">
        <v>1359</v>
      </c>
      <c r="C708" s="421" t="s">
        <v>523</v>
      </c>
      <c r="D708" s="422" t="s">
        <v>663</v>
      </c>
      <c r="F708" s="421" t="s">
        <v>1360</v>
      </c>
    </row>
    <row r="709" spans="1:15" x14ac:dyDescent="0.2">
      <c r="A709" s="111">
        <v>727</v>
      </c>
      <c r="B709" s="421" t="s">
        <v>1361</v>
      </c>
      <c r="C709" s="421" t="s">
        <v>523</v>
      </c>
      <c r="D709" s="422" t="s">
        <v>666</v>
      </c>
      <c r="F709" s="421" t="s">
        <v>1360</v>
      </c>
      <c r="G709" s="112">
        <v>1</v>
      </c>
      <c r="H709" s="112">
        <v>1</v>
      </c>
      <c r="I709" s="112">
        <v>1</v>
      </c>
      <c r="J709" s="112">
        <v>1</v>
      </c>
      <c r="K709" s="112">
        <v>1</v>
      </c>
      <c r="L709" s="112">
        <v>1</v>
      </c>
    </row>
    <row r="710" spans="1:15" x14ac:dyDescent="0.2">
      <c r="A710" s="111">
        <v>728</v>
      </c>
      <c r="B710" s="421" t="s">
        <v>1362</v>
      </c>
      <c r="C710" s="421" t="s">
        <v>551</v>
      </c>
      <c r="D710" s="422" t="s">
        <v>666</v>
      </c>
      <c r="F710" s="421" t="s">
        <v>1363</v>
      </c>
      <c r="G710" s="112">
        <v>1</v>
      </c>
      <c r="H710" s="112">
        <v>1</v>
      </c>
      <c r="I710" s="112">
        <v>1</v>
      </c>
      <c r="J710" s="112">
        <v>1</v>
      </c>
      <c r="K710" s="112">
        <v>1</v>
      </c>
      <c r="L710" s="112">
        <v>1</v>
      </c>
    </row>
    <row r="711" spans="1:15" x14ac:dyDescent="0.2">
      <c r="A711" s="111">
        <v>729</v>
      </c>
      <c r="B711" s="421" t="s">
        <v>1364</v>
      </c>
      <c r="C711" s="421" t="s">
        <v>551</v>
      </c>
      <c r="D711" s="422" t="s">
        <v>666</v>
      </c>
      <c r="F711" s="421" t="s">
        <v>1365</v>
      </c>
    </row>
    <row r="712" spans="1:15" x14ac:dyDescent="0.2">
      <c r="A712" s="111">
        <v>730</v>
      </c>
      <c r="B712" s="421" t="s">
        <v>1366</v>
      </c>
      <c r="C712" s="421" t="s">
        <v>567</v>
      </c>
      <c r="D712" s="422" t="s">
        <v>663</v>
      </c>
      <c r="F712" s="421" t="s">
        <v>1367</v>
      </c>
      <c r="G712" s="112">
        <v>1</v>
      </c>
      <c r="H712" s="112">
        <v>1</v>
      </c>
      <c r="I712" s="112">
        <v>1</v>
      </c>
    </row>
    <row r="713" spans="1:15" x14ac:dyDescent="0.2">
      <c r="A713" s="111">
        <v>731</v>
      </c>
      <c r="B713" s="421" t="s">
        <v>159</v>
      </c>
      <c r="C713" s="421" t="s">
        <v>1284</v>
      </c>
      <c r="D713" s="422" t="s">
        <v>663</v>
      </c>
      <c r="F713" s="421" t="s">
        <v>1368</v>
      </c>
      <c r="G713" s="112">
        <v>1</v>
      </c>
      <c r="H713" s="112">
        <v>1</v>
      </c>
      <c r="I713" s="112">
        <v>1</v>
      </c>
    </row>
    <row r="714" spans="1:15" x14ac:dyDescent="0.2">
      <c r="A714" s="111">
        <v>732</v>
      </c>
      <c r="B714" s="421" t="s">
        <v>1369</v>
      </c>
      <c r="C714" s="421" t="s">
        <v>523</v>
      </c>
      <c r="D714" s="422" t="s">
        <v>666</v>
      </c>
      <c r="E714" s="111">
        <v>14404</v>
      </c>
      <c r="F714" s="421" t="s">
        <v>1370</v>
      </c>
      <c r="G714" s="112">
        <v>1</v>
      </c>
      <c r="H714" s="112">
        <v>1</v>
      </c>
      <c r="I714" s="112">
        <v>1</v>
      </c>
    </row>
    <row r="715" spans="1:15" x14ac:dyDescent="0.2">
      <c r="A715" s="111">
        <v>733</v>
      </c>
      <c r="B715" s="421" t="s">
        <v>1371</v>
      </c>
      <c r="C715" s="421" t="s">
        <v>1284</v>
      </c>
      <c r="D715" s="422" t="s">
        <v>666</v>
      </c>
      <c r="F715" s="421" t="s">
        <v>1372</v>
      </c>
      <c r="G715" s="112">
        <v>1</v>
      </c>
      <c r="H715" s="112">
        <v>1</v>
      </c>
      <c r="I715" s="112">
        <v>1</v>
      </c>
    </row>
    <row r="716" spans="1:15" x14ac:dyDescent="0.2">
      <c r="A716" s="111">
        <v>734</v>
      </c>
      <c r="B716" s="421" t="s">
        <v>1373</v>
      </c>
      <c r="C716" s="421" t="s">
        <v>566</v>
      </c>
      <c r="D716" s="422" t="s">
        <v>663</v>
      </c>
      <c r="E716" s="111">
        <v>16696</v>
      </c>
      <c r="F716" s="421" t="s">
        <v>1374</v>
      </c>
      <c r="G716" s="112">
        <v>1</v>
      </c>
      <c r="H716" s="112">
        <v>1</v>
      </c>
      <c r="I716" s="112">
        <v>1</v>
      </c>
    </row>
    <row r="717" spans="1:15" x14ac:dyDescent="0.2">
      <c r="A717" s="111">
        <v>735</v>
      </c>
      <c r="B717" s="421" t="s">
        <v>1375</v>
      </c>
      <c r="C717" s="421" t="s">
        <v>531</v>
      </c>
      <c r="D717" s="422" t="s">
        <v>663</v>
      </c>
      <c r="F717" s="421" t="s">
        <v>1376</v>
      </c>
      <c r="G717" s="112">
        <v>1</v>
      </c>
    </row>
    <row r="718" spans="1:15" x14ac:dyDescent="0.2">
      <c r="A718" s="111">
        <v>736</v>
      </c>
      <c r="B718" s="421" t="s">
        <v>1377</v>
      </c>
      <c r="C718" s="421" t="s">
        <v>1378</v>
      </c>
      <c r="D718" s="422" t="s">
        <v>666</v>
      </c>
      <c r="F718" s="421" t="s">
        <v>1379</v>
      </c>
    </row>
    <row r="719" spans="1:15" x14ac:dyDescent="0.2">
      <c r="A719" s="111">
        <v>737</v>
      </c>
      <c r="B719" s="421" t="s">
        <v>1380</v>
      </c>
      <c r="C719" s="421" t="s">
        <v>1284</v>
      </c>
      <c r="D719" s="422" t="s">
        <v>663</v>
      </c>
      <c r="E719" s="111">
        <v>14451</v>
      </c>
      <c r="F719" s="421" t="s">
        <v>1381</v>
      </c>
      <c r="G719" s="112">
        <v>1</v>
      </c>
      <c r="H719" s="112">
        <v>1</v>
      </c>
      <c r="I719" s="112">
        <v>1</v>
      </c>
      <c r="J719" s="112">
        <v>1</v>
      </c>
      <c r="K719" s="112">
        <v>1</v>
      </c>
      <c r="L719" s="112">
        <v>1</v>
      </c>
    </row>
    <row r="720" spans="1:15" x14ac:dyDescent="0.2">
      <c r="A720" s="111">
        <v>738</v>
      </c>
      <c r="B720" s="421" t="s">
        <v>1382</v>
      </c>
      <c r="C720" s="421" t="s">
        <v>1284</v>
      </c>
      <c r="D720" s="422" t="s">
        <v>663</v>
      </c>
      <c r="F720" s="421" t="s">
        <v>1383</v>
      </c>
      <c r="G720" s="112">
        <v>1</v>
      </c>
      <c r="H720" s="112">
        <v>1</v>
      </c>
      <c r="I720" s="112">
        <v>1</v>
      </c>
      <c r="J720" s="112">
        <v>1</v>
      </c>
      <c r="K720" s="112">
        <v>1</v>
      </c>
      <c r="L720" s="112">
        <v>1</v>
      </c>
    </row>
    <row r="721" spans="1:15" x14ac:dyDescent="0.2">
      <c r="A721" s="111">
        <v>739</v>
      </c>
      <c r="B721" s="421" t="s">
        <v>291</v>
      </c>
      <c r="C721" s="421" t="s">
        <v>503</v>
      </c>
      <c r="D721" s="422" t="s">
        <v>666</v>
      </c>
      <c r="F721" s="421" t="s">
        <v>1384</v>
      </c>
      <c r="G721" s="112">
        <v>1</v>
      </c>
      <c r="H721" s="112">
        <v>1</v>
      </c>
      <c r="I721" s="112">
        <v>1</v>
      </c>
    </row>
    <row r="722" spans="1:15" x14ac:dyDescent="0.2">
      <c r="A722" s="111">
        <v>740</v>
      </c>
      <c r="B722" s="421" t="s">
        <v>284</v>
      </c>
      <c r="C722" s="421" t="s">
        <v>551</v>
      </c>
      <c r="D722" s="422" t="s">
        <v>666</v>
      </c>
      <c r="F722" s="421" t="s">
        <v>1385</v>
      </c>
    </row>
    <row r="723" spans="1:15" x14ac:dyDescent="0.2">
      <c r="A723" s="111">
        <v>741</v>
      </c>
      <c r="B723" s="421" t="s">
        <v>1386</v>
      </c>
      <c r="C723" s="421" t="s">
        <v>501</v>
      </c>
      <c r="D723" s="422" t="s">
        <v>666</v>
      </c>
      <c r="F723" s="421" t="s">
        <v>1385</v>
      </c>
    </row>
    <row r="724" spans="1:15" x14ac:dyDescent="0.2">
      <c r="A724" s="111">
        <v>742</v>
      </c>
      <c r="B724" s="421" t="s">
        <v>1387</v>
      </c>
      <c r="C724" s="421" t="s">
        <v>566</v>
      </c>
      <c r="D724" s="422" t="s">
        <v>666</v>
      </c>
      <c r="E724" s="111">
        <v>14220</v>
      </c>
      <c r="F724" s="421" t="s">
        <v>941</v>
      </c>
      <c r="G724" s="112">
        <v>1</v>
      </c>
      <c r="H724" s="112">
        <v>1</v>
      </c>
      <c r="I724" s="112">
        <v>1</v>
      </c>
      <c r="J724" s="112">
        <v>7</v>
      </c>
      <c r="K724" s="112">
        <v>7</v>
      </c>
      <c r="L724" s="112">
        <v>7</v>
      </c>
      <c r="M724" s="112">
        <v>3</v>
      </c>
      <c r="N724" s="112">
        <v>4</v>
      </c>
      <c r="O724" s="112">
        <v>2</v>
      </c>
    </row>
    <row r="725" spans="1:15" x14ac:dyDescent="0.2">
      <c r="A725" s="111">
        <v>743</v>
      </c>
      <c r="B725" s="421" t="s">
        <v>1388</v>
      </c>
      <c r="C725" s="421" t="s">
        <v>1124</v>
      </c>
      <c r="D725" s="422" t="s">
        <v>663</v>
      </c>
      <c r="E725" s="111">
        <v>14448</v>
      </c>
      <c r="F725" s="421" t="s">
        <v>1389</v>
      </c>
      <c r="G725" s="112">
        <v>1</v>
      </c>
      <c r="H725" s="112">
        <v>1</v>
      </c>
      <c r="I725" s="112">
        <v>1</v>
      </c>
    </row>
    <row r="726" spans="1:15" x14ac:dyDescent="0.2">
      <c r="A726" s="111">
        <v>744</v>
      </c>
      <c r="B726" s="421" t="s">
        <v>1390</v>
      </c>
      <c r="C726" s="421" t="s">
        <v>1124</v>
      </c>
      <c r="D726" s="422" t="s">
        <v>663</v>
      </c>
      <c r="E726" s="111">
        <v>14448</v>
      </c>
      <c r="F726" s="421" t="s">
        <v>1389</v>
      </c>
      <c r="G726" s="112">
        <v>1</v>
      </c>
      <c r="H726" s="112">
        <v>1</v>
      </c>
      <c r="I726" s="112">
        <v>1</v>
      </c>
      <c r="J726" s="112">
        <v>1</v>
      </c>
      <c r="K726" s="112">
        <v>1</v>
      </c>
      <c r="L726" s="112">
        <v>1</v>
      </c>
    </row>
    <row r="727" spans="1:15" x14ac:dyDescent="0.2">
      <c r="A727" s="111">
        <v>745</v>
      </c>
      <c r="B727" s="421" t="s">
        <v>1391</v>
      </c>
      <c r="C727" s="421" t="s">
        <v>504</v>
      </c>
      <c r="D727" s="422" t="s">
        <v>666</v>
      </c>
      <c r="E727" s="111">
        <v>14449</v>
      </c>
      <c r="F727" s="421" t="s">
        <v>1392</v>
      </c>
    </row>
    <row r="728" spans="1:15" x14ac:dyDescent="0.2">
      <c r="A728" s="111">
        <v>746</v>
      </c>
      <c r="B728" s="421" t="s">
        <v>1393</v>
      </c>
      <c r="C728" s="421" t="s">
        <v>1284</v>
      </c>
      <c r="D728" s="422" t="s">
        <v>663</v>
      </c>
      <c r="E728" s="111">
        <v>14450</v>
      </c>
      <c r="F728" s="421" t="s">
        <v>1394</v>
      </c>
      <c r="G728" s="112">
        <v>1</v>
      </c>
      <c r="I728" s="112">
        <v>1</v>
      </c>
      <c r="J728" s="112">
        <v>1</v>
      </c>
      <c r="L728" s="112">
        <v>1</v>
      </c>
    </row>
    <row r="729" spans="1:15" x14ac:dyDescent="0.2">
      <c r="A729" s="111">
        <v>747</v>
      </c>
      <c r="B729" s="421" t="s">
        <v>1395</v>
      </c>
      <c r="C729" s="421" t="s">
        <v>510</v>
      </c>
      <c r="D729" s="422" t="s">
        <v>663</v>
      </c>
      <c r="E729" s="111">
        <v>14452</v>
      </c>
      <c r="F729" s="421" t="s">
        <v>1396</v>
      </c>
    </row>
    <row r="730" spans="1:15" x14ac:dyDescent="0.2">
      <c r="A730" s="111">
        <v>748</v>
      </c>
      <c r="B730" s="421" t="s">
        <v>1397</v>
      </c>
      <c r="C730" s="421" t="s">
        <v>516</v>
      </c>
      <c r="D730" s="422" t="s">
        <v>663</v>
      </c>
      <c r="E730" s="111">
        <v>14453</v>
      </c>
      <c r="F730" s="421" t="s">
        <v>1398</v>
      </c>
      <c r="G730" s="112">
        <v>1</v>
      </c>
      <c r="H730" s="112">
        <v>1</v>
      </c>
      <c r="I730" s="112">
        <v>1</v>
      </c>
    </row>
    <row r="731" spans="1:15" x14ac:dyDescent="0.2">
      <c r="A731" s="111">
        <v>749</v>
      </c>
      <c r="B731" s="421" t="s">
        <v>1399</v>
      </c>
      <c r="C731" s="421" t="s">
        <v>585</v>
      </c>
      <c r="D731" s="422" t="s">
        <v>666</v>
      </c>
      <c r="E731" s="111">
        <v>14454</v>
      </c>
      <c r="F731" s="421" t="s">
        <v>1400</v>
      </c>
      <c r="G731" s="112">
        <v>1</v>
      </c>
      <c r="H731" s="112">
        <v>1</v>
      </c>
      <c r="I731" s="112">
        <v>1</v>
      </c>
      <c r="J731" s="112">
        <v>1</v>
      </c>
      <c r="L731" s="112">
        <v>1</v>
      </c>
    </row>
    <row r="732" spans="1:15" x14ac:dyDescent="0.2">
      <c r="A732" s="111">
        <v>750</v>
      </c>
      <c r="B732" s="421" t="s">
        <v>455</v>
      </c>
      <c r="C732" s="421" t="s">
        <v>516</v>
      </c>
      <c r="D732" s="422" t="s">
        <v>663</v>
      </c>
      <c r="E732" s="111">
        <v>14455</v>
      </c>
      <c r="F732" s="421" t="s">
        <v>1401</v>
      </c>
    </row>
    <row r="733" spans="1:15" x14ac:dyDescent="0.2">
      <c r="A733" s="111">
        <v>751</v>
      </c>
      <c r="B733" s="421" t="s">
        <v>1402</v>
      </c>
      <c r="C733" s="421" t="s">
        <v>506</v>
      </c>
      <c r="D733" s="422" t="s">
        <v>663</v>
      </c>
      <c r="E733" s="111">
        <v>17197</v>
      </c>
      <c r="F733" s="421" t="s">
        <v>1403</v>
      </c>
    </row>
    <row r="734" spans="1:15" x14ac:dyDescent="0.2">
      <c r="A734" s="111">
        <v>752</v>
      </c>
      <c r="B734" s="421" t="s">
        <v>462</v>
      </c>
      <c r="C734" s="421" t="s">
        <v>1378</v>
      </c>
      <c r="D734" s="422" t="s">
        <v>663</v>
      </c>
      <c r="E734" s="111">
        <v>14307</v>
      </c>
      <c r="F734" s="421" t="s">
        <v>1404</v>
      </c>
      <c r="G734" s="112">
        <v>1</v>
      </c>
      <c r="H734" s="112">
        <v>1</v>
      </c>
      <c r="I734" s="112">
        <v>1</v>
      </c>
    </row>
    <row r="735" spans="1:15" x14ac:dyDescent="0.2">
      <c r="A735" s="111">
        <v>753</v>
      </c>
      <c r="B735" s="421" t="s">
        <v>1405</v>
      </c>
      <c r="C735" s="421" t="s">
        <v>1378</v>
      </c>
      <c r="D735" s="422" t="s">
        <v>663</v>
      </c>
      <c r="E735" s="111">
        <v>14307</v>
      </c>
      <c r="F735" s="421" t="s">
        <v>1404</v>
      </c>
    </row>
    <row r="736" spans="1:15" x14ac:dyDescent="0.2">
      <c r="A736" s="111">
        <v>754</v>
      </c>
      <c r="B736" s="421" t="s">
        <v>1406</v>
      </c>
      <c r="C736" s="421" t="s">
        <v>551</v>
      </c>
      <c r="D736" s="422" t="s">
        <v>666</v>
      </c>
      <c r="E736" s="111">
        <v>14353</v>
      </c>
      <c r="F736" s="421" t="s">
        <v>1122</v>
      </c>
      <c r="G736" s="112">
        <v>1</v>
      </c>
      <c r="H736" s="112">
        <v>1</v>
      </c>
      <c r="I736" s="112">
        <v>1</v>
      </c>
      <c r="J736" s="112">
        <v>2</v>
      </c>
      <c r="K736" s="112">
        <v>2</v>
      </c>
      <c r="L736" s="112">
        <v>2</v>
      </c>
    </row>
    <row r="737" spans="1:15" x14ac:dyDescent="0.2">
      <c r="A737" s="111">
        <v>755</v>
      </c>
      <c r="B737" s="421" t="s">
        <v>211</v>
      </c>
      <c r="C737" s="421" t="s">
        <v>523</v>
      </c>
      <c r="D737" s="422" t="s">
        <v>666</v>
      </c>
      <c r="E737" s="111">
        <v>14487</v>
      </c>
      <c r="F737" s="421" t="s">
        <v>1022</v>
      </c>
      <c r="G737" s="112">
        <v>1</v>
      </c>
      <c r="H737" s="112">
        <v>1</v>
      </c>
      <c r="I737" s="112">
        <v>1</v>
      </c>
      <c r="J737" s="112">
        <v>1</v>
      </c>
      <c r="L737" s="112">
        <v>1</v>
      </c>
    </row>
    <row r="738" spans="1:15" x14ac:dyDescent="0.2">
      <c r="A738" s="111">
        <v>756</v>
      </c>
      <c r="B738" s="421" t="s">
        <v>1407</v>
      </c>
      <c r="C738" s="421" t="s">
        <v>532</v>
      </c>
      <c r="D738" s="422" t="s">
        <v>666</v>
      </c>
      <c r="E738" s="111">
        <v>14446</v>
      </c>
      <c r="F738" s="421" t="s">
        <v>1408</v>
      </c>
      <c r="G738" s="112">
        <v>1</v>
      </c>
      <c r="H738" s="112">
        <v>1</v>
      </c>
      <c r="I738" s="112">
        <v>1</v>
      </c>
      <c r="J738" s="112">
        <v>1</v>
      </c>
      <c r="K738" s="112">
        <v>1</v>
      </c>
    </row>
    <row r="739" spans="1:15" x14ac:dyDescent="0.2">
      <c r="A739" s="111">
        <v>757</v>
      </c>
      <c r="B739" s="421" t="s">
        <v>1409</v>
      </c>
      <c r="C739" s="421" t="s">
        <v>540</v>
      </c>
      <c r="D739" s="422" t="s">
        <v>663</v>
      </c>
      <c r="E739" s="111">
        <v>14406</v>
      </c>
      <c r="F739" s="421" t="s">
        <v>2311</v>
      </c>
      <c r="G739" s="112">
        <v>1</v>
      </c>
      <c r="H739" s="112">
        <v>1</v>
      </c>
    </row>
    <row r="740" spans="1:15" x14ac:dyDescent="0.2">
      <c r="A740" s="111">
        <v>758</v>
      </c>
      <c r="B740" s="421" t="s">
        <v>1410</v>
      </c>
      <c r="C740" s="421" t="s">
        <v>507</v>
      </c>
      <c r="D740" s="422" t="s">
        <v>666</v>
      </c>
      <c r="E740" s="111">
        <v>14360</v>
      </c>
      <c r="F740" s="421" t="s">
        <v>1411</v>
      </c>
      <c r="G740" s="112">
        <v>1</v>
      </c>
      <c r="I740" s="112">
        <v>1</v>
      </c>
    </row>
    <row r="741" spans="1:15" x14ac:dyDescent="0.2">
      <c r="A741" s="111">
        <v>759</v>
      </c>
      <c r="B741" s="421" t="s">
        <v>1412</v>
      </c>
      <c r="C741" s="421" t="s">
        <v>506</v>
      </c>
      <c r="D741" s="422" t="s">
        <v>666</v>
      </c>
      <c r="E741" s="111">
        <v>14440</v>
      </c>
      <c r="F741" s="421" t="s">
        <v>1413</v>
      </c>
      <c r="G741" s="112">
        <v>1</v>
      </c>
      <c r="H741" s="112">
        <v>1</v>
      </c>
      <c r="I741" s="112">
        <v>1</v>
      </c>
    </row>
    <row r="742" spans="1:15" x14ac:dyDescent="0.2">
      <c r="A742" s="111">
        <v>760</v>
      </c>
      <c r="B742" s="421" t="s">
        <v>1414</v>
      </c>
      <c r="C742" s="421" t="s">
        <v>534</v>
      </c>
      <c r="D742" s="422" t="s">
        <v>663</v>
      </c>
      <c r="E742" s="111">
        <v>14436</v>
      </c>
      <c r="F742" s="421" t="s">
        <v>1415</v>
      </c>
      <c r="G742" s="112">
        <v>1</v>
      </c>
      <c r="H742" s="112">
        <v>1</v>
      </c>
      <c r="I742" s="112">
        <v>1</v>
      </c>
    </row>
    <row r="743" spans="1:15" x14ac:dyDescent="0.2">
      <c r="A743" s="111">
        <v>761</v>
      </c>
      <c r="B743" s="421" t="s">
        <v>1416</v>
      </c>
      <c r="C743" s="421" t="s">
        <v>513</v>
      </c>
      <c r="D743" s="422" t="s">
        <v>663</v>
      </c>
      <c r="F743" s="421" t="s">
        <v>1417</v>
      </c>
      <c r="G743" s="112">
        <v>1</v>
      </c>
      <c r="H743" s="112">
        <v>1</v>
      </c>
      <c r="I743" s="112">
        <v>1</v>
      </c>
    </row>
    <row r="744" spans="1:15" x14ac:dyDescent="0.2">
      <c r="A744" s="111">
        <v>762</v>
      </c>
      <c r="B744" s="421" t="s">
        <v>1418</v>
      </c>
      <c r="C744" s="421" t="s">
        <v>1419</v>
      </c>
      <c r="D744" s="422" t="s">
        <v>663</v>
      </c>
      <c r="F744" s="421" t="s">
        <v>1420</v>
      </c>
      <c r="I744" s="112">
        <v>1</v>
      </c>
    </row>
    <row r="745" spans="1:15" x14ac:dyDescent="0.2">
      <c r="A745" s="111">
        <v>763</v>
      </c>
      <c r="B745" s="421" t="s">
        <v>1421</v>
      </c>
      <c r="C745" s="421" t="s">
        <v>545</v>
      </c>
      <c r="D745" s="422" t="s">
        <v>663</v>
      </c>
      <c r="E745" s="111">
        <v>14509</v>
      </c>
      <c r="F745" s="421" t="s">
        <v>1422</v>
      </c>
      <c r="G745" s="112">
        <v>2</v>
      </c>
      <c r="H745" s="112">
        <v>1</v>
      </c>
      <c r="I745" s="112">
        <v>1</v>
      </c>
      <c r="J745" s="112">
        <v>3</v>
      </c>
      <c r="K745" s="112">
        <v>3</v>
      </c>
      <c r="L745" s="112">
        <v>3</v>
      </c>
      <c r="M745" s="112">
        <v>2</v>
      </c>
      <c r="O745" s="112">
        <v>2</v>
      </c>
    </row>
    <row r="746" spans="1:15" x14ac:dyDescent="0.2">
      <c r="A746" s="111">
        <v>764</v>
      </c>
      <c r="B746" s="421" t="s">
        <v>1273</v>
      </c>
      <c r="C746" s="421" t="s">
        <v>503</v>
      </c>
      <c r="D746" s="422" t="s">
        <v>666</v>
      </c>
      <c r="E746" s="111">
        <v>14113</v>
      </c>
      <c r="F746" s="421" t="s">
        <v>729</v>
      </c>
      <c r="G746" s="112">
        <v>1</v>
      </c>
      <c r="I746" s="112">
        <v>1</v>
      </c>
    </row>
    <row r="747" spans="1:15" x14ac:dyDescent="0.2">
      <c r="A747" s="111">
        <v>765</v>
      </c>
      <c r="B747" s="421" t="s">
        <v>1423</v>
      </c>
      <c r="C747" s="421" t="s">
        <v>501</v>
      </c>
      <c r="D747" s="422" t="s">
        <v>663</v>
      </c>
      <c r="F747" s="421" t="s">
        <v>1424</v>
      </c>
      <c r="G747" s="112">
        <v>1</v>
      </c>
      <c r="H747" s="112">
        <v>1</v>
      </c>
      <c r="I747" s="112">
        <v>1</v>
      </c>
    </row>
    <row r="748" spans="1:15" x14ac:dyDescent="0.2">
      <c r="A748" s="111">
        <v>766</v>
      </c>
      <c r="B748" s="421" t="s">
        <v>1425</v>
      </c>
      <c r="C748" s="421" t="s">
        <v>518</v>
      </c>
      <c r="D748" s="422"/>
      <c r="E748" s="111">
        <v>14495</v>
      </c>
      <c r="F748" s="421" t="s">
        <v>1426</v>
      </c>
      <c r="G748" s="112">
        <v>1</v>
      </c>
      <c r="H748" s="112">
        <v>1</v>
      </c>
      <c r="I748" s="112">
        <v>1</v>
      </c>
      <c r="J748" s="112">
        <v>2</v>
      </c>
      <c r="K748" s="112">
        <v>1</v>
      </c>
      <c r="L748" s="112">
        <v>2</v>
      </c>
      <c r="M748" s="112">
        <v>2</v>
      </c>
      <c r="O748" s="112">
        <v>2</v>
      </c>
    </row>
    <row r="749" spans="1:15" x14ac:dyDescent="0.2">
      <c r="A749" s="111">
        <v>767</v>
      </c>
      <c r="B749" s="421" t="s">
        <v>207</v>
      </c>
      <c r="C749" s="421" t="s">
        <v>513</v>
      </c>
      <c r="D749" s="422" t="s">
        <v>663</v>
      </c>
      <c r="E749" s="111">
        <v>14462</v>
      </c>
      <c r="F749" s="421" t="s">
        <v>1427</v>
      </c>
      <c r="G749" s="112">
        <v>1</v>
      </c>
      <c r="H749" s="112">
        <v>1</v>
      </c>
      <c r="I749" s="112">
        <v>1</v>
      </c>
    </row>
    <row r="750" spans="1:15" x14ac:dyDescent="0.2">
      <c r="A750" s="111">
        <v>768</v>
      </c>
      <c r="B750" s="421" t="s">
        <v>1428</v>
      </c>
      <c r="C750" s="421" t="s">
        <v>513</v>
      </c>
      <c r="D750" s="422" t="s">
        <v>663</v>
      </c>
      <c r="E750" s="111">
        <v>14462</v>
      </c>
      <c r="F750" s="421" t="s">
        <v>1427</v>
      </c>
      <c r="H750" s="112">
        <v>1</v>
      </c>
      <c r="I750" s="112">
        <v>1</v>
      </c>
      <c r="K750" s="112">
        <v>1</v>
      </c>
      <c r="L750" s="112">
        <v>1</v>
      </c>
    </row>
    <row r="751" spans="1:15" x14ac:dyDescent="0.2">
      <c r="A751" s="111">
        <v>769</v>
      </c>
      <c r="B751" s="421" t="s">
        <v>1429</v>
      </c>
      <c r="C751" s="421" t="s">
        <v>504</v>
      </c>
      <c r="D751" s="422" t="s">
        <v>663</v>
      </c>
      <c r="E751" s="111">
        <v>14463</v>
      </c>
      <c r="F751" s="421" t="s">
        <v>1430</v>
      </c>
      <c r="G751" s="112">
        <v>1</v>
      </c>
      <c r="H751" s="112">
        <v>1</v>
      </c>
      <c r="I751" s="112">
        <v>1</v>
      </c>
      <c r="J751" s="112">
        <v>2</v>
      </c>
      <c r="K751" s="112">
        <v>2</v>
      </c>
      <c r="L751" s="112">
        <v>2</v>
      </c>
    </row>
    <row r="752" spans="1:15" x14ac:dyDescent="0.2">
      <c r="A752" s="111">
        <v>770</v>
      </c>
      <c r="B752" s="421" t="s">
        <v>1431</v>
      </c>
      <c r="C752" s="421" t="s">
        <v>513</v>
      </c>
      <c r="D752" s="422" t="s">
        <v>663</v>
      </c>
      <c r="E752" s="111">
        <v>14464</v>
      </c>
      <c r="F752" s="421" t="s">
        <v>1432</v>
      </c>
      <c r="G752" s="112">
        <v>1</v>
      </c>
      <c r="H752" s="112">
        <v>2</v>
      </c>
      <c r="I752" s="112">
        <v>2</v>
      </c>
      <c r="J752" s="112">
        <v>1</v>
      </c>
      <c r="K752" s="112">
        <v>1</v>
      </c>
      <c r="L752" s="112">
        <v>2</v>
      </c>
      <c r="M752" s="112">
        <v>1</v>
      </c>
      <c r="O752" s="112">
        <v>2</v>
      </c>
    </row>
    <row r="753" spans="1:15" x14ac:dyDescent="0.2">
      <c r="A753" s="111">
        <v>771</v>
      </c>
      <c r="B753" s="421" t="s">
        <v>1435</v>
      </c>
      <c r="C753" s="421" t="s">
        <v>518</v>
      </c>
      <c r="D753" s="422" t="s">
        <v>663</v>
      </c>
      <c r="F753" s="421" t="s">
        <v>1436</v>
      </c>
      <c r="G753" s="112">
        <v>1</v>
      </c>
      <c r="H753" s="112">
        <v>1</v>
      </c>
      <c r="I753" s="112">
        <v>1</v>
      </c>
    </row>
    <row r="754" spans="1:15" x14ac:dyDescent="0.2">
      <c r="A754" s="111">
        <v>772</v>
      </c>
      <c r="B754" s="421" t="s">
        <v>186</v>
      </c>
      <c r="C754" s="421" t="s">
        <v>551</v>
      </c>
      <c r="D754" s="422" t="s">
        <v>666</v>
      </c>
      <c r="F754" s="421" t="s">
        <v>1437</v>
      </c>
      <c r="G754" s="112">
        <v>1</v>
      </c>
      <c r="H754" s="112">
        <v>1</v>
      </c>
      <c r="I754" s="112">
        <v>1</v>
      </c>
      <c r="K754" s="112">
        <v>1</v>
      </c>
      <c r="L754" s="112">
        <v>1</v>
      </c>
    </row>
    <row r="755" spans="1:15" x14ac:dyDescent="0.2">
      <c r="A755" s="111">
        <v>773</v>
      </c>
      <c r="B755" s="421" t="s">
        <v>79</v>
      </c>
      <c r="C755" s="421" t="s">
        <v>501</v>
      </c>
      <c r="D755" s="422" t="s">
        <v>666</v>
      </c>
      <c r="E755" s="111">
        <v>14443</v>
      </c>
      <c r="F755" s="421" t="s">
        <v>1438</v>
      </c>
      <c r="G755" s="112">
        <v>1</v>
      </c>
      <c r="H755" s="112">
        <v>1</v>
      </c>
      <c r="I755" s="112">
        <v>1</v>
      </c>
      <c r="J755" s="112">
        <v>3</v>
      </c>
      <c r="K755" s="112">
        <v>3</v>
      </c>
      <c r="L755" s="112">
        <v>3</v>
      </c>
      <c r="M755" s="112">
        <v>2</v>
      </c>
      <c r="N755" s="112">
        <v>2</v>
      </c>
      <c r="O755" s="112">
        <v>2</v>
      </c>
    </row>
    <row r="756" spans="1:15" x14ac:dyDescent="0.2">
      <c r="A756" s="111">
        <v>774</v>
      </c>
      <c r="B756" s="421" t="s">
        <v>1439</v>
      </c>
      <c r="C756" s="421" t="s">
        <v>516</v>
      </c>
      <c r="D756" s="422" t="s">
        <v>663</v>
      </c>
      <c r="E756" s="111">
        <v>14469</v>
      </c>
      <c r="F756" s="421" t="s">
        <v>1440</v>
      </c>
    </row>
    <row r="757" spans="1:15" x14ac:dyDescent="0.2">
      <c r="A757" s="111">
        <v>775</v>
      </c>
      <c r="B757" s="421" t="s">
        <v>1441</v>
      </c>
      <c r="C757" s="421" t="s">
        <v>506</v>
      </c>
      <c r="D757" s="422" t="s">
        <v>666</v>
      </c>
      <c r="E757" s="111">
        <v>14470</v>
      </c>
      <c r="F757" s="421" t="s">
        <v>1442</v>
      </c>
      <c r="G757" s="112">
        <v>2</v>
      </c>
      <c r="H757" s="112">
        <v>3</v>
      </c>
      <c r="I757" s="112">
        <v>3</v>
      </c>
      <c r="J757" s="112">
        <v>3</v>
      </c>
      <c r="K757" s="112">
        <v>1</v>
      </c>
      <c r="L757" s="112">
        <v>2</v>
      </c>
      <c r="M757" s="112">
        <v>1</v>
      </c>
      <c r="N757" s="112">
        <v>1</v>
      </c>
      <c r="O757" s="112">
        <v>1</v>
      </c>
    </row>
    <row r="758" spans="1:15" x14ac:dyDescent="0.2">
      <c r="A758" s="111">
        <v>776</v>
      </c>
      <c r="B758" s="421" t="s">
        <v>1443</v>
      </c>
      <c r="C758" s="421" t="s">
        <v>513</v>
      </c>
      <c r="D758" s="422" t="s">
        <v>663</v>
      </c>
      <c r="E758" s="111">
        <v>14471</v>
      </c>
      <c r="F758" s="421" t="s">
        <v>1444</v>
      </c>
      <c r="G758" s="112">
        <v>1</v>
      </c>
      <c r="I758" s="112">
        <v>1</v>
      </c>
    </row>
    <row r="759" spans="1:15" x14ac:dyDescent="0.2">
      <c r="A759" s="111">
        <v>777</v>
      </c>
      <c r="B759" s="421" t="s">
        <v>131</v>
      </c>
      <c r="C759" s="421" t="s">
        <v>501</v>
      </c>
      <c r="D759" s="422" t="s">
        <v>663</v>
      </c>
      <c r="F759" s="421" t="s">
        <v>1445</v>
      </c>
      <c r="G759" s="112">
        <v>1</v>
      </c>
    </row>
    <row r="760" spans="1:15" x14ac:dyDescent="0.2">
      <c r="A760" s="111">
        <v>778</v>
      </c>
      <c r="B760" s="421" t="s">
        <v>1449</v>
      </c>
      <c r="C760" s="421" t="s">
        <v>1450</v>
      </c>
      <c r="D760" s="422" t="s">
        <v>666</v>
      </c>
      <c r="E760" s="111">
        <v>14473</v>
      </c>
      <c r="F760" s="421" t="s">
        <v>1451</v>
      </c>
      <c r="G760" s="112">
        <v>1</v>
      </c>
      <c r="H760" s="112">
        <v>1</v>
      </c>
      <c r="I760" s="112">
        <v>1</v>
      </c>
    </row>
    <row r="761" spans="1:15" x14ac:dyDescent="0.2">
      <c r="A761" s="111">
        <v>779</v>
      </c>
      <c r="B761" s="421" t="s">
        <v>275</v>
      </c>
      <c r="C761" s="421" t="s">
        <v>516</v>
      </c>
      <c r="D761" s="422" t="s">
        <v>666</v>
      </c>
      <c r="E761" s="111">
        <v>14474</v>
      </c>
      <c r="F761" s="421" t="s">
        <v>1452</v>
      </c>
    </row>
    <row r="762" spans="1:15" x14ac:dyDescent="0.2">
      <c r="A762" s="111">
        <v>780</v>
      </c>
      <c r="B762" s="421" t="s">
        <v>1453</v>
      </c>
      <c r="C762" s="421" t="s">
        <v>563</v>
      </c>
      <c r="D762" s="422" t="s">
        <v>666</v>
      </c>
      <c r="E762" s="111">
        <v>14476</v>
      </c>
      <c r="F762" s="421" t="s">
        <v>1454</v>
      </c>
    </row>
    <row r="763" spans="1:15" x14ac:dyDescent="0.2">
      <c r="A763" s="111">
        <v>781</v>
      </c>
      <c r="B763" s="421" t="s">
        <v>43</v>
      </c>
      <c r="C763" s="421" t="s">
        <v>563</v>
      </c>
      <c r="D763" s="422" t="s">
        <v>666</v>
      </c>
      <c r="E763" s="111">
        <v>14476</v>
      </c>
      <c r="F763" s="421" t="s">
        <v>1454</v>
      </c>
    </row>
    <row r="764" spans="1:15" x14ac:dyDescent="0.2">
      <c r="A764" s="111">
        <v>782</v>
      </c>
      <c r="B764" s="421" t="s">
        <v>1455</v>
      </c>
      <c r="C764" s="421" t="s">
        <v>506</v>
      </c>
      <c r="D764" s="422" t="s">
        <v>666</v>
      </c>
      <c r="E764" s="111">
        <v>14478</v>
      </c>
      <c r="F764" s="421" t="s">
        <v>1456</v>
      </c>
    </row>
    <row r="765" spans="1:15" x14ac:dyDescent="0.2">
      <c r="A765" s="111">
        <v>783</v>
      </c>
      <c r="B765" s="421" t="s">
        <v>1457</v>
      </c>
      <c r="C765" s="421" t="s">
        <v>519</v>
      </c>
      <c r="D765" s="422" t="s">
        <v>666</v>
      </c>
      <c r="E765" s="111">
        <v>1470</v>
      </c>
      <c r="F765" s="421" t="s">
        <v>694</v>
      </c>
    </row>
    <row r="766" spans="1:15" x14ac:dyDescent="0.2">
      <c r="A766" s="111">
        <v>784</v>
      </c>
      <c r="B766" s="421" t="s">
        <v>1458</v>
      </c>
      <c r="C766" s="421" t="s">
        <v>519</v>
      </c>
      <c r="D766" s="422" t="s">
        <v>666</v>
      </c>
      <c r="E766" s="111">
        <v>1470</v>
      </c>
      <c r="F766" s="421" t="s">
        <v>694</v>
      </c>
    </row>
    <row r="767" spans="1:15" x14ac:dyDescent="0.2">
      <c r="A767" s="111">
        <v>785</v>
      </c>
      <c r="B767" s="421" t="s">
        <v>1428</v>
      </c>
      <c r="C767" s="421" t="s">
        <v>577</v>
      </c>
      <c r="D767" s="422" t="s">
        <v>666</v>
      </c>
      <c r="E767" s="111">
        <v>14479</v>
      </c>
      <c r="F767" s="421" t="s">
        <v>1459</v>
      </c>
    </row>
    <row r="768" spans="1:15" x14ac:dyDescent="0.2">
      <c r="A768" s="111">
        <v>786</v>
      </c>
      <c r="B768" s="421" t="s">
        <v>1460</v>
      </c>
      <c r="C768" s="421" t="s">
        <v>535</v>
      </c>
      <c r="D768" s="422" t="s">
        <v>663</v>
      </c>
      <c r="E768" s="111">
        <v>1461</v>
      </c>
      <c r="F768" s="421" t="s">
        <v>1448</v>
      </c>
      <c r="G768" s="112">
        <v>1</v>
      </c>
      <c r="I768" s="112">
        <v>1</v>
      </c>
    </row>
    <row r="769" spans="1:15" x14ac:dyDescent="0.2">
      <c r="A769" s="111">
        <v>787</v>
      </c>
      <c r="B769" s="421" t="s">
        <v>79</v>
      </c>
      <c r="C769" s="421" t="s">
        <v>501</v>
      </c>
      <c r="D769" s="422" t="s">
        <v>666</v>
      </c>
      <c r="F769" s="421" t="s">
        <v>1461</v>
      </c>
    </row>
    <row r="770" spans="1:15" x14ac:dyDescent="0.2">
      <c r="A770" s="111">
        <v>788</v>
      </c>
      <c r="B770" s="421" t="s">
        <v>1462</v>
      </c>
      <c r="C770" s="421" t="s">
        <v>1095</v>
      </c>
      <c r="D770" s="422" t="s">
        <v>663</v>
      </c>
      <c r="E770" s="111">
        <v>14475</v>
      </c>
      <c r="F770" s="421" t="s">
        <v>1463</v>
      </c>
    </row>
    <row r="771" spans="1:15" x14ac:dyDescent="0.2">
      <c r="A771" s="111">
        <v>789</v>
      </c>
      <c r="B771" s="421" t="s">
        <v>1464</v>
      </c>
      <c r="C771" s="421" t="s">
        <v>1095</v>
      </c>
      <c r="D771" s="422" t="s">
        <v>663</v>
      </c>
      <c r="E771" s="111">
        <v>14475</v>
      </c>
      <c r="F771" s="421" t="s">
        <v>1463</v>
      </c>
    </row>
    <row r="772" spans="1:15" x14ac:dyDescent="0.2">
      <c r="A772" s="111">
        <v>790</v>
      </c>
      <c r="B772" s="421" t="s">
        <v>1240</v>
      </c>
      <c r="C772" s="421" t="s">
        <v>530</v>
      </c>
      <c r="D772" s="422" t="s">
        <v>666</v>
      </c>
      <c r="E772" s="111">
        <v>14483</v>
      </c>
      <c r="F772" s="421" t="s">
        <v>1466</v>
      </c>
      <c r="G772" s="112">
        <v>1</v>
      </c>
      <c r="H772" s="112">
        <v>1</v>
      </c>
      <c r="I772" s="112">
        <v>1</v>
      </c>
      <c r="K772" s="112">
        <v>1</v>
      </c>
      <c r="L772" s="112">
        <v>1</v>
      </c>
    </row>
    <row r="773" spans="1:15" x14ac:dyDescent="0.2">
      <c r="A773" s="111">
        <v>791</v>
      </c>
      <c r="B773" s="421" t="s">
        <v>44</v>
      </c>
      <c r="C773" s="421" t="s">
        <v>553</v>
      </c>
      <c r="D773" s="422" t="s">
        <v>663</v>
      </c>
      <c r="F773" s="421" t="s">
        <v>1467</v>
      </c>
      <c r="G773" s="112">
        <v>1</v>
      </c>
      <c r="H773" s="112">
        <v>1</v>
      </c>
      <c r="I773" s="112">
        <v>1</v>
      </c>
      <c r="J773" s="112">
        <v>1</v>
      </c>
      <c r="K773" s="112">
        <v>1</v>
      </c>
      <c r="L773" s="112">
        <v>1</v>
      </c>
    </row>
    <row r="774" spans="1:15" x14ac:dyDescent="0.2">
      <c r="A774" s="111">
        <v>792</v>
      </c>
      <c r="B774" s="421" t="s">
        <v>186</v>
      </c>
      <c r="C774" s="421" t="s">
        <v>542</v>
      </c>
      <c r="D774" s="422" t="s">
        <v>666</v>
      </c>
      <c r="E774" s="111">
        <v>14484</v>
      </c>
      <c r="F774" s="421" t="s">
        <v>1468</v>
      </c>
      <c r="G774" s="112">
        <v>1</v>
      </c>
      <c r="H774" s="112">
        <v>1</v>
      </c>
      <c r="I774" s="112">
        <v>1</v>
      </c>
      <c r="J774" s="112">
        <v>3</v>
      </c>
      <c r="K774" s="112">
        <v>3</v>
      </c>
      <c r="L774" s="112">
        <v>3</v>
      </c>
      <c r="M774" s="112">
        <v>1</v>
      </c>
      <c r="N774" s="112">
        <v>1</v>
      </c>
      <c r="O774" s="112">
        <v>1</v>
      </c>
    </row>
    <row r="775" spans="1:15" x14ac:dyDescent="0.2">
      <c r="A775" s="111">
        <v>793</v>
      </c>
      <c r="B775" s="421" t="s">
        <v>1469</v>
      </c>
      <c r="C775" s="421" t="s">
        <v>506</v>
      </c>
      <c r="D775" s="422" t="s">
        <v>666</v>
      </c>
      <c r="E775" s="111">
        <v>14376</v>
      </c>
      <c r="F775" s="421" t="s">
        <v>1470</v>
      </c>
    </row>
    <row r="776" spans="1:15" x14ac:dyDescent="0.2">
      <c r="A776" s="111">
        <v>794</v>
      </c>
      <c r="B776" s="421" t="s">
        <v>1471</v>
      </c>
      <c r="C776" s="421" t="s">
        <v>581</v>
      </c>
      <c r="D776" s="422" t="s">
        <v>663</v>
      </c>
      <c r="F776" s="421" t="s">
        <v>1472</v>
      </c>
    </row>
    <row r="777" spans="1:15" x14ac:dyDescent="0.2">
      <c r="A777" s="111">
        <v>795</v>
      </c>
      <c r="B777" s="421" t="s">
        <v>1473</v>
      </c>
      <c r="C777" s="421" t="s">
        <v>551</v>
      </c>
      <c r="D777" s="422" t="s">
        <v>663</v>
      </c>
      <c r="F777" s="421" t="s">
        <v>1474</v>
      </c>
      <c r="G777" s="112">
        <v>1</v>
      </c>
      <c r="H777" s="112">
        <v>1</v>
      </c>
      <c r="I777" s="112">
        <v>1</v>
      </c>
    </row>
    <row r="778" spans="1:15" x14ac:dyDescent="0.2">
      <c r="A778" s="111">
        <v>796</v>
      </c>
      <c r="B778" s="421" t="s">
        <v>1354</v>
      </c>
      <c r="C778" s="421" t="s">
        <v>1898</v>
      </c>
      <c r="D778" s="422" t="s">
        <v>663</v>
      </c>
      <c r="E778" s="111">
        <v>14489</v>
      </c>
      <c r="F778" s="421" t="s">
        <v>1475</v>
      </c>
      <c r="G778" s="112">
        <v>1</v>
      </c>
      <c r="H778" s="112">
        <v>1</v>
      </c>
      <c r="I778" s="112">
        <v>1</v>
      </c>
      <c r="J778" s="112">
        <v>2</v>
      </c>
      <c r="K778" s="112">
        <v>1</v>
      </c>
      <c r="L778" s="112">
        <v>2</v>
      </c>
    </row>
    <row r="779" spans="1:15" x14ac:dyDescent="0.2">
      <c r="A779" s="111">
        <v>797</v>
      </c>
      <c r="B779" s="421" t="s">
        <v>1476</v>
      </c>
      <c r="C779" s="421" t="s">
        <v>506</v>
      </c>
      <c r="D779" s="422" t="s">
        <v>663</v>
      </c>
      <c r="E779" s="111">
        <v>14490</v>
      </c>
      <c r="F779" s="421" t="s">
        <v>1477</v>
      </c>
      <c r="G779" s="112">
        <v>1</v>
      </c>
      <c r="H779" s="112">
        <v>1</v>
      </c>
      <c r="I779" s="112">
        <v>1</v>
      </c>
    </row>
    <row r="780" spans="1:15" x14ac:dyDescent="0.2">
      <c r="A780" s="111">
        <v>798</v>
      </c>
      <c r="B780" s="421" t="s">
        <v>1478</v>
      </c>
      <c r="C780" s="421" t="s">
        <v>581</v>
      </c>
      <c r="D780" s="422" t="s">
        <v>666</v>
      </c>
      <c r="E780" s="111">
        <v>14492</v>
      </c>
      <c r="F780" s="421" t="s">
        <v>1479</v>
      </c>
      <c r="G780" s="112">
        <v>1</v>
      </c>
      <c r="H780" s="112">
        <v>1</v>
      </c>
    </row>
    <row r="781" spans="1:15" x14ac:dyDescent="0.2">
      <c r="A781" s="111">
        <v>799</v>
      </c>
      <c r="B781" s="421" t="s">
        <v>1323</v>
      </c>
      <c r="C781" s="421" t="s">
        <v>536</v>
      </c>
      <c r="D781" s="422" t="s">
        <v>663</v>
      </c>
      <c r="E781" s="111">
        <v>14195</v>
      </c>
      <c r="F781" s="421" t="s">
        <v>4327</v>
      </c>
      <c r="G781" s="112">
        <v>1</v>
      </c>
      <c r="H781" s="112">
        <v>1</v>
      </c>
      <c r="I781" s="112">
        <v>1</v>
      </c>
      <c r="J781" s="112">
        <v>7</v>
      </c>
      <c r="K781" s="112">
        <v>7</v>
      </c>
      <c r="L781" s="112">
        <v>7</v>
      </c>
      <c r="M781" s="112">
        <v>3</v>
      </c>
      <c r="N781" s="112">
        <v>3</v>
      </c>
      <c r="O781" s="112">
        <v>4</v>
      </c>
    </row>
    <row r="782" spans="1:15" x14ac:dyDescent="0.2">
      <c r="A782" s="111">
        <v>800</v>
      </c>
      <c r="B782" s="421" t="s">
        <v>1480</v>
      </c>
      <c r="C782" s="421" t="s">
        <v>506</v>
      </c>
      <c r="D782" s="422" t="s">
        <v>666</v>
      </c>
      <c r="E782" s="111">
        <v>14493</v>
      </c>
      <c r="F782" s="421" t="s">
        <v>1481</v>
      </c>
      <c r="G782" s="112">
        <v>1</v>
      </c>
      <c r="H782" s="112">
        <v>1</v>
      </c>
      <c r="I782" s="112">
        <v>1</v>
      </c>
    </row>
    <row r="783" spans="1:15" x14ac:dyDescent="0.2">
      <c r="A783" s="111">
        <v>801</v>
      </c>
      <c r="B783" s="421" t="s">
        <v>38</v>
      </c>
      <c r="C783" s="421" t="s">
        <v>534</v>
      </c>
      <c r="D783" s="422" t="s">
        <v>663</v>
      </c>
      <c r="E783" s="111">
        <v>14444</v>
      </c>
      <c r="F783" s="421" t="s">
        <v>1482</v>
      </c>
      <c r="G783" s="112">
        <v>3</v>
      </c>
      <c r="H783" s="112">
        <v>3</v>
      </c>
      <c r="I783" s="112">
        <v>2</v>
      </c>
      <c r="J783" s="112">
        <v>12</v>
      </c>
      <c r="K783" s="112">
        <v>8</v>
      </c>
      <c r="L783" s="112">
        <v>7</v>
      </c>
      <c r="M783" s="112">
        <v>6</v>
      </c>
      <c r="N783" s="112">
        <v>2</v>
      </c>
    </row>
    <row r="784" spans="1:15" x14ac:dyDescent="0.2">
      <c r="A784" s="111">
        <v>802</v>
      </c>
      <c r="B784" s="421" t="s">
        <v>1483</v>
      </c>
      <c r="C784" s="421" t="s">
        <v>507</v>
      </c>
      <c r="D784" s="422" t="s">
        <v>666</v>
      </c>
      <c r="E784" s="111">
        <v>14184</v>
      </c>
      <c r="F784" s="421" t="s">
        <v>885</v>
      </c>
      <c r="G784" s="112">
        <v>1</v>
      </c>
      <c r="H784" s="112">
        <v>1</v>
      </c>
      <c r="I784" s="112">
        <v>1</v>
      </c>
    </row>
    <row r="785" spans="1:15" x14ac:dyDescent="0.2">
      <c r="A785" s="111">
        <v>803</v>
      </c>
      <c r="B785" s="421" t="s">
        <v>1484</v>
      </c>
      <c r="C785" s="421" t="s">
        <v>558</v>
      </c>
      <c r="D785" s="422" t="s">
        <v>666</v>
      </c>
      <c r="E785" s="111">
        <v>14324</v>
      </c>
      <c r="F785" s="421" t="s">
        <v>1485</v>
      </c>
      <c r="G785" s="112">
        <v>1</v>
      </c>
      <c r="H785" s="112">
        <v>2</v>
      </c>
      <c r="I785" s="112">
        <v>1</v>
      </c>
      <c r="J785" s="112">
        <v>1</v>
      </c>
      <c r="K785" s="112">
        <v>1</v>
      </c>
      <c r="L785" s="112">
        <v>1</v>
      </c>
      <c r="M785" s="112">
        <v>1</v>
      </c>
      <c r="N785" s="112">
        <v>2</v>
      </c>
      <c r="O785" s="112">
        <v>1</v>
      </c>
    </row>
    <row r="786" spans="1:15" x14ac:dyDescent="0.2">
      <c r="A786" s="111">
        <v>804</v>
      </c>
      <c r="B786" s="421" t="s">
        <v>186</v>
      </c>
      <c r="C786" s="421" t="s">
        <v>503</v>
      </c>
      <c r="D786" s="422" t="s">
        <v>666</v>
      </c>
      <c r="E786" s="111">
        <v>14425</v>
      </c>
      <c r="F786" s="421" t="s">
        <v>1324</v>
      </c>
    </row>
    <row r="787" spans="1:15" x14ac:dyDescent="0.2">
      <c r="A787" s="111">
        <v>805</v>
      </c>
      <c r="B787" s="421" t="s">
        <v>1486</v>
      </c>
      <c r="C787" s="421" t="s">
        <v>1487</v>
      </c>
      <c r="D787" s="422" t="s">
        <v>663</v>
      </c>
      <c r="E787" s="111">
        <v>14448</v>
      </c>
      <c r="F787" s="421" t="s">
        <v>1389</v>
      </c>
    </row>
    <row r="788" spans="1:15" x14ac:dyDescent="0.2">
      <c r="A788" s="111">
        <v>806</v>
      </c>
      <c r="B788" s="421" t="s">
        <v>1488</v>
      </c>
      <c r="C788" s="421" t="s">
        <v>516</v>
      </c>
      <c r="D788" s="422" t="s">
        <v>663</v>
      </c>
      <c r="E788" s="111">
        <v>14477</v>
      </c>
      <c r="F788" s="421" t="s">
        <v>1489</v>
      </c>
      <c r="G788" s="112">
        <v>1</v>
      </c>
      <c r="H788" s="112">
        <v>1</v>
      </c>
      <c r="I788" s="112">
        <v>1</v>
      </c>
    </row>
    <row r="789" spans="1:15" x14ac:dyDescent="0.2">
      <c r="A789" s="111">
        <v>807</v>
      </c>
      <c r="B789" s="421" t="s">
        <v>1490</v>
      </c>
      <c r="C789" s="421" t="s">
        <v>516</v>
      </c>
      <c r="D789" s="422" t="s">
        <v>663</v>
      </c>
      <c r="E789" s="111">
        <v>14477</v>
      </c>
      <c r="F789" s="421" t="s">
        <v>1489</v>
      </c>
    </row>
    <row r="790" spans="1:15" x14ac:dyDescent="0.2">
      <c r="A790" s="111">
        <v>808</v>
      </c>
      <c r="B790" s="421" t="s">
        <v>1491</v>
      </c>
      <c r="C790" s="421" t="s">
        <v>512</v>
      </c>
      <c r="D790" s="422" t="s">
        <v>663</v>
      </c>
      <c r="F790" s="421" t="s">
        <v>1492</v>
      </c>
      <c r="G790" s="112">
        <v>1</v>
      </c>
      <c r="H790" s="112">
        <v>1</v>
      </c>
      <c r="I790" s="112">
        <v>1</v>
      </c>
      <c r="J790" s="112">
        <v>1</v>
      </c>
      <c r="K790" s="112">
        <v>1</v>
      </c>
      <c r="L790" s="112">
        <v>1</v>
      </c>
    </row>
    <row r="791" spans="1:15" x14ac:dyDescent="0.2">
      <c r="A791" s="111">
        <v>809</v>
      </c>
      <c r="B791" s="421" t="s">
        <v>1493</v>
      </c>
      <c r="C791" s="421" t="s">
        <v>528</v>
      </c>
      <c r="D791" s="422" t="s">
        <v>663</v>
      </c>
      <c r="F791" s="421" t="s">
        <v>1494</v>
      </c>
    </row>
    <row r="792" spans="1:15" x14ac:dyDescent="0.2">
      <c r="A792" s="111">
        <v>820</v>
      </c>
      <c r="B792" s="421" t="s">
        <v>353</v>
      </c>
      <c r="C792" s="421" t="s">
        <v>503</v>
      </c>
      <c r="D792" s="422" t="s">
        <v>666</v>
      </c>
      <c r="F792" s="421" t="s">
        <v>1495</v>
      </c>
      <c r="G792" s="112">
        <v>1</v>
      </c>
      <c r="H792" s="112">
        <v>1</v>
      </c>
    </row>
    <row r="793" spans="1:15" x14ac:dyDescent="0.2">
      <c r="A793" s="111">
        <v>821</v>
      </c>
      <c r="B793" s="421" t="s">
        <v>1496</v>
      </c>
      <c r="C793" s="421" t="s">
        <v>532</v>
      </c>
      <c r="D793" s="422" t="s">
        <v>663</v>
      </c>
      <c r="F793" s="421" t="s">
        <v>1497</v>
      </c>
    </row>
    <row r="794" spans="1:15" x14ac:dyDescent="0.2">
      <c r="A794" s="111">
        <v>822</v>
      </c>
      <c r="B794" s="421" t="s">
        <v>1498</v>
      </c>
      <c r="C794" s="421" t="s">
        <v>501</v>
      </c>
      <c r="D794" s="422" t="s">
        <v>663</v>
      </c>
      <c r="E794" s="111">
        <v>14494</v>
      </c>
      <c r="F794" s="421" t="s">
        <v>1504</v>
      </c>
    </row>
    <row r="795" spans="1:15" x14ac:dyDescent="0.2">
      <c r="A795" s="111">
        <v>823</v>
      </c>
      <c r="B795" s="421" t="s">
        <v>1499</v>
      </c>
      <c r="C795" s="421" t="s">
        <v>1500</v>
      </c>
      <c r="D795" s="422" t="s">
        <v>666</v>
      </c>
      <c r="F795" s="421" t="s">
        <v>1501</v>
      </c>
      <c r="G795" s="112">
        <v>1</v>
      </c>
      <c r="H795" s="112">
        <v>1</v>
      </c>
      <c r="I795" s="112">
        <v>1</v>
      </c>
      <c r="J795" s="112">
        <v>1</v>
      </c>
      <c r="K795" s="112">
        <v>1</v>
      </c>
      <c r="L795" s="112">
        <v>1</v>
      </c>
    </row>
    <row r="796" spans="1:15" x14ac:dyDescent="0.2">
      <c r="A796" s="111">
        <v>824</v>
      </c>
      <c r="B796" s="421" t="s">
        <v>284</v>
      </c>
      <c r="C796" s="421" t="s">
        <v>1284</v>
      </c>
      <c r="D796" s="422" t="s">
        <v>666</v>
      </c>
      <c r="F796" s="421" t="s">
        <v>1502</v>
      </c>
      <c r="G796" s="112">
        <v>1</v>
      </c>
      <c r="H796" s="112">
        <v>1</v>
      </c>
      <c r="I796" s="112">
        <v>1</v>
      </c>
    </row>
    <row r="797" spans="1:15" x14ac:dyDescent="0.2">
      <c r="A797" s="111">
        <v>825</v>
      </c>
      <c r="B797" s="421" t="s">
        <v>1505</v>
      </c>
      <c r="C797" s="421" t="s">
        <v>510</v>
      </c>
      <c r="D797" s="422" t="s">
        <v>663</v>
      </c>
      <c r="E797" s="111">
        <v>14538</v>
      </c>
      <c r="F797" s="421" t="s">
        <v>1506</v>
      </c>
    </row>
    <row r="798" spans="1:15" x14ac:dyDescent="0.2">
      <c r="A798" s="111">
        <v>826</v>
      </c>
      <c r="B798" s="421" t="s">
        <v>1507</v>
      </c>
      <c r="C798" s="421" t="s">
        <v>503</v>
      </c>
      <c r="D798" s="422" t="s">
        <v>666</v>
      </c>
      <c r="E798" s="111">
        <v>14498</v>
      </c>
      <c r="F798" s="421" t="s">
        <v>1508</v>
      </c>
      <c r="G798" s="112">
        <v>1</v>
      </c>
      <c r="H798" s="112">
        <v>1</v>
      </c>
      <c r="I798" s="112">
        <v>1</v>
      </c>
    </row>
    <row r="799" spans="1:15" x14ac:dyDescent="0.2">
      <c r="A799" s="111">
        <v>827</v>
      </c>
      <c r="B799" s="421" t="s">
        <v>1509</v>
      </c>
      <c r="C799" s="421" t="s">
        <v>540</v>
      </c>
      <c r="D799" s="422" t="s">
        <v>666</v>
      </c>
      <c r="E799" s="111">
        <v>14499</v>
      </c>
      <c r="F799" s="421" t="s">
        <v>1510</v>
      </c>
      <c r="G799" s="112">
        <v>1</v>
      </c>
      <c r="H799" s="112">
        <v>1</v>
      </c>
      <c r="I799" s="112">
        <v>1</v>
      </c>
      <c r="J799" s="112">
        <v>1</v>
      </c>
    </row>
    <row r="800" spans="1:15" x14ac:dyDescent="0.2">
      <c r="A800" s="111">
        <v>828</v>
      </c>
      <c r="B800" s="421" t="s">
        <v>1511</v>
      </c>
      <c r="C800" s="421" t="s">
        <v>518</v>
      </c>
      <c r="D800" s="422" t="s">
        <v>663</v>
      </c>
      <c r="E800" s="111">
        <v>14500</v>
      </c>
      <c r="F800" s="421" t="s">
        <v>1512</v>
      </c>
    </row>
    <row r="801" spans="1:12" x14ac:dyDescent="0.2">
      <c r="A801" s="111">
        <v>829</v>
      </c>
      <c r="B801" s="421" t="s">
        <v>1513</v>
      </c>
      <c r="C801" s="421" t="s">
        <v>518</v>
      </c>
      <c r="D801" s="422" t="s">
        <v>663</v>
      </c>
      <c r="E801" s="111">
        <v>14500</v>
      </c>
      <c r="F801" s="421" t="s">
        <v>1512</v>
      </c>
    </row>
    <row r="802" spans="1:12" x14ac:dyDescent="0.2">
      <c r="A802" s="111">
        <v>830</v>
      </c>
      <c r="B802" s="421" t="s">
        <v>1090</v>
      </c>
      <c r="C802" s="421" t="s">
        <v>571</v>
      </c>
      <c r="D802" s="422" t="s">
        <v>666</v>
      </c>
      <c r="E802" s="111">
        <v>14501</v>
      </c>
      <c r="F802" s="421" t="s">
        <v>1514</v>
      </c>
    </row>
    <row r="803" spans="1:12" x14ac:dyDescent="0.2">
      <c r="A803" s="111">
        <v>831</v>
      </c>
      <c r="B803" s="421" t="s">
        <v>1515</v>
      </c>
      <c r="C803" s="421" t="s">
        <v>571</v>
      </c>
      <c r="D803" s="422" t="s">
        <v>663</v>
      </c>
      <c r="E803" s="111">
        <v>14502</v>
      </c>
      <c r="F803" s="421" t="s">
        <v>1516</v>
      </c>
    </row>
    <row r="804" spans="1:12" x14ac:dyDescent="0.2">
      <c r="A804" s="111">
        <v>832</v>
      </c>
      <c r="B804" s="421" t="s">
        <v>1517</v>
      </c>
      <c r="C804" s="421" t="s">
        <v>512</v>
      </c>
      <c r="D804" s="422" t="s">
        <v>666</v>
      </c>
      <c r="E804" s="111">
        <v>14503</v>
      </c>
      <c r="F804" s="421" t="s">
        <v>1518</v>
      </c>
      <c r="G804" s="112">
        <v>2</v>
      </c>
      <c r="H804" s="112">
        <v>1</v>
      </c>
      <c r="I804" s="112">
        <v>2</v>
      </c>
    </row>
    <row r="805" spans="1:12" x14ac:dyDescent="0.2">
      <c r="A805" s="111">
        <v>833</v>
      </c>
      <c r="B805" s="421" t="s">
        <v>1519</v>
      </c>
      <c r="C805" s="421" t="s">
        <v>504</v>
      </c>
      <c r="D805" s="422" t="s">
        <v>666</v>
      </c>
      <c r="E805" s="111">
        <v>14472</v>
      </c>
      <c r="F805" s="421" t="s">
        <v>1520</v>
      </c>
    </row>
    <row r="806" spans="1:12" x14ac:dyDescent="0.2">
      <c r="A806" s="111">
        <v>834</v>
      </c>
      <c r="B806" s="421" t="s">
        <v>1521</v>
      </c>
      <c r="C806" s="421" t="s">
        <v>504</v>
      </c>
      <c r="D806" s="422" t="s">
        <v>663</v>
      </c>
      <c r="E806" s="111">
        <v>14472</v>
      </c>
      <c r="F806" s="421" t="s">
        <v>1520</v>
      </c>
    </row>
    <row r="807" spans="1:12" x14ac:dyDescent="0.2">
      <c r="A807" s="111">
        <v>835</v>
      </c>
      <c r="B807" s="421" t="s">
        <v>1522</v>
      </c>
      <c r="C807" s="421" t="s">
        <v>547</v>
      </c>
      <c r="D807" s="422" t="s">
        <v>663</v>
      </c>
      <c r="E807" s="111">
        <v>14350</v>
      </c>
      <c r="F807" s="421" t="s">
        <v>992</v>
      </c>
      <c r="G807" s="112">
        <v>1</v>
      </c>
      <c r="H807" s="112">
        <v>1</v>
      </c>
      <c r="K807" s="112">
        <v>1</v>
      </c>
    </row>
    <row r="808" spans="1:12" x14ac:dyDescent="0.2">
      <c r="A808" s="111">
        <v>836</v>
      </c>
      <c r="B808" s="421" t="s">
        <v>437</v>
      </c>
      <c r="C808" s="421" t="s">
        <v>1523</v>
      </c>
      <c r="D808" s="422" t="s">
        <v>663</v>
      </c>
      <c r="E808" s="111">
        <v>14504</v>
      </c>
      <c r="F808" s="421" t="s">
        <v>1524</v>
      </c>
      <c r="G808" s="112">
        <v>2</v>
      </c>
      <c r="H808" s="112">
        <v>1</v>
      </c>
      <c r="I808" s="112">
        <v>1</v>
      </c>
    </row>
    <row r="809" spans="1:12" x14ac:dyDescent="0.2">
      <c r="A809" s="111">
        <v>837</v>
      </c>
      <c r="B809" s="421" t="s">
        <v>1525</v>
      </c>
      <c r="C809" s="421" t="s">
        <v>505</v>
      </c>
      <c r="D809" s="422" t="s">
        <v>666</v>
      </c>
      <c r="E809" s="111">
        <v>14505</v>
      </c>
      <c r="F809" s="421" t="s">
        <v>1526</v>
      </c>
    </row>
    <row r="810" spans="1:12" x14ac:dyDescent="0.2">
      <c r="A810" s="111">
        <v>838</v>
      </c>
      <c r="B810" s="421" t="s">
        <v>279</v>
      </c>
      <c r="C810" s="421" t="s">
        <v>501</v>
      </c>
      <c r="D810" s="422" t="s">
        <v>663</v>
      </c>
      <c r="E810" s="111">
        <v>14507</v>
      </c>
      <c r="F810" s="421" t="s">
        <v>1527</v>
      </c>
      <c r="G810" s="112">
        <v>1</v>
      </c>
      <c r="H810" s="112">
        <v>1</v>
      </c>
      <c r="I810" s="112">
        <v>1</v>
      </c>
      <c r="J810" s="112">
        <v>1</v>
      </c>
      <c r="K810" s="112">
        <v>1</v>
      </c>
      <c r="L810" s="112">
        <v>1</v>
      </c>
    </row>
    <row r="811" spans="1:12" x14ac:dyDescent="0.2">
      <c r="A811" s="111">
        <v>839</v>
      </c>
      <c r="B811" s="421" t="s">
        <v>1528</v>
      </c>
      <c r="C811" s="421" t="s">
        <v>527</v>
      </c>
      <c r="D811" s="422" t="s">
        <v>663</v>
      </c>
      <c r="F811" s="421" t="s">
        <v>1529</v>
      </c>
    </row>
    <row r="812" spans="1:12" x14ac:dyDescent="0.2">
      <c r="A812" s="111">
        <v>840</v>
      </c>
      <c r="B812" s="421" t="s">
        <v>494</v>
      </c>
      <c r="C812" s="421" t="s">
        <v>524</v>
      </c>
      <c r="D812" s="422" t="s">
        <v>663</v>
      </c>
      <c r="F812" s="421" t="s">
        <v>1529</v>
      </c>
    </row>
    <row r="813" spans="1:12" x14ac:dyDescent="0.2">
      <c r="A813" s="111">
        <v>841</v>
      </c>
      <c r="B813" s="421" t="s">
        <v>1530</v>
      </c>
      <c r="C813" s="421" t="s">
        <v>553</v>
      </c>
      <c r="D813" s="422" t="s">
        <v>663</v>
      </c>
      <c r="F813" s="421" t="s">
        <v>1529</v>
      </c>
      <c r="G813" s="112">
        <v>2</v>
      </c>
      <c r="H813" s="112">
        <v>1</v>
      </c>
    </row>
    <row r="814" spans="1:12" x14ac:dyDescent="0.2">
      <c r="A814" s="111">
        <v>842</v>
      </c>
      <c r="B814" s="421" t="s">
        <v>1268</v>
      </c>
      <c r="C814" s="421" t="s">
        <v>501</v>
      </c>
      <c r="D814" s="422" t="s">
        <v>663</v>
      </c>
      <c r="E814" s="111">
        <v>14608</v>
      </c>
      <c r="F814" s="421" t="s">
        <v>1531</v>
      </c>
      <c r="G814" s="112">
        <v>1</v>
      </c>
      <c r="H814" s="112">
        <v>1</v>
      </c>
      <c r="I814" s="112">
        <v>1</v>
      </c>
      <c r="J814" s="112">
        <v>1</v>
      </c>
      <c r="L814" s="112">
        <v>1</v>
      </c>
    </row>
    <row r="815" spans="1:12" x14ac:dyDescent="0.2">
      <c r="A815" s="111">
        <v>843</v>
      </c>
      <c r="B815" s="421" t="s">
        <v>53</v>
      </c>
      <c r="C815" s="421" t="s">
        <v>2338</v>
      </c>
      <c r="D815" s="422" t="s">
        <v>663</v>
      </c>
      <c r="E815" s="111">
        <v>15340</v>
      </c>
      <c r="F815" s="421" t="s">
        <v>1532</v>
      </c>
    </row>
    <row r="816" spans="1:12" x14ac:dyDescent="0.2">
      <c r="A816" s="111">
        <v>844</v>
      </c>
      <c r="B816" s="421" t="s">
        <v>1533</v>
      </c>
      <c r="C816" s="421" t="s">
        <v>2338</v>
      </c>
      <c r="D816" s="422" t="s">
        <v>666</v>
      </c>
      <c r="E816" s="111">
        <v>15340</v>
      </c>
      <c r="F816" s="421" t="s">
        <v>1532</v>
      </c>
    </row>
    <row r="817" spans="1:15" x14ac:dyDescent="0.2">
      <c r="A817" s="111">
        <v>845</v>
      </c>
      <c r="B817" s="421" t="s">
        <v>237</v>
      </c>
      <c r="C817" s="421" t="s">
        <v>513</v>
      </c>
      <c r="D817" s="422" t="s">
        <v>663</v>
      </c>
      <c r="E817" s="111">
        <v>1458</v>
      </c>
      <c r="F817" s="421" t="s">
        <v>778</v>
      </c>
    </row>
    <row r="818" spans="1:15" x14ac:dyDescent="0.2">
      <c r="A818" s="111">
        <v>846</v>
      </c>
      <c r="B818" s="421" t="s">
        <v>1534</v>
      </c>
      <c r="C818" s="421" t="s">
        <v>501</v>
      </c>
      <c r="D818" s="422" t="s">
        <v>663</v>
      </c>
      <c r="E818" s="111">
        <v>14515</v>
      </c>
      <c r="F818" s="421" t="s">
        <v>1535</v>
      </c>
      <c r="G818" s="112">
        <v>1</v>
      </c>
      <c r="H818" s="112">
        <v>1</v>
      </c>
      <c r="I818" s="112">
        <v>1</v>
      </c>
    </row>
    <row r="819" spans="1:15" x14ac:dyDescent="0.2">
      <c r="A819" s="111">
        <v>847</v>
      </c>
      <c r="B819" s="421" t="s">
        <v>1536</v>
      </c>
      <c r="C819" s="421" t="s">
        <v>516</v>
      </c>
      <c r="D819" s="422" t="s">
        <v>666</v>
      </c>
      <c r="E819" s="111">
        <v>14387</v>
      </c>
      <c r="F819" s="421" t="s">
        <v>1279</v>
      </c>
    </row>
    <row r="820" spans="1:15" x14ac:dyDescent="0.2">
      <c r="A820" s="111">
        <v>848</v>
      </c>
      <c r="B820" s="421" t="s">
        <v>376</v>
      </c>
      <c r="C820" s="421" t="s">
        <v>510</v>
      </c>
      <c r="D820" s="422" t="s">
        <v>666</v>
      </c>
      <c r="F820" s="421" t="s">
        <v>1537</v>
      </c>
      <c r="G820" s="112">
        <v>1</v>
      </c>
      <c r="H820" s="112">
        <v>1</v>
      </c>
      <c r="I820" s="112">
        <v>1</v>
      </c>
    </row>
    <row r="821" spans="1:15" x14ac:dyDescent="0.2">
      <c r="A821" s="111">
        <v>849</v>
      </c>
      <c r="B821" s="421" t="s">
        <v>1538</v>
      </c>
      <c r="C821" s="421" t="s">
        <v>501</v>
      </c>
      <c r="D821" s="422" t="s">
        <v>663</v>
      </c>
      <c r="E821" s="111">
        <v>14480</v>
      </c>
      <c r="F821" s="421" t="s">
        <v>1539</v>
      </c>
      <c r="G821" s="112">
        <v>1</v>
      </c>
      <c r="H821" s="112">
        <v>2</v>
      </c>
      <c r="I821" s="112">
        <v>1</v>
      </c>
    </row>
    <row r="822" spans="1:15" x14ac:dyDescent="0.2">
      <c r="A822" s="111">
        <v>850</v>
      </c>
      <c r="B822" s="421" t="s">
        <v>1540</v>
      </c>
      <c r="C822" s="421" t="s">
        <v>546</v>
      </c>
      <c r="D822" s="422" t="s">
        <v>663</v>
      </c>
      <c r="E822" s="111">
        <v>14506</v>
      </c>
      <c r="F822" s="421" t="s">
        <v>1541</v>
      </c>
      <c r="G822" s="112">
        <v>1</v>
      </c>
      <c r="H822" s="112">
        <v>1</v>
      </c>
      <c r="I822" s="112">
        <v>1</v>
      </c>
    </row>
    <row r="823" spans="1:15" x14ac:dyDescent="0.2">
      <c r="A823" s="111">
        <v>851</v>
      </c>
      <c r="B823" s="421" t="s">
        <v>356</v>
      </c>
      <c r="C823" s="421" t="s">
        <v>516</v>
      </c>
      <c r="D823" s="422" t="s">
        <v>663</v>
      </c>
      <c r="E823" s="111">
        <v>14510</v>
      </c>
      <c r="F823" s="421" t="s">
        <v>1542</v>
      </c>
      <c r="G823" s="112">
        <v>1</v>
      </c>
      <c r="H823" s="112">
        <v>1</v>
      </c>
      <c r="I823" s="112">
        <v>2</v>
      </c>
      <c r="J823" s="112">
        <v>1</v>
      </c>
      <c r="K823" s="112">
        <v>1</v>
      </c>
      <c r="L823" s="112">
        <v>1</v>
      </c>
    </row>
    <row r="824" spans="1:15" x14ac:dyDescent="0.2">
      <c r="A824" s="111">
        <v>852</v>
      </c>
      <c r="B824" s="421" t="s">
        <v>1543</v>
      </c>
      <c r="C824" s="421" t="s">
        <v>506</v>
      </c>
      <c r="D824" s="422" t="s">
        <v>663</v>
      </c>
      <c r="F824" s="421" t="s">
        <v>1544</v>
      </c>
      <c r="G824" s="112">
        <v>1</v>
      </c>
      <c r="H824" s="112">
        <v>1</v>
      </c>
      <c r="I824" s="112">
        <v>1</v>
      </c>
      <c r="J824" s="112">
        <v>1</v>
      </c>
      <c r="K824" s="112">
        <v>2</v>
      </c>
      <c r="L824" s="112">
        <v>2</v>
      </c>
    </row>
    <row r="825" spans="1:15" x14ac:dyDescent="0.2">
      <c r="A825" s="111">
        <v>853</v>
      </c>
      <c r="B825" s="421" t="s">
        <v>131</v>
      </c>
      <c r="C825" s="421" t="s">
        <v>1523</v>
      </c>
      <c r="D825" s="422" t="s">
        <v>663</v>
      </c>
      <c r="E825" s="111">
        <v>14517</v>
      </c>
      <c r="F825" s="421" t="s">
        <v>1575</v>
      </c>
      <c r="G825" s="112">
        <v>1</v>
      </c>
      <c r="H825" s="112">
        <v>1</v>
      </c>
      <c r="I825" s="112">
        <v>1</v>
      </c>
      <c r="J825" s="112">
        <v>7</v>
      </c>
      <c r="K825" s="112">
        <v>7</v>
      </c>
      <c r="L825" s="112">
        <v>7</v>
      </c>
      <c r="M825" s="112">
        <v>3</v>
      </c>
      <c r="N825" s="112">
        <v>3</v>
      </c>
      <c r="O825" s="112">
        <v>3</v>
      </c>
    </row>
    <row r="826" spans="1:15" x14ac:dyDescent="0.2">
      <c r="A826" s="111">
        <v>854</v>
      </c>
      <c r="B826" s="421" t="s">
        <v>1058</v>
      </c>
      <c r="C826" s="421" t="s">
        <v>551</v>
      </c>
      <c r="D826" s="422" t="s">
        <v>663</v>
      </c>
      <c r="E826" s="111">
        <v>14516</v>
      </c>
      <c r="F826" s="421" t="s">
        <v>1576</v>
      </c>
      <c r="G826" s="112">
        <v>2</v>
      </c>
      <c r="H826" s="112">
        <v>1</v>
      </c>
      <c r="I826" s="112">
        <v>1</v>
      </c>
      <c r="J826" s="112">
        <v>1</v>
      </c>
      <c r="K826" s="112">
        <v>2</v>
      </c>
      <c r="L826" s="112">
        <v>2</v>
      </c>
    </row>
    <row r="827" spans="1:15" x14ac:dyDescent="0.2">
      <c r="A827" s="111">
        <v>855</v>
      </c>
      <c r="B827" s="421" t="s">
        <v>332</v>
      </c>
      <c r="C827" s="421" t="s">
        <v>581</v>
      </c>
      <c r="D827" s="422" t="s">
        <v>666</v>
      </c>
      <c r="E827" s="111">
        <v>14492</v>
      </c>
      <c r="F827" s="421" t="s">
        <v>1479</v>
      </c>
    </row>
    <row r="828" spans="1:15" x14ac:dyDescent="0.2">
      <c r="A828" s="111">
        <v>856</v>
      </c>
      <c r="B828" s="421" t="s">
        <v>1577</v>
      </c>
      <c r="C828" s="421" t="s">
        <v>581</v>
      </c>
      <c r="D828" s="422" t="s">
        <v>663</v>
      </c>
      <c r="E828" s="111">
        <v>14492</v>
      </c>
      <c r="F828" s="421" t="s">
        <v>1479</v>
      </c>
    </row>
    <row r="829" spans="1:15" x14ac:dyDescent="0.2">
      <c r="A829" s="111">
        <v>857</v>
      </c>
      <c r="B829" s="421" t="s">
        <v>235</v>
      </c>
      <c r="C829" s="421" t="s">
        <v>503</v>
      </c>
      <c r="D829" s="422" t="s">
        <v>663</v>
      </c>
      <c r="E829" s="111">
        <v>14713</v>
      </c>
      <c r="F829" s="421" t="s">
        <v>1578</v>
      </c>
    </row>
    <row r="830" spans="1:15" x14ac:dyDescent="0.2">
      <c r="A830" s="111">
        <v>858</v>
      </c>
      <c r="B830" s="421" t="s">
        <v>1579</v>
      </c>
      <c r="C830" s="421" t="s">
        <v>567</v>
      </c>
      <c r="D830" s="422" t="s">
        <v>666</v>
      </c>
      <c r="F830" s="421" t="s">
        <v>1580</v>
      </c>
    </row>
    <row r="831" spans="1:15" x14ac:dyDescent="0.2">
      <c r="A831" s="111">
        <v>859</v>
      </c>
      <c r="B831" s="421" t="s">
        <v>337</v>
      </c>
      <c r="C831" s="421" t="s">
        <v>514</v>
      </c>
      <c r="D831" s="422" t="s">
        <v>666</v>
      </c>
      <c r="E831" s="111">
        <v>14571</v>
      </c>
      <c r="F831" s="421" t="s">
        <v>1278</v>
      </c>
      <c r="G831" s="112">
        <v>1</v>
      </c>
      <c r="H831" s="112">
        <v>1</v>
      </c>
      <c r="I831" s="112">
        <v>1</v>
      </c>
      <c r="J831" s="112">
        <v>2</v>
      </c>
      <c r="K831" s="112">
        <v>2</v>
      </c>
      <c r="L831" s="112">
        <v>2</v>
      </c>
    </row>
    <row r="832" spans="1:15" x14ac:dyDescent="0.2">
      <c r="A832" s="111">
        <v>860</v>
      </c>
      <c r="B832" s="421" t="s">
        <v>1581</v>
      </c>
      <c r="C832" s="421" t="s">
        <v>551</v>
      </c>
      <c r="D832" s="422" t="s">
        <v>663</v>
      </c>
      <c r="E832" s="111">
        <v>14106</v>
      </c>
      <c r="F832" s="421" t="s">
        <v>686</v>
      </c>
      <c r="G832" s="112">
        <v>1</v>
      </c>
      <c r="H832" s="112">
        <v>1</v>
      </c>
      <c r="I832" s="112">
        <v>1</v>
      </c>
      <c r="J832" s="112">
        <v>8</v>
      </c>
      <c r="K832" s="112">
        <v>7</v>
      </c>
      <c r="L832" s="112">
        <v>7</v>
      </c>
      <c r="M832" s="112">
        <v>3</v>
      </c>
      <c r="N832" s="112">
        <v>3</v>
      </c>
      <c r="O832" s="112">
        <v>3</v>
      </c>
    </row>
    <row r="833" spans="1:15" x14ac:dyDescent="0.2">
      <c r="A833" s="111">
        <v>861</v>
      </c>
      <c r="B833" s="421" t="s">
        <v>43</v>
      </c>
      <c r="C833" s="421" t="s">
        <v>544</v>
      </c>
      <c r="D833" s="422" t="s">
        <v>666</v>
      </c>
      <c r="F833" s="421" t="s">
        <v>1582</v>
      </c>
      <c r="G833" s="112">
        <v>1</v>
      </c>
      <c r="H833" s="112">
        <v>1</v>
      </c>
      <c r="I833" s="112">
        <v>1</v>
      </c>
      <c r="J833" s="112">
        <v>1</v>
      </c>
      <c r="K833" s="112">
        <v>1</v>
      </c>
      <c r="L833" s="112">
        <v>1</v>
      </c>
      <c r="M833" s="112">
        <v>1</v>
      </c>
    </row>
    <row r="834" spans="1:15" x14ac:dyDescent="0.2">
      <c r="A834" s="111">
        <v>862</v>
      </c>
      <c r="B834" s="421" t="s">
        <v>1583</v>
      </c>
      <c r="C834" s="421" t="s">
        <v>570</v>
      </c>
      <c r="D834" s="422" t="s">
        <v>663</v>
      </c>
      <c r="E834" s="111">
        <v>14513</v>
      </c>
      <c r="F834" s="421" t="s">
        <v>1584</v>
      </c>
      <c r="G834" s="112">
        <v>1</v>
      </c>
      <c r="H834" s="112">
        <v>1</v>
      </c>
      <c r="I834" s="112">
        <v>1</v>
      </c>
      <c r="J834" s="112">
        <v>15</v>
      </c>
      <c r="K834" s="112">
        <v>15</v>
      </c>
      <c r="L834" s="112">
        <v>15</v>
      </c>
      <c r="M834" s="112">
        <v>7</v>
      </c>
      <c r="N834" s="112">
        <v>7</v>
      </c>
      <c r="O834" s="112">
        <v>6</v>
      </c>
    </row>
    <row r="835" spans="1:15" x14ac:dyDescent="0.2">
      <c r="A835" s="111">
        <v>863</v>
      </c>
      <c r="B835" s="421" t="s">
        <v>1585</v>
      </c>
      <c r="C835" s="421" t="s">
        <v>536</v>
      </c>
      <c r="D835" s="422" t="s">
        <v>666</v>
      </c>
      <c r="E835" s="111">
        <v>1449</v>
      </c>
      <c r="F835" s="421" t="s">
        <v>1465</v>
      </c>
    </row>
    <row r="836" spans="1:15" x14ac:dyDescent="0.2">
      <c r="A836" s="111">
        <v>864</v>
      </c>
      <c r="B836" s="421" t="s">
        <v>1586</v>
      </c>
      <c r="C836" s="421" t="s">
        <v>501</v>
      </c>
      <c r="D836" s="422" t="s">
        <v>666</v>
      </c>
      <c r="F836" s="421" t="s">
        <v>1587</v>
      </c>
      <c r="G836" s="112">
        <v>1</v>
      </c>
      <c r="H836" s="112">
        <v>1</v>
      </c>
      <c r="I836" s="112">
        <v>1</v>
      </c>
    </row>
    <row r="837" spans="1:15" x14ac:dyDescent="0.2">
      <c r="A837" s="111">
        <v>865</v>
      </c>
      <c r="B837" s="421" t="s">
        <v>112</v>
      </c>
      <c r="C837" s="421" t="s">
        <v>514</v>
      </c>
      <c r="D837" s="422" t="s">
        <v>663</v>
      </c>
      <c r="E837" s="111">
        <v>14520</v>
      </c>
      <c r="F837" s="421" t="s">
        <v>1588</v>
      </c>
      <c r="G837" s="112">
        <v>1</v>
      </c>
      <c r="H837" s="112">
        <v>1</v>
      </c>
      <c r="I837" s="112">
        <v>1</v>
      </c>
      <c r="J837" s="112">
        <v>1</v>
      </c>
      <c r="K837" s="112">
        <v>1</v>
      </c>
      <c r="L837" s="112">
        <v>1</v>
      </c>
      <c r="O837" s="112">
        <v>1</v>
      </c>
    </row>
    <row r="838" spans="1:15" x14ac:dyDescent="0.2">
      <c r="A838" s="111">
        <v>866</v>
      </c>
      <c r="B838" s="421" t="s">
        <v>1589</v>
      </c>
      <c r="C838" s="421" t="s">
        <v>532</v>
      </c>
      <c r="D838" s="422" t="s">
        <v>666</v>
      </c>
      <c r="F838" s="421" t="s">
        <v>1590</v>
      </c>
    </row>
    <row r="839" spans="1:15" x14ac:dyDescent="0.2">
      <c r="A839" s="111">
        <v>867</v>
      </c>
      <c r="B839" s="421" t="s">
        <v>416</v>
      </c>
      <c r="C839" s="421" t="s">
        <v>506</v>
      </c>
      <c r="D839" s="422" t="s">
        <v>663</v>
      </c>
      <c r="F839" s="421" t="s">
        <v>1591</v>
      </c>
      <c r="G839" s="112">
        <v>1</v>
      </c>
      <c r="H839" s="112">
        <v>1</v>
      </c>
      <c r="I839" s="112">
        <v>1</v>
      </c>
    </row>
    <row r="840" spans="1:15" x14ac:dyDescent="0.2">
      <c r="A840" s="111">
        <v>868</v>
      </c>
      <c r="B840" s="421" t="s">
        <v>1592</v>
      </c>
      <c r="C840" s="421" t="s">
        <v>506</v>
      </c>
      <c r="D840" s="422" t="s">
        <v>663</v>
      </c>
      <c r="E840" s="111">
        <v>14521</v>
      </c>
      <c r="F840" s="421" t="s">
        <v>1593</v>
      </c>
    </row>
    <row r="841" spans="1:15" x14ac:dyDescent="0.2">
      <c r="A841" s="111">
        <v>869</v>
      </c>
      <c r="B841" s="421" t="s">
        <v>1594</v>
      </c>
      <c r="C841" s="421" t="s">
        <v>501</v>
      </c>
      <c r="D841" s="422" t="s">
        <v>666</v>
      </c>
      <c r="E841" s="111">
        <v>14808</v>
      </c>
      <c r="F841" s="421" t="s">
        <v>1595</v>
      </c>
      <c r="G841" s="112">
        <v>1</v>
      </c>
      <c r="H841" s="112">
        <v>1</v>
      </c>
      <c r="I841" s="112">
        <v>1</v>
      </c>
    </row>
    <row r="842" spans="1:15" x14ac:dyDescent="0.2">
      <c r="A842" s="111">
        <v>870</v>
      </c>
      <c r="B842" s="421" t="s">
        <v>362</v>
      </c>
      <c r="C842" s="421" t="s">
        <v>501</v>
      </c>
      <c r="D842" s="422" t="s">
        <v>663</v>
      </c>
      <c r="E842" s="111">
        <v>14522</v>
      </c>
      <c r="F842" s="421" t="s">
        <v>1596</v>
      </c>
    </row>
    <row r="843" spans="1:15" x14ac:dyDescent="0.2">
      <c r="A843" s="111">
        <v>871</v>
      </c>
      <c r="B843" s="421" t="s">
        <v>1597</v>
      </c>
      <c r="C843" s="421" t="s">
        <v>506</v>
      </c>
      <c r="D843" s="422" t="s">
        <v>663</v>
      </c>
      <c r="E843" s="111">
        <v>14523</v>
      </c>
      <c r="F843" s="421" t="s">
        <v>1598</v>
      </c>
    </row>
    <row r="844" spans="1:15" x14ac:dyDescent="0.2">
      <c r="A844" s="111">
        <v>872</v>
      </c>
      <c r="B844" s="421" t="s">
        <v>1599</v>
      </c>
      <c r="C844" s="421" t="s">
        <v>506</v>
      </c>
      <c r="D844" s="422" t="s">
        <v>666</v>
      </c>
      <c r="E844" s="111">
        <v>14523</v>
      </c>
      <c r="F844" s="421" t="s">
        <v>1598</v>
      </c>
    </row>
    <row r="845" spans="1:15" x14ac:dyDescent="0.2">
      <c r="A845" s="111">
        <v>873</v>
      </c>
      <c r="B845" s="421" t="s">
        <v>1600</v>
      </c>
      <c r="C845" s="421" t="s">
        <v>503</v>
      </c>
      <c r="D845" s="422" t="s">
        <v>666</v>
      </c>
      <c r="E845" s="111">
        <v>14100</v>
      </c>
      <c r="F845" s="421" t="s">
        <v>1038</v>
      </c>
      <c r="G845" s="112">
        <v>1</v>
      </c>
      <c r="H845" s="112">
        <v>1</v>
      </c>
      <c r="I845" s="112">
        <v>1</v>
      </c>
    </row>
    <row r="846" spans="1:15" x14ac:dyDescent="0.2">
      <c r="A846" s="111">
        <v>874</v>
      </c>
      <c r="B846" s="421" t="s">
        <v>1455</v>
      </c>
      <c r="C846" s="421" t="s">
        <v>501</v>
      </c>
      <c r="D846" s="422" t="s">
        <v>666</v>
      </c>
      <c r="E846" s="111">
        <v>14496</v>
      </c>
      <c r="F846" s="421" t="s">
        <v>1601</v>
      </c>
      <c r="G846" s="112">
        <v>1</v>
      </c>
      <c r="H846" s="112">
        <v>1</v>
      </c>
      <c r="I846" s="112">
        <v>1</v>
      </c>
      <c r="J846" s="112">
        <v>1</v>
      </c>
      <c r="K846" s="112">
        <v>1</v>
      </c>
    </row>
    <row r="847" spans="1:15" x14ac:dyDescent="0.2">
      <c r="A847" s="111">
        <v>875</v>
      </c>
      <c r="B847" s="421" t="s">
        <v>1359</v>
      </c>
      <c r="C847" s="421" t="s">
        <v>501</v>
      </c>
      <c r="D847" s="422" t="s">
        <v>663</v>
      </c>
      <c r="E847" s="111">
        <v>14496</v>
      </c>
      <c r="F847" s="421" t="s">
        <v>1601</v>
      </c>
      <c r="G847" s="112">
        <v>1</v>
      </c>
      <c r="H847" s="112">
        <v>1</v>
      </c>
      <c r="I847" s="112">
        <v>1</v>
      </c>
      <c r="J847" s="112">
        <v>1</v>
      </c>
      <c r="L847" s="112">
        <v>1</v>
      </c>
      <c r="M847" s="112">
        <v>1</v>
      </c>
    </row>
    <row r="848" spans="1:15" x14ac:dyDescent="0.2">
      <c r="A848" s="111">
        <v>876</v>
      </c>
      <c r="B848" s="421" t="s">
        <v>1602</v>
      </c>
      <c r="C848" s="421" t="s">
        <v>532</v>
      </c>
      <c r="D848" s="422" t="s">
        <v>663</v>
      </c>
      <c r="E848" s="111">
        <v>14582</v>
      </c>
      <c r="F848" s="421" t="s">
        <v>1603</v>
      </c>
      <c r="G848" s="112">
        <v>1</v>
      </c>
      <c r="H848" s="112">
        <v>1</v>
      </c>
      <c r="I848" s="112">
        <v>1</v>
      </c>
      <c r="J848" s="112">
        <v>1</v>
      </c>
      <c r="K848" s="112">
        <v>1</v>
      </c>
      <c r="L848" s="112">
        <v>1</v>
      </c>
    </row>
    <row r="849" spans="1:15" x14ac:dyDescent="0.2">
      <c r="A849" s="111">
        <v>877</v>
      </c>
      <c r="B849" s="421" t="s">
        <v>1604</v>
      </c>
      <c r="C849" s="421" t="s">
        <v>507</v>
      </c>
      <c r="D849" s="422" t="s">
        <v>666</v>
      </c>
      <c r="E849" s="111">
        <v>14525</v>
      </c>
      <c r="F849" s="421" t="s">
        <v>1605</v>
      </c>
    </row>
    <row r="850" spans="1:15" x14ac:dyDescent="0.2">
      <c r="A850" s="111">
        <v>878</v>
      </c>
      <c r="B850" s="421" t="s">
        <v>1606</v>
      </c>
      <c r="C850" s="421" t="s">
        <v>502</v>
      </c>
      <c r="D850" s="422" t="s">
        <v>1607</v>
      </c>
      <c r="E850" s="111">
        <v>14526</v>
      </c>
      <c r="F850" s="421" t="s">
        <v>1608</v>
      </c>
    </row>
    <row r="851" spans="1:15" x14ac:dyDescent="0.2">
      <c r="A851" s="111">
        <v>879</v>
      </c>
      <c r="B851" s="421" t="s">
        <v>1609</v>
      </c>
      <c r="C851" s="421" t="s">
        <v>556</v>
      </c>
      <c r="D851" s="422" t="s">
        <v>663</v>
      </c>
      <c r="E851" s="111">
        <v>14262</v>
      </c>
      <c r="F851" s="421" t="s">
        <v>4758</v>
      </c>
      <c r="G851" s="112">
        <v>1</v>
      </c>
      <c r="H851" s="112">
        <v>1</v>
      </c>
      <c r="I851" s="112">
        <v>1</v>
      </c>
      <c r="J851" s="112">
        <v>13</v>
      </c>
      <c r="K851" s="112">
        <v>13</v>
      </c>
      <c r="L851" s="112">
        <v>13</v>
      </c>
      <c r="M851" s="112">
        <v>11</v>
      </c>
      <c r="N851" s="112">
        <v>10</v>
      </c>
      <c r="O851" s="112">
        <v>10</v>
      </c>
    </row>
    <row r="852" spans="1:15" x14ac:dyDescent="0.2">
      <c r="A852" s="111">
        <v>880</v>
      </c>
      <c r="B852" s="421" t="s">
        <v>1610</v>
      </c>
      <c r="C852" s="421" t="s">
        <v>577</v>
      </c>
      <c r="D852" s="422" t="s">
        <v>666</v>
      </c>
      <c r="E852" s="111">
        <v>14529</v>
      </c>
      <c r="F852" s="421" t="s">
        <v>1611</v>
      </c>
      <c r="G852" s="112">
        <v>2</v>
      </c>
      <c r="H852" s="112">
        <v>1</v>
      </c>
      <c r="I852" s="112">
        <v>2</v>
      </c>
      <c r="J852" s="112">
        <v>2</v>
      </c>
      <c r="K852" s="112">
        <v>1</v>
      </c>
      <c r="L852" s="112">
        <v>3</v>
      </c>
      <c r="N852" s="112">
        <v>1</v>
      </c>
      <c r="O852" s="112">
        <v>2</v>
      </c>
    </row>
    <row r="853" spans="1:15" x14ac:dyDescent="0.2">
      <c r="A853" s="111">
        <v>881</v>
      </c>
      <c r="B853" s="421" t="s">
        <v>1612</v>
      </c>
      <c r="C853" s="421" t="s">
        <v>501</v>
      </c>
      <c r="D853" s="422" t="s">
        <v>666</v>
      </c>
      <c r="E853" s="111">
        <v>1416</v>
      </c>
      <c r="F853" s="421" t="s">
        <v>4071</v>
      </c>
      <c r="G853" s="112">
        <v>1</v>
      </c>
      <c r="H853" s="112">
        <v>1</v>
      </c>
      <c r="I853" s="112">
        <v>1</v>
      </c>
      <c r="J853" s="112">
        <v>10</v>
      </c>
      <c r="K853" s="112">
        <v>14</v>
      </c>
      <c r="L853" s="112">
        <v>9</v>
      </c>
      <c r="M853" s="112">
        <v>6</v>
      </c>
      <c r="N853" s="112">
        <v>3</v>
      </c>
      <c r="O853" s="112">
        <v>4</v>
      </c>
    </row>
    <row r="854" spans="1:15" x14ac:dyDescent="0.2">
      <c r="A854" s="111">
        <v>882</v>
      </c>
      <c r="B854" s="421" t="s">
        <v>1613</v>
      </c>
      <c r="C854" s="421" t="s">
        <v>502</v>
      </c>
      <c r="D854" s="422" t="s">
        <v>663</v>
      </c>
      <c r="E854" s="111">
        <v>14192</v>
      </c>
      <c r="F854" s="421" t="s">
        <v>1614</v>
      </c>
      <c r="G854" s="112">
        <v>1</v>
      </c>
    </row>
    <row r="855" spans="1:15" x14ac:dyDescent="0.2">
      <c r="A855" s="111">
        <v>883</v>
      </c>
      <c r="B855" s="421" t="s">
        <v>237</v>
      </c>
      <c r="C855" s="421" t="s">
        <v>1615</v>
      </c>
      <c r="D855" s="422" t="s">
        <v>663</v>
      </c>
      <c r="E855" s="111">
        <v>15535</v>
      </c>
      <c r="F855" s="421" t="s">
        <v>1616</v>
      </c>
      <c r="G855" s="112">
        <v>1</v>
      </c>
      <c r="H855" s="112">
        <v>1</v>
      </c>
      <c r="I855" s="112">
        <v>1</v>
      </c>
      <c r="J855" s="112">
        <v>4</v>
      </c>
      <c r="K855" s="112">
        <v>4</v>
      </c>
      <c r="L855" s="112">
        <v>3</v>
      </c>
      <c r="M855" s="112">
        <v>3</v>
      </c>
      <c r="N855" s="112">
        <v>2</v>
      </c>
    </row>
    <row r="856" spans="1:15" x14ac:dyDescent="0.2">
      <c r="A856" s="111">
        <v>884</v>
      </c>
      <c r="B856" s="421" t="s">
        <v>1617</v>
      </c>
      <c r="C856" s="421" t="s">
        <v>501</v>
      </c>
      <c r="D856" s="422" t="s">
        <v>666</v>
      </c>
      <c r="E856" s="111">
        <v>14375</v>
      </c>
      <c r="F856" s="421" t="s">
        <v>1233</v>
      </c>
      <c r="G856" s="112">
        <v>2</v>
      </c>
      <c r="H856" s="112">
        <v>1</v>
      </c>
      <c r="I856" s="112">
        <v>1</v>
      </c>
      <c r="J856" s="112">
        <v>1</v>
      </c>
      <c r="K856" s="112">
        <v>1</v>
      </c>
      <c r="L856" s="112">
        <v>2</v>
      </c>
    </row>
    <row r="857" spans="1:15" x14ac:dyDescent="0.2">
      <c r="A857" s="111">
        <v>885</v>
      </c>
      <c r="B857" s="421" t="s">
        <v>1618</v>
      </c>
      <c r="C857" s="421" t="s">
        <v>513</v>
      </c>
      <c r="D857" s="422" t="s">
        <v>666</v>
      </c>
      <c r="E857" s="111">
        <v>14531</v>
      </c>
      <c r="F857" s="421" t="s">
        <v>1619</v>
      </c>
      <c r="G857" s="112">
        <v>1</v>
      </c>
      <c r="H857" s="112">
        <v>2</v>
      </c>
      <c r="I857" s="112">
        <v>3</v>
      </c>
      <c r="J857" s="112">
        <v>4</v>
      </c>
      <c r="K857" s="112">
        <v>3</v>
      </c>
      <c r="L857" s="112">
        <v>4</v>
      </c>
      <c r="M857" s="112">
        <v>1</v>
      </c>
    </row>
    <row r="858" spans="1:15" x14ac:dyDescent="0.2">
      <c r="A858" s="111">
        <v>886</v>
      </c>
      <c r="B858" s="421" t="s">
        <v>1620</v>
      </c>
      <c r="C858" s="421" t="s">
        <v>574</v>
      </c>
      <c r="D858" s="422" t="s">
        <v>666</v>
      </c>
      <c r="E858" s="111">
        <v>14198</v>
      </c>
      <c r="F858" s="421" t="s">
        <v>912</v>
      </c>
      <c r="G858" s="112">
        <v>1</v>
      </c>
      <c r="H858" s="112">
        <v>1</v>
      </c>
      <c r="I858" s="112">
        <v>1</v>
      </c>
      <c r="J858" s="112">
        <v>10</v>
      </c>
      <c r="K858" s="112">
        <v>11</v>
      </c>
      <c r="L858" s="112">
        <v>12</v>
      </c>
      <c r="M858" s="112">
        <v>14</v>
      </c>
      <c r="N858" s="112">
        <v>8</v>
      </c>
      <c r="O858" s="112">
        <v>8</v>
      </c>
    </row>
    <row r="859" spans="1:15" x14ac:dyDescent="0.2">
      <c r="A859" s="111">
        <v>887</v>
      </c>
      <c r="B859" s="421" t="s">
        <v>44</v>
      </c>
      <c r="C859" s="421" t="s">
        <v>501</v>
      </c>
      <c r="D859" s="422" t="s">
        <v>663</v>
      </c>
      <c r="E859" s="111">
        <v>14484</v>
      </c>
      <c r="F859" s="421" t="s">
        <v>1468</v>
      </c>
      <c r="G859" s="112">
        <v>1</v>
      </c>
      <c r="H859" s="112">
        <v>1</v>
      </c>
      <c r="I859" s="112">
        <v>1</v>
      </c>
      <c r="K859" s="112">
        <v>1</v>
      </c>
    </row>
    <row r="860" spans="1:15" x14ac:dyDescent="0.2">
      <c r="A860" s="111">
        <v>888</v>
      </c>
      <c r="B860" s="421" t="s">
        <v>461</v>
      </c>
      <c r="C860" s="421" t="s">
        <v>502</v>
      </c>
      <c r="D860" s="422" t="s">
        <v>663</v>
      </c>
      <c r="E860" s="111">
        <v>14101</v>
      </c>
      <c r="F860" s="421" t="s">
        <v>1621</v>
      </c>
      <c r="G860" s="112">
        <v>1</v>
      </c>
      <c r="H860" s="112">
        <v>1</v>
      </c>
      <c r="I860" s="112">
        <v>1</v>
      </c>
      <c r="K860" s="112">
        <v>1</v>
      </c>
    </row>
    <row r="861" spans="1:15" x14ac:dyDescent="0.2">
      <c r="A861" s="111">
        <v>889</v>
      </c>
      <c r="B861" s="421" t="s">
        <v>1622</v>
      </c>
      <c r="C861" s="421" t="s">
        <v>530</v>
      </c>
      <c r="D861" s="422" t="s">
        <v>666</v>
      </c>
      <c r="E861" s="111">
        <v>14447</v>
      </c>
      <c r="F861" s="421" t="s">
        <v>1623</v>
      </c>
      <c r="G861" s="112">
        <v>1</v>
      </c>
      <c r="H861" s="112">
        <v>1</v>
      </c>
      <c r="I861" s="112">
        <v>1</v>
      </c>
      <c r="J861" s="112">
        <v>1</v>
      </c>
      <c r="K861" s="112">
        <v>1</v>
      </c>
      <c r="L861" s="112">
        <v>1</v>
      </c>
      <c r="M861" s="112">
        <v>2</v>
      </c>
    </row>
    <row r="862" spans="1:15" x14ac:dyDescent="0.2">
      <c r="A862" s="111">
        <v>891</v>
      </c>
      <c r="B862" s="421" t="s">
        <v>1079</v>
      </c>
      <c r="C862" s="421" t="s">
        <v>1419</v>
      </c>
      <c r="D862" s="422" t="s">
        <v>663</v>
      </c>
      <c r="E862" s="111">
        <v>14372</v>
      </c>
      <c r="F862" s="421" t="s">
        <v>1239</v>
      </c>
    </row>
    <row r="863" spans="1:15" x14ac:dyDescent="0.2">
      <c r="A863" s="111">
        <v>892</v>
      </c>
      <c r="B863" s="421" t="s">
        <v>1624</v>
      </c>
      <c r="C863" s="421" t="s">
        <v>1625</v>
      </c>
      <c r="D863" s="422" t="s">
        <v>663</v>
      </c>
      <c r="E863" s="111">
        <v>14533</v>
      </c>
      <c r="F863" s="421" t="s">
        <v>1626</v>
      </c>
    </row>
    <row r="864" spans="1:15" x14ac:dyDescent="0.2">
      <c r="A864" s="111">
        <v>893</v>
      </c>
      <c r="B864" s="421" t="s">
        <v>1627</v>
      </c>
      <c r="C864" s="421" t="s">
        <v>592</v>
      </c>
      <c r="D864" s="422" t="s">
        <v>663</v>
      </c>
      <c r="E864" s="111">
        <v>1440</v>
      </c>
      <c r="F864" s="421" t="s">
        <v>1026</v>
      </c>
      <c r="G864" s="112">
        <v>1</v>
      </c>
      <c r="H864" s="112">
        <v>2</v>
      </c>
      <c r="I864" s="112">
        <v>2</v>
      </c>
      <c r="J864" s="112">
        <v>9</v>
      </c>
      <c r="K864" s="112">
        <v>10</v>
      </c>
      <c r="L864" s="112">
        <v>8</v>
      </c>
      <c r="M864" s="112">
        <v>8</v>
      </c>
      <c r="N864" s="112">
        <v>5</v>
      </c>
      <c r="O864" s="112">
        <v>6</v>
      </c>
    </row>
    <row r="865" spans="1:15" x14ac:dyDescent="0.2">
      <c r="A865" s="111">
        <v>894</v>
      </c>
      <c r="B865" s="421" t="s">
        <v>1628</v>
      </c>
      <c r="C865" s="421" t="s">
        <v>501</v>
      </c>
      <c r="D865" s="422" t="s">
        <v>666</v>
      </c>
      <c r="E865" s="111">
        <v>14530</v>
      </c>
      <c r="F865" s="421" t="s">
        <v>1629</v>
      </c>
      <c r="G865" s="112">
        <v>1</v>
      </c>
      <c r="H865" s="112">
        <v>1</v>
      </c>
      <c r="I865" s="112">
        <v>1</v>
      </c>
    </row>
    <row r="866" spans="1:15" x14ac:dyDescent="0.2">
      <c r="A866" s="111">
        <v>895</v>
      </c>
      <c r="B866" s="421" t="s">
        <v>1630</v>
      </c>
      <c r="C866" s="421" t="s">
        <v>1450</v>
      </c>
      <c r="D866" s="422" t="s">
        <v>663</v>
      </c>
      <c r="E866" s="111">
        <v>14679</v>
      </c>
      <c r="F866" s="421" t="s">
        <v>1631</v>
      </c>
      <c r="G866" s="112">
        <v>1</v>
      </c>
      <c r="H866" s="112">
        <v>1</v>
      </c>
      <c r="I866" s="112">
        <v>1</v>
      </c>
      <c r="J866" s="112">
        <v>1</v>
      </c>
    </row>
    <row r="867" spans="1:15" x14ac:dyDescent="0.2">
      <c r="A867" s="111">
        <v>896</v>
      </c>
      <c r="B867" s="421" t="s">
        <v>1632</v>
      </c>
      <c r="C867" s="421" t="s">
        <v>515</v>
      </c>
      <c r="D867" s="422" t="s">
        <v>663</v>
      </c>
      <c r="E867" s="111">
        <v>14351</v>
      </c>
      <c r="F867" s="421" t="s">
        <v>683</v>
      </c>
      <c r="G867" s="112">
        <v>1</v>
      </c>
      <c r="H867" s="112">
        <v>1</v>
      </c>
      <c r="I867" s="112">
        <v>1</v>
      </c>
    </row>
    <row r="868" spans="1:15" x14ac:dyDescent="0.2">
      <c r="A868" s="111">
        <v>897</v>
      </c>
      <c r="B868" s="421" t="s">
        <v>1633</v>
      </c>
      <c r="C868" s="421" t="s">
        <v>515</v>
      </c>
      <c r="D868" s="422" t="s">
        <v>663</v>
      </c>
      <c r="E868" s="111">
        <v>14351</v>
      </c>
      <c r="F868" s="421" t="s">
        <v>683</v>
      </c>
      <c r="G868" s="112">
        <v>1</v>
      </c>
      <c r="H868" s="112">
        <v>1</v>
      </c>
      <c r="I868" s="112">
        <v>1</v>
      </c>
      <c r="J868" s="112">
        <v>4</v>
      </c>
      <c r="K868" s="112">
        <v>6</v>
      </c>
      <c r="L868" s="112">
        <v>5</v>
      </c>
      <c r="M868" s="112">
        <v>2</v>
      </c>
    </row>
    <row r="869" spans="1:15" x14ac:dyDescent="0.2">
      <c r="A869" s="111">
        <v>898</v>
      </c>
      <c r="B869" s="421" t="s">
        <v>1583</v>
      </c>
      <c r="C869" s="421" t="s">
        <v>543</v>
      </c>
      <c r="D869" s="422" t="s">
        <v>663</v>
      </c>
      <c r="E869" s="111">
        <v>1415</v>
      </c>
      <c r="F869" s="421" t="s">
        <v>767</v>
      </c>
    </row>
    <row r="870" spans="1:15" x14ac:dyDescent="0.2">
      <c r="A870" s="111">
        <v>899</v>
      </c>
      <c r="B870" s="421" t="s">
        <v>1634</v>
      </c>
      <c r="C870" s="421" t="s">
        <v>543</v>
      </c>
      <c r="D870" s="422" t="s">
        <v>663</v>
      </c>
      <c r="E870" s="111">
        <v>1415</v>
      </c>
      <c r="F870" s="421" t="s">
        <v>767</v>
      </c>
    </row>
    <row r="871" spans="1:15" x14ac:dyDescent="0.2">
      <c r="A871" s="111">
        <v>900</v>
      </c>
      <c r="B871" s="421" t="s">
        <v>1635</v>
      </c>
      <c r="C871" s="421" t="s">
        <v>530</v>
      </c>
      <c r="D871" s="422" t="s">
        <v>663</v>
      </c>
      <c r="E871" s="111">
        <v>14532</v>
      </c>
      <c r="F871" s="421" t="s">
        <v>1636</v>
      </c>
      <c r="G871" s="112">
        <v>1</v>
      </c>
      <c r="H871" s="112">
        <v>1</v>
      </c>
      <c r="I871" s="112">
        <v>1</v>
      </c>
      <c r="J871" s="112">
        <v>2</v>
      </c>
      <c r="K871" s="112">
        <v>2</v>
      </c>
      <c r="L871" s="112">
        <v>3</v>
      </c>
      <c r="N871" s="112">
        <v>1</v>
      </c>
      <c r="O871" s="112">
        <v>2</v>
      </c>
    </row>
    <row r="872" spans="1:15" x14ac:dyDescent="0.2">
      <c r="A872" s="111">
        <v>901</v>
      </c>
      <c r="B872" s="421" t="s">
        <v>123</v>
      </c>
      <c r="C872" s="421" t="s">
        <v>502</v>
      </c>
      <c r="D872" s="422" t="s">
        <v>663</v>
      </c>
      <c r="E872" s="111">
        <v>14532</v>
      </c>
      <c r="F872" s="421" t="s">
        <v>1636</v>
      </c>
      <c r="G872" s="112">
        <v>1</v>
      </c>
      <c r="H872" s="112">
        <v>1</v>
      </c>
      <c r="I872" s="112">
        <v>1</v>
      </c>
    </row>
    <row r="873" spans="1:15" x14ac:dyDescent="0.2">
      <c r="A873" s="111">
        <v>902</v>
      </c>
      <c r="B873" s="421" t="s">
        <v>1637</v>
      </c>
      <c r="C873" s="421" t="s">
        <v>502</v>
      </c>
      <c r="D873" s="422" t="s">
        <v>666</v>
      </c>
      <c r="E873" s="111">
        <v>14532</v>
      </c>
      <c r="F873" s="421" t="s">
        <v>1636</v>
      </c>
      <c r="G873" s="112">
        <v>1</v>
      </c>
      <c r="H873" s="112">
        <v>1</v>
      </c>
      <c r="I873" s="112">
        <v>1</v>
      </c>
    </row>
    <row r="874" spans="1:15" x14ac:dyDescent="0.2">
      <c r="A874" s="111">
        <v>903</v>
      </c>
      <c r="B874" s="421" t="s">
        <v>1638</v>
      </c>
      <c r="C874" s="421" t="s">
        <v>563</v>
      </c>
      <c r="D874" s="422" t="s">
        <v>663</v>
      </c>
      <c r="E874" s="111">
        <v>14388</v>
      </c>
      <c r="F874" s="421" t="s">
        <v>982</v>
      </c>
      <c r="G874" s="112">
        <v>2</v>
      </c>
      <c r="H874" s="112">
        <v>2</v>
      </c>
      <c r="I874" s="112">
        <v>2</v>
      </c>
      <c r="J874" s="112">
        <v>8</v>
      </c>
      <c r="K874" s="112">
        <v>7</v>
      </c>
      <c r="L874" s="112">
        <v>7</v>
      </c>
      <c r="M874" s="112">
        <v>3</v>
      </c>
      <c r="N874" s="112">
        <v>5</v>
      </c>
      <c r="O874" s="112">
        <v>3</v>
      </c>
    </row>
    <row r="875" spans="1:15" x14ac:dyDescent="0.2">
      <c r="A875" s="111">
        <v>904</v>
      </c>
      <c r="B875" s="421" t="s">
        <v>1639</v>
      </c>
      <c r="C875" s="421" t="s">
        <v>516</v>
      </c>
      <c r="D875" s="422" t="s">
        <v>666</v>
      </c>
      <c r="E875" s="111">
        <v>14536</v>
      </c>
      <c r="F875" s="421" t="s">
        <v>1640</v>
      </c>
      <c r="G875" s="112">
        <v>1</v>
      </c>
      <c r="H875" s="112">
        <v>1</v>
      </c>
      <c r="I875" s="112">
        <v>1</v>
      </c>
      <c r="J875" s="112">
        <v>1</v>
      </c>
      <c r="M875" s="112">
        <v>1</v>
      </c>
    </row>
    <row r="876" spans="1:15" x14ac:dyDescent="0.2">
      <c r="A876" s="111">
        <v>905</v>
      </c>
      <c r="B876" s="421" t="s">
        <v>1641</v>
      </c>
      <c r="C876" s="421" t="s">
        <v>503</v>
      </c>
      <c r="D876" s="422" t="s">
        <v>666</v>
      </c>
      <c r="E876" s="111">
        <v>14164</v>
      </c>
      <c r="F876" s="421" t="s">
        <v>875</v>
      </c>
      <c r="G876" s="112">
        <v>1</v>
      </c>
      <c r="H876" s="112">
        <v>1</v>
      </c>
      <c r="I876" s="112">
        <v>1</v>
      </c>
      <c r="L876" s="112">
        <v>1</v>
      </c>
    </row>
    <row r="877" spans="1:15" x14ac:dyDescent="0.2">
      <c r="A877" s="111">
        <v>906</v>
      </c>
      <c r="B877" s="421" t="s">
        <v>1642</v>
      </c>
      <c r="C877" s="421" t="s">
        <v>555</v>
      </c>
      <c r="D877" s="422" t="s">
        <v>663</v>
      </c>
      <c r="E877" s="111">
        <v>14537</v>
      </c>
      <c r="F877" s="421" t="s">
        <v>16197</v>
      </c>
    </row>
    <row r="878" spans="1:15" x14ac:dyDescent="0.2">
      <c r="A878" s="111">
        <v>907</v>
      </c>
      <c r="B878" s="421" t="s">
        <v>1643</v>
      </c>
      <c r="C878" s="421" t="s">
        <v>1644</v>
      </c>
      <c r="D878" s="422" t="s">
        <v>663</v>
      </c>
      <c r="F878" s="421" t="s">
        <v>1645</v>
      </c>
      <c r="G878" s="112">
        <v>1</v>
      </c>
      <c r="H878" s="112">
        <v>1</v>
      </c>
      <c r="I878" s="112">
        <v>1</v>
      </c>
      <c r="J878" s="112">
        <v>1</v>
      </c>
      <c r="K878" s="112">
        <v>1</v>
      </c>
      <c r="L878" s="112">
        <v>1</v>
      </c>
    </row>
    <row r="879" spans="1:15" x14ac:dyDescent="0.2">
      <c r="A879" s="111">
        <v>908</v>
      </c>
      <c r="B879" s="421" t="s">
        <v>1646</v>
      </c>
      <c r="C879" s="421" t="s">
        <v>1644</v>
      </c>
      <c r="D879" s="422" t="s">
        <v>663</v>
      </c>
      <c r="F879" s="421" t="s">
        <v>1645</v>
      </c>
      <c r="G879" s="112">
        <v>1</v>
      </c>
      <c r="H879" s="112">
        <v>1</v>
      </c>
    </row>
    <row r="880" spans="1:15" x14ac:dyDescent="0.2">
      <c r="A880" s="111">
        <v>909</v>
      </c>
      <c r="B880" s="421" t="s">
        <v>1647</v>
      </c>
      <c r="C880" s="421" t="s">
        <v>501</v>
      </c>
      <c r="D880" s="422" t="s">
        <v>666</v>
      </c>
      <c r="E880" s="111">
        <v>14542</v>
      </c>
      <c r="F880" s="421" t="s">
        <v>1648</v>
      </c>
    </row>
    <row r="881" spans="1:15" x14ac:dyDescent="0.2">
      <c r="A881" s="111">
        <v>910</v>
      </c>
      <c r="B881" s="421" t="s">
        <v>1649</v>
      </c>
      <c r="C881" s="421" t="s">
        <v>501</v>
      </c>
      <c r="D881" s="422" t="s">
        <v>663</v>
      </c>
      <c r="E881" s="111">
        <v>14338</v>
      </c>
      <c r="F881" s="421" t="s">
        <v>668</v>
      </c>
    </row>
    <row r="882" spans="1:15" x14ac:dyDescent="0.2">
      <c r="A882" s="111">
        <v>911</v>
      </c>
      <c r="B882" s="421" t="s">
        <v>1650</v>
      </c>
      <c r="C882" s="421" t="s">
        <v>1651</v>
      </c>
      <c r="D882" s="422" t="s">
        <v>663</v>
      </c>
      <c r="E882" s="111">
        <v>14338</v>
      </c>
      <c r="F882" s="421" t="s">
        <v>668</v>
      </c>
    </row>
    <row r="883" spans="1:15" x14ac:dyDescent="0.2">
      <c r="A883" s="111">
        <v>912</v>
      </c>
      <c r="B883" s="421" t="s">
        <v>1652</v>
      </c>
      <c r="C883" s="421" t="s">
        <v>540</v>
      </c>
      <c r="D883" s="422" t="s">
        <v>663</v>
      </c>
      <c r="E883" s="111">
        <v>14300</v>
      </c>
      <c r="F883" s="421" t="s">
        <v>1015</v>
      </c>
      <c r="G883" s="112">
        <v>1</v>
      </c>
      <c r="H883" s="112">
        <v>1</v>
      </c>
      <c r="I883" s="112">
        <v>1</v>
      </c>
      <c r="J883" s="112">
        <v>10</v>
      </c>
      <c r="K883" s="112">
        <v>9</v>
      </c>
      <c r="L883" s="112">
        <v>9</v>
      </c>
      <c r="M883" s="112">
        <v>5</v>
      </c>
      <c r="N883" s="112">
        <v>6</v>
      </c>
      <c r="O883" s="112">
        <v>5</v>
      </c>
    </row>
    <row r="884" spans="1:15" x14ac:dyDescent="0.2">
      <c r="A884" s="111">
        <v>913</v>
      </c>
      <c r="B884" s="421" t="s">
        <v>1653</v>
      </c>
      <c r="C884" s="421" t="s">
        <v>518</v>
      </c>
      <c r="D884" s="422" t="s">
        <v>663</v>
      </c>
      <c r="F884" s="421" t="s">
        <v>1654</v>
      </c>
      <c r="G884" s="112">
        <v>1</v>
      </c>
      <c r="H884" s="112">
        <v>1</v>
      </c>
      <c r="I884" s="112">
        <v>1</v>
      </c>
      <c r="J884" s="112">
        <v>1</v>
      </c>
      <c r="K884" s="112">
        <v>1</v>
      </c>
      <c r="L884" s="112">
        <v>1</v>
      </c>
    </row>
    <row r="885" spans="1:15" x14ac:dyDescent="0.2">
      <c r="A885" s="111">
        <v>914</v>
      </c>
      <c r="B885" s="421" t="s">
        <v>1655</v>
      </c>
      <c r="C885" s="421" t="s">
        <v>518</v>
      </c>
      <c r="D885" s="422" t="s">
        <v>666</v>
      </c>
      <c r="F885" s="421" t="s">
        <v>1654</v>
      </c>
      <c r="G885" s="112">
        <v>1</v>
      </c>
      <c r="H885" s="112">
        <v>1</v>
      </c>
      <c r="I885" s="112">
        <v>1</v>
      </c>
      <c r="J885" s="112">
        <v>1</v>
      </c>
      <c r="K885" s="112">
        <v>1</v>
      </c>
      <c r="L885" s="112">
        <v>1</v>
      </c>
      <c r="M885" s="112">
        <v>1</v>
      </c>
      <c r="O885" s="112">
        <v>1</v>
      </c>
    </row>
    <row r="886" spans="1:15" x14ac:dyDescent="0.2">
      <c r="A886" s="111">
        <v>915</v>
      </c>
      <c r="B886" s="421" t="s">
        <v>123</v>
      </c>
      <c r="C886" s="421" t="s">
        <v>501</v>
      </c>
      <c r="D886" s="422" t="s">
        <v>666</v>
      </c>
      <c r="F886" s="421" t="s">
        <v>1656</v>
      </c>
      <c r="G886" s="112">
        <v>1</v>
      </c>
      <c r="H886" s="112">
        <v>1</v>
      </c>
      <c r="I886" s="112">
        <v>1</v>
      </c>
      <c r="J886" s="112">
        <v>1</v>
      </c>
      <c r="K886" s="112">
        <v>1</v>
      </c>
      <c r="L886" s="112">
        <v>1</v>
      </c>
    </row>
    <row r="887" spans="1:15" x14ac:dyDescent="0.2">
      <c r="A887" s="111">
        <v>916</v>
      </c>
      <c r="B887" s="421" t="s">
        <v>1657</v>
      </c>
      <c r="C887" s="421" t="s">
        <v>516</v>
      </c>
      <c r="D887" s="422" t="s">
        <v>666</v>
      </c>
      <c r="E887" s="111">
        <v>14547</v>
      </c>
      <c r="F887" s="421" t="s">
        <v>1658</v>
      </c>
      <c r="G887" s="112">
        <v>1</v>
      </c>
      <c r="H887" s="112">
        <v>1</v>
      </c>
      <c r="I887" s="112">
        <v>1</v>
      </c>
      <c r="J887" s="112">
        <v>2</v>
      </c>
      <c r="K887" s="112">
        <v>1</v>
      </c>
      <c r="L887" s="112">
        <v>2</v>
      </c>
    </row>
    <row r="888" spans="1:15" x14ac:dyDescent="0.2">
      <c r="A888" s="111">
        <v>917</v>
      </c>
      <c r="B888" s="421" t="s">
        <v>1659</v>
      </c>
      <c r="C888" s="421" t="s">
        <v>1660</v>
      </c>
      <c r="D888" s="422" t="s">
        <v>663</v>
      </c>
      <c r="E888" s="111">
        <v>15682</v>
      </c>
      <c r="F888" s="421" t="s">
        <v>1661</v>
      </c>
      <c r="G888" s="112">
        <v>1</v>
      </c>
      <c r="H888" s="112">
        <v>1</v>
      </c>
      <c r="I888" s="112">
        <v>1</v>
      </c>
    </row>
    <row r="889" spans="1:15" x14ac:dyDescent="0.2">
      <c r="A889" s="111">
        <v>918</v>
      </c>
      <c r="B889" s="421" t="s">
        <v>155</v>
      </c>
      <c r="C889" s="421" t="s">
        <v>504</v>
      </c>
      <c r="D889" s="422" t="s">
        <v>663</v>
      </c>
      <c r="E889" s="111">
        <v>14549</v>
      </c>
      <c r="F889" s="421" t="s">
        <v>1662</v>
      </c>
    </row>
    <row r="890" spans="1:15" x14ac:dyDescent="0.2">
      <c r="A890" s="111">
        <v>919</v>
      </c>
      <c r="B890" s="421" t="s">
        <v>1663</v>
      </c>
      <c r="C890" s="421" t="s">
        <v>506</v>
      </c>
      <c r="D890" s="422" t="s">
        <v>666</v>
      </c>
      <c r="E890" s="111">
        <v>1463</v>
      </c>
      <c r="F890" s="421" t="s">
        <v>1664</v>
      </c>
    </row>
    <row r="891" spans="1:15" x14ac:dyDescent="0.2">
      <c r="A891" s="111">
        <v>920</v>
      </c>
      <c r="B891" s="421" t="s">
        <v>1665</v>
      </c>
      <c r="C891" s="421" t="s">
        <v>510</v>
      </c>
      <c r="D891" s="422" t="s">
        <v>663</v>
      </c>
      <c r="E891" s="111">
        <v>14555</v>
      </c>
      <c r="F891" s="421" t="s">
        <v>1666</v>
      </c>
      <c r="G891" s="112">
        <v>1</v>
      </c>
      <c r="H891" s="112">
        <v>1</v>
      </c>
    </row>
    <row r="892" spans="1:15" x14ac:dyDescent="0.2">
      <c r="A892" s="111">
        <v>921</v>
      </c>
      <c r="B892" s="421" t="s">
        <v>215</v>
      </c>
      <c r="C892" s="421" t="s">
        <v>510</v>
      </c>
      <c r="D892" s="422" t="s">
        <v>666</v>
      </c>
      <c r="E892" s="111">
        <v>14555</v>
      </c>
      <c r="F892" s="421" t="s">
        <v>1666</v>
      </c>
    </row>
    <row r="893" spans="1:15" x14ac:dyDescent="0.2">
      <c r="A893" s="111">
        <v>922</v>
      </c>
      <c r="B893" s="421" t="s">
        <v>1667</v>
      </c>
      <c r="C893" s="421" t="s">
        <v>513</v>
      </c>
      <c r="D893" s="422" t="s">
        <v>666</v>
      </c>
      <c r="E893" s="111">
        <v>14554</v>
      </c>
      <c r="F893" s="421" t="s">
        <v>1668</v>
      </c>
      <c r="G893" s="112">
        <v>2</v>
      </c>
      <c r="I893" s="112">
        <v>1</v>
      </c>
    </row>
    <row r="894" spans="1:15" x14ac:dyDescent="0.2">
      <c r="A894" s="111">
        <v>923</v>
      </c>
      <c r="B894" s="421" t="s">
        <v>1490</v>
      </c>
      <c r="C894" s="421" t="s">
        <v>547</v>
      </c>
      <c r="D894" s="422" t="s">
        <v>666</v>
      </c>
      <c r="E894" s="111">
        <v>14553</v>
      </c>
      <c r="F894" s="421" t="s">
        <v>1669</v>
      </c>
      <c r="G894" s="112">
        <v>1</v>
      </c>
      <c r="H894" s="112">
        <v>1</v>
      </c>
      <c r="I894" s="112">
        <v>1</v>
      </c>
      <c r="J894" s="112">
        <v>1</v>
      </c>
      <c r="K894" s="112">
        <v>1</v>
      </c>
      <c r="L894" s="112">
        <v>1</v>
      </c>
    </row>
    <row r="895" spans="1:15" x14ac:dyDescent="0.2">
      <c r="A895" s="111">
        <v>924</v>
      </c>
      <c r="B895" s="421" t="s">
        <v>1670</v>
      </c>
      <c r="C895" s="421" t="s">
        <v>518</v>
      </c>
      <c r="D895" s="422" t="s">
        <v>666</v>
      </c>
      <c r="E895" s="111">
        <v>14552</v>
      </c>
      <c r="F895" s="421" t="s">
        <v>1671</v>
      </c>
      <c r="G895" s="112">
        <v>1</v>
      </c>
      <c r="H895" s="112">
        <v>1</v>
      </c>
      <c r="I895" s="112">
        <v>1</v>
      </c>
    </row>
    <row r="896" spans="1:15" x14ac:dyDescent="0.2">
      <c r="A896" s="111">
        <v>925</v>
      </c>
      <c r="B896" s="421" t="s">
        <v>1672</v>
      </c>
      <c r="C896" s="421" t="s">
        <v>519</v>
      </c>
      <c r="D896" s="422" t="s">
        <v>666</v>
      </c>
      <c r="E896" s="111">
        <v>14551</v>
      </c>
      <c r="F896" s="421" t="s">
        <v>1673</v>
      </c>
    </row>
    <row r="897" spans="1:15" x14ac:dyDescent="0.2">
      <c r="A897" s="111">
        <v>926</v>
      </c>
      <c r="B897" s="421" t="s">
        <v>339</v>
      </c>
      <c r="C897" s="421" t="s">
        <v>1674</v>
      </c>
      <c r="D897" s="422" t="s">
        <v>666</v>
      </c>
      <c r="E897" s="111">
        <v>14548</v>
      </c>
      <c r="F897" s="421" t="s">
        <v>1675</v>
      </c>
      <c r="G897" s="112">
        <v>1</v>
      </c>
      <c r="H897" s="112">
        <v>1</v>
      </c>
      <c r="I897" s="112">
        <v>1</v>
      </c>
      <c r="J897" s="112">
        <v>7</v>
      </c>
      <c r="K897" s="112">
        <v>8</v>
      </c>
      <c r="L897" s="112">
        <v>7</v>
      </c>
      <c r="M897" s="112">
        <v>4</v>
      </c>
      <c r="N897" s="112">
        <v>4</v>
      </c>
      <c r="O897" s="112">
        <v>4</v>
      </c>
    </row>
    <row r="898" spans="1:15" x14ac:dyDescent="0.2">
      <c r="A898" s="111">
        <v>927</v>
      </c>
      <c r="B898" s="421" t="s">
        <v>181</v>
      </c>
      <c r="C898" s="421" t="s">
        <v>507</v>
      </c>
      <c r="D898" s="422" t="s">
        <v>666</v>
      </c>
      <c r="E898" s="111">
        <v>14127</v>
      </c>
      <c r="F898" s="421" t="s">
        <v>730</v>
      </c>
      <c r="G898" s="112">
        <v>2</v>
      </c>
      <c r="H898" s="112">
        <v>2</v>
      </c>
    </row>
    <row r="899" spans="1:15" x14ac:dyDescent="0.2">
      <c r="A899" s="111">
        <v>928</v>
      </c>
      <c r="B899" s="421" t="s">
        <v>1676</v>
      </c>
      <c r="C899" s="421" t="s">
        <v>513</v>
      </c>
      <c r="D899" s="422" t="s">
        <v>663</v>
      </c>
      <c r="E899" s="111">
        <v>14556</v>
      </c>
      <c r="F899" s="421" t="s">
        <v>1677</v>
      </c>
      <c r="G899" s="112">
        <v>2</v>
      </c>
      <c r="H899" s="112">
        <v>1</v>
      </c>
      <c r="I899" s="112">
        <v>2</v>
      </c>
      <c r="J899" s="112">
        <v>6</v>
      </c>
      <c r="K899" s="112">
        <v>6</v>
      </c>
      <c r="L899" s="112">
        <v>6</v>
      </c>
      <c r="M899" s="112">
        <v>4</v>
      </c>
      <c r="N899" s="112">
        <v>5</v>
      </c>
      <c r="O899" s="112">
        <v>6</v>
      </c>
    </row>
    <row r="900" spans="1:15" x14ac:dyDescent="0.2">
      <c r="A900" s="111">
        <v>929</v>
      </c>
      <c r="B900" s="421" t="s">
        <v>186</v>
      </c>
      <c r="C900" s="421" t="s">
        <v>513</v>
      </c>
      <c r="D900" s="422" t="s">
        <v>666</v>
      </c>
      <c r="E900" s="111">
        <v>14556</v>
      </c>
      <c r="F900" s="421" t="s">
        <v>1677</v>
      </c>
      <c r="G900" s="112">
        <v>1</v>
      </c>
      <c r="H900" s="112">
        <v>1</v>
      </c>
      <c r="I900" s="112">
        <v>1</v>
      </c>
      <c r="J900" s="112">
        <v>4</v>
      </c>
      <c r="K900" s="112">
        <v>3</v>
      </c>
      <c r="L900" s="112">
        <v>3</v>
      </c>
      <c r="M900" s="112">
        <v>1</v>
      </c>
      <c r="O900" s="112">
        <v>1</v>
      </c>
    </row>
    <row r="901" spans="1:15" x14ac:dyDescent="0.2">
      <c r="A901" s="111">
        <v>930</v>
      </c>
      <c r="B901" s="421" t="s">
        <v>1678</v>
      </c>
      <c r="C901" s="421" t="s">
        <v>503</v>
      </c>
      <c r="D901" s="422" t="s">
        <v>666</v>
      </c>
      <c r="E901" s="111">
        <v>14557</v>
      </c>
      <c r="F901" s="421" t="s">
        <v>1679</v>
      </c>
      <c r="G901" s="112">
        <v>1</v>
      </c>
      <c r="H901" s="112">
        <v>1</v>
      </c>
      <c r="I901" s="112">
        <v>1</v>
      </c>
    </row>
    <row r="902" spans="1:15" x14ac:dyDescent="0.2">
      <c r="A902" s="111">
        <v>931</v>
      </c>
      <c r="B902" s="421" t="s">
        <v>1680</v>
      </c>
      <c r="C902" s="421" t="s">
        <v>502</v>
      </c>
      <c r="D902" s="422" t="s">
        <v>666</v>
      </c>
      <c r="E902" s="111">
        <v>14534</v>
      </c>
      <c r="F902" s="421" t="s">
        <v>1747</v>
      </c>
      <c r="G902" s="112">
        <v>1</v>
      </c>
      <c r="H902" s="112">
        <v>1</v>
      </c>
      <c r="I902" s="112">
        <v>1</v>
      </c>
      <c r="J902" s="112">
        <v>2</v>
      </c>
      <c r="K902" s="112">
        <v>2</v>
      </c>
      <c r="L902" s="112">
        <v>2</v>
      </c>
      <c r="N902" s="112">
        <v>1</v>
      </c>
      <c r="O902" s="112">
        <v>2</v>
      </c>
    </row>
    <row r="903" spans="1:15" x14ac:dyDescent="0.2">
      <c r="A903" s="111">
        <v>932</v>
      </c>
      <c r="B903" s="421" t="s">
        <v>1681</v>
      </c>
      <c r="C903" s="421" t="s">
        <v>514</v>
      </c>
      <c r="D903" s="422" t="s">
        <v>666</v>
      </c>
      <c r="E903" s="111">
        <v>14534</v>
      </c>
      <c r="F903" s="421" t="s">
        <v>1747</v>
      </c>
      <c r="G903" s="112">
        <v>1</v>
      </c>
      <c r="H903" s="112">
        <v>1</v>
      </c>
      <c r="I903" s="112">
        <v>1</v>
      </c>
      <c r="L903" s="112">
        <v>1</v>
      </c>
    </row>
    <row r="904" spans="1:15" x14ac:dyDescent="0.2">
      <c r="A904" s="111">
        <v>933</v>
      </c>
      <c r="B904" s="421" t="s">
        <v>1682</v>
      </c>
      <c r="C904" s="421" t="s">
        <v>514</v>
      </c>
      <c r="D904" s="422" t="s">
        <v>663</v>
      </c>
      <c r="E904" s="111">
        <v>14558</v>
      </c>
      <c r="F904" s="421" t="s">
        <v>1683</v>
      </c>
      <c r="G904" s="112">
        <v>1</v>
      </c>
      <c r="H904" s="112">
        <v>1</v>
      </c>
      <c r="I904" s="112">
        <v>1</v>
      </c>
      <c r="J904" s="112">
        <v>5</v>
      </c>
      <c r="K904" s="112">
        <v>5</v>
      </c>
      <c r="L904" s="112">
        <v>5</v>
      </c>
      <c r="M904" s="112">
        <v>5</v>
      </c>
      <c r="N904" s="112">
        <v>7</v>
      </c>
      <c r="O904" s="112">
        <v>6</v>
      </c>
    </row>
    <row r="905" spans="1:15" x14ac:dyDescent="0.2">
      <c r="A905" s="111">
        <v>934</v>
      </c>
      <c r="B905" s="421" t="s">
        <v>1684</v>
      </c>
      <c r="C905" s="421" t="s">
        <v>514</v>
      </c>
      <c r="D905" s="422" t="s">
        <v>663</v>
      </c>
      <c r="E905" s="111">
        <v>14559</v>
      </c>
      <c r="F905" s="421" t="s">
        <v>1685</v>
      </c>
      <c r="G905" s="112">
        <v>1</v>
      </c>
      <c r="H905" s="112">
        <v>1</v>
      </c>
      <c r="I905" s="112">
        <v>1</v>
      </c>
      <c r="J905" s="112">
        <v>7</v>
      </c>
      <c r="K905" s="112">
        <v>6</v>
      </c>
      <c r="L905" s="112">
        <v>6</v>
      </c>
      <c r="M905" s="112">
        <v>4</v>
      </c>
      <c r="N905" s="112">
        <v>6</v>
      </c>
      <c r="O905" s="112">
        <v>6</v>
      </c>
    </row>
    <row r="906" spans="1:15" x14ac:dyDescent="0.2">
      <c r="A906" s="111">
        <v>935</v>
      </c>
      <c r="B906" s="421" t="s">
        <v>1686</v>
      </c>
      <c r="C906" s="421" t="s">
        <v>1687</v>
      </c>
      <c r="D906" s="422" t="s">
        <v>666</v>
      </c>
      <c r="E906" s="111">
        <v>14560</v>
      </c>
      <c r="F906" s="421" t="s">
        <v>1688</v>
      </c>
      <c r="G906" s="112">
        <v>2</v>
      </c>
      <c r="H906" s="112">
        <v>1</v>
      </c>
      <c r="I906" s="112">
        <v>1</v>
      </c>
      <c r="J906" s="112">
        <v>3</v>
      </c>
    </row>
    <row r="907" spans="1:15" x14ac:dyDescent="0.2">
      <c r="A907" s="111">
        <v>936</v>
      </c>
      <c r="B907" s="421" t="s">
        <v>1689</v>
      </c>
      <c r="C907" s="421" t="s">
        <v>1687</v>
      </c>
      <c r="D907" s="422" t="s">
        <v>666</v>
      </c>
      <c r="E907" s="111">
        <v>14560</v>
      </c>
      <c r="F907" s="421" t="s">
        <v>1688</v>
      </c>
    </row>
    <row r="908" spans="1:15" x14ac:dyDescent="0.2">
      <c r="A908" s="111">
        <v>938</v>
      </c>
      <c r="B908" s="421" t="s">
        <v>1690</v>
      </c>
      <c r="C908" s="421" t="s">
        <v>1124</v>
      </c>
      <c r="D908" s="422" t="s">
        <v>663</v>
      </c>
      <c r="E908" s="111">
        <v>14319</v>
      </c>
      <c r="F908" s="421" t="s">
        <v>1021</v>
      </c>
      <c r="G908" s="112">
        <v>1</v>
      </c>
      <c r="H908" s="112">
        <v>1</v>
      </c>
      <c r="I908" s="112">
        <v>1</v>
      </c>
      <c r="J908" s="112">
        <v>3</v>
      </c>
      <c r="K908" s="112">
        <v>1</v>
      </c>
      <c r="L908" s="112">
        <v>3</v>
      </c>
      <c r="M908" s="112">
        <v>1</v>
      </c>
    </row>
    <row r="909" spans="1:15" x14ac:dyDescent="0.2">
      <c r="A909" s="111">
        <v>939</v>
      </c>
      <c r="B909" s="421" t="s">
        <v>1691</v>
      </c>
      <c r="C909" s="421" t="s">
        <v>518</v>
      </c>
      <c r="D909" s="422" t="s">
        <v>663</v>
      </c>
      <c r="E909" s="111">
        <v>14354</v>
      </c>
      <c r="F909" s="421" t="s">
        <v>1019</v>
      </c>
      <c r="G909" s="112">
        <v>1</v>
      </c>
      <c r="H909" s="112">
        <v>1</v>
      </c>
      <c r="I909" s="112">
        <v>1</v>
      </c>
      <c r="J909" s="112">
        <v>1</v>
      </c>
    </row>
    <row r="910" spans="1:15" x14ac:dyDescent="0.2">
      <c r="A910" s="111">
        <v>940</v>
      </c>
      <c r="B910" s="421" t="s">
        <v>1692</v>
      </c>
      <c r="C910" s="421" t="s">
        <v>552</v>
      </c>
      <c r="D910" s="422" t="s">
        <v>663</v>
      </c>
      <c r="E910" s="111">
        <v>14808</v>
      </c>
      <c r="F910" s="421" t="s">
        <v>1595</v>
      </c>
      <c r="G910" s="112">
        <v>1</v>
      </c>
      <c r="I910" s="112">
        <v>1</v>
      </c>
    </row>
    <row r="911" spans="1:15" x14ac:dyDescent="0.2">
      <c r="A911" s="111">
        <v>941</v>
      </c>
      <c r="B911" s="421" t="s">
        <v>1693</v>
      </c>
      <c r="C911" s="421" t="s">
        <v>552</v>
      </c>
      <c r="D911" s="422" t="s">
        <v>666</v>
      </c>
      <c r="E911" s="111">
        <v>14808</v>
      </c>
      <c r="F911" s="421" t="s">
        <v>1595</v>
      </c>
      <c r="G911" s="112">
        <v>1</v>
      </c>
      <c r="H911" s="112">
        <v>1</v>
      </c>
      <c r="I911" s="112">
        <v>1</v>
      </c>
    </row>
    <row r="912" spans="1:15" x14ac:dyDescent="0.2">
      <c r="A912" s="111">
        <v>942</v>
      </c>
      <c r="B912" s="421" t="s">
        <v>1694</v>
      </c>
      <c r="C912" s="421" t="s">
        <v>501</v>
      </c>
      <c r="D912" s="422" t="s">
        <v>663</v>
      </c>
      <c r="F912" s="421" t="s">
        <v>1695</v>
      </c>
      <c r="G912" s="112">
        <v>1</v>
      </c>
      <c r="H912" s="112">
        <v>1</v>
      </c>
      <c r="I912" s="112">
        <v>1</v>
      </c>
    </row>
    <row r="913" spans="1:15" x14ac:dyDescent="0.2">
      <c r="A913" s="111">
        <v>943</v>
      </c>
      <c r="B913" s="421" t="s">
        <v>1696</v>
      </c>
      <c r="C913" s="421" t="s">
        <v>503</v>
      </c>
      <c r="D913" s="422" t="s">
        <v>666</v>
      </c>
      <c r="E913" s="111">
        <v>1495</v>
      </c>
      <c r="F913" s="421" t="s">
        <v>714</v>
      </c>
      <c r="G913" s="112">
        <v>2</v>
      </c>
      <c r="H913" s="112">
        <v>1</v>
      </c>
      <c r="I913" s="112">
        <v>1</v>
      </c>
      <c r="J913" s="112">
        <v>11</v>
      </c>
      <c r="K913" s="112">
        <v>10</v>
      </c>
      <c r="L913" s="112">
        <v>10</v>
      </c>
      <c r="M913" s="112">
        <v>4</v>
      </c>
      <c r="N913" s="112">
        <v>3</v>
      </c>
      <c r="O913" s="112">
        <v>4</v>
      </c>
    </row>
    <row r="914" spans="1:15" x14ac:dyDescent="0.2">
      <c r="A914" s="111">
        <v>944</v>
      </c>
      <c r="B914" s="421" t="s">
        <v>1697</v>
      </c>
      <c r="C914" s="421" t="s">
        <v>516</v>
      </c>
      <c r="D914" s="422" t="s">
        <v>663</v>
      </c>
      <c r="E914" s="111">
        <v>14562</v>
      </c>
      <c r="F914" s="421" t="s">
        <v>1698</v>
      </c>
      <c r="G914" s="112">
        <v>1</v>
      </c>
      <c r="H914" s="112">
        <v>1</v>
      </c>
      <c r="I914" s="112">
        <v>1</v>
      </c>
    </row>
    <row r="915" spans="1:15" x14ac:dyDescent="0.2">
      <c r="A915" s="111">
        <v>945</v>
      </c>
      <c r="B915" s="421" t="s">
        <v>1699</v>
      </c>
      <c r="C915" s="421" t="s">
        <v>507</v>
      </c>
      <c r="D915" s="422" t="s">
        <v>663</v>
      </c>
      <c r="E915" s="111">
        <v>14613</v>
      </c>
      <c r="F915" s="421" t="s">
        <v>1700</v>
      </c>
      <c r="G915" s="112">
        <v>1</v>
      </c>
      <c r="H915" s="112">
        <v>1</v>
      </c>
      <c r="I915" s="112">
        <v>1</v>
      </c>
      <c r="J915" s="112">
        <v>1</v>
      </c>
      <c r="K915" s="112">
        <v>1</v>
      </c>
      <c r="L915" s="112">
        <v>1</v>
      </c>
      <c r="O915" s="112">
        <v>1</v>
      </c>
    </row>
    <row r="916" spans="1:15" x14ac:dyDescent="0.2">
      <c r="A916" s="111">
        <v>946</v>
      </c>
      <c r="B916" s="421" t="s">
        <v>1701</v>
      </c>
      <c r="C916" s="421" t="s">
        <v>501</v>
      </c>
      <c r="D916" s="422" t="s">
        <v>663</v>
      </c>
      <c r="E916" s="111">
        <v>14563</v>
      </c>
      <c r="F916" s="421" t="s">
        <v>1702</v>
      </c>
      <c r="G916" s="112">
        <v>1</v>
      </c>
      <c r="H916" s="112">
        <v>1</v>
      </c>
      <c r="I916" s="112">
        <v>1</v>
      </c>
      <c r="J916" s="112">
        <v>7</v>
      </c>
      <c r="K916" s="112">
        <v>7</v>
      </c>
      <c r="L916" s="112">
        <v>7</v>
      </c>
      <c r="M916" s="112">
        <v>3</v>
      </c>
      <c r="N916" s="112">
        <v>3</v>
      </c>
      <c r="O916" s="112">
        <v>3</v>
      </c>
    </row>
    <row r="917" spans="1:15" x14ac:dyDescent="0.2">
      <c r="A917" s="111">
        <v>947</v>
      </c>
      <c r="B917" s="421" t="s">
        <v>36</v>
      </c>
      <c r="C917" s="421" t="s">
        <v>589</v>
      </c>
      <c r="D917" s="422" t="s">
        <v>666</v>
      </c>
      <c r="E917" s="111">
        <v>15294</v>
      </c>
      <c r="F917" s="421" t="s">
        <v>1703</v>
      </c>
      <c r="G917" s="112">
        <v>1</v>
      </c>
      <c r="H917" s="112">
        <v>1</v>
      </c>
      <c r="I917" s="112">
        <v>1</v>
      </c>
      <c r="J917" s="112">
        <v>3</v>
      </c>
      <c r="K917" s="112">
        <v>3</v>
      </c>
      <c r="L917" s="112">
        <v>2</v>
      </c>
      <c r="M917" s="112">
        <v>1</v>
      </c>
      <c r="N917" s="112">
        <v>2</v>
      </c>
      <c r="O917" s="112">
        <v>1</v>
      </c>
    </row>
    <row r="918" spans="1:15" x14ac:dyDescent="0.2">
      <c r="A918" s="111">
        <v>948</v>
      </c>
      <c r="B918" s="421" t="s">
        <v>271</v>
      </c>
      <c r="C918" s="421" t="s">
        <v>502</v>
      </c>
      <c r="D918" s="422" t="s">
        <v>666</v>
      </c>
      <c r="E918" s="111">
        <v>14566</v>
      </c>
      <c r="F918" s="421" t="s">
        <v>1704</v>
      </c>
      <c r="G918" s="112">
        <v>1</v>
      </c>
      <c r="H918" s="112">
        <v>1</v>
      </c>
      <c r="I918" s="112">
        <v>1</v>
      </c>
      <c r="L918" s="112">
        <v>1</v>
      </c>
    </row>
    <row r="919" spans="1:15" x14ac:dyDescent="0.2">
      <c r="A919" s="111">
        <v>949</v>
      </c>
      <c r="B919" s="421" t="s">
        <v>1705</v>
      </c>
      <c r="C919" s="421" t="s">
        <v>502</v>
      </c>
      <c r="D919" s="422" t="s">
        <v>666</v>
      </c>
      <c r="E919" s="111">
        <v>14567</v>
      </c>
      <c r="F919" s="421" t="s">
        <v>1706</v>
      </c>
      <c r="G919" s="112">
        <v>1</v>
      </c>
      <c r="H919" s="112">
        <v>1</v>
      </c>
      <c r="I919" s="112">
        <v>1</v>
      </c>
      <c r="J919" s="112">
        <v>4</v>
      </c>
      <c r="K919" s="112">
        <v>2</v>
      </c>
      <c r="L919" s="112">
        <v>2</v>
      </c>
      <c r="O919" s="112">
        <v>1</v>
      </c>
    </row>
    <row r="920" spans="1:15" x14ac:dyDescent="0.2">
      <c r="A920" s="111">
        <v>950</v>
      </c>
      <c r="B920" s="421" t="s">
        <v>1585</v>
      </c>
      <c r="C920" s="421" t="s">
        <v>1707</v>
      </c>
      <c r="D920" s="422"/>
      <c r="F920" s="421" t="s">
        <v>1708</v>
      </c>
      <c r="G920" s="112">
        <v>1</v>
      </c>
      <c r="H920" s="112">
        <v>1</v>
      </c>
      <c r="I920" s="112">
        <v>1</v>
      </c>
    </row>
    <row r="921" spans="1:15" x14ac:dyDescent="0.2">
      <c r="A921" s="111">
        <v>951</v>
      </c>
      <c r="B921" s="421" t="s">
        <v>1709</v>
      </c>
      <c r="C921" s="421" t="s">
        <v>551</v>
      </c>
      <c r="D921" s="422" t="s">
        <v>663</v>
      </c>
      <c r="E921" s="111">
        <v>15047</v>
      </c>
      <c r="F921" s="421" t="s">
        <v>1710</v>
      </c>
      <c r="G921" s="112">
        <v>2</v>
      </c>
      <c r="H921" s="112">
        <v>1</v>
      </c>
      <c r="I921" s="112">
        <v>1</v>
      </c>
      <c r="J921" s="112">
        <v>1</v>
      </c>
      <c r="K921" s="112">
        <v>1</v>
      </c>
      <c r="L921" s="112">
        <v>2</v>
      </c>
    </row>
    <row r="922" spans="1:15" x14ac:dyDescent="0.2">
      <c r="A922" s="111">
        <v>952</v>
      </c>
      <c r="B922" s="421" t="s">
        <v>1711</v>
      </c>
      <c r="C922" s="421" t="s">
        <v>522</v>
      </c>
      <c r="D922" s="422" t="s">
        <v>666</v>
      </c>
      <c r="E922" s="111">
        <v>14855</v>
      </c>
      <c r="F922" s="421" t="s">
        <v>1712</v>
      </c>
      <c r="G922" s="112">
        <v>1</v>
      </c>
      <c r="H922" s="112">
        <v>1</v>
      </c>
      <c r="I922" s="112">
        <v>1</v>
      </c>
    </row>
    <row r="923" spans="1:15" x14ac:dyDescent="0.2">
      <c r="A923" s="111">
        <v>953</v>
      </c>
      <c r="B923" s="421" t="s">
        <v>1678</v>
      </c>
      <c r="C923" s="421" t="s">
        <v>507</v>
      </c>
      <c r="D923" s="422" t="s">
        <v>666</v>
      </c>
      <c r="E923" s="111">
        <v>15104</v>
      </c>
      <c r="F923" s="421" t="s">
        <v>1713</v>
      </c>
      <c r="G923" s="112">
        <v>3</v>
      </c>
      <c r="H923" s="112">
        <v>3</v>
      </c>
      <c r="I923" s="112">
        <v>2</v>
      </c>
      <c r="J923" s="112">
        <v>3</v>
      </c>
      <c r="K923" s="112">
        <v>2</v>
      </c>
      <c r="L923" s="112">
        <v>2</v>
      </c>
    </row>
    <row r="924" spans="1:15" x14ac:dyDescent="0.2">
      <c r="A924" s="111">
        <v>954</v>
      </c>
      <c r="B924" s="421" t="s">
        <v>1714</v>
      </c>
      <c r="C924" s="421" t="s">
        <v>503</v>
      </c>
      <c r="D924" s="422" t="s">
        <v>666</v>
      </c>
      <c r="E924" s="111">
        <v>15432</v>
      </c>
      <c r="F924" s="421" t="s">
        <v>1715</v>
      </c>
      <c r="G924" s="112">
        <v>1</v>
      </c>
      <c r="H924" s="112">
        <v>1</v>
      </c>
      <c r="I924" s="112">
        <v>1</v>
      </c>
      <c r="J924" s="112">
        <v>2</v>
      </c>
      <c r="K924" s="112">
        <v>3</v>
      </c>
      <c r="L924" s="112">
        <v>1</v>
      </c>
      <c r="O924" s="112">
        <v>1</v>
      </c>
    </row>
    <row r="925" spans="1:15" x14ac:dyDescent="0.2">
      <c r="A925" s="111">
        <v>955</v>
      </c>
      <c r="B925" s="421" t="s">
        <v>1716</v>
      </c>
      <c r="C925" s="421" t="s">
        <v>505</v>
      </c>
      <c r="D925" s="422" t="s">
        <v>663</v>
      </c>
      <c r="E925" s="111">
        <v>14505</v>
      </c>
      <c r="F925" s="421" t="s">
        <v>1526</v>
      </c>
      <c r="G925" s="112">
        <v>2</v>
      </c>
      <c r="H925" s="112">
        <v>2</v>
      </c>
      <c r="I925" s="112">
        <v>2</v>
      </c>
      <c r="J925" s="112">
        <v>3</v>
      </c>
      <c r="K925" s="112">
        <v>5</v>
      </c>
      <c r="L925" s="112">
        <v>4</v>
      </c>
      <c r="M925" s="112">
        <v>3</v>
      </c>
      <c r="N925" s="112">
        <v>2</v>
      </c>
      <c r="O925" s="112">
        <v>1</v>
      </c>
    </row>
    <row r="926" spans="1:15" x14ac:dyDescent="0.2">
      <c r="A926" s="111">
        <v>956</v>
      </c>
      <c r="B926" s="421" t="s">
        <v>1232</v>
      </c>
      <c r="C926" s="421" t="s">
        <v>559</v>
      </c>
      <c r="D926" s="422" t="s">
        <v>663</v>
      </c>
      <c r="F926" s="421" t="s">
        <v>1717</v>
      </c>
    </row>
    <row r="927" spans="1:15" x14ac:dyDescent="0.2">
      <c r="A927" s="111">
        <v>957</v>
      </c>
      <c r="B927" s="421" t="s">
        <v>1718</v>
      </c>
      <c r="C927" s="421" t="s">
        <v>528</v>
      </c>
      <c r="D927" s="422" t="s">
        <v>666</v>
      </c>
      <c r="F927" s="421" t="s">
        <v>1717</v>
      </c>
    </row>
    <row r="928" spans="1:15" x14ac:dyDescent="0.2">
      <c r="A928" s="111">
        <v>958</v>
      </c>
      <c r="B928" s="421" t="s">
        <v>1254</v>
      </c>
      <c r="C928" s="421" t="s">
        <v>1748</v>
      </c>
      <c r="D928" s="422" t="s">
        <v>663</v>
      </c>
      <c r="E928" s="111">
        <v>14572</v>
      </c>
      <c r="F928" s="421" t="s">
        <v>1749</v>
      </c>
      <c r="G928" s="112">
        <v>1</v>
      </c>
      <c r="H928" s="112">
        <v>1</v>
      </c>
      <c r="I928" s="112">
        <v>1</v>
      </c>
    </row>
    <row r="929" spans="1:15" x14ac:dyDescent="0.2">
      <c r="A929" s="111">
        <v>959</v>
      </c>
      <c r="B929" s="421" t="s">
        <v>1248</v>
      </c>
      <c r="C929" s="421" t="s">
        <v>503</v>
      </c>
      <c r="D929" s="422" t="s">
        <v>663</v>
      </c>
      <c r="E929" s="111">
        <v>14573</v>
      </c>
      <c r="F929" s="421" t="s">
        <v>1750</v>
      </c>
      <c r="G929" s="112">
        <v>1</v>
      </c>
      <c r="H929" s="112">
        <v>1</v>
      </c>
      <c r="I929" s="112">
        <v>1</v>
      </c>
      <c r="J929" s="112">
        <v>2</v>
      </c>
      <c r="K929" s="112">
        <v>2</v>
      </c>
      <c r="L929" s="112">
        <v>3</v>
      </c>
    </row>
    <row r="930" spans="1:15" x14ac:dyDescent="0.2">
      <c r="A930" s="111">
        <v>960</v>
      </c>
      <c r="B930" s="421" t="s">
        <v>1751</v>
      </c>
      <c r="C930" s="421" t="s">
        <v>506</v>
      </c>
      <c r="D930" s="422" t="s">
        <v>666</v>
      </c>
      <c r="E930" s="111">
        <v>16794</v>
      </c>
      <c r="F930" s="421" t="s">
        <v>1752</v>
      </c>
      <c r="G930" s="112">
        <v>1</v>
      </c>
      <c r="H930" s="112">
        <v>1</v>
      </c>
      <c r="I930" s="112">
        <v>1</v>
      </c>
      <c r="J930" s="112">
        <v>8</v>
      </c>
      <c r="K930" s="112">
        <v>6</v>
      </c>
      <c r="L930" s="112">
        <v>7</v>
      </c>
      <c r="M930" s="112">
        <v>9</v>
      </c>
      <c r="N930" s="112">
        <v>7</v>
      </c>
      <c r="O930" s="112">
        <v>7</v>
      </c>
    </row>
    <row r="931" spans="1:15" x14ac:dyDescent="0.2">
      <c r="A931" s="111">
        <v>961</v>
      </c>
      <c r="B931" s="421" t="s">
        <v>468</v>
      </c>
      <c r="C931" s="421" t="s">
        <v>501</v>
      </c>
      <c r="D931" s="422" t="s">
        <v>666</v>
      </c>
      <c r="E931" s="111">
        <v>14328</v>
      </c>
      <c r="F931" s="421" t="s">
        <v>1113</v>
      </c>
    </row>
    <row r="932" spans="1:15" x14ac:dyDescent="0.2">
      <c r="A932" s="111">
        <v>962</v>
      </c>
      <c r="B932" s="421" t="s">
        <v>1753</v>
      </c>
      <c r="C932" s="421" t="s">
        <v>506</v>
      </c>
      <c r="D932" s="422" t="s">
        <v>666</v>
      </c>
      <c r="E932" s="111">
        <v>14576</v>
      </c>
      <c r="F932" s="421" t="s">
        <v>1754</v>
      </c>
      <c r="G932" s="112">
        <v>1</v>
      </c>
      <c r="H932" s="112">
        <v>1</v>
      </c>
      <c r="I932" s="112">
        <v>1</v>
      </c>
      <c r="J932" s="112">
        <v>3</v>
      </c>
      <c r="K932" s="112">
        <v>3</v>
      </c>
      <c r="L932" s="112">
        <v>3</v>
      </c>
      <c r="M932" s="112">
        <v>3</v>
      </c>
      <c r="N932" s="112">
        <v>2</v>
      </c>
      <c r="O932" s="112">
        <v>3</v>
      </c>
    </row>
    <row r="933" spans="1:15" x14ac:dyDescent="0.2">
      <c r="A933" s="111">
        <v>963</v>
      </c>
      <c r="B933" s="421" t="s">
        <v>1602</v>
      </c>
      <c r="C933" s="421" t="s">
        <v>509</v>
      </c>
      <c r="D933" s="422" t="s">
        <v>663</v>
      </c>
      <c r="E933" s="111">
        <v>14577</v>
      </c>
      <c r="F933" s="421" t="s">
        <v>1755</v>
      </c>
      <c r="G933" s="112">
        <v>1</v>
      </c>
      <c r="H933" s="112">
        <v>1</v>
      </c>
      <c r="I933" s="112">
        <v>1</v>
      </c>
      <c r="J933" s="112">
        <v>5</v>
      </c>
      <c r="K933" s="112">
        <v>5</v>
      </c>
      <c r="L933" s="112">
        <v>5</v>
      </c>
      <c r="M933" s="112">
        <v>4</v>
      </c>
      <c r="N933" s="112">
        <v>1</v>
      </c>
      <c r="O933" s="112">
        <v>5</v>
      </c>
    </row>
    <row r="934" spans="1:15" x14ac:dyDescent="0.2">
      <c r="A934" s="111">
        <v>964</v>
      </c>
      <c r="B934" s="421" t="s">
        <v>106</v>
      </c>
      <c r="C934" s="421" t="s">
        <v>501</v>
      </c>
      <c r="D934" s="422" t="s">
        <v>666</v>
      </c>
      <c r="E934" s="111">
        <v>14578</v>
      </c>
      <c r="F934" s="421" t="s">
        <v>1756</v>
      </c>
      <c r="G934" s="112">
        <v>1</v>
      </c>
      <c r="H934" s="112">
        <v>1</v>
      </c>
      <c r="I934" s="112">
        <v>1</v>
      </c>
      <c r="J934" s="112">
        <v>6</v>
      </c>
      <c r="K934" s="112">
        <v>6</v>
      </c>
      <c r="L934" s="112">
        <v>6</v>
      </c>
      <c r="M934" s="112">
        <v>9</v>
      </c>
      <c r="N934" s="112">
        <v>8</v>
      </c>
      <c r="O934" s="112">
        <v>9</v>
      </c>
    </row>
    <row r="935" spans="1:15" x14ac:dyDescent="0.2">
      <c r="A935" s="111">
        <v>965</v>
      </c>
      <c r="B935" s="421" t="s">
        <v>1757</v>
      </c>
      <c r="C935" s="421" t="s">
        <v>1758</v>
      </c>
      <c r="D935" s="422" t="s">
        <v>666</v>
      </c>
      <c r="E935" s="111">
        <v>15682</v>
      </c>
      <c r="F935" s="421" t="s">
        <v>1661</v>
      </c>
      <c r="G935" s="112">
        <v>1</v>
      </c>
      <c r="H935" s="112">
        <v>1</v>
      </c>
      <c r="I935" s="112">
        <v>1</v>
      </c>
      <c r="J935" s="112">
        <v>2</v>
      </c>
      <c r="K935" s="112">
        <v>2</v>
      </c>
      <c r="L935" s="112">
        <v>2</v>
      </c>
      <c r="M935" s="112">
        <v>3</v>
      </c>
      <c r="N935" s="112">
        <v>3</v>
      </c>
      <c r="O935" s="112">
        <v>3</v>
      </c>
    </row>
    <row r="936" spans="1:15" x14ac:dyDescent="0.2">
      <c r="A936" s="111">
        <v>966</v>
      </c>
      <c r="B936" s="421" t="s">
        <v>1759</v>
      </c>
      <c r="C936" s="421" t="s">
        <v>506</v>
      </c>
      <c r="D936" s="422" t="s">
        <v>666</v>
      </c>
      <c r="E936" s="111">
        <v>14506</v>
      </c>
      <c r="F936" s="421" t="s">
        <v>1541</v>
      </c>
      <c r="G936" s="112">
        <v>1</v>
      </c>
      <c r="H936" s="112">
        <v>1</v>
      </c>
      <c r="I936" s="112">
        <v>1</v>
      </c>
      <c r="J936" s="112">
        <v>1</v>
      </c>
      <c r="L936" s="112">
        <v>1</v>
      </c>
    </row>
    <row r="937" spans="1:15" x14ac:dyDescent="0.2">
      <c r="A937" s="111">
        <v>967</v>
      </c>
      <c r="B937" s="421" t="s">
        <v>1387</v>
      </c>
      <c r="C937" s="421" t="s">
        <v>510</v>
      </c>
      <c r="D937" s="422" t="s">
        <v>666</v>
      </c>
      <c r="E937" s="111">
        <v>14580</v>
      </c>
      <c r="F937" s="421" t="s">
        <v>1760</v>
      </c>
      <c r="G937" s="112">
        <v>1</v>
      </c>
      <c r="H937" s="112">
        <v>1</v>
      </c>
      <c r="I937" s="112">
        <v>1</v>
      </c>
      <c r="J937" s="112">
        <v>7</v>
      </c>
      <c r="K937" s="112">
        <v>7</v>
      </c>
      <c r="L937" s="112">
        <v>7</v>
      </c>
      <c r="M937" s="112">
        <v>3</v>
      </c>
      <c r="N937" s="112">
        <v>3</v>
      </c>
      <c r="O937" s="112">
        <v>3</v>
      </c>
    </row>
    <row r="938" spans="1:15" x14ac:dyDescent="0.2">
      <c r="A938" s="111">
        <v>968</v>
      </c>
      <c r="B938" s="421" t="s">
        <v>1761</v>
      </c>
      <c r="C938" s="421" t="s">
        <v>507</v>
      </c>
      <c r="D938" s="422" t="s">
        <v>666</v>
      </c>
      <c r="F938" s="421" t="s">
        <v>1762</v>
      </c>
      <c r="G938" s="112">
        <v>1</v>
      </c>
      <c r="H938" s="112">
        <v>1</v>
      </c>
      <c r="I938" s="112">
        <v>1</v>
      </c>
      <c r="J938" s="112">
        <v>2</v>
      </c>
    </row>
    <row r="939" spans="1:15" x14ac:dyDescent="0.2">
      <c r="A939" s="111">
        <v>969</v>
      </c>
      <c r="B939" s="421" t="s">
        <v>1763</v>
      </c>
      <c r="C939" s="421" t="s">
        <v>556</v>
      </c>
      <c r="D939" s="422" t="s">
        <v>663</v>
      </c>
      <c r="F939" s="421" t="s">
        <v>1764</v>
      </c>
      <c r="G939" s="112">
        <v>1</v>
      </c>
      <c r="H939" s="112">
        <v>1</v>
      </c>
      <c r="I939" s="112">
        <v>1</v>
      </c>
    </row>
    <row r="940" spans="1:15" x14ac:dyDescent="0.2">
      <c r="A940" s="111">
        <v>970</v>
      </c>
      <c r="B940" s="421" t="s">
        <v>110</v>
      </c>
      <c r="C940" s="421" t="s">
        <v>537</v>
      </c>
      <c r="D940" s="422" t="s">
        <v>666</v>
      </c>
      <c r="F940" s="421" t="s">
        <v>1765</v>
      </c>
      <c r="G940" s="112">
        <v>1</v>
      </c>
    </row>
    <row r="941" spans="1:15" x14ac:dyDescent="0.2">
      <c r="A941" s="111">
        <v>971</v>
      </c>
      <c r="B941" s="421" t="s">
        <v>1766</v>
      </c>
      <c r="C941" s="421" t="s">
        <v>537</v>
      </c>
      <c r="D941" s="422" t="s">
        <v>666</v>
      </c>
      <c r="F941" s="421" t="s">
        <v>1765</v>
      </c>
    </row>
    <row r="942" spans="1:15" x14ac:dyDescent="0.2">
      <c r="A942" s="111">
        <v>972</v>
      </c>
      <c r="B942" s="421" t="s">
        <v>1767</v>
      </c>
      <c r="C942" s="421" t="s">
        <v>563</v>
      </c>
      <c r="D942" s="422" t="s">
        <v>666</v>
      </c>
      <c r="E942" s="111">
        <v>14581</v>
      </c>
      <c r="F942" s="421" t="s">
        <v>1768</v>
      </c>
      <c r="I942" s="112">
        <v>1</v>
      </c>
    </row>
    <row r="943" spans="1:15" x14ac:dyDescent="0.2">
      <c r="A943" s="111">
        <v>973</v>
      </c>
      <c r="B943" s="421" t="s">
        <v>193</v>
      </c>
      <c r="C943" s="421" t="s">
        <v>1769</v>
      </c>
      <c r="D943" s="422" t="s">
        <v>663</v>
      </c>
      <c r="F943" s="421" t="s">
        <v>1770</v>
      </c>
    </row>
    <row r="944" spans="1:15" x14ac:dyDescent="0.2">
      <c r="A944" s="111">
        <v>974</v>
      </c>
      <c r="B944" s="421" t="s">
        <v>1771</v>
      </c>
      <c r="C944" s="421" t="s">
        <v>550</v>
      </c>
      <c r="D944" s="422" t="s">
        <v>663</v>
      </c>
      <c r="E944" s="111">
        <v>14584</v>
      </c>
      <c r="F944" s="421" t="s">
        <v>1772</v>
      </c>
      <c r="G944" s="112">
        <v>1</v>
      </c>
      <c r="H944" s="112">
        <v>1</v>
      </c>
      <c r="I944" s="112">
        <v>1</v>
      </c>
      <c r="J944" s="112">
        <v>1</v>
      </c>
      <c r="K944" s="112">
        <v>1</v>
      </c>
      <c r="L944" s="112">
        <v>1</v>
      </c>
      <c r="M944" s="112">
        <v>1</v>
      </c>
      <c r="N944" s="112">
        <v>1</v>
      </c>
      <c r="O944" s="112">
        <v>2</v>
      </c>
    </row>
    <row r="945" spans="1:15" x14ac:dyDescent="0.2">
      <c r="A945" s="111">
        <v>975</v>
      </c>
      <c r="B945" s="421" t="s">
        <v>1773</v>
      </c>
      <c r="C945" s="421" t="s">
        <v>516</v>
      </c>
      <c r="D945" s="422" t="s">
        <v>666</v>
      </c>
      <c r="E945" s="111">
        <v>14585</v>
      </c>
      <c r="F945" s="421" t="s">
        <v>1774</v>
      </c>
    </row>
    <row r="946" spans="1:15" x14ac:dyDescent="0.2">
      <c r="A946" s="111">
        <v>976</v>
      </c>
      <c r="B946" s="421" t="s">
        <v>1775</v>
      </c>
      <c r="C946" s="421" t="s">
        <v>516</v>
      </c>
      <c r="D946" s="422" t="s">
        <v>663</v>
      </c>
      <c r="E946" s="111">
        <v>14585</v>
      </c>
      <c r="F946" s="421" t="s">
        <v>1774</v>
      </c>
    </row>
    <row r="947" spans="1:15" x14ac:dyDescent="0.2">
      <c r="A947" s="111">
        <v>977</v>
      </c>
      <c r="B947" s="421" t="s">
        <v>1777</v>
      </c>
      <c r="C947" s="421" t="s">
        <v>522</v>
      </c>
      <c r="D947" s="422" t="s">
        <v>666</v>
      </c>
      <c r="E947" s="111">
        <v>14833</v>
      </c>
      <c r="F947" s="421" t="s">
        <v>1778</v>
      </c>
      <c r="G947" s="112">
        <v>1</v>
      </c>
      <c r="H947" s="112">
        <v>1</v>
      </c>
      <c r="I947" s="112">
        <v>1</v>
      </c>
      <c r="J947" s="112">
        <v>1</v>
      </c>
      <c r="L947" s="112">
        <v>1</v>
      </c>
    </row>
    <row r="948" spans="1:15" x14ac:dyDescent="0.2">
      <c r="A948" s="111">
        <v>978</v>
      </c>
      <c r="B948" s="421" t="s">
        <v>409</v>
      </c>
      <c r="C948" s="421" t="s">
        <v>506</v>
      </c>
      <c r="D948" s="422" t="s">
        <v>666</v>
      </c>
      <c r="F948" s="421" t="s">
        <v>1544</v>
      </c>
      <c r="G948" s="112">
        <v>1</v>
      </c>
      <c r="H948" s="112">
        <v>2</v>
      </c>
      <c r="I948" s="112">
        <v>2</v>
      </c>
      <c r="J948" s="112">
        <v>1</v>
      </c>
      <c r="K948" s="112">
        <v>2</v>
      </c>
      <c r="L948" s="112">
        <v>2</v>
      </c>
      <c r="M948" s="112">
        <v>1</v>
      </c>
      <c r="N948" s="112">
        <v>1</v>
      </c>
    </row>
    <row r="949" spans="1:15" x14ac:dyDescent="0.2">
      <c r="A949" s="111">
        <v>979</v>
      </c>
      <c r="B949" s="421" t="s">
        <v>485</v>
      </c>
      <c r="C949" s="421" t="s">
        <v>503</v>
      </c>
      <c r="D949" s="422" t="s">
        <v>666</v>
      </c>
      <c r="E949" s="111">
        <v>14807</v>
      </c>
      <c r="F949" s="421" t="s">
        <v>1779</v>
      </c>
      <c r="G949" s="112">
        <v>1</v>
      </c>
      <c r="H949" s="112">
        <v>2</v>
      </c>
      <c r="I949" s="112">
        <v>1</v>
      </c>
      <c r="J949" s="112">
        <v>1</v>
      </c>
      <c r="K949" s="112">
        <v>1</v>
      </c>
    </row>
    <row r="950" spans="1:15" x14ac:dyDescent="0.2">
      <c r="A950" s="111">
        <v>980</v>
      </c>
      <c r="B950" s="421" t="s">
        <v>1780</v>
      </c>
      <c r="C950" s="421" t="s">
        <v>501</v>
      </c>
      <c r="D950" s="422"/>
      <c r="F950" s="421" t="s">
        <v>1781</v>
      </c>
      <c r="G950" s="112">
        <v>1</v>
      </c>
      <c r="H950" s="112">
        <v>2</v>
      </c>
      <c r="I950" s="112">
        <v>1</v>
      </c>
      <c r="J950" s="112">
        <v>1</v>
      </c>
    </row>
    <row r="951" spans="1:15" x14ac:dyDescent="0.2">
      <c r="A951" s="111">
        <v>981</v>
      </c>
      <c r="B951" s="421" t="s">
        <v>1782</v>
      </c>
      <c r="C951" s="421" t="s">
        <v>501</v>
      </c>
      <c r="D951" s="422" t="s">
        <v>663</v>
      </c>
      <c r="F951" s="421" t="s">
        <v>1783</v>
      </c>
    </row>
    <row r="952" spans="1:15" x14ac:dyDescent="0.2">
      <c r="A952" s="111">
        <v>982</v>
      </c>
      <c r="B952" s="421" t="s">
        <v>48</v>
      </c>
      <c r="C952" s="421" t="s">
        <v>503</v>
      </c>
      <c r="D952" s="422" t="s">
        <v>663</v>
      </c>
      <c r="F952" s="421" t="s">
        <v>1784</v>
      </c>
      <c r="G952" s="112">
        <v>1</v>
      </c>
      <c r="H952" s="112">
        <v>1</v>
      </c>
      <c r="I952" s="112">
        <v>1</v>
      </c>
      <c r="J952" s="112">
        <v>3</v>
      </c>
      <c r="K952" s="112">
        <v>3</v>
      </c>
      <c r="L952" s="112">
        <v>3</v>
      </c>
      <c r="M952" s="112">
        <v>3</v>
      </c>
      <c r="N952" s="112">
        <v>1</v>
      </c>
      <c r="O952" s="112">
        <v>3</v>
      </c>
    </row>
    <row r="953" spans="1:15" x14ac:dyDescent="0.2">
      <c r="A953" s="111">
        <v>983</v>
      </c>
      <c r="B953" s="421" t="s">
        <v>1416</v>
      </c>
      <c r="C953" s="421" t="s">
        <v>503</v>
      </c>
      <c r="D953" s="422" t="s">
        <v>663</v>
      </c>
      <c r="F953" s="421" t="s">
        <v>1785</v>
      </c>
      <c r="G953" s="112">
        <v>1</v>
      </c>
      <c r="H953" s="112">
        <v>1</v>
      </c>
      <c r="I953" s="112">
        <v>1</v>
      </c>
      <c r="J953" s="112">
        <v>3</v>
      </c>
      <c r="K953" s="112">
        <v>3</v>
      </c>
      <c r="L953" s="112">
        <v>3</v>
      </c>
      <c r="M953" s="112">
        <v>1</v>
      </c>
      <c r="N953" s="112">
        <v>2</v>
      </c>
      <c r="O953" s="112">
        <v>1</v>
      </c>
    </row>
    <row r="954" spans="1:15" x14ac:dyDescent="0.2">
      <c r="A954" s="111">
        <v>984</v>
      </c>
      <c r="B954" s="421" t="s">
        <v>1786</v>
      </c>
      <c r="C954" s="421" t="s">
        <v>513</v>
      </c>
      <c r="D954" s="422" t="s">
        <v>666</v>
      </c>
      <c r="E954" s="111">
        <v>14587</v>
      </c>
      <c r="F954" s="421" t="s">
        <v>1787</v>
      </c>
      <c r="G954" s="112">
        <v>1</v>
      </c>
      <c r="H954" s="112">
        <v>1</v>
      </c>
      <c r="I954" s="112">
        <v>1</v>
      </c>
      <c r="J954" s="112">
        <v>7</v>
      </c>
      <c r="K954" s="112">
        <v>7</v>
      </c>
      <c r="L954" s="112">
        <v>7</v>
      </c>
      <c r="M954" s="112">
        <v>4</v>
      </c>
      <c r="N954" s="112">
        <v>3</v>
      </c>
      <c r="O954" s="112">
        <v>3</v>
      </c>
    </row>
    <row r="955" spans="1:15" x14ac:dyDescent="0.2">
      <c r="A955" s="111">
        <v>985</v>
      </c>
      <c r="B955" s="421" t="s">
        <v>1788</v>
      </c>
      <c r="C955" s="421" t="s">
        <v>544</v>
      </c>
      <c r="D955" s="422" t="s">
        <v>663</v>
      </c>
      <c r="E955" s="111">
        <v>14589</v>
      </c>
      <c r="F955" s="421" t="s">
        <v>1789</v>
      </c>
      <c r="H955" s="112">
        <v>1</v>
      </c>
    </row>
    <row r="956" spans="1:15" x14ac:dyDescent="0.2">
      <c r="A956" s="111">
        <v>986</v>
      </c>
      <c r="B956" s="421" t="s">
        <v>1790</v>
      </c>
      <c r="C956" s="421" t="s">
        <v>544</v>
      </c>
      <c r="D956" s="422" t="s">
        <v>663</v>
      </c>
      <c r="E956" s="111">
        <v>14589</v>
      </c>
      <c r="F956" s="421" t="s">
        <v>1789</v>
      </c>
      <c r="G956" s="112">
        <v>1</v>
      </c>
      <c r="H956" s="112">
        <v>1</v>
      </c>
      <c r="I956" s="112">
        <v>1</v>
      </c>
    </row>
    <row r="957" spans="1:15" x14ac:dyDescent="0.2">
      <c r="A957" s="111">
        <v>987</v>
      </c>
      <c r="B957" s="421" t="s">
        <v>122</v>
      </c>
      <c r="C957" s="421" t="s">
        <v>507</v>
      </c>
      <c r="D957" s="422" t="s">
        <v>663</v>
      </c>
      <c r="F957" s="421" t="s">
        <v>1762</v>
      </c>
      <c r="G957" s="112">
        <v>1</v>
      </c>
      <c r="H957" s="112">
        <v>1</v>
      </c>
      <c r="I957" s="112">
        <v>1</v>
      </c>
      <c r="J957" s="112">
        <v>3</v>
      </c>
      <c r="K957" s="112">
        <v>4</v>
      </c>
      <c r="L957" s="112">
        <v>3</v>
      </c>
      <c r="M957" s="112">
        <v>2</v>
      </c>
      <c r="N957" s="112">
        <v>2</v>
      </c>
      <c r="O957" s="112">
        <v>1</v>
      </c>
    </row>
    <row r="958" spans="1:15" x14ac:dyDescent="0.2">
      <c r="A958" s="111">
        <v>988</v>
      </c>
      <c r="B958" s="421" t="s">
        <v>1519</v>
      </c>
      <c r="C958" s="421" t="s">
        <v>507</v>
      </c>
      <c r="D958" s="422" t="s">
        <v>666</v>
      </c>
      <c r="E958" s="111">
        <v>14591</v>
      </c>
      <c r="F958" s="421" t="s">
        <v>1791</v>
      </c>
    </row>
    <row r="959" spans="1:15" x14ac:dyDescent="0.2">
      <c r="A959" s="111">
        <v>989</v>
      </c>
      <c r="B959" s="421" t="s">
        <v>1792</v>
      </c>
      <c r="C959" s="421" t="s">
        <v>506</v>
      </c>
      <c r="D959" s="422" t="s">
        <v>666</v>
      </c>
      <c r="E959" s="111">
        <v>14592</v>
      </c>
      <c r="F959" s="421" t="s">
        <v>1793</v>
      </c>
      <c r="G959" s="112">
        <v>2</v>
      </c>
      <c r="H959" s="112">
        <v>2</v>
      </c>
      <c r="I959" s="112">
        <v>1</v>
      </c>
      <c r="J959" s="112">
        <v>1</v>
      </c>
      <c r="K959" s="112">
        <v>2</v>
      </c>
      <c r="L959" s="112">
        <v>2</v>
      </c>
      <c r="M959" s="112">
        <v>1</v>
      </c>
      <c r="N959" s="112">
        <v>2</v>
      </c>
      <c r="O959" s="112">
        <v>2</v>
      </c>
    </row>
    <row r="960" spans="1:15" x14ac:dyDescent="0.2">
      <c r="A960" s="111">
        <v>990</v>
      </c>
      <c r="B960" s="421" t="s">
        <v>381</v>
      </c>
      <c r="C960" s="421" t="s">
        <v>530</v>
      </c>
      <c r="D960" s="422" t="s">
        <v>663</v>
      </c>
      <c r="E960" s="111">
        <v>14736</v>
      </c>
      <c r="F960" s="421" t="s">
        <v>2725</v>
      </c>
      <c r="G960" s="112">
        <v>1</v>
      </c>
      <c r="H960" s="112">
        <v>1</v>
      </c>
      <c r="I960" s="112">
        <v>1</v>
      </c>
      <c r="J960" s="112">
        <v>1</v>
      </c>
      <c r="K960" s="112">
        <v>2</v>
      </c>
      <c r="L960" s="112">
        <v>2</v>
      </c>
      <c r="N960" s="112">
        <v>1</v>
      </c>
    </row>
    <row r="961" spans="1:15" x14ac:dyDescent="0.2">
      <c r="A961" s="111">
        <v>991</v>
      </c>
      <c r="B961" s="421" t="s">
        <v>1795</v>
      </c>
      <c r="C961" s="421" t="s">
        <v>530</v>
      </c>
      <c r="D961" s="422" t="s">
        <v>663</v>
      </c>
      <c r="E961" s="111">
        <v>14575</v>
      </c>
      <c r="F961" s="421" t="s">
        <v>1794</v>
      </c>
    </row>
    <row r="962" spans="1:15" x14ac:dyDescent="0.2">
      <c r="A962" s="111">
        <v>992</v>
      </c>
      <c r="B962" s="421" t="s">
        <v>1796</v>
      </c>
      <c r="C962" s="421" t="s">
        <v>516</v>
      </c>
      <c r="D962" s="422" t="s">
        <v>663</v>
      </c>
      <c r="E962" s="111">
        <v>14594</v>
      </c>
      <c r="F962" s="421" t="s">
        <v>1797</v>
      </c>
    </row>
    <row r="963" spans="1:15" x14ac:dyDescent="0.2">
      <c r="A963" s="111">
        <v>993</v>
      </c>
      <c r="B963" s="421" t="s">
        <v>1798</v>
      </c>
      <c r="C963" s="421" t="s">
        <v>516</v>
      </c>
      <c r="D963" s="422" t="s">
        <v>666</v>
      </c>
      <c r="E963" s="111">
        <v>14594</v>
      </c>
      <c r="F963" s="421" t="s">
        <v>1797</v>
      </c>
    </row>
    <row r="964" spans="1:15" x14ac:dyDescent="0.2">
      <c r="A964" s="111">
        <v>994</v>
      </c>
      <c r="B964" s="421" t="s">
        <v>256</v>
      </c>
      <c r="C964" s="421" t="s">
        <v>522</v>
      </c>
      <c r="D964" s="422" t="s">
        <v>663</v>
      </c>
      <c r="F964" s="421" t="s">
        <v>1799</v>
      </c>
      <c r="G964" s="112">
        <v>1</v>
      </c>
      <c r="H964" s="112">
        <v>1</v>
      </c>
      <c r="I964" s="112">
        <v>1</v>
      </c>
      <c r="J964" s="112">
        <v>1</v>
      </c>
      <c r="K964" s="112">
        <v>1</v>
      </c>
      <c r="L964" s="112">
        <v>1</v>
      </c>
      <c r="M964" s="112">
        <v>1</v>
      </c>
      <c r="N964" s="112">
        <v>1</v>
      </c>
      <c r="O964" s="112">
        <v>1</v>
      </c>
    </row>
    <row r="965" spans="1:15" x14ac:dyDescent="0.2">
      <c r="A965" s="111">
        <v>995</v>
      </c>
      <c r="B965" s="421" t="s">
        <v>1800</v>
      </c>
      <c r="C965" s="421" t="s">
        <v>567</v>
      </c>
      <c r="D965" s="422" t="s">
        <v>666</v>
      </c>
      <c r="E965" s="111">
        <v>14595</v>
      </c>
      <c r="F965" s="421" t="s">
        <v>1801</v>
      </c>
      <c r="G965" s="112">
        <v>1</v>
      </c>
      <c r="H965" s="112">
        <v>1</v>
      </c>
      <c r="I965" s="112">
        <v>1</v>
      </c>
      <c r="J965" s="112">
        <v>2</v>
      </c>
      <c r="K965" s="112">
        <v>2</v>
      </c>
      <c r="L965" s="112">
        <v>1</v>
      </c>
    </row>
    <row r="966" spans="1:15" x14ac:dyDescent="0.2">
      <c r="A966" s="111">
        <v>996</v>
      </c>
      <c r="B966" s="421" t="s">
        <v>1802</v>
      </c>
      <c r="C966" s="421" t="s">
        <v>506</v>
      </c>
      <c r="D966" s="422" t="s">
        <v>663</v>
      </c>
      <c r="E966" s="111">
        <v>14485</v>
      </c>
      <c r="F966" s="421" t="s">
        <v>1803</v>
      </c>
      <c r="G966" s="112">
        <v>1</v>
      </c>
      <c r="H966" s="112">
        <v>2</v>
      </c>
      <c r="I966" s="112">
        <v>1</v>
      </c>
      <c r="J966" s="112">
        <v>3</v>
      </c>
      <c r="L966" s="112">
        <v>2</v>
      </c>
    </row>
    <row r="967" spans="1:15" x14ac:dyDescent="0.2">
      <c r="A967" s="111">
        <v>997</v>
      </c>
      <c r="B967" s="421" t="s">
        <v>1804</v>
      </c>
      <c r="C967" s="421" t="s">
        <v>502</v>
      </c>
      <c r="D967" s="422" t="s">
        <v>663</v>
      </c>
      <c r="E967" s="111">
        <v>15412</v>
      </c>
      <c r="F967" s="421" t="s">
        <v>4759</v>
      </c>
      <c r="G967" s="112">
        <v>1</v>
      </c>
      <c r="H967" s="112">
        <v>1</v>
      </c>
      <c r="I967" s="112">
        <v>1</v>
      </c>
      <c r="J967" s="112">
        <v>10</v>
      </c>
      <c r="K967" s="112">
        <v>9</v>
      </c>
      <c r="L967" s="112">
        <v>8</v>
      </c>
      <c r="M967" s="112">
        <v>5</v>
      </c>
      <c r="N967" s="112">
        <v>3</v>
      </c>
      <c r="O967" s="112">
        <v>5</v>
      </c>
    </row>
    <row r="968" spans="1:15" x14ac:dyDescent="0.2">
      <c r="A968" s="111">
        <v>998</v>
      </c>
      <c r="B968" s="421" t="s">
        <v>1329</v>
      </c>
      <c r="C968" s="421" t="s">
        <v>503</v>
      </c>
      <c r="D968" s="422" t="s">
        <v>663</v>
      </c>
      <c r="E968" s="111">
        <v>14596</v>
      </c>
      <c r="F968" s="421" t="s">
        <v>1805</v>
      </c>
      <c r="G968" s="112">
        <v>1</v>
      </c>
      <c r="H968" s="112">
        <v>2</v>
      </c>
      <c r="I968" s="112">
        <v>2</v>
      </c>
      <c r="J968" s="112">
        <v>7</v>
      </c>
      <c r="K968" s="112">
        <v>7</v>
      </c>
      <c r="L968" s="112">
        <v>7</v>
      </c>
      <c r="M968" s="112">
        <v>4</v>
      </c>
      <c r="N968" s="112">
        <v>6</v>
      </c>
      <c r="O968" s="112">
        <v>5</v>
      </c>
    </row>
    <row r="969" spans="1:15" x14ac:dyDescent="0.2">
      <c r="A969" s="111">
        <v>999</v>
      </c>
      <c r="B969" s="421" t="s">
        <v>1806</v>
      </c>
      <c r="C969" s="421" t="s">
        <v>544</v>
      </c>
      <c r="D969" s="422" t="s">
        <v>663</v>
      </c>
      <c r="E969" s="111">
        <v>14344</v>
      </c>
      <c r="F969" s="421" t="s">
        <v>1807</v>
      </c>
      <c r="G969" s="112">
        <v>1</v>
      </c>
      <c r="H969" s="112">
        <v>1</v>
      </c>
      <c r="I969" s="112">
        <v>1</v>
      </c>
      <c r="J969" s="112">
        <v>2</v>
      </c>
      <c r="K969" s="112">
        <v>1</v>
      </c>
      <c r="L969" s="112">
        <v>1</v>
      </c>
      <c r="M969" s="112">
        <v>1</v>
      </c>
      <c r="N969" s="112">
        <v>1</v>
      </c>
      <c r="O969" s="112">
        <v>1</v>
      </c>
    </row>
    <row r="970" spans="1:15" x14ac:dyDescent="0.2">
      <c r="A970" s="111">
        <v>1000</v>
      </c>
      <c r="B970" s="421" t="s">
        <v>1808</v>
      </c>
      <c r="C970" s="421" t="s">
        <v>501</v>
      </c>
      <c r="D970" s="422" t="s">
        <v>663</v>
      </c>
      <c r="E970" s="111">
        <v>14597</v>
      </c>
      <c r="F970" s="421" t="s">
        <v>1809</v>
      </c>
      <c r="G970" s="112">
        <v>2</v>
      </c>
      <c r="H970" s="112">
        <v>2</v>
      </c>
      <c r="I970" s="112">
        <v>2</v>
      </c>
      <c r="J970" s="112">
        <v>5</v>
      </c>
      <c r="K970" s="112">
        <v>3</v>
      </c>
      <c r="L970" s="112">
        <v>5</v>
      </c>
      <c r="M970" s="112">
        <v>3</v>
      </c>
      <c r="N970" s="112">
        <v>2</v>
      </c>
      <c r="O970" s="112">
        <v>1</v>
      </c>
    </row>
    <row r="971" spans="1:15" x14ac:dyDescent="0.2">
      <c r="A971" s="111">
        <v>1001</v>
      </c>
      <c r="B971" s="421" t="s">
        <v>1810</v>
      </c>
      <c r="C971" s="421" t="s">
        <v>501</v>
      </c>
      <c r="D971" s="422" t="s">
        <v>666</v>
      </c>
      <c r="E971" s="111">
        <v>14598</v>
      </c>
      <c r="F971" s="421" t="s">
        <v>2126</v>
      </c>
      <c r="G971" s="112">
        <v>1</v>
      </c>
      <c r="H971" s="112">
        <v>1</v>
      </c>
      <c r="I971" s="112">
        <v>1</v>
      </c>
      <c r="J971" s="112">
        <v>7</v>
      </c>
      <c r="K971" s="112">
        <v>6</v>
      </c>
      <c r="L971" s="112">
        <v>6</v>
      </c>
      <c r="M971" s="112">
        <v>6</v>
      </c>
      <c r="N971" s="112">
        <v>4</v>
      </c>
      <c r="O971" s="112">
        <v>6</v>
      </c>
    </row>
    <row r="972" spans="1:15" x14ac:dyDescent="0.2">
      <c r="A972" s="111">
        <v>1002</v>
      </c>
      <c r="B972" s="421" t="s">
        <v>1811</v>
      </c>
      <c r="C972" s="421" t="s">
        <v>501</v>
      </c>
      <c r="D972" s="422" t="s">
        <v>666</v>
      </c>
      <c r="E972" s="111">
        <v>44047</v>
      </c>
      <c r="F972" s="421" t="s">
        <v>1812</v>
      </c>
      <c r="G972" s="112">
        <v>1</v>
      </c>
    </row>
    <row r="973" spans="1:15" x14ac:dyDescent="0.2">
      <c r="A973" s="111">
        <v>1003</v>
      </c>
      <c r="B973" s="421" t="s">
        <v>1813</v>
      </c>
      <c r="C973" s="421" t="s">
        <v>17459</v>
      </c>
      <c r="D973" s="422" t="s">
        <v>663</v>
      </c>
      <c r="E973" s="111">
        <v>14415</v>
      </c>
      <c r="F973" s="421" t="s">
        <v>1301</v>
      </c>
    </row>
    <row r="974" spans="1:15" x14ac:dyDescent="0.2">
      <c r="A974" s="111">
        <v>1004</v>
      </c>
      <c r="B974" s="421" t="s">
        <v>1814</v>
      </c>
      <c r="C974" s="421" t="s">
        <v>1644</v>
      </c>
      <c r="D974" s="422" t="s">
        <v>663</v>
      </c>
      <c r="F974" s="421" t="s">
        <v>1815</v>
      </c>
      <c r="G974" s="112">
        <v>1</v>
      </c>
      <c r="H974" s="112">
        <v>1</v>
      </c>
      <c r="I974" s="112">
        <v>1</v>
      </c>
      <c r="J974" s="112">
        <v>1</v>
      </c>
      <c r="K974" s="112">
        <v>1</v>
      </c>
      <c r="L974" s="112">
        <v>1</v>
      </c>
      <c r="M974" s="112">
        <v>1</v>
      </c>
      <c r="N974" s="112">
        <v>1</v>
      </c>
      <c r="O974" s="112">
        <v>1</v>
      </c>
    </row>
    <row r="975" spans="1:15" x14ac:dyDescent="0.2">
      <c r="A975" s="111">
        <v>1005</v>
      </c>
      <c r="B975" s="421" t="s">
        <v>1816</v>
      </c>
      <c r="C975" s="421" t="s">
        <v>1817</v>
      </c>
      <c r="D975" s="422" t="s">
        <v>666</v>
      </c>
      <c r="E975" s="111">
        <v>14383</v>
      </c>
      <c r="F975" s="421" t="s">
        <v>1242</v>
      </c>
      <c r="G975" s="112">
        <v>1</v>
      </c>
      <c r="H975" s="112">
        <v>1</v>
      </c>
      <c r="I975" s="112">
        <v>1</v>
      </c>
      <c r="J975" s="112">
        <v>1</v>
      </c>
    </row>
    <row r="976" spans="1:15" x14ac:dyDescent="0.2">
      <c r="A976" s="111">
        <v>1006</v>
      </c>
      <c r="B976" s="421" t="s">
        <v>1818</v>
      </c>
      <c r="C976" s="421" t="s">
        <v>1817</v>
      </c>
      <c r="D976" s="422" t="s">
        <v>666</v>
      </c>
      <c r="E976" s="111">
        <v>14383</v>
      </c>
      <c r="F976" s="421" t="s">
        <v>1242</v>
      </c>
      <c r="G976" s="112">
        <v>1</v>
      </c>
      <c r="H976" s="112">
        <v>1</v>
      </c>
      <c r="I976" s="112">
        <v>1</v>
      </c>
      <c r="J976" s="112">
        <v>1</v>
      </c>
    </row>
    <row r="977" spans="1:15" x14ac:dyDescent="0.2">
      <c r="A977" s="111">
        <v>1007</v>
      </c>
      <c r="B977" s="421" t="s">
        <v>493</v>
      </c>
      <c r="C977" s="421" t="s">
        <v>520</v>
      </c>
      <c r="D977" s="422" t="s">
        <v>663</v>
      </c>
      <c r="E977" s="111">
        <v>14601</v>
      </c>
      <c r="F977" s="421" t="s">
        <v>1819</v>
      </c>
    </row>
    <row r="978" spans="1:15" x14ac:dyDescent="0.2">
      <c r="A978" s="111">
        <v>1008</v>
      </c>
      <c r="B978" s="421" t="s">
        <v>1820</v>
      </c>
      <c r="C978" s="421" t="s">
        <v>545</v>
      </c>
      <c r="D978" s="422" t="s">
        <v>666</v>
      </c>
      <c r="E978" s="111">
        <v>14602</v>
      </c>
      <c r="F978" s="421" t="s">
        <v>1821</v>
      </c>
      <c r="G978" s="112">
        <v>1</v>
      </c>
      <c r="H978" s="112">
        <v>1</v>
      </c>
      <c r="I978" s="112">
        <v>1</v>
      </c>
      <c r="J978" s="112">
        <v>7</v>
      </c>
      <c r="K978" s="112">
        <v>8</v>
      </c>
      <c r="L978" s="112">
        <v>8</v>
      </c>
      <c r="M978" s="112">
        <v>3</v>
      </c>
      <c r="N978" s="112">
        <v>3</v>
      </c>
      <c r="O978" s="112">
        <v>3</v>
      </c>
    </row>
    <row r="979" spans="1:15" x14ac:dyDescent="0.2">
      <c r="A979" s="111">
        <v>1009</v>
      </c>
      <c r="B979" s="421" t="s">
        <v>1822</v>
      </c>
      <c r="C979" s="421" t="s">
        <v>545</v>
      </c>
      <c r="D979" s="422" t="s">
        <v>663</v>
      </c>
      <c r="E979" s="111">
        <v>14602</v>
      </c>
      <c r="F979" s="421" t="s">
        <v>1821</v>
      </c>
      <c r="G979" s="112">
        <v>1</v>
      </c>
      <c r="H979" s="112">
        <v>1</v>
      </c>
      <c r="I979" s="112">
        <v>1</v>
      </c>
    </row>
    <row r="980" spans="1:15" x14ac:dyDescent="0.2">
      <c r="A980" s="111">
        <v>1010</v>
      </c>
      <c r="B980" s="421" t="s">
        <v>1823</v>
      </c>
      <c r="C980" s="421" t="s">
        <v>507</v>
      </c>
      <c r="D980" s="422" t="s">
        <v>666</v>
      </c>
      <c r="E980" s="111">
        <v>14360</v>
      </c>
      <c r="F980" s="421" t="s">
        <v>1411</v>
      </c>
      <c r="G980" s="112">
        <v>1</v>
      </c>
      <c r="H980" s="112">
        <v>1</v>
      </c>
      <c r="I980" s="112">
        <v>1</v>
      </c>
    </row>
    <row r="981" spans="1:15" x14ac:dyDescent="0.2">
      <c r="A981" s="111">
        <v>1011</v>
      </c>
      <c r="B981" s="421" t="s">
        <v>1460</v>
      </c>
      <c r="C981" s="421" t="s">
        <v>586</v>
      </c>
      <c r="D981" s="422" t="s">
        <v>663</v>
      </c>
      <c r="E981" s="111">
        <v>14603</v>
      </c>
      <c r="F981" s="421" t="s">
        <v>1824</v>
      </c>
    </row>
    <row r="982" spans="1:15" x14ac:dyDescent="0.2">
      <c r="A982" s="111">
        <v>1012</v>
      </c>
      <c r="B982" s="421" t="s">
        <v>1825</v>
      </c>
      <c r="C982" s="421" t="s">
        <v>528</v>
      </c>
      <c r="D982" s="422" t="s">
        <v>666</v>
      </c>
      <c r="F982" s="421" t="s">
        <v>1826</v>
      </c>
    </row>
    <row r="983" spans="1:15" x14ac:dyDescent="0.2">
      <c r="A983" s="111">
        <v>1013</v>
      </c>
      <c r="B983" s="421" t="s">
        <v>1827</v>
      </c>
      <c r="C983" s="421" t="s">
        <v>501</v>
      </c>
      <c r="D983" s="422" t="s">
        <v>666</v>
      </c>
      <c r="E983" s="111">
        <v>14604</v>
      </c>
      <c r="F983" s="421" t="s">
        <v>1828</v>
      </c>
      <c r="G983" s="112">
        <v>2</v>
      </c>
      <c r="H983" s="112">
        <v>2</v>
      </c>
      <c r="I983" s="112">
        <v>1</v>
      </c>
      <c r="J983" s="112">
        <v>2</v>
      </c>
      <c r="K983" s="112">
        <v>2</v>
      </c>
      <c r="L983" s="112">
        <v>2</v>
      </c>
    </row>
    <row r="984" spans="1:15" x14ac:dyDescent="0.2">
      <c r="A984" s="111">
        <v>1014</v>
      </c>
      <c r="B984" s="421" t="s">
        <v>1829</v>
      </c>
      <c r="C984" s="421" t="s">
        <v>521</v>
      </c>
      <c r="D984" s="422" t="s">
        <v>666</v>
      </c>
      <c r="E984" s="111">
        <v>14605</v>
      </c>
      <c r="F984" s="421" t="s">
        <v>1830</v>
      </c>
      <c r="G984" s="112">
        <v>1</v>
      </c>
      <c r="H984" s="112">
        <v>1</v>
      </c>
      <c r="I984" s="112">
        <v>1</v>
      </c>
    </row>
    <row r="985" spans="1:15" x14ac:dyDescent="0.2">
      <c r="A985" s="111">
        <v>1015</v>
      </c>
      <c r="B985" s="421" t="s">
        <v>1831</v>
      </c>
      <c r="C985" s="421" t="s">
        <v>551</v>
      </c>
      <c r="D985" s="422" t="s">
        <v>666</v>
      </c>
      <c r="E985" s="111">
        <v>14211</v>
      </c>
      <c r="F985" s="421" t="s">
        <v>1014</v>
      </c>
      <c r="G985" s="112">
        <v>1</v>
      </c>
      <c r="H985" s="112">
        <v>1</v>
      </c>
      <c r="I985" s="112">
        <v>1</v>
      </c>
      <c r="J985" s="112">
        <v>1</v>
      </c>
      <c r="L985" s="112">
        <v>1</v>
      </c>
    </row>
    <row r="986" spans="1:15" x14ac:dyDescent="0.2">
      <c r="A986" s="111">
        <v>1016</v>
      </c>
      <c r="B986" s="421" t="s">
        <v>1832</v>
      </c>
      <c r="C986" s="421" t="s">
        <v>502</v>
      </c>
      <c r="D986" s="422" t="s">
        <v>663</v>
      </c>
      <c r="E986" s="111">
        <v>14355</v>
      </c>
      <c r="F986" s="421" t="s">
        <v>723</v>
      </c>
      <c r="G986" s="112">
        <v>1</v>
      </c>
      <c r="H986" s="112">
        <v>1</v>
      </c>
      <c r="I986" s="112">
        <v>1</v>
      </c>
      <c r="J986" s="112">
        <v>2</v>
      </c>
      <c r="K986" s="112">
        <v>2</v>
      </c>
      <c r="L986" s="112">
        <v>2</v>
      </c>
      <c r="M986" s="112">
        <v>1</v>
      </c>
      <c r="O986" s="112">
        <v>2</v>
      </c>
    </row>
    <row r="987" spans="1:15" x14ac:dyDescent="0.2">
      <c r="A987" s="111">
        <v>1017</v>
      </c>
      <c r="B987" s="421" t="s">
        <v>1833</v>
      </c>
      <c r="C987" s="421" t="s">
        <v>506</v>
      </c>
      <c r="D987" s="422" t="s">
        <v>666</v>
      </c>
      <c r="E987" s="111">
        <v>14539</v>
      </c>
      <c r="F987" s="421" t="s">
        <v>1834</v>
      </c>
      <c r="G987" s="112">
        <v>1</v>
      </c>
      <c r="H987" s="112">
        <v>1</v>
      </c>
      <c r="I987" s="112">
        <v>1</v>
      </c>
    </row>
    <row r="988" spans="1:15" x14ac:dyDescent="0.2">
      <c r="A988" s="111">
        <v>1018</v>
      </c>
      <c r="B988" s="421" t="s">
        <v>1214</v>
      </c>
      <c r="C988" s="421" t="s">
        <v>1674</v>
      </c>
      <c r="D988" s="422" t="s">
        <v>666</v>
      </c>
      <c r="E988" s="111">
        <v>14607</v>
      </c>
      <c r="F988" s="421" t="s">
        <v>1835</v>
      </c>
      <c r="G988" s="112">
        <v>1</v>
      </c>
      <c r="H988" s="112">
        <v>1</v>
      </c>
      <c r="I988" s="112">
        <v>1</v>
      </c>
      <c r="J988" s="112">
        <v>1</v>
      </c>
      <c r="K988" s="112">
        <v>1</v>
      </c>
      <c r="L988" s="112">
        <v>1</v>
      </c>
    </row>
    <row r="989" spans="1:15" x14ac:dyDescent="0.2">
      <c r="A989" s="111">
        <v>1019</v>
      </c>
      <c r="B989" s="421" t="s">
        <v>110</v>
      </c>
      <c r="C989" s="421" t="s">
        <v>551</v>
      </c>
      <c r="D989" s="422" t="s">
        <v>666</v>
      </c>
      <c r="E989" s="111">
        <v>14608</v>
      </c>
      <c r="F989" s="421" t="s">
        <v>1531</v>
      </c>
    </row>
    <row r="990" spans="1:15" x14ac:dyDescent="0.2">
      <c r="A990" s="111">
        <v>1020</v>
      </c>
      <c r="B990" s="421" t="s">
        <v>1331</v>
      </c>
      <c r="C990" s="421" t="s">
        <v>569</v>
      </c>
      <c r="D990" s="422" t="s">
        <v>666</v>
      </c>
      <c r="E990" s="111">
        <v>16170</v>
      </c>
      <c r="F990" s="421" t="s">
        <v>1836</v>
      </c>
      <c r="G990" s="112">
        <v>1</v>
      </c>
    </row>
    <row r="991" spans="1:15" x14ac:dyDescent="0.2">
      <c r="A991" s="111">
        <v>1021</v>
      </c>
      <c r="B991" s="421" t="s">
        <v>1837</v>
      </c>
      <c r="C991" s="421" t="s">
        <v>547</v>
      </c>
      <c r="D991" s="422" t="s">
        <v>663</v>
      </c>
      <c r="F991" s="421" t="s">
        <v>1838</v>
      </c>
      <c r="H991" s="112">
        <v>1</v>
      </c>
    </row>
    <row r="992" spans="1:15" x14ac:dyDescent="0.2">
      <c r="A992" s="111">
        <v>1022</v>
      </c>
      <c r="B992" s="421" t="s">
        <v>1439</v>
      </c>
      <c r="C992" s="421" t="s">
        <v>510</v>
      </c>
      <c r="D992" s="422" t="s">
        <v>666</v>
      </c>
      <c r="E992" s="111">
        <v>14609</v>
      </c>
      <c r="F992" s="421" t="s">
        <v>1839</v>
      </c>
      <c r="G992" s="112">
        <v>1</v>
      </c>
      <c r="H992" s="112">
        <v>1</v>
      </c>
      <c r="I992" s="112">
        <v>1</v>
      </c>
      <c r="J992" s="112">
        <v>7</v>
      </c>
      <c r="K992" s="112">
        <v>7</v>
      </c>
      <c r="L992" s="112">
        <v>7</v>
      </c>
      <c r="M992" s="112">
        <v>5</v>
      </c>
      <c r="N992" s="112">
        <v>2</v>
      </c>
      <c r="O992" s="112">
        <v>3</v>
      </c>
    </row>
    <row r="993" spans="1:15" x14ac:dyDescent="0.2">
      <c r="A993" s="111">
        <v>1023</v>
      </c>
      <c r="B993" s="421" t="s">
        <v>1840</v>
      </c>
      <c r="C993" s="421" t="s">
        <v>506</v>
      </c>
      <c r="D993" s="422" t="s">
        <v>663</v>
      </c>
      <c r="E993" s="111">
        <v>14179</v>
      </c>
      <c r="F993" s="421" t="s">
        <v>883</v>
      </c>
      <c r="G993" s="112">
        <v>1</v>
      </c>
      <c r="H993" s="112">
        <v>3</v>
      </c>
      <c r="I993" s="112">
        <v>3</v>
      </c>
      <c r="J993" s="112">
        <v>2</v>
      </c>
      <c r="K993" s="112">
        <v>1</v>
      </c>
      <c r="L993" s="112">
        <v>2</v>
      </c>
    </row>
    <row r="994" spans="1:15" x14ac:dyDescent="0.2">
      <c r="A994" s="111">
        <v>1024</v>
      </c>
      <c r="B994" s="421" t="s">
        <v>392</v>
      </c>
      <c r="C994" s="421" t="s">
        <v>577</v>
      </c>
      <c r="D994" s="422" t="s">
        <v>666</v>
      </c>
      <c r="E994" s="111">
        <v>14364</v>
      </c>
      <c r="F994" s="421" t="s">
        <v>1202</v>
      </c>
    </row>
    <row r="995" spans="1:15" x14ac:dyDescent="0.2">
      <c r="A995" s="111">
        <v>1025</v>
      </c>
      <c r="B995" s="421" t="s">
        <v>337</v>
      </c>
      <c r="C995" s="421" t="s">
        <v>502</v>
      </c>
      <c r="D995" s="422" t="s">
        <v>666</v>
      </c>
      <c r="E995" s="111">
        <v>14611</v>
      </c>
      <c r="F995" s="421" t="s">
        <v>1841</v>
      </c>
      <c r="G995" s="112">
        <v>1</v>
      </c>
      <c r="H995" s="112">
        <v>1</v>
      </c>
      <c r="I995" s="112">
        <v>1</v>
      </c>
      <c r="J995" s="112">
        <v>1</v>
      </c>
      <c r="K995" s="112">
        <v>1</v>
      </c>
      <c r="L995" s="112">
        <v>1</v>
      </c>
    </row>
    <row r="996" spans="1:15" x14ac:dyDescent="0.2">
      <c r="A996" s="111">
        <v>1026</v>
      </c>
      <c r="B996" s="421" t="s">
        <v>1469</v>
      </c>
      <c r="C996" s="421" t="s">
        <v>522</v>
      </c>
      <c r="D996" s="422" t="s">
        <v>666</v>
      </c>
      <c r="E996" s="111">
        <v>14612</v>
      </c>
      <c r="F996" s="421" t="s">
        <v>1842</v>
      </c>
    </row>
    <row r="997" spans="1:15" x14ac:dyDescent="0.2">
      <c r="A997" s="111">
        <v>1027</v>
      </c>
      <c r="B997" s="421" t="s">
        <v>1843</v>
      </c>
      <c r="C997" s="421" t="s">
        <v>503</v>
      </c>
      <c r="D997" s="422" t="s">
        <v>666</v>
      </c>
      <c r="F997" s="421" t="s">
        <v>1844</v>
      </c>
      <c r="G997" s="112">
        <v>1</v>
      </c>
      <c r="H997" s="112">
        <v>1</v>
      </c>
    </row>
    <row r="998" spans="1:15" x14ac:dyDescent="0.2">
      <c r="A998" s="111">
        <v>1028</v>
      </c>
      <c r="B998" s="421" t="s">
        <v>1845</v>
      </c>
      <c r="C998" s="421" t="s">
        <v>1846</v>
      </c>
      <c r="D998" s="422" t="s">
        <v>666</v>
      </c>
      <c r="E998" s="111">
        <v>14614</v>
      </c>
      <c r="F998" s="421" t="s">
        <v>1847</v>
      </c>
    </row>
    <row r="999" spans="1:15" x14ac:dyDescent="0.2">
      <c r="A999" s="111">
        <v>1029</v>
      </c>
      <c r="B999" s="421" t="s">
        <v>1848</v>
      </c>
      <c r="C999" s="421" t="s">
        <v>1849</v>
      </c>
      <c r="D999" s="422" t="s">
        <v>666</v>
      </c>
      <c r="E999" s="111">
        <v>14615</v>
      </c>
      <c r="F999" s="421" t="s">
        <v>1850</v>
      </c>
      <c r="G999" s="112">
        <v>1</v>
      </c>
      <c r="H999" s="112">
        <v>1</v>
      </c>
      <c r="I999" s="112">
        <v>1</v>
      </c>
    </row>
    <row r="1000" spans="1:15" x14ac:dyDescent="0.2">
      <c r="A1000" s="111">
        <v>1030</v>
      </c>
      <c r="B1000" s="421" t="s">
        <v>1851</v>
      </c>
      <c r="C1000" s="421" t="s">
        <v>542</v>
      </c>
      <c r="D1000" s="422" t="s">
        <v>663</v>
      </c>
      <c r="F1000" s="421" t="s">
        <v>1852</v>
      </c>
    </row>
    <row r="1001" spans="1:15" x14ac:dyDescent="0.2">
      <c r="A1001" s="111">
        <v>1031</v>
      </c>
      <c r="B1001" s="421" t="s">
        <v>1853</v>
      </c>
      <c r="C1001" s="421" t="s">
        <v>542</v>
      </c>
      <c r="D1001" s="422" t="s">
        <v>666</v>
      </c>
      <c r="F1001" s="421" t="s">
        <v>1852</v>
      </c>
      <c r="G1001" s="112">
        <v>1</v>
      </c>
    </row>
    <row r="1002" spans="1:15" x14ac:dyDescent="0.2">
      <c r="A1002" s="111">
        <v>1032</v>
      </c>
      <c r="B1002" s="421" t="s">
        <v>186</v>
      </c>
      <c r="C1002" s="421" t="s">
        <v>532</v>
      </c>
      <c r="D1002" s="422" t="s">
        <v>663</v>
      </c>
      <c r="F1002" s="421" t="s">
        <v>1854</v>
      </c>
    </row>
    <row r="1003" spans="1:15" x14ac:dyDescent="0.2">
      <c r="A1003" s="111">
        <v>1033</v>
      </c>
      <c r="B1003" s="421" t="s">
        <v>1855</v>
      </c>
      <c r="C1003" s="421" t="s">
        <v>581</v>
      </c>
      <c r="D1003" s="422" t="s">
        <v>663</v>
      </c>
      <c r="E1003" s="111">
        <v>1424</v>
      </c>
      <c r="F1003" s="421" t="s">
        <v>792</v>
      </c>
    </row>
    <row r="1004" spans="1:15" x14ac:dyDescent="0.2">
      <c r="A1004" s="111">
        <v>1034</v>
      </c>
      <c r="B1004" s="421" t="s">
        <v>1856</v>
      </c>
      <c r="C1004" s="421" t="s">
        <v>506</v>
      </c>
      <c r="D1004" s="422" t="s">
        <v>666</v>
      </c>
      <c r="E1004" s="111">
        <v>14617</v>
      </c>
      <c r="F1004" s="421" t="s">
        <v>1857</v>
      </c>
      <c r="G1004" s="112">
        <v>1</v>
      </c>
      <c r="H1004" s="112">
        <v>1</v>
      </c>
      <c r="I1004" s="112">
        <v>1</v>
      </c>
    </row>
    <row r="1005" spans="1:15" x14ac:dyDescent="0.2">
      <c r="A1005" s="111">
        <v>1035</v>
      </c>
      <c r="B1005" s="421" t="s">
        <v>1858</v>
      </c>
      <c r="C1005" s="421" t="s">
        <v>1523</v>
      </c>
      <c r="D1005" s="422" t="s">
        <v>666</v>
      </c>
      <c r="E1005" s="111">
        <v>14504</v>
      </c>
      <c r="F1005" s="421" t="s">
        <v>1524</v>
      </c>
      <c r="G1005" s="112">
        <v>1</v>
      </c>
      <c r="H1005" s="112">
        <v>1</v>
      </c>
      <c r="I1005" s="112">
        <v>1</v>
      </c>
    </row>
    <row r="1006" spans="1:15" x14ac:dyDescent="0.2">
      <c r="A1006" s="111">
        <v>1036</v>
      </c>
      <c r="B1006" s="421" t="s">
        <v>1859</v>
      </c>
      <c r="C1006" s="421" t="s">
        <v>501</v>
      </c>
      <c r="D1006" s="422" t="s">
        <v>663</v>
      </c>
      <c r="F1006" s="421" t="s">
        <v>1860</v>
      </c>
      <c r="G1006" s="112">
        <v>1</v>
      </c>
      <c r="H1006" s="112">
        <v>1</v>
      </c>
      <c r="I1006" s="112">
        <v>1</v>
      </c>
      <c r="J1006" s="112">
        <v>1</v>
      </c>
      <c r="K1006" s="112">
        <v>1</v>
      </c>
      <c r="L1006" s="112">
        <v>1</v>
      </c>
      <c r="M1006" s="112">
        <v>1</v>
      </c>
      <c r="N1006" s="112">
        <v>1</v>
      </c>
      <c r="O1006" s="112">
        <v>1</v>
      </c>
    </row>
    <row r="1007" spans="1:15" x14ac:dyDescent="0.2">
      <c r="A1007" s="111">
        <v>1037</v>
      </c>
      <c r="B1007" s="421" t="s">
        <v>1861</v>
      </c>
      <c r="C1007" s="421" t="s">
        <v>1862</v>
      </c>
      <c r="D1007" s="422" t="s">
        <v>663</v>
      </c>
      <c r="E1007" s="111">
        <v>14355</v>
      </c>
      <c r="F1007" s="421" t="s">
        <v>723</v>
      </c>
      <c r="G1007" s="112">
        <v>1</v>
      </c>
      <c r="H1007" s="112">
        <v>1</v>
      </c>
      <c r="I1007" s="112">
        <v>1</v>
      </c>
      <c r="J1007" s="112">
        <v>1</v>
      </c>
      <c r="L1007" s="112">
        <v>1</v>
      </c>
    </row>
    <row r="1008" spans="1:15" x14ac:dyDescent="0.2">
      <c r="A1008" s="111">
        <v>1038</v>
      </c>
      <c r="B1008" s="421" t="s">
        <v>1863</v>
      </c>
      <c r="C1008" s="421" t="s">
        <v>501</v>
      </c>
      <c r="D1008" s="422" t="s">
        <v>663</v>
      </c>
      <c r="E1008" s="111">
        <v>14355</v>
      </c>
      <c r="F1008" s="421" t="s">
        <v>723</v>
      </c>
      <c r="G1008" s="112">
        <v>1</v>
      </c>
      <c r="H1008" s="112">
        <v>1</v>
      </c>
      <c r="I1008" s="112">
        <v>1</v>
      </c>
      <c r="J1008" s="112">
        <v>3</v>
      </c>
      <c r="K1008" s="112">
        <v>1</v>
      </c>
      <c r="L1008" s="112">
        <v>2</v>
      </c>
    </row>
    <row r="1009" spans="1:15" x14ac:dyDescent="0.2">
      <c r="A1009" s="111">
        <v>1039</v>
      </c>
      <c r="B1009" s="421" t="s">
        <v>1864</v>
      </c>
      <c r="C1009" s="421" t="s">
        <v>574</v>
      </c>
      <c r="D1009" s="422" t="s">
        <v>666</v>
      </c>
      <c r="E1009" s="111">
        <v>14618</v>
      </c>
      <c r="F1009" s="421" t="s">
        <v>1865</v>
      </c>
    </row>
    <row r="1010" spans="1:15" x14ac:dyDescent="0.2">
      <c r="A1010" s="111">
        <v>1040</v>
      </c>
      <c r="B1010" s="421" t="s">
        <v>143</v>
      </c>
      <c r="C1010" s="421" t="s">
        <v>1523</v>
      </c>
      <c r="D1010" s="422" t="s">
        <v>666</v>
      </c>
      <c r="E1010" s="111">
        <v>14618</v>
      </c>
      <c r="F1010" s="421" t="s">
        <v>1865</v>
      </c>
    </row>
    <row r="1011" spans="1:15" x14ac:dyDescent="0.2">
      <c r="A1011" s="111">
        <v>1041</v>
      </c>
      <c r="B1011" s="421" t="s">
        <v>1866</v>
      </c>
      <c r="C1011" s="421" t="s">
        <v>503</v>
      </c>
      <c r="D1011" s="422" t="s">
        <v>666</v>
      </c>
      <c r="E1011" s="111">
        <v>14619</v>
      </c>
      <c r="F1011" s="421" t="s">
        <v>1867</v>
      </c>
      <c r="H1011" s="112">
        <v>1</v>
      </c>
    </row>
    <row r="1012" spans="1:15" x14ac:dyDescent="0.2">
      <c r="A1012" s="111">
        <v>1042</v>
      </c>
      <c r="B1012" s="421" t="s">
        <v>122</v>
      </c>
      <c r="C1012" s="421" t="s">
        <v>518</v>
      </c>
      <c r="D1012" s="422" t="s">
        <v>663</v>
      </c>
      <c r="E1012" s="111">
        <v>14621</v>
      </c>
      <c r="F1012" s="421" t="s">
        <v>1868</v>
      </c>
      <c r="G1012" s="112">
        <v>1</v>
      </c>
      <c r="H1012" s="112">
        <v>1</v>
      </c>
      <c r="I1012" s="112">
        <v>1</v>
      </c>
      <c r="J1012" s="112">
        <v>1</v>
      </c>
    </row>
    <row r="1013" spans="1:15" x14ac:dyDescent="0.2">
      <c r="A1013" s="111">
        <v>1043</v>
      </c>
      <c r="B1013" s="421" t="s">
        <v>1869</v>
      </c>
      <c r="C1013" s="421" t="s">
        <v>1870</v>
      </c>
      <c r="D1013" s="422" t="s">
        <v>663</v>
      </c>
      <c r="E1013" s="111">
        <v>14638</v>
      </c>
      <c r="F1013" s="421" t="s">
        <v>8227</v>
      </c>
      <c r="G1013" s="112">
        <v>1</v>
      </c>
      <c r="H1013" s="112">
        <v>2</v>
      </c>
      <c r="I1013" s="112">
        <v>1</v>
      </c>
    </row>
    <row r="1014" spans="1:15" x14ac:dyDescent="0.2">
      <c r="A1014" s="111">
        <v>1044</v>
      </c>
      <c r="B1014" s="421" t="s">
        <v>1871</v>
      </c>
      <c r="C1014" s="421" t="s">
        <v>507</v>
      </c>
      <c r="D1014" s="422" t="s">
        <v>666</v>
      </c>
      <c r="E1014" s="111">
        <v>14466</v>
      </c>
      <c r="F1014" s="421" t="s">
        <v>1872</v>
      </c>
      <c r="G1014" s="112">
        <v>2</v>
      </c>
      <c r="H1014" s="112">
        <v>1</v>
      </c>
      <c r="I1014" s="112">
        <v>2</v>
      </c>
      <c r="J1014" s="112">
        <v>1</v>
      </c>
      <c r="K1014" s="112">
        <v>1</v>
      </c>
      <c r="L1014" s="112">
        <v>1</v>
      </c>
    </row>
    <row r="1015" spans="1:15" x14ac:dyDescent="0.2">
      <c r="A1015" s="111">
        <v>1045</v>
      </c>
      <c r="B1015" s="421" t="s">
        <v>1873</v>
      </c>
      <c r="C1015" s="421" t="s">
        <v>506</v>
      </c>
      <c r="D1015" s="422" t="s">
        <v>666</v>
      </c>
      <c r="E1015" s="111">
        <v>14986</v>
      </c>
      <c r="F1015" s="421" t="s">
        <v>1874</v>
      </c>
      <c r="G1015" s="112">
        <v>1</v>
      </c>
      <c r="H1015" s="112">
        <v>1</v>
      </c>
      <c r="I1015" s="112">
        <v>1</v>
      </c>
    </row>
    <row r="1016" spans="1:15" x14ac:dyDescent="0.2">
      <c r="A1016" s="111">
        <v>1046</v>
      </c>
      <c r="B1016" s="421" t="s">
        <v>1875</v>
      </c>
      <c r="C1016" s="421" t="s">
        <v>502</v>
      </c>
      <c r="D1016" s="422" t="s">
        <v>663</v>
      </c>
      <c r="F1016" s="421" t="s">
        <v>1876</v>
      </c>
      <c r="G1016" s="112">
        <v>1</v>
      </c>
      <c r="H1016" s="112">
        <v>1</v>
      </c>
      <c r="I1016" s="112">
        <v>1</v>
      </c>
      <c r="J1016" s="112">
        <v>2</v>
      </c>
      <c r="K1016" s="112">
        <v>3</v>
      </c>
      <c r="L1016" s="112">
        <v>3</v>
      </c>
      <c r="M1016" s="112">
        <v>1</v>
      </c>
      <c r="O1016" s="112">
        <v>2</v>
      </c>
    </row>
    <row r="1017" spans="1:15" x14ac:dyDescent="0.2">
      <c r="A1017" s="111">
        <v>1047</v>
      </c>
      <c r="B1017" s="421" t="s">
        <v>1877</v>
      </c>
      <c r="C1017" s="421" t="s">
        <v>503</v>
      </c>
      <c r="D1017" s="422" t="s">
        <v>666</v>
      </c>
      <c r="F1017" s="421" t="s">
        <v>1878</v>
      </c>
      <c r="G1017" s="112">
        <v>1</v>
      </c>
      <c r="H1017" s="112">
        <v>1</v>
      </c>
    </row>
    <row r="1018" spans="1:15" x14ac:dyDescent="0.2">
      <c r="A1018" s="111">
        <v>1048</v>
      </c>
      <c r="B1018" s="421" t="s">
        <v>1359</v>
      </c>
      <c r="C1018" s="421" t="s">
        <v>501</v>
      </c>
      <c r="D1018" s="422" t="s">
        <v>663</v>
      </c>
      <c r="F1018" s="421" t="s">
        <v>1879</v>
      </c>
    </row>
    <row r="1019" spans="1:15" x14ac:dyDescent="0.2">
      <c r="A1019" s="111">
        <v>1049</v>
      </c>
      <c r="B1019" s="421" t="s">
        <v>365</v>
      </c>
      <c r="C1019" s="421" t="s">
        <v>501</v>
      </c>
      <c r="D1019" s="422" t="s">
        <v>666</v>
      </c>
      <c r="E1019" s="111">
        <v>14667</v>
      </c>
      <c r="F1019" s="421" t="s">
        <v>1880</v>
      </c>
      <c r="G1019" s="112">
        <v>1</v>
      </c>
      <c r="H1019" s="112">
        <v>1</v>
      </c>
      <c r="I1019" s="112">
        <v>1</v>
      </c>
      <c r="J1019" s="112">
        <v>5</v>
      </c>
      <c r="K1019" s="112">
        <v>5</v>
      </c>
      <c r="L1019" s="112">
        <v>5</v>
      </c>
      <c r="M1019" s="112">
        <v>5</v>
      </c>
      <c r="N1019" s="112">
        <v>5</v>
      </c>
      <c r="O1019" s="112">
        <v>5</v>
      </c>
    </row>
    <row r="1020" spans="1:15" x14ac:dyDescent="0.2">
      <c r="A1020" s="111">
        <v>1050</v>
      </c>
      <c r="B1020" s="421" t="s">
        <v>1881</v>
      </c>
      <c r="C1020" s="421" t="s">
        <v>516</v>
      </c>
      <c r="D1020" s="422" t="s">
        <v>663</v>
      </c>
      <c r="F1020" s="421" t="s">
        <v>1882</v>
      </c>
      <c r="G1020" s="112">
        <v>2</v>
      </c>
      <c r="H1020" s="112">
        <v>2</v>
      </c>
      <c r="I1020" s="112">
        <v>1</v>
      </c>
      <c r="J1020" s="112">
        <v>2</v>
      </c>
      <c r="K1020" s="112">
        <v>1</v>
      </c>
      <c r="L1020" s="112">
        <v>1</v>
      </c>
    </row>
    <row r="1021" spans="1:15" x14ac:dyDescent="0.2">
      <c r="A1021" s="111">
        <v>1051</v>
      </c>
      <c r="B1021" s="421" t="s">
        <v>437</v>
      </c>
      <c r="C1021" s="421" t="s">
        <v>518</v>
      </c>
      <c r="D1021" s="422" t="s">
        <v>663</v>
      </c>
      <c r="E1021" s="111">
        <v>14623</v>
      </c>
      <c r="F1021" s="421" t="s">
        <v>1883</v>
      </c>
      <c r="G1021" s="112">
        <v>1</v>
      </c>
      <c r="H1021" s="112">
        <v>1</v>
      </c>
      <c r="I1021" s="112">
        <v>1</v>
      </c>
      <c r="J1021" s="112">
        <v>1</v>
      </c>
      <c r="K1021" s="112">
        <v>1</v>
      </c>
      <c r="L1021" s="112">
        <v>1</v>
      </c>
    </row>
    <row r="1022" spans="1:15" x14ac:dyDescent="0.2">
      <c r="A1022" s="111">
        <v>1052</v>
      </c>
      <c r="B1022" s="421" t="s">
        <v>1884</v>
      </c>
      <c r="C1022" s="421" t="s">
        <v>558</v>
      </c>
      <c r="D1022" s="422" t="s">
        <v>663</v>
      </c>
      <c r="F1022" s="421" t="s">
        <v>1885</v>
      </c>
      <c r="G1022" s="112">
        <v>1</v>
      </c>
      <c r="H1022" s="112">
        <v>1</v>
      </c>
      <c r="I1022" s="112">
        <v>1</v>
      </c>
      <c r="J1022" s="112">
        <v>1</v>
      </c>
    </row>
    <row r="1023" spans="1:15" x14ac:dyDescent="0.2">
      <c r="A1023" s="111">
        <v>1053</v>
      </c>
      <c r="B1023" s="421" t="s">
        <v>1886</v>
      </c>
      <c r="C1023" s="421" t="s">
        <v>516</v>
      </c>
      <c r="D1023" s="422" t="s">
        <v>663</v>
      </c>
      <c r="E1023" s="111">
        <v>149</v>
      </c>
      <c r="F1023" s="421" t="s">
        <v>759</v>
      </c>
      <c r="G1023" s="112">
        <v>1</v>
      </c>
      <c r="H1023" s="112">
        <v>1</v>
      </c>
      <c r="I1023" s="112">
        <v>1</v>
      </c>
      <c r="J1023" s="112">
        <v>6</v>
      </c>
      <c r="K1023" s="112">
        <v>7</v>
      </c>
      <c r="L1023" s="112">
        <v>8</v>
      </c>
      <c r="M1023" s="112">
        <v>4</v>
      </c>
      <c r="N1023" s="112">
        <v>4</v>
      </c>
      <c r="O1023" s="112">
        <v>3</v>
      </c>
    </row>
    <row r="1024" spans="1:15" x14ac:dyDescent="0.2">
      <c r="A1024" s="111">
        <v>1054</v>
      </c>
      <c r="B1024" s="421" t="s">
        <v>1863</v>
      </c>
      <c r="C1024" s="421" t="s">
        <v>501</v>
      </c>
      <c r="D1024" s="422" t="s">
        <v>663</v>
      </c>
      <c r="E1024" s="111">
        <v>14606</v>
      </c>
      <c r="F1024" s="421" t="s">
        <v>1887</v>
      </c>
      <c r="G1024" s="112">
        <v>1</v>
      </c>
    </row>
    <row r="1025" spans="1:15" x14ac:dyDescent="0.2">
      <c r="A1025" s="111">
        <v>1055</v>
      </c>
      <c r="B1025" s="421" t="s">
        <v>213</v>
      </c>
      <c r="C1025" s="421" t="s">
        <v>582</v>
      </c>
      <c r="D1025" s="422" t="s">
        <v>666</v>
      </c>
      <c r="E1025" s="111">
        <v>14625</v>
      </c>
      <c r="F1025" s="421" t="s">
        <v>1888</v>
      </c>
      <c r="G1025" s="112">
        <v>1</v>
      </c>
      <c r="H1025" s="112">
        <v>1</v>
      </c>
      <c r="I1025" s="112">
        <v>4</v>
      </c>
      <c r="J1025" s="112">
        <v>5</v>
      </c>
      <c r="K1025" s="112">
        <v>5</v>
      </c>
      <c r="L1025" s="112">
        <v>4</v>
      </c>
      <c r="M1025" s="112">
        <v>4</v>
      </c>
      <c r="N1025" s="112">
        <v>2</v>
      </c>
      <c r="O1025" s="112">
        <v>2</v>
      </c>
    </row>
    <row r="1026" spans="1:15" x14ac:dyDescent="0.2">
      <c r="A1026" s="111">
        <v>1056</v>
      </c>
      <c r="B1026" s="421" t="s">
        <v>1889</v>
      </c>
      <c r="C1026" s="421" t="s">
        <v>504</v>
      </c>
      <c r="D1026" s="422" t="s">
        <v>666</v>
      </c>
      <c r="F1026" s="421" t="s">
        <v>1890</v>
      </c>
    </row>
    <row r="1027" spans="1:15" x14ac:dyDescent="0.2">
      <c r="A1027" s="111">
        <v>1057</v>
      </c>
      <c r="B1027" s="421" t="s">
        <v>1891</v>
      </c>
      <c r="C1027" s="421" t="s">
        <v>504</v>
      </c>
      <c r="D1027" s="422" t="s">
        <v>666</v>
      </c>
      <c r="F1027" s="421" t="s">
        <v>1890</v>
      </c>
      <c r="G1027" s="112">
        <v>1</v>
      </c>
    </row>
    <row r="1028" spans="1:15" x14ac:dyDescent="0.2">
      <c r="A1028" s="111">
        <v>1058</v>
      </c>
      <c r="B1028" s="421" t="s">
        <v>1892</v>
      </c>
      <c r="C1028" s="421" t="s">
        <v>504</v>
      </c>
      <c r="D1028" s="422" t="s">
        <v>663</v>
      </c>
      <c r="F1028" s="421" t="s">
        <v>1890</v>
      </c>
    </row>
    <row r="1029" spans="1:15" x14ac:dyDescent="0.2">
      <c r="A1029" s="111">
        <v>1059</v>
      </c>
      <c r="B1029" s="421" t="s">
        <v>1893</v>
      </c>
      <c r="C1029" s="421" t="s">
        <v>510</v>
      </c>
      <c r="D1029" s="422" t="s">
        <v>666</v>
      </c>
      <c r="E1029" s="111">
        <v>14626</v>
      </c>
      <c r="F1029" s="421" t="s">
        <v>1894</v>
      </c>
      <c r="G1029" s="112">
        <v>1</v>
      </c>
      <c r="H1029" s="112">
        <v>1</v>
      </c>
    </row>
    <row r="1030" spans="1:15" x14ac:dyDescent="0.2">
      <c r="A1030" s="111">
        <v>1060</v>
      </c>
      <c r="B1030" s="421" t="s">
        <v>1895</v>
      </c>
      <c r="C1030" s="421" t="s">
        <v>526</v>
      </c>
      <c r="D1030" s="422" t="s">
        <v>666</v>
      </c>
      <c r="E1030" s="111">
        <v>14627</v>
      </c>
      <c r="F1030" s="421" t="s">
        <v>1896</v>
      </c>
      <c r="G1030" s="112">
        <v>1</v>
      </c>
      <c r="H1030" s="112">
        <v>1</v>
      </c>
      <c r="I1030" s="112">
        <v>1</v>
      </c>
      <c r="J1030" s="112">
        <v>3</v>
      </c>
      <c r="K1030" s="112">
        <v>3</v>
      </c>
      <c r="L1030" s="112">
        <v>3</v>
      </c>
      <c r="M1030" s="112">
        <v>2</v>
      </c>
      <c r="N1030" s="112">
        <v>2</v>
      </c>
      <c r="O1030" s="112">
        <v>2</v>
      </c>
    </row>
    <row r="1031" spans="1:15" x14ac:dyDescent="0.2">
      <c r="A1031" s="111">
        <v>1061</v>
      </c>
      <c r="B1031" s="421" t="s">
        <v>252</v>
      </c>
      <c r="C1031" s="421" t="s">
        <v>569</v>
      </c>
      <c r="D1031" s="422" t="s">
        <v>666</v>
      </c>
      <c r="E1031" s="111">
        <v>14457</v>
      </c>
      <c r="F1031" s="421" t="s">
        <v>1899</v>
      </c>
      <c r="G1031" s="112">
        <v>2</v>
      </c>
      <c r="H1031" s="112">
        <v>1</v>
      </c>
      <c r="I1031" s="112">
        <v>2</v>
      </c>
    </row>
    <row r="1032" spans="1:15" x14ac:dyDescent="0.2">
      <c r="A1032" s="111">
        <v>1062</v>
      </c>
      <c r="B1032" s="421" t="s">
        <v>485</v>
      </c>
      <c r="C1032" s="421" t="s">
        <v>514</v>
      </c>
      <c r="D1032" s="422" t="s">
        <v>666</v>
      </c>
      <c r="E1032" s="111">
        <v>14677</v>
      </c>
      <c r="F1032" s="421" t="s">
        <v>1900</v>
      </c>
      <c r="G1032" s="112">
        <v>1</v>
      </c>
      <c r="H1032" s="112">
        <v>1</v>
      </c>
      <c r="I1032" s="112">
        <v>1</v>
      </c>
      <c r="J1032" s="112">
        <v>3</v>
      </c>
      <c r="K1032" s="112">
        <v>2</v>
      </c>
      <c r="L1032" s="112">
        <v>1</v>
      </c>
    </row>
    <row r="1033" spans="1:15" x14ac:dyDescent="0.2">
      <c r="A1033" s="111">
        <v>1063</v>
      </c>
      <c r="B1033" s="421" t="s">
        <v>1901</v>
      </c>
      <c r="C1033" s="421" t="s">
        <v>4162</v>
      </c>
      <c r="D1033" s="422" t="s">
        <v>663</v>
      </c>
      <c r="E1033" s="111">
        <v>14616</v>
      </c>
      <c r="F1033" s="421" t="s">
        <v>1902</v>
      </c>
      <c r="G1033" s="112">
        <v>1</v>
      </c>
      <c r="H1033" s="112">
        <v>1</v>
      </c>
      <c r="I1033" s="112">
        <v>1</v>
      </c>
      <c r="J1033" s="112">
        <v>4</v>
      </c>
      <c r="K1033" s="112">
        <v>3</v>
      </c>
      <c r="L1033" s="112">
        <v>3</v>
      </c>
      <c r="M1033" s="112">
        <v>4</v>
      </c>
      <c r="N1033" s="112">
        <v>2</v>
      </c>
      <c r="O1033" s="112">
        <v>1</v>
      </c>
    </row>
    <row r="1034" spans="1:15" x14ac:dyDescent="0.2">
      <c r="A1034" s="111">
        <v>1064</v>
      </c>
      <c r="B1034" s="421" t="s">
        <v>1820</v>
      </c>
      <c r="C1034" s="421" t="s">
        <v>503</v>
      </c>
      <c r="D1034" s="422" t="s">
        <v>666</v>
      </c>
      <c r="E1034" s="111">
        <v>14631</v>
      </c>
      <c r="F1034" s="421" t="s">
        <v>968</v>
      </c>
      <c r="G1034" s="112">
        <v>1</v>
      </c>
      <c r="H1034" s="112">
        <v>1</v>
      </c>
      <c r="I1034" s="112">
        <v>1</v>
      </c>
      <c r="J1034" s="112">
        <v>7</v>
      </c>
      <c r="K1034" s="112">
        <v>6</v>
      </c>
      <c r="L1034" s="112">
        <v>6</v>
      </c>
      <c r="M1034" s="112">
        <v>4</v>
      </c>
      <c r="N1034" s="112">
        <v>4</v>
      </c>
      <c r="O1034" s="112">
        <v>4</v>
      </c>
    </row>
    <row r="1035" spans="1:15" x14ac:dyDescent="0.2">
      <c r="A1035" s="111">
        <v>1065</v>
      </c>
      <c r="B1035" s="421" t="s">
        <v>1072</v>
      </c>
      <c r="C1035" s="421" t="s">
        <v>507</v>
      </c>
      <c r="D1035" s="422" t="s">
        <v>663</v>
      </c>
      <c r="E1035" s="111">
        <v>14360</v>
      </c>
      <c r="F1035" s="421" t="s">
        <v>1411</v>
      </c>
      <c r="G1035" s="112">
        <v>1</v>
      </c>
    </row>
    <row r="1036" spans="1:15" x14ac:dyDescent="0.2">
      <c r="A1036" s="111">
        <v>1066</v>
      </c>
      <c r="B1036" s="421" t="s">
        <v>1903</v>
      </c>
      <c r="C1036" s="421" t="s">
        <v>503</v>
      </c>
      <c r="D1036" s="422" t="s">
        <v>663</v>
      </c>
      <c r="E1036" s="111">
        <v>14633</v>
      </c>
      <c r="F1036" s="421" t="s">
        <v>1904</v>
      </c>
    </row>
    <row r="1037" spans="1:15" x14ac:dyDescent="0.2">
      <c r="A1037" s="111">
        <v>1067</v>
      </c>
      <c r="B1037" s="421" t="s">
        <v>1905</v>
      </c>
      <c r="C1037" s="421" t="s">
        <v>503</v>
      </c>
      <c r="D1037" s="422" t="s">
        <v>666</v>
      </c>
      <c r="E1037" s="111">
        <v>14634</v>
      </c>
      <c r="F1037" s="421" t="s">
        <v>1906</v>
      </c>
      <c r="G1037" s="112">
        <v>1</v>
      </c>
      <c r="H1037" s="112">
        <v>1</v>
      </c>
      <c r="I1037" s="112">
        <v>1</v>
      </c>
      <c r="J1037" s="112">
        <v>8</v>
      </c>
      <c r="K1037" s="112">
        <v>8</v>
      </c>
      <c r="L1037" s="112">
        <v>8</v>
      </c>
      <c r="M1037" s="112">
        <v>8</v>
      </c>
      <c r="N1037" s="112">
        <v>6</v>
      </c>
      <c r="O1037" s="112">
        <v>7</v>
      </c>
    </row>
    <row r="1038" spans="1:15" x14ac:dyDescent="0.2">
      <c r="A1038" s="111">
        <v>1068</v>
      </c>
      <c r="B1038" s="421" t="s">
        <v>1907</v>
      </c>
      <c r="C1038" s="421" t="s">
        <v>1908</v>
      </c>
      <c r="D1038" s="422" t="s">
        <v>663</v>
      </c>
      <c r="E1038" s="111">
        <v>14629</v>
      </c>
      <c r="F1038" s="421" t="s">
        <v>1909</v>
      </c>
    </row>
    <row r="1039" spans="1:15" x14ac:dyDescent="0.2">
      <c r="A1039" s="111">
        <v>1069</v>
      </c>
      <c r="B1039" s="421" t="s">
        <v>1910</v>
      </c>
      <c r="C1039" s="421" t="s">
        <v>503</v>
      </c>
      <c r="D1039" s="422" t="s">
        <v>666</v>
      </c>
      <c r="E1039" s="111">
        <v>14629</v>
      </c>
      <c r="F1039" s="421" t="s">
        <v>1909</v>
      </c>
    </row>
    <row r="1040" spans="1:15" x14ac:dyDescent="0.2">
      <c r="A1040" s="111">
        <v>1070</v>
      </c>
      <c r="B1040" s="421" t="s">
        <v>416</v>
      </c>
      <c r="C1040" s="421" t="s">
        <v>506</v>
      </c>
      <c r="D1040" s="422" t="s">
        <v>663</v>
      </c>
      <c r="E1040" s="111">
        <v>14635</v>
      </c>
      <c r="F1040" s="421" t="s">
        <v>2837</v>
      </c>
      <c r="G1040" s="112">
        <v>1</v>
      </c>
      <c r="J1040" s="112">
        <v>1</v>
      </c>
    </row>
    <row r="1041" spans="1:15" x14ac:dyDescent="0.2">
      <c r="A1041" s="111">
        <v>1071</v>
      </c>
      <c r="B1041" s="421" t="s">
        <v>1585</v>
      </c>
      <c r="C1041" s="421" t="s">
        <v>506</v>
      </c>
      <c r="D1041" s="422" t="s">
        <v>666</v>
      </c>
      <c r="E1041" s="111">
        <v>14635</v>
      </c>
      <c r="F1041" s="421" t="s">
        <v>2837</v>
      </c>
      <c r="G1041" s="112">
        <v>1</v>
      </c>
      <c r="J1041" s="112">
        <v>1</v>
      </c>
    </row>
    <row r="1042" spans="1:15" x14ac:dyDescent="0.2">
      <c r="A1042" s="111">
        <v>1072</v>
      </c>
      <c r="B1042" s="421" t="s">
        <v>1911</v>
      </c>
      <c r="C1042" s="421" t="s">
        <v>1758</v>
      </c>
      <c r="D1042" s="422" t="s">
        <v>663</v>
      </c>
      <c r="E1042" s="111">
        <v>14636</v>
      </c>
      <c r="F1042" s="421" t="s">
        <v>1912</v>
      </c>
      <c r="G1042" s="112">
        <v>1</v>
      </c>
      <c r="H1042" s="112">
        <v>1</v>
      </c>
      <c r="I1042" s="112">
        <v>1</v>
      </c>
    </row>
    <row r="1043" spans="1:15" x14ac:dyDescent="0.2">
      <c r="A1043" s="111">
        <v>1073</v>
      </c>
      <c r="B1043" s="421" t="s">
        <v>1913</v>
      </c>
      <c r="C1043" s="421" t="s">
        <v>551</v>
      </c>
      <c r="D1043" s="422" t="s">
        <v>666</v>
      </c>
      <c r="E1043" s="111">
        <v>14637</v>
      </c>
      <c r="F1043" s="421" t="s">
        <v>1914</v>
      </c>
      <c r="G1043" s="112">
        <v>1</v>
      </c>
      <c r="H1043" s="112">
        <v>1</v>
      </c>
      <c r="I1043" s="112">
        <v>1</v>
      </c>
    </row>
    <row r="1044" spans="1:15" x14ac:dyDescent="0.2">
      <c r="A1044" s="111">
        <v>1074</v>
      </c>
      <c r="B1044" s="421" t="s">
        <v>1829</v>
      </c>
      <c r="C1044" s="421" t="s">
        <v>1915</v>
      </c>
      <c r="D1044" s="422" t="s">
        <v>666</v>
      </c>
      <c r="F1044" s="421" t="s">
        <v>1916</v>
      </c>
    </row>
    <row r="1045" spans="1:15" x14ac:dyDescent="0.2">
      <c r="A1045" s="111">
        <v>1075</v>
      </c>
      <c r="B1045" s="421" t="s">
        <v>1917</v>
      </c>
      <c r="C1045" s="421" t="s">
        <v>513</v>
      </c>
      <c r="D1045" s="422" t="s">
        <v>663</v>
      </c>
      <c r="F1045" s="421" t="s">
        <v>1918</v>
      </c>
    </row>
    <row r="1046" spans="1:15" x14ac:dyDescent="0.2">
      <c r="A1046" s="111">
        <v>1076</v>
      </c>
      <c r="B1046" s="421" t="s">
        <v>1919</v>
      </c>
      <c r="C1046" s="421" t="s">
        <v>512</v>
      </c>
      <c r="D1046" s="422" t="s">
        <v>666</v>
      </c>
      <c r="F1046" s="421" t="s">
        <v>2107</v>
      </c>
      <c r="G1046" s="112">
        <v>2</v>
      </c>
      <c r="H1046" s="112">
        <v>1</v>
      </c>
      <c r="I1046" s="112">
        <v>1</v>
      </c>
      <c r="J1046" s="112">
        <v>1</v>
      </c>
      <c r="K1046" s="112">
        <v>2</v>
      </c>
      <c r="L1046" s="112">
        <v>1</v>
      </c>
    </row>
    <row r="1047" spans="1:15" x14ac:dyDescent="0.2">
      <c r="A1047" s="111">
        <v>1077</v>
      </c>
      <c r="B1047" s="421" t="s">
        <v>1920</v>
      </c>
      <c r="C1047" s="421" t="s">
        <v>516</v>
      </c>
      <c r="D1047" s="422" t="s">
        <v>666</v>
      </c>
      <c r="E1047" s="111">
        <v>14547</v>
      </c>
      <c r="F1047" s="421" t="s">
        <v>1658</v>
      </c>
      <c r="G1047" s="112">
        <v>1</v>
      </c>
      <c r="H1047" s="112">
        <v>1</v>
      </c>
      <c r="I1047" s="112">
        <v>1</v>
      </c>
    </row>
    <row r="1048" spans="1:15" x14ac:dyDescent="0.2">
      <c r="A1048" s="111">
        <v>1078</v>
      </c>
      <c r="B1048" s="421" t="s">
        <v>166</v>
      </c>
      <c r="C1048" s="421" t="s">
        <v>514</v>
      </c>
      <c r="D1048" s="422" t="s">
        <v>663</v>
      </c>
      <c r="E1048" s="111">
        <v>14639</v>
      </c>
      <c r="F1048" s="421" t="s">
        <v>1921</v>
      </c>
    </row>
    <row r="1049" spans="1:15" x14ac:dyDescent="0.2">
      <c r="A1049" s="111">
        <v>1079</v>
      </c>
      <c r="B1049" s="421" t="s">
        <v>1922</v>
      </c>
      <c r="C1049" s="421" t="s">
        <v>522</v>
      </c>
      <c r="D1049" s="422" t="s">
        <v>663</v>
      </c>
      <c r="E1049" s="111">
        <v>16111</v>
      </c>
      <c r="F1049" s="421" t="s">
        <v>1923</v>
      </c>
    </row>
    <row r="1050" spans="1:15" x14ac:dyDescent="0.2">
      <c r="A1050" s="111">
        <v>1080</v>
      </c>
      <c r="B1050" s="421" t="s">
        <v>1924</v>
      </c>
      <c r="C1050" s="421" t="s">
        <v>585</v>
      </c>
      <c r="D1050" s="422" t="s">
        <v>663</v>
      </c>
      <c r="E1050" s="111">
        <v>16111</v>
      </c>
      <c r="F1050" s="421" t="s">
        <v>1923</v>
      </c>
      <c r="G1050" s="112">
        <v>1</v>
      </c>
      <c r="I1050" s="112">
        <v>1</v>
      </c>
    </row>
    <row r="1051" spans="1:15" x14ac:dyDescent="0.2">
      <c r="A1051" s="111">
        <v>1081</v>
      </c>
      <c r="B1051" s="421" t="s">
        <v>1925</v>
      </c>
      <c r="C1051" s="421" t="s">
        <v>501</v>
      </c>
      <c r="D1051" s="422" t="s">
        <v>663</v>
      </c>
      <c r="E1051" s="111">
        <v>14641</v>
      </c>
      <c r="F1051" s="421" t="s">
        <v>1926</v>
      </c>
      <c r="G1051" s="112">
        <v>1</v>
      </c>
      <c r="H1051" s="112">
        <v>1</v>
      </c>
      <c r="I1051" s="112">
        <v>1</v>
      </c>
    </row>
    <row r="1052" spans="1:15" x14ac:dyDescent="0.2">
      <c r="A1052" s="111">
        <v>1082</v>
      </c>
      <c r="B1052" s="421" t="s">
        <v>48</v>
      </c>
      <c r="C1052" s="421" t="s">
        <v>501</v>
      </c>
      <c r="D1052" s="422" t="s">
        <v>663</v>
      </c>
      <c r="F1052" s="421" t="s">
        <v>1927</v>
      </c>
      <c r="G1052" s="112">
        <v>1</v>
      </c>
      <c r="I1052" s="112">
        <v>1</v>
      </c>
    </row>
    <row r="1053" spans="1:15" x14ac:dyDescent="0.2">
      <c r="A1053" s="111">
        <v>1083</v>
      </c>
      <c r="B1053" s="421" t="s">
        <v>1081</v>
      </c>
      <c r="C1053" s="421" t="s">
        <v>502</v>
      </c>
      <c r="D1053" s="422" t="s">
        <v>666</v>
      </c>
      <c r="F1053" s="421" t="s">
        <v>1928</v>
      </c>
      <c r="G1053" s="112">
        <v>1</v>
      </c>
      <c r="H1053" s="112">
        <v>1</v>
      </c>
      <c r="I1053" s="112">
        <v>1</v>
      </c>
      <c r="J1053" s="112">
        <v>1</v>
      </c>
      <c r="K1053" s="112">
        <v>1</v>
      </c>
      <c r="L1053" s="112">
        <v>1</v>
      </c>
    </row>
    <row r="1054" spans="1:15" x14ac:dyDescent="0.2">
      <c r="A1054" s="111">
        <v>1084</v>
      </c>
      <c r="B1054" s="421" t="s">
        <v>1929</v>
      </c>
      <c r="C1054" s="421" t="s">
        <v>518</v>
      </c>
      <c r="D1054" s="422" t="s">
        <v>666</v>
      </c>
      <c r="E1054" s="111">
        <v>14643</v>
      </c>
      <c r="F1054" s="421" t="s">
        <v>1930</v>
      </c>
      <c r="G1054" s="112">
        <v>1</v>
      </c>
      <c r="H1054" s="112">
        <v>1</v>
      </c>
      <c r="I1054" s="112">
        <v>1</v>
      </c>
      <c r="J1054" s="112">
        <v>1</v>
      </c>
      <c r="K1054" s="112">
        <v>1</v>
      </c>
      <c r="L1054" s="112">
        <v>1</v>
      </c>
      <c r="M1054" s="112">
        <v>1</v>
      </c>
      <c r="O1054" s="112">
        <v>1</v>
      </c>
    </row>
    <row r="1055" spans="1:15" x14ac:dyDescent="0.2">
      <c r="A1055" s="111">
        <v>1085</v>
      </c>
      <c r="B1055" s="421" t="s">
        <v>1931</v>
      </c>
      <c r="C1055" s="421" t="s">
        <v>518</v>
      </c>
      <c r="D1055" s="422" t="s">
        <v>663</v>
      </c>
      <c r="E1055" s="111">
        <v>14643</v>
      </c>
      <c r="F1055" s="421" t="s">
        <v>1930</v>
      </c>
      <c r="G1055" s="112">
        <v>1</v>
      </c>
      <c r="H1055" s="112">
        <v>1</v>
      </c>
      <c r="I1055" s="112">
        <v>1</v>
      </c>
      <c r="J1055" s="112">
        <v>1</v>
      </c>
      <c r="K1055" s="112">
        <v>1</v>
      </c>
      <c r="L1055" s="112">
        <v>1</v>
      </c>
    </row>
    <row r="1056" spans="1:15" x14ac:dyDescent="0.2">
      <c r="A1056" s="111">
        <v>1086</v>
      </c>
      <c r="B1056" s="421" t="s">
        <v>221</v>
      </c>
      <c r="C1056" s="421" t="s">
        <v>506</v>
      </c>
      <c r="D1056" s="422" t="s">
        <v>666</v>
      </c>
      <c r="E1056" s="111">
        <v>14645</v>
      </c>
      <c r="F1056" s="421" t="s">
        <v>1932</v>
      </c>
      <c r="G1056" s="112">
        <v>1</v>
      </c>
      <c r="H1056" s="112">
        <v>1</v>
      </c>
      <c r="I1056" s="112">
        <v>1</v>
      </c>
      <c r="J1056" s="112">
        <v>1</v>
      </c>
      <c r="K1056" s="112">
        <v>2</v>
      </c>
      <c r="L1056" s="112">
        <v>1</v>
      </c>
      <c r="M1056" s="112">
        <v>1</v>
      </c>
      <c r="N1056" s="112">
        <v>1</v>
      </c>
      <c r="O1056" s="112">
        <v>1</v>
      </c>
    </row>
    <row r="1057" spans="1:15" x14ac:dyDescent="0.2">
      <c r="A1057" s="111">
        <v>1087</v>
      </c>
      <c r="B1057" s="421" t="s">
        <v>1933</v>
      </c>
      <c r="C1057" s="421" t="s">
        <v>1934</v>
      </c>
      <c r="D1057" s="422" t="s">
        <v>663</v>
      </c>
      <c r="E1057" s="111">
        <v>14646</v>
      </c>
      <c r="F1057" s="421" t="s">
        <v>1935</v>
      </c>
      <c r="G1057" s="112">
        <v>1</v>
      </c>
      <c r="H1057" s="112">
        <v>1</v>
      </c>
    </row>
    <row r="1058" spans="1:15" x14ac:dyDescent="0.2">
      <c r="A1058" s="111">
        <v>1088</v>
      </c>
      <c r="B1058" s="421" t="s">
        <v>275</v>
      </c>
      <c r="C1058" s="421" t="s">
        <v>501</v>
      </c>
      <c r="D1058" s="422" t="s">
        <v>663</v>
      </c>
      <c r="E1058" s="111">
        <v>14647</v>
      </c>
      <c r="F1058" s="421" t="s">
        <v>1936</v>
      </c>
    </row>
    <row r="1059" spans="1:15" x14ac:dyDescent="0.2">
      <c r="A1059" s="111">
        <v>1089</v>
      </c>
      <c r="B1059" s="421" t="s">
        <v>1937</v>
      </c>
      <c r="C1059" s="421" t="s">
        <v>513</v>
      </c>
      <c r="D1059" s="422" t="s">
        <v>666</v>
      </c>
      <c r="E1059" s="111">
        <v>14292</v>
      </c>
      <c r="F1059" s="421" t="s">
        <v>2835</v>
      </c>
      <c r="G1059" s="112">
        <v>1</v>
      </c>
      <c r="H1059" s="112">
        <v>1</v>
      </c>
      <c r="I1059" s="112">
        <v>1</v>
      </c>
      <c r="J1059" s="112">
        <v>1</v>
      </c>
      <c r="K1059" s="112">
        <v>2</v>
      </c>
      <c r="L1059" s="112">
        <v>2</v>
      </c>
    </row>
    <row r="1060" spans="1:15" x14ac:dyDescent="0.2">
      <c r="A1060" s="111">
        <v>1090</v>
      </c>
      <c r="B1060" s="421" t="s">
        <v>1938</v>
      </c>
      <c r="C1060" s="421" t="s">
        <v>518</v>
      </c>
      <c r="D1060" s="422" t="s">
        <v>663</v>
      </c>
      <c r="E1060" s="111">
        <v>14710</v>
      </c>
      <c r="F1060" s="421" t="s">
        <v>1939</v>
      </c>
      <c r="G1060" s="112">
        <v>1</v>
      </c>
      <c r="H1060" s="112">
        <v>1</v>
      </c>
      <c r="I1060" s="112">
        <v>1</v>
      </c>
      <c r="J1060" s="112">
        <v>3</v>
      </c>
      <c r="K1060" s="112">
        <v>3</v>
      </c>
      <c r="L1060" s="112">
        <v>3</v>
      </c>
      <c r="M1060" s="112">
        <v>2</v>
      </c>
      <c r="N1060" s="112">
        <v>2</v>
      </c>
      <c r="O1060" s="112">
        <v>3</v>
      </c>
    </row>
    <row r="1061" spans="1:15" x14ac:dyDescent="0.2">
      <c r="A1061" s="111">
        <v>1091</v>
      </c>
      <c r="B1061" s="421" t="s">
        <v>1940</v>
      </c>
      <c r="C1061" s="421" t="s">
        <v>506</v>
      </c>
      <c r="D1061" s="422" t="s">
        <v>666</v>
      </c>
      <c r="E1061" s="111">
        <v>14640</v>
      </c>
      <c r="F1061" s="421" t="s">
        <v>1941</v>
      </c>
      <c r="G1061" s="112">
        <v>1</v>
      </c>
      <c r="H1061" s="112">
        <v>2</v>
      </c>
      <c r="I1061" s="112">
        <v>2</v>
      </c>
      <c r="L1061" s="112">
        <v>1</v>
      </c>
    </row>
    <row r="1062" spans="1:15" x14ac:dyDescent="0.2">
      <c r="A1062" s="111">
        <v>1092</v>
      </c>
      <c r="B1062" s="421" t="s">
        <v>1942</v>
      </c>
      <c r="C1062" s="421" t="s">
        <v>519</v>
      </c>
      <c r="D1062" s="422" t="s">
        <v>663</v>
      </c>
      <c r="E1062" s="111">
        <v>14551</v>
      </c>
      <c r="F1062" s="421" t="s">
        <v>1673</v>
      </c>
      <c r="G1062" s="112">
        <v>2</v>
      </c>
      <c r="H1062" s="112">
        <v>2</v>
      </c>
      <c r="I1062" s="112">
        <v>1</v>
      </c>
      <c r="J1062" s="112">
        <v>2</v>
      </c>
      <c r="K1062" s="112">
        <v>2</v>
      </c>
      <c r="L1062" s="112">
        <v>1</v>
      </c>
      <c r="M1062" s="112">
        <v>1</v>
      </c>
      <c r="N1062" s="112">
        <v>1</v>
      </c>
    </row>
    <row r="1063" spans="1:15" x14ac:dyDescent="0.2">
      <c r="A1063" s="111">
        <v>1093</v>
      </c>
      <c r="B1063" s="421" t="s">
        <v>1373</v>
      </c>
      <c r="C1063" s="421" t="s">
        <v>514</v>
      </c>
      <c r="D1063" s="422" t="s">
        <v>663</v>
      </c>
      <c r="E1063" s="111">
        <v>14648</v>
      </c>
      <c r="F1063" s="421" t="s">
        <v>1943</v>
      </c>
      <c r="G1063" s="112">
        <v>1</v>
      </c>
      <c r="H1063" s="112">
        <v>1</v>
      </c>
      <c r="I1063" s="112">
        <v>1</v>
      </c>
      <c r="J1063" s="112">
        <v>6</v>
      </c>
      <c r="K1063" s="112">
        <v>6</v>
      </c>
      <c r="L1063" s="112">
        <v>6</v>
      </c>
      <c r="M1063" s="112">
        <v>8</v>
      </c>
      <c r="N1063" s="112">
        <v>4</v>
      </c>
      <c r="O1063" s="112">
        <v>7</v>
      </c>
    </row>
    <row r="1064" spans="1:15" x14ac:dyDescent="0.2">
      <c r="A1064" s="111">
        <v>1094</v>
      </c>
      <c r="B1064" s="421" t="s">
        <v>1944</v>
      </c>
      <c r="C1064" s="421" t="s">
        <v>522</v>
      </c>
      <c r="D1064" s="422" t="s">
        <v>663</v>
      </c>
      <c r="E1064" s="111">
        <v>14649</v>
      </c>
      <c r="F1064" s="421" t="s">
        <v>1945</v>
      </c>
      <c r="G1064" s="112">
        <v>1</v>
      </c>
      <c r="H1064" s="112">
        <v>1</v>
      </c>
      <c r="I1064" s="112">
        <v>1</v>
      </c>
      <c r="J1064" s="112">
        <v>5</v>
      </c>
      <c r="K1064" s="112">
        <v>6</v>
      </c>
      <c r="L1064" s="112">
        <v>5</v>
      </c>
      <c r="M1064" s="112">
        <v>5</v>
      </c>
      <c r="N1064" s="112">
        <v>5</v>
      </c>
      <c r="O1064" s="112">
        <v>5</v>
      </c>
    </row>
    <row r="1065" spans="1:15" x14ac:dyDescent="0.2">
      <c r="A1065" s="111">
        <v>1095</v>
      </c>
      <c r="B1065" s="421" t="s">
        <v>1946</v>
      </c>
      <c r="C1065" s="421" t="s">
        <v>507</v>
      </c>
      <c r="D1065" s="422" t="s">
        <v>663</v>
      </c>
      <c r="E1065" s="111">
        <v>14650</v>
      </c>
      <c r="F1065" s="421" t="s">
        <v>826</v>
      </c>
      <c r="G1065" s="112">
        <v>2</v>
      </c>
      <c r="H1065" s="112">
        <v>1</v>
      </c>
      <c r="I1065" s="112">
        <v>1</v>
      </c>
      <c r="J1065" s="112">
        <v>1</v>
      </c>
      <c r="K1065" s="112">
        <v>2</v>
      </c>
      <c r="L1065" s="112">
        <v>2</v>
      </c>
    </row>
    <row r="1066" spans="1:15" x14ac:dyDescent="0.2">
      <c r="A1066" s="111">
        <v>1096</v>
      </c>
      <c r="B1066" s="421" t="s">
        <v>1947</v>
      </c>
      <c r="C1066" s="421" t="s">
        <v>1846</v>
      </c>
      <c r="D1066" s="422" t="s">
        <v>666</v>
      </c>
      <c r="E1066" s="111">
        <v>14821</v>
      </c>
      <c r="F1066" s="421" t="s">
        <v>1948</v>
      </c>
      <c r="G1066" s="112">
        <v>1</v>
      </c>
      <c r="H1066" s="112">
        <v>1</v>
      </c>
      <c r="I1066" s="112">
        <v>1</v>
      </c>
      <c r="J1066" s="112">
        <v>4</v>
      </c>
      <c r="K1066" s="112">
        <v>3</v>
      </c>
      <c r="L1066" s="112">
        <v>1</v>
      </c>
      <c r="M1066" s="112">
        <v>2</v>
      </c>
      <c r="N1066" s="112">
        <v>1</v>
      </c>
    </row>
    <row r="1067" spans="1:15" x14ac:dyDescent="0.2">
      <c r="A1067" s="111">
        <v>1097</v>
      </c>
      <c r="B1067" s="421" t="s">
        <v>1949</v>
      </c>
      <c r="C1067" s="421" t="s">
        <v>510</v>
      </c>
      <c r="D1067" s="422" t="s">
        <v>663</v>
      </c>
      <c r="E1067" s="111">
        <v>15426</v>
      </c>
      <c r="F1067" s="421" t="s">
        <v>1975</v>
      </c>
      <c r="G1067" s="112">
        <v>2</v>
      </c>
      <c r="H1067" s="112">
        <v>1</v>
      </c>
      <c r="I1067" s="112">
        <v>1</v>
      </c>
    </row>
    <row r="1068" spans="1:15" x14ac:dyDescent="0.2">
      <c r="A1068" s="111">
        <v>1098</v>
      </c>
      <c r="B1068" s="421" t="s">
        <v>1950</v>
      </c>
      <c r="C1068" s="421" t="s">
        <v>516</v>
      </c>
      <c r="D1068" s="422" t="s">
        <v>666</v>
      </c>
      <c r="E1068" s="111">
        <v>15284</v>
      </c>
      <c r="F1068" s="421" t="s">
        <v>1951</v>
      </c>
      <c r="G1068" s="112">
        <v>2</v>
      </c>
      <c r="H1068" s="112">
        <v>2</v>
      </c>
      <c r="I1068" s="112">
        <v>1</v>
      </c>
      <c r="J1068" s="112">
        <v>1</v>
      </c>
    </row>
    <row r="1069" spans="1:15" x14ac:dyDescent="0.2">
      <c r="A1069" s="111">
        <v>1099</v>
      </c>
      <c r="B1069" s="421" t="s">
        <v>1952</v>
      </c>
      <c r="C1069" s="421" t="s">
        <v>516</v>
      </c>
      <c r="D1069" s="422" t="s">
        <v>666</v>
      </c>
      <c r="E1069" s="111">
        <v>15284</v>
      </c>
      <c r="F1069" s="421" t="s">
        <v>1951</v>
      </c>
      <c r="G1069" s="112">
        <v>1</v>
      </c>
      <c r="H1069" s="112">
        <v>1</v>
      </c>
      <c r="I1069" s="112">
        <v>1</v>
      </c>
      <c r="J1069" s="112">
        <v>4</v>
      </c>
      <c r="K1069" s="112">
        <v>4</v>
      </c>
      <c r="L1069" s="112">
        <v>3</v>
      </c>
      <c r="M1069" s="112">
        <v>2</v>
      </c>
      <c r="O1069" s="112">
        <v>2</v>
      </c>
    </row>
    <row r="1070" spans="1:15" x14ac:dyDescent="0.2">
      <c r="A1070" s="111">
        <v>1100</v>
      </c>
      <c r="B1070" s="421" t="s">
        <v>485</v>
      </c>
      <c r="C1070" s="421" t="s">
        <v>503</v>
      </c>
      <c r="D1070" s="422" t="s">
        <v>666</v>
      </c>
      <c r="E1070" s="111">
        <v>14651</v>
      </c>
      <c r="F1070" s="421" t="s">
        <v>1953</v>
      </c>
      <c r="G1070" s="112">
        <v>1</v>
      </c>
      <c r="H1070" s="112">
        <v>1</v>
      </c>
      <c r="I1070" s="112">
        <v>1</v>
      </c>
    </row>
    <row r="1071" spans="1:15" x14ac:dyDescent="0.2">
      <c r="A1071" s="111">
        <v>1101</v>
      </c>
      <c r="B1071" s="421" t="s">
        <v>1954</v>
      </c>
      <c r="C1071" s="421" t="s">
        <v>501</v>
      </c>
      <c r="D1071" s="422" t="s">
        <v>663</v>
      </c>
      <c r="E1071" s="111">
        <v>14652</v>
      </c>
      <c r="F1071" s="421" t="s">
        <v>1955</v>
      </c>
      <c r="G1071" s="112">
        <v>2</v>
      </c>
      <c r="H1071" s="112">
        <v>1</v>
      </c>
      <c r="I1071" s="112">
        <v>1</v>
      </c>
      <c r="J1071" s="112">
        <v>2</v>
      </c>
      <c r="K1071" s="112">
        <v>1</v>
      </c>
      <c r="L1071" s="112">
        <v>1</v>
      </c>
    </row>
    <row r="1072" spans="1:15" x14ac:dyDescent="0.2">
      <c r="A1072" s="111">
        <v>1102</v>
      </c>
      <c r="B1072" s="421" t="s">
        <v>1106</v>
      </c>
      <c r="C1072" s="421" t="s">
        <v>530</v>
      </c>
      <c r="D1072" s="422" t="s">
        <v>663</v>
      </c>
      <c r="E1072" s="111">
        <v>14653</v>
      </c>
      <c r="F1072" s="421" t="s">
        <v>1956</v>
      </c>
      <c r="G1072" s="112">
        <v>2</v>
      </c>
      <c r="H1072" s="112">
        <v>1</v>
      </c>
      <c r="I1072" s="112">
        <v>2</v>
      </c>
      <c r="J1072" s="112">
        <v>4</v>
      </c>
      <c r="K1072" s="112">
        <v>5</v>
      </c>
      <c r="L1072" s="112">
        <v>3</v>
      </c>
      <c r="M1072" s="112">
        <v>1</v>
      </c>
      <c r="O1072" s="112">
        <v>1</v>
      </c>
    </row>
    <row r="1073" spans="1:15" x14ac:dyDescent="0.2">
      <c r="A1073" s="111">
        <v>1103</v>
      </c>
      <c r="B1073" s="421" t="s">
        <v>1957</v>
      </c>
      <c r="C1073" s="421" t="s">
        <v>501</v>
      </c>
      <c r="D1073" s="422" t="s">
        <v>663</v>
      </c>
      <c r="E1073" s="111">
        <v>14654</v>
      </c>
      <c r="F1073" s="421" t="s">
        <v>1958</v>
      </c>
      <c r="G1073" s="112">
        <v>1</v>
      </c>
      <c r="H1073" s="112">
        <v>1</v>
      </c>
      <c r="I1073" s="112">
        <v>1</v>
      </c>
    </row>
    <row r="1074" spans="1:15" x14ac:dyDescent="0.2">
      <c r="A1074" s="111">
        <v>1104</v>
      </c>
      <c r="B1074" s="421" t="s">
        <v>1959</v>
      </c>
      <c r="C1074" s="421" t="s">
        <v>1523</v>
      </c>
      <c r="D1074" s="422" t="s">
        <v>666</v>
      </c>
      <c r="E1074" s="111">
        <v>14655</v>
      </c>
      <c r="F1074" s="421" t="s">
        <v>1960</v>
      </c>
      <c r="G1074" s="112">
        <v>1</v>
      </c>
      <c r="H1074" s="112">
        <v>1</v>
      </c>
      <c r="I1074" s="112">
        <v>1</v>
      </c>
    </row>
    <row r="1075" spans="1:15" x14ac:dyDescent="0.2">
      <c r="A1075" s="111">
        <v>1105</v>
      </c>
      <c r="B1075" s="421" t="s">
        <v>1961</v>
      </c>
      <c r="C1075" s="421" t="s">
        <v>1962</v>
      </c>
      <c r="D1075" s="422" t="s">
        <v>666</v>
      </c>
      <c r="F1075" s="421" t="s">
        <v>1963</v>
      </c>
      <c r="G1075" s="112">
        <v>1</v>
      </c>
      <c r="H1075" s="112">
        <v>1</v>
      </c>
      <c r="I1075" s="112">
        <v>1</v>
      </c>
    </row>
    <row r="1076" spans="1:15" x14ac:dyDescent="0.2">
      <c r="A1076" s="111">
        <v>1106</v>
      </c>
      <c r="B1076" s="421" t="s">
        <v>1964</v>
      </c>
      <c r="C1076" s="421" t="s">
        <v>507</v>
      </c>
      <c r="D1076" s="422" t="s">
        <v>663</v>
      </c>
      <c r="E1076" s="111">
        <v>14409</v>
      </c>
      <c r="F1076" s="421" t="s">
        <v>1965</v>
      </c>
      <c r="G1076" s="112">
        <v>1</v>
      </c>
      <c r="H1076" s="112">
        <v>1</v>
      </c>
      <c r="I1076" s="112">
        <v>1</v>
      </c>
      <c r="J1076" s="112">
        <v>1</v>
      </c>
      <c r="K1076" s="112">
        <v>3</v>
      </c>
      <c r="L1076" s="112">
        <v>2</v>
      </c>
    </row>
    <row r="1077" spans="1:15" x14ac:dyDescent="0.2">
      <c r="A1077" s="111">
        <v>1107</v>
      </c>
      <c r="B1077" s="421" t="s">
        <v>1966</v>
      </c>
      <c r="C1077" s="421" t="s">
        <v>514</v>
      </c>
      <c r="D1077" s="422" t="s">
        <v>666</v>
      </c>
      <c r="E1077" s="111">
        <v>14658</v>
      </c>
      <c r="F1077" s="421" t="s">
        <v>1967</v>
      </c>
    </row>
    <row r="1078" spans="1:15" x14ac:dyDescent="0.2">
      <c r="A1078" s="111">
        <v>1108</v>
      </c>
      <c r="B1078" s="421" t="s">
        <v>1968</v>
      </c>
      <c r="C1078" s="421" t="s">
        <v>530</v>
      </c>
      <c r="D1078" s="422" t="s">
        <v>663</v>
      </c>
      <c r="F1078" s="421" t="s">
        <v>1969</v>
      </c>
    </row>
    <row r="1079" spans="1:15" x14ac:dyDescent="0.2">
      <c r="A1079" s="111">
        <v>1109</v>
      </c>
      <c r="B1079" s="421" t="s">
        <v>229</v>
      </c>
      <c r="C1079" s="421" t="s">
        <v>501</v>
      </c>
      <c r="D1079" s="422" t="s">
        <v>663</v>
      </c>
      <c r="F1079" s="421" t="s">
        <v>1969</v>
      </c>
      <c r="G1079" s="112">
        <v>1</v>
      </c>
    </row>
    <row r="1080" spans="1:15" x14ac:dyDescent="0.2">
      <c r="A1080" s="111">
        <v>1110</v>
      </c>
      <c r="B1080" s="421" t="s">
        <v>1970</v>
      </c>
      <c r="C1080" s="421" t="s">
        <v>510</v>
      </c>
      <c r="D1080" s="422" t="s">
        <v>663</v>
      </c>
      <c r="E1080" s="111">
        <v>14659</v>
      </c>
      <c r="F1080" s="421" t="s">
        <v>1971</v>
      </c>
      <c r="G1080" s="112">
        <v>1</v>
      </c>
      <c r="I1080" s="112">
        <v>1</v>
      </c>
    </row>
    <row r="1081" spans="1:15" x14ac:dyDescent="0.2">
      <c r="A1081" s="111">
        <v>1111</v>
      </c>
      <c r="B1081" s="421" t="s">
        <v>447</v>
      </c>
      <c r="C1081" s="421" t="s">
        <v>506</v>
      </c>
      <c r="D1081" s="422" t="s">
        <v>666</v>
      </c>
      <c r="E1081" s="111">
        <v>14664</v>
      </c>
      <c r="F1081" s="421" t="s">
        <v>1972</v>
      </c>
      <c r="G1081" s="112">
        <v>3</v>
      </c>
      <c r="H1081" s="112">
        <v>1</v>
      </c>
      <c r="I1081" s="112">
        <v>1</v>
      </c>
    </row>
    <row r="1082" spans="1:15" x14ac:dyDescent="0.2">
      <c r="A1082" s="111">
        <v>1112</v>
      </c>
      <c r="B1082" s="421" t="s">
        <v>57</v>
      </c>
      <c r="C1082" s="421" t="s">
        <v>537</v>
      </c>
      <c r="D1082" s="422" t="s">
        <v>666</v>
      </c>
      <c r="E1082" s="111">
        <v>15308</v>
      </c>
      <c r="F1082" s="421" t="s">
        <v>3824</v>
      </c>
      <c r="G1082" s="112">
        <v>1</v>
      </c>
      <c r="H1082" s="112">
        <v>1</v>
      </c>
      <c r="I1082" s="112">
        <v>1</v>
      </c>
      <c r="J1082" s="112">
        <v>11</v>
      </c>
      <c r="K1082" s="112">
        <v>9</v>
      </c>
      <c r="L1082" s="112">
        <v>10</v>
      </c>
      <c r="M1082" s="112">
        <v>5</v>
      </c>
      <c r="N1082" s="112">
        <v>3</v>
      </c>
      <c r="O1082" s="112">
        <v>3</v>
      </c>
    </row>
    <row r="1083" spans="1:15" x14ac:dyDescent="0.2">
      <c r="A1083" s="111">
        <v>1113</v>
      </c>
      <c r="B1083" s="421" t="s">
        <v>1940</v>
      </c>
      <c r="C1083" s="421" t="s">
        <v>514</v>
      </c>
      <c r="D1083" s="422" t="s">
        <v>666</v>
      </c>
      <c r="E1083" s="111">
        <v>14657</v>
      </c>
      <c r="F1083" s="421" t="s">
        <v>2339</v>
      </c>
      <c r="G1083" s="112">
        <v>1</v>
      </c>
      <c r="H1083" s="112">
        <v>1</v>
      </c>
      <c r="I1083" s="112">
        <v>1</v>
      </c>
      <c r="J1083" s="112">
        <v>7</v>
      </c>
      <c r="K1083" s="112">
        <v>7</v>
      </c>
      <c r="L1083" s="112">
        <v>9</v>
      </c>
      <c r="M1083" s="112">
        <v>3</v>
      </c>
      <c r="N1083" s="112">
        <v>3</v>
      </c>
      <c r="O1083" s="112">
        <v>3</v>
      </c>
    </row>
    <row r="1084" spans="1:15" x14ac:dyDescent="0.2">
      <c r="A1084" s="111">
        <v>1114</v>
      </c>
      <c r="B1084" s="421" t="s">
        <v>1973</v>
      </c>
      <c r="C1084" s="421" t="s">
        <v>581</v>
      </c>
      <c r="D1084" s="422" t="s">
        <v>663</v>
      </c>
      <c r="E1084" s="111">
        <v>14644</v>
      </c>
      <c r="F1084" s="421" t="s">
        <v>1974</v>
      </c>
    </row>
    <row r="1085" spans="1:15" x14ac:dyDescent="0.2">
      <c r="A1085" s="111">
        <v>1115</v>
      </c>
      <c r="B1085" s="421" t="s">
        <v>197</v>
      </c>
      <c r="C1085" s="421" t="s">
        <v>503</v>
      </c>
      <c r="D1085" s="422" t="s">
        <v>663</v>
      </c>
      <c r="E1085" s="111">
        <v>15016</v>
      </c>
      <c r="F1085" s="421" t="s">
        <v>1976</v>
      </c>
      <c r="G1085" s="112">
        <v>1</v>
      </c>
      <c r="H1085" s="112">
        <v>1</v>
      </c>
      <c r="I1085" s="112">
        <v>1</v>
      </c>
      <c r="J1085" s="112">
        <v>1</v>
      </c>
      <c r="K1085" s="112">
        <v>1</v>
      </c>
      <c r="L1085" s="112">
        <v>1</v>
      </c>
      <c r="M1085" s="112">
        <v>1</v>
      </c>
      <c r="N1085" s="112">
        <v>1</v>
      </c>
      <c r="O1085" s="112">
        <v>1</v>
      </c>
    </row>
    <row r="1086" spans="1:15" x14ac:dyDescent="0.2">
      <c r="A1086" s="111">
        <v>1116</v>
      </c>
      <c r="B1086" s="421" t="s">
        <v>1977</v>
      </c>
      <c r="C1086" s="421" t="s">
        <v>1978</v>
      </c>
      <c r="D1086" s="422" t="s">
        <v>666</v>
      </c>
      <c r="F1086" s="421" t="s">
        <v>1979</v>
      </c>
      <c r="G1086" s="112">
        <v>1</v>
      </c>
    </row>
    <row r="1087" spans="1:15" x14ac:dyDescent="0.2">
      <c r="A1087" s="111">
        <v>1117</v>
      </c>
      <c r="B1087" s="421" t="s">
        <v>163</v>
      </c>
      <c r="C1087" s="421" t="s">
        <v>574</v>
      </c>
      <c r="D1087" s="422" t="s">
        <v>663</v>
      </c>
      <c r="E1087" s="111">
        <v>14668</v>
      </c>
      <c r="F1087" s="421" t="s">
        <v>1980</v>
      </c>
      <c r="G1087" s="112">
        <v>1</v>
      </c>
      <c r="H1087" s="112">
        <v>1</v>
      </c>
      <c r="I1087" s="112">
        <v>1</v>
      </c>
    </row>
    <row r="1088" spans="1:15" x14ac:dyDescent="0.2">
      <c r="A1088" s="111">
        <v>1118</v>
      </c>
      <c r="B1088" s="421" t="s">
        <v>1981</v>
      </c>
      <c r="C1088" s="421" t="s">
        <v>572</v>
      </c>
      <c r="D1088" s="422" t="s">
        <v>666</v>
      </c>
      <c r="E1088" s="111">
        <v>14669</v>
      </c>
      <c r="F1088" s="421" t="s">
        <v>1982</v>
      </c>
      <c r="G1088" s="112">
        <v>1</v>
      </c>
      <c r="H1088" s="112">
        <v>1</v>
      </c>
      <c r="I1088" s="112">
        <v>1</v>
      </c>
      <c r="J1088" s="112">
        <v>3</v>
      </c>
      <c r="K1088" s="112">
        <v>2</v>
      </c>
      <c r="L1088" s="112">
        <v>2</v>
      </c>
      <c r="M1088" s="112">
        <v>2</v>
      </c>
      <c r="O1088" s="112">
        <v>1</v>
      </c>
    </row>
    <row r="1089" spans="1:15" x14ac:dyDescent="0.2">
      <c r="A1089" s="111">
        <v>1119</v>
      </c>
      <c r="B1089" s="421" t="s">
        <v>1983</v>
      </c>
      <c r="C1089" s="421" t="s">
        <v>572</v>
      </c>
      <c r="D1089" s="422" t="s">
        <v>663</v>
      </c>
      <c r="E1089" s="111">
        <v>14669</v>
      </c>
      <c r="F1089" s="421" t="s">
        <v>1982</v>
      </c>
      <c r="G1089" s="112">
        <v>1</v>
      </c>
      <c r="H1089" s="112">
        <v>1</v>
      </c>
      <c r="I1089" s="112">
        <v>1</v>
      </c>
      <c r="J1089" s="112">
        <v>1</v>
      </c>
      <c r="K1089" s="112">
        <v>1</v>
      </c>
    </row>
    <row r="1090" spans="1:15" x14ac:dyDescent="0.2">
      <c r="A1090" s="111">
        <v>1120</v>
      </c>
      <c r="B1090" s="421" t="s">
        <v>1109</v>
      </c>
      <c r="C1090" s="421" t="s">
        <v>501</v>
      </c>
      <c r="D1090" s="422" t="s">
        <v>666</v>
      </c>
      <c r="E1090" s="111">
        <v>14670</v>
      </c>
      <c r="F1090" s="421" t="s">
        <v>1984</v>
      </c>
      <c r="G1090" s="112">
        <v>2</v>
      </c>
      <c r="H1090" s="112">
        <v>2</v>
      </c>
      <c r="I1090" s="112">
        <v>2</v>
      </c>
      <c r="J1090" s="112">
        <v>1</v>
      </c>
      <c r="K1090" s="112">
        <v>2</v>
      </c>
      <c r="L1090" s="112">
        <v>2</v>
      </c>
    </row>
    <row r="1091" spans="1:15" x14ac:dyDescent="0.2">
      <c r="A1091" s="111">
        <v>1121</v>
      </c>
      <c r="B1091" s="421" t="s">
        <v>1985</v>
      </c>
      <c r="C1091" s="421" t="s">
        <v>550</v>
      </c>
      <c r="D1091" s="422" t="s">
        <v>663</v>
      </c>
      <c r="E1091" s="111">
        <v>15367</v>
      </c>
      <c r="F1091" s="421" t="s">
        <v>1986</v>
      </c>
    </row>
    <row r="1092" spans="1:15" x14ac:dyDescent="0.2">
      <c r="A1092" s="111">
        <v>1122</v>
      </c>
      <c r="B1092" s="421" t="s">
        <v>1987</v>
      </c>
      <c r="C1092" s="421" t="s">
        <v>550</v>
      </c>
      <c r="D1092" s="422" t="s">
        <v>666</v>
      </c>
      <c r="E1092" s="111">
        <v>15367</v>
      </c>
      <c r="F1092" s="421" t="s">
        <v>1986</v>
      </c>
      <c r="G1092" s="112">
        <v>1</v>
      </c>
      <c r="H1092" s="112">
        <v>1</v>
      </c>
      <c r="I1092" s="112">
        <v>1</v>
      </c>
      <c r="L1092" s="112">
        <v>1</v>
      </c>
    </row>
    <row r="1093" spans="1:15" x14ac:dyDescent="0.2">
      <c r="A1093" s="111">
        <v>1123</v>
      </c>
      <c r="B1093" s="421" t="s">
        <v>219</v>
      </c>
      <c r="C1093" s="421" t="s">
        <v>506</v>
      </c>
      <c r="D1093" s="422" t="s">
        <v>666</v>
      </c>
      <c r="E1093" s="111">
        <v>15004</v>
      </c>
      <c r="F1093" s="421" t="s">
        <v>1988</v>
      </c>
      <c r="G1093" s="112">
        <v>2</v>
      </c>
      <c r="H1093" s="112">
        <v>2</v>
      </c>
      <c r="I1093" s="112">
        <v>1</v>
      </c>
      <c r="J1093" s="112">
        <v>3</v>
      </c>
      <c r="K1093" s="112">
        <v>3</v>
      </c>
      <c r="L1093" s="112">
        <v>4</v>
      </c>
      <c r="M1093" s="112">
        <v>1</v>
      </c>
      <c r="N1093" s="112">
        <v>1</v>
      </c>
    </row>
    <row r="1094" spans="1:15" x14ac:dyDescent="0.2">
      <c r="A1094" s="111">
        <v>1125</v>
      </c>
      <c r="B1094" s="421" t="s">
        <v>1991</v>
      </c>
      <c r="C1094" s="421" t="s">
        <v>501</v>
      </c>
      <c r="D1094" s="422" t="s">
        <v>663</v>
      </c>
      <c r="F1094" s="421" t="s">
        <v>1992</v>
      </c>
    </row>
    <row r="1095" spans="1:15" x14ac:dyDescent="0.2">
      <c r="A1095" s="111">
        <v>1126</v>
      </c>
      <c r="B1095" s="421" t="s">
        <v>1993</v>
      </c>
      <c r="C1095" s="421" t="s">
        <v>1994</v>
      </c>
      <c r="D1095" s="422" t="s">
        <v>666</v>
      </c>
      <c r="F1095" s="421" t="s">
        <v>1995</v>
      </c>
      <c r="G1095" s="112">
        <v>2</v>
      </c>
      <c r="H1095" s="112">
        <v>2</v>
      </c>
      <c r="I1095" s="112">
        <v>2</v>
      </c>
      <c r="J1095" s="112">
        <v>3</v>
      </c>
      <c r="K1095" s="112">
        <v>2</v>
      </c>
      <c r="L1095" s="112">
        <v>3</v>
      </c>
      <c r="M1095" s="112">
        <v>1</v>
      </c>
      <c r="N1095" s="112">
        <v>1</v>
      </c>
    </row>
    <row r="1096" spans="1:15" x14ac:dyDescent="0.2">
      <c r="A1096" s="111">
        <v>1127</v>
      </c>
      <c r="B1096" s="421" t="s">
        <v>80</v>
      </c>
      <c r="C1096" s="421" t="s">
        <v>506</v>
      </c>
      <c r="D1096" s="422" t="s">
        <v>663</v>
      </c>
      <c r="E1096" s="111">
        <v>14671</v>
      </c>
      <c r="F1096" s="421" t="s">
        <v>1996</v>
      </c>
      <c r="G1096" s="112">
        <v>1</v>
      </c>
    </row>
    <row r="1097" spans="1:15" x14ac:dyDescent="0.2">
      <c r="A1097" s="111">
        <v>1128</v>
      </c>
      <c r="B1097" s="421" t="s">
        <v>440</v>
      </c>
      <c r="C1097" s="421" t="s">
        <v>506</v>
      </c>
      <c r="D1097" s="422" t="s">
        <v>663</v>
      </c>
      <c r="E1097" s="111">
        <v>14671</v>
      </c>
      <c r="F1097" s="421" t="s">
        <v>1996</v>
      </c>
    </row>
    <row r="1098" spans="1:15" x14ac:dyDescent="0.2">
      <c r="A1098" s="111">
        <v>1129</v>
      </c>
      <c r="B1098" s="421" t="s">
        <v>1997</v>
      </c>
      <c r="C1098" s="421" t="s">
        <v>543</v>
      </c>
      <c r="D1098" s="422" t="s">
        <v>663</v>
      </c>
      <c r="E1098" s="111">
        <v>14914</v>
      </c>
      <c r="F1098" s="421" t="s">
        <v>1998</v>
      </c>
      <c r="G1098" s="112">
        <v>1</v>
      </c>
      <c r="H1098" s="112">
        <v>1</v>
      </c>
      <c r="I1098" s="112">
        <v>1</v>
      </c>
      <c r="J1098" s="112">
        <v>5</v>
      </c>
      <c r="K1098" s="112">
        <v>5</v>
      </c>
      <c r="L1098" s="112">
        <v>5</v>
      </c>
      <c r="M1098" s="112">
        <v>5</v>
      </c>
      <c r="N1098" s="112">
        <v>5</v>
      </c>
      <c r="O1098" s="112">
        <v>5</v>
      </c>
    </row>
    <row r="1099" spans="1:15" x14ac:dyDescent="0.2">
      <c r="A1099" s="111">
        <v>1130</v>
      </c>
      <c r="B1099" s="421" t="s">
        <v>93</v>
      </c>
      <c r="C1099" s="421" t="s">
        <v>1999</v>
      </c>
      <c r="D1099" s="422" t="s">
        <v>663</v>
      </c>
      <c r="F1099" s="421" t="s">
        <v>2000</v>
      </c>
    </row>
    <row r="1100" spans="1:15" x14ac:dyDescent="0.2">
      <c r="A1100" s="111">
        <v>1131</v>
      </c>
      <c r="B1100" s="421" t="s">
        <v>2001</v>
      </c>
      <c r="C1100" s="421" t="s">
        <v>514</v>
      </c>
      <c r="D1100" s="422" t="s">
        <v>663</v>
      </c>
      <c r="F1100" s="421" t="s">
        <v>2002</v>
      </c>
      <c r="G1100" s="112">
        <v>1</v>
      </c>
    </row>
    <row r="1101" spans="1:15" x14ac:dyDescent="0.2">
      <c r="A1101" s="111">
        <v>1132</v>
      </c>
      <c r="B1101" s="421" t="s">
        <v>1359</v>
      </c>
      <c r="C1101" s="421" t="s">
        <v>2003</v>
      </c>
      <c r="D1101" s="422" t="s">
        <v>663</v>
      </c>
      <c r="E1101" s="111">
        <v>14703</v>
      </c>
      <c r="F1101" s="421" t="s">
        <v>2004</v>
      </c>
      <c r="G1101" s="112">
        <v>1</v>
      </c>
      <c r="H1101" s="112">
        <v>1</v>
      </c>
      <c r="I1101" s="112">
        <v>1</v>
      </c>
      <c r="J1101" s="112">
        <v>3</v>
      </c>
      <c r="K1101" s="112">
        <v>3</v>
      </c>
      <c r="L1101" s="112">
        <v>3</v>
      </c>
      <c r="M1101" s="112">
        <v>10</v>
      </c>
      <c r="N1101" s="112">
        <v>10</v>
      </c>
      <c r="O1101" s="112">
        <v>8</v>
      </c>
    </row>
    <row r="1102" spans="1:15" x14ac:dyDescent="0.2">
      <c r="A1102" s="111">
        <v>1133</v>
      </c>
      <c r="B1102" s="421" t="s">
        <v>2005</v>
      </c>
      <c r="C1102" s="421" t="s">
        <v>519</v>
      </c>
      <c r="D1102" s="422" t="s">
        <v>663</v>
      </c>
      <c r="E1102" s="111">
        <v>14139</v>
      </c>
      <c r="F1102" s="421" t="s">
        <v>827</v>
      </c>
    </row>
    <row r="1103" spans="1:15" x14ac:dyDescent="0.2">
      <c r="A1103" s="111">
        <v>1134</v>
      </c>
      <c r="B1103" s="421" t="s">
        <v>2006</v>
      </c>
      <c r="C1103" s="421" t="s">
        <v>506</v>
      </c>
      <c r="D1103" s="422" t="s">
        <v>663</v>
      </c>
      <c r="F1103" s="421" t="s">
        <v>2007</v>
      </c>
      <c r="G1103" s="112">
        <v>1</v>
      </c>
      <c r="H1103" s="112">
        <v>1</v>
      </c>
      <c r="I1103" s="112">
        <v>1</v>
      </c>
    </row>
    <row r="1104" spans="1:15" x14ac:dyDescent="0.2">
      <c r="A1104" s="111">
        <v>1135</v>
      </c>
      <c r="B1104" s="421" t="s">
        <v>2008</v>
      </c>
      <c r="C1104" s="421" t="s">
        <v>577</v>
      </c>
      <c r="D1104" s="422" t="s">
        <v>666</v>
      </c>
      <c r="E1104" s="111">
        <v>14742</v>
      </c>
      <c r="F1104" s="421" t="s">
        <v>2009</v>
      </c>
      <c r="G1104" s="112">
        <v>1</v>
      </c>
      <c r="H1104" s="112">
        <v>1</v>
      </c>
      <c r="I1104" s="112">
        <v>1</v>
      </c>
      <c r="J1104" s="112">
        <v>8</v>
      </c>
      <c r="K1104" s="112">
        <v>8</v>
      </c>
      <c r="L1104" s="112">
        <v>7</v>
      </c>
      <c r="M1104" s="112">
        <v>5</v>
      </c>
      <c r="N1104" s="112">
        <v>5</v>
      </c>
      <c r="O1104" s="112">
        <v>4</v>
      </c>
    </row>
    <row r="1105" spans="1:15" x14ac:dyDescent="0.2">
      <c r="A1105" s="111">
        <v>1136</v>
      </c>
      <c r="B1105" s="421" t="s">
        <v>321</v>
      </c>
      <c r="C1105" s="421" t="s">
        <v>582</v>
      </c>
      <c r="D1105" s="422" t="s">
        <v>663</v>
      </c>
      <c r="E1105" s="111">
        <v>14550</v>
      </c>
      <c r="F1105" s="421" t="s">
        <v>2010</v>
      </c>
      <c r="G1105" s="112">
        <v>1</v>
      </c>
    </row>
    <row r="1106" spans="1:15" x14ac:dyDescent="0.2">
      <c r="A1106" s="111">
        <v>1137</v>
      </c>
      <c r="B1106" s="421" t="s">
        <v>2011</v>
      </c>
      <c r="C1106" s="421" t="s">
        <v>2470</v>
      </c>
      <c r="D1106" s="422" t="s">
        <v>666</v>
      </c>
      <c r="E1106" s="111">
        <v>14674</v>
      </c>
      <c r="F1106" s="421" t="s">
        <v>3065</v>
      </c>
      <c r="G1106" s="112">
        <v>1</v>
      </c>
      <c r="H1106" s="112">
        <v>1</v>
      </c>
      <c r="I1106" s="112">
        <v>1</v>
      </c>
      <c r="J1106" s="112">
        <v>3</v>
      </c>
      <c r="K1106" s="112">
        <v>3</v>
      </c>
      <c r="L1106" s="112">
        <v>3</v>
      </c>
      <c r="M1106" s="112">
        <v>2</v>
      </c>
      <c r="O1106" s="112">
        <v>2</v>
      </c>
    </row>
    <row r="1107" spans="1:15" x14ac:dyDescent="0.2">
      <c r="A1107" s="111">
        <v>1138</v>
      </c>
      <c r="B1107" s="421" t="s">
        <v>2012</v>
      </c>
      <c r="C1107" s="421" t="s">
        <v>560</v>
      </c>
      <c r="D1107" s="422" t="s">
        <v>663</v>
      </c>
      <c r="E1107" s="111">
        <v>14129</v>
      </c>
      <c r="F1107" s="421" t="s">
        <v>823</v>
      </c>
    </row>
    <row r="1108" spans="1:15" x14ac:dyDescent="0.2">
      <c r="A1108" s="111">
        <v>1139</v>
      </c>
      <c r="B1108" s="421" t="s">
        <v>2013</v>
      </c>
      <c r="C1108" s="421" t="s">
        <v>536</v>
      </c>
      <c r="D1108" s="422" t="s">
        <v>663</v>
      </c>
      <c r="F1108" s="421" t="s">
        <v>2014</v>
      </c>
    </row>
    <row r="1109" spans="1:15" x14ac:dyDescent="0.2">
      <c r="A1109" s="111">
        <v>1140</v>
      </c>
      <c r="B1109" s="421" t="s">
        <v>2015</v>
      </c>
      <c r="C1109" s="421" t="s">
        <v>592</v>
      </c>
      <c r="D1109" s="422" t="s">
        <v>663</v>
      </c>
      <c r="E1109" s="111">
        <v>14675</v>
      </c>
      <c r="F1109" s="421" t="s">
        <v>2016</v>
      </c>
    </row>
    <row r="1110" spans="1:15" x14ac:dyDescent="0.2">
      <c r="A1110" s="111">
        <v>1141</v>
      </c>
      <c r="B1110" s="421" t="s">
        <v>2017</v>
      </c>
      <c r="C1110" s="421" t="s">
        <v>506</v>
      </c>
      <c r="D1110" s="422" t="s">
        <v>663</v>
      </c>
      <c r="F1110" s="421" t="s">
        <v>2018</v>
      </c>
      <c r="G1110" s="112">
        <v>2</v>
      </c>
      <c r="H1110" s="112">
        <v>3</v>
      </c>
      <c r="I1110" s="112">
        <v>1</v>
      </c>
    </row>
    <row r="1111" spans="1:15" x14ac:dyDescent="0.2">
      <c r="A1111" s="111">
        <v>1142</v>
      </c>
      <c r="B1111" s="421" t="s">
        <v>2019</v>
      </c>
      <c r="C1111" s="421" t="s">
        <v>506</v>
      </c>
      <c r="D1111" s="422" t="s">
        <v>663</v>
      </c>
      <c r="F1111" s="421" t="s">
        <v>2050</v>
      </c>
      <c r="G1111" s="112">
        <v>1</v>
      </c>
      <c r="H1111" s="112">
        <v>1</v>
      </c>
      <c r="I1111" s="112">
        <v>2</v>
      </c>
    </row>
    <row r="1112" spans="1:15" x14ac:dyDescent="0.2">
      <c r="A1112" s="111">
        <v>1143</v>
      </c>
      <c r="B1112" s="421" t="s">
        <v>202</v>
      </c>
      <c r="C1112" s="421" t="s">
        <v>501</v>
      </c>
      <c r="D1112" s="422" t="s">
        <v>666</v>
      </c>
      <c r="E1112" s="111">
        <v>14688</v>
      </c>
      <c r="F1112" s="421" t="s">
        <v>2947</v>
      </c>
      <c r="G1112" s="112">
        <v>2</v>
      </c>
      <c r="H1112" s="112">
        <v>1</v>
      </c>
      <c r="I1112" s="112">
        <v>1</v>
      </c>
      <c r="J1112" s="112">
        <v>6</v>
      </c>
      <c r="K1112" s="112">
        <v>8</v>
      </c>
      <c r="L1112" s="112">
        <v>7</v>
      </c>
      <c r="M1112" s="112">
        <v>4</v>
      </c>
      <c r="N1112" s="112">
        <v>5</v>
      </c>
      <c r="O1112" s="112">
        <v>4</v>
      </c>
    </row>
    <row r="1113" spans="1:15" x14ac:dyDescent="0.2">
      <c r="A1113" s="111">
        <v>1144</v>
      </c>
      <c r="B1113" s="421" t="s">
        <v>2020</v>
      </c>
      <c r="C1113" s="421" t="s">
        <v>506</v>
      </c>
      <c r="D1113" s="422" t="s">
        <v>663</v>
      </c>
      <c r="E1113" s="111">
        <v>15043</v>
      </c>
      <c r="F1113" s="421" t="s">
        <v>2021</v>
      </c>
      <c r="G1113" s="112">
        <v>1</v>
      </c>
      <c r="H1113" s="112">
        <v>1</v>
      </c>
      <c r="I1113" s="112">
        <v>1</v>
      </c>
      <c r="J1113" s="112">
        <v>4</v>
      </c>
      <c r="K1113" s="112">
        <v>4</v>
      </c>
      <c r="L1113" s="112">
        <v>4</v>
      </c>
      <c r="M1113" s="112">
        <v>6</v>
      </c>
      <c r="N1113" s="112">
        <v>6</v>
      </c>
      <c r="O1113" s="112">
        <v>6</v>
      </c>
    </row>
    <row r="1114" spans="1:15" x14ac:dyDescent="0.2">
      <c r="A1114" s="111">
        <v>1145</v>
      </c>
      <c r="B1114" s="421" t="s">
        <v>2022</v>
      </c>
      <c r="C1114" s="421" t="s">
        <v>517</v>
      </c>
      <c r="D1114" s="422" t="s">
        <v>663</v>
      </c>
      <c r="E1114" s="111">
        <v>14289</v>
      </c>
      <c r="F1114" s="421" t="s">
        <v>1041</v>
      </c>
      <c r="G1114" s="112">
        <v>1</v>
      </c>
      <c r="H1114" s="112">
        <v>2</v>
      </c>
      <c r="I1114" s="112">
        <v>1</v>
      </c>
      <c r="J1114" s="112">
        <v>4</v>
      </c>
      <c r="K1114" s="112">
        <v>3</v>
      </c>
      <c r="L1114" s="112">
        <v>3</v>
      </c>
      <c r="M1114" s="112">
        <v>3</v>
      </c>
      <c r="N1114" s="112">
        <v>2</v>
      </c>
      <c r="O1114" s="112">
        <v>2</v>
      </c>
    </row>
    <row r="1115" spans="1:15" x14ac:dyDescent="0.2">
      <c r="A1115" s="111">
        <v>1146</v>
      </c>
      <c r="B1115" s="421" t="s">
        <v>1509</v>
      </c>
      <c r="C1115" s="421" t="s">
        <v>510</v>
      </c>
      <c r="D1115" s="422" t="s">
        <v>666</v>
      </c>
      <c r="E1115" s="111">
        <v>14676</v>
      </c>
      <c r="F1115" s="421" t="s">
        <v>2023</v>
      </c>
      <c r="G1115" s="112">
        <v>2</v>
      </c>
      <c r="H1115" s="112">
        <v>1</v>
      </c>
      <c r="I1115" s="112">
        <v>1</v>
      </c>
      <c r="J1115" s="112">
        <v>7</v>
      </c>
      <c r="K1115" s="112">
        <v>7</v>
      </c>
      <c r="L1115" s="112">
        <v>7</v>
      </c>
      <c r="M1115" s="112">
        <v>3</v>
      </c>
      <c r="N1115" s="112">
        <v>3</v>
      </c>
      <c r="O1115" s="112">
        <v>3</v>
      </c>
    </row>
    <row r="1116" spans="1:15" x14ac:dyDescent="0.2">
      <c r="A1116" s="111">
        <v>1147</v>
      </c>
      <c r="B1116" s="421" t="s">
        <v>2024</v>
      </c>
      <c r="C1116" s="421" t="s">
        <v>551</v>
      </c>
      <c r="D1116" s="422" t="s">
        <v>666</v>
      </c>
      <c r="F1116" s="421" t="s">
        <v>2025</v>
      </c>
      <c r="G1116" s="112">
        <v>1</v>
      </c>
      <c r="H1116" s="112">
        <v>1</v>
      </c>
      <c r="I1116" s="112">
        <v>1</v>
      </c>
      <c r="K1116" s="112">
        <v>1</v>
      </c>
      <c r="L1116" s="112">
        <v>1</v>
      </c>
    </row>
    <row r="1117" spans="1:15" x14ac:dyDescent="0.2">
      <c r="A1117" s="111">
        <v>1148</v>
      </c>
      <c r="B1117" s="421" t="s">
        <v>632</v>
      </c>
      <c r="C1117" s="421" t="s">
        <v>577</v>
      </c>
      <c r="D1117" s="422" t="s">
        <v>666</v>
      </c>
      <c r="E1117" s="111">
        <v>14204</v>
      </c>
      <c r="F1117" s="421" t="s">
        <v>926</v>
      </c>
      <c r="G1117" s="112">
        <v>1</v>
      </c>
      <c r="H1117" s="112">
        <v>1</v>
      </c>
      <c r="I1117" s="112">
        <v>1</v>
      </c>
      <c r="J1117" s="112">
        <v>1</v>
      </c>
      <c r="K1117" s="112">
        <v>1</v>
      </c>
    </row>
    <row r="1118" spans="1:15" x14ac:dyDescent="0.2">
      <c r="A1118" s="111">
        <v>1149</v>
      </c>
      <c r="B1118" s="421" t="s">
        <v>2026</v>
      </c>
      <c r="C1118" s="421" t="s">
        <v>2027</v>
      </c>
      <c r="D1118" s="422" t="s">
        <v>666</v>
      </c>
      <c r="F1118" s="421" t="s">
        <v>2028</v>
      </c>
      <c r="G1118" s="112">
        <v>2</v>
      </c>
      <c r="I1118" s="112">
        <v>1</v>
      </c>
    </row>
    <row r="1119" spans="1:15" x14ac:dyDescent="0.2">
      <c r="A1119" s="111">
        <v>1150</v>
      </c>
      <c r="B1119" s="421" t="s">
        <v>106</v>
      </c>
      <c r="C1119" s="421" t="s">
        <v>518</v>
      </c>
      <c r="D1119" s="422" t="s">
        <v>666</v>
      </c>
      <c r="E1119" s="111">
        <v>14678</v>
      </c>
      <c r="F1119" s="421" t="s">
        <v>2029</v>
      </c>
      <c r="G1119" s="112">
        <v>1</v>
      </c>
      <c r="H1119" s="112">
        <v>1</v>
      </c>
      <c r="I1119" s="112">
        <v>1</v>
      </c>
      <c r="J1119" s="112">
        <v>3</v>
      </c>
      <c r="K1119" s="112">
        <v>2</v>
      </c>
      <c r="L1119" s="112">
        <v>2</v>
      </c>
    </row>
    <row r="1120" spans="1:15" x14ac:dyDescent="0.2">
      <c r="A1120" s="111">
        <v>1151</v>
      </c>
      <c r="B1120" s="421" t="s">
        <v>253</v>
      </c>
      <c r="C1120" s="421" t="s">
        <v>506</v>
      </c>
      <c r="D1120" s="422" t="s">
        <v>666</v>
      </c>
      <c r="E1120" s="111">
        <v>15049</v>
      </c>
      <c r="F1120" s="421" t="s">
        <v>2030</v>
      </c>
      <c r="G1120" s="112">
        <v>2</v>
      </c>
      <c r="H1120" s="112">
        <v>1</v>
      </c>
      <c r="I1120" s="112">
        <v>1</v>
      </c>
      <c r="J1120" s="112">
        <v>7</v>
      </c>
      <c r="K1120" s="112">
        <v>7</v>
      </c>
      <c r="L1120" s="112">
        <v>5</v>
      </c>
      <c r="M1120" s="112">
        <v>2</v>
      </c>
      <c r="N1120" s="112">
        <v>2</v>
      </c>
      <c r="O1120" s="112">
        <v>1</v>
      </c>
    </row>
    <row r="1121" spans="1:15" x14ac:dyDescent="0.2">
      <c r="A1121" s="111">
        <v>1152</v>
      </c>
      <c r="B1121" s="421" t="s">
        <v>2031</v>
      </c>
      <c r="C1121" s="421" t="s">
        <v>551</v>
      </c>
      <c r="D1121" s="422" t="s">
        <v>663</v>
      </c>
      <c r="E1121" s="111">
        <v>14336</v>
      </c>
      <c r="F1121" s="421" t="s">
        <v>1035</v>
      </c>
      <c r="G1121" s="112">
        <v>1</v>
      </c>
      <c r="H1121" s="112">
        <v>1</v>
      </c>
      <c r="I1121" s="112">
        <v>1</v>
      </c>
    </row>
    <row r="1122" spans="1:15" x14ac:dyDescent="0.2">
      <c r="A1122" s="111">
        <v>1153</v>
      </c>
      <c r="B1122" s="421" t="s">
        <v>98</v>
      </c>
      <c r="C1122" s="421" t="s">
        <v>503</v>
      </c>
      <c r="D1122" s="422" t="s">
        <v>666</v>
      </c>
      <c r="E1122" s="111">
        <v>14839</v>
      </c>
      <c r="F1122" s="421" t="s">
        <v>2032</v>
      </c>
      <c r="G1122" s="112">
        <v>1</v>
      </c>
      <c r="H1122" s="112">
        <v>1</v>
      </c>
      <c r="I1122" s="112">
        <v>1</v>
      </c>
      <c r="J1122" s="112">
        <v>7</v>
      </c>
      <c r="K1122" s="112">
        <v>8</v>
      </c>
      <c r="L1122" s="112">
        <v>7</v>
      </c>
      <c r="M1122" s="112">
        <v>4</v>
      </c>
      <c r="N1122" s="112">
        <v>3</v>
      </c>
      <c r="O1122" s="112">
        <v>3</v>
      </c>
    </row>
    <row r="1123" spans="1:15" x14ac:dyDescent="0.2">
      <c r="A1123" s="111">
        <v>1154</v>
      </c>
      <c r="B1123" s="421" t="s">
        <v>2051</v>
      </c>
      <c r="C1123" s="421" t="s">
        <v>506</v>
      </c>
      <c r="D1123" s="422" t="s">
        <v>663</v>
      </c>
      <c r="E1123" s="111">
        <v>15152</v>
      </c>
      <c r="F1123" s="421" t="s">
        <v>2587</v>
      </c>
      <c r="G1123" s="112">
        <v>3</v>
      </c>
      <c r="H1123" s="112">
        <v>3</v>
      </c>
      <c r="I1123" s="112">
        <v>1</v>
      </c>
      <c r="J1123" s="112">
        <v>1</v>
      </c>
      <c r="K1123" s="112">
        <v>1</v>
      </c>
      <c r="L1123" s="112">
        <v>1</v>
      </c>
    </row>
    <row r="1124" spans="1:15" x14ac:dyDescent="0.2">
      <c r="A1124" s="111">
        <v>1155</v>
      </c>
      <c r="B1124" s="421" t="s">
        <v>2052</v>
      </c>
      <c r="C1124" s="421" t="s">
        <v>525</v>
      </c>
      <c r="D1124" s="422" t="s">
        <v>663</v>
      </c>
      <c r="E1124" s="111">
        <v>14632</v>
      </c>
      <c r="F1124" s="421" t="s">
        <v>2053</v>
      </c>
      <c r="G1124" s="112">
        <v>1</v>
      </c>
      <c r="H1124" s="112">
        <v>1</v>
      </c>
      <c r="I1124" s="112">
        <v>1</v>
      </c>
      <c r="J1124" s="112">
        <v>3</v>
      </c>
      <c r="K1124" s="112">
        <v>4</v>
      </c>
      <c r="L1124" s="112">
        <v>3</v>
      </c>
      <c r="M1124" s="112">
        <v>2</v>
      </c>
      <c r="O1124" s="112">
        <v>2</v>
      </c>
    </row>
    <row r="1125" spans="1:15" x14ac:dyDescent="0.2">
      <c r="A1125" s="111">
        <v>1156</v>
      </c>
      <c r="B1125" s="421" t="s">
        <v>2054</v>
      </c>
      <c r="C1125" s="421" t="s">
        <v>525</v>
      </c>
      <c r="D1125" s="422" t="s">
        <v>666</v>
      </c>
      <c r="E1125" s="111">
        <v>14632</v>
      </c>
      <c r="F1125" s="421" t="s">
        <v>2053</v>
      </c>
      <c r="G1125" s="112">
        <v>1</v>
      </c>
      <c r="H1125" s="112">
        <v>1</v>
      </c>
      <c r="I1125" s="112">
        <v>1</v>
      </c>
      <c r="J1125" s="112">
        <v>2</v>
      </c>
      <c r="K1125" s="112">
        <v>1</v>
      </c>
      <c r="L1125" s="112">
        <v>2</v>
      </c>
    </row>
    <row r="1126" spans="1:15" x14ac:dyDescent="0.2">
      <c r="A1126" s="111">
        <v>1157</v>
      </c>
      <c r="B1126" s="421" t="s">
        <v>2055</v>
      </c>
      <c r="C1126" s="421" t="s">
        <v>1450</v>
      </c>
      <c r="D1126" s="422" t="s">
        <v>663</v>
      </c>
      <c r="E1126" s="111">
        <v>14679</v>
      </c>
      <c r="F1126" s="421" t="s">
        <v>1631</v>
      </c>
      <c r="G1126" s="112">
        <v>1</v>
      </c>
      <c r="I1126" s="112">
        <v>1</v>
      </c>
    </row>
    <row r="1127" spans="1:15" x14ac:dyDescent="0.2">
      <c r="A1127" s="111">
        <v>1158</v>
      </c>
      <c r="B1127" s="421" t="s">
        <v>2056</v>
      </c>
      <c r="C1127" s="421" t="s">
        <v>557</v>
      </c>
      <c r="D1127" s="422" t="s">
        <v>663</v>
      </c>
      <c r="E1127" s="111">
        <v>15035</v>
      </c>
      <c r="F1127" s="421" t="s">
        <v>2057</v>
      </c>
      <c r="G1127" s="112">
        <v>1</v>
      </c>
      <c r="H1127" s="112">
        <v>1</v>
      </c>
      <c r="I1127" s="112">
        <v>2</v>
      </c>
      <c r="J1127" s="112">
        <v>3</v>
      </c>
      <c r="K1127" s="112">
        <v>3</v>
      </c>
      <c r="L1127" s="112">
        <v>4</v>
      </c>
      <c r="M1127" s="112">
        <v>3</v>
      </c>
      <c r="N1127" s="112">
        <v>2</v>
      </c>
      <c r="O1127" s="112">
        <v>2</v>
      </c>
    </row>
    <row r="1128" spans="1:15" x14ac:dyDescent="0.2">
      <c r="A1128" s="111">
        <v>1159</v>
      </c>
      <c r="B1128" s="421" t="s">
        <v>159</v>
      </c>
      <c r="C1128" s="421" t="s">
        <v>526</v>
      </c>
      <c r="D1128" s="422" t="s">
        <v>663</v>
      </c>
      <c r="E1128" s="111">
        <v>14627</v>
      </c>
      <c r="F1128" s="421" t="s">
        <v>1896</v>
      </c>
    </row>
    <row r="1129" spans="1:15" x14ac:dyDescent="0.2">
      <c r="A1129" s="111">
        <v>1160</v>
      </c>
      <c r="B1129" s="421" t="s">
        <v>2058</v>
      </c>
      <c r="C1129" s="421" t="s">
        <v>519</v>
      </c>
      <c r="D1129" s="422" t="s">
        <v>663</v>
      </c>
      <c r="E1129" s="111">
        <v>1470</v>
      </c>
      <c r="F1129" s="421" t="s">
        <v>694</v>
      </c>
    </row>
    <row r="1130" spans="1:15" x14ac:dyDescent="0.2">
      <c r="A1130" s="111">
        <v>1161</v>
      </c>
      <c r="B1130" s="421" t="s">
        <v>2059</v>
      </c>
      <c r="C1130" s="421" t="s">
        <v>522</v>
      </c>
      <c r="D1130" s="422" t="s">
        <v>666</v>
      </c>
      <c r="E1130" s="111">
        <v>15073</v>
      </c>
      <c r="F1130" s="421" t="s">
        <v>2060</v>
      </c>
      <c r="G1130" s="112">
        <v>1</v>
      </c>
      <c r="H1130" s="112">
        <v>1</v>
      </c>
      <c r="I1130" s="112">
        <v>1</v>
      </c>
      <c r="J1130" s="112">
        <v>8</v>
      </c>
      <c r="K1130" s="112">
        <v>8</v>
      </c>
      <c r="L1130" s="112">
        <v>7</v>
      </c>
      <c r="M1130" s="112">
        <v>6</v>
      </c>
      <c r="N1130" s="112">
        <v>3</v>
      </c>
      <c r="O1130" s="112">
        <v>5</v>
      </c>
    </row>
    <row r="1131" spans="1:15" x14ac:dyDescent="0.2">
      <c r="A1131" s="111">
        <v>1162</v>
      </c>
      <c r="B1131" s="421" t="s">
        <v>2061</v>
      </c>
      <c r="C1131" s="421" t="s">
        <v>506</v>
      </c>
      <c r="D1131" s="422" t="s">
        <v>663</v>
      </c>
      <c r="E1131" s="111">
        <v>14693</v>
      </c>
      <c r="F1131" s="421" t="s">
        <v>2062</v>
      </c>
      <c r="G1131" s="112">
        <v>2</v>
      </c>
      <c r="H1131" s="112">
        <v>1</v>
      </c>
      <c r="I1131" s="112">
        <v>1</v>
      </c>
      <c r="J1131" s="112">
        <v>7</v>
      </c>
      <c r="K1131" s="112">
        <v>7</v>
      </c>
      <c r="L1131" s="112">
        <v>7</v>
      </c>
      <c r="M1131" s="112">
        <v>3</v>
      </c>
      <c r="N1131" s="112">
        <v>3</v>
      </c>
      <c r="O1131" s="112">
        <v>3</v>
      </c>
    </row>
    <row r="1132" spans="1:15" x14ac:dyDescent="0.2">
      <c r="A1132" s="111">
        <v>1163</v>
      </c>
      <c r="B1132" s="421" t="s">
        <v>2063</v>
      </c>
      <c r="C1132" s="421" t="s">
        <v>501</v>
      </c>
      <c r="D1132" s="422" t="s">
        <v>666</v>
      </c>
      <c r="E1132" s="111">
        <v>14778</v>
      </c>
      <c r="F1132" s="421" t="s">
        <v>2064</v>
      </c>
      <c r="G1132" s="112">
        <v>1</v>
      </c>
      <c r="H1132" s="112">
        <v>1</v>
      </c>
      <c r="I1132" s="112">
        <v>1</v>
      </c>
      <c r="J1132" s="112">
        <v>2</v>
      </c>
      <c r="K1132" s="112">
        <v>1</v>
      </c>
    </row>
    <row r="1133" spans="1:15" x14ac:dyDescent="0.2">
      <c r="A1133" s="111">
        <v>1164</v>
      </c>
      <c r="B1133" s="421" t="s">
        <v>2065</v>
      </c>
      <c r="C1133" s="421" t="s">
        <v>1095</v>
      </c>
      <c r="D1133" s="422" t="s">
        <v>666</v>
      </c>
      <c r="E1133" s="111">
        <v>14921</v>
      </c>
      <c r="F1133" s="421" t="s">
        <v>2066</v>
      </c>
      <c r="G1133" s="112">
        <v>1</v>
      </c>
      <c r="H1133" s="112">
        <v>1</v>
      </c>
      <c r="I1133" s="112">
        <v>1</v>
      </c>
      <c r="J1133" s="112">
        <v>1</v>
      </c>
      <c r="K1133" s="112">
        <v>1</v>
      </c>
      <c r="L1133" s="112">
        <v>1</v>
      </c>
      <c r="N1133" s="112">
        <v>1</v>
      </c>
      <c r="O1133" s="112">
        <v>1</v>
      </c>
    </row>
    <row r="1134" spans="1:15" x14ac:dyDescent="0.2">
      <c r="A1134" s="111">
        <v>1165</v>
      </c>
      <c r="B1134" s="421" t="s">
        <v>2067</v>
      </c>
      <c r="C1134" s="421" t="s">
        <v>509</v>
      </c>
      <c r="D1134" s="422" t="s">
        <v>663</v>
      </c>
      <c r="E1134" s="111">
        <v>14680</v>
      </c>
      <c r="F1134" s="421" t="s">
        <v>2068</v>
      </c>
      <c r="G1134" s="112">
        <v>1</v>
      </c>
      <c r="H1134" s="112">
        <v>1</v>
      </c>
      <c r="I1134" s="112">
        <v>1</v>
      </c>
      <c r="J1134" s="112">
        <v>1</v>
      </c>
      <c r="L1134" s="112">
        <v>1</v>
      </c>
    </row>
    <row r="1135" spans="1:15" x14ac:dyDescent="0.2">
      <c r="A1135" s="111">
        <v>1166</v>
      </c>
      <c r="B1135" s="421" t="s">
        <v>2069</v>
      </c>
      <c r="C1135" s="421" t="s">
        <v>509</v>
      </c>
      <c r="D1135" s="422" t="s">
        <v>663</v>
      </c>
      <c r="E1135" s="111">
        <v>14680</v>
      </c>
      <c r="F1135" s="421" t="s">
        <v>2068</v>
      </c>
      <c r="G1135" s="112">
        <v>1</v>
      </c>
      <c r="H1135" s="112">
        <v>1</v>
      </c>
      <c r="I1135" s="112">
        <v>1</v>
      </c>
      <c r="J1135" s="112">
        <v>5</v>
      </c>
      <c r="K1135" s="112">
        <v>3</v>
      </c>
      <c r="L1135" s="112">
        <v>4</v>
      </c>
      <c r="M1135" s="112">
        <v>1</v>
      </c>
      <c r="O1135" s="112">
        <v>1</v>
      </c>
    </row>
    <row r="1136" spans="1:15" x14ac:dyDescent="0.2">
      <c r="A1136" s="111">
        <v>1167</v>
      </c>
      <c r="B1136" s="421" t="s">
        <v>447</v>
      </c>
      <c r="C1136" s="421" t="s">
        <v>1500</v>
      </c>
      <c r="D1136" s="422" t="s">
        <v>666</v>
      </c>
      <c r="E1136" s="111">
        <v>143</v>
      </c>
      <c r="F1136" s="421" t="s">
        <v>1063</v>
      </c>
      <c r="G1136" s="112">
        <v>1</v>
      </c>
      <c r="H1136" s="112">
        <v>1</v>
      </c>
      <c r="I1136" s="112">
        <v>1</v>
      </c>
      <c r="J1136" s="112">
        <v>4</v>
      </c>
      <c r="K1136" s="112">
        <v>3</v>
      </c>
      <c r="L1136" s="112">
        <v>4</v>
      </c>
      <c r="M1136" s="112">
        <v>6</v>
      </c>
      <c r="N1136" s="112">
        <v>2</v>
      </c>
      <c r="O1136" s="112">
        <v>3</v>
      </c>
    </row>
    <row r="1137" spans="1:15" x14ac:dyDescent="0.2">
      <c r="A1137" s="111">
        <v>1168</v>
      </c>
      <c r="B1137" s="421" t="s">
        <v>2055</v>
      </c>
      <c r="C1137" s="421" t="s">
        <v>504</v>
      </c>
      <c r="D1137" s="422" t="s">
        <v>663</v>
      </c>
      <c r="E1137" s="111">
        <v>16561</v>
      </c>
      <c r="F1137" s="421" t="s">
        <v>2070</v>
      </c>
      <c r="G1137" s="112">
        <v>1</v>
      </c>
      <c r="H1137" s="112">
        <v>1</v>
      </c>
      <c r="I1137" s="112">
        <v>1</v>
      </c>
      <c r="J1137" s="112">
        <v>3</v>
      </c>
      <c r="K1137" s="112">
        <v>5</v>
      </c>
      <c r="L1137" s="112">
        <v>3</v>
      </c>
      <c r="M1137" s="112">
        <v>3</v>
      </c>
      <c r="O1137" s="112">
        <v>3</v>
      </c>
    </row>
    <row r="1138" spans="1:15" x14ac:dyDescent="0.2">
      <c r="A1138" s="111">
        <v>1169</v>
      </c>
      <c r="B1138" s="421" t="s">
        <v>1449</v>
      </c>
      <c r="C1138" s="421" t="s">
        <v>510</v>
      </c>
      <c r="D1138" s="422" t="s">
        <v>666</v>
      </c>
      <c r="E1138" s="111">
        <v>14839</v>
      </c>
      <c r="F1138" s="421" t="s">
        <v>2032</v>
      </c>
      <c r="G1138" s="112">
        <v>1</v>
      </c>
      <c r="I1138" s="112">
        <v>1</v>
      </c>
    </row>
    <row r="1139" spans="1:15" x14ac:dyDescent="0.2">
      <c r="A1139" s="111">
        <v>1170</v>
      </c>
      <c r="B1139" s="421" t="s">
        <v>2071</v>
      </c>
      <c r="C1139" s="421" t="s">
        <v>1758</v>
      </c>
      <c r="D1139" s="422" t="s">
        <v>663</v>
      </c>
      <c r="E1139" s="111">
        <v>15683</v>
      </c>
      <c r="F1139" s="421" t="s">
        <v>972</v>
      </c>
      <c r="G1139" s="112">
        <v>2</v>
      </c>
      <c r="H1139" s="112">
        <v>2</v>
      </c>
      <c r="I1139" s="112">
        <v>2</v>
      </c>
      <c r="J1139" s="112">
        <v>3</v>
      </c>
      <c r="K1139" s="112">
        <v>3</v>
      </c>
      <c r="L1139" s="112">
        <v>2</v>
      </c>
      <c r="M1139" s="112">
        <v>1</v>
      </c>
      <c r="N1139" s="112">
        <v>1</v>
      </c>
    </row>
    <row r="1140" spans="1:15" x14ac:dyDescent="0.2">
      <c r="A1140" s="111">
        <v>1171</v>
      </c>
      <c r="B1140" s="421" t="s">
        <v>1954</v>
      </c>
      <c r="C1140" s="421" t="s">
        <v>513</v>
      </c>
      <c r="D1140" s="422" t="s">
        <v>666</v>
      </c>
      <c r="E1140" s="111">
        <v>15021</v>
      </c>
      <c r="F1140" s="421" t="s">
        <v>2098</v>
      </c>
      <c r="G1140" s="112">
        <v>1</v>
      </c>
      <c r="H1140" s="112">
        <v>1</v>
      </c>
      <c r="J1140" s="112">
        <v>1</v>
      </c>
      <c r="K1140" s="112">
        <v>1</v>
      </c>
    </row>
    <row r="1141" spans="1:15" x14ac:dyDescent="0.2">
      <c r="A1141" s="111">
        <v>1172</v>
      </c>
      <c r="B1141" s="421" t="s">
        <v>238</v>
      </c>
      <c r="C1141" s="421" t="s">
        <v>501</v>
      </c>
      <c r="D1141" s="422" t="s">
        <v>663</v>
      </c>
      <c r="F1141" s="421" t="s">
        <v>2076</v>
      </c>
      <c r="G1141" s="112">
        <v>1</v>
      </c>
    </row>
    <row r="1142" spans="1:15" x14ac:dyDescent="0.2">
      <c r="A1142" s="111">
        <v>1173</v>
      </c>
      <c r="B1142" s="421" t="s">
        <v>2077</v>
      </c>
      <c r="C1142" s="421" t="s">
        <v>1687</v>
      </c>
      <c r="D1142" s="422" t="s">
        <v>666</v>
      </c>
      <c r="E1142" s="111">
        <v>14944</v>
      </c>
      <c r="F1142" s="421" t="s">
        <v>2078</v>
      </c>
      <c r="G1142" s="112">
        <v>1</v>
      </c>
      <c r="H1142" s="112">
        <v>1</v>
      </c>
      <c r="I1142" s="112">
        <v>1</v>
      </c>
      <c r="J1142" s="112">
        <v>7</v>
      </c>
      <c r="K1142" s="112">
        <v>7</v>
      </c>
      <c r="L1142" s="112">
        <v>7</v>
      </c>
      <c r="M1142" s="112">
        <v>3</v>
      </c>
      <c r="N1142" s="112">
        <v>3</v>
      </c>
      <c r="O1142" s="112">
        <v>3</v>
      </c>
    </row>
    <row r="1143" spans="1:15" x14ac:dyDescent="0.2">
      <c r="A1143" s="111">
        <v>1174</v>
      </c>
      <c r="B1143" s="421" t="s">
        <v>2079</v>
      </c>
      <c r="C1143" s="421" t="s">
        <v>515</v>
      </c>
      <c r="D1143" s="422" t="s">
        <v>666</v>
      </c>
      <c r="F1143" s="421" t="s">
        <v>2080</v>
      </c>
      <c r="G1143" s="112">
        <v>1</v>
      </c>
      <c r="H1143" s="112">
        <v>1</v>
      </c>
      <c r="I1143" s="112">
        <v>1</v>
      </c>
      <c r="J1143" s="112">
        <v>1</v>
      </c>
      <c r="K1143" s="112">
        <v>1</v>
      </c>
      <c r="L1143" s="112">
        <v>1</v>
      </c>
    </row>
    <row r="1144" spans="1:15" x14ac:dyDescent="0.2">
      <c r="A1144" s="111">
        <v>1175</v>
      </c>
      <c r="B1144" s="421" t="s">
        <v>2081</v>
      </c>
      <c r="C1144" s="421" t="s">
        <v>506</v>
      </c>
      <c r="D1144" s="422" t="s">
        <v>663</v>
      </c>
      <c r="E1144" s="111">
        <v>14681</v>
      </c>
      <c r="F1144" s="421" t="s">
        <v>2082</v>
      </c>
      <c r="G1144" s="112">
        <v>1</v>
      </c>
      <c r="H1144" s="112">
        <v>1</v>
      </c>
      <c r="I1144" s="112">
        <v>1</v>
      </c>
      <c r="J1144" s="112">
        <v>4</v>
      </c>
      <c r="K1144" s="112">
        <v>4</v>
      </c>
      <c r="L1144" s="112">
        <v>4</v>
      </c>
      <c r="M1144" s="112">
        <v>3</v>
      </c>
      <c r="N1144" s="112">
        <v>2</v>
      </c>
      <c r="O1144" s="112">
        <v>2</v>
      </c>
    </row>
    <row r="1145" spans="1:15" x14ac:dyDescent="0.2">
      <c r="A1145" s="111">
        <v>1176</v>
      </c>
      <c r="B1145" s="421" t="s">
        <v>2083</v>
      </c>
      <c r="C1145" s="421" t="s">
        <v>506</v>
      </c>
      <c r="D1145" s="422" t="s">
        <v>666</v>
      </c>
      <c r="E1145" s="111">
        <v>14681</v>
      </c>
      <c r="F1145" s="421" t="s">
        <v>2082</v>
      </c>
      <c r="G1145" s="112">
        <v>1</v>
      </c>
      <c r="H1145" s="112">
        <v>1</v>
      </c>
      <c r="I1145" s="112">
        <v>1</v>
      </c>
    </row>
    <row r="1146" spans="1:15" x14ac:dyDescent="0.2">
      <c r="A1146" s="111">
        <v>1177</v>
      </c>
      <c r="B1146" s="421" t="s">
        <v>2084</v>
      </c>
      <c r="C1146" s="421" t="s">
        <v>544</v>
      </c>
      <c r="D1146" s="422" t="s">
        <v>666</v>
      </c>
      <c r="E1146" s="111">
        <v>14831</v>
      </c>
      <c r="F1146" s="421" t="s">
        <v>2085</v>
      </c>
      <c r="G1146" s="112">
        <v>1</v>
      </c>
      <c r="H1146" s="112">
        <v>1</v>
      </c>
      <c r="I1146" s="112">
        <v>1</v>
      </c>
      <c r="J1146" s="112">
        <v>3</v>
      </c>
      <c r="K1146" s="112">
        <v>2</v>
      </c>
    </row>
    <row r="1147" spans="1:15" x14ac:dyDescent="0.2">
      <c r="A1147" s="111">
        <v>1178</v>
      </c>
      <c r="B1147" s="421" t="s">
        <v>249</v>
      </c>
      <c r="C1147" s="421" t="s">
        <v>516</v>
      </c>
      <c r="D1147" s="422" t="s">
        <v>666</v>
      </c>
      <c r="E1147" s="111">
        <v>14510</v>
      </c>
      <c r="F1147" s="421" t="s">
        <v>1542</v>
      </c>
      <c r="G1147" s="112">
        <v>1</v>
      </c>
      <c r="H1147" s="112">
        <v>1</v>
      </c>
      <c r="I1147" s="112">
        <v>1</v>
      </c>
      <c r="J1147" s="112">
        <v>8</v>
      </c>
      <c r="K1147" s="112">
        <v>8</v>
      </c>
      <c r="L1147" s="112">
        <v>8</v>
      </c>
      <c r="M1147" s="112">
        <v>6</v>
      </c>
      <c r="N1147" s="112">
        <v>7</v>
      </c>
      <c r="O1147" s="112">
        <v>8</v>
      </c>
    </row>
    <row r="1148" spans="1:15" x14ac:dyDescent="0.2">
      <c r="A1148" s="111">
        <v>1179</v>
      </c>
      <c r="B1148" s="421" t="s">
        <v>80</v>
      </c>
      <c r="C1148" s="421" t="s">
        <v>502</v>
      </c>
      <c r="D1148" s="422" t="s">
        <v>663</v>
      </c>
      <c r="E1148" s="111">
        <v>14138</v>
      </c>
      <c r="F1148" s="421" t="s">
        <v>829</v>
      </c>
      <c r="G1148" s="112">
        <v>1</v>
      </c>
      <c r="H1148" s="112">
        <v>1</v>
      </c>
      <c r="I1148" s="112">
        <v>1</v>
      </c>
      <c r="J1148" s="112">
        <v>1</v>
      </c>
      <c r="K1148" s="112">
        <v>1</v>
      </c>
      <c r="L1148" s="112">
        <v>1</v>
      </c>
    </row>
    <row r="1149" spans="1:15" x14ac:dyDescent="0.2">
      <c r="A1149" s="111">
        <v>1180</v>
      </c>
      <c r="B1149" s="421" t="s">
        <v>139</v>
      </c>
      <c r="C1149" s="421" t="s">
        <v>514</v>
      </c>
      <c r="D1149" s="422" t="s">
        <v>663</v>
      </c>
      <c r="E1149" s="111">
        <v>14648</v>
      </c>
      <c r="F1149" s="421" t="s">
        <v>1943</v>
      </c>
      <c r="G1149" s="112">
        <v>1</v>
      </c>
      <c r="H1149" s="112">
        <v>1</v>
      </c>
      <c r="I1149" s="112">
        <v>1</v>
      </c>
      <c r="J1149" s="112">
        <v>1</v>
      </c>
      <c r="K1149" s="112">
        <v>1</v>
      </c>
      <c r="L1149" s="112">
        <v>2</v>
      </c>
    </row>
    <row r="1150" spans="1:15" x14ac:dyDescent="0.2">
      <c r="A1150" s="111">
        <v>1181</v>
      </c>
      <c r="B1150" s="421" t="s">
        <v>2086</v>
      </c>
      <c r="C1150" s="421" t="s">
        <v>507</v>
      </c>
      <c r="D1150" s="422" t="s">
        <v>663</v>
      </c>
      <c r="E1150" s="111">
        <v>14665</v>
      </c>
      <c r="F1150" s="421" t="s">
        <v>2087</v>
      </c>
      <c r="G1150" s="112">
        <v>3</v>
      </c>
      <c r="H1150" s="112">
        <v>1</v>
      </c>
      <c r="I1150" s="112">
        <v>1</v>
      </c>
      <c r="K1150" s="112">
        <v>1</v>
      </c>
    </row>
    <row r="1151" spans="1:15" x14ac:dyDescent="0.2">
      <c r="A1151" s="111">
        <v>1182</v>
      </c>
      <c r="B1151" s="421" t="s">
        <v>430</v>
      </c>
      <c r="C1151" s="421" t="s">
        <v>501</v>
      </c>
      <c r="D1151" s="422" t="s">
        <v>666</v>
      </c>
      <c r="F1151" s="421" t="s">
        <v>2088</v>
      </c>
      <c r="G1151" s="112">
        <v>1</v>
      </c>
      <c r="I1151" s="112">
        <v>2</v>
      </c>
    </row>
    <row r="1152" spans="1:15" x14ac:dyDescent="0.2">
      <c r="A1152" s="111">
        <v>1183</v>
      </c>
      <c r="B1152" s="421" t="s">
        <v>1711</v>
      </c>
      <c r="C1152" s="421" t="s">
        <v>516</v>
      </c>
      <c r="D1152" s="422" t="s">
        <v>666</v>
      </c>
      <c r="F1152" s="421" t="s">
        <v>2089</v>
      </c>
      <c r="G1152" s="112">
        <v>1</v>
      </c>
      <c r="H1152" s="112">
        <v>1</v>
      </c>
      <c r="I1152" s="112">
        <v>1</v>
      </c>
      <c r="J1152" s="112">
        <v>1</v>
      </c>
      <c r="K1152" s="112">
        <v>1</v>
      </c>
    </row>
    <row r="1153" spans="1:15" x14ac:dyDescent="0.2">
      <c r="A1153" s="111">
        <v>1184</v>
      </c>
      <c r="B1153" s="421" t="s">
        <v>48</v>
      </c>
      <c r="C1153" s="421" t="s">
        <v>501</v>
      </c>
      <c r="D1153" s="422" t="s">
        <v>663</v>
      </c>
      <c r="E1153" s="111">
        <v>14667</v>
      </c>
      <c r="F1153" s="421" t="s">
        <v>1880</v>
      </c>
      <c r="G1153" s="112">
        <v>2</v>
      </c>
      <c r="H1153" s="112">
        <v>2</v>
      </c>
      <c r="I1153" s="112">
        <v>3</v>
      </c>
      <c r="J1153" s="112">
        <v>3</v>
      </c>
      <c r="K1153" s="112">
        <v>5</v>
      </c>
      <c r="L1153" s="112">
        <v>5</v>
      </c>
      <c r="O1153" s="112">
        <v>1</v>
      </c>
    </row>
    <row r="1154" spans="1:15" x14ac:dyDescent="0.2">
      <c r="A1154" s="111">
        <v>1185</v>
      </c>
      <c r="B1154" s="421" t="s">
        <v>1543</v>
      </c>
      <c r="C1154" s="421" t="s">
        <v>510</v>
      </c>
      <c r="D1154" s="422" t="s">
        <v>663</v>
      </c>
      <c r="E1154" s="111">
        <v>14683</v>
      </c>
      <c r="F1154" s="421" t="s">
        <v>2090</v>
      </c>
      <c r="G1154" s="112">
        <v>1</v>
      </c>
      <c r="H1154" s="112">
        <v>2</v>
      </c>
      <c r="I1154" s="112">
        <v>2</v>
      </c>
      <c r="J1154" s="112">
        <v>13</v>
      </c>
      <c r="K1154" s="112">
        <v>8</v>
      </c>
      <c r="L1154" s="112">
        <v>13</v>
      </c>
      <c r="M1154" s="112">
        <v>4</v>
      </c>
      <c r="N1154" s="112">
        <v>4</v>
      </c>
      <c r="O1154" s="112">
        <v>4</v>
      </c>
    </row>
    <row r="1155" spans="1:15" x14ac:dyDescent="0.2">
      <c r="A1155" s="111">
        <v>1186</v>
      </c>
      <c r="B1155" s="421" t="s">
        <v>1586</v>
      </c>
      <c r="C1155" s="421" t="s">
        <v>510</v>
      </c>
      <c r="D1155" s="422" t="s">
        <v>666</v>
      </c>
      <c r="E1155" s="111">
        <v>14683</v>
      </c>
      <c r="F1155" s="421" t="s">
        <v>2090</v>
      </c>
      <c r="G1155" s="112">
        <v>2</v>
      </c>
      <c r="H1155" s="112">
        <v>2</v>
      </c>
      <c r="I1155" s="112">
        <v>2</v>
      </c>
    </row>
    <row r="1156" spans="1:15" x14ac:dyDescent="0.2">
      <c r="A1156" s="111">
        <v>1187</v>
      </c>
      <c r="B1156" s="421" t="s">
        <v>1312</v>
      </c>
      <c r="C1156" s="421" t="s">
        <v>502</v>
      </c>
      <c r="D1156" s="422" t="s">
        <v>663</v>
      </c>
      <c r="E1156" s="111">
        <v>14189</v>
      </c>
      <c r="F1156" s="421" t="s">
        <v>672</v>
      </c>
      <c r="G1156" s="112">
        <v>1</v>
      </c>
      <c r="H1156" s="112">
        <v>1</v>
      </c>
      <c r="I1156" s="112">
        <v>1</v>
      </c>
      <c r="J1156" s="112">
        <v>8</v>
      </c>
      <c r="K1156" s="112">
        <v>7</v>
      </c>
      <c r="L1156" s="112">
        <v>9</v>
      </c>
      <c r="M1156" s="112">
        <v>3</v>
      </c>
      <c r="N1156" s="112">
        <v>3</v>
      </c>
      <c r="O1156" s="112">
        <v>3</v>
      </c>
    </row>
    <row r="1157" spans="1:15" x14ac:dyDescent="0.2">
      <c r="A1157" s="111">
        <v>1188</v>
      </c>
      <c r="B1157" s="421" t="s">
        <v>2091</v>
      </c>
      <c r="C1157" s="421" t="s">
        <v>502</v>
      </c>
      <c r="D1157" s="422" t="s">
        <v>666</v>
      </c>
      <c r="E1157" s="111">
        <v>14189</v>
      </c>
      <c r="F1157" s="421" t="s">
        <v>672</v>
      </c>
    </row>
    <row r="1158" spans="1:15" x14ac:dyDescent="0.2">
      <c r="A1158" s="111">
        <v>1189</v>
      </c>
      <c r="B1158" s="421" t="s">
        <v>2092</v>
      </c>
      <c r="C1158" s="421" t="s">
        <v>502</v>
      </c>
      <c r="D1158" s="422" t="s">
        <v>663</v>
      </c>
      <c r="F1158" s="421" t="s">
        <v>2093</v>
      </c>
      <c r="G1158" s="112">
        <v>1</v>
      </c>
      <c r="H1158" s="112">
        <v>1</v>
      </c>
      <c r="I1158" s="112">
        <v>1</v>
      </c>
    </row>
    <row r="1159" spans="1:15" x14ac:dyDescent="0.2">
      <c r="A1159" s="111">
        <v>1190</v>
      </c>
      <c r="B1159" s="421" t="s">
        <v>2094</v>
      </c>
      <c r="C1159" s="421" t="s">
        <v>1378</v>
      </c>
      <c r="D1159" s="422" t="s">
        <v>663</v>
      </c>
      <c r="E1159" s="111">
        <v>14719</v>
      </c>
      <c r="F1159" s="421" t="s">
        <v>2095</v>
      </c>
      <c r="G1159" s="112">
        <v>1</v>
      </c>
      <c r="H1159" s="112">
        <v>1</v>
      </c>
      <c r="I1159" s="112">
        <v>1</v>
      </c>
      <c r="J1159" s="112">
        <v>7</v>
      </c>
      <c r="K1159" s="112">
        <v>8</v>
      </c>
      <c r="L1159" s="112">
        <v>7</v>
      </c>
      <c r="M1159" s="112">
        <v>3</v>
      </c>
      <c r="N1159" s="112">
        <v>4</v>
      </c>
      <c r="O1159" s="112">
        <v>7</v>
      </c>
    </row>
    <row r="1160" spans="1:15" x14ac:dyDescent="0.2">
      <c r="A1160" s="111">
        <v>1191</v>
      </c>
      <c r="B1160" s="421" t="s">
        <v>2096</v>
      </c>
      <c r="C1160" s="421" t="s">
        <v>503</v>
      </c>
      <c r="D1160" s="422" t="s">
        <v>666</v>
      </c>
      <c r="E1160" s="111">
        <v>14946</v>
      </c>
      <c r="F1160" s="421" t="s">
        <v>2097</v>
      </c>
      <c r="G1160" s="112">
        <v>1</v>
      </c>
      <c r="H1160" s="112">
        <v>1</v>
      </c>
      <c r="I1160" s="112">
        <v>1</v>
      </c>
      <c r="J1160" s="112">
        <v>3</v>
      </c>
      <c r="K1160" s="112">
        <v>3</v>
      </c>
      <c r="L1160" s="112">
        <v>3</v>
      </c>
      <c r="M1160" s="112">
        <v>3</v>
      </c>
      <c r="N1160" s="112">
        <v>1</v>
      </c>
      <c r="O1160" s="112">
        <v>1</v>
      </c>
    </row>
    <row r="1161" spans="1:15" x14ac:dyDescent="0.2">
      <c r="A1161" s="111">
        <v>1192</v>
      </c>
      <c r="B1161" s="421" t="s">
        <v>1281</v>
      </c>
      <c r="C1161" s="421" t="s">
        <v>501</v>
      </c>
      <c r="D1161" s="422" t="s">
        <v>666</v>
      </c>
      <c r="E1161" s="111">
        <v>14972</v>
      </c>
      <c r="F1161" s="421" t="s">
        <v>2099</v>
      </c>
      <c r="G1161" s="112">
        <v>1</v>
      </c>
      <c r="H1161" s="112">
        <v>1</v>
      </c>
      <c r="I1161" s="112">
        <v>1</v>
      </c>
      <c r="J1161" s="112">
        <v>5</v>
      </c>
      <c r="K1161" s="112">
        <v>5</v>
      </c>
      <c r="L1161" s="112">
        <v>5</v>
      </c>
      <c r="M1161" s="112">
        <v>4</v>
      </c>
      <c r="N1161" s="112">
        <v>4</v>
      </c>
      <c r="O1161" s="112">
        <v>4</v>
      </c>
    </row>
    <row r="1162" spans="1:15" x14ac:dyDescent="0.2">
      <c r="A1162" s="111">
        <v>1193</v>
      </c>
      <c r="B1162" s="421" t="s">
        <v>2100</v>
      </c>
      <c r="C1162" s="421" t="s">
        <v>501</v>
      </c>
      <c r="D1162" s="422" t="s">
        <v>663</v>
      </c>
      <c r="E1162" s="111">
        <v>14537</v>
      </c>
      <c r="F1162" s="421" t="s">
        <v>16197</v>
      </c>
      <c r="G1162" s="112">
        <v>5</v>
      </c>
      <c r="H1162" s="112">
        <v>1</v>
      </c>
      <c r="I1162" s="112">
        <v>1</v>
      </c>
    </row>
    <row r="1163" spans="1:15" x14ac:dyDescent="0.2">
      <c r="A1163" s="111">
        <v>1194</v>
      </c>
      <c r="B1163" s="421" t="s">
        <v>2101</v>
      </c>
      <c r="C1163" s="421" t="s">
        <v>530</v>
      </c>
      <c r="D1163" s="422" t="s">
        <v>663</v>
      </c>
      <c r="E1163" s="111">
        <v>14686</v>
      </c>
      <c r="F1163" s="421" t="s">
        <v>2102</v>
      </c>
    </row>
    <row r="1164" spans="1:15" x14ac:dyDescent="0.2">
      <c r="A1164" s="111">
        <v>1195</v>
      </c>
      <c r="B1164" s="421" t="s">
        <v>2103</v>
      </c>
      <c r="C1164" s="421" t="s">
        <v>526</v>
      </c>
      <c r="D1164" s="422" t="s">
        <v>663</v>
      </c>
      <c r="F1164" s="421" t="s">
        <v>2104</v>
      </c>
      <c r="G1164" s="112">
        <v>1</v>
      </c>
      <c r="H1164" s="112">
        <v>1</v>
      </c>
    </row>
    <row r="1165" spans="1:15" x14ac:dyDescent="0.2">
      <c r="A1165" s="111">
        <v>1196</v>
      </c>
      <c r="B1165" s="421" t="s">
        <v>106</v>
      </c>
      <c r="C1165" s="421" t="s">
        <v>503</v>
      </c>
      <c r="D1165" s="422" t="s">
        <v>666</v>
      </c>
      <c r="E1165" s="111">
        <v>14687</v>
      </c>
      <c r="F1165" s="421" t="s">
        <v>2105</v>
      </c>
      <c r="G1165" s="112">
        <v>1</v>
      </c>
      <c r="H1165" s="112">
        <v>1</v>
      </c>
      <c r="I1165" s="112">
        <v>1</v>
      </c>
      <c r="K1165" s="112">
        <v>1</v>
      </c>
      <c r="L1165" s="112">
        <v>1</v>
      </c>
    </row>
    <row r="1166" spans="1:15" x14ac:dyDescent="0.2">
      <c r="A1166" s="111">
        <v>1197</v>
      </c>
      <c r="B1166" s="421" t="s">
        <v>254</v>
      </c>
      <c r="C1166" s="421" t="s">
        <v>530</v>
      </c>
      <c r="D1166" s="422" t="s">
        <v>666</v>
      </c>
      <c r="E1166" s="111">
        <v>14818</v>
      </c>
      <c r="F1166" s="421" t="s">
        <v>2106</v>
      </c>
      <c r="G1166" s="112">
        <v>1</v>
      </c>
      <c r="H1166" s="112">
        <v>1</v>
      </c>
      <c r="I1166" s="112">
        <v>1</v>
      </c>
      <c r="J1166" s="112">
        <v>4</v>
      </c>
      <c r="K1166" s="112">
        <v>1</v>
      </c>
      <c r="L1166" s="112">
        <v>3</v>
      </c>
      <c r="M1166" s="112">
        <v>3</v>
      </c>
      <c r="N1166" s="112">
        <v>1</v>
      </c>
      <c r="O1166" s="112">
        <v>1</v>
      </c>
    </row>
    <row r="1167" spans="1:15" x14ac:dyDescent="0.2">
      <c r="A1167" s="111">
        <v>1198</v>
      </c>
      <c r="B1167" s="421" t="s">
        <v>2109</v>
      </c>
      <c r="C1167" s="421" t="s">
        <v>2110</v>
      </c>
      <c r="D1167" s="422" t="s">
        <v>666</v>
      </c>
      <c r="E1167" s="111">
        <v>14519</v>
      </c>
      <c r="F1167" s="421" t="s">
        <v>1259</v>
      </c>
      <c r="G1167" s="112">
        <v>1</v>
      </c>
      <c r="H1167" s="112">
        <v>1</v>
      </c>
      <c r="I1167" s="112">
        <v>1</v>
      </c>
      <c r="K1167" s="112">
        <v>2</v>
      </c>
    </row>
    <row r="1168" spans="1:15" x14ac:dyDescent="0.2">
      <c r="A1168" s="111">
        <v>1199</v>
      </c>
      <c r="B1168" s="421" t="s">
        <v>2111</v>
      </c>
      <c r="C1168" s="421" t="s">
        <v>501</v>
      </c>
      <c r="D1168" s="422" t="s">
        <v>663</v>
      </c>
      <c r="E1168" s="111">
        <v>14690</v>
      </c>
      <c r="F1168" s="421" t="s">
        <v>2112</v>
      </c>
      <c r="G1168" s="112">
        <v>2</v>
      </c>
      <c r="H1168" s="112">
        <v>1</v>
      </c>
      <c r="I1168" s="112">
        <v>1</v>
      </c>
      <c r="J1168" s="112">
        <v>8</v>
      </c>
      <c r="K1168" s="112">
        <v>7</v>
      </c>
      <c r="L1168" s="112">
        <v>7</v>
      </c>
      <c r="M1168" s="112">
        <v>7</v>
      </c>
      <c r="N1168" s="112">
        <v>1</v>
      </c>
      <c r="O1168" s="112">
        <v>4</v>
      </c>
    </row>
    <row r="1169" spans="1:15" x14ac:dyDescent="0.2">
      <c r="A1169" s="111">
        <v>1200</v>
      </c>
      <c r="B1169" s="421" t="s">
        <v>2113</v>
      </c>
      <c r="C1169" s="421" t="s">
        <v>2114</v>
      </c>
      <c r="D1169" s="422" t="s">
        <v>663</v>
      </c>
      <c r="E1169" s="111">
        <v>14529</v>
      </c>
      <c r="F1169" s="421" t="s">
        <v>1611</v>
      </c>
      <c r="G1169" s="112">
        <v>4</v>
      </c>
      <c r="H1169" s="112">
        <v>3</v>
      </c>
      <c r="I1169" s="112">
        <v>4</v>
      </c>
      <c r="J1169" s="112">
        <v>4</v>
      </c>
      <c r="K1169" s="112">
        <v>1</v>
      </c>
      <c r="L1169" s="112">
        <v>2</v>
      </c>
      <c r="M1169" s="112">
        <v>2</v>
      </c>
      <c r="N1169" s="112">
        <v>1</v>
      </c>
      <c r="O1169" s="112">
        <v>2</v>
      </c>
    </row>
    <row r="1170" spans="1:15" x14ac:dyDescent="0.2">
      <c r="A1170" s="111">
        <v>1201</v>
      </c>
      <c r="B1170" s="421" t="s">
        <v>2116</v>
      </c>
      <c r="C1170" s="421" t="s">
        <v>570</v>
      </c>
      <c r="D1170" s="422" t="s">
        <v>663</v>
      </c>
      <c r="E1170" s="111">
        <v>14692</v>
      </c>
      <c r="F1170" s="421" t="s">
        <v>974</v>
      </c>
      <c r="G1170" s="112">
        <v>1</v>
      </c>
      <c r="H1170" s="112">
        <v>1</v>
      </c>
      <c r="I1170" s="112">
        <v>1</v>
      </c>
      <c r="J1170" s="112">
        <v>1</v>
      </c>
      <c r="K1170" s="112">
        <v>1</v>
      </c>
      <c r="L1170" s="112">
        <v>1</v>
      </c>
      <c r="M1170" s="112">
        <v>1</v>
      </c>
      <c r="N1170" s="112">
        <v>1</v>
      </c>
      <c r="O1170" s="112">
        <v>1</v>
      </c>
    </row>
    <row r="1171" spans="1:15" x14ac:dyDescent="0.2">
      <c r="A1171" s="111">
        <v>1202</v>
      </c>
      <c r="B1171" s="421" t="s">
        <v>2117</v>
      </c>
      <c r="C1171" s="421" t="s">
        <v>574</v>
      </c>
      <c r="D1171" s="422" t="s">
        <v>666</v>
      </c>
      <c r="E1171" s="111">
        <v>14692</v>
      </c>
      <c r="F1171" s="421" t="s">
        <v>974</v>
      </c>
      <c r="G1171" s="112">
        <v>1</v>
      </c>
      <c r="H1171" s="112">
        <v>1</v>
      </c>
      <c r="I1171" s="112">
        <v>1</v>
      </c>
      <c r="J1171" s="112">
        <v>1</v>
      </c>
      <c r="K1171" s="112">
        <v>1</v>
      </c>
      <c r="L1171" s="112">
        <v>2</v>
      </c>
    </row>
    <row r="1172" spans="1:15" x14ac:dyDescent="0.2">
      <c r="A1172" s="111">
        <v>1203</v>
      </c>
      <c r="B1172" s="421" t="s">
        <v>2118</v>
      </c>
      <c r="C1172" s="421" t="s">
        <v>1066</v>
      </c>
      <c r="D1172" s="422" t="s">
        <v>666</v>
      </c>
      <c r="F1172" s="421" t="s">
        <v>2119</v>
      </c>
    </row>
    <row r="1173" spans="1:15" x14ac:dyDescent="0.2">
      <c r="A1173" s="111">
        <v>1204</v>
      </c>
      <c r="B1173" s="421" t="s">
        <v>2120</v>
      </c>
      <c r="C1173" s="421" t="s">
        <v>536</v>
      </c>
      <c r="D1173" s="422" t="s">
        <v>663</v>
      </c>
      <c r="E1173" s="111">
        <v>14695</v>
      </c>
      <c r="F1173" s="421" t="s">
        <v>2121</v>
      </c>
      <c r="G1173" s="112">
        <v>1</v>
      </c>
      <c r="H1173" s="112">
        <v>1</v>
      </c>
      <c r="I1173" s="112">
        <v>1</v>
      </c>
      <c r="J1173" s="112">
        <v>1</v>
      </c>
      <c r="K1173" s="112">
        <v>1</v>
      </c>
    </row>
    <row r="1174" spans="1:15" x14ac:dyDescent="0.2">
      <c r="A1174" s="111">
        <v>1205</v>
      </c>
      <c r="B1174" s="421" t="s">
        <v>485</v>
      </c>
      <c r="C1174" s="421" t="s">
        <v>503</v>
      </c>
      <c r="D1174" s="422" t="s">
        <v>666</v>
      </c>
      <c r="E1174" s="111">
        <v>14651</v>
      </c>
      <c r="F1174" s="421" t="s">
        <v>1953</v>
      </c>
    </row>
    <row r="1175" spans="1:15" x14ac:dyDescent="0.2">
      <c r="A1175" s="111">
        <v>1206</v>
      </c>
      <c r="B1175" s="421" t="s">
        <v>2122</v>
      </c>
      <c r="C1175" s="421" t="s">
        <v>501</v>
      </c>
      <c r="D1175" s="422" t="s">
        <v>666</v>
      </c>
      <c r="E1175" s="111">
        <v>14696</v>
      </c>
      <c r="F1175" s="421" t="s">
        <v>2123</v>
      </c>
      <c r="G1175" s="112">
        <v>1</v>
      </c>
      <c r="H1175" s="112">
        <v>2</v>
      </c>
      <c r="I1175" s="112">
        <v>2</v>
      </c>
    </row>
    <row r="1176" spans="1:15" x14ac:dyDescent="0.2">
      <c r="A1176" s="111">
        <v>1207</v>
      </c>
      <c r="B1176" s="421" t="s">
        <v>1423</v>
      </c>
      <c r="C1176" s="421" t="s">
        <v>1447</v>
      </c>
      <c r="D1176" s="422" t="s">
        <v>663</v>
      </c>
      <c r="E1176" s="111">
        <v>14832</v>
      </c>
      <c r="F1176" s="421" t="s">
        <v>2124</v>
      </c>
      <c r="G1176" s="112">
        <v>2</v>
      </c>
      <c r="H1176" s="112">
        <v>2</v>
      </c>
      <c r="I1176" s="112">
        <v>2</v>
      </c>
      <c r="J1176" s="112">
        <v>4</v>
      </c>
      <c r="K1176" s="112">
        <v>3</v>
      </c>
      <c r="L1176" s="112">
        <v>3</v>
      </c>
      <c r="M1176" s="112">
        <v>5</v>
      </c>
      <c r="N1176" s="112">
        <v>2</v>
      </c>
      <c r="O1176" s="112">
        <v>5</v>
      </c>
    </row>
    <row r="1177" spans="1:15" x14ac:dyDescent="0.2">
      <c r="A1177" s="111">
        <v>1208</v>
      </c>
      <c r="B1177" s="421" t="s">
        <v>2127</v>
      </c>
      <c r="C1177" s="421" t="s">
        <v>2340</v>
      </c>
      <c r="D1177" s="422" t="s">
        <v>666</v>
      </c>
      <c r="E1177" s="111">
        <v>14960</v>
      </c>
      <c r="F1177" s="421" t="s">
        <v>2128</v>
      </c>
      <c r="G1177" s="112">
        <v>1</v>
      </c>
      <c r="H1177" s="112">
        <v>1</v>
      </c>
      <c r="I1177" s="112">
        <v>1</v>
      </c>
      <c r="J1177" s="112">
        <v>5</v>
      </c>
      <c r="K1177" s="112">
        <v>5</v>
      </c>
      <c r="L1177" s="112">
        <v>7</v>
      </c>
      <c r="M1177" s="112">
        <v>2</v>
      </c>
      <c r="N1177" s="112">
        <v>2</v>
      </c>
      <c r="O1177" s="112">
        <v>3</v>
      </c>
    </row>
    <row r="1178" spans="1:15" x14ac:dyDescent="0.2">
      <c r="A1178" s="111">
        <v>1209</v>
      </c>
      <c r="B1178" s="421" t="s">
        <v>2129</v>
      </c>
      <c r="C1178" s="421" t="s">
        <v>2340</v>
      </c>
      <c r="D1178" s="422" t="s">
        <v>663</v>
      </c>
      <c r="F1178" s="421" t="s">
        <v>2341</v>
      </c>
      <c r="G1178" s="112">
        <v>1</v>
      </c>
      <c r="H1178" s="112">
        <v>1</v>
      </c>
      <c r="I1178" s="112">
        <v>1</v>
      </c>
      <c r="J1178" s="112">
        <v>5</v>
      </c>
      <c r="K1178" s="112">
        <v>4</v>
      </c>
      <c r="L1178" s="112">
        <v>4</v>
      </c>
      <c r="M1178" s="112">
        <v>6</v>
      </c>
      <c r="N1178" s="112">
        <v>2</v>
      </c>
      <c r="O1178" s="112">
        <v>4</v>
      </c>
    </row>
    <row r="1179" spans="1:15" x14ac:dyDescent="0.2">
      <c r="A1179" s="111">
        <v>1210</v>
      </c>
      <c r="B1179" s="421" t="s">
        <v>2130</v>
      </c>
      <c r="C1179" s="421" t="s">
        <v>503</v>
      </c>
      <c r="D1179" s="422" t="s">
        <v>666</v>
      </c>
      <c r="E1179" s="111">
        <v>14285</v>
      </c>
      <c r="F1179" s="421" t="s">
        <v>956</v>
      </c>
      <c r="G1179" s="112">
        <v>2</v>
      </c>
      <c r="H1179" s="112">
        <v>1</v>
      </c>
      <c r="I1179" s="112">
        <v>1</v>
      </c>
      <c r="J1179" s="112">
        <v>1</v>
      </c>
      <c r="L1179" s="112">
        <v>1</v>
      </c>
    </row>
    <row r="1180" spans="1:15" x14ac:dyDescent="0.2">
      <c r="A1180" s="111">
        <v>1211</v>
      </c>
      <c r="B1180" s="421" t="s">
        <v>2131</v>
      </c>
      <c r="C1180" s="421" t="s">
        <v>501</v>
      </c>
      <c r="D1180" s="422" t="s">
        <v>666</v>
      </c>
      <c r="E1180" s="111">
        <v>14515</v>
      </c>
      <c r="F1180" s="421" t="s">
        <v>1535</v>
      </c>
      <c r="G1180" s="112">
        <v>1</v>
      </c>
      <c r="H1180" s="112">
        <v>1</v>
      </c>
      <c r="I1180" s="112">
        <v>1</v>
      </c>
    </row>
    <row r="1181" spans="1:15" x14ac:dyDescent="0.2">
      <c r="A1181" s="111">
        <v>1212</v>
      </c>
      <c r="B1181" s="421" t="s">
        <v>2132</v>
      </c>
      <c r="C1181" s="421" t="s">
        <v>574</v>
      </c>
      <c r="D1181" s="422" t="s">
        <v>663</v>
      </c>
      <c r="E1181" s="111">
        <v>14505</v>
      </c>
      <c r="F1181" s="421" t="s">
        <v>1526</v>
      </c>
      <c r="G1181" s="112">
        <v>1</v>
      </c>
      <c r="H1181" s="112">
        <v>1</v>
      </c>
      <c r="I1181" s="112">
        <v>1</v>
      </c>
      <c r="J1181" s="112">
        <v>8</v>
      </c>
      <c r="K1181" s="112">
        <v>9</v>
      </c>
      <c r="L1181" s="112">
        <v>8</v>
      </c>
      <c r="M1181" s="112">
        <v>12</v>
      </c>
      <c r="N1181" s="112">
        <v>8</v>
      </c>
      <c r="O1181" s="112">
        <v>8</v>
      </c>
    </row>
    <row r="1182" spans="1:15" x14ac:dyDescent="0.2">
      <c r="A1182" s="111">
        <v>1213</v>
      </c>
      <c r="B1182" s="421" t="s">
        <v>2133</v>
      </c>
      <c r="C1182" s="421" t="s">
        <v>1908</v>
      </c>
      <c r="D1182" s="422" t="s">
        <v>666</v>
      </c>
      <c r="E1182" s="111">
        <v>14698</v>
      </c>
      <c r="F1182" s="421" t="s">
        <v>2134</v>
      </c>
      <c r="G1182" s="112">
        <v>1</v>
      </c>
      <c r="H1182" s="112">
        <v>2</v>
      </c>
      <c r="I1182" s="112">
        <v>2</v>
      </c>
      <c r="J1182" s="112">
        <v>4</v>
      </c>
      <c r="K1182" s="112">
        <v>4</v>
      </c>
      <c r="L1182" s="112">
        <v>4</v>
      </c>
    </row>
    <row r="1183" spans="1:15" x14ac:dyDescent="0.2">
      <c r="A1183" s="111">
        <v>1214</v>
      </c>
      <c r="B1183" s="421" t="s">
        <v>2135</v>
      </c>
      <c r="C1183" s="421" t="s">
        <v>502</v>
      </c>
      <c r="D1183" s="422" t="s">
        <v>666</v>
      </c>
      <c r="E1183" s="111">
        <v>14700</v>
      </c>
      <c r="F1183" s="421" t="s">
        <v>2136</v>
      </c>
      <c r="J1183" s="112">
        <v>1</v>
      </c>
      <c r="L1183" s="112">
        <v>1</v>
      </c>
    </row>
    <row r="1184" spans="1:15" x14ac:dyDescent="0.2">
      <c r="A1184" s="111">
        <v>1215</v>
      </c>
      <c r="B1184" s="421" t="s">
        <v>1439</v>
      </c>
      <c r="C1184" s="421" t="s">
        <v>509</v>
      </c>
      <c r="D1184" s="422" t="s">
        <v>666</v>
      </c>
      <c r="E1184" s="111">
        <v>15563</v>
      </c>
      <c r="F1184" s="421" t="s">
        <v>2137</v>
      </c>
      <c r="G1184" s="112">
        <v>1</v>
      </c>
    </row>
    <row r="1185" spans="1:15" x14ac:dyDescent="0.2">
      <c r="A1185" s="111">
        <v>1216</v>
      </c>
      <c r="B1185" s="421" t="s">
        <v>2138</v>
      </c>
      <c r="C1185" s="421" t="s">
        <v>506</v>
      </c>
      <c r="D1185" s="422" t="s">
        <v>666</v>
      </c>
      <c r="E1185" s="111">
        <v>14701</v>
      </c>
      <c r="F1185" s="421" t="s">
        <v>2139</v>
      </c>
      <c r="H1185" s="112">
        <v>1</v>
      </c>
    </row>
    <row r="1186" spans="1:15" x14ac:dyDescent="0.2">
      <c r="A1186" s="111">
        <v>1217</v>
      </c>
      <c r="B1186" s="421" t="s">
        <v>455</v>
      </c>
      <c r="C1186" s="421" t="s">
        <v>530</v>
      </c>
      <c r="D1186" s="422" t="s">
        <v>663</v>
      </c>
      <c r="F1186" s="421" t="s">
        <v>2140</v>
      </c>
    </row>
    <row r="1187" spans="1:15" x14ac:dyDescent="0.2">
      <c r="A1187" s="111">
        <v>1218</v>
      </c>
      <c r="B1187" s="421" t="s">
        <v>2141</v>
      </c>
      <c r="C1187" s="421" t="s">
        <v>557</v>
      </c>
      <c r="D1187" s="422"/>
      <c r="F1187" s="421" t="s">
        <v>1852</v>
      </c>
      <c r="G1187" s="112">
        <v>1</v>
      </c>
      <c r="H1187" s="112">
        <v>1</v>
      </c>
    </row>
    <row r="1188" spans="1:15" x14ac:dyDescent="0.2">
      <c r="A1188" s="111">
        <v>1219</v>
      </c>
      <c r="B1188" s="421" t="s">
        <v>2142</v>
      </c>
      <c r="C1188" s="421" t="s">
        <v>501</v>
      </c>
      <c r="D1188" s="422" t="s">
        <v>666</v>
      </c>
      <c r="E1188" s="111">
        <v>14704</v>
      </c>
      <c r="F1188" s="421" t="s">
        <v>2143</v>
      </c>
      <c r="G1188" s="112">
        <v>1</v>
      </c>
      <c r="H1188" s="112">
        <v>1</v>
      </c>
      <c r="I1188" s="112">
        <v>1</v>
      </c>
      <c r="J1188" s="112">
        <v>2</v>
      </c>
      <c r="K1188" s="112">
        <v>2</v>
      </c>
      <c r="L1188" s="112">
        <v>2</v>
      </c>
      <c r="M1188" s="112">
        <v>1</v>
      </c>
    </row>
    <row r="1189" spans="1:15" x14ac:dyDescent="0.2">
      <c r="A1189" s="111">
        <v>1220</v>
      </c>
      <c r="B1189" s="421" t="s">
        <v>1678</v>
      </c>
      <c r="C1189" s="421" t="s">
        <v>1201</v>
      </c>
      <c r="D1189" s="422" t="s">
        <v>666</v>
      </c>
      <c r="E1189" s="111">
        <v>1458</v>
      </c>
      <c r="F1189" s="421" t="s">
        <v>778</v>
      </c>
      <c r="G1189" s="112">
        <v>2</v>
      </c>
      <c r="H1189" s="112">
        <v>1</v>
      </c>
      <c r="I1189" s="112">
        <v>1</v>
      </c>
      <c r="J1189" s="112">
        <v>1</v>
      </c>
      <c r="K1189" s="112">
        <v>1</v>
      </c>
      <c r="L1189" s="112">
        <v>1</v>
      </c>
    </row>
    <row r="1190" spans="1:15" x14ac:dyDescent="0.2">
      <c r="A1190" s="111">
        <v>1221</v>
      </c>
      <c r="B1190" s="421" t="s">
        <v>2144</v>
      </c>
      <c r="C1190" s="421" t="s">
        <v>516</v>
      </c>
      <c r="D1190" s="422" t="s">
        <v>663</v>
      </c>
      <c r="E1190" s="111">
        <v>14116</v>
      </c>
      <c r="F1190" s="421" t="s">
        <v>815</v>
      </c>
      <c r="H1190" s="112">
        <v>1</v>
      </c>
    </row>
    <row r="1191" spans="1:15" x14ac:dyDescent="0.2">
      <c r="A1191" s="111">
        <v>1222</v>
      </c>
      <c r="B1191" s="421" t="s">
        <v>2145</v>
      </c>
      <c r="C1191" s="421" t="s">
        <v>2146</v>
      </c>
      <c r="D1191" s="422" t="s">
        <v>666</v>
      </c>
      <c r="E1191" s="111">
        <v>14707</v>
      </c>
      <c r="F1191" s="421" t="s">
        <v>2147</v>
      </c>
      <c r="H1191" s="112">
        <v>1</v>
      </c>
      <c r="I1191" s="112">
        <v>1</v>
      </c>
      <c r="K1191" s="112">
        <v>1</v>
      </c>
      <c r="L1191" s="112">
        <v>1</v>
      </c>
    </row>
    <row r="1192" spans="1:15" x14ac:dyDescent="0.2">
      <c r="A1192" s="111">
        <v>1223</v>
      </c>
      <c r="B1192" s="421" t="s">
        <v>2148</v>
      </c>
      <c r="C1192" s="421" t="s">
        <v>503</v>
      </c>
      <c r="D1192" s="422" t="s">
        <v>663</v>
      </c>
      <c r="E1192" s="111">
        <v>14708</v>
      </c>
      <c r="F1192" s="421" t="s">
        <v>2149</v>
      </c>
      <c r="G1192" s="112">
        <v>1</v>
      </c>
      <c r="H1192" s="112">
        <v>1</v>
      </c>
      <c r="I1192" s="112">
        <v>1</v>
      </c>
      <c r="K1192" s="112">
        <v>1</v>
      </c>
      <c r="L1192" s="112">
        <v>1</v>
      </c>
    </row>
    <row r="1193" spans="1:15" x14ac:dyDescent="0.2">
      <c r="A1193" s="111">
        <v>1224</v>
      </c>
      <c r="B1193" s="421" t="s">
        <v>2150</v>
      </c>
      <c r="C1193" s="421" t="s">
        <v>503</v>
      </c>
      <c r="D1193" s="422" t="s">
        <v>666</v>
      </c>
      <c r="E1193" s="111">
        <v>14708</v>
      </c>
      <c r="F1193" s="421" t="s">
        <v>2149</v>
      </c>
      <c r="G1193" s="112">
        <v>1</v>
      </c>
      <c r="H1193" s="112">
        <v>1</v>
      </c>
      <c r="I1193" s="112">
        <v>1</v>
      </c>
      <c r="J1193" s="112">
        <v>2</v>
      </c>
      <c r="K1193" s="112">
        <v>3</v>
      </c>
      <c r="L1193" s="112">
        <v>2</v>
      </c>
    </row>
    <row r="1194" spans="1:15" x14ac:dyDescent="0.2">
      <c r="A1194" s="111">
        <v>1225</v>
      </c>
      <c r="B1194" s="421" t="s">
        <v>2151</v>
      </c>
      <c r="C1194" s="421" t="s">
        <v>510</v>
      </c>
      <c r="D1194" s="422" t="s">
        <v>666</v>
      </c>
      <c r="E1194" s="111">
        <v>14709</v>
      </c>
      <c r="F1194" s="421" t="s">
        <v>2152</v>
      </c>
      <c r="G1194" s="112">
        <v>1</v>
      </c>
      <c r="H1194" s="112">
        <v>1</v>
      </c>
      <c r="I1194" s="112">
        <v>1</v>
      </c>
      <c r="J1194" s="112">
        <v>3</v>
      </c>
      <c r="K1194" s="112">
        <v>3</v>
      </c>
      <c r="L1194" s="112">
        <v>3</v>
      </c>
      <c r="M1194" s="112">
        <v>2</v>
      </c>
      <c r="N1194" s="112">
        <v>1</v>
      </c>
      <c r="O1194" s="112">
        <v>2</v>
      </c>
    </row>
    <row r="1195" spans="1:15" x14ac:dyDescent="0.2">
      <c r="A1195" s="111">
        <v>1226</v>
      </c>
      <c r="B1195" s="421" t="s">
        <v>2153</v>
      </c>
      <c r="C1195" s="421" t="s">
        <v>2154</v>
      </c>
      <c r="D1195" s="422" t="s">
        <v>666</v>
      </c>
      <c r="E1195" s="111">
        <v>14653</v>
      </c>
      <c r="F1195" s="421" t="s">
        <v>1956</v>
      </c>
      <c r="G1195" s="112">
        <v>1</v>
      </c>
      <c r="H1195" s="112">
        <v>1</v>
      </c>
      <c r="I1195" s="112">
        <v>3</v>
      </c>
    </row>
    <row r="1196" spans="1:15" x14ac:dyDescent="0.2">
      <c r="A1196" s="111">
        <v>1227</v>
      </c>
      <c r="B1196" s="421" t="s">
        <v>1214</v>
      </c>
      <c r="C1196" s="421" t="s">
        <v>503</v>
      </c>
      <c r="D1196" s="422" t="s">
        <v>666</v>
      </c>
      <c r="E1196" s="111">
        <v>14509</v>
      </c>
      <c r="F1196" s="421" t="s">
        <v>1422</v>
      </c>
      <c r="G1196" s="112">
        <v>1</v>
      </c>
      <c r="H1196" s="112">
        <v>1</v>
      </c>
      <c r="I1196" s="112">
        <v>1</v>
      </c>
      <c r="J1196" s="112">
        <v>8</v>
      </c>
      <c r="K1196" s="112">
        <v>7</v>
      </c>
      <c r="L1196" s="112">
        <v>8</v>
      </c>
      <c r="M1196" s="112">
        <v>5</v>
      </c>
      <c r="N1196" s="112">
        <v>3</v>
      </c>
      <c r="O1196" s="112">
        <v>5</v>
      </c>
    </row>
    <row r="1197" spans="1:15" x14ac:dyDescent="0.2">
      <c r="A1197" s="111">
        <v>1228</v>
      </c>
      <c r="B1197" s="421" t="s">
        <v>2155</v>
      </c>
      <c r="C1197" s="421" t="s">
        <v>520</v>
      </c>
      <c r="D1197" s="422" t="s">
        <v>666</v>
      </c>
      <c r="E1197" s="111">
        <v>14712</v>
      </c>
      <c r="F1197" s="421" t="s">
        <v>2156</v>
      </c>
      <c r="G1197" s="112">
        <v>1</v>
      </c>
      <c r="H1197" s="112">
        <v>1</v>
      </c>
      <c r="I1197" s="112">
        <v>1</v>
      </c>
      <c r="J1197" s="112">
        <v>14</v>
      </c>
      <c r="K1197" s="112">
        <v>10</v>
      </c>
      <c r="L1197" s="112">
        <v>12</v>
      </c>
      <c r="M1197" s="112">
        <v>13</v>
      </c>
      <c r="N1197" s="112">
        <v>6</v>
      </c>
      <c r="O1197" s="112">
        <v>6</v>
      </c>
    </row>
    <row r="1198" spans="1:15" x14ac:dyDescent="0.2">
      <c r="A1198" s="111">
        <v>1229</v>
      </c>
      <c r="B1198" s="421" t="s">
        <v>2157</v>
      </c>
      <c r="C1198" s="421" t="s">
        <v>520</v>
      </c>
      <c r="D1198" s="422" t="s">
        <v>663</v>
      </c>
      <c r="E1198" s="111">
        <v>14712</v>
      </c>
      <c r="F1198" s="421" t="s">
        <v>2156</v>
      </c>
      <c r="G1198" s="112">
        <v>1</v>
      </c>
      <c r="H1198" s="112">
        <v>1</v>
      </c>
      <c r="I1198" s="112">
        <v>1</v>
      </c>
      <c r="J1198" s="112">
        <v>3</v>
      </c>
      <c r="L1198" s="112">
        <v>1</v>
      </c>
    </row>
    <row r="1199" spans="1:15" x14ac:dyDescent="0.2">
      <c r="A1199" s="111">
        <v>1230</v>
      </c>
      <c r="B1199" s="421" t="s">
        <v>1196</v>
      </c>
      <c r="C1199" s="421" t="s">
        <v>1908</v>
      </c>
      <c r="D1199" s="422" t="s">
        <v>663</v>
      </c>
      <c r="F1199" s="421" t="s">
        <v>2158</v>
      </c>
      <c r="G1199" s="112">
        <v>1</v>
      </c>
      <c r="H1199" s="112">
        <v>1</v>
      </c>
      <c r="I1199" s="112">
        <v>1</v>
      </c>
    </row>
    <row r="1200" spans="1:15" x14ac:dyDescent="0.2">
      <c r="A1200" s="111">
        <v>1231</v>
      </c>
      <c r="B1200" s="421" t="s">
        <v>2159</v>
      </c>
      <c r="C1200" s="421" t="s">
        <v>514</v>
      </c>
      <c r="D1200" s="422" t="s">
        <v>663</v>
      </c>
      <c r="F1200" s="421" t="s">
        <v>2158</v>
      </c>
      <c r="G1200" s="112">
        <v>1</v>
      </c>
    </row>
    <row r="1201" spans="1:15" x14ac:dyDescent="0.2">
      <c r="A1201" s="111">
        <v>1232</v>
      </c>
      <c r="B1201" s="421" t="s">
        <v>119</v>
      </c>
      <c r="C1201" s="421" t="s">
        <v>1870</v>
      </c>
      <c r="D1201" s="422" t="s">
        <v>663</v>
      </c>
      <c r="E1201" s="111">
        <v>14658</v>
      </c>
      <c r="F1201" s="421" t="s">
        <v>1967</v>
      </c>
      <c r="G1201" s="112">
        <v>2</v>
      </c>
      <c r="H1201" s="112">
        <v>1</v>
      </c>
      <c r="I1201" s="112">
        <v>2</v>
      </c>
      <c r="J1201" s="112">
        <v>9</v>
      </c>
      <c r="K1201" s="112">
        <v>8</v>
      </c>
      <c r="L1201" s="112">
        <v>9</v>
      </c>
      <c r="M1201" s="112">
        <v>14</v>
      </c>
      <c r="N1201" s="112">
        <v>5</v>
      </c>
      <c r="O1201" s="112">
        <v>4</v>
      </c>
    </row>
    <row r="1202" spans="1:15" x14ac:dyDescent="0.2">
      <c r="A1202" s="111">
        <v>1233</v>
      </c>
      <c r="B1202" s="421" t="s">
        <v>2160</v>
      </c>
      <c r="C1202" s="421" t="s">
        <v>628</v>
      </c>
      <c r="D1202" s="422" t="s">
        <v>663</v>
      </c>
      <c r="E1202" s="111">
        <v>14714</v>
      </c>
      <c r="F1202" s="421" t="s">
        <v>2161</v>
      </c>
      <c r="G1202" s="112">
        <v>1</v>
      </c>
      <c r="H1202" s="112">
        <v>1</v>
      </c>
      <c r="I1202" s="112">
        <v>1</v>
      </c>
      <c r="J1202" s="112">
        <v>5</v>
      </c>
      <c r="K1202" s="112">
        <v>5</v>
      </c>
      <c r="L1202" s="112">
        <v>3</v>
      </c>
      <c r="M1202" s="112">
        <v>2</v>
      </c>
      <c r="N1202" s="112">
        <v>1</v>
      </c>
      <c r="O1202" s="112">
        <v>2</v>
      </c>
    </row>
    <row r="1203" spans="1:15" x14ac:dyDescent="0.2">
      <c r="A1203" s="111">
        <v>1234</v>
      </c>
      <c r="B1203" s="421" t="s">
        <v>1333</v>
      </c>
      <c r="C1203" s="421" t="s">
        <v>501</v>
      </c>
      <c r="D1203" s="422" t="s">
        <v>666</v>
      </c>
      <c r="F1203" s="421" t="s">
        <v>2162</v>
      </c>
    </row>
    <row r="1204" spans="1:15" x14ac:dyDescent="0.2">
      <c r="A1204" s="111">
        <v>1235</v>
      </c>
      <c r="B1204" s="421" t="s">
        <v>1678</v>
      </c>
      <c r="C1204" s="421" t="s">
        <v>503</v>
      </c>
      <c r="D1204" s="422" t="s">
        <v>666</v>
      </c>
      <c r="F1204" s="421" t="s">
        <v>2163</v>
      </c>
      <c r="G1204" s="112">
        <v>1</v>
      </c>
      <c r="H1204" s="112">
        <v>1</v>
      </c>
      <c r="I1204" s="112">
        <v>1</v>
      </c>
      <c r="J1204" s="112">
        <v>4</v>
      </c>
      <c r="K1204" s="112">
        <v>4</v>
      </c>
      <c r="L1204" s="112">
        <v>4</v>
      </c>
      <c r="M1204" s="112">
        <v>6</v>
      </c>
      <c r="N1204" s="112">
        <v>2</v>
      </c>
      <c r="O1204" s="112">
        <v>6</v>
      </c>
    </row>
    <row r="1205" spans="1:15" x14ac:dyDescent="0.2">
      <c r="A1205" s="111">
        <v>1236</v>
      </c>
      <c r="B1205" s="421" t="s">
        <v>2164</v>
      </c>
      <c r="C1205" s="421" t="s">
        <v>2165</v>
      </c>
      <c r="D1205" s="422" t="s">
        <v>666</v>
      </c>
      <c r="E1205" s="111">
        <v>14961</v>
      </c>
      <c r="F1205" s="421" t="s">
        <v>2166</v>
      </c>
      <c r="G1205" s="112">
        <v>1</v>
      </c>
      <c r="H1205" s="112">
        <v>1</v>
      </c>
      <c r="J1205" s="112">
        <v>1</v>
      </c>
    </row>
    <row r="1206" spans="1:15" x14ac:dyDescent="0.2">
      <c r="A1206" s="111">
        <v>1237</v>
      </c>
      <c r="B1206" s="421" t="s">
        <v>2167</v>
      </c>
      <c r="C1206" s="421" t="s">
        <v>1103</v>
      </c>
      <c r="D1206" s="422" t="s">
        <v>663</v>
      </c>
      <c r="E1206" s="111">
        <v>1452</v>
      </c>
      <c r="F1206" s="421" t="s">
        <v>1104</v>
      </c>
    </row>
    <row r="1207" spans="1:15" x14ac:dyDescent="0.2">
      <c r="A1207" s="111">
        <v>1238</v>
      </c>
      <c r="B1207" s="421" t="s">
        <v>163</v>
      </c>
      <c r="C1207" s="421" t="s">
        <v>506</v>
      </c>
      <c r="D1207" s="422" t="s">
        <v>663</v>
      </c>
      <c r="E1207" s="111">
        <v>14986</v>
      </c>
      <c r="F1207" s="421" t="s">
        <v>1874</v>
      </c>
      <c r="G1207" s="112">
        <v>1</v>
      </c>
      <c r="H1207" s="112">
        <v>1</v>
      </c>
      <c r="I1207" s="112">
        <v>1</v>
      </c>
      <c r="J1207" s="112">
        <v>2</v>
      </c>
      <c r="K1207" s="112">
        <v>2</v>
      </c>
    </row>
    <row r="1208" spans="1:15" x14ac:dyDescent="0.2">
      <c r="A1208" s="111">
        <v>1239</v>
      </c>
      <c r="B1208" s="421" t="s">
        <v>2168</v>
      </c>
      <c r="C1208" s="421" t="s">
        <v>506</v>
      </c>
      <c r="D1208" s="422" t="s">
        <v>663</v>
      </c>
      <c r="E1208" s="111">
        <v>14640</v>
      </c>
      <c r="F1208" s="421" t="s">
        <v>1941</v>
      </c>
      <c r="G1208" s="112">
        <v>2</v>
      </c>
      <c r="H1208" s="112">
        <v>1</v>
      </c>
      <c r="I1208" s="112">
        <v>2</v>
      </c>
      <c r="J1208" s="112">
        <v>2</v>
      </c>
      <c r="K1208" s="112">
        <v>3</v>
      </c>
      <c r="L1208" s="112">
        <v>3</v>
      </c>
    </row>
    <row r="1209" spans="1:15" x14ac:dyDescent="0.2">
      <c r="A1209" s="111">
        <v>1240</v>
      </c>
      <c r="B1209" s="421" t="s">
        <v>310</v>
      </c>
      <c r="C1209" s="421" t="s">
        <v>502</v>
      </c>
      <c r="D1209" s="422" t="s">
        <v>663</v>
      </c>
      <c r="E1209" s="111">
        <v>14870</v>
      </c>
      <c r="F1209" s="421" t="s">
        <v>2169</v>
      </c>
      <c r="G1209" s="112">
        <v>1</v>
      </c>
      <c r="H1209" s="112">
        <v>1</v>
      </c>
      <c r="I1209" s="112">
        <v>1</v>
      </c>
      <c r="J1209" s="112">
        <v>7</v>
      </c>
      <c r="K1209" s="112">
        <v>7</v>
      </c>
      <c r="L1209" s="112">
        <v>7</v>
      </c>
      <c r="M1209" s="112">
        <v>3</v>
      </c>
      <c r="N1209" s="112">
        <v>3</v>
      </c>
      <c r="O1209" s="112">
        <v>3</v>
      </c>
    </row>
    <row r="1210" spans="1:15" x14ac:dyDescent="0.2">
      <c r="A1210" s="111">
        <v>1241</v>
      </c>
      <c r="B1210" s="421" t="s">
        <v>1224</v>
      </c>
      <c r="C1210" s="421" t="s">
        <v>536</v>
      </c>
      <c r="D1210" s="422" t="s">
        <v>666</v>
      </c>
      <c r="E1210" s="111">
        <v>14876</v>
      </c>
      <c r="F1210" s="421" t="s">
        <v>2838</v>
      </c>
      <c r="G1210" s="112">
        <v>1</v>
      </c>
      <c r="H1210" s="112">
        <v>1</v>
      </c>
      <c r="I1210" s="112">
        <v>1</v>
      </c>
      <c r="J1210" s="112">
        <v>12</v>
      </c>
      <c r="K1210" s="112">
        <v>11</v>
      </c>
      <c r="L1210" s="112">
        <v>12</v>
      </c>
      <c r="M1210" s="112">
        <v>11</v>
      </c>
      <c r="N1210" s="112">
        <v>5</v>
      </c>
      <c r="O1210" s="112">
        <v>3</v>
      </c>
    </row>
    <row r="1211" spans="1:15" x14ac:dyDescent="0.2">
      <c r="A1211" s="111">
        <v>1242</v>
      </c>
      <c r="B1211" s="421" t="s">
        <v>2170</v>
      </c>
      <c r="C1211" s="421" t="s">
        <v>533</v>
      </c>
      <c r="D1211" s="422" t="s">
        <v>666</v>
      </c>
      <c r="E1211" s="111">
        <v>14716</v>
      </c>
      <c r="F1211" s="421" t="s">
        <v>2171</v>
      </c>
      <c r="G1211" s="112">
        <v>1</v>
      </c>
      <c r="H1211" s="112">
        <v>1</v>
      </c>
      <c r="I1211" s="112">
        <v>1</v>
      </c>
      <c r="J1211" s="112">
        <v>4</v>
      </c>
      <c r="K1211" s="112">
        <v>1</v>
      </c>
      <c r="L1211" s="112">
        <v>3</v>
      </c>
      <c r="M1211" s="112">
        <v>3</v>
      </c>
      <c r="O1211" s="112">
        <v>1</v>
      </c>
    </row>
    <row r="1212" spans="1:15" x14ac:dyDescent="0.2">
      <c r="A1212" s="111">
        <v>1243</v>
      </c>
      <c r="B1212" s="421" t="s">
        <v>2083</v>
      </c>
      <c r="C1212" s="421" t="s">
        <v>1908</v>
      </c>
      <c r="D1212" s="422" t="s">
        <v>666</v>
      </c>
      <c r="E1212" s="111">
        <v>15225</v>
      </c>
      <c r="F1212" s="421" t="s">
        <v>2172</v>
      </c>
      <c r="G1212" s="112">
        <v>1</v>
      </c>
      <c r="H1212" s="112">
        <v>1</v>
      </c>
      <c r="I1212" s="112">
        <v>1</v>
      </c>
      <c r="J1212" s="112">
        <v>1</v>
      </c>
      <c r="K1212" s="112">
        <v>2</v>
      </c>
      <c r="L1212" s="112">
        <v>4</v>
      </c>
      <c r="N1212" s="112">
        <v>1</v>
      </c>
      <c r="O1212" s="112">
        <v>2</v>
      </c>
    </row>
    <row r="1213" spans="1:15" x14ac:dyDescent="0.2">
      <c r="A1213" s="111">
        <v>1244</v>
      </c>
      <c r="B1213" s="421" t="s">
        <v>2173</v>
      </c>
      <c r="C1213" s="421" t="s">
        <v>1908</v>
      </c>
      <c r="D1213" s="422" t="s">
        <v>666</v>
      </c>
      <c r="E1213" s="111">
        <v>15225</v>
      </c>
      <c r="F1213" s="421" t="s">
        <v>2172</v>
      </c>
      <c r="G1213" s="112">
        <v>1</v>
      </c>
      <c r="H1213" s="112">
        <v>1</v>
      </c>
      <c r="I1213" s="112">
        <v>1</v>
      </c>
      <c r="J1213" s="112">
        <v>1</v>
      </c>
      <c r="K1213" s="112">
        <v>2</v>
      </c>
      <c r="L1213" s="112">
        <v>2</v>
      </c>
      <c r="M1213" s="112">
        <v>1</v>
      </c>
      <c r="N1213" s="112">
        <v>1</v>
      </c>
    </row>
    <row r="1214" spans="1:15" x14ac:dyDescent="0.2">
      <c r="A1214" s="111">
        <v>1245</v>
      </c>
      <c r="B1214" s="421" t="s">
        <v>2174</v>
      </c>
      <c r="C1214" s="421" t="s">
        <v>1651</v>
      </c>
      <c r="D1214" s="422" t="s">
        <v>663</v>
      </c>
      <c r="E1214" s="111">
        <v>14720</v>
      </c>
      <c r="F1214" s="421" t="s">
        <v>2175</v>
      </c>
      <c r="G1214" s="112">
        <v>1</v>
      </c>
      <c r="H1214" s="112">
        <v>1</v>
      </c>
      <c r="I1214" s="112">
        <v>1</v>
      </c>
      <c r="J1214" s="112">
        <v>10</v>
      </c>
      <c r="K1214" s="112">
        <v>14</v>
      </c>
      <c r="L1214" s="112">
        <v>16</v>
      </c>
      <c r="M1214" s="112">
        <v>5</v>
      </c>
      <c r="N1214" s="112">
        <v>3</v>
      </c>
      <c r="O1214" s="112">
        <v>4</v>
      </c>
    </row>
    <row r="1215" spans="1:15" x14ac:dyDescent="0.2">
      <c r="A1215" s="111">
        <v>1246</v>
      </c>
      <c r="B1215" s="421" t="s">
        <v>121</v>
      </c>
      <c r="C1215" s="421" t="s">
        <v>501</v>
      </c>
      <c r="D1215" s="422" t="s">
        <v>666</v>
      </c>
      <c r="E1215" s="111">
        <v>1490</v>
      </c>
      <c r="F1215" s="421" t="s">
        <v>728</v>
      </c>
    </row>
    <row r="1216" spans="1:15" x14ac:dyDescent="0.2">
      <c r="A1216" s="111">
        <v>1247</v>
      </c>
      <c r="B1216" s="421" t="s">
        <v>2176</v>
      </c>
      <c r="C1216" s="421" t="s">
        <v>501</v>
      </c>
      <c r="D1216" s="422" t="s">
        <v>663</v>
      </c>
      <c r="E1216" s="111">
        <v>14666</v>
      </c>
      <c r="F1216" s="421" t="s">
        <v>2177</v>
      </c>
      <c r="G1216" s="112">
        <v>1</v>
      </c>
      <c r="H1216" s="112">
        <v>1</v>
      </c>
      <c r="I1216" s="112">
        <v>1</v>
      </c>
      <c r="J1216" s="112">
        <v>1</v>
      </c>
      <c r="K1216" s="112">
        <v>1</v>
      </c>
    </row>
    <row r="1217" spans="1:15" x14ac:dyDescent="0.2">
      <c r="A1217" s="111">
        <v>1248</v>
      </c>
      <c r="B1217" s="421" t="s">
        <v>2178</v>
      </c>
      <c r="C1217" s="421" t="s">
        <v>510</v>
      </c>
      <c r="D1217" s="422" t="s">
        <v>666</v>
      </c>
      <c r="E1217" s="111">
        <v>14153</v>
      </c>
      <c r="F1217" s="421" t="s">
        <v>688</v>
      </c>
      <c r="G1217" s="112">
        <v>1</v>
      </c>
      <c r="H1217" s="112">
        <v>1</v>
      </c>
      <c r="I1217" s="112">
        <v>1</v>
      </c>
      <c r="J1217" s="112">
        <v>7</v>
      </c>
      <c r="K1217" s="112">
        <v>7</v>
      </c>
      <c r="L1217" s="112">
        <v>8</v>
      </c>
      <c r="M1217" s="112">
        <v>4</v>
      </c>
      <c r="N1217" s="112">
        <v>3</v>
      </c>
      <c r="O1217" s="112">
        <v>4</v>
      </c>
    </row>
    <row r="1218" spans="1:15" x14ac:dyDescent="0.2">
      <c r="A1218" s="111">
        <v>1249</v>
      </c>
      <c r="B1218" s="421" t="s">
        <v>119</v>
      </c>
      <c r="C1218" s="421" t="s">
        <v>544</v>
      </c>
      <c r="D1218" s="422" t="s">
        <v>663</v>
      </c>
      <c r="E1218" s="111">
        <v>14170</v>
      </c>
      <c r="F1218" s="421" t="s">
        <v>866</v>
      </c>
      <c r="G1218" s="112">
        <v>3</v>
      </c>
      <c r="H1218" s="112">
        <v>1</v>
      </c>
      <c r="I1218" s="112">
        <v>1</v>
      </c>
      <c r="J1218" s="112">
        <v>1</v>
      </c>
    </row>
    <row r="1219" spans="1:15" x14ac:dyDescent="0.2">
      <c r="A1219" s="111">
        <v>1250</v>
      </c>
      <c r="B1219" s="421" t="s">
        <v>2179</v>
      </c>
      <c r="C1219" s="421" t="s">
        <v>592</v>
      </c>
      <c r="D1219" s="422" t="s">
        <v>663</v>
      </c>
      <c r="E1219" s="111">
        <v>14721</v>
      </c>
      <c r="F1219" s="421" t="s">
        <v>2180</v>
      </c>
      <c r="G1219" s="112">
        <v>1</v>
      </c>
      <c r="H1219" s="112">
        <v>1</v>
      </c>
      <c r="I1219" s="112">
        <v>1</v>
      </c>
      <c r="J1219" s="112">
        <v>7</v>
      </c>
      <c r="K1219" s="112">
        <v>7</v>
      </c>
      <c r="L1219" s="112">
        <v>7</v>
      </c>
      <c r="M1219" s="112">
        <v>3</v>
      </c>
      <c r="N1219" s="112">
        <v>3</v>
      </c>
      <c r="O1219" s="112">
        <v>3</v>
      </c>
    </row>
    <row r="1220" spans="1:15" x14ac:dyDescent="0.2">
      <c r="A1220" s="111">
        <v>1251</v>
      </c>
      <c r="B1220" s="421" t="s">
        <v>1099</v>
      </c>
      <c r="C1220" s="421" t="s">
        <v>592</v>
      </c>
      <c r="D1220" s="422" t="s">
        <v>666</v>
      </c>
      <c r="E1220" s="111">
        <v>14721</v>
      </c>
      <c r="F1220" s="421" t="s">
        <v>2180</v>
      </c>
      <c r="G1220" s="112">
        <v>1</v>
      </c>
      <c r="H1220" s="112">
        <v>1</v>
      </c>
      <c r="I1220" s="112">
        <v>2</v>
      </c>
    </row>
    <row r="1221" spans="1:15" x14ac:dyDescent="0.2">
      <c r="A1221" s="111">
        <v>1252</v>
      </c>
      <c r="B1221" s="421" t="s">
        <v>2181</v>
      </c>
      <c r="C1221" s="421" t="s">
        <v>506</v>
      </c>
      <c r="D1221" s="422" t="s">
        <v>663</v>
      </c>
      <c r="E1221" s="111">
        <v>14722</v>
      </c>
      <c r="F1221" s="421" t="s">
        <v>2182</v>
      </c>
      <c r="G1221" s="112">
        <v>1</v>
      </c>
      <c r="H1221" s="112">
        <v>1</v>
      </c>
    </row>
    <row r="1222" spans="1:15" x14ac:dyDescent="0.2">
      <c r="A1222" s="111">
        <v>1253</v>
      </c>
      <c r="B1222" s="421" t="s">
        <v>1691</v>
      </c>
      <c r="C1222" s="421" t="s">
        <v>506</v>
      </c>
      <c r="D1222" s="422" t="s">
        <v>663</v>
      </c>
      <c r="E1222" s="111">
        <v>14723</v>
      </c>
      <c r="F1222" s="421" t="s">
        <v>2364</v>
      </c>
    </row>
    <row r="1223" spans="1:15" x14ac:dyDescent="0.2">
      <c r="A1223" s="111">
        <v>1254</v>
      </c>
      <c r="B1223" s="421" t="s">
        <v>2183</v>
      </c>
      <c r="C1223" s="421" t="s">
        <v>513</v>
      </c>
      <c r="D1223" s="422" t="s">
        <v>666</v>
      </c>
      <c r="E1223" s="111">
        <v>14554</v>
      </c>
      <c r="F1223" s="421" t="s">
        <v>1668</v>
      </c>
      <c r="G1223" s="112">
        <v>1</v>
      </c>
      <c r="H1223" s="112">
        <v>1</v>
      </c>
      <c r="I1223" s="112">
        <v>1</v>
      </c>
      <c r="J1223" s="112">
        <v>7</v>
      </c>
      <c r="K1223" s="112">
        <v>7</v>
      </c>
      <c r="L1223" s="112">
        <v>7</v>
      </c>
      <c r="M1223" s="112">
        <v>7</v>
      </c>
      <c r="O1223" s="112">
        <v>3</v>
      </c>
    </row>
    <row r="1224" spans="1:15" x14ac:dyDescent="0.2">
      <c r="A1224" s="111">
        <v>1255</v>
      </c>
      <c r="B1224" s="421" t="s">
        <v>266</v>
      </c>
      <c r="C1224" s="421" t="s">
        <v>513</v>
      </c>
      <c r="D1224" s="422" t="s">
        <v>663</v>
      </c>
      <c r="E1224" s="111">
        <v>14554</v>
      </c>
      <c r="F1224" s="421" t="s">
        <v>1668</v>
      </c>
      <c r="G1224" s="112">
        <v>2</v>
      </c>
      <c r="H1224" s="112">
        <v>1</v>
      </c>
      <c r="I1224" s="112">
        <v>1</v>
      </c>
      <c r="J1224" s="112">
        <v>10</v>
      </c>
      <c r="K1224" s="112">
        <v>6</v>
      </c>
      <c r="L1224" s="112">
        <v>7</v>
      </c>
      <c r="M1224" s="112">
        <v>4</v>
      </c>
      <c r="N1224" s="112">
        <v>4</v>
      </c>
      <c r="O1224" s="112">
        <v>4</v>
      </c>
    </row>
    <row r="1225" spans="1:15" x14ac:dyDescent="0.2">
      <c r="A1225" s="111">
        <v>1256</v>
      </c>
      <c r="B1225" s="421" t="s">
        <v>2184</v>
      </c>
      <c r="C1225" s="421" t="s">
        <v>501</v>
      </c>
      <c r="D1225" s="422" t="s">
        <v>666</v>
      </c>
      <c r="F1225" s="421" t="s">
        <v>2185</v>
      </c>
    </row>
    <row r="1226" spans="1:15" x14ac:dyDescent="0.2">
      <c r="A1226" s="111">
        <v>1257</v>
      </c>
      <c r="B1226" s="421" t="s">
        <v>2186</v>
      </c>
      <c r="C1226" s="421" t="s">
        <v>513</v>
      </c>
      <c r="D1226" s="422" t="s">
        <v>666</v>
      </c>
      <c r="E1226" s="111">
        <v>14367</v>
      </c>
      <c r="F1226" s="421" t="s">
        <v>831</v>
      </c>
      <c r="G1226" s="112">
        <v>1</v>
      </c>
      <c r="H1226" s="112">
        <v>1</v>
      </c>
      <c r="I1226" s="112">
        <v>1</v>
      </c>
      <c r="J1226" s="112">
        <v>7</v>
      </c>
      <c r="K1226" s="112">
        <v>7</v>
      </c>
      <c r="L1226" s="112">
        <v>8</v>
      </c>
      <c r="M1226" s="112">
        <v>10</v>
      </c>
      <c r="N1226" s="112">
        <v>6</v>
      </c>
      <c r="O1226" s="112">
        <v>5</v>
      </c>
    </row>
    <row r="1227" spans="1:15" x14ac:dyDescent="0.2">
      <c r="A1227" s="111">
        <v>1258</v>
      </c>
      <c r="B1227" s="421" t="s">
        <v>1204</v>
      </c>
      <c r="C1227" s="421" t="s">
        <v>1112</v>
      </c>
      <c r="D1227" s="422" t="s">
        <v>663</v>
      </c>
      <c r="E1227" s="111">
        <v>14726</v>
      </c>
      <c r="F1227" s="421" t="s">
        <v>2187</v>
      </c>
      <c r="G1227" s="112">
        <v>1</v>
      </c>
      <c r="H1227" s="112">
        <v>1</v>
      </c>
      <c r="I1227" s="112">
        <v>1</v>
      </c>
    </row>
    <row r="1228" spans="1:15" x14ac:dyDescent="0.2">
      <c r="A1228" s="111">
        <v>1259</v>
      </c>
      <c r="B1228" s="421" t="s">
        <v>2188</v>
      </c>
      <c r="C1228" s="421" t="s">
        <v>506</v>
      </c>
      <c r="D1228" s="422" t="s">
        <v>663</v>
      </c>
      <c r="E1228" s="111">
        <v>14727</v>
      </c>
      <c r="F1228" s="421" t="s">
        <v>2189</v>
      </c>
      <c r="G1228" s="112">
        <v>1</v>
      </c>
      <c r="H1228" s="112">
        <v>1</v>
      </c>
      <c r="I1228" s="112">
        <v>1</v>
      </c>
      <c r="K1228" s="112">
        <v>3</v>
      </c>
      <c r="L1228" s="112">
        <v>2</v>
      </c>
    </row>
    <row r="1229" spans="1:15" x14ac:dyDescent="0.2">
      <c r="A1229" s="111">
        <v>1260</v>
      </c>
      <c r="B1229" s="421" t="s">
        <v>2190</v>
      </c>
      <c r="C1229" s="421" t="s">
        <v>503</v>
      </c>
      <c r="D1229" s="422" t="s">
        <v>663</v>
      </c>
      <c r="E1229" s="111">
        <v>14999</v>
      </c>
      <c r="F1229" s="421" t="s">
        <v>3064</v>
      </c>
      <c r="G1229" s="112">
        <v>1</v>
      </c>
      <c r="H1229" s="112">
        <v>1</v>
      </c>
      <c r="I1229" s="112">
        <v>1</v>
      </c>
      <c r="J1229" s="112">
        <v>2</v>
      </c>
      <c r="K1229" s="112">
        <v>2</v>
      </c>
      <c r="L1229" s="112">
        <v>2</v>
      </c>
    </row>
    <row r="1230" spans="1:15" x14ac:dyDescent="0.2">
      <c r="A1230" s="111">
        <v>1261</v>
      </c>
      <c r="B1230" s="421" t="s">
        <v>397</v>
      </c>
      <c r="C1230" s="421" t="s">
        <v>502</v>
      </c>
      <c r="D1230" s="422" t="s">
        <v>666</v>
      </c>
      <c r="E1230" s="111">
        <v>14732</v>
      </c>
      <c r="F1230" s="421" t="s">
        <v>2191</v>
      </c>
      <c r="G1230" s="112">
        <v>1</v>
      </c>
      <c r="H1230" s="112">
        <v>1</v>
      </c>
      <c r="I1230" s="112">
        <v>1</v>
      </c>
      <c r="J1230" s="112">
        <v>3</v>
      </c>
      <c r="K1230" s="112">
        <v>3</v>
      </c>
      <c r="L1230" s="112">
        <v>3</v>
      </c>
      <c r="M1230" s="112">
        <v>3</v>
      </c>
      <c r="N1230" s="112">
        <v>3</v>
      </c>
      <c r="O1230" s="112">
        <v>4</v>
      </c>
    </row>
    <row r="1231" spans="1:15" x14ac:dyDescent="0.2">
      <c r="A1231" s="111">
        <v>1262</v>
      </c>
      <c r="B1231" s="421" t="s">
        <v>112</v>
      </c>
      <c r="C1231" s="421" t="s">
        <v>510</v>
      </c>
      <c r="D1231" s="422" t="s">
        <v>663</v>
      </c>
      <c r="E1231" s="111">
        <v>14729</v>
      </c>
      <c r="F1231" s="421" t="s">
        <v>2192</v>
      </c>
      <c r="G1231" s="112">
        <v>1</v>
      </c>
      <c r="H1231" s="112">
        <v>1</v>
      </c>
      <c r="I1231" s="112">
        <v>1</v>
      </c>
      <c r="J1231" s="112">
        <v>6</v>
      </c>
      <c r="K1231" s="112">
        <v>6</v>
      </c>
      <c r="L1231" s="112">
        <v>6</v>
      </c>
      <c r="M1231" s="112">
        <v>13</v>
      </c>
      <c r="N1231" s="112">
        <v>8</v>
      </c>
      <c r="O1231" s="112">
        <v>10</v>
      </c>
    </row>
    <row r="1232" spans="1:15" x14ac:dyDescent="0.2">
      <c r="A1232" s="111">
        <v>1263</v>
      </c>
      <c r="B1232" s="421" t="s">
        <v>1873</v>
      </c>
      <c r="C1232" s="421" t="s">
        <v>533</v>
      </c>
      <c r="D1232" s="422" t="s">
        <v>666</v>
      </c>
      <c r="E1232" s="111">
        <v>14730</v>
      </c>
      <c r="F1232" s="421" t="s">
        <v>2193</v>
      </c>
      <c r="G1232" s="112">
        <v>1</v>
      </c>
      <c r="H1232" s="112">
        <v>1</v>
      </c>
      <c r="I1232" s="112">
        <v>1</v>
      </c>
      <c r="J1232" s="112">
        <v>7</v>
      </c>
      <c r="K1232" s="112">
        <v>7</v>
      </c>
      <c r="L1232" s="112">
        <v>8</v>
      </c>
      <c r="M1232" s="112">
        <v>4</v>
      </c>
      <c r="N1232" s="112">
        <v>3</v>
      </c>
      <c r="O1232" s="112">
        <v>5</v>
      </c>
    </row>
    <row r="1233" spans="1:15" x14ac:dyDescent="0.2">
      <c r="A1233" s="111">
        <v>1264</v>
      </c>
      <c r="B1233" s="421" t="s">
        <v>2194</v>
      </c>
      <c r="C1233" s="421" t="s">
        <v>507</v>
      </c>
      <c r="D1233" s="422" t="s">
        <v>666</v>
      </c>
      <c r="E1233" s="111">
        <v>14699</v>
      </c>
      <c r="F1233" s="421" t="s">
        <v>2195</v>
      </c>
      <c r="G1233" s="112">
        <v>1</v>
      </c>
      <c r="H1233" s="112">
        <v>1</v>
      </c>
      <c r="I1233" s="112">
        <v>1</v>
      </c>
      <c r="J1233" s="112">
        <v>9</v>
      </c>
      <c r="K1233" s="112">
        <v>7</v>
      </c>
      <c r="L1233" s="112">
        <v>7</v>
      </c>
      <c r="M1233" s="112">
        <v>7</v>
      </c>
      <c r="N1233" s="112">
        <v>5</v>
      </c>
      <c r="O1233" s="112">
        <v>7</v>
      </c>
    </row>
    <row r="1234" spans="1:15" x14ac:dyDescent="0.2">
      <c r="A1234" s="111">
        <v>1265</v>
      </c>
      <c r="B1234" s="421" t="s">
        <v>2196</v>
      </c>
      <c r="C1234" s="421" t="s">
        <v>2165</v>
      </c>
      <c r="D1234" s="422" t="s">
        <v>666</v>
      </c>
      <c r="E1234" s="111">
        <v>15311</v>
      </c>
      <c r="F1234" s="421" t="s">
        <v>4760</v>
      </c>
      <c r="G1234" s="112">
        <v>2</v>
      </c>
      <c r="H1234" s="112">
        <v>2</v>
      </c>
      <c r="I1234" s="112">
        <v>2</v>
      </c>
      <c r="J1234" s="112">
        <v>11</v>
      </c>
      <c r="K1234" s="112">
        <v>11</v>
      </c>
      <c r="L1234" s="112">
        <v>10</v>
      </c>
      <c r="M1234" s="112">
        <v>6</v>
      </c>
      <c r="N1234" s="112">
        <v>5</v>
      </c>
      <c r="O1234" s="112">
        <v>12</v>
      </c>
    </row>
    <row r="1235" spans="1:15" x14ac:dyDescent="0.2">
      <c r="A1235" s="111">
        <v>1266</v>
      </c>
      <c r="B1235" s="421" t="s">
        <v>2197</v>
      </c>
      <c r="C1235" s="421" t="s">
        <v>2165</v>
      </c>
      <c r="D1235" s="422" t="s">
        <v>663</v>
      </c>
      <c r="E1235" s="111">
        <v>15311</v>
      </c>
      <c r="F1235" s="421" t="s">
        <v>4760</v>
      </c>
      <c r="G1235" s="112">
        <v>5</v>
      </c>
      <c r="H1235" s="112">
        <v>5</v>
      </c>
      <c r="I1235" s="112">
        <v>4</v>
      </c>
      <c r="J1235" s="112">
        <v>9</v>
      </c>
      <c r="K1235" s="112">
        <v>11</v>
      </c>
      <c r="L1235" s="112">
        <v>10</v>
      </c>
      <c r="M1235" s="112">
        <v>10</v>
      </c>
      <c r="N1235" s="112">
        <v>4</v>
      </c>
      <c r="O1235" s="112">
        <v>3</v>
      </c>
    </row>
    <row r="1236" spans="1:15" x14ac:dyDescent="0.2">
      <c r="A1236" s="111">
        <v>1267</v>
      </c>
      <c r="B1236" s="421" t="s">
        <v>2198</v>
      </c>
      <c r="C1236" s="421" t="s">
        <v>501</v>
      </c>
      <c r="D1236" s="422" t="s">
        <v>666</v>
      </c>
      <c r="E1236" s="111">
        <v>14731</v>
      </c>
      <c r="F1236" s="421" t="s">
        <v>2199</v>
      </c>
      <c r="G1236" s="112">
        <v>2</v>
      </c>
      <c r="H1236" s="112">
        <v>2</v>
      </c>
      <c r="I1236" s="112">
        <v>1</v>
      </c>
      <c r="J1236" s="112">
        <v>1</v>
      </c>
      <c r="K1236" s="112">
        <v>1</v>
      </c>
      <c r="L1236" s="112">
        <v>1</v>
      </c>
    </row>
    <row r="1237" spans="1:15" x14ac:dyDescent="0.2">
      <c r="A1237" s="111">
        <v>1268</v>
      </c>
      <c r="B1237" s="421" t="s">
        <v>2200</v>
      </c>
      <c r="C1237" s="421" t="s">
        <v>1898</v>
      </c>
      <c r="D1237" s="422" t="s">
        <v>666</v>
      </c>
      <c r="E1237" s="111">
        <v>14489</v>
      </c>
      <c r="F1237" s="421" t="s">
        <v>1475</v>
      </c>
      <c r="G1237" s="112">
        <v>1</v>
      </c>
      <c r="H1237" s="112">
        <v>1</v>
      </c>
      <c r="I1237" s="112">
        <v>1</v>
      </c>
      <c r="J1237" s="112">
        <v>2</v>
      </c>
      <c r="K1237" s="112">
        <v>1</v>
      </c>
      <c r="L1237" s="112">
        <v>1</v>
      </c>
      <c r="M1237" s="112">
        <v>2</v>
      </c>
    </row>
    <row r="1238" spans="1:15" x14ac:dyDescent="0.2">
      <c r="A1238" s="111">
        <v>1269</v>
      </c>
      <c r="B1238" s="421" t="s">
        <v>2201</v>
      </c>
      <c r="C1238" s="421" t="s">
        <v>501</v>
      </c>
      <c r="D1238" s="422" t="s">
        <v>666</v>
      </c>
      <c r="E1238" s="111">
        <v>14267</v>
      </c>
      <c r="F1238" s="421" t="s">
        <v>3729</v>
      </c>
      <c r="G1238" s="112">
        <v>1</v>
      </c>
      <c r="H1238" s="112">
        <v>1</v>
      </c>
      <c r="I1238" s="112">
        <v>1</v>
      </c>
      <c r="J1238" s="112">
        <v>4</v>
      </c>
      <c r="K1238" s="112">
        <v>7</v>
      </c>
      <c r="L1238" s="112">
        <v>7</v>
      </c>
      <c r="M1238" s="112">
        <v>2</v>
      </c>
      <c r="N1238" s="112">
        <v>2</v>
      </c>
      <c r="O1238" s="112">
        <v>7</v>
      </c>
    </row>
    <row r="1239" spans="1:15" x14ac:dyDescent="0.2">
      <c r="A1239" s="111">
        <v>1270</v>
      </c>
      <c r="B1239" s="421" t="s">
        <v>2202</v>
      </c>
      <c r="C1239" s="421" t="s">
        <v>514</v>
      </c>
      <c r="D1239" s="422" t="s">
        <v>663</v>
      </c>
      <c r="E1239" s="111">
        <v>14540</v>
      </c>
      <c r="F1239" s="421" t="s">
        <v>2203</v>
      </c>
      <c r="G1239" s="112">
        <v>1</v>
      </c>
      <c r="H1239" s="112">
        <v>1</v>
      </c>
      <c r="I1239" s="112">
        <v>1</v>
      </c>
      <c r="J1239" s="112">
        <v>9</v>
      </c>
      <c r="K1239" s="112">
        <v>9</v>
      </c>
      <c r="L1239" s="112">
        <v>8</v>
      </c>
      <c r="M1239" s="112">
        <v>7</v>
      </c>
      <c r="N1239" s="112">
        <v>4</v>
      </c>
      <c r="O1239" s="112">
        <v>7</v>
      </c>
    </row>
    <row r="1240" spans="1:15" x14ac:dyDescent="0.2">
      <c r="A1240" s="111">
        <v>1271</v>
      </c>
      <c r="B1240" s="421" t="s">
        <v>2204</v>
      </c>
      <c r="C1240" s="421" t="s">
        <v>585</v>
      </c>
      <c r="D1240" s="422" t="s">
        <v>666</v>
      </c>
      <c r="E1240" s="111">
        <v>14724</v>
      </c>
      <c r="F1240" s="421" t="s">
        <v>2205</v>
      </c>
    </row>
    <row r="1241" spans="1:15" x14ac:dyDescent="0.2">
      <c r="A1241" s="111">
        <v>1272</v>
      </c>
      <c r="B1241" s="421" t="s">
        <v>2206</v>
      </c>
      <c r="C1241" s="421" t="s">
        <v>514</v>
      </c>
      <c r="D1241" s="422" t="s">
        <v>663</v>
      </c>
      <c r="E1241" s="111">
        <v>14734</v>
      </c>
      <c r="F1241" s="421" t="s">
        <v>2207</v>
      </c>
      <c r="I1241" s="112">
        <v>1</v>
      </c>
    </row>
    <row r="1242" spans="1:15" x14ac:dyDescent="0.2">
      <c r="A1242" s="111">
        <v>1273</v>
      </c>
      <c r="B1242" s="421" t="s">
        <v>2208</v>
      </c>
      <c r="C1242" s="421" t="s">
        <v>514</v>
      </c>
      <c r="D1242" s="422" t="s">
        <v>663</v>
      </c>
      <c r="E1242" s="111">
        <v>14734</v>
      </c>
      <c r="F1242" s="421" t="s">
        <v>2207</v>
      </c>
      <c r="G1242" s="112">
        <v>1</v>
      </c>
      <c r="I1242" s="112">
        <v>2</v>
      </c>
    </row>
    <row r="1243" spans="1:15" x14ac:dyDescent="0.2">
      <c r="A1243" s="111">
        <v>1274</v>
      </c>
      <c r="B1243" s="421" t="s">
        <v>2209</v>
      </c>
      <c r="C1243" s="421" t="s">
        <v>514</v>
      </c>
      <c r="D1243" s="422" t="s">
        <v>663</v>
      </c>
      <c r="E1243" s="111">
        <v>14736</v>
      </c>
      <c r="F1243" s="421" t="s">
        <v>2725</v>
      </c>
      <c r="G1243" s="112">
        <v>1</v>
      </c>
      <c r="H1243" s="112">
        <v>1</v>
      </c>
      <c r="I1243" s="112">
        <v>1</v>
      </c>
      <c r="J1243" s="112">
        <v>4</v>
      </c>
      <c r="K1243" s="112">
        <v>3</v>
      </c>
      <c r="L1243" s="112">
        <v>3</v>
      </c>
      <c r="M1243" s="112">
        <v>5</v>
      </c>
      <c r="N1243" s="112">
        <v>3</v>
      </c>
      <c r="O1243" s="112">
        <v>1</v>
      </c>
    </row>
    <row r="1244" spans="1:15" x14ac:dyDescent="0.2">
      <c r="A1244" s="111">
        <v>1275</v>
      </c>
      <c r="B1244" s="421" t="s">
        <v>1352</v>
      </c>
      <c r="C1244" s="421" t="s">
        <v>17459</v>
      </c>
      <c r="D1244" s="422" t="s">
        <v>666</v>
      </c>
      <c r="E1244" s="111">
        <v>14738</v>
      </c>
      <c r="F1244" s="421" t="s">
        <v>2210</v>
      </c>
      <c r="G1244" s="112">
        <v>1</v>
      </c>
      <c r="H1244" s="112">
        <v>1</v>
      </c>
      <c r="I1244" s="112">
        <v>1</v>
      </c>
    </row>
    <row r="1245" spans="1:15" x14ac:dyDescent="0.2">
      <c r="A1245" s="111">
        <v>1276</v>
      </c>
      <c r="B1245" s="421" t="s">
        <v>2211</v>
      </c>
      <c r="C1245" s="421" t="s">
        <v>507</v>
      </c>
      <c r="D1245" s="422" t="s">
        <v>663</v>
      </c>
      <c r="E1245" s="111">
        <v>14184</v>
      </c>
      <c r="F1245" s="421" t="s">
        <v>885</v>
      </c>
      <c r="G1245" s="112">
        <v>1</v>
      </c>
      <c r="H1245" s="112">
        <v>1</v>
      </c>
      <c r="I1245" s="112">
        <v>1</v>
      </c>
      <c r="J1245" s="112">
        <v>2</v>
      </c>
      <c r="K1245" s="112">
        <v>4</v>
      </c>
      <c r="L1245" s="112">
        <v>2</v>
      </c>
      <c r="M1245" s="112">
        <v>1</v>
      </c>
    </row>
    <row r="1246" spans="1:15" x14ac:dyDescent="0.2">
      <c r="A1246" s="111">
        <v>1277</v>
      </c>
      <c r="B1246" s="421" t="s">
        <v>2212</v>
      </c>
      <c r="C1246" s="421" t="s">
        <v>506</v>
      </c>
      <c r="D1246" s="422" t="s">
        <v>663</v>
      </c>
      <c r="E1246" s="111">
        <v>1463</v>
      </c>
      <c r="F1246" s="421" t="s">
        <v>1664</v>
      </c>
      <c r="G1246" s="112">
        <v>1</v>
      </c>
      <c r="H1246" s="112">
        <v>1</v>
      </c>
      <c r="I1246" s="112">
        <v>1</v>
      </c>
      <c r="J1246" s="112">
        <v>4</v>
      </c>
      <c r="K1246" s="112">
        <v>2</v>
      </c>
      <c r="L1246" s="112">
        <v>4</v>
      </c>
    </row>
    <row r="1247" spans="1:15" x14ac:dyDescent="0.2">
      <c r="A1247" s="111">
        <v>1278</v>
      </c>
      <c r="B1247" s="421" t="s">
        <v>2213</v>
      </c>
      <c r="C1247" s="421" t="s">
        <v>523</v>
      </c>
      <c r="D1247" s="422" t="s">
        <v>663</v>
      </c>
      <c r="E1247" s="111">
        <v>14574</v>
      </c>
      <c r="F1247" s="421" t="s">
        <v>2214</v>
      </c>
      <c r="G1247" s="112">
        <v>1</v>
      </c>
      <c r="H1247" s="112">
        <v>1</v>
      </c>
      <c r="I1247" s="112">
        <v>1</v>
      </c>
      <c r="J1247" s="112">
        <v>7</v>
      </c>
      <c r="K1247" s="112">
        <v>7</v>
      </c>
      <c r="L1247" s="112">
        <v>7</v>
      </c>
      <c r="M1247" s="112">
        <v>4</v>
      </c>
      <c r="N1247" s="112">
        <v>3</v>
      </c>
      <c r="O1247" s="112">
        <v>4</v>
      </c>
    </row>
    <row r="1248" spans="1:15" x14ac:dyDescent="0.2">
      <c r="A1248" s="111">
        <v>1279</v>
      </c>
      <c r="B1248" s="421" t="s">
        <v>2215</v>
      </c>
      <c r="C1248" s="421" t="s">
        <v>523</v>
      </c>
      <c r="D1248" s="422" t="s">
        <v>663</v>
      </c>
      <c r="E1248" s="111">
        <v>14574</v>
      </c>
      <c r="F1248" s="421" t="s">
        <v>2214</v>
      </c>
      <c r="G1248" s="112">
        <v>1</v>
      </c>
      <c r="H1248" s="112">
        <v>1</v>
      </c>
      <c r="I1248" s="112">
        <v>1</v>
      </c>
      <c r="J1248" s="112">
        <v>6</v>
      </c>
      <c r="K1248" s="112">
        <v>5</v>
      </c>
      <c r="L1248" s="112">
        <v>4</v>
      </c>
      <c r="O1248" s="112">
        <v>1</v>
      </c>
    </row>
    <row r="1249" spans="1:15" x14ac:dyDescent="0.2">
      <c r="A1249" s="111">
        <v>1280</v>
      </c>
      <c r="B1249" s="421" t="s">
        <v>2216</v>
      </c>
      <c r="C1249" s="421" t="s">
        <v>510</v>
      </c>
      <c r="D1249" s="422" t="s">
        <v>666</v>
      </c>
      <c r="E1249" s="111">
        <v>14739</v>
      </c>
      <c r="F1249" s="421" t="s">
        <v>2217</v>
      </c>
      <c r="G1249" s="112">
        <v>1</v>
      </c>
      <c r="H1249" s="112">
        <v>1</v>
      </c>
      <c r="I1249" s="112">
        <v>1</v>
      </c>
      <c r="J1249" s="112">
        <v>9</v>
      </c>
      <c r="K1249" s="112">
        <v>8</v>
      </c>
      <c r="L1249" s="112">
        <v>9</v>
      </c>
      <c r="M1249" s="112">
        <v>8</v>
      </c>
      <c r="N1249" s="112">
        <v>4</v>
      </c>
      <c r="O1249" s="112">
        <v>9</v>
      </c>
    </row>
    <row r="1250" spans="1:15" x14ac:dyDescent="0.2">
      <c r="A1250" s="111">
        <v>1281</v>
      </c>
      <c r="B1250" s="421" t="s">
        <v>2218</v>
      </c>
      <c r="C1250" s="421" t="s">
        <v>519</v>
      </c>
      <c r="D1250" s="422" t="s">
        <v>666</v>
      </c>
      <c r="E1250" s="111">
        <v>14739</v>
      </c>
      <c r="F1250" s="421" t="s">
        <v>2217</v>
      </c>
      <c r="G1250" s="112">
        <v>1</v>
      </c>
      <c r="H1250" s="112">
        <v>1</v>
      </c>
      <c r="I1250" s="112">
        <v>1</v>
      </c>
      <c r="J1250" s="112">
        <v>14</v>
      </c>
      <c r="K1250" s="112">
        <v>11</v>
      </c>
      <c r="L1250" s="112">
        <v>11</v>
      </c>
      <c r="M1250" s="112">
        <v>8</v>
      </c>
      <c r="N1250" s="112">
        <v>3</v>
      </c>
      <c r="O1250" s="112">
        <v>5</v>
      </c>
    </row>
    <row r="1251" spans="1:15" x14ac:dyDescent="0.2">
      <c r="A1251" s="111">
        <v>1282</v>
      </c>
      <c r="B1251" s="421" t="s">
        <v>2219</v>
      </c>
      <c r="C1251" s="421" t="s">
        <v>502</v>
      </c>
      <c r="D1251" s="422" t="s">
        <v>666</v>
      </c>
      <c r="E1251" s="111">
        <v>14743</v>
      </c>
      <c r="F1251" s="421" t="s">
        <v>2220</v>
      </c>
      <c r="G1251" s="112">
        <v>1</v>
      </c>
      <c r="H1251" s="112">
        <v>1</v>
      </c>
      <c r="I1251" s="112">
        <v>1</v>
      </c>
      <c r="J1251" s="112">
        <v>3</v>
      </c>
      <c r="K1251" s="112">
        <v>5</v>
      </c>
      <c r="L1251" s="112">
        <v>5</v>
      </c>
      <c r="M1251" s="112">
        <v>2</v>
      </c>
      <c r="N1251" s="112">
        <v>2</v>
      </c>
      <c r="O1251" s="112">
        <v>4</v>
      </c>
    </row>
    <row r="1252" spans="1:15" x14ac:dyDescent="0.2">
      <c r="A1252" s="111">
        <v>1283</v>
      </c>
      <c r="B1252" s="421" t="s">
        <v>2221</v>
      </c>
      <c r="C1252" s="421" t="s">
        <v>502</v>
      </c>
      <c r="D1252" s="422" t="s">
        <v>663</v>
      </c>
      <c r="E1252" s="111">
        <v>14743</v>
      </c>
      <c r="F1252" s="421" t="s">
        <v>2220</v>
      </c>
      <c r="G1252" s="112">
        <v>1</v>
      </c>
      <c r="H1252" s="112">
        <v>1</v>
      </c>
      <c r="I1252" s="112">
        <v>1</v>
      </c>
      <c r="J1252" s="112">
        <v>2</v>
      </c>
      <c r="K1252" s="112">
        <v>1</v>
      </c>
      <c r="L1252" s="112">
        <v>1</v>
      </c>
    </row>
    <row r="1253" spans="1:15" x14ac:dyDescent="0.2">
      <c r="A1253" s="111">
        <v>1284</v>
      </c>
      <c r="B1253" s="421" t="s">
        <v>2222</v>
      </c>
      <c r="C1253" s="421" t="s">
        <v>513</v>
      </c>
      <c r="D1253" s="422" t="s">
        <v>663</v>
      </c>
      <c r="E1253" s="111">
        <v>1476</v>
      </c>
      <c r="F1253" s="421" t="s">
        <v>1065</v>
      </c>
      <c r="G1253" s="112">
        <v>1</v>
      </c>
      <c r="H1253" s="112">
        <v>1</v>
      </c>
      <c r="I1253" s="112">
        <v>1</v>
      </c>
      <c r="J1253" s="112">
        <v>1</v>
      </c>
      <c r="K1253" s="112">
        <v>3</v>
      </c>
    </row>
    <row r="1254" spans="1:15" x14ac:dyDescent="0.2">
      <c r="A1254" s="111">
        <v>1285</v>
      </c>
      <c r="B1254" s="421" t="s">
        <v>2223</v>
      </c>
      <c r="C1254" s="421" t="s">
        <v>518</v>
      </c>
      <c r="D1254" s="422" t="s">
        <v>663</v>
      </c>
      <c r="E1254" s="111">
        <v>14747</v>
      </c>
      <c r="F1254" s="421" t="s">
        <v>2224</v>
      </c>
      <c r="G1254" s="112">
        <v>1</v>
      </c>
      <c r="H1254" s="112">
        <v>1</v>
      </c>
      <c r="I1254" s="112">
        <v>1</v>
      </c>
      <c r="J1254" s="112">
        <v>1</v>
      </c>
      <c r="K1254" s="112">
        <v>1</v>
      </c>
      <c r="L1254" s="112">
        <v>1</v>
      </c>
      <c r="M1254" s="112">
        <v>1</v>
      </c>
    </row>
    <row r="1255" spans="1:15" x14ac:dyDescent="0.2">
      <c r="A1255" s="111">
        <v>1286</v>
      </c>
      <c r="B1255" s="421" t="s">
        <v>2198</v>
      </c>
      <c r="C1255" s="421" t="s">
        <v>518</v>
      </c>
      <c r="D1255" s="422" t="s">
        <v>663</v>
      </c>
      <c r="E1255" s="111">
        <v>14747</v>
      </c>
      <c r="F1255" s="421" t="s">
        <v>2224</v>
      </c>
      <c r="G1255" s="112">
        <v>1</v>
      </c>
      <c r="H1255" s="112">
        <v>1</v>
      </c>
      <c r="I1255" s="112">
        <v>1</v>
      </c>
      <c r="J1255" s="112">
        <v>1</v>
      </c>
      <c r="K1255" s="112">
        <v>2</v>
      </c>
      <c r="L1255" s="112">
        <v>1</v>
      </c>
    </row>
    <row r="1256" spans="1:15" x14ac:dyDescent="0.2">
      <c r="A1256" s="111">
        <v>1287</v>
      </c>
      <c r="B1256" s="421" t="s">
        <v>1637</v>
      </c>
      <c r="C1256" s="421" t="s">
        <v>2225</v>
      </c>
      <c r="D1256" s="422" t="s">
        <v>663</v>
      </c>
      <c r="F1256" s="421" t="s">
        <v>2226</v>
      </c>
    </row>
    <row r="1257" spans="1:15" x14ac:dyDescent="0.2">
      <c r="A1257" s="111">
        <v>1288</v>
      </c>
      <c r="B1257" s="421" t="s">
        <v>2213</v>
      </c>
      <c r="C1257" s="421" t="s">
        <v>501</v>
      </c>
      <c r="D1257" s="422" t="s">
        <v>663</v>
      </c>
      <c r="E1257" s="111">
        <v>14748</v>
      </c>
      <c r="F1257" s="421" t="s">
        <v>2227</v>
      </c>
      <c r="G1257" s="112">
        <v>1</v>
      </c>
      <c r="H1257" s="112">
        <v>1</v>
      </c>
      <c r="I1257" s="112">
        <v>1</v>
      </c>
      <c r="J1257" s="112">
        <v>4</v>
      </c>
      <c r="K1257" s="112">
        <v>2</v>
      </c>
      <c r="L1257" s="112">
        <v>2</v>
      </c>
    </row>
    <row r="1258" spans="1:15" x14ac:dyDescent="0.2">
      <c r="A1258" s="111">
        <v>1289</v>
      </c>
      <c r="B1258" s="421" t="s">
        <v>2198</v>
      </c>
      <c r="C1258" s="421" t="s">
        <v>514</v>
      </c>
      <c r="D1258" s="422" t="s">
        <v>666</v>
      </c>
      <c r="E1258" s="111">
        <v>14750</v>
      </c>
      <c r="F1258" s="421" t="s">
        <v>2228</v>
      </c>
      <c r="G1258" s="112">
        <v>1</v>
      </c>
      <c r="H1258" s="112">
        <v>1</v>
      </c>
      <c r="I1258" s="112">
        <v>1</v>
      </c>
      <c r="J1258" s="112">
        <v>7</v>
      </c>
      <c r="K1258" s="112">
        <v>7</v>
      </c>
      <c r="L1258" s="112">
        <v>7</v>
      </c>
      <c r="M1258" s="112">
        <v>5</v>
      </c>
      <c r="N1258" s="112">
        <v>4</v>
      </c>
      <c r="O1258" s="112">
        <v>3</v>
      </c>
    </row>
    <row r="1259" spans="1:15" x14ac:dyDescent="0.2">
      <c r="A1259" s="111">
        <v>1290</v>
      </c>
      <c r="B1259" s="421" t="s">
        <v>1973</v>
      </c>
      <c r="C1259" s="421" t="s">
        <v>1994</v>
      </c>
      <c r="D1259" s="422" t="s">
        <v>663</v>
      </c>
      <c r="E1259" s="111">
        <v>14800</v>
      </c>
      <c r="F1259" s="421" t="s">
        <v>2229</v>
      </c>
      <c r="G1259" s="112">
        <v>1</v>
      </c>
      <c r="H1259" s="112">
        <v>1</v>
      </c>
      <c r="I1259" s="112">
        <v>1</v>
      </c>
      <c r="J1259" s="112">
        <v>4</v>
      </c>
      <c r="K1259" s="112">
        <v>3</v>
      </c>
      <c r="L1259" s="112">
        <v>4</v>
      </c>
      <c r="M1259" s="112">
        <v>1</v>
      </c>
    </row>
    <row r="1260" spans="1:15" x14ac:dyDescent="0.2">
      <c r="A1260" s="111">
        <v>1291</v>
      </c>
      <c r="B1260" s="421" t="s">
        <v>201</v>
      </c>
      <c r="C1260" s="421" t="s">
        <v>1994</v>
      </c>
      <c r="D1260" s="422" t="s">
        <v>663</v>
      </c>
      <c r="E1260" s="111">
        <v>14800</v>
      </c>
      <c r="F1260" s="421" t="s">
        <v>2229</v>
      </c>
      <c r="G1260" s="112">
        <v>1</v>
      </c>
      <c r="H1260" s="112">
        <v>1</v>
      </c>
      <c r="I1260" s="112">
        <v>1</v>
      </c>
      <c r="J1260" s="112">
        <v>8</v>
      </c>
      <c r="K1260" s="112">
        <v>7</v>
      </c>
      <c r="L1260" s="112">
        <v>7</v>
      </c>
      <c r="M1260" s="112">
        <v>3</v>
      </c>
      <c r="N1260" s="112">
        <v>3</v>
      </c>
      <c r="O1260" s="112">
        <v>3</v>
      </c>
    </row>
    <row r="1261" spans="1:15" x14ac:dyDescent="0.2">
      <c r="A1261" s="111">
        <v>1292</v>
      </c>
      <c r="B1261" s="421" t="s">
        <v>2230</v>
      </c>
      <c r="C1261" s="421" t="s">
        <v>513</v>
      </c>
      <c r="D1261" s="422" t="s">
        <v>663</v>
      </c>
      <c r="E1261" s="111">
        <v>14292</v>
      </c>
      <c r="F1261" s="421" t="s">
        <v>2835</v>
      </c>
      <c r="G1261" s="112">
        <v>3</v>
      </c>
      <c r="H1261" s="112">
        <v>2</v>
      </c>
      <c r="I1261" s="112">
        <v>2</v>
      </c>
      <c r="K1261" s="112">
        <v>1</v>
      </c>
    </row>
    <row r="1262" spans="1:15" x14ac:dyDescent="0.2">
      <c r="A1262" s="111">
        <v>1293</v>
      </c>
      <c r="B1262" s="421" t="s">
        <v>2231</v>
      </c>
      <c r="C1262" s="421" t="s">
        <v>572</v>
      </c>
      <c r="D1262" s="422" t="s">
        <v>666</v>
      </c>
      <c r="E1262" s="111">
        <v>14752</v>
      </c>
      <c r="F1262" s="421" t="s">
        <v>2232</v>
      </c>
      <c r="G1262" s="112">
        <v>1</v>
      </c>
      <c r="H1262" s="112">
        <v>1</v>
      </c>
      <c r="I1262" s="112">
        <v>1</v>
      </c>
      <c r="K1262" s="112">
        <v>1</v>
      </c>
      <c r="L1262" s="112">
        <v>1</v>
      </c>
    </row>
    <row r="1263" spans="1:15" x14ac:dyDescent="0.2">
      <c r="A1263" s="111">
        <v>1294</v>
      </c>
      <c r="B1263" s="421" t="s">
        <v>113</v>
      </c>
      <c r="C1263" s="421" t="s">
        <v>526</v>
      </c>
      <c r="D1263" s="422" t="s">
        <v>666</v>
      </c>
      <c r="E1263" s="111">
        <v>14753</v>
      </c>
      <c r="F1263" s="421" t="s">
        <v>2233</v>
      </c>
      <c r="G1263" s="112">
        <v>1</v>
      </c>
      <c r="H1263" s="112">
        <v>1</v>
      </c>
      <c r="I1263" s="112">
        <v>1</v>
      </c>
      <c r="K1263" s="112">
        <v>1</v>
      </c>
    </row>
    <row r="1264" spans="1:15" x14ac:dyDescent="0.2">
      <c r="A1264" s="111">
        <v>1295</v>
      </c>
      <c r="B1264" s="421" t="s">
        <v>2234</v>
      </c>
      <c r="C1264" s="421" t="s">
        <v>523</v>
      </c>
      <c r="D1264" s="422" t="s">
        <v>663</v>
      </c>
      <c r="E1264" s="111">
        <v>14754</v>
      </c>
      <c r="F1264" s="421" t="s">
        <v>2235</v>
      </c>
      <c r="G1264" s="112">
        <v>1</v>
      </c>
      <c r="H1264" s="112">
        <v>2</v>
      </c>
      <c r="I1264" s="112">
        <v>2</v>
      </c>
      <c r="J1264" s="112">
        <v>7</v>
      </c>
      <c r="K1264" s="112">
        <v>8</v>
      </c>
      <c r="L1264" s="112">
        <v>10</v>
      </c>
      <c r="M1264" s="112">
        <v>7</v>
      </c>
      <c r="N1264" s="112">
        <v>3</v>
      </c>
      <c r="O1264" s="112">
        <v>6</v>
      </c>
    </row>
    <row r="1265" spans="1:15" x14ac:dyDescent="0.2">
      <c r="A1265" s="111">
        <v>1296</v>
      </c>
      <c r="B1265" s="421" t="s">
        <v>2236</v>
      </c>
      <c r="C1265" s="421" t="s">
        <v>572</v>
      </c>
      <c r="D1265" s="422" t="s">
        <v>663</v>
      </c>
      <c r="F1265" s="421" t="s">
        <v>2237</v>
      </c>
      <c r="G1265" s="112">
        <v>1</v>
      </c>
    </row>
    <row r="1266" spans="1:15" x14ac:dyDescent="0.2">
      <c r="A1266" s="111">
        <v>1297</v>
      </c>
      <c r="B1266" s="421" t="s">
        <v>2238</v>
      </c>
      <c r="C1266" s="421" t="s">
        <v>501</v>
      </c>
      <c r="D1266" s="422" t="s">
        <v>663</v>
      </c>
      <c r="E1266" s="111">
        <v>16025</v>
      </c>
      <c r="F1266" s="421" t="s">
        <v>2239</v>
      </c>
      <c r="H1266" s="112">
        <v>1</v>
      </c>
      <c r="I1266" s="112">
        <v>1</v>
      </c>
    </row>
    <row r="1267" spans="1:15" x14ac:dyDescent="0.2">
      <c r="A1267" s="111">
        <v>1298</v>
      </c>
      <c r="B1267" s="421" t="s">
        <v>1407</v>
      </c>
      <c r="C1267" s="421" t="s">
        <v>501</v>
      </c>
      <c r="D1267" s="422" t="s">
        <v>666</v>
      </c>
      <c r="E1267" s="111">
        <v>14755</v>
      </c>
      <c r="F1267" s="421" t="s">
        <v>2240</v>
      </c>
      <c r="G1267" s="112">
        <v>1</v>
      </c>
      <c r="I1267" s="112">
        <v>1</v>
      </c>
    </row>
    <row r="1268" spans="1:15" x14ac:dyDescent="0.2">
      <c r="A1268" s="111">
        <v>1299</v>
      </c>
      <c r="B1268" s="421" t="s">
        <v>2241</v>
      </c>
      <c r="C1268" s="421" t="s">
        <v>510</v>
      </c>
      <c r="D1268" s="422" t="s">
        <v>663</v>
      </c>
      <c r="E1268" s="111">
        <v>14756</v>
      </c>
      <c r="F1268" s="421" t="s">
        <v>2242</v>
      </c>
    </row>
    <row r="1269" spans="1:15" x14ac:dyDescent="0.2">
      <c r="A1269" s="111">
        <v>1300</v>
      </c>
      <c r="B1269" s="421" t="s">
        <v>2243</v>
      </c>
      <c r="C1269" s="421" t="s">
        <v>523</v>
      </c>
      <c r="D1269" s="422" t="s">
        <v>663</v>
      </c>
      <c r="E1269" s="111">
        <v>14487</v>
      </c>
      <c r="F1269" s="421" t="s">
        <v>1022</v>
      </c>
      <c r="G1269" s="112">
        <v>1</v>
      </c>
      <c r="H1269" s="112">
        <v>1</v>
      </c>
      <c r="I1269" s="112">
        <v>1</v>
      </c>
    </row>
    <row r="1270" spans="1:15" x14ac:dyDescent="0.2">
      <c r="A1270" s="111">
        <v>1301</v>
      </c>
      <c r="B1270" s="421" t="s">
        <v>489</v>
      </c>
      <c r="C1270" s="421" t="s">
        <v>532</v>
      </c>
      <c r="D1270" s="422" t="s">
        <v>666</v>
      </c>
      <c r="E1270" s="111">
        <v>14115</v>
      </c>
      <c r="F1270" s="421" t="s">
        <v>1060</v>
      </c>
    </row>
    <row r="1271" spans="1:15" x14ac:dyDescent="0.2">
      <c r="A1271" s="111">
        <v>1302</v>
      </c>
      <c r="B1271" s="421" t="s">
        <v>490</v>
      </c>
      <c r="C1271" s="421" t="s">
        <v>532</v>
      </c>
      <c r="D1271" s="422" t="s">
        <v>666</v>
      </c>
      <c r="E1271" s="111">
        <v>14115</v>
      </c>
      <c r="F1271" s="421" t="s">
        <v>1060</v>
      </c>
      <c r="G1271" s="112">
        <v>1</v>
      </c>
      <c r="H1271" s="112">
        <v>1</v>
      </c>
      <c r="I1271" s="112">
        <v>1</v>
      </c>
    </row>
    <row r="1272" spans="1:15" x14ac:dyDescent="0.2">
      <c r="A1272" s="111">
        <v>1303</v>
      </c>
      <c r="B1272" s="421" t="s">
        <v>468</v>
      </c>
      <c r="C1272" s="421" t="s">
        <v>502</v>
      </c>
      <c r="D1272" s="422" t="s">
        <v>663</v>
      </c>
      <c r="E1272" s="111">
        <v>141</v>
      </c>
      <c r="F1272" s="421" t="s">
        <v>966</v>
      </c>
      <c r="G1272" s="112">
        <v>1</v>
      </c>
      <c r="H1272" s="112">
        <v>1</v>
      </c>
      <c r="I1272" s="112">
        <v>1</v>
      </c>
      <c r="J1272" s="112">
        <v>9</v>
      </c>
      <c r="K1272" s="112">
        <v>7</v>
      </c>
      <c r="L1272" s="112">
        <v>8</v>
      </c>
      <c r="M1272" s="112">
        <v>3</v>
      </c>
      <c r="N1272" s="112">
        <v>3</v>
      </c>
      <c r="O1272" s="112">
        <v>5</v>
      </c>
    </row>
    <row r="1273" spans="1:15" x14ac:dyDescent="0.2">
      <c r="A1273" s="111">
        <v>1304</v>
      </c>
      <c r="B1273" s="421" t="s">
        <v>491</v>
      </c>
      <c r="C1273" s="421" t="s">
        <v>502</v>
      </c>
      <c r="D1273" s="422" t="s">
        <v>666</v>
      </c>
      <c r="E1273" s="111">
        <v>141</v>
      </c>
      <c r="F1273" s="421" t="s">
        <v>966</v>
      </c>
      <c r="G1273" s="112">
        <v>2</v>
      </c>
      <c r="H1273" s="112">
        <v>1</v>
      </c>
      <c r="I1273" s="112">
        <v>2</v>
      </c>
      <c r="J1273" s="112">
        <v>1</v>
      </c>
      <c r="K1273" s="112">
        <v>1</v>
      </c>
      <c r="L1273" s="112">
        <v>1</v>
      </c>
    </row>
    <row r="1274" spans="1:15" x14ac:dyDescent="0.2">
      <c r="A1274" s="111">
        <v>1305</v>
      </c>
      <c r="B1274" s="421" t="s">
        <v>492</v>
      </c>
      <c r="C1274" s="421" t="s">
        <v>505</v>
      </c>
      <c r="D1274" s="422" t="s">
        <v>666</v>
      </c>
      <c r="E1274" s="111">
        <v>142</v>
      </c>
      <c r="F1274" s="421" t="s">
        <v>1061</v>
      </c>
      <c r="M1274" s="112">
        <v>1</v>
      </c>
      <c r="N1274" s="112">
        <v>1</v>
      </c>
    </row>
    <row r="1275" spans="1:15" x14ac:dyDescent="0.2">
      <c r="A1275" s="111">
        <v>1306</v>
      </c>
      <c r="B1275" s="421" t="s">
        <v>493</v>
      </c>
      <c r="C1275" s="421" t="s">
        <v>505</v>
      </c>
      <c r="D1275" s="422" t="s">
        <v>663</v>
      </c>
      <c r="E1275" s="111">
        <v>142</v>
      </c>
      <c r="F1275" s="421" t="s">
        <v>1061</v>
      </c>
      <c r="G1275" s="112">
        <v>1</v>
      </c>
      <c r="H1275" s="112">
        <v>1</v>
      </c>
      <c r="I1275" s="112">
        <v>1</v>
      </c>
    </row>
    <row r="1276" spans="1:15" x14ac:dyDescent="0.2">
      <c r="A1276" s="111">
        <v>1307</v>
      </c>
      <c r="B1276" s="421" t="s">
        <v>494</v>
      </c>
      <c r="C1276" s="421" t="s">
        <v>510</v>
      </c>
      <c r="D1276" s="422" t="s">
        <v>663</v>
      </c>
      <c r="E1276" s="111">
        <v>142</v>
      </c>
      <c r="F1276" s="421" t="s">
        <v>1061</v>
      </c>
      <c r="G1276" s="112">
        <v>1</v>
      </c>
      <c r="H1276" s="112">
        <v>1</v>
      </c>
      <c r="I1276" s="112">
        <v>1</v>
      </c>
      <c r="J1276" s="112">
        <v>2</v>
      </c>
      <c r="L1276" s="112">
        <v>1</v>
      </c>
    </row>
    <row r="1277" spans="1:15" x14ac:dyDescent="0.2">
      <c r="A1277" s="111">
        <v>1308</v>
      </c>
      <c r="B1277" s="421" t="s">
        <v>495</v>
      </c>
      <c r="C1277" s="421" t="s">
        <v>596</v>
      </c>
      <c r="D1277" s="422" t="s">
        <v>663</v>
      </c>
      <c r="E1277" s="111">
        <v>14194</v>
      </c>
      <c r="F1277" s="421" t="s">
        <v>1062</v>
      </c>
    </row>
    <row r="1278" spans="1:15" x14ac:dyDescent="0.2">
      <c r="A1278" s="111">
        <v>1309</v>
      </c>
      <c r="B1278" s="421" t="s">
        <v>496</v>
      </c>
      <c r="C1278" s="421" t="s">
        <v>596</v>
      </c>
      <c r="D1278" s="422" t="s">
        <v>663</v>
      </c>
      <c r="E1278" s="111">
        <v>14194</v>
      </c>
      <c r="F1278" s="421" t="s">
        <v>1062</v>
      </c>
    </row>
    <row r="1279" spans="1:15" x14ac:dyDescent="0.2">
      <c r="A1279" s="111">
        <v>1310</v>
      </c>
      <c r="B1279" s="421" t="s">
        <v>440</v>
      </c>
      <c r="C1279" s="421" t="s">
        <v>503</v>
      </c>
      <c r="D1279" s="422" t="s">
        <v>666</v>
      </c>
      <c r="E1279" s="111">
        <v>143</v>
      </c>
      <c r="F1279" s="421" t="s">
        <v>1063</v>
      </c>
      <c r="G1279" s="112">
        <v>2</v>
      </c>
      <c r="H1279" s="112">
        <v>1</v>
      </c>
      <c r="I1279" s="112">
        <v>1</v>
      </c>
      <c r="J1279" s="112">
        <v>2</v>
      </c>
      <c r="K1279" s="112">
        <v>1</v>
      </c>
      <c r="L1279" s="112">
        <v>1</v>
      </c>
    </row>
    <row r="1280" spans="1:15" x14ac:dyDescent="0.2">
      <c r="A1280" s="111">
        <v>1311</v>
      </c>
      <c r="B1280" s="421" t="s">
        <v>497</v>
      </c>
      <c r="C1280" s="421" t="s">
        <v>501</v>
      </c>
      <c r="D1280" s="422" t="s">
        <v>666</v>
      </c>
      <c r="E1280" s="111">
        <v>143</v>
      </c>
      <c r="F1280" s="421" t="s">
        <v>1063</v>
      </c>
      <c r="G1280" s="112">
        <v>1</v>
      </c>
      <c r="H1280" s="112">
        <v>1</v>
      </c>
      <c r="I1280" s="112">
        <v>1</v>
      </c>
    </row>
    <row r="1281" spans="1:15" x14ac:dyDescent="0.2">
      <c r="A1281" s="111">
        <v>1312</v>
      </c>
      <c r="B1281" s="421" t="s">
        <v>45</v>
      </c>
      <c r="C1281" s="421" t="s">
        <v>1746</v>
      </c>
      <c r="D1281" s="422" t="s">
        <v>666</v>
      </c>
      <c r="E1281" s="111">
        <v>143</v>
      </c>
      <c r="F1281" s="421" t="s">
        <v>1063</v>
      </c>
      <c r="G1281" s="112">
        <v>1</v>
      </c>
      <c r="H1281" s="112">
        <v>1</v>
      </c>
      <c r="I1281" s="112">
        <v>1</v>
      </c>
      <c r="J1281" s="112">
        <v>1</v>
      </c>
      <c r="K1281" s="112">
        <v>1</v>
      </c>
      <c r="L1281" s="112">
        <v>1</v>
      </c>
    </row>
    <row r="1282" spans="1:15" x14ac:dyDescent="0.2">
      <c r="A1282" s="111">
        <v>1313</v>
      </c>
      <c r="B1282" s="421" t="s">
        <v>498</v>
      </c>
      <c r="C1282" s="421" t="s">
        <v>547</v>
      </c>
      <c r="D1282" s="422" t="s">
        <v>666</v>
      </c>
      <c r="E1282" s="111">
        <v>1434</v>
      </c>
      <c r="F1282" s="421" t="s">
        <v>795</v>
      </c>
      <c r="G1282" s="112">
        <v>2</v>
      </c>
      <c r="I1282" s="112">
        <v>2</v>
      </c>
    </row>
    <row r="1283" spans="1:15" x14ac:dyDescent="0.2">
      <c r="A1283" s="111">
        <v>1314</v>
      </c>
      <c r="B1283" s="421" t="s">
        <v>379</v>
      </c>
      <c r="C1283" s="421" t="s">
        <v>501</v>
      </c>
      <c r="D1283" s="422" t="s">
        <v>666</v>
      </c>
      <c r="E1283" s="111">
        <v>1481</v>
      </c>
      <c r="F1283" s="421" t="s">
        <v>1064</v>
      </c>
      <c r="G1283" s="112">
        <v>1</v>
      </c>
      <c r="H1283" s="112">
        <v>1</v>
      </c>
      <c r="I1283" s="112">
        <v>1</v>
      </c>
      <c r="L1283" s="112">
        <v>1</v>
      </c>
    </row>
    <row r="1284" spans="1:15" x14ac:dyDescent="0.2">
      <c r="A1284" s="111">
        <v>1315</v>
      </c>
      <c r="B1284" s="421" t="s">
        <v>499</v>
      </c>
      <c r="C1284" s="421" t="s">
        <v>513</v>
      </c>
      <c r="D1284" s="422" t="s">
        <v>663</v>
      </c>
      <c r="E1284" s="111">
        <v>1476</v>
      </c>
      <c r="F1284" s="421" t="s">
        <v>1065</v>
      </c>
      <c r="G1284" s="112">
        <v>1</v>
      </c>
      <c r="H1284" s="112">
        <v>1</v>
      </c>
      <c r="I1284" s="112">
        <v>1</v>
      </c>
      <c r="J1284" s="112">
        <v>4</v>
      </c>
      <c r="K1284" s="112">
        <v>1</v>
      </c>
      <c r="L1284" s="112">
        <v>4</v>
      </c>
      <c r="M1284" s="112">
        <v>2</v>
      </c>
      <c r="N1284" s="112">
        <v>1</v>
      </c>
    </row>
    <row r="1285" spans="1:15" x14ac:dyDescent="0.2">
      <c r="A1285" s="111">
        <v>1316</v>
      </c>
      <c r="B1285" s="421" t="s">
        <v>500</v>
      </c>
      <c r="C1285" s="421" t="s">
        <v>513</v>
      </c>
      <c r="D1285" s="422" t="s">
        <v>663</v>
      </c>
      <c r="E1285" s="111">
        <v>1476</v>
      </c>
      <c r="F1285" s="421" t="s">
        <v>1065</v>
      </c>
    </row>
    <row r="1286" spans="1:15" x14ac:dyDescent="0.2">
      <c r="A1286" s="111">
        <v>1317</v>
      </c>
      <c r="B1286" s="421" t="s">
        <v>277</v>
      </c>
      <c r="C1286" s="421" t="s">
        <v>506</v>
      </c>
      <c r="D1286" s="422" t="s">
        <v>663</v>
      </c>
      <c r="E1286" s="111">
        <v>14456</v>
      </c>
      <c r="F1286" s="421" t="s">
        <v>1433</v>
      </c>
      <c r="G1286" s="112">
        <v>1</v>
      </c>
      <c r="H1286" s="112">
        <v>2</v>
      </c>
      <c r="I1286" s="112">
        <v>2</v>
      </c>
      <c r="J1286" s="112">
        <v>8</v>
      </c>
      <c r="K1286" s="112">
        <v>7</v>
      </c>
      <c r="L1286" s="112">
        <v>8</v>
      </c>
      <c r="M1286" s="112">
        <v>4</v>
      </c>
      <c r="N1286" s="112">
        <v>6</v>
      </c>
      <c r="O1286" s="112">
        <v>4</v>
      </c>
    </row>
    <row r="1287" spans="1:15" x14ac:dyDescent="0.2">
      <c r="A1287" s="111">
        <v>1318</v>
      </c>
      <c r="B1287" s="421" t="s">
        <v>1434</v>
      </c>
      <c r="C1287" s="421" t="s">
        <v>503</v>
      </c>
      <c r="D1287" s="422" t="s">
        <v>666</v>
      </c>
      <c r="E1287" s="111">
        <v>14456</v>
      </c>
      <c r="F1287" s="421" t="s">
        <v>1433</v>
      </c>
    </row>
    <row r="1288" spans="1:15" x14ac:dyDescent="0.2">
      <c r="A1288" s="111">
        <v>1319</v>
      </c>
      <c r="B1288" s="421" t="s">
        <v>2244</v>
      </c>
      <c r="C1288" s="421" t="s">
        <v>551</v>
      </c>
      <c r="D1288" s="422" t="s">
        <v>666</v>
      </c>
      <c r="F1288" s="421" t="s">
        <v>2245</v>
      </c>
      <c r="G1288" s="112">
        <v>1</v>
      </c>
      <c r="H1288" s="112">
        <v>1</v>
      </c>
      <c r="I1288" s="112">
        <v>1</v>
      </c>
      <c r="K1288" s="112">
        <v>1</v>
      </c>
    </row>
    <row r="1289" spans="1:15" x14ac:dyDescent="0.2">
      <c r="A1289" s="111">
        <v>1320</v>
      </c>
      <c r="B1289" s="421" t="s">
        <v>382</v>
      </c>
      <c r="C1289" s="421" t="s">
        <v>501</v>
      </c>
      <c r="D1289" s="422" t="s">
        <v>663</v>
      </c>
      <c r="E1289" s="111">
        <v>14337</v>
      </c>
      <c r="F1289" s="421" t="s">
        <v>2246</v>
      </c>
      <c r="G1289" s="112">
        <v>1</v>
      </c>
      <c r="H1289" s="112">
        <v>1</v>
      </c>
      <c r="I1289" s="112">
        <v>2</v>
      </c>
    </row>
    <row r="1290" spans="1:15" x14ac:dyDescent="0.2">
      <c r="A1290" s="111">
        <v>1321</v>
      </c>
      <c r="B1290" s="421" t="s">
        <v>2247</v>
      </c>
      <c r="C1290" s="421" t="s">
        <v>1908</v>
      </c>
      <c r="D1290" s="422" t="s">
        <v>666</v>
      </c>
      <c r="E1290" s="111">
        <v>14758</v>
      </c>
      <c r="F1290" s="421" t="s">
        <v>2248</v>
      </c>
      <c r="G1290" s="112">
        <v>1</v>
      </c>
      <c r="H1290" s="112">
        <v>1</v>
      </c>
      <c r="I1290" s="112">
        <v>1</v>
      </c>
      <c r="J1290" s="112">
        <v>8</v>
      </c>
      <c r="K1290" s="112">
        <v>7</v>
      </c>
      <c r="L1290" s="112">
        <v>8</v>
      </c>
      <c r="M1290" s="112">
        <v>3</v>
      </c>
      <c r="N1290" s="112">
        <v>3</v>
      </c>
      <c r="O1290" s="112">
        <v>3</v>
      </c>
    </row>
    <row r="1291" spans="1:15" x14ac:dyDescent="0.2">
      <c r="A1291" s="111">
        <v>1322</v>
      </c>
      <c r="B1291" s="421" t="s">
        <v>1248</v>
      </c>
      <c r="C1291" s="421" t="s">
        <v>501</v>
      </c>
      <c r="D1291" s="422" t="s">
        <v>663</v>
      </c>
      <c r="E1291" s="111">
        <v>14761</v>
      </c>
      <c r="F1291" s="421" t="s">
        <v>2249</v>
      </c>
      <c r="G1291" s="112">
        <v>1</v>
      </c>
      <c r="H1291" s="112">
        <v>1</v>
      </c>
      <c r="I1291" s="112">
        <v>1</v>
      </c>
    </row>
    <row r="1292" spans="1:15" x14ac:dyDescent="0.2">
      <c r="A1292" s="111">
        <v>1323</v>
      </c>
      <c r="B1292" s="421" t="s">
        <v>2250</v>
      </c>
      <c r="C1292" s="421" t="s">
        <v>510</v>
      </c>
      <c r="D1292" s="422" t="s">
        <v>666</v>
      </c>
      <c r="E1292" s="111">
        <v>14762</v>
      </c>
      <c r="F1292" s="421" t="s">
        <v>2251</v>
      </c>
      <c r="G1292" s="112">
        <v>2</v>
      </c>
      <c r="H1292" s="112">
        <v>1</v>
      </c>
      <c r="I1292" s="112">
        <v>1</v>
      </c>
      <c r="J1292" s="112">
        <v>1</v>
      </c>
      <c r="K1292" s="112">
        <v>1</v>
      </c>
      <c r="L1292" s="112">
        <v>1</v>
      </c>
      <c r="M1292" s="112">
        <v>1</v>
      </c>
      <c r="O1292" s="112">
        <v>1</v>
      </c>
    </row>
    <row r="1293" spans="1:15" x14ac:dyDescent="0.2">
      <c r="A1293" s="111">
        <v>1324</v>
      </c>
      <c r="B1293" s="421" t="s">
        <v>2252</v>
      </c>
      <c r="C1293" s="421" t="s">
        <v>518</v>
      </c>
      <c r="D1293" s="422" t="s">
        <v>663</v>
      </c>
      <c r="F1293" s="421" t="s">
        <v>2312</v>
      </c>
      <c r="H1293" s="112">
        <v>1</v>
      </c>
    </row>
    <row r="1294" spans="1:15" x14ac:dyDescent="0.2">
      <c r="A1294" s="111">
        <v>1325</v>
      </c>
      <c r="B1294" s="421" t="s">
        <v>2253</v>
      </c>
      <c r="C1294" s="421" t="s">
        <v>577</v>
      </c>
      <c r="D1294" s="422" t="s">
        <v>666</v>
      </c>
      <c r="E1294" s="111">
        <v>14763</v>
      </c>
      <c r="F1294" s="421" t="s">
        <v>2254</v>
      </c>
      <c r="G1294" s="112">
        <v>1</v>
      </c>
      <c r="H1294" s="112">
        <v>1</v>
      </c>
      <c r="I1294" s="112">
        <v>1</v>
      </c>
    </row>
    <row r="1295" spans="1:15" x14ac:dyDescent="0.2">
      <c r="A1295" s="111">
        <v>1326</v>
      </c>
      <c r="B1295" s="421" t="s">
        <v>2255</v>
      </c>
      <c r="C1295" s="421" t="s">
        <v>501</v>
      </c>
      <c r="D1295" s="422" t="s">
        <v>663</v>
      </c>
      <c r="E1295" s="111">
        <v>14685</v>
      </c>
      <c r="F1295" s="421" t="s">
        <v>2256</v>
      </c>
      <c r="G1295" s="112">
        <v>1</v>
      </c>
      <c r="H1295" s="112">
        <v>1</v>
      </c>
      <c r="I1295" s="112">
        <v>1</v>
      </c>
      <c r="J1295" s="112">
        <v>2</v>
      </c>
    </row>
    <row r="1296" spans="1:15" x14ac:dyDescent="0.2">
      <c r="A1296" s="111">
        <v>1327</v>
      </c>
      <c r="B1296" s="421" t="s">
        <v>2499</v>
      </c>
      <c r="C1296" s="421" t="s">
        <v>501</v>
      </c>
      <c r="D1296" s="422" t="s">
        <v>663</v>
      </c>
      <c r="E1296" s="111">
        <v>14685</v>
      </c>
      <c r="F1296" s="421" t="s">
        <v>2256</v>
      </c>
      <c r="G1296" s="112">
        <v>1</v>
      </c>
      <c r="H1296" s="112">
        <v>1</v>
      </c>
      <c r="I1296" s="112">
        <v>1</v>
      </c>
      <c r="J1296" s="112">
        <v>1</v>
      </c>
    </row>
    <row r="1297" spans="1:15" x14ac:dyDescent="0.2">
      <c r="A1297" s="111">
        <v>1328</v>
      </c>
      <c r="B1297" s="421" t="s">
        <v>2257</v>
      </c>
      <c r="C1297" s="421" t="s">
        <v>501</v>
      </c>
      <c r="D1297" s="422" t="s">
        <v>666</v>
      </c>
      <c r="E1297" s="111">
        <v>14757</v>
      </c>
      <c r="F1297" s="421" t="s">
        <v>2258</v>
      </c>
    </row>
    <row r="1298" spans="1:15" x14ac:dyDescent="0.2">
      <c r="A1298" s="111">
        <v>1329</v>
      </c>
      <c r="B1298" s="421" t="s">
        <v>253</v>
      </c>
      <c r="C1298" s="421" t="s">
        <v>501</v>
      </c>
      <c r="D1298" s="422" t="s">
        <v>666</v>
      </c>
      <c r="E1298" s="111">
        <v>14757</v>
      </c>
      <c r="F1298" s="421" t="s">
        <v>2258</v>
      </c>
    </row>
    <row r="1299" spans="1:15" x14ac:dyDescent="0.2">
      <c r="A1299" s="111">
        <v>1330</v>
      </c>
      <c r="B1299" s="421" t="s">
        <v>2259</v>
      </c>
      <c r="C1299" s="421" t="s">
        <v>501</v>
      </c>
      <c r="D1299" s="422" t="s">
        <v>663</v>
      </c>
      <c r="E1299" s="111">
        <v>14757</v>
      </c>
      <c r="F1299" s="421" t="s">
        <v>2258</v>
      </c>
    </row>
    <row r="1300" spans="1:15" x14ac:dyDescent="0.2">
      <c r="A1300" s="111">
        <v>1331</v>
      </c>
      <c r="B1300" s="421" t="s">
        <v>2260</v>
      </c>
      <c r="C1300" s="421" t="s">
        <v>521</v>
      </c>
      <c r="D1300" s="422" t="s">
        <v>666</v>
      </c>
      <c r="E1300" s="111">
        <v>14765</v>
      </c>
      <c r="F1300" s="421" t="s">
        <v>2261</v>
      </c>
      <c r="G1300" s="112">
        <v>1</v>
      </c>
      <c r="H1300" s="112">
        <v>1</v>
      </c>
      <c r="I1300" s="112">
        <v>1</v>
      </c>
    </row>
    <row r="1301" spans="1:15" x14ac:dyDescent="0.2">
      <c r="A1301" s="111">
        <v>1332</v>
      </c>
      <c r="B1301" s="421" t="s">
        <v>1345</v>
      </c>
      <c r="C1301" s="421" t="s">
        <v>545</v>
      </c>
      <c r="D1301" s="422" t="s">
        <v>666</v>
      </c>
      <c r="E1301" s="111">
        <v>14768</v>
      </c>
      <c r="F1301" s="421" t="s">
        <v>2262</v>
      </c>
    </row>
    <row r="1302" spans="1:15" x14ac:dyDescent="0.2">
      <c r="A1302" s="111">
        <v>1333</v>
      </c>
      <c r="B1302" s="421" t="s">
        <v>235</v>
      </c>
      <c r="C1302" s="421" t="s">
        <v>17459</v>
      </c>
      <c r="D1302" s="422" t="s">
        <v>663</v>
      </c>
      <c r="F1302" s="421" t="s">
        <v>2263</v>
      </c>
      <c r="G1302" s="112">
        <v>1</v>
      </c>
      <c r="H1302" s="112">
        <v>1</v>
      </c>
      <c r="I1302" s="112">
        <v>1</v>
      </c>
    </row>
    <row r="1303" spans="1:15" x14ac:dyDescent="0.2">
      <c r="A1303" s="111">
        <v>1334</v>
      </c>
      <c r="B1303" s="421" t="s">
        <v>1298</v>
      </c>
      <c r="C1303" s="421" t="s">
        <v>506</v>
      </c>
      <c r="D1303" s="422" t="s">
        <v>663</v>
      </c>
      <c r="E1303" s="111">
        <v>14539</v>
      </c>
      <c r="F1303" s="421" t="s">
        <v>1834</v>
      </c>
      <c r="G1303" s="112">
        <v>2</v>
      </c>
      <c r="H1303" s="112">
        <v>1</v>
      </c>
      <c r="I1303" s="112">
        <v>1</v>
      </c>
      <c r="J1303" s="112">
        <v>7</v>
      </c>
      <c r="K1303" s="112">
        <v>7</v>
      </c>
      <c r="L1303" s="112">
        <v>8</v>
      </c>
      <c r="M1303" s="112">
        <v>5</v>
      </c>
      <c r="N1303" s="112">
        <v>4</v>
      </c>
      <c r="O1303" s="112">
        <v>3</v>
      </c>
    </row>
    <row r="1304" spans="1:15" x14ac:dyDescent="0.2">
      <c r="A1304" s="111">
        <v>1335</v>
      </c>
      <c r="B1304" s="421" t="s">
        <v>2264</v>
      </c>
      <c r="C1304" s="421" t="s">
        <v>1523</v>
      </c>
      <c r="D1304" s="422" t="s">
        <v>666</v>
      </c>
      <c r="F1304" s="421" t="s">
        <v>2265</v>
      </c>
      <c r="G1304" s="112">
        <v>1</v>
      </c>
      <c r="H1304" s="112">
        <v>1</v>
      </c>
      <c r="I1304" s="112">
        <v>1</v>
      </c>
    </row>
    <row r="1305" spans="1:15" x14ac:dyDescent="0.2">
      <c r="A1305" s="111">
        <v>1336</v>
      </c>
      <c r="B1305" s="421" t="s">
        <v>2266</v>
      </c>
      <c r="C1305" s="421" t="s">
        <v>512</v>
      </c>
      <c r="D1305" s="422" t="s">
        <v>666</v>
      </c>
      <c r="E1305" s="111">
        <v>14767</v>
      </c>
      <c r="F1305" s="421" t="s">
        <v>2267</v>
      </c>
      <c r="G1305" s="112">
        <v>1</v>
      </c>
      <c r="H1305" s="112">
        <v>1</v>
      </c>
      <c r="I1305" s="112">
        <v>1</v>
      </c>
      <c r="J1305" s="112">
        <v>4</v>
      </c>
      <c r="K1305" s="112">
        <v>4</v>
      </c>
      <c r="L1305" s="112">
        <v>1</v>
      </c>
      <c r="M1305" s="112">
        <v>4</v>
      </c>
      <c r="N1305" s="112">
        <v>2</v>
      </c>
      <c r="O1305" s="112">
        <v>1</v>
      </c>
    </row>
    <row r="1306" spans="1:15" x14ac:dyDescent="0.2">
      <c r="A1306" s="111">
        <v>1337</v>
      </c>
      <c r="B1306" s="421" t="s">
        <v>2268</v>
      </c>
      <c r="C1306" s="421" t="s">
        <v>506</v>
      </c>
      <c r="D1306" s="422" t="s">
        <v>663</v>
      </c>
      <c r="F1306" s="421" t="s">
        <v>2269</v>
      </c>
      <c r="G1306" s="112">
        <v>1</v>
      </c>
      <c r="H1306" s="112">
        <v>1</v>
      </c>
      <c r="I1306" s="112">
        <v>1</v>
      </c>
      <c r="J1306" s="112">
        <v>1</v>
      </c>
      <c r="K1306" s="112">
        <v>1</v>
      </c>
    </row>
    <row r="1307" spans="1:15" x14ac:dyDescent="0.2">
      <c r="A1307" s="111">
        <v>1338</v>
      </c>
      <c r="B1307" s="421" t="s">
        <v>2270</v>
      </c>
      <c r="C1307" s="421" t="s">
        <v>513</v>
      </c>
      <c r="D1307" s="422" t="s">
        <v>663</v>
      </c>
      <c r="E1307" s="111">
        <v>1471</v>
      </c>
      <c r="F1307" s="421" t="s">
        <v>685</v>
      </c>
      <c r="G1307" s="112">
        <v>1</v>
      </c>
      <c r="H1307" s="112">
        <v>1</v>
      </c>
      <c r="I1307" s="112">
        <v>1</v>
      </c>
      <c r="J1307" s="112">
        <v>1</v>
      </c>
      <c r="K1307" s="112">
        <v>2</v>
      </c>
      <c r="L1307" s="112">
        <v>1</v>
      </c>
    </row>
    <row r="1308" spans="1:15" x14ac:dyDescent="0.2">
      <c r="A1308" s="111">
        <v>1339</v>
      </c>
      <c r="B1308" s="421" t="s">
        <v>2271</v>
      </c>
      <c r="C1308" s="421" t="s">
        <v>513</v>
      </c>
      <c r="D1308" s="422" t="s">
        <v>663</v>
      </c>
      <c r="E1308" s="111">
        <v>1471</v>
      </c>
      <c r="F1308" s="421" t="s">
        <v>685</v>
      </c>
      <c r="G1308" s="112">
        <v>1</v>
      </c>
      <c r="H1308" s="112">
        <v>1</v>
      </c>
      <c r="I1308" s="112">
        <v>1</v>
      </c>
    </row>
    <row r="1309" spans="1:15" x14ac:dyDescent="0.2">
      <c r="A1309" s="111">
        <v>1340</v>
      </c>
      <c r="B1309" s="421" t="s">
        <v>461</v>
      </c>
      <c r="C1309" s="421" t="s">
        <v>2272</v>
      </c>
      <c r="D1309" s="422" t="s">
        <v>666</v>
      </c>
      <c r="E1309" s="111">
        <v>14771</v>
      </c>
      <c r="F1309" s="421" t="s">
        <v>2273</v>
      </c>
      <c r="G1309" s="112">
        <v>1</v>
      </c>
      <c r="H1309" s="112">
        <v>1</v>
      </c>
      <c r="I1309" s="112">
        <v>1</v>
      </c>
      <c r="L1309" s="112">
        <v>1</v>
      </c>
    </row>
    <row r="1310" spans="1:15" x14ac:dyDescent="0.2">
      <c r="A1310" s="111">
        <v>1341</v>
      </c>
      <c r="B1310" s="421" t="s">
        <v>335</v>
      </c>
      <c r="C1310" s="421" t="s">
        <v>2274</v>
      </c>
      <c r="D1310" s="422" t="s">
        <v>666</v>
      </c>
      <c r="F1310" s="421" t="s">
        <v>2275</v>
      </c>
      <c r="G1310" s="112">
        <v>1</v>
      </c>
      <c r="H1310" s="112">
        <v>1</v>
      </c>
      <c r="I1310" s="112">
        <v>1</v>
      </c>
    </row>
    <row r="1311" spans="1:15" x14ac:dyDescent="0.2">
      <c r="A1311" s="111">
        <v>1342</v>
      </c>
      <c r="B1311" s="421" t="s">
        <v>2276</v>
      </c>
      <c r="C1311" s="421" t="s">
        <v>501</v>
      </c>
      <c r="D1311" s="422" t="s">
        <v>666</v>
      </c>
      <c r="E1311" s="111">
        <v>16679</v>
      </c>
      <c r="F1311" s="421" t="s">
        <v>2277</v>
      </c>
      <c r="G1311" s="112">
        <v>1</v>
      </c>
      <c r="H1311" s="112">
        <v>1</v>
      </c>
      <c r="I1311" s="112">
        <v>1</v>
      </c>
      <c r="J1311" s="112">
        <v>1</v>
      </c>
    </row>
    <row r="1312" spans="1:15" x14ac:dyDescent="0.2">
      <c r="A1312" s="111">
        <v>1343</v>
      </c>
      <c r="B1312" s="421" t="s">
        <v>2278</v>
      </c>
      <c r="C1312" s="421" t="s">
        <v>532</v>
      </c>
      <c r="D1312" s="422" t="s">
        <v>663</v>
      </c>
      <c r="F1312" s="421" t="s">
        <v>2279</v>
      </c>
      <c r="G1312" s="112">
        <v>1</v>
      </c>
      <c r="I1312" s="112">
        <v>1</v>
      </c>
    </row>
    <row r="1313" spans="1:15" x14ac:dyDescent="0.2">
      <c r="A1313" s="111">
        <v>1344</v>
      </c>
      <c r="B1313" s="421" t="s">
        <v>2280</v>
      </c>
      <c r="C1313" s="421" t="s">
        <v>537</v>
      </c>
      <c r="D1313" s="422" t="s">
        <v>663</v>
      </c>
      <c r="E1313" s="111">
        <v>14993</v>
      </c>
      <c r="F1313" s="421" t="s">
        <v>2281</v>
      </c>
      <c r="G1313" s="112">
        <v>1</v>
      </c>
      <c r="I1313" s="112">
        <v>2</v>
      </c>
      <c r="J1313" s="112">
        <v>1</v>
      </c>
    </row>
    <row r="1314" spans="1:15" x14ac:dyDescent="0.2">
      <c r="A1314" s="111">
        <v>1345</v>
      </c>
      <c r="B1314" s="421" t="s">
        <v>2282</v>
      </c>
      <c r="C1314" s="421" t="s">
        <v>573</v>
      </c>
      <c r="D1314" s="422" t="s">
        <v>666</v>
      </c>
      <c r="E1314" s="111">
        <v>14772</v>
      </c>
      <c r="F1314" s="421" t="s">
        <v>2283</v>
      </c>
      <c r="G1314" s="112">
        <v>1</v>
      </c>
      <c r="H1314" s="112">
        <v>1</v>
      </c>
      <c r="I1314" s="112">
        <v>1</v>
      </c>
      <c r="J1314" s="112">
        <v>6</v>
      </c>
      <c r="K1314" s="112">
        <v>8</v>
      </c>
      <c r="L1314" s="112">
        <v>6</v>
      </c>
      <c r="M1314" s="112">
        <v>5</v>
      </c>
      <c r="N1314" s="112">
        <v>4</v>
      </c>
      <c r="O1314" s="112">
        <v>9</v>
      </c>
    </row>
    <row r="1315" spans="1:15" x14ac:dyDescent="0.2">
      <c r="A1315" s="111">
        <v>1346</v>
      </c>
      <c r="B1315" s="421" t="s">
        <v>2129</v>
      </c>
      <c r="C1315" s="421" t="s">
        <v>501</v>
      </c>
      <c r="D1315" s="422" t="s">
        <v>663</v>
      </c>
      <c r="E1315" s="111">
        <v>14997</v>
      </c>
      <c r="F1315" s="421" t="s">
        <v>2284</v>
      </c>
      <c r="G1315" s="112">
        <v>1</v>
      </c>
      <c r="H1315" s="112">
        <v>1</v>
      </c>
      <c r="I1315" s="112">
        <v>1</v>
      </c>
      <c r="J1315" s="112">
        <v>1</v>
      </c>
      <c r="K1315" s="112">
        <v>1</v>
      </c>
      <c r="L1315" s="112">
        <v>1</v>
      </c>
    </row>
    <row r="1316" spans="1:15" x14ac:dyDescent="0.2">
      <c r="A1316" s="111">
        <v>1347</v>
      </c>
      <c r="B1316" s="421" t="s">
        <v>2285</v>
      </c>
      <c r="C1316" s="421" t="s">
        <v>522</v>
      </c>
      <c r="D1316" s="422" t="s">
        <v>666</v>
      </c>
      <c r="E1316" s="111">
        <v>14773</v>
      </c>
      <c r="F1316" s="421" t="s">
        <v>2286</v>
      </c>
      <c r="G1316" s="112">
        <v>1</v>
      </c>
      <c r="H1316" s="112">
        <v>1</v>
      </c>
      <c r="I1316" s="112">
        <v>1</v>
      </c>
      <c r="J1316" s="112">
        <v>8</v>
      </c>
      <c r="K1316" s="112">
        <v>7</v>
      </c>
      <c r="L1316" s="112">
        <v>3</v>
      </c>
      <c r="M1316" s="112">
        <v>4</v>
      </c>
      <c r="N1316" s="112">
        <v>1</v>
      </c>
      <c r="O1316" s="112">
        <v>4</v>
      </c>
    </row>
    <row r="1317" spans="1:15" x14ac:dyDescent="0.2">
      <c r="A1317" s="111">
        <v>1348</v>
      </c>
      <c r="B1317" s="421" t="s">
        <v>1218</v>
      </c>
      <c r="C1317" s="421" t="s">
        <v>501</v>
      </c>
      <c r="D1317" s="422" t="s">
        <v>663</v>
      </c>
      <c r="E1317" s="111">
        <v>14773</v>
      </c>
      <c r="F1317" s="421" t="s">
        <v>2286</v>
      </c>
      <c r="G1317" s="112">
        <v>1</v>
      </c>
      <c r="H1317" s="112">
        <v>1</v>
      </c>
      <c r="I1317" s="112">
        <v>1</v>
      </c>
      <c r="J1317" s="112">
        <v>8</v>
      </c>
      <c r="K1317" s="112">
        <v>7</v>
      </c>
      <c r="L1317" s="112">
        <v>7</v>
      </c>
      <c r="M1317" s="112">
        <v>3</v>
      </c>
      <c r="N1317" s="112">
        <v>4</v>
      </c>
      <c r="O1317" s="112">
        <v>5</v>
      </c>
    </row>
    <row r="1318" spans="1:15" x14ac:dyDescent="0.2">
      <c r="A1318" s="111">
        <v>1349</v>
      </c>
      <c r="B1318" s="421" t="s">
        <v>2287</v>
      </c>
      <c r="C1318" s="421" t="s">
        <v>577</v>
      </c>
      <c r="D1318" s="422" t="s">
        <v>666</v>
      </c>
      <c r="E1318" s="111">
        <v>14774</v>
      </c>
      <c r="F1318" s="421" t="s">
        <v>2288</v>
      </c>
      <c r="G1318" s="112">
        <v>1</v>
      </c>
    </row>
    <row r="1319" spans="1:15" x14ac:dyDescent="0.2">
      <c r="A1319" s="111">
        <v>1350</v>
      </c>
      <c r="B1319" s="421" t="s">
        <v>2005</v>
      </c>
      <c r="C1319" s="421" t="s">
        <v>509</v>
      </c>
      <c r="D1319" s="422" t="s">
        <v>663</v>
      </c>
      <c r="E1319" s="111">
        <v>14774</v>
      </c>
      <c r="F1319" s="421" t="s">
        <v>2288</v>
      </c>
    </row>
    <row r="1320" spans="1:15" x14ac:dyDescent="0.2">
      <c r="A1320" s="111">
        <v>1351</v>
      </c>
      <c r="B1320" s="421" t="s">
        <v>2289</v>
      </c>
      <c r="C1320" s="421" t="s">
        <v>514</v>
      </c>
      <c r="D1320" s="422" t="s">
        <v>666</v>
      </c>
      <c r="E1320" s="111">
        <v>14775</v>
      </c>
      <c r="F1320" s="421" t="s">
        <v>2290</v>
      </c>
      <c r="G1320" s="112">
        <v>1</v>
      </c>
      <c r="H1320" s="112">
        <v>1</v>
      </c>
      <c r="I1320" s="112">
        <v>2</v>
      </c>
    </row>
    <row r="1321" spans="1:15" x14ac:dyDescent="0.2">
      <c r="A1321" s="111">
        <v>1352</v>
      </c>
      <c r="B1321" s="421" t="s">
        <v>381</v>
      </c>
      <c r="C1321" s="421" t="s">
        <v>514</v>
      </c>
      <c r="D1321" s="422" t="s">
        <v>663</v>
      </c>
      <c r="E1321" s="111">
        <v>14775</v>
      </c>
      <c r="F1321" s="421" t="s">
        <v>2290</v>
      </c>
      <c r="G1321" s="112">
        <v>1</v>
      </c>
    </row>
    <row r="1322" spans="1:15" x14ac:dyDescent="0.2">
      <c r="A1322" s="111">
        <v>1353</v>
      </c>
      <c r="B1322" s="421" t="s">
        <v>2291</v>
      </c>
      <c r="C1322" s="421" t="s">
        <v>501</v>
      </c>
      <c r="D1322" s="422" t="s">
        <v>663</v>
      </c>
      <c r="E1322" s="111">
        <v>14777</v>
      </c>
      <c r="F1322" s="421" t="s">
        <v>2292</v>
      </c>
      <c r="G1322" s="112">
        <v>3</v>
      </c>
      <c r="H1322" s="112">
        <v>1</v>
      </c>
      <c r="I1322" s="112">
        <v>1</v>
      </c>
      <c r="K1322" s="112">
        <v>1</v>
      </c>
    </row>
    <row r="1323" spans="1:15" x14ac:dyDescent="0.2">
      <c r="A1323" s="111">
        <v>1354</v>
      </c>
      <c r="B1323" s="421" t="s">
        <v>108</v>
      </c>
      <c r="C1323" s="421" t="s">
        <v>506</v>
      </c>
      <c r="D1323" s="422" t="s">
        <v>663</v>
      </c>
      <c r="E1323" s="111">
        <v>14907</v>
      </c>
      <c r="F1323" s="421" t="s">
        <v>2293</v>
      </c>
      <c r="G1323" s="112">
        <v>1</v>
      </c>
      <c r="H1323" s="112">
        <v>1</v>
      </c>
      <c r="I1323" s="112">
        <v>1</v>
      </c>
      <c r="J1323" s="112">
        <v>12</v>
      </c>
      <c r="K1323" s="112">
        <v>13</v>
      </c>
      <c r="L1323" s="112">
        <v>11</v>
      </c>
      <c r="M1323" s="112">
        <v>9</v>
      </c>
      <c r="N1323" s="112">
        <v>9</v>
      </c>
      <c r="O1323" s="112">
        <v>9</v>
      </c>
    </row>
    <row r="1324" spans="1:15" x14ac:dyDescent="0.2">
      <c r="A1324" s="111">
        <v>1355</v>
      </c>
      <c r="B1324" s="421" t="s">
        <v>235</v>
      </c>
      <c r="C1324" s="421" t="s">
        <v>551</v>
      </c>
      <c r="D1324" s="422" t="s">
        <v>663</v>
      </c>
      <c r="E1324" s="111">
        <v>14907</v>
      </c>
      <c r="F1324" s="421" t="s">
        <v>2293</v>
      </c>
      <c r="G1324" s="112">
        <v>1</v>
      </c>
      <c r="H1324" s="112">
        <v>1</v>
      </c>
      <c r="I1324" s="112">
        <v>1</v>
      </c>
      <c r="J1324" s="112">
        <v>6</v>
      </c>
      <c r="K1324" s="112">
        <v>3</v>
      </c>
      <c r="L1324" s="112">
        <v>5</v>
      </c>
      <c r="M1324" s="112">
        <v>3</v>
      </c>
      <c r="N1324" s="112">
        <v>2</v>
      </c>
      <c r="O1324" s="112">
        <v>2</v>
      </c>
    </row>
    <row r="1325" spans="1:15" x14ac:dyDescent="0.2">
      <c r="A1325" s="111">
        <v>1356</v>
      </c>
      <c r="B1325" s="421" t="s">
        <v>470</v>
      </c>
      <c r="C1325" s="421" t="s">
        <v>532</v>
      </c>
      <c r="D1325" s="422" t="s">
        <v>666</v>
      </c>
      <c r="F1325" s="421" t="s">
        <v>2294</v>
      </c>
      <c r="G1325" s="112">
        <v>1</v>
      </c>
      <c r="H1325" s="112">
        <v>1</v>
      </c>
      <c r="I1325" s="112">
        <v>1</v>
      </c>
      <c r="K1325" s="112">
        <v>1</v>
      </c>
    </row>
    <row r="1326" spans="1:15" x14ac:dyDescent="0.2">
      <c r="A1326" s="111">
        <v>1357</v>
      </c>
      <c r="B1326" s="421" t="s">
        <v>1224</v>
      </c>
      <c r="C1326" s="421" t="s">
        <v>525</v>
      </c>
      <c r="D1326" s="422" t="s">
        <v>666</v>
      </c>
      <c r="F1326" s="421" t="s">
        <v>2294</v>
      </c>
      <c r="G1326" s="112">
        <v>1</v>
      </c>
      <c r="H1326" s="112">
        <v>1</v>
      </c>
      <c r="I1326" s="112">
        <v>1</v>
      </c>
      <c r="J1326" s="112">
        <v>1</v>
      </c>
      <c r="K1326" s="112">
        <v>1</v>
      </c>
      <c r="L1326" s="112">
        <v>1</v>
      </c>
    </row>
    <row r="1327" spans="1:15" x14ac:dyDescent="0.2">
      <c r="A1327" s="111">
        <v>1358</v>
      </c>
      <c r="B1327" s="421" t="s">
        <v>2295</v>
      </c>
      <c r="C1327" s="421" t="s">
        <v>532</v>
      </c>
      <c r="D1327" s="422" t="s">
        <v>663</v>
      </c>
      <c r="E1327" s="111">
        <v>16059</v>
      </c>
      <c r="F1327" s="421" t="s">
        <v>2296</v>
      </c>
      <c r="G1327" s="112">
        <v>1</v>
      </c>
      <c r="H1327" s="112">
        <v>1</v>
      </c>
      <c r="I1327" s="112">
        <v>1</v>
      </c>
      <c r="J1327" s="112">
        <v>9</v>
      </c>
      <c r="K1327" s="112">
        <v>9</v>
      </c>
      <c r="L1327" s="112">
        <v>9</v>
      </c>
      <c r="M1327" s="112">
        <v>4</v>
      </c>
      <c r="N1327" s="112">
        <v>3</v>
      </c>
      <c r="O1327" s="112">
        <v>3</v>
      </c>
    </row>
    <row r="1328" spans="1:15" x14ac:dyDescent="0.2">
      <c r="A1328" s="111">
        <v>1359</v>
      </c>
      <c r="B1328" s="421" t="s">
        <v>2297</v>
      </c>
      <c r="C1328" s="421" t="s">
        <v>532</v>
      </c>
      <c r="D1328" s="422" t="s">
        <v>666</v>
      </c>
      <c r="E1328" s="111">
        <v>16059</v>
      </c>
      <c r="F1328" s="421" t="s">
        <v>2296</v>
      </c>
      <c r="G1328" s="112">
        <v>1</v>
      </c>
      <c r="H1328" s="112">
        <v>1</v>
      </c>
      <c r="I1328" s="112">
        <v>1</v>
      </c>
      <c r="J1328" s="112">
        <v>7</v>
      </c>
      <c r="K1328" s="112">
        <v>8</v>
      </c>
      <c r="L1328" s="112">
        <v>7</v>
      </c>
      <c r="M1328" s="112">
        <v>8</v>
      </c>
      <c r="N1328" s="112">
        <v>3</v>
      </c>
      <c r="O1328" s="112">
        <v>5</v>
      </c>
    </row>
    <row r="1329" spans="1:15" x14ac:dyDescent="0.2">
      <c r="A1329" s="111">
        <v>1360</v>
      </c>
      <c r="B1329" s="421" t="s">
        <v>1348</v>
      </c>
      <c r="C1329" s="421" t="s">
        <v>501</v>
      </c>
      <c r="D1329" s="422" t="s">
        <v>663</v>
      </c>
      <c r="E1329" s="111">
        <v>14537</v>
      </c>
      <c r="F1329" s="421" t="s">
        <v>16197</v>
      </c>
      <c r="G1329" s="112">
        <v>4</v>
      </c>
      <c r="H1329" s="112">
        <v>1</v>
      </c>
      <c r="I1329" s="112">
        <v>1</v>
      </c>
      <c r="J1329" s="112">
        <v>16</v>
      </c>
      <c r="K1329" s="112">
        <v>14</v>
      </c>
      <c r="L1329" s="112">
        <v>12</v>
      </c>
      <c r="M1329" s="112">
        <v>26</v>
      </c>
      <c r="N1329" s="112">
        <v>16</v>
      </c>
      <c r="O1329" s="112">
        <v>15</v>
      </c>
    </row>
    <row r="1330" spans="1:15" x14ac:dyDescent="0.2">
      <c r="A1330" s="111">
        <v>1361</v>
      </c>
      <c r="B1330" s="421" t="s">
        <v>2298</v>
      </c>
      <c r="C1330" s="421" t="s">
        <v>526</v>
      </c>
      <c r="D1330" s="422" t="s">
        <v>666</v>
      </c>
      <c r="E1330" s="111">
        <v>15069</v>
      </c>
      <c r="F1330" s="421" t="s">
        <v>969</v>
      </c>
      <c r="G1330" s="112">
        <v>1</v>
      </c>
      <c r="H1330" s="112">
        <v>1</v>
      </c>
      <c r="I1330" s="112">
        <v>1</v>
      </c>
      <c r="J1330" s="112">
        <v>7</v>
      </c>
      <c r="K1330" s="112">
        <v>7</v>
      </c>
      <c r="L1330" s="112">
        <v>7</v>
      </c>
      <c r="M1330" s="112">
        <v>4</v>
      </c>
      <c r="N1330" s="112">
        <v>3</v>
      </c>
      <c r="O1330" s="112">
        <v>3</v>
      </c>
    </row>
    <row r="1331" spans="1:15" x14ac:dyDescent="0.2">
      <c r="A1331" s="111">
        <v>1362</v>
      </c>
      <c r="B1331" s="421" t="s">
        <v>2299</v>
      </c>
      <c r="C1331" s="421" t="s">
        <v>574</v>
      </c>
      <c r="D1331" s="422" t="s">
        <v>666</v>
      </c>
      <c r="F1331" s="421" t="s">
        <v>2300</v>
      </c>
    </row>
    <row r="1332" spans="1:15" x14ac:dyDescent="0.2">
      <c r="A1332" s="111">
        <v>1363</v>
      </c>
      <c r="B1332" s="421" t="s">
        <v>2301</v>
      </c>
      <c r="C1332" s="421" t="s">
        <v>506</v>
      </c>
      <c r="D1332" s="422" t="s">
        <v>663</v>
      </c>
      <c r="E1332" s="111">
        <v>14841</v>
      </c>
      <c r="F1332" s="421" t="s">
        <v>2302</v>
      </c>
      <c r="G1332" s="112">
        <v>1</v>
      </c>
      <c r="H1332" s="112">
        <v>1</v>
      </c>
      <c r="I1332" s="112">
        <v>1</v>
      </c>
      <c r="J1332" s="112">
        <v>4</v>
      </c>
      <c r="K1332" s="112">
        <v>3</v>
      </c>
      <c r="L1332" s="112">
        <v>4</v>
      </c>
      <c r="M1332" s="112">
        <v>2</v>
      </c>
      <c r="N1332" s="112">
        <v>2</v>
      </c>
      <c r="O1332" s="112">
        <v>2</v>
      </c>
    </row>
    <row r="1333" spans="1:15" x14ac:dyDescent="0.2">
      <c r="A1333" s="111">
        <v>1364</v>
      </c>
      <c r="B1333" s="421" t="s">
        <v>2303</v>
      </c>
      <c r="C1333" s="421" t="s">
        <v>503</v>
      </c>
      <c r="D1333" s="422" t="s">
        <v>666</v>
      </c>
      <c r="F1333" s="421" t="s">
        <v>2304</v>
      </c>
      <c r="G1333" s="112">
        <v>1</v>
      </c>
      <c r="H1333" s="112">
        <v>1</v>
      </c>
      <c r="I1333" s="112">
        <v>1</v>
      </c>
    </row>
    <row r="1334" spans="1:15" x14ac:dyDescent="0.2">
      <c r="A1334" s="111">
        <v>1365</v>
      </c>
      <c r="B1334" s="421" t="s">
        <v>2305</v>
      </c>
      <c r="C1334" s="421" t="s">
        <v>501</v>
      </c>
      <c r="D1334" s="422" t="s">
        <v>663</v>
      </c>
      <c r="E1334" s="111">
        <v>14779</v>
      </c>
      <c r="F1334" s="421" t="s">
        <v>2306</v>
      </c>
      <c r="G1334" s="112">
        <v>1</v>
      </c>
      <c r="H1334" s="112">
        <v>1</v>
      </c>
      <c r="I1334" s="112">
        <v>1</v>
      </c>
    </row>
    <row r="1335" spans="1:15" x14ac:dyDescent="0.2">
      <c r="A1335" s="111">
        <v>1366</v>
      </c>
      <c r="B1335" s="421" t="s">
        <v>2307</v>
      </c>
      <c r="C1335" s="421" t="s">
        <v>514</v>
      </c>
      <c r="D1335" s="422" t="s">
        <v>663</v>
      </c>
      <c r="E1335" s="111">
        <v>14559</v>
      </c>
      <c r="F1335" s="421" t="s">
        <v>1685</v>
      </c>
    </row>
    <row r="1336" spans="1:15" x14ac:dyDescent="0.2">
      <c r="A1336" s="111">
        <v>1367</v>
      </c>
      <c r="B1336" s="421" t="s">
        <v>159</v>
      </c>
      <c r="C1336" s="421" t="s">
        <v>2471</v>
      </c>
      <c r="D1336" s="422" t="s">
        <v>663</v>
      </c>
      <c r="E1336" s="111">
        <v>14780</v>
      </c>
      <c r="F1336" s="421" t="s">
        <v>2308</v>
      </c>
      <c r="G1336" s="112">
        <v>1</v>
      </c>
      <c r="H1336" s="112">
        <v>1</v>
      </c>
      <c r="I1336" s="112">
        <v>1</v>
      </c>
      <c r="J1336" s="112">
        <v>3</v>
      </c>
      <c r="K1336" s="112">
        <v>1</v>
      </c>
      <c r="L1336" s="112">
        <v>1</v>
      </c>
      <c r="M1336" s="112">
        <v>4</v>
      </c>
    </row>
    <row r="1337" spans="1:15" x14ac:dyDescent="0.2">
      <c r="A1337" s="111">
        <v>1368</v>
      </c>
      <c r="B1337" s="421" t="s">
        <v>1782</v>
      </c>
      <c r="C1337" s="421" t="s">
        <v>501</v>
      </c>
      <c r="D1337" s="422" t="s">
        <v>663</v>
      </c>
      <c r="F1337" s="421" t="s">
        <v>2309</v>
      </c>
      <c r="G1337" s="112">
        <v>1</v>
      </c>
      <c r="H1337" s="112">
        <v>1</v>
      </c>
      <c r="I1337" s="112">
        <v>1</v>
      </c>
      <c r="J1337" s="112">
        <v>2</v>
      </c>
      <c r="K1337" s="112">
        <v>1</v>
      </c>
      <c r="L1337" s="112">
        <v>1</v>
      </c>
      <c r="N1337" s="112">
        <v>1</v>
      </c>
    </row>
    <row r="1338" spans="1:15" x14ac:dyDescent="0.2">
      <c r="A1338" s="111">
        <v>1369</v>
      </c>
      <c r="B1338" s="421" t="s">
        <v>2310</v>
      </c>
      <c r="C1338" s="421" t="s">
        <v>528</v>
      </c>
      <c r="D1338" s="422" t="s">
        <v>663</v>
      </c>
      <c r="F1338" s="421" t="s">
        <v>6007</v>
      </c>
      <c r="G1338" s="112">
        <v>1</v>
      </c>
      <c r="I1338" s="112">
        <v>1</v>
      </c>
    </row>
    <row r="1339" spans="1:15" x14ac:dyDescent="0.2">
      <c r="A1339" s="111">
        <v>1370</v>
      </c>
      <c r="B1339" s="421" t="s">
        <v>2313</v>
      </c>
      <c r="C1339" s="421" t="s">
        <v>577</v>
      </c>
      <c r="D1339" s="422" t="s">
        <v>666</v>
      </c>
      <c r="E1339" s="111">
        <v>14781</v>
      </c>
      <c r="F1339" s="421" t="s">
        <v>2314</v>
      </c>
      <c r="G1339" s="112">
        <v>3</v>
      </c>
      <c r="H1339" s="112">
        <v>1</v>
      </c>
      <c r="I1339" s="112">
        <v>1</v>
      </c>
    </row>
    <row r="1340" spans="1:15" x14ac:dyDescent="0.2">
      <c r="A1340" s="111">
        <v>1371</v>
      </c>
      <c r="B1340" s="421" t="s">
        <v>2153</v>
      </c>
      <c r="C1340" s="421" t="s">
        <v>501</v>
      </c>
      <c r="D1340" s="422" t="s">
        <v>666</v>
      </c>
      <c r="F1340" s="421" t="s">
        <v>2315</v>
      </c>
      <c r="G1340" s="112">
        <v>1</v>
      </c>
      <c r="H1340" s="112">
        <v>2</v>
      </c>
      <c r="I1340" s="112">
        <v>2</v>
      </c>
    </row>
    <row r="1341" spans="1:15" x14ac:dyDescent="0.2">
      <c r="A1341" s="111">
        <v>1372</v>
      </c>
      <c r="B1341" s="421" t="s">
        <v>2316</v>
      </c>
      <c r="C1341" s="421" t="s">
        <v>503</v>
      </c>
      <c r="D1341" s="422" t="s">
        <v>663</v>
      </c>
      <c r="E1341" s="111">
        <v>14783</v>
      </c>
      <c r="F1341" s="421" t="s">
        <v>2317</v>
      </c>
      <c r="G1341" s="112">
        <v>1</v>
      </c>
      <c r="H1341" s="112">
        <v>1</v>
      </c>
      <c r="I1341" s="112">
        <v>1</v>
      </c>
      <c r="J1341" s="112">
        <v>5</v>
      </c>
      <c r="K1341" s="112">
        <v>6</v>
      </c>
      <c r="L1341" s="112">
        <v>6</v>
      </c>
      <c r="M1341" s="112">
        <v>2</v>
      </c>
      <c r="O1341" s="112">
        <v>3</v>
      </c>
    </row>
    <row r="1342" spans="1:15" x14ac:dyDescent="0.2">
      <c r="A1342" s="111">
        <v>1373</v>
      </c>
      <c r="B1342" s="421" t="s">
        <v>472</v>
      </c>
      <c r="C1342" s="421" t="s">
        <v>2318</v>
      </c>
      <c r="D1342" s="422" t="s">
        <v>663</v>
      </c>
      <c r="E1342" s="111">
        <v>14784</v>
      </c>
      <c r="F1342" s="421" t="s">
        <v>2319</v>
      </c>
    </row>
    <row r="1343" spans="1:15" x14ac:dyDescent="0.2">
      <c r="A1343" s="111">
        <v>1374</v>
      </c>
      <c r="B1343" s="421" t="s">
        <v>2247</v>
      </c>
      <c r="C1343" s="421" t="s">
        <v>517</v>
      </c>
      <c r="D1343" s="422" t="s">
        <v>663</v>
      </c>
      <c r="E1343" s="111">
        <v>15006</v>
      </c>
      <c r="F1343" s="421" t="s">
        <v>922</v>
      </c>
      <c r="G1343" s="112">
        <v>1</v>
      </c>
      <c r="H1343" s="112">
        <v>1</v>
      </c>
      <c r="I1343" s="112">
        <v>1</v>
      </c>
      <c r="J1343" s="112">
        <v>2</v>
      </c>
      <c r="K1343" s="112">
        <v>1</v>
      </c>
      <c r="L1343" s="112">
        <v>1</v>
      </c>
      <c r="M1343" s="112">
        <v>1</v>
      </c>
      <c r="N1343" s="112">
        <v>3</v>
      </c>
    </row>
    <row r="1344" spans="1:15" x14ac:dyDescent="0.2">
      <c r="A1344" s="111">
        <v>1375</v>
      </c>
      <c r="B1344" s="421" t="s">
        <v>1796</v>
      </c>
      <c r="C1344" s="421" t="s">
        <v>1446</v>
      </c>
      <c r="D1344" s="422" t="s">
        <v>663</v>
      </c>
      <c r="E1344" s="111">
        <v>14785</v>
      </c>
      <c r="F1344" s="421" t="s">
        <v>2320</v>
      </c>
      <c r="G1344" s="112">
        <v>2</v>
      </c>
      <c r="H1344" s="112">
        <v>1</v>
      </c>
      <c r="I1344" s="112">
        <v>1</v>
      </c>
    </row>
    <row r="1345" spans="1:15" x14ac:dyDescent="0.2">
      <c r="A1345" s="111">
        <v>1376</v>
      </c>
      <c r="B1345" s="421" t="s">
        <v>341</v>
      </c>
      <c r="C1345" s="421" t="s">
        <v>1446</v>
      </c>
      <c r="D1345" s="422" t="s">
        <v>666</v>
      </c>
      <c r="E1345" s="111">
        <v>14785</v>
      </c>
      <c r="F1345" s="421" t="s">
        <v>2320</v>
      </c>
    </row>
    <row r="1346" spans="1:15" x14ac:dyDescent="0.2">
      <c r="A1346" s="111">
        <v>1377</v>
      </c>
      <c r="B1346" s="421" t="s">
        <v>108</v>
      </c>
      <c r="C1346" s="421" t="s">
        <v>2003</v>
      </c>
      <c r="D1346" s="422" t="s">
        <v>663</v>
      </c>
      <c r="E1346" s="111">
        <v>14787</v>
      </c>
      <c r="F1346" s="421" t="s">
        <v>2321</v>
      </c>
      <c r="G1346" s="112">
        <v>1</v>
      </c>
      <c r="H1346" s="112">
        <v>1</v>
      </c>
      <c r="I1346" s="112">
        <v>1</v>
      </c>
      <c r="J1346" s="112">
        <v>3</v>
      </c>
      <c r="K1346" s="112">
        <v>3</v>
      </c>
      <c r="L1346" s="112">
        <v>3</v>
      </c>
      <c r="M1346" s="112">
        <v>5</v>
      </c>
      <c r="N1346" s="112">
        <v>1</v>
      </c>
      <c r="O1346" s="112">
        <v>4</v>
      </c>
    </row>
    <row r="1347" spans="1:15" x14ac:dyDescent="0.2">
      <c r="A1347" s="111">
        <v>1378</v>
      </c>
      <c r="B1347" s="421" t="s">
        <v>2322</v>
      </c>
      <c r="C1347" s="421" t="s">
        <v>551</v>
      </c>
      <c r="D1347" s="422" t="s">
        <v>663</v>
      </c>
      <c r="E1347" s="111">
        <v>14810</v>
      </c>
      <c r="F1347" s="421" t="s">
        <v>2323</v>
      </c>
      <c r="G1347" s="112">
        <v>2</v>
      </c>
      <c r="H1347" s="112">
        <v>1</v>
      </c>
      <c r="I1347" s="112">
        <v>1</v>
      </c>
    </row>
    <row r="1348" spans="1:15" x14ac:dyDescent="0.2">
      <c r="A1348" s="111">
        <v>1379</v>
      </c>
      <c r="B1348" s="421" t="s">
        <v>2324</v>
      </c>
      <c r="C1348" s="421" t="s">
        <v>551</v>
      </c>
      <c r="D1348" s="422" t="s">
        <v>663</v>
      </c>
      <c r="E1348" s="111">
        <v>14810</v>
      </c>
      <c r="F1348" s="421" t="s">
        <v>2323</v>
      </c>
      <c r="G1348" s="112">
        <v>1</v>
      </c>
      <c r="H1348" s="112">
        <v>1</v>
      </c>
      <c r="I1348" s="112">
        <v>1</v>
      </c>
      <c r="J1348" s="112">
        <v>6</v>
      </c>
      <c r="K1348" s="112">
        <v>6</v>
      </c>
      <c r="L1348" s="112">
        <v>6</v>
      </c>
      <c r="M1348" s="112">
        <v>7</v>
      </c>
      <c r="N1348" s="112">
        <v>6</v>
      </c>
      <c r="O1348" s="112">
        <v>5</v>
      </c>
    </row>
    <row r="1349" spans="1:15" x14ac:dyDescent="0.2">
      <c r="A1349" s="111">
        <v>1380</v>
      </c>
      <c r="B1349" s="421" t="s">
        <v>2325</v>
      </c>
      <c r="C1349" s="421" t="s">
        <v>551</v>
      </c>
      <c r="D1349" s="422" t="s">
        <v>666</v>
      </c>
      <c r="E1349" s="111">
        <v>14810</v>
      </c>
      <c r="F1349" s="421" t="s">
        <v>2323</v>
      </c>
      <c r="G1349" s="112">
        <v>1</v>
      </c>
      <c r="H1349" s="112">
        <v>1</v>
      </c>
      <c r="I1349" s="112">
        <v>1</v>
      </c>
      <c r="J1349" s="112">
        <v>5</v>
      </c>
      <c r="K1349" s="112">
        <v>3</v>
      </c>
      <c r="L1349" s="112">
        <v>5</v>
      </c>
      <c r="M1349" s="112">
        <v>2</v>
      </c>
      <c r="O1349" s="112">
        <v>2</v>
      </c>
    </row>
    <row r="1350" spans="1:15" x14ac:dyDescent="0.2">
      <c r="A1350" s="111">
        <v>1381</v>
      </c>
      <c r="B1350" s="421" t="s">
        <v>2326</v>
      </c>
      <c r="C1350" s="421" t="s">
        <v>513</v>
      </c>
      <c r="D1350" s="422" t="s">
        <v>666</v>
      </c>
      <c r="E1350" s="111">
        <v>14810</v>
      </c>
      <c r="F1350" s="421" t="s">
        <v>2323</v>
      </c>
      <c r="G1350" s="112">
        <v>1</v>
      </c>
      <c r="H1350" s="112">
        <v>1</v>
      </c>
      <c r="I1350" s="112">
        <v>1</v>
      </c>
    </row>
    <row r="1351" spans="1:15" x14ac:dyDescent="0.2">
      <c r="A1351" s="111">
        <v>1382</v>
      </c>
      <c r="B1351" s="421" t="s">
        <v>266</v>
      </c>
      <c r="C1351" s="421" t="s">
        <v>516</v>
      </c>
      <c r="D1351" s="422" t="s">
        <v>663</v>
      </c>
      <c r="E1351" s="111">
        <v>15216</v>
      </c>
      <c r="F1351" s="421" t="s">
        <v>2327</v>
      </c>
      <c r="G1351" s="112">
        <v>1</v>
      </c>
      <c r="H1351" s="112">
        <v>1</v>
      </c>
      <c r="I1351" s="112">
        <v>1</v>
      </c>
      <c r="J1351" s="112">
        <v>7</v>
      </c>
      <c r="K1351" s="112">
        <v>7</v>
      </c>
      <c r="L1351" s="112">
        <v>7</v>
      </c>
      <c r="M1351" s="112">
        <v>8</v>
      </c>
      <c r="N1351" s="112">
        <v>3</v>
      </c>
      <c r="O1351" s="112">
        <v>3</v>
      </c>
    </row>
    <row r="1352" spans="1:15" x14ac:dyDescent="0.2">
      <c r="A1352" s="111">
        <v>1383</v>
      </c>
      <c r="B1352" s="421" t="s">
        <v>159</v>
      </c>
      <c r="C1352" s="421" t="s">
        <v>1978</v>
      </c>
      <c r="D1352" s="422" t="s">
        <v>663</v>
      </c>
      <c r="E1352" s="111">
        <v>14923</v>
      </c>
      <c r="F1352" s="421" t="s">
        <v>2328</v>
      </c>
      <c r="G1352" s="112">
        <v>1</v>
      </c>
      <c r="H1352" s="112">
        <v>1</v>
      </c>
      <c r="I1352" s="112">
        <v>1</v>
      </c>
      <c r="J1352" s="112">
        <v>1</v>
      </c>
      <c r="K1352" s="112">
        <v>1</v>
      </c>
      <c r="L1352" s="112">
        <v>1</v>
      </c>
      <c r="M1352" s="112">
        <v>1</v>
      </c>
    </row>
    <row r="1353" spans="1:15" x14ac:dyDescent="0.2">
      <c r="A1353" s="111">
        <v>1384</v>
      </c>
      <c r="B1353" s="421" t="s">
        <v>2329</v>
      </c>
      <c r="C1353" s="421" t="s">
        <v>506</v>
      </c>
      <c r="D1353" s="422" t="s">
        <v>663</v>
      </c>
      <c r="E1353" s="111">
        <v>14789</v>
      </c>
      <c r="F1353" s="421" t="s">
        <v>2330</v>
      </c>
    </row>
    <row r="1354" spans="1:15" x14ac:dyDescent="0.2">
      <c r="A1354" s="111">
        <v>1385</v>
      </c>
      <c r="B1354" s="421" t="s">
        <v>174</v>
      </c>
      <c r="C1354" s="421" t="s">
        <v>506</v>
      </c>
      <c r="D1354" s="422" t="s">
        <v>666</v>
      </c>
      <c r="E1354" s="111">
        <v>14789</v>
      </c>
      <c r="F1354" s="421" t="s">
        <v>2330</v>
      </c>
      <c r="G1354" s="112">
        <v>1</v>
      </c>
      <c r="I1354" s="112">
        <v>1</v>
      </c>
    </row>
    <row r="1355" spans="1:15" x14ac:dyDescent="0.2">
      <c r="A1355" s="111">
        <v>1386</v>
      </c>
      <c r="B1355" s="421" t="s">
        <v>2331</v>
      </c>
      <c r="C1355" s="421" t="s">
        <v>506</v>
      </c>
      <c r="D1355" s="422" t="s">
        <v>663</v>
      </c>
      <c r="E1355" s="111">
        <v>14751</v>
      </c>
      <c r="F1355" s="421" t="s">
        <v>2332</v>
      </c>
      <c r="G1355" s="112">
        <v>1</v>
      </c>
      <c r="H1355" s="112">
        <v>1</v>
      </c>
      <c r="I1355" s="112">
        <v>1</v>
      </c>
      <c r="J1355" s="112">
        <v>3</v>
      </c>
      <c r="K1355" s="112">
        <v>3</v>
      </c>
      <c r="L1355" s="112">
        <v>3</v>
      </c>
    </row>
    <row r="1356" spans="1:15" x14ac:dyDescent="0.2">
      <c r="A1356" s="111">
        <v>1387</v>
      </c>
      <c r="B1356" s="421" t="s">
        <v>2333</v>
      </c>
      <c r="C1356" s="421" t="s">
        <v>526</v>
      </c>
      <c r="D1356" s="422" t="s">
        <v>666</v>
      </c>
      <c r="E1356" s="111">
        <v>14878</v>
      </c>
      <c r="F1356" s="421" t="s">
        <v>2334</v>
      </c>
      <c r="G1356" s="112">
        <v>1</v>
      </c>
      <c r="I1356" s="112">
        <v>1</v>
      </c>
    </row>
    <row r="1357" spans="1:15" x14ac:dyDescent="0.2">
      <c r="A1357" s="111">
        <v>1388</v>
      </c>
      <c r="B1357" s="421" t="s">
        <v>52</v>
      </c>
      <c r="C1357" s="421" t="s">
        <v>2335</v>
      </c>
      <c r="D1357" s="422"/>
      <c r="E1357" s="111">
        <v>16460</v>
      </c>
      <c r="F1357" s="421" t="s">
        <v>2336</v>
      </c>
      <c r="G1357" s="112">
        <v>1</v>
      </c>
    </row>
    <row r="1358" spans="1:15" x14ac:dyDescent="0.2">
      <c r="A1358" s="111">
        <v>1389</v>
      </c>
      <c r="B1358" s="421" t="s">
        <v>2342</v>
      </c>
      <c r="C1358" s="421" t="s">
        <v>530</v>
      </c>
      <c r="D1358" s="422" t="s">
        <v>666</v>
      </c>
      <c r="F1358" s="421" t="s">
        <v>2343</v>
      </c>
      <c r="G1358" s="112">
        <v>1</v>
      </c>
      <c r="H1358" s="112">
        <v>1</v>
      </c>
      <c r="I1358" s="112">
        <v>1</v>
      </c>
      <c r="J1358" s="112">
        <v>1</v>
      </c>
      <c r="K1358" s="112">
        <v>1</v>
      </c>
      <c r="L1358" s="112">
        <v>1</v>
      </c>
    </row>
    <row r="1359" spans="1:15" x14ac:dyDescent="0.2">
      <c r="A1359" s="111">
        <v>1390</v>
      </c>
      <c r="B1359" s="421" t="s">
        <v>1771</v>
      </c>
      <c r="C1359" s="421" t="s">
        <v>506</v>
      </c>
      <c r="D1359" s="422" t="s">
        <v>663</v>
      </c>
      <c r="E1359" s="111">
        <v>14790</v>
      </c>
      <c r="F1359" s="421" t="s">
        <v>2344</v>
      </c>
      <c r="G1359" s="112">
        <v>1</v>
      </c>
      <c r="H1359" s="112">
        <v>1</v>
      </c>
      <c r="I1359" s="112">
        <v>2</v>
      </c>
    </row>
    <row r="1360" spans="1:15" x14ac:dyDescent="0.2">
      <c r="A1360" s="111">
        <v>1391</v>
      </c>
      <c r="B1360" s="421" t="s">
        <v>172</v>
      </c>
      <c r="C1360" s="421" t="s">
        <v>510</v>
      </c>
      <c r="D1360" s="422" t="s">
        <v>663</v>
      </c>
      <c r="F1360" s="421" t="s">
        <v>2345</v>
      </c>
      <c r="I1360" s="112">
        <v>1</v>
      </c>
    </row>
    <row r="1361" spans="1:15" x14ac:dyDescent="0.2">
      <c r="A1361" s="111">
        <v>1392</v>
      </c>
      <c r="B1361" s="421" t="s">
        <v>2346</v>
      </c>
      <c r="C1361" s="421" t="s">
        <v>512</v>
      </c>
      <c r="D1361" s="422"/>
      <c r="E1361" s="111">
        <v>14845</v>
      </c>
      <c r="F1361" s="421" t="s">
        <v>2347</v>
      </c>
      <c r="G1361" s="112">
        <v>1</v>
      </c>
      <c r="H1361" s="112">
        <v>1</v>
      </c>
      <c r="J1361" s="112">
        <v>1</v>
      </c>
    </row>
    <row r="1362" spans="1:15" x14ac:dyDescent="0.2">
      <c r="A1362" s="111">
        <v>1393</v>
      </c>
      <c r="B1362" s="421" t="s">
        <v>2348</v>
      </c>
      <c r="C1362" s="421" t="s">
        <v>2335</v>
      </c>
      <c r="D1362" s="422" t="s">
        <v>666</v>
      </c>
      <c r="E1362" s="111">
        <v>14847</v>
      </c>
      <c r="F1362" s="421" t="s">
        <v>2349</v>
      </c>
      <c r="G1362" s="112">
        <v>1</v>
      </c>
      <c r="H1362" s="112">
        <v>1</v>
      </c>
      <c r="I1362" s="112">
        <v>1</v>
      </c>
    </row>
    <row r="1363" spans="1:15" x14ac:dyDescent="0.2">
      <c r="A1363" s="111">
        <v>1394</v>
      </c>
      <c r="B1363" s="421" t="s">
        <v>2350</v>
      </c>
      <c r="C1363" s="421" t="s">
        <v>2351</v>
      </c>
      <c r="D1363" s="422"/>
      <c r="F1363" s="421" t="s">
        <v>2352</v>
      </c>
    </row>
    <row r="1364" spans="1:15" x14ac:dyDescent="0.2">
      <c r="A1364" s="111">
        <v>1395</v>
      </c>
      <c r="B1364" s="421" t="s">
        <v>2067</v>
      </c>
      <c r="C1364" s="421" t="s">
        <v>4162</v>
      </c>
      <c r="D1364" s="422" t="s">
        <v>663</v>
      </c>
      <c r="E1364" s="111">
        <v>14792</v>
      </c>
      <c r="F1364" s="421" t="s">
        <v>2353</v>
      </c>
      <c r="G1364" s="112">
        <v>1</v>
      </c>
      <c r="H1364" s="112">
        <v>1</v>
      </c>
      <c r="I1364" s="112">
        <v>1</v>
      </c>
      <c r="K1364" s="112">
        <v>1</v>
      </c>
      <c r="L1364" s="112">
        <v>1</v>
      </c>
    </row>
    <row r="1365" spans="1:15" x14ac:dyDescent="0.2">
      <c r="A1365" s="111">
        <v>1396</v>
      </c>
      <c r="B1365" s="421" t="s">
        <v>2354</v>
      </c>
      <c r="C1365" s="421" t="s">
        <v>4162</v>
      </c>
      <c r="D1365" s="422" t="s">
        <v>666</v>
      </c>
      <c r="E1365" s="111">
        <v>14791</v>
      </c>
      <c r="F1365" s="421" t="s">
        <v>2355</v>
      </c>
      <c r="G1365" s="112">
        <v>1</v>
      </c>
      <c r="H1365" s="112">
        <v>1</v>
      </c>
      <c r="I1365" s="112">
        <v>1</v>
      </c>
      <c r="J1365" s="112">
        <v>1</v>
      </c>
      <c r="K1365" s="112">
        <v>1</v>
      </c>
      <c r="L1365" s="112">
        <v>1</v>
      </c>
    </row>
    <row r="1366" spans="1:15" x14ac:dyDescent="0.2">
      <c r="A1366" s="111">
        <v>1397</v>
      </c>
      <c r="B1366" s="421" t="s">
        <v>2356</v>
      </c>
      <c r="C1366" s="421" t="s">
        <v>501</v>
      </c>
      <c r="D1366" s="422"/>
      <c r="E1366" s="111">
        <v>14690</v>
      </c>
      <c r="F1366" s="421" t="s">
        <v>2112</v>
      </c>
      <c r="G1366" s="112">
        <v>1</v>
      </c>
      <c r="H1366" s="112">
        <v>1</v>
      </c>
      <c r="I1366" s="112">
        <v>1</v>
      </c>
      <c r="J1366" s="112">
        <v>9</v>
      </c>
      <c r="K1366" s="112">
        <v>5</v>
      </c>
      <c r="L1366" s="112">
        <v>7</v>
      </c>
      <c r="M1366" s="112">
        <v>5</v>
      </c>
      <c r="O1366" s="112">
        <v>3</v>
      </c>
    </row>
    <row r="1367" spans="1:15" x14ac:dyDescent="0.2">
      <c r="A1367" s="111">
        <v>1398</v>
      </c>
      <c r="B1367" s="421" t="s">
        <v>274</v>
      </c>
      <c r="C1367" s="421" t="s">
        <v>2357</v>
      </c>
      <c r="D1367" s="422" t="s">
        <v>666</v>
      </c>
      <c r="E1367" s="111">
        <v>14734</v>
      </c>
      <c r="F1367" s="421" t="s">
        <v>2207</v>
      </c>
    </row>
    <row r="1368" spans="1:15" x14ac:dyDescent="0.2">
      <c r="A1368" s="111">
        <v>1399</v>
      </c>
      <c r="B1368" s="421" t="s">
        <v>2358</v>
      </c>
      <c r="C1368" s="421" t="s">
        <v>523</v>
      </c>
      <c r="D1368" s="422" t="s">
        <v>666</v>
      </c>
      <c r="E1368" s="111">
        <v>15857</v>
      </c>
      <c r="F1368" s="421" t="s">
        <v>2359</v>
      </c>
      <c r="G1368" s="112">
        <v>1</v>
      </c>
      <c r="H1368" s="112">
        <v>1</v>
      </c>
      <c r="I1368" s="112">
        <v>1</v>
      </c>
      <c r="J1368" s="112">
        <v>2</v>
      </c>
      <c r="K1368" s="112">
        <v>3</v>
      </c>
      <c r="L1368" s="112">
        <v>3</v>
      </c>
    </row>
    <row r="1369" spans="1:15" x14ac:dyDescent="0.2">
      <c r="A1369" s="111">
        <v>1400</v>
      </c>
      <c r="B1369" s="421" t="s">
        <v>2360</v>
      </c>
      <c r="C1369" s="421" t="s">
        <v>586</v>
      </c>
      <c r="D1369" s="422" t="s">
        <v>666</v>
      </c>
      <c r="F1369" s="421" t="s">
        <v>979</v>
      </c>
      <c r="G1369" s="112">
        <v>1</v>
      </c>
      <c r="H1369" s="112">
        <v>1</v>
      </c>
      <c r="I1369" s="112">
        <v>1</v>
      </c>
      <c r="J1369" s="112">
        <v>1</v>
      </c>
      <c r="K1369" s="112">
        <v>1</v>
      </c>
      <c r="M1369" s="112">
        <v>1</v>
      </c>
    </row>
    <row r="1370" spans="1:15" x14ac:dyDescent="0.2">
      <c r="A1370" s="111">
        <v>1401</v>
      </c>
      <c r="B1370" s="421" t="s">
        <v>2361</v>
      </c>
      <c r="C1370" s="421" t="s">
        <v>2362</v>
      </c>
      <c r="D1370" s="422" t="s">
        <v>666</v>
      </c>
      <c r="E1370" s="111">
        <v>14794</v>
      </c>
      <c r="F1370" s="421" t="s">
        <v>2363</v>
      </c>
      <c r="G1370" s="112">
        <v>1</v>
      </c>
      <c r="H1370" s="112">
        <v>1</v>
      </c>
      <c r="I1370" s="112">
        <v>1</v>
      </c>
    </row>
    <row r="1371" spans="1:15" x14ac:dyDescent="0.2">
      <c r="A1371" s="111">
        <v>1402</v>
      </c>
      <c r="B1371" s="421" t="s">
        <v>2365</v>
      </c>
      <c r="C1371" s="421" t="s">
        <v>551</v>
      </c>
      <c r="D1371" s="422" t="s">
        <v>663</v>
      </c>
      <c r="F1371" s="421" t="s">
        <v>2366</v>
      </c>
      <c r="G1371" s="112">
        <v>1</v>
      </c>
      <c r="I1371" s="112">
        <v>1</v>
      </c>
    </row>
    <row r="1372" spans="1:15" x14ac:dyDescent="0.2">
      <c r="A1372" s="111">
        <v>1403</v>
      </c>
      <c r="B1372" s="421" t="s">
        <v>251</v>
      </c>
      <c r="C1372" s="421" t="s">
        <v>501</v>
      </c>
      <c r="D1372" s="422" t="s">
        <v>666</v>
      </c>
      <c r="E1372" s="111">
        <v>14967</v>
      </c>
      <c r="F1372" s="421" t="s">
        <v>2367</v>
      </c>
      <c r="G1372" s="112">
        <v>1</v>
      </c>
      <c r="H1372" s="112">
        <v>1</v>
      </c>
      <c r="I1372" s="112">
        <v>1</v>
      </c>
      <c r="J1372" s="112">
        <v>4</v>
      </c>
      <c r="K1372" s="112">
        <v>4</v>
      </c>
      <c r="L1372" s="112">
        <v>3</v>
      </c>
    </row>
    <row r="1373" spans="1:15" x14ac:dyDescent="0.2">
      <c r="A1373" s="111">
        <v>1404</v>
      </c>
      <c r="B1373" s="421" t="s">
        <v>2378</v>
      </c>
      <c r="C1373" s="421" t="s">
        <v>530</v>
      </c>
      <c r="D1373" s="422" t="s">
        <v>2379</v>
      </c>
      <c r="E1373" s="111">
        <v>15187</v>
      </c>
      <c r="F1373" s="421" t="s">
        <v>2380</v>
      </c>
      <c r="G1373" s="112">
        <v>1</v>
      </c>
      <c r="H1373" s="112">
        <v>1</v>
      </c>
      <c r="I1373" s="112">
        <v>1</v>
      </c>
      <c r="J1373" s="112">
        <v>1</v>
      </c>
      <c r="K1373" s="112">
        <v>1</v>
      </c>
      <c r="L1373" s="112">
        <v>1</v>
      </c>
    </row>
    <row r="1374" spans="1:15" x14ac:dyDescent="0.2">
      <c r="A1374" s="111">
        <v>1405</v>
      </c>
      <c r="B1374" s="421" t="s">
        <v>2381</v>
      </c>
      <c r="C1374" s="421" t="s">
        <v>507</v>
      </c>
      <c r="D1374" s="422"/>
      <c r="E1374" s="111">
        <v>15031</v>
      </c>
      <c r="F1374" s="421" t="s">
        <v>2382</v>
      </c>
      <c r="G1374" s="112">
        <v>1</v>
      </c>
      <c r="I1374" s="112">
        <v>1</v>
      </c>
    </row>
    <row r="1375" spans="1:15" x14ac:dyDescent="0.2">
      <c r="A1375" s="111">
        <v>1406</v>
      </c>
      <c r="B1375" s="421" t="s">
        <v>2383</v>
      </c>
      <c r="C1375" s="421" t="s">
        <v>510</v>
      </c>
      <c r="D1375" s="422"/>
      <c r="F1375" s="421" t="s">
        <v>2384</v>
      </c>
    </row>
    <row r="1376" spans="1:15" x14ac:dyDescent="0.2">
      <c r="A1376" s="111">
        <v>1407</v>
      </c>
      <c r="B1376" s="421" t="s">
        <v>644</v>
      </c>
      <c r="C1376" s="421" t="s">
        <v>510</v>
      </c>
      <c r="D1376" s="422"/>
      <c r="F1376" s="421" t="s">
        <v>2384</v>
      </c>
      <c r="G1376" s="112">
        <v>1</v>
      </c>
      <c r="H1376" s="112">
        <v>1</v>
      </c>
      <c r="I1376" s="112">
        <v>1</v>
      </c>
      <c r="J1376" s="112">
        <v>1</v>
      </c>
      <c r="K1376" s="112">
        <v>1</v>
      </c>
    </row>
    <row r="1377" spans="1:15" x14ac:dyDescent="0.2">
      <c r="A1377" s="111">
        <v>1408</v>
      </c>
      <c r="B1377" s="421" t="s">
        <v>2385</v>
      </c>
      <c r="C1377" s="421" t="s">
        <v>526</v>
      </c>
      <c r="D1377" s="422"/>
      <c r="E1377" s="111">
        <v>14795</v>
      </c>
      <c r="F1377" s="421" t="s">
        <v>2386</v>
      </c>
      <c r="H1377" s="112">
        <v>1</v>
      </c>
      <c r="I1377" s="112">
        <v>1</v>
      </c>
    </row>
    <row r="1378" spans="1:15" x14ac:dyDescent="0.2">
      <c r="A1378" s="111">
        <v>1409</v>
      </c>
      <c r="B1378" s="421" t="s">
        <v>2387</v>
      </c>
      <c r="C1378" s="421" t="s">
        <v>526</v>
      </c>
      <c r="D1378" s="422"/>
      <c r="E1378" s="111">
        <v>14795</v>
      </c>
      <c r="F1378" s="421" t="s">
        <v>2386</v>
      </c>
      <c r="G1378" s="112">
        <v>3</v>
      </c>
      <c r="H1378" s="112">
        <v>1</v>
      </c>
      <c r="I1378" s="112">
        <v>1</v>
      </c>
      <c r="J1378" s="112">
        <v>1</v>
      </c>
      <c r="L1378" s="112">
        <v>1</v>
      </c>
    </row>
    <row r="1379" spans="1:15" x14ac:dyDescent="0.2">
      <c r="A1379" s="111">
        <v>1410</v>
      </c>
      <c r="B1379" s="421" t="s">
        <v>2388</v>
      </c>
      <c r="C1379" s="421" t="s">
        <v>526</v>
      </c>
      <c r="D1379" s="422"/>
      <c r="E1379" s="111">
        <v>14795</v>
      </c>
      <c r="F1379" s="421" t="s">
        <v>2386</v>
      </c>
      <c r="G1379" s="112">
        <v>4</v>
      </c>
      <c r="H1379" s="112">
        <v>3</v>
      </c>
      <c r="I1379" s="112">
        <v>2</v>
      </c>
      <c r="J1379" s="112">
        <v>2</v>
      </c>
      <c r="K1379" s="112">
        <v>1</v>
      </c>
      <c r="L1379" s="112">
        <v>1</v>
      </c>
      <c r="M1379" s="112">
        <v>1</v>
      </c>
    </row>
    <row r="1380" spans="1:15" x14ac:dyDescent="0.2">
      <c r="A1380" s="111">
        <v>1411</v>
      </c>
      <c r="B1380" s="421" t="s">
        <v>2389</v>
      </c>
      <c r="C1380" s="421" t="s">
        <v>501</v>
      </c>
      <c r="D1380" s="422"/>
      <c r="E1380" s="111">
        <v>14796</v>
      </c>
      <c r="F1380" s="421" t="s">
        <v>2390</v>
      </c>
      <c r="G1380" s="112">
        <v>1</v>
      </c>
      <c r="H1380" s="112">
        <v>1</v>
      </c>
      <c r="I1380" s="112">
        <v>1</v>
      </c>
    </row>
    <row r="1381" spans="1:15" x14ac:dyDescent="0.2">
      <c r="A1381" s="111">
        <v>1412</v>
      </c>
      <c r="B1381" s="421" t="s">
        <v>2391</v>
      </c>
      <c r="C1381" s="421" t="s">
        <v>563</v>
      </c>
      <c r="D1381" s="422"/>
      <c r="E1381" s="111">
        <v>14797</v>
      </c>
      <c r="F1381" s="421" t="s">
        <v>2392</v>
      </c>
      <c r="G1381" s="112">
        <v>1</v>
      </c>
      <c r="H1381" s="112">
        <v>1</v>
      </c>
      <c r="I1381" s="112">
        <v>1</v>
      </c>
      <c r="J1381" s="112">
        <v>7</v>
      </c>
      <c r="K1381" s="112">
        <v>8</v>
      </c>
      <c r="L1381" s="112">
        <v>7</v>
      </c>
      <c r="M1381" s="112">
        <v>5</v>
      </c>
      <c r="N1381" s="112">
        <v>3</v>
      </c>
      <c r="O1381" s="112">
        <v>5</v>
      </c>
    </row>
    <row r="1382" spans="1:15" x14ac:dyDescent="0.2">
      <c r="A1382" s="111">
        <v>1413</v>
      </c>
      <c r="B1382" s="421" t="s">
        <v>123</v>
      </c>
      <c r="C1382" s="421" t="s">
        <v>563</v>
      </c>
      <c r="D1382" s="422"/>
      <c r="E1382" s="111">
        <v>14797</v>
      </c>
      <c r="F1382" s="421" t="s">
        <v>2392</v>
      </c>
      <c r="G1382" s="112">
        <v>2</v>
      </c>
      <c r="H1382" s="112">
        <v>2</v>
      </c>
      <c r="I1382" s="112">
        <v>1</v>
      </c>
      <c r="J1382" s="112">
        <v>7</v>
      </c>
      <c r="K1382" s="112">
        <v>9</v>
      </c>
      <c r="L1382" s="112">
        <v>7</v>
      </c>
      <c r="M1382" s="112">
        <v>5</v>
      </c>
      <c r="N1382" s="112">
        <v>3</v>
      </c>
      <c r="O1382" s="112">
        <v>3</v>
      </c>
    </row>
    <row r="1383" spans="1:15" x14ac:dyDescent="0.2">
      <c r="A1383" s="111">
        <v>1414</v>
      </c>
      <c r="B1383" s="421" t="s">
        <v>2393</v>
      </c>
      <c r="C1383" s="421" t="s">
        <v>2394</v>
      </c>
      <c r="D1383" s="422" t="s">
        <v>663</v>
      </c>
      <c r="E1383" s="111">
        <v>14798</v>
      </c>
      <c r="F1383" s="421" t="s">
        <v>2395</v>
      </c>
      <c r="G1383" s="112">
        <v>1</v>
      </c>
      <c r="H1383" s="112">
        <v>1</v>
      </c>
      <c r="I1383" s="112">
        <v>1</v>
      </c>
      <c r="J1383" s="112">
        <v>1</v>
      </c>
      <c r="K1383" s="112">
        <v>1</v>
      </c>
      <c r="L1383" s="112">
        <v>1</v>
      </c>
      <c r="M1383" s="112">
        <v>4</v>
      </c>
      <c r="N1383" s="112">
        <v>2</v>
      </c>
      <c r="O1383" s="112">
        <v>3</v>
      </c>
    </row>
    <row r="1384" spans="1:15" x14ac:dyDescent="0.2">
      <c r="A1384" s="111">
        <v>1415</v>
      </c>
      <c r="B1384" s="421" t="s">
        <v>462</v>
      </c>
      <c r="C1384" s="421" t="s">
        <v>516</v>
      </c>
      <c r="D1384" s="422" t="s">
        <v>663</v>
      </c>
      <c r="E1384" s="111">
        <v>15080</v>
      </c>
      <c r="F1384" s="421" t="s">
        <v>2396</v>
      </c>
      <c r="G1384" s="112">
        <v>1</v>
      </c>
      <c r="H1384" s="112">
        <v>1</v>
      </c>
      <c r="I1384" s="112">
        <v>1</v>
      </c>
    </row>
    <row r="1385" spans="1:15" x14ac:dyDescent="0.2">
      <c r="A1385" s="111">
        <v>1416</v>
      </c>
      <c r="B1385" s="421" t="s">
        <v>2397</v>
      </c>
      <c r="C1385" s="421" t="s">
        <v>516</v>
      </c>
      <c r="D1385" s="422" t="s">
        <v>666</v>
      </c>
      <c r="E1385" s="111">
        <v>14788</v>
      </c>
      <c r="F1385" s="421" t="s">
        <v>2398</v>
      </c>
      <c r="G1385" s="112">
        <v>1</v>
      </c>
      <c r="I1385" s="112">
        <v>1</v>
      </c>
    </row>
    <row r="1386" spans="1:15" x14ac:dyDescent="0.2">
      <c r="A1386" s="111">
        <v>1417</v>
      </c>
      <c r="B1386" s="421" t="s">
        <v>1905</v>
      </c>
      <c r="C1386" s="421" t="s">
        <v>1817</v>
      </c>
      <c r="D1386" s="422" t="s">
        <v>666</v>
      </c>
      <c r="F1386" s="421" t="s">
        <v>2399</v>
      </c>
      <c r="G1386" s="112">
        <v>2</v>
      </c>
      <c r="H1386" s="112">
        <v>1</v>
      </c>
      <c r="I1386" s="112">
        <v>1</v>
      </c>
    </row>
    <row r="1387" spans="1:15" x14ac:dyDescent="0.2">
      <c r="A1387" s="111">
        <v>1418</v>
      </c>
      <c r="B1387" s="421" t="s">
        <v>1483</v>
      </c>
      <c r="C1387" s="421" t="s">
        <v>501</v>
      </c>
      <c r="D1387" s="422"/>
      <c r="E1387" s="111">
        <v>15189</v>
      </c>
      <c r="F1387" s="421" t="s">
        <v>2400</v>
      </c>
      <c r="G1387" s="112">
        <v>2</v>
      </c>
      <c r="H1387" s="112">
        <v>3</v>
      </c>
      <c r="I1387" s="112">
        <v>4</v>
      </c>
      <c r="J1387" s="112">
        <v>1</v>
      </c>
      <c r="L1387" s="112">
        <v>1</v>
      </c>
    </row>
    <row r="1388" spans="1:15" x14ac:dyDescent="0.2">
      <c r="A1388" s="111">
        <v>1419</v>
      </c>
      <c r="B1388" s="421" t="s">
        <v>2401</v>
      </c>
      <c r="C1388" s="421" t="s">
        <v>513</v>
      </c>
      <c r="D1388" s="422"/>
      <c r="E1388" s="111">
        <v>16567</v>
      </c>
      <c r="F1388" s="421" t="s">
        <v>2402</v>
      </c>
      <c r="G1388" s="112">
        <v>2</v>
      </c>
    </row>
    <row r="1389" spans="1:15" x14ac:dyDescent="0.2">
      <c r="A1389" s="111">
        <v>1420</v>
      </c>
      <c r="B1389" s="421" t="s">
        <v>2403</v>
      </c>
      <c r="C1389" s="421" t="s">
        <v>536</v>
      </c>
      <c r="D1389" s="422"/>
      <c r="F1389" s="421" t="s">
        <v>2404</v>
      </c>
      <c r="G1389" s="112">
        <v>1</v>
      </c>
      <c r="H1389" s="112">
        <v>1</v>
      </c>
      <c r="I1389" s="112">
        <v>1</v>
      </c>
      <c r="J1389" s="112">
        <v>2</v>
      </c>
      <c r="K1389" s="112">
        <v>2</v>
      </c>
      <c r="L1389" s="112">
        <v>1</v>
      </c>
    </row>
    <row r="1390" spans="1:15" x14ac:dyDescent="0.2">
      <c r="A1390" s="111">
        <v>1421</v>
      </c>
      <c r="B1390" s="421" t="s">
        <v>2405</v>
      </c>
      <c r="C1390" s="421" t="s">
        <v>510</v>
      </c>
      <c r="D1390" s="422" t="s">
        <v>666</v>
      </c>
      <c r="E1390" s="111">
        <v>14802</v>
      </c>
      <c r="F1390" s="421" t="s">
        <v>2406</v>
      </c>
      <c r="G1390" s="112">
        <v>1</v>
      </c>
      <c r="H1390" s="112">
        <v>1</v>
      </c>
      <c r="I1390" s="112">
        <v>1</v>
      </c>
    </row>
    <row r="1391" spans="1:15" x14ac:dyDescent="0.2">
      <c r="A1391" s="111">
        <v>1422</v>
      </c>
      <c r="B1391" s="421" t="s">
        <v>1600</v>
      </c>
      <c r="C1391" s="421" t="s">
        <v>1201</v>
      </c>
      <c r="D1391" s="422" t="s">
        <v>663</v>
      </c>
      <c r="F1391" s="421" t="s">
        <v>2407</v>
      </c>
      <c r="G1391" s="112">
        <v>1</v>
      </c>
      <c r="H1391" s="112">
        <v>1</v>
      </c>
      <c r="I1391" s="112">
        <v>1</v>
      </c>
      <c r="J1391" s="112">
        <v>2</v>
      </c>
      <c r="K1391" s="112">
        <v>1</v>
      </c>
      <c r="L1391" s="112">
        <v>1</v>
      </c>
      <c r="M1391" s="112">
        <v>1</v>
      </c>
      <c r="N1391" s="112">
        <v>1</v>
      </c>
      <c r="O1391" s="112">
        <v>1</v>
      </c>
    </row>
    <row r="1392" spans="1:15" x14ac:dyDescent="0.2">
      <c r="A1392" s="111">
        <v>1423</v>
      </c>
      <c r="B1392" s="421" t="s">
        <v>2408</v>
      </c>
      <c r="C1392" s="421" t="s">
        <v>551</v>
      </c>
      <c r="D1392" s="422" t="s">
        <v>666</v>
      </c>
      <c r="E1392" s="111">
        <v>14106</v>
      </c>
      <c r="F1392" s="421" t="s">
        <v>686</v>
      </c>
      <c r="G1392" s="112">
        <v>2</v>
      </c>
      <c r="H1392" s="112">
        <v>1</v>
      </c>
      <c r="I1392" s="112">
        <v>1</v>
      </c>
      <c r="J1392" s="112">
        <v>5</v>
      </c>
      <c r="K1392" s="112">
        <v>7</v>
      </c>
      <c r="L1392" s="112">
        <v>7</v>
      </c>
      <c r="M1392" s="112">
        <v>5</v>
      </c>
      <c r="N1392" s="112">
        <v>3</v>
      </c>
      <c r="O1392" s="112">
        <v>3</v>
      </c>
    </row>
    <row r="1393" spans="1:15" x14ac:dyDescent="0.2">
      <c r="A1393" s="111">
        <v>1424</v>
      </c>
      <c r="B1393" s="421" t="s">
        <v>341</v>
      </c>
      <c r="C1393" s="421" t="s">
        <v>503</v>
      </c>
      <c r="D1393" s="422" t="s">
        <v>666</v>
      </c>
      <c r="E1393" s="111">
        <v>14782</v>
      </c>
      <c r="F1393" s="421" t="s">
        <v>2839</v>
      </c>
      <c r="G1393" s="112">
        <v>2</v>
      </c>
      <c r="H1393" s="112">
        <v>1</v>
      </c>
      <c r="I1393" s="112">
        <v>1</v>
      </c>
    </row>
    <row r="1394" spans="1:15" x14ac:dyDescent="0.2">
      <c r="A1394" s="111">
        <v>1425</v>
      </c>
      <c r="B1394" s="421" t="s">
        <v>2409</v>
      </c>
      <c r="C1394" s="421" t="s">
        <v>501</v>
      </c>
      <c r="D1394" s="422" t="s">
        <v>663</v>
      </c>
      <c r="E1394" s="111">
        <v>14782</v>
      </c>
      <c r="F1394" s="421" t="s">
        <v>2839</v>
      </c>
      <c r="G1394" s="112">
        <v>1</v>
      </c>
      <c r="H1394" s="112">
        <v>1</v>
      </c>
      <c r="I1394" s="112">
        <v>1</v>
      </c>
    </row>
    <row r="1395" spans="1:15" x14ac:dyDescent="0.2">
      <c r="A1395" s="111">
        <v>1426</v>
      </c>
      <c r="B1395" s="421" t="s">
        <v>2410</v>
      </c>
      <c r="C1395" s="421" t="s">
        <v>503</v>
      </c>
      <c r="D1395" s="422" t="s">
        <v>663</v>
      </c>
      <c r="E1395" s="111">
        <v>14910</v>
      </c>
      <c r="F1395" s="421" t="s">
        <v>2411</v>
      </c>
      <c r="G1395" s="112">
        <v>1</v>
      </c>
      <c r="H1395" s="112">
        <v>1</v>
      </c>
      <c r="I1395" s="112">
        <v>1</v>
      </c>
      <c r="J1395" s="112">
        <v>5</v>
      </c>
      <c r="K1395" s="112">
        <v>3</v>
      </c>
      <c r="L1395" s="112">
        <v>5</v>
      </c>
    </row>
    <row r="1396" spans="1:15" x14ac:dyDescent="0.2">
      <c r="A1396" s="111">
        <v>1427</v>
      </c>
      <c r="B1396" s="421" t="s">
        <v>1092</v>
      </c>
      <c r="C1396" s="421" t="s">
        <v>2412</v>
      </c>
      <c r="D1396" s="422" t="s">
        <v>663</v>
      </c>
      <c r="E1396" s="111">
        <v>14829</v>
      </c>
      <c r="F1396" s="421" t="s">
        <v>8395</v>
      </c>
      <c r="G1396" s="112">
        <v>3</v>
      </c>
      <c r="H1396" s="112">
        <v>3</v>
      </c>
      <c r="I1396" s="112">
        <v>2</v>
      </c>
      <c r="J1396" s="112">
        <v>5</v>
      </c>
      <c r="K1396" s="112">
        <v>4</v>
      </c>
      <c r="L1396" s="112">
        <v>1</v>
      </c>
    </row>
    <row r="1397" spans="1:15" x14ac:dyDescent="0.2">
      <c r="A1397" s="111">
        <v>1428</v>
      </c>
      <c r="B1397" s="421" t="s">
        <v>443</v>
      </c>
      <c r="C1397" s="421" t="s">
        <v>2470</v>
      </c>
      <c r="D1397" s="422" t="s">
        <v>663</v>
      </c>
      <c r="E1397" s="111">
        <v>14985</v>
      </c>
      <c r="F1397" s="421" t="s">
        <v>2413</v>
      </c>
      <c r="G1397" s="112">
        <v>1</v>
      </c>
      <c r="H1397" s="112">
        <v>1</v>
      </c>
      <c r="I1397" s="112">
        <v>1</v>
      </c>
      <c r="J1397" s="112">
        <v>1</v>
      </c>
      <c r="K1397" s="112">
        <v>1</v>
      </c>
      <c r="L1397" s="112">
        <v>1</v>
      </c>
      <c r="M1397" s="112">
        <v>2</v>
      </c>
      <c r="O1397" s="112">
        <v>1</v>
      </c>
    </row>
    <row r="1398" spans="1:15" x14ac:dyDescent="0.2">
      <c r="A1398" s="111">
        <v>1429</v>
      </c>
      <c r="B1398" s="421" t="s">
        <v>2414</v>
      </c>
      <c r="C1398" s="421" t="s">
        <v>566</v>
      </c>
      <c r="D1398" s="422"/>
      <c r="F1398" s="421" t="s">
        <v>2415</v>
      </c>
    </row>
    <row r="1399" spans="1:15" x14ac:dyDescent="0.2">
      <c r="A1399" s="111">
        <v>1430</v>
      </c>
      <c r="B1399" s="421" t="s">
        <v>2416</v>
      </c>
      <c r="C1399" s="421" t="s">
        <v>530</v>
      </c>
      <c r="D1399" s="422"/>
      <c r="F1399" s="421" t="s">
        <v>2417</v>
      </c>
    </row>
    <row r="1400" spans="1:15" x14ac:dyDescent="0.2">
      <c r="A1400" s="111">
        <v>1431</v>
      </c>
      <c r="B1400" s="421" t="s">
        <v>80</v>
      </c>
      <c r="C1400" s="421" t="s">
        <v>1447</v>
      </c>
      <c r="D1400" s="422" t="s">
        <v>663</v>
      </c>
      <c r="E1400" s="111">
        <v>14343</v>
      </c>
      <c r="F1400" s="421" t="s">
        <v>1101</v>
      </c>
      <c r="G1400" s="112">
        <v>1</v>
      </c>
      <c r="H1400" s="112">
        <v>1</v>
      </c>
      <c r="I1400" s="112">
        <v>1</v>
      </c>
    </row>
    <row r="1401" spans="1:15" x14ac:dyDescent="0.2">
      <c r="A1401" s="111">
        <v>1432</v>
      </c>
      <c r="B1401" s="421" t="s">
        <v>38</v>
      </c>
      <c r="C1401" s="421" t="s">
        <v>501</v>
      </c>
      <c r="D1401" s="422" t="s">
        <v>663</v>
      </c>
      <c r="E1401" s="111">
        <v>14803</v>
      </c>
      <c r="F1401" s="421" t="s">
        <v>2418</v>
      </c>
      <c r="I1401" s="112">
        <v>1</v>
      </c>
    </row>
    <row r="1402" spans="1:15" x14ac:dyDescent="0.2">
      <c r="A1402" s="111">
        <v>1433</v>
      </c>
      <c r="B1402" s="421" t="s">
        <v>1074</v>
      </c>
      <c r="C1402" s="421" t="s">
        <v>550</v>
      </c>
      <c r="D1402" s="422" t="s">
        <v>666</v>
      </c>
      <c r="E1402" s="111">
        <v>14584</v>
      </c>
      <c r="F1402" s="421" t="s">
        <v>1772</v>
      </c>
      <c r="G1402" s="112">
        <v>2</v>
      </c>
      <c r="H1402" s="112">
        <v>1</v>
      </c>
      <c r="I1402" s="112">
        <v>2</v>
      </c>
      <c r="J1402" s="112">
        <v>7</v>
      </c>
      <c r="K1402" s="112">
        <v>8</v>
      </c>
      <c r="L1402" s="112">
        <v>8</v>
      </c>
      <c r="M1402" s="112">
        <v>4</v>
      </c>
      <c r="N1402" s="112">
        <v>3</v>
      </c>
      <c r="O1402" s="112">
        <v>3</v>
      </c>
    </row>
    <row r="1403" spans="1:15" x14ac:dyDescent="0.2">
      <c r="A1403" s="111">
        <v>1434</v>
      </c>
      <c r="B1403" s="421" t="s">
        <v>1220</v>
      </c>
      <c r="C1403" s="421" t="s">
        <v>522</v>
      </c>
      <c r="D1403" s="422" t="s">
        <v>666</v>
      </c>
      <c r="F1403" s="421" t="s">
        <v>2419</v>
      </c>
      <c r="G1403" s="112">
        <v>1</v>
      </c>
      <c r="I1403" s="112">
        <v>1</v>
      </c>
    </row>
    <row r="1404" spans="1:15" x14ac:dyDescent="0.2">
      <c r="A1404" s="111">
        <v>1435</v>
      </c>
      <c r="B1404" s="421" t="s">
        <v>2420</v>
      </c>
      <c r="C1404" s="421" t="s">
        <v>505</v>
      </c>
      <c r="D1404" s="422" t="s">
        <v>666</v>
      </c>
      <c r="E1404" s="111">
        <v>15782</v>
      </c>
      <c r="F1404" s="421" t="s">
        <v>2421</v>
      </c>
      <c r="G1404" s="112">
        <v>1</v>
      </c>
      <c r="H1404" s="112">
        <v>1</v>
      </c>
      <c r="I1404" s="112">
        <v>1</v>
      </c>
      <c r="J1404" s="112">
        <v>1</v>
      </c>
      <c r="K1404" s="112">
        <v>1</v>
      </c>
      <c r="L1404" s="112">
        <v>1</v>
      </c>
      <c r="O1404" s="112">
        <v>1</v>
      </c>
    </row>
    <row r="1405" spans="1:15" x14ac:dyDescent="0.2">
      <c r="A1405" s="111">
        <v>1436</v>
      </c>
      <c r="B1405" s="421" t="s">
        <v>193</v>
      </c>
      <c r="C1405" s="421" t="s">
        <v>550</v>
      </c>
      <c r="D1405" s="422" t="s">
        <v>663</v>
      </c>
      <c r="E1405" s="111">
        <v>16217</v>
      </c>
      <c r="F1405" s="421" t="s">
        <v>2422</v>
      </c>
    </row>
    <row r="1406" spans="1:15" x14ac:dyDescent="0.2">
      <c r="A1406" s="111">
        <v>1437</v>
      </c>
      <c r="B1406" s="421" t="s">
        <v>2423</v>
      </c>
      <c r="C1406" s="421" t="s">
        <v>1908</v>
      </c>
      <c r="D1406" s="422" t="s">
        <v>663</v>
      </c>
      <c r="E1406" s="111">
        <v>14758</v>
      </c>
      <c r="F1406" s="421" t="s">
        <v>2248</v>
      </c>
      <c r="G1406" s="112">
        <v>1</v>
      </c>
      <c r="H1406" s="112">
        <v>2</v>
      </c>
      <c r="I1406" s="112">
        <v>2</v>
      </c>
      <c r="J1406" s="112">
        <v>7</v>
      </c>
      <c r="K1406" s="112">
        <v>7</v>
      </c>
      <c r="L1406" s="112">
        <v>7</v>
      </c>
      <c r="M1406" s="112">
        <v>3</v>
      </c>
      <c r="N1406" s="112">
        <v>3</v>
      </c>
      <c r="O1406" s="112">
        <v>3</v>
      </c>
    </row>
    <row r="1407" spans="1:15" x14ac:dyDescent="0.2">
      <c r="A1407" s="111">
        <v>1438</v>
      </c>
      <c r="B1407" s="421" t="s">
        <v>2424</v>
      </c>
      <c r="C1407" s="421" t="s">
        <v>592</v>
      </c>
      <c r="D1407" s="422" t="s">
        <v>663</v>
      </c>
      <c r="E1407" s="111">
        <v>14804</v>
      </c>
      <c r="F1407" s="421" t="s">
        <v>2425</v>
      </c>
    </row>
    <row r="1408" spans="1:15" x14ac:dyDescent="0.2">
      <c r="A1408" s="111">
        <v>1439</v>
      </c>
      <c r="B1408" s="421" t="s">
        <v>2426</v>
      </c>
      <c r="C1408" s="421" t="s">
        <v>550</v>
      </c>
      <c r="D1408" s="422" t="s">
        <v>663</v>
      </c>
      <c r="E1408" s="111">
        <v>16217</v>
      </c>
      <c r="F1408" s="421" t="s">
        <v>2422</v>
      </c>
      <c r="G1408" s="112">
        <v>1</v>
      </c>
      <c r="H1408" s="112">
        <v>1</v>
      </c>
      <c r="I1408" s="112">
        <v>1</v>
      </c>
      <c r="J1408" s="112">
        <v>3</v>
      </c>
      <c r="K1408" s="112">
        <v>1</v>
      </c>
      <c r="L1408" s="112">
        <v>2</v>
      </c>
    </row>
    <row r="1409" spans="1:15" x14ac:dyDescent="0.2">
      <c r="A1409" s="111">
        <v>1440</v>
      </c>
      <c r="B1409" s="421" t="s">
        <v>2427</v>
      </c>
      <c r="C1409" s="421" t="s">
        <v>501</v>
      </c>
      <c r="D1409" s="422" t="s">
        <v>663</v>
      </c>
      <c r="E1409" s="111">
        <v>14805</v>
      </c>
      <c r="F1409" s="421" t="s">
        <v>2428</v>
      </c>
      <c r="G1409" s="112">
        <v>1</v>
      </c>
      <c r="H1409" s="112">
        <v>1</v>
      </c>
      <c r="I1409" s="112">
        <v>1</v>
      </c>
      <c r="J1409" s="112">
        <v>9</v>
      </c>
      <c r="K1409" s="112">
        <v>8</v>
      </c>
      <c r="L1409" s="112">
        <v>9</v>
      </c>
      <c r="M1409" s="112">
        <v>5</v>
      </c>
      <c r="N1409" s="112">
        <v>3</v>
      </c>
      <c r="O1409" s="112">
        <v>3</v>
      </c>
    </row>
    <row r="1410" spans="1:15" x14ac:dyDescent="0.2">
      <c r="A1410" s="111">
        <v>1441</v>
      </c>
      <c r="B1410" s="421" t="s">
        <v>2429</v>
      </c>
      <c r="C1410" s="421" t="s">
        <v>514</v>
      </c>
      <c r="D1410" s="422" t="s">
        <v>663</v>
      </c>
      <c r="E1410" s="111">
        <v>14805</v>
      </c>
      <c r="F1410" s="421" t="s">
        <v>2428</v>
      </c>
      <c r="G1410" s="112">
        <v>1</v>
      </c>
      <c r="H1410" s="112">
        <v>1</v>
      </c>
      <c r="I1410" s="112">
        <v>1</v>
      </c>
      <c r="J1410" s="112">
        <v>3</v>
      </c>
      <c r="K1410" s="112">
        <v>1</v>
      </c>
    </row>
    <row r="1411" spans="1:15" x14ac:dyDescent="0.2">
      <c r="A1411" s="111">
        <v>1442</v>
      </c>
      <c r="B1411" s="421" t="s">
        <v>2354</v>
      </c>
      <c r="C1411" s="421" t="s">
        <v>530</v>
      </c>
      <c r="D1411" s="422" t="s">
        <v>666</v>
      </c>
      <c r="F1411" s="421" t="s">
        <v>2430</v>
      </c>
      <c r="G1411" s="112">
        <v>1</v>
      </c>
      <c r="H1411" s="112">
        <v>1</v>
      </c>
      <c r="I1411" s="112">
        <v>1</v>
      </c>
    </row>
    <row r="1412" spans="1:15" x14ac:dyDescent="0.2">
      <c r="A1412" s="111">
        <v>1443</v>
      </c>
      <c r="B1412" s="421" t="s">
        <v>2431</v>
      </c>
      <c r="C1412" s="421" t="s">
        <v>503</v>
      </c>
      <c r="D1412" s="422" t="s">
        <v>666</v>
      </c>
      <c r="E1412" s="111">
        <v>14793</v>
      </c>
      <c r="F1412" s="421" t="s">
        <v>2432</v>
      </c>
    </row>
    <row r="1413" spans="1:15" x14ac:dyDescent="0.2">
      <c r="A1413" s="111">
        <v>1444</v>
      </c>
      <c r="B1413" s="421" t="s">
        <v>2433</v>
      </c>
      <c r="C1413" s="421" t="s">
        <v>542</v>
      </c>
      <c r="D1413" s="422" t="s">
        <v>663</v>
      </c>
      <c r="E1413" s="111">
        <v>14817</v>
      </c>
      <c r="F1413" s="421" t="s">
        <v>780</v>
      </c>
      <c r="G1413" s="112">
        <v>1</v>
      </c>
      <c r="H1413" s="112">
        <v>1</v>
      </c>
      <c r="I1413" s="112">
        <v>1</v>
      </c>
      <c r="J1413" s="112">
        <v>2</v>
      </c>
      <c r="K1413" s="112">
        <v>1</v>
      </c>
      <c r="L1413" s="112">
        <v>1</v>
      </c>
    </row>
    <row r="1414" spans="1:15" x14ac:dyDescent="0.2">
      <c r="A1414" s="111">
        <v>1445</v>
      </c>
      <c r="B1414" s="421" t="s">
        <v>2434</v>
      </c>
      <c r="C1414" s="421" t="s">
        <v>17458</v>
      </c>
      <c r="D1414" s="422" t="s">
        <v>663</v>
      </c>
      <c r="E1414" s="111">
        <v>15998</v>
      </c>
      <c r="F1414" s="421" t="s">
        <v>2435</v>
      </c>
      <c r="G1414" s="112">
        <v>1</v>
      </c>
      <c r="H1414" s="112">
        <v>1</v>
      </c>
      <c r="I1414" s="112">
        <v>1</v>
      </c>
    </row>
    <row r="1415" spans="1:15" x14ac:dyDescent="0.2">
      <c r="A1415" s="111">
        <v>1446</v>
      </c>
      <c r="B1415" s="421" t="s">
        <v>2436</v>
      </c>
      <c r="C1415" s="421" t="s">
        <v>17458</v>
      </c>
      <c r="D1415" s="422" t="s">
        <v>663</v>
      </c>
      <c r="E1415" s="111">
        <v>15998</v>
      </c>
      <c r="F1415" s="421" t="s">
        <v>2435</v>
      </c>
      <c r="G1415" s="112">
        <v>1</v>
      </c>
      <c r="H1415" s="112">
        <v>1</v>
      </c>
      <c r="I1415" s="112">
        <v>1</v>
      </c>
    </row>
    <row r="1416" spans="1:15" x14ac:dyDescent="0.2">
      <c r="A1416" s="111">
        <v>1447</v>
      </c>
      <c r="B1416" s="421" t="s">
        <v>1428</v>
      </c>
      <c r="C1416" s="421" t="s">
        <v>516</v>
      </c>
      <c r="D1416" s="422" t="s">
        <v>663</v>
      </c>
      <c r="E1416" s="111">
        <v>14536</v>
      </c>
      <c r="F1416" s="421" t="s">
        <v>1640</v>
      </c>
    </row>
    <row r="1417" spans="1:15" x14ac:dyDescent="0.2">
      <c r="A1417" s="111">
        <v>1448</v>
      </c>
      <c r="B1417" s="421" t="s">
        <v>46</v>
      </c>
      <c r="C1417" s="421" t="s">
        <v>516</v>
      </c>
      <c r="D1417" s="422" t="s">
        <v>663</v>
      </c>
      <c r="E1417" s="111">
        <v>14536</v>
      </c>
      <c r="F1417" s="421" t="s">
        <v>1640</v>
      </c>
    </row>
    <row r="1418" spans="1:15" x14ac:dyDescent="0.2">
      <c r="A1418" s="111">
        <v>1449</v>
      </c>
      <c r="B1418" s="421" t="s">
        <v>2437</v>
      </c>
      <c r="C1418" s="421" t="s">
        <v>1124</v>
      </c>
      <c r="D1418" s="422" t="s">
        <v>663</v>
      </c>
      <c r="E1418" s="111">
        <v>14355</v>
      </c>
      <c r="F1418" s="421" t="s">
        <v>723</v>
      </c>
      <c r="G1418" s="112">
        <v>1</v>
      </c>
    </row>
    <row r="1419" spans="1:15" x14ac:dyDescent="0.2">
      <c r="A1419" s="111">
        <v>1450</v>
      </c>
      <c r="B1419" s="421" t="s">
        <v>2438</v>
      </c>
      <c r="C1419" s="421" t="s">
        <v>551</v>
      </c>
      <c r="D1419" s="422" t="s">
        <v>666</v>
      </c>
      <c r="E1419" s="111">
        <v>14809</v>
      </c>
      <c r="F1419" s="421" t="s">
        <v>2439</v>
      </c>
      <c r="G1419" s="112">
        <v>1</v>
      </c>
      <c r="H1419" s="112">
        <v>1</v>
      </c>
      <c r="I1419" s="112">
        <v>1</v>
      </c>
      <c r="J1419" s="112">
        <v>2</v>
      </c>
      <c r="L1419" s="112">
        <v>1</v>
      </c>
      <c r="M1419" s="112">
        <v>1</v>
      </c>
      <c r="O1419" s="112">
        <v>1</v>
      </c>
    </row>
    <row r="1420" spans="1:15" x14ac:dyDescent="0.2">
      <c r="A1420" s="111">
        <v>1451</v>
      </c>
      <c r="B1420" s="421" t="s">
        <v>1630</v>
      </c>
      <c r="C1420" s="421" t="s">
        <v>525</v>
      </c>
      <c r="D1420" s="422" t="s">
        <v>663</v>
      </c>
      <c r="E1420" s="111">
        <v>14322</v>
      </c>
      <c r="F1420" s="421" t="s">
        <v>1080</v>
      </c>
      <c r="G1420" s="112">
        <v>2</v>
      </c>
      <c r="H1420" s="112">
        <v>1</v>
      </c>
      <c r="I1420" s="112">
        <v>2</v>
      </c>
      <c r="J1420" s="112">
        <v>5</v>
      </c>
      <c r="K1420" s="112">
        <v>3</v>
      </c>
      <c r="L1420" s="112">
        <v>4</v>
      </c>
      <c r="M1420" s="112">
        <v>2</v>
      </c>
      <c r="N1420" s="112">
        <v>3</v>
      </c>
      <c r="O1420" s="112">
        <v>1</v>
      </c>
    </row>
    <row r="1421" spans="1:15" x14ac:dyDescent="0.2">
      <c r="A1421" s="111">
        <v>1452</v>
      </c>
      <c r="B1421" s="421" t="s">
        <v>2440</v>
      </c>
      <c r="C1421" s="421" t="s">
        <v>516</v>
      </c>
      <c r="D1421" s="422" t="s">
        <v>663</v>
      </c>
      <c r="E1421" s="111">
        <v>14766</v>
      </c>
      <c r="F1421" s="421" t="s">
        <v>2441</v>
      </c>
      <c r="G1421" s="112">
        <v>1</v>
      </c>
    </row>
    <row r="1422" spans="1:15" x14ac:dyDescent="0.2">
      <c r="A1422" s="111">
        <v>1453</v>
      </c>
      <c r="B1422" s="421" t="s">
        <v>48</v>
      </c>
      <c r="C1422" s="421" t="s">
        <v>501</v>
      </c>
      <c r="D1422" s="422" t="s">
        <v>663</v>
      </c>
      <c r="F1422" s="421" t="s">
        <v>2442</v>
      </c>
    </row>
    <row r="1423" spans="1:15" x14ac:dyDescent="0.2">
      <c r="A1423" s="111">
        <v>1454</v>
      </c>
      <c r="B1423" s="421" t="s">
        <v>2443</v>
      </c>
      <c r="C1423" s="421" t="s">
        <v>572</v>
      </c>
      <c r="D1423" s="422" t="s">
        <v>666</v>
      </c>
      <c r="E1423" s="111">
        <v>14669</v>
      </c>
      <c r="F1423" s="421" t="s">
        <v>1982</v>
      </c>
      <c r="G1423" s="112">
        <v>2</v>
      </c>
      <c r="H1423" s="112">
        <v>1</v>
      </c>
      <c r="I1423" s="112">
        <v>1</v>
      </c>
      <c r="J1423" s="112">
        <v>4</v>
      </c>
      <c r="K1423" s="112">
        <v>3</v>
      </c>
      <c r="L1423" s="112">
        <v>3</v>
      </c>
      <c r="M1423" s="112">
        <v>2</v>
      </c>
      <c r="N1423" s="112">
        <v>2</v>
      </c>
      <c r="O1423" s="112">
        <v>1</v>
      </c>
    </row>
    <row r="1424" spans="1:15" x14ac:dyDescent="0.2">
      <c r="A1424" s="111">
        <v>1455</v>
      </c>
      <c r="B1424" s="421" t="s">
        <v>2444</v>
      </c>
      <c r="C1424" s="421" t="s">
        <v>559</v>
      </c>
      <c r="D1424" s="422" t="s">
        <v>663</v>
      </c>
      <c r="F1424" s="421" t="s">
        <v>2445</v>
      </c>
    </row>
    <row r="1425" spans="1:15" x14ac:dyDescent="0.2">
      <c r="A1425" s="111">
        <v>1456</v>
      </c>
      <c r="B1425" s="421" t="s">
        <v>2446</v>
      </c>
      <c r="C1425" s="421" t="s">
        <v>572</v>
      </c>
      <c r="D1425" s="422"/>
      <c r="E1425" s="111">
        <v>15236</v>
      </c>
      <c r="F1425" s="421" t="s">
        <v>2447</v>
      </c>
      <c r="G1425" s="112">
        <v>1</v>
      </c>
      <c r="H1425" s="112">
        <v>1</v>
      </c>
      <c r="I1425" s="112">
        <v>1</v>
      </c>
      <c r="J1425" s="112">
        <v>6</v>
      </c>
      <c r="K1425" s="112">
        <v>5</v>
      </c>
      <c r="L1425" s="112">
        <v>6</v>
      </c>
    </row>
    <row r="1426" spans="1:15" x14ac:dyDescent="0.2">
      <c r="A1426" s="111">
        <v>1457</v>
      </c>
      <c r="B1426" s="421" t="s">
        <v>43</v>
      </c>
      <c r="C1426" s="421" t="s">
        <v>502</v>
      </c>
      <c r="D1426" s="422"/>
      <c r="E1426" s="111">
        <v>14761</v>
      </c>
      <c r="F1426" s="421" t="s">
        <v>2249</v>
      </c>
    </row>
    <row r="1427" spans="1:15" x14ac:dyDescent="0.2">
      <c r="A1427" s="111">
        <v>1458</v>
      </c>
      <c r="B1427" s="421" t="s">
        <v>2448</v>
      </c>
      <c r="C1427" s="421" t="s">
        <v>2394</v>
      </c>
      <c r="D1427" s="422"/>
      <c r="F1427" s="421" t="s">
        <v>2449</v>
      </c>
    </row>
    <row r="1428" spans="1:15" x14ac:dyDescent="0.2">
      <c r="A1428" s="111">
        <v>1459</v>
      </c>
      <c r="B1428" s="421" t="s">
        <v>237</v>
      </c>
      <c r="C1428" s="421" t="s">
        <v>567</v>
      </c>
      <c r="D1428" s="422" t="s">
        <v>663</v>
      </c>
      <c r="E1428" s="111">
        <v>14819</v>
      </c>
      <c r="F1428" s="421" t="s">
        <v>2450</v>
      </c>
      <c r="G1428" s="112">
        <v>1</v>
      </c>
      <c r="H1428" s="112">
        <v>1</v>
      </c>
      <c r="I1428" s="112">
        <v>1</v>
      </c>
      <c r="J1428" s="112">
        <v>1</v>
      </c>
      <c r="K1428" s="112">
        <v>1</v>
      </c>
      <c r="L1428" s="112">
        <v>1</v>
      </c>
      <c r="M1428" s="112">
        <v>2</v>
      </c>
      <c r="O1428" s="112">
        <v>1</v>
      </c>
    </row>
    <row r="1429" spans="1:15" x14ac:dyDescent="0.2">
      <c r="A1429" s="111">
        <v>1460</v>
      </c>
      <c r="B1429" s="421" t="s">
        <v>2451</v>
      </c>
      <c r="C1429" s="421" t="s">
        <v>577</v>
      </c>
      <c r="D1429" s="422" t="s">
        <v>663</v>
      </c>
      <c r="E1429" s="111">
        <v>14813</v>
      </c>
      <c r="F1429" s="421" t="s">
        <v>2452</v>
      </c>
      <c r="G1429" s="112">
        <v>1</v>
      </c>
      <c r="H1429" s="112">
        <v>1</v>
      </c>
      <c r="I1429" s="112">
        <v>1</v>
      </c>
      <c r="J1429" s="112">
        <v>4</v>
      </c>
      <c r="K1429" s="112">
        <v>1</v>
      </c>
    </row>
    <row r="1430" spans="1:15" x14ac:dyDescent="0.2">
      <c r="A1430" s="111">
        <v>1461</v>
      </c>
      <c r="B1430" s="421" t="s">
        <v>2453</v>
      </c>
      <c r="C1430" s="421" t="s">
        <v>536</v>
      </c>
      <c r="D1430" s="422" t="s">
        <v>666</v>
      </c>
      <c r="E1430" s="111">
        <v>14851</v>
      </c>
      <c r="F1430" s="421" t="s">
        <v>2454</v>
      </c>
      <c r="G1430" s="112">
        <v>1</v>
      </c>
      <c r="H1430" s="112">
        <v>1</v>
      </c>
      <c r="I1430" s="112">
        <v>1</v>
      </c>
      <c r="J1430" s="112">
        <v>1</v>
      </c>
    </row>
    <row r="1431" spans="1:15" x14ac:dyDescent="0.2">
      <c r="A1431" s="111">
        <v>1462</v>
      </c>
      <c r="B1431" s="421" t="s">
        <v>2456</v>
      </c>
      <c r="C1431" s="421" t="s">
        <v>510</v>
      </c>
      <c r="D1431" s="422"/>
      <c r="E1431" s="111">
        <v>14828</v>
      </c>
      <c r="F1431" s="421" t="s">
        <v>2457</v>
      </c>
      <c r="G1431" s="112">
        <v>2</v>
      </c>
      <c r="H1431" s="112">
        <v>3</v>
      </c>
      <c r="I1431" s="112">
        <v>3</v>
      </c>
      <c r="J1431" s="112">
        <v>8</v>
      </c>
      <c r="K1431" s="112">
        <v>7</v>
      </c>
      <c r="L1431" s="112">
        <v>9</v>
      </c>
      <c r="M1431" s="112">
        <v>1</v>
      </c>
      <c r="N1431" s="112">
        <v>1</v>
      </c>
      <c r="O1431" s="112">
        <v>1</v>
      </c>
    </row>
    <row r="1432" spans="1:15" x14ac:dyDescent="0.2">
      <c r="A1432" s="111">
        <v>1463</v>
      </c>
      <c r="B1432" s="421" t="s">
        <v>2458</v>
      </c>
      <c r="C1432" s="421" t="s">
        <v>2335</v>
      </c>
      <c r="D1432" s="422"/>
      <c r="E1432" s="111">
        <v>15889</v>
      </c>
      <c r="F1432" s="421" t="s">
        <v>2459</v>
      </c>
      <c r="G1432" s="112">
        <v>1</v>
      </c>
      <c r="H1432" s="112">
        <v>1</v>
      </c>
      <c r="I1432" s="112">
        <v>1</v>
      </c>
      <c r="J1432" s="112">
        <v>1</v>
      </c>
      <c r="L1432" s="112">
        <v>1</v>
      </c>
    </row>
    <row r="1433" spans="1:15" x14ac:dyDescent="0.2">
      <c r="A1433" s="111">
        <v>1464</v>
      </c>
      <c r="B1433" s="421" t="s">
        <v>2460</v>
      </c>
      <c r="C1433" s="421" t="s">
        <v>501</v>
      </c>
      <c r="D1433" s="422"/>
      <c r="F1433" s="421" t="s">
        <v>2461</v>
      </c>
    </row>
    <row r="1434" spans="1:15" x14ac:dyDescent="0.2">
      <c r="A1434" s="111">
        <v>1465</v>
      </c>
      <c r="B1434" s="421" t="s">
        <v>2462</v>
      </c>
      <c r="C1434" s="421" t="s">
        <v>563</v>
      </c>
      <c r="D1434" s="422"/>
      <c r="E1434" s="111">
        <v>15073</v>
      </c>
      <c r="F1434" s="421" t="s">
        <v>2060</v>
      </c>
      <c r="G1434" s="112">
        <v>1</v>
      </c>
      <c r="H1434" s="112">
        <v>1</v>
      </c>
      <c r="I1434" s="112">
        <v>1</v>
      </c>
      <c r="J1434" s="112">
        <v>9</v>
      </c>
      <c r="K1434" s="112">
        <v>11</v>
      </c>
      <c r="L1434" s="112">
        <v>10</v>
      </c>
      <c r="M1434" s="112">
        <v>5</v>
      </c>
      <c r="N1434" s="112">
        <v>3</v>
      </c>
      <c r="O1434" s="112">
        <v>3</v>
      </c>
    </row>
    <row r="1435" spans="1:15" x14ac:dyDescent="0.2">
      <c r="A1435" s="111">
        <v>1466</v>
      </c>
      <c r="B1435" s="421" t="s">
        <v>494</v>
      </c>
      <c r="C1435" s="421" t="s">
        <v>501</v>
      </c>
      <c r="D1435" s="422" t="s">
        <v>663</v>
      </c>
      <c r="E1435" s="111">
        <v>14778</v>
      </c>
      <c r="F1435" s="421" t="s">
        <v>2064</v>
      </c>
      <c r="H1435" s="112">
        <v>1</v>
      </c>
      <c r="I1435" s="112">
        <v>1</v>
      </c>
    </row>
    <row r="1436" spans="1:15" x14ac:dyDescent="0.2">
      <c r="A1436" s="111">
        <v>1467</v>
      </c>
      <c r="B1436" s="421" t="s">
        <v>79</v>
      </c>
      <c r="C1436" s="421" t="s">
        <v>501</v>
      </c>
      <c r="D1436" s="422"/>
      <c r="E1436" s="111">
        <v>14408</v>
      </c>
      <c r="F1436" s="421" t="s">
        <v>1029</v>
      </c>
    </row>
    <row r="1437" spans="1:15" x14ac:dyDescent="0.2">
      <c r="A1437" s="111">
        <v>1468</v>
      </c>
      <c r="B1437" s="421" t="s">
        <v>2463</v>
      </c>
      <c r="C1437" s="421" t="s">
        <v>2470</v>
      </c>
      <c r="D1437" s="422"/>
      <c r="E1437" s="111">
        <v>14816</v>
      </c>
      <c r="F1437" s="421" t="s">
        <v>2464</v>
      </c>
      <c r="G1437" s="112">
        <v>1</v>
      </c>
      <c r="H1437" s="112">
        <v>1</v>
      </c>
      <c r="I1437" s="112">
        <v>1</v>
      </c>
      <c r="J1437" s="112">
        <v>2</v>
      </c>
      <c r="L1437" s="112">
        <v>2</v>
      </c>
    </row>
    <row r="1438" spans="1:15" x14ac:dyDescent="0.2">
      <c r="A1438" s="111">
        <v>1469</v>
      </c>
      <c r="B1438" s="421" t="s">
        <v>2465</v>
      </c>
      <c r="C1438" s="421" t="s">
        <v>2466</v>
      </c>
      <c r="D1438" s="422"/>
      <c r="F1438" s="421" t="s">
        <v>2467</v>
      </c>
    </row>
    <row r="1439" spans="1:15" x14ac:dyDescent="0.2">
      <c r="A1439" s="111">
        <v>1470</v>
      </c>
      <c r="B1439" s="421" t="s">
        <v>2468</v>
      </c>
      <c r="C1439" s="421" t="s">
        <v>551</v>
      </c>
      <c r="D1439" s="422"/>
      <c r="F1439" s="421" t="s">
        <v>2467</v>
      </c>
    </row>
    <row r="1440" spans="1:15" x14ac:dyDescent="0.2">
      <c r="A1440" s="111">
        <v>1471</v>
      </c>
      <c r="B1440" s="421" t="s">
        <v>275</v>
      </c>
      <c r="C1440" s="421" t="s">
        <v>506</v>
      </c>
      <c r="D1440" s="422" t="s">
        <v>663</v>
      </c>
      <c r="E1440" s="111">
        <v>14820</v>
      </c>
      <c r="F1440" s="421" t="s">
        <v>2472</v>
      </c>
      <c r="G1440" s="112">
        <v>1</v>
      </c>
      <c r="H1440" s="112">
        <v>1</v>
      </c>
      <c r="I1440" s="112">
        <v>1</v>
      </c>
      <c r="J1440" s="112">
        <v>1</v>
      </c>
      <c r="K1440" s="112">
        <v>1</v>
      </c>
      <c r="L1440" s="112">
        <v>1</v>
      </c>
    </row>
    <row r="1441" spans="1:15" x14ac:dyDescent="0.2">
      <c r="A1441" s="111">
        <v>1472</v>
      </c>
      <c r="B1441" s="421" t="s">
        <v>70</v>
      </c>
      <c r="C1441" s="421" t="s">
        <v>506</v>
      </c>
      <c r="D1441" s="422" t="s">
        <v>666</v>
      </c>
      <c r="E1441" s="111">
        <v>14484</v>
      </c>
      <c r="F1441" s="421" t="s">
        <v>1468</v>
      </c>
      <c r="G1441" s="112">
        <v>2</v>
      </c>
      <c r="H1441" s="112">
        <v>2</v>
      </c>
      <c r="I1441" s="112">
        <v>1</v>
      </c>
      <c r="J1441" s="112">
        <v>9</v>
      </c>
      <c r="K1441" s="112">
        <v>10</v>
      </c>
      <c r="L1441" s="112">
        <v>9</v>
      </c>
      <c r="M1441" s="112">
        <v>15</v>
      </c>
      <c r="N1441" s="112">
        <v>13</v>
      </c>
      <c r="O1441" s="112">
        <v>12</v>
      </c>
    </row>
    <row r="1442" spans="1:15" x14ac:dyDescent="0.2">
      <c r="A1442" s="111">
        <v>1473</v>
      </c>
      <c r="B1442" s="421" t="s">
        <v>2473</v>
      </c>
      <c r="C1442" s="421" t="s">
        <v>2588</v>
      </c>
      <c r="D1442" s="422" t="s">
        <v>666</v>
      </c>
      <c r="E1442" s="111">
        <v>14823</v>
      </c>
      <c r="F1442" s="421" t="s">
        <v>2474</v>
      </c>
      <c r="G1442" s="112">
        <v>2</v>
      </c>
      <c r="H1442" s="112">
        <v>2</v>
      </c>
      <c r="I1442" s="112">
        <v>2</v>
      </c>
      <c r="J1442" s="112">
        <v>17</v>
      </c>
      <c r="K1442" s="112">
        <v>15</v>
      </c>
      <c r="L1442" s="112">
        <v>15</v>
      </c>
      <c r="M1442" s="112">
        <v>17</v>
      </c>
      <c r="N1442" s="112">
        <v>10</v>
      </c>
      <c r="O1442" s="112">
        <v>16</v>
      </c>
    </row>
    <row r="1443" spans="1:15" x14ac:dyDescent="0.2">
      <c r="A1443" s="111">
        <v>1474</v>
      </c>
      <c r="B1443" s="421" t="s">
        <v>470</v>
      </c>
      <c r="C1443" s="421" t="s">
        <v>513</v>
      </c>
      <c r="D1443" s="422" t="s">
        <v>666</v>
      </c>
      <c r="E1443" s="111">
        <v>14824</v>
      </c>
      <c r="F1443" s="421" t="s">
        <v>2475</v>
      </c>
      <c r="G1443" s="112">
        <v>1</v>
      </c>
      <c r="H1443" s="112">
        <v>1</v>
      </c>
      <c r="I1443" s="112">
        <v>1</v>
      </c>
      <c r="J1443" s="112">
        <v>6</v>
      </c>
      <c r="K1443" s="112">
        <v>3</v>
      </c>
      <c r="L1443" s="112">
        <v>3</v>
      </c>
      <c r="M1443" s="112">
        <v>4</v>
      </c>
      <c r="N1443" s="112">
        <v>1</v>
      </c>
      <c r="O1443" s="112">
        <v>1</v>
      </c>
    </row>
    <row r="1444" spans="1:15" x14ac:dyDescent="0.2">
      <c r="A1444" s="111">
        <v>1475</v>
      </c>
      <c r="B1444" s="421" t="s">
        <v>262</v>
      </c>
      <c r="C1444" s="421" t="s">
        <v>501</v>
      </c>
      <c r="D1444" s="422" t="s">
        <v>663</v>
      </c>
      <c r="E1444" s="111">
        <v>14826</v>
      </c>
      <c r="F1444" s="421" t="s">
        <v>2476</v>
      </c>
      <c r="G1444" s="112">
        <v>1</v>
      </c>
      <c r="H1444" s="112">
        <v>1</v>
      </c>
      <c r="I1444" s="112">
        <v>1</v>
      </c>
      <c r="J1444" s="112">
        <v>1</v>
      </c>
      <c r="K1444" s="112">
        <v>1</v>
      </c>
      <c r="L1444" s="112">
        <v>1</v>
      </c>
      <c r="M1444" s="112">
        <v>1</v>
      </c>
    </row>
    <row r="1445" spans="1:15" x14ac:dyDescent="0.2">
      <c r="A1445" s="111">
        <v>1476</v>
      </c>
      <c r="B1445" s="421" t="s">
        <v>186</v>
      </c>
      <c r="C1445" s="421" t="s">
        <v>506</v>
      </c>
      <c r="D1445" s="422" t="s">
        <v>666</v>
      </c>
      <c r="E1445" s="111">
        <v>14827</v>
      </c>
      <c r="F1445" s="421" t="s">
        <v>2477</v>
      </c>
      <c r="G1445" s="112">
        <v>1</v>
      </c>
      <c r="H1445" s="112">
        <v>1</v>
      </c>
      <c r="I1445" s="112">
        <v>1</v>
      </c>
      <c r="J1445" s="112">
        <v>3</v>
      </c>
      <c r="K1445" s="112">
        <v>4</v>
      </c>
      <c r="L1445" s="112">
        <v>4</v>
      </c>
      <c r="M1445" s="112">
        <v>2</v>
      </c>
      <c r="N1445" s="112">
        <v>1</v>
      </c>
      <c r="O1445" s="112">
        <v>2</v>
      </c>
    </row>
    <row r="1446" spans="1:15" x14ac:dyDescent="0.2">
      <c r="A1446" s="111">
        <v>1477</v>
      </c>
      <c r="B1446" s="421" t="s">
        <v>2478</v>
      </c>
      <c r="C1446" s="421" t="s">
        <v>1915</v>
      </c>
      <c r="D1446" s="422" t="s">
        <v>666</v>
      </c>
      <c r="E1446" s="111">
        <v>14825</v>
      </c>
      <c r="F1446" s="421" t="s">
        <v>2479</v>
      </c>
      <c r="G1446" s="112">
        <v>3</v>
      </c>
      <c r="H1446" s="112">
        <v>3</v>
      </c>
      <c r="I1446" s="112">
        <v>1</v>
      </c>
      <c r="J1446" s="112">
        <v>13</v>
      </c>
      <c r="K1446" s="112">
        <v>10</v>
      </c>
      <c r="L1446" s="112">
        <v>12</v>
      </c>
      <c r="M1446" s="112">
        <v>6</v>
      </c>
      <c r="N1446" s="112">
        <v>3</v>
      </c>
      <c r="O1446" s="112">
        <v>4</v>
      </c>
    </row>
    <row r="1447" spans="1:15" x14ac:dyDescent="0.2">
      <c r="A1447" s="111">
        <v>1478</v>
      </c>
      <c r="B1447" s="421" t="s">
        <v>2480</v>
      </c>
      <c r="C1447" s="421" t="s">
        <v>506</v>
      </c>
      <c r="D1447" s="422" t="s">
        <v>666</v>
      </c>
      <c r="E1447" s="111">
        <v>1463</v>
      </c>
      <c r="F1447" s="421" t="s">
        <v>1664</v>
      </c>
      <c r="G1447" s="112">
        <v>1</v>
      </c>
      <c r="H1447" s="112">
        <v>1</v>
      </c>
      <c r="I1447" s="112">
        <v>1</v>
      </c>
      <c r="J1447" s="112">
        <v>10</v>
      </c>
      <c r="K1447" s="112">
        <v>7</v>
      </c>
      <c r="L1447" s="112">
        <v>8</v>
      </c>
      <c r="M1447" s="112">
        <v>4</v>
      </c>
      <c r="N1447" s="112">
        <v>4</v>
      </c>
      <c r="O1447" s="112">
        <v>6</v>
      </c>
    </row>
    <row r="1448" spans="1:15" x14ac:dyDescent="0.2">
      <c r="A1448" s="111">
        <v>1479</v>
      </c>
      <c r="B1448" s="421" t="s">
        <v>2481</v>
      </c>
      <c r="C1448" s="421" t="s">
        <v>1870</v>
      </c>
      <c r="D1448" s="422" t="s">
        <v>666</v>
      </c>
      <c r="E1448" s="111">
        <v>14830</v>
      </c>
      <c r="F1448" s="421" t="s">
        <v>2482</v>
      </c>
    </row>
    <row r="1449" spans="1:15" x14ac:dyDescent="0.2">
      <c r="A1449" s="111">
        <v>1481</v>
      </c>
      <c r="B1449" s="421" t="s">
        <v>1511</v>
      </c>
      <c r="C1449" s="421" t="s">
        <v>2483</v>
      </c>
      <c r="D1449" s="422" t="s">
        <v>666</v>
      </c>
      <c r="E1449" s="111">
        <v>14690</v>
      </c>
      <c r="F1449" s="421" t="s">
        <v>2112</v>
      </c>
    </row>
    <row r="1450" spans="1:15" x14ac:dyDescent="0.2">
      <c r="A1450" s="111">
        <v>1482</v>
      </c>
      <c r="B1450" s="421" t="s">
        <v>2484</v>
      </c>
      <c r="C1450" s="421" t="s">
        <v>576</v>
      </c>
      <c r="D1450" s="422" t="s">
        <v>663</v>
      </c>
      <c r="E1450" s="111">
        <v>14835</v>
      </c>
      <c r="F1450" s="421" t="s">
        <v>2485</v>
      </c>
      <c r="H1450" s="112">
        <v>1</v>
      </c>
      <c r="I1450" s="112">
        <v>1</v>
      </c>
    </row>
    <row r="1451" spans="1:15" x14ac:dyDescent="0.2">
      <c r="A1451" s="111">
        <v>1483</v>
      </c>
      <c r="B1451" s="421" t="s">
        <v>326</v>
      </c>
      <c r="C1451" s="421" t="s">
        <v>503</v>
      </c>
      <c r="D1451" s="422" t="s">
        <v>666</v>
      </c>
      <c r="E1451" s="111">
        <v>14836</v>
      </c>
      <c r="F1451" s="421" t="s">
        <v>2486</v>
      </c>
    </row>
    <row r="1452" spans="1:15" x14ac:dyDescent="0.2">
      <c r="A1452" s="111">
        <v>1484</v>
      </c>
      <c r="B1452" s="421" t="s">
        <v>2487</v>
      </c>
      <c r="C1452" s="421" t="s">
        <v>513</v>
      </c>
      <c r="D1452" s="422" t="s">
        <v>666</v>
      </c>
      <c r="E1452" s="111">
        <v>14837</v>
      </c>
      <c r="F1452" s="421" t="s">
        <v>2488</v>
      </c>
    </row>
    <row r="1453" spans="1:15" x14ac:dyDescent="0.2">
      <c r="A1453" s="111">
        <v>1485</v>
      </c>
      <c r="B1453" s="421" t="s">
        <v>2489</v>
      </c>
      <c r="C1453" s="421" t="s">
        <v>513</v>
      </c>
      <c r="D1453" s="422" t="s">
        <v>663</v>
      </c>
      <c r="E1453" s="111">
        <v>14837</v>
      </c>
      <c r="F1453" s="421" t="s">
        <v>2488</v>
      </c>
    </row>
    <row r="1454" spans="1:15" x14ac:dyDescent="0.2">
      <c r="A1454" s="111">
        <v>1486</v>
      </c>
      <c r="B1454" s="421" t="s">
        <v>211</v>
      </c>
      <c r="C1454" s="421" t="s">
        <v>510</v>
      </c>
      <c r="D1454" s="422"/>
      <c r="E1454" s="111">
        <v>15141</v>
      </c>
      <c r="F1454" s="421" t="s">
        <v>2490</v>
      </c>
    </row>
    <row r="1455" spans="1:15" x14ac:dyDescent="0.2">
      <c r="A1455" s="111">
        <v>1487</v>
      </c>
      <c r="B1455" s="421" t="s">
        <v>2491</v>
      </c>
      <c r="C1455" s="421" t="s">
        <v>510</v>
      </c>
      <c r="D1455" s="422"/>
      <c r="E1455" s="111">
        <v>15141</v>
      </c>
      <c r="F1455" s="421" t="s">
        <v>2490</v>
      </c>
      <c r="G1455" s="112">
        <v>1</v>
      </c>
      <c r="H1455" s="112">
        <v>1</v>
      </c>
      <c r="I1455" s="112">
        <v>1</v>
      </c>
      <c r="K1455" s="112">
        <v>1</v>
      </c>
    </row>
    <row r="1456" spans="1:15" x14ac:dyDescent="0.2">
      <c r="A1456" s="111">
        <v>1489</v>
      </c>
      <c r="B1456" s="421" t="s">
        <v>2500</v>
      </c>
      <c r="C1456" s="421" t="s">
        <v>582</v>
      </c>
      <c r="D1456" s="422" t="s">
        <v>666</v>
      </c>
      <c r="E1456" s="111">
        <v>14550</v>
      </c>
      <c r="F1456" s="421" t="s">
        <v>2010</v>
      </c>
      <c r="G1456" s="112">
        <v>2</v>
      </c>
      <c r="H1456" s="112">
        <v>2</v>
      </c>
      <c r="I1456" s="112">
        <v>1</v>
      </c>
      <c r="J1456" s="112">
        <v>7</v>
      </c>
      <c r="K1456" s="112">
        <v>7</v>
      </c>
      <c r="L1456" s="112">
        <v>7</v>
      </c>
      <c r="M1456" s="112">
        <v>4</v>
      </c>
      <c r="N1456" s="112">
        <v>3</v>
      </c>
      <c r="O1456" s="112">
        <v>4</v>
      </c>
    </row>
    <row r="1457" spans="1:15" x14ac:dyDescent="0.2">
      <c r="A1457" s="111">
        <v>1490</v>
      </c>
      <c r="B1457" s="421" t="s">
        <v>2501</v>
      </c>
      <c r="C1457" s="421" t="s">
        <v>501</v>
      </c>
      <c r="D1457" s="422" t="s">
        <v>663</v>
      </c>
      <c r="E1457" s="111">
        <v>14840</v>
      </c>
      <c r="F1457" s="421" t="s">
        <v>2502</v>
      </c>
      <c r="G1457" s="112">
        <v>1</v>
      </c>
      <c r="H1457" s="112">
        <v>3</v>
      </c>
      <c r="I1457" s="112">
        <v>2</v>
      </c>
      <c r="J1457" s="112">
        <v>7</v>
      </c>
      <c r="K1457" s="112">
        <v>7</v>
      </c>
      <c r="L1457" s="112">
        <v>8</v>
      </c>
      <c r="M1457" s="112">
        <v>3</v>
      </c>
      <c r="N1457" s="112">
        <v>3</v>
      </c>
      <c r="O1457" s="112">
        <v>3</v>
      </c>
    </row>
    <row r="1458" spans="1:15" x14ac:dyDescent="0.2">
      <c r="A1458" s="111">
        <v>1491</v>
      </c>
      <c r="B1458" s="421" t="s">
        <v>2503</v>
      </c>
      <c r="C1458" s="421" t="s">
        <v>570</v>
      </c>
      <c r="D1458" s="422" t="s">
        <v>663</v>
      </c>
      <c r="E1458" s="111">
        <v>14846</v>
      </c>
      <c r="F1458" s="421" t="s">
        <v>2504</v>
      </c>
      <c r="G1458" s="112">
        <v>1</v>
      </c>
      <c r="H1458" s="112">
        <v>1</v>
      </c>
      <c r="I1458" s="112">
        <v>1</v>
      </c>
      <c r="J1458" s="112">
        <v>2</v>
      </c>
      <c r="K1458" s="112">
        <v>2</v>
      </c>
      <c r="L1458" s="112">
        <v>1</v>
      </c>
    </row>
    <row r="1459" spans="1:15" x14ac:dyDescent="0.2">
      <c r="A1459" s="111">
        <v>1492</v>
      </c>
      <c r="B1459" s="421" t="s">
        <v>2083</v>
      </c>
      <c r="C1459" s="421" t="s">
        <v>507</v>
      </c>
      <c r="D1459" s="422" t="s">
        <v>666</v>
      </c>
      <c r="E1459" s="111">
        <v>15104</v>
      </c>
      <c r="F1459" s="421" t="s">
        <v>1713</v>
      </c>
      <c r="G1459" s="112">
        <v>2</v>
      </c>
      <c r="H1459" s="112">
        <v>2</v>
      </c>
      <c r="I1459" s="112">
        <v>2</v>
      </c>
      <c r="J1459" s="112">
        <v>2</v>
      </c>
      <c r="K1459" s="112">
        <v>2</v>
      </c>
      <c r="L1459" s="112">
        <v>2</v>
      </c>
      <c r="M1459" s="112">
        <v>1</v>
      </c>
    </row>
    <row r="1460" spans="1:15" x14ac:dyDescent="0.2">
      <c r="A1460" s="111">
        <v>1493</v>
      </c>
      <c r="B1460" s="421" t="s">
        <v>2505</v>
      </c>
      <c r="C1460" s="421" t="s">
        <v>528</v>
      </c>
      <c r="D1460" s="422" t="s">
        <v>663</v>
      </c>
      <c r="E1460" s="111">
        <v>14834</v>
      </c>
      <c r="F1460" s="421" t="s">
        <v>2506</v>
      </c>
      <c r="G1460" s="112">
        <v>1</v>
      </c>
      <c r="H1460" s="112">
        <v>1</v>
      </c>
      <c r="I1460" s="112">
        <v>1</v>
      </c>
      <c r="J1460" s="112">
        <v>3</v>
      </c>
      <c r="K1460" s="112">
        <v>2</v>
      </c>
      <c r="L1460" s="112">
        <v>2</v>
      </c>
      <c r="M1460" s="112">
        <v>2</v>
      </c>
    </row>
    <row r="1461" spans="1:15" x14ac:dyDescent="0.2">
      <c r="A1461" s="111">
        <v>1494</v>
      </c>
      <c r="B1461" s="421" t="s">
        <v>1349</v>
      </c>
      <c r="C1461" s="421" t="s">
        <v>2338</v>
      </c>
      <c r="D1461" s="422" t="s">
        <v>663</v>
      </c>
      <c r="E1461" s="111">
        <v>14843</v>
      </c>
      <c r="F1461" s="421" t="s">
        <v>2648</v>
      </c>
    </row>
    <row r="1462" spans="1:15" x14ac:dyDescent="0.2">
      <c r="A1462" s="111">
        <v>1495</v>
      </c>
      <c r="B1462" s="421" t="s">
        <v>2507</v>
      </c>
      <c r="C1462" s="421" t="s">
        <v>1644</v>
      </c>
      <c r="D1462" s="422" t="s">
        <v>663</v>
      </c>
      <c r="F1462" s="421" t="s">
        <v>1815</v>
      </c>
      <c r="G1462" s="112">
        <v>1</v>
      </c>
      <c r="H1462" s="112">
        <v>1</v>
      </c>
      <c r="I1462" s="112">
        <v>1</v>
      </c>
      <c r="J1462" s="112">
        <v>1</v>
      </c>
      <c r="K1462" s="112">
        <v>1</v>
      </c>
      <c r="L1462" s="112">
        <v>1</v>
      </c>
      <c r="M1462" s="112">
        <v>1</v>
      </c>
      <c r="N1462" s="112">
        <v>1</v>
      </c>
    </row>
    <row r="1463" spans="1:15" x14ac:dyDescent="0.2">
      <c r="A1463" s="111">
        <v>1496</v>
      </c>
      <c r="B1463" s="421" t="s">
        <v>86</v>
      </c>
      <c r="C1463" s="421" t="s">
        <v>535</v>
      </c>
      <c r="D1463" s="422" t="s">
        <v>663</v>
      </c>
      <c r="E1463" s="111">
        <v>14296</v>
      </c>
      <c r="F1463" s="421" t="s">
        <v>1067</v>
      </c>
    </row>
    <row r="1464" spans="1:15" x14ac:dyDescent="0.2">
      <c r="A1464" s="111">
        <v>1497</v>
      </c>
      <c r="B1464" s="421" t="s">
        <v>2508</v>
      </c>
      <c r="C1464" s="421" t="s">
        <v>528</v>
      </c>
      <c r="D1464" s="422" t="s">
        <v>663</v>
      </c>
      <c r="E1464" s="111">
        <v>15792</v>
      </c>
      <c r="F1464" s="421" t="s">
        <v>2509</v>
      </c>
      <c r="G1464" s="112">
        <v>1</v>
      </c>
      <c r="H1464" s="112">
        <v>1</v>
      </c>
      <c r="I1464" s="112">
        <v>1</v>
      </c>
      <c r="J1464" s="112">
        <v>1</v>
      </c>
      <c r="K1464" s="112">
        <v>1</v>
      </c>
      <c r="L1464" s="112">
        <v>1</v>
      </c>
      <c r="M1464" s="112">
        <v>2</v>
      </c>
      <c r="N1464" s="112">
        <v>1</v>
      </c>
      <c r="O1464" s="112">
        <v>1</v>
      </c>
    </row>
    <row r="1465" spans="1:15" x14ac:dyDescent="0.2">
      <c r="A1465" s="111">
        <v>1498</v>
      </c>
      <c r="B1465" s="421" t="s">
        <v>2510</v>
      </c>
      <c r="C1465" s="421" t="s">
        <v>533</v>
      </c>
      <c r="D1465" s="422" t="s">
        <v>666</v>
      </c>
      <c r="E1465" s="111">
        <v>14848</v>
      </c>
      <c r="F1465" s="421" t="s">
        <v>2511</v>
      </c>
      <c r="G1465" s="112">
        <v>2</v>
      </c>
      <c r="H1465" s="112">
        <v>2</v>
      </c>
      <c r="I1465" s="112">
        <v>1</v>
      </c>
      <c r="J1465" s="112">
        <v>7</v>
      </c>
      <c r="K1465" s="112">
        <v>7</v>
      </c>
      <c r="L1465" s="112">
        <v>7</v>
      </c>
      <c r="M1465" s="112">
        <v>5</v>
      </c>
      <c r="N1465" s="112">
        <v>3</v>
      </c>
      <c r="O1465" s="112">
        <v>4</v>
      </c>
    </row>
    <row r="1466" spans="1:15" x14ac:dyDescent="0.2">
      <c r="A1466" s="111">
        <v>1499</v>
      </c>
      <c r="B1466" s="421" t="s">
        <v>1678</v>
      </c>
      <c r="C1466" s="421" t="s">
        <v>1419</v>
      </c>
      <c r="D1466" s="422" t="s">
        <v>666</v>
      </c>
      <c r="E1466" s="111">
        <v>14822</v>
      </c>
      <c r="F1466" s="421" t="s">
        <v>2512</v>
      </c>
      <c r="G1466" s="112">
        <v>1</v>
      </c>
      <c r="H1466" s="112">
        <v>1</v>
      </c>
      <c r="I1466" s="112">
        <v>1</v>
      </c>
      <c r="J1466" s="112">
        <v>19</v>
      </c>
      <c r="K1466" s="112">
        <v>19</v>
      </c>
      <c r="L1466" s="112">
        <v>19</v>
      </c>
      <c r="M1466" s="112">
        <v>12</v>
      </c>
      <c r="N1466" s="112">
        <v>9</v>
      </c>
      <c r="O1466" s="112">
        <v>7</v>
      </c>
    </row>
    <row r="1467" spans="1:15" x14ac:dyDescent="0.2">
      <c r="A1467" s="111">
        <v>1500</v>
      </c>
      <c r="B1467" s="421" t="s">
        <v>643</v>
      </c>
      <c r="C1467" s="421" t="s">
        <v>551</v>
      </c>
      <c r="D1467" s="422" t="s">
        <v>663</v>
      </c>
      <c r="E1467" s="111">
        <v>14849</v>
      </c>
      <c r="F1467" s="421" t="s">
        <v>2513</v>
      </c>
      <c r="G1467" s="112">
        <v>1</v>
      </c>
      <c r="H1467" s="112">
        <v>1</v>
      </c>
      <c r="I1467" s="112">
        <v>1</v>
      </c>
      <c r="J1467" s="112">
        <v>9</v>
      </c>
      <c r="K1467" s="112">
        <v>5</v>
      </c>
      <c r="L1467" s="112">
        <v>10</v>
      </c>
      <c r="M1467" s="112">
        <v>4</v>
      </c>
    </row>
    <row r="1468" spans="1:15" x14ac:dyDescent="0.2">
      <c r="A1468" s="111">
        <v>1501</v>
      </c>
      <c r="B1468" s="421" t="s">
        <v>443</v>
      </c>
      <c r="C1468" s="421" t="s">
        <v>2110</v>
      </c>
      <c r="D1468" s="422" t="s">
        <v>663</v>
      </c>
      <c r="E1468" s="111">
        <v>14849</v>
      </c>
      <c r="F1468" s="421" t="s">
        <v>2513</v>
      </c>
      <c r="G1468" s="112">
        <v>1</v>
      </c>
      <c r="H1468" s="112">
        <v>1</v>
      </c>
      <c r="I1468" s="112">
        <v>1</v>
      </c>
      <c r="J1468" s="112">
        <v>4</v>
      </c>
      <c r="K1468" s="112">
        <v>1</v>
      </c>
      <c r="L1468" s="112">
        <v>1</v>
      </c>
    </row>
    <row r="1469" spans="1:15" x14ac:dyDescent="0.2">
      <c r="A1469" s="111">
        <v>1502</v>
      </c>
      <c r="B1469" s="421" t="s">
        <v>181</v>
      </c>
      <c r="C1469" s="421" t="s">
        <v>510</v>
      </c>
      <c r="D1469" s="422" t="s">
        <v>666</v>
      </c>
      <c r="E1469" s="111">
        <v>14513</v>
      </c>
      <c r="F1469" s="421" t="s">
        <v>1584</v>
      </c>
      <c r="G1469" s="112">
        <v>1</v>
      </c>
      <c r="H1469" s="112">
        <v>1</v>
      </c>
      <c r="I1469" s="112">
        <v>1</v>
      </c>
      <c r="J1469" s="112">
        <v>8</v>
      </c>
      <c r="K1469" s="112">
        <v>7</v>
      </c>
      <c r="L1469" s="112">
        <v>7</v>
      </c>
      <c r="M1469" s="112">
        <v>4</v>
      </c>
      <c r="N1469" s="112">
        <v>3</v>
      </c>
      <c r="O1469" s="112">
        <v>3</v>
      </c>
    </row>
    <row r="1470" spans="1:15" x14ac:dyDescent="0.2">
      <c r="A1470" s="111">
        <v>1503</v>
      </c>
      <c r="B1470" s="421" t="s">
        <v>1052</v>
      </c>
      <c r="C1470" s="421" t="s">
        <v>530</v>
      </c>
      <c r="D1470" s="422" t="s">
        <v>663</v>
      </c>
      <c r="E1470" s="111">
        <v>14859</v>
      </c>
      <c r="F1470" s="421" t="s">
        <v>2514</v>
      </c>
      <c r="G1470" s="112">
        <v>1</v>
      </c>
      <c r="H1470" s="112">
        <v>1</v>
      </c>
      <c r="I1470" s="112">
        <v>1</v>
      </c>
      <c r="J1470" s="112">
        <v>9</v>
      </c>
      <c r="K1470" s="112">
        <v>10</v>
      </c>
      <c r="L1470" s="112">
        <v>9</v>
      </c>
      <c r="M1470" s="112">
        <v>16</v>
      </c>
      <c r="N1470" s="112">
        <v>6</v>
      </c>
      <c r="O1470" s="112">
        <v>13</v>
      </c>
    </row>
    <row r="1471" spans="1:15" x14ac:dyDescent="0.2">
      <c r="A1471" s="111">
        <v>1504</v>
      </c>
      <c r="B1471" s="421" t="s">
        <v>2515</v>
      </c>
      <c r="C1471" s="421" t="s">
        <v>514</v>
      </c>
      <c r="D1471" s="422" t="s">
        <v>663</v>
      </c>
      <c r="E1471" s="111">
        <v>15138</v>
      </c>
      <c r="F1471" s="421" t="s">
        <v>2516</v>
      </c>
      <c r="G1471" s="112">
        <v>1</v>
      </c>
      <c r="H1471" s="112">
        <v>1</v>
      </c>
      <c r="I1471" s="112">
        <v>2</v>
      </c>
    </row>
    <row r="1472" spans="1:15" x14ac:dyDescent="0.2">
      <c r="A1472" s="111">
        <v>1507</v>
      </c>
      <c r="B1472" s="421" t="s">
        <v>2517</v>
      </c>
      <c r="C1472" s="421" t="s">
        <v>516</v>
      </c>
      <c r="D1472" s="422" t="s">
        <v>663</v>
      </c>
      <c r="E1472" s="111">
        <v>14850</v>
      </c>
      <c r="F1472" s="421" t="s">
        <v>2518</v>
      </c>
      <c r="G1472" s="112">
        <v>1</v>
      </c>
      <c r="H1472" s="112">
        <v>1</v>
      </c>
      <c r="I1472" s="112">
        <v>1</v>
      </c>
      <c r="J1472" s="112">
        <v>1</v>
      </c>
      <c r="K1472" s="112">
        <v>2</v>
      </c>
      <c r="L1472" s="112">
        <v>1</v>
      </c>
      <c r="O1472" s="112">
        <v>1</v>
      </c>
    </row>
    <row r="1473" spans="1:15" x14ac:dyDescent="0.2">
      <c r="A1473" s="111">
        <v>1508</v>
      </c>
      <c r="B1473" s="421" t="s">
        <v>2519</v>
      </c>
      <c r="C1473" s="421" t="s">
        <v>555</v>
      </c>
      <c r="D1473" s="422" t="s">
        <v>663</v>
      </c>
      <c r="E1473" s="111">
        <v>14852</v>
      </c>
      <c r="F1473" s="421" t="s">
        <v>2520</v>
      </c>
      <c r="G1473" s="112">
        <v>1</v>
      </c>
      <c r="H1473" s="112">
        <v>1</v>
      </c>
      <c r="I1473" s="112">
        <v>1</v>
      </c>
      <c r="J1473" s="112">
        <v>4</v>
      </c>
      <c r="K1473" s="112">
        <v>3</v>
      </c>
      <c r="L1473" s="112">
        <v>4</v>
      </c>
      <c r="M1473" s="112">
        <v>4</v>
      </c>
      <c r="N1473" s="112">
        <v>2</v>
      </c>
      <c r="O1473" s="112">
        <v>2</v>
      </c>
    </row>
    <row r="1474" spans="1:15" x14ac:dyDescent="0.2">
      <c r="A1474" s="111">
        <v>1509</v>
      </c>
      <c r="B1474" s="421" t="s">
        <v>1092</v>
      </c>
      <c r="C1474" s="421" t="s">
        <v>506</v>
      </c>
      <c r="D1474" s="422" t="s">
        <v>663</v>
      </c>
      <c r="E1474" s="111">
        <v>14853</v>
      </c>
      <c r="F1474" s="421" t="s">
        <v>2521</v>
      </c>
      <c r="G1474" s="112">
        <v>2</v>
      </c>
      <c r="H1474" s="112">
        <v>2</v>
      </c>
    </row>
    <row r="1475" spans="1:15" x14ac:dyDescent="0.2">
      <c r="A1475" s="111">
        <v>1510</v>
      </c>
      <c r="B1475" s="421" t="s">
        <v>376</v>
      </c>
      <c r="C1475" s="421" t="s">
        <v>520</v>
      </c>
      <c r="D1475" s="422" t="s">
        <v>666</v>
      </c>
      <c r="E1475" s="111">
        <v>14855</v>
      </c>
      <c r="F1475" s="421" t="s">
        <v>1712</v>
      </c>
      <c r="G1475" s="112">
        <v>2</v>
      </c>
      <c r="H1475" s="112">
        <v>3</v>
      </c>
      <c r="I1475" s="112">
        <v>2</v>
      </c>
      <c r="J1475" s="112">
        <v>1</v>
      </c>
      <c r="L1475" s="112">
        <v>1</v>
      </c>
    </row>
    <row r="1476" spans="1:15" x14ac:dyDescent="0.2">
      <c r="A1476" s="111">
        <v>1511</v>
      </c>
      <c r="B1476" s="421" t="s">
        <v>2522</v>
      </c>
      <c r="C1476" s="421" t="s">
        <v>506</v>
      </c>
      <c r="D1476" s="422" t="s">
        <v>666</v>
      </c>
      <c r="E1476" s="111">
        <v>14856</v>
      </c>
      <c r="F1476" s="421" t="s">
        <v>2523</v>
      </c>
      <c r="G1476" s="112">
        <v>1</v>
      </c>
      <c r="H1476" s="112">
        <v>1</v>
      </c>
      <c r="I1476" s="112">
        <v>3</v>
      </c>
    </row>
    <row r="1477" spans="1:15" x14ac:dyDescent="0.2">
      <c r="A1477" s="111">
        <v>1512</v>
      </c>
      <c r="B1477" s="421" t="s">
        <v>2127</v>
      </c>
      <c r="C1477" s="421" t="s">
        <v>2412</v>
      </c>
      <c r="D1477" s="422" t="s">
        <v>666</v>
      </c>
      <c r="E1477" s="111">
        <v>14857</v>
      </c>
      <c r="F1477" s="421" t="s">
        <v>2524</v>
      </c>
      <c r="G1477" s="112">
        <v>12</v>
      </c>
      <c r="H1477" s="112">
        <v>11</v>
      </c>
      <c r="I1477" s="112">
        <v>8</v>
      </c>
      <c r="J1477" s="112">
        <v>1</v>
      </c>
      <c r="K1477" s="112">
        <v>1</v>
      </c>
      <c r="L1477" s="112">
        <v>1</v>
      </c>
    </row>
    <row r="1478" spans="1:15" x14ac:dyDescent="0.2">
      <c r="A1478" s="111">
        <v>1513</v>
      </c>
      <c r="B1478" s="421" t="s">
        <v>1989</v>
      </c>
      <c r="C1478" s="421" t="s">
        <v>501</v>
      </c>
      <c r="D1478" s="422" t="s">
        <v>666</v>
      </c>
      <c r="E1478" s="111">
        <v>14799</v>
      </c>
      <c r="F1478" s="421" t="s">
        <v>1990</v>
      </c>
    </row>
    <row r="1479" spans="1:15" x14ac:dyDescent="0.2">
      <c r="A1479" s="111">
        <v>1514</v>
      </c>
      <c r="B1479" s="421" t="s">
        <v>2525</v>
      </c>
      <c r="C1479" s="421" t="s">
        <v>501</v>
      </c>
      <c r="D1479" s="422" t="s">
        <v>663</v>
      </c>
      <c r="E1479" s="111">
        <v>14799</v>
      </c>
      <c r="F1479" s="421" t="s">
        <v>1990</v>
      </c>
      <c r="G1479" s="112">
        <v>1</v>
      </c>
      <c r="H1479" s="112">
        <v>1</v>
      </c>
      <c r="I1479" s="112">
        <v>2</v>
      </c>
      <c r="J1479" s="112">
        <v>1</v>
      </c>
    </row>
    <row r="1480" spans="1:15" x14ac:dyDescent="0.2">
      <c r="A1480" s="111">
        <v>1516</v>
      </c>
      <c r="B1480" s="421" t="s">
        <v>2526</v>
      </c>
      <c r="C1480" s="421" t="s">
        <v>507</v>
      </c>
      <c r="D1480" s="422" t="s">
        <v>666</v>
      </c>
      <c r="E1480" s="111">
        <v>14858</v>
      </c>
      <c r="F1480" s="421" t="s">
        <v>2527</v>
      </c>
    </row>
    <row r="1481" spans="1:15" x14ac:dyDescent="0.2">
      <c r="A1481" s="111">
        <v>1517</v>
      </c>
      <c r="B1481" s="421" t="s">
        <v>2528</v>
      </c>
      <c r="C1481" s="421" t="s">
        <v>510</v>
      </c>
      <c r="D1481" s="422" t="s">
        <v>663</v>
      </c>
      <c r="E1481" s="111">
        <v>15114</v>
      </c>
      <c r="F1481" s="421" t="s">
        <v>3120</v>
      </c>
      <c r="G1481" s="112">
        <v>1</v>
      </c>
      <c r="H1481" s="112">
        <v>1</v>
      </c>
      <c r="I1481" s="112">
        <v>1</v>
      </c>
      <c r="J1481" s="112">
        <v>1</v>
      </c>
      <c r="K1481" s="112">
        <v>2</v>
      </c>
      <c r="L1481" s="112">
        <v>1</v>
      </c>
    </row>
    <row r="1482" spans="1:15" x14ac:dyDescent="0.2">
      <c r="A1482" s="111">
        <v>1518</v>
      </c>
      <c r="B1482" s="421" t="s">
        <v>2529</v>
      </c>
      <c r="C1482" s="421" t="s">
        <v>566</v>
      </c>
      <c r="D1482" s="422" t="s">
        <v>663</v>
      </c>
      <c r="E1482" s="111">
        <v>14220</v>
      </c>
      <c r="F1482" s="421" t="s">
        <v>941</v>
      </c>
      <c r="G1482" s="112">
        <v>4</v>
      </c>
      <c r="H1482" s="112">
        <v>1</v>
      </c>
      <c r="I1482" s="112">
        <v>1</v>
      </c>
      <c r="J1482" s="112">
        <v>2</v>
      </c>
      <c r="K1482" s="112">
        <v>1</v>
      </c>
      <c r="L1482" s="112">
        <v>1</v>
      </c>
      <c r="M1482" s="112">
        <v>2</v>
      </c>
    </row>
    <row r="1483" spans="1:15" x14ac:dyDescent="0.2">
      <c r="A1483" s="111">
        <v>1519</v>
      </c>
      <c r="B1483" s="421" t="s">
        <v>2530</v>
      </c>
      <c r="C1483" s="421" t="s">
        <v>581</v>
      </c>
      <c r="D1483" s="422" t="s">
        <v>663</v>
      </c>
      <c r="E1483" s="111">
        <v>14860</v>
      </c>
      <c r="F1483" s="421" t="s">
        <v>2531</v>
      </c>
      <c r="G1483" s="112">
        <v>1</v>
      </c>
      <c r="H1483" s="112">
        <v>1</v>
      </c>
      <c r="I1483" s="112">
        <v>1</v>
      </c>
      <c r="J1483" s="112">
        <v>1</v>
      </c>
      <c r="K1483" s="112">
        <v>2</v>
      </c>
      <c r="L1483" s="112">
        <v>2</v>
      </c>
    </row>
    <row r="1484" spans="1:15" x14ac:dyDescent="0.2">
      <c r="A1484" s="111">
        <v>1520</v>
      </c>
      <c r="B1484" s="421" t="s">
        <v>2092</v>
      </c>
      <c r="C1484" s="421" t="s">
        <v>2649</v>
      </c>
      <c r="D1484" s="422" t="s">
        <v>663</v>
      </c>
      <c r="E1484" s="111">
        <v>14860</v>
      </c>
      <c r="F1484" s="421" t="s">
        <v>2531</v>
      </c>
      <c r="G1484" s="112">
        <v>1</v>
      </c>
      <c r="H1484" s="112">
        <v>1</v>
      </c>
      <c r="I1484" s="112">
        <v>1</v>
      </c>
    </row>
    <row r="1485" spans="1:15" x14ac:dyDescent="0.2">
      <c r="A1485" s="111">
        <v>1521</v>
      </c>
      <c r="B1485" s="421" t="s">
        <v>381</v>
      </c>
      <c r="C1485" s="421" t="s">
        <v>503</v>
      </c>
      <c r="D1485" s="422" t="s">
        <v>663</v>
      </c>
      <c r="E1485" s="111">
        <v>44163</v>
      </c>
      <c r="F1485" s="421" t="s">
        <v>2544</v>
      </c>
      <c r="G1485" s="112">
        <v>1</v>
      </c>
      <c r="H1485" s="112">
        <v>1</v>
      </c>
      <c r="I1485" s="112">
        <v>1</v>
      </c>
      <c r="J1485" s="112">
        <v>1</v>
      </c>
    </row>
    <row r="1486" spans="1:15" x14ac:dyDescent="0.2">
      <c r="A1486" s="111">
        <v>1523</v>
      </c>
      <c r="B1486" s="421" t="s">
        <v>2547</v>
      </c>
      <c r="C1486" s="421" t="s">
        <v>2548</v>
      </c>
      <c r="D1486" s="422" t="s">
        <v>663</v>
      </c>
      <c r="E1486" s="111">
        <v>14991</v>
      </c>
      <c r="F1486" s="421" t="s">
        <v>2549</v>
      </c>
      <c r="G1486" s="112">
        <v>1</v>
      </c>
      <c r="H1486" s="112">
        <v>2</v>
      </c>
      <c r="I1486" s="112">
        <v>1</v>
      </c>
      <c r="J1486" s="112">
        <v>6</v>
      </c>
      <c r="K1486" s="112">
        <v>5</v>
      </c>
      <c r="L1486" s="112">
        <v>6</v>
      </c>
      <c r="M1486" s="112">
        <v>1</v>
      </c>
      <c r="O1486" s="112">
        <v>1</v>
      </c>
    </row>
    <row r="1487" spans="1:15" x14ac:dyDescent="0.2">
      <c r="A1487" s="111">
        <v>1524</v>
      </c>
      <c r="B1487" s="421" t="s">
        <v>1092</v>
      </c>
      <c r="C1487" s="421" t="s">
        <v>501</v>
      </c>
      <c r="D1487" s="422" t="s">
        <v>663</v>
      </c>
      <c r="E1487" s="111">
        <v>14869</v>
      </c>
      <c r="F1487" s="421" t="s">
        <v>2550</v>
      </c>
      <c r="G1487" s="112">
        <v>4</v>
      </c>
      <c r="H1487" s="112">
        <v>3</v>
      </c>
      <c r="I1487" s="112">
        <v>1</v>
      </c>
      <c r="J1487" s="112">
        <v>8</v>
      </c>
      <c r="K1487" s="112">
        <v>7</v>
      </c>
      <c r="L1487" s="112">
        <v>7</v>
      </c>
      <c r="M1487" s="112">
        <v>4</v>
      </c>
      <c r="N1487" s="112">
        <v>1</v>
      </c>
      <c r="O1487" s="112">
        <v>3</v>
      </c>
    </row>
    <row r="1488" spans="1:15" x14ac:dyDescent="0.2">
      <c r="A1488" s="111">
        <v>1525</v>
      </c>
      <c r="B1488" s="421" t="s">
        <v>307</v>
      </c>
      <c r="C1488" s="421" t="s">
        <v>583</v>
      </c>
      <c r="D1488" s="422" t="s">
        <v>663</v>
      </c>
      <c r="E1488" s="111">
        <v>14863</v>
      </c>
      <c r="F1488" s="421" t="s">
        <v>2566</v>
      </c>
      <c r="G1488" s="112">
        <v>1</v>
      </c>
      <c r="H1488" s="112">
        <v>1</v>
      </c>
      <c r="I1488" s="112">
        <v>1</v>
      </c>
      <c r="J1488" s="112">
        <v>2</v>
      </c>
      <c r="L1488" s="112">
        <v>1</v>
      </c>
    </row>
    <row r="1489" spans="1:15" x14ac:dyDescent="0.2">
      <c r="A1489" s="111">
        <v>1526</v>
      </c>
      <c r="B1489" s="421" t="s">
        <v>2567</v>
      </c>
      <c r="C1489" s="421" t="s">
        <v>506</v>
      </c>
      <c r="D1489" s="422" t="s">
        <v>666</v>
      </c>
      <c r="E1489" s="111">
        <v>14864</v>
      </c>
      <c r="F1489" s="421" t="s">
        <v>2568</v>
      </c>
      <c r="G1489" s="112">
        <v>1</v>
      </c>
      <c r="H1489" s="112">
        <v>1</v>
      </c>
      <c r="I1489" s="112">
        <v>1</v>
      </c>
      <c r="J1489" s="112">
        <v>1</v>
      </c>
      <c r="K1489" s="112">
        <v>1</v>
      </c>
      <c r="L1489" s="112">
        <v>1</v>
      </c>
    </row>
    <row r="1490" spans="1:15" x14ac:dyDescent="0.2">
      <c r="A1490" s="111">
        <v>1527</v>
      </c>
      <c r="B1490" s="421" t="s">
        <v>307</v>
      </c>
      <c r="C1490" s="421" t="s">
        <v>503</v>
      </c>
      <c r="D1490" s="422" t="s">
        <v>663</v>
      </c>
      <c r="E1490" s="111">
        <v>14865</v>
      </c>
      <c r="F1490" s="421" t="s">
        <v>2569</v>
      </c>
    </row>
    <row r="1491" spans="1:15" x14ac:dyDescent="0.2">
      <c r="A1491" s="111">
        <v>1528</v>
      </c>
      <c r="B1491" s="421" t="s">
        <v>190</v>
      </c>
      <c r="C1491" s="421" t="s">
        <v>577</v>
      </c>
      <c r="D1491" s="422" t="s">
        <v>663</v>
      </c>
      <c r="E1491" s="111">
        <v>14866</v>
      </c>
      <c r="F1491" s="421" t="s">
        <v>2570</v>
      </c>
      <c r="J1491" s="112">
        <v>2</v>
      </c>
      <c r="K1491" s="112">
        <v>1</v>
      </c>
      <c r="L1491" s="112">
        <v>2</v>
      </c>
    </row>
    <row r="1492" spans="1:15" x14ac:dyDescent="0.2">
      <c r="A1492" s="111">
        <v>1529</v>
      </c>
      <c r="B1492" s="421" t="s">
        <v>2473</v>
      </c>
      <c r="C1492" s="421" t="s">
        <v>596</v>
      </c>
      <c r="D1492" s="422" t="s">
        <v>666</v>
      </c>
      <c r="E1492" s="111">
        <v>14866</v>
      </c>
      <c r="F1492" s="421" t="s">
        <v>2570</v>
      </c>
      <c r="G1492" s="112">
        <v>1</v>
      </c>
    </row>
    <row r="1493" spans="1:15" x14ac:dyDescent="0.2">
      <c r="A1493" s="111">
        <v>1530</v>
      </c>
      <c r="B1493" s="421" t="s">
        <v>2571</v>
      </c>
      <c r="C1493" s="421" t="s">
        <v>512</v>
      </c>
      <c r="D1493" s="422" t="s">
        <v>666</v>
      </c>
      <c r="E1493" s="111">
        <v>14867</v>
      </c>
      <c r="F1493" s="421" t="s">
        <v>2572</v>
      </c>
      <c r="J1493" s="112">
        <v>1</v>
      </c>
      <c r="K1493" s="112">
        <v>1</v>
      </c>
      <c r="L1493" s="112">
        <v>1</v>
      </c>
    </row>
    <row r="1494" spans="1:15" x14ac:dyDescent="0.2">
      <c r="A1494" s="111">
        <v>1531</v>
      </c>
      <c r="B1494" s="421" t="s">
        <v>2573</v>
      </c>
      <c r="C1494" s="421" t="s">
        <v>551</v>
      </c>
      <c r="D1494" s="422" t="s">
        <v>663</v>
      </c>
      <c r="E1494" s="111">
        <v>15068</v>
      </c>
      <c r="F1494" s="421" t="s">
        <v>2574</v>
      </c>
      <c r="G1494" s="112">
        <v>2</v>
      </c>
      <c r="H1494" s="112">
        <v>1</v>
      </c>
      <c r="I1494" s="112">
        <v>1</v>
      </c>
      <c r="J1494" s="112">
        <v>1</v>
      </c>
      <c r="K1494" s="112">
        <v>1</v>
      </c>
      <c r="L1494" s="112">
        <v>1</v>
      </c>
    </row>
    <row r="1495" spans="1:15" x14ac:dyDescent="0.2">
      <c r="A1495" s="111">
        <v>1532</v>
      </c>
      <c r="B1495" s="421" t="s">
        <v>2575</v>
      </c>
      <c r="C1495" s="421" t="s">
        <v>1817</v>
      </c>
      <c r="D1495" s="422" t="s">
        <v>666</v>
      </c>
      <c r="E1495" s="111">
        <v>14868</v>
      </c>
      <c r="F1495" s="421" t="s">
        <v>2576</v>
      </c>
    </row>
    <row r="1496" spans="1:15" x14ac:dyDescent="0.2">
      <c r="A1496" s="111">
        <v>1533</v>
      </c>
      <c r="B1496" s="421" t="s">
        <v>2545</v>
      </c>
      <c r="C1496" s="421" t="s">
        <v>551</v>
      </c>
      <c r="D1496" s="422" t="s">
        <v>663</v>
      </c>
      <c r="E1496" s="111">
        <v>14862</v>
      </c>
      <c r="F1496" s="421" t="s">
        <v>2546</v>
      </c>
      <c r="G1496" s="112">
        <v>1</v>
      </c>
      <c r="H1496" s="112">
        <v>1</v>
      </c>
      <c r="I1496" s="112">
        <v>1</v>
      </c>
      <c r="J1496" s="112">
        <v>2</v>
      </c>
      <c r="K1496" s="112">
        <v>2</v>
      </c>
      <c r="L1496" s="112">
        <v>1</v>
      </c>
    </row>
    <row r="1497" spans="1:15" x14ac:dyDescent="0.2">
      <c r="A1497" s="111">
        <v>1534</v>
      </c>
      <c r="B1497" s="421" t="s">
        <v>2577</v>
      </c>
      <c r="C1497" s="421" t="s">
        <v>516</v>
      </c>
      <c r="D1497" s="422" t="s">
        <v>666</v>
      </c>
      <c r="E1497" s="111">
        <v>15080</v>
      </c>
      <c r="F1497" s="421" t="s">
        <v>2396</v>
      </c>
      <c r="G1497" s="112">
        <v>1</v>
      </c>
      <c r="H1497" s="112">
        <v>1</v>
      </c>
      <c r="I1497" s="112">
        <v>1</v>
      </c>
      <c r="J1497" s="112">
        <v>1</v>
      </c>
    </row>
    <row r="1498" spans="1:15" x14ac:dyDescent="0.2">
      <c r="A1498" s="111">
        <v>1535</v>
      </c>
      <c r="B1498" s="421" t="s">
        <v>1804</v>
      </c>
      <c r="C1498" s="421" t="s">
        <v>574</v>
      </c>
      <c r="D1498" s="422" t="s">
        <v>666</v>
      </c>
      <c r="E1498" s="111">
        <v>14254</v>
      </c>
      <c r="F1498" s="421" t="s">
        <v>2578</v>
      </c>
      <c r="G1498" s="112">
        <v>2</v>
      </c>
      <c r="H1498" s="112">
        <v>1</v>
      </c>
      <c r="I1498" s="112">
        <v>2</v>
      </c>
      <c r="J1498" s="112">
        <v>1</v>
      </c>
      <c r="K1498" s="112">
        <v>1</v>
      </c>
      <c r="L1498" s="112">
        <v>1</v>
      </c>
    </row>
    <row r="1499" spans="1:15" x14ac:dyDescent="0.2">
      <c r="A1499" s="111">
        <v>1536</v>
      </c>
      <c r="B1499" s="421" t="s">
        <v>2579</v>
      </c>
      <c r="C1499" s="421" t="s">
        <v>574</v>
      </c>
      <c r="D1499" s="422" t="s">
        <v>663</v>
      </c>
      <c r="E1499" s="111">
        <v>14254</v>
      </c>
      <c r="F1499" s="421" t="s">
        <v>2578</v>
      </c>
      <c r="G1499" s="112">
        <v>2</v>
      </c>
      <c r="H1499" s="112">
        <v>1</v>
      </c>
      <c r="I1499" s="112">
        <v>1</v>
      </c>
      <c r="J1499" s="112">
        <v>1</v>
      </c>
      <c r="L1499" s="112">
        <v>1</v>
      </c>
    </row>
    <row r="1500" spans="1:15" x14ac:dyDescent="0.2">
      <c r="A1500" s="111">
        <v>1537</v>
      </c>
      <c r="B1500" s="421" t="s">
        <v>2580</v>
      </c>
      <c r="C1500" s="421" t="s">
        <v>2581</v>
      </c>
      <c r="D1500" s="422" t="s">
        <v>666</v>
      </c>
      <c r="E1500" s="111">
        <v>16029</v>
      </c>
      <c r="F1500" s="421" t="s">
        <v>2582</v>
      </c>
      <c r="G1500" s="112">
        <v>1</v>
      </c>
      <c r="H1500" s="112">
        <v>1</v>
      </c>
      <c r="I1500" s="112">
        <v>1</v>
      </c>
      <c r="J1500" s="112">
        <v>2</v>
      </c>
    </row>
    <row r="1501" spans="1:15" x14ac:dyDescent="0.2">
      <c r="A1501" s="111">
        <v>1538</v>
      </c>
      <c r="B1501" s="421" t="s">
        <v>2329</v>
      </c>
      <c r="C1501" s="421" t="s">
        <v>570</v>
      </c>
      <c r="D1501" s="422" t="s">
        <v>663</v>
      </c>
      <c r="E1501" s="111">
        <v>14871</v>
      </c>
      <c r="F1501" s="421" t="s">
        <v>2583</v>
      </c>
      <c r="G1501" s="112">
        <v>1</v>
      </c>
      <c r="H1501" s="112">
        <v>1</v>
      </c>
      <c r="I1501" s="112">
        <v>1</v>
      </c>
    </row>
    <row r="1502" spans="1:15" x14ac:dyDescent="0.2">
      <c r="A1502" s="111">
        <v>1539</v>
      </c>
      <c r="B1502" s="421" t="s">
        <v>2096</v>
      </c>
      <c r="C1502" s="421" t="s">
        <v>550</v>
      </c>
      <c r="D1502" s="422" t="s">
        <v>666</v>
      </c>
      <c r="E1502" s="111">
        <v>14872</v>
      </c>
      <c r="F1502" s="421" t="s">
        <v>2584</v>
      </c>
      <c r="J1502" s="112">
        <v>1</v>
      </c>
      <c r="K1502" s="112">
        <v>3</v>
      </c>
      <c r="L1502" s="112">
        <v>3</v>
      </c>
      <c r="M1502" s="112">
        <v>2</v>
      </c>
      <c r="N1502" s="112">
        <v>1</v>
      </c>
      <c r="O1502" s="112">
        <v>1</v>
      </c>
    </row>
    <row r="1503" spans="1:15" x14ac:dyDescent="0.2">
      <c r="A1503" s="111">
        <v>1540</v>
      </c>
      <c r="B1503" s="421" t="s">
        <v>296</v>
      </c>
      <c r="C1503" s="421" t="s">
        <v>503</v>
      </c>
      <c r="D1503" s="422" t="s">
        <v>666</v>
      </c>
      <c r="E1503" s="111">
        <v>14873</v>
      </c>
      <c r="F1503" s="421" t="s">
        <v>2585</v>
      </c>
      <c r="G1503" s="112">
        <v>1</v>
      </c>
      <c r="H1503" s="112">
        <v>1</v>
      </c>
      <c r="I1503" s="112">
        <v>1</v>
      </c>
      <c r="J1503" s="112">
        <v>1</v>
      </c>
      <c r="K1503" s="112">
        <v>2</v>
      </c>
      <c r="L1503" s="112">
        <v>1</v>
      </c>
    </row>
    <row r="1504" spans="1:15" x14ac:dyDescent="0.2">
      <c r="A1504" s="111">
        <v>1541</v>
      </c>
      <c r="B1504" s="421" t="s">
        <v>152</v>
      </c>
      <c r="C1504" s="421" t="s">
        <v>1994</v>
      </c>
      <c r="D1504" s="422" t="s">
        <v>666</v>
      </c>
      <c r="E1504" s="111">
        <v>14874</v>
      </c>
      <c r="F1504" s="421" t="s">
        <v>2586</v>
      </c>
      <c r="G1504" s="112">
        <v>1</v>
      </c>
      <c r="H1504" s="112">
        <v>1</v>
      </c>
      <c r="I1504" s="112">
        <v>1</v>
      </c>
      <c r="J1504" s="112">
        <v>7</v>
      </c>
      <c r="K1504" s="112">
        <v>7</v>
      </c>
      <c r="L1504" s="112">
        <v>7</v>
      </c>
      <c r="M1504" s="112">
        <v>5</v>
      </c>
      <c r="N1504" s="112">
        <v>3</v>
      </c>
      <c r="O1504" s="112">
        <v>3</v>
      </c>
    </row>
    <row r="1505" spans="1:15" x14ac:dyDescent="0.2">
      <c r="A1505" s="111">
        <v>1542</v>
      </c>
      <c r="B1505" s="421" t="s">
        <v>55</v>
      </c>
      <c r="C1505" s="421" t="s">
        <v>503</v>
      </c>
      <c r="D1505" s="422" t="s">
        <v>666</v>
      </c>
      <c r="E1505" s="111">
        <v>14877</v>
      </c>
      <c r="F1505" s="421" t="s">
        <v>2840</v>
      </c>
      <c r="G1505" s="112">
        <v>2</v>
      </c>
      <c r="H1505" s="112">
        <v>1</v>
      </c>
      <c r="I1505" s="112">
        <v>1</v>
      </c>
      <c r="J1505" s="112">
        <v>9</v>
      </c>
      <c r="K1505" s="112">
        <v>9</v>
      </c>
      <c r="L1505" s="112">
        <v>9</v>
      </c>
      <c r="M1505" s="112">
        <v>8</v>
      </c>
      <c r="N1505" s="112">
        <v>4</v>
      </c>
      <c r="O1505" s="112">
        <v>4</v>
      </c>
    </row>
    <row r="1506" spans="1:15" x14ac:dyDescent="0.2">
      <c r="A1506" s="111">
        <v>1543</v>
      </c>
      <c r="B1506" s="421" t="s">
        <v>2081</v>
      </c>
      <c r="C1506" s="421" t="s">
        <v>502</v>
      </c>
      <c r="D1506" s="422" t="s">
        <v>666</v>
      </c>
      <c r="E1506" s="111">
        <v>15318</v>
      </c>
      <c r="F1506" s="421" t="s">
        <v>2589</v>
      </c>
      <c r="G1506" s="112">
        <v>1</v>
      </c>
      <c r="H1506" s="112">
        <v>1</v>
      </c>
      <c r="I1506" s="112">
        <v>1</v>
      </c>
      <c r="J1506" s="112">
        <v>1</v>
      </c>
      <c r="K1506" s="112">
        <v>1</v>
      </c>
      <c r="L1506" s="112">
        <v>2</v>
      </c>
    </row>
    <row r="1507" spans="1:15" x14ac:dyDescent="0.2">
      <c r="A1507" s="111">
        <v>1545</v>
      </c>
      <c r="B1507" s="421" t="s">
        <v>2590</v>
      </c>
      <c r="C1507" s="421" t="s">
        <v>581</v>
      </c>
      <c r="D1507" s="422" t="s">
        <v>666</v>
      </c>
      <c r="E1507" s="111">
        <v>14879</v>
      </c>
      <c r="F1507" s="421" t="s">
        <v>2591</v>
      </c>
      <c r="G1507" s="112">
        <v>1</v>
      </c>
      <c r="H1507" s="112">
        <v>1</v>
      </c>
      <c r="I1507" s="112">
        <v>1</v>
      </c>
      <c r="J1507" s="112">
        <v>3</v>
      </c>
      <c r="K1507" s="112">
        <v>3</v>
      </c>
      <c r="L1507" s="112">
        <v>3</v>
      </c>
      <c r="M1507" s="112">
        <v>2</v>
      </c>
      <c r="N1507" s="112">
        <v>2</v>
      </c>
      <c r="O1507" s="112">
        <v>2</v>
      </c>
    </row>
    <row r="1508" spans="1:15" x14ac:dyDescent="0.2">
      <c r="A1508" s="111">
        <v>1546</v>
      </c>
      <c r="B1508" s="421" t="s">
        <v>2592</v>
      </c>
      <c r="C1508" s="421" t="s">
        <v>506</v>
      </c>
      <c r="D1508" s="422" t="s">
        <v>663</v>
      </c>
      <c r="E1508" s="111">
        <v>14880</v>
      </c>
      <c r="F1508" s="421" t="s">
        <v>4120</v>
      </c>
      <c r="G1508" s="112">
        <v>1</v>
      </c>
      <c r="H1508" s="112">
        <v>1</v>
      </c>
      <c r="I1508" s="112">
        <v>1</v>
      </c>
      <c r="J1508" s="112">
        <v>8</v>
      </c>
      <c r="K1508" s="112">
        <v>9</v>
      </c>
      <c r="L1508" s="112">
        <v>7</v>
      </c>
      <c r="M1508" s="112">
        <v>1</v>
      </c>
      <c r="N1508" s="112">
        <v>2</v>
      </c>
      <c r="O1508" s="112">
        <v>3</v>
      </c>
    </row>
    <row r="1509" spans="1:15" x14ac:dyDescent="0.2">
      <c r="A1509" s="111">
        <v>1547</v>
      </c>
      <c r="B1509" s="421" t="s">
        <v>2593</v>
      </c>
      <c r="C1509" s="421" t="s">
        <v>512</v>
      </c>
      <c r="D1509" s="422" t="s">
        <v>666</v>
      </c>
      <c r="E1509" s="111">
        <v>14745</v>
      </c>
      <c r="F1509" s="421" t="s">
        <v>2594</v>
      </c>
      <c r="G1509" s="112">
        <v>1</v>
      </c>
      <c r="H1509" s="112">
        <v>1</v>
      </c>
      <c r="I1509" s="112">
        <v>1</v>
      </c>
      <c r="L1509" s="112">
        <v>1</v>
      </c>
    </row>
    <row r="1510" spans="1:15" x14ac:dyDescent="0.2">
      <c r="A1510" s="111">
        <v>1548</v>
      </c>
      <c r="B1510" s="421" t="s">
        <v>2595</v>
      </c>
      <c r="C1510" s="421" t="s">
        <v>501</v>
      </c>
      <c r="D1510" s="422" t="s">
        <v>663</v>
      </c>
      <c r="E1510" s="111">
        <v>15832</v>
      </c>
      <c r="F1510" s="421" t="s">
        <v>2596</v>
      </c>
      <c r="H1510" s="112">
        <v>1</v>
      </c>
      <c r="I1510" s="112">
        <v>1</v>
      </c>
      <c r="K1510" s="112">
        <v>1</v>
      </c>
    </row>
    <row r="1511" spans="1:15" x14ac:dyDescent="0.2">
      <c r="A1511" s="111">
        <v>1549</v>
      </c>
      <c r="B1511" s="421" t="s">
        <v>257</v>
      </c>
      <c r="C1511" s="421" t="s">
        <v>551</v>
      </c>
      <c r="D1511" s="422" t="s">
        <v>663</v>
      </c>
      <c r="E1511" s="111">
        <v>14881</v>
      </c>
      <c r="F1511" s="421" t="s">
        <v>2597</v>
      </c>
      <c r="G1511" s="112">
        <v>1</v>
      </c>
      <c r="H1511" s="112">
        <v>1</v>
      </c>
      <c r="I1511" s="112">
        <v>1</v>
      </c>
      <c r="J1511" s="112">
        <v>1</v>
      </c>
      <c r="K1511" s="112">
        <v>1</v>
      </c>
      <c r="L1511" s="112">
        <v>1</v>
      </c>
    </row>
    <row r="1512" spans="1:15" x14ac:dyDescent="0.2">
      <c r="A1512" s="111">
        <v>1552</v>
      </c>
      <c r="B1512" s="421" t="s">
        <v>2598</v>
      </c>
      <c r="C1512" s="421" t="s">
        <v>2599</v>
      </c>
      <c r="D1512" s="422" t="s">
        <v>663</v>
      </c>
      <c r="E1512" s="111">
        <v>14878</v>
      </c>
      <c r="F1512" s="421" t="s">
        <v>2334</v>
      </c>
      <c r="G1512" s="112">
        <v>1</v>
      </c>
      <c r="H1512" s="112">
        <v>1</v>
      </c>
      <c r="I1512" s="112">
        <v>1</v>
      </c>
    </row>
    <row r="1513" spans="1:15" x14ac:dyDescent="0.2">
      <c r="A1513" s="111">
        <v>1553</v>
      </c>
      <c r="B1513" s="421" t="s">
        <v>2600</v>
      </c>
      <c r="C1513" s="421" t="s">
        <v>1908</v>
      </c>
      <c r="D1513" s="422" t="s">
        <v>666</v>
      </c>
      <c r="E1513" s="111">
        <v>14883</v>
      </c>
      <c r="F1513" s="421" t="s">
        <v>2601</v>
      </c>
    </row>
    <row r="1514" spans="1:15" x14ac:dyDescent="0.2">
      <c r="A1514" s="111">
        <v>1554</v>
      </c>
      <c r="B1514" s="421" t="s">
        <v>443</v>
      </c>
      <c r="C1514" s="421" t="s">
        <v>540</v>
      </c>
      <c r="D1514" s="422" t="s">
        <v>663</v>
      </c>
      <c r="E1514" s="111">
        <v>14884</v>
      </c>
      <c r="F1514" s="421" t="s">
        <v>2602</v>
      </c>
      <c r="H1514" s="112">
        <v>1</v>
      </c>
    </row>
    <row r="1515" spans="1:15" x14ac:dyDescent="0.2">
      <c r="A1515" s="111">
        <v>1555</v>
      </c>
      <c r="B1515" s="421" t="s">
        <v>2603</v>
      </c>
      <c r="C1515" s="421" t="s">
        <v>543</v>
      </c>
      <c r="D1515" s="422" t="s">
        <v>666</v>
      </c>
      <c r="E1515" s="111">
        <v>14884</v>
      </c>
      <c r="F1515" s="421" t="s">
        <v>2602</v>
      </c>
    </row>
    <row r="1516" spans="1:15" x14ac:dyDescent="0.2">
      <c r="A1516" s="111">
        <v>1556</v>
      </c>
      <c r="B1516" s="421" t="s">
        <v>2604</v>
      </c>
      <c r="C1516" s="421" t="s">
        <v>542</v>
      </c>
      <c r="D1516" s="422" t="s">
        <v>663</v>
      </c>
      <c r="E1516" s="111">
        <v>14885</v>
      </c>
      <c r="F1516" s="421" t="s">
        <v>2605</v>
      </c>
      <c r="G1516" s="112">
        <v>1</v>
      </c>
      <c r="I1516" s="112">
        <v>1</v>
      </c>
      <c r="L1516" s="112">
        <v>1</v>
      </c>
    </row>
    <row r="1517" spans="1:15" x14ac:dyDescent="0.2">
      <c r="A1517" s="111">
        <v>1557</v>
      </c>
      <c r="B1517" s="421" t="s">
        <v>2606</v>
      </c>
      <c r="C1517" s="421" t="s">
        <v>506</v>
      </c>
      <c r="D1517" s="422" t="s">
        <v>666</v>
      </c>
      <c r="E1517" s="111">
        <v>14885</v>
      </c>
      <c r="F1517" s="421" t="s">
        <v>2605</v>
      </c>
    </row>
    <row r="1518" spans="1:15" x14ac:dyDescent="0.2">
      <c r="A1518" s="111">
        <v>1558</v>
      </c>
      <c r="B1518" s="421" t="s">
        <v>48</v>
      </c>
      <c r="C1518" s="421" t="s">
        <v>503</v>
      </c>
      <c r="D1518" s="422" t="s">
        <v>663</v>
      </c>
      <c r="E1518" s="111">
        <v>14886</v>
      </c>
      <c r="F1518" s="421" t="s">
        <v>2607</v>
      </c>
      <c r="G1518" s="112">
        <v>1</v>
      </c>
      <c r="H1518" s="112">
        <v>1</v>
      </c>
      <c r="I1518" s="112">
        <v>1</v>
      </c>
      <c r="J1518" s="112">
        <v>3</v>
      </c>
      <c r="K1518" s="112">
        <v>3</v>
      </c>
      <c r="L1518" s="112">
        <v>3</v>
      </c>
      <c r="M1518" s="112">
        <v>3</v>
      </c>
      <c r="N1518" s="112">
        <v>1</v>
      </c>
      <c r="O1518" s="112">
        <v>2</v>
      </c>
    </row>
    <row r="1519" spans="1:15" x14ac:dyDescent="0.2">
      <c r="A1519" s="111">
        <v>1559</v>
      </c>
      <c r="B1519" s="421" t="s">
        <v>235</v>
      </c>
      <c r="C1519" s="421" t="s">
        <v>551</v>
      </c>
      <c r="D1519" s="422" t="s">
        <v>663</v>
      </c>
      <c r="E1519" s="111">
        <v>14887</v>
      </c>
      <c r="F1519" s="421" t="s">
        <v>2608</v>
      </c>
      <c r="G1519" s="112">
        <v>1</v>
      </c>
      <c r="H1519" s="112">
        <v>1</v>
      </c>
      <c r="I1519" s="112">
        <v>1</v>
      </c>
      <c r="J1519" s="112">
        <v>3</v>
      </c>
      <c r="K1519" s="112">
        <v>3</v>
      </c>
      <c r="L1519" s="112">
        <v>3</v>
      </c>
    </row>
    <row r="1520" spans="1:15" x14ac:dyDescent="0.2">
      <c r="A1520" s="111">
        <v>1560</v>
      </c>
      <c r="B1520" s="421" t="s">
        <v>2609</v>
      </c>
      <c r="C1520" s="421" t="s">
        <v>551</v>
      </c>
      <c r="D1520" s="422" t="s">
        <v>663</v>
      </c>
      <c r="F1520" s="421" t="s">
        <v>2610</v>
      </c>
      <c r="G1520" s="112">
        <v>1</v>
      </c>
      <c r="H1520" s="112">
        <v>1</v>
      </c>
    </row>
    <row r="1521" spans="1:15" x14ac:dyDescent="0.2">
      <c r="A1521" s="111">
        <v>1561</v>
      </c>
      <c r="B1521" s="421" t="s">
        <v>1678</v>
      </c>
      <c r="C1521" s="421" t="s">
        <v>530</v>
      </c>
      <c r="D1521" s="422" t="s">
        <v>666</v>
      </c>
      <c r="E1521" s="111">
        <v>16164</v>
      </c>
      <c r="F1521" s="421" t="s">
        <v>2611</v>
      </c>
      <c r="G1521" s="112">
        <v>1</v>
      </c>
      <c r="H1521" s="112">
        <v>1</v>
      </c>
      <c r="I1521" s="112">
        <v>1</v>
      </c>
      <c r="J1521" s="112">
        <v>2</v>
      </c>
      <c r="K1521" s="112">
        <v>2</v>
      </c>
      <c r="L1521" s="112">
        <v>3</v>
      </c>
      <c r="M1521" s="112">
        <v>1</v>
      </c>
      <c r="N1521" s="112">
        <v>3</v>
      </c>
      <c r="O1521" s="112">
        <v>1</v>
      </c>
    </row>
    <row r="1522" spans="1:15" x14ac:dyDescent="0.2">
      <c r="A1522" s="111">
        <v>1562</v>
      </c>
      <c r="B1522" s="421" t="s">
        <v>234</v>
      </c>
      <c r="C1522" s="421" t="s">
        <v>501</v>
      </c>
      <c r="D1522" s="422" t="s">
        <v>666</v>
      </c>
      <c r="F1522" s="421" t="s">
        <v>2612</v>
      </c>
      <c r="G1522" s="112">
        <v>1</v>
      </c>
    </row>
    <row r="1523" spans="1:15" x14ac:dyDescent="0.2">
      <c r="A1523" s="111">
        <v>1563</v>
      </c>
      <c r="B1523" s="421" t="s">
        <v>301</v>
      </c>
      <c r="C1523" s="421" t="s">
        <v>506</v>
      </c>
      <c r="D1523" s="422" t="s">
        <v>666</v>
      </c>
      <c r="E1523" s="111">
        <v>14888</v>
      </c>
      <c r="F1523" s="421" t="s">
        <v>2613</v>
      </c>
      <c r="G1523" s="112">
        <v>2</v>
      </c>
    </row>
    <row r="1524" spans="1:15" x14ac:dyDescent="0.2">
      <c r="A1524" s="111">
        <v>1564</v>
      </c>
      <c r="B1524" s="421" t="s">
        <v>2614</v>
      </c>
      <c r="C1524" s="421" t="s">
        <v>518</v>
      </c>
      <c r="D1524" s="422" t="s">
        <v>663</v>
      </c>
      <c r="E1524" s="111">
        <v>1439</v>
      </c>
      <c r="F1524" s="421" t="s">
        <v>2833</v>
      </c>
      <c r="G1524" s="112">
        <v>1</v>
      </c>
      <c r="H1524" s="112">
        <v>1</v>
      </c>
      <c r="I1524" s="112">
        <v>1</v>
      </c>
    </row>
    <row r="1525" spans="1:15" x14ac:dyDescent="0.2">
      <c r="A1525" s="111">
        <v>1565</v>
      </c>
      <c r="B1525" s="421" t="s">
        <v>1380</v>
      </c>
      <c r="C1525" s="421" t="s">
        <v>2165</v>
      </c>
      <c r="D1525" s="422" t="s">
        <v>663</v>
      </c>
      <c r="F1525" s="421" t="s">
        <v>2615</v>
      </c>
    </row>
    <row r="1526" spans="1:15" x14ac:dyDescent="0.2">
      <c r="A1526" s="111">
        <v>1566</v>
      </c>
      <c r="B1526" s="421" t="s">
        <v>2616</v>
      </c>
      <c r="C1526" s="421" t="s">
        <v>506</v>
      </c>
      <c r="D1526" s="422" t="s">
        <v>663</v>
      </c>
      <c r="E1526" s="111">
        <v>14576</v>
      </c>
      <c r="F1526" s="421" t="s">
        <v>1754</v>
      </c>
      <c r="G1526" s="112">
        <v>1</v>
      </c>
      <c r="H1526" s="112">
        <v>1</v>
      </c>
      <c r="I1526" s="112">
        <v>1</v>
      </c>
      <c r="J1526" s="112">
        <v>9</v>
      </c>
      <c r="K1526" s="112">
        <v>10</v>
      </c>
      <c r="L1526" s="112">
        <v>9</v>
      </c>
      <c r="M1526" s="112">
        <v>22</v>
      </c>
      <c r="N1526" s="112">
        <v>15</v>
      </c>
      <c r="O1526" s="112">
        <v>26</v>
      </c>
    </row>
    <row r="1527" spans="1:15" x14ac:dyDescent="0.2">
      <c r="A1527" s="111">
        <v>1567</v>
      </c>
      <c r="B1527" s="421" t="s">
        <v>2617</v>
      </c>
      <c r="C1527" s="421" t="s">
        <v>2618</v>
      </c>
      <c r="D1527" s="422" t="s">
        <v>663</v>
      </c>
      <c r="E1527" s="111">
        <v>14882</v>
      </c>
      <c r="F1527" s="421" t="s">
        <v>2619</v>
      </c>
      <c r="H1527" s="112">
        <v>1</v>
      </c>
      <c r="I1527" s="112">
        <v>1</v>
      </c>
    </row>
    <row r="1528" spans="1:15" x14ac:dyDescent="0.2">
      <c r="A1528" s="111">
        <v>1569</v>
      </c>
      <c r="B1528" s="421" t="s">
        <v>2620</v>
      </c>
      <c r="C1528" s="421" t="s">
        <v>514</v>
      </c>
      <c r="D1528" s="422" t="s">
        <v>666</v>
      </c>
      <c r="E1528" s="111">
        <v>14889</v>
      </c>
      <c r="F1528" s="421" t="s">
        <v>2621</v>
      </c>
      <c r="G1528" s="112">
        <v>1</v>
      </c>
      <c r="H1528" s="112">
        <v>1</v>
      </c>
      <c r="I1528" s="112">
        <v>1</v>
      </c>
      <c r="J1528" s="112">
        <v>2</v>
      </c>
      <c r="K1528" s="112">
        <v>1</v>
      </c>
      <c r="L1528" s="112">
        <v>1</v>
      </c>
    </row>
    <row r="1529" spans="1:15" x14ac:dyDescent="0.2">
      <c r="A1529" s="111">
        <v>1570</v>
      </c>
      <c r="B1529" s="421" t="s">
        <v>2622</v>
      </c>
      <c r="C1529" s="421" t="s">
        <v>506</v>
      </c>
      <c r="D1529" s="422" t="s">
        <v>663</v>
      </c>
      <c r="E1529" s="111">
        <v>14936</v>
      </c>
      <c r="F1529" s="421" t="s">
        <v>2623</v>
      </c>
      <c r="G1529" s="112">
        <v>2</v>
      </c>
      <c r="H1529" s="112">
        <v>1</v>
      </c>
    </row>
    <row r="1530" spans="1:15" x14ac:dyDescent="0.2">
      <c r="A1530" s="111">
        <v>1571</v>
      </c>
      <c r="B1530" s="421" t="s">
        <v>2624</v>
      </c>
      <c r="C1530" s="421" t="s">
        <v>503</v>
      </c>
      <c r="D1530" s="422" t="s">
        <v>666</v>
      </c>
      <c r="F1530" s="421" t="s">
        <v>2625</v>
      </c>
      <c r="G1530" s="112">
        <v>1</v>
      </c>
      <c r="H1530" s="112">
        <v>1</v>
      </c>
      <c r="I1530" s="112">
        <v>1</v>
      </c>
      <c r="J1530" s="112">
        <v>1</v>
      </c>
      <c r="K1530" s="112">
        <v>1</v>
      </c>
      <c r="L1530" s="112">
        <v>1</v>
      </c>
    </row>
    <row r="1531" spans="1:15" x14ac:dyDescent="0.2">
      <c r="A1531" s="111">
        <v>1572</v>
      </c>
      <c r="B1531" s="421" t="s">
        <v>397</v>
      </c>
      <c r="C1531" s="421" t="s">
        <v>574</v>
      </c>
      <c r="D1531" s="422" t="s">
        <v>663</v>
      </c>
      <c r="E1531" s="111">
        <v>14890</v>
      </c>
      <c r="F1531" s="421" t="s">
        <v>2626</v>
      </c>
      <c r="G1531" s="112">
        <v>1</v>
      </c>
      <c r="H1531" s="112">
        <v>1</v>
      </c>
      <c r="I1531" s="112">
        <v>1</v>
      </c>
      <c r="J1531" s="112">
        <v>2</v>
      </c>
      <c r="K1531" s="112">
        <v>4</v>
      </c>
      <c r="L1531" s="112">
        <v>2</v>
      </c>
      <c r="N1531" s="112">
        <v>1</v>
      </c>
      <c r="O1531" s="112">
        <v>1</v>
      </c>
    </row>
    <row r="1532" spans="1:15" x14ac:dyDescent="0.2">
      <c r="A1532" s="111">
        <v>1573</v>
      </c>
      <c r="B1532" s="421" t="s">
        <v>2627</v>
      </c>
      <c r="C1532" s="421" t="s">
        <v>560</v>
      </c>
      <c r="D1532" s="422" t="s">
        <v>666</v>
      </c>
      <c r="F1532" s="421" t="s">
        <v>2628</v>
      </c>
      <c r="G1532" s="112">
        <v>1</v>
      </c>
      <c r="H1532" s="112">
        <v>1</v>
      </c>
      <c r="I1532" s="112">
        <v>1</v>
      </c>
      <c r="J1532" s="112">
        <v>1</v>
      </c>
      <c r="K1532" s="112">
        <v>1</v>
      </c>
      <c r="L1532" s="112">
        <v>1</v>
      </c>
    </row>
    <row r="1533" spans="1:15" x14ac:dyDescent="0.2">
      <c r="A1533" s="111">
        <v>1574</v>
      </c>
      <c r="B1533" s="421" t="s">
        <v>2629</v>
      </c>
      <c r="C1533" s="421" t="s">
        <v>501</v>
      </c>
      <c r="D1533" s="422" t="s">
        <v>666</v>
      </c>
      <c r="E1533" s="111">
        <v>14604</v>
      </c>
      <c r="F1533" s="421" t="s">
        <v>1828</v>
      </c>
    </row>
    <row r="1534" spans="1:15" x14ac:dyDescent="0.2">
      <c r="A1534" s="111">
        <v>1575</v>
      </c>
      <c r="B1534" s="421" t="s">
        <v>2630</v>
      </c>
      <c r="C1534" s="421" t="s">
        <v>513</v>
      </c>
      <c r="D1534" s="422" t="s">
        <v>666</v>
      </c>
      <c r="E1534" s="111">
        <v>14891</v>
      </c>
      <c r="F1534" s="421" t="s">
        <v>2631</v>
      </c>
      <c r="G1534" s="112">
        <v>1</v>
      </c>
      <c r="H1534" s="112">
        <v>1</v>
      </c>
      <c r="I1534" s="112">
        <v>1</v>
      </c>
      <c r="J1534" s="112">
        <v>1</v>
      </c>
      <c r="K1534" s="112">
        <v>3</v>
      </c>
      <c r="L1534" s="112">
        <v>1</v>
      </c>
      <c r="M1534" s="112">
        <v>2</v>
      </c>
      <c r="N1534" s="112">
        <v>1</v>
      </c>
      <c r="O1534" s="112">
        <v>1</v>
      </c>
    </row>
    <row r="1535" spans="1:15" x14ac:dyDescent="0.2">
      <c r="A1535" s="111">
        <v>1576</v>
      </c>
      <c r="B1535" s="421" t="s">
        <v>2632</v>
      </c>
      <c r="C1535" s="421" t="s">
        <v>501</v>
      </c>
      <c r="D1535" s="422" t="s">
        <v>666</v>
      </c>
      <c r="E1535" s="111">
        <v>14892</v>
      </c>
      <c r="F1535" s="421" t="s">
        <v>2633</v>
      </c>
      <c r="G1535" s="112">
        <v>1</v>
      </c>
      <c r="H1535" s="112">
        <v>1</v>
      </c>
      <c r="I1535" s="112">
        <v>1</v>
      </c>
      <c r="J1535" s="112">
        <v>2</v>
      </c>
      <c r="K1535" s="112">
        <v>2</v>
      </c>
      <c r="L1535" s="112">
        <v>2</v>
      </c>
      <c r="M1535" s="112">
        <v>1</v>
      </c>
      <c r="N1535" s="112">
        <v>1</v>
      </c>
      <c r="O1535" s="112">
        <v>1</v>
      </c>
    </row>
    <row r="1536" spans="1:15" x14ac:dyDescent="0.2">
      <c r="A1536" s="111">
        <v>1577</v>
      </c>
      <c r="B1536" s="421" t="s">
        <v>1316</v>
      </c>
      <c r="C1536" s="421" t="s">
        <v>501</v>
      </c>
      <c r="D1536" s="422" t="s">
        <v>666</v>
      </c>
      <c r="E1536" s="111">
        <v>14893</v>
      </c>
      <c r="F1536" s="421" t="s">
        <v>2634</v>
      </c>
      <c r="G1536" s="112">
        <v>1</v>
      </c>
      <c r="H1536" s="112">
        <v>1</v>
      </c>
      <c r="I1536" s="112">
        <v>1</v>
      </c>
      <c r="J1536" s="112">
        <v>3</v>
      </c>
      <c r="K1536" s="112">
        <v>3</v>
      </c>
      <c r="L1536" s="112">
        <v>2</v>
      </c>
      <c r="M1536" s="112">
        <v>2</v>
      </c>
      <c r="N1536" s="112">
        <v>1</v>
      </c>
      <c r="O1536" s="112">
        <v>1</v>
      </c>
    </row>
    <row r="1537" spans="1:15" x14ac:dyDescent="0.2">
      <c r="A1537" s="111">
        <v>1578</v>
      </c>
      <c r="B1537" s="421" t="s">
        <v>1434</v>
      </c>
      <c r="C1537" s="421" t="s">
        <v>501</v>
      </c>
      <c r="D1537" s="422" t="s">
        <v>666</v>
      </c>
      <c r="E1537" s="111">
        <v>14302</v>
      </c>
      <c r="F1537" s="421" t="s">
        <v>1048</v>
      </c>
      <c r="G1537" s="112">
        <v>1</v>
      </c>
      <c r="H1537" s="112">
        <v>1</v>
      </c>
      <c r="I1537" s="112">
        <v>1</v>
      </c>
      <c r="J1537" s="112">
        <v>3</v>
      </c>
      <c r="K1537" s="112">
        <v>2</v>
      </c>
      <c r="L1537" s="112">
        <v>2</v>
      </c>
    </row>
    <row r="1538" spans="1:15" x14ac:dyDescent="0.2">
      <c r="A1538" s="111">
        <v>1579</v>
      </c>
      <c r="B1538" s="421" t="s">
        <v>2635</v>
      </c>
      <c r="C1538" s="421" t="s">
        <v>512</v>
      </c>
      <c r="D1538" s="422" t="s">
        <v>663</v>
      </c>
      <c r="E1538" s="111">
        <v>14894</v>
      </c>
      <c r="F1538" s="421" t="s">
        <v>2636</v>
      </c>
      <c r="G1538" s="112">
        <v>1</v>
      </c>
      <c r="H1538" s="112">
        <v>1</v>
      </c>
      <c r="I1538" s="112">
        <v>1</v>
      </c>
      <c r="J1538" s="112">
        <v>6</v>
      </c>
      <c r="K1538" s="112">
        <v>6</v>
      </c>
      <c r="L1538" s="112">
        <v>6</v>
      </c>
      <c r="M1538" s="112">
        <v>6</v>
      </c>
      <c r="N1538" s="112">
        <v>5</v>
      </c>
      <c r="O1538" s="112">
        <v>4</v>
      </c>
    </row>
    <row r="1539" spans="1:15" x14ac:dyDescent="0.2">
      <c r="A1539" s="111">
        <v>1580</v>
      </c>
      <c r="B1539" s="421" t="s">
        <v>461</v>
      </c>
      <c r="C1539" s="421" t="s">
        <v>574</v>
      </c>
      <c r="D1539" s="422" t="s">
        <v>663</v>
      </c>
      <c r="E1539" s="111">
        <v>14895</v>
      </c>
      <c r="F1539" s="421" t="s">
        <v>2637</v>
      </c>
      <c r="G1539" s="112">
        <v>1</v>
      </c>
      <c r="H1539" s="112">
        <v>1</v>
      </c>
    </row>
    <row r="1540" spans="1:15" x14ac:dyDescent="0.2">
      <c r="A1540" s="111">
        <v>1581</v>
      </c>
      <c r="B1540" s="421" t="s">
        <v>2638</v>
      </c>
      <c r="C1540" s="421" t="s">
        <v>574</v>
      </c>
      <c r="D1540" s="422" t="s">
        <v>663</v>
      </c>
      <c r="E1540" s="111">
        <v>14896</v>
      </c>
      <c r="F1540" s="421" t="s">
        <v>2639</v>
      </c>
    </row>
    <row r="1541" spans="1:15" x14ac:dyDescent="0.2">
      <c r="A1541" s="111">
        <v>1582</v>
      </c>
      <c r="B1541" s="421" t="s">
        <v>2640</v>
      </c>
      <c r="C1541" s="421" t="s">
        <v>501</v>
      </c>
      <c r="D1541" s="422" t="s">
        <v>666</v>
      </c>
      <c r="E1541" s="111">
        <v>14896</v>
      </c>
      <c r="F1541" s="421" t="s">
        <v>2639</v>
      </c>
    </row>
    <row r="1542" spans="1:15" x14ac:dyDescent="0.2">
      <c r="A1542" s="111">
        <v>1583</v>
      </c>
      <c r="B1542" s="421" t="s">
        <v>2641</v>
      </c>
      <c r="C1542" s="421" t="s">
        <v>572</v>
      </c>
      <c r="D1542" s="422" t="s">
        <v>666</v>
      </c>
      <c r="E1542" s="111">
        <v>14896</v>
      </c>
      <c r="F1542" s="421" t="s">
        <v>2639</v>
      </c>
    </row>
    <row r="1543" spans="1:15" x14ac:dyDescent="0.2">
      <c r="A1543" s="111">
        <v>1584</v>
      </c>
      <c r="B1543" s="421" t="s">
        <v>2642</v>
      </c>
      <c r="C1543" s="421" t="s">
        <v>502</v>
      </c>
      <c r="D1543" s="422" t="s">
        <v>666</v>
      </c>
      <c r="E1543" s="111">
        <v>14897</v>
      </c>
      <c r="F1543" s="421" t="s">
        <v>2643</v>
      </c>
      <c r="G1543" s="112">
        <v>2</v>
      </c>
      <c r="H1543" s="112">
        <v>1</v>
      </c>
      <c r="I1543" s="112">
        <v>1</v>
      </c>
    </row>
    <row r="1544" spans="1:15" x14ac:dyDescent="0.2">
      <c r="A1544" s="111">
        <v>1585</v>
      </c>
      <c r="B1544" s="421" t="s">
        <v>161</v>
      </c>
      <c r="C1544" s="421" t="s">
        <v>512</v>
      </c>
      <c r="D1544" s="422" t="s">
        <v>663</v>
      </c>
      <c r="E1544" s="111">
        <v>14894</v>
      </c>
      <c r="F1544" s="421" t="s">
        <v>2636</v>
      </c>
      <c r="G1544" s="112">
        <v>1</v>
      </c>
      <c r="H1544" s="112">
        <v>1</v>
      </c>
      <c r="I1544" s="112">
        <v>1</v>
      </c>
      <c r="J1544" s="112">
        <v>1</v>
      </c>
      <c r="K1544" s="112">
        <v>1</v>
      </c>
      <c r="L1544" s="112">
        <v>1</v>
      </c>
    </row>
    <row r="1545" spans="1:15" x14ac:dyDescent="0.2">
      <c r="A1545" s="111">
        <v>1586</v>
      </c>
      <c r="B1545" s="421" t="s">
        <v>2644</v>
      </c>
      <c r="C1545" s="421" t="s">
        <v>573</v>
      </c>
      <c r="D1545" s="422" t="s">
        <v>663</v>
      </c>
      <c r="E1545" s="111">
        <v>15533</v>
      </c>
      <c r="F1545" s="421" t="s">
        <v>2645</v>
      </c>
      <c r="G1545" s="112">
        <v>1</v>
      </c>
      <c r="H1545" s="112">
        <v>1</v>
      </c>
      <c r="I1545" s="112">
        <v>1</v>
      </c>
      <c r="J1545" s="112">
        <v>4</v>
      </c>
      <c r="K1545" s="112">
        <v>4</v>
      </c>
      <c r="L1545" s="112">
        <v>4</v>
      </c>
      <c r="M1545" s="112">
        <v>3</v>
      </c>
      <c r="N1545" s="112">
        <v>3</v>
      </c>
      <c r="O1545" s="112">
        <v>3</v>
      </c>
    </row>
    <row r="1546" spans="1:15" x14ac:dyDescent="0.2">
      <c r="A1546" s="111">
        <v>1587</v>
      </c>
      <c r="B1546" s="421" t="s">
        <v>2646</v>
      </c>
      <c r="C1546" s="421" t="s">
        <v>589</v>
      </c>
      <c r="D1546" s="422" t="s">
        <v>663</v>
      </c>
      <c r="E1546" s="111">
        <v>15294</v>
      </c>
      <c r="F1546" s="421" t="s">
        <v>1703</v>
      </c>
      <c r="G1546" s="112">
        <v>1</v>
      </c>
      <c r="H1546" s="112">
        <v>1</v>
      </c>
      <c r="I1546" s="112">
        <v>1</v>
      </c>
      <c r="J1546" s="112">
        <v>6</v>
      </c>
      <c r="K1546" s="112">
        <v>5</v>
      </c>
      <c r="L1546" s="112">
        <v>5</v>
      </c>
      <c r="M1546" s="112">
        <v>4</v>
      </c>
      <c r="O1546" s="112">
        <v>1</v>
      </c>
    </row>
    <row r="1547" spans="1:15" x14ac:dyDescent="0.2">
      <c r="A1547" s="111">
        <v>1588</v>
      </c>
      <c r="B1547" s="421" t="s">
        <v>93</v>
      </c>
      <c r="C1547" s="421" t="s">
        <v>501</v>
      </c>
      <c r="D1547" s="422" t="s">
        <v>663</v>
      </c>
      <c r="E1547" s="111">
        <v>14899</v>
      </c>
      <c r="F1547" s="421" t="s">
        <v>2650</v>
      </c>
      <c r="G1547" s="112">
        <v>1</v>
      </c>
      <c r="H1547" s="112">
        <v>1</v>
      </c>
      <c r="I1547" s="112">
        <v>1</v>
      </c>
    </row>
    <row r="1548" spans="1:15" x14ac:dyDescent="0.2">
      <c r="A1548" s="111">
        <v>1589</v>
      </c>
      <c r="B1548" s="421" t="s">
        <v>1602</v>
      </c>
      <c r="C1548" s="421" t="s">
        <v>503</v>
      </c>
      <c r="D1548" s="422" t="s">
        <v>663</v>
      </c>
      <c r="F1548" s="421" t="s">
        <v>2651</v>
      </c>
      <c r="G1548" s="112">
        <v>1</v>
      </c>
      <c r="H1548" s="112">
        <v>1</v>
      </c>
    </row>
    <row r="1549" spans="1:15" x14ac:dyDescent="0.2">
      <c r="A1549" s="111">
        <v>1590</v>
      </c>
      <c r="B1549" s="421" t="s">
        <v>2652</v>
      </c>
      <c r="C1549" s="421" t="s">
        <v>1817</v>
      </c>
      <c r="D1549" s="422" t="s">
        <v>663</v>
      </c>
      <c r="E1549" s="111">
        <v>15214</v>
      </c>
      <c r="F1549" s="421" t="s">
        <v>2653</v>
      </c>
      <c r="G1549" s="112">
        <v>1</v>
      </c>
      <c r="H1549" s="112">
        <v>1</v>
      </c>
      <c r="I1549" s="112">
        <v>1</v>
      </c>
      <c r="J1549" s="112">
        <v>2</v>
      </c>
      <c r="K1549" s="112">
        <v>2</v>
      </c>
      <c r="L1549" s="112">
        <v>2</v>
      </c>
      <c r="M1549" s="112">
        <v>2</v>
      </c>
    </row>
    <row r="1550" spans="1:15" x14ac:dyDescent="0.2">
      <c r="A1550" s="111">
        <v>1591</v>
      </c>
      <c r="B1550" s="421" t="s">
        <v>2654</v>
      </c>
      <c r="C1550" s="421" t="s">
        <v>1994</v>
      </c>
      <c r="D1550" s="422" t="s">
        <v>663</v>
      </c>
      <c r="E1550" s="111">
        <v>15214</v>
      </c>
      <c r="F1550" s="421" t="s">
        <v>2653</v>
      </c>
      <c r="G1550" s="112">
        <v>1</v>
      </c>
      <c r="H1550" s="112">
        <v>1</v>
      </c>
      <c r="I1550" s="112">
        <v>1</v>
      </c>
      <c r="J1550" s="112">
        <v>6</v>
      </c>
      <c r="K1550" s="112">
        <v>2</v>
      </c>
      <c r="L1550" s="112">
        <v>3</v>
      </c>
    </row>
    <row r="1551" spans="1:15" x14ac:dyDescent="0.2">
      <c r="A1551" s="111">
        <v>1592</v>
      </c>
      <c r="B1551" s="421" t="s">
        <v>211</v>
      </c>
      <c r="C1551" s="421" t="s">
        <v>548</v>
      </c>
      <c r="D1551" s="422" t="s">
        <v>666</v>
      </c>
      <c r="E1551" s="111">
        <v>14400</v>
      </c>
      <c r="F1551" s="421" t="s">
        <v>2655</v>
      </c>
      <c r="G1551" s="112">
        <v>1</v>
      </c>
      <c r="I1551" s="112">
        <v>1</v>
      </c>
    </row>
    <row r="1552" spans="1:15" x14ac:dyDescent="0.2">
      <c r="A1552" s="111">
        <v>1593</v>
      </c>
      <c r="B1552" s="421" t="s">
        <v>119</v>
      </c>
      <c r="C1552" s="421" t="s">
        <v>506</v>
      </c>
      <c r="D1552" s="422" t="s">
        <v>663</v>
      </c>
      <c r="E1552" s="111">
        <v>14901</v>
      </c>
      <c r="F1552" s="421" t="s">
        <v>2656</v>
      </c>
      <c r="G1552" s="112">
        <v>1</v>
      </c>
      <c r="H1552" s="112">
        <v>1</v>
      </c>
      <c r="I1552" s="112">
        <v>1</v>
      </c>
    </row>
    <row r="1553" spans="1:15" x14ac:dyDescent="0.2">
      <c r="A1553" s="111">
        <v>1594</v>
      </c>
      <c r="B1553" s="421" t="s">
        <v>2657</v>
      </c>
      <c r="C1553" s="421" t="s">
        <v>509</v>
      </c>
      <c r="D1553" s="422" t="s">
        <v>666</v>
      </c>
      <c r="E1553" s="111">
        <v>14854</v>
      </c>
      <c r="F1553" s="421" t="s">
        <v>2658</v>
      </c>
      <c r="G1553" s="112">
        <v>1</v>
      </c>
      <c r="H1553" s="112">
        <v>1</v>
      </c>
      <c r="K1553" s="112">
        <v>1</v>
      </c>
    </row>
    <row r="1554" spans="1:15" x14ac:dyDescent="0.2">
      <c r="A1554" s="111">
        <v>1595</v>
      </c>
      <c r="B1554" s="421" t="s">
        <v>2659</v>
      </c>
      <c r="C1554" s="421" t="s">
        <v>1211</v>
      </c>
      <c r="D1554" s="422" t="s">
        <v>663</v>
      </c>
      <c r="E1554" s="111">
        <v>14902</v>
      </c>
      <c r="F1554" s="421" t="s">
        <v>2660</v>
      </c>
    </row>
    <row r="1555" spans="1:15" x14ac:dyDescent="0.2">
      <c r="A1555" s="111">
        <v>1596</v>
      </c>
      <c r="B1555" s="421" t="s">
        <v>2661</v>
      </c>
      <c r="C1555" s="421" t="s">
        <v>523</v>
      </c>
      <c r="D1555" s="422" t="s">
        <v>663</v>
      </c>
      <c r="E1555" s="111">
        <v>14903</v>
      </c>
      <c r="F1555" s="421" t="s">
        <v>2662</v>
      </c>
      <c r="G1555" s="112">
        <v>1</v>
      </c>
      <c r="H1555" s="112">
        <v>1</v>
      </c>
      <c r="I1555" s="112">
        <v>1</v>
      </c>
      <c r="J1555" s="112">
        <v>3</v>
      </c>
      <c r="K1555" s="112">
        <v>1</v>
      </c>
      <c r="L1555" s="112">
        <v>2</v>
      </c>
    </row>
    <row r="1556" spans="1:15" x14ac:dyDescent="0.2">
      <c r="A1556" s="111">
        <v>1597</v>
      </c>
      <c r="B1556" s="421" t="s">
        <v>2663</v>
      </c>
      <c r="C1556" s="421" t="s">
        <v>567</v>
      </c>
      <c r="D1556" s="422" t="s">
        <v>663</v>
      </c>
      <c r="E1556" s="111">
        <v>14915</v>
      </c>
      <c r="F1556" s="421" t="s">
        <v>2664</v>
      </c>
      <c r="G1556" s="112">
        <v>2</v>
      </c>
      <c r="H1556" s="112">
        <v>2</v>
      </c>
      <c r="I1556" s="112">
        <v>2</v>
      </c>
      <c r="J1556" s="112">
        <v>5</v>
      </c>
      <c r="K1556" s="112">
        <v>5</v>
      </c>
      <c r="L1556" s="112">
        <v>4</v>
      </c>
      <c r="M1556" s="112">
        <v>4</v>
      </c>
      <c r="N1556" s="112">
        <v>4</v>
      </c>
      <c r="O1556" s="112">
        <v>5</v>
      </c>
    </row>
    <row r="1557" spans="1:15" x14ac:dyDescent="0.2">
      <c r="A1557" s="111">
        <v>1598</v>
      </c>
      <c r="B1557" s="421" t="s">
        <v>2665</v>
      </c>
      <c r="C1557" s="421" t="s">
        <v>513</v>
      </c>
      <c r="D1557" s="422" t="s">
        <v>666</v>
      </c>
      <c r="E1557" s="111">
        <v>14809</v>
      </c>
      <c r="F1557" s="421" t="s">
        <v>2439</v>
      </c>
      <c r="G1557" s="112">
        <v>1</v>
      </c>
      <c r="H1557" s="112">
        <v>1</v>
      </c>
      <c r="I1557" s="112">
        <v>1</v>
      </c>
    </row>
    <row r="1558" spans="1:15" x14ac:dyDescent="0.2">
      <c r="A1558" s="111">
        <v>1599</v>
      </c>
      <c r="B1558" s="421" t="s">
        <v>2666</v>
      </c>
      <c r="C1558" s="421" t="s">
        <v>501</v>
      </c>
      <c r="D1558" s="422" t="s">
        <v>663</v>
      </c>
      <c r="E1558" s="111">
        <v>14904</v>
      </c>
      <c r="F1558" s="421" t="s">
        <v>2667</v>
      </c>
      <c r="G1558" s="112">
        <v>1</v>
      </c>
      <c r="H1558" s="112">
        <v>1</v>
      </c>
      <c r="I1558" s="112">
        <v>1</v>
      </c>
      <c r="J1558" s="112">
        <v>8</v>
      </c>
      <c r="K1558" s="112">
        <v>6</v>
      </c>
      <c r="L1558" s="112">
        <v>6</v>
      </c>
      <c r="M1558" s="112">
        <v>1</v>
      </c>
    </row>
    <row r="1559" spans="1:15" x14ac:dyDescent="0.2">
      <c r="A1559" s="111">
        <v>1600</v>
      </c>
      <c r="B1559" s="421" t="s">
        <v>439</v>
      </c>
      <c r="C1559" s="421" t="s">
        <v>513</v>
      </c>
      <c r="D1559" s="422" t="s">
        <v>663</v>
      </c>
      <c r="E1559" s="111">
        <v>14905</v>
      </c>
      <c r="F1559" s="421" t="s">
        <v>2668</v>
      </c>
      <c r="G1559" s="112">
        <v>1</v>
      </c>
      <c r="H1559" s="112">
        <v>1</v>
      </c>
      <c r="I1559" s="112">
        <v>1</v>
      </c>
      <c r="J1559" s="112">
        <v>7</v>
      </c>
      <c r="L1559" s="112">
        <v>6</v>
      </c>
    </row>
    <row r="1560" spans="1:15" x14ac:dyDescent="0.2">
      <c r="A1560" s="111">
        <v>1601</v>
      </c>
      <c r="B1560" s="421" t="s">
        <v>2669</v>
      </c>
      <c r="C1560" s="421" t="s">
        <v>506</v>
      </c>
      <c r="D1560" s="422" t="s">
        <v>666</v>
      </c>
      <c r="E1560" s="111">
        <v>14652</v>
      </c>
      <c r="F1560" s="421" t="s">
        <v>1955</v>
      </c>
    </row>
    <row r="1561" spans="1:15" x14ac:dyDescent="0.2">
      <c r="A1561" s="111">
        <v>1602</v>
      </c>
      <c r="B1561" s="421" t="s">
        <v>2592</v>
      </c>
      <c r="C1561" s="421" t="s">
        <v>526</v>
      </c>
      <c r="D1561" s="422" t="s">
        <v>663</v>
      </c>
      <c r="E1561" s="111">
        <v>14906</v>
      </c>
      <c r="F1561" s="421" t="s">
        <v>2670</v>
      </c>
      <c r="G1561" s="112">
        <v>1</v>
      </c>
      <c r="H1561" s="112">
        <v>1</v>
      </c>
      <c r="I1561" s="112">
        <v>1</v>
      </c>
      <c r="J1561" s="112">
        <v>3</v>
      </c>
      <c r="K1561" s="112">
        <v>2</v>
      </c>
      <c r="L1561" s="112">
        <v>1</v>
      </c>
    </row>
    <row r="1562" spans="1:15" x14ac:dyDescent="0.2">
      <c r="A1562" s="111">
        <v>1603</v>
      </c>
      <c r="B1562" s="421" t="s">
        <v>53</v>
      </c>
      <c r="C1562" s="421" t="s">
        <v>551</v>
      </c>
      <c r="D1562" s="422" t="s">
        <v>663</v>
      </c>
      <c r="E1562" s="111">
        <v>14906</v>
      </c>
      <c r="F1562" s="421" t="s">
        <v>2670</v>
      </c>
      <c r="G1562" s="112">
        <v>1</v>
      </c>
      <c r="H1562" s="112">
        <v>1</v>
      </c>
      <c r="I1562" s="112">
        <v>1</v>
      </c>
      <c r="J1562" s="112">
        <v>9</v>
      </c>
      <c r="K1562" s="112">
        <v>6</v>
      </c>
      <c r="L1562" s="112">
        <v>7</v>
      </c>
      <c r="M1562" s="112">
        <v>7</v>
      </c>
      <c r="N1562" s="112">
        <v>4</v>
      </c>
      <c r="O1562" s="112">
        <v>4</v>
      </c>
    </row>
    <row r="1563" spans="1:15" x14ac:dyDescent="0.2">
      <c r="A1563" s="111">
        <v>1604</v>
      </c>
      <c r="B1563" s="421" t="s">
        <v>487</v>
      </c>
      <c r="C1563" s="421" t="s">
        <v>519</v>
      </c>
      <c r="D1563" s="422" t="s">
        <v>663</v>
      </c>
      <c r="F1563" s="421" t="s">
        <v>3381</v>
      </c>
      <c r="G1563" s="112">
        <v>1</v>
      </c>
      <c r="H1563" s="112">
        <v>1</v>
      </c>
      <c r="I1563" s="112">
        <v>1</v>
      </c>
      <c r="J1563" s="112">
        <v>1</v>
      </c>
      <c r="K1563" s="112">
        <v>1</v>
      </c>
    </row>
    <row r="1564" spans="1:15" x14ac:dyDescent="0.2">
      <c r="A1564" s="111">
        <v>1605</v>
      </c>
      <c r="B1564" s="421" t="s">
        <v>2671</v>
      </c>
      <c r="C1564" s="421" t="s">
        <v>551</v>
      </c>
      <c r="D1564" s="422" t="s">
        <v>663</v>
      </c>
      <c r="E1564" s="111">
        <v>14908</v>
      </c>
      <c r="F1564" s="421" t="s">
        <v>2672</v>
      </c>
      <c r="G1564" s="112">
        <v>1</v>
      </c>
      <c r="H1564" s="112">
        <v>1</v>
      </c>
      <c r="I1564" s="112">
        <v>1</v>
      </c>
      <c r="J1564" s="112">
        <v>3</v>
      </c>
      <c r="K1564" s="112">
        <v>2</v>
      </c>
      <c r="L1564" s="112">
        <v>1</v>
      </c>
      <c r="N1564" s="112">
        <v>1</v>
      </c>
    </row>
    <row r="1565" spans="1:15" x14ac:dyDescent="0.2">
      <c r="A1565" s="111">
        <v>1606</v>
      </c>
      <c r="B1565" s="421" t="s">
        <v>1371</v>
      </c>
      <c r="C1565" s="421" t="s">
        <v>551</v>
      </c>
      <c r="D1565" s="422" t="s">
        <v>666</v>
      </c>
      <c r="E1565" s="111">
        <v>15831</v>
      </c>
      <c r="F1565" s="421" t="s">
        <v>2673</v>
      </c>
      <c r="G1565" s="112">
        <v>1</v>
      </c>
      <c r="H1565" s="112">
        <v>1</v>
      </c>
      <c r="I1565" s="112">
        <v>1</v>
      </c>
      <c r="J1565" s="112">
        <v>1</v>
      </c>
      <c r="K1565" s="112">
        <v>1</v>
      </c>
      <c r="L1565" s="112">
        <v>1</v>
      </c>
      <c r="M1565" s="112">
        <v>1</v>
      </c>
      <c r="N1565" s="112">
        <v>1</v>
      </c>
    </row>
    <row r="1566" spans="1:15" x14ac:dyDescent="0.2">
      <c r="A1566" s="111">
        <v>1607</v>
      </c>
      <c r="B1566" s="421" t="s">
        <v>208</v>
      </c>
      <c r="C1566" s="421" t="s">
        <v>501</v>
      </c>
      <c r="D1566" s="422" t="s">
        <v>663</v>
      </c>
      <c r="E1566" s="111">
        <v>14909</v>
      </c>
      <c r="F1566" s="421" t="s">
        <v>2674</v>
      </c>
      <c r="G1566" s="112">
        <v>1</v>
      </c>
      <c r="H1566" s="112">
        <v>1</v>
      </c>
      <c r="I1566" s="112">
        <v>1</v>
      </c>
      <c r="J1566" s="112">
        <v>1</v>
      </c>
      <c r="K1566" s="112">
        <v>1</v>
      </c>
    </row>
    <row r="1567" spans="1:15" x14ac:dyDescent="0.2">
      <c r="A1567" s="111">
        <v>1608</v>
      </c>
      <c r="B1567" s="421" t="s">
        <v>2675</v>
      </c>
      <c r="C1567" s="421" t="s">
        <v>501</v>
      </c>
      <c r="D1567" s="422" t="s">
        <v>666</v>
      </c>
      <c r="E1567" s="111">
        <v>14912</v>
      </c>
      <c r="F1567" s="421" t="s">
        <v>2676</v>
      </c>
      <c r="G1567" s="112">
        <v>1</v>
      </c>
      <c r="H1567" s="112">
        <v>1</v>
      </c>
      <c r="I1567" s="112">
        <v>1</v>
      </c>
      <c r="J1567" s="112">
        <v>1</v>
      </c>
    </row>
    <row r="1568" spans="1:15" x14ac:dyDescent="0.2">
      <c r="A1568" s="111">
        <v>1609</v>
      </c>
      <c r="B1568" s="421" t="s">
        <v>455</v>
      </c>
      <c r="C1568" s="421" t="s">
        <v>628</v>
      </c>
      <c r="D1568" s="422" t="s">
        <v>663</v>
      </c>
      <c r="E1568" s="111">
        <v>15199</v>
      </c>
      <c r="F1568" s="421" t="s">
        <v>2677</v>
      </c>
      <c r="G1568" s="112">
        <v>1</v>
      </c>
      <c r="H1568" s="112">
        <v>1</v>
      </c>
      <c r="I1568" s="112">
        <v>1</v>
      </c>
      <c r="J1568" s="112">
        <v>3</v>
      </c>
      <c r="K1568" s="112">
        <v>3</v>
      </c>
      <c r="L1568" s="112">
        <v>3</v>
      </c>
    </row>
    <row r="1569" spans="1:15" x14ac:dyDescent="0.2">
      <c r="A1569" s="111">
        <v>1610</v>
      </c>
      <c r="B1569" s="421" t="s">
        <v>1079</v>
      </c>
      <c r="C1569" s="421" t="s">
        <v>510</v>
      </c>
      <c r="D1569" s="422" t="s">
        <v>663</v>
      </c>
      <c r="E1569" s="111">
        <v>15295</v>
      </c>
      <c r="F1569" s="421" t="s">
        <v>2678</v>
      </c>
      <c r="G1569" s="112">
        <v>1</v>
      </c>
      <c r="H1569" s="112">
        <v>1</v>
      </c>
      <c r="I1569" s="112">
        <v>1</v>
      </c>
      <c r="J1569" s="112">
        <v>4</v>
      </c>
      <c r="K1569" s="112">
        <v>3</v>
      </c>
      <c r="L1569" s="112">
        <v>3</v>
      </c>
      <c r="M1569" s="112">
        <v>3</v>
      </c>
      <c r="O1569" s="112">
        <v>2</v>
      </c>
    </row>
    <row r="1570" spans="1:15" x14ac:dyDescent="0.2">
      <c r="A1570" s="111">
        <v>1611</v>
      </c>
      <c r="B1570" s="421" t="s">
        <v>2679</v>
      </c>
      <c r="C1570" s="421" t="s">
        <v>513</v>
      </c>
      <c r="D1570" s="422" t="s">
        <v>666</v>
      </c>
      <c r="E1570" s="111">
        <v>14911</v>
      </c>
      <c r="F1570" s="421" t="s">
        <v>2680</v>
      </c>
      <c r="G1570" s="112">
        <v>1</v>
      </c>
      <c r="H1570" s="112">
        <v>1</v>
      </c>
      <c r="I1570" s="112">
        <v>1</v>
      </c>
      <c r="J1570" s="112">
        <v>15</v>
      </c>
      <c r="K1570" s="112">
        <v>13</v>
      </c>
      <c r="L1570" s="112">
        <v>13</v>
      </c>
      <c r="M1570" s="112">
        <v>10</v>
      </c>
      <c r="N1570" s="112">
        <v>4</v>
      </c>
      <c r="O1570" s="112">
        <v>7</v>
      </c>
    </row>
    <row r="1571" spans="1:15" x14ac:dyDescent="0.2">
      <c r="A1571" s="111">
        <v>1612</v>
      </c>
      <c r="B1571" s="421" t="s">
        <v>2681</v>
      </c>
      <c r="C1571" s="421" t="s">
        <v>544</v>
      </c>
      <c r="D1571" s="422" t="s">
        <v>663</v>
      </c>
      <c r="E1571" s="111">
        <v>14344</v>
      </c>
      <c r="F1571" s="421" t="s">
        <v>1807</v>
      </c>
      <c r="G1571" s="112">
        <v>1</v>
      </c>
      <c r="H1571" s="112">
        <v>1</v>
      </c>
      <c r="I1571" s="112">
        <v>1</v>
      </c>
      <c r="J1571" s="112">
        <v>6</v>
      </c>
      <c r="K1571" s="112">
        <v>5</v>
      </c>
      <c r="L1571" s="112">
        <v>5</v>
      </c>
      <c r="M1571" s="112">
        <v>8</v>
      </c>
      <c r="N1571" s="112">
        <v>6</v>
      </c>
      <c r="O1571" s="112">
        <v>5</v>
      </c>
    </row>
    <row r="1572" spans="1:15" x14ac:dyDescent="0.2">
      <c r="A1572" s="111">
        <v>1613</v>
      </c>
      <c r="B1572" s="421" t="s">
        <v>2682</v>
      </c>
      <c r="C1572" s="421" t="s">
        <v>506</v>
      </c>
      <c r="D1572" s="422" t="s">
        <v>663</v>
      </c>
      <c r="E1572" s="111">
        <v>14918</v>
      </c>
      <c r="F1572" s="421" t="s">
        <v>2683</v>
      </c>
      <c r="G1572" s="112">
        <v>1</v>
      </c>
      <c r="H1572" s="112">
        <v>1</v>
      </c>
      <c r="I1572" s="112">
        <v>1</v>
      </c>
    </row>
    <row r="1573" spans="1:15" x14ac:dyDescent="0.2">
      <c r="A1573" s="111">
        <v>1614</v>
      </c>
      <c r="B1573" s="421" t="s">
        <v>440</v>
      </c>
      <c r="C1573" s="421" t="s">
        <v>501</v>
      </c>
      <c r="D1573" s="422" t="s">
        <v>663</v>
      </c>
      <c r="F1573" s="421" t="s">
        <v>2726</v>
      </c>
      <c r="G1573" s="112">
        <v>1</v>
      </c>
      <c r="H1573" s="112">
        <v>1</v>
      </c>
      <c r="I1573" s="112">
        <v>1</v>
      </c>
      <c r="K1573" s="112">
        <v>1</v>
      </c>
      <c r="L1573" s="112">
        <v>1</v>
      </c>
    </row>
    <row r="1574" spans="1:15" x14ac:dyDescent="0.2">
      <c r="A1574" s="111">
        <v>1615</v>
      </c>
      <c r="B1574" s="421" t="s">
        <v>2684</v>
      </c>
      <c r="C1574" s="421" t="s">
        <v>503</v>
      </c>
      <c r="D1574" s="422" t="s">
        <v>666</v>
      </c>
      <c r="E1574" s="111">
        <v>1444</v>
      </c>
      <c r="F1574" s="421" t="s">
        <v>799</v>
      </c>
      <c r="G1574" s="112">
        <v>1</v>
      </c>
      <c r="H1574" s="112">
        <v>2</v>
      </c>
      <c r="I1574" s="112">
        <v>2</v>
      </c>
      <c r="J1574" s="112">
        <v>4</v>
      </c>
      <c r="K1574" s="112">
        <v>6</v>
      </c>
      <c r="L1574" s="112">
        <v>6</v>
      </c>
      <c r="M1574" s="112">
        <v>2</v>
      </c>
      <c r="N1574" s="112">
        <v>1</v>
      </c>
      <c r="O1574" s="112">
        <v>2</v>
      </c>
    </row>
    <row r="1575" spans="1:15" x14ac:dyDescent="0.2">
      <c r="A1575" s="111">
        <v>1616</v>
      </c>
      <c r="B1575" s="421" t="s">
        <v>2685</v>
      </c>
      <c r="C1575" s="421" t="s">
        <v>506</v>
      </c>
      <c r="D1575" s="422" t="s">
        <v>663</v>
      </c>
      <c r="E1575" s="111">
        <v>14947</v>
      </c>
      <c r="F1575" s="421" t="s">
        <v>2686</v>
      </c>
      <c r="G1575" s="112">
        <v>1</v>
      </c>
      <c r="H1575" s="112">
        <v>1</v>
      </c>
      <c r="I1575" s="112">
        <v>2</v>
      </c>
      <c r="J1575" s="112">
        <v>10</v>
      </c>
      <c r="K1575" s="112">
        <v>9</v>
      </c>
      <c r="L1575" s="112">
        <v>9</v>
      </c>
      <c r="M1575" s="112">
        <v>5</v>
      </c>
      <c r="N1575" s="112">
        <v>5</v>
      </c>
      <c r="O1575" s="112">
        <v>3</v>
      </c>
    </row>
    <row r="1576" spans="1:15" x14ac:dyDescent="0.2">
      <c r="A1576" s="111">
        <v>1617</v>
      </c>
      <c r="B1576" s="421" t="s">
        <v>1543</v>
      </c>
      <c r="C1576" s="421" t="s">
        <v>2687</v>
      </c>
      <c r="D1576" s="422" t="s">
        <v>663</v>
      </c>
      <c r="E1576" s="111">
        <v>14913</v>
      </c>
      <c r="F1576" s="421" t="s">
        <v>2688</v>
      </c>
    </row>
    <row r="1577" spans="1:15" x14ac:dyDescent="0.2">
      <c r="A1577" s="111">
        <v>1618</v>
      </c>
      <c r="B1577" s="421" t="s">
        <v>193</v>
      </c>
      <c r="C1577" s="421" t="s">
        <v>551</v>
      </c>
      <c r="D1577" s="422" t="s">
        <v>663</v>
      </c>
      <c r="E1577" s="111">
        <v>14917</v>
      </c>
      <c r="F1577" s="421" t="s">
        <v>2841</v>
      </c>
    </row>
    <row r="1578" spans="1:15" x14ac:dyDescent="0.2">
      <c r="A1578" s="111">
        <v>1619</v>
      </c>
      <c r="B1578" s="421" t="s">
        <v>2689</v>
      </c>
      <c r="C1578" s="421" t="s">
        <v>513</v>
      </c>
      <c r="D1578" s="422" t="s">
        <v>663</v>
      </c>
      <c r="E1578" s="111">
        <v>14587</v>
      </c>
      <c r="F1578" s="421" t="s">
        <v>1787</v>
      </c>
      <c r="G1578" s="112">
        <v>1</v>
      </c>
      <c r="H1578" s="112">
        <v>1</v>
      </c>
      <c r="I1578" s="112">
        <v>1</v>
      </c>
      <c r="J1578" s="112">
        <v>10</v>
      </c>
      <c r="K1578" s="112">
        <v>10</v>
      </c>
      <c r="L1578" s="112">
        <v>10</v>
      </c>
      <c r="M1578" s="112">
        <v>12</v>
      </c>
      <c r="N1578" s="112">
        <v>9</v>
      </c>
      <c r="O1578" s="112">
        <v>10</v>
      </c>
    </row>
    <row r="1579" spans="1:15" x14ac:dyDescent="0.2">
      <c r="A1579" s="111">
        <v>1620</v>
      </c>
      <c r="B1579" s="421" t="s">
        <v>270</v>
      </c>
      <c r="C1579" s="421" t="s">
        <v>532</v>
      </c>
      <c r="D1579" s="422" t="s">
        <v>663</v>
      </c>
      <c r="E1579" s="111">
        <v>14992</v>
      </c>
      <c r="F1579" s="421" t="s">
        <v>2690</v>
      </c>
      <c r="G1579" s="112">
        <v>1</v>
      </c>
      <c r="H1579" s="112">
        <v>1</v>
      </c>
      <c r="I1579" s="112">
        <v>1</v>
      </c>
      <c r="J1579" s="112">
        <v>4</v>
      </c>
      <c r="K1579" s="112">
        <v>3</v>
      </c>
      <c r="L1579" s="112">
        <v>3</v>
      </c>
      <c r="M1579" s="112">
        <v>1</v>
      </c>
    </row>
    <row r="1580" spans="1:15" x14ac:dyDescent="0.2">
      <c r="A1580" s="111">
        <v>1621</v>
      </c>
      <c r="B1580" s="421" t="s">
        <v>2691</v>
      </c>
      <c r="C1580" s="421" t="s">
        <v>1817</v>
      </c>
      <c r="D1580" s="422" t="s">
        <v>663</v>
      </c>
      <c r="E1580" s="111">
        <v>16656</v>
      </c>
      <c r="F1580" s="421" t="s">
        <v>2692</v>
      </c>
    </row>
    <row r="1581" spans="1:15" x14ac:dyDescent="0.2">
      <c r="A1581" s="111">
        <v>1622</v>
      </c>
      <c r="B1581" s="421" t="s">
        <v>2693</v>
      </c>
      <c r="C1581" s="421" t="s">
        <v>506</v>
      </c>
      <c r="D1581" s="422" t="s">
        <v>666</v>
      </c>
      <c r="E1581" s="111">
        <v>14919</v>
      </c>
      <c r="F1581" s="421" t="s">
        <v>2694</v>
      </c>
      <c r="G1581" s="112">
        <v>1</v>
      </c>
      <c r="I1581" s="112">
        <v>1</v>
      </c>
    </row>
    <row r="1582" spans="1:15" x14ac:dyDescent="0.2">
      <c r="A1582" s="111">
        <v>1623</v>
      </c>
      <c r="B1582" s="421" t="s">
        <v>2695</v>
      </c>
      <c r="C1582" s="421" t="s">
        <v>503</v>
      </c>
      <c r="D1582" s="422" t="s">
        <v>663</v>
      </c>
      <c r="E1582" s="111">
        <v>1417</v>
      </c>
      <c r="F1582" s="421" t="s">
        <v>768</v>
      </c>
      <c r="G1582" s="112">
        <v>1</v>
      </c>
      <c r="H1582" s="112">
        <v>1</v>
      </c>
      <c r="I1582" s="112">
        <v>1</v>
      </c>
      <c r="J1582" s="112">
        <v>3</v>
      </c>
      <c r="K1582" s="112">
        <v>3</v>
      </c>
      <c r="L1582" s="112">
        <v>3</v>
      </c>
    </row>
    <row r="1583" spans="1:15" x14ac:dyDescent="0.2">
      <c r="A1583" s="111">
        <v>1624</v>
      </c>
      <c r="B1583" s="421" t="s">
        <v>2696</v>
      </c>
      <c r="C1583" s="421" t="s">
        <v>506</v>
      </c>
      <c r="D1583" s="422" t="s">
        <v>666</v>
      </c>
      <c r="F1583" s="421" t="s">
        <v>2697</v>
      </c>
      <c r="G1583" s="112">
        <v>1</v>
      </c>
      <c r="H1583" s="112">
        <v>1</v>
      </c>
      <c r="I1583" s="112">
        <v>1</v>
      </c>
      <c r="J1583" s="112">
        <v>1</v>
      </c>
      <c r="K1583" s="112">
        <v>1</v>
      </c>
      <c r="L1583" s="112">
        <v>1</v>
      </c>
    </row>
    <row r="1584" spans="1:15" x14ac:dyDescent="0.2">
      <c r="A1584" s="111">
        <v>1625</v>
      </c>
      <c r="B1584" s="421" t="s">
        <v>2698</v>
      </c>
      <c r="C1584" s="421" t="s">
        <v>530</v>
      </c>
      <c r="D1584" s="422" t="s">
        <v>663</v>
      </c>
      <c r="E1584" s="111">
        <v>14920</v>
      </c>
      <c r="F1584" s="421" t="s">
        <v>2699</v>
      </c>
      <c r="J1584" s="112">
        <v>2</v>
      </c>
      <c r="K1584" s="112">
        <v>3</v>
      </c>
      <c r="L1584" s="112">
        <v>3</v>
      </c>
      <c r="O1584" s="112">
        <v>1</v>
      </c>
    </row>
    <row r="1585" spans="1:15" x14ac:dyDescent="0.2">
      <c r="A1585" s="111">
        <v>1626</v>
      </c>
      <c r="B1585" s="421" t="s">
        <v>2700</v>
      </c>
      <c r="C1585" s="421" t="s">
        <v>503</v>
      </c>
      <c r="D1585" s="422" t="s">
        <v>663</v>
      </c>
      <c r="E1585" s="111">
        <v>14979</v>
      </c>
      <c r="F1585" s="421" t="s">
        <v>2701</v>
      </c>
      <c r="G1585" s="112">
        <v>1</v>
      </c>
      <c r="H1585" s="112">
        <v>1</v>
      </c>
      <c r="I1585" s="112">
        <v>1</v>
      </c>
      <c r="J1585" s="112">
        <v>9</v>
      </c>
      <c r="K1585" s="112">
        <v>8</v>
      </c>
      <c r="L1585" s="112">
        <v>8</v>
      </c>
      <c r="M1585" s="112">
        <v>8</v>
      </c>
      <c r="N1585" s="112">
        <v>6</v>
      </c>
      <c r="O1585" s="112">
        <v>4</v>
      </c>
    </row>
    <row r="1586" spans="1:15" x14ac:dyDescent="0.2">
      <c r="A1586" s="111">
        <v>1627</v>
      </c>
      <c r="B1586" s="421" t="s">
        <v>1609</v>
      </c>
      <c r="C1586" s="421" t="s">
        <v>511</v>
      </c>
      <c r="D1586" s="422" t="s">
        <v>663</v>
      </c>
      <c r="E1586" s="111">
        <v>14922</v>
      </c>
      <c r="F1586" s="421" t="s">
        <v>2702</v>
      </c>
    </row>
    <row r="1587" spans="1:15" x14ac:dyDescent="0.2">
      <c r="A1587" s="111">
        <v>1628</v>
      </c>
      <c r="B1587" s="421" t="s">
        <v>2703</v>
      </c>
      <c r="C1587" s="421" t="s">
        <v>501</v>
      </c>
      <c r="D1587" s="422"/>
      <c r="E1587" s="111">
        <v>14925</v>
      </c>
      <c r="F1587" s="421" t="s">
        <v>2704</v>
      </c>
      <c r="G1587" s="112">
        <v>1</v>
      </c>
      <c r="H1587" s="112">
        <v>1</v>
      </c>
      <c r="I1587" s="112">
        <v>3</v>
      </c>
      <c r="J1587" s="112">
        <v>21</v>
      </c>
      <c r="K1587" s="112">
        <v>24</v>
      </c>
      <c r="L1587" s="112">
        <v>22</v>
      </c>
      <c r="M1587" s="112">
        <v>63</v>
      </c>
      <c r="N1587" s="112">
        <v>53</v>
      </c>
      <c r="O1587" s="112">
        <v>57</v>
      </c>
    </row>
    <row r="1588" spans="1:15" x14ac:dyDescent="0.2">
      <c r="A1588" s="111">
        <v>1629</v>
      </c>
      <c r="B1588" s="421" t="s">
        <v>257</v>
      </c>
      <c r="C1588" s="421" t="s">
        <v>501</v>
      </c>
      <c r="D1588" s="422" t="s">
        <v>663</v>
      </c>
      <c r="E1588" s="111">
        <v>16797</v>
      </c>
      <c r="F1588" s="421" t="s">
        <v>2705</v>
      </c>
      <c r="G1588" s="112">
        <v>2</v>
      </c>
      <c r="H1588" s="112">
        <v>2</v>
      </c>
      <c r="I1588" s="112">
        <v>1</v>
      </c>
      <c r="J1588" s="112">
        <v>7</v>
      </c>
      <c r="K1588" s="112">
        <v>7</v>
      </c>
      <c r="L1588" s="112">
        <v>7</v>
      </c>
      <c r="M1588" s="112">
        <v>12</v>
      </c>
      <c r="N1588" s="112">
        <v>4</v>
      </c>
      <c r="O1588" s="112">
        <v>7</v>
      </c>
    </row>
    <row r="1589" spans="1:15" x14ac:dyDescent="0.2">
      <c r="A1589" s="111">
        <v>1630</v>
      </c>
      <c r="B1589" s="421" t="s">
        <v>2436</v>
      </c>
      <c r="C1589" s="421" t="s">
        <v>540</v>
      </c>
      <c r="D1589" s="422" t="s">
        <v>663</v>
      </c>
      <c r="E1589" s="111">
        <v>16797</v>
      </c>
      <c r="F1589" s="421" t="s">
        <v>2705</v>
      </c>
      <c r="G1589" s="112">
        <v>1</v>
      </c>
      <c r="H1589" s="112">
        <v>2</v>
      </c>
      <c r="I1589" s="112">
        <v>1</v>
      </c>
      <c r="J1589" s="112">
        <v>3</v>
      </c>
      <c r="K1589" s="112">
        <v>4</v>
      </c>
      <c r="L1589" s="112">
        <v>4</v>
      </c>
      <c r="M1589" s="112">
        <v>2</v>
      </c>
      <c r="N1589" s="112">
        <v>2</v>
      </c>
      <c r="O1589" s="112">
        <v>4</v>
      </c>
    </row>
    <row r="1590" spans="1:15" x14ac:dyDescent="0.2">
      <c r="A1590" s="111">
        <v>1631</v>
      </c>
      <c r="B1590" s="421" t="s">
        <v>46</v>
      </c>
      <c r="C1590" s="421" t="s">
        <v>503</v>
      </c>
      <c r="D1590" s="422" t="s">
        <v>663</v>
      </c>
      <c r="E1590" s="111">
        <v>15981</v>
      </c>
      <c r="F1590" s="421" t="s">
        <v>2706</v>
      </c>
      <c r="G1590" s="112">
        <v>1</v>
      </c>
      <c r="H1590" s="112">
        <v>1</v>
      </c>
      <c r="I1590" s="112">
        <v>1</v>
      </c>
      <c r="K1590" s="112">
        <v>1</v>
      </c>
    </row>
    <row r="1591" spans="1:15" x14ac:dyDescent="0.2">
      <c r="A1591" s="111">
        <v>1632</v>
      </c>
      <c r="B1591" s="421" t="s">
        <v>37</v>
      </c>
      <c r="C1591" s="421" t="s">
        <v>2165</v>
      </c>
      <c r="D1591" s="422" t="s">
        <v>663</v>
      </c>
      <c r="E1591" s="111">
        <v>14715</v>
      </c>
      <c r="F1591" s="421" t="s">
        <v>2752</v>
      </c>
      <c r="G1591" s="112">
        <v>1</v>
      </c>
      <c r="H1591" s="112">
        <v>1</v>
      </c>
      <c r="I1591" s="112">
        <v>1</v>
      </c>
    </row>
    <row r="1592" spans="1:15" x14ac:dyDescent="0.2">
      <c r="A1592" s="111">
        <v>1633</v>
      </c>
      <c r="B1592" s="421" t="s">
        <v>2135</v>
      </c>
      <c r="C1592" s="421" t="s">
        <v>506</v>
      </c>
      <c r="D1592" s="422" t="s">
        <v>666</v>
      </c>
      <c r="E1592" s="111">
        <v>14924</v>
      </c>
      <c r="F1592" s="421" t="s">
        <v>2707</v>
      </c>
      <c r="G1592" s="112">
        <v>1</v>
      </c>
      <c r="H1592" s="112">
        <v>1</v>
      </c>
      <c r="I1592" s="112">
        <v>1</v>
      </c>
      <c r="J1592" s="112">
        <v>1</v>
      </c>
      <c r="K1592" s="112">
        <v>2</v>
      </c>
      <c r="L1592" s="112">
        <v>1</v>
      </c>
      <c r="M1592" s="112">
        <v>1</v>
      </c>
    </row>
    <row r="1593" spans="1:15" x14ac:dyDescent="0.2">
      <c r="A1593" s="111">
        <v>1634</v>
      </c>
      <c r="B1593" s="421" t="s">
        <v>2708</v>
      </c>
      <c r="C1593" s="421" t="s">
        <v>2599</v>
      </c>
      <c r="D1593" s="422" t="s">
        <v>666</v>
      </c>
      <c r="E1593" s="111">
        <v>14579</v>
      </c>
      <c r="F1593" s="421" t="s">
        <v>740</v>
      </c>
      <c r="G1593" s="112">
        <v>1</v>
      </c>
      <c r="H1593" s="112">
        <v>1</v>
      </c>
    </row>
    <row r="1594" spans="1:15" x14ac:dyDescent="0.2">
      <c r="A1594" s="111">
        <v>1635</v>
      </c>
      <c r="B1594" s="421" t="s">
        <v>2709</v>
      </c>
      <c r="C1594" s="421" t="s">
        <v>501</v>
      </c>
      <c r="D1594" s="422" t="s">
        <v>666</v>
      </c>
      <c r="F1594" s="421" t="s">
        <v>2710</v>
      </c>
      <c r="J1594" s="112">
        <v>1</v>
      </c>
    </row>
    <row r="1595" spans="1:15" x14ac:dyDescent="0.2">
      <c r="A1595" s="111">
        <v>1636</v>
      </c>
      <c r="B1595" s="421" t="s">
        <v>2711</v>
      </c>
      <c r="C1595" s="421" t="s">
        <v>510</v>
      </c>
      <c r="D1595" s="422" t="s">
        <v>663</v>
      </c>
      <c r="E1595" s="111">
        <v>1453</v>
      </c>
      <c r="F1595" s="421" t="s">
        <v>2712</v>
      </c>
    </row>
    <row r="1596" spans="1:15" x14ac:dyDescent="0.2">
      <c r="A1596" s="111">
        <v>1637</v>
      </c>
      <c r="B1596" s="421" t="s">
        <v>2713</v>
      </c>
      <c r="C1596" s="421" t="s">
        <v>503</v>
      </c>
      <c r="D1596" s="422" t="s">
        <v>666</v>
      </c>
      <c r="E1596" s="111">
        <v>1453</v>
      </c>
      <c r="F1596" s="421" t="s">
        <v>2712</v>
      </c>
    </row>
    <row r="1597" spans="1:15" x14ac:dyDescent="0.2">
      <c r="A1597" s="111">
        <v>1638</v>
      </c>
      <c r="B1597" s="421" t="s">
        <v>1421</v>
      </c>
      <c r="C1597" s="421" t="s">
        <v>551</v>
      </c>
      <c r="D1597" s="422" t="s">
        <v>663</v>
      </c>
      <c r="E1597" s="111">
        <v>14926</v>
      </c>
      <c r="F1597" s="421" t="s">
        <v>2714</v>
      </c>
      <c r="J1597" s="112">
        <v>1</v>
      </c>
      <c r="K1597" s="112">
        <v>1</v>
      </c>
      <c r="L1597" s="112">
        <v>1</v>
      </c>
    </row>
    <row r="1598" spans="1:15" x14ac:dyDescent="0.2">
      <c r="A1598" s="111">
        <v>1639</v>
      </c>
      <c r="B1598" s="421" t="s">
        <v>2715</v>
      </c>
      <c r="C1598" s="421" t="s">
        <v>528</v>
      </c>
      <c r="D1598" s="422" t="s">
        <v>666</v>
      </c>
      <c r="E1598" s="111">
        <v>14926</v>
      </c>
      <c r="F1598" s="421" t="s">
        <v>2714</v>
      </c>
    </row>
    <row r="1599" spans="1:15" x14ac:dyDescent="0.2">
      <c r="A1599" s="111">
        <v>1640</v>
      </c>
      <c r="B1599" s="421" t="s">
        <v>266</v>
      </c>
      <c r="C1599" s="421" t="s">
        <v>501</v>
      </c>
      <c r="D1599" s="422" t="s">
        <v>663</v>
      </c>
      <c r="E1599" s="111">
        <v>14280</v>
      </c>
      <c r="F1599" s="421" t="s">
        <v>2716</v>
      </c>
      <c r="G1599" s="112">
        <v>1</v>
      </c>
      <c r="H1599" s="112">
        <v>1</v>
      </c>
      <c r="I1599" s="112">
        <v>1</v>
      </c>
      <c r="J1599" s="112">
        <v>2</v>
      </c>
      <c r="K1599" s="112">
        <v>1</v>
      </c>
      <c r="L1599" s="112">
        <v>2</v>
      </c>
      <c r="M1599" s="112">
        <v>1</v>
      </c>
      <c r="N1599" s="112">
        <v>2</v>
      </c>
      <c r="O1599" s="112">
        <v>1</v>
      </c>
    </row>
    <row r="1600" spans="1:15" x14ac:dyDescent="0.2">
      <c r="A1600" s="111">
        <v>1641</v>
      </c>
      <c r="B1600" s="421" t="s">
        <v>122</v>
      </c>
      <c r="C1600" s="421" t="s">
        <v>2687</v>
      </c>
      <c r="D1600" s="422" t="s">
        <v>663</v>
      </c>
      <c r="E1600" s="111">
        <v>14913</v>
      </c>
      <c r="F1600" s="421" t="s">
        <v>2688</v>
      </c>
    </row>
    <row r="1601" spans="1:15" x14ac:dyDescent="0.2">
      <c r="A1601" s="111">
        <v>1642</v>
      </c>
      <c r="B1601" s="421" t="s">
        <v>79</v>
      </c>
      <c r="C1601" s="421" t="s">
        <v>504</v>
      </c>
      <c r="D1601" s="422" t="s">
        <v>666</v>
      </c>
      <c r="E1601" s="111">
        <v>14927</v>
      </c>
      <c r="F1601" s="421" t="s">
        <v>2717</v>
      </c>
      <c r="G1601" s="112">
        <v>1</v>
      </c>
      <c r="H1601" s="112">
        <v>1</v>
      </c>
    </row>
    <row r="1602" spans="1:15" x14ac:dyDescent="0.2">
      <c r="A1602" s="111">
        <v>1643</v>
      </c>
      <c r="B1602" s="421" t="s">
        <v>2718</v>
      </c>
      <c r="C1602" s="421" t="s">
        <v>563</v>
      </c>
      <c r="D1602" s="422" t="s">
        <v>663</v>
      </c>
      <c r="E1602" s="111">
        <v>14928</v>
      </c>
      <c r="F1602" s="421" t="s">
        <v>2719</v>
      </c>
      <c r="G1602" s="112">
        <v>2</v>
      </c>
      <c r="H1602" s="112">
        <v>1</v>
      </c>
      <c r="I1602" s="112">
        <v>1</v>
      </c>
      <c r="J1602" s="112">
        <v>9</v>
      </c>
      <c r="K1602" s="112">
        <v>9</v>
      </c>
      <c r="L1602" s="112">
        <v>9</v>
      </c>
      <c r="M1602" s="112">
        <v>5</v>
      </c>
      <c r="N1602" s="112">
        <v>5</v>
      </c>
      <c r="O1602" s="112">
        <v>5</v>
      </c>
    </row>
    <row r="1603" spans="1:15" x14ac:dyDescent="0.2">
      <c r="A1603" s="111">
        <v>1644</v>
      </c>
      <c r="B1603" s="421" t="s">
        <v>353</v>
      </c>
      <c r="C1603" s="421" t="s">
        <v>555</v>
      </c>
      <c r="D1603" s="422" t="s">
        <v>663</v>
      </c>
      <c r="E1603" s="111">
        <v>14929</v>
      </c>
      <c r="F1603" s="421" t="s">
        <v>2720</v>
      </c>
      <c r="G1603" s="112">
        <v>1</v>
      </c>
      <c r="H1603" s="112">
        <v>1</v>
      </c>
      <c r="I1603" s="112">
        <v>1</v>
      </c>
    </row>
    <row r="1604" spans="1:15" x14ac:dyDescent="0.2">
      <c r="A1604" s="111">
        <v>1645</v>
      </c>
      <c r="B1604" s="421" t="s">
        <v>2721</v>
      </c>
      <c r="C1604" s="421" t="s">
        <v>501</v>
      </c>
      <c r="D1604" s="422" t="s">
        <v>663</v>
      </c>
      <c r="E1604" s="111">
        <v>14930</v>
      </c>
      <c r="F1604" s="421" t="s">
        <v>2722</v>
      </c>
      <c r="J1604" s="112">
        <v>1</v>
      </c>
      <c r="L1604" s="112">
        <v>1</v>
      </c>
    </row>
    <row r="1605" spans="1:15" x14ac:dyDescent="0.2">
      <c r="A1605" s="111">
        <v>1646</v>
      </c>
      <c r="B1605" s="421" t="s">
        <v>2727</v>
      </c>
      <c r="C1605" s="421" t="s">
        <v>518</v>
      </c>
      <c r="D1605" s="422" t="s">
        <v>663</v>
      </c>
      <c r="E1605" s="111">
        <v>14931</v>
      </c>
      <c r="F1605" s="421" t="s">
        <v>2728</v>
      </c>
      <c r="J1605" s="112">
        <v>1</v>
      </c>
      <c r="K1605" s="112">
        <v>1</v>
      </c>
      <c r="L1605" s="112">
        <v>1</v>
      </c>
    </row>
    <row r="1606" spans="1:15" x14ac:dyDescent="0.2">
      <c r="A1606" s="111">
        <v>1647</v>
      </c>
      <c r="B1606" s="421" t="s">
        <v>2729</v>
      </c>
      <c r="C1606" s="421" t="s">
        <v>516</v>
      </c>
      <c r="D1606" s="422" t="s">
        <v>663</v>
      </c>
      <c r="E1606" s="111">
        <v>149</v>
      </c>
      <c r="F1606" s="421" t="s">
        <v>759</v>
      </c>
      <c r="G1606" s="112">
        <v>1</v>
      </c>
      <c r="H1606" s="112">
        <v>1</v>
      </c>
      <c r="I1606" s="112">
        <v>1</v>
      </c>
      <c r="J1606" s="112">
        <v>4</v>
      </c>
      <c r="K1606" s="112">
        <v>3</v>
      </c>
      <c r="L1606" s="112">
        <v>2</v>
      </c>
      <c r="M1606" s="112">
        <v>2</v>
      </c>
      <c r="N1606" s="112">
        <v>1</v>
      </c>
      <c r="O1606" s="112">
        <v>1</v>
      </c>
    </row>
    <row r="1607" spans="1:15" x14ac:dyDescent="0.2">
      <c r="A1607" s="111">
        <v>1648</v>
      </c>
      <c r="B1607" s="421" t="s">
        <v>2730</v>
      </c>
      <c r="C1607" s="421" t="s">
        <v>506</v>
      </c>
      <c r="D1607" s="422" t="s">
        <v>666</v>
      </c>
      <c r="E1607" s="111">
        <v>14932</v>
      </c>
      <c r="F1607" s="421" t="s">
        <v>2731</v>
      </c>
    </row>
    <row r="1608" spans="1:15" x14ac:dyDescent="0.2">
      <c r="A1608" s="111">
        <v>1649</v>
      </c>
      <c r="B1608" s="421" t="s">
        <v>159</v>
      </c>
      <c r="C1608" s="421" t="s">
        <v>506</v>
      </c>
      <c r="D1608" s="422" t="s">
        <v>663</v>
      </c>
      <c r="E1608" s="111">
        <v>14934</v>
      </c>
      <c r="F1608" s="421" t="s">
        <v>2732</v>
      </c>
      <c r="G1608" s="112">
        <v>1</v>
      </c>
      <c r="H1608" s="112">
        <v>1</v>
      </c>
      <c r="I1608" s="112">
        <v>1</v>
      </c>
      <c r="J1608" s="112">
        <v>2</v>
      </c>
      <c r="K1608" s="112">
        <v>2</v>
      </c>
    </row>
    <row r="1609" spans="1:15" x14ac:dyDescent="0.2">
      <c r="A1609" s="111">
        <v>1650</v>
      </c>
      <c r="B1609" s="421" t="s">
        <v>2723</v>
      </c>
      <c r="C1609" s="421" t="s">
        <v>592</v>
      </c>
      <c r="D1609" s="422"/>
      <c r="F1609" s="421" t="s">
        <v>2724</v>
      </c>
      <c r="I1609" s="112">
        <v>1</v>
      </c>
    </row>
    <row r="1610" spans="1:15" x14ac:dyDescent="0.2">
      <c r="A1610" s="111">
        <v>1651</v>
      </c>
      <c r="B1610" s="421" t="s">
        <v>353</v>
      </c>
      <c r="C1610" s="421" t="s">
        <v>503</v>
      </c>
      <c r="D1610" s="422" t="s">
        <v>663</v>
      </c>
      <c r="F1610" s="421" t="s">
        <v>2733</v>
      </c>
      <c r="J1610" s="112">
        <v>1</v>
      </c>
      <c r="K1610" s="112">
        <v>1</v>
      </c>
      <c r="L1610" s="112">
        <v>1</v>
      </c>
    </row>
    <row r="1611" spans="1:15" x14ac:dyDescent="0.2">
      <c r="A1611" s="111">
        <v>1652</v>
      </c>
      <c r="B1611" s="421" t="s">
        <v>2734</v>
      </c>
      <c r="C1611" s="421" t="s">
        <v>1870</v>
      </c>
      <c r="D1611" s="422" t="s">
        <v>666</v>
      </c>
      <c r="E1611" s="111">
        <v>14933</v>
      </c>
      <c r="F1611" s="421" t="s">
        <v>2735</v>
      </c>
      <c r="J1611" s="112">
        <v>2</v>
      </c>
      <c r="K1611" s="112">
        <v>2</v>
      </c>
      <c r="L1611" s="112">
        <v>2</v>
      </c>
    </row>
    <row r="1612" spans="1:15" x14ac:dyDescent="0.2">
      <c r="A1612" s="111">
        <v>1653</v>
      </c>
      <c r="B1612" s="421" t="s">
        <v>488</v>
      </c>
      <c r="C1612" s="421" t="s">
        <v>501</v>
      </c>
      <c r="D1612" s="422" t="s">
        <v>666</v>
      </c>
      <c r="E1612" s="111">
        <v>14935</v>
      </c>
      <c r="F1612" s="421" t="s">
        <v>2736</v>
      </c>
      <c r="J1612" s="112">
        <v>2</v>
      </c>
      <c r="K1612" s="112">
        <v>2</v>
      </c>
      <c r="L1612" s="112">
        <v>1</v>
      </c>
    </row>
    <row r="1613" spans="1:15" x14ac:dyDescent="0.2">
      <c r="A1613" s="111">
        <v>1654</v>
      </c>
      <c r="B1613" s="421" t="s">
        <v>1944</v>
      </c>
      <c r="C1613" s="421" t="s">
        <v>503</v>
      </c>
      <c r="D1613" s="422" t="s">
        <v>663</v>
      </c>
      <c r="E1613" s="111">
        <v>16094</v>
      </c>
      <c r="F1613" s="421" t="s">
        <v>2737</v>
      </c>
      <c r="G1613" s="112">
        <v>1</v>
      </c>
      <c r="H1613" s="112">
        <v>1</v>
      </c>
      <c r="I1613" s="112">
        <v>1</v>
      </c>
    </row>
    <row r="1614" spans="1:15" x14ac:dyDescent="0.2">
      <c r="A1614" s="111">
        <v>1655</v>
      </c>
      <c r="B1614" s="421" t="s">
        <v>2738</v>
      </c>
      <c r="C1614" s="421" t="s">
        <v>1487</v>
      </c>
      <c r="D1614" s="422" t="s">
        <v>663</v>
      </c>
      <c r="E1614" s="111">
        <v>15140</v>
      </c>
      <c r="F1614" s="421" t="s">
        <v>2739</v>
      </c>
      <c r="K1614" s="112">
        <v>1</v>
      </c>
    </row>
    <row r="1615" spans="1:15" x14ac:dyDescent="0.2">
      <c r="A1615" s="111">
        <v>1656</v>
      </c>
      <c r="B1615" s="421" t="s">
        <v>1377</v>
      </c>
      <c r="C1615" s="421" t="s">
        <v>1898</v>
      </c>
      <c r="D1615" s="422" t="s">
        <v>663</v>
      </c>
      <c r="E1615" s="111">
        <v>15140</v>
      </c>
      <c r="F1615" s="421" t="s">
        <v>2739</v>
      </c>
      <c r="J1615" s="112">
        <v>1</v>
      </c>
      <c r="K1615" s="112">
        <v>1</v>
      </c>
      <c r="L1615" s="112">
        <v>1</v>
      </c>
    </row>
    <row r="1616" spans="1:15" x14ac:dyDescent="0.2">
      <c r="A1616" s="111">
        <v>1657</v>
      </c>
      <c r="B1616" s="421" t="s">
        <v>2740</v>
      </c>
      <c r="C1616" s="421" t="s">
        <v>503</v>
      </c>
      <c r="D1616" s="422" t="s">
        <v>666</v>
      </c>
      <c r="F1616" s="421" t="s">
        <v>2741</v>
      </c>
      <c r="G1616" s="112">
        <v>1</v>
      </c>
      <c r="H1616" s="112">
        <v>1</v>
      </c>
      <c r="I1616" s="112">
        <v>1</v>
      </c>
    </row>
    <row r="1617" spans="1:15" x14ac:dyDescent="0.2">
      <c r="A1617" s="111">
        <v>1658</v>
      </c>
      <c r="B1617" s="421" t="s">
        <v>2742</v>
      </c>
      <c r="C1617" s="421" t="s">
        <v>3416</v>
      </c>
      <c r="D1617" s="422" t="s">
        <v>663</v>
      </c>
      <c r="F1617" s="421" t="s">
        <v>2743</v>
      </c>
      <c r="H1617" s="112">
        <v>1</v>
      </c>
      <c r="I1617" s="112">
        <v>1</v>
      </c>
    </row>
    <row r="1618" spans="1:15" x14ac:dyDescent="0.2">
      <c r="A1618" s="111">
        <v>1659</v>
      </c>
      <c r="B1618" s="421" t="s">
        <v>206</v>
      </c>
      <c r="C1618" s="421" t="s">
        <v>501</v>
      </c>
      <c r="D1618" s="422" t="s">
        <v>663</v>
      </c>
      <c r="E1618" s="111">
        <v>14937</v>
      </c>
      <c r="F1618" s="421" t="s">
        <v>2744</v>
      </c>
      <c r="G1618" s="112">
        <v>1</v>
      </c>
      <c r="H1618" s="112">
        <v>1</v>
      </c>
      <c r="I1618" s="112">
        <v>1</v>
      </c>
      <c r="J1618" s="112">
        <v>1</v>
      </c>
      <c r="L1618" s="112">
        <v>1</v>
      </c>
    </row>
    <row r="1619" spans="1:15" x14ac:dyDescent="0.2">
      <c r="A1619" s="111">
        <v>1660</v>
      </c>
      <c r="B1619" s="421" t="s">
        <v>2745</v>
      </c>
      <c r="C1619" s="421" t="s">
        <v>503</v>
      </c>
      <c r="D1619" s="422" t="s">
        <v>663</v>
      </c>
      <c r="E1619" s="111">
        <v>14945</v>
      </c>
      <c r="F1619" s="421" t="s">
        <v>2746</v>
      </c>
    </row>
    <row r="1620" spans="1:15" x14ac:dyDescent="0.2">
      <c r="A1620" s="111">
        <v>1661</v>
      </c>
      <c r="B1620" s="421" t="s">
        <v>2747</v>
      </c>
      <c r="C1620" s="421" t="s">
        <v>503</v>
      </c>
      <c r="D1620" s="422" t="s">
        <v>666</v>
      </c>
      <c r="F1620" s="421" t="s">
        <v>2748</v>
      </c>
      <c r="G1620" s="112">
        <v>1</v>
      </c>
      <c r="H1620" s="112">
        <v>1</v>
      </c>
      <c r="I1620" s="112">
        <v>1</v>
      </c>
      <c r="J1620" s="112">
        <v>1</v>
      </c>
      <c r="K1620" s="112">
        <v>1</v>
      </c>
    </row>
    <row r="1621" spans="1:15" x14ac:dyDescent="0.2">
      <c r="A1621" s="111">
        <v>1662</v>
      </c>
      <c r="B1621" s="421" t="s">
        <v>1694</v>
      </c>
      <c r="C1621" s="421" t="s">
        <v>506</v>
      </c>
      <c r="D1621" s="422" t="s">
        <v>663</v>
      </c>
      <c r="F1621" s="421" t="s">
        <v>2749</v>
      </c>
      <c r="H1621" s="112">
        <v>1</v>
      </c>
    </row>
    <row r="1622" spans="1:15" x14ac:dyDescent="0.2">
      <c r="A1622" s="111">
        <v>1663</v>
      </c>
      <c r="B1622" s="421" t="s">
        <v>193</v>
      </c>
      <c r="C1622" s="421" t="s">
        <v>501</v>
      </c>
      <c r="D1622" s="422" t="s">
        <v>663</v>
      </c>
      <c r="E1622" s="111">
        <v>15730</v>
      </c>
      <c r="F1622" s="421" t="s">
        <v>2750</v>
      </c>
      <c r="G1622" s="112">
        <v>1</v>
      </c>
      <c r="H1622" s="112">
        <v>1</v>
      </c>
      <c r="I1622" s="112">
        <v>1</v>
      </c>
      <c r="J1622" s="112">
        <v>1</v>
      </c>
      <c r="K1622" s="112">
        <v>1</v>
      </c>
      <c r="L1622" s="112">
        <v>1</v>
      </c>
      <c r="M1622" s="112">
        <v>1</v>
      </c>
      <c r="O1622" s="112">
        <v>1</v>
      </c>
    </row>
    <row r="1623" spans="1:15" x14ac:dyDescent="0.2">
      <c r="A1623" s="111">
        <v>1664</v>
      </c>
      <c r="B1623" s="421" t="s">
        <v>493</v>
      </c>
      <c r="C1623" s="421" t="s">
        <v>501</v>
      </c>
      <c r="D1623" s="422" t="s">
        <v>663</v>
      </c>
      <c r="E1623" s="111">
        <v>14280</v>
      </c>
      <c r="F1623" s="421" t="s">
        <v>2716</v>
      </c>
    </row>
    <row r="1624" spans="1:15" x14ac:dyDescent="0.2">
      <c r="A1624" s="111">
        <v>1665</v>
      </c>
      <c r="B1624" s="421" t="s">
        <v>253</v>
      </c>
      <c r="C1624" s="421" t="s">
        <v>501</v>
      </c>
      <c r="D1624" s="422" t="s">
        <v>666</v>
      </c>
      <c r="E1624" s="111">
        <v>14939</v>
      </c>
      <c r="F1624" s="421" t="s">
        <v>2797</v>
      </c>
      <c r="G1624" s="112">
        <v>1</v>
      </c>
      <c r="H1624" s="112">
        <v>1</v>
      </c>
      <c r="I1624" s="112">
        <v>1</v>
      </c>
      <c r="J1624" s="112">
        <v>1</v>
      </c>
      <c r="K1624" s="112">
        <v>1</v>
      </c>
      <c r="L1624" s="112">
        <v>1</v>
      </c>
      <c r="M1624" s="112">
        <v>3</v>
      </c>
      <c r="N1624" s="112">
        <v>4</v>
      </c>
      <c r="O1624" s="112">
        <v>5</v>
      </c>
    </row>
    <row r="1625" spans="1:15" x14ac:dyDescent="0.2">
      <c r="A1625" s="111">
        <v>1666</v>
      </c>
      <c r="B1625" s="421" t="s">
        <v>2751</v>
      </c>
      <c r="C1625" s="421" t="s">
        <v>581</v>
      </c>
      <c r="D1625" s="422" t="s">
        <v>663</v>
      </c>
      <c r="E1625" s="111">
        <v>14291</v>
      </c>
      <c r="F1625" s="421" t="s">
        <v>11892</v>
      </c>
      <c r="G1625" s="112">
        <v>2</v>
      </c>
      <c r="H1625" s="112">
        <v>2</v>
      </c>
      <c r="I1625" s="112">
        <v>2</v>
      </c>
      <c r="J1625" s="112">
        <v>12</v>
      </c>
      <c r="K1625" s="112">
        <v>12</v>
      </c>
      <c r="L1625" s="112">
        <v>10</v>
      </c>
      <c r="M1625" s="112">
        <v>11</v>
      </c>
      <c r="N1625" s="112">
        <v>9</v>
      </c>
      <c r="O1625" s="112">
        <v>7</v>
      </c>
    </row>
    <row r="1626" spans="1:15" x14ac:dyDescent="0.2">
      <c r="A1626" s="111">
        <v>1667</v>
      </c>
      <c r="B1626" s="421" t="s">
        <v>2754</v>
      </c>
      <c r="C1626" s="421" t="s">
        <v>503</v>
      </c>
      <c r="D1626" s="422" t="s">
        <v>666</v>
      </c>
      <c r="E1626" s="111">
        <v>14916</v>
      </c>
      <c r="F1626" s="421" t="s">
        <v>2755</v>
      </c>
      <c r="G1626" s="112">
        <v>1</v>
      </c>
      <c r="H1626" s="112">
        <v>1</v>
      </c>
      <c r="I1626" s="112">
        <v>1</v>
      </c>
      <c r="J1626" s="112">
        <v>3</v>
      </c>
      <c r="K1626" s="112">
        <v>2</v>
      </c>
      <c r="L1626" s="112">
        <v>1</v>
      </c>
    </row>
    <row r="1627" spans="1:15" x14ac:dyDescent="0.2">
      <c r="A1627" s="111">
        <v>1668</v>
      </c>
      <c r="B1627" s="421" t="s">
        <v>2756</v>
      </c>
      <c r="C1627" s="421" t="s">
        <v>585</v>
      </c>
      <c r="D1627" s="422" t="s">
        <v>663</v>
      </c>
      <c r="E1627" s="111">
        <v>14689</v>
      </c>
      <c r="F1627" s="421" t="s">
        <v>2757</v>
      </c>
      <c r="G1627" s="112">
        <v>1</v>
      </c>
      <c r="I1627" s="112">
        <v>1</v>
      </c>
    </row>
    <row r="1628" spans="1:15" x14ac:dyDescent="0.2">
      <c r="A1628" s="111">
        <v>1669</v>
      </c>
      <c r="B1628" s="421" t="s">
        <v>2758</v>
      </c>
      <c r="C1628" s="421" t="s">
        <v>502</v>
      </c>
      <c r="D1628" s="422" t="s">
        <v>663</v>
      </c>
      <c r="E1628" s="111">
        <v>14689</v>
      </c>
      <c r="F1628" s="421" t="s">
        <v>2757</v>
      </c>
      <c r="G1628" s="112">
        <v>1</v>
      </c>
      <c r="H1628" s="112">
        <v>1</v>
      </c>
      <c r="I1628" s="112">
        <v>1</v>
      </c>
    </row>
    <row r="1629" spans="1:15" x14ac:dyDescent="0.2">
      <c r="A1629" s="111">
        <v>1670</v>
      </c>
      <c r="B1629" s="421" t="s">
        <v>2759</v>
      </c>
      <c r="C1629" s="421" t="s">
        <v>506</v>
      </c>
      <c r="D1629" s="422" t="s">
        <v>663</v>
      </c>
      <c r="E1629" s="111">
        <v>14938</v>
      </c>
      <c r="F1629" s="421" t="s">
        <v>2760</v>
      </c>
      <c r="G1629" s="112">
        <v>1</v>
      </c>
      <c r="J1629" s="112">
        <v>1</v>
      </c>
    </row>
    <row r="1630" spans="1:15" x14ac:dyDescent="0.2">
      <c r="A1630" s="111">
        <v>1671</v>
      </c>
      <c r="B1630" s="421" t="s">
        <v>2761</v>
      </c>
      <c r="C1630" s="421" t="s">
        <v>506</v>
      </c>
      <c r="D1630" s="422" t="s">
        <v>663</v>
      </c>
      <c r="E1630" s="111">
        <v>16472</v>
      </c>
      <c r="F1630" s="421" t="s">
        <v>2762</v>
      </c>
      <c r="G1630" s="112">
        <v>2</v>
      </c>
      <c r="H1630" s="112">
        <v>1</v>
      </c>
      <c r="I1630" s="112">
        <v>1</v>
      </c>
    </row>
    <row r="1631" spans="1:15" x14ac:dyDescent="0.2">
      <c r="A1631" s="111">
        <v>1672</v>
      </c>
      <c r="B1631" s="421" t="s">
        <v>2763</v>
      </c>
      <c r="C1631" s="421" t="s">
        <v>513</v>
      </c>
      <c r="D1631" s="422" t="s">
        <v>666</v>
      </c>
      <c r="E1631" s="111">
        <v>16472</v>
      </c>
      <c r="F1631" s="421" t="s">
        <v>2762</v>
      </c>
      <c r="G1631" s="112">
        <v>1</v>
      </c>
      <c r="H1631" s="112">
        <v>1</v>
      </c>
      <c r="I1631" s="112">
        <v>1</v>
      </c>
      <c r="J1631" s="112">
        <v>1</v>
      </c>
      <c r="K1631" s="112">
        <v>1</v>
      </c>
    </row>
    <row r="1632" spans="1:15" x14ac:dyDescent="0.2">
      <c r="A1632" s="111">
        <v>1673</v>
      </c>
      <c r="B1632" s="421" t="s">
        <v>192</v>
      </c>
      <c r="C1632" s="421" t="s">
        <v>506</v>
      </c>
      <c r="D1632" s="422" t="s">
        <v>666</v>
      </c>
      <c r="E1632" s="111">
        <v>14940</v>
      </c>
      <c r="F1632" s="421" t="s">
        <v>2764</v>
      </c>
      <c r="G1632" s="112">
        <v>1</v>
      </c>
      <c r="H1632" s="112">
        <v>1</v>
      </c>
    </row>
    <row r="1633" spans="1:15" x14ac:dyDescent="0.2">
      <c r="A1633" s="111">
        <v>1674</v>
      </c>
      <c r="B1633" s="421" t="s">
        <v>1348</v>
      </c>
      <c r="C1633" s="421" t="s">
        <v>501</v>
      </c>
      <c r="D1633" s="422" t="s">
        <v>666</v>
      </c>
      <c r="E1633" s="111">
        <v>14953</v>
      </c>
      <c r="F1633" s="421" t="s">
        <v>2798</v>
      </c>
      <c r="G1633" s="112">
        <v>2</v>
      </c>
      <c r="H1633" s="112">
        <v>2</v>
      </c>
      <c r="I1633" s="112">
        <v>1</v>
      </c>
      <c r="J1633" s="112">
        <v>1</v>
      </c>
    </row>
    <row r="1634" spans="1:15" x14ac:dyDescent="0.2">
      <c r="A1634" s="111">
        <v>1675</v>
      </c>
      <c r="B1634" s="421" t="s">
        <v>2765</v>
      </c>
      <c r="C1634" s="421" t="s">
        <v>503</v>
      </c>
      <c r="D1634" s="422" t="s">
        <v>663</v>
      </c>
      <c r="E1634" s="111">
        <v>14364</v>
      </c>
      <c r="F1634" s="421" t="s">
        <v>1202</v>
      </c>
      <c r="G1634" s="112">
        <v>1</v>
      </c>
      <c r="H1634" s="112">
        <v>1</v>
      </c>
      <c r="I1634" s="112">
        <v>1</v>
      </c>
      <c r="J1634" s="112">
        <v>1</v>
      </c>
      <c r="K1634" s="112">
        <v>2</v>
      </c>
      <c r="L1634" s="112">
        <v>2</v>
      </c>
    </row>
    <row r="1635" spans="1:15" x14ac:dyDescent="0.2">
      <c r="A1635" s="111">
        <v>1676</v>
      </c>
      <c r="B1635" s="421" t="s">
        <v>2766</v>
      </c>
      <c r="C1635" s="421" t="s">
        <v>530</v>
      </c>
      <c r="D1635" s="422" t="s">
        <v>666</v>
      </c>
      <c r="F1635" s="421" t="s">
        <v>2767</v>
      </c>
      <c r="G1635" s="112">
        <v>1</v>
      </c>
      <c r="H1635" s="112">
        <v>1</v>
      </c>
      <c r="I1635" s="112">
        <v>2</v>
      </c>
      <c r="J1635" s="112">
        <v>1</v>
      </c>
      <c r="K1635" s="112">
        <v>1</v>
      </c>
      <c r="L1635" s="112">
        <v>1</v>
      </c>
      <c r="M1635" s="112">
        <v>1</v>
      </c>
      <c r="N1635" s="112">
        <v>2</v>
      </c>
    </row>
    <row r="1636" spans="1:15" x14ac:dyDescent="0.2">
      <c r="A1636" s="111">
        <v>1677</v>
      </c>
      <c r="B1636" s="421" t="s">
        <v>2768</v>
      </c>
      <c r="C1636" s="421" t="s">
        <v>545</v>
      </c>
      <c r="D1636" s="422" t="s">
        <v>666</v>
      </c>
      <c r="F1636" s="421" t="s">
        <v>2769</v>
      </c>
      <c r="G1636" s="112">
        <v>1</v>
      </c>
      <c r="H1636" s="112">
        <v>1</v>
      </c>
      <c r="I1636" s="112">
        <v>1</v>
      </c>
      <c r="J1636" s="112">
        <v>1</v>
      </c>
      <c r="K1636" s="112">
        <v>1</v>
      </c>
      <c r="L1636" s="112">
        <v>1</v>
      </c>
    </row>
    <row r="1637" spans="1:15" x14ac:dyDescent="0.2">
      <c r="A1637" s="111">
        <v>1678</v>
      </c>
      <c r="B1637" s="421" t="s">
        <v>2770</v>
      </c>
      <c r="C1637" s="421" t="s">
        <v>540</v>
      </c>
      <c r="D1637" s="422" t="s">
        <v>663</v>
      </c>
      <c r="E1637" s="111">
        <v>15544</v>
      </c>
      <c r="F1637" s="421" t="s">
        <v>2771</v>
      </c>
      <c r="G1637" s="112">
        <v>1</v>
      </c>
      <c r="H1637" s="112">
        <v>1</v>
      </c>
      <c r="I1637" s="112">
        <v>1</v>
      </c>
      <c r="J1637" s="112">
        <v>1</v>
      </c>
    </row>
    <row r="1638" spans="1:15" x14ac:dyDescent="0.2">
      <c r="A1638" s="111">
        <v>1679</v>
      </c>
      <c r="B1638" s="421" t="s">
        <v>2772</v>
      </c>
      <c r="C1638" s="421" t="s">
        <v>536</v>
      </c>
      <c r="D1638" s="422" t="s">
        <v>666</v>
      </c>
      <c r="F1638" s="421" t="s">
        <v>3937</v>
      </c>
      <c r="G1638" s="112">
        <v>1</v>
      </c>
      <c r="H1638" s="112">
        <v>1</v>
      </c>
      <c r="I1638" s="112">
        <v>1</v>
      </c>
      <c r="J1638" s="112">
        <v>1</v>
      </c>
    </row>
    <row r="1639" spans="1:15" x14ac:dyDescent="0.2">
      <c r="A1639" s="111">
        <v>1680</v>
      </c>
      <c r="B1639" s="421" t="s">
        <v>48</v>
      </c>
      <c r="C1639" s="421" t="s">
        <v>501</v>
      </c>
      <c r="D1639" s="422" t="s">
        <v>663</v>
      </c>
      <c r="E1639" s="111">
        <v>14943</v>
      </c>
      <c r="F1639" s="421" t="s">
        <v>2799</v>
      </c>
      <c r="H1639" s="112">
        <v>1</v>
      </c>
    </row>
    <row r="1640" spans="1:15" x14ac:dyDescent="0.2">
      <c r="A1640" s="111">
        <v>1681</v>
      </c>
      <c r="B1640" s="421" t="s">
        <v>2773</v>
      </c>
      <c r="C1640" s="421" t="s">
        <v>549</v>
      </c>
      <c r="D1640" s="422" t="s">
        <v>663</v>
      </c>
      <c r="E1640" s="111">
        <v>15415</v>
      </c>
      <c r="F1640" s="421" t="s">
        <v>2774</v>
      </c>
      <c r="G1640" s="112">
        <v>2</v>
      </c>
      <c r="H1640" s="112">
        <v>1</v>
      </c>
      <c r="I1640" s="112">
        <v>1</v>
      </c>
      <c r="J1640" s="112">
        <v>7</v>
      </c>
      <c r="K1640" s="112">
        <v>7</v>
      </c>
      <c r="L1640" s="112">
        <v>7</v>
      </c>
      <c r="M1640" s="112">
        <v>10</v>
      </c>
      <c r="N1640" s="112">
        <v>6</v>
      </c>
      <c r="O1640" s="112">
        <v>5</v>
      </c>
    </row>
    <row r="1641" spans="1:15" x14ac:dyDescent="0.2">
      <c r="A1641" s="111">
        <v>1682</v>
      </c>
      <c r="B1641" s="421" t="s">
        <v>2775</v>
      </c>
      <c r="C1641" s="421" t="s">
        <v>506</v>
      </c>
      <c r="D1641" s="422" t="s">
        <v>666</v>
      </c>
      <c r="F1641" s="421" t="s">
        <v>2269</v>
      </c>
      <c r="G1641" s="112">
        <v>2</v>
      </c>
      <c r="H1641" s="112">
        <v>1</v>
      </c>
    </row>
    <row r="1642" spans="1:15" x14ac:dyDescent="0.2">
      <c r="A1642" s="111">
        <v>1683</v>
      </c>
      <c r="B1642" s="421" t="s">
        <v>2776</v>
      </c>
      <c r="C1642" s="421" t="s">
        <v>501</v>
      </c>
      <c r="D1642" s="422" t="s">
        <v>666</v>
      </c>
      <c r="E1642" s="111">
        <v>15908</v>
      </c>
      <c r="F1642" s="421" t="s">
        <v>2777</v>
      </c>
      <c r="G1642" s="112">
        <v>1</v>
      </c>
      <c r="H1642" s="112">
        <v>1</v>
      </c>
      <c r="I1642" s="112">
        <v>1</v>
      </c>
    </row>
    <row r="1643" spans="1:15" x14ac:dyDescent="0.2">
      <c r="A1643" s="111">
        <v>1684</v>
      </c>
      <c r="B1643" s="421" t="s">
        <v>2778</v>
      </c>
      <c r="C1643" s="421" t="s">
        <v>519</v>
      </c>
      <c r="D1643" s="422" t="s">
        <v>663</v>
      </c>
      <c r="E1643" s="111">
        <v>14948</v>
      </c>
      <c r="F1643" s="421" t="s">
        <v>2779</v>
      </c>
    </row>
    <row r="1644" spans="1:15" x14ac:dyDescent="0.2">
      <c r="A1644" s="111">
        <v>1685</v>
      </c>
      <c r="B1644" s="421" t="s">
        <v>2780</v>
      </c>
      <c r="C1644" s="421" t="s">
        <v>530</v>
      </c>
      <c r="D1644" s="422" t="s">
        <v>666</v>
      </c>
      <c r="E1644" s="111">
        <v>14392</v>
      </c>
      <c r="F1644" s="421" t="s">
        <v>1266</v>
      </c>
      <c r="G1644" s="112">
        <v>2</v>
      </c>
      <c r="H1644" s="112">
        <v>2</v>
      </c>
      <c r="I1644" s="112">
        <v>2</v>
      </c>
      <c r="L1644" s="112">
        <v>1</v>
      </c>
    </row>
    <row r="1645" spans="1:15" x14ac:dyDescent="0.2">
      <c r="A1645" s="111">
        <v>1686</v>
      </c>
      <c r="B1645" s="421" t="s">
        <v>119</v>
      </c>
      <c r="C1645" s="421" t="s">
        <v>577</v>
      </c>
      <c r="D1645" s="422" t="s">
        <v>663</v>
      </c>
      <c r="E1645" s="111">
        <v>15018</v>
      </c>
      <c r="F1645" s="421" t="s">
        <v>2781</v>
      </c>
      <c r="G1645" s="112">
        <v>1</v>
      </c>
      <c r="H1645" s="112">
        <v>1</v>
      </c>
      <c r="I1645" s="112">
        <v>1</v>
      </c>
      <c r="J1645" s="112">
        <v>1</v>
      </c>
      <c r="K1645" s="112">
        <v>1</v>
      </c>
      <c r="L1645" s="112">
        <v>1</v>
      </c>
      <c r="M1645" s="112">
        <v>1</v>
      </c>
    </row>
    <row r="1646" spans="1:15" x14ac:dyDescent="0.2">
      <c r="A1646" s="111">
        <v>1687</v>
      </c>
      <c r="B1646" s="421" t="s">
        <v>437</v>
      </c>
      <c r="C1646" s="421" t="s">
        <v>506</v>
      </c>
      <c r="D1646" s="422" t="s">
        <v>663</v>
      </c>
      <c r="E1646" s="111">
        <v>14949</v>
      </c>
      <c r="F1646" s="421" t="s">
        <v>2800</v>
      </c>
    </row>
    <row r="1647" spans="1:15" x14ac:dyDescent="0.2">
      <c r="A1647" s="111">
        <v>1688</v>
      </c>
      <c r="B1647" s="421" t="s">
        <v>2782</v>
      </c>
      <c r="C1647" s="421" t="s">
        <v>501</v>
      </c>
      <c r="D1647" s="422" t="s">
        <v>663</v>
      </c>
      <c r="E1647" s="111">
        <v>16049</v>
      </c>
      <c r="F1647" s="421" t="s">
        <v>2783</v>
      </c>
      <c r="G1647" s="112">
        <v>1</v>
      </c>
      <c r="H1647" s="112">
        <v>1</v>
      </c>
      <c r="I1647" s="112">
        <v>1</v>
      </c>
    </row>
    <row r="1648" spans="1:15" x14ac:dyDescent="0.2">
      <c r="A1648" s="111">
        <v>1689</v>
      </c>
      <c r="B1648" s="421" t="s">
        <v>159</v>
      </c>
      <c r="C1648" s="421" t="s">
        <v>503</v>
      </c>
      <c r="D1648" s="422" t="s">
        <v>663</v>
      </c>
      <c r="E1648" s="111">
        <v>14950</v>
      </c>
      <c r="F1648" s="421" t="s">
        <v>2784</v>
      </c>
      <c r="G1648" s="112">
        <v>2</v>
      </c>
      <c r="H1648" s="112">
        <v>1</v>
      </c>
    </row>
    <row r="1649" spans="1:15" x14ac:dyDescent="0.2">
      <c r="A1649" s="111">
        <v>1690</v>
      </c>
      <c r="B1649" s="421" t="s">
        <v>2785</v>
      </c>
      <c r="C1649" s="421" t="s">
        <v>516</v>
      </c>
      <c r="D1649" s="422" t="s">
        <v>663</v>
      </c>
      <c r="E1649" s="111">
        <v>44088</v>
      </c>
      <c r="F1649" s="421" t="s">
        <v>2786</v>
      </c>
      <c r="G1649" s="112">
        <v>2</v>
      </c>
      <c r="H1649" s="112">
        <v>2</v>
      </c>
      <c r="I1649" s="112">
        <v>2</v>
      </c>
      <c r="J1649" s="112">
        <v>17</v>
      </c>
      <c r="K1649" s="112">
        <v>17</v>
      </c>
      <c r="L1649" s="112">
        <v>17</v>
      </c>
      <c r="M1649" s="112">
        <v>13</v>
      </c>
      <c r="N1649" s="112">
        <v>6</v>
      </c>
      <c r="O1649" s="112">
        <v>5</v>
      </c>
    </row>
    <row r="1650" spans="1:15" x14ac:dyDescent="0.2">
      <c r="A1650" s="111">
        <v>1691</v>
      </c>
      <c r="B1650" s="421" t="s">
        <v>2787</v>
      </c>
      <c r="C1650" s="421" t="s">
        <v>570</v>
      </c>
      <c r="D1650" s="422" t="s">
        <v>663</v>
      </c>
      <c r="E1650" s="111">
        <v>14846</v>
      </c>
      <c r="F1650" s="421" t="s">
        <v>2504</v>
      </c>
      <c r="G1650" s="112">
        <v>1</v>
      </c>
      <c r="H1650" s="112">
        <v>1</v>
      </c>
      <c r="I1650" s="112">
        <v>1</v>
      </c>
      <c r="J1650" s="112">
        <v>4</v>
      </c>
      <c r="K1650" s="112">
        <v>1</v>
      </c>
      <c r="L1650" s="112">
        <v>2</v>
      </c>
    </row>
    <row r="1651" spans="1:15" x14ac:dyDescent="0.2">
      <c r="A1651" s="111">
        <v>1692</v>
      </c>
      <c r="B1651" s="421" t="s">
        <v>2788</v>
      </c>
      <c r="C1651" s="421" t="s">
        <v>501</v>
      </c>
      <c r="D1651" s="422" t="s">
        <v>663</v>
      </c>
      <c r="F1651" s="421" t="s">
        <v>2789</v>
      </c>
      <c r="G1651" s="112">
        <v>1</v>
      </c>
    </row>
    <row r="1652" spans="1:15" x14ac:dyDescent="0.2">
      <c r="A1652" s="111">
        <v>1693</v>
      </c>
      <c r="B1652" s="421" t="s">
        <v>2790</v>
      </c>
      <c r="C1652" s="421" t="s">
        <v>592</v>
      </c>
      <c r="D1652" s="422" t="s">
        <v>666</v>
      </c>
      <c r="F1652" s="421" t="s">
        <v>2791</v>
      </c>
      <c r="G1652" s="112">
        <v>1</v>
      </c>
      <c r="H1652" s="112">
        <v>1</v>
      </c>
      <c r="I1652" s="112">
        <v>1</v>
      </c>
    </row>
    <row r="1653" spans="1:15" x14ac:dyDescent="0.2">
      <c r="A1653" s="111">
        <v>1694</v>
      </c>
      <c r="B1653" s="421" t="s">
        <v>2792</v>
      </c>
      <c r="C1653" s="421" t="s">
        <v>559</v>
      </c>
      <c r="D1653" s="422" t="s">
        <v>666</v>
      </c>
      <c r="E1653" s="111">
        <v>14601</v>
      </c>
      <c r="F1653" s="421" t="s">
        <v>1819</v>
      </c>
      <c r="G1653" s="112">
        <v>1</v>
      </c>
      <c r="I1653" s="112">
        <v>1</v>
      </c>
      <c r="J1653" s="112">
        <v>2</v>
      </c>
    </row>
    <row r="1654" spans="1:15" x14ac:dyDescent="0.2">
      <c r="A1654" s="111">
        <v>1695</v>
      </c>
      <c r="B1654" s="421" t="s">
        <v>2793</v>
      </c>
      <c r="C1654" s="421" t="s">
        <v>551</v>
      </c>
      <c r="D1654" s="422" t="s">
        <v>663</v>
      </c>
      <c r="E1654" s="111">
        <v>14951</v>
      </c>
      <c r="F1654" s="421" t="s">
        <v>2794</v>
      </c>
      <c r="G1654" s="112">
        <v>1</v>
      </c>
      <c r="I1654" s="112">
        <v>1</v>
      </c>
      <c r="J1654" s="112">
        <v>2</v>
      </c>
    </row>
    <row r="1655" spans="1:15" x14ac:dyDescent="0.2">
      <c r="A1655" s="111">
        <v>1696</v>
      </c>
      <c r="B1655" s="421" t="s">
        <v>2795</v>
      </c>
      <c r="C1655" s="421" t="s">
        <v>516</v>
      </c>
      <c r="D1655" s="422" t="s">
        <v>663</v>
      </c>
      <c r="E1655" s="111">
        <v>14952</v>
      </c>
      <c r="F1655" s="421" t="s">
        <v>2796</v>
      </c>
      <c r="G1655" s="112">
        <v>1</v>
      </c>
      <c r="H1655" s="112">
        <v>1</v>
      </c>
      <c r="I1655" s="112">
        <v>1</v>
      </c>
      <c r="J1655" s="112">
        <v>3</v>
      </c>
      <c r="K1655" s="112">
        <v>3</v>
      </c>
      <c r="L1655" s="112">
        <v>2</v>
      </c>
      <c r="M1655" s="112">
        <v>1</v>
      </c>
    </row>
    <row r="1656" spans="1:15" x14ac:dyDescent="0.2">
      <c r="A1656" s="111">
        <v>1698</v>
      </c>
      <c r="B1656" s="421" t="s">
        <v>2801</v>
      </c>
      <c r="C1656" s="421" t="s">
        <v>506</v>
      </c>
      <c r="D1656" s="422" t="s">
        <v>666</v>
      </c>
      <c r="F1656" s="421" t="s">
        <v>2802</v>
      </c>
    </row>
    <row r="1657" spans="1:15" x14ac:dyDescent="0.2">
      <c r="A1657" s="111">
        <v>1699</v>
      </c>
      <c r="B1657" s="421" t="s">
        <v>291</v>
      </c>
      <c r="C1657" s="421" t="s">
        <v>551</v>
      </c>
      <c r="D1657" s="422" t="s">
        <v>666</v>
      </c>
      <c r="E1657" s="111">
        <v>14954</v>
      </c>
      <c r="F1657" s="421" t="s">
        <v>5269</v>
      </c>
      <c r="G1657" s="112">
        <v>1</v>
      </c>
      <c r="H1657" s="112">
        <v>1</v>
      </c>
      <c r="I1657" s="112">
        <v>1</v>
      </c>
      <c r="J1657" s="112">
        <v>8</v>
      </c>
      <c r="K1657" s="112">
        <v>7</v>
      </c>
      <c r="L1657" s="112">
        <v>7</v>
      </c>
      <c r="M1657" s="112">
        <v>4</v>
      </c>
      <c r="N1657" s="112">
        <v>3</v>
      </c>
      <c r="O1657" s="112">
        <v>4</v>
      </c>
    </row>
    <row r="1658" spans="1:15" x14ac:dyDescent="0.2">
      <c r="A1658" s="111">
        <v>1700</v>
      </c>
      <c r="B1658" s="421" t="s">
        <v>2803</v>
      </c>
      <c r="C1658" s="421" t="s">
        <v>577</v>
      </c>
      <c r="D1658" s="422" t="s">
        <v>666</v>
      </c>
      <c r="F1658" s="421" t="s">
        <v>2804</v>
      </c>
    </row>
    <row r="1659" spans="1:15" x14ac:dyDescent="0.2">
      <c r="A1659" s="111">
        <v>1701</v>
      </c>
      <c r="B1659" s="421" t="s">
        <v>1933</v>
      </c>
      <c r="C1659" s="421" t="s">
        <v>501</v>
      </c>
      <c r="D1659" s="422" t="s">
        <v>666</v>
      </c>
      <c r="E1659" s="111">
        <v>14667</v>
      </c>
      <c r="F1659" s="421" t="s">
        <v>1880</v>
      </c>
      <c r="G1659" s="112">
        <v>1</v>
      </c>
      <c r="H1659" s="112">
        <v>1</v>
      </c>
      <c r="I1659" s="112">
        <v>1</v>
      </c>
      <c r="J1659" s="112">
        <v>1</v>
      </c>
      <c r="K1659" s="112">
        <v>1</v>
      </c>
      <c r="L1659" s="112">
        <v>1</v>
      </c>
    </row>
    <row r="1660" spans="1:15" x14ac:dyDescent="0.2">
      <c r="A1660" s="111">
        <v>1702</v>
      </c>
      <c r="B1660" s="421" t="s">
        <v>2805</v>
      </c>
      <c r="C1660" s="421" t="s">
        <v>536</v>
      </c>
      <c r="D1660" s="422" t="s">
        <v>666</v>
      </c>
      <c r="E1660" s="111">
        <v>1449</v>
      </c>
      <c r="F1660" s="421" t="s">
        <v>1465</v>
      </c>
      <c r="G1660" s="112">
        <v>1</v>
      </c>
      <c r="H1660" s="112">
        <v>1</v>
      </c>
      <c r="I1660" s="112">
        <v>1</v>
      </c>
      <c r="J1660" s="112">
        <v>3</v>
      </c>
      <c r="K1660" s="112">
        <v>1</v>
      </c>
      <c r="L1660" s="112">
        <v>1</v>
      </c>
    </row>
    <row r="1661" spans="1:15" x14ac:dyDescent="0.2">
      <c r="A1661" s="111">
        <v>1703</v>
      </c>
      <c r="B1661" s="421" t="s">
        <v>2806</v>
      </c>
      <c r="C1661" s="421" t="s">
        <v>536</v>
      </c>
      <c r="D1661" s="422" t="s">
        <v>666</v>
      </c>
      <c r="E1661" s="111">
        <v>1479</v>
      </c>
      <c r="F1661" s="421" t="s">
        <v>808</v>
      </c>
      <c r="G1661" s="112">
        <v>1</v>
      </c>
    </row>
    <row r="1662" spans="1:15" x14ac:dyDescent="0.2">
      <c r="A1662" s="111">
        <v>1704</v>
      </c>
      <c r="B1662" s="421" t="s">
        <v>2807</v>
      </c>
      <c r="C1662" s="421" t="s">
        <v>581</v>
      </c>
      <c r="D1662" s="422" t="s">
        <v>666</v>
      </c>
      <c r="E1662" s="111">
        <v>14968</v>
      </c>
      <c r="F1662" s="421" t="s">
        <v>2808</v>
      </c>
      <c r="G1662" s="112">
        <v>1</v>
      </c>
      <c r="H1662" s="112">
        <v>1</v>
      </c>
      <c r="I1662" s="112">
        <v>1</v>
      </c>
      <c r="J1662" s="112">
        <v>2</v>
      </c>
      <c r="K1662" s="112">
        <v>3</v>
      </c>
      <c r="L1662" s="112">
        <v>1</v>
      </c>
    </row>
    <row r="1663" spans="1:15" x14ac:dyDescent="0.2">
      <c r="A1663" s="111">
        <v>1705</v>
      </c>
      <c r="B1663" s="421" t="s">
        <v>2809</v>
      </c>
      <c r="C1663" s="421" t="s">
        <v>502</v>
      </c>
      <c r="D1663" s="422" t="s">
        <v>666</v>
      </c>
      <c r="E1663" s="111">
        <v>14976</v>
      </c>
      <c r="F1663" s="421" t="s">
        <v>1572</v>
      </c>
      <c r="G1663" s="112">
        <v>1</v>
      </c>
      <c r="H1663" s="112">
        <v>1</v>
      </c>
      <c r="I1663" s="112">
        <v>1</v>
      </c>
      <c r="J1663" s="112">
        <v>1</v>
      </c>
      <c r="K1663" s="112">
        <v>2</v>
      </c>
      <c r="L1663" s="112">
        <v>1</v>
      </c>
    </row>
    <row r="1664" spans="1:15" x14ac:dyDescent="0.2">
      <c r="A1664" s="111">
        <v>1706</v>
      </c>
      <c r="B1664" s="421" t="s">
        <v>2810</v>
      </c>
      <c r="C1664" s="421" t="s">
        <v>536</v>
      </c>
      <c r="D1664" s="422" t="s">
        <v>663</v>
      </c>
      <c r="E1664" s="111">
        <v>14695</v>
      </c>
      <c r="F1664" s="421" t="s">
        <v>2121</v>
      </c>
      <c r="G1664" s="112">
        <v>1</v>
      </c>
      <c r="H1664" s="112">
        <v>1</v>
      </c>
      <c r="I1664" s="112">
        <v>1</v>
      </c>
      <c r="J1664" s="112">
        <v>7</v>
      </c>
      <c r="K1664" s="112">
        <v>6</v>
      </c>
      <c r="L1664" s="112">
        <v>4</v>
      </c>
      <c r="M1664" s="112">
        <v>4</v>
      </c>
      <c r="N1664" s="112">
        <v>2</v>
      </c>
      <c r="O1664" s="112">
        <v>2</v>
      </c>
    </row>
    <row r="1665" spans="1:15" x14ac:dyDescent="0.2">
      <c r="A1665" s="111">
        <v>1707</v>
      </c>
      <c r="B1665" s="421" t="s">
        <v>2811</v>
      </c>
      <c r="C1665" s="421" t="s">
        <v>513</v>
      </c>
      <c r="D1665" s="422" t="s">
        <v>666</v>
      </c>
      <c r="E1665" s="111">
        <v>14958</v>
      </c>
      <c r="F1665" s="421" t="s">
        <v>2812</v>
      </c>
      <c r="G1665" s="112">
        <v>1</v>
      </c>
      <c r="H1665" s="112">
        <v>1</v>
      </c>
      <c r="I1665" s="112">
        <v>1</v>
      </c>
      <c r="J1665" s="112">
        <v>1</v>
      </c>
    </row>
    <row r="1666" spans="1:15" x14ac:dyDescent="0.2">
      <c r="A1666" s="111">
        <v>1708</v>
      </c>
      <c r="B1666" s="421" t="s">
        <v>2813</v>
      </c>
      <c r="C1666" s="421" t="s">
        <v>501</v>
      </c>
      <c r="D1666" s="422" t="s">
        <v>666</v>
      </c>
      <c r="E1666" s="111">
        <v>14959</v>
      </c>
      <c r="F1666" s="421" t="s">
        <v>2814</v>
      </c>
    </row>
    <row r="1667" spans="1:15" x14ac:dyDescent="0.2">
      <c r="A1667" s="111">
        <v>1709</v>
      </c>
      <c r="B1667" s="421" t="s">
        <v>2815</v>
      </c>
      <c r="C1667" s="421" t="s">
        <v>551</v>
      </c>
      <c r="D1667" s="422" t="s">
        <v>663</v>
      </c>
      <c r="E1667" s="111">
        <v>14959</v>
      </c>
      <c r="F1667" s="421" t="s">
        <v>2814</v>
      </c>
    </row>
    <row r="1668" spans="1:15" x14ac:dyDescent="0.2">
      <c r="A1668" s="111">
        <v>1710</v>
      </c>
      <c r="B1668" s="421" t="s">
        <v>37</v>
      </c>
      <c r="C1668" s="421" t="s">
        <v>513</v>
      </c>
      <c r="D1668" s="422" t="s">
        <v>663</v>
      </c>
      <c r="E1668" s="111">
        <v>14962</v>
      </c>
      <c r="F1668" s="421" t="s">
        <v>2816</v>
      </c>
      <c r="G1668" s="112">
        <v>1</v>
      </c>
      <c r="H1668" s="112">
        <v>1</v>
      </c>
      <c r="I1668" s="112">
        <v>1</v>
      </c>
      <c r="J1668" s="112">
        <v>7</v>
      </c>
      <c r="K1668" s="112">
        <v>6</v>
      </c>
      <c r="L1668" s="112">
        <v>8</v>
      </c>
      <c r="M1668" s="112">
        <v>3</v>
      </c>
      <c r="N1668" s="112">
        <v>3</v>
      </c>
      <c r="O1668" s="112">
        <v>2</v>
      </c>
    </row>
    <row r="1669" spans="1:15" x14ac:dyDescent="0.2">
      <c r="A1669" s="111">
        <v>1711</v>
      </c>
      <c r="B1669" s="421" t="s">
        <v>306</v>
      </c>
      <c r="C1669" s="421" t="s">
        <v>513</v>
      </c>
      <c r="D1669" s="422" t="s">
        <v>666</v>
      </c>
      <c r="E1669" s="111">
        <v>14196</v>
      </c>
      <c r="F1669" s="421" t="s">
        <v>910</v>
      </c>
      <c r="G1669" s="112">
        <v>2</v>
      </c>
      <c r="H1669" s="112">
        <v>1</v>
      </c>
      <c r="I1669" s="112">
        <v>1</v>
      </c>
      <c r="J1669" s="112">
        <v>4</v>
      </c>
      <c r="K1669" s="112">
        <v>3</v>
      </c>
      <c r="L1669" s="112">
        <v>2</v>
      </c>
    </row>
    <row r="1670" spans="1:15" x14ac:dyDescent="0.2">
      <c r="A1670" s="111">
        <v>1712</v>
      </c>
      <c r="B1670" s="421" t="s">
        <v>313</v>
      </c>
      <c r="C1670" s="421" t="s">
        <v>506</v>
      </c>
      <c r="D1670" s="422" t="s">
        <v>663</v>
      </c>
      <c r="E1670" s="111">
        <v>14964</v>
      </c>
      <c r="F1670" s="421" t="s">
        <v>2817</v>
      </c>
      <c r="G1670" s="112">
        <v>1</v>
      </c>
      <c r="J1670" s="112">
        <v>1</v>
      </c>
    </row>
    <row r="1671" spans="1:15" x14ac:dyDescent="0.2">
      <c r="A1671" s="111">
        <v>1713</v>
      </c>
      <c r="B1671" s="421" t="s">
        <v>2818</v>
      </c>
      <c r="C1671" s="421" t="s">
        <v>506</v>
      </c>
      <c r="D1671" s="422" t="s">
        <v>666</v>
      </c>
      <c r="E1671" s="111">
        <v>14684</v>
      </c>
      <c r="F1671" s="421" t="s">
        <v>2819</v>
      </c>
      <c r="G1671" s="112">
        <v>1</v>
      </c>
      <c r="H1671" s="112">
        <v>1</v>
      </c>
      <c r="I1671" s="112">
        <v>1</v>
      </c>
      <c r="J1671" s="112">
        <v>1</v>
      </c>
      <c r="K1671" s="112">
        <v>1</v>
      </c>
      <c r="L1671" s="112">
        <v>1</v>
      </c>
    </row>
    <row r="1672" spans="1:15" x14ac:dyDescent="0.2">
      <c r="A1672" s="111">
        <v>1714</v>
      </c>
      <c r="B1672" s="421" t="s">
        <v>440</v>
      </c>
      <c r="C1672" s="421" t="s">
        <v>501</v>
      </c>
      <c r="D1672" s="422" t="s">
        <v>666</v>
      </c>
      <c r="E1672" s="111">
        <v>14963</v>
      </c>
      <c r="F1672" s="421" t="s">
        <v>2820</v>
      </c>
      <c r="G1672" s="112">
        <v>2</v>
      </c>
      <c r="H1672" s="112">
        <v>2</v>
      </c>
      <c r="I1672" s="112">
        <v>1</v>
      </c>
    </row>
    <row r="1673" spans="1:15" x14ac:dyDescent="0.2">
      <c r="A1673" s="111">
        <v>1715</v>
      </c>
      <c r="B1673" s="421" t="s">
        <v>2821</v>
      </c>
      <c r="C1673" s="421" t="s">
        <v>1674</v>
      </c>
      <c r="D1673" s="422" t="s">
        <v>666</v>
      </c>
      <c r="E1673" s="111">
        <v>14548</v>
      </c>
      <c r="F1673" s="421" t="s">
        <v>1675</v>
      </c>
      <c r="G1673" s="112">
        <v>1</v>
      </c>
      <c r="H1673" s="112">
        <v>1</v>
      </c>
      <c r="I1673" s="112">
        <v>1</v>
      </c>
      <c r="J1673" s="112">
        <v>8</v>
      </c>
      <c r="K1673" s="112">
        <v>9</v>
      </c>
      <c r="L1673" s="112">
        <v>7</v>
      </c>
      <c r="M1673" s="112">
        <v>6</v>
      </c>
      <c r="N1673" s="112">
        <v>3</v>
      </c>
      <c r="O1673" s="112">
        <v>3</v>
      </c>
    </row>
    <row r="1674" spans="1:15" x14ac:dyDescent="0.2">
      <c r="A1674" s="111">
        <v>1717</v>
      </c>
      <c r="B1674" s="421" t="s">
        <v>131</v>
      </c>
      <c r="C1674" s="421" t="s">
        <v>503</v>
      </c>
      <c r="D1674" s="422" t="s">
        <v>663</v>
      </c>
      <c r="E1674" s="111">
        <v>14973</v>
      </c>
      <c r="F1674" s="421" t="s">
        <v>2823</v>
      </c>
    </row>
    <row r="1675" spans="1:15" x14ac:dyDescent="0.2">
      <c r="A1675" s="111">
        <v>1718</v>
      </c>
      <c r="B1675" s="421" t="s">
        <v>1957</v>
      </c>
      <c r="C1675" s="421" t="s">
        <v>507</v>
      </c>
      <c r="D1675" s="422" t="s">
        <v>663</v>
      </c>
      <c r="F1675" s="421" t="s">
        <v>2824</v>
      </c>
    </row>
    <row r="1676" spans="1:15" x14ac:dyDescent="0.2">
      <c r="A1676" s="111">
        <v>1719</v>
      </c>
      <c r="B1676" s="421" t="s">
        <v>2825</v>
      </c>
      <c r="C1676" s="421" t="s">
        <v>507</v>
      </c>
      <c r="D1676" s="422" t="s">
        <v>663</v>
      </c>
      <c r="F1676" s="421" t="s">
        <v>3066</v>
      </c>
    </row>
    <row r="1677" spans="1:15" x14ac:dyDescent="0.2">
      <c r="A1677" s="111">
        <v>1720</v>
      </c>
      <c r="B1677" s="421" t="s">
        <v>2826</v>
      </c>
      <c r="C1677" s="421" t="s">
        <v>574</v>
      </c>
      <c r="D1677" s="422" t="s">
        <v>666</v>
      </c>
      <c r="E1677" s="111">
        <v>14505</v>
      </c>
      <c r="F1677" s="421" t="s">
        <v>1526</v>
      </c>
      <c r="G1677" s="112">
        <v>1</v>
      </c>
      <c r="H1677" s="112">
        <v>1</v>
      </c>
      <c r="I1677" s="112">
        <v>1</v>
      </c>
      <c r="J1677" s="112">
        <v>7</v>
      </c>
      <c r="K1677" s="112">
        <v>7</v>
      </c>
      <c r="L1677" s="112">
        <v>8</v>
      </c>
      <c r="M1677" s="112">
        <v>16</v>
      </c>
      <c r="N1677" s="112">
        <v>13</v>
      </c>
      <c r="O1677" s="112">
        <v>14</v>
      </c>
    </row>
    <row r="1678" spans="1:15" x14ac:dyDescent="0.2">
      <c r="A1678" s="111">
        <v>1721</v>
      </c>
      <c r="B1678" s="421" t="s">
        <v>1349</v>
      </c>
      <c r="C1678" s="421" t="s">
        <v>2588</v>
      </c>
      <c r="D1678" s="422" t="s">
        <v>663</v>
      </c>
      <c r="E1678" s="111">
        <v>14823</v>
      </c>
      <c r="F1678" s="421" t="s">
        <v>2474</v>
      </c>
      <c r="G1678" s="112">
        <v>4</v>
      </c>
      <c r="H1678" s="112">
        <v>4</v>
      </c>
      <c r="I1678" s="112">
        <v>2</v>
      </c>
      <c r="J1678" s="112">
        <v>17</v>
      </c>
      <c r="K1678" s="112">
        <v>11</v>
      </c>
      <c r="L1678" s="112">
        <v>16</v>
      </c>
      <c r="M1678" s="112">
        <v>5</v>
      </c>
      <c r="N1678" s="112">
        <v>3</v>
      </c>
      <c r="O1678" s="112">
        <v>4</v>
      </c>
    </row>
    <row r="1679" spans="1:15" x14ac:dyDescent="0.2">
      <c r="A1679" s="111">
        <v>1722</v>
      </c>
      <c r="B1679" s="421" t="s">
        <v>337</v>
      </c>
      <c r="C1679" s="421" t="s">
        <v>501</v>
      </c>
      <c r="D1679" s="422" t="s">
        <v>663</v>
      </c>
      <c r="E1679" s="111">
        <v>1474</v>
      </c>
      <c r="F1679" s="421" t="s">
        <v>804</v>
      </c>
      <c r="G1679" s="112">
        <v>1</v>
      </c>
      <c r="H1679" s="112">
        <v>1</v>
      </c>
      <c r="I1679" s="112">
        <v>1</v>
      </c>
      <c r="J1679" s="112">
        <v>9</v>
      </c>
      <c r="K1679" s="112">
        <v>10</v>
      </c>
      <c r="L1679" s="112">
        <v>9</v>
      </c>
      <c r="M1679" s="112">
        <v>10</v>
      </c>
      <c r="N1679" s="112">
        <v>4</v>
      </c>
      <c r="O1679" s="112">
        <v>3</v>
      </c>
    </row>
    <row r="1680" spans="1:15" x14ac:dyDescent="0.2">
      <c r="A1680" s="111">
        <v>1723</v>
      </c>
      <c r="B1680" s="421" t="s">
        <v>2827</v>
      </c>
      <c r="C1680" s="421" t="s">
        <v>503</v>
      </c>
      <c r="D1680" s="422" t="s">
        <v>666</v>
      </c>
      <c r="E1680" s="111">
        <v>14969</v>
      </c>
      <c r="F1680" s="421" t="s">
        <v>2828</v>
      </c>
      <c r="H1680" s="112">
        <v>1</v>
      </c>
      <c r="I1680" s="112">
        <v>1</v>
      </c>
    </row>
    <row r="1681" spans="1:15" x14ac:dyDescent="0.2">
      <c r="A1681" s="111">
        <v>1724</v>
      </c>
      <c r="B1681" s="421" t="s">
        <v>2829</v>
      </c>
      <c r="C1681" s="421" t="s">
        <v>534</v>
      </c>
      <c r="D1681" s="422" t="s">
        <v>666</v>
      </c>
      <c r="E1681" s="111">
        <v>14368</v>
      </c>
      <c r="F1681" s="421" t="s">
        <v>2836</v>
      </c>
      <c r="G1681" s="112">
        <v>3</v>
      </c>
      <c r="H1681" s="112">
        <v>1</v>
      </c>
      <c r="I1681" s="112">
        <v>2</v>
      </c>
      <c r="J1681" s="112">
        <v>8</v>
      </c>
      <c r="K1681" s="112">
        <v>9</v>
      </c>
      <c r="L1681" s="112">
        <v>8</v>
      </c>
      <c r="M1681" s="112">
        <v>3</v>
      </c>
      <c r="N1681" s="112">
        <v>1</v>
      </c>
      <c r="O1681" s="112">
        <v>2</v>
      </c>
    </row>
    <row r="1682" spans="1:15" x14ac:dyDescent="0.2">
      <c r="A1682" s="111">
        <v>1725</v>
      </c>
      <c r="B1682" s="421" t="s">
        <v>2830</v>
      </c>
      <c r="C1682" s="421" t="s">
        <v>509</v>
      </c>
      <c r="D1682" s="422" t="s">
        <v>666</v>
      </c>
      <c r="E1682" s="111">
        <v>14207</v>
      </c>
      <c r="F1682" s="421" t="s">
        <v>973</v>
      </c>
      <c r="G1682" s="112">
        <v>1</v>
      </c>
      <c r="H1682" s="112">
        <v>1</v>
      </c>
      <c r="I1682" s="112">
        <v>1</v>
      </c>
      <c r="J1682" s="112">
        <v>8</v>
      </c>
      <c r="K1682" s="112">
        <v>7</v>
      </c>
      <c r="L1682" s="112">
        <v>7</v>
      </c>
      <c r="M1682" s="112">
        <v>3</v>
      </c>
      <c r="N1682" s="112">
        <v>3</v>
      </c>
      <c r="O1682" s="112">
        <v>3</v>
      </c>
    </row>
    <row r="1683" spans="1:15" x14ac:dyDescent="0.2">
      <c r="A1683" s="111">
        <v>1726</v>
      </c>
      <c r="B1683" s="421" t="s">
        <v>2831</v>
      </c>
      <c r="C1683" s="421" t="s">
        <v>533</v>
      </c>
      <c r="D1683" s="422" t="s">
        <v>663</v>
      </c>
      <c r="E1683" s="111">
        <v>14970</v>
      </c>
      <c r="F1683" s="421" t="s">
        <v>2832</v>
      </c>
      <c r="G1683" s="112">
        <v>1</v>
      </c>
      <c r="H1683" s="112">
        <v>1</v>
      </c>
      <c r="I1683" s="112">
        <v>1</v>
      </c>
    </row>
    <row r="1684" spans="1:15" x14ac:dyDescent="0.2">
      <c r="A1684" s="111">
        <v>1727</v>
      </c>
      <c r="B1684" s="421" t="s">
        <v>2842</v>
      </c>
      <c r="C1684" s="421" t="s">
        <v>577</v>
      </c>
      <c r="D1684" s="422" t="s">
        <v>666</v>
      </c>
      <c r="E1684" s="111">
        <v>14178</v>
      </c>
      <c r="F1684" s="421" t="s">
        <v>882</v>
      </c>
      <c r="G1684" s="112">
        <v>1</v>
      </c>
      <c r="H1684" s="112">
        <v>1</v>
      </c>
      <c r="I1684" s="112">
        <v>1</v>
      </c>
    </row>
    <row r="1685" spans="1:15" x14ac:dyDescent="0.2">
      <c r="A1685" s="111">
        <v>1728</v>
      </c>
      <c r="B1685" s="421" t="s">
        <v>2843</v>
      </c>
      <c r="C1685" s="421" t="s">
        <v>522</v>
      </c>
      <c r="D1685" s="422" t="s">
        <v>663</v>
      </c>
      <c r="E1685" s="111">
        <v>14971</v>
      </c>
      <c r="F1685" s="421" t="s">
        <v>2844</v>
      </c>
      <c r="G1685" s="112">
        <v>1</v>
      </c>
      <c r="H1685" s="112">
        <v>1</v>
      </c>
      <c r="I1685" s="112">
        <v>1</v>
      </c>
      <c r="J1685" s="112">
        <v>1</v>
      </c>
      <c r="K1685" s="112">
        <v>1</v>
      </c>
    </row>
    <row r="1686" spans="1:15" x14ac:dyDescent="0.2">
      <c r="A1686" s="111">
        <v>1729</v>
      </c>
      <c r="B1686" s="421" t="s">
        <v>2845</v>
      </c>
      <c r="C1686" s="421" t="s">
        <v>1994</v>
      </c>
      <c r="D1686" s="422" t="s">
        <v>663</v>
      </c>
      <c r="E1686" s="111">
        <v>14874</v>
      </c>
      <c r="F1686" s="421" t="s">
        <v>2586</v>
      </c>
      <c r="G1686" s="112">
        <v>1</v>
      </c>
      <c r="H1686" s="112">
        <v>1</v>
      </c>
      <c r="I1686" s="112">
        <v>1</v>
      </c>
      <c r="J1686" s="112">
        <v>5</v>
      </c>
      <c r="K1686" s="112">
        <v>3</v>
      </c>
      <c r="L1686" s="112">
        <v>3</v>
      </c>
      <c r="M1686" s="112">
        <v>2</v>
      </c>
      <c r="O1686" s="112">
        <v>1</v>
      </c>
    </row>
    <row r="1687" spans="1:15" x14ac:dyDescent="0.2">
      <c r="A1687" s="111">
        <v>1730</v>
      </c>
      <c r="B1687" s="421" t="s">
        <v>2846</v>
      </c>
      <c r="C1687" s="421" t="s">
        <v>516</v>
      </c>
      <c r="D1687" s="422" t="s">
        <v>666</v>
      </c>
      <c r="E1687" s="111">
        <v>14363</v>
      </c>
      <c r="F1687" s="421" t="s">
        <v>1199</v>
      </c>
      <c r="G1687" s="112">
        <v>1</v>
      </c>
      <c r="H1687" s="112">
        <v>1</v>
      </c>
      <c r="I1687" s="112">
        <v>1</v>
      </c>
      <c r="J1687" s="112">
        <v>12</v>
      </c>
      <c r="K1687" s="112">
        <v>8</v>
      </c>
      <c r="L1687" s="112">
        <v>6</v>
      </c>
      <c r="M1687" s="112">
        <v>5</v>
      </c>
      <c r="N1687" s="112">
        <v>4</v>
      </c>
      <c r="O1687" s="112">
        <v>7</v>
      </c>
    </row>
    <row r="1688" spans="1:15" x14ac:dyDescent="0.2">
      <c r="A1688" s="111">
        <v>1731</v>
      </c>
      <c r="B1688" s="421" t="s">
        <v>2847</v>
      </c>
      <c r="C1688" s="421" t="s">
        <v>525</v>
      </c>
      <c r="D1688" s="422" t="s">
        <v>666</v>
      </c>
      <c r="E1688" s="111">
        <v>14983</v>
      </c>
      <c r="F1688" s="421" t="s">
        <v>2848</v>
      </c>
      <c r="G1688" s="112">
        <v>1</v>
      </c>
      <c r="H1688" s="112">
        <v>1</v>
      </c>
      <c r="I1688" s="112">
        <v>1</v>
      </c>
      <c r="J1688" s="112">
        <v>1</v>
      </c>
      <c r="K1688" s="112">
        <v>1</v>
      </c>
    </row>
    <row r="1689" spans="1:15" x14ac:dyDescent="0.2">
      <c r="A1689" s="111">
        <v>1732</v>
      </c>
      <c r="B1689" s="421" t="s">
        <v>2849</v>
      </c>
      <c r="C1689" s="421" t="s">
        <v>501</v>
      </c>
      <c r="D1689" s="422" t="s">
        <v>663</v>
      </c>
      <c r="E1689" s="111">
        <v>15185</v>
      </c>
      <c r="F1689" s="421" t="s">
        <v>3756</v>
      </c>
      <c r="G1689" s="112">
        <v>1</v>
      </c>
      <c r="H1689" s="112">
        <v>1</v>
      </c>
      <c r="I1689" s="112">
        <v>1</v>
      </c>
      <c r="J1689" s="112">
        <v>1</v>
      </c>
      <c r="K1689" s="112">
        <v>1</v>
      </c>
      <c r="L1689" s="112">
        <v>1</v>
      </c>
    </row>
    <row r="1690" spans="1:15" x14ac:dyDescent="0.2">
      <c r="A1690" s="111">
        <v>1733</v>
      </c>
      <c r="B1690" s="421" t="s">
        <v>126</v>
      </c>
      <c r="C1690" s="421" t="s">
        <v>574</v>
      </c>
      <c r="D1690" s="422" t="s">
        <v>666</v>
      </c>
      <c r="E1690" s="111">
        <v>15182</v>
      </c>
      <c r="F1690" s="421" t="s">
        <v>2850</v>
      </c>
      <c r="G1690" s="112">
        <v>1</v>
      </c>
      <c r="H1690" s="112">
        <v>1</v>
      </c>
      <c r="I1690" s="112">
        <v>1</v>
      </c>
      <c r="K1690" s="112">
        <v>1</v>
      </c>
    </row>
    <row r="1691" spans="1:15" x14ac:dyDescent="0.2">
      <c r="A1691" s="111">
        <v>1734</v>
      </c>
      <c r="B1691" s="421" t="s">
        <v>2851</v>
      </c>
      <c r="C1691" s="421" t="s">
        <v>506</v>
      </c>
      <c r="D1691" s="422" t="s">
        <v>666</v>
      </c>
      <c r="E1691" s="111">
        <v>14975</v>
      </c>
      <c r="F1691" s="421" t="s">
        <v>2852</v>
      </c>
    </row>
    <row r="1692" spans="1:15" x14ac:dyDescent="0.2">
      <c r="A1692" s="111">
        <v>1735</v>
      </c>
      <c r="B1692" s="421" t="s">
        <v>266</v>
      </c>
      <c r="C1692" s="421" t="s">
        <v>501</v>
      </c>
      <c r="D1692" s="422" t="s">
        <v>663</v>
      </c>
      <c r="E1692" s="111">
        <v>15193</v>
      </c>
      <c r="F1692" s="421" t="s">
        <v>2853</v>
      </c>
      <c r="G1692" s="112">
        <v>1</v>
      </c>
      <c r="H1692" s="112">
        <v>1</v>
      </c>
      <c r="I1692" s="112">
        <v>1</v>
      </c>
      <c r="J1692" s="112">
        <v>2</v>
      </c>
      <c r="K1692" s="112">
        <v>3</v>
      </c>
      <c r="L1692" s="112">
        <v>2</v>
      </c>
    </row>
    <row r="1693" spans="1:15" x14ac:dyDescent="0.2">
      <c r="A1693" s="111">
        <v>1736</v>
      </c>
      <c r="B1693" s="421" t="s">
        <v>2854</v>
      </c>
      <c r="C1693" s="421" t="s">
        <v>585</v>
      </c>
      <c r="D1693" s="422" t="s">
        <v>663</v>
      </c>
      <c r="E1693" s="111">
        <v>14977</v>
      </c>
      <c r="F1693" s="421" t="s">
        <v>2855</v>
      </c>
      <c r="G1693" s="112">
        <v>1</v>
      </c>
      <c r="H1693" s="112">
        <v>1</v>
      </c>
      <c r="I1693" s="112">
        <v>1</v>
      </c>
      <c r="J1693" s="112">
        <v>1</v>
      </c>
      <c r="K1693" s="112">
        <v>1</v>
      </c>
      <c r="L1693" s="112">
        <v>1</v>
      </c>
      <c r="M1693" s="112">
        <v>1</v>
      </c>
    </row>
    <row r="1694" spans="1:15" x14ac:dyDescent="0.2">
      <c r="A1694" s="111">
        <v>1737</v>
      </c>
      <c r="B1694" s="421" t="s">
        <v>2856</v>
      </c>
      <c r="C1694" s="421" t="s">
        <v>506</v>
      </c>
      <c r="D1694" s="422" t="s">
        <v>666</v>
      </c>
      <c r="E1694" s="111">
        <v>14978</v>
      </c>
      <c r="F1694" s="421" t="s">
        <v>2857</v>
      </c>
      <c r="G1694" s="112">
        <v>1</v>
      </c>
      <c r="H1694" s="112">
        <v>1</v>
      </c>
      <c r="J1694" s="112">
        <v>1</v>
      </c>
      <c r="K1694" s="112">
        <v>1</v>
      </c>
    </row>
    <row r="1695" spans="1:15" x14ac:dyDescent="0.2">
      <c r="A1695" s="111">
        <v>1738</v>
      </c>
      <c r="B1695" s="421" t="s">
        <v>2858</v>
      </c>
      <c r="C1695" s="421" t="s">
        <v>502</v>
      </c>
      <c r="D1695" s="422" t="s">
        <v>663</v>
      </c>
      <c r="E1695" s="111">
        <v>14978</v>
      </c>
      <c r="F1695" s="421" t="s">
        <v>2857</v>
      </c>
      <c r="G1695" s="112">
        <v>1</v>
      </c>
      <c r="I1695" s="112">
        <v>1</v>
      </c>
    </row>
    <row r="1696" spans="1:15" x14ac:dyDescent="0.2">
      <c r="A1696" s="111">
        <v>1739</v>
      </c>
      <c r="B1696" s="421" t="s">
        <v>126</v>
      </c>
      <c r="C1696" s="421" t="s">
        <v>506</v>
      </c>
      <c r="D1696" s="422" t="s">
        <v>663</v>
      </c>
      <c r="E1696" s="111">
        <v>15019</v>
      </c>
      <c r="F1696" s="421" t="s">
        <v>2859</v>
      </c>
      <c r="H1696" s="112">
        <v>1</v>
      </c>
      <c r="I1696" s="112">
        <v>1</v>
      </c>
    </row>
    <row r="1697" spans="1:15" x14ac:dyDescent="0.2">
      <c r="A1697" s="111">
        <v>1740</v>
      </c>
      <c r="B1697" s="421" t="s">
        <v>643</v>
      </c>
      <c r="C1697" s="421" t="s">
        <v>506</v>
      </c>
      <c r="D1697" s="422" t="s">
        <v>663</v>
      </c>
      <c r="E1697" s="111">
        <v>14980</v>
      </c>
      <c r="F1697" s="421" t="s">
        <v>2860</v>
      </c>
      <c r="G1697" s="112">
        <v>1</v>
      </c>
      <c r="H1697" s="112">
        <v>1</v>
      </c>
      <c r="I1697" s="112">
        <v>1</v>
      </c>
      <c r="J1697" s="112">
        <v>3</v>
      </c>
      <c r="K1697" s="112">
        <v>2</v>
      </c>
      <c r="L1697" s="112">
        <v>1</v>
      </c>
      <c r="M1697" s="112">
        <v>1</v>
      </c>
    </row>
    <row r="1698" spans="1:15" x14ac:dyDescent="0.2">
      <c r="A1698" s="111">
        <v>1741</v>
      </c>
      <c r="B1698" s="421" t="s">
        <v>2861</v>
      </c>
      <c r="C1698" s="421" t="s">
        <v>506</v>
      </c>
      <c r="D1698" s="422" t="s">
        <v>666</v>
      </c>
      <c r="E1698" s="111">
        <v>14974</v>
      </c>
      <c r="F1698" s="421" t="s">
        <v>2862</v>
      </c>
      <c r="G1698" s="112">
        <v>1</v>
      </c>
      <c r="H1698" s="112">
        <v>1</v>
      </c>
      <c r="I1698" s="112">
        <v>1</v>
      </c>
    </row>
    <row r="1699" spans="1:15" x14ac:dyDescent="0.2">
      <c r="A1699" s="111">
        <v>1742</v>
      </c>
      <c r="B1699" s="421" t="s">
        <v>1585</v>
      </c>
      <c r="C1699" s="421" t="s">
        <v>506</v>
      </c>
      <c r="D1699" s="422" t="s">
        <v>666</v>
      </c>
      <c r="E1699" s="111">
        <v>14143</v>
      </c>
      <c r="F1699" s="421" t="s">
        <v>849</v>
      </c>
      <c r="G1699" s="112">
        <v>1</v>
      </c>
      <c r="H1699" s="112">
        <v>1</v>
      </c>
      <c r="I1699" s="112">
        <v>1</v>
      </c>
      <c r="J1699" s="112">
        <v>2</v>
      </c>
      <c r="K1699" s="112">
        <v>1</v>
      </c>
      <c r="L1699" s="112">
        <v>2</v>
      </c>
      <c r="M1699" s="112">
        <v>2</v>
      </c>
      <c r="N1699" s="112">
        <v>1</v>
      </c>
      <c r="O1699" s="112">
        <v>1</v>
      </c>
    </row>
    <row r="1700" spans="1:15" x14ac:dyDescent="0.2">
      <c r="A1700" s="111">
        <v>1743</v>
      </c>
      <c r="B1700" s="421" t="s">
        <v>2863</v>
      </c>
      <c r="C1700" s="421" t="s">
        <v>1500</v>
      </c>
      <c r="D1700" s="422" t="s">
        <v>663</v>
      </c>
      <c r="E1700" s="111">
        <v>14730</v>
      </c>
      <c r="F1700" s="421" t="s">
        <v>2193</v>
      </c>
      <c r="G1700" s="112">
        <v>1</v>
      </c>
      <c r="H1700" s="112">
        <v>1</v>
      </c>
      <c r="I1700" s="112">
        <v>1</v>
      </c>
      <c r="J1700" s="112">
        <v>7</v>
      </c>
      <c r="K1700" s="112">
        <v>7</v>
      </c>
      <c r="L1700" s="112">
        <v>7</v>
      </c>
      <c r="M1700" s="112">
        <v>3</v>
      </c>
      <c r="N1700" s="112">
        <v>3</v>
      </c>
      <c r="O1700" s="112">
        <v>3</v>
      </c>
    </row>
    <row r="1701" spans="1:15" x14ac:dyDescent="0.2">
      <c r="A1701" s="111">
        <v>1744</v>
      </c>
      <c r="B1701" s="421" t="s">
        <v>1804</v>
      </c>
      <c r="C1701" s="421" t="s">
        <v>513</v>
      </c>
      <c r="D1701" s="422" t="s">
        <v>663</v>
      </c>
      <c r="E1701" s="111">
        <v>14384</v>
      </c>
      <c r="F1701" s="421" t="s">
        <v>693</v>
      </c>
    </row>
    <row r="1702" spans="1:15" x14ac:dyDescent="0.2">
      <c r="A1702" s="111">
        <v>1745</v>
      </c>
      <c r="B1702" s="421" t="s">
        <v>110</v>
      </c>
      <c r="C1702" s="421" t="s">
        <v>503</v>
      </c>
      <c r="D1702" s="422" t="s">
        <v>666</v>
      </c>
      <c r="E1702" s="111">
        <v>14984</v>
      </c>
      <c r="F1702" s="421" t="s">
        <v>2864</v>
      </c>
      <c r="G1702" s="112">
        <v>1</v>
      </c>
      <c r="H1702" s="112">
        <v>1</v>
      </c>
      <c r="I1702" s="112">
        <v>1</v>
      </c>
      <c r="J1702" s="112">
        <v>5</v>
      </c>
      <c r="K1702" s="112">
        <v>5</v>
      </c>
      <c r="L1702" s="112">
        <v>5</v>
      </c>
      <c r="M1702" s="112">
        <v>2</v>
      </c>
      <c r="O1702" s="112">
        <v>2</v>
      </c>
    </row>
    <row r="1703" spans="1:15" x14ac:dyDescent="0.2">
      <c r="A1703" s="111">
        <v>1746</v>
      </c>
      <c r="B1703" s="421" t="s">
        <v>1543</v>
      </c>
      <c r="C1703" s="421" t="s">
        <v>514</v>
      </c>
      <c r="D1703" s="422" t="s">
        <v>663</v>
      </c>
      <c r="E1703" s="111">
        <v>14658</v>
      </c>
      <c r="F1703" s="421" t="s">
        <v>1967</v>
      </c>
    </row>
    <row r="1704" spans="1:15" x14ac:dyDescent="0.2">
      <c r="A1704" s="111">
        <v>1747</v>
      </c>
      <c r="B1704" s="421" t="s">
        <v>2822</v>
      </c>
      <c r="C1704" s="421" t="s">
        <v>516</v>
      </c>
      <c r="D1704" s="422" t="s">
        <v>663</v>
      </c>
      <c r="E1704" s="111">
        <v>14536</v>
      </c>
      <c r="F1704" s="421" t="s">
        <v>1640</v>
      </c>
      <c r="G1704" s="112">
        <v>1</v>
      </c>
      <c r="H1704" s="112">
        <v>1</v>
      </c>
      <c r="J1704" s="112">
        <v>1</v>
      </c>
    </row>
    <row r="1705" spans="1:15" x14ac:dyDescent="0.2">
      <c r="A1705" s="111">
        <v>1748</v>
      </c>
      <c r="B1705" s="421" t="s">
        <v>2508</v>
      </c>
      <c r="C1705" s="421" t="s">
        <v>530</v>
      </c>
      <c r="D1705" s="422" t="s">
        <v>663</v>
      </c>
      <c r="E1705" s="111">
        <v>14987</v>
      </c>
      <c r="F1705" s="421" t="s">
        <v>2865</v>
      </c>
      <c r="G1705" s="112">
        <v>1</v>
      </c>
      <c r="H1705" s="112">
        <v>1</v>
      </c>
      <c r="I1705" s="112">
        <v>1</v>
      </c>
    </row>
    <row r="1706" spans="1:15" x14ac:dyDescent="0.2">
      <c r="A1706" s="111">
        <v>1749</v>
      </c>
      <c r="B1706" s="421" t="s">
        <v>93</v>
      </c>
      <c r="C1706" s="421" t="s">
        <v>501</v>
      </c>
      <c r="D1706" s="422" t="s">
        <v>663</v>
      </c>
      <c r="E1706" s="111">
        <v>14989</v>
      </c>
      <c r="F1706" s="421" t="s">
        <v>2866</v>
      </c>
      <c r="G1706" s="112">
        <v>1</v>
      </c>
      <c r="H1706" s="112">
        <v>1</v>
      </c>
      <c r="I1706" s="112">
        <v>1</v>
      </c>
      <c r="J1706" s="112">
        <v>4</v>
      </c>
      <c r="K1706" s="112">
        <v>4</v>
      </c>
      <c r="L1706" s="112">
        <v>4</v>
      </c>
      <c r="M1706" s="112">
        <v>1</v>
      </c>
      <c r="N1706" s="112">
        <v>3</v>
      </c>
    </row>
    <row r="1707" spans="1:15" x14ac:dyDescent="0.2">
      <c r="A1707" s="111">
        <v>1750</v>
      </c>
      <c r="B1707" s="421" t="s">
        <v>50</v>
      </c>
      <c r="C1707" s="421" t="s">
        <v>516</v>
      </c>
      <c r="D1707" s="422" t="s">
        <v>666</v>
      </c>
      <c r="E1707" s="111">
        <v>14988</v>
      </c>
      <c r="F1707" s="421" t="s">
        <v>2867</v>
      </c>
      <c r="G1707" s="112">
        <v>1</v>
      </c>
      <c r="H1707" s="112">
        <v>1</v>
      </c>
      <c r="I1707" s="112">
        <v>1</v>
      </c>
      <c r="J1707" s="112">
        <v>4</v>
      </c>
      <c r="K1707" s="112">
        <v>4</v>
      </c>
      <c r="L1707" s="112">
        <v>3</v>
      </c>
      <c r="M1707" s="112">
        <v>2</v>
      </c>
      <c r="N1707" s="112">
        <v>3</v>
      </c>
    </row>
    <row r="1708" spans="1:15" x14ac:dyDescent="0.2">
      <c r="A1708" s="111">
        <v>1751</v>
      </c>
      <c r="B1708" s="421" t="s">
        <v>2868</v>
      </c>
      <c r="C1708" s="421" t="s">
        <v>1211</v>
      </c>
      <c r="D1708" s="422" t="s">
        <v>666</v>
      </c>
      <c r="E1708" s="111">
        <v>14438</v>
      </c>
      <c r="F1708" s="421" t="s">
        <v>1219</v>
      </c>
      <c r="G1708" s="112">
        <v>1</v>
      </c>
      <c r="H1708" s="112">
        <v>1</v>
      </c>
      <c r="I1708" s="112">
        <v>1</v>
      </c>
      <c r="J1708" s="112">
        <v>1</v>
      </c>
      <c r="K1708" s="112">
        <v>2</v>
      </c>
      <c r="L1708" s="112">
        <v>1</v>
      </c>
    </row>
    <row r="1709" spans="1:15" x14ac:dyDescent="0.2">
      <c r="A1709" s="111">
        <v>1752</v>
      </c>
      <c r="B1709" s="421" t="s">
        <v>2869</v>
      </c>
      <c r="C1709" s="421" t="s">
        <v>537</v>
      </c>
      <c r="D1709" s="422" t="s">
        <v>666</v>
      </c>
      <c r="E1709" s="111">
        <v>15027</v>
      </c>
      <c r="F1709" s="421" t="s">
        <v>2870</v>
      </c>
      <c r="G1709" s="112">
        <v>1</v>
      </c>
      <c r="H1709" s="112">
        <v>1</v>
      </c>
      <c r="I1709" s="112">
        <v>1</v>
      </c>
      <c r="L1709" s="112">
        <v>1</v>
      </c>
    </row>
    <row r="1710" spans="1:15" x14ac:dyDescent="0.2">
      <c r="A1710" s="111">
        <v>1753</v>
      </c>
      <c r="B1710" s="421" t="s">
        <v>2871</v>
      </c>
      <c r="C1710" s="421" t="s">
        <v>570</v>
      </c>
      <c r="D1710" s="422" t="s">
        <v>666</v>
      </c>
      <c r="E1710" s="111">
        <v>14692</v>
      </c>
      <c r="F1710" s="421" t="s">
        <v>974</v>
      </c>
      <c r="H1710" s="112">
        <v>2</v>
      </c>
    </row>
    <row r="1711" spans="1:15" x14ac:dyDescent="0.2">
      <c r="A1711" s="111">
        <v>1754</v>
      </c>
      <c r="B1711" s="421" t="s">
        <v>2198</v>
      </c>
      <c r="C1711" s="421" t="s">
        <v>2872</v>
      </c>
      <c r="D1711" s="422" t="s">
        <v>666</v>
      </c>
      <c r="E1711" s="111">
        <v>14994</v>
      </c>
      <c r="F1711" s="421" t="s">
        <v>2873</v>
      </c>
      <c r="G1711" s="112">
        <v>1</v>
      </c>
      <c r="H1711" s="112">
        <v>1</v>
      </c>
      <c r="I1711" s="112">
        <v>1</v>
      </c>
      <c r="J1711" s="112">
        <v>10</v>
      </c>
      <c r="K1711" s="112">
        <v>7</v>
      </c>
      <c r="L1711" s="112">
        <v>8</v>
      </c>
      <c r="M1711" s="112">
        <v>3</v>
      </c>
      <c r="N1711" s="112">
        <v>3</v>
      </c>
      <c r="O1711" s="112">
        <v>4</v>
      </c>
    </row>
    <row r="1712" spans="1:15" x14ac:dyDescent="0.2">
      <c r="A1712" s="111">
        <v>1755</v>
      </c>
      <c r="B1712" s="421" t="s">
        <v>368</v>
      </c>
      <c r="C1712" s="421" t="s">
        <v>1994</v>
      </c>
      <c r="D1712" s="422" t="s">
        <v>663</v>
      </c>
      <c r="E1712" s="111">
        <v>14995</v>
      </c>
      <c r="F1712" s="421" t="s">
        <v>2874</v>
      </c>
    </row>
    <row r="1713" spans="1:15" x14ac:dyDescent="0.2">
      <c r="A1713" s="111">
        <v>1756</v>
      </c>
      <c r="B1713" s="421" t="s">
        <v>2875</v>
      </c>
      <c r="C1713" s="421" t="s">
        <v>506</v>
      </c>
      <c r="D1713" s="422" t="s">
        <v>666</v>
      </c>
      <c r="E1713" s="111">
        <v>14981</v>
      </c>
      <c r="F1713" s="421" t="s">
        <v>2876</v>
      </c>
      <c r="G1713" s="112">
        <v>1</v>
      </c>
      <c r="H1713" s="112">
        <v>1</v>
      </c>
    </row>
    <row r="1714" spans="1:15" x14ac:dyDescent="0.2">
      <c r="A1714" s="111">
        <v>1757</v>
      </c>
      <c r="B1714" s="421" t="s">
        <v>2877</v>
      </c>
      <c r="C1714" s="421" t="s">
        <v>505</v>
      </c>
      <c r="D1714" s="422" t="s">
        <v>666</v>
      </c>
      <c r="E1714" s="111">
        <v>1484</v>
      </c>
      <c r="F1714" s="421" t="s">
        <v>809</v>
      </c>
      <c r="H1714" s="112">
        <v>1</v>
      </c>
      <c r="I1714" s="112">
        <v>1</v>
      </c>
    </row>
    <row r="1715" spans="1:15" x14ac:dyDescent="0.2">
      <c r="A1715" s="111">
        <v>1758</v>
      </c>
      <c r="B1715" s="421" t="s">
        <v>416</v>
      </c>
      <c r="C1715" s="421" t="s">
        <v>521</v>
      </c>
      <c r="D1715" s="422" t="s">
        <v>663</v>
      </c>
      <c r="E1715" s="111">
        <v>15008</v>
      </c>
      <c r="F1715" s="421" t="s">
        <v>2878</v>
      </c>
      <c r="G1715" s="112">
        <v>1</v>
      </c>
      <c r="H1715" s="112">
        <v>1</v>
      </c>
      <c r="I1715" s="112">
        <v>1</v>
      </c>
    </row>
    <row r="1716" spans="1:15" x14ac:dyDescent="0.2">
      <c r="A1716" s="111">
        <v>1759</v>
      </c>
      <c r="B1716" s="421" t="s">
        <v>368</v>
      </c>
      <c r="C1716" s="421" t="s">
        <v>516</v>
      </c>
      <c r="D1716" s="422" t="s">
        <v>663</v>
      </c>
      <c r="E1716" s="111">
        <v>14990</v>
      </c>
      <c r="F1716" s="421" t="s">
        <v>2879</v>
      </c>
      <c r="G1716" s="112">
        <v>1</v>
      </c>
      <c r="H1716" s="112">
        <v>1</v>
      </c>
      <c r="J1716" s="112">
        <v>1</v>
      </c>
    </row>
    <row r="1717" spans="1:15" x14ac:dyDescent="0.2">
      <c r="A1717" s="111">
        <v>1760</v>
      </c>
      <c r="B1717" s="421" t="s">
        <v>2880</v>
      </c>
      <c r="C1717" s="421" t="s">
        <v>516</v>
      </c>
      <c r="D1717" s="422" t="s">
        <v>663</v>
      </c>
      <c r="E1717" s="111">
        <v>14990</v>
      </c>
      <c r="F1717" s="421" t="s">
        <v>2879</v>
      </c>
    </row>
    <row r="1718" spans="1:15" x14ac:dyDescent="0.2">
      <c r="A1718" s="111">
        <v>1761</v>
      </c>
      <c r="B1718" s="421" t="s">
        <v>2881</v>
      </c>
      <c r="C1718" s="421" t="s">
        <v>513</v>
      </c>
      <c r="D1718" s="422" t="s">
        <v>666</v>
      </c>
      <c r="E1718" s="111">
        <v>15007</v>
      </c>
      <c r="F1718" s="421" t="s">
        <v>2882</v>
      </c>
      <c r="G1718" s="112">
        <v>1</v>
      </c>
      <c r="H1718" s="112">
        <v>1</v>
      </c>
      <c r="I1718" s="112">
        <v>1</v>
      </c>
      <c r="J1718" s="112">
        <v>3</v>
      </c>
      <c r="K1718" s="112">
        <v>1</v>
      </c>
      <c r="L1718" s="112">
        <v>3</v>
      </c>
    </row>
    <row r="1719" spans="1:15" x14ac:dyDescent="0.2">
      <c r="A1719" s="111">
        <v>1762</v>
      </c>
      <c r="B1719" s="421" t="s">
        <v>3011</v>
      </c>
      <c r="C1719" s="421" t="s">
        <v>501</v>
      </c>
      <c r="D1719" s="422" t="s">
        <v>666</v>
      </c>
      <c r="E1719" s="111">
        <v>15009</v>
      </c>
      <c r="F1719" s="421" t="s">
        <v>3012</v>
      </c>
    </row>
    <row r="1720" spans="1:15" x14ac:dyDescent="0.2">
      <c r="A1720" s="111">
        <v>1763</v>
      </c>
      <c r="B1720" s="421" t="s">
        <v>2883</v>
      </c>
      <c r="C1720" s="421" t="s">
        <v>516</v>
      </c>
      <c r="D1720" s="422" t="s">
        <v>666</v>
      </c>
      <c r="E1720" s="111">
        <v>15005</v>
      </c>
      <c r="F1720" s="421" t="s">
        <v>2884</v>
      </c>
      <c r="G1720" s="112">
        <v>1</v>
      </c>
      <c r="H1720" s="112">
        <v>1</v>
      </c>
      <c r="I1720" s="112">
        <v>1</v>
      </c>
      <c r="J1720" s="112">
        <v>1</v>
      </c>
      <c r="K1720" s="112">
        <v>1</v>
      </c>
      <c r="L1720" s="112">
        <v>1</v>
      </c>
      <c r="M1720" s="112">
        <v>1</v>
      </c>
      <c r="N1720" s="112">
        <v>1</v>
      </c>
      <c r="O1720" s="112">
        <v>1</v>
      </c>
    </row>
    <row r="1721" spans="1:15" x14ac:dyDescent="0.2">
      <c r="A1721" s="111">
        <v>1764</v>
      </c>
      <c r="B1721" s="421" t="s">
        <v>1604</v>
      </c>
      <c r="C1721" s="421" t="s">
        <v>525</v>
      </c>
      <c r="D1721" s="422" t="s">
        <v>666</v>
      </c>
      <c r="E1721" s="111">
        <v>15250</v>
      </c>
      <c r="F1721" s="421" t="s">
        <v>2885</v>
      </c>
      <c r="G1721" s="112">
        <v>2</v>
      </c>
      <c r="H1721" s="112">
        <v>1</v>
      </c>
      <c r="I1721" s="112">
        <v>2</v>
      </c>
      <c r="J1721" s="112">
        <v>7</v>
      </c>
      <c r="K1721" s="112">
        <v>3</v>
      </c>
      <c r="L1721" s="112">
        <v>3</v>
      </c>
      <c r="M1721" s="112">
        <v>5</v>
      </c>
      <c r="N1721" s="112">
        <v>1</v>
      </c>
    </row>
    <row r="1722" spans="1:15" x14ac:dyDescent="0.2">
      <c r="A1722" s="111">
        <v>1765</v>
      </c>
      <c r="B1722" s="421" t="s">
        <v>2092</v>
      </c>
      <c r="C1722" s="421" t="s">
        <v>577</v>
      </c>
      <c r="D1722" s="422" t="s">
        <v>663</v>
      </c>
      <c r="E1722" s="111">
        <v>15010</v>
      </c>
      <c r="F1722" s="421" t="s">
        <v>2886</v>
      </c>
      <c r="G1722" s="112">
        <v>1</v>
      </c>
      <c r="H1722" s="112">
        <v>1</v>
      </c>
      <c r="I1722" s="112">
        <v>1</v>
      </c>
      <c r="J1722" s="112">
        <v>5</v>
      </c>
      <c r="K1722" s="112">
        <v>6</v>
      </c>
      <c r="L1722" s="112">
        <v>3</v>
      </c>
      <c r="M1722" s="112">
        <v>2</v>
      </c>
      <c r="N1722" s="112">
        <v>1</v>
      </c>
      <c r="O1722" s="112">
        <v>1</v>
      </c>
    </row>
    <row r="1723" spans="1:15" x14ac:dyDescent="0.2">
      <c r="A1723" s="111">
        <v>1766</v>
      </c>
      <c r="B1723" s="421" t="s">
        <v>2887</v>
      </c>
      <c r="C1723" s="421" t="s">
        <v>577</v>
      </c>
      <c r="D1723" s="422" t="s">
        <v>663</v>
      </c>
      <c r="E1723" s="111">
        <v>15010</v>
      </c>
      <c r="F1723" s="421" t="s">
        <v>2886</v>
      </c>
      <c r="G1723" s="112">
        <v>1</v>
      </c>
      <c r="H1723" s="112">
        <v>1</v>
      </c>
      <c r="I1723" s="112">
        <v>1</v>
      </c>
    </row>
    <row r="1724" spans="1:15" x14ac:dyDescent="0.2">
      <c r="A1724" s="111">
        <v>1767</v>
      </c>
      <c r="B1724" s="421" t="s">
        <v>2888</v>
      </c>
      <c r="C1724" s="421" t="s">
        <v>501</v>
      </c>
      <c r="D1724" s="422" t="s">
        <v>663</v>
      </c>
      <c r="E1724" s="111">
        <v>15011</v>
      </c>
      <c r="F1724" s="421" t="s">
        <v>2889</v>
      </c>
    </row>
    <row r="1725" spans="1:15" x14ac:dyDescent="0.2">
      <c r="A1725" s="111">
        <v>1768</v>
      </c>
      <c r="B1725" s="421" t="s">
        <v>2890</v>
      </c>
      <c r="C1725" s="421" t="s">
        <v>516</v>
      </c>
      <c r="D1725" s="422" t="s">
        <v>663</v>
      </c>
      <c r="E1725" s="111">
        <v>15036</v>
      </c>
      <c r="F1725" s="421" t="s">
        <v>2891</v>
      </c>
      <c r="G1725" s="112">
        <v>1</v>
      </c>
      <c r="H1725" s="112">
        <v>1</v>
      </c>
      <c r="I1725" s="112">
        <v>1</v>
      </c>
    </row>
    <row r="1726" spans="1:15" x14ac:dyDescent="0.2">
      <c r="A1726" s="111">
        <v>1769</v>
      </c>
      <c r="B1726" s="421" t="s">
        <v>257</v>
      </c>
      <c r="C1726" s="421" t="s">
        <v>574</v>
      </c>
      <c r="D1726" s="422" t="s">
        <v>663</v>
      </c>
      <c r="F1726" s="421" t="s">
        <v>2892</v>
      </c>
    </row>
    <row r="1727" spans="1:15" x14ac:dyDescent="0.2">
      <c r="A1727" s="111">
        <v>1770</v>
      </c>
      <c r="B1727" s="421" t="s">
        <v>2893</v>
      </c>
      <c r="C1727" s="421" t="s">
        <v>510</v>
      </c>
      <c r="D1727" s="422" t="s">
        <v>663</v>
      </c>
      <c r="E1727" s="111">
        <v>14767</v>
      </c>
      <c r="F1727" s="421" t="s">
        <v>2267</v>
      </c>
    </row>
    <row r="1728" spans="1:15" x14ac:dyDescent="0.2">
      <c r="A1728" s="111">
        <v>1771</v>
      </c>
      <c r="B1728" s="421" t="s">
        <v>2894</v>
      </c>
      <c r="C1728" s="421" t="s">
        <v>503</v>
      </c>
      <c r="D1728" s="422" t="s">
        <v>666</v>
      </c>
      <c r="E1728" s="111">
        <v>15013</v>
      </c>
      <c r="F1728" s="421" t="s">
        <v>2895</v>
      </c>
      <c r="G1728" s="112">
        <v>1</v>
      </c>
      <c r="H1728" s="112">
        <v>1</v>
      </c>
      <c r="I1728" s="112">
        <v>1</v>
      </c>
      <c r="J1728" s="112">
        <v>1</v>
      </c>
      <c r="K1728" s="112">
        <v>1</v>
      </c>
      <c r="L1728" s="112">
        <v>1</v>
      </c>
    </row>
    <row r="1729" spans="1:15" x14ac:dyDescent="0.2">
      <c r="A1729" s="111">
        <v>1772</v>
      </c>
      <c r="B1729" s="421" t="s">
        <v>1294</v>
      </c>
      <c r="C1729" s="421" t="s">
        <v>503</v>
      </c>
      <c r="D1729" s="422" t="s">
        <v>666</v>
      </c>
      <c r="F1729" s="421" t="s">
        <v>2896</v>
      </c>
    </row>
    <row r="1730" spans="1:15" x14ac:dyDescent="0.2">
      <c r="A1730" s="111">
        <v>1773</v>
      </c>
      <c r="B1730" s="421" t="s">
        <v>93</v>
      </c>
      <c r="C1730" s="421" t="s">
        <v>506</v>
      </c>
      <c r="D1730" s="422" t="s">
        <v>663</v>
      </c>
      <c r="F1730" s="421" t="s">
        <v>2897</v>
      </c>
      <c r="G1730" s="112">
        <v>2</v>
      </c>
      <c r="H1730" s="112">
        <v>1</v>
      </c>
      <c r="I1730" s="112">
        <v>2</v>
      </c>
      <c r="J1730" s="112">
        <v>1</v>
      </c>
    </row>
    <row r="1731" spans="1:15" x14ac:dyDescent="0.2">
      <c r="A1731" s="111">
        <v>1776</v>
      </c>
      <c r="B1731" s="421" t="s">
        <v>2899</v>
      </c>
      <c r="C1731" s="421" t="s">
        <v>530</v>
      </c>
      <c r="D1731" s="422" t="s">
        <v>666</v>
      </c>
      <c r="E1731" s="111">
        <v>14118</v>
      </c>
      <c r="F1731" s="421" t="s">
        <v>8338</v>
      </c>
      <c r="G1731" s="112">
        <v>2</v>
      </c>
      <c r="H1731" s="112">
        <v>2</v>
      </c>
      <c r="I1731" s="112">
        <v>1</v>
      </c>
      <c r="J1731" s="112">
        <v>10</v>
      </c>
      <c r="K1731" s="112">
        <v>10</v>
      </c>
      <c r="L1731" s="112">
        <v>10</v>
      </c>
      <c r="M1731" s="112">
        <v>8</v>
      </c>
      <c r="N1731" s="112">
        <v>6</v>
      </c>
      <c r="O1731" s="112">
        <v>8</v>
      </c>
    </row>
    <row r="1732" spans="1:15" x14ac:dyDescent="0.2">
      <c r="A1732" s="111">
        <v>1777</v>
      </c>
      <c r="B1732" s="421" t="s">
        <v>2900</v>
      </c>
      <c r="C1732" s="421" t="s">
        <v>506</v>
      </c>
      <c r="D1732" s="422" t="s">
        <v>663</v>
      </c>
      <c r="E1732" s="111">
        <v>15052</v>
      </c>
      <c r="F1732" s="421" t="s">
        <v>2901</v>
      </c>
      <c r="G1732" s="112">
        <v>1</v>
      </c>
      <c r="H1732" s="112">
        <v>1</v>
      </c>
      <c r="I1732" s="112">
        <v>1</v>
      </c>
      <c r="J1732" s="112">
        <v>4</v>
      </c>
      <c r="K1732" s="112">
        <v>3</v>
      </c>
      <c r="L1732" s="112">
        <v>4</v>
      </c>
      <c r="M1732" s="112">
        <v>2</v>
      </c>
      <c r="N1732" s="112">
        <v>2</v>
      </c>
      <c r="O1732" s="112">
        <v>2</v>
      </c>
    </row>
    <row r="1733" spans="1:15" x14ac:dyDescent="0.2">
      <c r="A1733" s="111">
        <v>1778</v>
      </c>
      <c r="B1733" s="421" t="s">
        <v>2902</v>
      </c>
      <c r="C1733" s="421" t="s">
        <v>506</v>
      </c>
      <c r="D1733" s="422" t="s">
        <v>666</v>
      </c>
      <c r="F1733" s="421" t="s">
        <v>1574</v>
      </c>
      <c r="G1733" s="112">
        <v>1</v>
      </c>
      <c r="H1733" s="112">
        <v>1</v>
      </c>
      <c r="I1733" s="112">
        <v>1</v>
      </c>
    </row>
    <row r="1734" spans="1:15" x14ac:dyDescent="0.2">
      <c r="A1734" s="111">
        <v>1779</v>
      </c>
      <c r="B1734" s="421" t="s">
        <v>2903</v>
      </c>
      <c r="C1734" s="421" t="s">
        <v>501</v>
      </c>
      <c r="D1734" s="422" t="s">
        <v>666</v>
      </c>
      <c r="E1734" s="111">
        <v>15768</v>
      </c>
      <c r="F1734" s="421" t="s">
        <v>2904</v>
      </c>
      <c r="G1734" s="112">
        <v>1</v>
      </c>
      <c r="H1734" s="112">
        <v>1</v>
      </c>
      <c r="I1734" s="112">
        <v>1</v>
      </c>
      <c r="J1734" s="112">
        <v>2</v>
      </c>
      <c r="K1734" s="112">
        <v>2</v>
      </c>
      <c r="L1734" s="112">
        <v>2</v>
      </c>
      <c r="M1734" s="112">
        <v>2</v>
      </c>
      <c r="N1734" s="112">
        <v>3</v>
      </c>
      <c r="O1734" s="112">
        <v>2</v>
      </c>
    </row>
    <row r="1735" spans="1:15" x14ac:dyDescent="0.2">
      <c r="A1735" s="111">
        <v>1780</v>
      </c>
      <c r="B1735" s="421" t="s">
        <v>2905</v>
      </c>
      <c r="C1735" s="421" t="s">
        <v>503</v>
      </c>
      <c r="D1735" s="422" t="s">
        <v>663</v>
      </c>
      <c r="E1735" s="111">
        <v>15016</v>
      </c>
      <c r="F1735" s="421" t="s">
        <v>1976</v>
      </c>
      <c r="G1735" s="112">
        <v>1</v>
      </c>
      <c r="H1735" s="112">
        <v>1</v>
      </c>
      <c r="I1735" s="112">
        <v>1</v>
      </c>
      <c r="J1735" s="112">
        <v>2</v>
      </c>
      <c r="K1735" s="112">
        <v>2</v>
      </c>
      <c r="L1735" s="112">
        <v>2</v>
      </c>
      <c r="M1735" s="112">
        <v>2</v>
      </c>
      <c r="N1735" s="112">
        <v>1</v>
      </c>
      <c r="O1735" s="112">
        <v>1</v>
      </c>
    </row>
    <row r="1736" spans="1:15" x14ac:dyDescent="0.2">
      <c r="A1736" s="111">
        <v>1781</v>
      </c>
      <c r="B1736" s="421" t="s">
        <v>408</v>
      </c>
      <c r="C1736" s="421" t="s">
        <v>503</v>
      </c>
      <c r="D1736" s="422" t="s">
        <v>663</v>
      </c>
      <c r="E1736" s="111">
        <v>15016</v>
      </c>
      <c r="F1736" s="421" t="s">
        <v>1976</v>
      </c>
      <c r="G1736" s="112">
        <v>1</v>
      </c>
      <c r="H1736" s="112">
        <v>1</v>
      </c>
      <c r="I1736" s="112">
        <v>1</v>
      </c>
      <c r="J1736" s="112">
        <v>3</v>
      </c>
      <c r="K1736" s="112">
        <v>3</v>
      </c>
      <c r="L1736" s="112">
        <v>3</v>
      </c>
      <c r="M1736" s="112">
        <v>4</v>
      </c>
      <c r="N1736" s="112">
        <v>2</v>
      </c>
      <c r="O1736" s="112">
        <v>3</v>
      </c>
    </row>
    <row r="1737" spans="1:15" x14ac:dyDescent="0.2">
      <c r="A1737" s="111">
        <v>1782</v>
      </c>
      <c r="B1737" s="421" t="s">
        <v>2906</v>
      </c>
      <c r="C1737" s="421" t="s">
        <v>2470</v>
      </c>
      <c r="D1737" s="422" t="s">
        <v>663</v>
      </c>
      <c r="E1737" s="111">
        <v>15000</v>
      </c>
      <c r="F1737" s="421" t="s">
        <v>2907</v>
      </c>
      <c r="G1737" s="112">
        <v>1</v>
      </c>
      <c r="H1737" s="112">
        <v>1</v>
      </c>
      <c r="I1737" s="112">
        <v>1</v>
      </c>
      <c r="J1737" s="112">
        <v>1</v>
      </c>
      <c r="K1737" s="112">
        <v>1</v>
      </c>
      <c r="L1737" s="112">
        <v>1</v>
      </c>
      <c r="M1737" s="112">
        <v>1</v>
      </c>
      <c r="N1737" s="112">
        <v>1</v>
      </c>
      <c r="O1737" s="112">
        <v>1</v>
      </c>
    </row>
    <row r="1738" spans="1:15" x14ac:dyDescent="0.2">
      <c r="A1738" s="111">
        <v>1783</v>
      </c>
      <c r="B1738" s="421" t="s">
        <v>121</v>
      </c>
      <c r="C1738" s="421" t="s">
        <v>628</v>
      </c>
      <c r="D1738" s="422" t="s">
        <v>666</v>
      </c>
      <c r="E1738" s="111">
        <v>15017</v>
      </c>
      <c r="F1738" s="421" t="s">
        <v>2908</v>
      </c>
      <c r="G1738" s="112">
        <v>1</v>
      </c>
      <c r="H1738" s="112">
        <v>1</v>
      </c>
      <c r="I1738" s="112">
        <v>1</v>
      </c>
      <c r="J1738" s="112">
        <v>4</v>
      </c>
      <c r="K1738" s="112">
        <v>6</v>
      </c>
      <c r="L1738" s="112">
        <v>4</v>
      </c>
      <c r="M1738" s="112">
        <v>7</v>
      </c>
      <c r="N1738" s="112">
        <v>8</v>
      </c>
      <c r="O1738" s="112">
        <v>7</v>
      </c>
    </row>
    <row r="1739" spans="1:15" x14ac:dyDescent="0.2">
      <c r="A1739" s="111">
        <v>1784</v>
      </c>
      <c r="B1739" s="421" t="s">
        <v>2909</v>
      </c>
      <c r="C1739" s="421" t="s">
        <v>574</v>
      </c>
      <c r="D1739" s="422" t="s">
        <v>666</v>
      </c>
      <c r="F1739" s="421" t="s">
        <v>2910</v>
      </c>
    </row>
    <row r="1740" spans="1:15" x14ac:dyDescent="0.2">
      <c r="A1740" s="111">
        <v>1785</v>
      </c>
      <c r="B1740" s="421" t="s">
        <v>2911</v>
      </c>
      <c r="C1740" s="421" t="s">
        <v>513</v>
      </c>
      <c r="D1740" s="422" t="s">
        <v>663</v>
      </c>
      <c r="E1740" s="111">
        <v>15022</v>
      </c>
      <c r="F1740" s="421" t="s">
        <v>2912</v>
      </c>
      <c r="G1740" s="112">
        <v>1</v>
      </c>
      <c r="H1740" s="112">
        <v>1</v>
      </c>
      <c r="I1740" s="112">
        <v>1</v>
      </c>
      <c r="J1740" s="112">
        <v>1</v>
      </c>
      <c r="K1740" s="112">
        <v>1</v>
      </c>
      <c r="L1740" s="112">
        <v>3</v>
      </c>
    </row>
    <row r="1741" spans="1:15" x14ac:dyDescent="0.2">
      <c r="A1741" s="111">
        <v>1786</v>
      </c>
      <c r="B1741" s="421" t="s">
        <v>2761</v>
      </c>
      <c r="C1741" s="421" t="s">
        <v>506</v>
      </c>
      <c r="D1741" s="422" t="s">
        <v>663</v>
      </c>
      <c r="E1741" s="111">
        <v>15082</v>
      </c>
      <c r="F1741" s="421" t="s">
        <v>2913</v>
      </c>
    </row>
    <row r="1742" spans="1:15" x14ac:dyDescent="0.2">
      <c r="A1742" s="111">
        <v>1787</v>
      </c>
      <c r="B1742" s="421" t="s">
        <v>1583</v>
      </c>
      <c r="C1742" s="421" t="s">
        <v>550</v>
      </c>
      <c r="D1742" s="422" t="s">
        <v>666</v>
      </c>
      <c r="E1742" s="111">
        <v>15981</v>
      </c>
      <c r="F1742" s="421" t="s">
        <v>2706</v>
      </c>
    </row>
    <row r="1743" spans="1:15" x14ac:dyDescent="0.2">
      <c r="A1743" s="111">
        <v>1788</v>
      </c>
      <c r="B1743" s="421" t="s">
        <v>2914</v>
      </c>
      <c r="C1743" s="421" t="s">
        <v>501</v>
      </c>
      <c r="D1743" s="422" t="s">
        <v>663</v>
      </c>
      <c r="F1743" s="421" t="s">
        <v>2915</v>
      </c>
      <c r="I1743" s="112">
        <v>1</v>
      </c>
    </row>
    <row r="1744" spans="1:15" x14ac:dyDescent="0.2">
      <c r="A1744" s="111">
        <v>1789</v>
      </c>
      <c r="B1744" s="421" t="s">
        <v>2916</v>
      </c>
      <c r="C1744" s="421" t="s">
        <v>521</v>
      </c>
      <c r="D1744" s="422" t="s">
        <v>663</v>
      </c>
      <c r="E1744" s="111">
        <v>15023</v>
      </c>
      <c r="F1744" s="421" t="s">
        <v>2917</v>
      </c>
      <c r="G1744" s="112">
        <v>1</v>
      </c>
      <c r="H1744" s="112">
        <v>1</v>
      </c>
    </row>
    <row r="1745" spans="1:15" x14ac:dyDescent="0.2">
      <c r="A1745" s="111">
        <v>1790</v>
      </c>
      <c r="B1745" s="421" t="s">
        <v>2918</v>
      </c>
      <c r="C1745" s="421" t="s">
        <v>516</v>
      </c>
      <c r="D1745" s="422" t="s">
        <v>663</v>
      </c>
      <c r="E1745" s="111">
        <v>15078</v>
      </c>
      <c r="F1745" s="421" t="s">
        <v>2919</v>
      </c>
      <c r="G1745" s="112">
        <v>1</v>
      </c>
      <c r="H1745" s="112">
        <v>1</v>
      </c>
      <c r="I1745" s="112">
        <v>1</v>
      </c>
      <c r="J1745" s="112">
        <v>11</v>
      </c>
      <c r="K1745" s="112">
        <v>7</v>
      </c>
      <c r="L1745" s="112">
        <v>7</v>
      </c>
      <c r="M1745" s="112">
        <v>9</v>
      </c>
      <c r="N1745" s="112">
        <v>4</v>
      </c>
      <c r="O1745" s="112">
        <v>6</v>
      </c>
    </row>
    <row r="1746" spans="1:15" x14ac:dyDescent="0.2">
      <c r="A1746" s="111">
        <v>1791</v>
      </c>
      <c r="B1746" s="421" t="s">
        <v>2920</v>
      </c>
      <c r="C1746" s="421" t="s">
        <v>577</v>
      </c>
      <c r="D1746" s="422" t="s">
        <v>663</v>
      </c>
      <c r="F1746" s="421" t="s">
        <v>2921</v>
      </c>
    </row>
    <row r="1747" spans="1:15" x14ac:dyDescent="0.2">
      <c r="A1747" s="111">
        <v>1794</v>
      </c>
      <c r="B1747" s="421" t="s">
        <v>1944</v>
      </c>
      <c r="C1747" s="421" t="s">
        <v>510</v>
      </c>
      <c r="D1747" s="422" t="s">
        <v>663</v>
      </c>
      <c r="F1747" s="421" t="s">
        <v>2922</v>
      </c>
      <c r="G1747" s="112">
        <v>1</v>
      </c>
      <c r="H1747" s="112">
        <v>1</v>
      </c>
      <c r="I1747" s="112">
        <v>1</v>
      </c>
    </row>
    <row r="1748" spans="1:15" x14ac:dyDescent="0.2">
      <c r="A1748" s="111">
        <v>1796</v>
      </c>
      <c r="B1748" s="421" t="s">
        <v>1111</v>
      </c>
      <c r="C1748" s="421" t="s">
        <v>570</v>
      </c>
      <c r="D1748" s="422" t="s">
        <v>666</v>
      </c>
      <c r="E1748" s="111">
        <v>44691</v>
      </c>
      <c r="F1748" s="421" t="s">
        <v>2923</v>
      </c>
      <c r="G1748" s="112">
        <v>1</v>
      </c>
      <c r="H1748" s="112">
        <v>1</v>
      </c>
      <c r="I1748" s="112">
        <v>1</v>
      </c>
      <c r="J1748" s="112">
        <v>2</v>
      </c>
      <c r="K1748" s="112">
        <v>1</v>
      </c>
      <c r="L1748" s="112">
        <v>2</v>
      </c>
    </row>
    <row r="1749" spans="1:15" x14ac:dyDescent="0.2">
      <c r="A1749" s="111">
        <v>1797</v>
      </c>
      <c r="B1749" s="421" t="s">
        <v>1092</v>
      </c>
      <c r="C1749" s="421" t="s">
        <v>4162</v>
      </c>
      <c r="D1749" s="422" t="s">
        <v>663</v>
      </c>
      <c r="E1749" s="111">
        <v>15002</v>
      </c>
      <c r="F1749" s="421" t="s">
        <v>2924</v>
      </c>
      <c r="G1749" s="112">
        <v>1</v>
      </c>
      <c r="H1749" s="112">
        <v>1</v>
      </c>
      <c r="I1749" s="112">
        <v>1</v>
      </c>
      <c r="J1749" s="112">
        <v>2</v>
      </c>
    </row>
    <row r="1750" spans="1:15" x14ac:dyDescent="0.2">
      <c r="A1750" s="111">
        <v>1798</v>
      </c>
      <c r="B1750" s="421" t="s">
        <v>2925</v>
      </c>
      <c r="C1750" s="421" t="s">
        <v>2872</v>
      </c>
      <c r="D1750" s="422" t="s">
        <v>663</v>
      </c>
      <c r="E1750" s="111">
        <v>15025</v>
      </c>
      <c r="F1750" s="421" t="s">
        <v>2926</v>
      </c>
      <c r="G1750" s="112">
        <v>1</v>
      </c>
      <c r="H1750" s="112">
        <v>1</v>
      </c>
      <c r="I1750" s="112">
        <v>1</v>
      </c>
      <c r="J1750" s="112">
        <v>3</v>
      </c>
      <c r="K1750" s="112">
        <v>4</v>
      </c>
      <c r="L1750" s="112">
        <v>3</v>
      </c>
    </row>
    <row r="1751" spans="1:15" x14ac:dyDescent="0.2">
      <c r="A1751" s="111">
        <v>1799</v>
      </c>
      <c r="B1751" s="421" t="s">
        <v>1218</v>
      </c>
      <c r="C1751" s="421" t="s">
        <v>509</v>
      </c>
      <c r="D1751" s="422" t="s">
        <v>663</v>
      </c>
      <c r="E1751" s="111">
        <v>14854</v>
      </c>
      <c r="F1751" s="421" t="s">
        <v>2658</v>
      </c>
      <c r="G1751" s="112">
        <v>1</v>
      </c>
      <c r="H1751" s="112">
        <v>1</v>
      </c>
      <c r="I1751" s="112">
        <v>1</v>
      </c>
      <c r="J1751" s="112">
        <v>3</v>
      </c>
      <c r="K1751" s="112">
        <v>1</v>
      </c>
      <c r="L1751" s="112">
        <v>2</v>
      </c>
    </row>
    <row r="1752" spans="1:15" x14ac:dyDescent="0.2">
      <c r="A1752" s="111">
        <v>1800</v>
      </c>
      <c r="B1752" s="421" t="s">
        <v>2927</v>
      </c>
      <c r="C1752" s="421" t="s">
        <v>501</v>
      </c>
      <c r="D1752" s="422" t="s">
        <v>666</v>
      </c>
      <c r="E1752" s="111">
        <v>14996</v>
      </c>
      <c r="F1752" s="421" t="s">
        <v>2928</v>
      </c>
      <c r="G1752" s="112">
        <v>1</v>
      </c>
      <c r="H1752" s="112">
        <v>1</v>
      </c>
      <c r="I1752" s="112">
        <v>1</v>
      </c>
      <c r="J1752" s="112">
        <v>11</v>
      </c>
      <c r="K1752" s="112">
        <v>10</v>
      </c>
      <c r="L1752" s="112">
        <v>10</v>
      </c>
      <c r="M1752" s="112">
        <v>24</v>
      </c>
      <c r="N1752" s="112">
        <v>20</v>
      </c>
      <c r="O1752" s="112">
        <v>18</v>
      </c>
    </row>
    <row r="1753" spans="1:15" x14ac:dyDescent="0.2">
      <c r="A1753" s="111">
        <v>1801</v>
      </c>
      <c r="B1753" s="421" t="s">
        <v>235</v>
      </c>
      <c r="C1753" s="421" t="s">
        <v>513</v>
      </c>
      <c r="D1753" s="422" t="s">
        <v>663</v>
      </c>
      <c r="E1753" s="111">
        <v>15026</v>
      </c>
      <c r="F1753" s="421" t="s">
        <v>2929</v>
      </c>
      <c r="G1753" s="112">
        <v>1</v>
      </c>
      <c r="H1753" s="112">
        <v>1</v>
      </c>
      <c r="I1753" s="112">
        <v>1</v>
      </c>
      <c r="J1753" s="112">
        <v>3</v>
      </c>
      <c r="K1753" s="112">
        <v>3</v>
      </c>
      <c r="L1753" s="112">
        <v>3</v>
      </c>
      <c r="M1753" s="112">
        <v>3</v>
      </c>
      <c r="O1753" s="112">
        <v>2</v>
      </c>
    </row>
    <row r="1754" spans="1:15" x14ac:dyDescent="0.2">
      <c r="A1754" s="111">
        <v>1802</v>
      </c>
      <c r="B1754" s="421" t="s">
        <v>2930</v>
      </c>
      <c r="C1754" s="421" t="s">
        <v>510</v>
      </c>
      <c r="D1754" s="422" t="s">
        <v>663</v>
      </c>
      <c r="F1754" s="421" t="s">
        <v>2931</v>
      </c>
      <c r="G1754" s="112">
        <v>1</v>
      </c>
      <c r="H1754" s="112">
        <v>1</v>
      </c>
      <c r="I1754" s="112">
        <v>1</v>
      </c>
      <c r="J1754" s="112">
        <v>3</v>
      </c>
      <c r="K1754" s="112">
        <v>3</v>
      </c>
      <c r="L1754" s="112">
        <v>3</v>
      </c>
      <c r="M1754" s="112">
        <v>2</v>
      </c>
      <c r="N1754" s="112">
        <v>2</v>
      </c>
      <c r="O1754" s="112">
        <v>2</v>
      </c>
    </row>
    <row r="1755" spans="1:15" x14ac:dyDescent="0.2">
      <c r="A1755" s="111">
        <v>1803</v>
      </c>
      <c r="B1755" s="421" t="s">
        <v>497</v>
      </c>
      <c r="C1755" s="421" t="s">
        <v>2932</v>
      </c>
      <c r="D1755" s="422" t="s">
        <v>666</v>
      </c>
      <c r="E1755" s="111">
        <v>1432</v>
      </c>
      <c r="F1755" s="421" t="s">
        <v>2933</v>
      </c>
    </row>
    <row r="1756" spans="1:15" x14ac:dyDescent="0.2">
      <c r="A1756" s="111">
        <v>1804</v>
      </c>
      <c r="B1756" s="421" t="s">
        <v>2934</v>
      </c>
      <c r="C1756" s="421" t="s">
        <v>512</v>
      </c>
      <c r="D1756" s="422" t="s">
        <v>663</v>
      </c>
      <c r="E1756" s="111">
        <v>15317</v>
      </c>
      <c r="F1756" s="421" t="s">
        <v>2935</v>
      </c>
      <c r="G1756" s="112">
        <v>1</v>
      </c>
      <c r="H1756" s="112">
        <v>1</v>
      </c>
      <c r="I1756" s="112">
        <v>1</v>
      </c>
      <c r="J1756" s="112">
        <v>1</v>
      </c>
      <c r="K1756" s="112">
        <v>1</v>
      </c>
      <c r="L1756" s="112">
        <v>1</v>
      </c>
    </row>
    <row r="1757" spans="1:15" x14ac:dyDescent="0.2">
      <c r="A1757" s="111">
        <v>1805</v>
      </c>
      <c r="B1757" s="421" t="s">
        <v>2936</v>
      </c>
      <c r="C1757" s="421" t="s">
        <v>514</v>
      </c>
      <c r="D1757" s="422" t="s">
        <v>663</v>
      </c>
      <c r="E1757" s="111">
        <v>15317</v>
      </c>
      <c r="F1757" s="421" t="s">
        <v>2935</v>
      </c>
      <c r="G1757" s="112">
        <v>1</v>
      </c>
      <c r="H1757" s="112">
        <v>1</v>
      </c>
      <c r="I1757" s="112">
        <v>1</v>
      </c>
      <c r="J1757" s="112">
        <v>1</v>
      </c>
      <c r="K1757" s="112">
        <v>1</v>
      </c>
      <c r="L1757" s="112">
        <v>1</v>
      </c>
    </row>
    <row r="1758" spans="1:15" x14ac:dyDescent="0.2">
      <c r="A1758" s="111">
        <v>1806</v>
      </c>
      <c r="B1758" s="421" t="s">
        <v>2937</v>
      </c>
      <c r="C1758" s="421" t="s">
        <v>570</v>
      </c>
      <c r="D1758" s="422" t="s">
        <v>663</v>
      </c>
      <c r="E1758" s="111">
        <v>14315</v>
      </c>
      <c r="F1758" s="421" t="s">
        <v>2647</v>
      </c>
      <c r="G1758" s="112">
        <v>1</v>
      </c>
      <c r="H1758" s="112">
        <v>1</v>
      </c>
      <c r="I1758" s="112">
        <v>1</v>
      </c>
      <c r="J1758" s="112">
        <v>8</v>
      </c>
      <c r="K1758" s="112">
        <v>8</v>
      </c>
      <c r="L1758" s="112">
        <v>6</v>
      </c>
      <c r="M1758" s="112">
        <v>4</v>
      </c>
      <c r="N1758" s="112">
        <v>5</v>
      </c>
      <c r="O1758" s="112">
        <v>4</v>
      </c>
    </row>
    <row r="1759" spans="1:15" x14ac:dyDescent="0.2">
      <c r="A1759" s="111">
        <v>1807</v>
      </c>
      <c r="B1759" s="421" t="s">
        <v>1371</v>
      </c>
      <c r="C1759" s="421" t="s">
        <v>551</v>
      </c>
      <c r="D1759" s="422" t="s">
        <v>666</v>
      </c>
      <c r="E1759" s="111">
        <v>14907</v>
      </c>
      <c r="F1759" s="421" t="s">
        <v>2293</v>
      </c>
      <c r="G1759" s="112">
        <v>1</v>
      </c>
      <c r="H1759" s="112">
        <v>1</v>
      </c>
      <c r="I1759" s="112">
        <v>1</v>
      </c>
      <c r="J1759" s="112">
        <v>13</v>
      </c>
      <c r="K1759" s="112">
        <v>13</v>
      </c>
      <c r="L1759" s="112">
        <v>14</v>
      </c>
      <c r="M1759" s="112">
        <v>17</v>
      </c>
      <c r="N1759" s="112">
        <v>15</v>
      </c>
      <c r="O1759" s="112">
        <v>13</v>
      </c>
    </row>
    <row r="1760" spans="1:15" x14ac:dyDescent="0.2">
      <c r="A1760" s="111">
        <v>1808</v>
      </c>
      <c r="B1760" s="421" t="s">
        <v>2938</v>
      </c>
      <c r="C1760" s="421" t="s">
        <v>3578</v>
      </c>
      <c r="D1760" s="422" t="s">
        <v>666</v>
      </c>
      <c r="E1760" s="111">
        <v>15112</v>
      </c>
      <c r="F1760" s="421" t="s">
        <v>2939</v>
      </c>
      <c r="H1760" s="112">
        <v>1</v>
      </c>
      <c r="I1760" s="112">
        <v>1</v>
      </c>
      <c r="L1760" s="112">
        <v>1</v>
      </c>
    </row>
    <row r="1761" spans="1:15" x14ac:dyDescent="0.2">
      <c r="A1761" s="111">
        <v>1809</v>
      </c>
      <c r="B1761" s="421" t="s">
        <v>2684</v>
      </c>
      <c r="C1761" s="421" t="s">
        <v>556</v>
      </c>
      <c r="D1761" s="422" t="s">
        <v>663</v>
      </c>
      <c r="E1761" s="111">
        <v>15745</v>
      </c>
      <c r="F1761" s="421" t="s">
        <v>718</v>
      </c>
      <c r="G1761" s="112">
        <v>1</v>
      </c>
      <c r="I1761" s="112">
        <v>1</v>
      </c>
    </row>
    <row r="1762" spans="1:15" x14ac:dyDescent="0.2">
      <c r="A1762" s="111">
        <v>1811</v>
      </c>
      <c r="B1762" s="421" t="s">
        <v>2942</v>
      </c>
      <c r="C1762" s="421" t="s">
        <v>2932</v>
      </c>
      <c r="D1762" s="422" t="s">
        <v>663</v>
      </c>
      <c r="E1762" s="111">
        <v>15782</v>
      </c>
      <c r="F1762" s="421" t="s">
        <v>2421</v>
      </c>
      <c r="G1762" s="112">
        <v>1</v>
      </c>
      <c r="H1762" s="112">
        <v>1</v>
      </c>
      <c r="I1762" s="112">
        <v>1</v>
      </c>
      <c r="K1762" s="112">
        <v>1</v>
      </c>
      <c r="L1762" s="112">
        <v>1</v>
      </c>
    </row>
    <row r="1763" spans="1:15" x14ac:dyDescent="0.2">
      <c r="A1763" s="111">
        <v>1812</v>
      </c>
      <c r="B1763" s="421" t="s">
        <v>2943</v>
      </c>
      <c r="C1763" s="421" t="s">
        <v>574</v>
      </c>
      <c r="D1763" s="422" t="s">
        <v>663</v>
      </c>
      <c r="E1763" s="111">
        <v>15310</v>
      </c>
      <c r="F1763" s="421" t="s">
        <v>2944</v>
      </c>
      <c r="G1763" s="112">
        <v>1</v>
      </c>
      <c r="H1763" s="112">
        <v>1</v>
      </c>
      <c r="I1763" s="112">
        <v>1</v>
      </c>
    </row>
    <row r="1764" spans="1:15" x14ac:dyDescent="0.2">
      <c r="A1764" s="111">
        <v>1813</v>
      </c>
      <c r="B1764" s="421" t="s">
        <v>79</v>
      </c>
      <c r="C1764" s="421" t="s">
        <v>501</v>
      </c>
      <c r="D1764" s="422" t="s">
        <v>666</v>
      </c>
      <c r="E1764" s="111">
        <v>15162</v>
      </c>
      <c r="F1764" s="421" t="s">
        <v>2945</v>
      </c>
      <c r="G1764" s="112">
        <v>2</v>
      </c>
      <c r="H1764" s="112">
        <v>2</v>
      </c>
      <c r="I1764" s="112">
        <v>2</v>
      </c>
      <c r="J1764" s="112">
        <v>6</v>
      </c>
      <c r="K1764" s="112">
        <v>6</v>
      </c>
      <c r="L1764" s="112">
        <v>6</v>
      </c>
      <c r="M1764" s="112">
        <v>4</v>
      </c>
      <c r="N1764" s="112">
        <v>4</v>
      </c>
      <c r="O1764" s="112">
        <v>4</v>
      </c>
    </row>
    <row r="1765" spans="1:15" x14ac:dyDescent="0.2">
      <c r="A1765" s="111">
        <v>1814</v>
      </c>
      <c r="B1765" s="421" t="s">
        <v>2948</v>
      </c>
      <c r="C1765" s="421" t="s">
        <v>502</v>
      </c>
      <c r="D1765" s="422" t="s">
        <v>666</v>
      </c>
      <c r="E1765" s="111">
        <v>14355</v>
      </c>
      <c r="F1765" s="421" t="s">
        <v>723</v>
      </c>
      <c r="G1765" s="112">
        <v>1</v>
      </c>
    </row>
    <row r="1766" spans="1:15" x14ac:dyDescent="0.2">
      <c r="A1766" s="111">
        <v>1815</v>
      </c>
      <c r="B1766" s="421" t="s">
        <v>2949</v>
      </c>
      <c r="C1766" s="421" t="s">
        <v>1124</v>
      </c>
      <c r="D1766" s="422" t="s">
        <v>666</v>
      </c>
      <c r="E1766" s="111">
        <v>14355</v>
      </c>
      <c r="F1766" s="421" t="s">
        <v>723</v>
      </c>
      <c r="G1766" s="112">
        <v>1</v>
      </c>
    </row>
    <row r="1767" spans="1:15" x14ac:dyDescent="0.2">
      <c r="A1767" s="111">
        <v>1816</v>
      </c>
      <c r="B1767" s="421" t="s">
        <v>174</v>
      </c>
      <c r="C1767" s="421" t="s">
        <v>1487</v>
      </c>
      <c r="D1767" s="422" t="s">
        <v>663</v>
      </c>
      <c r="E1767" s="111">
        <v>15029</v>
      </c>
      <c r="F1767" s="421" t="s">
        <v>2950</v>
      </c>
      <c r="G1767" s="112">
        <v>1</v>
      </c>
      <c r="H1767" s="112">
        <v>1</v>
      </c>
      <c r="I1767" s="112">
        <v>1</v>
      </c>
      <c r="J1767" s="112">
        <v>3</v>
      </c>
      <c r="K1767" s="112">
        <v>3</v>
      </c>
      <c r="L1767" s="112">
        <v>3</v>
      </c>
    </row>
    <row r="1768" spans="1:15" x14ac:dyDescent="0.2">
      <c r="A1768" s="111">
        <v>1817</v>
      </c>
      <c r="B1768" s="421" t="s">
        <v>174</v>
      </c>
      <c r="C1768" s="421" t="s">
        <v>1487</v>
      </c>
      <c r="D1768" s="422" t="s">
        <v>663</v>
      </c>
      <c r="E1768" s="111">
        <v>15029</v>
      </c>
      <c r="F1768" s="421" t="s">
        <v>2950</v>
      </c>
    </row>
    <row r="1769" spans="1:15" x14ac:dyDescent="0.2">
      <c r="A1769" s="111">
        <v>1818</v>
      </c>
      <c r="B1769" s="421" t="s">
        <v>131</v>
      </c>
      <c r="C1769" s="421" t="s">
        <v>1124</v>
      </c>
      <c r="D1769" s="422" t="s">
        <v>663</v>
      </c>
      <c r="E1769" s="111">
        <v>15028</v>
      </c>
      <c r="F1769" s="421" t="s">
        <v>2951</v>
      </c>
      <c r="H1769" s="112">
        <v>1</v>
      </c>
    </row>
    <row r="1770" spans="1:15" x14ac:dyDescent="0.2">
      <c r="A1770" s="111">
        <v>1819</v>
      </c>
      <c r="B1770" s="421" t="s">
        <v>2952</v>
      </c>
      <c r="C1770" s="421" t="s">
        <v>503</v>
      </c>
      <c r="D1770" s="422" t="s">
        <v>663</v>
      </c>
      <c r="E1770" s="111">
        <v>15001</v>
      </c>
      <c r="F1770" s="421" t="s">
        <v>17460</v>
      </c>
      <c r="G1770" s="112">
        <v>2</v>
      </c>
      <c r="H1770" s="112">
        <v>1</v>
      </c>
      <c r="I1770" s="112">
        <v>1</v>
      </c>
      <c r="J1770" s="112">
        <v>2</v>
      </c>
      <c r="K1770" s="112">
        <v>2</v>
      </c>
      <c r="L1770" s="112">
        <v>2</v>
      </c>
      <c r="M1770" s="112">
        <v>1</v>
      </c>
      <c r="N1770" s="112">
        <v>1</v>
      </c>
      <c r="O1770" s="112">
        <v>2</v>
      </c>
    </row>
    <row r="1771" spans="1:15" x14ac:dyDescent="0.2">
      <c r="A1771" s="111">
        <v>1820</v>
      </c>
      <c r="B1771" s="421" t="s">
        <v>1111</v>
      </c>
      <c r="C1771" s="421" t="s">
        <v>501</v>
      </c>
      <c r="D1771" s="422" t="s">
        <v>666</v>
      </c>
      <c r="E1771" s="111">
        <v>14799</v>
      </c>
      <c r="F1771" s="421" t="s">
        <v>1990</v>
      </c>
    </row>
    <row r="1772" spans="1:15" x14ac:dyDescent="0.2">
      <c r="A1772" s="111">
        <v>1821</v>
      </c>
      <c r="B1772" s="421" t="s">
        <v>193</v>
      </c>
      <c r="C1772" s="421" t="s">
        <v>503</v>
      </c>
      <c r="D1772" s="422" t="s">
        <v>663</v>
      </c>
      <c r="F1772" s="421" t="s">
        <v>2953</v>
      </c>
    </row>
    <row r="1773" spans="1:15" x14ac:dyDescent="0.2">
      <c r="A1773" s="111">
        <v>1822</v>
      </c>
      <c r="B1773" s="421" t="s">
        <v>2954</v>
      </c>
      <c r="C1773" s="421" t="s">
        <v>1124</v>
      </c>
      <c r="D1773" s="422" t="s">
        <v>663</v>
      </c>
      <c r="E1773" s="111">
        <v>14355</v>
      </c>
      <c r="F1773" s="421" t="s">
        <v>723</v>
      </c>
    </row>
    <row r="1774" spans="1:15" x14ac:dyDescent="0.2">
      <c r="A1774" s="111">
        <v>1823</v>
      </c>
      <c r="B1774" s="421" t="s">
        <v>2955</v>
      </c>
      <c r="C1774" s="421" t="s">
        <v>512</v>
      </c>
      <c r="D1774" s="422" t="s">
        <v>663</v>
      </c>
      <c r="E1774" s="111">
        <v>15030</v>
      </c>
      <c r="F1774" s="421" t="s">
        <v>2956</v>
      </c>
      <c r="G1774" s="112">
        <v>1</v>
      </c>
      <c r="H1774" s="112">
        <v>1</v>
      </c>
      <c r="I1774" s="112">
        <v>1</v>
      </c>
      <c r="J1774" s="112">
        <v>5</v>
      </c>
      <c r="K1774" s="112">
        <v>5</v>
      </c>
      <c r="L1774" s="112">
        <v>5</v>
      </c>
      <c r="M1774" s="112">
        <v>11</v>
      </c>
      <c r="N1774" s="112">
        <v>8</v>
      </c>
      <c r="O1774" s="112">
        <v>5</v>
      </c>
    </row>
    <row r="1775" spans="1:15" x14ac:dyDescent="0.2">
      <c r="A1775" s="111">
        <v>1824</v>
      </c>
      <c r="B1775" s="421" t="s">
        <v>1771</v>
      </c>
      <c r="C1775" s="421" t="s">
        <v>550</v>
      </c>
      <c r="D1775" s="422" t="s">
        <v>663</v>
      </c>
      <c r="E1775" s="111">
        <v>15095</v>
      </c>
      <c r="F1775" s="421" t="s">
        <v>4761</v>
      </c>
      <c r="G1775" s="112">
        <v>1</v>
      </c>
      <c r="H1775" s="112">
        <v>1</v>
      </c>
      <c r="I1775" s="112">
        <v>1</v>
      </c>
      <c r="J1775" s="112">
        <v>5</v>
      </c>
      <c r="K1775" s="112">
        <v>3</v>
      </c>
      <c r="L1775" s="112">
        <v>3</v>
      </c>
      <c r="M1775" s="112">
        <v>3</v>
      </c>
      <c r="N1775" s="112">
        <v>3</v>
      </c>
      <c r="O1775" s="112">
        <v>2</v>
      </c>
    </row>
    <row r="1776" spans="1:15" x14ac:dyDescent="0.2">
      <c r="A1776" s="111">
        <v>1825</v>
      </c>
      <c r="B1776" s="421" t="s">
        <v>2927</v>
      </c>
      <c r="C1776" s="421" t="s">
        <v>533</v>
      </c>
      <c r="D1776" s="422" t="s">
        <v>663</v>
      </c>
      <c r="E1776" s="111">
        <v>15031</v>
      </c>
      <c r="F1776" s="421" t="s">
        <v>2382</v>
      </c>
      <c r="G1776" s="112">
        <v>1</v>
      </c>
      <c r="H1776" s="112">
        <v>2</v>
      </c>
      <c r="I1776" s="112">
        <v>1</v>
      </c>
      <c r="J1776" s="112">
        <v>4</v>
      </c>
      <c r="K1776" s="112">
        <v>5</v>
      </c>
      <c r="L1776" s="112">
        <v>4</v>
      </c>
      <c r="M1776" s="112">
        <v>4</v>
      </c>
      <c r="N1776" s="112">
        <v>3</v>
      </c>
      <c r="O1776" s="112">
        <v>3</v>
      </c>
    </row>
    <row r="1777" spans="1:15" x14ac:dyDescent="0.2">
      <c r="A1777" s="111">
        <v>1826</v>
      </c>
      <c r="B1777" s="421" t="s">
        <v>2957</v>
      </c>
      <c r="C1777" s="421" t="s">
        <v>503</v>
      </c>
      <c r="D1777" s="422" t="s">
        <v>663</v>
      </c>
      <c r="E1777" s="111">
        <v>15001</v>
      </c>
      <c r="F1777" s="421" t="s">
        <v>17460</v>
      </c>
      <c r="G1777" s="112">
        <v>1</v>
      </c>
      <c r="H1777" s="112">
        <v>1</v>
      </c>
      <c r="I1777" s="112">
        <v>1</v>
      </c>
      <c r="J1777" s="112">
        <v>4</v>
      </c>
      <c r="K1777" s="112">
        <v>3</v>
      </c>
      <c r="L1777" s="112">
        <v>2</v>
      </c>
      <c r="M1777" s="112">
        <v>1</v>
      </c>
      <c r="N1777" s="112">
        <v>1</v>
      </c>
      <c r="O1777" s="112">
        <v>1</v>
      </c>
    </row>
    <row r="1778" spans="1:15" x14ac:dyDescent="0.2">
      <c r="A1778" s="111">
        <v>1827</v>
      </c>
      <c r="B1778" s="421" t="s">
        <v>208</v>
      </c>
      <c r="C1778" s="421" t="s">
        <v>510</v>
      </c>
      <c r="D1778" s="422" t="s">
        <v>666</v>
      </c>
      <c r="F1778" s="421" t="s">
        <v>2958</v>
      </c>
      <c r="G1778" s="112">
        <v>2</v>
      </c>
      <c r="H1778" s="112">
        <v>2</v>
      </c>
      <c r="I1778" s="112">
        <v>1</v>
      </c>
      <c r="J1778" s="112">
        <v>3</v>
      </c>
      <c r="K1778" s="112">
        <v>4</v>
      </c>
      <c r="L1778" s="112">
        <v>1</v>
      </c>
      <c r="O1778" s="112">
        <v>1</v>
      </c>
    </row>
    <row r="1779" spans="1:15" x14ac:dyDescent="0.2">
      <c r="A1779" s="111">
        <v>1828</v>
      </c>
      <c r="B1779" s="421" t="s">
        <v>1543</v>
      </c>
      <c r="C1779" s="421" t="s">
        <v>574</v>
      </c>
      <c r="D1779" s="422" t="s">
        <v>663</v>
      </c>
      <c r="E1779" s="111">
        <v>15032</v>
      </c>
      <c r="F1779" s="421" t="s">
        <v>2959</v>
      </c>
      <c r="G1779" s="112">
        <v>1</v>
      </c>
      <c r="H1779" s="112">
        <v>1</v>
      </c>
      <c r="I1779" s="112">
        <v>1</v>
      </c>
      <c r="J1779" s="112">
        <v>4</v>
      </c>
      <c r="K1779" s="112">
        <v>5</v>
      </c>
      <c r="L1779" s="112">
        <v>4</v>
      </c>
      <c r="M1779" s="112">
        <v>4</v>
      </c>
      <c r="O1779" s="112">
        <v>2</v>
      </c>
    </row>
    <row r="1780" spans="1:15" x14ac:dyDescent="0.2">
      <c r="A1780" s="111">
        <v>1829</v>
      </c>
      <c r="B1780" s="421" t="s">
        <v>34</v>
      </c>
      <c r="C1780" s="421" t="s">
        <v>506</v>
      </c>
      <c r="D1780" s="422" t="s">
        <v>663</v>
      </c>
      <c r="E1780" s="111">
        <v>15033</v>
      </c>
      <c r="F1780" s="421" t="s">
        <v>2960</v>
      </c>
    </row>
    <row r="1781" spans="1:15" x14ac:dyDescent="0.2">
      <c r="A1781" s="111">
        <v>1830</v>
      </c>
      <c r="B1781" s="421" t="s">
        <v>2961</v>
      </c>
      <c r="C1781" s="421" t="s">
        <v>507</v>
      </c>
      <c r="D1781" s="422" t="s">
        <v>666</v>
      </c>
      <c r="E1781" s="111">
        <v>15003</v>
      </c>
      <c r="F1781" s="421" t="s">
        <v>2962</v>
      </c>
      <c r="I1781" s="112">
        <v>1</v>
      </c>
    </row>
    <row r="1782" spans="1:15" x14ac:dyDescent="0.2">
      <c r="A1782" s="111">
        <v>1831</v>
      </c>
      <c r="B1782" s="421" t="s">
        <v>2963</v>
      </c>
      <c r="C1782" s="421" t="s">
        <v>551</v>
      </c>
      <c r="D1782" s="422" t="s">
        <v>663</v>
      </c>
      <c r="E1782" s="111">
        <v>15034</v>
      </c>
      <c r="F1782" s="421" t="s">
        <v>2964</v>
      </c>
      <c r="G1782" s="112">
        <v>1</v>
      </c>
      <c r="H1782" s="112">
        <v>1</v>
      </c>
      <c r="I1782" s="112">
        <v>1</v>
      </c>
      <c r="J1782" s="112">
        <v>7</v>
      </c>
      <c r="K1782" s="112">
        <v>7</v>
      </c>
      <c r="L1782" s="112">
        <v>7</v>
      </c>
      <c r="M1782" s="112">
        <v>6</v>
      </c>
      <c r="N1782" s="112">
        <v>5</v>
      </c>
      <c r="O1782" s="112">
        <v>3</v>
      </c>
    </row>
    <row r="1783" spans="1:15" x14ac:dyDescent="0.2">
      <c r="A1783" s="111">
        <v>1832</v>
      </c>
      <c r="B1783" s="421" t="s">
        <v>2965</v>
      </c>
      <c r="C1783" s="421" t="s">
        <v>551</v>
      </c>
      <c r="D1783" s="422" t="s">
        <v>666</v>
      </c>
      <c r="E1783" s="111">
        <v>15047</v>
      </c>
      <c r="F1783" s="421" t="s">
        <v>1710</v>
      </c>
      <c r="G1783" s="112">
        <v>1</v>
      </c>
      <c r="H1783" s="112">
        <v>1</v>
      </c>
      <c r="I1783" s="112">
        <v>1</v>
      </c>
      <c r="J1783" s="112">
        <v>2</v>
      </c>
      <c r="K1783" s="112">
        <v>2</v>
      </c>
      <c r="L1783" s="112">
        <v>2</v>
      </c>
    </row>
    <row r="1784" spans="1:15" x14ac:dyDescent="0.2">
      <c r="A1784" s="111">
        <v>1833</v>
      </c>
      <c r="B1784" s="421" t="s">
        <v>632</v>
      </c>
      <c r="C1784" s="421" t="s">
        <v>537</v>
      </c>
      <c r="D1784" s="422" t="s">
        <v>663</v>
      </c>
      <c r="E1784" s="111">
        <v>15038</v>
      </c>
      <c r="F1784" s="421" t="s">
        <v>2966</v>
      </c>
      <c r="G1784" s="112">
        <v>1</v>
      </c>
      <c r="H1784" s="112">
        <v>1</v>
      </c>
      <c r="I1784" s="112">
        <v>1</v>
      </c>
      <c r="J1784" s="112">
        <v>10</v>
      </c>
      <c r="K1784" s="112">
        <v>10</v>
      </c>
      <c r="L1784" s="112">
        <v>10</v>
      </c>
      <c r="M1784" s="112">
        <v>11</v>
      </c>
      <c r="N1784" s="112">
        <v>10</v>
      </c>
      <c r="O1784" s="112">
        <v>9</v>
      </c>
    </row>
    <row r="1785" spans="1:15" x14ac:dyDescent="0.2">
      <c r="A1785" s="111">
        <v>1834</v>
      </c>
      <c r="B1785" s="421" t="s">
        <v>2967</v>
      </c>
      <c r="C1785" s="421" t="s">
        <v>510</v>
      </c>
      <c r="D1785" s="422" t="s">
        <v>663</v>
      </c>
      <c r="E1785" s="111">
        <v>15177</v>
      </c>
      <c r="F1785" s="421" t="s">
        <v>2968</v>
      </c>
      <c r="G1785" s="112">
        <v>1</v>
      </c>
      <c r="H1785" s="112">
        <v>1</v>
      </c>
      <c r="I1785" s="112">
        <v>1</v>
      </c>
      <c r="J1785" s="112">
        <v>2</v>
      </c>
      <c r="L1785" s="112">
        <v>1</v>
      </c>
    </row>
    <row r="1786" spans="1:15" x14ac:dyDescent="0.2">
      <c r="A1786" s="111">
        <v>1835</v>
      </c>
      <c r="B1786" s="421" t="s">
        <v>2969</v>
      </c>
      <c r="C1786" s="421" t="s">
        <v>577</v>
      </c>
      <c r="D1786" s="422" t="s">
        <v>666</v>
      </c>
      <c r="E1786" s="111">
        <v>15040</v>
      </c>
      <c r="F1786" s="421" t="s">
        <v>2970</v>
      </c>
    </row>
    <row r="1787" spans="1:15" x14ac:dyDescent="0.2">
      <c r="A1787" s="111">
        <v>1838</v>
      </c>
      <c r="B1787" s="421" t="s">
        <v>2971</v>
      </c>
      <c r="C1787" s="421" t="s">
        <v>501</v>
      </c>
      <c r="D1787" s="422" t="s">
        <v>666</v>
      </c>
      <c r="F1787" s="421" t="s">
        <v>2972</v>
      </c>
    </row>
    <row r="1788" spans="1:15" x14ac:dyDescent="0.2">
      <c r="A1788" s="111">
        <v>1839</v>
      </c>
      <c r="B1788" s="421" t="s">
        <v>1428</v>
      </c>
      <c r="C1788" s="421" t="s">
        <v>501</v>
      </c>
      <c r="D1788" s="422" t="s">
        <v>663</v>
      </c>
      <c r="E1788" s="111">
        <v>15041</v>
      </c>
      <c r="F1788" s="421" t="s">
        <v>9114</v>
      </c>
      <c r="G1788" s="112">
        <v>2</v>
      </c>
      <c r="H1788" s="112">
        <v>3</v>
      </c>
      <c r="I1788" s="112">
        <v>1</v>
      </c>
      <c r="J1788" s="112">
        <v>1</v>
      </c>
      <c r="K1788" s="112">
        <v>2</v>
      </c>
      <c r="L1788" s="112">
        <v>1</v>
      </c>
    </row>
    <row r="1789" spans="1:15" x14ac:dyDescent="0.2">
      <c r="A1789" s="111">
        <v>1841</v>
      </c>
      <c r="B1789" s="421" t="s">
        <v>2973</v>
      </c>
      <c r="C1789" s="421" t="s">
        <v>516</v>
      </c>
      <c r="D1789" s="422" t="s">
        <v>663</v>
      </c>
      <c r="F1789" s="421" t="s">
        <v>3013</v>
      </c>
    </row>
    <row r="1790" spans="1:15" x14ac:dyDescent="0.2">
      <c r="A1790" s="111">
        <v>1842</v>
      </c>
      <c r="B1790" s="421" t="s">
        <v>2974</v>
      </c>
      <c r="C1790" s="421" t="s">
        <v>628</v>
      </c>
      <c r="D1790" s="422" t="s">
        <v>666</v>
      </c>
      <c r="F1790" s="421" t="s">
        <v>2975</v>
      </c>
    </row>
    <row r="1791" spans="1:15" x14ac:dyDescent="0.2">
      <c r="A1791" s="111">
        <v>1843</v>
      </c>
      <c r="B1791" s="421" t="s">
        <v>2976</v>
      </c>
      <c r="C1791" s="421" t="s">
        <v>506</v>
      </c>
      <c r="D1791" s="422" t="s">
        <v>663</v>
      </c>
      <c r="F1791" s="421" t="s">
        <v>2977</v>
      </c>
    </row>
    <row r="1792" spans="1:15" x14ac:dyDescent="0.2">
      <c r="A1792" s="111">
        <v>1844</v>
      </c>
      <c r="B1792" s="421" t="s">
        <v>2978</v>
      </c>
      <c r="C1792" s="421" t="s">
        <v>504</v>
      </c>
      <c r="D1792" s="422" t="s">
        <v>663</v>
      </c>
      <c r="E1792" s="111">
        <v>15042</v>
      </c>
      <c r="F1792" s="421" t="s">
        <v>2979</v>
      </c>
      <c r="G1792" s="112">
        <v>1</v>
      </c>
      <c r="H1792" s="112">
        <v>1</v>
      </c>
      <c r="I1792" s="112">
        <v>1</v>
      </c>
    </row>
    <row r="1793" spans="1:15" x14ac:dyDescent="0.2">
      <c r="A1793" s="111">
        <v>1845</v>
      </c>
      <c r="B1793" s="421" t="s">
        <v>2980</v>
      </c>
      <c r="C1793" s="421" t="s">
        <v>506</v>
      </c>
      <c r="D1793" s="422" t="s">
        <v>666</v>
      </c>
      <c r="F1793" s="421" t="s">
        <v>2981</v>
      </c>
    </row>
    <row r="1794" spans="1:15" x14ac:dyDescent="0.2">
      <c r="A1794" s="111">
        <v>1846</v>
      </c>
      <c r="B1794" s="421" t="s">
        <v>1814</v>
      </c>
      <c r="C1794" s="421" t="s">
        <v>506</v>
      </c>
      <c r="D1794" s="422" t="s">
        <v>663</v>
      </c>
      <c r="F1794" s="421" t="s">
        <v>2981</v>
      </c>
    </row>
    <row r="1795" spans="1:15" x14ac:dyDescent="0.2">
      <c r="A1795" s="111">
        <v>1849</v>
      </c>
      <c r="B1795" s="421" t="s">
        <v>2982</v>
      </c>
      <c r="C1795" s="421" t="s">
        <v>533</v>
      </c>
      <c r="D1795" s="422" t="s">
        <v>663</v>
      </c>
      <c r="E1795" s="111">
        <v>15265</v>
      </c>
      <c r="F1795" s="421" t="s">
        <v>2983</v>
      </c>
      <c r="G1795" s="112">
        <v>1</v>
      </c>
      <c r="H1795" s="112">
        <v>1</v>
      </c>
      <c r="I1795" s="112">
        <v>1</v>
      </c>
    </row>
    <row r="1796" spans="1:15" x14ac:dyDescent="0.2">
      <c r="A1796" s="111">
        <v>1850</v>
      </c>
      <c r="B1796" s="421" t="s">
        <v>2940</v>
      </c>
      <c r="C1796" s="421" t="s">
        <v>542</v>
      </c>
      <c r="D1796" s="422" t="s">
        <v>663</v>
      </c>
      <c r="E1796" s="111">
        <v>14955</v>
      </c>
      <c r="F1796" s="421" t="s">
        <v>2941</v>
      </c>
      <c r="G1796" s="112">
        <v>1</v>
      </c>
      <c r="H1796" s="112">
        <v>1</v>
      </c>
    </row>
    <row r="1797" spans="1:15" x14ac:dyDescent="0.2">
      <c r="A1797" s="111">
        <v>1851</v>
      </c>
      <c r="B1797" s="421" t="s">
        <v>2984</v>
      </c>
      <c r="C1797" s="421" t="s">
        <v>506</v>
      </c>
      <c r="D1797" s="422" t="s">
        <v>666</v>
      </c>
      <c r="F1797" s="421" t="s">
        <v>2985</v>
      </c>
      <c r="J1797" s="112">
        <v>1</v>
      </c>
      <c r="L1797" s="112">
        <v>1</v>
      </c>
    </row>
    <row r="1798" spans="1:15" x14ac:dyDescent="0.2">
      <c r="A1798" s="111">
        <v>1852</v>
      </c>
      <c r="B1798" s="421" t="s">
        <v>340</v>
      </c>
      <c r="C1798" s="421" t="s">
        <v>506</v>
      </c>
      <c r="D1798" s="422" t="s">
        <v>663</v>
      </c>
      <c r="F1798" s="421" t="s">
        <v>3536</v>
      </c>
      <c r="G1798" s="112">
        <v>1</v>
      </c>
      <c r="H1798" s="112">
        <v>1</v>
      </c>
      <c r="I1798" s="112">
        <v>1</v>
      </c>
    </row>
    <row r="1799" spans="1:15" x14ac:dyDescent="0.2">
      <c r="A1799" s="111">
        <v>1853</v>
      </c>
      <c r="B1799" s="421" t="s">
        <v>2986</v>
      </c>
      <c r="C1799" s="421" t="s">
        <v>501</v>
      </c>
      <c r="D1799" s="422" t="s">
        <v>666</v>
      </c>
      <c r="E1799" s="111">
        <v>15045</v>
      </c>
      <c r="F1799" s="421" t="s">
        <v>2987</v>
      </c>
      <c r="J1799" s="112">
        <v>1</v>
      </c>
      <c r="K1799" s="112">
        <v>1</v>
      </c>
      <c r="L1799" s="112">
        <v>1</v>
      </c>
    </row>
    <row r="1800" spans="1:15" x14ac:dyDescent="0.2">
      <c r="A1800" s="111">
        <v>1854</v>
      </c>
      <c r="B1800" s="421" t="s">
        <v>2988</v>
      </c>
      <c r="C1800" s="421" t="s">
        <v>551</v>
      </c>
      <c r="D1800" s="422" t="s">
        <v>666</v>
      </c>
      <c r="E1800" s="111">
        <v>15045</v>
      </c>
      <c r="F1800" s="421" t="s">
        <v>2987</v>
      </c>
    </row>
    <row r="1801" spans="1:15" x14ac:dyDescent="0.2">
      <c r="A1801" s="111">
        <v>1855</v>
      </c>
      <c r="B1801" s="421" t="s">
        <v>238</v>
      </c>
      <c r="C1801" s="421" t="s">
        <v>530</v>
      </c>
      <c r="D1801" s="422" t="s">
        <v>666</v>
      </c>
      <c r="E1801" s="111">
        <v>15046</v>
      </c>
      <c r="F1801" s="421" t="s">
        <v>2989</v>
      </c>
      <c r="G1801" s="112">
        <v>1</v>
      </c>
      <c r="H1801" s="112">
        <v>2</v>
      </c>
      <c r="I1801" s="112">
        <v>1</v>
      </c>
    </row>
    <row r="1802" spans="1:15" x14ac:dyDescent="0.2">
      <c r="A1802" s="111">
        <v>1856</v>
      </c>
      <c r="B1802" s="421" t="s">
        <v>2990</v>
      </c>
      <c r="C1802" s="421" t="s">
        <v>502</v>
      </c>
      <c r="D1802" s="422" t="s">
        <v>663</v>
      </c>
      <c r="E1802" s="111">
        <v>15053</v>
      </c>
      <c r="F1802" s="421" t="s">
        <v>2991</v>
      </c>
      <c r="G1802" s="112">
        <v>1</v>
      </c>
      <c r="H1802" s="112">
        <v>1</v>
      </c>
      <c r="I1802" s="112">
        <v>1</v>
      </c>
      <c r="J1802" s="112">
        <v>7</v>
      </c>
      <c r="K1802" s="112">
        <v>7</v>
      </c>
      <c r="L1802" s="112">
        <v>7</v>
      </c>
      <c r="M1802" s="112">
        <v>4</v>
      </c>
      <c r="N1802" s="112">
        <v>4</v>
      </c>
      <c r="O1802" s="112">
        <v>4</v>
      </c>
    </row>
    <row r="1803" spans="1:15" x14ac:dyDescent="0.2">
      <c r="A1803" s="111">
        <v>1857</v>
      </c>
      <c r="B1803" s="421" t="s">
        <v>2992</v>
      </c>
      <c r="C1803" s="421" t="s">
        <v>501</v>
      </c>
      <c r="D1803" s="422" t="s">
        <v>663</v>
      </c>
      <c r="E1803" s="111">
        <v>15048</v>
      </c>
      <c r="F1803" s="421" t="s">
        <v>2993</v>
      </c>
      <c r="G1803" s="112">
        <v>1</v>
      </c>
      <c r="H1803" s="112">
        <v>1</v>
      </c>
      <c r="I1803" s="112">
        <v>1</v>
      </c>
      <c r="J1803" s="112">
        <v>1</v>
      </c>
      <c r="L1803" s="112">
        <v>1</v>
      </c>
    </row>
    <row r="1804" spans="1:15" x14ac:dyDescent="0.2">
      <c r="A1804" s="111">
        <v>1858</v>
      </c>
      <c r="B1804" s="421" t="s">
        <v>2994</v>
      </c>
      <c r="C1804" s="421" t="s">
        <v>501</v>
      </c>
      <c r="D1804" s="422" t="s">
        <v>666</v>
      </c>
      <c r="E1804" s="111">
        <v>16205</v>
      </c>
      <c r="F1804" s="421" t="s">
        <v>2995</v>
      </c>
      <c r="G1804" s="112">
        <v>2</v>
      </c>
      <c r="H1804" s="112">
        <v>3</v>
      </c>
      <c r="I1804" s="112">
        <v>2</v>
      </c>
      <c r="J1804" s="112">
        <v>5</v>
      </c>
      <c r="K1804" s="112">
        <v>3</v>
      </c>
      <c r="L1804" s="112">
        <v>3</v>
      </c>
      <c r="M1804" s="112">
        <v>2</v>
      </c>
      <c r="O1804" s="112">
        <v>1</v>
      </c>
    </row>
    <row r="1805" spans="1:15" x14ac:dyDescent="0.2">
      <c r="A1805" s="111">
        <v>1859</v>
      </c>
      <c r="B1805" s="421" t="s">
        <v>2996</v>
      </c>
      <c r="C1805" s="421" t="s">
        <v>537</v>
      </c>
      <c r="D1805" s="422" t="s">
        <v>663</v>
      </c>
      <c r="E1805" s="111">
        <v>15007</v>
      </c>
      <c r="F1805" s="421" t="s">
        <v>2882</v>
      </c>
      <c r="G1805" s="112">
        <v>1</v>
      </c>
      <c r="I1805" s="112">
        <v>1</v>
      </c>
    </row>
    <row r="1806" spans="1:15" x14ac:dyDescent="0.2">
      <c r="A1806" s="111">
        <v>1860</v>
      </c>
      <c r="B1806" s="421" t="s">
        <v>1480</v>
      </c>
      <c r="C1806" s="421" t="s">
        <v>1197</v>
      </c>
      <c r="D1806" s="422" t="s">
        <v>666</v>
      </c>
      <c r="E1806" s="111">
        <v>44076</v>
      </c>
      <c r="F1806" s="421" t="s">
        <v>2997</v>
      </c>
    </row>
    <row r="1807" spans="1:15" x14ac:dyDescent="0.2">
      <c r="A1807" s="111">
        <v>1861</v>
      </c>
      <c r="B1807" s="421" t="s">
        <v>2998</v>
      </c>
      <c r="C1807" s="421" t="s">
        <v>502</v>
      </c>
      <c r="D1807" s="422" t="s">
        <v>663</v>
      </c>
      <c r="E1807" s="111">
        <v>15043</v>
      </c>
      <c r="F1807" s="421" t="s">
        <v>2021</v>
      </c>
      <c r="G1807" s="112">
        <v>1</v>
      </c>
      <c r="H1807" s="112">
        <v>1</v>
      </c>
      <c r="I1807" s="112">
        <v>1</v>
      </c>
      <c r="J1807" s="112">
        <v>7</v>
      </c>
      <c r="K1807" s="112">
        <v>7</v>
      </c>
      <c r="L1807" s="112">
        <v>7</v>
      </c>
      <c r="M1807" s="112">
        <v>3</v>
      </c>
      <c r="N1807" s="112">
        <v>3</v>
      </c>
      <c r="O1807" s="112">
        <v>4</v>
      </c>
    </row>
    <row r="1808" spans="1:15" x14ac:dyDescent="0.2">
      <c r="A1808" s="111">
        <v>1862</v>
      </c>
      <c r="B1808" s="421" t="s">
        <v>2999</v>
      </c>
      <c r="C1808" s="421" t="s">
        <v>1908</v>
      </c>
      <c r="D1808" s="422" t="s">
        <v>663</v>
      </c>
      <c r="F1808" s="421" t="s">
        <v>3000</v>
      </c>
    </row>
    <row r="1809" spans="1:15" x14ac:dyDescent="0.2">
      <c r="A1809" s="111">
        <v>1863</v>
      </c>
      <c r="B1809" s="421" t="s">
        <v>1407</v>
      </c>
      <c r="C1809" s="421" t="s">
        <v>518</v>
      </c>
      <c r="D1809" s="422" t="s">
        <v>666</v>
      </c>
      <c r="E1809" s="111">
        <v>15256</v>
      </c>
      <c r="F1809" s="421" t="s">
        <v>3001</v>
      </c>
      <c r="G1809" s="112">
        <v>1</v>
      </c>
      <c r="J1809" s="112">
        <v>2</v>
      </c>
      <c r="K1809" s="112">
        <v>3</v>
      </c>
      <c r="L1809" s="112">
        <v>3</v>
      </c>
      <c r="M1809" s="112">
        <v>3</v>
      </c>
      <c r="O1809" s="112">
        <v>1</v>
      </c>
    </row>
    <row r="1810" spans="1:15" x14ac:dyDescent="0.2">
      <c r="A1810" s="111">
        <v>1864</v>
      </c>
      <c r="B1810" s="421" t="s">
        <v>3002</v>
      </c>
      <c r="C1810" s="421" t="s">
        <v>536</v>
      </c>
      <c r="D1810" s="422" t="s">
        <v>666</v>
      </c>
      <c r="F1810" s="421" t="s">
        <v>3003</v>
      </c>
    </row>
    <row r="1811" spans="1:15" x14ac:dyDescent="0.2">
      <c r="A1811" s="111">
        <v>1865</v>
      </c>
      <c r="B1811" s="421" t="s">
        <v>3004</v>
      </c>
      <c r="C1811" s="421" t="s">
        <v>530</v>
      </c>
      <c r="D1811" s="422" t="s">
        <v>666</v>
      </c>
      <c r="E1811" s="111">
        <v>15051</v>
      </c>
      <c r="F1811" s="421" t="s">
        <v>3005</v>
      </c>
      <c r="G1811" s="112">
        <v>1</v>
      </c>
      <c r="H1811" s="112">
        <v>1</v>
      </c>
    </row>
    <row r="1812" spans="1:15" x14ac:dyDescent="0.2">
      <c r="A1812" s="111">
        <v>1866</v>
      </c>
      <c r="B1812" s="421" t="s">
        <v>3006</v>
      </c>
      <c r="C1812" s="421" t="s">
        <v>551</v>
      </c>
      <c r="D1812" s="422" t="s">
        <v>666</v>
      </c>
      <c r="E1812" s="111">
        <v>14850</v>
      </c>
      <c r="F1812" s="421" t="s">
        <v>2518</v>
      </c>
    </row>
    <row r="1813" spans="1:15" x14ac:dyDescent="0.2">
      <c r="A1813" s="111">
        <v>1867</v>
      </c>
      <c r="B1813" s="421" t="s">
        <v>37</v>
      </c>
      <c r="C1813" s="421" t="s">
        <v>550</v>
      </c>
      <c r="D1813" s="422" t="s">
        <v>663</v>
      </c>
      <c r="F1813" s="421" t="s">
        <v>3007</v>
      </c>
    </row>
    <row r="1814" spans="1:15" x14ac:dyDescent="0.2">
      <c r="A1814" s="111">
        <v>1868</v>
      </c>
      <c r="B1814" s="421" t="s">
        <v>2329</v>
      </c>
      <c r="C1814" s="421" t="s">
        <v>1284</v>
      </c>
      <c r="D1814" s="422" t="s">
        <v>663</v>
      </c>
      <c r="E1814" s="111">
        <v>15014</v>
      </c>
      <c r="F1814" s="421" t="s">
        <v>2898</v>
      </c>
    </row>
    <row r="1815" spans="1:15" x14ac:dyDescent="0.2">
      <c r="A1815" s="111">
        <v>1869</v>
      </c>
      <c r="B1815" s="421" t="s">
        <v>3008</v>
      </c>
      <c r="C1815" s="421" t="s">
        <v>506</v>
      </c>
      <c r="D1815" s="422" t="s">
        <v>663</v>
      </c>
      <c r="E1815" s="111">
        <v>15024</v>
      </c>
      <c r="F1815" s="421" t="s">
        <v>890</v>
      </c>
      <c r="G1815" s="112">
        <v>2</v>
      </c>
      <c r="H1815" s="112">
        <v>2</v>
      </c>
      <c r="I1815" s="112">
        <v>1</v>
      </c>
      <c r="J1815" s="112">
        <v>6</v>
      </c>
      <c r="K1815" s="112">
        <v>7</v>
      </c>
      <c r="L1815" s="112">
        <v>7</v>
      </c>
      <c r="M1815" s="112">
        <v>4</v>
      </c>
      <c r="N1815" s="112">
        <v>4</v>
      </c>
      <c r="O1815" s="112">
        <v>4</v>
      </c>
    </row>
    <row r="1816" spans="1:15" x14ac:dyDescent="0.2">
      <c r="A1816" s="111">
        <v>1870</v>
      </c>
      <c r="B1816" s="421" t="s">
        <v>380</v>
      </c>
      <c r="C1816" s="421" t="s">
        <v>507</v>
      </c>
      <c r="D1816" s="422" t="s">
        <v>663</v>
      </c>
      <c r="E1816" s="111">
        <v>15335</v>
      </c>
      <c r="F1816" s="421" t="s">
        <v>3009</v>
      </c>
      <c r="G1816" s="112">
        <v>1</v>
      </c>
      <c r="H1816" s="112">
        <v>1</v>
      </c>
      <c r="I1816" s="112">
        <v>1</v>
      </c>
      <c r="J1816" s="112">
        <v>3</v>
      </c>
      <c r="K1816" s="112">
        <v>3</v>
      </c>
      <c r="L1816" s="112">
        <v>2</v>
      </c>
    </row>
    <row r="1817" spans="1:15" x14ac:dyDescent="0.2">
      <c r="A1817" s="111">
        <v>1872</v>
      </c>
      <c r="B1817" s="421" t="s">
        <v>159</v>
      </c>
      <c r="C1817" s="421" t="s">
        <v>507</v>
      </c>
      <c r="D1817" s="422" t="s">
        <v>663</v>
      </c>
      <c r="E1817" s="111">
        <v>15335</v>
      </c>
      <c r="F1817" s="421" t="s">
        <v>3009</v>
      </c>
      <c r="G1817" s="112">
        <v>2</v>
      </c>
      <c r="H1817" s="112">
        <v>3</v>
      </c>
      <c r="I1817" s="112">
        <v>1</v>
      </c>
    </row>
    <row r="1818" spans="1:15" x14ac:dyDescent="0.2">
      <c r="A1818" s="111">
        <v>1873</v>
      </c>
      <c r="B1818" s="421" t="s">
        <v>3010</v>
      </c>
      <c r="C1818" s="421" t="s">
        <v>551</v>
      </c>
      <c r="D1818" s="422" t="s">
        <v>663</v>
      </c>
      <c r="E1818" s="111">
        <v>15006</v>
      </c>
      <c r="F1818" s="421" t="s">
        <v>922</v>
      </c>
      <c r="G1818" s="112">
        <v>1</v>
      </c>
      <c r="H1818" s="112">
        <v>1</v>
      </c>
      <c r="I1818" s="112">
        <v>1</v>
      </c>
      <c r="K1818" s="112">
        <v>2</v>
      </c>
    </row>
    <row r="1819" spans="1:15" x14ac:dyDescent="0.2">
      <c r="A1819" s="111">
        <v>1874</v>
      </c>
      <c r="B1819" s="421" t="s">
        <v>3014</v>
      </c>
      <c r="C1819" s="421" t="s">
        <v>507</v>
      </c>
      <c r="D1819" s="422" t="s">
        <v>663</v>
      </c>
      <c r="E1819" s="111">
        <v>15230</v>
      </c>
      <c r="F1819" s="421" t="s">
        <v>3015</v>
      </c>
      <c r="G1819" s="112">
        <v>1</v>
      </c>
      <c r="H1819" s="112">
        <v>1</v>
      </c>
      <c r="I1819" s="112">
        <v>1</v>
      </c>
      <c r="J1819" s="112">
        <v>3</v>
      </c>
      <c r="K1819" s="112">
        <v>4</v>
      </c>
      <c r="L1819" s="112">
        <v>3</v>
      </c>
      <c r="M1819" s="112">
        <v>3</v>
      </c>
      <c r="N1819" s="112">
        <v>2</v>
      </c>
      <c r="O1819" s="112">
        <v>3</v>
      </c>
    </row>
    <row r="1820" spans="1:15" x14ac:dyDescent="0.2">
      <c r="A1820" s="111">
        <v>1875</v>
      </c>
      <c r="B1820" s="421" t="s">
        <v>416</v>
      </c>
      <c r="C1820" s="421" t="s">
        <v>628</v>
      </c>
      <c r="D1820" s="422" t="s">
        <v>663</v>
      </c>
      <c r="E1820" s="111">
        <v>15006</v>
      </c>
      <c r="F1820" s="421" t="s">
        <v>922</v>
      </c>
      <c r="G1820" s="112">
        <v>1</v>
      </c>
      <c r="H1820" s="112">
        <v>1</v>
      </c>
      <c r="I1820" s="112">
        <v>1</v>
      </c>
      <c r="J1820" s="112">
        <v>7</v>
      </c>
      <c r="K1820" s="112">
        <v>7</v>
      </c>
      <c r="L1820" s="112">
        <v>7</v>
      </c>
      <c r="M1820" s="112">
        <v>5</v>
      </c>
      <c r="N1820" s="112">
        <v>4</v>
      </c>
      <c r="O1820" s="112">
        <v>3</v>
      </c>
    </row>
    <row r="1821" spans="1:15" x14ac:dyDescent="0.2">
      <c r="A1821" s="111">
        <v>1876</v>
      </c>
      <c r="B1821" s="421" t="s">
        <v>3016</v>
      </c>
      <c r="C1821" s="421" t="s">
        <v>547</v>
      </c>
      <c r="D1821" s="422" t="s">
        <v>663</v>
      </c>
      <c r="E1821" s="111">
        <v>15055</v>
      </c>
      <c r="F1821" s="421" t="s">
        <v>3017</v>
      </c>
      <c r="G1821" s="112">
        <v>1</v>
      </c>
      <c r="H1821" s="112">
        <v>1</v>
      </c>
      <c r="I1821" s="112">
        <v>1</v>
      </c>
      <c r="L1821" s="112">
        <v>1</v>
      </c>
    </row>
    <row r="1822" spans="1:15" x14ac:dyDescent="0.2">
      <c r="A1822" s="111">
        <v>1877</v>
      </c>
      <c r="B1822" s="421" t="s">
        <v>3018</v>
      </c>
      <c r="C1822" s="421" t="s">
        <v>547</v>
      </c>
      <c r="D1822" s="422" t="s">
        <v>663</v>
      </c>
      <c r="E1822" s="111">
        <v>15055</v>
      </c>
      <c r="F1822" s="421" t="s">
        <v>3017</v>
      </c>
      <c r="G1822" s="112">
        <v>1</v>
      </c>
      <c r="H1822" s="112">
        <v>1</v>
      </c>
      <c r="I1822" s="112">
        <v>1</v>
      </c>
      <c r="J1822" s="112">
        <v>1</v>
      </c>
    </row>
    <row r="1823" spans="1:15" x14ac:dyDescent="0.2">
      <c r="A1823" s="111">
        <v>1878</v>
      </c>
      <c r="B1823" s="421" t="s">
        <v>3019</v>
      </c>
      <c r="C1823" s="421" t="s">
        <v>513</v>
      </c>
      <c r="D1823" s="422" t="s">
        <v>666</v>
      </c>
      <c r="E1823" s="111">
        <v>15056</v>
      </c>
      <c r="F1823" s="421" t="s">
        <v>3020</v>
      </c>
      <c r="G1823" s="112">
        <v>1</v>
      </c>
      <c r="H1823" s="112">
        <v>1</v>
      </c>
    </row>
    <row r="1824" spans="1:15" x14ac:dyDescent="0.2">
      <c r="A1824" s="111">
        <v>1879</v>
      </c>
      <c r="B1824" s="421" t="s">
        <v>3021</v>
      </c>
      <c r="C1824" s="421" t="s">
        <v>3022</v>
      </c>
      <c r="D1824" s="422" t="s">
        <v>666</v>
      </c>
      <c r="F1824" s="421" t="s">
        <v>3023</v>
      </c>
    </row>
    <row r="1825" spans="1:15" x14ac:dyDescent="0.2">
      <c r="A1825" s="111">
        <v>1880</v>
      </c>
      <c r="B1825" s="421" t="s">
        <v>3024</v>
      </c>
      <c r="C1825" s="421" t="s">
        <v>3022</v>
      </c>
      <c r="D1825" s="422" t="s">
        <v>663</v>
      </c>
      <c r="F1825" s="421" t="s">
        <v>3025</v>
      </c>
      <c r="G1825" s="112">
        <v>3</v>
      </c>
      <c r="H1825" s="112">
        <v>1</v>
      </c>
    </row>
    <row r="1826" spans="1:15" x14ac:dyDescent="0.2">
      <c r="A1826" s="111">
        <v>1881</v>
      </c>
      <c r="B1826" s="421" t="s">
        <v>1612</v>
      </c>
      <c r="C1826" s="421" t="s">
        <v>1898</v>
      </c>
      <c r="D1826" s="422" t="s">
        <v>666</v>
      </c>
      <c r="F1826" s="421" t="s">
        <v>3026</v>
      </c>
    </row>
    <row r="1827" spans="1:15" x14ac:dyDescent="0.2">
      <c r="A1827" s="111">
        <v>1882</v>
      </c>
      <c r="B1827" s="421" t="s">
        <v>3027</v>
      </c>
      <c r="C1827" s="421" t="s">
        <v>540</v>
      </c>
      <c r="D1827" s="422" t="s">
        <v>666</v>
      </c>
      <c r="E1827" s="111">
        <v>15057</v>
      </c>
      <c r="F1827" s="421" t="s">
        <v>3028</v>
      </c>
      <c r="G1827" s="112">
        <v>1</v>
      </c>
      <c r="H1827" s="112">
        <v>1</v>
      </c>
      <c r="I1827" s="112">
        <v>1</v>
      </c>
      <c r="K1827" s="112">
        <v>2</v>
      </c>
    </row>
    <row r="1828" spans="1:15" x14ac:dyDescent="0.2">
      <c r="A1828" s="111">
        <v>1883</v>
      </c>
      <c r="B1828" s="421" t="s">
        <v>262</v>
      </c>
      <c r="C1828" s="421" t="s">
        <v>547</v>
      </c>
      <c r="D1828" s="422" t="s">
        <v>663</v>
      </c>
      <c r="F1828" s="421" t="s">
        <v>3029</v>
      </c>
      <c r="G1828" s="112">
        <v>1</v>
      </c>
      <c r="H1828" s="112">
        <v>1</v>
      </c>
      <c r="I1828" s="112">
        <v>1</v>
      </c>
      <c r="J1828" s="112">
        <v>1</v>
      </c>
      <c r="K1828" s="112">
        <v>1</v>
      </c>
      <c r="L1828" s="112">
        <v>1</v>
      </c>
    </row>
    <row r="1829" spans="1:15" x14ac:dyDescent="0.2">
      <c r="A1829" s="111">
        <v>1884</v>
      </c>
      <c r="B1829" s="421" t="s">
        <v>3030</v>
      </c>
      <c r="C1829" s="421" t="s">
        <v>551</v>
      </c>
      <c r="D1829" s="422" t="s">
        <v>663</v>
      </c>
      <c r="E1829" s="111">
        <v>15058</v>
      </c>
      <c r="F1829" s="421" t="s">
        <v>3031</v>
      </c>
      <c r="G1829" s="112">
        <v>1</v>
      </c>
      <c r="H1829" s="112">
        <v>1</v>
      </c>
      <c r="I1829" s="112">
        <v>1</v>
      </c>
    </row>
    <row r="1830" spans="1:15" x14ac:dyDescent="0.2">
      <c r="A1830" s="111">
        <v>1885</v>
      </c>
      <c r="B1830" s="421" t="s">
        <v>3032</v>
      </c>
      <c r="C1830" s="421" t="s">
        <v>551</v>
      </c>
      <c r="D1830" s="422" t="s">
        <v>663</v>
      </c>
      <c r="E1830" s="111">
        <v>15058</v>
      </c>
      <c r="F1830" s="421" t="s">
        <v>3031</v>
      </c>
      <c r="G1830" s="112">
        <v>1</v>
      </c>
      <c r="I1830" s="112">
        <v>1</v>
      </c>
    </row>
    <row r="1831" spans="1:15" x14ac:dyDescent="0.2">
      <c r="A1831" s="111">
        <v>1886</v>
      </c>
      <c r="B1831" s="421" t="s">
        <v>3033</v>
      </c>
      <c r="C1831" s="421" t="s">
        <v>574</v>
      </c>
      <c r="D1831" s="422" t="s">
        <v>666</v>
      </c>
      <c r="E1831" s="111">
        <v>15059</v>
      </c>
      <c r="F1831" s="421" t="s">
        <v>3034</v>
      </c>
      <c r="G1831" s="112">
        <v>1</v>
      </c>
      <c r="H1831" s="112">
        <v>1</v>
      </c>
      <c r="I1831" s="112">
        <v>1</v>
      </c>
    </row>
    <row r="1832" spans="1:15" x14ac:dyDescent="0.2">
      <c r="A1832" s="111">
        <v>1887</v>
      </c>
      <c r="B1832" s="421" t="s">
        <v>3035</v>
      </c>
      <c r="C1832" s="421" t="s">
        <v>574</v>
      </c>
      <c r="D1832" s="422" t="s">
        <v>666</v>
      </c>
      <c r="E1832" s="111">
        <v>15059</v>
      </c>
      <c r="F1832" s="421" t="s">
        <v>3034</v>
      </c>
    </row>
    <row r="1833" spans="1:15" x14ac:dyDescent="0.2">
      <c r="A1833" s="111">
        <v>1888</v>
      </c>
      <c r="B1833" s="421" t="s">
        <v>3036</v>
      </c>
      <c r="C1833" s="421" t="s">
        <v>542</v>
      </c>
      <c r="D1833" s="422" t="s">
        <v>663</v>
      </c>
      <c r="F1833" s="421" t="s">
        <v>1852</v>
      </c>
      <c r="G1833" s="112">
        <v>1</v>
      </c>
      <c r="H1833" s="112">
        <v>1</v>
      </c>
      <c r="I1833" s="112">
        <v>1</v>
      </c>
      <c r="J1833" s="112">
        <v>2</v>
      </c>
    </row>
    <row r="1834" spans="1:15" x14ac:dyDescent="0.2">
      <c r="A1834" s="111">
        <v>1889</v>
      </c>
      <c r="B1834" s="421" t="s">
        <v>75</v>
      </c>
      <c r="C1834" s="421" t="s">
        <v>523</v>
      </c>
      <c r="D1834" s="422" t="s">
        <v>663</v>
      </c>
      <c r="E1834" s="111">
        <v>14104</v>
      </c>
      <c r="F1834" s="421" t="s">
        <v>746</v>
      </c>
      <c r="G1834" s="112">
        <v>1</v>
      </c>
      <c r="H1834" s="112">
        <v>2</v>
      </c>
      <c r="I1834" s="112">
        <v>2</v>
      </c>
      <c r="J1834" s="112">
        <v>2</v>
      </c>
      <c r="K1834" s="112">
        <v>3</v>
      </c>
      <c r="L1834" s="112">
        <v>3</v>
      </c>
      <c r="M1834" s="112">
        <v>1</v>
      </c>
      <c r="N1834" s="112">
        <v>1</v>
      </c>
      <c r="O1834" s="112">
        <v>3</v>
      </c>
    </row>
    <row r="1835" spans="1:15" x14ac:dyDescent="0.2">
      <c r="A1835" s="111">
        <v>1890</v>
      </c>
      <c r="B1835" s="421" t="s">
        <v>3038</v>
      </c>
      <c r="C1835" s="421" t="s">
        <v>506</v>
      </c>
      <c r="D1835" s="422" t="s">
        <v>666</v>
      </c>
      <c r="E1835" s="111">
        <v>15060</v>
      </c>
      <c r="F1835" s="421" t="s">
        <v>3039</v>
      </c>
      <c r="G1835" s="112">
        <v>1</v>
      </c>
      <c r="H1835" s="112">
        <v>1</v>
      </c>
      <c r="I1835" s="112">
        <v>1</v>
      </c>
      <c r="J1835" s="112">
        <v>6</v>
      </c>
      <c r="K1835" s="112">
        <v>5</v>
      </c>
      <c r="L1835" s="112">
        <v>5</v>
      </c>
      <c r="M1835" s="112">
        <v>3</v>
      </c>
      <c r="N1835" s="112">
        <v>1</v>
      </c>
      <c r="O1835" s="112">
        <v>2</v>
      </c>
    </row>
    <row r="1836" spans="1:15" x14ac:dyDescent="0.2">
      <c r="A1836" s="111">
        <v>1891</v>
      </c>
      <c r="B1836" s="421" t="s">
        <v>126</v>
      </c>
      <c r="C1836" s="421" t="s">
        <v>555</v>
      </c>
      <c r="D1836" s="422" t="s">
        <v>666</v>
      </c>
      <c r="E1836" s="111">
        <v>15066</v>
      </c>
      <c r="F1836" s="421" t="s">
        <v>3040</v>
      </c>
      <c r="H1836" s="112">
        <v>1</v>
      </c>
    </row>
    <row r="1837" spans="1:15" x14ac:dyDescent="0.2">
      <c r="A1837" s="111">
        <v>1894</v>
      </c>
      <c r="B1837" s="421" t="s">
        <v>3041</v>
      </c>
      <c r="C1837" s="421" t="s">
        <v>574</v>
      </c>
      <c r="D1837" s="422" t="s">
        <v>666</v>
      </c>
      <c r="E1837" s="111">
        <v>16070</v>
      </c>
      <c r="F1837" s="421" t="s">
        <v>3042</v>
      </c>
    </row>
    <row r="1838" spans="1:15" x14ac:dyDescent="0.2">
      <c r="A1838" s="111">
        <v>1895</v>
      </c>
      <c r="B1838" s="421" t="s">
        <v>1421</v>
      </c>
      <c r="C1838" s="421" t="s">
        <v>1687</v>
      </c>
      <c r="D1838" s="422" t="s">
        <v>663</v>
      </c>
      <c r="F1838" s="421" t="s">
        <v>3043</v>
      </c>
    </row>
    <row r="1839" spans="1:15" x14ac:dyDescent="0.2">
      <c r="A1839" s="111">
        <v>1896</v>
      </c>
      <c r="B1839" s="421" t="s">
        <v>67</v>
      </c>
      <c r="C1839" s="421" t="s">
        <v>17458</v>
      </c>
      <c r="D1839" s="422" t="s">
        <v>666</v>
      </c>
      <c r="E1839" s="111">
        <v>15998</v>
      </c>
      <c r="F1839" s="421" t="s">
        <v>2435</v>
      </c>
      <c r="G1839" s="112">
        <v>1</v>
      </c>
      <c r="H1839" s="112">
        <v>1</v>
      </c>
      <c r="I1839" s="112">
        <v>1</v>
      </c>
      <c r="J1839" s="112">
        <v>1</v>
      </c>
      <c r="K1839" s="112">
        <v>2</v>
      </c>
      <c r="L1839" s="112">
        <v>1</v>
      </c>
      <c r="N1839" s="112">
        <v>1</v>
      </c>
    </row>
    <row r="1840" spans="1:15" x14ac:dyDescent="0.2">
      <c r="A1840" s="111">
        <v>1897</v>
      </c>
      <c r="B1840" s="421" t="s">
        <v>3044</v>
      </c>
      <c r="C1840" s="421" t="s">
        <v>554</v>
      </c>
      <c r="D1840" s="422" t="s">
        <v>663</v>
      </c>
      <c r="E1840" s="111">
        <v>15061</v>
      </c>
      <c r="F1840" s="421" t="s">
        <v>3045</v>
      </c>
      <c r="G1840" s="112">
        <v>3</v>
      </c>
      <c r="H1840" s="112">
        <v>2</v>
      </c>
      <c r="I1840" s="112">
        <v>1</v>
      </c>
      <c r="J1840" s="112">
        <v>2</v>
      </c>
      <c r="K1840" s="112">
        <v>2</v>
      </c>
      <c r="L1840" s="112">
        <v>2</v>
      </c>
      <c r="M1840" s="112">
        <v>13</v>
      </c>
      <c r="N1840" s="112">
        <v>5</v>
      </c>
      <c r="O1840" s="112">
        <v>1</v>
      </c>
    </row>
    <row r="1841" spans="1:15" x14ac:dyDescent="0.2">
      <c r="A1841" s="111">
        <v>1898</v>
      </c>
      <c r="B1841" s="421" t="s">
        <v>3046</v>
      </c>
      <c r="C1841" s="421" t="s">
        <v>551</v>
      </c>
      <c r="D1841" s="422" t="s">
        <v>663</v>
      </c>
      <c r="E1841" s="111">
        <v>14998</v>
      </c>
      <c r="F1841" s="421" t="s">
        <v>3047</v>
      </c>
      <c r="G1841" s="112">
        <v>1</v>
      </c>
      <c r="H1841" s="112">
        <v>1</v>
      </c>
      <c r="I1841" s="112">
        <v>1</v>
      </c>
      <c r="J1841" s="112">
        <v>2</v>
      </c>
      <c r="K1841" s="112">
        <v>3</v>
      </c>
      <c r="L1841" s="112">
        <v>1</v>
      </c>
    </row>
    <row r="1842" spans="1:15" x14ac:dyDescent="0.2">
      <c r="A1842" s="111">
        <v>1899</v>
      </c>
      <c r="B1842" s="421" t="s">
        <v>3048</v>
      </c>
      <c r="C1842" s="421" t="s">
        <v>536</v>
      </c>
      <c r="D1842" s="422" t="s">
        <v>666</v>
      </c>
      <c r="E1842" s="111">
        <v>14998</v>
      </c>
      <c r="F1842" s="421" t="s">
        <v>3047</v>
      </c>
      <c r="G1842" s="112">
        <v>1</v>
      </c>
      <c r="H1842" s="112">
        <v>1</v>
      </c>
      <c r="I1842" s="112">
        <v>2</v>
      </c>
    </row>
    <row r="1843" spans="1:15" x14ac:dyDescent="0.2">
      <c r="A1843" s="111">
        <v>1900</v>
      </c>
      <c r="B1843" s="421" t="s">
        <v>2914</v>
      </c>
      <c r="C1843" s="421" t="s">
        <v>501</v>
      </c>
      <c r="D1843" s="422" t="s">
        <v>663</v>
      </c>
      <c r="F1843" s="421" t="s">
        <v>2915</v>
      </c>
    </row>
    <row r="1844" spans="1:15" x14ac:dyDescent="0.2">
      <c r="A1844" s="111">
        <v>1901</v>
      </c>
      <c r="B1844" s="421" t="s">
        <v>1937</v>
      </c>
      <c r="C1844" s="421" t="s">
        <v>516</v>
      </c>
      <c r="D1844" s="422" t="s">
        <v>666</v>
      </c>
      <c r="E1844" s="111">
        <v>17048</v>
      </c>
      <c r="F1844" s="421" t="s">
        <v>3049</v>
      </c>
    </row>
    <row r="1845" spans="1:15" x14ac:dyDescent="0.2">
      <c r="A1845" s="111">
        <v>1902</v>
      </c>
      <c r="B1845" s="421" t="s">
        <v>322</v>
      </c>
      <c r="C1845" s="421" t="s">
        <v>506</v>
      </c>
      <c r="D1845" s="422" t="s">
        <v>666</v>
      </c>
      <c r="E1845" s="111">
        <v>15062</v>
      </c>
      <c r="F1845" s="421" t="s">
        <v>3050</v>
      </c>
      <c r="G1845" s="112">
        <v>1</v>
      </c>
      <c r="H1845" s="112">
        <v>1</v>
      </c>
      <c r="I1845" s="112">
        <v>1</v>
      </c>
    </row>
    <row r="1846" spans="1:15" x14ac:dyDescent="0.2">
      <c r="A1846" s="111">
        <v>1903</v>
      </c>
      <c r="B1846" s="421" t="s">
        <v>326</v>
      </c>
      <c r="C1846" s="421" t="s">
        <v>530</v>
      </c>
      <c r="D1846" s="422" t="s">
        <v>666</v>
      </c>
      <c r="F1846" s="421" t="s">
        <v>3051</v>
      </c>
    </row>
    <row r="1847" spans="1:15" x14ac:dyDescent="0.2">
      <c r="A1847" s="111">
        <v>1905</v>
      </c>
      <c r="B1847" s="421" t="s">
        <v>3052</v>
      </c>
      <c r="C1847" s="421" t="s">
        <v>523</v>
      </c>
      <c r="D1847" s="422" t="s">
        <v>666</v>
      </c>
      <c r="E1847" s="111">
        <v>15065</v>
      </c>
      <c r="F1847" s="421" t="s">
        <v>3053</v>
      </c>
      <c r="G1847" s="112">
        <v>1</v>
      </c>
      <c r="H1847" s="112">
        <v>1</v>
      </c>
      <c r="I1847" s="112">
        <v>1</v>
      </c>
      <c r="J1847" s="112">
        <v>1</v>
      </c>
      <c r="K1847" s="112">
        <v>1</v>
      </c>
      <c r="L1847" s="112">
        <v>1</v>
      </c>
    </row>
    <row r="1848" spans="1:15" x14ac:dyDescent="0.2">
      <c r="A1848" s="111">
        <v>1907</v>
      </c>
      <c r="B1848" s="421" t="s">
        <v>3054</v>
      </c>
      <c r="C1848" s="421" t="s">
        <v>559</v>
      </c>
      <c r="D1848" s="422" t="s">
        <v>666</v>
      </c>
      <c r="F1848" s="421" t="s">
        <v>1815</v>
      </c>
      <c r="G1848" s="112">
        <v>1</v>
      </c>
      <c r="H1848" s="112">
        <v>1</v>
      </c>
      <c r="I1848" s="112">
        <v>1</v>
      </c>
      <c r="J1848" s="112">
        <v>1</v>
      </c>
      <c r="K1848" s="112">
        <v>1</v>
      </c>
      <c r="L1848" s="112">
        <v>1</v>
      </c>
      <c r="M1848" s="112">
        <v>2</v>
      </c>
    </row>
    <row r="1849" spans="1:15" x14ac:dyDescent="0.2">
      <c r="A1849" s="111">
        <v>1908</v>
      </c>
      <c r="B1849" s="421" t="s">
        <v>3055</v>
      </c>
      <c r="C1849" s="421" t="s">
        <v>510</v>
      </c>
      <c r="D1849" s="422" t="s">
        <v>663</v>
      </c>
      <c r="E1849" s="111">
        <v>15070</v>
      </c>
      <c r="F1849" s="421" t="s">
        <v>3056</v>
      </c>
      <c r="G1849" s="112">
        <v>1</v>
      </c>
      <c r="H1849" s="112">
        <v>1</v>
      </c>
      <c r="I1849" s="112">
        <v>1</v>
      </c>
      <c r="K1849" s="112">
        <v>1</v>
      </c>
    </row>
    <row r="1850" spans="1:15" x14ac:dyDescent="0.2">
      <c r="A1850" s="111">
        <v>1909</v>
      </c>
      <c r="B1850" s="421" t="s">
        <v>36</v>
      </c>
      <c r="C1850" s="421" t="s">
        <v>516</v>
      </c>
      <c r="D1850" s="422" t="s">
        <v>663</v>
      </c>
      <c r="E1850" s="111">
        <v>15072</v>
      </c>
      <c r="F1850" s="421" t="s">
        <v>3057</v>
      </c>
      <c r="G1850" s="112">
        <v>1</v>
      </c>
      <c r="H1850" s="112">
        <v>1</v>
      </c>
      <c r="I1850" s="112">
        <v>1</v>
      </c>
      <c r="J1850" s="112">
        <v>3</v>
      </c>
      <c r="K1850" s="112">
        <v>3</v>
      </c>
      <c r="L1850" s="112">
        <v>3</v>
      </c>
      <c r="M1850" s="112">
        <v>3</v>
      </c>
      <c r="N1850" s="112">
        <v>2</v>
      </c>
      <c r="O1850" s="112">
        <v>2</v>
      </c>
    </row>
    <row r="1851" spans="1:15" x14ac:dyDescent="0.2">
      <c r="A1851" s="111">
        <v>1910</v>
      </c>
      <c r="B1851" s="421" t="s">
        <v>3058</v>
      </c>
      <c r="C1851" s="421" t="s">
        <v>510</v>
      </c>
      <c r="D1851" s="422" t="s">
        <v>663</v>
      </c>
      <c r="E1851" s="111">
        <v>15063</v>
      </c>
      <c r="F1851" s="421" t="s">
        <v>3059</v>
      </c>
      <c r="G1851" s="112">
        <v>1</v>
      </c>
      <c r="H1851" s="112">
        <v>1</v>
      </c>
      <c r="I1851" s="112">
        <v>1</v>
      </c>
      <c r="J1851" s="112">
        <v>5</v>
      </c>
      <c r="K1851" s="112">
        <v>5</v>
      </c>
      <c r="L1851" s="112">
        <v>5</v>
      </c>
      <c r="M1851" s="112">
        <v>1</v>
      </c>
    </row>
    <row r="1852" spans="1:15" x14ac:dyDescent="0.2">
      <c r="A1852" s="111">
        <v>1911</v>
      </c>
      <c r="B1852" s="421" t="s">
        <v>2247</v>
      </c>
      <c r="C1852" s="421" t="s">
        <v>551</v>
      </c>
      <c r="D1852" s="422" t="s">
        <v>666</v>
      </c>
      <c r="E1852" s="111">
        <v>15064</v>
      </c>
      <c r="F1852" s="421" t="s">
        <v>3060</v>
      </c>
      <c r="G1852" s="112">
        <v>1</v>
      </c>
      <c r="H1852" s="112">
        <v>1</v>
      </c>
      <c r="I1852" s="112">
        <v>1</v>
      </c>
      <c r="J1852" s="112">
        <v>2</v>
      </c>
      <c r="K1852" s="112">
        <v>2</v>
      </c>
      <c r="L1852" s="112">
        <v>2</v>
      </c>
      <c r="M1852" s="112">
        <v>3</v>
      </c>
      <c r="N1852" s="112">
        <v>1</v>
      </c>
      <c r="O1852" s="112">
        <v>2</v>
      </c>
    </row>
    <row r="1853" spans="1:15" x14ac:dyDescent="0.2">
      <c r="A1853" s="111">
        <v>1912</v>
      </c>
      <c r="B1853" s="421" t="s">
        <v>159</v>
      </c>
      <c r="C1853" s="421" t="s">
        <v>547</v>
      </c>
      <c r="D1853" s="422" t="s">
        <v>663</v>
      </c>
      <c r="E1853" s="111">
        <v>15050</v>
      </c>
      <c r="F1853" s="421" t="s">
        <v>3037</v>
      </c>
      <c r="G1853" s="112">
        <v>1</v>
      </c>
      <c r="H1853" s="112">
        <v>2</v>
      </c>
      <c r="I1853" s="112">
        <v>2</v>
      </c>
      <c r="J1853" s="112">
        <v>1</v>
      </c>
      <c r="K1853" s="112">
        <v>1</v>
      </c>
    </row>
    <row r="1854" spans="1:15" x14ac:dyDescent="0.2">
      <c r="A1854" s="111">
        <v>1913</v>
      </c>
      <c r="B1854" s="421" t="s">
        <v>3061</v>
      </c>
      <c r="C1854" s="421" t="s">
        <v>528</v>
      </c>
      <c r="D1854" s="422" t="s">
        <v>666</v>
      </c>
      <c r="F1854" s="421" t="s">
        <v>3062</v>
      </c>
      <c r="G1854" s="112">
        <v>1</v>
      </c>
      <c r="H1854" s="112">
        <v>1</v>
      </c>
    </row>
    <row r="1855" spans="1:15" x14ac:dyDescent="0.2">
      <c r="A1855" s="111">
        <v>1914</v>
      </c>
      <c r="B1855" s="421" t="s">
        <v>116</v>
      </c>
      <c r="C1855" s="421" t="s">
        <v>501</v>
      </c>
      <c r="D1855" s="422" t="s">
        <v>663</v>
      </c>
      <c r="F1855" s="421" t="s">
        <v>3063</v>
      </c>
      <c r="G1855" s="112">
        <v>1</v>
      </c>
      <c r="H1855" s="112">
        <v>1</v>
      </c>
    </row>
    <row r="1856" spans="1:15" x14ac:dyDescent="0.2">
      <c r="A1856" s="111">
        <v>1915</v>
      </c>
      <c r="B1856" s="421" t="s">
        <v>3044</v>
      </c>
      <c r="C1856" s="421" t="s">
        <v>523</v>
      </c>
      <c r="D1856" s="422" t="s">
        <v>663</v>
      </c>
      <c r="E1856" s="111">
        <v>15065</v>
      </c>
      <c r="F1856" s="421" t="s">
        <v>3053</v>
      </c>
      <c r="G1856" s="112">
        <v>1</v>
      </c>
      <c r="H1856" s="112">
        <v>1</v>
      </c>
      <c r="I1856" s="112">
        <v>1</v>
      </c>
      <c r="J1856" s="112">
        <v>1</v>
      </c>
      <c r="K1856" s="112">
        <v>1</v>
      </c>
    </row>
    <row r="1857" spans="1:15" x14ac:dyDescent="0.2">
      <c r="A1857" s="111">
        <v>1916</v>
      </c>
      <c r="B1857" s="421" t="s">
        <v>139</v>
      </c>
      <c r="C1857" s="421" t="s">
        <v>1870</v>
      </c>
      <c r="D1857" s="422" t="s">
        <v>663</v>
      </c>
      <c r="E1857" s="111">
        <v>14638</v>
      </c>
      <c r="F1857" s="421" t="s">
        <v>8227</v>
      </c>
      <c r="G1857" s="112">
        <v>1</v>
      </c>
      <c r="H1857" s="112">
        <v>2</v>
      </c>
      <c r="I1857" s="112">
        <v>1</v>
      </c>
      <c r="J1857" s="112">
        <v>3</v>
      </c>
      <c r="K1857" s="112">
        <v>3</v>
      </c>
      <c r="L1857" s="112">
        <v>3</v>
      </c>
      <c r="M1857" s="112">
        <v>6</v>
      </c>
      <c r="N1857" s="112">
        <v>2</v>
      </c>
      <c r="O1857" s="112">
        <v>4</v>
      </c>
    </row>
    <row r="1858" spans="1:15" x14ac:dyDescent="0.2">
      <c r="A1858" s="111">
        <v>1917</v>
      </c>
      <c r="B1858" s="421" t="s">
        <v>3067</v>
      </c>
      <c r="C1858" s="421" t="s">
        <v>502</v>
      </c>
      <c r="D1858" s="422" t="s">
        <v>663</v>
      </c>
      <c r="E1858" s="111">
        <v>15067</v>
      </c>
      <c r="F1858" s="421" t="s">
        <v>3068</v>
      </c>
      <c r="G1858" s="112">
        <v>1</v>
      </c>
      <c r="H1858" s="112">
        <v>1</v>
      </c>
      <c r="I1858" s="112">
        <v>1</v>
      </c>
      <c r="J1858" s="112">
        <v>1</v>
      </c>
      <c r="K1858" s="112">
        <v>2</v>
      </c>
    </row>
    <row r="1859" spans="1:15" x14ac:dyDescent="0.2">
      <c r="A1859" s="111">
        <v>1918</v>
      </c>
      <c r="B1859" s="421" t="s">
        <v>3069</v>
      </c>
      <c r="C1859" s="421" t="s">
        <v>3070</v>
      </c>
      <c r="D1859" s="422" t="s">
        <v>666</v>
      </c>
      <c r="E1859" s="111">
        <v>14259</v>
      </c>
      <c r="F1859" s="421" t="s">
        <v>1002</v>
      </c>
      <c r="G1859" s="112">
        <v>1</v>
      </c>
      <c r="H1859" s="112">
        <v>2</v>
      </c>
      <c r="I1859" s="112">
        <v>1</v>
      </c>
    </row>
    <row r="1860" spans="1:15" x14ac:dyDescent="0.2">
      <c r="A1860" s="111">
        <v>1919</v>
      </c>
      <c r="B1860" s="421" t="s">
        <v>2927</v>
      </c>
      <c r="C1860" s="421" t="s">
        <v>532</v>
      </c>
      <c r="D1860" s="422" t="s">
        <v>663</v>
      </c>
      <c r="E1860" s="111">
        <v>15271</v>
      </c>
      <c r="F1860" s="421" t="s">
        <v>3071</v>
      </c>
      <c r="G1860" s="112">
        <v>1</v>
      </c>
      <c r="H1860" s="112">
        <v>1</v>
      </c>
    </row>
    <row r="1861" spans="1:15" x14ac:dyDescent="0.2">
      <c r="A1861" s="111">
        <v>1920</v>
      </c>
      <c r="B1861" s="421" t="s">
        <v>3121</v>
      </c>
      <c r="C1861" s="421" t="s">
        <v>501</v>
      </c>
      <c r="D1861" s="422" t="s">
        <v>666</v>
      </c>
      <c r="F1861" s="421" t="s">
        <v>3122</v>
      </c>
    </row>
    <row r="1862" spans="1:15" x14ac:dyDescent="0.2">
      <c r="A1862" s="111">
        <v>1921</v>
      </c>
      <c r="B1862" s="421" t="s">
        <v>3072</v>
      </c>
      <c r="C1862" s="421" t="s">
        <v>551</v>
      </c>
      <c r="D1862" s="422" t="s">
        <v>663</v>
      </c>
      <c r="E1862" s="111">
        <v>15281</v>
      </c>
      <c r="F1862" s="421" t="s">
        <v>3073</v>
      </c>
      <c r="G1862" s="112">
        <v>1</v>
      </c>
      <c r="H1862" s="112">
        <v>1</v>
      </c>
      <c r="I1862" s="112">
        <v>1</v>
      </c>
      <c r="J1862" s="112">
        <v>14</v>
      </c>
      <c r="K1862" s="112">
        <v>14</v>
      </c>
      <c r="L1862" s="112">
        <v>12</v>
      </c>
      <c r="M1862" s="112">
        <v>8</v>
      </c>
      <c r="N1862" s="112">
        <v>5</v>
      </c>
      <c r="O1862" s="112">
        <v>10</v>
      </c>
    </row>
    <row r="1863" spans="1:15" x14ac:dyDescent="0.2">
      <c r="A1863" s="111">
        <v>1922</v>
      </c>
      <c r="B1863" s="421" t="s">
        <v>3074</v>
      </c>
      <c r="C1863" s="421" t="s">
        <v>534</v>
      </c>
      <c r="D1863" s="422" t="s">
        <v>666</v>
      </c>
      <c r="E1863" s="111">
        <v>14511</v>
      </c>
      <c r="F1863" s="421" t="s">
        <v>3075</v>
      </c>
    </row>
    <row r="1864" spans="1:15" x14ac:dyDescent="0.2">
      <c r="A1864" s="111">
        <v>1923</v>
      </c>
      <c r="B1864" s="421" t="s">
        <v>206</v>
      </c>
      <c r="C1864" s="421" t="s">
        <v>503</v>
      </c>
      <c r="D1864" s="422" t="s">
        <v>663</v>
      </c>
      <c r="E1864" s="111">
        <v>1417</v>
      </c>
      <c r="F1864" s="421" t="s">
        <v>768</v>
      </c>
      <c r="G1864" s="112">
        <v>2</v>
      </c>
      <c r="H1864" s="112">
        <v>2</v>
      </c>
      <c r="I1864" s="112">
        <v>1</v>
      </c>
      <c r="J1864" s="112">
        <v>1</v>
      </c>
      <c r="K1864" s="112">
        <v>1</v>
      </c>
      <c r="L1864" s="112">
        <v>1</v>
      </c>
    </row>
    <row r="1865" spans="1:15" x14ac:dyDescent="0.2">
      <c r="A1865" s="111">
        <v>1925</v>
      </c>
      <c r="B1865" s="421" t="s">
        <v>1630</v>
      </c>
      <c r="C1865" s="421" t="s">
        <v>501</v>
      </c>
      <c r="D1865" s="422" t="s">
        <v>663</v>
      </c>
      <c r="E1865" s="111">
        <v>15071</v>
      </c>
      <c r="F1865" s="421" t="s">
        <v>3123</v>
      </c>
      <c r="G1865" s="112">
        <v>2</v>
      </c>
      <c r="H1865" s="112">
        <v>1</v>
      </c>
      <c r="I1865" s="112">
        <v>2</v>
      </c>
      <c r="J1865" s="112">
        <v>8</v>
      </c>
      <c r="K1865" s="112">
        <v>7</v>
      </c>
      <c r="L1865" s="112">
        <v>7</v>
      </c>
      <c r="M1865" s="112">
        <v>6</v>
      </c>
      <c r="N1865" s="112">
        <v>3</v>
      </c>
      <c r="O1865" s="112">
        <v>4</v>
      </c>
    </row>
    <row r="1866" spans="1:15" x14ac:dyDescent="0.2">
      <c r="A1866" s="111">
        <v>1926</v>
      </c>
      <c r="B1866" s="421" t="s">
        <v>3076</v>
      </c>
      <c r="C1866" s="421" t="s">
        <v>510</v>
      </c>
      <c r="D1866" s="422" t="s">
        <v>663</v>
      </c>
      <c r="F1866" s="421" t="s">
        <v>3077</v>
      </c>
    </row>
    <row r="1867" spans="1:15" x14ac:dyDescent="0.2">
      <c r="A1867" s="111">
        <v>1927</v>
      </c>
      <c r="B1867" s="421" t="s">
        <v>3078</v>
      </c>
      <c r="C1867" s="421" t="s">
        <v>532</v>
      </c>
      <c r="D1867" s="422" t="s">
        <v>663</v>
      </c>
      <c r="E1867" s="111">
        <v>15604</v>
      </c>
      <c r="F1867" s="421" t="s">
        <v>3079</v>
      </c>
      <c r="G1867" s="112">
        <v>1</v>
      </c>
      <c r="H1867" s="112">
        <v>1</v>
      </c>
      <c r="I1867" s="112">
        <v>1</v>
      </c>
      <c r="J1867" s="112">
        <v>3</v>
      </c>
      <c r="K1867" s="112">
        <v>3</v>
      </c>
      <c r="L1867" s="112">
        <v>3</v>
      </c>
      <c r="M1867" s="112">
        <v>4</v>
      </c>
      <c r="N1867" s="112">
        <v>2</v>
      </c>
      <c r="O1867" s="112">
        <v>2</v>
      </c>
    </row>
    <row r="1868" spans="1:15" x14ac:dyDescent="0.2">
      <c r="A1868" s="111">
        <v>1928</v>
      </c>
      <c r="B1868" s="421" t="s">
        <v>3080</v>
      </c>
      <c r="C1868" s="421" t="s">
        <v>532</v>
      </c>
      <c r="D1868" s="422" t="s">
        <v>663</v>
      </c>
      <c r="E1868" s="111">
        <v>15604</v>
      </c>
      <c r="F1868" s="421" t="s">
        <v>3079</v>
      </c>
    </row>
    <row r="1869" spans="1:15" x14ac:dyDescent="0.2">
      <c r="A1869" s="111">
        <v>1929</v>
      </c>
      <c r="B1869" s="421" t="s">
        <v>3081</v>
      </c>
      <c r="C1869" s="421" t="s">
        <v>4162</v>
      </c>
      <c r="D1869" s="422" t="s">
        <v>663</v>
      </c>
      <c r="E1869" s="111">
        <v>15604</v>
      </c>
      <c r="F1869" s="421" t="s">
        <v>3079</v>
      </c>
      <c r="G1869" s="112">
        <v>1</v>
      </c>
      <c r="H1869" s="112">
        <v>1</v>
      </c>
      <c r="I1869" s="112">
        <v>1</v>
      </c>
      <c r="J1869" s="112">
        <v>1</v>
      </c>
      <c r="K1869" s="112">
        <v>1</v>
      </c>
      <c r="L1869" s="112">
        <v>1</v>
      </c>
    </row>
    <row r="1870" spans="1:15" x14ac:dyDescent="0.2">
      <c r="A1870" s="111">
        <v>1930</v>
      </c>
      <c r="B1870" s="421" t="s">
        <v>3082</v>
      </c>
      <c r="C1870" s="421" t="s">
        <v>586</v>
      </c>
      <c r="D1870" s="422" t="s">
        <v>666</v>
      </c>
      <c r="E1870" s="111">
        <v>15094</v>
      </c>
      <c r="F1870" s="421" t="s">
        <v>3083</v>
      </c>
      <c r="G1870" s="112">
        <v>1</v>
      </c>
      <c r="H1870" s="112">
        <v>1</v>
      </c>
      <c r="I1870" s="112">
        <v>1</v>
      </c>
      <c r="J1870" s="112">
        <v>1</v>
      </c>
      <c r="K1870" s="112">
        <v>1</v>
      </c>
      <c r="L1870" s="112">
        <v>1</v>
      </c>
      <c r="M1870" s="112">
        <v>1</v>
      </c>
      <c r="O1870" s="112">
        <v>1</v>
      </c>
    </row>
    <row r="1871" spans="1:15" x14ac:dyDescent="0.2">
      <c r="A1871" s="111">
        <v>1931</v>
      </c>
      <c r="B1871" s="421" t="s">
        <v>3084</v>
      </c>
      <c r="C1871" s="421" t="s">
        <v>534</v>
      </c>
      <c r="D1871" s="422" t="s">
        <v>666</v>
      </c>
      <c r="E1871" s="111">
        <v>14184</v>
      </c>
      <c r="F1871" s="421" t="s">
        <v>885</v>
      </c>
      <c r="G1871" s="112">
        <v>1</v>
      </c>
      <c r="H1871" s="112">
        <v>1</v>
      </c>
      <c r="I1871" s="112">
        <v>1</v>
      </c>
      <c r="J1871" s="112">
        <v>7</v>
      </c>
      <c r="K1871" s="112">
        <v>7</v>
      </c>
      <c r="L1871" s="112">
        <v>7</v>
      </c>
      <c r="M1871" s="112">
        <v>5</v>
      </c>
      <c r="N1871" s="112">
        <v>3</v>
      </c>
      <c r="O1871" s="112">
        <v>4</v>
      </c>
    </row>
    <row r="1872" spans="1:15" x14ac:dyDescent="0.2">
      <c r="A1872" s="111">
        <v>1932</v>
      </c>
      <c r="B1872" s="421" t="s">
        <v>1509</v>
      </c>
      <c r="C1872" s="421" t="s">
        <v>507</v>
      </c>
      <c r="D1872" s="422" t="s">
        <v>666</v>
      </c>
      <c r="E1872" s="111">
        <v>15074</v>
      </c>
      <c r="F1872" s="421" t="s">
        <v>3085</v>
      </c>
    </row>
    <row r="1873" spans="1:15" x14ac:dyDescent="0.2">
      <c r="A1873" s="111">
        <v>1933</v>
      </c>
      <c r="B1873" s="421" t="s">
        <v>3086</v>
      </c>
      <c r="C1873" s="421" t="s">
        <v>2340</v>
      </c>
      <c r="D1873" s="422" t="s">
        <v>663</v>
      </c>
      <c r="E1873" s="111">
        <v>15075</v>
      </c>
      <c r="F1873" s="421" t="s">
        <v>3087</v>
      </c>
      <c r="G1873" s="112">
        <v>1</v>
      </c>
      <c r="H1873" s="112">
        <v>1</v>
      </c>
      <c r="I1873" s="112">
        <v>1</v>
      </c>
      <c r="J1873" s="112">
        <v>7</v>
      </c>
      <c r="K1873" s="112">
        <v>7</v>
      </c>
      <c r="L1873" s="112">
        <v>7</v>
      </c>
      <c r="M1873" s="112">
        <v>5</v>
      </c>
      <c r="N1873" s="112">
        <v>4</v>
      </c>
      <c r="O1873" s="112">
        <v>6</v>
      </c>
    </row>
    <row r="1874" spans="1:15" x14ac:dyDescent="0.2">
      <c r="A1874" s="111">
        <v>1934</v>
      </c>
      <c r="B1874" s="421" t="s">
        <v>206</v>
      </c>
      <c r="C1874" s="421" t="s">
        <v>514</v>
      </c>
      <c r="D1874" s="422" t="s">
        <v>663</v>
      </c>
      <c r="E1874" s="111">
        <v>14559</v>
      </c>
      <c r="F1874" s="421" t="s">
        <v>1685</v>
      </c>
      <c r="G1874" s="112">
        <v>2</v>
      </c>
      <c r="H1874" s="112">
        <v>2</v>
      </c>
      <c r="I1874" s="112">
        <v>1</v>
      </c>
      <c r="J1874" s="112">
        <v>1</v>
      </c>
      <c r="K1874" s="112">
        <v>1</v>
      </c>
      <c r="L1874" s="112">
        <v>1</v>
      </c>
    </row>
    <row r="1875" spans="1:15" x14ac:dyDescent="0.2">
      <c r="A1875" s="111">
        <v>1935</v>
      </c>
      <c r="B1875" s="421" t="s">
        <v>3088</v>
      </c>
      <c r="C1875" s="421" t="s">
        <v>514</v>
      </c>
      <c r="D1875" s="422" t="s">
        <v>663</v>
      </c>
      <c r="E1875" s="111">
        <v>14559</v>
      </c>
      <c r="F1875" s="421" t="s">
        <v>1685</v>
      </c>
      <c r="G1875" s="112">
        <v>1</v>
      </c>
      <c r="H1875" s="112">
        <v>1</v>
      </c>
      <c r="I1875" s="112">
        <v>1</v>
      </c>
      <c r="J1875" s="112">
        <v>4</v>
      </c>
      <c r="K1875" s="112">
        <v>4</v>
      </c>
      <c r="L1875" s="112">
        <v>1</v>
      </c>
      <c r="M1875" s="112">
        <v>3</v>
      </c>
      <c r="N1875" s="112">
        <v>1</v>
      </c>
      <c r="O1875" s="112">
        <v>1</v>
      </c>
    </row>
    <row r="1876" spans="1:15" x14ac:dyDescent="0.2">
      <c r="A1876" s="111">
        <v>1936</v>
      </c>
      <c r="B1876" s="421" t="s">
        <v>3089</v>
      </c>
      <c r="C1876" s="421" t="s">
        <v>513</v>
      </c>
      <c r="D1876" s="422" t="s">
        <v>666</v>
      </c>
      <c r="E1876" s="111">
        <v>15089</v>
      </c>
      <c r="F1876" s="421" t="s">
        <v>3090</v>
      </c>
      <c r="G1876" s="112">
        <v>1</v>
      </c>
      <c r="H1876" s="112">
        <v>1</v>
      </c>
      <c r="I1876" s="112">
        <v>1</v>
      </c>
      <c r="J1876" s="112">
        <v>4</v>
      </c>
      <c r="K1876" s="112">
        <v>4</v>
      </c>
      <c r="L1876" s="112">
        <v>4</v>
      </c>
      <c r="M1876" s="112">
        <v>1</v>
      </c>
    </row>
    <row r="1877" spans="1:15" x14ac:dyDescent="0.2">
      <c r="A1877" s="111">
        <v>1938</v>
      </c>
      <c r="B1877" s="421" t="s">
        <v>3091</v>
      </c>
      <c r="C1877" s="421" t="s">
        <v>513</v>
      </c>
      <c r="D1877" s="422" t="s">
        <v>663</v>
      </c>
      <c r="E1877" s="111">
        <v>15089</v>
      </c>
      <c r="F1877" s="421" t="s">
        <v>3090</v>
      </c>
    </row>
    <row r="1878" spans="1:15" x14ac:dyDescent="0.2">
      <c r="A1878" s="111">
        <v>1939</v>
      </c>
      <c r="B1878" s="421" t="s">
        <v>1942</v>
      </c>
      <c r="C1878" s="421" t="s">
        <v>1908</v>
      </c>
      <c r="D1878" s="422" t="s">
        <v>663</v>
      </c>
      <c r="E1878" s="111">
        <v>15830</v>
      </c>
      <c r="F1878" s="421" t="s">
        <v>3092</v>
      </c>
    </row>
    <row r="1879" spans="1:15" x14ac:dyDescent="0.2">
      <c r="A1879" s="111">
        <v>1941</v>
      </c>
      <c r="B1879" s="421" t="s">
        <v>45</v>
      </c>
      <c r="C1879" s="421" t="s">
        <v>501</v>
      </c>
      <c r="D1879" s="422" t="s">
        <v>666</v>
      </c>
      <c r="E1879" s="111">
        <v>15076</v>
      </c>
      <c r="F1879" s="421" t="s">
        <v>3093</v>
      </c>
      <c r="G1879" s="112">
        <v>1</v>
      </c>
      <c r="H1879" s="112">
        <v>1</v>
      </c>
      <c r="I1879" s="112">
        <v>1</v>
      </c>
    </row>
    <row r="1880" spans="1:15" x14ac:dyDescent="0.2">
      <c r="A1880" s="111">
        <v>1942</v>
      </c>
      <c r="B1880" s="421" t="s">
        <v>2013</v>
      </c>
      <c r="C1880" s="421" t="s">
        <v>514</v>
      </c>
      <c r="D1880" s="422" t="s">
        <v>666</v>
      </c>
      <c r="E1880" s="111">
        <v>141</v>
      </c>
      <c r="F1880" s="421" t="s">
        <v>966</v>
      </c>
      <c r="G1880" s="112">
        <v>3</v>
      </c>
      <c r="H1880" s="112">
        <v>1</v>
      </c>
      <c r="I1880" s="112">
        <v>3</v>
      </c>
      <c r="J1880" s="112">
        <v>7</v>
      </c>
      <c r="K1880" s="112">
        <v>7</v>
      </c>
      <c r="L1880" s="112">
        <v>7</v>
      </c>
      <c r="M1880" s="112">
        <v>6</v>
      </c>
      <c r="N1880" s="112">
        <v>3</v>
      </c>
      <c r="O1880" s="112">
        <v>3</v>
      </c>
    </row>
    <row r="1881" spans="1:15" x14ac:dyDescent="0.2">
      <c r="A1881" s="111">
        <v>1943</v>
      </c>
      <c r="B1881" s="421" t="s">
        <v>2436</v>
      </c>
      <c r="C1881" s="421" t="s">
        <v>510</v>
      </c>
      <c r="D1881" s="422" t="s">
        <v>663</v>
      </c>
      <c r="F1881" s="421" t="s">
        <v>2931</v>
      </c>
      <c r="G1881" s="112">
        <v>1</v>
      </c>
      <c r="H1881" s="112">
        <v>1</v>
      </c>
      <c r="I1881" s="112">
        <v>1</v>
      </c>
      <c r="J1881" s="112">
        <v>3</v>
      </c>
      <c r="K1881" s="112">
        <v>3</v>
      </c>
      <c r="L1881" s="112">
        <v>2</v>
      </c>
      <c r="M1881" s="112">
        <v>1</v>
      </c>
      <c r="N1881" s="112">
        <v>2</v>
      </c>
      <c r="O1881" s="112">
        <v>1</v>
      </c>
    </row>
    <row r="1882" spans="1:15" x14ac:dyDescent="0.2">
      <c r="A1882" s="111">
        <v>1945</v>
      </c>
      <c r="B1882" s="421" t="s">
        <v>2204</v>
      </c>
      <c r="C1882" s="421" t="s">
        <v>547</v>
      </c>
      <c r="D1882" s="422" t="s">
        <v>666</v>
      </c>
      <c r="E1882" s="111">
        <v>15144</v>
      </c>
      <c r="F1882" s="421" t="s">
        <v>3094</v>
      </c>
      <c r="G1882" s="112">
        <v>1</v>
      </c>
      <c r="H1882" s="112">
        <v>1</v>
      </c>
      <c r="I1882" s="112">
        <v>1</v>
      </c>
      <c r="J1882" s="112">
        <v>4</v>
      </c>
      <c r="K1882" s="112">
        <v>3</v>
      </c>
      <c r="L1882" s="112">
        <v>4</v>
      </c>
      <c r="M1882" s="112">
        <v>2</v>
      </c>
      <c r="N1882" s="112">
        <v>1</v>
      </c>
      <c r="O1882" s="112">
        <v>1</v>
      </c>
    </row>
    <row r="1883" spans="1:15" x14ac:dyDescent="0.2">
      <c r="A1883" s="111">
        <v>1946</v>
      </c>
      <c r="B1883" s="421" t="s">
        <v>3095</v>
      </c>
      <c r="C1883" s="421" t="s">
        <v>512</v>
      </c>
      <c r="D1883" s="422" t="s">
        <v>666</v>
      </c>
      <c r="E1883" s="111">
        <v>15077</v>
      </c>
      <c r="F1883" s="421" t="s">
        <v>3096</v>
      </c>
      <c r="G1883" s="112">
        <v>1</v>
      </c>
      <c r="H1883" s="112">
        <v>1</v>
      </c>
      <c r="I1883" s="112">
        <v>1</v>
      </c>
      <c r="J1883" s="112">
        <v>9</v>
      </c>
      <c r="K1883" s="112">
        <v>11</v>
      </c>
      <c r="L1883" s="112">
        <v>12</v>
      </c>
      <c r="M1883" s="112">
        <v>3</v>
      </c>
      <c r="N1883" s="112">
        <v>3</v>
      </c>
      <c r="O1883" s="112">
        <v>4</v>
      </c>
    </row>
    <row r="1884" spans="1:15" x14ac:dyDescent="0.2">
      <c r="A1884" s="111">
        <v>1947</v>
      </c>
      <c r="B1884" s="421" t="s">
        <v>3097</v>
      </c>
      <c r="C1884" s="421" t="s">
        <v>574</v>
      </c>
      <c r="D1884" s="422" t="s">
        <v>666</v>
      </c>
      <c r="E1884" s="111">
        <v>15077</v>
      </c>
      <c r="F1884" s="421" t="s">
        <v>3096</v>
      </c>
      <c r="G1884" s="112">
        <v>3</v>
      </c>
      <c r="H1884" s="112">
        <v>3</v>
      </c>
      <c r="I1884" s="112">
        <v>1</v>
      </c>
      <c r="J1884" s="112">
        <v>8</v>
      </c>
      <c r="K1884" s="112">
        <v>7</v>
      </c>
      <c r="L1884" s="112">
        <v>7</v>
      </c>
      <c r="M1884" s="112">
        <v>6</v>
      </c>
      <c r="N1884" s="112">
        <v>5</v>
      </c>
      <c r="O1884" s="112">
        <v>8</v>
      </c>
    </row>
    <row r="1885" spans="1:15" x14ac:dyDescent="0.2">
      <c r="A1885" s="111">
        <v>1948</v>
      </c>
      <c r="B1885" s="421" t="s">
        <v>3098</v>
      </c>
      <c r="C1885" s="421" t="s">
        <v>556</v>
      </c>
      <c r="D1885" s="422" t="s">
        <v>663</v>
      </c>
      <c r="E1885" s="111">
        <v>15079</v>
      </c>
      <c r="F1885" s="421" t="s">
        <v>3099</v>
      </c>
      <c r="G1885" s="112">
        <v>1</v>
      </c>
      <c r="H1885" s="112">
        <v>1</v>
      </c>
      <c r="I1885" s="112">
        <v>1</v>
      </c>
    </row>
    <row r="1886" spans="1:15" x14ac:dyDescent="0.2">
      <c r="A1886" s="111">
        <v>1949</v>
      </c>
      <c r="B1886" s="421" t="s">
        <v>3100</v>
      </c>
      <c r="C1886" s="421" t="s">
        <v>556</v>
      </c>
      <c r="D1886" s="422" t="s">
        <v>666</v>
      </c>
      <c r="E1886" s="111">
        <v>15079</v>
      </c>
      <c r="F1886" s="421" t="s">
        <v>3099</v>
      </c>
      <c r="G1886" s="112">
        <v>1</v>
      </c>
      <c r="H1886" s="112">
        <v>1</v>
      </c>
      <c r="I1886" s="112">
        <v>1</v>
      </c>
    </row>
    <row r="1887" spans="1:15" x14ac:dyDescent="0.2">
      <c r="A1887" s="111">
        <v>1951</v>
      </c>
      <c r="B1887" s="421" t="s">
        <v>3101</v>
      </c>
      <c r="C1887" s="421" t="s">
        <v>523</v>
      </c>
      <c r="D1887" s="422" t="s">
        <v>663</v>
      </c>
      <c r="E1887" s="111">
        <v>15081</v>
      </c>
      <c r="F1887" s="421" t="s">
        <v>3102</v>
      </c>
      <c r="G1887" s="112">
        <v>1</v>
      </c>
      <c r="H1887" s="112">
        <v>1</v>
      </c>
      <c r="I1887" s="112">
        <v>1</v>
      </c>
      <c r="J1887" s="112">
        <v>1</v>
      </c>
      <c r="K1887" s="112">
        <v>1</v>
      </c>
      <c r="L1887" s="112">
        <v>1</v>
      </c>
    </row>
    <row r="1888" spans="1:15" x14ac:dyDescent="0.2">
      <c r="A1888" s="111">
        <v>1952</v>
      </c>
      <c r="B1888" s="421" t="s">
        <v>3103</v>
      </c>
      <c r="C1888" s="421" t="s">
        <v>523</v>
      </c>
      <c r="D1888" s="422" t="s">
        <v>666</v>
      </c>
      <c r="E1888" s="111">
        <v>15081</v>
      </c>
      <c r="F1888" s="421" t="s">
        <v>3102</v>
      </c>
      <c r="G1888" s="112">
        <v>1</v>
      </c>
      <c r="H1888" s="112">
        <v>1</v>
      </c>
      <c r="I1888" s="112">
        <v>1</v>
      </c>
      <c r="J1888" s="112">
        <v>1</v>
      </c>
      <c r="K1888" s="112">
        <v>1</v>
      </c>
    </row>
    <row r="1889" spans="1:15" x14ac:dyDescent="0.2">
      <c r="A1889" s="111">
        <v>1953</v>
      </c>
      <c r="B1889" s="421" t="s">
        <v>3104</v>
      </c>
      <c r="C1889" s="421" t="s">
        <v>507</v>
      </c>
      <c r="D1889" s="422" t="s">
        <v>663</v>
      </c>
      <c r="E1889" s="111">
        <v>14558</v>
      </c>
      <c r="F1889" s="421" t="s">
        <v>1683</v>
      </c>
      <c r="G1889" s="112">
        <v>2</v>
      </c>
      <c r="H1889" s="112">
        <v>3</v>
      </c>
      <c r="I1889" s="112">
        <v>2</v>
      </c>
      <c r="J1889" s="112">
        <v>4</v>
      </c>
      <c r="K1889" s="112">
        <v>1</v>
      </c>
      <c r="L1889" s="112">
        <v>2</v>
      </c>
    </row>
    <row r="1890" spans="1:15" x14ac:dyDescent="0.2">
      <c r="A1890" s="111">
        <v>1955</v>
      </c>
      <c r="B1890" s="421" t="s">
        <v>3105</v>
      </c>
      <c r="C1890" s="421" t="s">
        <v>506</v>
      </c>
      <c r="D1890" s="422" t="s">
        <v>666</v>
      </c>
      <c r="E1890" s="111">
        <v>15083</v>
      </c>
      <c r="F1890" s="421" t="s">
        <v>3106</v>
      </c>
      <c r="G1890" s="112">
        <v>4</v>
      </c>
      <c r="H1890" s="112">
        <v>1</v>
      </c>
      <c r="I1890" s="112">
        <v>3</v>
      </c>
      <c r="J1890" s="112">
        <v>16</v>
      </c>
      <c r="K1890" s="112">
        <v>8</v>
      </c>
      <c r="L1890" s="112">
        <v>7</v>
      </c>
      <c r="M1890" s="112">
        <v>2</v>
      </c>
      <c r="N1890" s="112">
        <v>1</v>
      </c>
      <c r="O1890" s="112">
        <v>1</v>
      </c>
    </row>
    <row r="1891" spans="1:15" x14ac:dyDescent="0.2">
      <c r="A1891" s="111">
        <v>1957</v>
      </c>
      <c r="B1891" s="421" t="s">
        <v>1480</v>
      </c>
      <c r="C1891" s="421" t="s">
        <v>1870</v>
      </c>
      <c r="D1891" s="422" t="s">
        <v>666</v>
      </c>
      <c r="E1891" s="111">
        <v>15085</v>
      </c>
      <c r="F1891" s="421" t="s">
        <v>3107</v>
      </c>
      <c r="H1891" s="112">
        <v>1</v>
      </c>
    </row>
    <row r="1892" spans="1:15" x14ac:dyDescent="0.2">
      <c r="A1892" s="111">
        <v>1958</v>
      </c>
      <c r="B1892" s="421" t="s">
        <v>2173</v>
      </c>
      <c r="C1892" s="421" t="s">
        <v>533</v>
      </c>
      <c r="D1892" s="422" t="s">
        <v>666</v>
      </c>
      <c r="E1892" s="111">
        <v>15086</v>
      </c>
      <c r="F1892" s="421" t="s">
        <v>3108</v>
      </c>
      <c r="G1892" s="112">
        <v>1</v>
      </c>
      <c r="H1892" s="112">
        <v>1</v>
      </c>
      <c r="I1892" s="112">
        <v>1</v>
      </c>
      <c r="J1892" s="112">
        <v>1</v>
      </c>
    </row>
    <row r="1893" spans="1:15" x14ac:dyDescent="0.2">
      <c r="A1893" s="111">
        <v>1959</v>
      </c>
      <c r="B1893" s="421" t="s">
        <v>3124</v>
      </c>
      <c r="C1893" s="421" t="s">
        <v>501</v>
      </c>
      <c r="D1893" s="422" t="s">
        <v>666</v>
      </c>
      <c r="E1893" s="111">
        <v>15087</v>
      </c>
      <c r="F1893" s="421" t="s">
        <v>3125</v>
      </c>
      <c r="G1893" s="112">
        <v>2</v>
      </c>
      <c r="H1893" s="112">
        <v>1</v>
      </c>
      <c r="I1893" s="112">
        <v>2</v>
      </c>
      <c r="J1893" s="112">
        <v>2</v>
      </c>
      <c r="K1893" s="112">
        <v>2</v>
      </c>
      <c r="L1893" s="112">
        <v>1</v>
      </c>
    </row>
    <row r="1894" spans="1:15" x14ac:dyDescent="0.2">
      <c r="A1894" s="111">
        <v>1960</v>
      </c>
      <c r="B1894" s="421" t="s">
        <v>3126</v>
      </c>
      <c r="C1894" s="421" t="s">
        <v>501</v>
      </c>
      <c r="D1894" s="422" t="s">
        <v>666</v>
      </c>
      <c r="F1894" s="421" t="s">
        <v>3127</v>
      </c>
    </row>
    <row r="1895" spans="1:15" x14ac:dyDescent="0.2">
      <c r="A1895" s="111">
        <v>1961</v>
      </c>
      <c r="B1895" s="421" t="s">
        <v>3109</v>
      </c>
      <c r="C1895" s="421" t="s">
        <v>3110</v>
      </c>
      <c r="D1895" s="422" t="s">
        <v>663</v>
      </c>
      <c r="E1895" s="111">
        <v>15090</v>
      </c>
      <c r="F1895" s="421" t="s">
        <v>3111</v>
      </c>
      <c r="G1895" s="112">
        <v>1</v>
      </c>
    </row>
    <row r="1896" spans="1:15" x14ac:dyDescent="0.2">
      <c r="A1896" s="111">
        <v>1963</v>
      </c>
      <c r="B1896" s="421" t="s">
        <v>3112</v>
      </c>
      <c r="C1896" s="421" t="s">
        <v>510</v>
      </c>
      <c r="D1896" s="422" t="s">
        <v>663</v>
      </c>
      <c r="E1896" s="111">
        <v>15461</v>
      </c>
      <c r="F1896" s="421" t="s">
        <v>8745</v>
      </c>
      <c r="G1896" s="112">
        <v>1</v>
      </c>
      <c r="H1896" s="112">
        <v>1</v>
      </c>
      <c r="I1896" s="112">
        <v>1</v>
      </c>
      <c r="J1896" s="112">
        <v>1</v>
      </c>
    </row>
    <row r="1897" spans="1:15" x14ac:dyDescent="0.2">
      <c r="A1897" s="111">
        <v>1964</v>
      </c>
      <c r="B1897" s="421" t="s">
        <v>48</v>
      </c>
      <c r="C1897" s="421" t="s">
        <v>2581</v>
      </c>
      <c r="D1897" s="422" t="s">
        <v>663</v>
      </c>
      <c r="E1897" s="111">
        <v>15477</v>
      </c>
      <c r="F1897" s="421" t="s">
        <v>3113</v>
      </c>
      <c r="G1897" s="112">
        <v>1</v>
      </c>
      <c r="H1897" s="112">
        <v>1</v>
      </c>
      <c r="I1897" s="112">
        <v>1</v>
      </c>
      <c r="J1897" s="112">
        <v>9</v>
      </c>
      <c r="K1897" s="112">
        <v>10</v>
      </c>
      <c r="L1897" s="112">
        <v>9</v>
      </c>
      <c r="M1897" s="112">
        <v>6</v>
      </c>
      <c r="N1897" s="112">
        <v>4</v>
      </c>
      <c r="O1897" s="112">
        <v>5</v>
      </c>
    </row>
    <row r="1898" spans="1:15" x14ac:dyDescent="0.2">
      <c r="A1898" s="111">
        <v>1965</v>
      </c>
      <c r="B1898" s="421" t="s">
        <v>3114</v>
      </c>
      <c r="C1898" s="421" t="s">
        <v>503</v>
      </c>
      <c r="D1898" s="422" t="s">
        <v>663</v>
      </c>
      <c r="F1898" s="421" t="s">
        <v>3115</v>
      </c>
      <c r="G1898" s="112">
        <v>1</v>
      </c>
      <c r="H1898" s="112">
        <v>1</v>
      </c>
      <c r="I1898" s="112">
        <v>1</v>
      </c>
      <c r="J1898" s="112">
        <v>1</v>
      </c>
    </row>
    <row r="1899" spans="1:15" x14ac:dyDescent="0.2">
      <c r="A1899" s="111">
        <v>1966</v>
      </c>
      <c r="B1899" s="421" t="s">
        <v>439</v>
      </c>
      <c r="C1899" s="421" t="s">
        <v>587</v>
      </c>
      <c r="D1899" s="422" t="s">
        <v>663</v>
      </c>
      <c r="E1899" s="111">
        <v>15091</v>
      </c>
      <c r="F1899" s="421" t="s">
        <v>3116</v>
      </c>
    </row>
    <row r="1900" spans="1:15" x14ac:dyDescent="0.2">
      <c r="A1900" s="111">
        <v>1968</v>
      </c>
      <c r="B1900" s="421" t="s">
        <v>3128</v>
      </c>
      <c r="C1900" s="421" t="s">
        <v>501</v>
      </c>
      <c r="D1900" s="422" t="s">
        <v>666</v>
      </c>
      <c r="E1900" s="111">
        <v>15092</v>
      </c>
      <c r="F1900" s="421" t="s">
        <v>3129</v>
      </c>
      <c r="G1900" s="112">
        <v>1</v>
      </c>
      <c r="H1900" s="112">
        <v>1</v>
      </c>
      <c r="I1900" s="112">
        <v>1</v>
      </c>
      <c r="J1900" s="112">
        <v>4</v>
      </c>
      <c r="K1900" s="112">
        <v>3</v>
      </c>
      <c r="L1900" s="112">
        <v>4</v>
      </c>
      <c r="M1900" s="112">
        <v>2</v>
      </c>
      <c r="N1900" s="112">
        <v>1</v>
      </c>
      <c r="O1900" s="112">
        <v>1</v>
      </c>
    </row>
    <row r="1901" spans="1:15" x14ac:dyDescent="0.2">
      <c r="A1901" s="111">
        <v>1969</v>
      </c>
      <c r="B1901" s="421" t="s">
        <v>347</v>
      </c>
      <c r="C1901" s="421" t="s">
        <v>565</v>
      </c>
      <c r="D1901" s="422" t="s">
        <v>663</v>
      </c>
      <c r="E1901" s="111">
        <v>15084</v>
      </c>
      <c r="F1901" s="421" t="s">
        <v>3130</v>
      </c>
      <c r="H1901" s="112">
        <v>2</v>
      </c>
      <c r="I1901" s="112">
        <v>1</v>
      </c>
    </row>
    <row r="1902" spans="1:15" x14ac:dyDescent="0.2">
      <c r="A1902" s="111">
        <v>1970</v>
      </c>
      <c r="B1902" s="421" t="s">
        <v>297</v>
      </c>
      <c r="C1902" s="421" t="s">
        <v>516</v>
      </c>
      <c r="D1902" s="422" t="s">
        <v>663</v>
      </c>
      <c r="E1902" s="111">
        <v>15299</v>
      </c>
      <c r="F1902" s="421" t="s">
        <v>3131</v>
      </c>
      <c r="G1902" s="112">
        <v>1</v>
      </c>
      <c r="H1902" s="112">
        <v>1</v>
      </c>
      <c r="I1902" s="112">
        <v>1</v>
      </c>
      <c r="J1902" s="112">
        <v>1</v>
      </c>
      <c r="K1902" s="112">
        <v>2</v>
      </c>
      <c r="L1902" s="112">
        <v>2</v>
      </c>
    </row>
    <row r="1903" spans="1:15" x14ac:dyDescent="0.2">
      <c r="A1903" s="111">
        <v>1971</v>
      </c>
      <c r="B1903" s="421" t="s">
        <v>3132</v>
      </c>
      <c r="C1903" s="421" t="s">
        <v>581</v>
      </c>
      <c r="D1903" s="422" t="s">
        <v>663</v>
      </c>
      <c r="E1903" s="111">
        <v>15096</v>
      </c>
      <c r="F1903" s="421" t="s">
        <v>3133</v>
      </c>
      <c r="G1903" s="112">
        <v>1</v>
      </c>
      <c r="H1903" s="112">
        <v>1</v>
      </c>
    </row>
    <row r="1904" spans="1:15" x14ac:dyDescent="0.2">
      <c r="A1904" s="111">
        <v>1972</v>
      </c>
      <c r="B1904" s="421" t="s">
        <v>3134</v>
      </c>
      <c r="C1904" s="421" t="s">
        <v>567</v>
      </c>
      <c r="D1904" s="422" t="s">
        <v>666</v>
      </c>
      <c r="E1904" s="111">
        <v>15097</v>
      </c>
      <c r="F1904" s="421" t="s">
        <v>4121</v>
      </c>
      <c r="G1904" s="112">
        <v>1</v>
      </c>
      <c r="H1904" s="112">
        <v>2</v>
      </c>
      <c r="I1904" s="112">
        <v>2</v>
      </c>
      <c r="J1904" s="112">
        <v>4</v>
      </c>
      <c r="K1904" s="112">
        <v>4</v>
      </c>
      <c r="L1904" s="112">
        <v>5</v>
      </c>
      <c r="N1904" s="112">
        <v>1</v>
      </c>
      <c r="O1904" s="112">
        <v>1</v>
      </c>
    </row>
    <row r="1905" spans="1:15" x14ac:dyDescent="0.2">
      <c r="A1905" s="111">
        <v>1973</v>
      </c>
      <c r="B1905" s="421" t="s">
        <v>443</v>
      </c>
      <c r="C1905" s="421" t="s">
        <v>551</v>
      </c>
      <c r="D1905" s="422" t="s">
        <v>663</v>
      </c>
      <c r="E1905" s="111">
        <v>15098</v>
      </c>
      <c r="F1905" s="421" t="s">
        <v>3135</v>
      </c>
      <c r="G1905" s="112">
        <v>1</v>
      </c>
      <c r="H1905" s="112">
        <v>1</v>
      </c>
      <c r="I1905" s="112">
        <v>1</v>
      </c>
      <c r="J1905" s="112">
        <v>3</v>
      </c>
      <c r="K1905" s="112">
        <v>2</v>
      </c>
      <c r="L1905" s="112">
        <v>2</v>
      </c>
      <c r="M1905" s="112">
        <v>7</v>
      </c>
      <c r="N1905" s="112">
        <v>1</v>
      </c>
      <c r="O1905" s="112">
        <v>1</v>
      </c>
    </row>
    <row r="1906" spans="1:15" x14ac:dyDescent="0.2">
      <c r="A1906" s="111">
        <v>1974</v>
      </c>
      <c r="B1906" s="421" t="s">
        <v>3136</v>
      </c>
      <c r="C1906" s="421" t="s">
        <v>554</v>
      </c>
      <c r="D1906" s="422" t="s">
        <v>666</v>
      </c>
      <c r="E1906" s="111">
        <v>14527</v>
      </c>
      <c r="F1906" s="421" t="s">
        <v>3526</v>
      </c>
      <c r="H1906" s="112">
        <v>1</v>
      </c>
    </row>
    <row r="1907" spans="1:15" x14ac:dyDescent="0.2">
      <c r="A1907" s="111">
        <v>1975</v>
      </c>
      <c r="B1907" s="421" t="s">
        <v>3137</v>
      </c>
      <c r="C1907" s="421" t="s">
        <v>533</v>
      </c>
      <c r="D1907" s="422" t="s">
        <v>666</v>
      </c>
      <c r="E1907" s="111">
        <v>15116</v>
      </c>
      <c r="F1907" s="421" t="s">
        <v>3138</v>
      </c>
      <c r="G1907" s="112">
        <v>1</v>
      </c>
      <c r="H1907" s="112">
        <v>1</v>
      </c>
      <c r="I1907" s="112">
        <v>1</v>
      </c>
      <c r="J1907" s="112">
        <v>4</v>
      </c>
      <c r="K1907" s="112">
        <v>8</v>
      </c>
      <c r="L1907" s="112">
        <v>2</v>
      </c>
    </row>
    <row r="1908" spans="1:15" x14ac:dyDescent="0.2">
      <c r="A1908" s="111">
        <v>1977</v>
      </c>
      <c r="B1908" s="421" t="s">
        <v>2813</v>
      </c>
      <c r="C1908" s="421" t="s">
        <v>513</v>
      </c>
      <c r="D1908" s="422" t="s">
        <v>666</v>
      </c>
      <c r="E1908" s="111">
        <v>15099</v>
      </c>
      <c r="F1908" s="421" t="s">
        <v>3139</v>
      </c>
      <c r="G1908" s="112">
        <v>1</v>
      </c>
      <c r="H1908" s="112">
        <v>1</v>
      </c>
      <c r="I1908" s="112">
        <v>1</v>
      </c>
      <c r="J1908" s="112">
        <v>2</v>
      </c>
      <c r="K1908" s="112">
        <v>1</v>
      </c>
      <c r="L1908" s="112">
        <v>2</v>
      </c>
    </row>
    <row r="1909" spans="1:15" x14ac:dyDescent="0.2">
      <c r="A1909" s="111">
        <v>1978</v>
      </c>
      <c r="B1909" s="421" t="s">
        <v>3140</v>
      </c>
      <c r="C1909" s="421" t="s">
        <v>3141</v>
      </c>
      <c r="D1909" s="422" t="s">
        <v>666</v>
      </c>
      <c r="E1909" s="111">
        <v>15100</v>
      </c>
      <c r="F1909" s="421" t="s">
        <v>3142</v>
      </c>
      <c r="G1909" s="112">
        <v>1</v>
      </c>
      <c r="H1909" s="112">
        <v>1</v>
      </c>
      <c r="I1909" s="112">
        <v>1</v>
      </c>
      <c r="J1909" s="112">
        <v>6</v>
      </c>
      <c r="K1909" s="112">
        <v>6</v>
      </c>
      <c r="L1909" s="112">
        <v>6</v>
      </c>
      <c r="M1909" s="112">
        <v>7</v>
      </c>
      <c r="N1909" s="112">
        <v>7</v>
      </c>
      <c r="O1909" s="112">
        <v>6</v>
      </c>
    </row>
    <row r="1910" spans="1:15" x14ac:dyDescent="0.2">
      <c r="A1910" s="111">
        <v>1980</v>
      </c>
      <c r="B1910" s="421" t="s">
        <v>3144</v>
      </c>
      <c r="C1910" s="421" t="s">
        <v>1817</v>
      </c>
      <c r="D1910" s="422" t="s">
        <v>663</v>
      </c>
      <c r="E1910" s="111">
        <v>15101</v>
      </c>
      <c r="F1910" s="421" t="s">
        <v>3145</v>
      </c>
      <c r="G1910" s="112">
        <v>1</v>
      </c>
      <c r="H1910" s="112">
        <v>1</v>
      </c>
      <c r="I1910" s="112">
        <v>1</v>
      </c>
      <c r="J1910" s="112">
        <v>11</v>
      </c>
      <c r="K1910" s="112">
        <v>9</v>
      </c>
      <c r="L1910" s="112">
        <v>11</v>
      </c>
      <c r="M1910" s="112">
        <v>12</v>
      </c>
      <c r="N1910" s="112">
        <v>6</v>
      </c>
      <c r="O1910" s="112">
        <v>10</v>
      </c>
    </row>
    <row r="1911" spans="1:15" x14ac:dyDescent="0.2">
      <c r="A1911" s="111">
        <v>1981</v>
      </c>
      <c r="B1911" s="421" t="s">
        <v>3146</v>
      </c>
      <c r="C1911" s="421" t="s">
        <v>542</v>
      </c>
      <c r="D1911" s="422" t="s">
        <v>663</v>
      </c>
      <c r="E1911" s="111">
        <v>15106</v>
      </c>
      <c r="F1911" s="421" t="s">
        <v>3147</v>
      </c>
      <c r="H1911" s="112">
        <v>1</v>
      </c>
    </row>
    <row r="1912" spans="1:15" x14ac:dyDescent="0.2">
      <c r="A1912" s="111">
        <v>1982</v>
      </c>
      <c r="B1912" s="421" t="s">
        <v>455</v>
      </c>
      <c r="C1912" s="421" t="s">
        <v>542</v>
      </c>
      <c r="D1912" s="422" t="s">
        <v>663</v>
      </c>
      <c r="E1912" s="111">
        <v>15106</v>
      </c>
      <c r="F1912" s="421" t="s">
        <v>3147</v>
      </c>
    </row>
    <row r="1913" spans="1:15" x14ac:dyDescent="0.2">
      <c r="A1913" s="111">
        <v>1983</v>
      </c>
      <c r="B1913" s="421" t="s">
        <v>3148</v>
      </c>
      <c r="C1913" s="421" t="s">
        <v>532</v>
      </c>
      <c r="D1913" s="422" t="s">
        <v>663</v>
      </c>
      <c r="E1913" s="111">
        <v>15102</v>
      </c>
      <c r="F1913" s="421" t="s">
        <v>3149</v>
      </c>
      <c r="G1913" s="112">
        <v>1</v>
      </c>
      <c r="H1913" s="112">
        <v>1</v>
      </c>
      <c r="I1913" s="112">
        <v>1</v>
      </c>
      <c r="K1913" s="112">
        <v>1</v>
      </c>
      <c r="L1913" s="112">
        <v>1</v>
      </c>
    </row>
    <row r="1914" spans="1:15" x14ac:dyDescent="0.2">
      <c r="A1914" s="111">
        <v>1984</v>
      </c>
      <c r="B1914" s="421" t="s">
        <v>3150</v>
      </c>
      <c r="C1914" s="421" t="s">
        <v>4162</v>
      </c>
      <c r="D1914" s="422" t="s">
        <v>666</v>
      </c>
      <c r="E1914" s="111">
        <v>15102</v>
      </c>
      <c r="F1914" s="421" t="s">
        <v>3149</v>
      </c>
      <c r="G1914" s="112">
        <v>1</v>
      </c>
      <c r="H1914" s="112">
        <v>1</v>
      </c>
      <c r="I1914" s="112">
        <v>1</v>
      </c>
      <c r="K1914" s="112">
        <v>1</v>
      </c>
      <c r="L1914" s="112">
        <v>1</v>
      </c>
    </row>
    <row r="1915" spans="1:15" x14ac:dyDescent="0.2">
      <c r="A1915" s="111">
        <v>1985</v>
      </c>
      <c r="B1915" s="421" t="s">
        <v>332</v>
      </c>
      <c r="C1915" s="421" t="s">
        <v>536</v>
      </c>
      <c r="D1915" s="422" t="s">
        <v>666</v>
      </c>
      <c r="E1915" s="111">
        <v>15103</v>
      </c>
      <c r="F1915" s="421" t="s">
        <v>3151</v>
      </c>
      <c r="G1915" s="112">
        <v>2</v>
      </c>
      <c r="H1915" s="112">
        <v>2</v>
      </c>
      <c r="I1915" s="112">
        <v>1</v>
      </c>
      <c r="J1915" s="112">
        <v>3</v>
      </c>
      <c r="K1915" s="112">
        <v>2</v>
      </c>
      <c r="L1915" s="112">
        <v>6</v>
      </c>
    </row>
    <row r="1916" spans="1:15" x14ac:dyDescent="0.2">
      <c r="A1916" s="111">
        <v>1986</v>
      </c>
      <c r="B1916" s="421" t="s">
        <v>208</v>
      </c>
      <c r="C1916" s="421" t="s">
        <v>536</v>
      </c>
      <c r="D1916" s="422" t="s">
        <v>666</v>
      </c>
      <c r="E1916" s="111">
        <v>15103</v>
      </c>
      <c r="F1916" s="421" t="s">
        <v>3151</v>
      </c>
    </row>
    <row r="1917" spans="1:15" x14ac:dyDescent="0.2">
      <c r="A1917" s="111">
        <v>1987</v>
      </c>
      <c r="B1917" s="421" t="s">
        <v>347</v>
      </c>
      <c r="C1917" s="421" t="s">
        <v>519</v>
      </c>
      <c r="D1917" s="422" t="s">
        <v>663</v>
      </c>
      <c r="F1917" s="421" t="s">
        <v>3381</v>
      </c>
      <c r="G1917" s="112">
        <v>1</v>
      </c>
      <c r="H1917" s="112">
        <v>1</v>
      </c>
      <c r="I1917" s="112">
        <v>1</v>
      </c>
      <c r="J1917" s="112">
        <v>1</v>
      </c>
      <c r="K1917" s="112">
        <v>1</v>
      </c>
    </row>
    <row r="1918" spans="1:15" x14ac:dyDescent="0.2">
      <c r="A1918" s="111">
        <v>1988</v>
      </c>
      <c r="B1918" s="421" t="s">
        <v>3152</v>
      </c>
      <c r="C1918" s="421" t="s">
        <v>555</v>
      </c>
      <c r="D1918" s="422" t="s">
        <v>666</v>
      </c>
      <c r="F1918" s="421" t="s">
        <v>3153</v>
      </c>
    </row>
    <row r="1919" spans="1:15" x14ac:dyDescent="0.2">
      <c r="A1919" s="111">
        <v>1989</v>
      </c>
      <c r="B1919" s="421" t="s">
        <v>3154</v>
      </c>
      <c r="C1919" s="421" t="s">
        <v>502</v>
      </c>
      <c r="D1919" s="422" t="s">
        <v>663</v>
      </c>
      <c r="E1919" s="111">
        <v>14563</v>
      </c>
      <c r="F1919" s="421" t="s">
        <v>1702</v>
      </c>
      <c r="G1919" s="112">
        <v>1</v>
      </c>
      <c r="H1919" s="112">
        <v>1</v>
      </c>
      <c r="I1919" s="112">
        <v>1</v>
      </c>
      <c r="J1919" s="112">
        <v>5</v>
      </c>
      <c r="K1919" s="112">
        <v>3</v>
      </c>
      <c r="L1919" s="112">
        <v>3</v>
      </c>
    </row>
    <row r="1920" spans="1:15" x14ac:dyDescent="0.2">
      <c r="A1920" s="111">
        <v>1990</v>
      </c>
      <c r="B1920" s="421" t="s">
        <v>3155</v>
      </c>
      <c r="C1920" s="421" t="s">
        <v>501</v>
      </c>
      <c r="D1920" s="422" t="s">
        <v>663</v>
      </c>
      <c r="E1920" s="111">
        <v>14563</v>
      </c>
      <c r="F1920" s="421" t="s">
        <v>1702</v>
      </c>
    </row>
    <row r="1921" spans="1:15" x14ac:dyDescent="0.2">
      <c r="A1921" s="111">
        <v>1991</v>
      </c>
      <c r="B1921" s="421" t="s">
        <v>1509</v>
      </c>
      <c r="C1921" s="421" t="s">
        <v>504</v>
      </c>
      <c r="D1921" s="422" t="s">
        <v>666</v>
      </c>
      <c r="E1921" s="111">
        <v>15109</v>
      </c>
      <c r="F1921" s="421" t="s">
        <v>3156</v>
      </c>
      <c r="G1921" s="112">
        <v>1</v>
      </c>
      <c r="H1921" s="112">
        <v>1</v>
      </c>
      <c r="I1921" s="112">
        <v>1</v>
      </c>
      <c r="J1921" s="112">
        <v>3</v>
      </c>
      <c r="K1921" s="112">
        <v>1</v>
      </c>
      <c r="M1921" s="112">
        <v>1</v>
      </c>
    </row>
    <row r="1922" spans="1:15" x14ac:dyDescent="0.2">
      <c r="A1922" s="111">
        <v>1995</v>
      </c>
      <c r="B1922" s="421" t="s">
        <v>3157</v>
      </c>
      <c r="C1922" s="421" t="s">
        <v>1908</v>
      </c>
      <c r="D1922" s="422" t="s">
        <v>663</v>
      </c>
      <c r="E1922" s="111">
        <v>14698</v>
      </c>
      <c r="F1922" s="421" t="s">
        <v>2134</v>
      </c>
      <c r="G1922" s="112">
        <v>2</v>
      </c>
    </row>
    <row r="1923" spans="1:15" x14ac:dyDescent="0.2">
      <c r="A1923" s="111">
        <v>1996</v>
      </c>
      <c r="B1923" s="421" t="s">
        <v>3158</v>
      </c>
      <c r="C1923" s="421" t="s">
        <v>518</v>
      </c>
      <c r="D1923" s="422" t="s">
        <v>666</v>
      </c>
      <c r="E1923" s="111">
        <v>15088</v>
      </c>
      <c r="F1923" s="421" t="s">
        <v>3159</v>
      </c>
      <c r="G1923" s="112">
        <v>1</v>
      </c>
      <c r="H1923" s="112">
        <v>1</v>
      </c>
      <c r="I1923" s="112">
        <v>1</v>
      </c>
      <c r="J1923" s="112">
        <v>7</v>
      </c>
      <c r="K1923" s="112">
        <v>7</v>
      </c>
      <c r="L1923" s="112">
        <v>7</v>
      </c>
      <c r="M1923" s="112">
        <v>4</v>
      </c>
      <c r="N1923" s="112">
        <v>3</v>
      </c>
      <c r="O1923" s="112">
        <v>3</v>
      </c>
    </row>
    <row r="1924" spans="1:15" x14ac:dyDescent="0.2">
      <c r="A1924" s="111">
        <v>1997</v>
      </c>
      <c r="B1924" s="421" t="s">
        <v>159</v>
      </c>
      <c r="C1924" s="421" t="s">
        <v>535</v>
      </c>
      <c r="D1924" s="422" t="s">
        <v>663</v>
      </c>
      <c r="E1924" s="111">
        <v>14356</v>
      </c>
      <c r="F1924" s="421" t="s">
        <v>1126</v>
      </c>
      <c r="G1924" s="112">
        <v>1</v>
      </c>
      <c r="H1924" s="112">
        <v>1</v>
      </c>
      <c r="I1924" s="112">
        <v>1</v>
      </c>
    </row>
    <row r="1925" spans="1:15" x14ac:dyDescent="0.2">
      <c r="A1925" s="111">
        <v>1998</v>
      </c>
      <c r="B1925" s="421" t="s">
        <v>3160</v>
      </c>
      <c r="C1925" s="421" t="s">
        <v>503</v>
      </c>
      <c r="D1925" s="422" t="s">
        <v>666</v>
      </c>
      <c r="E1925" s="111">
        <v>14356</v>
      </c>
      <c r="F1925" s="421" t="s">
        <v>1126</v>
      </c>
      <c r="G1925" s="112">
        <v>1</v>
      </c>
      <c r="H1925" s="112">
        <v>1</v>
      </c>
      <c r="I1925" s="112">
        <v>1</v>
      </c>
    </row>
    <row r="1926" spans="1:15" x14ac:dyDescent="0.2">
      <c r="A1926" s="111">
        <v>1999</v>
      </c>
      <c r="B1926" s="421" t="s">
        <v>3161</v>
      </c>
      <c r="C1926" s="421" t="s">
        <v>551</v>
      </c>
      <c r="D1926" s="422" t="s">
        <v>666</v>
      </c>
      <c r="E1926" s="111">
        <v>15113</v>
      </c>
      <c r="F1926" s="421" t="s">
        <v>3162</v>
      </c>
      <c r="G1926" s="112">
        <v>1</v>
      </c>
      <c r="H1926" s="112">
        <v>2</v>
      </c>
      <c r="I1926" s="112">
        <v>1</v>
      </c>
      <c r="J1926" s="112">
        <v>8</v>
      </c>
      <c r="K1926" s="112">
        <v>9</v>
      </c>
      <c r="L1926" s="112">
        <v>6</v>
      </c>
      <c r="M1926" s="112">
        <v>8</v>
      </c>
      <c r="N1926" s="112">
        <v>5</v>
      </c>
      <c r="O1926" s="112">
        <v>5</v>
      </c>
    </row>
    <row r="1927" spans="1:15" x14ac:dyDescent="0.2">
      <c r="A1927" s="111">
        <v>2000</v>
      </c>
      <c r="B1927" s="421" t="s">
        <v>3163</v>
      </c>
      <c r="C1927" s="421" t="s">
        <v>574</v>
      </c>
      <c r="D1927" s="422" t="s">
        <v>666</v>
      </c>
      <c r="E1927" s="111">
        <v>15105</v>
      </c>
      <c r="F1927" s="421" t="s">
        <v>3164</v>
      </c>
      <c r="G1927" s="112">
        <v>1</v>
      </c>
      <c r="H1927" s="112">
        <v>1</v>
      </c>
      <c r="I1927" s="112">
        <v>1</v>
      </c>
      <c r="J1927" s="112">
        <v>7</v>
      </c>
      <c r="K1927" s="112">
        <v>7</v>
      </c>
      <c r="L1927" s="112">
        <v>7</v>
      </c>
      <c r="M1927" s="112">
        <v>3</v>
      </c>
      <c r="N1927" s="112">
        <v>5</v>
      </c>
      <c r="O1927" s="112">
        <v>5</v>
      </c>
    </row>
    <row r="1928" spans="1:15" x14ac:dyDescent="0.2">
      <c r="A1928" s="111">
        <v>2001</v>
      </c>
      <c r="B1928" s="421" t="s">
        <v>3165</v>
      </c>
      <c r="C1928" s="421" t="s">
        <v>506</v>
      </c>
      <c r="D1928" s="422" t="s">
        <v>663</v>
      </c>
      <c r="E1928" s="111">
        <v>14153</v>
      </c>
      <c r="F1928" s="421" t="s">
        <v>688</v>
      </c>
      <c r="G1928" s="112">
        <v>1</v>
      </c>
      <c r="H1928" s="112">
        <v>1</v>
      </c>
      <c r="I1928" s="112">
        <v>1</v>
      </c>
      <c r="J1928" s="112">
        <v>7</v>
      </c>
      <c r="K1928" s="112">
        <v>8</v>
      </c>
      <c r="L1928" s="112">
        <v>7</v>
      </c>
      <c r="M1928" s="112">
        <v>4</v>
      </c>
      <c r="N1928" s="112">
        <v>3</v>
      </c>
      <c r="O1928" s="112">
        <v>3</v>
      </c>
    </row>
    <row r="1929" spans="1:15" x14ac:dyDescent="0.2">
      <c r="A1929" s="111">
        <v>2002</v>
      </c>
      <c r="B1929" s="421" t="s">
        <v>3166</v>
      </c>
      <c r="C1929" s="421" t="s">
        <v>570</v>
      </c>
      <c r="D1929" s="422" t="s">
        <v>663</v>
      </c>
      <c r="E1929" s="111">
        <v>15044</v>
      </c>
      <c r="F1929" s="421" t="s">
        <v>3167</v>
      </c>
      <c r="G1929" s="112">
        <v>1</v>
      </c>
      <c r="H1929" s="112">
        <v>1</v>
      </c>
      <c r="I1929" s="112">
        <v>1</v>
      </c>
      <c r="J1929" s="112">
        <v>2</v>
      </c>
      <c r="K1929" s="112">
        <v>2</v>
      </c>
      <c r="L1929" s="112">
        <v>2</v>
      </c>
      <c r="M1929" s="112">
        <v>2</v>
      </c>
      <c r="N1929" s="112">
        <v>1</v>
      </c>
    </row>
    <row r="1930" spans="1:15" x14ac:dyDescent="0.2">
      <c r="A1930" s="111">
        <v>2003</v>
      </c>
      <c r="B1930" s="421" t="s">
        <v>46</v>
      </c>
      <c r="C1930" s="421" t="s">
        <v>516</v>
      </c>
      <c r="D1930" s="422" t="s">
        <v>663</v>
      </c>
      <c r="F1930" s="421" t="s">
        <v>3168</v>
      </c>
      <c r="G1930" s="112">
        <v>1</v>
      </c>
      <c r="H1930" s="112">
        <v>1</v>
      </c>
      <c r="I1930" s="112">
        <v>1</v>
      </c>
      <c r="J1930" s="112">
        <v>1</v>
      </c>
    </row>
    <row r="1931" spans="1:15" x14ac:dyDescent="0.2">
      <c r="A1931" s="111">
        <v>2004</v>
      </c>
      <c r="B1931" s="421" t="s">
        <v>3169</v>
      </c>
      <c r="C1931" s="421" t="s">
        <v>17459</v>
      </c>
      <c r="D1931" s="422" t="s">
        <v>666</v>
      </c>
      <c r="E1931" s="111">
        <v>14829</v>
      </c>
      <c r="F1931" s="421" t="s">
        <v>8395</v>
      </c>
      <c r="G1931" s="112">
        <v>1</v>
      </c>
      <c r="I1931" s="112">
        <v>1</v>
      </c>
    </row>
    <row r="1932" spans="1:15" x14ac:dyDescent="0.2">
      <c r="A1932" s="111">
        <v>2005</v>
      </c>
      <c r="B1932" s="421" t="s">
        <v>3170</v>
      </c>
      <c r="C1932" s="421" t="s">
        <v>577</v>
      </c>
      <c r="D1932" s="422" t="s">
        <v>666</v>
      </c>
      <c r="E1932" s="111">
        <v>15221</v>
      </c>
      <c r="F1932" s="421" t="s">
        <v>3171</v>
      </c>
      <c r="G1932" s="112">
        <v>1</v>
      </c>
      <c r="I1932" s="112">
        <v>1</v>
      </c>
    </row>
    <row r="1933" spans="1:15" x14ac:dyDescent="0.2">
      <c r="A1933" s="111">
        <v>2006</v>
      </c>
      <c r="B1933" s="421" t="s">
        <v>1421</v>
      </c>
      <c r="C1933" s="421" t="s">
        <v>534</v>
      </c>
      <c r="D1933" s="422" t="s">
        <v>663</v>
      </c>
      <c r="E1933" s="111">
        <v>14511</v>
      </c>
      <c r="F1933" s="421" t="s">
        <v>3075</v>
      </c>
    </row>
    <row r="1934" spans="1:15" x14ac:dyDescent="0.2">
      <c r="A1934" s="111">
        <v>2007</v>
      </c>
      <c r="B1934" s="421" t="s">
        <v>1933</v>
      </c>
      <c r="C1934" s="421" t="s">
        <v>2362</v>
      </c>
      <c r="D1934" s="422" t="s">
        <v>663</v>
      </c>
      <c r="E1934" s="111">
        <v>15108</v>
      </c>
      <c r="F1934" s="421" t="s">
        <v>3172</v>
      </c>
    </row>
    <row r="1935" spans="1:15" x14ac:dyDescent="0.2">
      <c r="A1935" s="111">
        <v>2008</v>
      </c>
      <c r="B1935" s="421" t="s">
        <v>3173</v>
      </c>
      <c r="C1935" s="421" t="s">
        <v>512</v>
      </c>
      <c r="D1935" s="422" t="s">
        <v>663</v>
      </c>
      <c r="E1935" s="111">
        <v>44271</v>
      </c>
      <c r="F1935" s="421" t="s">
        <v>3174</v>
      </c>
    </row>
    <row r="1936" spans="1:15" x14ac:dyDescent="0.2">
      <c r="A1936" s="111">
        <v>2010</v>
      </c>
      <c r="B1936" s="421" t="s">
        <v>2204</v>
      </c>
      <c r="C1936" s="421" t="s">
        <v>523</v>
      </c>
      <c r="D1936" s="422" t="s">
        <v>666</v>
      </c>
      <c r="E1936" s="111">
        <v>15111</v>
      </c>
      <c r="F1936" s="421" t="s">
        <v>3175</v>
      </c>
      <c r="G1936" s="112">
        <v>1</v>
      </c>
      <c r="H1936" s="112">
        <v>1</v>
      </c>
      <c r="I1936" s="112">
        <v>1</v>
      </c>
    </row>
    <row r="1937" spans="1:15" x14ac:dyDescent="0.2">
      <c r="A1937" s="111">
        <v>2012</v>
      </c>
      <c r="B1937" s="421" t="s">
        <v>1111</v>
      </c>
      <c r="C1937" s="421" t="s">
        <v>1687</v>
      </c>
      <c r="D1937" s="422" t="s">
        <v>666</v>
      </c>
      <c r="F1937" s="421" t="s">
        <v>3143</v>
      </c>
      <c r="G1937" s="112">
        <v>1</v>
      </c>
      <c r="I1937" s="112">
        <v>1</v>
      </c>
    </row>
    <row r="1938" spans="1:15" x14ac:dyDescent="0.2">
      <c r="A1938" s="111">
        <v>2014</v>
      </c>
      <c r="B1938" s="421" t="s">
        <v>461</v>
      </c>
      <c r="C1938" s="421" t="s">
        <v>525</v>
      </c>
      <c r="D1938" s="422" t="s">
        <v>663</v>
      </c>
      <c r="E1938" s="111">
        <v>15115</v>
      </c>
      <c r="F1938" s="421" t="s">
        <v>3176</v>
      </c>
    </row>
    <row r="1939" spans="1:15" x14ac:dyDescent="0.2">
      <c r="A1939" s="111">
        <v>2015</v>
      </c>
      <c r="B1939" s="421" t="s">
        <v>232</v>
      </c>
      <c r="C1939" s="421" t="s">
        <v>501</v>
      </c>
      <c r="D1939" s="422" t="s">
        <v>666</v>
      </c>
      <c r="E1939" s="111">
        <v>15117</v>
      </c>
      <c r="F1939" s="421" t="s">
        <v>3177</v>
      </c>
    </row>
    <row r="1940" spans="1:15" x14ac:dyDescent="0.2">
      <c r="A1940" s="111">
        <v>2017</v>
      </c>
      <c r="B1940" s="421" t="s">
        <v>376</v>
      </c>
      <c r="C1940" s="421" t="s">
        <v>516</v>
      </c>
      <c r="D1940" s="422" t="s">
        <v>666</v>
      </c>
      <c r="E1940" s="111">
        <v>15118</v>
      </c>
      <c r="F1940" s="421" t="s">
        <v>3178</v>
      </c>
      <c r="G1940" s="112">
        <v>1</v>
      </c>
      <c r="H1940" s="112">
        <v>1</v>
      </c>
      <c r="I1940" s="112">
        <v>1</v>
      </c>
      <c r="J1940" s="112">
        <v>1</v>
      </c>
      <c r="L1940" s="112">
        <v>1</v>
      </c>
    </row>
    <row r="1941" spans="1:15" x14ac:dyDescent="0.2">
      <c r="A1941" s="111">
        <v>2018</v>
      </c>
      <c r="B1941" s="421" t="s">
        <v>3179</v>
      </c>
      <c r="C1941" s="421" t="s">
        <v>501</v>
      </c>
      <c r="D1941" s="422" t="s">
        <v>663</v>
      </c>
      <c r="E1941" s="111">
        <v>15120</v>
      </c>
      <c r="F1941" s="421" t="s">
        <v>3180</v>
      </c>
      <c r="G1941" s="112">
        <v>1</v>
      </c>
      <c r="H1941" s="112">
        <v>1</v>
      </c>
      <c r="I1941" s="112">
        <v>1</v>
      </c>
    </row>
    <row r="1942" spans="1:15" x14ac:dyDescent="0.2">
      <c r="A1942" s="111">
        <v>2019</v>
      </c>
      <c r="B1942" s="421" t="s">
        <v>3201</v>
      </c>
      <c r="C1942" s="421" t="s">
        <v>501</v>
      </c>
      <c r="D1942" s="422" t="s">
        <v>663</v>
      </c>
      <c r="E1942" s="111">
        <v>15161</v>
      </c>
      <c r="F1942" s="421" t="s">
        <v>3202</v>
      </c>
      <c r="G1942" s="112">
        <v>1</v>
      </c>
      <c r="H1942" s="112">
        <v>1</v>
      </c>
      <c r="I1942" s="112">
        <v>1</v>
      </c>
      <c r="K1942" s="112">
        <v>1</v>
      </c>
      <c r="L1942" s="112">
        <v>1</v>
      </c>
    </row>
    <row r="1943" spans="1:15" x14ac:dyDescent="0.2">
      <c r="A1943" s="111">
        <v>2020</v>
      </c>
      <c r="B1943" s="421" t="s">
        <v>3181</v>
      </c>
      <c r="C1943" s="421" t="s">
        <v>566</v>
      </c>
      <c r="D1943" s="422" t="s">
        <v>666</v>
      </c>
      <c r="E1943" s="111">
        <v>15119</v>
      </c>
      <c r="F1943" s="421" t="s">
        <v>3182</v>
      </c>
    </row>
    <row r="1944" spans="1:15" x14ac:dyDescent="0.2">
      <c r="A1944" s="111">
        <v>2021</v>
      </c>
      <c r="B1944" s="421" t="s">
        <v>174</v>
      </c>
      <c r="C1944" s="421" t="s">
        <v>576</v>
      </c>
      <c r="D1944" s="422" t="s">
        <v>666</v>
      </c>
      <c r="E1944" s="111">
        <v>15190</v>
      </c>
      <c r="F1944" s="421" t="s">
        <v>3382</v>
      </c>
      <c r="G1944" s="112">
        <v>2</v>
      </c>
      <c r="H1944" s="112">
        <v>2</v>
      </c>
      <c r="I1944" s="112">
        <v>1</v>
      </c>
    </row>
    <row r="1945" spans="1:15" x14ac:dyDescent="0.2">
      <c r="A1945" s="111">
        <v>2022</v>
      </c>
      <c r="B1945" s="421" t="s">
        <v>2711</v>
      </c>
      <c r="C1945" s="421" t="s">
        <v>503</v>
      </c>
      <c r="D1945" s="422" t="s">
        <v>663</v>
      </c>
      <c r="E1945" s="111">
        <v>15121</v>
      </c>
      <c r="F1945" s="421" t="s">
        <v>3183</v>
      </c>
      <c r="G1945" s="112">
        <v>1</v>
      </c>
      <c r="H1945" s="112">
        <v>1</v>
      </c>
      <c r="I1945" s="112">
        <v>1</v>
      </c>
      <c r="J1945" s="112">
        <v>3</v>
      </c>
      <c r="K1945" s="112">
        <v>3</v>
      </c>
      <c r="L1945" s="112">
        <v>3</v>
      </c>
      <c r="M1945" s="112">
        <v>3</v>
      </c>
      <c r="N1945" s="112">
        <v>2</v>
      </c>
      <c r="O1945" s="112">
        <v>2</v>
      </c>
    </row>
    <row r="1946" spans="1:15" x14ac:dyDescent="0.2">
      <c r="A1946" s="111">
        <v>2023</v>
      </c>
      <c r="B1946" s="421" t="s">
        <v>79</v>
      </c>
      <c r="C1946" s="421" t="s">
        <v>501</v>
      </c>
      <c r="D1946" s="422" t="s">
        <v>666</v>
      </c>
      <c r="E1946" s="111">
        <v>15122</v>
      </c>
      <c r="F1946" s="421" t="s">
        <v>3184</v>
      </c>
      <c r="G1946" s="112">
        <v>1</v>
      </c>
    </row>
    <row r="1947" spans="1:15" x14ac:dyDescent="0.2">
      <c r="A1947" s="111">
        <v>2024</v>
      </c>
      <c r="B1947" s="421" t="s">
        <v>3185</v>
      </c>
      <c r="C1947" s="421" t="s">
        <v>516</v>
      </c>
      <c r="D1947" s="422" t="s">
        <v>663</v>
      </c>
      <c r="E1947" s="111">
        <v>15123</v>
      </c>
      <c r="F1947" s="421" t="s">
        <v>3186</v>
      </c>
      <c r="G1947" s="112">
        <v>1</v>
      </c>
      <c r="H1947" s="112">
        <v>1</v>
      </c>
      <c r="I1947" s="112">
        <v>1</v>
      </c>
      <c r="J1947" s="112">
        <v>1</v>
      </c>
    </row>
    <row r="1948" spans="1:15" x14ac:dyDescent="0.2">
      <c r="A1948" s="111">
        <v>2025</v>
      </c>
      <c r="B1948" s="421" t="s">
        <v>2468</v>
      </c>
      <c r="C1948" s="421" t="s">
        <v>555</v>
      </c>
      <c r="D1948" s="422" t="s">
        <v>666</v>
      </c>
      <c r="E1948" s="111">
        <v>15122</v>
      </c>
      <c r="F1948" s="421" t="s">
        <v>3184</v>
      </c>
    </row>
    <row r="1949" spans="1:15" x14ac:dyDescent="0.2">
      <c r="A1949" s="111">
        <v>2026</v>
      </c>
      <c r="B1949" s="421" t="s">
        <v>108</v>
      </c>
      <c r="C1949" s="421" t="s">
        <v>507</v>
      </c>
      <c r="D1949" s="422" t="s">
        <v>663</v>
      </c>
      <c r="E1949" s="111">
        <v>15158</v>
      </c>
      <c r="F1949" s="421" t="s">
        <v>3187</v>
      </c>
      <c r="G1949" s="112">
        <v>1</v>
      </c>
      <c r="H1949" s="112">
        <v>1</v>
      </c>
      <c r="I1949" s="112">
        <v>1</v>
      </c>
    </row>
    <row r="1950" spans="1:15" x14ac:dyDescent="0.2">
      <c r="A1950" s="111">
        <v>2027</v>
      </c>
      <c r="B1950" s="421" t="s">
        <v>3188</v>
      </c>
      <c r="C1950" s="421" t="s">
        <v>509</v>
      </c>
      <c r="D1950" s="422" t="s">
        <v>663</v>
      </c>
      <c r="E1950" s="111">
        <v>14206</v>
      </c>
      <c r="F1950" s="421" t="s">
        <v>3189</v>
      </c>
      <c r="G1950" s="112">
        <v>1</v>
      </c>
      <c r="H1950" s="112">
        <v>1</v>
      </c>
      <c r="I1950" s="112">
        <v>1</v>
      </c>
    </row>
    <row r="1951" spans="1:15" x14ac:dyDescent="0.2">
      <c r="A1951" s="111">
        <v>2028</v>
      </c>
      <c r="B1951" s="421" t="s">
        <v>3190</v>
      </c>
      <c r="C1951" s="421" t="s">
        <v>509</v>
      </c>
      <c r="D1951" s="422" t="s">
        <v>663</v>
      </c>
      <c r="E1951" s="111">
        <v>14206</v>
      </c>
      <c r="F1951" s="421" t="s">
        <v>3189</v>
      </c>
    </row>
    <row r="1952" spans="1:15" x14ac:dyDescent="0.2">
      <c r="A1952" s="111">
        <v>2029</v>
      </c>
      <c r="B1952" s="421" t="s">
        <v>3191</v>
      </c>
      <c r="C1952" s="421" t="s">
        <v>509</v>
      </c>
      <c r="D1952" s="422" t="s">
        <v>663</v>
      </c>
      <c r="E1952" s="111">
        <v>14206</v>
      </c>
      <c r="F1952" s="421" t="s">
        <v>3189</v>
      </c>
      <c r="G1952" s="112">
        <v>1</v>
      </c>
      <c r="H1952" s="112">
        <v>1</v>
      </c>
      <c r="I1952" s="112">
        <v>1</v>
      </c>
    </row>
    <row r="1953" spans="1:15" x14ac:dyDescent="0.2">
      <c r="A1953" s="111">
        <v>2030</v>
      </c>
      <c r="B1953" s="421" t="s">
        <v>435</v>
      </c>
      <c r="C1953" s="421" t="s">
        <v>551</v>
      </c>
      <c r="D1953" s="422" t="s">
        <v>663</v>
      </c>
      <c r="F1953" s="421" t="s">
        <v>3192</v>
      </c>
      <c r="G1953" s="112">
        <v>1</v>
      </c>
      <c r="H1953" s="112">
        <v>1</v>
      </c>
    </row>
    <row r="1954" spans="1:15" x14ac:dyDescent="0.2">
      <c r="A1954" s="111">
        <v>2031</v>
      </c>
      <c r="B1954" s="421" t="s">
        <v>3193</v>
      </c>
      <c r="C1954" s="421" t="s">
        <v>530</v>
      </c>
      <c r="D1954" s="422" t="s">
        <v>663</v>
      </c>
      <c r="E1954" s="111">
        <v>15845</v>
      </c>
      <c r="F1954" s="421" t="s">
        <v>3194</v>
      </c>
      <c r="G1954" s="112">
        <v>1</v>
      </c>
      <c r="H1954" s="112">
        <v>1</v>
      </c>
      <c r="I1954" s="112">
        <v>1</v>
      </c>
      <c r="J1954" s="112">
        <v>1</v>
      </c>
      <c r="K1954" s="112">
        <v>1</v>
      </c>
      <c r="L1954" s="112">
        <v>1</v>
      </c>
      <c r="O1954" s="112">
        <v>1</v>
      </c>
    </row>
    <row r="1955" spans="1:15" x14ac:dyDescent="0.2">
      <c r="A1955" s="111">
        <v>2032</v>
      </c>
      <c r="B1955" s="421" t="s">
        <v>3195</v>
      </c>
      <c r="C1955" s="421" t="s">
        <v>3196</v>
      </c>
      <c r="D1955" s="422" t="s">
        <v>666</v>
      </c>
      <c r="E1955" s="111">
        <v>15124</v>
      </c>
      <c r="F1955" s="421" t="s">
        <v>3197</v>
      </c>
      <c r="G1955" s="112">
        <v>1</v>
      </c>
      <c r="H1955" s="112">
        <v>1</v>
      </c>
      <c r="I1955" s="112">
        <v>1</v>
      </c>
    </row>
    <row r="1956" spans="1:15" x14ac:dyDescent="0.2">
      <c r="A1956" s="111">
        <v>2034</v>
      </c>
      <c r="B1956" s="421" t="s">
        <v>3204</v>
      </c>
      <c r="C1956" s="421" t="s">
        <v>507</v>
      </c>
      <c r="D1956" s="422" t="s">
        <v>666</v>
      </c>
      <c r="E1956" s="111">
        <v>15125</v>
      </c>
      <c r="F1956" s="421" t="s">
        <v>3205</v>
      </c>
      <c r="G1956" s="112">
        <v>1</v>
      </c>
      <c r="H1956" s="112">
        <v>1</v>
      </c>
      <c r="I1956" s="112">
        <v>1</v>
      </c>
      <c r="J1956" s="112">
        <v>5</v>
      </c>
      <c r="K1956" s="112">
        <v>4</v>
      </c>
      <c r="L1956" s="112">
        <v>4</v>
      </c>
      <c r="M1956" s="112">
        <v>12</v>
      </c>
      <c r="N1956" s="112">
        <v>2</v>
      </c>
      <c r="O1956" s="112">
        <v>3</v>
      </c>
    </row>
    <row r="1957" spans="1:15" x14ac:dyDescent="0.2">
      <c r="A1957" s="111">
        <v>2035</v>
      </c>
      <c r="B1957" s="421" t="s">
        <v>3206</v>
      </c>
      <c r="C1957" s="421" t="s">
        <v>501</v>
      </c>
      <c r="D1957" s="422" t="s">
        <v>666</v>
      </c>
      <c r="E1957" s="111">
        <v>14779</v>
      </c>
      <c r="F1957" s="421" t="s">
        <v>2306</v>
      </c>
      <c r="G1957" s="112">
        <v>1</v>
      </c>
      <c r="H1957" s="112">
        <v>1</v>
      </c>
      <c r="I1957" s="112">
        <v>1</v>
      </c>
      <c r="K1957" s="112">
        <v>1</v>
      </c>
    </row>
    <row r="1958" spans="1:15" x14ac:dyDescent="0.2">
      <c r="A1958" s="111">
        <v>2036</v>
      </c>
      <c r="B1958" s="421" t="s">
        <v>3207</v>
      </c>
      <c r="C1958" s="421" t="s">
        <v>581</v>
      </c>
      <c r="D1958" s="422" t="s">
        <v>663</v>
      </c>
      <c r="E1958" s="111">
        <v>14779</v>
      </c>
      <c r="F1958" s="421" t="s">
        <v>2306</v>
      </c>
    </row>
    <row r="1959" spans="1:15" x14ac:dyDescent="0.2">
      <c r="A1959" s="111">
        <v>2037</v>
      </c>
      <c r="B1959" s="421" t="s">
        <v>3208</v>
      </c>
      <c r="C1959" s="421" t="s">
        <v>503</v>
      </c>
      <c r="D1959" s="422" t="s">
        <v>663</v>
      </c>
      <c r="E1959" s="111">
        <v>15126</v>
      </c>
      <c r="F1959" s="421" t="s">
        <v>3209</v>
      </c>
    </row>
    <row r="1960" spans="1:15" x14ac:dyDescent="0.2">
      <c r="A1960" s="111">
        <v>2038</v>
      </c>
      <c r="B1960" s="421" t="s">
        <v>337</v>
      </c>
      <c r="C1960" s="421" t="s">
        <v>503</v>
      </c>
      <c r="D1960" s="422" t="s">
        <v>666</v>
      </c>
      <c r="E1960" s="111">
        <v>15126</v>
      </c>
      <c r="F1960" s="421" t="s">
        <v>3209</v>
      </c>
    </row>
    <row r="1961" spans="1:15" x14ac:dyDescent="0.2">
      <c r="A1961" s="111">
        <v>2039</v>
      </c>
      <c r="B1961" s="421" t="s">
        <v>3210</v>
      </c>
      <c r="C1961" s="421" t="s">
        <v>1625</v>
      </c>
      <c r="D1961" s="422" t="s">
        <v>666</v>
      </c>
      <c r="E1961" s="111">
        <v>15127</v>
      </c>
      <c r="F1961" s="421" t="s">
        <v>3211</v>
      </c>
      <c r="G1961" s="112">
        <v>1</v>
      </c>
      <c r="H1961" s="112">
        <v>1</v>
      </c>
      <c r="I1961" s="112">
        <v>1</v>
      </c>
      <c r="K1961" s="112">
        <v>1</v>
      </c>
    </row>
    <row r="1962" spans="1:15" x14ac:dyDescent="0.2">
      <c r="A1962" s="111">
        <v>2040</v>
      </c>
      <c r="B1962" s="421" t="s">
        <v>45</v>
      </c>
      <c r="C1962" s="421" t="s">
        <v>506</v>
      </c>
      <c r="D1962" s="422" t="s">
        <v>663</v>
      </c>
      <c r="E1962" s="111">
        <v>15128</v>
      </c>
      <c r="F1962" s="421" t="s">
        <v>3212</v>
      </c>
      <c r="G1962" s="112">
        <v>1</v>
      </c>
      <c r="H1962" s="112">
        <v>1</v>
      </c>
      <c r="I1962" s="112">
        <v>1</v>
      </c>
    </row>
    <row r="1963" spans="1:15" x14ac:dyDescent="0.2">
      <c r="A1963" s="111">
        <v>2041</v>
      </c>
      <c r="B1963" s="421" t="s">
        <v>3213</v>
      </c>
      <c r="C1963" s="421" t="s">
        <v>1447</v>
      </c>
      <c r="D1963" s="422" t="s">
        <v>666</v>
      </c>
      <c r="E1963" s="111">
        <v>16503</v>
      </c>
      <c r="F1963" s="421" t="s">
        <v>3214</v>
      </c>
    </row>
    <row r="1964" spans="1:15" x14ac:dyDescent="0.2">
      <c r="A1964" s="111">
        <v>2042</v>
      </c>
      <c r="B1964" s="421" t="s">
        <v>3215</v>
      </c>
      <c r="C1964" s="421" t="s">
        <v>1447</v>
      </c>
      <c r="D1964" s="422" t="s">
        <v>666</v>
      </c>
      <c r="E1964" s="111">
        <v>16503</v>
      </c>
      <c r="F1964" s="421" t="s">
        <v>3214</v>
      </c>
    </row>
    <row r="1965" spans="1:15" x14ac:dyDescent="0.2">
      <c r="A1965" s="111">
        <v>2043</v>
      </c>
      <c r="B1965" s="421" t="s">
        <v>1678</v>
      </c>
      <c r="C1965" s="421" t="s">
        <v>520</v>
      </c>
      <c r="D1965" s="422" t="s">
        <v>666</v>
      </c>
      <c r="F1965" s="421" t="s">
        <v>3216</v>
      </c>
      <c r="G1965" s="112">
        <v>1</v>
      </c>
      <c r="H1965" s="112">
        <v>1</v>
      </c>
      <c r="I1965" s="112">
        <v>1</v>
      </c>
    </row>
    <row r="1966" spans="1:15" x14ac:dyDescent="0.2">
      <c r="A1966" s="111">
        <v>2044</v>
      </c>
      <c r="B1966" s="421" t="s">
        <v>2851</v>
      </c>
      <c r="C1966" s="421" t="s">
        <v>513</v>
      </c>
      <c r="D1966" s="422" t="s">
        <v>666</v>
      </c>
      <c r="E1966" s="111">
        <v>15131</v>
      </c>
      <c r="F1966" s="421" t="s">
        <v>3217</v>
      </c>
      <c r="G1966" s="112">
        <v>1</v>
      </c>
      <c r="H1966" s="112">
        <v>1</v>
      </c>
      <c r="I1966" s="112">
        <v>1</v>
      </c>
    </row>
    <row r="1967" spans="1:15" x14ac:dyDescent="0.2">
      <c r="A1967" s="111">
        <v>2045</v>
      </c>
      <c r="B1967" s="421" t="s">
        <v>3218</v>
      </c>
      <c r="C1967" s="421" t="s">
        <v>513</v>
      </c>
      <c r="D1967" s="422" t="s">
        <v>663</v>
      </c>
      <c r="E1967" s="111">
        <v>15131</v>
      </c>
      <c r="F1967" s="421" t="s">
        <v>3217</v>
      </c>
      <c r="G1967" s="112">
        <v>1</v>
      </c>
    </row>
    <row r="1968" spans="1:15" x14ac:dyDescent="0.2">
      <c r="A1968" s="111">
        <v>2046</v>
      </c>
      <c r="B1968" s="421" t="s">
        <v>1491</v>
      </c>
      <c r="C1968" s="421" t="s">
        <v>513</v>
      </c>
      <c r="D1968" s="422" t="s">
        <v>663</v>
      </c>
      <c r="E1968" s="111">
        <v>15131</v>
      </c>
      <c r="F1968" s="421" t="s">
        <v>3217</v>
      </c>
      <c r="G1968" s="112">
        <v>1</v>
      </c>
      <c r="H1968" s="112">
        <v>1</v>
      </c>
      <c r="I1968" s="112">
        <v>1</v>
      </c>
    </row>
    <row r="1969" spans="1:15" x14ac:dyDescent="0.2">
      <c r="A1969" s="111">
        <v>2047</v>
      </c>
      <c r="B1969" s="421" t="s">
        <v>1377</v>
      </c>
      <c r="C1969" s="421" t="s">
        <v>513</v>
      </c>
      <c r="D1969" s="422" t="s">
        <v>666</v>
      </c>
      <c r="E1969" s="111">
        <v>15131</v>
      </c>
      <c r="F1969" s="421" t="s">
        <v>3217</v>
      </c>
      <c r="G1969" s="112">
        <v>1</v>
      </c>
      <c r="H1969" s="112">
        <v>1</v>
      </c>
      <c r="I1969" s="112">
        <v>1</v>
      </c>
      <c r="J1969" s="112">
        <v>7</v>
      </c>
      <c r="K1969" s="112">
        <v>7</v>
      </c>
      <c r="L1969" s="112">
        <v>7</v>
      </c>
      <c r="M1969" s="112">
        <v>5</v>
      </c>
      <c r="N1969" s="112">
        <v>3</v>
      </c>
      <c r="O1969" s="112">
        <v>3</v>
      </c>
    </row>
    <row r="1970" spans="1:15" x14ac:dyDescent="0.2">
      <c r="A1970" s="111">
        <v>2048</v>
      </c>
      <c r="B1970" s="421" t="s">
        <v>3219</v>
      </c>
      <c r="C1970" s="421" t="s">
        <v>513</v>
      </c>
      <c r="D1970" s="422" t="s">
        <v>663</v>
      </c>
      <c r="E1970" s="111">
        <v>15131</v>
      </c>
      <c r="F1970" s="421" t="s">
        <v>3217</v>
      </c>
      <c r="G1970" s="112">
        <v>1</v>
      </c>
      <c r="H1970" s="112">
        <v>1</v>
      </c>
      <c r="I1970" s="112">
        <v>1</v>
      </c>
      <c r="J1970" s="112">
        <v>7</v>
      </c>
      <c r="K1970" s="112">
        <v>7</v>
      </c>
      <c r="L1970" s="112">
        <v>7</v>
      </c>
      <c r="M1970" s="112">
        <v>8</v>
      </c>
      <c r="N1970" s="112">
        <v>5</v>
      </c>
      <c r="O1970" s="112">
        <v>4</v>
      </c>
    </row>
    <row r="1971" spans="1:15" x14ac:dyDescent="0.2">
      <c r="A1971" s="111">
        <v>2049</v>
      </c>
      <c r="B1971" s="421" t="s">
        <v>3220</v>
      </c>
      <c r="C1971" s="421" t="s">
        <v>533</v>
      </c>
      <c r="D1971" s="422" t="s">
        <v>666</v>
      </c>
      <c r="E1971" s="111">
        <v>15132</v>
      </c>
      <c r="F1971" s="421" t="s">
        <v>3825</v>
      </c>
      <c r="G1971" s="112">
        <v>1</v>
      </c>
      <c r="H1971" s="112">
        <v>1</v>
      </c>
      <c r="I1971" s="112">
        <v>1</v>
      </c>
      <c r="J1971" s="112">
        <v>1</v>
      </c>
      <c r="K1971" s="112">
        <v>1</v>
      </c>
      <c r="L1971" s="112">
        <v>2</v>
      </c>
    </row>
    <row r="1972" spans="1:15" x14ac:dyDescent="0.2">
      <c r="A1972" s="111">
        <v>2050</v>
      </c>
      <c r="B1972" s="421" t="s">
        <v>3285</v>
      </c>
      <c r="C1972" s="421" t="s">
        <v>519</v>
      </c>
      <c r="D1972" s="422" t="s">
        <v>666</v>
      </c>
      <c r="E1972" s="111">
        <v>15286</v>
      </c>
      <c r="F1972" s="421" t="s">
        <v>3286</v>
      </c>
      <c r="G1972" s="112">
        <v>1</v>
      </c>
      <c r="H1972" s="112">
        <v>1</v>
      </c>
      <c r="I1972" s="112">
        <v>1</v>
      </c>
      <c r="K1972" s="112">
        <v>2</v>
      </c>
      <c r="L1972" s="112">
        <v>2</v>
      </c>
    </row>
    <row r="1973" spans="1:15" x14ac:dyDescent="0.2">
      <c r="A1973" s="111">
        <v>2051</v>
      </c>
      <c r="B1973" s="421" t="s">
        <v>334</v>
      </c>
      <c r="C1973" s="421" t="s">
        <v>501</v>
      </c>
      <c r="D1973" s="422" t="s">
        <v>666</v>
      </c>
      <c r="E1973" s="111">
        <v>15129</v>
      </c>
      <c r="F1973" s="421" t="s">
        <v>3221</v>
      </c>
      <c r="G1973" s="112">
        <v>1</v>
      </c>
      <c r="H1973" s="112">
        <v>1</v>
      </c>
      <c r="I1973" s="112">
        <v>1</v>
      </c>
      <c r="J1973" s="112">
        <v>3</v>
      </c>
      <c r="K1973" s="112">
        <v>5</v>
      </c>
      <c r="L1973" s="112">
        <v>4</v>
      </c>
      <c r="M1973" s="112">
        <v>4</v>
      </c>
      <c r="N1973" s="112">
        <v>1</v>
      </c>
      <c r="O1973" s="112">
        <v>3</v>
      </c>
    </row>
    <row r="1974" spans="1:15" x14ac:dyDescent="0.2">
      <c r="A1974" s="111">
        <v>2052</v>
      </c>
      <c r="B1974" s="421" t="s">
        <v>3084</v>
      </c>
      <c r="C1974" s="421" t="s">
        <v>501</v>
      </c>
      <c r="D1974" s="422" t="s">
        <v>666</v>
      </c>
      <c r="E1974" s="111">
        <v>15135</v>
      </c>
      <c r="F1974" s="421" t="s">
        <v>3222</v>
      </c>
      <c r="G1974" s="112">
        <v>1</v>
      </c>
      <c r="H1974" s="112">
        <v>1</v>
      </c>
      <c r="I1974" s="112">
        <v>1</v>
      </c>
      <c r="J1974" s="112">
        <v>1</v>
      </c>
      <c r="K1974" s="112">
        <v>1</v>
      </c>
      <c r="L1974" s="112">
        <v>1</v>
      </c>
      <c r="M1974" s="112">
        <v>1</v>
      </c>
      <c r="O1974" s="112">
        <v>1</v>
      </c>
    </row>
    <row r="1975" spans="1:15" x14ac:dyDescent="0.2">
      <c r="A1975" s="111">
        <v>2053</v>
      </c>
      <c r="B1975" s="421" t="s">
        <v>3223</v>
      </c>
      <c r="C1975" s="421" t="s">
        <v>551</v>
      </c>
      <c r="D1975" s="422" t="s">
        <v>663</v>
      </c>
      <c r="F1975" s="421" t="s">
        <v>3224</v>
      </c>
      <c r="G1975" s="112">
        <v>1</v>
      </c>
      <c r="I1975" s="112">
        <v>1</v>
      </c>
    </row>
    <row r="1976" spans="1:15" x14ac:dyDescent="0.2">
      <c r="A1976" s="111">
        <v>2054</v>
      </c>
      <c r="B1976" s="421" t="s">
        <v>3225</v>
      </c>
      <c r="C1976" s="421" t="s">
        <v>551</v>
      </c>
      <c r="D1976" s="422" t="s">
        <v>666</v>
      </c>
      <c r="F1976" s="421" t="s">
        <v>3224</v>
      </c>
      <c r="G1976" s="112">
        <v>1</v>
      </c>
      <c r="H1976" s="112">
        <v>1</v>
      </c>
      <c r="I1976" s="112">
        <v>1</v>
      </c>
    </row>
    <row r="1977" spans="1:15" x14ac:dyDescent="0.2">
      <c r="A1977" s="111">
        <v>2055</v>
      </c>
      <c r="B1977" s="421" t="s">
        <v>326</v>
      </c>
      <c r="C1977" s="421" t="s">
        <v>551</v>
      </c>
      <c r="D1977" s="422" t="s">
        <v>666</v>
      </c>
      <c r="E1977" s="111">
        <v>14484</v>
      </c>
      <c r="F1977" s="421" t="s">
        <v>1468</v>
      </c>
      <c r="G1977" s="112">
        <v>1</v>
      </c>
      <c r="H1977" s="112">
        <v>1</v>
      </c>
      <c r="I1977" s="112">
        <v>1</v>
      </c>
    </row>
    <row r="1978" spans="1:15" x14ac:dyDescent="0.2">
      <c r="A1978" s="111">
        <v>2056</v>
      </c>
      <c r="B1978" s="421" t="s">
        <v>3226</v>
      </c>
      <c r="C1978" s="421" t="s">
        <v>566</v>
      </c>
      <c r="D1978" s="422" t="s">
        <v>666</v>
      </c>
      <c r="F1978" s="421" t="s">
        <v>3227</v>
      </c>
      <c r="G1978" s="112">
        <v>1</v>
      </c>
      <c r="H1978" s="112">
        <v>1</v>
      </c>
      <c r="I1978" s="112">
        <v>1</v>
      </c>
      <c r="J1978" s="112">
        <v>1</v>
      </c>
    </row>
    <row r="1979" spans="1:15" x14ac:dyDescent="0.2">
      <c r="A1979" s="111">
        <v>2057</v>
      </c>
      <c r="B1979" s="421" t="s">
        <v>3228</v>
      </c>
      <c r="C1979" s="421" t="s">
        <v>503</v>
      </c>
      <c r="D1979" s="422" t="s">
        <v>663</v>
      </c>
      <c r="E1979" s="111">
        <v>15134</v>
      </c>
      <c r="F1979" s="421" t="s">
        <v>3229</v>
      </c>
      <c r="G1979" s="112">
        <v>1</v>
      </c>
      <c r="H1979" s="112">
        <v>1</v>
      </c>
      <c r="I1979" s="112">
        <v>1</v>
      </c>
    </row>
    <row r="1980" spans="1:15" x14ac:dyDescent="0.2">
      <c r="A1980" s="111">
        <v>2058</v>
      </c>
      <c r="B1980" s="421" t="s">
        <v>1617</v>
      </c>
      <c r="C1980" s="421" t="s">
        <v>17459</v>
      </c>
      <c r="D1980" s="422" t="s">
        <v>666</v>
      </c>
      <c r="F1980" s="421" t="s">
        <v>3230</v>
      </c>
      <c r="G1980" s="112">
        <v>1</v>
      </c>
      <c r="H1980" s="112">
        <v>1</v>
      </c>
    </row>
    <row r="1981" spans="1:15" x14ac:dyDescent="0.2">
      <c r="A1981" s="111">
        <v>2059</v>
      </c>
      <c r="B1981" s="421" t="s">
        <v>313</v>
      </c>
      <c r="C1981" s="421" t="s">
        <v>526</v>
      </c>
      <c r="D1981" s="422" t="s">
        <v>663</v>
      </c>
      <c r="E1981" s="111">
        <v>15069</v>
      </c>
      <c r="F1981" s="421" t="s">
        <v>969</v>
      </c>
      <c r="G1981" s="112">
        <v>1</v>
      </c>
      <c r="H1981" s="112">
        <v>1</v>
      </c>
      <c r="I1981" s="112">
        <v>1</v>
      </c>
      <c r="J1981" s="112">
        <v>7</v>
      </c>
      <c r="K1981" s="112">
        <v>7</v>
      </c>
      <c r="L1981" s="112">
        <v>7</v>
      </c>
      <c r="M1981" s="112">
        <v>3</v>
      </c>
      <c r="N1981" s="112">
        <v>4</v>
      </c>
      <c r="O1981" s="112">
        <v>3</v>
      </c>
    </row>
    <row r="1982" spans="1:15" x14ac:dyDescent="0.2">
      <c r="A1982" s="111">
        <v>2060</v>
      </c>
      <c r="B1982" s="421" t="s">
        <v>3231</v>
      </c>
      <c r="C1982" s="421" t="s">
        <v>514</v>
      </c>
      <c r="D1982" s="422" t="s">
        <v>663</v>
      </c>
      <c r="E1982" s="111">
        <v>15133</v>
      </c>
      <c r="F1982" s="421" t="s">
        <v>3232</v>
      </c>
      <c r="G1982" s="112">
        <v>1</v>
      </c>
      <c r="H1982" s="112">
        <v>1</v>
      </c>
      <c r="I1982" s="112">
        <v>1</v>
      </c>
    </row>
    <row r="1983" spans="1:15" x14ac:dyDescent="0.2">
      <c r="A1983" s="111">
        <v>2061</v>
      </c>
      <c r="B1983" s="421" t="s">
        <v>3233</v>
      </c>
      <c r="C1983" s="421" t="s">
        <v>510</v>
      </c>
      <c r="D1983" s="422" t="s">
        <v>666</v>
      </c>
      <c r="F1983" s="421" t="s">
        <v>3234</v>
      </c>
      <c r="G1983" s="112">
        <v>1</v>
      </c>
      <c r="H1983" s="112">
        <v>1</v>
      </c>
      <c r="I1983" s="112">
        <v>1</v>
      </c>
    </row>
    <row r="1984" spans="1:15" x14ac:dyDescent="0.2">
      <c r="A1984" s="111">
        <v>2062</v>
      </c>
      <c r="B1984" s="421" t="s">
        <v>2022</v>
      </c>
      <c r="C1984" s="421" t="s">
        <v>503</v>
      </c>
      <c r="D1984" s="422" t="s">
        <v>663</v>
      </c>
      <c r="F1984" s="421" t="s">
        <v>3234</v>
      </c>
    </row>
    <row r="1985" spans="1:15" x14ac:dyDescent="0.2">
      <c r="A1985" s="111">
        <v>2063</v>
      </c>
      <c r="B1985" s="421" t="s">
        <v>1292</v>
      </c>
      <c r="C1985" s="421" t="s">
        <v>503</v>
      </c>
      <c r="D1985" s="422" t="s">
        <v>663</v>
      </c>
      <c r="F1985" s="421" t="s">
        <v>3234</v>
      </c>
      <c r="G1985" s="112">
        <v>1</v>
      </c>
      <c r="H1985" s="112">
        <v>1</v>
      </c>
      <c r="I1985" s="112">
        <v>1</v>
      </c>
    </row>
    <row r="1986" spans="1:15" x14ac:dyDescent="0.2">
      <c r="A1986" s="111">
        <v>2064</v>
      </c>
      <c r="B1986" s="421" t="s">
        <v>3235</v>
      </c>
      <c r="C1986" s="421" t="s">
        <v>566</v>
      </c>
      <c r="D1986" s="422" t="s">
        <v>663</v>
      </c>
      <c r="F1986" s="421" t="s">
        <v>3236</v>
      </c>
      <c r="G1986" s="112">
        <v>1</v>
      </c>
      <c r="H1986" s="112">
        <v>1</v>
      </c>
      <c r="I1986" s="112">
        <v>1</v>
      </c>
    </row>
    <row r="1987" spans="1:15" x14ac:dyDescent="0.2">
      <c r="A1987" s="111">
        <v>2065</v>
      </c>
      <c r="B1987" s="421" t="s">
        <v>3237</v>
      </c>
      <c r="C1987" s="421" t="s">
        <v>1211</v>
      </c>
      <c r="D1987" s="422" t="s">
        <v>666</v>
      </c>
      <c r="F1987" s="421" t="s">
        <v>3238</v>
      </c>
    </row>
    <row r="1988" spans="1:15" x14ac:dyDescent="0.2">
      <c r="A1988" s="111">
        <v>2066</v>
      </c>
      <c r="B1988" s="421" t="s">
        <v>3239</v>
      </c>
      <c r="C1988" s="421" t="s">
        <v>582</v>
      </c>
      <c r="D1988" s="422" t="s">
        <v>663</v>
      </c>
      <c r="F1988" s="421" t="s">
        <v>3240</v>
      </c>
      <c r="G1988" s="112">
        <v>1</v>
      </c>
      <c r="H1988" s="112">
        <v>1</v>
      </c>
      <c r="J1988" s="112">
        <v>1</v>
      </c>
    </row>
    <row r="1989" spans="1:15" x14ac:dyDescent="0.2">
      <c r="A1989" s="111">
        <v>2067</v>
      </c>
      <c r="B1989" s="421" t="s">
        <v>1423</v>
      </c>
      <c r="C1989" s="421" t="s">
        <v>501</v>
      </c>
      <c r="D1989" s="422" t="s">
        <v>663</v>
      </c>
      <c r="E1989" s="111">
        <v>16022</v>
      </c>
      <c r="F1989" s="421" t="s">
        <v>3241</v>
      </c>
      <c r="G1989" s="112">
        <v>1</v>
      </c>
      <c r="I1989" s="112">
        <v>1</v>
      </c>
      <c r="J1989" s="112">
        <v>1</v>
      </c>
    </row>
    <row r="1990" spans="1:15" x14ac:dyDescent="0.2">
      <c r="A1990" s="111">
        <v>2068</v>
      </c>
      <c r="B1990" s="421" t="s">
        <v>3242</v>
      </c>
      <c r="C1990" s="421" t="s">
        <v>551</v>
      </c>
      <c r="D1990" s="422" t="s">
        <v>663</v>
      </c>
      <c r="E1990" s="111">
        <v>15851</v>
      </c>
      <c r="F1990" s="421" t="s">
        <v>3243</v>
      </c>
      <c r="G1990" s="112">
        <v>1</v>
      </c>
      <c r="H1990" s="112">
        <v>1</v>
      </c>
      <c r="I1990" s="112">
        <v>1</v>
      </c>
      <c r="J1990" s="112">
        <v>2</v>
      </c>
      <c r="K1990" s="112">
        <v>2</v>
      </c>
      <c r="L1990" s="112">
        <v>3</v>
      </c>
      <c r="M1990" s="112">
        <v>2</v>
      </c>
      <c r="N1990" s="112">
        <v>1</v>
      </c>
      <c r="O1990" s="112">
        <v>1</v>
      </c>
    </row>
    <row r="1991" spans="1:15" x14ac:dyDescent="0.2">
      <c r="A1991" s="111">
        <v>2069</v>
      </c>
      <c r="B1991" s="421" t="s">
        <v>3244</v>
      </c>
      <c r="C1991" s="421" t="s">
        <v>572</v>
      </c>
      <c r="D1991" s="422" t="s">
        <v>663</v>
      </c>
      <c r="E1991" s="111">
        <v>15396</v>
      </c>
      <c r="F1991" s="421" t="s">
        <v>3245</v>
      </c>
      <c r="G1991" s="112">
        <v>1</v>
      </c>
      <c r="H1991" s="112">
        <v>1</v>
      </c>
      <c r="I1991" s="112">
        <v>1</v>
      </c>
    </row>
    <row r="1992" spans="1:15" x14ac:dyDescent="0.2">
      <c r="A1992" s="111">
        <v>2070</v>
      </c>
      <c r="B1992" s="421" t="s">
        <v>3246</v>
      </c>
      <c r="C1992" s="421" t="s">
        <v>506</v>
      </c>
      <c r="D1992" s="422" t="s">
        <v>666</v>
      </c>
      <c r="E1992" s="111">
        <v>15806</v>
      </c>
      <c r="F1992" s="421" t="s">
        <v>3247</v>
      </c>
      <c r="H1992" s="112">
        <v>1</v>
      </c>
    </row>
    <row r="1993" spans="1:15" x14ac:dyDescent="0.2">
      <c r="A1993" s="111">
        <v>2071</v>
      </c>
      <c r="B1993" s="421" t="s">
        <v>2807</v>
      </c>
      <c r="C1993" s="421" t="s">
        <v>530</v>
      </c>
      <c r="D1993" s="422" t="s">
        <v>666</v>
      </c>
      <c r="E1993" s="111">
        <v>15139</v>
      </c>
      <c r="F1993" s="421" t="s">
        <v>3248</v>
      </c>
      <c r="G1993" s="112">
        <v>1</v>
      </c>
      <c r="H1993" s="112">
        <v>1</v>
      </c>
      <c r="I1993" s="112">
        <v>1</v>
      </c>
      <c r="J1993" s="112">
        <v>8</v>
      </c>
      <c r="K1993" s="112">
        <v>8</v>
      </c>
      <c r="L1993" s="112">
        <v>8</v>
      </c>
      <c r="M1993" s="112">
        <v>12</v>
      </c>
      <c r="N1993" s="112">
        <v>8</v>
      </c>
      <c r="O1993" s="112">
        <v>8</v>
      </c>
    </row>
    <row r="1994" spans="1:15" x14ac:dyDescent="0.2">
      <c r="A1994" s="111">
        <v>2072</v>
      </c>
      <c r="B1994" s="421" t="s">
        <v>301</v>
      </c>
      <c r="C1994" s="421" t="s">
        <v>523</v>
      </c>
      <c r="D1994" s="422" t="s">
        <v>666</v>
      </c>
      <c r="E1994" s="111">
        <v>14903</v>
      </c>
      <c r="F1994" s="421" t="s">
        <v>2662</v>
      </c>
      <c r="G1994" s="112">
        <v>1</v>
      </c>
      <c r="H1994" s="112">
        <v>1</v>
      </c>
      <c r="I1994" s="112">
        <v>1</v>
      </c>
    </row>
    <row r="1995" spans="1:15" x14ac:dyDescent="0.2">
      <c r="A1995" s="111">
        <v>2073</v>
      </c>
      <c r="B1995" s="421" t="s">
        <v>2301</v>
      </c>
      <c r="C1995" s="421" t="s">
        <v>501</v>
      </c>
      <c r="D1995" s="422" t="s">
        <v>663</v>
      </c>
      <c r="E1995" s="111">
        <v>15142</v>
      </c>
      <c r="F1995" s="421" t="s">
        <v>3249</v>
      </c>
      <c r="G1995" s="112">
        <v>2</v>
      </c>
      <c r="H1995" s="112">
        <v>1</v>
      </c>
      <c r="I1995" s="112">
        <v>1</v>
      </c>
      <c r="J1995" s="112">
        <v>10</v>
      </c>
      <c r="K1995" s="112">
        <v>9</v>
      </c>
      <c r="L1995" s="112">
        <v>7</v>
      </c>
      <c r="M1995" s="112">
        <v>3</v>
      </c>
      <c r="N1995" s="112">
        <v>3</v>
      </c>
      <c r="O1995" s="112">
        <v>3</v>
      </c>
    </row>
    <row r="1996" spans="1:15" x14ac:dyDescent="0.2">
      <c r="A1996" s="111">
        <v>2074</v>
      </c>
      <c r="B1996" s="421" t="s">
        <v>3250</v>
      </c>
      <c r="C1996" s="421" t="s">
        <v>551</v>
      </c>
      <c r="D1996" s="422" t="s">
        <v>663</v>
      </c>
      <c r="E1996" s="111">
        <v>15142</v>
      </c>
      <c r="F1996" s="421" t="s">
        <v>3249</v>
      </c>
      <c r="G1996" s="112">
        <v>3</v>
      </c>
      <c r="H1996" s="112">
        <v>1</v>
      </c>
      <c r="I1996" s="112">
        <v>1</v>
      </c>
      <c r="J1996" s="112">
        <v>6</v>
      </c>
      <c r="K1996" s="112">
        <v>6</v>
      </c>
      <c r="L1996" s="112">
        <v>6</v>
      </c>
      <c r="M1996" s="112">
        <v>8</v>
      </c>
      <c r="N1996" s="112">
        <v>4</v>
      </c>
      <c r="O1996" s="112">
        <v>5</v>
      </c>
    </row>
    <row r="1997" spans="1:15" x14ac:dyDescent="0.2">
      <c r="A1997" s="111">
        <v>2075</v>
      </c>
      <c r="B1997" s="421" t="s">
        <v>3251</v>
      </c>
      <c r="C1997" s="421" t="s">
        <v>506</v>
      </c>
      <c r="D1997" s="422" t="s">
        <v>663</v>
      </c>
      <c r="E1997" s="111">
        <v>15143</v>
      </c>
      <c r="F1997" s="421" t="s">
        <v>3252</v>
      </c>
    </row>
    <row r="1998" spans="1:15" x14ac:dyDescent="0.2">
      <c r="A1998" s="111">
        <v>2076</v>
      </c>
      <c r="B1998" s="421" t="s">
        <v>172</v>
      </c>
      <c r="C1998" s="421" t="s">
        <v>506</v>
      </c>
      <c r="D1998" s="422" t="s">
        <v>663</v>
      </c>
      <c r="E1998" s="111">
        <v>14841</v>
      </c>
      <c r="F1998" s="421" t="s">
        <v>2302</v>
      </c>
      <c r="G1998" s="112">
        <v>1</v>
      </c>
      <c r="H1998" s="112">
        <v>1</v>
      </c>
      <c r="I1998" s="112">
        <v>1</v>
      </c>
      <c r="J1998" s="112">
        <v>1</v>
      </c>
      <c r="L1998" s="112">
        <v>2</v>
      </c>
    </row>
    <row r="1999" spans="1:15" x14ac:dyDescent="0.2">
      <c r="A1999" s="111">
        <v>2077</v>
      </c>
      <c r="B1999" s="421" t="s">
        <v>3253</v>
      </c>
      <c r="C1999" s="421" t="s">
        <v>551</v>
      </c>
      <c r="D1999" s="422" t="s">
        <v>666</v>
      </c>
      <c r="F1999" s="421" t="s">
        <v>3254</v>
      </c>
      <c r="G1999" s="112">
        <v>1</v>
      </c>
      <c r="H1999" s="112">
        <v>1</v>
      </c>
      <c r="I1999" s="112">
        <v>1</v>
      </c>
    </row>
    <row r="2000" spans="1:15" x14ac:dyDescent="0.2">
      <c r="A2000" s="111">
        <v>2078</v>
      </c>
      <c r="B2000" s="421" t="s">
        <v>1543</v>
      </c>
      <c r="C2000" s="421" t="s">
        <v>502</v>
      </c>
      <c r="D2000" s="422" t="s">
        <v>663</v>
      </c>
      <c r="E2000" s="111">
        <v>15146</v>
      </c>
      <c r="F2000" s="421" t="s">
        <v>3256</v>
      </c>
      <c r="G2000" s="112">
        <v>2</v>
      </c>
      <c r="H2000" s="112">
        <v>3</v>
      </c>
      <c r="I2000" s="112">
        <v>2</v>
      </c>
      <c r="J2000" s="112">
        <v>1</v>
      </c>
    </row>
    <row r="2001" spans="1:15" x14ac:dyDescent="0.2">
      <c r="A2001" s="111">
        <v>2079</v>
      </c>
      <c r="B2001" s="421" t="s">
        <v>3257</v>
      </c>
      <c r="C2001" s="421" t="s">
        <v>501</v>
      </c>
      <c r="D2001" s="422" t="s">
        <v>666</v>
      </c>
      <c r="E2001" s="111">
        <v>15808</v>
      </c>
      <c r="F2001" s="421" t="s">
        <v>3258</v>
      </c>
      <c r="G2001" s="112">
        <v>1</v>
      </c>
      <c r="H2001" s="112">
        <v>1</v>
      </c>
      <c r="I2001" s="112">
        <v>1</v>
      </c>
      <c r="J2001" s="112">
        <v>10</v>
      </c>
      <c r="K2001" s="112">
        <v>10</v>
      </c>
      <c r="L2001" s="112">
        <v>11</v>
      </c>
      <c r="M2001" s="112">
        <v>28</v>
      </c>
      <c r="N2001" s="112">
        <v>18</v>
      </c>
      <c r="O2001" s="112">
        <v>26</v>
      </c>
    </row>
    <row r="2002" spans="1:15" x14ac:dyDescent="0.2">
      <c r="A2002" s="111">
        <v>2080</v>
      </c>
      <c r="B2002" s="421" t="s">
        <v>1606</v>
      </c>
      <c r="C2002" s="421" t="s">
        <v>502</v>
      </c>
      <c r="D2002" s="422" t="s">
        <v>666</v>
      </c>
      <c r="E2002" s="111">
        <v>14138</v>
      </c>
      <c r="F2002" s="421" t="s">
        <v>829</v>
      </c>
    </row>
    <row r="2003" spans="1:15" x14ac:dyDescent="0.2">
      <c r="A2003" s="111">
        <v>2081</v>
      </c>
      <c r="B2003" s="421" t="s">
        <v>3259</v>
      </c>
      <c r="C2003" s="421" t="s">
        <v>551</v>
      </c>
      <c r="D2003" s="422" t="s">
        <v>666</v>
      </c>
      <c r="F2003" s="421" t="s">
        <v>3260</v>
      </c>
    </row>
    <row r="2004" spans="1:15" x14ac:dyDescent="0.2">
      <c r="A2004" s="111">
        <v>2082</v>
      </c>
      <c r="B2004" s="421" t="s">
        <v>3261</v>
      </c>
      <c r="C2004" s="421" t="s">
        <v>510</v>
      </c>
      <c r="D2004" s="422" t="s">
        <v>663</v>
      </c>
      <c r="E2004" s="111">
        <v>15150</v>
      </c>
      <c r="F2004" s="421" t="s">
        <v>3262</v>
      </c>
      <c r="G2004" s="112">
        <v>1</v>
      </c>
      <c r="H2004" s="112">
        <v>1</v>
      </c>
      <c r="I2004" s="112">
        <v>1</v>
      </c>
      <c r="J2004" s="112">
        <v>7</v>
      </c>
      <c r="K2004" s="112">
        <v>8</v>
      </c>
      <c r="L2004" s="112">
        <v>8</v>
      </c>
      <c r="M2004" s="112">
        <v>10</v>
      </c>
      <c r="N2004" s="112">
        <v>8</v>
      </c>
      <c r="O2004" s="112">
        <v>10</v>
      </c>
    </row>
    <row r="2005" spans="1:15" x14ac:dyDescent="0.2">
      <c r="A2005" s="111">
        <v>2083</v>
      </c>
      <c r="B2005" s="421" t="s">
        <v>3263</v>
      </c>
      <c r="C2005" s="421" t="s">
        <v>3383</v>
      </c>
      <c r="D2005" s="422" t="s">
        <v>663</v>
      </c>
      <c r="F2005" s="421" t="s">
        <v>3264</v>
      </c>
      <c r="G2005" s="112">
        <v>1</v>
      </c>
    </row>
    <row r="2006" spans="1:15" x14ac:dyDescent="0.2">
      <c r="A2006" s="111">
        <v>2084</v>
      </c>
      <c r="B2006" s="421" t="s">
        <v>3265</v>
      </c>
      <c r="C2006" s="421" t="s">
        <v>532</v>
      </c>
      <c r="D2006" s="422" t="s">
        <v>663</v>
      </c>
      <c r="F2006" s="421" t="s">
        <v>3264</v>
      </c>
      <c r="I2006" s="112">
        <v>1</v>
      </c>
    </row>
    <row r="2007" spans="1:15" x14ac:dyDescent="0.2">
      <c r="A2007" s="111">
        <v>2085</v>
      </c>
      <c r="B2007" s="421" t="s">
        <v>3266</v>
      </c>
      <c r="C2007" s="421" t="s">
        <v>501</v>
      </c>
      <c r="D2007" s="422" t="s">
        <v>666</v>
      </c>
      <c r="F2007" s="421" t="s">
        <v>3267</v>
      </c>
      <c r="G2007" s="112">
        <v>1</v>
      </c>
      <c r="H2007" s="112">
        <v>1</v>
      </c>
      <c r="I2007" s="112">
        <v>1</v>
      </c>
      <c r="J2007" s="112">
        <v>1</v>
      </c>
      <c r="L2007" s="112">
        <v>1</v>
      </c>
    </row>
    <row r="2008" spans="1:15" x14ac:dyDescent="0.2">
      <c r="A2008" s="111">
        <v>2086</v>
      </c>
      <c r="B2008" s="421" t="s">
        <v>3268</v>
      </c>
      <c r="C2008" s="421" t="s">
        <v>501</v>
      </c>
      <c r="D2008" s="422" t="s">
        <v>666</v>
      </c>
      <c r="E2008" s="111">
        <v>15197</v>
      </c>
      <c r="F2008" s="421" t="s">
        <v>3269</v>
      </c>
      <c r="G2008" s="112">
        <v>1</v>
      </c>
      <c r="H2008" s="112">
        <v>1</v>
      </c>
      <c r="I2008" s="112">
        <v>1</v>
      </c>
      <c r="J2008" s="112">
        <v>21</v>
      </c>
      <c r="K2008" s="112">
        <v>16</v>
      </c>
      <c r="L2008" s="112">
        <v>16</v>
      </c>
      <c r="M2008" s="112">
        <v>18</v>
      </c>
      <c r="N2008" s="112">
        <v>13</v>
      </c>
      <c r="O2008" s="112">
        <v>17</v>
      </c>
    </row>
    <row r="2009" spans="1:15" x14ac:dyDescent="0.2">
      <c r="A2009" s="111">
        <v>2087</v>
      </c>
      <c r="B2009" s="421" t="s">
        <v>3270</v>
      </c>
      <c r="C2009" s="421" t="s">
        <v>554</v>
      </c>
      <c r="D2009" s="422" t="s">
        <v>663</v>
      </c>
      <c r="E2009" s="111">
        <v>14527</v>
      </c>
      <c r="F2009" s="421" t="s">
        <v>3526</v>
      </c>
    </row>
    <row r="2010" spans="1:15" x14ac:dyDescent="0.2">
      <c r="A2010" s="111">
        <v>2088</v>
      </c>
      <c r="B2010" s="421" t="s">
        <v>3271</v>
      </c>
      <c r="C2010" s="421" t="s">
        <v>513</v>
      </c>
      <c r="D2010" s="422" t="s">
        <v>663</v>
      </c>
      <c r="E2010" s="111">
        <v>15149</v>
      </c>
      <c r="F2010" s="421" t="s">
        <v>3272</v>
      </c>
      <c r="I2010" s="112">
        <v>1</v>
      </c>
      <c r="J2010" s="112">
        <v>1</v>
      </c>
    </row>
    <row r="2011" spans="1:15" x14ac:dyDescent="0.2">
      <c r="A2011" s="111">
        <v>2089</v>
      </c>
      <c r="B2011" s="421" t="s">
        <v>3273</v>
      </c>
      <c r="C2011" s="421" t="s">
        <v>513</v>
      </c>
      <c r="D2011" s="422" t="s">
        <v>666</v>
      </c>
      <c r="E2011" s="111">
        <v>15149</v>
      </c>
      <c r="F2011" s="421" t="s">
        <v>3272</v>
      </c>
    </row>
    <row r="2012" spans="1:15" x14ac:dyDescent="0.2">
      <c r="A2012" s="111">
        <v>2090</v>
      </c>
      <c r="B2012" s="421" t="s">
        <v>1254</v>
      </c>
      <c r="C2012" s="421" t="s">
        <v>577</v>
      </c>
      <c r="D2012" s="422" t="s">
        <v>663</v>
      </c>
      <c r="E2012" s="111">
        <v>16033</v>
      </c>
      <c r="F2012" s="421" t="s">
        <v>3274</v>
      </c>
      <c r="G2012" s="112">
        <v>1</v>
      </c>
      <c r="H2012" s="112">
        <v>1</v>
      </c>
      <c r="I2012" s="112">
        <v>1</v>
      </c>
      <c r="J2012" s="112">
        <v>4</v>
      </c>
      <c r="K2012" s="112">
        <v>4</v>
      </c>
      <c r="L2012" s="112">
        <v>4</v>
      </c>
      <c r="M2012" s="112">
        <v>2</v>
      </c>
      <c r="N2012" s="112">
        <v>2</v>
      </c>
      <c r="O2012" s="112">
        <v>2</v>
      </c>
    </row>
    <row r="2013" spans="1:15" x14ac:dyDescent="0.2">
      <c r="A2013" s="111">
        <v>2091</v>
      </c>
      <c r="B2013" s="421" t="s">
        <v>237</v>
      </c>
      <c r="C2013" s="421" t="s">
        <v>1447</v>
      </c>
      <c r="D2013" s="422" t="s">
        <v>663</v>
      </c>
      <c r="E2013" s="111">
        <v>15842</v>
      </c>
      <c r="F2013" s="421" t="s">
        <v>3275</v>
      </c>
      <c r="G2013" s="112">
        <v>1</v>
      </c>
      <c r="H2013" s="112">
        <v>1</v>
      </c>
      <c r="I2013" s="112">
        <v>1</v>
      </c>
      <c r="J2013" s="112">
        <v>2</v>
      </c>
      <c r="K2013" s="112">
        <v>2</v>
      </c>
      <c r="L2013" s="112">
        <v>1</v>
      </c>
      <c r="M2013" s="112">
        <v>1</v>
      </c>
      <c r="N2013" s="112">
        <v>1</v>
      </c>
    </row>
    <row r="2014" spans="1:15" x14ac:dyDescent="0.2">
      <c r="A2014" s="111">
        <v>2092</v>
      </c>
      <c r="B2014" s="421" t="s">
        <v>3276</v>
      </c>
      <c r="C2014" s="421" t="s">
        <v>1447</v>
      </c>
      <c r="D2014" s="422" t="s">
        <v>666</v>
      </c>
      <c r="E2014" s="111">
        <v>15950</v>
      </c>
      <c r="F2014" s="421" t="s">
        <v>3277</v>
      </c>
      <c r="G2014" s="112">
        <v>1</v>
      </c>
      <c r="H2014" s="112">
        <v>1</v>
      </c>
      <c r="I2014" s="112">
        <v>1</v>
      </c>
    </row>
    <row r="2015" spans="1:15" x14ac:dyDescent="0.2">
      <c r="A2015" s="111">
        <v>2093</v>
      </c>
      <c r="B2015" s="421" t="s">
        <v>3278</v>
      </c>
      <c r="C2015" s="421" t="s">
        <v>510</v>
      </c>
      <c r="D2015" s="422" t="s">
        <v>663</v>
      </c>
      <c r="F2015" s="421" t="s">
        <v>3279</v>
      </c>
      <c r="G2015" s="112">
        <v>1</v>
      </c>
      <c r="H2015" s="112">
        <v>1</v>
      </c>
      <c r="I2015" s="112">
        <v>1</v>
      </c>
    </row>
    <row r="2016" spans="1:15" x14ac:dyDescent="0.2">
      <c r="A2016" s="111">
        <v>2094</v>
      </c>
      <c r="B2016" s="421" t="s">
        <v>1954</v>
      </c>
      <c r="C2016" s="421" t="s">
        <v>1447</v>
      </c>
      <c r="D2016" s="422" t="s">
        <v>663</v>
      </c>
      <c r="F2016" s="421" t="s">
        <v>3280</v>
      </c>
      <c r="G2016" s="112">
        <v>1</v>
      </c>
      <c r="H2016" s="112">
        <v>1</v>
      </c>
      <c r="I2016" s="112">
        <v>1</v>
      </c>
    </row>
    <row r="2017" spans="1:15" x14ac:dyDescent="0.2">
      <c r="A2017" s="111">
        <v>2095</v>
      </c>
      <c r="B2017" s="421" t="s">
        <v>3281</v>
      </c>
      <c r="C2017" s="421" t="s">
        <v>585</v>
      </c>
      <c r="D2017" s="422" t="s">
        <v>666</v>
      </c>
      <c r="E2017" s="111">
        <v>15151</v>
      </c>
      <c r="F2017" s="421" t="s">
        <v>3282</v>
      </c>
      <c r="G2017" s="112">
        <v>1</v>
      </c>
      <c r="H2017" s="112">
        <v>1</v>
      </c>
      <c r="I2017" s="112">
        <v>2</v>
      </c>
      <c r="J2017" s="112">
        <v>1</v>
      </c>
      <c r="K2017" s="112">
        <v>1</v>
      </c>
      <c r="L2017" s="112">
        <v>1</v>
      </c>
      <c r="M2017" s="112">
        <v>2</v>
      </c>
    </row>
    <row r="2018" spans="1:15" x14ac:dyDescent="0.2">
      <c r="A2018" s="111">
        <v>2096</v>
      </c>
      <c r="B2018" s="421" t="s">
        <v>599</v>
      </c>
      <c r="C2018" s="421" t="s">
        <v>585</v>
      </c>
      <c r="D2018" s="422" t="s">
        <v>666</v>
      </c>
      <c r="E2018" s="111">
        <v>15151</v>
      </c>
      <c r="F2018" s="421" t="s">
        <v>3282</v>
      </c>
      <c r="G2018" s="112">
        <v>2</v>
      </c>
      <c r="H2018" s="112">
        <v>1</v>
      </c>
      <c r="I2018" s="112">
        <v>1</v>
      </c>
      <c r="J2018" s="112">
        <v>2</v>
      </c>
    </row>
    <row r="2019" spans="1:15" x14ac:dyDescent="0.2">
      <c r="A2019" s="111">
        <v>2097</v>
      </c>
      <c r="B2019" s="421" t="s">
        <v>1387</v>
      </c>
      <c r="C2019" s="421" t="s">
        <v>506</v>
      </c>
      <c r="D2019" s="422" t="s">
        <v>666</v>
      </c>
      <c r="E2019" s="111">
        <v>15911</v>
      </c>
      <c r="F2019" s="421" t="s">
        <v>3287</v>
      </c>
    </row>
    <row r="2020" spans="1:15" x14ac:dyDescent="0.2">
      <c r="A2020" s="111">
        <v>2098</v>
      </c>
      <c r="B2020" s="421" t="s">
        <v>3288</v>
      </c>
      <c r="C2020" s="421" t="s">
        <v>513</v>
      </c>
      <c r="D2020" s="422" t="s">
        <v>666</v>
      </c>
      <c r="E2020" s="111">
        <v>15439</v>
      </c>
      <c r="F2020" s="421" t="s">
        <v>3203</v>
      </c>
      <c r="G2020" s="112">
        <v>1</v>
      </c>
      <c r="H2020" s="112">
        <v>1</v>
      </c>
      <c r="I2020" s="112">
        <v>1</v>
      </c>
    </row>
    <row r="2021" spans="1:15" x14ac:dyDescent="0.2">
      <c r="A2021" s="111">
        <v>2099</v>
      </c>
      <c r="B2021" s="421" t="s">
        <v>440</v>
      </c>
      <c r="C2021" s="421" t="s">
        <v>521</v>
      </c>
      <c r="D2021" s="422" t="s">
        <v>663</v>
      </c>
      <c r="E2021" s="111">
        <v>15137</v>
      </c>
      <c r="F2021" s="421" t="s">
        <v>3289</v>
      </c>
      <c r="G2021" s="112">
        <v>2</v>
      </c>
      <c r="H2021" s="112">
        <v>2</v>
      </c>
      <c r="I2021" s="112">
        <v>1</v>
      </c>
      <c r="J2021" s="112">
        <v>16</v>
      </c>
      <c r="K2021" s="112">
        <v>13</v>
      </c>
      <c r="L2021" s="112">
        <v>11</v>
      </c>
      <c r="M2021" s="112">
        <v>6</v>
      </c>
      <c r="N2021" s="112">
        <v>5</v>
      </c>
      <c r="O2021" s="112">
        <v>3</v>
      </c>
    </row>
    <row r="2022" spans="1:15" x14ac:dyDescent="0.2">
      <c r="A2022" s="111">
        <v>2100</v>
      </c>
      <c r="B2022" s="421" t="s">
        <v>3290</v>
      </c>
      <c r="C2022" s="421" t="s">
        <v>572</v>
      </c>
      <c r="D2022" s="422" t="s">
        <v>663</v>
      </c>
      <c r="F2022" s="421" t="s">
        <v>3291</v>
      </c>
      <c r="G2022" s="112">
        <v>1</v>
      </c>
      <c r="H2022" s="112">
        <v>1</v>
      </c>
      <c r="I2022" s="112">
        <v>1</v>
      </c>
      <c r="K2022" s="112">
        <v>1</v>
      </c>
      <c r="L2022" s="112">
        <v>1</v>
      </c>
    </row>
    <row r="2023" spans="1:15" x14ac:dyDescent="0.2">
      <c r="A2023" s="111">
        <v>2101</v>
      </c>
      <c r="B2023" s="421" t="s">
        <v>3292</v>
      </c>
      <c r="C2023" s="421" t="s">
        <v>550</v>
      </c>
      <c r="D2023" s="422" t="s">
        <v>663</v>
      </c>
      <c r="E2023" s="111">
        <v>15153</v>
      </c>
      <c r="F2023" s="421" t="s">
        <v>3282</v>
      </c>
      <c r="G2023" s="112">
        <v>1</v>
      </c>
      <c r="H2023" s="112">
        <v>2</v>
      </c>
      <c r="I2023" s="112">
        <v>1</v>
      </c>
      <c r="J2023" s="112">
        <v>1</v>
      </c>
      <c r="K2023" s="112">
        <v>1</v>
      </c>
      <c r="L2023" s="112">
        <v>1</v>
      </c>
      <c r="M2023" s="112">
        <v>2</v>
      </c>
    </row>
    <row r="2024" spans="1:15" x14ac:dyDescent="0.2">
      <c r="A2024" s="111">
        <v>2102</v>
      </c>
      <c r="B2024" s="421" t="s">
        <v>284</v>
      </c>
      <c r="C2024" s="421" t="s">
        <v>503</v>
      </c>
      <c r="D2024" s="422" t="s">
        <v>663</v>
      </c>
      <c r="F2024" s="421" t="s">
        <v>3293</v>
      </c>
    </row>
    <row r="2025" spans="1:15" x14ac:dyDescent="0.2">
      <c r="A2025" s="111">
        <v>2103</v>
      </c>
      <c r="B2025" s="421" t="s">
        <v>3294</v>
      </c>
      <c r="C2025" s="421" t="s">
        <v>530</v>
      </c>
      <c r="D2025" s="422" t="s">
        <v>666</v>
      </c>
      <c r="F2025" s="421" t="s">
        <v>3295</v>
      </c>
      <c r="G2025" s="112">
        <v>1</v>
      </c>
      <c r="H2025" s="112">
        <v>1</v>
      </c>
      <c r="I2025" s="112">
        <v>1</v>
      </c>
    </row>
    <row r="2026" spans="1:15" x14ac:dyDescent="0.2">
      <c r="A2026" s="111">
        <v>2104</v>
      </c>
      <c r="B2026" s="421" t="s">
        <v>39</v>
      </c>
      <c r="C2026" s="421" t="s">
        <v>501</v>
      </c>
      <c r="D2026" s="422" t="s">
        <v>663</v>
      </c>
      <c r="E2026" s="111">
        <v>15223</v>
      </c>
      <c r="F2026" s="421" t="s">
        <v>3319</v>
      </c>
      <c r="G2026" s="112">
        <v>1</v>
      </c>
      <c r="H2026" s="112">
        <v>1</v>
      </c>
      <c r="I2026" s="112">
        <v>1</v>
      </c>
      <c r="J2026" s="112">
        <v>5</v>
      </c>
      <c r="K2026" s="112">
        <v>3</v>
      </c>
      <c r="L2026" s="112">
        <v>4</v>
      </c>
    </row>
    <row r="2027" spans="1:15" x14ac:dyDescent="0.2">
      <c r="A2027" s="111">
        <v>2105</v>
      </c>
      <c r="B2027" s="421" t="s">
        <v>3296</v>
      </c>
      <c r="C2027" s="421" t="s">
        <v>501</v>
      </c>
      <c r="D2027" s="422" t="s">
        <v>663</v>
      </c>
      <c r="E2027" s="111">
        <v>15358</v>
      </c>
      <c r="F2027" s="421" t="s">
        <v>3297</v>
      </c>
      <c r="G2027" s="112">
        <v>3</v>
      </c>
      <c r="H2027" s="112">
        <v>3</v>
      </c>
      <c r="I2027" s="112">
        <v>2</v>
      </c>
      <c r="J2027" s="112">
        <v>3</v>
      </c>
      <c r="K2027" s="112">
        <v>3</v>
      </c>
      <c r="L2027" s="112">
        <v>4</v>
      </c>
      <c r="M2027" s="112">
        <v>1</v>
      </c>
      <c r="N2027" s="112">
        <v>1</v>
      </c>
    </row>
    <row r="2028" spans="1:15" x14ac:dyDescent="0.2">
      <c r="A2028" s="111">
        <v>2106</v>
      </c>
      <c r="B2028" s="421" t="s">
        <v>1925</v>
      </c>
      <c r="C2028" s="421" t="s">
        <v>3298</v>
      </c>
      <c r="D2028" s="422" t="s">
        <v>666</v>
      </c>
      <c r="E2028" s="111">
        <v>14982</v>
      </c>
      <c r="F2028" s="421" t="s">
        <v>3299</v>
      </c>
      <c r="G2028" s="112">
        <v>1</v>
      </c>
      <c r="H2028" s="112">
        <v>1</v>
      </c>
      <c r="I2028" s="112">
        <v>1</v>
      </c>
      <c r="J2028" s="112">
        <v>2</v>
      </c>
      <c r="K2028" s="112">
        <v>2</v>
      </c>
      <c r="L2028" s="112">
        <v>2</v>
      </c>
    </row>
    <row r="2029" spans="1:15" x14ac:dyDescent="0.2">
      <c r="A2029" s="111">
        <v>2107</v>
      </c>
      <c r="B2029" s="421" t="s">
        <v>382</v>
      </c>
      <c r="C2029" s="421" t="s">
        <v>503</v>
      </c>
      <c r="D2029" s="422" t="s">
        <v>663</v>
      </c>
      <c r="E2029" s="111">
        <v>15154</v>
      </c>
      <c r="F2029" s="421" t="s">
        <v>3300</v>
      </c>
      <c r="G2029" s="112">
        <v>2</v>
      </c>
      <c r="H2029" s="112">
        <v>1</v>
      </c>
      <c r="I2029" s="112">
        <v>1</v>
      </c>
      <c r="J2029" s="112">
        <v>7</v>
      </c>
      <c r="K2029" s="112">
        <v>7</v>
      </c>
      <c r="L2029" s="112">
        <v>8</v>
      </c>
      <c r="M2029" s="112">
        <v>5</v>
      </c>
      <c r="N2029" s="112">
        <v>3</v>
      </c>
      <c r="O2029" s="112">
        <v>8</v>
      </c>
    </row>
    <row r="2030" spans="1:15" x14ac:dyDescent="0.2">
      <c r="A2030" s="111">
        <v>2108</v>
      </c>
      <c r="B2030" s="421" t="s">
        <v>3301</v>
      </c>
      <c r="C2030" s="421" t="s">
        <v>503</v>
      </c>
      <c r="D2030" s="422" t="s">
        <v>663</v>
      </c>
      <c r="E2030" s="111">
        <v>14169</v>
      </c>
      <c r="F2030" s="421" t="s">
        <v>862</v>
      </c>
    </row>
    <row r="2031" spans="1:15" x14ac:dyDescent="0.2">
      <c r="A2031" s="111">
        <v>2109</v>
      </c>
      <c r="B2031" s="421" t="s">
        <v>3302</v>
      </c>
      <c r="C2031" s="421" t="s">
        <v>1446</v>
      </c>
      <c r="D2031" s="422" t="s">
        <v>666</v>
      </c>
      <c r="E2031" s="111">
        <v>15155</v>
      </c>
      <c r="F2031" s="421" t="s">
        <v>3303</v>
      </c>
      <c r="G2031" s="112">
        <v>1</v>
      </c>
    </row>
    <row r="2032" spans="1:15" x14ac:dyDescent="0.2">
      <c r="A2032" s="111">
        <v>2110</v>
      </c>
      <c r="B2032" s="421" t="s">
        <v>3304</v>
      </c>
      <c r="C2032" s="421" t="s">
        <v>506</v>
      </c>
      <c r="D2032" s="422" t="s">
        <v>663</v>
      </c>
      <c r="E2032" s="111">
        <v>15164</v>
      </c>
      <c r="F2032" s="421" t="s">
        <v>3305</v>
      </c>
      <c r="G2032" s="112">
        <v>2</v>
      </c>
      <c r="H2032" s="112">
        <v>2</v>
      </c>
      <c r="I2032" s="112">
        <v>1</v>
      </c>
    </row>
    <row r="2033" spans="1:15" x14ac:dyDescent="0.2">
      <c r="A2033" s="111">
        <v>2111</v>
      </c>
      <c r="B2033" s="421" t="s">
        <v>430</v>
      </c>
      <c r="C2033" s="421" t="s">
        <v>501</v>
      </c>
      <c r="D2033" s="422" t="s">
        <v>666</v>
      </c>
      <c r="E2033" s="111">
        <v>15181</v>
      </c>
      <c r="F2033" s="421" t="s">
        <v>3320</v>
      </c>
      <c r="H2033" s="112">
        <v>1</v>
      </c>
    </row>
    <row r="2034" spans="1:15" x14ac:dyDescent="0.2">
      <c r="A2034" s="111">
        <v>2112</v>
      </c>
      <c r="B2034" s="421" t="s">
        <v>2759</v>
      </c>
      <c r="C2034" s="421" t="s">
        <v>512</v>
      </c>
      <c r="D2034" s="422" t="s">
        <v>663</v>
      </c>
      <c r="E2034" s="111">
        <v>15156</v>
      </c>
      <c r="F2034" s="421" t="s">
        <v>3306</v>
      </c>
      <c r="G2034" s="112">
        <v>1</v>
      </c>
      <c r="H2034" s="112">
        <v>1</v>
      </c>
      <c r="I2034" s="112">
        <v>1</v>
      </c>
    </row>
    <row r="2035" spans="1:15" x14ac:dyDescent="0.2">
      <c r="A2035" s="111">
        <v>2113</v>
      </c>
      <c r="B2035" s="421" t="s">
        <v>443</v>
      </c>
      <c r="C2035" s="421" t="s">
        <v>512</v>
      </c>
      <c r="D2035" s="422" t="s">
        <v>663</v>
      </c>
      <c r="E2035" s="111">
        <v>15156</v>
      </c>
      <c r="F2035" s="421" t="s">
        <v>3306</v>
      </c>
      <c r="H2035" s="112">
        <v>1</v>
      </c>
      <c r="I2035" s="112">
        <v>1</v>
      </c>
    </row>
    <row r="2036" spans="1:15" x14ac:dyDescent="0.2">
      <c r="A2036" s="111">
        <v>2114</v>
      </c>
      <c r="B2036" s="421" t="s">
        <v>3307</v>
      </c>
      <c r="C2036" s="421" t="s">
        <v>516</v>
      </c>
      <c r="D2036" s="422" t="s">
        <v>666</v>
      </c>
      <c r="E2036" s="111">
        <v>15157</v>
      </c>
      <c r="F2036" s="421" t="s">
        <v>3308</v>
      </c>
      <c r="G2036" s="112">
        <v>1</v>
      </c>
      <c r="H2036" s="112">
        <v>1</v>
      </c>
      <c r="I2036" s="112">
        <v>1</v>
      </c>
    </row>
    <row r="2037" spans="1:15" x14ac:dyDescent="0.2">
      <c r="A2037" s="111">
        <v>2115</v>
      </c>
      <c r="B2037" s="421" t="s">
        <v>3309</v>
      </c>
      <c r="C2037" s="421" t="s">
        <v>2340</v>
      </c>
      <c r="D2037" s="422" t="s">
        <v>666</v>
      </c>
      <c r="E2037" s="111">
        <v>14954</v>
      </c>
      <c r="F2037" s="421" t="s">
        <v>5269</v>
      </c>
      <c r="G2037" s="112">
        <v>1</v>
      </c>
      <c r="H2037" s="112">
        <v>1</v>
      </c>
      <c r="I2037" s="112">
        <v>1</v>
      </c>
      <c r="J2037" s="112">
        <v>1</v>
      </c>
      <c r="L2037" s="112">
        <v>1</v>
      </c>
    </row>
    <row r="2038" spans="1:15" x14ac:dyDescent="0.2">
      <c r="A2038" s="111">
        <v>2116</v>
      </c>
      <c r="B2038" s="421" t="s">
        <v>265</v>
      </c>
      <c r="C2038" s="421" t="s">
        <v>512</v>
      </c>
      <c r="D2038" s="422" t="s">
        <v>663</v>
      </c>
      <c r="E2038" s="111">
        <v>15159</v>
      </c>
      <c r="F2038" s="421" t="s">
        <v>3310</v>
      </c>
      <c r="G2038" s="112">
        <v>1</v>
      </c>
      <c r="H2038" s="112">
        <v>1</v>
      </c>
      <c r="I2038" s="112">
        <v>1</v>
      </c>
      <c r="J2038" s="112">
        <v>7</v>
      </c>
      <c r="K2038" s="112">
        <v>7</v>
      </c>
      <c r="L2038" s="112">
        <v>7</v>
      </c>
      <c r="M2038" s="112">
        <v>4</v>
      </c>
      <c r="N2038" s="112">
        <v>3</v>
      </c>
      <c r="O2038" s="112">
        <v>3</v>
      </c>
    </row>
    <row r="2039" spans="1:15" x14ac:dyDescent="0.2">
      <c r="A2039" s="111">
        <v>2117</v>
      </c>
      <c r="B2039" s="421" t="s">
        <v>339</v>
      </c>
      <c r="C2039" s="421" t="s">
        <v>501</v>
      </c>
      <c r="D2039" s="422" t="s">
        <v>663</v>
      </c>
      <c r="F2039" s="421" t="s">
        <v>3311</v>
      </c>
      <c r="G2039" s="112">
        <v>1</v>
      </c>
      <c r="H2039" s="112">
        <v>1</v>
      </c>
      <c r="I2039" s="112">
        <v>1</v>
      </c>
      <c r="J2039" s="112">
        <v>3</v>
      </c>
      <c r="K2039" s="112">
        <v>1</v>
      </c>
    </row>
    <row r="2040" spans="1:15" x14ac:dyDescent="0.2">
      <c r="A2040" s="111">
        <v>2118</v>
      </c>
      <c r="B2040" s="421" t="s">
        <v>3321</v>
      </c>
      <c r="C2040" s="421" t="s">
        <v>533</v>
      </c>
      <c r="D2040" s="422" t="s">
        <v>666</v>
      </c>
      <c r="E2040" s="111">
        <v>14848</v>
      </c>
      <c r="F2040" s="421" t="s">
        <v>2511</v>
      </c>
      <c r="G2040" s="112">
        <v>1</v>
      </c>
      <c r="H2040" s="112">
        <v>1</v>
      </c>
      <c r="I2040" s="112">
        <v>1</v>
      </c>
      <c r="J2040" s="112">
        <v>14</v>
      </c>
      <c r="K2040" s="112">
        <v>13</v>
      </c>
      <c r="L2040" s="112">
        <v>11</v>
      </c>
      <c r="M2040" s="112">
        <v>13</v>
      </c>
      <c r="N2040" s="112">
        <v>13</v>
      </c>
      <c r="O2040" s="112">
        <v>13</v>
      </c>
    </row>
    <row r="2041" spans="1:15" x14ac:dyDescent="0.2">
      <c r="A2041" s="111">
        <v>2119</v>
      </c>
      <c r="B2041" s="421" t="s">
        <v>3322</v>
      </c>
      <c r="C2041" s="421" t="s">
        <v>3323</v>
      </c>
      <c r="D2041" s="422" t="s">
        <v>666</v>
      </c>
      <c r="E2041" s="111">
        <v>15165</v>
      </c>
      <c r="F2041" s="421" t="s">
        <v>3324</v>
      </c>
    </row>
    <row r="2042" spans="1:15" x14ac:dyDescent="0.2">
      <c r="A2042" s="111">
        <v>2120</v>
      </c>
      <c r="B2042" s="421" t="s">
        <v>3325</v>
      </c>
      <c r="C2042" s="421" t="s">
        <v>3323</v>
      </c>
      <c r="D2042" s="422" t="s">
        <v>666</v>
      </c>
      <c r="E2042" s="111">
        <v>15165</v>
      </c>
      <c r="F2042" s="421" t="s">
        <v>3324</v>
      </c>
    </row>
    <row r="2043" spans="1:15" x14ac:dyDescent="0.2">
      <c r="A2043" s="111">
        <v>2121</v>
      </c>
      <c r="B2043" s="421" t="s">
        <v>3312</v>
      </c>
      <c r="C2043" s="421" t="s">
        <v>506</v>
      </c>
      <c r="D2043" s="422" t="s">
        <v>663</v>
      </c>
      <c r="E2043" s="111">
        <v>15166</v>
      </c>
      <c r="F2043" s="421" t="s">
        <v>3313</v>
      </c>
      <c r="G2043" s="112">
        <v>1</v>
      </c>
      <c r="H2043" s="112">
        <v>1</v>
      </c>
      <c r="I2043" s="112">
        <v>1</v>
      </c>
      <c r="J2043" s="112">
        <v>1</v>
      </c>
      <c r="K2043" s="112">
        <v>1</v>
      </c>
      <c r="L2043" s="112">
        <v>1</v>
      </c>
      <c r="M2043" s="112">
        <v>2</v>
      </c>
      <c r="N2043" s="112">
        <v>1</v>
      </c>
    </row>
    <row r="2044" spans="1:15" x14ac:dyDescent="0.2">
      <c r="A2044" s="111">
        <v>2122</v>
      </c>
      <c r="B2044" s="421" t="s">
        <v>48</v>
      </c>
      <c r="C2044" s="421" t="s">
        <v>577</v>
      </c>
      <c r="D2044" s="422" t="s">
        <v>663</v>
      </c>
      <c r="E2044" s="111">
        <v>14813</v>
      </c>
      <c r="F2044" s="421" t="s">
        <v>2452</v>
      </c>
    </row>
    <row r="2045" spans="1:15" x14ac:dyDescent="0.2">
      <c r="A2045" s="111">
        <v>2123</v>
      </c>
      <c r="B2045" s="421" t="s">
        <v>1127</v>
      </c>
      <c r="C2045" s="421" t="s">
        <v>3384</v>
      </c>
      <c r="D2045" s="422" t="s">
        <v>666</v>
      </c>
      <c r="E2045" s="111">
        <v>15167</v>
      </c>
      <c r="F2045" s="421" t="s">
        <v>3314</v>
      </c>
      <c r="G2045" s="112">
        <v>1</v>
      </c>
      <c r="H2045" s="112">
        <v>1</v>
      </c>
      <c r="I2045" s="112">
        <v>1</v>
      </c>
      <c r="J2045" s="112">
        <v>5</v>
      </c>
      <c r="K2045" s="112">
        <v>5</v>
      </c>
      <c r="L2045" s="112">
        <v>3</v>
      </c>
      <c r="M2045" s="112">
        <v>2</v>
      </c>
    </row>
    <row r="2046" spans="1:15" x14ac:dyDescent="0.2">
      <c r="A2046" s="111">
        <v>2124</v>
      </c>
      <c r="B2046" s="421" t="s">
        <v>2780</v>
      </c>
      <c r="C2046" s="421" t="s">
        <v>518</v>
      </c>
      <c r="D2046" s="422" t="s">
        <v>666</v>
      </c>
      <c r="E2046" s="111">
        <v>14232</v>
      </c>
      <c r="F2046" s="421" t="s">
        <v>952</v>
      </c>
      <c r="G2046" s="112">
        <v>2</v>
      </c>
      <c r="H2046" s="112">
        <v>1</v>
      </c>
      <c r="I2046" s="112">
        <v>1</v>
      </c>
      <c r="J2046" s="112">
        <v>6</v>
      </c>
      <c r="K2046" s="112">
        <v>4</v>
      </c>
      <c r="L2046" s="112">
        <v>4</v>
      </c>
      <c r="M2046" s="112">
        <v>7</v>
      </c>
      <c r="N2046" s="112">
        <v>4</v>
      </c>
      <c r="O2046" s="112">
        <v>3</v>
      </c>
    </row>
    <row r="2047" spans="1:15" x14ac:dyDescent="0.2">
      <c r="A2047" s="111">
        <v>2125</v>
      </c>
      <c r="B2047" s="421" t="s">
        <v>81</v>
      </c>
      <c r="C2047" s="421" t="s">
        <v>1625</v>
      </c>
      <c r="D2047" s="422" t="s">
        <v>666</v>
      </c>
      <c r="E2047" s="111">
        <v>15169</v>
      </c>
      <c r="F2047" s="421" t="s">
        <v>3315</v>
      </c>
      <c r="G2047" s="112">
        <v>2</v>
      </c>
      <c r="H2047" s="112">
        <v>2</v>
      </c>
      <c r="I2047" s="112">
        <v>2</v>
      </c>
      <c r="J2047" s="112">
        <v>7</v>
      </c>
      <c r="K2047" s="112">
        <v>3</v>
      </c>
      <c r="L2047" s="112">
        <v>2</v>
      </c>
      <c r="M2047" s="112">
        <v>1</v>
      </c>
      <c r="O2047" s="112">
        <v>1</v>
      </c>
    </row>
    <row r="2048" spans="1:15" x14ac:dyDescent="0.2">
      <c r="A2048" s="111">
        <v>2126</v>
      </c>
      <c r="B2048" s="421" t="s">
        <v>3316</v>
      </c>
      <c r="C2048" s="421" t="s">
        <v>547</v>
      </c>
      <c r="D2048" s="422" t="s">
        <v>666</v>
      </c>
      <c r="E2048" s="111">
        <v>14119</v>
      </c>
      <c r="F2048" s="421" t="s">
        <v>3317</v>
      </c>
    </row>
    <row r="2049" spans="1:15" x14ac:dyDescent="0.2">
      <c r="A2049" s="111">
        <v>2127</v>
      </c>
      <c r="B2049" s="421" t="s">
        <v>2198</v>
      </c>
      <c r="C2049" s="421" t="s">
        <v>530</v>
      </c>
      <c r="D2049" s="422" t="s">
        <v>663</v>
      </c>
      <c r="F2049" s="421" t="s">
        <v>3318</v>
      </c>
      <c r="G2049" s="112">
        <v>1</v>
      </c>
      <c r="H2049" s="112">
        <v>1</v>
      </c>
      <c r="I2049" s="112">
        <v>1</v>
      </c>
    </row>
    <row r="2050" spans="1:15" x14ac:dyDescent="0.2">
      <c r="A2050" s="111">
        <v>2128</v>
      </c>
      <c r="B2050" s="421" t="s">
        <v>1585</v>
      </c>
      <c r="C2050" s="421" t="s">
        <v>501</v>
      </c>
      <c r="D2050" s="422" t="s">
        <v>666</v>
      </c>
      <c r="E2050" s="111">
        <v>15280</v>
      </c>
      <c r="F2050" s="421" t="s">
        <v>3331</v>
      </c>
      <c r="G2050" s="112">
        <v>1</v>
      </c>
      <c r="H2050" s="112">
        <v>1</v>
      </c>
      <c r="I2050" s="112">
        <v>1</v>
      </c>
      <c r="J2050" s="112">
        <v>1</v>
      </c>
      <c r="K2050" s="112">
        <v>1</v>
      </c>
      <c r="L2050" s="112">
        <v>1</v>
      </c>
    </row>
    <row r="2051" spans="1:15" x14ac:dyDescent="0.2">
      <c r="A2051" s="111">
        <v>2129</v>
      </c>
      <c r="B2051" s="421" t="s">
        <v>3332</v>
      </c>
      <c r="C2051" s="421" t="s">
        <v>3385</v>
      </c>
      <c r="D2051" s="422" t="s">
        <v>663</v>
      </c>
      <c r="E2051" s="111">
        <v>15654</v>
      </c>
      <c r="F2051" s="421" t="s">
        <v>3333</v>
      </c>
      <c r="G2051" s="112">
        <v>1</v>
      </c>
      <c r="H2051" s="112">
        <v>2</v>
      </c>
      <c r="I2051" s="112">
        <v>2</v>
      </c>
      <c r="K2051" s="112">
        <v>1</v>
      </c>
    </row>
    <row r="2052" spans="1:15" x14ac:dyDescent="0.2">
      <c r="A2052" s="111">
        <v>2130</v>
      </c>
      <c r="B2052" s="421" t="s">
        <v>356</v>
      </c>
      <c r="C2052" s="421" t="s">
        <v>502</v>
      </c>
      <c r="D2052" s="422" t="s">
        <v>663</v>
      </c>
      <c r="E2052" s="111">
        <v>17220</v>
      </c>
      <c r="F2052" s="421" t="s">
        <v>3334</v>
      </c>
    </row>
    <row r="2053" spans="1:15" x14ac:dyDescent="0.2">
      <c r="A2053" s="111">
        <v>2131</v>
      </c>
      <c r="B2053" s="421" t="s">
        <v>1428</v>
      </c>
      <c r="C2053" s="421" t="s">
        <v>513</v>
      </c>
      <c r="D2053" s="422" t="s">
        <v>666</v>
      </c>
      <c r="E2053" s="111">
        <v>14556</v>
      </c>
      <c r="F2053" s="421" t="s">
        <v>1677</v>
      </c>
      <c r="G2053" s="112">
        <v>1</v>
      </c>
      <c r="H2053" s="112">
        <v>2</v>
      </c>
      <c r="I2053" s="112">
        <v>2</v>
      </c>
      <c r="J2053" s="112">
        <v>2</v>
      </c>
      <c r="K2053" s="112">
        <v>2</v>
      </c>
      <c r="L2053" s="112">
        <v>2</v>
      </c>
    </row>
    <row r="2054" spans="1:15" x14ac:dyDescent="0.2">
      <c r="A2054" s="111">
        <v>2132</v>
      </c>
      <c r="B2054" s="421" t="s">
        <v>3335</v>
      </c>
      <c r="C2054" s="421" t="s">
        <v>3386</v>
      </c>
      <c r="D2054" s="422" t="s">
        <v>666</v>
      </c>
      <c r="F2054" s="421" t="s">
        <v>1770</v>
      </c>
      <c r="H2054" s="112">
        <v>2</v>
      </c>
      <c r="I2054" s="112">
        <v>2</v>
      </c>
      <c r="K2054" s="112">
        <v>1</v>
      </c>
      <c r="L2054" s="112">
        <v>2</v>
      </c>
    </row>
    <row r="2055" spans="1:15" x14ac:dyDescent="0.2">
      <c r="A2055" s="111">
        <v>2133</v>
      </c>
      <c r="B2055" s="421" t="s">
        <v>3336</v>
      </c>
      <c r="C2055" s="421" t="s">
        <v>2581</v>
      </c>
      <c r="D2055" s="422" t="s">
        <v>663</v>
      </c>
      <c r="E2055" s="111">
        <v>15168</v>
      </c>
      <c r="F2055" s="421" t="s">
        <v>3337</v>
      </c>
      <c r="G2055" s="112">
        <v>3</v>
      </c>
      <c r="H2055" s="112">
        <v>3</v>
      </c>
      <c r="I2055" s="112">
        <v>1</v>
      </c>
    </row>
    <row r="2056" spans="1:15" x14ac:dyDescent="0.2">
      <c r="A2056" s="111">
        <v>2134</v>
      </c>
      <c r="B2056" s="421" t="s">
        <v>3338</v>
      </c>
      <c r="C2056" s="421" t="s">
        <v>577</v>
      </c>
      <c r="D2056" s="422" t="s">
        <v>666</v>
      </c>
      <c r="E2056" s="111">
        <v>15171</v>
      </c>
      <c r="F2056" s="421" t="s">
        <v>3339</v>
      </c>
    </row>
    <row r="2057" spans="1:15" x14ac:dyDescent="0.2">
      <c r="A2057" s="111">
        <v>2135</v>
      </c>
      <c r="B2057" s="421" t="s">
        <v>3340</v>
      </c>
      <c r="C2057" s="421" t="s">
        <v>559</v>
      </c>
      <c r="D2057" s="422" t="s">
        <v>666</v>
      </c>
      <c r="E2057" s="111">
        <v>15171</v>
      </c>
      <c r="F2057" s="421" t="s">
        <v>3339</v>
      </c>
      <c r="G2057" s="112">
        <v>3</v>
      </c>
      <c r="H2057" s="112">
        <v>3</v>
      </c>
      <c r="I2057" s="112">
        <v>2</v>
      </c>
      <c r="J2057" s="112">
        <v>6</v>
      </c>
      <c r="K2057" s="112">
        <v>5</v>
      </c>
      <c r="L2057" s="112">
        <v>5</v>
      </c>
      <c r="M2057" s="112">
        <v>9</v>
      </c>
      <c r="N2057" s="112">
        <v>4</v>
      </c>
      <c r="O2057" s="112">
        <v>1</v>
      </c>
    </row>
    <row r="2058" spans="1:15" x14ac:dyDescent="0.2">
      <c r="A2058" s="111">
        <v>2136</v>
      </c>
      <c r="B2058" s="421" t="s">
        <v>112</v>
      </c>
      <c r="C2058" s="421" t="s">
        <v>501</v>
      </c>
      <c r="D2058" s="422" t="s">
        <v>663</v>
      </c>
      <c r="E2058" s="111">
        <v>14966</v>
      </c>
      <c r="F2058" s="421" t="s">
        <v>3341</v>
      </c>
      <c r="G2058" s="112">
        <v>1</v>
      </c>
      <c r="H2058" s="112">
        <v>2</v>
      </c>
      <c r="I2058" s="112">
        <v>1</v>
      </c>
      <c r="J2058" s="112">
        <v>7</v>
      </c>
      <c r="K2058" s="112">
        <v>7</v>
      </c>
      <c r="L2058" s="112">
        <v>7</v>
      </c>
      <c r="M2058" s="112">
        <v>4</v>
      </c>
      <c r="N2058" s="112">
        <v>3</v>
      </c>
      <c r="O2058" s="112">
        <v>4</v>
      </c>
    </row>
    <row r="2059" spans="1:15" x14ac:dyDescent="0.2">
      <c r="A2059" s="111">
        <v>2137</v>
      </c>
      <c r="B2059" s="421" t="s">
        <v>2723</v>
      </c>
      <c r="C2059" s="421" t="s">
        <v>506</v>
      </c>
      <c r="D2059" s="422" t="s">
        <v>663</v>
      </c>
      <c r="E2059" s="111">
        <v>15172</v>
      </c>
      <c r="F2059" s="421" t="s">
        <v>3342</v>
      </c>
    </row>
    <row r="2060" spans="1:15" x14ac:dyDescent="0.2">
      <c r="A2060" s="111">
        <v>2138</v>
      </c>
      <c r="B2060" s="421" t="s">
        <v>3343</v>
      </c>
      <c r="C2060" s="421" t="s">
        <v>510</v>
      </c>
      <c r="D2060" s="422" t="s">
        <v>663</v>
      </c>
      <c r="E2060" s="111">
        <v>44181</v>
      </c>
      <c r="F2060" s="421" t="s">
        <v>3344</v>
      </c>
      <c r="G2060" s="112">
        <v>1</v>
      </c>
      <c r="H2060" s="112">
        <v>1</v>
      </c>
    </row>
    <row r="2061" spans="1:15" x14ac:dyDescent="0.2">
      <c r="A2061" s="111">
        <v>2139</v>
      </c>
      <c r="B2061" s="421" t="s">
        <v>98</v>
      </c>
      <c r="C2061" s="421" t="s">
        <v>503</v>
      </c>
      <c r="D2061" s="422" t="s">
        <v>666</v>
      </c>
      <c r="E2061" s="111">
        <v>15174</v>
      </c>
      <c r="F2061" s="421" t="s">
        <v>3345</v>
      </c>
      <c r="G2061" s="112">
        <v>1</v>
      </c>
      <c r="H2061" s="112">
        <v>1</v>
      </c>
      <c r="I2061" s="112">
        <v>1</v>
      </c>
      <c r="J2061" s="112">
        <v>11</v>
      </c>
      <c r="K2061" s="112">
        <v>8</v>
      </c>
      <c r="L2061" s="112">
        <v>14</v>
      </c>
      <c r="M2061" s="112">
        <v>6</v>
      </c>
      <c r="N2061" s="112">
        <v>5</v>
      </c>
      <c r="O2061" s="112">
        <v>5</v>
      </c>
    </row>
    <row r="2062" spans="1:15" x14ac:dyDescent="0.2">
      <c r="A2062" s="111">
        <v>2140</v>
      </c>
      <c r="B2062" s="421" t="s">
        <v>3346</v>
      </c>
      <c r="C2062" s="421" t="s">
        <v>503</v>
      </c>
      <c r="D2062" s="422" t="s">
        <v>666</v>
      </c>
      <c r="E2062" s="111">
        <v>15174</v>
      </c>
      <c r="F2062" s="421" t="s">
        <v>3345</v>
      </c>
      <c r="G2062" s="112">
        <v>1</v>
      </c>
      <c r="H2062" s="112">
        <v>2</v>
      </c>
      <c r="I2062" s="112">
        <v>2</v>
      </c>
      <c r="J2062" s="112">
        <v>1</v>
      </c>
      <c r="K2062" s="112">
        <v>1</v>
      </c>
      <c r="L2062" s="112">
        <v>1</v>
      </c>
      <c r="M2062" s="112">
        <v>1</v>
      </c>
    </row>
    <row r="2063" spans="1:15" x14ac:dyDescent="0.2">
      <c r="A2063" s="111">
        <v>2141</v>
      </c>
      <c r="B2063" s="421" t="s">
        <v>3347</v>
      </c>
      <c r="C2063" s="421" t="s">
        <v>510</v>
      </c>
      <c r="D2063" s="422" t="s">
        <v>663</v>
      </c>
      <c r="E2063" s="111">
        <v>16362</v>
      </c>
      <c r="F2063" s="421" t="s">
        <v>3348</v>
      </c>
    </row>
    <row r="2064" spans="1:15" x14ac:dyDescent="0.2">
      <c r="A2064" s="111">
        <v>2144</v>
      </c>
      <c r="B2064" s="421" t="s">
        <v>3349</v>
      </c>
      <c r="C2064" s="421" t="s">
        <v>510</v>
      </c>
      <c r="D2064" s="422" t="s">
        <v>663</v>
      </c>
      <c r="E2064" s="111">
        <v>16362</v>
      </c>
      <c r="F2064" s="421" t="s">
        <v>3348</v>
      </c>
    </row>
    <row r="2065" spans="1:15" x14ac:dyDescent="0.2">
      <c r="A2065" s="111">
        <v>2145</v>
      </c>
      <c r="B2065" s="421" t="s">
        <v>3350</v>
      </c>
      <c r="C2065" s="421" t="s">
        <v>506</v>
      </c>
      <c r="D2065" s="422" t="s">
        <v>666</v>
      </c>
      <c r="E2065" s="111">
        <v>15939</v>
      </c>
      <c r="F2065" s="421" t="s">
        <v>3351</v>
      </c>
    </row>
    <row r="2066" spans="1:15" x14ac:dyDescent="0.2">
      <c r="A2066" s="111">
        <v>2146</v>
      </c>
      <c r="B2066" s="421" t="s">
        <v>3352</v>
      </c>
      <c r="C2066" s="421" t="s">
        <v>506</v>
      </c>
      <c r="D2066" s="422" t="s">
        <v>666</v>
      </c>
      <c r="E2066" s="111">
        <v>15175</v>
      </c>
      <c r="F2066" s="421" t="s">
        <v>3353</v>
      </c>
      <c r="G2066" s="112">
        <v>1</v>
      </c>
      <c r="H2066" s="112">
        <v>1</v>
      </c>
      <c r="I2066" s="112">
        <v>1</v>
      </c>
      <c r="J2066" s="112">
        <v>1</v>
      </c>
      <c r="L2066" s="112">
        <v>1</v>
      </c>
    </row>
    <row r="2067" spans="1:15" x14ac:dyDescent="0.2">
      <c r="A2067" s="111">
        <v>2147</v>
      </c>
      <c r="B2067" s="421" t="s">
        <v>3354</v>
      </c>
      <c r="C2067" s="421" t="s">
        <v>1817</v>
      </c>
      <c r="D2067" s="422" t="s">
        <v>663</v>
      </c>
      <c r="E2067" s="111">
        <v>15357</v>
      </c>
      <c r="F2067" s="421" t="s">
        <v>3355</v>
      </c>
    </row>
    <row r="2068" spans="1:15" x14ac:dyDescent="0.2">
      <c r="A2068" s="111">
        <v>2148</v>
      </c>
      <c r="B2068" s="421" t="s">
        <v>3356</v>
      </c>
      <c r="C2068" s="421" t="s">
        <v>523</v>
      </c>
      <c r="D2068" s="422" t="s">
        <v>663</v>
      </c>
      <c r="E2068" s="111">
        <v>15176</v>
      </c>
      <c r="F2068" s="421" t="s">
        <v>3357</v>
      </c>
    </row>
    <row r="2069" spans="1:15" x14ac:dyDescent="0.2">
      <c r="A2069" s="111">
        <v>2149</v>
      </c>
      <c r="B2069" s="421" t="s">
        <v>237</v>
      </c>
      <c r="C2069" s="421" t="s">
        <v>503</v>
      </c>
      <c r="D2069" s="422" t="s">
        <v>663</v>
      </c>
      <c r="E2069" s="111">
        <v>15170</v>
      </c>
      <c r="F2069" s="421" t="s">
        <v>3358</v>
      </c>
      <c r="G2069" s="112">
        <v>2</v>
      </c>
      <c r="H2069" s="112">
        <v>2</v>
      </c>
      <c r="I2069" s="112">
        <v>1</v>
      </c>
      <c r="J2069" s="112">
        <v>11</v>
      </c>
      <c r="K2069" s="112">
        <v>11</v>
      </c>
      <c r="L2069" s="112">
        <v>11</v>
      </c>
      <c r="M2069" s="112">
        <v>7</v>
      </c>
      <c r="N2069" s="112">
        <v>4</v>
      </c>
      <c r="O2069" s="112">
        <v>5</v>
      </c>
    </row>
    <row r="2070" spans="1:15" x14ac:dyDescent="0.2">
      <c r="A2070" s="111">
        <v>2150</v>
      </c>
      <c r="B2070" s="421" t="s">
        <v>3359</v>
      </c>
      <c r="C2070" s="421" t="s">
        <v>501</v>
      </c>
      <c r="D2070" s="422" t="s">
        <v>663</v>
      </c>
      <c r="E2070" s="111">
        <v>15178</v>
      </c>
      <c r="F2070" s="421" t="s">
        <v>3360</v>
      </c>
      <c r="G2070" s="112">
        <v>1</v>
      </c>
      <c r="H2070" s="112">
        <v>1</v>
      </c>
      <c r="I2070" s="112">
        <v>1</v>
      </c>
      <c r="J2070" s="112">
        <v>1</v>
      </c>
    </row>
    <row r="2071" spans="1:15" x14ac:dyDescent="0.2">
      <c r="A2071" s="111">
        <v>2151</v>
      </c>
      <c r="B2071" s="421" t="s">
        <v>3361</v>
      </c>
      <c r="C2071" s="421" t="s">
        <v>506</v>
      </c>
      <c r="D2071" s="422" t="s">
        <v>663</v>
      </c>
      <c r="E2071" s="111">
        <v>1463</v>
      </c>
      <c r="F2071" s="421" t="s">
        <v>1664</v>
      </c>
      <c r="G2071" s="112">
        <v>1</v>
      </c>
      <c r="H2071" s="112">
        <v>2</v>
      </c>
      <c r="I2071" s="112">
        <v>2</v>
      </c>
      <c r="J2071" s="112">
        <v>3</v>
      </c>
      <c r="K2071" s="112">
        <v>3</v>
      </c>
      <c r="L2071" s="112">
        <v>3</v>
      </c>
    </row>
    <row r="2072" spans="1:15" x14ac:dyDescent="0.2">
      <c r="A2072" s="111">
        <v>2152</v>
      </c>
      <c r="B2072" s="421" t="s">
        <v>443</v>
      </c>
      <c r="C2072" s="421" t="s">
        <v>506</v>
      </c>
      <c r="D2072" s="422" t="s">
        <v>663</v>
      </c>
      <c r="E2072" s="111">
        <v>15180</v>
      </c>
      <c r="F2072" s="421" t="s">
        <v>3362</v>
      </c>
      <c r="G2072" s="112">
        <v>1</v>
      </c>
      <c r="H2072" s="112">
        <v>1</v>
      </c>
      <c r="I2072" s="112">
        <v>1</v>
      </c>
      <c r="J2072" s="112">
        <v>3</v>
      </c>
      <c r="K2072" s="112">
        <v>3</v>
      </c>
      <c r="L2072" s="112">
        <v>3</v>
      </c>
      <c r="M2072" s="112">
        <v>3</v>
      </c>
      <c r="N2072" s="112">
        <v>1</v>
      </c>
      <c r="O2072" s="112">
        <v>2</v>
      </c>
    </row>
    <row r="2073" spans="1:15" x14ac:dyDescent="0.2">
      <c r="A2073" s="111">
        <v>2153</v>
      </c>
      <c r="B2073" s="421" t="s">
        <v>3363</v>
      </c>
      <c r="C2073" s="421" t="s">
        <v>522</v>
      </c>
      <c r="D2073" s="422" t="s">
        <v>666</v>
      </c>
      <c r="E2073" s="111">
        <v>14311</v>
      </c>
      <c r="F2073" s="421" t="s">
        <v>896</v>
      </c>
      <c r="G2073" s="112">
        <v>1</v>
      </c>
      <c r="H2073" s="112">
        <v>1</v>
      </c>
      <c r="I2073" s="112">
        <v>1</v>
      </c>
      <c r="J2073" s="112">
        <v>3</v>
      </c>
      <c r="K2073" s="112">
        <v>3</v>
      </c>
      <c r="L2073" s="112">
        <v>3</v>
      </c>
      <c r="M2073" s="112">
        <v>2</v>
      </c>
      <c r="N2073" s="112">
        <v>2</v>
      </c>
      <c r="O2073" s="112">
        <v>2</v>
      </c>
    </row>
    <row r="2074" spans="1:15" x14ac:dyDescent="0.2">
      <c r="A2074" s="111">
        <v>2154</v>
      </c>
      <c r="B2074" s="421" t="s">
        <v>3364</v>
      </c>
      <c r="C2074" s="421" t="s">
        <v>523</v>
      </c>
      <c r="D2074" s="422" t="s">
        <v>663</v>
      </c>
      <c r="E2074" s="111">
        <v>15183</v>
      </c>
      <c r="F2074" s="421" t="s">
        <v>3365</v>
      </c>
      <c r="G2074" s="112">
        <v>1</v>
      </c>
    </row>
    <row r="2075" spans="1:15" x14ac:dyDescent="0.2">
      <c r="A2075" s="111">
        <v>2155</v>
      </c>
      <c r="B2075" s="421" t="s">
        <v>3366</v>
      </c>
      <c r="C2075" s="421" t="s">
        <v>523</v>
      </c>
      <c r="D2075" s="422" t="s">
        <v>663</v>
      </c>
      <c r="E2075" s="111">
        <v>15183</v>
      </c>
      <c r="F2075" s="421" t="s">
        <v>3365</v>
      </c>
    </row>
    <row r="2076" spans="1:15" x14ac:dyDescent="0.2">
      <c r="A2076" s="111">
        <v>2156</v>
      </c>
      <c r="B2076" s="421" t="s">
        <v>3367</v>
      </c>
      <c r="C2076" s="421" t="s">
        <v>516</v>
      </c>
      <c r="D2076" s="422" t="s">
        <v>666</v>
      </c>
      <c r="E2076" s="111">
        <v>15184</v>
      </c>
      <c r="F2076" s="421" t="s">
        <v>3368</v>
      </c>
      <c r="G2076" s="112">
        <v>2</v>
      </c>
      <c r="H2076" s="112">
        <v>1</v>
      </c>
      <c r="I2076" s="112">
        <v>1</v>
      </c>
      <c r="J2076" s="112">
        <v>1</v>
      </c>
    </row>
    <row r="2077" spans="1:15" x14ac:dyDescent="0.2">
      <c r="A2077" s="111">
        <v>2157</v>
      </c>
      <c r="B2077" s="421" t="s">
        <v>3369</v>
      </c>
      <c r="C2077" s="421" t="s">
        <v>533</v>
      </c>
      <c r="D2077" s="422" t="s">
        <v>663</v>
      </c>
      <c r="E2077" s="111">
        <v>15186</v>
      </c>
      <c r="F2077" s="421" t="s">
        <v>3370</v>
      </c>
      <c r="G2077" s="112">
        <v>1</v>
      </c>
      <c r="H2077" s="112">
        <v>1</v>
      </c>
      <c r="I2077" s="112">
        <v>1</v>
      </c>
      <c r="K2077" s="112">
        <v>1</v>
      </c>
    </row>
    <row r="2078" spans="1:15" x14ac:dyDescent="0.2">
      <c r="A2078" s="111">
        <v>2158</v>
      </c>
      <c r="B2078" s="421" t="s">
        <v>3371</v>
      </c>
      <c r="C2078" s="421" t="s">
        <v>523</v>
      </c>
      <c r="D2078" s="422" t="s">
        <v>666</v>
      </c>
      <c r="E2078" s="111">
        <v>15183</v>
      </c>
      <c r="F2078" s="421" t="s">
        <v>3365</v>
      </c>
    </row>
    <row r="2079" spans="1:15" x14ac:dyDescent="0.2">
      <c r="A2079" s="111">
        <v>2159</v>
      </c>
      <c r="B2079" s="421" t="s">
        <v>3372</v>
      </c>
      <c r="C2079" s="421" t="s">
        <v>1817</v>
      </c>
      <c r="D2079" s="422" t="s">
        <v>663</v>
      </c>
      <c r="E2079" s="111">
        <v>14294</v>
      </c>
      <c r="F2079" s="421" t="s">
        <v>1046</v>
      </c>
      <c r="G2079" s="112">
        <v>1</v>
      </c>
      <c r="H2079" s="112">
        <v>1</v>
      </c>
      <c r="I2079" s="112">
        <v>1</v>
      </c>
    </row>
    <row r="2080" spans="1:15" x14ac:dyDescent="0.2">
      <c r="A2080" s="111">
        <v>2160</v>
      </c>
      <c r="B2080" s="421" t="s">
        <v>3373</v>
      </c>
      <c r="C2080" s="421" t="s">
        <v>501</v>
      </c>
      <c r="D2080" s="422" t="s">
        <v>666</v>
      </c>
      <c r="E2080" s="111">
        <v>15188</v>
      </c>
      <c r="F2080" s="421" t="s">
        <v>3374</v>
      </c>
    </row>
    <row r="2081" spans="1:15" x14ac:dyDescent="0.2">
      <c r="A2081" s="111">
        <v>2161</v>
      </c>
      <c r="B2081" s="421" t="s">
        <v>3375</v>
      </c>
      <c r="C2081" s="421" t="s">
        <v>3387</v>
      </c>
      <c r="D2081" s="422" t="s">
        <v>666</v>
      </c>
      <c r="E2081" s="111">
        <v>15160</v>
      </c>
      <c r="F2081" s="421" t="s">
        <v>3376</v>
      </c>
      <c r="G2081" s="112">
        <v>1</v>
      </c>
      <c r="H2081" s="112">
        <v>1</v>
      </c>
      <c r="I2081" s="112">
        <v>1</v>
      </c>
    </row>
    <row r="2082" spans="1:15" x14ac:dyDescent="0.2">
      <c r="A2082" s="111">
        <v>2162</v>
      </c>
      <c r="B2082" s="421" t="s">
        <v>44</v>
      </c>
      <c r="C2082" s="421" t="s">
        <v>576</v>
      </c>
      <c r="D2082" s="422" t="s">
        <v>663</v>
      </c>
      <c r="E2082" s="111">
        <v>15190</v>
      </c>
      <c r="F2082" s="421" t="s">
        <v>3382</v>
      </c>
    </row>
    <row r="2083" spans="1:15" x14ac:dyDescent="0.2">
      <c r="A2083" s="111">
        <v>2163</v>
      </c>
      <c r="B2083" s="421" t="s">
        <v>3377</v>
      </c>
      <c r="C2083" s="421" t="s">
        <v>530</v>
      </c>
      <c r="D2083" s="422" t="s">
        <v>666</v>
      </c>
      <c r="F2083" s="421" t="s">
        <v>3378</v>
      </c>
    </row>
    <row r="2084" spans="1:15" x14ac:dyDescent="0.2">
      <c r="A2084" s="111">
        <v>2164</v>
      </c>
      <c r="B2084" s="421" t="s">
        <v>3388</v>
      </c>
      <c r="C2084" s="421" t="s">
        <v>510</v>
      </c>
      <c r="D2084" s="422" t="s">
        <v>663</v>
      </c>
      <c r="F2084" s="421" t="s">
        <v>1975</v>
      </c>
      <c r="G2084" s="112">
        <v>1</v>
      </c>
      <c r="H2084" s="112">
        <v>1</v>
      </c>
      <c r="I2084" s="112">
        <v>1</v>
      </c>
      <c r="J2084" s="112">
        <v>1</v>
      </c>
      <c r="K2084" s="112">
        <v>2</v>
      </c>
      <c r="L2084" s="112">
        <v>2</v>
      </c>
    </row>
    <row r="2085" spans="1:15" x14ac:dyDescent="0.2">
      <c r="A2085" s="111">
        <v>2165</v>
      </c>
      <c r="B2085" s="421" t="s">
        <v>3389</v>
      </c>
      <c r="C2085" s="421" t="s">
        <v>551</v>
      </c>
      <c r="D2085" s="422" t="s">
        <v>666</v>
      </c>
      <c r="E2085" s="111">
        <v>15192</v>
      </c>
      <c r="F2085" s="421" t="s">
        <v>3390</v>
      </c>
    </row>
    <row r="2086" spans="1:15" x14ac:dyDescent="0.2">
      <c r="A2086" s="111">
        <v>2166</v>
      </c>
      <c r="B2086" s="421" t="s">
        <v>2940</v>
      </c>
      <c r="C2086" s="421" t="s">
        <v>503</v>
      </c>
      <c r="D2086" s="422" t="s">
        <v>663</v>
      </c>
      <c r="F2086" s="421" t="s">
        <v>3391</v>
      </c>
      <c r="G2086" s="112">
        <v>1</v>
      </c>
      <c r="H2086" s="112">
        <v>1</v>
      </c>
      <c r="I2086" s="112">
        <v>1</v>
      </c>
    </row>
    <row r="2087" spans="1:15" x14ac:dyDescent="0.2">
      <c r="A2087" s="111">
        <v>2167</v>
      </c>
      <c r="B2087" s="421" t="s">
        <v>3392</v>
      </c>
      <c r="C2087" s="421" t="s">
        <v>501</v>
      </c>
      <c r="D2087" s="422" t="s">
        <v>666</v>
      </c>
      <c r="E2087" s="111">
        <v>15163</v>
      </c>
      <c r="F2087" s="421" t="s">
        <v>3393</v>
      </c>
      <c r="G2087" s="112">
        <v>1</v>
      </c>
      <c r="H2087" s="112">
        <v>1</v>
      </c>
      <c r="I2087" s="112">
        <v>1</v>
      </c>
    </row>
    <row r="2088" spans="1:15" x14ac:dyDescent="0.2">
      <c r="A2088" s="111">
        <v>2168</v>
      </c>
      <c r="B2088" s="421" t="s">
        <v>468</v>
      </c>
      <c r="C2088" s="421" t="s">
        <v>516</v>
      </c>
      <c r="D2088" s="422" t="s">
        <v>663</v>
      </c>
      <c r="F2088" s="421" t="s">
        <v>3394</v>
      </c>
      <c r="G2088" s="112">
        <v>1</v>
      </c>
      <c r="H2088" s="112">
        <v>1</v>
      </c>
      <c r="I2088" s="112">
        <v>1</v>
      </c>
    </row>
    <row r="2089" spans="1:15" x14ac:dyDescent="0.2">
      <c r="A2089" s="111">
        <v>2169</v>
      </c>
      <c r="B2089" s="421" t="s">
        <v>377</v>
      </c>
      <c r="C2089" s="421" t="s">
        <v>573</v>
      </c>
      <c r="D2089" s="422" t="s">
        <v>666</v>
      </c>
      <c r="E2089" s="111">
        <v>14966</v>
      </c>
      <c r="F2089" s="421" t="s">
        <v>3341</v>
      </c>
      <c r="G2089" s="112">
        <v>2</v>
      </c>
      <c r="H2089" s="112">
        <v>2</v>
      </c>
      <c r="I2089" s="112">
        <v>1</v>
      </c>
      <c r="J2089" s="112">
        <v>3</v>
      </c>
      <c r="K2089" s="112">
        <v>1</v>
      </c>
      <c r="L2089" s="112">
        <v>2</v>
      </c>
    </row>
    <row r="2090" spans="1:15" x14ac:dyDescent="0.2">
      <c r="A2090" s="111">
        <v>2170</v>
      </c>
      <c r="B2090" s="421" t="s">
        <v>332</v>
      </c>
      <c r="C2090" s="421" t="s">
        <v>589</v>
      </c>
      <c r="D2090" s="422" t="s">
        <v>666</v>
      </c>
      <c r="E2090" s="111">
        <v>14857</v>
      </c>
      <c r="F2090" s="421" t="s">
        <v>2524</v>
      </c>
    </row>
    <row r="2091" spans="1:15" x14ac:dyDescent="0.2">
      <c r="A2091" s="111">
        <v>2171</v>
      </c>
      <c r="B2091" s="421" t="s">
        <v>3395</v>
      </c>
      <c r="C2091" s="421" t="s">
        <v>2274</v>
      </c>
      <c r="D2091" s="422" t="s">
        <v>663</v>
      </c>
      <c r="F2091" s="421" t="s">
        <v>3396</v>
      </c>
      <c r="G2091" s="112">
        <v>1</v>
      </c>
      <c r="H2091" s="112">
        <v>1</v>
      </c>
      <c r="I2091" s="112">
        <v>1</v>
      </c>
      <c r="J2091" s="112">
        <v>1</v>
      </c>
      <c r="K2091" s="112">
        <v>1</v>
      </c>
      <c r="L2091" s="112">
        <v>1</v>
      </c>
    </row>
    <row r="2092" spans="1:15" x14ac:dyDescent="0.2">
      <c r="A2092" s="111">
        <v>2172</v>
      </c>
      <c r="B2092" s="421" t="s">
        <v>3397</v>
      </c>
      <c r="C2092" s="421" t="s">
        <v>516</v>
      </c>
      <c r="D2092" s="422" t="s">
        <v>666</v>
      </c>
      <c r="E2092" s="111">
        <v>15198</v>
      </c>
      <c r="F2092" s="421" t="s">
        <v>3398</v>
      </c>
      <c r="H2092" s="112">
        <v>1</v>
      </c>
    </row>
    <row r="2093" spans="1:15" x14ac:dyDescent="0.2">
      <c r="A2093" s="111">
        <v>2173</v>
      </c>
      <c r="B2093" s="421" t="s">
        <v>3399</v>
      </c>
      <c r="C2093" s="421" t="s">
        <v>3400</v>
      </c>
      <c r="D2093" s="422" t="s">
        <v>666</v>
      </c>
      <c r="E2093" s="111">
        <v>15195</v>
      </c>
      <c r="F2093" s="421" t="s">
        <v>3401</v>
      </c>
      <c r="G2093" s="112">
        <v>1</v>
      </c>
      <c r="H2093" s="112">
        <v>2</v>
      </c>
      <c r="I2093" s="112">
        <v>1</v>
      </c>
      <c r="J2093" s="112">
        <v>2</v>
      </c>
      <c r="K2093" s="112">
        <v>1</v>
      </c>
      <c r="L2093" s="112">
        <v>2</v>
      </c>
      <c r="M2093" s="112">
        <v>1</v>
      </c>
    </row>
    <row r="2094" spans="1:15" x14ac:dyDescent="0.2">
      <c r="A2094" s="111">
        <v>2174</v>
      </c>
      <c r="B2094" s="421" t="s">
        <v>3402</v>
      </c>
      <c r="C2094" s="421" t="s">
        <v>570</v>
      </c>
      <c r="D2094" s="422" t="s">
        <v>666</v>
      </c>
      <c r="E2094" s="111">
        <v>15201</v>
      </c>
      <c r="F2094" s="421" t="s">
        <v>3403</v>
      </c>
      <c r="G2094" s="112">
        <v>1</v>
      </c>
      <c r="H2094" s="112">
        <v>1</v>
      </c>
      <c r="I2094" s="112">
        <v>1</v>
      </c>
      <c r="J2094" s="112">
        <v>1</v>
      </c>
      <c r="K2094" s="112">
        <v>1</v>
      </c>
      <c r="L2094" s="112">
        <v>1</v>
      </c>
    </row>
    <row r="2095" spans="1:15" x14ac:dyDescent="0.2">
      <c r="A2095" s="111">
        <v>2175</v>
      </c>
      <c r="B2095" s="421" t="s">
        <v>1377</v>
      </c>
      <c r="C2095" s="421" t="s">
        <v>530</v>
      </c>
      <c r="D2095" s="422" t="s">
        <v>663</v>
      </c>
      <c r="E2095" s="111">
        <v>15196</v>
      </c>
      <c r="F2095" s="421" t="s">
        <v>3404</v>
      </c>
      <c r="G2095" s="112">
        <v>1</v>
      </c>
      <c r="H2095" s="112">
        <v>1</v>
      </c>
      <c r="I2095" s="112">
        <v>1</v>
      </c>
      <c r="J2095" s="112">
        <v>5</v>
      </c>
      <c r="K2095" s="112">
        <v>4</v>
      </c>
      <c r="L2095" s="112">
        <v>4</v>
      </c>
      <c r="M2095" s="112">
        <v>7</v>
      </c>
      <c r="N2095" s="112">
        <v>5</v>
      </c>
      <c r="O2095" s="112">
        <v>4</v>
      </c>
    </row>
    <row r="2096" spans="1:15" x14ac:dyDescent="0.2">
      <c r="A2096" s="111">
        <v>2176</v>
      </c>
      <c r="B2096" s="421" t="s">
        <v>3380</v>
      </c>
      <c r="C2096" s="421" t="s">
        <v>577</v>
      </c>
      <c r="D2096" s="422" t="s">
        <v>666</v>
      </c>
      <c r="E2096" s="111">
        <v>15204</v>
      </c>
      <c r="F2096" s="421" t="s">
        <v>3405</v>
      </c>
      <c r="G2096" s="112">
        <v>1</v>
      </c>
      <c r="H2096" s="112">
        <v>1</v>
      </c>
      <c r="I2096" s="112">
        <v>1</v>
      </c>
    </row>
    <row r="2097" spans="1:15" x14ac:dyDescent="0.2">
      <c r="A2097" s="111">
        <v>2177</v>
      </c>
      <c r="B2097" s="421" t="s">
        <v>3406</v>
      </c>
      <c r="C2097" s="421" t="s">
        <v>563</v>
      </c>
      <c r="D2097" s="422" t="s">
        <v>663</v>
      </c>
      <c r="E2097" s="111">
        <v>16644</v>
      </c>
      <c r="F2097" s="421" t="s">
        <v>3407</v>
      </c>
      <c r="G2097" s="112">
        <v>1</v>
      </c>
      <c r="H2097" s="112">
        <v>1</v>
      </c>
      <c r="I2097" s="112">
        <v>1</v>
      </c>
      <c r="J2097" s="112">
        <v>1</v>
      </c>
    </row>
    <row r="2098" spans="1:15" x14ac:dyDescent="0.2">
      <c r="A2098" s="111">
        <v>2178</v>
      </c>
      <c r="B2098" s="421" t="s">
        <v>1585</v>
      </c>
      <c r="C2098" s="421" t="s">
        <v>577</v>
      </c>
      <c r="D2098" s="422" t="s">
        <v>666</v>
      </c>
      <c r="E2098" s="111">
        <v>14245</v>
      </c>
      <c r="F2098" s="421" t="s">
        <v>970</v>
      </c>
      <c r="G2098" s="112">
        <v>1</v>
      </c>
      <c r="H2098" s="112">
        <v>1</v>
      </c>
    </row>
    <row r="2099" spans="1:15" x14ac:dyDescent="0.2">
      <c r="A2099" s="111">
        <v>2179</v>
      </c>
      <c r="B2099" s="421" t="s">
        <v>3408</v>
      </c>
      <c r="C2099" s="421" t="s">
        <v>1066</v>
      </c>
      <c r="D2099" s="422" t="s">
        <v>663</v>
      </c>
      <c r="E2099" s="111">
        <v>15202</v>
      </c>
      <c r="F2099" s="421" t="s">
        <v>3409</v>
      </c>
      <c r="G2099" s="112">
        <v>2</v>
      </c>
      <c r="H2099" s="112">
        <v>1</v>
      </c>
      <c r="I2099" s="112">
        <v>1</v>
      </c>
      <c r="J2099" s="112">
        <v>4</v>
      </c>
      <c r="K2099" s="112">
        <v>5</v>
      </c>
      <c r="L2099" s="112">
        <v>3</v>
      </c>
      <c r="M2099" s="112">
        <v>3</v>
      </c>
      <c r="N2099" s="112">
        <v>2</v>
      </c>
      <c r="O2099" s="112">
        <v>1</v>
      </c>
    </row>
    <row r="2100" spans="1:15" x14ac:dyDescent="0.2">
      <c r="A2100" s="111">
        <v>2180</v>
      </c>
      <c r="B2100" s="421" t="s">
        <v>166</v>
      </c>
      <c r="C2100" s="421" t="s">
        <v>502</v>
      </c>
      <c r="D2100" s="422" t="s">
        <v>666</v>
      </c>
      <c r="E2100" s="111">
        <v>15203</v>
      </c>
      <c r="F2100" s="421" t="s">
        <v>3410</v>
      </c>
      <c r="G2100" s="112">
        <v>2</v>
      </c>
      <c r="H2100" s="112">
        <v>1</v>
      </c>
      <c r="I2100" s="112">
        <v>1</v>
      </c>
      <c r="J2100" s="112">
        <v>2</v>
      </c>
      <c r="K2100" s="112">
        <v>1</v>
      </c>
    </row>
    <row r="2101" spans="1:15" x14ac:dyDescent="0.2">
      <c r="A2101" s="111">
        <v>2181</v>
      </c>
      <c r="B2101" s="421" t="s">
        <v>3322</v>
      </c>
      <c r="C2101" s="421" t="s">
        <v>501</v>
      </c>
      <c r="D2101" s="422" t="s">
        <v>666</v>
      </c>
      <c r="E2101" s="111">
        <v>15207</v>
      </c>
      <c r="F2101" s="421" t="s">
        <v>3411</v>
      </c>
      <c r="G2101" s="112">
        <v>1</v>
      </c>
      <c r="H2101" s="112">
        <v>4</v>
      </c>
      <c r="I2101" s="112">
        <v>3</v>
      </c>
      <c r="J2101" s="112">
        <v>5</v>
      </c>
      <c r="K2101" s="112">
        <v>5</v>
      </c>
      <c r="L2101" s="112">
        <v>3</v>
      </c>
    </row>
    <row r="2102" spans="1:15" x14ac:dyDescent="0.2">
      <c r="A2102" s="111">
        <v>2182</v>
      </c>
      <c r="B2102" s="421" t="s">
        <v>3412</v>
      </c>
      <c r="C2102" s="421" t="s">
        <v>523</v>
      </c>
      <c r="D2102" s="422" t="s">
        <v>666</v>
      </c>
      <c r="E2102" s="111">
        <v>15183</v>
      </c>
      <c r="F2102" s="421" t="s">
        <v>3365</v>
      </c>
    </row>
    <row r="2103" spans="1:15" x14ac:dyDescent="0.2">
      <c r="A2103" s="111">
        <v>2183</v>
      </c>
      <c r="B2103" s="421" t="s">
        <v>2202</v>
      </c>
      <c r="C2103" s="421" t="s">
        <v>510</v>
      </c>
      <c r="D2103" s="422" t="s">
        <v>663</v>
      </c>
      <c r="E2103" s="111">
        <v>15394</v>
      </c>
      <c r="F2103" s="421" t="s">
        <v>3413</v>
      </c>
      <c r="G2103" s="112">
        <v>1</v>
      </c>
      <c r="H2103" s="112">
        <v>1</v>
      </c>
      <c r="I2103" s="112">
        <v>1</v>
      </c>
      <c r="J2103" s="112">
        <v>2</v>
      </c>
      <c r="K2103" s="112">
        <v>3</v>
      </c>
      <c r="L2103" s="112">
        <v>2</v>
      </c>
    </row>
    <row r="2104" spans="1:15" x14ac:dyDescent="0.2">
      <c r="A2104" s="111">
        <v>2184</v>
      </c>
      <c r="B2104" s="421" t="s">
        <v>2822</v>
      </c>
      <c r="C2104" s="421" t="s">
        <v>2335</v>
      </c>
      <c r="D2104" s="422" t="s">
        <v>666</v>
      </c>
      <c r="E2104" s="111">
        <v>15205</v>
      </c>
      <c r="F2104" s="421" t="s">
        <v>3414</v>
      </c>
      <c r="G2104" s="112">
        <v>1</v>
      </c>
      <c r="H2104" s="112">
        <v>1</v>
      </c>
      <c r="I2104" s="112">
        <v>1</v>
      </c>
    </row>
    <row r="2105" spans="1:15" x14ac:dyDescent="0.2">
      <c r="A2105" s="111">
        <v>2185</v>
      </c>
      <c r="B2105" s="421" t="s">
        <v>3415</v>
      </c>
      <c r="C2105" s="421" t="s">
        <v>502</v>
      </c>
      <c r="D2105" s="422" t="s">
        <v>663</v>
      </c>
      <c r="E2105" s="111">
        <v>14908</v>
      </c>
      <c r="F2105" s="421" t="s">
        <v>2672</v>
      </c>
      <c r="G2105" s="112">
        <v>2</v>
      </c>
      <c r="H2105" s="112">
        <v>1</v>
      </c>
      <c r="I2105" s="112">
        <v>1</v>
      </c>
      <c r="J2105" s="112">
        <v>2</v>
      </c>
      <c r="K2105" s="112">
        <v>1</v>
      </c>
    </row>
    <row r="2106" spans="1:15" x14ac:dyDescent="0.2">
      <c r="A2106" s="111">
        <v>2186</v>
      </c>
      <c r="B2106" s="421" t="s">
        <v>3417</v>
      </c>
      <c r="C2106" s="421" t="s">
        <v>569</v>
      </c>
      <c r="D2106" s="422" t="s">
        <v>666</v>
      </c>
      <c r="E2106" s="111">
        <v>15208</v>
      </c>
      <c r="F2106" s="421" t="s">
        <v>3418</v>
      </c>
    </row>
    <row r="2107" spans="1:15" x14ac:dyDescent="0.2">
      <c r="A2107" s="111">
        <v>2187</v>
      </c>
      <c r="B2107" s="421" t="s">
        <v>2916</v>
      </c>
      <c r="C2107" s="421" t="s">
        <v>501</v>
      </c>
      <c r="D2107" s="422" t="s">
        <v>666</v>
      </c>
      <c r="E2107" s="111">
        <v>15208</v>
      </c>
      <c r="F2107" s="421" t="s">
        <v>3418</v>
      </c>
      <c r="G2107" s="112">
        <v>2</v>
      </c>
      <c r="H2107" s="112">
        <v>2</v>
      </c>
      <c r="I2107" s="112">
        <v>1</v>
      </c>
      <c r="J2107" s="112">
        <v>1</v>
      </c>
    </row>
    <row r="2108" spans="1:15" x14ac:dyDescent="0.2">
      <c r="A2108" s="111">
        <v>2188</v>
      </c>
      <c r="B2108" s="421" t="s">
        <v>3419</v>
      </c>
      <c r="C2108" s="421" t="s">
        <v>501</v>
      </c>
      <c r="D2108" s="422" t="s">
        <v>666</v>
      </c>
      <c r="E2108" s="111">
        <v>15208</v>
      </c>
      <c r="F2108" s="421" t="s">
        <v>3418</v>
      </c>
    </row>
    <row r="2109" spans="1:15" x14ac:dyDescent="0.2">
      <c r="A2109" s="111">
        <v>2189</v>
      </c>
      <c r="B2109" s="421" t="s">
        <v>48</v>
      </c>
      <c r="C2109" s="421" t="s">
        <v>501</v>
      </c>
      <c r="D2109" s="422" t="s">
        <v>663</v>
      </c>
      <c r="E2109" s="111">
        <v>15209</v>
      </c>
      <c r="F2109" s="421" t="s">
        <v>3420</v>
      </c>
      <c r="G2109" s="112">
        <v>1</v>
      </c>
      <c r="H2109" s="112">
        <v>1</v>
      </c>
      <c r="I2109" s="112">
        <v>1</v>
      </c>
      <c r="J2109" s="112">
        <v>3</v>
      </c>
      <c r="K2109" s="112">
        <v>1</v>
      </c>
      <c r="L2109" s="112">
        <v>1</v>
      </c>
      <c r="M2109" s="112">
        <v>1</v>
      </c>
      <c r="N2109" s="112">
        <v>1</v>
      </c>
    </row>
    <row r="2110" spans="1:15" x14ac:dyDescent="0.2">
      <c r="A2110" s="111">
        <v>2190</v>
      </c>
      <c r="B2110" s="421" t="s">
        <v>3421</v>
      </c>
      <c r="C2110" s="421" t="s">
        <v>2470</v>
      </c>
      <c r="D2110" s="422" t="s">
        <v>663</v>
      </c>
      <c r="E2110" s="111">
        <v>15000</v>
      </c>
      <c r="F2110" s="421" t="s">
        <v>2907</v>
      </c>
      <c r="G2110" s="112">
        <v>1</v>
      </c>
      <c r="H2110" s="112">
        <v>1</v>
      </c>
      <c r="I2110" s="112">
        <v>1</v>
      </c>
      <c r="J2110" s="112">
        <v>1</v>
      </c>
      <c r="K2110" s="112">
        <v>2</v>
      </c>
      <c r="L2110" s="112">
        <v>2</v>
      </c>
    </row>
    <row r="2111" spans="1:15" x14ac:dyDescent="0.2">
      <c r="A2111" s="111">
        <v>2191</v>
      </c>
      <c r="B2111" s="421" t="s">
        <v>3422</v>
      </c>
      <c r="C2111" s="421" t="s">
        <v>2470</v>
      </c>
      <c r="D2111" s="422" t="s">
        <v>663</v>
      </c>
      <c r="E2111" s="111">
        <v>15000</v>
      </c>
      <c r="F2111" s="421" t="s">
        <v>2907</v>
      </c>
      <c r="G2111" s="112">
        <v>1</v>
      </c>
      <c r="H2111" s="112">
        <v>1</v>
      </c>
      <c r="I2111" s="112">
        <v>1</v>
      </c>
      <c r="J2111" s="112">
        <v>1</v>
      </c>
      <c r="K2111" s="112">
        <v>1</v>
      </c>
      <c r="L2111" s="112">
        <v>1</v>
      </c>
    </row>
    <row r="2112" spans="1:15" x14ac:dyDescent="0.2">
      <c r="A2112" s="111">
        <v>2192</v>
      </c>
      <c r="B2112" s="421" t="s">
        <v>430</v>
      </c>
      <c r="C2112" s="421" t="s">
        <v>501</v>
      </c>
      <c r="D2112" s="422" t="s">
        <v>666</v>
      </c>
      <c r="F2112" s="421" t="s">
        <v>3423</v>
      </c>
      <c r="G2112" s="112">
        <v>1</v>
      </c>
      <c r="H2112" s="112">
        <v>2</v>
      </c>
      <c r="I2112" s="112">
        <v>2</v>
      </c>
      <c r="J2112" s="112">
        <v>6</v>
      </c>
      <c r="K2112" s="112">
        <v>4</v>
      </c>
      <c r="L2112" s="112">
        <v>4</v>
      </c>
    </row>
    <row r="2113" spans="1:15" x14ac:dyDescent="0.2">
      <c r="A2113" s="111">
        <v>2193</v>
      </c>
      <c r="B2113" s="421" t="s">
        <v>3424</v>
      </c>
      <c r="C2113" s="421" t="s">
        <v>2357</v>
      </c>
      <c r="D2113" s="422" t="s">
        <v>666</v>
      </c>
      <c r="E2113" s="111">
        <v>15211</v>
      </c>
      <c r="F2113" s="421" t="s">
        <v>3425</v>
      </c>
      <c r="G2113" s="112">
        <v>1</v>
      </c>
      <c r="H2113" s="112">
        <v>1</v>
      </c>
      <c r="I2113" s="112">
        <v>1</v>
      </c>
      <c r="J2113" s="112">
        <v>2</v>
      </c>
      <c r="K2113" s="112">
        <v>3</v>
      </c>
      <c r="L2113" s="112">
        <v>3</v>
      </c>
      <c r="M2113" s="112">
        <v>1</v>
      </c>
    </row>
    <row r="2114" spans="1:15" x14ac:dyDescent="0.2">
      <c r="A2114" s="111">
        <v>2194</v>
      </c>
      <c r="B2114" s="421" t="s">
        <v>3426</v>
      </c>
      <c r="C2114" s="421" t="s">
        <v>502</v>
      </c>
      <c r="D2114" s="422" t="s">
        <v>663</v>
      </c>
      <c r="E2114" s="111">
        <v>15073</v>
      </c>
      <c r="F2114" s="421" t="s">
        <v>2060</v>
      </c>
      <c r="G2114" s="112">
        <v>1</v>
      </c>
      <c r="H2114" s="112">
        <v>1</v>
      </c>
      <c r="I2114" s="112">
        <v>1</v>
      </c>
      <c r="J2114" s="112">
        <v>7</v>
      </c>
      <c r="K2114" s="112">
        <v>12</v>
      </c>
      <c r="L2114" s="112">
        <v>9</v>
      </c>
      <c r="M2114" s="112">
        <v>6</v>
      </c>
      <c r="N2114" s="112">
        <v>3</v>
      </c>
      <c r="O2114" s="112">
        <v>3</v>
      </c>
    </row>
    <row r="2115" spans="1:15" x14ac:dyDescent="0.2">
      <c r="A2115" s="111">
        <v>2195</v>
      </c>
      <c r="B2115" s="421" t="s">
        <v>3427</v>
      </c>
      <c r="C2115" s="421" t="s">
        <v>532</v>
      </c>
      <c r="D2115" s="422" t="s">
        <v>663</v>
      </c>
      <c r="E2115" s="111">
        <v>15215</v>
      </c>
      <c r="F2115" s="421" t="s">
        <v>3428</v>
      </c>
      <c r="G2115" s="112">
        <v>1</v>
      </c>
      <c r="H2115" s="112">
        <v>1</v>
      </c>
      <c r="I2115" s="112">
        <v>1</v>
      </c>
      <c r="J2115" s="112">
        <v>7</v>
      </c>
      <c r="K2115" s="112">
        <v>8</v>
      </c>
      <c r="L2115" s="112">
        <v>7</v>
      </c>
      <c r="M2115" s="112">
        <v>5</v>
      </c>
      <c r="N2115" s="112">
        <v>3</v>
      </c>
      <c r="O2115" s="112">
        <v>4</v>
      </c>
    </row>
    <row r="2116" spans="1:15" x14ac:dyDescent="0.2">
      <c r="A2116" s="111">
        <v>2196</v>
      </c>
      <c r="B2116" s="421" t="s">
        <v>3429</v>
      </c>
      <c r="C2116" s="421" t="s">
        <v>506</v>
      </c>
      <c r="D2116" s="422" t="s">
        <v>666</v>
      </c>
      <c r="E2116" s="111">
        <v>15130</v>
      </c>
      <c r="F2116" s="421" t="s">
        <v>3430</v>
      </c>
      <c r="G2116" s="112">
        <v>1</v>
      </c>
      <c r="H2116" s="112">
        <v>1</v>
      </c>
      <c r="I2116" s="112">
        <v>1</v>
      </c>
      <c r="J2116" s="112">
        <v>8</v>
      </c>
      <c r="K2116" s="112">
        <v>7</v>
      </c>
      <c r="L2116" s="112">
        <v>7</v>
      </c>
      <c r="M2116" s="112">
        <v>4</v>
      </c>
      <c r="N2116" s="112">
        <v>4</v>
      </c>
      <c r="O2116" s="112">
        <v>4</v>
      </c>
    </row>
    <row r="2117" spans="1:15" x14ac:dyDescent="0.2">
      <c r="A2117" s="111">
        <v>2197</v>
      </c>
      <c r="B2117" s="421" t="s">
        <v>3431</v>
      </c>
      <c r="C2117" s="421" t="s">
        <v>533</v>
      </c>
      <c r="D2117" s="422" t="s">
        <v>666</v>
      </c>
      <c r="E2117" s="111">
        <v>15147</v>
      </c>
      <c r="F2117" s="421" t="s">
        <v>3432</v>
      </c>
      <c r="G2117" s="112">
        <v>1</v>
      </c>
      <c r="H2117" s="112">
        <v>1</v>
      </c>
      <c r="I2117" s="112">
        <v>2</v>
      </c>
      <c r="K2117" s="112">
        <v>2</v>
      </c>
      <c r="L2117" s="112">
        <v>1</v>
      </c>
    </row>
    <row r="2118" spans="1:15" x14ac:dyDescent="0.2">
      <c r="A2118" s="111">
        <v>2198</v>
      </c>
      <c r="B2118" s="421" t="s">
        <v>3433</v>
      </c>
      <c r="C2118" s="421" t="s">
        <v>501</v>
      </c>
      <c r="D2118" s="422" t="s">
        <v>666</v>
      </c>
      <c r="E2118" s="111">
        <v>15147</v>
      </c>
      <c r="F2118" s="421" t="s">
        <v>3432</v>
      </c>
    </row>
    <row r="2119" spans="1:15" x14ac:dyDescent="0.2">
      <c r="A2119" s="111">
        <v>2199</v>
      </c>
      <c r="B2119" s="421" t="s">
        <v>3276</v>
      </c>
      <c r="C2119" s="421" t="s">
        <v>502</v>
      </c>
      <c r="D2119" s="422" t="s">
        <v>663</v>
      </c>
      <c r="E2119" s="111">
        <v>15213</v>
      </c>
      <c r="F2119" s="421" t="s">
        <v>3434</v>
      </c>
      <c r="G2119" s="112">
        <v>2</v>
      </c>
      <c r="H2119" s="112">
        <v>1</v>
      </c>
      <c r="I2119" s="112">
        <v>1</v>
      </c>
      <c r="J2119" s="112">
        <v>5</v>
      </c>
      <c r="K2119" s="112">
        <v>4</v>
      </c>
      <c r="L2119" s="112">
        <v>4</v>
      </c>
    </row>
    <row r="2120" spans="1:15" x14ac:dyDescent="0.2">
      <c r="A2120" s="111">
        <v>2200</v>
      </c>
      <c r="B2120" s="421" t="s">
        <v>437</v>
      </c>
      <c r="C2120" s="421" t="s">
        <v>501</v>
      </c>
      <c r="D2120" s="422" t="s">
        <v>663</v>
      </c>
      <c r="E2120" s="111">
        <v>15217</v>
      </c>
      <c r="F2120" s="421" t="s">
        <v>3435</v>
      </c>
      <c r="G2120" s="112">
        <v>1</v>
      </c>
      <c r="H2120" s="112">
        <v>1</v>
      </c>
      <c r="I2120" s="112">
        <v>1</v>
      </c>
      <c r="J2120" s="112">
        <v>2</v>
      </c>
    </row>
    <row r="2121" spans="1:15" x14ac:dyDescent="0.2">
      <c r="A2121" s="111">
        <v>2201</v>
      </c>
      <c r="B2121" s="421" t="s">
        <v>1359</v>
      </c>
      <c r="C2121" s="421" t="s">
        <v>510</v>
      </c>
      <c r="D2121" s="422" t="s">
        <v>663</v>
      </c>
      <c r="E2121" s="111">
        <v>15218</v>
      </c>
      <c r="F2121" s="421" t="s">
        <v>3436</v>
      </c>
    </row>
    <row r="2122" spans="1:15" x14ac:dyDescent="0.2">
      <c r="A2122" s="111">
        <v>2203</v>
      </c>
      <c r="B2122" s="421" t="s">
        <v>237</v>
      </c>
      <c r="C2122" s="421" t="s">
        <v>506</v>
      </c>
      <c r="D2122" s="422" t="s">
        <v>663</v>
      </c>
      <c r="E2122" s="111">
        <v>15219</v>
      </c>
      <c r="F2122" s="421" t="s">
        <v>3437</v>
      </c>
      <c r="G2122" s="112">
        <v>1</v>
      </c>
      <c r="H2122" s="112">
        <v>1</v>
      </c>
      <c r="I2122" s="112">
        <v>1</v>
      </c>
      <c r="J2122" s="112">
        <v>2</v>
      </c>
      <c r="K2122" s="112">
        <v>2</v>
      </c>
      <c r="L2122" s="112">
        <v>2</v>
      </c>
      <c r="M2122" s="112">
        <v>2</v>
      </c>
      <c r="N2122" s="112">
        <v>1</v>
      </c>
    </row>
    <row r="2123" spans="1:15" x14ac:dyDescent="0.2">
      <c r="A2123" s="111">
        <v>2204</v>
      </c>
      <c r="B2123" s="421" t="s">
        <v>3438</v>
      </c>
      <c r="C2123" s="421" t="s">
        <v>550</v>
      </c>
      <c r="D2123" s="422" t="s">
        <v>663</v>
      </c>
      <c r="E2123" s="111">
        <v>14868</v>
      </c>
      <c r="F2123" s="421" t="s">
        <v>2576</v>
      </c>
      <c r="G2123" s="112">
        <v>2</v>
      </c>
      <c r="H2123" s="112">
        <v>1</v>
      </c>
      <c r="I2123" s="112">
        <v>2</v>
      </c>
      <c r="J2123" s="112">
        <v>5</v>
      </c>
      <c r="K2123" s="112">
        <v>5</v>
      </c>
      <c r="L2123" s="112">
        <v>5</v>
      </c>
      <c r="M2123" s="112">
        <v>3</v>
      </c>
      <c r="O2123" s="112">
        <v>2</v>
      </c>
    </row>
    <row r="2124" spans="1:15" x14ac:dyDescent="0.2">
      <c r="A2124" s="111">
        <v>2205</v>
      </c>
      <c r="B2124" s="421" t="s">
        <v>1543</v>
      </c>
      <c r="C2124" s="421" t="s">
        <v>1201</v>
      </c>
      <c r="D2124" s="422" t="s">
        <v>663</v>
      </c>
      <c r="E2124" s="111">
        <v>15220</v>
      </c>
      <c r="F2124" s="421" t="s">
        <v>3439</v>
      </c>
      <c r="G2124" s="112">
        <v>1</v>
      </c>
      <c r="H2124" s="112">
        <v>2</v>
      </c>
      <c r="I2124" s="112">
        <v>1</v>
      </c>
      <c r="J2124" s="112">
        <v>9</v>
      </c>
      <c r="K2124" s="112">
        <v>9</v>
      </c>
      <c r="L2124" s="112">
        <v>8</v>
      </c>
      <c r="M2124" s="112">
        <v>12</v>
      </c>
      <c r="N2124" s="112">
        <v>6</v>
      </c>
      <c r="O2124" s="112">
        <v>7</v>
      </c>
    </row>
    <row r="2125" spans="1:15" x14ac:dyDescent="0.2">
      <c r="A2125" s="111">
        <v>2206</v>
      </c>
      <c r="B2125" s="421" t="s">
        <v>3440</v>
      </c>
      <c r="C2125" s="421" t="s">
        <v>570</v>
      </c>
      <c r="D2125" s="422" t="s">
        <v>666</v>
      </c>
      <c r="E2125" s="111">
        <v>14846</v>
      </c>
      <c r="F2125" s="421" t="s">
        <v>2504</v>
      </c>
      <c r="G2125" s="112">
        <v>1</v>
      </c>
      <c r="H2125" s="112">
        <v>1</v>
      </c>
    </row>
    <row r="2126" spans="1:15" x14ac:dyDescent="0.2">
      <c r="A2126" s="111">
        <v>2207</v>
      </c>
      <c r="B2126" s="421" t="s">
        <v>3441</v>
      </c>
      <c r="C2126" s="421" t="s">
        <v>531</v>
      </c>
      <c r="D2126" s="422" t="s">
        <v>663</v>
      </c>
      <c r="E2126" s="111">
        <v>15222</v>
      </c>
      <c r="F2126" s="421" t="s">
        <v>3442</v>
      </c>
      <c r="G2126" s="112">
        <v>1</v>
      </c>
      <c r="H2126" s="112">
        <v>1</v>
      </c>
      <c r="I2126" s="112">
        <v>1</v>
      </c>
      <c r="J2126" s="112">
        <v>7</v>
      </c>
      <c r="K2126" s="112">
        <v>7</v>
      </c>
      <c r="L2126" s="112">
        <v>8</v>
      </c>
      <c r="M2126" s="112">
        <v>4</v>
      </c>
      <c r="O2126" s="112">
        <v>2</v>
      </c>
    </row>
    <row r="2127" spans="1:15" x14ac:dyDescent="0.2">
      <c r="A2127" s="111">
        <v>2208</v>
      </c>
      <c r="B2127" s="421" t="s">
        <v>2780</v>
      </c>
      <c r="C2127" s="421" t="s">
        <v>3443</v>
      </c>
      <c r="D2127" s="422" t="s">
        <v>666</v>
      </c>
      <c r="E2127" s="111">
        <v>14688</v>
      </c>
      <c r="F2127" s="421" t="s">
        <v>2947</v>
      </c>
      <c r="G2127" s="112">
        <v>1</v>
      </c>
      <c r="H2127" s="112">
        <v>1</v>
      </c>
      <c r="I2127" s="112">
        <v>1</v>
      </c>
      <c r="J2127" s="112">
        <v>1</v>
      </c>
      <c r="K2127" s="112">
        <v>1</v>
      </c>
      <c r="L2127" s="112">
        <v>1</v>
      </c>
    </row>
    <row r="2128" spans="1:15" x14ac:dyDescent="0.2">
      <c r="A2128" s="111">
        <v>2210</v>
      </c>
      <c r="B2128" s="421" t="s">
        <v>3444</v>
      </c>
      <c r="C2128" s="421" t="s">
        <v>1447</v>
      </c>
      <c r="D2128" s="422" t="s">
        <v>663</v>
      </c>
      <c r="E2128" s="111">
        <v>15224</v>
      </c>
      <c r="F2128" s="421" t="s">
        <v>3445</v>
      </c>
      <c r="G2128" s="112">
        <v>1</v>
      </c>
      <c r="H2128" s="112">
        <v>1</v>
      </c>
      <c r="I2128" s="112">
        <v>1</v>
      </c>
      <c r="J2128" s="112">
        <v>4</v>
      </c>
      <c r="K2128" s="112">
        <v>1</v>
      </c>
      <c r="L2128" s="112">
        <v>1</v>
      </c>
    </row>
    <row r="2129" spans="1:15" x14ac:dyDescent="0.2">
      <c r="A2129" s="111">
        <v>2211</v>
      </c>
      <c r="B2129" s="421" t="s">
        <v>2266</v>
      </c>
      <c r="C2129" s="421" t="s">
        <v>1934</v>
      </c>
      <c r="D2129" s="422" t="s">
        <v>666</v>
      </c>
      <c r="E2129" s="111">
        <v>15226</v>
      </c>
      <c r="F2129" s="421" t="s">
        <v>3446</v>
      </c>
      <c r="G2129" s="112">
        <v>2</v>
      </c>
      <c r="H2129" s="112">
        <v>1</v>
      </c>
      <c r="I2129" s="112">
        <v>1</v>
      </c>
      <c r="J2129" s="112">
        <v>1</v>
      </c>
      <c r="K2129" s="112">
        <v>2</v>
      </c>
      <c r="L2129" s="112">
        <v>1</v>
      </c>
    </row>
    <row r="2130" spans="1:15" x14ac:dyDescent="0.2">
      <c r="A2130" s="111">
        <v>2212</v>
      </c>
      <c r="B2130" s="421" t="s">
        <v>3447</v>
      </c>
      <c r="C2130" s="421" t="s">
        <v>17459</v>
      </c>
      <c r="D2130" s="422" t="s">
        <v>663</v>
      </c>
      <c r="E2130" s="111">
        <v>15227</v>
      </c>
      <c r="F2130" s="421" t="s">
        <v>3448</v>
      </c>
      <c r="G2130" s="112">
        <v>1</v>
      </c>
      <c r="H2130" s="112">
        <v>1</v>
      </c>
      <c r="I2130" s="112">
        <v>1</v>
      </c>
    </row>
    <row r="2131" spans="1:15" x14ac:dyDescent="0.2">
      <c r="A2131" s="111">
        <v>2213</v>
      </c>
      <c r="B2131" s="421" t="s">
        <v>3449</v>
      </c>
      <c r="C2131" s="421" t="s">
        <v>519</v>
      </c>
      <c r="D2131" s="422" t="s">
        <v>666</v>
      </c>
      <c r="F2131" s="421" t="s">
        <v>3381</v>
      </c>
      <c r="G2131" s="112">
        <v>1</v>
      </c>
      <c r="H2131" s="112">
        <v>1</v>
      </c>
      <c r="I2131" s="112">
        <v>1</v>
      </c>
      <c r="J2131" s="112">
        <v>1</v>
      </c>
      <c r="K2131" s="112">
        <v>1</v>
      </c>
      <c r="L2131" s="112">
        <v>1</v>
      </c>
    </row>
    <row r="2132" spans="1:15" x14ac:dyDescent="0.2">
      <c r="A2132" s="111">
        <v>2214</v>
      </c>
      <c r="B2132" s="421" t="s">
        <v>246</v>
      </c>
      <c r="C2132" s="421" t="s">
        <v>532</v>
      </c>
      <c r="D2132" s="422" t="s">
        <v>663</v>
      </c>
      <c r="E2132" s="111">
        <v>15229</v>
      </c>
      <c r="F2132" s="421" t="s">
        <v>3450</v>
      </c>
      <c r="G2132" s="112">
        <v>1</v>
      </c>
      <c r="H2132" s="112">
        <v>2</v>
      </c>
      <c r="I2132" s="112">
        <v>1</v>
      </c>
    </row>
    <row r="2133" spans="1:15" x14ac:dyDescent="0.2">
      <c r="A2133" s="111">
        <v>2215</v>
      </c>
      <c r="B2133" s="421" t="s">
        <v>1853</v>
      </c>
      <c r="C2133" s="421" t="s">
        <v>529</v>
      </c>
      <c r="D2133" s="422" t="s">
        <v>666</v>
      </c>
      <c r="E2133" s="111">
        <v>14875</v>
      </c>
      <c r="F2133" s="421" t="s">
        <v>3451</v>
      </c>
      <c r="G2133" s="112">
        <v>2</v>
      </c>
      <c r="H2133" s="112">
        <v>2</v>
      </c>
      <c r="I2133" s="112">
        <v>2</v>
      </c>
      <c r="J2133" s="112">
        <v>9</v>
      </c>
      <c r="K2133" s="112">
        <v>9</v>
      </c>
      <c r="L2133" s="112">
        <v>9</v>
      </c>
      <c r="M2133" s="112">
        <v>4</v>
      </c>
      <c r="N2133" s="112">
        <v>5</v>
      </c>
      <c r="O2133" s="112">
        <v>5</v>
      </c>
    </row>
    <row r="2134" spans="1:15" x14ac:dyDescent="0.2">
      <c r="A2134" s="111">
        <v>2216</v>
      </c>
      <c r="B2134" s="421" t="s">
        <v>201</v>
      </c>
      <c r="C2134" s="421" t="s">
        <v>501</v>
      </c>
      <c r="D2134" s="422" t="s">
        <v>663</v>
      </c>
      <c r="F2134" s="421" t="s">
        <v>3452</v>
      </c>
      <c r="G2134" s="112">
        <v>1</v>
      </c>
    </row>
    <row r="2135" spans="1:15" x14ac:dyDescent="0.2">
      <c r="A2135" s="111">
        <v>2217</v>
      </c>
      <c r="B2135" s="421" t="s">
        <v>2465</v>
      </c>
      <c r="C2135" s="421" t="s">
        <v>501</v>
      </c>
      <c r="D2135" s="422" t="s">
        <v>666</v>
      </c>
      <c r="E2135" s="111">
        <v>15230</v>
      </c>
      <c r="F2135" s="421" t="s">
        <v>3015</v>
      </c>
      <c r="G2135" s="112">
        <v>1</v>
      </c>
      <c r="H2135" s="112">
        <v>1</v>
      </c>
      <c r="I2135" s="112">
        <v>1</v>
      </c>
      <c r="J2135" s="112">
        <v>10</v>
      </c>
      <c r="K2135" s="112">
        <v>10</v>
      </c>
      <c r="L2135" s="112">
        <v>10</v>
      </c>
      <c r="M2135" s="112">
        <v>13</v>
      </c>
      <c r="N2135" s="112">
        <v>11</v>
      </c>
      <c r="O2135" s="112">
        <v>9</v>
      </c>
    </row>
    <row r="2136" spans="1:15" x14ac:dyDescent="0.2">
      <c r="A2136" s="111">
        <v>2218</v>
      </c>
      <c r="B2136" s="421" t="s">
        <v>232</v>
      </c>
      <c r="C2136" s="421" t="s">
        <v>581</v>
      </c>
      <c r="D2136" s="422" t="s">
        <v>666</v>
      </c>
      <c r="E2136" s="111">
        <v>15231</v>
      </c>
      <c r="F2136" s="421" t="s">
        <v>3453</v>
      </c>
    </row>
    <row r="2137" spans="1:15" x14ac:dyDescent="0.2">
      <c r="A2137" s="111">
        <v>2219</v>
      </c>
      <c r="B2137" s="421" t="s">
        <v>265</v>
      </c>
      <c r="C2137" s="421" t="s">
        <v>501</v>
      </c>
      <c r="D2137" s="422" t="s">
        <v>663</v>
      </c>
      <c r="F2137" s="421" t="s">
        <v>3454</v>
      </c>
      <c r="G2137" s="112">
        <v>1</v>
      </c>
    </row>
    <row r="2138" spans="1:15" x14ac:dyDescent="0.2">
      <c r="A2138" s="111">
        <v>2221</v>
      </c>
      <c r="B2138" s="421" t="s">
        <v>435</v>
      </c>
      <c r="C2138" s="421" t="s">
        <v>521</v>
      </c>
      <c r="D2138" s="422" t="s">
        <v>663</v>
      </c>
      <c r="E2138" s="111">
        <v>15232</v>
      </c>
      <c r="F2138" s="421" t="s">
        <v>3455</v>
      </c>
      <c r="G2138" s="112">
        <v>1</v>
      </c>
    </row>
    <row r="2139" spans="1:15" x14ac:dyDescent="0.2">
      <c r="A2139" s="111">
        <v>2222</v>
      </c>
      <c r="B2139" s="421" t="s">
        <v>3044</v>
      </c>
      <c r="C2139" s="421" t="s">
        <v>555</v>
      </c>
      <c r="D2139" s="422" t="s">
        <v>663</v>
      </c>
      <c r="E2139" s="111">
        <v>15233</v>
      </c>
      <c r="F2139" s="421" t="s">
        <v>3456</v>
      </c>
      <c r="G2139" s="112">
        <v>2</v>
      </c>
      <c r="H2139" s="112">
        <v>2</v>
      </c>
      <c r="I2139" s="112">
        <v>1</v>
      </c>
    </row>
    <row r="2140" spans="1:15" x14ac:dyDescent="0.2">
      <c r="A2140" s="111">
        <v>2223</v>
      </c>
      <c r="B2140" s="421" t="s">
        <v>3457</v>
      </c>
      <c r="C2140" s="421" t="s">
        <v>551</v>
      </c>
      <c r="D2140" s="422" t="s">
        <v>663</v>
      </c>
      <c r="E2140" s="111">
        <v>15570</v>
      </c>
      <c r="F2140" s="421" t="s">
        <v>3458</v>
      </c>
      <c r="G2140" s="112">
        <v>1</v>
      </c>
      <c r="H2140" s="112">
        <v>1</v>
      </c>
      <c r="I2140" s="112">
        <v>1</v>
      </c>
      <c r="J2140" s="112">
        <v>2</v>
      </c>
      <c r="K2140" s="112">
        <v>2</v>
      </c>
      <c r="L2140" s="112">
        <v>1</v>
      </c>
    </row>
    <row r="2141" spans="1:15" x14ac:dyDescent="0.2">
      <c r="A2141" s="111">
        <v>2224</v>
      </c>
      <c r="B2141" s="421" t="s">
        <v>3459</v>
      </c>
      <c r="C2141" s="421" t="s">
        <v>502</v>
      </c>
      <c r="D2141" s="422" t="s">
        <v>663</v>
      </c>
      <c r="E2141" s="111">
        <v>15570</v>
      </c>
      <c r="F2141" s="421" t="s">
        <v>3458</v>
      </c>
      <c r="G2141" s="112">
        <v>1</v>
      </c>
      <c r="H2141" s="112">
        <v>1</v>
      </c>
      <c r="I2141" s="112">
        <v>1</v>
      </c>
      <c r="J2141" s="112">
        <v>15</v>
      </c>
      <c r="K2141" s="112">
        <v>13</v>
      </c>
      <c r="L2141" s="112">
        <v>13</v>
      </c>
      <c r="M2141" s="112">
        <v>9</v>
      </c>
      <c r="N2141" s="112">
        <v>7</v>
      </c>
      <c r="O2141" s="112">
        <v>6</v>
      </c>
    </row>
    <row r="2142" spans="1:15" x14ac:dyDescent="0.2">
      <c r="A2142" s="111">
        <v>2225</v>
      </c>
      <c r="B2142" s="421" t="s">
        <v>3233</v>
      </c>
      <c r="C2142" s="421" t="s">
        <v>551</v>
      </c>
      <c r="D2142" s="422" t="s">
        <v>666</v>
      </c>
      <c r="E2142" s="111">
        <v>44387</v>
      </c>
      <c r="F2142" s="421" t="s">
        <v>3460</v>
      </c>
    </row>
    <row r="2143" spans="1:15" x14ac:dyDescent="0.2">
      <c r="A2143" s="111">
        <v>2226</v>
      </c>
      <c r="B2143" s="421" t="s">
        <v>3461</v>
      </c>
      <c r="C2143" s="421" t="s">
        <v>510</v>
      </c>
      <c r="D2143" s="422" t="s">
        <v>666</v>
      </c>
      <c r="E2143" s="111">
        <v>15234</v>
      </c>
      <c r="F2143" s="421" t="s">
        <v>3462</v>
      </c>
      <c r="G2143" s="112">
        <v>2</v>
      </c>
      <c r="H2143" s="112">
        <v>2</v>
      </c>
      <c r="I2143" s="112">
        <v>1</v>
      </c>
      <c r="J2143" s="112">
        <v>11</v>
      </c>
      <c r="K2143" s="112">
        <v>7</v>
      </c>
      <c r="L2143" s="112">
        <v>8</v>
      </c>
      <c r="M2143" s="112">
        <v>5</v>
      </c>
      <c r="N2143" s="112">
        <v>1</v>
      </c>
      <c r="O2143" s="112">
        <v>3</v>
      </c>
    </row>
    <row r="2144" spans="1:15" x14ac:dyDescent="0.2">
      <c r="A2144" s="111">
        <v>2227</v>
      </c>
      <c r="B2144" s="421" t="s">
        <v>1954</v>
      </c>
      <c r="C2144" s="421" t="s">
        <v>503</v>
      </c>
      <c r="D2144" s="422" t="s">
        <v>663</v>
      </c>
      <c r="E2144" s="111">
        <v>14783</v>
      </c>
      <c r="F2144" s="421" t="s">
        <v>2317</v>
      </c>
      <c r="G2144" s="112">
        <v>1</v>
      </c>
      <c r="H2144" s="112">
        <v>1</v>
      </c>
      <c r="I2144" s="112">
        <v>1</v>
      </c>
    </row>
    <row r="2145" spans="1:15" x14ac:dyDescent="0.2">
      <c r="A2145" s="111">
        <v>2228</v>
      </c>
      <c r="B2145" s="421" t="s">
        <v>193</v>
      </c>
      <c r="C2145" s="421" t="s">
        <v>510</v>
      </c>
      <c r="D2145" s="422" t="s">
        <v>663</v>
      </c>
      <c r="E2145" s="111">
        <v>15235</v>
      </c>
      <c r="F2145" s="421" t="s">
        <v>3463</v>
      </c>
      <c r="G2145" s="112">
        <v>1</v>
      </c>
      <c r="I2145" s="112">
        <v>1</v>
      </c>
    </row>
    <row r="2146" spans="1:15" x14ac:dyDescent="0.2">
      <c r="A2146" s="111">
        <v>2229</v>
      </c>
      <c r="B2146" s="421" t="s">
        <v>3508</v>
      </c>
      <c r="C2146" s="421" t="s">
        <v>506</v>
      </c>
      <c r="D2146" s="422" t="s">
        <v>666</v>
      </c>
      <c r="F2146" s="421" t="s">
        <v>3464</v>
      </c>
    </row>
    <row r="2147" spans="1:15" x14ac:dyDescent="0.2">
      <c r="A2147" s="111">
        <v>2230</v>
      </c>
      <c r="B2147" s="421" t="s">
        <v>159</v>
      </c>
      <c r="C2147" s="421" t="s">
        <v>513</v>
      </c>
      <c r="D2147" s="422" t="s">
        <v>663</v>
      </c>
      <c r="E2147" s="111">
        <v>15956</v>
      </c>
      <c r="F2147" s="421" t="s">
        <v>3465</v>
      </c>
    </row>
    <row r="2148" spans="1:15" x14ac:dyDescent="0.2">
      <c r="A2148" s="111">
        <v>2231</v>
      </c>
      <c r="B2148" s="421" t="s">
        <v>472</v>
      </c>
      <c r="C2148" s="421" t="s">
        <v>501</v>
      </c>
      <c r="D2148" s="422" t="s">
        <v>663</v>
      </c>
      <c r="E2148" s="111">
        <v>15237</v>
      </c>
      <c r="F2148" s="421" t="s">
        <v>3466</v>
      </c>
      <c r="G2148" s="112">
        <v>2</v>
      </c>
      <c r="H2148" s="112">
        <v>1</v>
      </c>
      <c r="I2148" s="112">
        <v>1</v>
      </c>
    </row>
    <row r="2149" spans="1:15" x14ac:dyDescent="0.2">
      <c r="A2149" s="111">
        <v>2232</v>
      </c>
      <c r="B2149" s="421" t="s">
        <v>3467</v>
      </c>
      <c r="C2149" s="421" t="s">
        <v>533</v>
      </c>
      <c r="D2149" s="422" t="s">
        <v>666</v>
      </c>
      <c r="E2149" s="111">
        <v>15206</v>
      </c>
      <c r="F2149" s="421" t="s">
        <v>3468</v>
      </c>
      <c r="G2149" s="112">
        <v>2</v>
      </c>
      <c r="H2149" s="112">
        <v>2</v>
      </c>
      <c r="I2149" s="112">
        <v>1</v>
      </c>
      <c r="J2149" s="112">
        <v>7</v>
      </c>
      <c r="K2149" s="112">
        <v>6</v>
      </c>
      <c r="L2149" s="112">
        <v>6</v>
      </c>
      <c r="M2149" s="112">
        <v>16</v>
      </c>
      <c r="N2149" s="112">
        <v>14</v>
      </c>
      <c r="O2149" s="112">
        <v>14</v>
      </c>
    </row>
    <row r="2150" spans="1:15" x14ac:dyDescent="0.2">
      <c r="A2150" s="111">
        <v>2233</v>
      </c>
      <c r="B2150" s="421" t="s">
        <v>79</v>
      </c>
      <c r="C2150" s="421" t="s">
        <v>501</v>
      </c>
      <c r="D2150" s="422" t="s">
        <v>666</v>
      </c>
      <c r="E2150" s="111">
        <v>14925</v>
      </c>
      <c r="F2150" s="421" t="s">
        <v>2704</v>
      </c>
      <c r="G2150" s="112">
        <v>1</v>
      </c>
      <c r="H2150" s="112">
        <v>1</v>
      </c>
      <c r="I2150" s="112">
        <v>1</v>
      </c>
      <c r="J2150" s="112">
        <v>1</v>
      </c>
      <c r="K2150" s="112">
        <v>2</v>
      </c>
      <c r="L2150" s="112">
        <v>1</v>
      </c>
    </row>
    <row r="2151" spans="1:15" x14ac:dyDescent="0.2">
      <c r="A2151" s="111">
        <v>2234</v>
      </c>
      <c r="B2151" s="421" t="s">
        <v>1423</v>
      </c>
      <c r="C2151" s="421" t="s">
        <v>545</v>
      </c>
      <c r="D2151" s="422" t="s">
        <v>663</v>
      </c>
      <c r="E2151" s="111">
        <v>14602</v>
      </c>
      <c r="F2151" s="421" t="s">
        <v>1821</v>
      </c>
      <c r="G2151" s="112">
        <v>1</v>
      </c>
      <c r="H2151" s="112">
        <v>1</v>
      </c>
      <c r="I2151" s="112">
        <v>1</v>
      </c>
      <c r="J2151" s="112">
        <v>9</v>
      </c>
      <c r="K2151" s="112">
        <v>8</v>
      </c>
      <c r="L2151" s="112">
        <v>7</v>
      </c>
      <c r="M2151" s="112">
        <v>4</v>
      </c>
      <c r="N2151" s="112">
        <v>4</v>
      </c>
      <c r="O2151" s="112">
        <v>4</v>
      </c>
    </row>
    <row r="2152" spans="1:15" x14ac:dyDescent="0.2">
      <c r="A2152" s="111">
        <v>2235</v>
      </c>
      <c r="B2152" s="421" t="s">
        <v>3469</v>
      </c>
      <c r="C2152" s="421" t="s">
        <v>2932</v>
      </c>
      <c r="D2152" s="422" t="s">
        <v>663</v>
      </c>
      <c r="E2152" s="111">
        <v>15238</v>
      </c>
      <c r="F2152" s="421" t="s">
        <v>3470</v>
      </c>
    </row>
    <row r="2153" spans="1:15" x14ac:dyDescent="0.2">
      <c r="A2153" s="111">
        <v>2236</v>
      </c>
      <c r="B2153" s="421" t="s">
        <v>3471</v>
      </c>
      <c r="C2153" s="421" t="s">
        <v>2932</v>
      </c>
      <c r="D2153" s="422" t="s">
        <v>663</v>
      </c>
      <c r="E2153" s="111">
        <v>15238</v>
      </c>
      <c r="F2153" s="421" t="s">
        <v>3470</v>
      </c>
    </row>
    <row r="2154" spans="1:15" x14ac:dyDescent="0.2">
      <c r="A2154" s="111">
        <v>2237</v>
      </c>
      <c r="B2154" s="421" t="s">
        <v>185</v>
      </c>
      <c r="C2154" s="421" t="s">
        <v>503</v>
      </c>
      <c r="D2154" s="422" t="s">
        <v>663</v>
      </c>
      <c r="E2154" s="111">
        <v>15240</v>
      </c>
      <c r="F2154" s="421" t="s">
        <v>3472</v>
      </c>
      <c r="G2154" s="112">
        <v>2</v>
      </c>
      <c r="H2154" s="112">
        <v>2</v>
      </c>
      <c r="I2154" s="112">
        <v>1</v>
      </c>
      <c r="J2154" s="112">
        <v>19</v>
      </c>
      <c r="K2154" s="112">
        <v>19</v>
      </c>
      <c r="L2154" s="112">
        <v>19</v>
      </c>
      <c r="M2154" s="112">
        <v>10</v>
      </c>
      <c r="N2154" s="112">
        <v>10</v>
      </c>
      <c r="O2154" s="112">
        <v>11</v>
      </c>
    </row>
    <row r="2155" spans="1:15" x14ac:dyDescent="0.2">
      <c r="A2155" s="111">
        <v>2238</v>
      </c>
      <c r="B2155" s="421" t="s">
        <v>66</v>
      </c>
      <c r="C2155" s="421" t="s">
        <v>513</v>
      </c>
      <c r="D2155" s="422" t="s">
        <v>663</v>
      </c>
      <c r="E2155" s="111">
        <v>15241</v>
      </c>
      <c r="F2155" s="421" t="s">
        <v>3473</v>
      </c>
      <c r="G2155" s="112">
        <v>1</v>
      </c>
      <c r="H2155" s="112">
        <v>1</v>
      </c>
      <c r="I2155" s="112">
        <v>1</v>
      </c>
      <c r="J2155" s="112">
        <v>8</v>
      </c>
      <c r="K2155" s="112">
        <v>7</v>
      </c>
      <c r="L2155" s="112">
        <v>8</v>
      </c>
      <c r="M2155" s="112">
        <v>8</v>
      </c>
      <c r="N2155" s="112">
        <v>3</v>
      </c>
      <c r="O2155" s="112">
        <v>3</v>
      </c>
    </row>
    <row r="2156" spans="1:15" x14ac:dyDescent="0.2">
      <c r="A2156" s="111">
        <v>2239</v>
      </c>
      <c r="B2156" s="421" t="s">
        <v>101</v>
      </c>
      <c r="C2156" s="421" t="s">
        <v>513</v>
      </c>
      <c r="D2156" s="422" t="s">
        <v>666</v>
      </c>
      <c r="E2156" s="111">
        <v>15241</v>
      </c>
      <c r="F2156" s="421" t="s">
        <v>3473</v>
      </c>
    </row>
    <row r="2157" spans="1:15" x14ac:dyDescent="0.2">
      <c r="A2157" s="111">
        <v>2240</v>
      </c>
      <c r="B2157" s="421" t="s">
        <v>2881</v>
      </c>
      <c r="C2157" s="421" t="s">
        <v>503</v>
      </c>
      <c r="D2157" s="422" t="s">
        <v>666</v>
      </c>
      <c r="F2157" s="421" t="s">
        <v>2163</v>
      </c>
      <c r="G2157" s="112">
        <v>1</v>
      </c>
      <c r="H2157" s="112">
        <v>1</v>
      </c>
      <c r="I2157" s="112">
        <v>1</v>
      </c>
      <c r="J2157" s="112">
        <v>2</v>
      </c>
      <c r="K2157" s="112">
        <v>4</v>
      </c>
      <c r="L2157" s="112">
        <v>6</v>
      </c>
      <c r="O2157" s="112">
        <v>1</v>
      </c>
    </row>
    <row r="2158" spans="1:15" x14ac:dyDescent="0.2">
      <c r="A2158" s="111">
        <v>2241</v>
      </c>
      <c r="B2158" s="421" t="s">
        <v>3474</v>
      </c>
      <c r="C2158" s="421" t="s">
        <v>520</v>
      </c>
      <c r="D2158" s="422" t="s">
        <v>666</v>
      </c>
      <c r="E2158" s="111">
        <v>15242</v>
      </c>
      <c r="F2158" s="421" t="s">
        <v>3475</v>
      </c>
      <c r="G2158" s="112">
        <v>2</v>
      </c>
      <c r="H2158" s="112">
        <v>2</v>
      </c>
      <c r="I2158" s="112">
        <v>1</v>
      </c>
      <c r="J2158" s="112">
        <v>2</v>
      </c>
      <c r="K2158" s="112">
        <v>1</v>
      </c>
      <c r="L2158" s="112">
        <v>2</v>
      </c>
      <c r="M2158" s="112">
        <v>1</v>
      </c>
    </row>
    <row r="2159" spans="1:15" x14ac:dyDescent="0.2">
      <c r="A2159" s="111">
        <v>2242</v>
      </c>
      <c r="B2159" s="421" t="s">
        <v>1380</v>
      </c>
      <c r="C2159" s="421" t="s">
        <v>1226</v>
      </c>
      <c r="D2159" s="422" t="s">
        <v>663</v>
      </c>
      <c r="E2159" s="111">
        <v>15377</v>
      </c>
      <c r="F2159" s="421" t="s">
        <v>3476</v>
      </c>
      <c r="G2159" s="112">
        <v>1</v>
      </c>
      <c r="H2159" s="112">
        <v>1</v>
      </c>
      <c r="I2159" s="112">
        <v>1</v>
      </c>
      <c r="J2159" s="112">
        <v>4</v>
      </c>
      <c r="K2159" s="112">
        <v>4</v>
      </c>
      <c r="L2159" s="112">
        <v>4</v>
      </c>
      <c r="M2159" s="112">
        <v>49</v>
      </c>
      <c r="N2159" s="112">
        <v>43</v>
      </c>
      <c r="O2159" s="112">
        <v>48</v>
      </c>
    </row>
    <row r="2160" spans="1:15" x14ac:dyDescent="0.2">
      <c r="A2160" s="111">
        <v>2243</v>
      </c>
      <c r="B2160" s="421" t="s">
        <v>83</v>
      </c>
      <c r="C2160" s="421" t="s">
        <v>516</v>
      </c>
      <c r="D2160" s="422" t="s">
        <v>666</v>
      </c>
      <c r="E2160" s="111">
        <v>15071</v>
      </c>
      <c r="F2160" s="421" t="s">
        <v>3123</v>
      </c>
    </row>
    <row r="2161" spans="1:15" x14ac:dyDescent="0.2">
      <c r="A2161" s="111">
        <v>2244</v>
      </c>
      <c r="B2161" s="421" t="s">
        <v>3477</v>
      </c>
      <c r="C2161" s="421" t="s">
        <v>551</v>
      </c>
      <c r="D2161" s="422" t="s">
        <v>666</v>
      </c>
      <c r="E2161" s="111">
        <v>15281</v>
      </c>
      <c r="F2161" s="421" t="s">
        <v>3073</v>
      </c>
      <c r="G2161" s="112">
        <v>1</v>
      </c>
      <c r="H2161" s="112">
        <v>1</v>
      </c>
      <c r="I2161" s="112">
        <v>1</v>
      </c>
      <c r="J2161" s="112">
        <v>14</v>
      </c>
      <c r="K2161" s="112">
        <v>9</v>
      </c>
      <c r="L2161" s="112">
        <v>7</v>
      </c>
      <c r="M2161" s="112">
        <v>8</v>
      </c>
      <c r="N2161" s="112">
        <v>3</v>
      </c>
      <c r="O2161" s="112">
        <v>6</v>
      </c>
    </row>
    <row r="2162" spans="1:15" x14ac:dyDescent="0.2">
      <c r="A2162" s="111">
        <v>2245</v>
      </c>
      <c r="B2162" s="421" t="s">
        <v>2575</v>
      </c>
      <c r="C2162" s="421" t="s">
        <v>503</v>
      </c>
      <c r="D2162" s="422" t="s">
        <v>663</v>
      </c>
      <c r="E2162" s="111">
        <v>15243</v>
      </c>
      <c r="F2162" s="421" t="s">
        <v>3478</v>
      </c>
      <c r="G2162" s="112">
        <v>1</v>
      </c>
      <c r="I2162" s="112">
        <v>1</v>
      </c>
      <c r="J2162" s="112">
        <v>1</v>
      </c>
      <c r="L2162" s="112">
        <v>1</v>
      </c>
    </row>
    <row r="2163" spans="1:15" x14ac:dyDescent="0.2">
      <c r="A2163" s="111">
        <v>2246</v>
      </c>
      <c r="B2163" s="421" t="s">
        <v>3479</v>
      </c>
      <c r="C2163" s="421" t="s">
        <v>501</v>
      </c>
      <c r="D2163" s="422" t="s">
        <v>666</v>
      </c>
      <c r="E2163" s="111">
        <v>15212</v>
      </c>
      <c r="F2163" s="421" t="s">
        <v>3480</v>
      </c>
      <c r="G2163" s="112">
        <v>1</v>
      </c>
      <c r="H2163" s="112">
        <v>1</v>
      </c>
      <c r="I2163" s="112">
        <v>1</v>
      </c>
    </row>
    <row r="2164" spans="1:15" x14ac:dyDescent="0.2">
      <c r="A2164" s="111">
        <v>2247</v>
      </c>
      <c r="B2164" s="421" t="s">
        <v>3482</v>
      </c>
      <c r="C2164" s="421" t="s">
        <v>516</v>
      </c>
      <c r="D2164" s="422" t="s">
        <v>666</v>
      </c>
      <c r="E2164" s="111">
        <v>15284</v>
      </c>
      <c r="F2164" s="421" t="s">
        <v>1951</v>
      </c>
      <c r="G2164" s="112">
        <v>2</v>
      </c>
      <c r="H2164" s="112">
        <v>1</v>
      </c>
      <c r="I2164" s="112">
        <v>1</v>
      </c>
      <c r="J2164" s="112">
        <v>1</v>
      </c>
      <c r="K2164" s="112">
        <v>1</v>
      </c>
    </row>
    <row r="2165" spans="1:15" x14ac:dyDescent="0.2">
      <c r="A2165" s="111">
        <v>2248</v>
      </c>
      <c r="B2165" s="421" t="s">
        <v>3483</v>
      </c>
      <c r="C2165" s="421" t="s">
        <v>1746</v>
      </c>
      <c r="D2165" s="422" t="s">
        <v>663</v>
      </c>
      <c r="E2165" s="111">
        <v>14273</v>
      </c>
      <c r="F2165" s="421" t="s">
        <v>689</v>
      </c>
    </row>
    <row r="2166" spans="1:15" x14ac:dyDescent="0.2">
      <c r="A2166" s="111">
        <v>2249</v>
      </c>
      <c r="B2166" s="421" t="s">
        <v>3484</v>
      </c>
      <c r="C2166" s="421" t="s">
        <v>1746</v>
      </c>
      <c r="D2166" s="422" t="s">
        <v>663</v>
      </c>
      <c r="E2166" s="111">
        <v>14273</v>
      </c>
      <c r="F2166" s="421" t="s">
        <v>689</v>
      </c>
    </row>
    <row r="2167" spans="1:15" x14ac:dyDescent="0.2">
      <c r="A2167" s="111">
        <v>2250</v>
      </c>
      <c r="B2167" s="421" t="s">
        <v>3485</v>
      </c>
      <c r="C2167" s="421" t="s">
        <v>532</v>
      </c>
      <c r="D2167" s="422" t="s">
        <v>666</v>
      </c>
      <c r="E2167" s="111">
        <v>15246</v>
      </c>
      <c r="F2167" s="421" t="s">
        <v>3486</v>
      </c>
      <c r="G2167" s="112">
        <v>1</v>
      </c>
      <c r="H2167" s="112">
        <v>1</v>
      </c>
      <c r="I2167" s="112">
        <v>1</v>
      </c>
      <c r="J2167" s="112">
        <v>6</v>
      </c>
      <c r="K2167" s="112">
        <v>6</v>
      </c>
      <c r="L2167" s="112">
        <v>6</v>
      </c>
      <c r="M2167" s="112">
        <v>5</v>
      </c>
      <c r="N2167" s="112">
        <v>4</v>
      </c>
      <c r="O2167" s="112">
        <v>6</v>
      </c>
    </row>
    <row r="2168" spans="1:15" x14ac:dyDescent="0.2">
      <c r="A2168" s="111">
        <v>2251</v>
      </c>
      <c r="B2168" s="421" t="s">
        <v>381</v>
      </c>
      <c r="C2168" s="421" t="s">
        <v>506</v>
      </c>
      <c r="D2168" s="422" t="s">
        <v>663</v>
      </c>
      <c r="F2168" s="421" t="s">
        <v>3487</v>
      </c>
    </row>
    <row r="2169" spans="1:15" x14ac:dyDescent="0.2">
      <c r="A2169" s="111">
        <v>2252</v>
      </c>
      <c r="B2169" s="421" t="s">
        <v>2547</v>
      </c>
      <c r="C2169" s="421" t="s">
        <v>501</v>
      </c>
      <c r="D2169" s="422" t="s">
        <v>666</v>
      </c>
      <c r="E2169" s="111">
        <v>44466</v>
      </c>
      <c r="F2169" s="421" t="s">
        <v>3488</v>
      </c>
    </row>
    <row r="2170" spans="1:15" x14ac:dyDescent="0.2">
      <c r="A2170" s="111">
        <v>2253</v>
      </c>
      <c r="B2170" s="421" t="s">
        <v>3489</v>
      </c>
      <c r="C2170" s="421" t="s">
        <v>532</v>
      </c>
      <c r="D2170" s="422" t="s">
        <v>663</v>
      </c>
      <c r="E2170" s="111">
        <v>15248</v>
      </c>
      <c r="F2170" s="421" t="s">
        <v>3490</v>
      </c>
      <c r="G2170" s="112">
        <v>1</v>
      </c>
      <c r="H2170" s="112">
        <v>1</v>
      </c>
      <c r="I2170" s="112">
        <v>1</v>
      </c>
    </row>
    <row r="2171" spans="1:15" x14ac:dyDescent="0.2">
      <c r="A2171" s="111">
        <v>2254</v>
      </c>
      <c r="B2171" s="421" t="s">
        <v>455</v>
      </c>
      <c r="C2171" s="421" t="s">
        <v>503</v>
      </c>
      <c r="D2171" s="422" t="s">
        <v>663</v>
      </c>
      <c r="E2171" s="111">
        <v>15779</v>
      </c>
      <c r="F2171" s="421" t="s">
        <v>3491</v>
      </c>
      <c r="G2171" s="112">
        <v>1</v>
      </c>
      <c r="H2171" s="112">
        <v>1</v>
      </c>
      <c r="I2171" s="112">
        <v>1</v>
      </c>
      <c r="J2171" s="112">
        <v>3</v>
      </c>
      <c r="K2171" s="112">
        <v>3</v>
      </c>
      <c r="L2171" s="112">
        <v>3</v>
      </c>
      <c r="M2171" s="112">
        <v>3</v>
      </c>
      <c r="N2171" s="112">
        <v>3</v>
      </c>
      <c r="O2171" s="112">
        <v>3</v>
      </c>
    </row>
    <row r="2172" spans="1:15" x14ac:dyDescent="0.2">
      <c r="A2172" s="111">
        <v>2255</v>
      </c>
      <c r="B2172" s="421" t="s">
        <v>262</v>
      </c>
      <c r="C2172" s="421" t="s">
        <v>503</v>
      </c>
      <c r="D2172" s="422" t="s">
        <v>663</v>
      </c>
      <c r="E2172" s="111">
        <v>15779</v>
      </c>
      <c r="F2172" s="421" t="s">
        <v>3491</v>
      </c>
      <c r="G2172" s="112">
        <v>1</v>
      </c>
      <c r="H2172" s="112">
        <v>1</v>
      </c>
      <c r="I2172" s="112">
        <v>1</v>
      </c>
      <c r="J2172" s="112">
        <v>3</v>
      </c>
      <c r="K2172" s="112">
        <v>3</v>
      </c>
      <c r="L2172" s="112">
        <v>3</v>
      </c>
      <c r="M2172" s="112">
        <v>3</v>
      </c>
      <c r="N2172" s="112">
        <v>2</v>
      </c>
      <c r="O2172" s="112">
        <v>2</v>
      </c>
    </row>
    <row r="2173" spans="1:15" x14ac:dyDescent="0.2">
      <c r="A2173" s="111">
        <v>2256</v>
      </c>
      <c r="B2173" s="421" t="s">
        <v>3492</v>
      </c>
      <c r="C2173" s="421" t="s">
        <v>518</v>
      </c>
      <c r="D2173" s="422" t="s">
        <v>663</v>
      </c>
      <c r="E2173" s="111">
        <v>15277</v>
      </c>
      <c r="F2173" s="421" t="s">
        <v>3493</v>
      </c>
      <c r="G2173" s="112">
        <v>2</v>
      </c>
      <c r="H2173" s="112">
        <v>2</v>
      </c>
      <c r="I2173" s="112">
        <v>1</v>
      </c>
      <c r="J2173" s="112">
        <v>4</v>
      </c>
      <c r="K2173" s="112">
        <v>3</v>
      </c>
      <c r="L2173" s="112">
        <v>4</v>
      </c>
      <c r="M2173" s="112">
        <v>2</v>
      </c>
    </row>
    <row r="2174" spans="1:15" x14ac:dyDescent="0.2">
      <c r="A2174" s="111">
        <v>2257</v>
      </c>
      <c r="B2174" s="421" t="s">
        <v>3494</v>
      </c>
      <c r="C2174" s="421" t="s">
        <v>509</v>
      </c>
      <c r="D2174" s="422" t="s">
        <v>663</v>
      </c>
      <c r="F2174" s="421" t="s">
        <v>3495</v>
      </c>
      <c r="G2174" s="112">
        <v>1</v>
      </c>
      <c r="H2174" s="112">
        <v>1</v>
      </c>
      <c r="I2174" s="112">
        <v>1</v>
      </c>
    </row>
    <row r="2175" spans="1:15" x14ac:dyDescent="0.2">
      <c r="A2175" s="111">
        <v>2258</v>
      </c>
      <c r="B2175" s="421" t="s">
        <v>3044</v>
      </c>
      <c r="C2175" s="421" t="s">
        <v>510</v>
      </c>
      <c r="D2175" s="422" t="s">
        <v>663</v>
      </c>
      <c r="F2175" s="421" t="s">
        <v>3496</v>
      </c>
      <c r="G2175" s="112">
        <v>1</v>
      </c>
      <c r="H2175" s="112">
        <v>1</v>
      </c>
    </row>
    <row r="2176" spans="1:15" x14ac:dyDescent="0.2">
      <c r="A2176" s="111">
        <v>2259</v>
      </c>
      <c r="B2176" s="421" t="s">
        <v>2751</v>
      </c>
      <c r="C2176" s="421" t="s">
        <v>523</v>
      </c>
      <c r="D2176" s="422" t="s">
        <v>663</v>
      </c>
      <c r="E2176" s="111">
        <v>15251</v>
      </c>
      <c r="F2176" s="421" t="s">
        <v>3497</v>
      </c>
      <c r="G2176" s="112">
        <v>1</v>
      </c>
      <c r="H2176" s="112">
        <v>1</v>
      </c>
      <c r="I2176" s="112">
        <v>1</v>
      </c>
    </row>
    <row r="2177" spans="1:15" x14ac:dyDescent="0.2">
      <c r="A2177" s="111">
        <v>2260</v>
      </c>
      <c r="B2177" s="421" t="s">
        <v>1919</v>
      </c>
      <c r="C2177" s="421" t="s">
        <v>573</v>
      </c>
      <c r="D2177" s="422" t="s">
        <v>666</v>
      </c>
      <c r="E2177" s="111">
        <v>15252</v>
      </c>
      <c r="F2177" s="421" t="s">
        <v>3498</v>
      </c>
      <c r="G2177" s="112">
        <v>1</v>
      </c>
      <c r="H2177" s="112">
        <v>1</v>
      </c>
      <c r="I2177" s="112">
        <v>1</v>
      </c>
    </row>
    <row r="2178" spans="1:15" x14ac:dyDescent="0.2">
      <c r="A2178" s="111">
        <v>2261</v>
      </c>
      <c r="B2178" s="421" t="s">
        <v>1323</v>
      </c>
      <c r="C2178" s="421" t="s">
        <v>536</v>
      </c>
      <c r="D2178" s="422" t="s">
        <v>666</v>
      </c>
      <c r="E2178" s="111">
        <v>15179</v>
      </c>
      <c r="F2178" s="421" t="s">
        <v>3499</v>
      </c>
      <c r="G2178" s="112">
        <v>1</v>
      </c>
      <c r="H2178" s="112">
        <v>1</v>
      </c>
      <c r="I2178" s="112">
        <v>1</v>
      </c>
    </row>
    <row r="2179" spans="1:15" x14ac:dyDescent="0.2">
      <c r="A2179" s="111">
        <v>2262</v>
      </c>
      <c r="B2179" s="421" t="s">
        <v>192</v>
      </c>
      <c r="C2179" s="421" t="s">
        <v>522</v>
      </c>
      <c r="D2179" s="422" t="s">
        <v>666</v>
      </c>
      <c r="E2179" s="111">
        <v>15259</v>
      </c>
      <c r="F2179" s="421" t="s">
        <v>3500</v>
      </c>
    </row>
    <row r="2180" spans="1:15" x14ac:dyDescent="0.2">
      <c r="A2180" s="111">
        <v>2263</v>
      </c>
      <c r="B2180" s="421" t="s">
        <v>3501</v>
      </c>
      <c r="C2180" s="421" t="s">
        <v>3387</v>
      </c>
      <c r="D2180" s="422" t="s">
        <v>663</v>
      </c>
      <c r="E2180" s="111">
        <v>15253</v>
      </c>
      <c r="F2180" s="421" t="s">
        <v>3502</v>
      </c>
    </row>
    <row r="2181" spans="1:15" x14ac:dyDescent="0.2">
      <c r="A2181" s="111">
        <v>2264</v>
      </c>
      <c r="B2181" s="421" t="s">
        <v>647</v>
      </c>
      <c r="C2181" s="421" t="s">
        <v>501</v>
      </c>
      <c r="D2181" s="422" t="s">
        <v>666</v>
      </c>
      <c r="E2181" s="111">
        <v>14139</v>
      </c>
      <c r="F2181" s="421" t="s">
        <v>827</v>
      </c>
      <c r="H2181" s="112">
        <v>1</v>
      </c>
    </row>
    <row r="2182" spans="1:15" x14ac:dyDescent="0.2">
      <c r="A2182" s="111">
        <v>2265</v>
      </c>
      <c r="B2182" s="421" t="s">
        <v>3503</v>
      </c>
      <c r="C2182" s="421" t="s">
        <v>1419</v>
      </c>
      <c r="D2182" s="422" t="s">
        <v>666</v>
      </c>
      <c r="E2182" s="111">
        <v>15254</v>
      </c>
      <c r="F2182" s="421" t="s">
        <v>3504</v>
      </c>
      <c r="G2182" s="112">
        <v>1</v>
      </c>
      <c r="H2182" s="112">
        <v>1</v>
      </c>
      <c r="I2182" s="112">
        <v>1</v>
      </c>
    </row>
    <row r="2183" spans="1:15" x14ac:dyDescent="0.2">
      <c r="A2183" s="111">
        <v>2266</v>
      </c>
      <c r="B2183" s="421" t="s">
        <v>3509</v>
      </c>
      <c r="C2183" s="421" t="s">
        <v>532</v>
      </c>
      <c r="D2183" s="422" t="s">
        <v>666</v>
      </c>
      <c r="E2183" s="111">
        <v>1493</v>
      </c>
      <c r="F2183" s="421" t="s">
        <v>2125</v>
      </c>
      <c r="G2183" s="112">
        <v>1</v>
      </c>
      <c r="H2183" s="112">
        <v>3</v>
      </c>
      <c r="I2183" s="112">
        <v>2</v>
      </c>
      <c r="J2183" s="112">
        <v>9</v>
      </c>
      <c r="K2183" s="112">
        <v>4</v>
      </c>
      <c r="L2183" s="112">
        <v>3</v>
      </c>
      <c r="M2183" s="112">
        <v>2</v>
      </c>
      <c r="O2183" s="112">
        <v>1</v>
      </c>
    </row>
    <row r="2184" spans="1:15" x14ac:dyDescent="0.2">
      <c r="A2184" s="111">
        <v>2267</v>
      </c>
      <c r="B2184" s="421" t="s">
        <v>1600</v>
      </c>
      <c r="C2184" s="421" t="s">
        <v>503</v>
      </c>
      <c r="D2184" s="422" t="s">
        <v>666</v>
      </c>
      <c r="F2184" s="421" t="s">
        <v>3510</v>
      </c>
      <c r="G2184" s="112">
        <v>1</v>
      </c>
      <c r="I2184" s="112">
        <v>1</v>
      </c>
    </row>
    <row r="2185" spans="1:15" x14ac:dyDescent="0.2">
      <c r="A2185" s="111">
        <v>2268</v>
      </c>
      <c r="B2185" s="421" t="s">
        <v>3513</v>
      </c>
      <c r="C2185" s="421" t="s">
        <v>516</v>
      </c>
      <c r="D2185" s="422" t="s">
        <v>666</v>
      </c>
      <c r="E2185" s="111">
        <v>14916</v>
      </c>
      <c r="F2185" s="421" t="s">
        <v>2755</v>
      </c>
      <c r="G2185" s="112">
        <v>1</v>
      </c>
      <c r="H2185" s="112">
        <v>1</v>
      </c>
      <c r="I2185" s="112">
        <v>1</v>
      </c>
      <c r="J2185" s="112">
        <v>9</v>
      </c>
      <c r="K2185" s="112">
        <v>9</v>
      </c>
      <c r="L2185" s="112">
        <v>10</v>
      </c>
      <c r="M2185" s="112">
        <v>11</v>
      </c>
      <c r="N2185" s="112">
        <v>3</v>
      </c>
      <c r="O2185" s="112">
        <v>3</v>
      </c>
    </row>
    <row r="2186" spans="1:15" x14ac:dyDescent="0.2">
      <c r="A2186" s="111">
        <v>2269</v>
      </c>
      <c r="B2186" s="421" t="s">
        <v>119</v>
      </c>
      <c r="C2186" s="421" t="s">
        <v>510</v>
      </c>
      <c r="D2186" s="422" t="s">
        <v>663</v>
      </c>
      <c r="F2186" s="421" t="s">
        <v>3514</v>
      </c>
    </row>
    <row r="2187" spans="1:15" x14ac:dyDescent="0.2">
      <c r="A2187" s="111">
        <v>2270</v>
      </c>
      <c r="B2187" s="421" t="s">
        <v>126</v>
      </c>
      <c r="C2187" s="421" t="s">
        <v>503</v>
      </c>
      <c r="D2187" s="422" t="s">
        <v>666</v>
      </c>
      <c r="E2187" s="111">
        <v>15001</v>
      </c>
      <c r="F2187" s="421" t="s">
        <v>17460</v>
      </c>
      <c r="G2187" s="112">
        <v>1</v>
      </c>
      <c r="H2187" s="112">
        <v>2</v>
      </c>
      <c r="I2187" s="112">
        <v>1</v>
      </c>
      <c r="J2187" s="112">
        <v>2</v>
      </c>
      <c r="K2187" s="112">
        <v>1</v>
      </c>
      <c r="L2187" s="112">
        <v>1</v>
      </c>
    </row>
    <row r="2188" spans="1:15" x14ac:dyDescent="0.2">
      <c r="A2188" s="111">
        <v>2271</v>
      </c>
      <c r="B2188" s="421" t="s">
        <v>599</v>
      </c>
      <c r="C2188" s="421" t="s">
        <v>536</v>
      </c>
      <c r="D2188" s="422" t="s">
        <v>666</v>
      </c>
      <c r="E2188" s="111">
        <v>1486</v>
      </c>
      <c r="F2188" s="421" t="s">
        <v>902</v>
      </c>
      <c r="G2188" s="112">
        <v>2</v>
      </c>
      <c r="H2188" s="112">
        <v>1</v>
      </c>
      <c r="I2188" s="112">
        <v>2</v>
      </c>
      <c r="J2188" s="112">
        <v>1</v>
      </c>
    </row>
    <row r="2189" spans="1:15" x14ac:dyDescent="0.2">
      <c r="A2189" s="111">
        <v>2272</v>
      </c>
      <c r="B2189" s="421" t="s">
        <v>3515</v>
      </c>
      <c r="C2189" s="421" t="s">
        <v>521</v>
      </c>
      <c r="D2189" s="422" t="s">
        <v>666</v>
      </c>
      <c r="F2189" s="421" t="s">
        <v>3516</v>
      </c>
      <c r="G2189" s="112">
        <v>1</v>
      </c>
      <c r="H2189" s="112">
        <v>1</v>
      </c>
      <c r="I2189" s="112">
        <v>1</v>
      </c>
    </row>
    <row r="2190" spans="1:15" x14ac:dyDescent="0.2">
      <c r="A2190" s="111">
        <v>2273</v>
      </c>
      <c r="B2190" s="421" t="s">
        <v>2194</v>
      </c>
      <c r="C2190" s="421" t="s">
        <v>581</v>
      </c>
      <c r="D2190" s="422" t="s">
        <v>666</v>
      </c>
      <c r="E2190" s="111">
        <v>15096</v>
      </c>
      <c r="F2190" s="421" t="s">
        <v>3133</v>
      </c>
      <c r="G2190" s="112">
        <v>1</v>
      </c>
      <c r="H2190" s="112">
        <v>1</v>
      </c>
      <c r="I2190" s="112">
        <v>1</v>
      </c>
      <c r="J2190" s="112">
        <v>1</v>
      </c>
    </row>
    <row r="2191" spans="1:15" x14ac:dyDescent="0.2">
      <c r="A2191" s="111">
        <v>2274</v>
      </c>
      <c r="B2191" s="421" t="s">
        <v>2127</v>
      </c>
      <c r="C2191" s="421" t="s">
        <v>580</v>
      </c>
      <c r="D2191" s="422" t="s">
        <v>666</v>
      </c>
      <c r="E2191" s="111">
        <v>15037</v>
      </c>
      <c r="F2191" s="421" t="s">
        <v>7899</v>
      </c>
      <c r="G2191" s="112">
        <v>1</v>
      </c>
      <c r="H2191" s="112">
        <v>1</v>
      </c>
      <c r="I2191" s="112">
        <v>1</v>
      </c>
      <c r="J2191" s="112">
        <v>1</v>
      </c>
    </row>
    <row r="2192" spans="1:15" x14ac:dyDescent="0.2">
      <c r="A2192" s="111">
        <v>2276</v>
      </c>
      <c r="B2192" s="421" t="s">
        <v>3517</v>
      </c>
      <c r="C2192" s="421" t="s">
        <v>506</v>
      </c>
      <c r="D2192" s="422" t="s">
        <v>666</v>
      </c>
      <c r="E2192" s="111">
        <v>14229</v>
      </c>
      <c r="F2192" s="421" t="s">
        <v>871</v>
      </c>
      <c r="G2192" s="112">
        <v>2</v>
      </c>
      <c r="H2192" s="112">
        <v>1</v>
      </c>
      <c r="I2192" s="112">
        <v>1</v>
      </c>
      <c r="J2192" s="112">
        <v>10</v>
      </c>
      <c r="K2192" s="112">
        <v>7</v>
      </c>
      <c r="L2192" s="112">
        <v>7</v>
      </c>
      <c r="M2192" s="112">
        <v>7</v>
      </c>
      <c r="N2192" s="112">
        <v>3</v>
      </c>
      <c r="O2192" s="112">
        <v>4</v>
      </c>
    </row>
    <row r="2193" spans="1:15" x14ac:dyDescent="0.2">
      <c r="A2193" s="111">
        <v>2277</v>
      </c>
      <c r="B2193" s="421" t="s">
        <v>3518</v>
      </c>
      <c r="C2193" s="421" t="s">
        <v>542</v>
      </c>
      <c r="D2193" s="422" t="s">
        <v>666</v>
      </c>
      <c r="E2193" s="111">
        <v>14817</v>
      </c>
      <c r="F2193" s="421" t="s">
        <v>780</v>
      </c>
      <c r="G2193" s="112">
        <v>1</v>
      </c>
      <c r="H2193" s="112">
        <v>1</v>
      </c>
      <c r="I2193" s="112">
        <v>1</v>
      </c>
    </row>
    <row r="2194" spans="1:15" x14ac:dyDescent="0.2">
      <c r="A2194" s="111">
        <v>2278</v>
      </c>
      <c r="B2194" s="421" t="s">
        <v>3519</v>
      </c>
      <c r="C2194" s="421" t="s">
        <v>506</v>
      </c>
      <c r="D2194" s="422" t="s">
        <v>666</v>
      </c>
      <c r="F2194" s="421" t="s">
        <v>3527</v>
      </c>
      <c r="G2194" s="112">
        <v>1</v>
      </c>
      <c r="H2194" s="112">
        <v>1</v>
      </c>
      <c r="I2194" s="112">
        <v>1</v>
      </c>
    </row>
    <row r="2195" spans="1:15" x14ac:dyDescent="0.2">
      <c r="A2195" s="111">
        <v>2279</v>
      </c>
      <c r="B2195" s="421" t="s">
        <v>2759</v>
      </c>
      <c r="C2195" s="421" t="s">
        <v>503</v>
      </c>
      <c r="D2195" s="422" t="s">
        <v>666</v>
      </c>
      <c r="F2195" s="421" t="s">
        <v>3520</v>
      </c>
      <c r="G2195" s="112">
        <v>1</v>
      </c>
      <c r="I2195" s="112">
        <v>1</v>
      </c>
    </row>
    <row r="2196" spans="1:15" x14ac:dyDescent="0.2">
      <c r="A2196" s="111">
        <v>2283</v>
      </c>
      <c r="B2196" s="421" t="s">
        <v>2530</v>
      </c>
      <c r="C2196" s="421" t="s">
        <v>518</v>
      </c>
      <c r="D2196" s="422" t="s">
        <v>663</v>
      </c>
      <c r="E2196" s="111">
        <v>14643</v>
      </c>
      <c r="F2196" s="421" t="s">
        <v>1930</v>
      </c>
      <c r="G2196" s="112">
        <v>1</v>
      </c>
      <c r="H2196" s="112">
        <v>1</v>
      </c>
      <c r="I2196" s="112">
        <v>1</v>
      </c>
      <c r="L2196" s="112">
        <v>1</v>
      </c>
    </row>
    <row r="2197" spans="1:15" x14ac:dyDescent="0.2">
      <c r="A2197" s="111">
        <v>2284</v>
      </c>
      <c r="B2197" s="421" t="s">
        <v>3521</v>
      </c>
      <c r="C2197" s="421" t="s">
        <v>570</v>
      </c>
      <c r="D2197" s="422" t="s">
        <v>666</v>
      </c>
      <c r="F2197" s="421" t="s">
        <v>3522</v>
      </c>
      <c r="G2197" s="112">
        <v>1</v>
      </c>
      <c r="H2197" s="112">
        <v>1</v>
      </c>
      <c r="I2197" s="112">
        <v>1</v>
      </c>
    </row>
    <row r="2198" spans="1:15" x14ac:dyDescent="0.2">
      <c r="A2198" s="111">
        <v>2285</v>
      </c>
      <c r="B2198" s="421" t="s">
        <v>3523</v>
      </c>
      <c r="C2198" s="421" t="s">
        <v>628</v>
      </c>
      <c r="D2198" s="422" t="s">
        <v>663</v>
      </c>
      <c r="E2198" s="111">
        <v>15327</v>
      </c>
      <c r="F2198" s="421" t="s">
        <v>3524</v>
      </c>
      <c r="G2198" s="112">
        <v>1</v>
      </c>
      <c r="H2198" s="112">
        <v>1</v>
      </c>
      <c r="I2198" s="112">
        <v>1</v>
      </c>
      <c r="J2198" s="112">
        <v>1</v>
      </c>
      <c r="K2198" s="112">
        <v>3</v>
      </c>
      <c r="L2198" s="112">
        <v>1</v>
      </c>
    </row>
    <row r="2199" spans="1:15" x14ac:dyDescent="0.2">
      <c r="A2199" s="111">
        <v>2286</v>
      </c>
      <c r="B2199" s="421" t="s">
        <v>3525</v>
      </c>
      <c r="C2199" s="421" t="s">
        <v>516</v>
      </c>
      <c r="D2199" s="422" t="s">
        <v>663</v>
      </c>
      <c r="E2199" s="111">
        <v>15327</v>
      </c>
      <c r="F2199" s="421" t="s">
        <v>3524</v>
      </c>
      <c r="G2199" s="112">
        <v>1</v>
      </c>
      <c r="H2199" s="112">
        <v>1</v>
      </c>
      <c r="I2199" s="112">
        <v>1</v>
      </c>
      <c r="J2199" s="112">
        <v>5</v>
      </c>
      <c r="K2199" s="112">
        <v>2</v>
      </c>
      <c r="L2199" s="112">
        <v>4</v>
      </c>
      <c r="M2199" s="112">
        <v>3</v>
      </c>
      <c r="N2199" s="112">
        <v>1</v>
      </c>
      <c r="O2199" s="112">
        <v>2</v>
      </c>
    </row>
    <row r="2200" spans="1:15" x14ac:dyDescent="0.2">
      <c r="A2200" s="111">
        <v>2287</v>
      </c>
      <c r="B2200" s="421" t="s">
        <v>266</v>
      </c>
      <c r="C2200" s="421" t="s">
        <v>1817</v>
      </c>
      <c r="D2200" s="422" t="s">
        <v>663</v>
      </c>
      <c r="E2200" s="111">
        <v>15101</v>
      </c>
      <c r="F2200" s="421" t="s">
        <v>3145</v>
      </c>
      <c r="G2200" s="112">
        <v>1</v>
      </c>
      <c r="H2200" s="112">
        <v>1</v>
      </c>
      <c r="I2200" s="112">
        <v>1</v>
      </c>
      <c r="J2200" s="112">
        <v>7</v>
      </c>
      <c r="K2200" s="112">
        <v>8</v>
      </c>
      <c r="L2200" s="112">
        <v>9</v>
      </c>
      <c r="M2200" s="112">
        <v>4</v>
      </c>
      <c r="N2200" s="112">
        <v>4</v>
      </c>
      <c r="O2200" s="112">
        <v>6</v>
      </c>
    </row>
    <row r="2201" spans="1:15" x14ac:dyDescent="0.2">
      <c r="A2201" s="111">
        <v>2288</v>
      </c>
      <c r="B2201" s="421" t="s">
        <v>184</v>
      </c>
      <c r="C2201" s="421" t="s">
        <v>514</v>
      </c>
      <c r="D2201" s="422" t="s">
        <v>666</v>
      </c>
      <c r="E2201" s="111">
        <v>14658</v>
      </c>
      <c r="F2201" s="421" t="s">
        <v>1967</v>
      </c>
      <c r="G2201" s="112">
        <v>1</v>
      </c>
      <c r="H2201" s="112">
        <v>1</v>
      </c>
      <c r="I2201" s="112">
        <v>1</v>
      </c>
    </row>
    <row r="2202" spans="1:15" x14ac:dyDescent="0.2">
      <c r="A2202" s="111">
        <v>2289</v>
      </c>
      <c r="B2202" s="421" t="s">
        <v>3528</v>
      </c>
      <c r="C2202" s="421" t="s">
        <v>512</v>
      </c>
      <c r="D2202" s="422" t="s">
        <v>663</v>
      </c>
      <c r="F2202" s="421" t="s">
        <v>3529</v>
      </c>
    </row>
    <row r="2203" spans="1:15" x14ac:dyDescent="0.2">
      <c r="A2203" s="111">
        <v>2290</v>
      </c>
      <c r="B2203" s="421" t="s">
        <v>3530</v>
      </c>
      <c r="C2203" s="421" t="s">
        <v>506</v>
      </c>
      <c r="D2203" s="422" t="s">
        <v>663</v>
      </c>
      <c r="E2203" s="111">
        <v>15173</v>
      </c>
      <c r="F2203" s="421" t="s">
        <v>3531</v>
      </c>
      <c r="G2203" s="112">
        <v>1</v>
      </c>
      <c r="H2203" s="112">
        <v>1</v>
      </c>
      <c r="I2203" s="112">
        <v>2</v>
      </c>
      <c r="J2203" s="112">
        <v>6</v>
      </c>
      <c r="K2203" s="112">
        <v>6</v>
      </c>
      <c r="L2203" s="112">
        <v>8</v>
      </c>
      <c r="M2203" s="112">
        <v>5</v>
      </c>
      <c r="N2203" s="112">
        <v>3</v>
      </c>
      <c r="O2203" s="112">
        <v>3</v>
      </c>
    </row>
    <row r="2204" spans="1:15" x14ac:dyDescent="0.2">
      <c r="A2204" s="111">
        <v>2291</v>
      </c>
      <c r="B2204" s="421" t="s">
        <v>119</v>
      </c>
      <c r="C2204" s="421" t="s">
        <v>510</v>
      </c>
      <c r="D2204" s="422" t="s">
        <v>663</v>
      </c>
      <c r="E2204" s="111">
        <v>15243</v>
      </c>
      <c r="F2204" s="421" t="s">
        <v>3478</v>
      </c>
    </row>
    <row r="2205" spans="1:15" x14ac:dyDescent="0.2">
      <c r="A2205" s="111">
        <v>2292</v>
      </c>
      <c r="B2205" s="421" t="s">
        <v>368</v>
      </c>
      <c r="C2205" s="421" t="s">
        <v>510</v>
      </c>
      <c r="D2205" s="422" t="s">
        <v>663</v>
      </c>
      <c r="E2205" s="111">
        <v>15257</v>
      </c>
      <c r="F2205" s="421" t="s">
        <v>3532</v>
      </c>
      <c r="G2205" s="112">
        <v>1</v>
      </c>
      <c r="H2205" s="112">
        <v>1</v>
      </c>
      <c r="I2205" s="112">
        <v>1</v>
      </c>
    </row>
    <row r="2206" spans="1:15" x14ac:dyDescent="0.2">
      <c r="A2206" s="111">
        <v>2293</v>
      </c>
      <c r="B2206" s="421" t="s">
        <v>3537</v>
      </c>
      <c r="C2206" s="421" t="s">
        <v>1447</v>
      </c>
      <c r="D2206" s="422" t="s">
        <v>663</v>
      </c>
      <c r="E2206" s="111">
        <v>15249</v>
      </c>
      <c r="F2206" s="421" t="s">
        <v>3538</v>
      </c>
    </row>
    <row r="2207" spans="1:15" x14ac:dyDescent="0.2">
      <c r="A2207" s="111">
        <v>2294</v>
      </c>
      <c r="B2207" s="421" t="s">
        <v>1058</v>
      </c>
      <c r="C2207" s="421" t="s">
        <v>551</v>
      </c>
      <c r="D2207" s="422" t="s">
        <v>666</v>
      </c>
      <c r="E2207" s="111">
        <v>15260</v>
      </c>
      <c r="F2207" s="421" t="s">
        <v>3539</v>
      </c>
      <c r="G2207" s="112">
        <v>2</v>
      </c>
      <c r="H2207" s="112">
        <v>1</v>
      </c>
      <c r="I2207" s="112">
        <v>1</v>
      </c>
      <c r="J2207" s="112">
        <v>4</v>
      </c>
      <c r="K2207" s="112">
        <v>4</v>
      </c>
      <c r="L2207" s="112">
        <v>4</v>
      </c>
      <c r="M2207" s="112">
        <v>1</v>
      </c>
      <c r="N2207" s="112">
        <v>1</v>
      </c>
    </row>
    <row r="2208" spans="1:15" x14ac:dyDescent="0.2">
      <c r="A2208" s="111">
        <v>2295</v>
      </c>
      <c r="B2208" s="421" t="s">
        <v>3540</v>
      </c>
      <c r="C2208" s="421" t="s">
        <v>570</v>
      </c>
      <c r="D2208" s="422" t="s">
        <v>663</v>
      </c>
      <c r="F2208" s="421" t="s">
        <v>3541</v>
      </c>
      <c r="G2208" s="112">
        <v>1</v>
      </c>
      <c r="H2208" s="112">
        <v>1</v>
      </c>
      <c r="I2208" s="112">
        <v>1</v>
      </c>
    </row>
    <row r="2209" spans="1:15" x14ac:dyDescent="0.2">
      <c r="A2209" s="111">
        <v>2296</v>
      </c>
      <c r="B2209" s="421" t="s">
        <v>3542</v>
      </c>
      <c r="C2209" s="421" t="s">
        <v>568</v>
      </c>
      <c r="D2209" s="422" t="s">
        <v>666</v>
      </c>
      <c r="E2209" s="111">
        <v>14205</v>
      </c>
      <c r="F2209" s="421" t="s">
        <v>872</v>
      </c>
    </row>
    <row r="2210" spans="1:15" x14ac:dyDescent="0.2">
      <c r="A2210" s="111">
        <v>2297</v>
      </c>
      <c r="B2210" s="421" t="s">
        <v>3543</v>
      </c>
      <c r="C2210" s="421" t="s">
        <v>580</v>
      </c>
      <c r="D2210" s="422" t="s">
        <v>663</v>
      </c>
      <c r="E2210" s="111">
        <v>14678</v>
      </c>
      <c r="F2210" s="421" t="s">
        <v>2029</v>
      </c>
      <c r="G2210" s="112">
        <v>1</v>
      </c>
      <c r="H2210" s="112">
        <v>1</v>
      </c>
      <c r="I2210" s="112">
        <v>1</v>
      </c>
      <c r="J2210" s="112">
        <v>1</v>
      </c>
      <c r="K2210" s="112">
        <v>1</v>
      </c>
      <c r="L2210" s="112">
        <v>1</v>
      </c>
      <c r="M2210" s="112">
        <v>3</v>
      </c>
      <c r="N2210" s="112">
        <v>1</v>
      </c>
      <c r="O2210" s="112">
        <v>1</v>
      </c>
    </row>
    <row r="2211" spans="1:15" x14ac:dyDescent="0.2">
      <c r="A2211" s="111">
        <v>2298</v>
      </c>
      <c r="B2211" s="421" t="s">
        <v>3014</v>
      </c>
      <c r="C2211" s="421" t="s">
        <v>501</v>
      </c>
      <c r="D2211" s="422" t="s">
        <v>663</v>
      </c>
      <c r="E2211" s="111">
        <v>15269</v>
      </c>
      <c r="F2211" s="421" t="s">
        <v>3544</v>
      </c>
      <c r="I2211" s="112">
        <v>1</v>
      </c>
    </row>
    <row r="2212" spans="1:15" x14ac:dyDescent="0.2">
      <c r="A2212" s="111">
        <v>2299</v>
      </c>
      <c r="B2212" s="421" t="s">
        <v>3545</v>
      </c>
      <c r="C2212" s="421" t="s">
        <v>501</v>
      </c>
      <c r="D2212" s="422" t="s">
        <v>666</v>
      </c>
      <c r="F2212" s="421" t="s">
        <v>3546</v>
      </c>
    </row>
    <row r="2213" spans="1:15" x14ac:dyDescent="0.2">
      <c r="A2213" s="111">
        <v>2300</v>
      </c>
      <c r="B2213" s="421" t="s">
        <v>3547</v>
      </c>
      <c r="C2213" s="421" t="s">
        <v>2412</v>
      </c>
      <c r="D2213" s="422" t="s">
        <v>663</v>
      </c>
      <c r="F2213" s="421" t="s">
        <v>3548</v>
      </c>
    </row>
    <row r="2214" spans="1:15" x14ac:dyDescent="0.2">
      <c r="A2214" s="111">
        <v>2301</v>
      </c>
      <c r="B2214" s="421" t="s">
        <v>401</v>
      </c>
      <c r="C2214" s="421" t="s">
        <v>518</v>
      </c>
      <c r="D2214" s="422" t="s">
        <v>663</v>
      </c>
      <c r="E2214" s="111">
        <v>14242</v>
      </c>
      <c r="F2214" s="421" t="s">
        <v>994</v>
      </c>
      <c r="G2214" s="112">
        <v>1</v>
      </c>
      <c r="H2214" s="112">
        <v>1</v>
      </c>
      <c r="I2214" s="112">
        <v>1</v>
      </c>
      <c r="J2214" s="112">
        <v>3</v>
      </c>
      <c r="K2214" s="112">
        <v>3</v>
      </c>
      <c r="L2214" s="112">
        <v>4</v>
      </c>
      <c r="M2214" s="112">
        <v>2</v>
      </c>
      <c r="N2214" s="112">
        <v>2</v>
      </c>
      <c r="O2214" s="112">
        <v>3</v>
      </c>
    </row>
    <row r="2215" spans="1:15" x14ac:dyDescent="0.2">
      <c r="A2215" s="111">
        <v>2302</v>
      </c>
      <c r="B2215" s="421" t="s">
        <v>3549</v>
      </c>
      <c r="C2215" s="421" t="s">
        <v>1318</v>
      </c>
      <c r="D2215" s="422" t="s">
        <v>666</v>
      </c>
      <c r="E2215" s="111">
        <v>15579</v>
      </c>
      <c r="F2215" s="421" t="s">
        <v>3550</v>
      </c>
      <c r="G2215" s="112">
        <v>1</v>
      </c>
      <c r="H2215" s="112">
        <v>1</v>
      </c>
      <c r="I2215" s="112">
        <v>1</v>
      </c>
      <c r="J2215" s="112">
        <v>3</v>
      </c>
      <c r="K2215" s="112">
        <v>3</v>
      </c>
      <c r="L2215" s="112">
        <v>3</v>
      </c>
      <c r="M2215" s="112">
        <v>2</v>
      </c>
    </row>
    <row r="2216" spans="1:15" x14ac:dyDescent="0.2">
      <c r="A2216" s="111">
        <v>2303</v>
      </c>
      <c r="B2216" s="421" t="s">
        <v>3551</v>
      </c>
      <c r="C2216" s="421" t="s">
        <v>2114</v>
      </c>
      <c r="D2216" s="422" t="s">
        <v>663</v>
      </c>
      <c r="E2216" s="111">
        <v>15579</v>
      </c>
      <c r="F2216" s="421" t="s">
        <v>3550</v>
      </c>
      <c r="G2216" s="112">
        <v>1</v>
      </c>
      <c r="H2216" s="112">
        <v>1</v>
      </c>
      <c r="I2216" s="112">
        <v>1</v>
      </c>
      <c r="J2216" s="112">
        <v>7</v>
      </c>
      <c r="K2216" s="112">
        <v>7</v>
      </c>
      <c r="L2216" s="112">
        <v>8</v>
      </c>
      <c r="M2216" s="112">
        <v>6</v>
      </c>
      <c r="N2216" s="112">
        <v>3</v>
      </c>
      <c r="O2216" s="112">
        <v>3</v>
      </c>
    </row>
    <row r="2217" spans="1:15" x14ac:dyDescent="0.2">
      <c r="A2217" s="111">
        <v>2304</v>
      </c>
      <c r="B2217" s="421" t="s">
        <v>101</v>
      </c>
      <c r="C2217" s="421" t="s">
        <v>513</v>
      </c>
      <c r="D2217" s="422" t="s">
        <v>663</v>
      </c>
      <c r="E2217" s="111">
        <v>15264</v>
      </c>
      <c r="F2217" s="421" t="s">
        <v>3552</v>
      </c>
      <c r="G2217" s="112">
        <v>1</v>
      </c>
      <c r="H2217" s="112">
        <v>2</v>
      </c>
      <c r="I2217" s="112">
        <v>2</v>
      </c>
      <c r="J2217" s="112">
        <v>4</v>
      </c>
      <c r="K2217" s="112">
        <v>3</v>
      </c>
      <c r="L2217" s="112">
        <v>3</v>
      </c>
      <c r="M2217" s="112">
        <v>1</v>
      </c>
      <c r="N2217" s="112">
        <v>1</v>
      </c>
      <c r="O2217" s="112">
        <v>1</v>
      </c>
    </row>
    <row r="2218" spans="1:15" x14ac:dyDescent="0.2">
      <c r="A2218" s="111">
        <v>2308</v>
      </c>
      <c r="B2218" s="421" t="s">
        <v>1628</v>
      </c>
      <c r="C2218" s="421" t="s">
        <v>536</v>
      </c>
      <c r="D2218" s="422" t="s">
        <v>666</v>
      </c>
      <c r="E2218" s="111">
        <v>1479</v>
      </c>
      <c r="F2218" s="421" t="s">
        <v>808</v>
      </c>
      <c r="G2218" s="112">
        <v>2</v>
      </c>
      <c r="H2218" s="112">
        <v>1</v>
      </c>
      <c r="I2218" s="112">
        <v>1</v>
      </c>
      <c r="J2218" s="112">
        <v>2</v>
      </c>
      <c r="K2218" s="112">
        <v>1</v>
      </c>
      <c r="L2218" s="112">
        <v>1</v>
      </c>
      <c r="M2218" s="112">
        <v>2</v>
      </c>
    </row>
    <row r="2219" spans="1:15" x14ac:dyDescent="0.2">
      <c r="A2219" s="111">
        <v>2310</v>
      </c>
      <c r="B2219" s="421" t="s">
        <v>253</v>
      </c>
      <c r="C2219" s="421" t="s">
        <v>587</v>
      </c>
      <c r="D2219" s="422" t="s">
        <v>666</v>
      </c>
      <c r="E2219" s="111">
        <v>15267</v>
      </c>
      <c r="F2219" s="421" t="s">
        <v>8942</v>
      </c>
      <c r="G2219" s="112">
        <v>1</v>
      </c>
      <c r="H2219" s="112">
        <v>1</v>
      </c>
      <c r="I2219" s="112">
        <v>1</v>
      </c>
    </row>
    <row r="2220" spans="1:15" x14ac:dyDescent="0.2">
      <c r="A2220" s="111">
        <v>2312</v>
      </c>
      <c r="B2220" s="421" t="s">
        <v>3553</v>
      </c>
      <c r="C2220" s="421" t="s">
        <v>564</v>
      </c>
      <c r="D2220" s="422" t="s">
        <v>666</v>
      </c>
      <c r="E2220" s="111">
        <v>15268</v>
      </c>
      <c r="F2220" s="421" t="s">
        <v>3554</v>
      </c>
      <c r="G2220" s="112">
        <v>2</v>
      </c>
      <c r="H2220" s="112">
        <v>1</v>
      </c>
      <c r="I2220" s="112">
        <v>1</v>
      </c>
      <c r="J2220" s="112">
        <v>1</v>
      </c>
      <c r="L2220" s="112">
        <v>1</v>
      </c>
    </row>
    <row r="2221" spans="1:15" x14ac:dyDescent="0.2">
      <c r="A2221" s="111">
        <v>2313</v>
      </c>
      <c r="B2221" s="421" t="s">
        <v>488</v>
      </c>
      <c r="C2221" s="421" t="s">
        <v>3555</v>
      </c>
      <c r="D2221" s="422" t="s">
        <v>666</v>
      </c>
      <c r="E2221" s="111">
        <v>15865</v>
      </c>
      <c r="F2221" s="421" t="s">
        <v>3556</v>
      </c>
    </row>
    <row r="2222" spans="1:15" x14ac:dyDescent="0.2">
      <c r="A2222" s="111">
        <v>2314</v>
      </c>
      <c r="B2222" s="421" t="s">
        <v>3557</v>
      </c>
      <c r="C2222" s="421" t="s">
        <v>533</v>
      </c>
      <c r="D2222" s="422" t="s">
        <v>666</v>
      </c>
      <c r="E2222" s="111">
        <v>15270</v>
      </c>
      <c r="F2222" s="421" t="s">
        <v>3558</v>
      </c>
      <c r="G2222" s="112">
        <v>1</v>
      </c>
      <c r="H2222" s="112">
        <v>1</v>
      </c>
      <c r="I2222" s="112">
        <v>1</v>
      </c>
      <c r="J2222" s="112">
        <v>1</v>
      </c>
      <c r="K2222" s="112">
        <v>1</v>
      </c>
      <c r="L2222" s="112">
        <v>1</v>
      </c>
      <c r="M2222" s="112">
        <v>1</v>
      </c>
      <c r="N2222" s="112">
        <v>1</v>
      </c>
      <c r="O2222" s="112">
        <v>2</v>
      </c>
    </row>
    <row r="2223" spans="1:15" x14ac:dyDescent="0.2">
      <c r="A2223" s="111">
        <v>2315</v>
      </c>
      <c r="B2223" s="421" t="s">
        <v>3559</v>
      </c>
      <c r="C2223" s="421" t="s">
        <v>516</v>
      </c>
      <c r="D2223" s="422" t="s">
        <v>666</v>
      </c>
      <c r="E2223" s="111">
        <v>15270</v>
      </c>
      <c r="F2223" s="421" t="s">
        <v>3558</v>
      </c>
    </row>
    <row r="2224" spans="1:15" x14ac:dyDescent="0.2">
      <c r="A2224" s="111">
        <v>2317</v>
      </c>
      <c r="B2224" s="421" t="s">
        <v>456</v>
      </c>
      <c r="C2224" s="421" t="s">
        <v>516</v>
      </c>
      <c r="D2224" s="422" t="s">
        <v>663</v>
      </c>
      <c r="E2224" s="111">
        <v>15272</v>
      </c>
      <c r="F2224" s="421" t="s">
        <v>3560</v>
      </c>
      <c r="G2224" s="112">
        <v>1</v>
      </c>
      <c r="H2224" s="112">
        <v>2</v>
      </c>
      <c r="J2224" s="112">
        <v>1</v>
      </c>
    </row>
    <row r="2225" spans="1:15" x14ac:dyDescent="0.2">
      <c r="A2225" s="111">
        <v>2318</v>
      </c>
      <c r="B2225" s="421" t="s">
        <v>1933</v>
      </c>
      <c r="C2225" s="421" t="s">
        <v>547</v>
      </c>
      <c r="D2225" s="422" t="s">
        <v>663</v>
      </c>
      <c r="E2225" s="111">
        <v>15050</v>
      </c>
      <c r="F2225" s="421" t="s">
        <v>3037</v>
      </c>
      <c r="G2225" s="112">
        <v>1</v>
      </c>
      <c r="H2225" s="112">
        <v>1</v>
      </c>
    </row>
    <row r="2226" spans="1:15" x14ac:dyDescent="0.2">
      <c r="A2226" s="111">
        <v>2319</v>
      </c>
      <c r="B2226" s="421" t="s">
        <v>379</v>
      </c>
      <c r="C2226" s="421" t="s">
        <v>1419</v>
      </c>
      <c r="D2226" s="422" t="s">
        <v>663</v>
      </c>
      <c r="E2226" s="111">
        <v>15266</v>
      </c>
      <c r="F2226" s="421" t="s">
        <v>3561</v>
      </c>
      <c r="G2226" s="112">
        <v>1</v>
      </c>
      <c r="H2226" s="112">
        <v>1</v>
      </c>
      <c r="I2226" s="112">
        <v>1</v>
      </c>
      <c r="J2226" s="112">
        <v>3</v>
      </c>
      <c r="L2226" s="112">
        <v>1</v>
      </c>
    </row>
    <row r="2227" spans="1:15" x14ac:dyDescent="0.2">
      <c r="A2227" s="111">
        <v>2320</v>
      </c>
      <c r="B2227" s="421" t="s">
        <v>3562</v>
      </c>
      <c r="C2227" s="421" t="s">
        <v>512</v>
      </c>
      <c r="D2227" s="422" t="s">
        <v>666</v>
      </c>
      <c r="E2227" s="111">
        <v>15077</v>
      </c>
      <c r="F2227" s="421" t="s">
        <v>3096</v>
      </c>
      <c r="G2227" s="112">
        <v>5</v>
      </c>
      <c r="H2227" s="112">
        <v>5</v>
      </c>
      <c r="I2227" s="112">
        <v>5</v>
      </c>
      <c r="J2227" s="112">
        <v>5</v>
      </c>
      <c r="K2227" s="112">
        <v>5</v>
      </c>
      <c r="L2227" s="112">
        <v>5</v>
      </c>
      <c r="M2227" s="112">
        <v>11</v>
      </c>
      <c r="N2227" s="112">
        <v>8</v>
      </c>
      <c r="O2227" s="112">
        <v>10</v>
      </c>
    </row>
    <row r="2228" spans="1:15" x14ac:dyDescent="0.2">
      <c r="A2228" s="111">
        <v>2321</v>
      </c>
      <c r="B2228" s="421" t="s">
        <v>3563</v>
      </c>
      <c r="C2228" s="421" t="s">
        <v>510</v>
      </c>
      <c r="D2228" s="422" t="s">
        <v>663</v>
      </c>
      <c r="E2228" s="111">
        <v>15273</v>
      </c>
      <c r="F2228" s="421" t="s">
        <v>3564</v>
      </c>
      <c r="G2228" s="112">
        <v>1</v>
      </c>
      <c r="H2228" s="112">
        <v>1</v>
      </c>
      <c r="I2228" s="112">
        <v>1</v>
      </c>
      <c r="J2228" s="112">
        <v>1</v>
      </c>
      <c r="K2228" s="112">
        <v>1</v>
      </c>
    </row>
    <row r="2229" spans="1:15" x14ac:dyDescent="0.2">
      <c r="A2229" s="111">
        <v>2322</v>
      </c>
      <c r="B2229" s="421" t="s">
        <v>3579</v>
      </c>
      <c r="C2229" s="421" t="s">
        <v>506</v>
      </c>
      <c r="D2229" s="422" t="s">
        <v>663</v>
      </c>
      <c r="E2229" s="111">
        <v>1497</v>
      </c>
      <c r="F2229" s="421" t="s">
        <v>950</v>
      </c>
      <c r="G2229" s="112">
        <v>2</v>
      </c>
      <c r="H2229" s="112">
        <v>1</v>
      </c>
      <c r="I2229" s="112">
        <v>1</v>
      </c>
      <c r="J2229" s="112">
        <v>1</v>
      </c>
      <c r="K2229" s="112">
        <v>1</v>
      </c>
      <c r="L2229" s="112">
        <v>1</v>
      </c>
    </row>
    <row r="2230" spans="1:15" x14ac:dyDescent="0.2">
      <c r="A2230" s="111">
        <v>2323</v>
      </c>
      <c r="B2230" s="421" t="s">
        <v>3565</v>
      </c>
      <c r="C2230" s="421" t="s">
        <v>506</v>
      </c>
      <c r="D2230" s="422" t="s">
        <v>663</v>
      </c>
      <c r="E2230" s="111">
        <v>14628</v>
      </c>
      <c r="F2230" s="421" t="s">
        <v>2108</v>
      </c>
      <c r="G2230" s="112">
        <v>3</v>
      </c>
      <c r="H2230" s="112">
        <v>1</v>
      </c>
      <c r="I2230" s="112">
        <v>1</v>
      </c>
      <c r="J2230" s="112">
        <v>7</v>
      </c>
      <c r="K2230" s="112">
        <v>7</v>
      </c>
      <c r="L2230" s="112">
        <v>5</v>
      </c>
      <c r="M2230" s="112">
        <v>5</v>
      </c>
      <c r="N2230" s="112">
        <v>5</v>
      </c>
      <c r="O2230" s="112">
        <v>4</v>
      </c>
    </row>
    <row r="2231" spans="1:15" x14ac:dyDescent="0.2">
      <c r="A2231" s="111">
        <v>2324</v>
      </c>
      <c r="B2231" s="421" t="s">
        <v>455</v>
      </c>
      <c r="C2231" s="421" t="s">
        <v>530</v>
      </c>
      <c r="D2231" s="422" t="s">
        <v>663</v>
      </c>
      <c r="E2231" s="111">
        <v>15275</v>
      </c>
      <c r="F2231" s="421" t="s">
        <v>3566</v>
      </c>
    </row>
    <row r="2232" spans="1:15" x14ac:dyDescent="0.2">
      <c r="A2232" s="111">
        <v>2325</v>
      </c>
      <c r="B2232" s="421" t="s">
        <v>3567</v>
      </c>
      <c r="C2232" s="421" t="s">
        <v>506</v>
      </c>
      <c r="D2232" s="422" t="s">
        <v>663</v>
      </c>
      <c r="E2232" s="111">
        <v>15328</v>
      </c>
      <c r="F2232" s="421" t="s">
        <v>3568</v>
      </c>
      <c r="G2232" s="112">
        <v>1</v>
      </c>
      <c r="H2232" s="112">
        <v>1</v>
      </c>
      <c r="I2232" s="112">
        <v>1</v>
      </c>
      <c r="J2232" s="112">
        <v>1</v>
      </c>
      <c r="L2232" s="112">
        <v>1</v>
      </c>
    </row>
    <row r="2233" spans="1:15" x14ac:dyDescent="0.2">
      <c r="A2233" s="111">
        <v>2326</v>
      </c>
      <c r="B2233" s="421" t="s">
        <v>3569</v>
      </c>
      <c r="C2233" s="421" t="s">
        <v>1112</v>
      </c>
      <c r="D2233" s="422" t="s">
        <v>663</v>
      </c>
      <c r="E2233" s="111">
        <v>15276</v>
      </c>
      <c r="F2233" s="421" t="s">
        <v>3570</v>
      </c>
      <c r="G2233" s="112">
        <v>2</v>
      </c>
      <c r="H2233" s="112">
        <v>2</v>
      </c>
    </row>
    <row r="2234" spans="1:15" x14ac:dyDescent="0.2">
      <c r="A2234" s="111">
        <v>2327</v>
      </c>
      <c r="B2234" s="421" t="s">
        <v>3571</v>
      </c>
      <c r="C2234" s="421" t="s">
        <v>532</v>
      </c>
      <c r="D2234" s="422" t="s">
        <v>663</v>
      </c>
      <c r="E2234" s="111">
        <v>14582</v>
      </c>
      <c r="F2234" s="421" t="s">
        <v>1603</v>
      </c>
      <c r="G2234" s="112">
        <v>1</v>
      </c>
      <c r="H2234" s="112">
        <v>1</v>
      </c>
      <c r="I2234" s="112">
        <v>1</v>
      </c>
      <c r="J2234" s="112">
        <v>1</v>
      </c>
      <c r="K2234" s="112">
        <v>1</v>
      </c>
      <c r="L2234" s="112">
        <v>1</v>
      </c>
    </row>
    <row r="2235" spans="1:15" x14ac:dyDescent="0.2">
      <c r="A2235" s="111">
        <v>2329</v>
      </c>
      <c r="B2235" s="421" t="s">
        <v>3572</v>
      </c>
      <c r="C2235" s="421" t="s">
        <v>551</v>
      </c>
      <c r="D2235" s="422" t="s">
        <v>663</v>
      </c>
      <c r="E2235" s="111">
        <v>15267</v>
      </c>
      <c r="F2235" s="421" t="s">
        <v>8942</v>
      </c>
      <c r="G2235" s="112">
        <v>1</v>
      </c>
      <c r="H2235" s="112">
        <v>1</v>
      </c>
      <c r="I2235" s="112">
        <v>1</v>
      </c>
      <c r="J2235" s="112">
        <v>4</v>
      </c>
      <c r="K2235" s="112">
        <v>4</v>
      </c>
      <c r="L2235" s="112">
        <v>4</v>
      </c>
      <c r="M2235" s="112">
        <v>3</v>
      </c>
      <c r="N2235" s="112">
        <v>4</v>
      </c>
      <c r="O2235" s="112">
        <v>1</v>
      </c>
    </row>
    <row r="2236" spans="1:15" x14ac:dyDescent="0.2">
      <c r="A2236" s="111">
        <v>2331</v>
      </c>
      <c r="B2236" s="421" t="s">
        <v>106</v>
      </c>
      <c r="C2236" s="421" t="s">
        <v>587</v>
      </c>
      <c r="D2236" s="422" t="s">
        <v>666</v>
      </c>
      <c r="E2236" s="111">
        <v>15267</v>
      </c>
      <c r="F2236" s="421" t="s">
        <v>8942</v>
      </c>
      <c r="G2236" s="112">
        <v>1</v>
      </c>
      <c r="H2236" s="112">
        <v>1</v>
      </c>
      <c r="I2236" s="112">
        <v>1</v>
      </c>
    </row>
    <row r="2237" spans="1:15" x14ac:dyDescent="0.2">
      <c r="A2237" s="111">
        <v>2333</v>
      </c>
      <c r="B2237" s="421" t="s">
        <v>3573</v>
      </c>
      <c r="C2237" s="421" t="s">
        <v>513</v>
      </c>
      <c r="D2237" s="422" t="s">
        <v>663</v>
      </c>
      <c r="E2237" s="111">
        <v>14824</v>
      </c>
      <c r="F2237" s="421" t="s">
        <v>2475</v>
      </c>
      <c r="G2237" s="112">
        <v>1</v>
      </c>
      <c r="H2237" s="112">
        <v>1</v>
      </c>
      <c r="I2237" s="112">
        <v>1</v>
      </c>
      <c r="J2237" s="112">
        <v>1</v>
      </c>
    </row>
    <row r="2238" spans="1:15" x14ac:dyDescent="0.2">
      <c r="A2238" s="111">
        <v>2334</v>
      </c>
      <c r="B2238" s="421" t="s">
        <v>3574</v>
      </c>
      <c r="C2238" s="421" t="s">
        <v>570</v>
      </c>
      <c r="D2238" s="422" t="s">
        <v>666</v>
      </c>
      <c r="E2238" s="111">
        <v>15274</v>
      </c>
      <c r="F2238" s="421" t="s">
        <v>3575</v>
      </c>
      <c r="G2238" s="112">
        <v>1</v>
      </c>
      <c r="H2238" s="112">
        <v>1</v>
      </c>
      <c r="I2238" s="112">
        <v>1</v>
      </c>
      <c r="J2238" s="112">
        <v>1</v>
      </c>
      <c r="K2238" s="112">
        <v>1</v>
      </c>
      <c r="L2238" s="112">
        <v>1</v>
      </c>
    </row>
    <row r="2239" spans="1:15" x14ac:dyDescent="0.2">
      <c r="A2239" s="111">
        <v>2335</v>
      </c>
      <c r="B2239" s="421" t="s">
        <v>2198</v>
      </c>
      <c r="C2239" s="421" t="s">
        <v>533</v>
      </c>
      <c r="D2239" s="422" t="s">
        <v>663</v>
      </c>
      <c r="E2239" s="111">
        <v>15263</v>
      </c>
      <c r="F2239" s="421" t="s">
        <v>3576</v>
      </c>
      <c r="G2239" s="112">
        <v>1</v>
      </c>
      <c r="H2239" s="112">
        <v>1</v>
      </c>
      <c r="I2239" s="112">
        <v>1</v>
      </c>
      <c r="J2239" s="112">
        <v>9</v>
      </c>
      <c r="K2239" s="112">
        <v>7</v>
      </c>
      <c r="L2239" s="112">
        <v>7</v>
      </c>
      <c r="M2239" s="112">
        <v>9</v>
      </c>
      <c r="N2239" s="112">
        <v>3</v>
      </c>
      <c r="O2239" s="112">
        <v>11</v>
      </c>
    </row>
    <row r="2240" spans="1:15" x14ac:dyDescent="0.2">
      <c r="A2240" s="111">
        <v>2336</v>
      </c>
      <c r="B2240" s="421" t="s">
        <v>3577</v>
      </c>
      <c r="C2240" s="421" t="s">
        <v>551</v>
      </c>
      <c r="D2240" s="422" t="s">
        <v>663</v>
      </c>
      <c r="E2240" s="111">
        <v>44088</v>
      </c>
      <c r="F2240" s="421" t="s">
        <v>2786</v>
      </c>
      <c r="G2240" s="112">
        <v>2</v>
      </c>
      <c r="H2240" s="112">
        <v>2</v>
      </c>
      <c r="I2240" s="112">
        <v>2</v>
      </c>
      <c r="J2240" s="112">
        <v>14</v>
      </c>
      <c r="K2240" s="112">
        <v>14</v>
      </c>
      <c r="L2240" s="112">
        <v>14</v>
      </c>
      <c r="M2240" s="112">
        <v>13</v>
      </c>
      <c r="N2240" s="112">
        <v>9</v>
      </c>
      <c r="O2240" s="112">
        <v>10</v>
      </c>
    </row>
    <row r="2241" spans="1:15" x14ac:dyDescent="0.2">
      <c r="A2241" s="111">
        <v>2337</v>
      </c>
      <c r="B2241" s="421" t="s">
        <v>3730</v>
      </c>
      <c r="C2241" s="421" t="s">
        <v>550</v>
      </c>
      <c r="D2241" s="422" t="s">
        <v>666</v>
      </c>
      <c r="E2241" s="111">
        <v>15262</v>
      </c>
      <c r="F2241" s="421" t="s">
        <v>3731</v>
      </c>
      <c r="G2241" s="112">
        <v>1</v>
      </c>
      <c r="H2241" s="112">
        <v>1</v>
      </c>
    </row>
    <row r="2242" spans="1:15" x14ac:dyDescent="0.2">
      <c r="A2242" s="111">
        <v>2338</v>
      </c>
      <c r="B2242" s="421" t="s">
        <v>2806</v>
      </c>
      <c r="C2242" s="421" t="s">
        <v>506</v>
      </c>
      <c r="D2242" s="422" t="s">
        <v>663</v>
      </c>
      <c r="E2242" s="111">
        <v>14213</v>
      </c>
      <c r="F2242" s="421" t="s">
        <v>745</v>
      </c>
      <c r="G2242" s="112">
        <v>2</v>
      </c>
      <c r="H2242" s="112">
        <v>1</v>
      </c>
      <c r="I2242" s="112">
        <v>1</v>
      </c>
      <c r="J2242" s="112">
        <v>9</v>
      </c>
      <c r="K2242" s="112">
        <v>9</v>
      </c>
      <c r="L2242" s="112">
        <v>10</v>
      </c>
      <c r="M2242" s="112">
        <v>4</v>
      </c>
      <c r="N2242" s="112">
        <v>3</v>
      </c>
      <c r="O2242" s="112">
        <v>3</v>
      </c>
    </row>
    <row r="2243" spans="1:15" x14ac:dyDescent="0.2">
      <c r="A2243" s="111">
        <v>2339</v>
      </c>
      <c r="B2243" s="421" t="s">
        <v>3732</v>
      </c>
      <c r="C2243" s="421" t="s">
        <v>501</v>
      </c>
      <c r="D2243" s="422" t="s">
        <v>666</v>
      </c>
      <c r="E2243" s="111">
        <v>15287</v>
      </c>
      <c r="F2243" s="421" t="s">
        <v>3733</v>
      </c>
      <c r="G2243" s="112">
        <v>1</v>
      </c>
      <c r="H2243" s="112">
        <v>1</v>
      </c>
      <c r="I2243" s="112">
        <v>1</v>
      </c>
      <c r="J2243" s="112">
        <v>3</v>
      </c>
      <c r="K2243" s="112">
        <v>3</v>
      </c>
      <c r="L2243" s="112">
        <v>4</v>
      </c>
      <c r="M2243" s="112">
        <v>2</v>
      </c>
      <c r="N2243" s="112">
        <v>1</v>
      </c>
    </row>
    <row r="2244" spans="1:15" x14ac:dyDescent="0.2">
      <c r="A2244" s="111">
        <v>2340</v>
      </c>
      <c r="B2244" s="421" t="s">
        <v>435</v>
      </c>
      <c r="C2244" s="421" t="s">
        <v>502</v>
      </c>
      <c r="D2244" s="422" t="s">
        <v>663</v>
      </c>
      <c r="E2244" s="111">
        <v>14252</v>
      </c>
      <c r="F2244" s="421" t="s">
        <v>4673</v>
      </c>
      <c r="G2244" s="112">
        <v>1</v>
      </c>
      <c r="H2244" s="112">
        <v>1</v>
      </c>
      <c r="I2244" s="112">
        <v>1</v>
      </c>
      <c r="J2244" s="112">
        <v>10</v>
      </c>
      <c r="K2244" s="112">
        <v>10</v>
      </c>
      <c r="L2244" s="112">
        <v>10</v>
      </c>
      <c r="M2244" s="112">
        <v>6</v>
      </c>
      <c r="N2244" s="112">
        <v>7</v>
      </c>
      <c r="O2244" s="112">
        <v>8</v>
      </c>
    </row>
    <row r="2245" spans="1:15" x14ac:dyDescent="0.2">
      <c r="A2245" s="111">
        <v>2341</v>
      </c>
      <c r="B2245" s="421" t="s">
        <v>46</v>
      </c>
      <c r="C2245" s="421" t="s">
        <v>506</v>
      </c>
      <c r="D2245" s="422" t="s">
        <v>663</v>
      </c>
      <c r="E2245" s="111">
        <v>15450</v>
      </c>
      <c r="F2245" s="421" t="s">
        <v>3734</v>
      </c>
    </row>
    <row r="2246" spans="1:15" x14ac:dyDescent="0.2">
      <c r="A2246" s="111">
        <v>2342</v>
      </c>
      <c r="B2246" s="421" t="s">
        <v>347</v>
      </c>
      <c r="C2246" s="421" t="s">
        <v>570</v>
      </c>
      <c r="D2246" s="422" t="s">
        <v>663</v>
      </c>
      <c r="E2246" s="111">
        <v>15291</v>
      </c>
      <c r="F2246" s="421" t="s">
        <v>3735</v>
      </c>
      <c r="G2246" s="112">
        <v>1</v>
      </c>
      <c r="H2246" s="112">
        <v>1</v>
      </c>
      <c r="I2246" s="112">
        <v>1</v>
      </c>
      <c r="J2246" s="112">
        <v>3</v>
      </c>
      <c r="K2246" s="112">
        <v>3</v>
      </c>
      <c r="L2246" s="112">
        <v>3</v>
      </c>
      <c r="M2246" s="112">
        <v>3</v>
      </c>
      <c r="N2246" s="112">
        <v>2</v>
      </c>
      <c r="O2246" s="112">
        <v>1</v>
      </c>
    </row>
    <row r="2247" spans="1:15" x14ac:dyDescent="0.2">
      <c r="A2247" s="111">
        <v>2343</v>
      </c>
      <c r="B2247" s="421" t="s">
        <v>3736</v>
      </c>
      <c r="C2247" s="421" t="s">
        <v>570</v>
      </c>
      <c r="D2247" s="422" t="s">
        <v>666</v>
      </c>
      <c r="E2247" s="111">
        <v>15291</v>
      </c>
      <c r="F2247" s="421" t="s">
        <v>3735</v>
      </c>
      <c r="G2247" s="112">
        <v>1</v>
      </c>
      <c r="H2247" s="112">
        <v>1</v>
      </c>
      <c r="I2247" s="112">
        <v>1</v>
      </c>
      <c r="J2247" s="112">
        <v>6</v>
      </c>
      <c r="K2247" s="112">
        <v>6</v>
      </c>
      <c r="L2247" s="112">
        <v>6</v>
      </c>
      <c r="M2247" s="112">
        <v>6</v>
      </c>
      <c r="N2247" s="112">
        <v>5</v>
      </c>
      <c r="O2247" s="112">
        <v>4</v>
      </c>
    </row>
    <row r="2248" spans="1:15" x14ac:dyDescent="0.2">
      <c r="A2248" s="111">
        <v>2344</v>
      </c>
      <c r="B2248" s="421" t="s">
        <v>3737</v>
      </c>
      <c r="C2248" s="421" t="s">
        <v>502</v>
      </c>
      <c r="D2248" s="422" t="s">
        <v>666</v>
      </c>
      <c r="E2248" s="111">
        <v>15282</v>
      </c>
      <c r="F2248" s="421" t="s">
        <v>3738</v>
      </c>
      <c r="G2248" s="112">
        <v>1</v>
      </c>
      <c r="H2248" s="112">
        <v>1</v>
      </c>
      <c r="I2248" s="112">
        <v>1</v>
      </c>
    </row>
    <row r="2249" spans="1:15" x14ac:dyDescent="0.2">
      <c r="A2249" s="111">
        <v>2345</v>
      </c>
      <c r="B2249" s="421" t="s">
        <v>3739</v>
      </c>
      <c r="C2249" s="421" t="s">
        <v>533</v>
      </c>
      <c r="D2249" s="422" t="s">
        <v>666</v>
      </c>
      <c r="E2249" s="111">
        <v>15833</v>
      </c>
      <c r="F2249" s="421" t="s">
        <v>3740</v>
      </c>
      <c r="G2249" s="112">
        <v>1</v>
      </c>
      <c r="H2249" s="112">
        <v>1</v>
      </c>
      <c r="I2249" s="112">
        <v>1</v>
      </c>
      <c r="J2249" s="112">
        <v>3</v>
      </c>
      <c r="K2249" s="112">
        <v>5</v>
      </c>
      <c r="L2249" s="112">
        <v>5</v>
      </c>
      <c r="M2249" s="112">
        <v>4</v>
      </c>
      <c r="N2249" s="112">
        <v>1</v>
      </c>
      <c r="O2249" s="112">
        <v>2</v>
      </c>
    </row>
    <row r="2250" spans="1:15" x14ac:dyDescent="0.2">
      <c r="A2250" s="111">
        <v>2346</v>
      </c>
      <c r="B2250" s="421" t="s">
        <v>3741</v>
      </c>
      <c r="C2250" s="421" t="s">
        <v>574</v>
      </c>
      <c r="D2250" s="422" t="s">
        <v>663</v>
      </c>
      <c r="E2250" s="111">
        <v>15105</v>
      </c>
      <c r="F2250" s="421" t="s">
        <v>3164</v>
      </c>
      <c r="G2250" s="112">
        <v>1</v>
      </c>
      <c r="H2250" s="112">
        <v>1</v>
      </c>
      <c r="I2250" s="112">
        <v>1</v>
      </c>
      <c r="J2250" s="112">
        <v>1</v>
      </c>
      <c r="K2250" s="112">
        <v>1</v>
      </c>
      <c r="L2250" s="112">
        <v>1</v>
      </c>
    </row>
    <row r="2251" spans="1:15" x14ac:dyDescent="0.2">
      <c r="A2251" s="111">
        <v>2347</v>
      </c>
      <c r="B2251" s="421" t="s">
        <v>133</v>
      </c>
      <c r="C2251" s="421" t="s">
        <v>501</v>
      </c>
      <c r="D2251" s="422" t="s">
        <v>666</v>
      </c>
      <c r="E2251" s="111">
        <v>15283</v>
      </c>
      <c r="F2251" s="421" t="s">
        <v>3742</v>
      </c>
      <c r="G2251" s="112">
        <v>1</v>
      </c>
      <c r="H2251" s="112">
        <v>1</v>
      </c>
      <c r="I2251" s="112">
        <v>1</v>
      </c>
      <c r="J2251" s="112">
        <v>1</v>
      </c>
      <c r="K2251" s="112">
        <v>1</v>
      </c>
      <c r="L2251" s="112">
        <v>1</v>
      </c>
    </row>
    <row r="2252" spans="1:15" x14ac:dyDescent="0.2">
      <c r="A2252" s="111">
        <v>2348</v>
      </c>
      <c r="B2252" s="421" t="s">
        <v>3743</v>
      </c>
      <c r="C2252" s="421" t="s">
        <v>521</v>
      </c>
      <c r="D2252" s="422" t="s">
        <v>666</v>
      </c>
      <c r="F2252" s="421" t="s">
        <v>3516</v>
      </c>
      <c r="G2252" s="112">
        <v>1</v>
      </c>
      <c r="H2252" s="112">
        <v>1</v>
      </c>
      <c r="I2252" s="112">
        <v>1</v>
      </c>
    </row>
    <row r="2253" spans="1:15" x14ac:dyDescent="0.2">
      <c r="A2253" s="111">
        <v>2349</v>
      </c>
      <c r="B2253" s="421" t="s">
        <v>2994</v>
      </c>
      <c r="C2253" s="421" t="s">
        <v>510</v>
      </c>
      <c r="D2253" s="422" t="s">
        <v>666</v>
      </c>
      <c r="E2253" s="111">
        <v>15285</v>
      </c>
      <c r="F2253" s="421" t="s">
        <v>3744</v>
      </c>
      <c r="G2253" s="112">
        <v>1</v>
      </c>
      <c r="H2253" s="112">
        <v>1</v>
      </c>
      <c r="I2253" s="112">
        <v>1</v>
      </c>
    </row>
    <row r="2254" spans="1:15" x14ac:dyDescent="0.2">
      <c r="A2254" s="111">
        <v>2350</v>
      </c>
      <c r="B2254" s="421" t="s">
        <v>3745</v>
      </c>
      <c r="C2254" s="421" t="s">
        <v>534</v>
      </c>
      <c r="D2254" s="422" t="s">
        <v>663</v>
      </c>
      <c r="E2254" s="111">
        <v>15228</v>
      </c>
      <c r="F2254" s="421" t="s">
        <v>3746</v>
      </c>
      <c r="G2254" s="112">
        <v>1</v>
      </c>
      <c r="H2254" s="112">
        <v>1</v>
      </c>
      <c r="I2254" s="112">
        <v>1</v>
      </c>
      <c r="J2254" s="112">
        <v>1</v>
      </c>
      <c r="L2254" s="112">
        <v>1</v>
      </c>
    </row>
    <row r="2255" spans="1:15" x14ac:dyDescent="0.2">
      <c r="A2255" s="111">
        <v>2351</v>
      </c>
      <c r="B2255" s="421" t="s">
        <v>78</v>
      </c>
      <c r="C2255" s="421" t="s">
        <v>510</v>
      </c>
      <c r="D2255" s="422" t="s">
        <v>663</v>
      </c>
      <c r="E2255" s="111">
        <v>1472</v>
      </c>
      <c r="F2255" s="421" t="s">
        <v>750</v>
      </c>
    </row>
    <row r="2256" spans="1:15" x14ac:dyDescent="0.2">
      <c r="A2256" s="111">
        <v>2352</v>
      </c>
      <c r="B2256" s="421" t="s">
        <v>382</v>
      </c>
      <c r="C2256" s="421" t="s">
        <v>569</v>
      </c>
      <c r="D2256" s="422" t="s">
        <v>663</v>
      </c>
      <c r="F2256" s="421" t="s">
        <v>3747</v>
      </c>
      <c r="G2256" s="112">
        <v>1</v>
      </c>
      <c r="H2256" s="112">
        <v>1</v>
      </c>
      <c r="I2256" s="112">
        <v>1</v>
      </c>
    </row>
    <row r="2257" spans="1:15" x14ac:dyDescent="0.2">
      <c r="A2257" s="111">
        <v>2353</v>
      </c>
      <c r="B2257" s="421" t="s">
        <v>2188</v>
      </c>
      <c r="C2257" s="421" t="s">
        <v>506</v>
      </c>
      <c r="D2257" s="422" t="s">
        <v>663</v>
      </c>
      <c r="E2257" s="111">
        <v>15289</v>
      </c>
      <c r="F2257" s="421" t="s">
        <v>3748</v>
      </c>
    </row>
    <row r="2258" spans="1:15" x14ac:dyDescent="0.2">
      <c r="A2258" s="111">
        <v>2354</v>
      </c>
      <c r="B2258" s="421" t="s">
        <v>3749</v>
      </c>
      <c r="C2258" s="421" t="s">
        <v>503</v>
      </c>
      <c r="D2258" s="422" t="s">
        <v>663</v>
      </c>
      <c r="E2258" s="111">
        <v>15154</v>
      </c>
      <c r="F2258" s="421" t="s">
        <v>3300</v>
      </c>
      <c r="G2258" s="112">
        <v>2</v>
      </c>
      <c r="H2258" s="112">
        <v>4</v>
      </c>
      <c r="I2258" s="112">
        <v>4</v>
      </c>
      <c r="J2258" s="112">
        <v>7</v>
      </c>
      <c r="K2258" s="112">
        <v>3</v>
      </c>
      <c r="L2258" s="112">
        <v>7</v>
      </c>
    </row>
    <row r="2259" spans="1:15" x14ac:dyDescent="0.2">
      <c r="A2259" s="111">
        <v>2355</v>
      </c>
      <c r="B2259" s="421" t="s">
        <v>1109</v>
      </c>
      <c r="C2259" s="421" t="s">
        <v>628</v>
      </c>
      <c r="D2259" s="422" t="s">
        <v>663</v>
      </c>
      <c r="E2259" s="111">
        <v>15293</v>
      </c>
      <c r="F2259" s="421" t="s">
        <v>3750</v>
      </c>
      <c r="H2259" s="112">
        <v>1</v>
      </c>
    </row>
    <row r="2260" spans="1:15" x14ac:dyDescent="0.2">
      <c r="A2260" s="111">
        <v>2356</v>
      </c>
      <c r="B2260" s="421" t="s">
        <v>131</v>
      </c>
      <c r="C2260" s="421" t="s">
        <v>506</v>
      </c>
      <c r="D2260" s="422" t="s">
        <v>663</v>
      </c>
      <c r="E2260" s="111">
        <v>15278</v>
      </c>
      <c r="F2260" s="421" t="s">
        <v>3751</v>
      </c>
      <c r="G2260" s="112">
        <v>1</v>
      </c>
      <c r="H2260" s="112">
        <v>1</v>
      </c>
      <c r="I2260" s="112">
        <v>1</v>
      </c>
      <c r="J2260" s="112">
        <v>2</v>
      </c>
      <c r="K2260" s="112">
        <v>3</v>
      </c>
      <c r="L2260" s="112">
        <v>2</v>
      </c>
      <c r="M2260" s="112">
        <v>1</v>
      </c>
      <c r="N2260" s="112">
        <v>1</v>
      </c>
      <c r="O2260" s="112">
        <v>1</v>
      </c>
    </row>
    <row r="2261" spans="1:15" x14ac:dyDescent="0.2">
      <c r="A2261" s="111">
        <v>2357</v>
      </c>
      <c r="B2261" s="421" t="s">
        <v>1423</v>
      </c>
      <c r="C2261" s="421" t="s">
        <v>501</v>
      </c>
      <c r="D2261" s="422" t="s">
        <v>663</v>
      </c>
      <c r="E2261" s="111">
        <v>15292</v>
      </c>
      <c r="F2261" s="421" t="s">
        <v>5359</v>
      </c>
      <c r="G2261" s="112">
        <v>2</v>
      </c>
      <c r="H2261" s="112">
        <v>2</v>
      </c>
      <c r="I2261" s="112">
        <v>2</v>
      </c>
      <c r="J2261" s="112">
        <v>2</v>
      </c>
      <c r="K2261" s="112">
        <v>3</v>
      </c>
      <c r="L2261" s="112">
        <v>3</v>
      </c>
      <c r="M2261" s="112">
        <v>1</v>
      </c>
      <c r="N2261" s="112">
        <v>1</v>
      </c>
      <c r="O2261" s="112">
        <v>1</v>
      </c>
    </row>
    <row r="2262" spans="1:15" x14ac:dyDescent="0.2">
      <c r="A2262" s="111">
        <v>2358</v>
      </c>
      <c r="B2262" s="421" t="s">
        <v>2091</v>
      </c>
      <c r="C2262" s="421" t="s">
        <v>516</v>
      </c>
      <c r="D2262" s="422" t="s">
        <v>666</v>
      </c>
      <c r="E2262" s="111">
        <v>15044</v>
      </c>
      <c r="F2262" s="421" t="s">
        <v>3167</v>
      </c>
      <c r="G2262" s="112">
        <v>1</v>
      </c>
      <c r="H2262" s="112">
        <v>1</v>
      </c>
      <c r="I2262" s="112">
        <v>1</v>
      </c>
      <c r="J2262" s="112">
        <v>2</v>
      </c>
      <c r="K2262" s="112">
        <v>1</v>
      </c>
    </row>
    <row r="2263" spans="1:15" x14ac:dyDescent="0.2">
      <c r="A2263" s="111">
        <v>2359</v>
      </c>
      <c r="B2263" s="421" t="s">
        <v>3752</v>
      </c>
      <c r="C2263" s="421" t="s">
        <v>506</v>
      </c>
      <c r="D2263" s="422" t="s">
        <v>663</v>
      </c>
      <c r="E2263" s="111">
        <v>14484</v>
      </c>
      <c r="F2263" s="421" t="s">
        <v>1468</v>
      </c>
      <c r="G2263" s="112">
        <v>1</v>
      </c>
      <c r="H2263" s="112">
        <v>1</v>
      </c>
      <c r="I2263" s="112">
        <v>1</v>
      </c>
      <c r="J2263" s="112">
        <v>3</v>
      </c>
      <c r="K2263" s="112">
        <v>3</v>
      </c>
      <c r="L2263" s="112">
        <v>3</v>
      </c>
      <c r="M2263" s="112">
        <v>2</v>
      </c>
      <c r="N2263" s="112">
        <v>2</v>
      </c>
      <c r="O2263" s="112">
        <v>2</v>
      </c>
    </row>
    <row r="2264" spans="1:15" x14ac:dyDescent="0.2">
      <c r="A2264" s="111">
        <v>2360</v>
      </c>
      <c r="B2264" s="421" t="s">
        <v>2644</v>
      </c>
      <c r="C2264" s="421" t="s">
        <v>513</v>
      </c>
      <c r="D2264" s="422" t="s">
        <v>663</v>
      </c>
      <c r="E2264" s="111">
        <v>15290</v>
      </c>
      <c r="F2264" s="421" t="s">
        <v>3753</v>
      </c>
      <c r="G2264" s="112">
        <v>1</v>
      </c>
      <c r="H2264" s="112">
        <v>1</v>
      </c>
      <c r="I2264" s="112">
        <v>1</v>
      </c>
      <c r="J2264" s="112">
        <v>2</v>
      </c>
      <c r="K2264" s="112">
        <v>1</v>
      </c>
      <c r="L2264" s="112">
        <v>1</v>
      </c>
      <c r="M2264" s="112">
        <v>1</v>
      </c>
    </row>
    <row r="2265" spans="1:15" x14ac:dyDescent="0.2">
      <c r="A2265" s="111">
        <v>2362</v>
      </c>
      <c r="B2265" s="421" t="s">
        <v>1816</v>
      </c>
      <c r="C2265" s="421" t="s">
        <v>530</v>
      </c>
      <c r="D2265" s="422" t="s">
        <v>666</v>
      </c>
      <c r="E2265" s="111">
        <v>15312</v>
      </c>
      <c r="F2265" s="421" t="s">
        <v>3757</v>
      </c>
      <c r="G2265" s="112">
        <v>1</v>
      </c>
      <c r="H2265" s="112">
        <v>1</v>
      </c>
      <c r="I2265" s="112">
        <v>1</v>
      </c>
      <c r="J2265" s="112">
        <v>1</v>
      </c>
      <c r="K2265" s="112">
        <v>1</v>
      </c>
      <c r="L2265" s="112">
        <v>1</v>
      </c>
    </row>
    <row r="2266" spans="1:15" x14ac:dyDescent="0.2">
      <c r="A2266" s="111">
        <v>2363</v>
      </c>
      <c r="B2266" s="421" t="s">
        <v>3758</v>
      </c>
      <c r="C2266" s="421" t="s">
        <v>530</v>
      </c>
      <c r="D2266" s="422" t="s">
        <v>666</v>
      </c>
      <c r="E2266" s="111">
        <v>15928</v>
      </c>
      <c r="F2266" s="421" t="s">
        <v>3759</v>
      </c>
      <c r="G2266" s="112">
        <v>1</v>
      </c>
      <c r="H2266" s="112">
        <v>1</v>
      </c>
      <c r="I2266" s="112">
        <v>1</v>
      </c>
      <c r="J2266" s="112">
        <v>2</v>
      </c>
      <c r="K2266" s="112">
        <v>1</v>
      </c>
      <c r="L2266" s="112">
        <v>1</v>
      </c>
    </row>
    <row r="2267" spans="1:15" x14ac:dyDescent="0.2">
      <c r="A2267" s="111">
        <v>2364</v>
      </c>
      <c r="B2267" s="421" t="s">
        <v>3048</v>
      </c>
      <c r="C2267" s="421" t="s">
        <v>501</v>
      </c>
      <c r="D2267" s="422" t="s">
        <v>663</v>
      </c>
      <c r="E2267" s="111">
        <v>16029</v>
      </c>
      <c r="F2267" s="421" t="s">
        <v>2582</v>
      </c>
      <c r="G2267" s="112">
        <v>2</v>
      </c>
      <c r="H2267" s="112">
        <v>2</v>
      </c>
      <c r="I2267" s="112">
        <v>1</v>
      </c>
      <c r="J2267" s="112">
        <v>10</v>
      </c>
      <c r="K2267" s="112">
        <v>10</v>
      </c>
      <c r="L2267" s="112">
        <v>12</v>
      </c>
      <c r="M2267" s="112">
        <v>12</v>
      </c>
      <c r="N2267" s="112">
        <v>9</v>
      </c>
      <c r="O2267" s="112">
        <v>11</v>
      </c>
    </row>
    <row r="2268" spans="1:15" x14ac:dyDescent="0.2">
      <c r="A2268" s="111">
        <v>2365</v>
      </c>
      <c r="B2268" s="421" t="s">
        <v>3760</v>
      </c>
      <c r="C2268" s="421" t="s">
        <v>514</v>
      </c>
      <c r="D2268" s="422" t="s">
        <v>666</v>
      </c>
      <c r="E2268" s="111">
        <v>15296</v>
      </c>
      <c r="F2268" s="421" t="s">
        <v>3761</v>
      </c>
      <c r="G2268" s="112">
        <v>1</v>
      </c>
      <c r="H2268" s="112">
        <v>1</v>
      </c>
      <c r="I2268" s="112">
        <v>1</v>
      </c>
      <c r="J2268" s="112">
        <v>6</v>
      </c>
      <c r="K2268" s="112">
        <v>6</v>
      </c>
      <c r="L2268" s="112">
        <v>6</v>
      </c>
      <c r="M2268" s="112">
        <v>5</v>
      </c>
      <c r="N2268" s="112">
        <v>5</v>
      </c>
      <c r="O2268" s="112">
        <v>4</v>
      </c>
    </row>
    <row r="2269" spans="1:15" x14ac:dyDescent="0.2">
      <c r="A2269" s="111">
        <v>2366</v>
      </c>
      <c r="B2269" s="421" t="s">
        <v>3762</v>
      </c>
      <c r="C2269" s="421" t="s">
        <v>514</v>
      </c>
      <c r="D2269" s="422" t="s">
        <v>666</v>
      </c>
      <c r="E2269" s="111">
        <v>15296</v>
      </c>
      <c r="F2269" s="421" t="s">
        <v>3761</v>
      </c>
      <c r="G2269" s="112">
        <v>1</v>
      </c>
      <c r="H2269" s="112">
        <v>1</v>
      </c>
      <c r="I2269" s="112">
        <v>1</v>
      </c>
      <c r="J2269" s="112">
        <v>3</v>
      </c>
      <c r="K2269" s="112">
        <v>4</v>
      </c>
      <c r="L2269" s="112">
        <v>4</v>
      </c>
      <c r="M2269" s="112">
        <v>2</v>
      </c>
      <c r="N2269" s="112">
        <v>1</v>
      </c>
      <c r="O2269" s="112">
        <v>2</v>
      </c>
    </row>
    <row r="2270" spans="1:15" x14ac:dyDescent="0.2">
      <c r="A2270" s="111">
        <v>2367</v>
      </c>
      <c r="B2270" s="421" t="s">
        <v>3763</v>
      </c>
      <c r="C2270" s="421" t="s">
        <v>503</v>
      </c>
      <c r="D2270" s="422" t="s">
        <v>666</v>
      </c>
      <c r="E2270" s="111">
        <v>15297</v>
      </c>
      <c r="F2270" s="421" t="s">
        <v>3764</v>
      </c>
      <c r="G2270" s="112">
        <v>3</v>
      </c>
      <c r="H2270" s="112">
        <v>3</v>
      </c>
      <c r="I2270" s="112">
        <v>4</v>
      </c>
      <c r="J2270" s="112">
        <v>1</v>
      </c>
    </row>
    <row r="2271" spans="1:15" x14ac:dyDescent="0.2">
      <c r="A2271" s="111">
        <v>2368</v>
      </c>
      <c r="B2271" s="421" t="s">
        <v>2813</v>
      </c>
      <c r="C2271" s="421" t="s">
        <v>558</v>
      </c>
      <c r="D2271" s="422" t="s">
        <v>666</v>
      </c>
      <c r="E2271" s="111">
        <v>15427</v>
      </c>
      <c r="F2271" s="421" t="s">
        <v>3765</v>
      </c>
      <c r="G2271" s="112">
        <v>1</v>
      </c>
      <c r="H2271" s="112">
        <v>1</v>
      </c>
      <c r="I2271" s="112">
        <v>1</v>
      </c>
      <c r="J2271" s="112">
        <v>7</v>
      </c>
      <c r="K2271" s="112">
        <v>7</v>
      </c>
      <c r="L2271" s="112">
        <v>8</v>
      </c>
      <c r="M2271" s="112">
        <v>9</v>
      </c>
      <c r="N2271" s="112">
        <v>8</v>
      </c>
      <c r="O2271" s="112">
        <v>9</v>
      </c>
    </row>
    <row r="2272" spans="1:15" x14ac:dyDescent="0.2">
      <c r="A2272" s="111">
        <v>2369</v>
      </c>
      <c r="B2272" s="421" t="s">
        <v>3766</v>
      </c>
      <c r="C2272" s="421" t="s">
        <v>558</v>
      </c>
      <c r="D2272" s="422" t="s">
        <v>663</v>
      </c>
      <c r="E2272" s="111">
        <v>15427</v>
      </c>
      <c r="F2272" s="421" t="s">
        <v>3765</v>
      </c>
      <c r="G2272" s="112">
        <v>1</v>
      </c>
      <c r="H2272" s="112">
        <v>1</v>
      </c>
      <c r="I2272" s="112">
        <v>1</v>
      </c>
      <c r="L2272" s="112">
        <v>1</v>
      </c>
    </row>
    <row r="2273" spans="1:15" x14ac:dyDescent="0.2">
      <c r="A2273" s="111">
        <v>2372</v>
      </c>
      <c r="B2273" s="421" t="s">
        <v>379</v>
      </c>
      <c r="C2273" s="421" t="s">
        <v>2272</v>
      </c>
      <c r="D2273" s="422" t="s">
        <v>663</v>
      </c>
      <c r="E2273" s="111">
        <v>15300</v>
      </c>
      <c r="F2273" s="421" t="s">
        <v>3767</v>
      </c>
      <c r="G2273" s="112">
        <v>1</v>
      </c>
      <c r="H2273" s="112">
        <v>1</v>
      </c>
      <c r="I2273" s="112">
        <v>1</v>
      </c>
      <c r="J2273" s="112">
        <v>2</v>
      </c>
      <c r="K2273" s="112">
        <v>2</v>
      </c>
      <c r="L2273" s="112">
        <v>2</v>
      </c>
      <c r="M2273" s="112">
        <v>3</v>
      </c>
      <c r="N2273" s="112">
        <v>2</v>
      </c>
      <c r="O2273" s="112">
        <v>4</v>
      </c>
    </row>
    <row r="2274" spans="1:15" x14ac:dyDescent="0.2">
      <c r="A2274" s="111">
        <v>2373</v>
      </c>
      <c r="B2274" s="421" t="s">
        <v>2940</v>
      </c>
      <c r="C2274" s="421" t="s">
        <v>534</v>
      </c>
      <c r="D2274" s="422" t="s">
        <v>663</v>
      </c>
      <c r="E2274" s="111">
        <v>15301</v>
      </c>
      <c r="F2274" s="421" t="s">
        <v>3768</v>
      </c>
      <c r="G2274" s="112">
        <v>2</v>
      </c>
      <c r="H2274" s="112">
        <v>1</v>
      </c>
      <c r="I2274" s="112">
        <v>1</v>
      </c>
      <c r="J2274" s="112">
        <v>3</v>
      </c>
      <c r="K2274" s="112">
        <v>1</v>
      </c>
      <c r="L2274" s="112">
        <v>1</v>
      </c>
    </row>
    <row r="2275" spans="1:15" x14ac:dyDescent="0.2">
      <c r="A2275" s="111">
        <v>2374</v>
      </c>
      <c r="B2275" s="421" t="s">
        <v>326</v>
      </c>
      <c r="C2275" s="421" t="s">
        <v>506</v>
      </c>
      <c r="D2275" s="422" t="s">
        <v>666</v>
      </c>
      <c r="E2275" s="111">
        <v>15301</v>
      </c>
      <c r="F2275" s="421" t="s">
        <v>3768</v>
      </c>
      <c r="G2275" s="112">
        <v>3</v>
      </c>
      <c r="H2275" s="112">
        <v>2</v>
      </c>
      <c r="I2275" s="112">
        <v>5</v>
      </c>
      <c r="J2275" s="112">
        <v>8</v>
      </c>
      <c r="K2275" s="112">
        <v>8</v>
      </c>
      <c r="L2275" s="112">
        <v>8</v>
      </c>
      <c r="M2275" s="112">
        <v>7</v>
      </c>
      <c r="N2275" s="112">
        <v>5</v>
      </c>
      <c r="O2275" s="112">
        <v>3</v>
      </c>
    </row>
    <row r="2276" spans="1:15" x14ac:dyDescent="0.2">
      <c r="A2276" s="111">
        <v>2375</v>
      </c>
      <c r="B2276" s="421" t="s">
        <v>3769</v>
      </c>
      <c r="C2276" s="421" t="s">
        <v>551</v>
      </c>
      <c r="D2276" s="422" t="s">
        <v>663</v>
      </c>
      <c r="E2276" s="111">
        <v>15302</v>
      </c>
      <c r="F2276" s="421" t="s">
        <v>3770</v>
      </c>
    </row>
    <row r="2277" spans="1:15" x14ac:dyDescent="0.2">
      <c r="A2277" s="111">
        <v>2376</v>
      </c>
      <c r="B2277" s="421" t="s">
        <v>3771</v>
      </c>
      <c r="C2277" s="421" t="s">
        <v>551</v>
      </c>
      <c r="D2277" s="422" t="s">
        <v>666</v>
      </c>
      <c r="E2277" s="111">
        <v>15302</v>
      </c>
      <c r="F2277" s="421" t="s">
        <v>3770</v>
      </c>
    </row>
    <row r="2278" spans="1:15" x14ac:dyDescent="0.2">
      <c r="A2278" s="111">
        <v>2377</v>
      </c>
      <c r="B2278" s="421" t="s">
        <v>3772</v>
      </c>
      <c r="C2278" s="421" t="s">
        <v>506</v>
      </c>
      <c r="D2278" s="422" t="s">
        <v>666</v>
      </c>
      <c r="E2278" s="111">
        <v>15303</v>
      </c>
      <c r="F2278" s="421" t="s">
        <v>3773</v>
      </c>
      <c r="G2278" s="112">
        <v>2</v>
      </c>
      <c r="H2278" s="112">
        <v>1</v>
      </c>
      <c r="I2278" s="112">
        <v>2</v>
      </c>
      <c r="J2278" s="112">
        <v>10</v>
      </c>
      <c r="K2278" s="112">
        <v>10</v>
      </c>
      <c r="L2278" s="112">
        <v>9</v>
      </c>
      <c r="M2278" s="112">
        <v>6</v>
      </c>
      <c r="N2278" s="112">
        <v>3</v>
      </c>
      <c r="O2278" s="112">
        <v>5</v>
      </c>
    </row>
    <row r="2279" spans="1:15" x14ac:dyDescent="0.2">
      <c r="A2279" s="111">
        <v>2378</v>
      </c>
      <c r="B2279" s="421" t="s">
        <v>3774</v>
      </c>
      <c r="C2279" s="421" t="s">
        <v>523</v>
      </c>
      <c r="D2279" s="422" t="s">
        <v>663</v>
      </c>
      <c r="E2279" s="111">
        <v>14574</v>
      </c>
      <c r="F2279" s="421" t="s">
        <v>2214</v>
      </c>
      <c r="G2279" s="112">
        <v>1</v>
      </c>
      <c r="H2279" s="112">
        <v>1</v>
      </c>
      <c r="I2279" s="112">
        <v>1</v>
      </c>
    </row>
    <row r="2280" spans="1:15" x14ac:dyDescent="0.2">
      <c r="A2280" s="111">
        <v>2379</v>
      </c>
      <c r="B2280" s="421" t="s">
        <v>3775</v>
      </c>
      <c r="C2280" s="421" t="s">
        <v>551</v>
      </c>
      <c r="D2280" s="422" t="s">
        <v>663</v>
      </c>
      <c r="E2280" s="111">
        <v>15185</v>
      </c>
      <c r="F2280" s="421" t="s">
        <v>3756</v>
      </c>
      <c r="G2280" s="112">
        <v>1</v>
      </c>
      <c r="H2280" s="112">
        <v>1</v>
      </c>
      <c r="I2280" s="112">
        <v>1</v>
      </c>
    </row>
    <row r="2281" spans="1:15" x14ac:dyDescent="0.2">
      <c r="A2281" s="111">
        <v>2380</v>
      </c>
      <c r="B2281" s="421" t="s">
        <v>3776</v>
      </c>
      <c r="C2281" s="421" t="s">
        <v>506</v>
      </c>
      <c r="D2281" s="422" t="s">
        <v>663</v>
      </c>
      <c r="E2281" s="111">
        <v>15304</v>
      </c>
      <c r="F2281" s="421" t="s">
        <v>712</v>
      </c>
      <c r="G2281" s="112">
        <v>1</v>
      </c>
      <c r="H2281" s="112">
        <v>1</v>
      </c>
      <c r="I2281" s="112">
        <v>1</v>
      </c>
      <c r="J2281" s="112">
        <v>4</v>
      </c>
      <c r="K2281" s="112">
        <v>4</v>
      </c>
      <c r="L2281" s="112">
        <v>4</v>
      </c>
      <c r="M2281" s="112">
        <v>2</v>
      </c>
      <c r="O2281" s="112">
        <v>1</v>
      </c>
    </row>
    <row r="2282" spans="1:15" x14ac:dyDescent="0.2">
      <c r="A2282" s="111">
        <v>2381</v>
      </c>
      <c r="B2282" s="421" t="s">
        <v>112</v>
      </c>
      <c r="C2282" s="421" t="s">
        <v>510</v>
      </c>
      <c r="D2282" s="422" t="s">
        <v>663</v>
      </c>
      <c r="E2282" s="111">
        <v>15305</v>
      </c>
      <c r="F2282" s="421" t="s">
        <v>3777</v>
      </c>
      <c r="G2282" s="112">
        <v>1</v>
      </c>
      <c r="H2282" s="112">
        <v>1</v>
      </c>
      <c r="I2282" s="112">
        <v>1</v>
      </c>
      <c r="J2282" s="112">
        <v>3</v>
      </c>
      <c r="K2282" s="112">
        <v>1</v>
      </c>
      <c r="L2282" s="112">
        <v>1</v>
      </c>
    </row>
    <row r="2283" spans="1:15" x14ac:dyDescent="0.2">
      <c r="A2283" s="111">
        <v>2382</v>
      </c>
      <c r="B2283" s="421" t="s">
        <v>3778</v>
      </c>
      <c r="C2283" s="421" t="s">
        <v>519</v>
      </c>
      <c r="D2283" s="422" t="s">
        <v>663</v>
      </c>
      <c r="E2283" s="111">
        <v>15307</v>
      </c>
      <c r="F2283" s="421" t="s">
        <v>3779</v>
      </c>
      <c r="G2283" s="112">
        <v>2</v>
      </c>
      <c r="H2283" s="112">
        <v>2</v>
      </c>
      <c r="I2283" s="112">
        <v>2</v>
      </c>
      <c r="J2283" s="112">
        <v>3</v>
      </c>
      <c r="K2283" s="112">
        <v>1</v>
      </c>
      <c r="L2283" s="112">
        <v>3</v>
      </c>
      <c r="N2283" s="112">
        <v>1</v>
      </c>
    </row>
    <row r="2284" spans="1:15" x14ac:dyDescent="0.2">
      <c r="A2284" s="111">
        <v>2383</v>
      </c>
      <c r="B2284" s="421" t="s">
        <v>3780</v>
      </c>
      <c r="C2284" s="421" t="s">
        <v>518</v>
      </c>
      <c r="D2284" s="422" t="s">
        <v>666</v>
      </c>
      <c r="E2284" s="111">
        <v>16050</v>
      </c>
      <c r="F2284" s="421" t="s">
        <v>3781</v>
      </c>
      <c r="G2284" s="112">
        <v>1</v>
      </c>
      <c r="H2284" s="112">
        <v>1</v>
      </c>
      <c r="I2284" s="112">
        <v>1</v>
      </c>
      <c r="J2284" s="112">
        <v>1</v>
      </c>
      <c r="K2284" s="112">
        <v>1</v>
      </c>
      <c r="L2284" s="112">
        <v>1</v>
      </c>
    </row>
    <row r="2285" spans="1:15" x14ac:dyDescent="0.2">
      <c r="A2285" s="111">
        <v>2384</v>
      </c>
      <c r="B2285" s="421" t="s">
        <v>3732</v>
      </c>
      <c r="C2285" s="421" t="s">
        <v>513</v>
      </c>
      <c r="D2285" s="422" t="s">
        <v>666</v>
      </c>
      <c r="E2285" s="111">
        <v>14809</v>
      </c>
      <c r="F2285" s="421" t="s">
        <v>2439</v>
      </c>
      <c r="G2285" s="112">
        <v>2</v>
      </c>
      <c r="H2285" s="112">
        <v>2</v>
      </c>
      <c r="I2285" s="112">
        <v>1</v>
      </c>
      <c r="J2285" s="112">
        <v>2</v>
      </c>
      <c r="K2285" s="112">
        <v>2</v>
      </c>
      <c r="L2285" s="112">
        <v>1</v>
      </c>
      <c r="M2285" s="112">
        <v>1</v>
      </c>
    </row>
    <row r="2286" spans="1:15" x14ac:dyDescent="0.2">
      <c r="A2286" s="111">
        <v>2385</v>
      </c>
      <c r="B2286" s="421" t="s">
        <v>3782</v>
      </c>
      <c r="C2286" s="421" t="s">
        <v>582</v>
      </c>
      <c r="D2286" s="422" t="s">
        <v>663</v>
      </c>
      <c r="E2286" s="111">
        <v>14216</v>
      </c>
      <c r="F2286" s="421" t="s">
        <v>995</v>
      </c>
      <c r="G2286" s="112">
        <v>1</v>
      </c>
      <c r="H2286" s="112">
        <v>1</v>
      </c>
      <c r="I2286" s="112">
        <v>1</v>
      </c>
      <c r="J2286" s="112">
        <v>7</v>
      </c>
      <c r="K2286" s="112">
        <v>7</v>
      </c>
      <c r="L2286" s="112">
        <v>7</v>
      </c>
      <c r="M2286" s="112">
        <v>3</v>
      </c>
      <c r="N2286" s="112">
        <v>3</v>
      </c>
      <c r="O2286" s="112">
        <v>3</v>
      </c>
    </row>
    <row r="2287" spans="1:15" x14ac:dyDescent="0.2">
      <c r="A2287" s="111">
        <v>2386</v>
      </c>
      <c r="B2287" s="421" t="s">
        <v>3783</v>
      </c>
      <c r="C2287" s="421" t="s">
        <v>588</v>
      </c>
      <c r="D2287" s="422" t="s">
        <v>666</v>
      </c>
      <c r="E2287" s="111">
        <v>14509</v>
      </c>
      <c r="F2287" s="421" t="s">
        <v>1422</v>
      </c>
      <c r="G2287" s="112">
        <v>1</v>
      </c>
      <c r="H2287" s="112">
        <v>1</v>
      </c>
      <c r="I2287" s="112">
        <v>1</v>
      </c>
      <c r="J2287" s="112">
        <v>7</v>
      </c>
      <c r="K2287" s="112">
        <v>7</v>
      </c>
      <c r="L2287" s="112">
        <v>8</v>
      </c>
      <c r="M2287" s="112">
        <v>4</v>
      </c>
      <c r="N2287" s="112">
        <v>5</v>
      </c>
      <c r="O2287" s="112">
        <v>5</v>
      </c>
    </row>
    <row r="2288" spans="1:15" x14ac:dyDescent="0.2">
      <c r="A2288" s="111">
        <v>2387</v>
      </c>
      <c r="B2288" s="421" t="s">
        <v>3784</v>
      </c>
      <c r="C2288" s="421" t="s">
        <v>514</v>
      </c>
      <c r="D2288" s="422" t="s">
        <v>663</v>
      </c>
      <c r="E2288" s="111">
        <v>14558</v>
      </c>
      <c r="F2288" s="421" t="s">
        <v>1683</v>
      </c>
    </row>
    <row r="2289" spans="1:15" x14ac:dyDescent="0.2">
      <c r="A2289" s="111">
        <v>2388</v>
      </c>
      <c r="B2289" s="421" t="s">
        <v>3785</v>
      </c>
      <c r="C2289" s="421" t="s">
        <v>533</v>
      </c>
      <c r="D2289" s="422" t="s">
        <v>666</v>
      </c>
      <c r="E2289" s="111">
        <v>14799</v>
      </c>
      <c r="F2289" s="421" t="s">
        <v>1990</v>
      </c>
      <c r="G2289" s="112">
        <v>2</v>
      </c>
      <c r="H2289" s="112">
        <v>2</v>
      </c>
      <c r="I2289" s="112">
        <v>1</v>
      </c>
      <c r="J2289" s="112">
        <v>8</v>
      </c>
      <c r="K2289" s="112">
        <v>6</v>
      </c>
      <c r="L2289" s="112">
        <v>6</v>
      </c>
      <c r="M2289" s="112">
        <v>5</v>
      </c>
      <c r="N2289" s="112">
        <v>3</v>
      </c>
      <c r="O2289" s="112">
        <v>3</v>
      </c>
    </row>
    <row r="2290" spans="1:15" x14ac:dyDescent="0.2">
      <c r="A2290" s="111">
        <v>2389</v>
      </c>
      <c r="B2290" s="421" t="s">
        <v>3786</v>
      </c>
      <c r="C2290" s="421" t="s">
        <v>506</v>
      </c>
      <c r="D2290" s="422" t="s">
        <v>663</v>
      </c>
      <c r="E2290" s="111">
        <v>15313</v>
      </c>
      <c r="F2290" s="421" t="s">
        <v>3787</v>
      </c>
    </row>
    <row r="2291" spans="1:15" x14ac:dyDescent="0.2">
      <c r="A2291" s="111">
        <v>2390</v>
      </c>
      <c r="B2291" s="421" t="s">
        <v>3788</v>
      </c>
      <c r="C2291" s="421" t="s">
        <v>516</v>
      </c>
      <c r="D2291" s="422" t="s">
        <v>663</v>
      </c>
      <c r="E2291" s="111">
        <v>15157</v>
      </c>
      <c r="F2291" s="421" t="s">
        <v>3308</v>
      </c>
      <c r="G2291" s="112">
        <v>1</v>
      </c>
      <c r="H2291" s="112">
        <v>1</v>
      </c>
      <c r="I2291" s="112">
        <v>1</v>
      </c>
    </row>
    <row r="2292" spans="1:15" x14ac:dyDescent="0.2">
      <c r="A2292" s="111">
        <v>2391</v>
      </c>
      <c r="B2292" s="421" t="s">
        <v>3789</v>
      </c>
      <c r="C2292" s="421" t="s">
        <v>514</v>
      </c>
      <c r="D2292" s="422" t="s">
        <v>663</v>
      </c>
      <c r="E2292" s="111">
        <v>1480</v>
      </c>
      <c r="F2292" s="421" t="s">
        <v>692</v>
      </c>
    </row>
    <row r="2293" spans="1:15" x14ac:dyDescent="0.2">
      <c r="A2293" s="111">
        <v>2392</v>
      </c>
      <c r="B2293" s="421" t="s">
        <v>3790</v>
      </c>
      <c r="C2293" s="421" t="s">
        <v>513</v>
      </c>
      <c r="D2293" s="422" t="s">
        <v>663</v>
      </c>
      <c r="E2293" s="111">
        <v>15089</v>
      </c>
      <c r="F2293" s="421" t="s">
        <v>3090</v>
      </c>
      <c r="G2293" s="112">
        <v>2</v>
      </c>
      <c r="H2293" s="112">
        <v>2</v>
      </c>
      <c r="I2293" s="112">
        <v>1</v>
      </c>
      <c r="J2293" s="112">
        <v>1</v>
      </c>
      <c r="K2293" s="112">
        <v>1</v>
      </c>
      <c r="L2293" s="112">
        <v>1</v>
      </c>
    </row>
    <row r="2294" spans="1:15" x14ac:dyDescent="0.2">
      <c r="A2294" s="111">
        <v>2393</v>
      </c>
      <c r="B2294" s="421" t="s">
        <v>3791</v>
      </c>
      <c r="C2294" s="421" t="s">
        <v>532</v>
      </c>
      <c r="D2294" s="422" t="s">
        <v>663</v>
      </c>
      <c r="E2294" s="111">
        <v>15314</v>
      </c>
      <c r="F2294" s="421" t="s">
        <v>3792</v>
      </c>
      <c r="G2294" s="112">
        <v>2</v>
      </c>
      <c r="H2294" s="112">
        <v>1</v>
      </c>
      <c r="I2294" s="112">
        <v>2</v>
      </c>
      <c r="J2294" s="112">
        <v>5</v>
      </c>
      <c r="K2294" s="112">
        <v>4</v>
      </c>
      <c r="L2294" s="112">
        <v>4</v>
      </c>
      <c r="M2294" s="112">
        <v>1</v>
      </c>
      <c r="N2294" s="112">
        <v>1</v>
      </c>
      <c r="O2294" s="112">
        <v>1</v>
      </c>
    </row>
    <row r="2295" spans="1:15" x14ac:dyDescent="0.2">
      <c r="A2295" s="111">
        <v>2394</v>
      </c>
      <c r="B2295" s="421" t="s">
        <v>3793</v>
      </c>
      <c r="C2295" s="421" t="s">
        <v>2548</v>
      </c>
      <c r="D2295" s="422" t="s">
        <v>663</v>
      </c>
      <c r="E2295" s="111">
        <v>15315</v>
      </c>
      <c r="F2295" s="421" t="s">
        <v>3794</v>
      </c>
      <c r="G2295" s="112">
        <v>1</v>
      </c>
      <c r="H2295" s="112">
        <v>1</v>
      </c>
      <c r="I2295" s="112">
        <v>1</v>
      </c>
    </row>
    <row r="2296" spans="1:15" x14ac:dyDescent="0.2">
      <c r="A2296" s="111">
        <v>2395</v>
      </c>
      <c r="B2296" s="421" t="s">
        <v>3795</v>
      </c>
      <c r="C2296" s="421" t="s">
        <v>503</v>
      </c>
      <c r="D2296" s="422" t="s">
        <v>666</v>
      </c>
      <c r="E2296" s="111">
        <v>14100</v>
      </c>
      <c r="F2296" s="421" t="s">
        <v>1038</v>
      </c>
      <c r="G2296" s="112">
        <v>1</v>
      </c>
      <c r="H2296" s="112">
        <v>1</v>
      </c>
      <c r="I2296" s="112">
        <v>1</v>
      </c>
      <c r="J2296" s="112">
        <v>8</v>
      </c>
      <c r="K2296" s="112">
        <v>3</v>
      </c>
      <c r="L2296" s="112">
        <v>8</v>
      </c>
    </row>
    <row r="2297" spans="1:15" x14ac:dyDescent="0.2">
      <c r="A2297" s="111">
        <v>2396</v>
      </c>
      <c r="B2297" s="421" t="s">
        <v>3292</v>
      </c>
      <c r="C2297" s="421" t="s">
        <v>2548</v>
      </c>
      <c r="D2297" s="422" t="s">
        <v>663</v>
      </c>
      <c r="E2297" s="111">
        <v>15315</v>
      </c>
      <c r="F2297" s="421" t="s">
        <v>3794</v>
      </c>
      <c r="G2297" s="112">
        <v>1</v>
      </c>
      <c r="I2297" s="112">
        <v>2</v>
      </c>
    </row>
    <row r="2298" spans="1:15" x14ac:dyDescent="0.2">
      <c r="A2298" s="111">
        <v>2397</v>
      </c>
      <c r="B2298" s="421" t="s">
        <v>3796</v>
      </c>
      <c r="C2298" s="421" t="s">
        <v>554</v>
      </c>
      <c r="D2298" s="422" t="s">
        <v>666</v>
      </c>
      <c r="E2298" s="111">
        <v>14214</v>
      </c>
      <c r="F2298" s="421" t="s">
        <v>3755</v>
      </c>
      <c r="G2298" s="112">
        <v>1</v>
      </c>
      <c r="I2298" s="112">
        <v>1</v>
      </c>
    </row>
    <row r="2299" spans="1:15" x14ac:dyDescent="0.2">
      <c r="A2299" s="111">
        <v>2398</v>
      </c>
      <c r="B2299" s="421" t="s">
        <v>2266</v>
      </c>
      <c r="C2299" s="421" t="s">
        <v>503</v>
      </c>
      <c r="D2299" s="422" t="s">
        <v>666</v>
      </c>
      <c r="E2299" s="111">
        <v>15306</v>
      </c>
      <c r="F2299" s="421" t="s">
        <v>16779</v>
      </c>
      <c r="G2299" s="112">
        <v>1</v>
      </c>
      <c r="H2299" s="112">
        <v>1</v>
      </c>
      <c r="I2299" s="112">
        <v>1</v>
      </c>
      <c r="J2299" s="112">
        <v>6</v>
      </c>
      <c r="K2299" s="112">
        <v>7</v>
      </c>
      <c r="L2299" s="112">
        <v>4</v>
      </c>
    </row>
    <row r="2300" spans="1:15" x14ac:dyDescent="0.2">
      <c r="A2300" s="111">
        <v>2399</v>
      </c>
      <c r="B2300" s="421" t="s">
        <v>186</v>
      </c>
      <c r="C2300" s="421" t="s">
        <v>3797</v>
      </c>
      <c r="D2300" s="422" t="s">
        <v>666</v>
      </c>
      <c r="E2300" s="111">
        <v>15306</v>
      </c>
      <c r="F2300" s="421" t="s">
        <v>16779</v>
      </c>
      <c r="G2300" s="112">
        <v>2</v>
      </c>
      <c r="H2300" s="112">
        <v>2</v>
      </c>
      <c r="I2300" s="112">
        <v>2</v>
      </c>
      <c r="J2300" s="112">
        <v>3</v>
      </c>
      <c r="K2300" s="112">
        <v>1</v>
      </c>
      <c r="L2300" s="112">
        <v>2</v>
      </c>
    </row>
    <row r="2301" spans="1:15" x14ac:dyDescent="0.2">
      <c r="A2301" s="111">
        <v>2400</v>
      </c>
      <c r="B2301" s="421" t="s">
        <v>3798</v>
      </c>
      <c r="C2301" s="421" t="s">
        <v>574</v>
      </c>
      <c r="D2301" s="422" t="s">
        <v>663</v>
      </c>
      <c r="E2301" s="111">
        <v>15345</v>
      </c>
      <c r="F2301" s="421" t="s">
        <v>3799</v>
      </c>
      <c r="G2301" s="112">
        <v>1</v>
      </c>
      <c r="H2301" s="112">
        <v>1</v>
      </c>
      <c r="I2301" s="112">
        <v>1</v>
      </c>
      <c r="J2301" s="112">
        <v>7</v>
      </c>
      <c r="K2301" s="112">
        <v>6</v>
      </c>
      <c r="L2301" s="112">
        <v>7</v>
      </c>
      <c r="M2301" s="112">
        <v>6</v>
      </c>
      <c r="N2301" s="112">
        <v>6</v>
      </c>
      <c r="O2301" s="112">
        <v>7</v>
      </c>
    </row>
    <row r="2302" spans="1:15" x14ac:dyDescent="0.2">
      <c r="A2302" s="111">
        <v>2401</v>
      </c>
      <c r="B2302" s="421" t="s">
        <v>455</v>
      </c>
      <c r="C2302" s="421" t="s">
        <v>501</v>
      </c>
      <c r="D2302" s="422" t="s">
        <v>663</v>
      </c>
      <c r="E2302" s="111">
        <v>15193</v>
      </c>
      <c r="F2302" s="421" t="s">
        <v>2853</v>
      </c>
      <c r="G2302" s="112">
        <v>2</v>
      </c>
      <c r="H2302" s="112">
        <v>2</v>
      </c>
      <c r="I2302" s="112">
        <v>1</v>
      </c>
    </row>
    <row r="2303" spans="1:15" x14ac:dyDescent="0.2">
      <c r="A2303" s="111">
        <v>2402</v>
      </c>
      <c r="B2303" s="421" t="s">
        <v>1196</v>
      </c>
      <c r="C2303" s="421" t="s">
        <v>535</v>
      </c>
      <c r="D2303" s="422" t="s">
        <v>663</v>
      </c>
      <c r="F2303" s="421" t="s">
        <v>3800</v>
      </c>
      <c r="H2303" s="112">
        <v>1</v>
      </c>
    </row>
    <row r="2304" spans="1:15" x14ac:dyDescent="0.2">
      <c r="A2304" s="111">
        <v>2403</v>
      </c>
      <c r="B2304" s="421" t="s">
        <v>3801</v>
      </c>
      <c r="C2304" s="421" t="s">
        <v>513</v>
      </c>
      <c r="D2304" s="422" t="s">
        <v>663</v>
      </c>
      <c r="E2304" s="111">
        <v>15021</v>
      </c>
      <c r="F2304" s="421" t="s">
        <v>2098</v>
      </c>
      <c r="G2304" s="112">
        <v>1</v>
      </c>
      <c r="H2304" s="112">
        <v>1</v>
      </c>
      <c r="I2304" s="112">
        <v>1</v>
      </c>
      <c r="J2304" s="112">
        <v>1</v>
      </c>
      <c r="K2304" s="112">
        <v>1</v>
      </c>
      <c r="L2304" s="112">
        <v>1</v>
      </c>
    </row>
    <row r="2305" spans="1:15" x14ac:dyDescent="0.2">
      <c r="A2305" s="111">
        <v>2404</v>
      </c>
      <c r="B2305" s="421" t="s">
        <v>3802</v>
      </c>
      <c r="C2305" s="421" t="s">
        <v>1817</v>
      </c>
      <c r="D2305" s="422" t="s">
        <v>666</v>
      </c>
      <c r="E2305" s="111">
        <v>15319</v>
      </c>
      <c r="F2305" s="421" t="s">
        <v>3803</v>
      </c>
    </row>
    <row r="2306" spans="1:15" x14ac:dyDescent="0.2">
      <c r="A2306" s="111">
        <v>2405</v>
      </c>
      <c r="B2306" s="421" t="s">
        <v>1480</v>
      </c>
      <c r="C2306" s="421" t="s">
        <v>550</v>
      </c>
      <c r="D2306" s="422" t="s">
        <v>666</v>
      </c>
      <c r="E2306" s="111">
        <v>14621</v>
      </c>
      <c r="F2306" s="421" t="s">
        <v>1868</v>
      </c>
      <c r="G2306" s="112">
        <v>1</v>
      </c>
      <c r="H2306" s="112">
        <v>1</v>
      </c>
      <c r="I2306" s="112">
        <v>1</v>
      </c>
    </row>
    <row r="2307" spans="1:15" x14ac:dyDescent="0.2">
      <c r="A2307" s="111">
        <v>2406</v>
      </c>
      <c r="B2307" s="421" t="s">
        <v>3804</v>
      </c>
      <c r="C2307" s="421" t="s">
        <v>527</v>
      </c>
      <c r="D2307" s="422" t="s">
        <v>663</v>
      </c>
      <c r="E2307" s="111">
        <v>15053</v>
      </c>
      <c r="F2307" s="421" t="s">
        <v>2991</v>
      </c>
      <c r="G2307" s="112">
        <v>1</v>
      </c>
      <c r="H2307" s="112">
        <v>2</v>
      </c>
      <c r="I2307" s="112">
        <v>1</v>
      </c>
      <c r="J2307" s="112">
        <v>7</v>
      </c>
      <c r="K2307" s="112">
        <v>4</v>
      </c>
      <c r="L2307" s="112">
        <v>5</v>
      </c>
      <c r="M2307" s="112">
        <v>1</v>
      </c>
      <c r="O2307" s="112">
        <v>1</v>
      </c>
    </row>
    <row r="2308" spans="1:15" x14ac:dyDescent="0.2">
      <c r="A2308" s="111">
        <v>2407</v>
      </c>
      <c r="B2308" s="421" t="s">
        <v>3826</v>
      </c>
      <c r="C2308" s="421" t="s">
        <v>501</v>
      </c>
      <c r="D2308" s="422" t="s">
        <v>666</v>
      </c>
      <c r="F2308" s="421" t="s">
        <v>3827</v>
      </c>
      <c r="G2308" s="112">
        <v>1</v>
      </c>
      <c r="H2308" s="112">
        <v>1</v>
      </c>
      <c r="I2308" s="112">
        <v>1</v>
      </c>
    </row>
    <row r="2309" spans="1:15" x14ac:dyDescent="0.2">
      <c r="A2309" s="111">
        <v>2408</v>
      </c>
      <c r="B2309" s="421" t="s">
        <v>3828</v>
      </c>
      <c r="C2309" s="421" t="s">
        <v>501</v>
      </c>
      <c r="D2309" s="422" t="s">
        <v>663</v>
      </c>
      <c r="E2309" s="111">
        <v>15322</v>
      </c>
      <c r="F2309" s="421" t="s">
        <v>3829</v>
      </c>
      <c r="G2309" s="112">
        <v>1</v>
      </c>
      <c r="H2309" s="112">
        <v>1</v>
      </c>
      <c r="I2309" s="112">
        <v>1</v>
      </c>
    </row>
    <row r="2310" spans="1:15" x14ac:dyDescent="0.2">
      <c r="A2310" s="111">
        <v>2409</v>
      </c>
      <c r="B2310" s="421" t="s">
        <v>3830</v>
      </c>
      <c r="C2310" s="421" t="s">
        <v>502</v>
      </c>
      <c r="D2310" s="422" t="s">
        <v>663</v>
      </c>
      <c r="E2310" s="111">
        <v>15331</v>
      </c>
      <c r="F2310" s="421" t="s">
        <v>3831</v>
      </c>
      <c r="G2310" s="112">
        <v>1</v>
      </c>
      <c r="H2310" s="112">
        <v>2</v>
      </c>
      <c r="I2310" s="112">
        <v>1</v>
      </c>
      <c r="J2310" s="112">
        <v>1</v>
      </c>
    </row>
    <row r="2311" spans="1:15" x14ac:dyDescent="0.2">
      <c r="A2311" s="111">
        <v>2410</v>
      </c>
      <c r="B2311" s="421" t="s">
        <v>3832</v>
      </c>
      <c r="C2311" s="421" t="s">
        <v>501</v>
      </c>
      <c r="D2311" s="422" t="s">
        <v>666</v>
      </c>
      <c r="E2311" s="111">
        <v>15323</v>
      </c>
      <c r="F2311" s="421" t="s">
        <v>3833</v>
      </c>
      <c r="G2311" s="112">
        <v>1</v>
      </c>
      <c r="H2311" s="112">
        <v>1</v>
      </c>
      <c r="I2311" s="112">
        <v>1</v>
      </c>
      <c r="J2311" s="112">
        <v>10</v>
      </c>
      <c r="K2311" s="112">
        <v>9</v>
      </c>
      <c r="L2311" s="112">
        <v>9</v>
      </c>
      <c r="M2311" s="112">
        <v>5</v>
      </c>
      <c r="N2311" s="112">
        <v>3</v>
      </c>
      <c r="O2311" s="112">
        <v>3</v>
      </c>
    </row>
    <row r="2312" spans="1:15" x14ac:dyDescent="0.2">
      <c r="A2312" s="111">
        <v>2411</v>
      </c>
      <c r="B2312" s="421" t="s">
        <v>1387</v>
      </c>
      <c r="C2312" s="421" t="s">
        <v>501</v>
      </c>
      <c r="D2312" s="422" t="s">
        <v>666</v>
      </c>
      <c r="E2312" s="111">
        <v>15323</v>
      </c>
      <c r="F2312" s="421" t="s">
        <v>3833</v>
      </c>
      <c r="G2312" s="112">
        <v>1</v>
      </c>
      <c r="H2312" s="112">
        <v>1</v>
      </c>
      <c r="I2312" s="112">
        <v>1</v>
      </c>
      <c r="J2312" s="112">
        <v>7</v>
      </c>
      <c r="K2312" s="112">
        <v>7</v>
      </c>
      <c r="L2312" s="112">
        <v>7</v>
      </c>
      <c r="M2312" s="112">
        <v>5</v>
      </c>
      <c r="N2312" s="112">
        <v>3</v>
      </c>
      <c r="O2312" s="112">
        <v>3</v>
      </c>
    </row>
    <row r="2313" spans="1:15" x14ac:dyDescent="0.2">
      <c r="A2313" s="111">
        <v>2412</v>
      </c>
      <c r="B2313" s="421" t="s">
        <v>2517</v>
      </c>
      <c r="C2313" s="421" t="s">
        <v>513</v>
      </c>
      <c r="D2313" s="422" t="s">
        <v>663</v>
      </c>
      <c r="E2313" s="111">
        <v>15325</v>
      </c>
      <c r="F2313" s="421" t="s">
        <v>3834</v>
      </c>
    </row>
    <row r="2314" spans="1:15" x14ac:dyDescent="0.2">
      <c r="A2314" s="111">
        <v>2413</v>
      </c>
      <c r="B2314" s="421" t="s">
        <v>1919</v>
      </c>
      <c r="C2314" s="421" t="s">
        <v>513</v>
      </c>
      <c r="D2314" s="422" t="s">
        <v>666</v>
      </c>
      <c r="E2314" s="111">
        <v>15325</v>
      </c>
      <c r="F2314" s="421" t="s">
        <v>3834</v>
      </c>
    </row>
    <row r="2315" spans="1:15" x14ac:dyDescent="0.2">
      <c r="A2315" s="111">
        <v>2414</v>
      </c>
      <c r="B2315" s="421" t="s">
        <v>1196</v>
      </c>
      <c r="C2315" s="421" t="s">
        <v>514</v>
      </c>
      <c r="D2315" s="422" t="s">
        <v>663</v>
      </c>
      <c r="E2315" s="111">
        <v>15288</v>
      </c>
      <c r="F2315" s="421" t="s">
        <v>3835</v>
      </c>
      <c r="G2315" s="112">
        <v>1</v>
      </c>
    </row>
    <row r="2316" spans="1:15" x14ac:dyDescent="0.2">
      <c r="A2316" s="111">
        <v>2415</v>
      </c>
      <c r="B2316" s="421" t="s">
        <v>3836</v>
      </c>
      <c r="C2316" s="421" t="s">
        <v>506</v>
      </c>
      <c r="D2316" s="422" t="s">
        <v>666</v>
      </c>
      <c r="E2316" s="111">
        <v>15288</v>
      </c>
      <c r="F2316" s="421" t="s">
        <v>3835</v>
      </c>
    </row>
    <row r="2317" spans="1:15" x14ac:dyDescent="0.2">
      <c r="A2317" s="111">
        <v>2416</v>
      </c>
      <c r="B2317" s="421" t="s">
        <v>2592</v>
      </c>
      <c r="C2317" s="421" t="s">
        <v>535</v>
      </c>
      <c r="D2317" s="422" t="s">
        <v>663</v>
      </c>
      <c r="E2317" s="111">
        <v>15336</v>
      </c>
      <c r="F2317" s="421" t="s">
        <v>3938</v>
      </c>
      <c r="G2317" s="112">
        <v>1</v>
      </c>
      <c r="H2317" s="112">
        <v>1</v>
      </c>
      <c r="I2317" s="112">
        <v>1</v>
      </c>
      <c r="J2317" s="112">
        <v>1</v>
      </c>
      <c r="K2317" s="112">
        <v>1</v>
      </c>
    </row>
    <row r="2318" spans="1:15" x14ac:dyDescent="0.2">
      <c r="A2318" s="111">
        <v>2417</v>
      </c>
      <c r="B2318" s="421" t="s">
        <v>79</v>
      </c>
      <c r="C2318" s="421" t="s">
        <v>574</v>
      </c>
      <c r="D2318" s="422" t="s">
        <v>666</v>
      </c>
      <c r="E2318" s="111">
        <v>15324</v>
      </c>
      <c r="F2318" s="421" t="s">
        <v>3896</v>
      </c>
      <c r="G2318" s="112">
        <v>1</v>
      </c>
      <c r="H2318" s="112">
        <v>1</v>
      </c>
      <c r="I2318" s="112">
        <v>1</v>
      </c>
      <c r="J2318" s="112">
        <v>1</v>
      </c>
    </row>
    <row r="2319" spans="1:15" x14ac:dyDescent="0.2">
      <c r="A2319" s="111">
        <v>2418</v>
      </c>
      <c r="B2319" s="421" t="s">
        <v>3837</v>
      </c>
      <c r="C2319" s="421" t="s">
        <v>1908</v>
      </c>
      <c r="D2319" s="422" t="s">
        <v>663</v>
      </c>
      <c r="F2319" s="421" t="s">
        <v>2612</v>
      </c>
      <c r="G2319" s="112">
        <v>2</v>
      </c>
      <c r="H2319" s="112">
        <v>2</v>
      </c>
    </row>
    <row r="2320" spans="1:15" x14ac:dyDescent="0.2">
      <c r="A2320" s="111">
        <v>2419</v>
      </c>
      <c r="B2320" s="421" t="s">
        <v>3838</v>
      </c>
      <c r="C2320" s="421" t="s">
        <v>551</v>
      </c>
      <c r="D2320" s="422" t="s">
        <v>666</v>
      </c>
      <c r="F2320" s="421" t="s">
        <v>10143</v>
      </c>
      <c r="G2320" s="112">
        <v>1</v>
      </c>
      <c r="H2320" s="112">
        <v>1</v>
      </c>
      <c r="I2320" s="112">
        <v>1</v>
      </c>
      <c r="J2320" s="112">
        <v>4</v>
      </c>
      <c r="K2320" s="112">
        <v>4</v>
      </c>
      <c r="L2320" s="112">
        <v>3</v>
      </c>
    </row>
    <row r="2321" spans="1:15" x14ac:dyDescent="0.2">
      <c r="A2321" s="111">
        <v>2420</v>
      </c>
      <c r="B2321" s="421" t="s">
        <v>3839</v>
      </c>
      <c r="C2321" s="421" t="s">
        <v>502</v>
      </c>
      <c r="D2321" s="422" t="s">
        <v>663</v>
      </c>
      <c r="F2321" s="421" t="s">
        <v>3840</v>
      </c>
      <c r="G2321" s="112">
        <v>1</v>
      </c>
      <c r="I2321" s="112">
        <v>1</v>
      </c>
    </row>
    <row r="2322" spans="1:15" x14ac:dyDescent="0.2">
      <c r="A2322" s="111">
        <v>2421</v>
      </c>
      <c r="B2322" s="421" t="s">
        <v>206</v>
      </c>
      <c r="C2322" s="421" t="s">
        <v>503</v>
      </c>
      <c r="D2322" s="422" t="s">
        <v>663</v>
      </c>
      <c r="E2322" s="111">
        <v>15116</v>
      </c>
      <c r="F2322" s="421" t="s">
        <v>3138</v>
      </c>
      <c r="G2322" s="112">
        <v>2</v>
      </c>
      <c r="H2322" s="112">
        <v>2</v>
      </c>
      <c r="I2322" s="112">
        <v>2</v>
      </c>
      <c r="J2322" s="112">
        <v>7</v>
      </c>
      <c r="K2322" s="112">
        <v>6</v>
      </c>
      <c r="L2322" s="112">
        <v>8</v>
      </c>
      <c r="M2322" s="112">
        <v>8</v>
      </c>
      <c r="N2322" s="112">
        <v>10</v>
      </c>
      <c r="O2322" s="112">
        <v>8</v>
      </c>
    </row>
    <row r="2323" spans="1:15" x14ac:dyDescent="0.2">
      <c r="A2323" s="111">
        <v>2422</v>
      </c>
      <c r="B2323" s="421" t="s">
        <v>3841</v>
      </c>
      <c r="C2323" s="421" t="s">
        <v>520</v>
      </c>
      <c r="D2323" s="422" t="s">
        <v>666</v>
      </c>
      <c r="E2323" s="111">
        <v>15329</v>
      </c>
      <c r="F2323" s="421" t="s">
        <v>3842</v>
      </c>
      <c r="G2323" s="112">
        <v>1</v>
      </c>
      <c r="H2323" s="112">
        <v>1</v>
      </c>
      <c r="I2323" s="112">
        <v>1</v>
      </c>
      <c r="J2323" s="112">
        <v>6</v>
      </c>
      <c r="K2323" s="112">
        <v>3</v>
      </c>
      <c r="L2323" s="112">
        <v>3</v>
      </c>
      <c r="M2323" s="112">
        <v>3</v>
      </c>
      <c r="N2323" s="112">
        <v>1</v>
      </c>
    </row>
    <row r="2324" spans="1:15" x14ac:dyDescent="0.2">
      <c r="A2324" s="111">
        <v>2423</v>
      </c>
      <c r="B2324" s="421" t="s">
        <v>78</v>
      </c>
      <c r="C2324" s="421" t="s">
        <v>518</v>
      </c>
      <c r="D2324" s="422" t="s">
        <v>663</v>
      </c>
      <c r="E2324" s="111">
        <v>15330</v>
      </c>
      <c r="F2324" s="421" t="s">
        <v>3843</v>
      </c>
      <c r="G2324" s="112">
        <v>1</v>
      </c>
      <c r="H2324" s="112">
        <v>1</v>
      </c>
      <c r="I2324" s="112">
        <v>1</v>
      </c>
      <c r="J2324" s="112">
        <v>1</v>
      </c>
      <c r="K2324" s="112">
        <v>2</v>
      </c>
    </row>
    <row r="2325" spans="1:15" x14ac:dyDescent="0.2">
      <c r="A2325" s="111">
        <v>2424</v>
      </c>
      <c r="B2325" s="421" t="s">
        <v>1428</v>
      </c>
      <c r="C2325" s="421" t="s">
        <v>570</v>
      </c>
      <c r="D2325" s="422" t="s">
        <v>663</v>
      </c>
      <c r="E2325" s="111">
        <v>15332</v>
      </c>
      <c r="F2325" s="421" t="s">
        <v>3844</v>
      </c>
    </row>
    <row r="2326" spans="1:15" x14ac:dyDescent="0.2">
      <c r="A2326" s="111">
        <v>2425</v>
      </c>
      <c r="B2326" s="421" t="s">
        <v>3845</v>
      </c>
      <c r="C2326" s="421" t="s">
        <v>570</v>
      </c>
      <c r="D2326" s="422" t="s">
        <v>666</v>
      </c>
      <c r="E2326" s="111">
        <v>15332</v>
      </c>
      <c r="F2326" s="421" t="s">
        <v>3844</v>
      </c>
      <c r="G2326" s="112">
        <v>1</v>
      </c>
      <c r="H2326" s="112">
        <v>1</v>
      </c>
    </row>
    <row r="2327" spans="1:15" x14ac:dyDescent="0.2">
      <c r="A2327" s="111">
        <v>2426</v>
      </c>
      <c r="B2327" s="421" t="s">
        <v>1498</v>
      </c>
      <c r="C2327" s="421" t="s">
        <v>570</v>
      </c>
      <c r="D2327" s="422" t="s">
        <v>663</v>
      </c>
      <c r="E2327" s="111">
        <v>15332</v>
      </c>
      <c r="F2327" s="421" t="s">
        <v>3844</v>
      </c>
      <c r="G2327" s="112">
        <v>1</v>
      </c>
    </row>
    <row r="2328" spans="1:15" x14ac:dyDescent="0.2">
      <c r="A2328" s="111">
        <v>2427</v>
      </c>
      <c r="B2328" s="421" t="s">
        <v>3846</v>
      </c>
      <c r="C2328" s="421" t="s">
        <v>501</v>
      </c>
      <c r="D2328" s="422" t="s">
        <v>666</v>
      </c>
      <c r="F2328" s="421" t="s">
        <v>4370</v>
      </c>
    </row>
    <row r="2329" spans="1:15" x14ac:dyDescent="0.2">
      <c r="A2329" s="111">
        <v>2428</v>
      </c>
      <c r="B2329" s="421" t="s">
        <v>3847</v>
      </c>
      <c r="C2329" s="421" t="s">
        <v>501</v>
      </c>
      <c r="D2329" s="422" t="s">
        <v>663</v>
      </c>
      <c r="F2329" s="421" t="s">
        <v>4370</v>
      </c>
    </row>
    <row r="2330" spans="1:15" x14ac:dyDescent="0.2">
      <c r="A2330" s="111">
        <v>2429</v>
      </c>
      <c r="B2330" s="421" t="s">
        <v>3848</v>
      </c>
      <c r="C2330" s="421" t="s">
        <v>551</v>
      </c>
      <c r="D2330" s="422" t="s">
        <v>663</v>
      </c>
      <c r="E2330" s="111">
        <v>15333</v>
      </c>
      <c r="F2330" s="421" t="s">
        <v>3849</v>
      </c>
      <c r="G2330" s="112">
        <v>2</v>
      </c>
      <c r="H2330" s="112">
        <v>1</v>
      </c>
      <c r="I2330" s="112">
        <v>1</v>
      </c>
      <c r="J2330" s="112">
        <v>4</v>
      </c>
      <c r="K2330" s="112">
        <v>2</v>
      </c>
      <c r="L2330" s="112">
        <v>1</v>
      </c>
      <c r="M2330" s="112">
        <v>1</v>
      </c>
    </row>
    <row r="2331" spans="1:15" x14ac:dyDescent="0.2">
      <c r="A2331" s="111">
        <v>2430</v>
      </c>
      <c r="B2331" s="421" t="s">
        <v>87</v>
      </c>
      <c r="C2331" s="421" t="s">
        <v>577</v>
      </c>
      <c r="D2331" s="422" t="s">
        <v>666</v>
      </c>
      <c r="E2331" s="111">
        <v>15777</v>
      </c>
      <c r="F2331" s="421" t="s">
        <v>3850</v>
      </c>
    </row>
    <row r="2332" spans="1:15" x14ac:dyDescent="0.2">
      <c r="A2332" s="111">
        <v>2431</v>
      </c>
      <c r="B2332" s="421" t="s">
        <v>291</v>
      </c>
      <c r="C2332" s="421" t="s">
        <v>506</v>
      </c>
      <c r="D2332" s="422" t="s">
        <v>666</v>
      </c>
      <c r="E2332" s="111">
        <v>15334</v>
      </c>
      <c r="F2332" s="421" t="s">
        <v>3895</v>
      </c>
      <c r="G2332" s="112">
        <v>1</v>
      </c>
      <c r="H2332" s="112">
        <v>1</v>
      </c>
      <c r="I2332" s="112">
        <v>1</v>
      </c>
    </row>
    <row r="2333" spans="1:15" x14ac:dyDescent="0.2">
      <c r="A2333" s="111">
        <v>2432</v>
      </c>
      <c r="B2333" s="421" t="s">
        <v>3851</v>
      </c>
      <c r="C2333" s="421" t="s">
        <v>1112</v>
      </c>
      <c r="D2333" s="422" t="s">
        <v>663</v>
      </c>
      <c r="E2333" s="111">
        <v>14233</v>
      </c>
      <c r="F2333" s="421" t="s">
        <v>3823</v>
      </c>
      <c r="G2333" s="112">
        <v>1</v>
      </c>
      <c r="H2333" s="112">
        <v>1</v>
      </c>
      <c r="I2333" s="112">
        <v>1</v>
      </c>
      <c r="J2333" s="112">
        <v>1</v>
      </c>
    </row>
    <row r="2334" spans="1:15" x14ac:dyDescent="0.2">
      <c r="A2334" s="111">
        <v>2433</v>
      </c>
      <c r="B2334" s="421" t="s">
        <v>3852</v>
      </c>
      <c r="C2334" s="421" t="s">
        <v>513</v>
      </c>
      <c r="D2334" s="422" t="s">
        <v>663</v>
      </c>
      <c r="E2334" s="111">
        <v>14292</v>
      </c>
      <c r="F2334" s="421" t="s">
        <v>2835</v>
      </c>
      <c r="I2334" s="112">
        <v>1</v>
      </c>
    </row>
    <row r="2335" spans="1:15" x14ac:dyDescent="0.2">
      <c r="A2335" s="111">
        <v>2434</v>
      </c>
      <c r="B2335" s="421" t="s">
        <v>3853</v>
      </c>
      <c r="C2335" s="421" t="s">
        <v>502</v>
      </c>
      <c r="D2335" s="422" t="s">
        <v>663</v>
      </c>
      <c r="E2335" s="111">
        <v>15337</v>
      </c>
      <c r="F2335" s="421" t="s">
        <v>3854</v>
      </c>
    </row>
    <row r="2336" spans="1:15" x14ac:dyDescent="0.2">
      <c r="A2336" s="111">
        <v>2435</v>
      </c>
      <c r="B2336" s="421" t="s">
        <v>131</v>
      </c>
      <c r="C2336" s="421" t="s">
        <v>3855</v>
      </c>
      <c r="D2336" s="422" t="s">
        <v>663</v>
      </c>
      <c r="E2336" s="111">
        <v>15338</v>
      </c>
      <c r="F2336" s="421" t="s">
        <v>3856</v>
      </c>
      <c r="G2336" s="112">
        <v>1</v>
      </c>
      <c r="H2336" s="112">
        <v>1</v>
      </c>
      <c r="I2336" s="112">
        <v>1</v>
      </c>
      <c r="J2336" s="112">
        <v>4</v>
      </c>
      <c r="K2336" s="112">
        <v>3</v>
      </c>
      <c r="L2336" s="112">
        <v>3</v>
      </c>
      <c r="M2336" s="112">
        <v>2</v>
      </c>
      <c r="O2336" s="112">
        <v>1</v>
      </c>
    </row>
    <row r="2337" spans="1:14" x14ac:dyDescent="0.2">
      <c r="A2337" s="111">
        <v>2436</v>
      </c>
      <c r="B2337" s="421" t="s">
        <v>1380</v>
      </c>
      <c r="C2337" s="421" t="s">
        <v>501</v>
      </c>
      <c r="D2337" s="422" t="s">
        <v>663</v>
      </c>
      <c r="E2337" s="111">
        <v>15326</v>
      </c>
      <c r="F2337" s="421" t="s">
        <v>3857</v>
      </c>
      <c r="G2337" s="112">
        <v>1</v>
      </c>
      <c r="H2337" s="112">
        <v>1</v>
      </c>
      <c r="I2337" s="112">
        <v>1</v>
      </c>
      <c r="J2337" s="112">
        <v>2</v>
      </c>
      <c r="K2337" s="112">
        <v>1</v>
      </c>
      <c r="L2337" s="112">
        <v>3</v>
      </c>
    </row>
    <row r="2338" spans="1:14" x14ac:dyDescent="0.2">
      <c r="A2338" s="111">
        <v>2437</v>
      </c>
      <c r="B2338" s="421" t="s">
        <v>3858</v>
      </c>
      <c r="C2338" s="421" t="s">
        <v>503</v>
      </c>
      <c r="D2338" s="422" t="s">
        <v>663</v>
      </c>
      <c r="E2338" s="111">
        <v>15321</v>
      </c>
      <c r="F2338" s="421" t="s">
        <v>3859</v>
      </c>
    </row>
    <row r="2339" spans="1:14" x14ac:dyDescent="0.2">
      <c r="A2339" s="111">
        <v>2438</v>
      </c>
      <c r="B2339" s="421" t="s">
        <v>3860</v>
      </c>
      <c r="C2339" s="421" t="s">
        <v>513</v>
      </c>
      <c r="D2339" s="422" t="s">
        <v>666</v>
      </c>
      <c r="E2339" s="111">
        <v>15357</v>
      </c>
      <c r="F2339" s="421" t="s">
        <v>3355</v>
      </c>
      <c r="G2339" s="112">
        <v>1</v>
      </c>
      <c r="H2339" s="112">
        <v>1</v>
      </c>
      <c r="I2339" s="112">
        <v>1</v>
      </c>
      <c r="J2339" s="112">
        <v>3</v>
      </c>
      <c r="K2339" s="112">
        <v>3</v>
      </c>
      <c r="L2339" s="112">
        <v>3</v>
      </c>
      <c r="M2339" s="112">
        <v>2</v>
      </c>
      <c r="N2339" s="112">
        <v>1</v>
      </c>
    </row>
    <row r="2340" spans="1:14" x14ac:dyDescent="0.2">
      <c r="A2340" s="111">
        <v>2439</v>
      </c>
      <c r="B2340" s="421" t="s">
        <v>1106</v>
      </c>
      <c r="C2340" s="421" t="s">
        <v>510</v>
      </c>
      <c r="D2340" s="422" t="s">
        <v>663</v>
      </c>
      <c r="F2340" s="421" t="s">
        <v>3861</v>
      </c>
      <c r="G2340" s="112">
        <v>1</v>
      </c>
      <c r="H2340" s="112">
        <v>1</v>
      </c>
      <c r="I2340" s="112">
        <v>1</v>
      </c>
      <c r="J2340" s="112">
        <v>2</v>
      </c>
      <c r="L2340" s="112">
        <v>1</v>
      </c>
    </row>
    <row r="2341" spans="1:14" x14ac:dyDescent="0.2">
      <c r="A2341" s="111">
        <v>2440</v>
      </c>
      <c r="B2341" s="421" t="s">
        <v>3862</v>
      </c>
      <c r="C2341" s="421" t="s">
        <v>501</v>
      </c>
      <c r="D2341" s="422" t="s">
        <v>663</v>
      </c>
      <c r="E2341" s="111">
        <v>15340</v>
      </c>
      <c r="F2341" s="421" t="s">
        <v>1532</v>
      </c>
      <c r="G2341" s="112">
        <v>1</v>
      </c>
      <c r="H2341" s="112">
        <v>1</v>
      </c>
      <c r="I2341" s="112">
        <v>1</v>
      </c>
      <c r="J2341" s="112">
        <v>2</v>
      </c>
      <c r="K2341" s="112">
        <v>1</v>
      </c>
      <c r="L2341" s="112">
        <v>1</v>
      </c>
    </row>
    <row r="2342" spans="1:14" x14ac:dyDescent="0.2">
      <c r="A2342" s="111">
        <v>2441</v>
      </c>
      <c r="B2342" s="421" t="s">
        <v>3863</v>
      </c>
      <c r="C2342" s="421" t="s">
        <v>555</v>
      </c>
      <c r="D2342" s="422" t="s">
        <v>663</v>
      </c>
      <c r="E2342" s="111">
        <v>16335</v>
      </c>
      <c r="F2342" s="421" t="s">
        <v>3864</v>
      </c>
      <c r="G2342" s="112">
        <v>1</v>
      </c>
      <c r="H2342" s="112">
        <v>2</v>
      </c>
      <c r="I2342" s="112">
        <v>2</v>
      </c>
      <c r="J2342" s="112">
        <v>2</v>
      </c>
      <c r="K2342" s="112">
        <v>3</v>
      </c>
      <c r="L2342" s="112">
        <v>2</v>
      </c>
    </row>
    <row r="2343" spans="1:14" x14ac:dyDescent="0.2">
      <c r="A2343" s="111">
        <v>2442</v>
      </c>
      <c r="B2343" s="421" t="s">
        <v>235</v>
      </c>
      <c r="C2343" s="421" t="s">
        <v>521</v>
      </c>
      <c r="D2343" s="422" t="s">
        <v>663</v>
      </c>
      <c r="E2343" s="111">
        <v>15341</v>
      </c>
      <c r="F2343" s="421" t="s">
        <v>3865</v>
      </c>
      <c r="G2343" s="112">
        <v>1</v>
      </c>
      <c r="H2343" s="112">
        <v>3</v>
      </c>
      <c r="I2343" s="112">
        <v>1</v>
      </c>
      <c r="J2343" s="112">
        <v>4</v>
      </c>
      <c r="K2343" s="112">
        <v>4</v>
      </c>
      <c r="L2343" s="112">
        <v>1</v>
      </c>
      <c r="M2343" s="112">
        <v>5</v>
      </c>
      <c r="N2343" s="112">
        <v>3</v>
      </c>
    </row>
    <row r="2344" spans="1:14" x14ac:dyDescent="0.2">
      <c r="A2344" s="111">
        <v>2443</v>
      </c>
      <c r="B2344" s="421" t="s">
        <v>468</v>
      </c>
      <c r="C2344" s="421" t="s">
        <v>572</v>
      </c>
      <c r="D2344" s="422" t="s">
        <v>663</v>
      </c>
      <c r="E2344" s="111">
        <v>15449</v>
      </c>
      <c r="F2344" s="421" t="s">
        <v>4174</v>
      </c>
    </row>
    <row r="2345" spans="1:14" x14ac:dyDescent="0.2">
      <c r="A2345" s="111">
        <v>2444</v>
      </c>
      <c r="B2345" s="421" t="s">
        <v>3866</v>
      </c>
      <c r="C2345" s="421" t="s">
        <v>537</v>
      </c>
      <c r="D2345" s="422" t="s">
        <v>663</v>
      </c>
      <c r="E2345" s="111">
        <v>15308</v>
      </c>
      <c r="F2345" s="421" t="s">
        <v>3824</v>
      </c>
      <c r="G2345" s="112">
        <v>3</v>
      </c>
      <c r="H2345" s="112">
        <v>1</v>
      </c>
      <c r="I2345" s="112">
        <v>1</v>
      </c>
      <c r="J2345" s="112">
        <v>7</v>
      </c>
      <c r="K2345" s="112">
        <v>6</v>
      </c>
      <c r="L2345" s="112">
        <v>7</v>
      </c>
      <c r="M2345" s="112">
        <v>6</v>
      </c>
      <c r="N2345" s="112">
        <v>3</v>
      </c>
    </row>
    <row r="2346" spans="1:14" x14ac:dyDescent="0.2">
      <c r="A2346" s="111">
        <v>2445</v>
      </c>
      <c r="B2346" s="421" t="s">
        <v>1903</v>
      </c>
      <c r="C2346" s="421" t="s">
        <v>1211</v>
      </c>
      <c r="D2346" s="422" t="s">
        <v>663</v>
      </c>
      <c r="E2346" s="111">
        <v>15343</v>
      </c>
      <c r="F2346" s="421" t="s">
        <v>3867</v>
      </c>
    </row>
    <row r="2347" spans="1:14" x14ac:dyDescent="0.2">
      <c r="A2347" s="111">
        <v>2446</v>
      </c>
      <c r="B2347" s="421" t="s">
        <v>3868</v>
      </c>
      <c r="C2347" s="421" t="s">
        <v>516</v>
      </c>
      <c r="D2347" s="422" t="s">
        <v>663</v>
      </c>
      <c r="E2347" s="111">
        <v>15343</v>
      </c>
      <c r="F2347" s="421" t="s">
        <v>3867</v>
      </c>
    </row>
    <row r="2348" spans="1:14" x14ac:dyDescent="0.2">
      <c r="A2348" s="111">
        <v>2447</v>
      </c>
      <c r="B2348" s="421" t="s">
        <v>163</v>
      </c>
      <c r="C2348" s="421" t="s">
        <v>518</v>
      </c>
      <c r="D2348" s="422" t="s">
        <v>663</v>
      </c>
      <c r="E2348" s="111">
        <v>15342</v>
      </c>
      <c r="F2348" s="421" t="s">
        <v>3869</v>
      </c>
      <c r="G2348" s="112">
        <v>1</v>
      </c>
    </row>
    <row r="2349" spans="1:14" x14ac:dyDescent="0.2">
      <c r="A2349" s="111">
        <v>2448</v>
      </c>
      <c r="B2349" s="421" t="s">
        <v>3870</v>
      </c>
      <c r="C2349" s="421" t="s">
        <v>518</v>
      </c>
      <c r="D2349" s="422" t="s">
        <v>663</v>
      </c>
      <c r="E2349" s="111">
        <v>15342</v>
      </c>
      <c r="F2349" s="421" t="s">
        <v>3869</v>
      </c>
      <c r="G2349" s="112">
        <v>1</v>
      </c>
      <c r="H2349" s="112">
        <v>1</v>
      </c>
      <c r="I2349" s="112">
        <v>1</v>
      </c>
      <c r="J2349" s="112">
        <v>1</v>
      </c>
      <c r="K2349" s="112">
        <v>1</v>
      </c>
      <c r="L2349" s="112">
        <v>1</v>
      </c>
    </row>
    <row r="2350" spans="1:14" x14ac:dyDescent="0.2">
      <c r="A2350" s="111">
        <v>2449</v>
      </c>
      <c r="B2350" s="421" t="s">
        <v>3871</v>
      </c>
      <c r="C2350" s="421" t="s">
        <v>544</v>
      </c>
      <c r="D2350" s="422" t="s">
        <v>666</v>
      </c>
      <c r="E2350" s="111">
        <v>16335</v>
      </c>
      <c r="F2350" s="421" t="s">
        <v>3864</v>
      </c>
    </row>
    <row r="2351" spans="1:14" x14ac:dyDescent="0.2">
      <c r="A2351" s="111">
        <v>2450</v>
      </c>
      <c r="B2351" s="421" t="s">
        <v>3872</v>
      </c>
      <c r="C2351" s="421" t="s">
        <v>3873</v>
      </c>
      <c r="D2351" s="422" t="s">
        <v>666</v>
      </c>
      <c r="E2351" s="111">
        <v>15346</v>
      </c>
      <c r="F2351" s="421" t="s">
        <v>3874</v>
      </c>
      <c r="G2351" s="112">
        <v>1</v>
      </c>
      <c r="H2351" s="112">
        <v>1</v>
      </c>
      <c r="I2351" s="112">
        <v>1</v>
      </c>
    </row>
    <row r="2352" spans="1:14" x14ac:dyDescent="0.2">
      <c r="A2352" s="111">
        <v>2451</v>
      </c>
      <c r="B2352" s="421" t="s">
        <v>1250</v>
      </c>
      <c r="C2352" s="421" t="s">
        <v>501</v>
      </c>
      <c r="D2352" s="422" t="s">
        <v>663</v>
      </c>
      <c r="E2352" s="111">
        <v>15760</v>
      </c>
      <c r="F2352" s="421" t="s">
        <v>3875</v>
      </c>
      <c r="G2352" s="112">
        <v>1</v>
      </c>
      <c r="H2352" s="112">
        <v>1</v>
      </c>
      <c r="I2352" s="112">
        <v>1</v>
      </c>
      <c r="J2352" s="112">
        <v>1</v>
      </c>
      <c r="L2352" s="112">
        <v>1</v>
      </c>
    </row>
    <row r="2353" spans="1:15" x14ac:dyDescent="0.2">
      <c r="A2353" s="111">
        <v>2452</v>
      </c>
      <c r="B2353" s="421" t="s">
        <v>313</v>
      </c>
      <c r="C2353" s="421" t="s">
        <v>572</v>
      </c>
      <c r="D2353" s="422" t="s">
        <v>663</v>
      </c>
      <c r="E2353" s="111">
        <v>15348</v>
      </c>
      <c r="F2353" s="421" t="s">
        <v>3876</v>
      </c>
      <c r="G2353" s="112">
        <v>2</v>
      </c>
      <c r="H2353" s="112">
        <v>2</v>
      </c>
      <c r="I2353" s="112">
        <v>1</v>
      </c>
    </row>
    <row r="2354" spans="1:15" x14ac:dyDescent="0.2">
      <c r="A2354" s="111">
        <v>2453</v>
      </c>
      <c r="B2354" s="421" t="s">
        <v>1919</v>
      </c>
      <c r="C2354" s="421" t="s">
        <v>506</v>
      </c>
      <c r="D2354" s="422" t="s">
        <v>666</v>
      </c>
      <c r="E2354" s="111">
        <v>15436</v>
      </c>
      <c r="F2354" s="421" t="s">
        <v>3877</v>
      </c>
      <c r="G2354" s="112">
        <v>1</v>
      </c>
      <c r="H2354" s="112">
        <v>1</v>
      </c>
      <c r="I2354" s="112">
        <v>1</v>
      </c>
      <c r="J2354" s="112">
        <v>9</v>
      </c>
      <c r="K2354" s="112">
        <v>7</v>
      </c>
      <c r="L2354" s="112">
        <v>7</v>
      </c>
      <c r="M2354" s="112">
        <v>7</v>
      </c>
      <c r="N2354" s="112">
        <v>4</v>
      </c>
      <c r="O2354" s="112">
        <v>6</v>
      </c>
    </row>
    <row r="2355" spans="1:15" x14ac:dyDescent="0.2">
      <c r="A2355" s="111">
        <v>2454</v>
      </c>
      <c r="B2355" s="421" t="s">
        <v>3878</v>
      </c>
      <c r="C2355" s="421" t="s">
        <v>522</v>
      </c>
      <c r="D2355" s="422" t="s">
        <v>663</v>
      </c>
      <c r="F2355" s="421" t="s">
        <v>3879</v>
      </c>
    </row>
    <row r="2356" spans="1:15" x14ac:dyDescent="0.2">
      <c r="A2356" s="111">
        <v>2455</v>
      </c>
      <c r="B2356" s="421" t="s">
        <v>1052</v>
      </c>
      <c r="C2356" s="421" t="s">
        <v>501</v>
      </c>
      <c r="D2356" s="422" t="s">
        <v>663</v>
      </c>
      <c r="E2356" s="111">
        <v>15350</v>
      </c>
      <c r="F2356" s="421" t="s">
        <v>3880</v>
      </c>
      <c r="G2356" s="112">
        <v>1</v>
      </c>
      <c r="H2356" s="112">
        <v>1</v>
      </c>
      <c r="I2356" s="112">
        <v>1</v>
      </c>
      <c r="J2356" s="112">
        <v>10</v>
      </c>
      <c r="K2356" s="112">
        <v>9</v>
      </c>
      <c r="L2356" s="112">
        <v>11</v>
      </c>
      <c r="M2356" s="112">
        <v>7</v>
      </c>
      <c r="N2356" s="112">
        <v>5</v>
      </c>
      <c r="O2356" s="112">
        <v>3</v>
      </c>
    </row>
    <row r="2357" spans="1:15" x14ac:dyDescent="0.2">
      <c r="A2357" s="111">
        <v>2456</v>
      </c>
      <c r="B2357" s="421" t="s">
        <v>2067</v>
      </c>
      <c r="C2357" s="421" t="s">
        <v>530</v>
      </c>
      <c r="D2357" s="422" t="s">
        <v>663</v>
      </c>
      <c r="E2357" s="111">
        <v>15352</v>
      </c>
      <c r="F2357" s="421" t="s">
        <v>3881</v>
      </c>
      <c r="G2357" s="112">
        <v>2</v>
      </c>
      <c r="H2357" s="112">
        <v>1</v>
      </c>
      <c r="I2357" s="112">
        <v>1</v>
      </c>
      <c r="J2357" s="112">
        <v>11</v>
      </c>
      <c r="K2357" s="112">
        <v>8</v>
      </c>
      <c r="L2357" s="112">
        <v>11</v>
      </c>
      <c r="M2357" s="112">
        <v>11</v>
      </c>
      <c r="N2357" s="112">
        <v>5</v>
      </c>
      <c r="O2357" s="112">
        <v>10</v>
      </c>
    </row>
    <row r="2358" spans="1:15" x14ac:dyDescent="0.2">
      <c r="A2358" s="111">
        <v>2457</v>
      </c>
      <c r="B2358" s="421" t="s">
        <v>3882</v>
      </c>
      <c r="C2358" s="421" t="s">
        <v>551</v>
      </c>
      <c r="D2358" s="422" t="s">
        <v>666</v>
      </c>
      <c r="E2358" s="111">
        <v>16301</v>
      </c>
      <c r="F2358" s="421" t="s">
        <v>3883</v>
      </c>
      <c r="G2358" s="112">
        <v>1</v>
      </c>
      <c r="H2358" s="112">
        <v>1</v>
      </c>
      <c r="I2358" s="112">
        <v>1</v>
      </c>
      <c r="J2358" s="112">
        <v>7</v>
      </c>
      <c r="K2358" s="112">
        <v>7</v>
      </c>
      <c r="L2358" s="112">
        <v>7</v>
      </c>
      <c r="M2358" s="112">
        <v>3</v>
      </c>
      <c r="N2358" s="112">
        <v>3</v>
      </c>
      <c r="O2358" s="112">
        <v>3</v>
      </c>
    </row>
    <row r="2359" spans="1:15" x14ac:dyDescent="0.2">
      <c r="A2359" s="111">
        <v>2458</v>
      </c>
      <c r="B2359" s="421" t="s">
        <v>3884</v>
      </c>
      <c r="C2359" s="421" t="s">
        <v>581</v>
      </c>
      <c r="D2359" s="422" t="s">
        <v>666</v>
      </c>
      <c r="E2359" s="111">
        <v>15351</v>
      </c>
      <c r="F2359" s="421" t="s">
        <v>3885</v>
      </c>
      <c r="G2359" s="112">
        <v>1</v>
      </c>
      <c r="H2359" s="112">
        <v>1</v>
      </c>
      <c r="I2359" s="112">
        <v>1</v>
      </c>
      <c r="J2359" s="112">
        <v>1</v>
      </c>
      <c r="K2359" s="112">
        <v>1</v>
      </c>
      <c r="L2359" s="112">
        <v>2</v>
      </c>
    </row>
    <row r="2360" spans="1:15" x14ac:dyDescent="0.2">
      <c r="A2360" s="111">
        <v>2459</v>
      </c>
      <c r="B2360" s="421" t="s">
        <v>3886</v>
      </c>
      <c r="C2360" s="421" t="s">
        <v>518</v>
      </c>
      <c r="D2360" s="422" t="s">
        <v>663</v>
      </c>
      <c r="E2360" s="111">
        <v>15355</v>
      </c>
      <c r="F2360" s="421" t="s">
        <v>3887</v>
      </c>
      <c r="G2360" s="112">
        <v>1</v>
      </c>
      <c r="H2360" s="112">
        <v>1</v>
      </c>
      <c r="I2360" s="112">
        <v>1</v>
      </c>
      <c r="J2360" s="112">
        <v>1</v>
      </c>
      <c r="K2360" s="112">
        <v>1</v>
      </c>
      <c r="L2360" s="112">
        <v>1</v>
      </c>
    </row>
    <row r="2361" spans="1:15" x14ac:dyDescent="0.2">
      <c r="A2361" s="111">
        <v>2460</v>
      </c>
      <c r="B2361" s="421" t="s">
        <v>382</v>
      </c>
      <c r="C2361" s="421" t="s">
        <v>525</v>
      </c>
      <c r="D2361" s="422" t="s">
        <v>663</v>
      </c>
      <c r="E2361" s="111">
        <v>15344</v>
      </c>
      <c r="F2361" s="421" t="s">
        <v>3888</v>
      </c>
      <c r="G2361" s="112">
        <v>1</v>
      </c>
      <c r="I2361" s="112">
        <v>1</v>
      </c>
    </row>
    <row r="2362" spans="1:15" x14ac:dyDescent="0.2">
      <c r="A2362" s="111">
        <v>2461</v>
      </c>
      <c r="B2362" s="421" t="s">
        <v>50</v>
      </c>
      <c r="C2362" s="421" t="s">
        <v>3384</v>
      </c>
      <c r="D2362" s="422" t="s">
        <v>666</v>
      </c>
      <c r="E2362" s="111">
        <v>16964</v>
      </c>
      <c r="F2362" s="421" t="s">
        <v>3889</v>
      </c>
      <c r="G2362" s="112">
        <v>1</v>
      </c>
      <c r="H2362" s="112">
        <v>1</v>
      </c>
      <c r="I2362" s="112">
        <v>1</v>
      </c>
      <c r="J2362" s="112">
        <v>1</v>
      </c>
      <c r="K2362" s="112">
        <v>1</v>
      </c>
      <c r="L2362" s="112">
        <v>1</v>
      </c>
    </row>
    <row r="2363" spans="1:15" x14ac:dyDescent="0.2">
      <c r="A2363" s="111">
        <v>2462</v>
      </c>
      <c r="B2363" s="421" t="s">
        <v>3893</v>
      </c>
      <c r="C2363" s="421" t="s">
        <v>564</v>
      </c>
      <c r="D2363" s="422" t="s">
        <v>666</v>
      </c>
      <c r="E2363" s="111">
        <v>15359</v>
      </c>
      <c r="F2363" s="421" t="s">
        <v>3898</v>
      </c>
      <c r="G2363" s="112">
        <v>1</v>
      </c>
      <c r="H2363" s="112">
        <v>1</v>
      </c>
      <c r="I2363" s="112">
        <v>1</v>
      </c>
    </row>
    <row r="2364" spans="1:15" x14ac:dyDescent="0.2">
      <c r="A2364" s="111">
        <v>2463</v>
      </c>
      <c r="B2364" s="421" t="s">
        <v>3894</v>
      </c>
      <c r="C2364" s="421" t="s">
        <v>501</v>
      </c>
      <c r="D2364" s="422" t="s">
        <v>663</v>
      </c>
      <c r="E2364" s="111">
        <v>15292</v>
      </c>
      <c r="F2364" s="421" t="s">
        <v>5359</v>
      </c>
      <c r="G2364" s="112">
        <v>2</v>
      </c>
      <c r="H2364" s="112">
        <v>2</v>
      </c>
      <c r="I2364" s="112">
        <v>2</v>
      </c>
      <c r="J2364" s="112">
        <v>4</v>
      </c>
      <c r="K2364" s="112">
        <v>5</v>
      </c>
      <c r="L2364" s="112">
        <v>5</v>
      </c>
    </row>
    <row r="2365" spans="1:15" x14ac:dyDescent="0.2">
      <c r="A2365" s="111">
        <v>2464</v>
      </c>
      <c r="B2365" s="421" t="s">
        <v>3890</v>
      </c>
      <c r="C2365" s="421" t="s">
        <v>506</v>
      </c>
      <c r="D2365" s="422" t="s">
        <v>666</v>
      </c>
      <c r="E2365" s="111">
        <v>14255</v>
      </c>
      <c r="F2365" s="421" t="s">
        <v>988</v>
      </c>
    </row>
    <row r="2366" spans="1:15" x14ac:dyDescent="0.2">
      <c r="A2366" s="111">
        <v>2465</v>
      </c>
      <c r="B2366" s="421" t="s">
        <v>310</v>
      </c>
      <c r="C2366" s="421" t="s">
        <v>591</v>
      </c>
      <c r="D2366" s="422" t="s">
        <v>663</v>
      </c>
      <c r="E2366" s="111">
        <v>15365</v>
      </c>
      <c r="F2366" s="421" t="s">
        <v>3897</v>
      </c>
    </row>
    <row r="2367" spans="1:15" x14ac:dyDescent="0.2">
      <c r="A2367" s="111">
        <v>2466</v>
      </c>
      <c r="B2367" s="421" t="s">
        <v>3892</v>
      </c>
      <c r="C2367" s="421" t="s">
        <v>551</v>
      </c>
      <c r="D2367" s="422" t="s">
        <v>666</v>
      </c>
      <c r="E2367" s="111">
        <v>15365</v>
      </c>
      <c r="F2367" s="421" t="s">
        <v>3897</v>
      </c>
      <c r="G2367" s="112">
        <v>1</v>
      </c>
      <c r="H2367" s="112">
        <v>1</v>
      </c>
      <c r="I2367" s="112">
        <v>1</v>
      </c>
    </row>
    <row r="2368" spans="1:15" x14ac:dyDescent="0.2">
      <c r="A2368" s="111">
        <v>2467</v>
      </c>
      <c r="B2368" s="421" t="s">
        <v>2081</v>
      </c>
      <c r="C2368" s="421" t="s">
        <v>4162</v>
      </c>
      <c r="D2368" s="422" t="s">
        <v>666</v>
      </c>
      <c r="E2368" s="111">
        <v>14791</v>
      </c>
      <c r="F2368" s="421" t="s">
        <v>2355</v>
      </c>
      <c r="G2368" s="112">
        <v>1</v>
      </c>
      <c r="H2368" s="112">
        <v>1</v>
      </c>
      <c r="I2368" s="112">
        <v>1</v>
      </c>
      <c r="J2368" s="112">
        <v>1</v>
      </c>
      <c r="K2368" s="112">
        <v>1</v>
      </c>
      <c r="L2368" s="112">
        <v>1</v>
      </c>
    </row>
    <row r="2369" spans="1:15" x14ac:dyDescent="0.2">
      <c r="A2369" s="111">
        <v>2468</v>
      </c>
      <c r="B2369" s="421" t="s">
        <v>3891</v>
      </c>
      <c r="C2369" s="421" t="s">
        <v>513</v>
      </c>
      <c r="D2369" s="422" t="s">
        <v>666</v>
      </c>
      <c r="E2369" s="111">
        <v>15290</v>
      </c>
      <c r="F2369" s="421" t="s">
        <v>3753</v>
      </c>
      <c r="G2369" s="112">
        <v>1</v>
      </c>
      <c r="H2369" s="112">
        <v>1</v>
      </c>
      <c r="I2369" s="112">
        <v>1</v>
      </c>
      <c r="J2369" s="112">
        <v>7</v>
      </c>
      <c r="K2369" s="112">
        <v>3</v>
      </c>
      <c r="L2369" s="112">
        <v>4</v>
      </c>
      <c r="M2369" s="112">
        <v>2</v>
      </c>
      <c r="N2369" s="112">
        <v>2</v>
      </c>
      <c r="O2369" s="112">
        <v>3</v>
      </c>
    </row>
    <row r="2370" spans="1:15" x14ac:dyDescent="0.2">
      <c r="A2370" s="111">
        <v>2469</v>
      </c>
      <c r="B2370" s="421" t="s">
        <v>36</v>
      </c>
      <c r="C2370" s="421" t="s">
        <v>501</v>
      </c>
      <c r="D2370" s="422" t="s">
        <v>663</v>
      </c>
      <c r="E2370" s="111">
        <v>14383</v>
      </c>
      <c r="F2370" s="421" t="s">
        <v>1242</v>
      </c>
      <c r="G2370" s="112">
        <v>1</v>
      </c>
      <c r="H2370" s="112">
        <v>1</v>
      </c>
      <c r="I2370" s="112">
        <v>1</v>
      </c>
      <c r="J2370" s="112">
        <v>9</v>
      </c>
      <c r="K2370" s="112">
        <v>10</v>
      </c>
      <c r="L2370" s="112">
        <v>10</v>
      </c>
      <c r="M2370" s="112">
        <v>50</v>
      </c>
      <c r="N2370" s="112">
        <v>35</v>
      </c>
      <c r="O2370" s="112">
        <v>39</v>
      </c>
    </row>
    <row r="2371" spans="1:15" x14ac:dyDescent="0.2">
      <c r="A2371" s="111">
        <v>2470</v>
      </c>
      <c r="B2371" s="421" t="s">
        <v>175</v>
      </c>
      <c r="C2371" s="421" t="s">
        <v>510</v>
      </c>
      <c r="D2371" s="422" t="s">
        <v>666</v>
      </c>
      <c r="E2371" s="111">
        <v>15360</v>
      </c>
      <c r="F2371" s="421" t="s">
        <v>3899</v>
      </c>
    </row>
    <row r="2372" spans="1:15" x14ac:dyDescent="0.2">
      <c r="A2372" s="111">
        <v>2471</v>
      </c>
      <c r="B2372" s="421" t="s">
        <v>3900</v>
      </c>
      <c r="C2372" s="421" t="s">
        <v>3387</v>
      </c>
      <c r="D2372" s="422" t="s">
        <v>663</v>
      </c>
      <c r="E2372" s="111">
        <v>15361</v>
      </c>
      <c r="F2372" s="421" t="s">
        <v>3901</v>
      </c>
      <c r="G2372" s="112">
        <v>1</v>
      </c>
      <c r="H2372" s="112">
        <v>1</v>
      </c>
      <c r="I2372" s="112">
        <v>1</v>
      </c>
      <c r="J2372" s="112">
        <v>4</v>
      </c>
      <c r="K2372" s="112">
        <v>4</v>
      </c>
      <c r="L2372" s="112">
        <v>4</v>
      </c>
      <c r="M2372" s="112">
        <v>6</v>
      </c>
      <c r="N2372" s="112">
        <v>6</v>
      </c>
      <c r="O2372" s="112">
        <v>6</v>
      </c>
    </row>
    <row r="2373" spans="1:15" x14ac:dyDescent="0.2">
      <c r="A2373" s="111">
        <v>2472</v>
      </c>
      <c r="B2373" s="421" t="s">
        <v>3902</v>
      </c>
      <c r="C2373" s="421" t="s">
        <v>506</v>
      </c>
      <c r="D2373" s="422" t="s">
        <v>663</v>
      </c>
      <c r="E2373" s="111">
        <v>15362</v>
      </c>
      <c r="F2373" s="421" t="s">
        <v>3903</v>
      </c>
      <c r="G2373" s="112">
        <v>1</v>
      </c>
      <c r="H2373" s="112">
        <v>1</v>
      </c>
      <c r="I2373" s="112">
        <v>1</v>
      </c>
    </row>
    <row r="2374" spans="1:15" x14ac:dyDescent="0.2">
      <c r="A2374" s="111">
        <v>2473</v>
      </c>
      <c r="B2374" s="421" t="s">
        <v>2008</v>
      </c>
      <c r="C2374" s="421" t="s">
        <v>514</v>
      </c>
      <c r="D2374" s="422" t="s">
        <v>666</v>
      </c>
      <c r="E2374" s="111">
        <v>14717</v>
      </c>
      <c r="F2374" s="421" t="s">
        <v>3904</v>
      </c>
    </row>
    <row r="2375" spans="1:15" x14ac:dyDescent="0.2">
      <c r="A2375" s="111">
        <v>2474</v>
      </c>
      <c r="B2375" s="421" t="s">
        <v>3905</v>
      </c>
      <c r="C2375" s="421" t="s">
        <v>574</v>
      </c>
      <c r="D2375" s="422" t="s">
        <v>663</v>
      </c>
      <c r="E2375" s="111">
        <v>15363</v>
      </c>
      <c r="F2375" s="421" t="s">
        <v>3906</v>
      </c>
      <c r="G2375" s="112">
        <v>1</v>
      </c>
      <c r="H2375" s="112">
        <v>1</v>
      </c>
      <c r="I2375" s="112">
        <v>1</v>
      </c>
      <c r="J2375" s="112">
        <v>1</v>
      </c>
      <c r="K2375" s="112">
        <v>1</v>
      </c>
      <c r="L2375" s="112">
        <v>1</v>
      </c>
    </row>
    <row r="2376" spans="1:15" x14ac:dyDescent="0.2">
      <c r="A2376" s="111">
        <v>2475</v>
      </c>
      <c r="B2376" s="421" t="s">
        <v>3907</v>
      </c>
      <c r="C2376" s="421" t="s">
        <v>537</v>
      </c>
      <c r="D2376" s="422" t="s">
        <v>663</v>
      </c>
      <c r="E2376" s="111">
        <v>14857</v>
      </c>
      <c r="F2376" s="421" t="s">
        <v>2524</v>
      </c>
    </row>
    <row r="2377" spans="1:15" x14ac:dyDescent="0.2">
      <c r="A2377" s="111">
        <v>2476</v>
      </c>
      <c r="B2377" s="421" t="s">
        <v>3908</v>
      </c>
      <c r="C2377" s="421" t="s">
        <v>561</v>
      </c>
      <c r="D2377" s="422" t="s">
        <v>663</v>
      </c>
      <c r="E2377" s="111">
        <v>14857</v>
      </c>
      <c r="F2377" s="421" t="s">
        <v>2524</v>
      </c>
    </row>
    <row r="2378" spans="1:15" x14ac:dyDescent="0.2">
      <c r="A2378" s="111">
        <v>2477</v>
      </c>
      <c r="B2378" s="421" t="s">
        <v>3909</v>
      </c>
      <c r="C2378" s="421" t="s">
        <v>551</v>
      </c>
      <c r="D2378" s="422" t="s">
        <v>666</v>
      </c>
      <c r="E2378" s="111">
        <v>15364</v>
      </c>
      <c r="F2378" s="421" t="s">
        <v>3910</v>
      </c>
      <c r="G2378" s="112">
        <v>1</v>
      </c>
      <c r="H2378" s="112">
        <v>1</v>
      </c>
      <c r="I2378" s="112">
        <v>1</v>
      </c>
      <c r="J2378" s="112">
        <v>11</v>
      </c>
      <c r="K2378" s="112">
        <v>12</v>
      </c>
      <c r="L2378" s="112">
        <v>10</v>
      </c>
      <c r="M2378" s="112">
        <v>24</v>
      </c>
      <c r="N2378" s="112">
        <v>23</v>
      </c>
      <c r="O2378" s="112">
        <v>23</v>
      </c>
    </row>
    <row r="2379" spans="1:15" x14ac:dyDescent="0.2">
      <c r="A2379" s="111">
        <v>2478</v>
      </c>
      <c r="B2379" s="421" t="s">
        <v>1483</v>
      </c>
      <c r="C2379" s="421" t="s">
        <v>628</v>
      </c>
      <c r="D2379" s="422" t="s">
        <v>666</v>
      </c>
      <c r="E2379" s="111">
        <v>14288</v>
      </c>
      <c r="F2379" s="421" t="s">
        <v>3119</v>
      </c>
      <c r="G2379" s="112">
        <v>1</v>
      </c>
      <c r="H2379" s="112">
        <v>1</v>
      </c>
      <c r="I2379" s="112">
        <v>1</v>
      </c>
      <c r="J2379" s="112">
        <v>8</v>
      </c>
      <c r="K2379" s="112">
        <v>7</v>
      </c>
      <c r="L2379" s="112">
        <v>7</v>
      </c>
      <c r="M2379" s="112">
        <v>2</v>
      </c>
      <c r="N2379" s="112">
        <v>3</v>
      </c>
      <c r="O2379" s="112">
        <v>3</v>
      </c>
    </row>
    <row r="2380" spans="1:15" x14ac:dyDescent="0.2">
      <c r="A2380" s="111">
        <v>2479</v>
      </c>
      <c r="B2380" s="421" t="s">
        <v>3911</v>
      </c>
      <c r="C2380" s="421" t="s">
        <v>518</v>
      </c>
      <c r="D2380" s="422" t="s">
        <v>666</v>
      </c>
      <c r="E2380" s="111">
        <v>15366</v>
      </c>
      <c r="F2380" s="421" t="s">
        <v>3912</v>
      </c>
      <c r="G2380" s="112">
        <v>1</v>
      </c>
      <c r="H2380" s="112">
        <v>1</v>
      </c>
      <c r="I2380" s="112">
        <v>1</v>
      </c>
      <c r="J2380" s="112">
        <v>2</v>
      </c>
      <c r="K2380" s="112">
        <v>3</v>
      </c>
      <c r="L2380" s="112">
        <v>2</v>
      </c>
    </row>
    <row r="2381" spans="1:15" x14ac:dyDescent="0.2">
      <c r="A2381" s="111">
        <v>2480</v>
      </c>
      <c r="B2381" s="421" t="s">
        <v>1423</v>
      </c>
      <c r="C2381" s="421" t="s">
        <v>513</v>
      </c>
      <c r="D2381" s="422" t="s">
        <v>663</v>
      </c>
      <c r="E2381" s="111">
        <v>15369</v>
      </c>
      <c r="F2381" s="421" t="s">
        <v>3913</v>
      </c>
      <c r="G2381" s="112">
        <v>1</v>
      </c>
      <c r="H2381" s="112">
        <v>3</v>
      </c>
      <c r="I2381" s="112">
        <v>1</v>
      </c>
      <c r="J2381" s="112">
        <v>3</v>
      </c>
    </row>
    <row r="2382" spans="1:15" x14ac:dyDescent="0.2">
      <c r="A2382" s="111">
        <v>2481</v>
      </c>
      <c r="B2382" s="421" t="s">
        <v>2792</v>
      </c>
      <c r="C2382" s="421" t="s">
        <v>3855</v>
      </c>
      <c r="D2382" s="422" t="s">
        <v>666</v>
      </c>
      <c r="E2382" s="111">
        <v>15368</v>
      </c>
      <c r="F2382" s="421" t="s">
        <v>3914</v>
      </c>
      <c r="G2382" s="112">
        <v>1</v>
      </c>
      <c r="H2382" s="112">
        <v>1</v>
      </c>
      <c r="I2382" s="112">
        <v>1</v>
      </c>
      <c r="J2382" s="112">
        <v>9</v>
      </c>
      <c r="K2382" s="112">
        <v>8</v>
      </c>
      <c r="L2382" s="112">
        <v>7</v>
      </c>
      <c r="M2382" s="112">
        <v>3</v>
      </c>
      <c r="N2382" s="112">
        <v>3</v>
      </c>
      <c r="O2382" s="112">
        <v>3</v>
      </c>
    </row>
    <row r="2383" spans="1:15" x14ac:dyDescent="0.2">
      <c r="A2383" s="111">
        <v>2482</v>
      </c>
      <c r="B2383" s="421" t="s">
        <v>3915</v>
      </c>
      <c r="C2383" s="421" t="s">
        <v>551</v>
      </c>
      <c r="D2383" s="422" t="s">
        <v>663</v>
      </c>
      <c r="E2383" s="111">
        <v>15364</v>
      </c>
      <c r="F2383" s="421" t="s">
        <v>3910</v>
      </c>
    </row>
    <row r="2384" spans="1:15" x14ac:dyDescent="0.2">
      <c r="A2384" s="111">
        <v>2484</v>
      </c>
      <c r="B2384" s="421" t="s">
        <v>206</v>
      </c>
      <c r="C2384" s="421" t="s">
        <v>543</v>
      </c>
      <c r="D2384" s="422" t="s">
        <v>663</v>
      </c>
      <c r="E2384" s="111">
        <v>15434</v>
      </c>
      <c r="F2384" s="421" t="s">
        <v>3916</v>
      </c>
      <c r="G2384" s="112">
        <v>1</v>
      </c>
      <c r="H2384" s="112">
        <v>1</v>
      </c>
      <c r="I2384" s="112">
        <v>1</v>
      </c>
      <c r="J2384" s="112">
        <v>1</v>
      </c>
      <c r="K2384" s="112">
        <v>1</v>
      </c>
      <c r="L2384" s="112">
        <v>2</v>
      </c>
    </row>
    <row r="2385" spans="1:15" x14ac:dyDescent="0.2">
      <c r="A2385" s="111">
        <v>2485</v>
      </c>
      <c r="B2385" s="421" t="s">
        <v>119</v>
      </c>
      <c r="C2385" s="421" t="s">
        <v>589</v>
      </c>
      <c r="D2385" s="422" t="s">
        <v>663</v>
      </c>
      <c r="E2385" s="111">
        <v>15372</v>
      </c>
      <c r="F2385" s="421" t="s">
        <v>3917</v>
      </c>
      <c r="G2385" s="112">
        <v>1</v>
      </c>
      <c r="H2385" s="112">
        <v>1</v>
      </c>
    </row>
    <row r="2386" spans="1:15" x14ac:dyDescent="0.2">
      <c r="A2386" s="111">
        <v>2486</v>
      </c>
      <c r="B2386" s="421" t="s">
        <v>332</v>
      </c>
      <c r="C2386" s="421" t="s">
        <v>533</v>
      </c>
      <c r="D2386" s="422" t="s">
        <v>666</v>
      </c>
      <c r="E2386" s="111">
        <v>15373</v>
      </c>
      <c r="F2386" s="421" t="s">
        <v>3918</v>
      </c>
    </row>
    <row r="2387" spans="1:15" x14ac:dyDescent="0.2">
      <c r="A2387" s="111">
        <v>2487</v>
      </c>
      <c r="B2387" s="421" t="s">
        <v>3919</v>
      </c>
      <c r="C2387" s="421" t="s">
        <v>2466</v>
      </c>
      <c r="D2387" s="422" t="s">
        <v>666</v>
      </c>
      <c r="E2387" s="111">
        <v>15374</v>
      </c>
      <c r="F2387" s="421" t="s">
        <v>3920</v>
      </c>
      <c r="G2387" s="112">
        <v>1</v>
      </c>
      <c r="H2387" s="112">
        <v>1</v>
      </c>
      <c r="I2387" s="112">
        <v>1</v>
      </c>
    </row>
    <row r="2388" spans="1:15" x14ac:dyDescent="0.2">
      <c r="A2388" s="111">
        <v>2488</v>
      </c>
      <c r="B2388" s="421" t="s">
        <v>3921</v>
      </c>
      <c r="C2388" s="421" t="s">
        <v>551</v>
      </c>
      <c r="D2388" s="422" t="s">
        <v>666</v>
      </c>
      <c r="E2388" s="111">
        <v>15831</v>
      </c>
      <c r="F2388" s="421" t="s">
        <v>2673</v>
      </c>
      <c r="G2388" s="112">
        <v>1</v>
      </c>
      <c r="H2388" s="112">
        <v>1</v>
      </c>
      <c r="I2388" s="112">
        <v>1</v>
      </c>
      <c r="J2388" s="112">
        <v>3</v>
      </c>
      <c r="K2388" s="112">
        <v>3</v>
      </c>
      <c r="L2388" s="112">
        <v>3</v>
      </c>
      <c r="M2388" s="112">
        <v>3</v>
      </c>
      <c r="N2388" s="112">
        <v>1</v>
      </c>
    </row>
    <row r="2389" spans="1:15" x14ac:dyDescent="0.2">
      <c r="A2389" s="111">
        <v>2489</v>
      </c>
      <c r="B2389" s="421" t="s">
        <v>284</v>
      </c>
      <c r="C2389" s="421" t="s">
        <v>543</v>
      </c>
      <c r="D2389" s="422" t="s">
        <v>666</v>
      </c>
      <c r="E2389" s="111">
        <v>15375</v>
      </c>
      <c r="F2389" s="421" t="s">
        <v>3922</v>
      </c>
      <c r="G2389" s="112">
        <v>1</v>
      </c>
      <c r="H2389" s="112">
        <v>1</v>
      </c>
      <c r="I2389" s="112">
        <v>1</v>
      </c>
    </row>
    <row r="2390" spans="1:15" x14ac:dyDescent="0.2">
      <c r="A2390" s="111">
        <v>2490</v>
      </c>
      <c r="B2390" s="421" t="s">
        <v>3923</v>
      </c>
      <c r="C2390" s="421" t="s">
        <v>3924</v>
      </c>
      <c r="D2390" s="422" t="s">
        <v>666</v>
      </c>
      <c r="E2390" s="111">
        <v>14615</v>
      </c>
      <c r="F2390" s="421" t="s">
        <v>1850</v>
      </c>
      <c r="G2390" s="112">
        <v>1</v>
      </c>
      <c r="H2390" s="112">
        <v>1</v>
      </c>
      <c r="I2390" s="112">
        <v>1</v>
      </c>
      <c r="J2390" s="112">
        <v>1</v>
      </c>
    </row>
    <row r="2391" spans="1:15" x14ac:dyDescent="0.2">
      <c r="A2391" s="111">
        <v>2492</v>
      </c>
      <c r="B2391" s="421" t="s">
        <v>488</v>
      </c>
      <c r="C2391" s="421" t="s">
        <v>532</v>
      </c>
      <c r="D2391" s="422" t="s">
        <v>666</v>
      </c>
      <c r="E2391" s="111">
        <v>15371</v>
      </c>
      <c r="F2391" s="421" t="s">
        <v>3925</v>
      </c>
      <c r="G2391" s="112">
        <v>1</v>
      </c>
      <c r="H2391" s="112">
        <v>1</v>
      </c>
      <c r="I2391" s="112">
        <v>1</v>
      </c>
      <c r="J2391" s="112">
        <v>1</v>
      </c>
      <c r="K2391" s="112">
        <v>1</v>
      </c>
      <c r="L2391" s="112">
        <v>2</v>
      </c>
    </row>
    <row r="2392" spans="1:15" x14ac:dyDescent="0.2">
      <c r="A2392" s="111">
        <v>2493</v>
      </c>
      <c r="B2392" s="421" t="s">
        <v>3939</v>
      </c>
      <c r="C2392" s="421" t="s">
        <v>501</v>
      </c>
      <c r="D2392" s="422" t="s">
        <v>666</v>
      </c>
      <c r="E2392" s="111">
        <v>15378</v>
      </c>
      <c r="F2392" s="421" t="s">
        <v>3940</v>
      </c>
    </row>
    <row r="2393" spans="1:15" x14ac:dyDescent="0.2">
      <c r="A2393" s="111">
        <v>2494</v>
      </c>
      <c r="B2393" s="421" t="s">
        <v>266</v>
      </c>
      <c r="C2393" s="421" t="s">
        <v>501</v>
      </c>
      <c r="D2393" s="422" t="s">
        <v>663</v>
      </c>
      <c r="E2393" s="111">
        <v>15590</v>
      </c>
      <c r="F2393" s="421" t="s">
        <v>3941</v>
      </c>
      <c r="G2393" s="112">
        <v>1</v>
      </c>
      <c r="H2393" s="112">
        <v>1</v>
      </c>
      <c r="I2393" s="112">
        <v>1</v>
      </c>
      <c r="J2393" s="112">
        <v>4</v>
      </c>
      <c r="K2393" s="112">
        <v>4</v>
      </c>
      <c r="L2393" s="112">
        <v>3</v>
      </c>
      <c r="M2393" s="112">
        <v>2</v>
      </c>
      <c r="N2393" s="112">
        <v>1</v>
      </c>
      <c r="O2393" s="112">
        <v>3</v>
      </c>
    </row>
    <row r="2394" spans="1:15" x14ac:dyDescent="0.2">
      <c r="A2394" s="111">
        <v>2495</v>
      </c>
      <c r="B2394" s="421" t="s">
        <v>1092</v>
      </c>
      <c r="C2394" s="421" t="s">
        <v>512</v>
      </c>
      <c r="D2394" s="422" t="s">
        <v>663</v>
      </c>
      <c r="E2394" s="111">
        <v>15379</v>
      </c>
      <c r="F2394" s="421" t="s">
        <v>3942</v>
      </c>
      <c r="G2394" s="112">
        <v>1</v>
      </c>
      <c r="H2394" s="112">
        <v>1</v>
      </c>
      <c r="I2394" s="112">
        <v>1</v>
      </c>
      <c r="J2394" s="112">
        <v>1</v>
      </c>
    </row>
    <row r="2395" spans="1:15" x14ac:dyDescent="0.2">
      <c r="A2395" s="111">
        <v>2496</v>
      </c>
      <c r="B2395" s="421" t="s">
        <v>3943</v>
      </c>
      <c r="C2395" s="421" t="s">
        <v>516</v>
      </c>
      <c r="D2395" s="422" t="s">
        <v>663</v>
      </c>
      <c r="E2395" s="111">
        <v>15272</v>
      </c>
      <c r="F2395" s="421" t="s">
        <v>3560</v>
      </c>
    </row>
    <row r="2396" spans="1:15" x14ac:dyDescent="0.2">
      <c r="A2396" s="111">
        <v>2497</v>
      </c>
      <c r="B2396" s="421" t="s">
        <v>2005</v>
      </c>
      <c r="C2396" s="421" t="s">
        <v>501</v>
      </c>
      <c r="D2396" s="422" t="s">
        <v>663</v>
      </c>
      <c r="E2396" s="111">
        <v>14979</v>
      </c>
      <c r="F2396" s="421" t="s">
        <v>2701</v>
      </c>
      <c r="G2396" s="112">
        <v>1</v>
      </c>
      <c r="H2396" s="112">
        <v>1</v>
      </c>
      <c r="I2396" s="112">
        <v>1</v>
      </c>
      <c r="K2396" s="112">
        <v>1</v>
      </c>
    </row>
    <row r="2397" spans="1:15" x14ac:dyDescent="0.2">
      <c r="A2397" s="111">
        <v>2498</v>
      </c>
      <c r="B2397" s="421" t="s">
        <v>1092</v>
      </c>
      <c r="C2397" s="421" t="s">
        <v>1378</v>
      </c>
      <c r="D2397" s="422" t="s">
        <v>663</v>
      </c>
      <c r="E2397" s="111">
        <v>15381</v>
      </c>
      <c r="F2397" s="421" t="s">
        <v>3944</v>
      </c>
      <c r="G2397" s="112">
        <v>2</v>
      </c>
      <c r="H2397" s="112">
        <v>1</v>
      </c>
      <c r="I2397" s="112">
        <v>1</v>
      </c>
      <c r="J2397" s="112">
        <v>7</v>
      </c>
      <c r="K2397" s="112">
        <v>6</v>
      </c>
      <c r="L2397" s="112">
        <v>5</v>
      </c>
      <c r="M2397" s="112">
        <v>6</v>
      </c>
      <c r="N2397" s="112">
        <v>2</v>
      </c>
      <c r="O2397" s="112">
        <v>2</v>
      </c>
    </row>
    <row r="2398" spans="1:15" x14ac:dyDescent="0.2">
      <c r="A2398" s="111">
        <v>2499</v>
      </c>
      <c r="B2398" s="421" t="s">
        <v>1395</v>
      </c>
      <c r="C2398" s="421" t="s">
        <v>503</v>
      </c>
      <c r="D2398" s="422" t="s">
        <v>663</v>
      </c>
      <c r="E2398" s="111">
        <v>14698</v>
      </c>
      <c r="F2398" s="421" t="s">
        <v>2134</v>
      </c>
      <c r="G2398" s="112">
        <v>1</v>
      </c>
      <c r="H2398" s="112">
        <v>1</v>
      </c>
      <c r="I2398" s="112">
        <v>1</v>
      </c>
    </row>
    <row r="2399" spans="1:15" x14ac:dyDescent="0.2">
      <c r="A2399" s="111">
        <v>2500</v>
      </c>
      <c r="B2399" s="421" t="s">
        <v>3945</v>
      </c>
      <c r="C2399" s="421" t="s">
        <v>516</v>
      </c>
      <c r="D2399" s="422" t="s">
        <v>666</v>
      </c>
      <c r="E2399" s="111">
        <v>15382</v>
      </c>
      <c r="F2399" s="421" t="s">
        <v>3946</v>
      </c>
      <c r="G2399" s="112">
        <v>1</v>
      </c>
      <c r="H2399" s="112">
        <v>1</v>
      </c>
      <c r="I2399" s="112">
        <v>1</v>
      </c>
      <c r="J2399" s="112">
        <v>1</v>
      </c>
      <c r="L2399" s="112">
        <v>1</v>
      </c>
    </row>
    <row r="2400" spans="1:15" x14ac:dyDescent="0.2">
      <c r="A2400" s="111">
        <v>2501</v>
      </c>
      <c r="B2400" s="421" t="s">
        <v>3947</v>
      </c>
      <c r="C2400" s="421" t="s">
        <v>505</v>
      </c>
      <c r="D2400" s="422" t="s">
        <v>663</v>
      </c>
      <c r="E2400" s="111">
        <v>1456</v>
      </c>
      <c r="F2400" s="421" t="s">
        <v>779</v>
      </c>
    </row>
    <row r="2401" spans="1:15" x14ac:dyDescent="0.2">
      <c r="A2401" s="111">
        <v>2502</v>
      </c>
      <c r="B2401" s="421" t="s">
        <v>3948</v>
      </c>
      <c r="C2401" s="421" t="s">
        <v>523</v>
      </c>
      <c r="D2401" s="422" t="s">
        <v>663</v>
      </c>
      <c r="F2401" s="421" t="s">
        <v>3949</v>
      </c>
      <c r="G2401" s="112">
        <v>1</v>
      </c>
      <c r="H2401" s="112">
        <v>1</v>
      </c>
    </row>
    <row r="2402" spans="1:15" x14ac:dyDescent="0.2">
      <c r="A2402" s="111">
        <v>2503</v>
      </c>
      <c r="B2402" s="421" t="s">
        <v>3950</v>
      </c>
      <c r="C2402" s="421" t="s">
        <v>523</v>
      </c>
      <c r="D2402" s="422" t="s">
        <v>666</v>
      </c>
      <c r="F2402" s="421" t="s">
        <v>3949</v>
      </c>
    </row>
    <row r="2403" spans="1:15" x14ac:dyDescent="0.2">
      <c r="A2403" s="111">
        <v>2504</v>
      </c>
      <c r="B2403" s="421" t="s">
        <v>229</v>
      </c>
      <c r="C2403" s="421" t="s">
        <v>516</v>
      </c>
      <c r="D2403" s="422" t="s">
        <v>663</v>
      </c>
      <c r="E2403" s="111">
        <v>15405</v>
      </c>
      <c r="F2403" s="421" t="s">
        <v>3951</v>
      </c>
      <c r="G2403" s="112">
        <v>1</v>
      </c>
      <c r="H2403" s="112">
        <v>1</v>
      </c>
      <c r="I2403" s="112">
        <v>1</v>
      </c>
      <c r="L2403" s="112">
        <v>1</v>
      </c>
    </row>
    <row r="2404" spans="1:15" x14ac:dyDescent="0.2">
      <c r="A2404" s="111">
        <v>2505</v>
      </c>
      <c r="B2404" s="421" t="s">
        <v>3952</v>
      </c>
      <c r="C2404" s="421" t="s">
        <v>510</v>
      </c>
      <c r="D2404" s="422" t="s">
        <v>666</v>
      </c>
      <c r="E2404" s="111">
        <v>15383</v>
      </c>
      <c r="F2404" s="421" t="s">
        <v>3953</v>
      </c>
    </row>
    <row r="2405" spans="1:15" x14ac:dyDescent="0.2">
      <c r="A2405" s="111">
        <v>2506</v>
      </c>
      <c r="B2405" s="421" t="s">
        <v>2092</v>
      </c>
      <c r="C2405" s="421" t="s">
        <v>502</v>
      </c>
      <c r="D2405" s="422" t="s">
        <v>663</v>
      </c>
      <c r="E2405" s="111">
        <v>14976</v>
      </c>
      <c r="F2405" s="421" t="s">
        <v>1572</v>
      </c>
      <c r="I2405" s="112">
        <v>1</v>
      </c>
    </row>
    <row r="2406" spans="1:15" x14ac:dyDescent="0.2">
      <c r="A2406" s="111">
        <v>2507</v>
      </c>
      <c r="B2406" s="421" t="s">
        <v>3954</v>
      </c>
      <c r="C2406" s="421" t="s">
        <v>551</v>
      </c>
      <c r="D2406" s="422" t="s">
        <v>663</v>
      </c>
      <c r="F2406" s="421" t="s">
        <v>3955</v>
      </c>
      <c r="G2406" s="112">
        <v>1</v>
      </c>
      <c r="H2406" s="112">
        <v>2</v>
      </c>
    </row>
    <row r="2407" spans="1:15" x14ac:dyDescent="0.2">
      <c r="A2407" s="111">
        <v>2508</v>
      </c>
      <c r="B2407" s="421" t="s">
        <v>3956</v>
      </c>
      <c r="C2407" s="421" t="s">
        <v>506</v>
      </c>
      <c r="D2407" s="422" t="s">
        <v>663</v>
      </c>
      <c r="E2407" s="111">
        <v>15384</v>
      </c>
      <c r="F2407" s="421" t="s">
        <v>3957</v>
      </c>
    </row>
    <row r="2408" spans="1:15" x14ac:dyDescent="0.2">
      <c r="A2408" s="111">
        <v>2509</v>
      </c>
      <c r="B2408" s="421" t="s">
        <v>3958</v>
      </c>
      <c r="C2408" s="421" t="s">
        <v>522</v>
      </c>
      <c r="D2408" s="422" t="s">
        <v>663</v>
      </c>
      <c r="E2408" s="111">
        <v>15385</v>
      </c>
      <c r="F2408" s="421" t="s">
        <v>3959</v>
      </c>
      <c r="G2408" s="112">
        <v>1</v>
      </c>
      <c r="H2408" s="112">
        <v>1</v>
      </c>
      <c r="I2408" s="112">
        <v>1</v>
      </c>
      <c r="J2408" s="112">
        <v>3</v>
      </c>
      <c r="K2408" s="112">
        <v>2</v>
      </c>
      <c r="L2408" s="112">
        <v>2</v>
      </c>
    </row>
    <row r="2409" spans="1:15" x14ac:dyDescent="0.2">
      <c r="A2409" s="111">
        <v>2510</v>
      </c>
      <c r="B2409" s="421" t="s">
        <v>257</v>
      </c>
      <c r="C2409" s="421" t="s">
        <v>555</v>
      </c>
      <c r="D2409" s="422" t="s">
        <v>663</v>
      </c>
      <c r="E2409" s="111">
        <v>15386</v>
      </c>
      <c r="F2409" s="421" t="s">
        <v>3960</v>
      </c>
      <c r="G2409" s="112">
        <v>1</v>
      </c>
      <c r="H2409" s="112">
        <v>1</v>
      </c>
      <c r="I2409" s="112">
        <v>1</v>
      </c>
      <c r="J2409" s="112">
        <v>2</v>
      </c>
      <c r="K2409" s="112">
        <v>1</v>
      </c>
      <c r="L2409" s="112">
        <v>1</v>
      </c>
    </row>
    <row r="2410" spans="1:15" x14ac:dyDescent="0.2">
      <c r="A2410" s="111">
        <v>2511</v>
      </c>
      <c r="B2410" s="421" t="s">
        <v>3961</v>
      </c>
      <c r="C2410" s="421" t="s">
        <v>537</v>
      </c>
      <c r="D2410" s="422" t="s">
        <v>663</v>
      </c>
      <c r="E2410" s="111">
        <v>15389</v>
      </c>
      <c r="F2410" s="421" t="s">
        <v>3962</v>
      </c>
    </row>
    <row r="2411" spans="1:15" x14ac:dyDescent="0.2">
      <c r="A2411" s="111">
        <v>2512</v>
      </c>
      <c r="B2411" s="421" t="s">
        <v>3963</v>
      </c>
      <c r="C2411" s="421" t="s">
        <v>17459</v>
      </c>
      <c r="D2411" s="422" t="s">
        <v>663</v>
      </c>
      <c r="E2411" s="111">
        <v>15390</v>
      </c>
      <c r="F2411" s="421" t="s">
        <v>3964</v>
      </c>
      <c r="G2411" s="112">
        <v>1</v>
      </c>
      <c r="H2411" s="112">
        <v>1</v>
      </c>
      <c r="I2411" s="112">
        <v>1</v>
      </c>
      <c r="J2411" s="112">
        <v>1</v>
      </c>
      <c r="K2411" s="112">
        <v>1</v>
      </c>
    </row>
    <row r="2412" spans="1:15" x14ac:dyDescent="0.2">
      <c r="A2412" s="111">
        <v>2513</v>
      </c>
      <c r="B2412" s="421" t="s">
        <v>647</v>
      </c>
      <c r="C2412" s="421" t="s">
        <v>543</v>
      </c>
      <c r="D2412" s="422" t="s">
        <v>663</v>
      </c>
      <c r="F2412" s="421" t="s">
        <v>3965</v>
      </c>
      <c r="H2412" s="112">
        <v>1</v>
      </c>
    </row>
    <row r="2413" spans="1:15" x14ac:dyDescent="0.2">
      <c r="A2413" s="111">
        <v>2514</v>
      </c>
      <c r="B2413" s="421" t="s">
        <v>3966</v>
      </c>
      <c r="C2413" s="421" t="s">
        <v>542</v>
      </c>
      <c r="D2413" s="422" t="s">
        <v>663</v>
      </c>
      <c r="E2413" s="111">
        <v>15392</v>
      </c>
      <c r="F2413" s="421" t="s">
        <v>3967</v>
      </c>
      <c r="G2413" s="112">
        <v>1</v>
      </c>
      <c r="H2413" s="112">
        <v>1</v>
      </c>
      <c r="I2413" s="112">
        <v>1</v>
      </c>
      <c r="J2413" s="112">
        <v>1</v>
      </c>
      <c r="K2413" s="112">
        <v>1</v>
      </c>
      <c r="L2413" s="112">
        <v>1</v>
      </c>
    </row>
    <row r="2414" spans="1:15" x14ac:dyDescent="0.2">
      <c r="A2414" s="111">
        <v>2515</v>
      </c>
      <c r="B2414" s="421" t="s">
        <v>3968</v>
      </c>
      <c r="C2414" s="421" t="s">
        <v>501</v>
      </c>
      <c r="D2414" s="422" t="s">
        <v>666</v>
      </c>
      <c r="E2414" s="111">
        <v>15410</v>
      </c>
      <c r="F2414" s="421" t="s">
        <v>3969</v>
      </c>
    </row>
    <row r="2415" spans="1:15" x14ac:dyDescent="0.2">
      <c r="A2415" s="111">
        <v>2516</v>
      </c>
      <c r="B2415" s="421" t="s">
        <v>3970</v>
      </c>
      <c r="C2415" s="421" t="s">
        <v>506</v>
      </c>
      <c r="D2415" s="422" t="s">
        <v>666</v>
      </c>
      <c r="E2415" s="111">
        <v>15393</v>
      </c>
      <c r="F2415" s="421" t="s">
        <v>3971</v>
      </c>
      <c r="G2415" s="112">
        <v>1</v>
      </c>
      <c r="H2415" s="112">
        <v>1</v>
      </c>
    </row>
    <row r="2416" spans="1:15" x14ac:dyDescent="0.2">
      <c r="A2416" s="111">
        <v>2517</v>
      </c>
      <c r="B2416" s="421" t="s">
        <v>3972</v>
      </c>
      <c r="C2416" s="421" t="s">
        <v>502</v>
      </c>
      <c r="D2416" s="422" t="s">
        <v>663</v>
      </c>
      <c r="E2416" s="111">
        <v>14189</v>
      </c>
      <c r="F2416" s="421" t="s">
        <v>672</v>
      </c>
      <c r="G2416" s="112">
        <v>1</v>
      </c>
      <c r="H2416" s="112">
        <v>1</v>
      </c>
      <c r="I2416" s="112">
        <v>1</v>
      </c>
      <c r="J2416" s="112">
        <v>8</v>
      </c>
      <c r="K2416" s="112">
        <v>7</v>
      </c>
      <c r="L2416" s="112">
        <v>7</v>
      </c>
      <c r="M2416" s="112">
        <v>2</v>
      </c>
      <c r="N2416" s="112">
        <v>2</v>
      </c>
      <c r="O2416" s="112">
        <v>1</v>
      </c>
    </row>
    <row r="2417" spans="1:15" x14ac:dyDescent="0.2">
      <c r="A2417" s="111">
        <v>2518</v>
      </c>
      <c r="B2417" s="421" t="s">
        <v>48</v>
      </c>
      <c r="C2417" s="421" t="s">
        <v>516</v>
      </c>
      <c r="D2417" s="422" t="s">
        <v>663</v>
      </c>
      <c r="E2417" s="111">
        <v>15118</v>
      </c>
      <c r="F2417" s="421" t="s">
        <v>3178</v>
      </c>
      <c r="G2417" s="112">
        <v>1</v>
      </c>
      <c r="H2417" s="112">
        <v>1</v>
      </c>
      <c r="I2417" s="112">
        <v>1</v>
      </c>
      <c r="J2417" s="112">
        <v>3</v>
      </c>
      <c r="K2417" s="112">
        <v>2</v>
      </c>
      <c r="L2417" s="112">
        <v>2</v>
      </c>
      <c r="M2417" s="112">
        <v>1</v>
      </c>
    </row>
    <row r="2418" spans="1:15" x14ac:dyDescent="0.2">
      <c r="A2418" s="111">
        <v>2519</v>
      </c>
      <c r="B2418" s="421" t="s">
        <v>3973</v>
      </c>
      <c r="C2418" s="421" t="s">
        <v>506</v>
      </c>
      <c r="D2418" s="422" t="s">
        <v>663</v>
      </c>
      <c r="E2418" s="111">
        <v>15395</v>
      </c>
      <c r="F2418" s="421" t="s">
        <v>3974</v>
      </c>
      <c r="G2418" s="112">
        <v>1</v>
      </c>
      <c r="H2418" s="112">
        <v>1</v>
      </c>
      <c r="I2418" s="112">
        <v>1</v>
      </c>
    </row>
    <row r="2419" spans="1:15" x14ac:dyDescent="0.2">
      <c r="A2419" s="111">
        <v>2520</v>
      </c>
      <c r="B2419" s="421" t="s">
        <v>3975</v>
      </c>
      <c r="C2419" s="421" t="s">
        <v>510</v>
      </c>
      <c r="D2419" s="422" t="s">
        <v>666</v>
      </c>
      <c r="E2419" s="111">
        <v>15380</v>
      </c>
      <c r="F2419" s="421" t="s">
        <v>3976</v>
      </c>
      <c r="G2419" s="112">
        <v>1</v>
      </c>
      <c r="H2419" s="112">
        <v>1</v>
      </c>
      <c r="I2419" s="112">
        <v>1</v>
      </c>
      <c r="J2419" s="112">
        <v>7</v>
      </c>
      <c r="K2419" s="112">
        <v>7</v>
      </c>
      <c r="L2419" s="112">
        <v>7</v>
      </c>
      <c r="M2419" s="112">
        <v>6</v>
      </c>
      <c r="N2419" s="112">
        <v>4</v>
      </c>
      <c r="O2419" s="112">
        <v>3</v>
      </c>
    </row>
    <row r="2420" spans="1:15" x14ac:dyDescent="0.2">
      <c r="A2420" s="111">
        <v>2521</v>
      </c>
      <c r="B2420" s="421" t="s">
        <v>3977</v>
      </c>
      <c r="C2420" s="421" t="s">
        <v>532</v>
      </c>
      <c r="D2420" s="422" t="s">
        <v>663</v>
      </c>
      <c r="F2420" s="421" t="s">
        <v>3978</v>
      </c>
      <c r="G2420" s="112">
        <v>1</v>
      </c>
      <c r="H2420" s="112">
        <v>1</v>
      </c>
      <c r="I2420" s="112">
        <v>1</v>
      </c>
    </row>
    <row r="2421" spans="1:15" x14ac:dyDescent="0.2">
      <c r="A2421" s="111">
        <v>2522</v>
      </c>
      <c r="B2421" s="421" t="s">
        <v>106</v>
      </c>
      <c r="C2421" s="421" t="s">
        <v>532</v>
      </c>
      <c r="D2421" s="422" t="s">
        <v>666</v>
      </c>
      <c r="F2421" s="421" t="s">
        <v>3978</v>
      </c>
    </row>
    <row r="2422" spans="1:15" x14ac:dyDescent="0.2">
      <c r="A2422" s="111">
        <v>2523</v>
      </c>
      <c r="B2422" s="421" t="s">
        <v>3979</v>
      </c>
      <c r="C2422" s="421" t="s">
        <v>522</v>
      </c>
      <c r="D2422" s="422" t="s">
        <v>663</v>
      </c>
      <c r="E2422" s="111">
        <v>15400</v>
      </c>
      <c r="F2422" s="421" t="s">
        <v>3980</v>
      </c>
      <c r="G2422" s="112">
        <v>1</v>
      </c>
      <c r="H2422" s="112">
        <v>1</v>
      </c>
      <c r="I2422" s="112">
        <v>1</v>
      </c>
      <c r="J2422" s="112">
        <v>1</v>
      </c>
      <c r="K2422" s="112">
        <v>1</v>
      </c>
      <c r="L2422" s="112">
        <v>1</v>
      </c>
      <c r="M2422" s="112">
        <v>1</v>
      </c>
    </row>
    <row r="2423" spans="1:15" x14ac:dyDescent="0.2">
      <c r="A2423" s="111">
        <v>2524</v>
      </c>
      <c r="B2423" s="421" t="s">
        <v>2961</v>
      </c>
      <c r="C2423" s="421" t="s">
        <v>506</v>
      </c>
      <c r="D2423" s="422" t="s">
        <v>666</v>
      </c>
      <c r="E2423" s="111">
        <v>15397</v>
      </c>
      <c r="F2423" s="421" t="s">
        <v>3981</v>
      </c>
      <c r="G2423" s="112">
        <v>4</v>
      </c>
      <c r="H2423" s="112">
        <v>4</v>
      </c>
      <c r="I2423" s="112">
        <v>1</v>
      </c>
    </row>
    <row r="2424" spans="1:15" x14ac:dyDescent="0.2">
      <c r="A2424" s="111">
        <v>2525</v>
      </c>
      <c r="B2424" s="421" t="s">
        <v>3982</v>
      </c>
      <c r="C2424" s="421" t="s">
        <v>581</v>
      </c>
      <c r="D2424" s="422" t="s">
        <v>666</v>
      </c>
      <c r="E2424" s="111">
        <v>14879</v>
      </c>
      <c r="F2424" s="421" t="s">
        <v>2591</v>
      </c>
      <c r="G2424" s="112">
        <v>1</v>
      </c>
      <c r="H2424" s="112">
        <v>1</v>
      </c>
      <c r="I2424" s="112">
        <v>1</v>
      </c>
      <c r="J2424" s="112">
        <v>3</v>
      </c>
      <c r="K2424" s="112">
        <v>3</v>
      </c>
      <c r="L2424" s="112">
        <v>3</v>
      </c>
      <c r="M2424" s="112">
        <v>2</v>
      </c>
      <c r="N2424" s="112">
        <v>2</v>
      </c>
      <c r="O2424" s="112">
        <v>2</v>
      </c>
    </row>
    <row r="2425" spans="1:15" x14ac:dyDescent="0.2">
      <c r="A2425" s="111">
        <v>2526</v>
      </c>
      <c r="B2425" s="421" t="s">
        <v>368</v>
      </c>
      <c r="C2425" s="421" t="s">
        <v>551</v>
      </c>
      <c r="D2425" s="422" t="s">
        <v>663</v>
      </c>
      <c r="E2425" s="111">
        <v>15851</v>
      </c>
      <c r="F2425" s="421" t="s">
        <v>3243</v>
      </c>
      <c r="G2425" s="112">
        <v>1</v>
      </c>
      <c r="H2425" s="112">
        <v>1</v>
      </c>
      <c r="I2425" s="112">
        <v>1</v>
      </c>
    </row>
    <row r="2426" spans="1:15" x14ac:dyDescent="0.2">
      <c r="A2426" s="111">
        <v>2527</v>
      </c>
      <c r="B2426" s="421" t="s">
        <v>436</v>
      </c>
      <c r="C2426" s="421" t="s">
        <v>501</v>
      </c>
      <c r="D2426" s="422" t="s">
        <v>666</v>
      </c>
      <c r="E2426" s="111">
        <v>15437</v>
      </c>
      <c r="F2426" s="421" t="s">
        <v>3983</v>
      </c>
      <c r="G2426" s="112">
        <v>1</v>
      </c>
      <c r="H2426" s="112">
        <v>1</v>
      </c>
      <c r="I2426" s="112">
        <v>1</v>
      </c>
      <c r="K2426" s="112">
        <v>1</v>
      </c>
    </row>
    <row r="2427" spans="1:15" x14ac:dyDescent="0.2">
      <c r="A2427" s="111">
        <v>2528</v>
      </c>
      <c r="B2427" s="421" t="s">
        <v>46</v>
      </c>
      <c r="C2427" s="421" t="s">
        <v>502</v>
      </c>
      <c r="D2427" s="422" t="s">
        <v>663</v>
      </c>
      <c r="F2427" s="421" t="s">
        <v>3984</v>
      </c>
      <c r="G2427" s="112">
        <v>1</v>
      </c>
      <c r="H2427" s="112">
        <v>1</v>
      </c>
      <c r="I2427" s="112">
        <v>1</v>
      </c>
      <c r="K2427" s="112">
        <v>1</v>
      </c>
      <c r="L2427" s="112">
        <v>1</v>
      </c>
    </row>
    <row r="2428" spans="1:15" x14ac:dyDescent="0.2">
      <c r="A2428" s="111">
        <v>2529</v>
      </c>
      <c r="B2428" s="421" t="s">
        <v>3985</v>
      </c>
      <c r="C2428" s="421" t="s">
        <v>501</v>
      </c>
      <c r="D2428" s="422" t="s">
        <v>663</v>
      </c>
      <c r="E2428" s="111">
        <v>44365</v>
      </c>
      <c r="F2428" s="421" t="s">
        <v>3986</v>
      </c>
      <c r="G2428" s="112">
        <v>2</v>
      </c>
      <c r="H2428" s="112">
        <v>1</v>
      </c>
      <c r="I2428" s="112">
        <v>1</v>
      </c>
      <c r="J2428" s="112">
        <v>2</v>
      </c>
      <c r="L2428" s="112">
        <v>1</v>
      </c>
    </row>
    <row r="2429" spans="1:15" x14ac:dyDescent="0.2">
      <c r="A2429" s="111">
        <v>2530</v>
      </c>
      <c r="B2429" s="421" t="s">
        <v>468</v>
      </c>
      <c r="C2429" s="421" t="s">
        <v>513</v>
      </c>
      <c r="D2429" s="422" t="s">
        <v>666</v>
      </c>
      <c r="E2429" s="111">
        <v>15399</v>
      </c>
      <c r="F2429" s="421" t="s">
        <v>3987</v>
      </c>
    </row>
    <row r="2430" spans="1:15" x14ac:dyDescent="0.2">
      <c r="A2430" s="111">
        <v>2531</v>
      </c>
      <c r="B2430" s="421" t="s">
        <v>472</v>
      </c>
      <c r="C2430" s="421" t="s">
        <v>2351</v>
      </c>
      <c r="D2430" s="422" t="s">
        <v>666</v>
      </c>
      <c r="E2430" s="111">
        <v>17083</v>
      </c>
      <c r="F2430" s="421" t="s">
        <v>3988</v>
      </c>
      <c r="G2430" s="112">
        <v>1</v>
      </c>
      <c r="H2430" s="112">
        <v>1</v>
      </c>
    </row>
    <row r="2431" spans="1:15" x14ac:dyDescent="0.2">
      <c r="A2431" s="111">
        <v>2532</v>
      </c>
      <c r="B2431" s="421" t="s">
        <v>4021</v>
      </c>
      <c r="C2431" s="421" t="s">
        <v>551</v>
      </c>
      <c r="D2431" s="422" t="s">
        <v>663</v>
      </c>
      <c r="E2431" s="111">
        <v>15360</v>
      </c>
      <c r="F2431" s="421" t="s">
        <v>3899</v>
      </c>
      <c r="G2431" s="112">
        <v>2</v>
      </c>
      <c r="H2431" s="112">
        <v>1</v>
      </c>
      <c r="I2431" s="112">
        <v>1</v>
      </c>
    </row>
    <row r="2432" spans="1:15" x14ac:dyDescent="0.2">
      <c r="A2432" s="111">
        <v>2533</v>
      </c>
      <c r="B2432" s="421" t="s">
        <v>131</v>
      </c>
      <c r="C2432" s="421" t="s">
        <v>521</v>
      </c>
      <c r="D2432" s="422" t="s">
        <v>663</v>
      </c>
      <c r="E2432" s="111">
        <v>15401</v>
      </c>
      <c r="F2432" s="421" t="s">
        <v>7004</v>
      </c>
    </row>
    <row r="2433" spans="1:15" x14ac:dyDescent="0.2">
      <c r="A2433" s="111">
        <v>2534</v>
      </c>
      <c r="B2433" s="421" t="s">
        <v>290</v>
      </c>
      <c r="C2433" s="421" t="s">
        <v>510</v>
      </c>
      <c r="D2433" s="422" t="s">
        <v>663</v>
      </c>
      <c r="E2433" s="111">
        <v>15402</v>
      </c>
      <c r="F2433" s="421" t="s">
        <v>4022</v>
      </c>
      <c r="G2433" s="112">
        <v>1</v>
      </c>
      <c r="H2433" s="112">
        <v>1</v>
      </c>
      <c r="I2433" s="112">
        <v>1</v>
      </c>
    </row>
    <row r="2434" spans="1:15" x14ac:dyDescent="0.2">
      <c r="A2434" s="111">
        <v>2535</v>
      </c>
      <c r="B2434" s="421" t="s">
        <v>3513</v>
      </c>
      <c r="C2434" s="421" t="s">
        <v>510</v>
      </c>
      <c r="D2434" s="422" t="s">
        <v>666</v>
      </c>
      <c r="E2434" s="111">
        <v>15402</v>
      </c>
      <c r="F2434" s="421" t="s">
        <v>4022</v>
      </c>
      <c r="G2434" s="112">
        <v>1</v>
      </c>
      <c r="H2434" s="112">
        <v>1</v>
      </c>
      <c r="I2434" s="112">
        <v>1</v>
      </c>
      <c r="J2434" s="112">
        <v>1</v>
      </c>
      <c r="K2434" s="112">
        <v>1</v>
      </c>
      <c r="L2434" s="112">
        <v>2</v>
      </c>
      <c r="M2434" s="112">
        <v>3</v>
      </c>
      <c r="N2434" s="112">
        <v>1</v>
      </c>
      <c r="O2434" s="112">
        <v>1</v>
      </c>
    </row>
    <row r="2435" spans="1:15" x14ac:dyDescent="0.2">
      <c r="A2435" s="111">
        <v>2536</v>
      </c>
      <c r="B2435" s="421" t="s">
        <v>4023</v>
      </c>
      <c r="C2435" s="421" t="s">
        <v>532</v>
      </c>
      <c r="D2435" s="422" t="s">
        <v>663</v>
      </c>
      <c r="E2435" s="111">
        <v>15404</v>
      </c>
      <c r="F2435" s="421" t="s">
        <v>4024</v>
      </c>
      <c r="G2435" s="112">
        <v>1</v>
      </c>
      <c r="H2435" s="112">
        <v>1</v>
      </c>
      <c r="I2435" s="112">
        <v>1</v>
      </c>
      <c r="J2435" s="112">
        <v>9</v>
      </c>
      <c r="K2435" s="112">
        <v>7</v>
      </c>
      <c r="L2435" s="112">
        <v>7</v>
      </c>
      <c r="M2435" s="112">
        <v>9</v>
      </c>
      <c r="N2435" s="112">
        <v>3</v>
      </c>
      <c r="O2435" s="112">
        <v>3</v>
      </c>
    </row>
    <row r="2436" spans="1:15" x14ac:dyDescent="0.2">
      <c r="A2436" s="111">
        <v>2537</v>
      </c>
      <c r="B2436" s="421" t="s">
        <v>4025</v>
      </c>
      <c r="C2436" s="421" t="s">
        <v>532</v>
      </c>
      <c r="D2436" s="422" t="s">
        <v>666</v>
      </c>
      <c r="F2436" s="421" t="s">
        <v>6602</v>
      </c>
      <c r="G2436" s="112">
        <v>1</v>
      </c>
      <c r="H2436" s="112">
        <v>1</v>
      </c>
      <c r="I2436" s="112">
        <v>1</v>
      </c>
      <c r="J2436" s="112">
        <v>8</v>
      </c>
      <c r="K2436" s="112">
        <v>9</v>
      </c>
      <c r="L2436" s="112">
        <v>8</v>
      </c>
      <c r="M2436" s="112">
        <v>12</v>
      </c>
      <c r="N2436" s="112">
        <v>4</v>
      </c>
      <c r="O2436" s="112">
        <v>12</v>
      </c>
    </row>
    <row r="2437" spans="1:15" x14ac:dyDescent="0.2">
      <c r="A2437" s="111">
        <v>2538</v>
      </c>
      <c r="B2437" s="421" t="s">
        <v>104</v>
      </c>
      <c r="C2437" s="421" t="s">
        <v>503</v>
      </c>
      <c r="D2437" s="422" t="s">
        <v>666</v>
      </c>
      <c r="E2437" s="111">
        <v>15349</v>
      </c>
      <c r="F2437" s="421" t="s">
        <v>4026</v>
      </c>
      <c r="G2437" s="112">
        <v>1</v>
      </c>
      <c r="H2437" s="112">
        <v>1</v>
      </c>
      <c r="I2437" s="112">
        <v>1</v>
      </c>
    </row>
    <row r="2438" spans="1:15" x14ac:dyDescent="0.2">
      <c r="A2438" s="111">
        <v>2539</v>
      </c>
      <c r="B2438" s="421" t="s">
        <v>4027</v>
      </c>
      <c r="C2438" s="421" t="s">
        <v>503</v>
      </c>
      <c r="D2438" s="422" t="s">
        <v>663</v>
      </c>
      <c r="E2438" s="111">
        <v>15174</v>
      </c>
      <c r="F2438" s="421" t="s">
        <v>3345</v>
      </c>
      <c r="G2438" s="112">
        <v>2</v>
      </c>
      <c r="H2438" s="112">
        <v>2</v>
      </c>
      <c r="I2438" s="112">
        <v>2</v>
      </c>
      <c r="J2438" s="112">
        <v>9</v>
      </c>
      <c r="K2438" s="112">
        <v>7</v>
      </c>
      <c r="L2438" s="112">
        <v>8</v>
      </c>
      <c r="M2438" s="112">
        <v>13</v>
      </c>
      <c r="N2438" s="112">
        <v>3</v>
      </c>
      <c r="O2438" s="112">
        <v>4</v>
      </c>
    </row>
    <row r="2439" spans="1:15" x14ac:dyDescent="0.2">
      <c r="A2439" s="111">
        <v>2540</v>
      </c>
      <c r="B2439" s="421" t="s">
        <v>4028</v>
      </c>
      <c r="C2439" s="421" t="s">
        <v>514</v>
      </c>
      <c r="D2439" s="422" t="s">
        <v>663</v>
      </c>
      <c r="E2439" s="111">
        <v>14648</v>
      </c>
      <c r="F2439" s="421" t="s">
        <v>1943</v>
      </c>
      <c r="G2439" s="112">
        <v>1</v>
      </c>
      <c r="H2439" s="112">
        <v>1</v>
      </c>
      <c r="I2439" s="112">
        <v>1</v>
      </c>
      <c r="J2439" s="112">
        <v>9</v>
      </c>
      <c r="K2439" s="112">
        <v>9</v>
      </c>
      <c r="L2439" s="112">
        <v>9</v>
      </c>
      <c r="M2439" s="112">
        <v>14</v>
      </c>
      <c r="N2439" s="112">
        <v>10</v>
      </c>
      <c r="O2439" s="112">
        <v>10</v>
      </c>
    </row>
    <row r="2440" spans="1:15" x14ac:dyDescent="0.2">
      <c r="A2440" s="111">
        <v>2541</v>
      </c>
      <c r="B2440" s="421" t="s">
        <v>4029</v>
      </c>
      <c r="C2440" s="421" t="s">
        <v>519</v>
      </c>
      <c r="D2440" s="422" t="s">
        <v>663</v>
      </c>
      <c r="E2440" s="111">
        <v>1470</v>
      </c>
      <c r="F2440" s="421" t="s">
        <v>694</v>
      </c>
      <c r="G2440" s="112">
        <v>1</v>
      </c>
      <c r="H2440" s="112">
        <v>1</v>
      </c>
      <c r="I2440" s="112">
        <v>1</v>
      </c>
      <c r="J2440" s="112">
        <v>5</v>
      </c>
      <c r="K2440" s="112">
        <v>3</v>
      </c>
      <c r="L2440" s="112">
        <v>2</v>
      </c>
    </row>
    <row r="2441" spans="1:15" x14ac:dyDescent="0.2">
      <c r="A2441" s="111">
        <v>2542</v>
      </c>
      <c r="B2441" s="421" t="s">
        <v>4030</v>
      </c>
      <c r="C2441" s="421" t="s">
        <v>519</v>
      </c>
      <c r="D2441" s="422" t="s">
        <v>666</v>
      </c>
      <c r="E2441" s="111">
        <v>1470</v>
      </c>
      <c r="F2441" s="421" t="s">
        <v>694</v>
      </c>
      <c r="G2441" s="112">
        <v>2</v>
      </c>
      <c r="H2441" s="112">
        <v>1</v>
      </c>
      <c r="I2441" s="112">
        <v>2</v>
      </c>
      <c r="J2441" s="112">
        <v>1</v>
      </c>
      <c r="K2441" s="112">
        <v>3</v>
      </c>
      <c r="L2441" s="112">
        <v>2</v>
      </c>
    </row>
    <row r="2442" spans="1:15" x14ac:dyDescent="0.2">
      <c r="A2442" s="111">
        <v>2543</v>
      </c>
      <c r="B2442" s="421" t="s">
        <v>1359</v>
      </c>
      <c r="C2442" s="421" t="s">
        <v>518</v>
      </c>
      <c r="D2442" s="422" t="s">
        <v>663</v>
      </c>
      <c r="E2442" s="111">
        <v>15387</v>
      </c>
      <c r="F2442" s="421" t="s">
        <v>4135</v>
      </c>
      <c r="G2442" s="112">
        <v>2</v>
      </c>
      <c r="H2442" s="112">
        <v>1</v>
      </c>
      <c r="I2442" s="112">
        <v>1</v>
      </c>
      <c r="J2442" s="112">
        <v>1</v>
      </c>
      <c r="K2442" s="112">
        <v>4</v>
      </c>
      <c r="L2442" s="112">
        <v>1</v>
      </c>
      <c r="M2442" s="112">
        <v>1</v>
      </c>
      <c r="N2442" s="112">
        <v>1</v>
      </c>
      <c r="O2442" s="112">
        <v>1</v>
      </c>
    </row>
    <row r="2443" spans="1:15" x14ac:dyDescent="0.2">
      <c r="A2443" s="111">
        <v>2544</v>
      </c>
      <c r="B2443" s="421" t="s">
        <v>4107</v>
      </c>
      <c r="C2443" s="421" t="s">
        <v>2599</v>
      </c>
      <c r="D2443" s="422" t="s">
        <v>666</v>
      </c>
      <c r="E2443" s="111">
        <v>15407</v>
      </c>
      <c r="F2443" s="421" t="s">
        <v>4137</v>
      </c>
      <c r="G2443" s="112">
        <v>1</v>
      </c>
      <c r="H2443" s="112">
        <v>1</v>
      </c>
      <c r="I2443" s="112">
        <v>1</v>
      </c>
      <c r="J2443" s="112">
        <v>1</v>
      </c>
      <c r="K2443" s="112">
        <v>1</v>
      </c>
    </row>
    <row r="2444" spans="1:15" x14ac:dyDescent="0.2">
      <c r="A2444" s="111">
        <v>2545</v>
      </c>
      <c r="B2444" s="421" t="s">
        <v>484</v>
      </c>
      <c r="C2444" s="421" t="s">
        <v>501</v>
      </c>
      <c r="D2444" s="422" t="s">
        <v>666</v>
      </c>
      <c r="E2444" s="111">
        <v>15408</v>
      </c>
      <c r="F2444" s="421" t="s">
        <v>4138</v>
      </c>
      <c r="G2444" s="112">
        <v>1</v>
      </c>
      <c r="H2444" s="112">
        <v>1</v>
      </c>
      <c r="I2444" s="112">
        <v>1</v>
      </c>
      <c r="J2444" s="112">
        <v>1</v>
      </c>
    </row>
    <row r="2445" spans="1:15" x14ac:dyDescent="0.2">
      <c r="A2445" s="111">
        <v>2546</v>
      </c>
      <c r="B2445" s="421" t="s">
        <v>467</v>
      </c>
      <c r="C2445" s="421" t="s">
        <v>550</v>
      </c>
      <c r="D2445" s="422" t="s">
        <v>666</v>
      </c>
      <c r="E2445" s="111">
        <v>15367</v>
      </c>
      <c r="F2445" s="421" t="s">
        <v>1986</v>
      </c>
    </row>
    <row r="2446" spans="1:15" x14ac:dyDescent="0.2">
      <c r="A2446" s="111">
        <v>2547</v>
      </c>
      <c r="B2446" s="421" t="s">
        <v>4099</v>
      </c>
      <c r="C2446" s="421" t="s">
        <v>516</v>
      </c>
      <c r="D2446" s="422" t="s">
        <v>666</v>
      </c>
      <c r="F2446" s="421" t="s">
        <v>4124</v>
      </c>
    </row>
    <row r="2447" spans="1:15" x14ac:dyDescent="0.2">
      <c r="A2447" s="111">
        <v>2548</v>
      </c>
      <c r="B2447" s="421" t="s">
        <v>2056</v>
      </c>
      <c r="C2447" s="421" t="s">
        <v>516</v>
      </c>
      <c r="D2447" s="422" t="s">
        <v>663</v>
      </c>
      <c r="F2447" s="421" t="s">
        <v>4124</v>
      </c>
    </row>
    <row r="2448" spans="1:15" x14ac:dyDescent="0.2">
      <c r="A2448" s="111">
        <v>2549</v>
      </c>
      <c r="B2448" s="421" t="s">
        <v>110</v>
      </c>
      <c r="C2448" s="421" t="s">
        <v>506</v>
      </c>
      <c r="D2448" s="422" t="s">
        <v>663</v>
      </c>
      <c r="E2448" s="111">
        <v>15409</v>
      </c>
      <c r="F2448" s="421" t="s">
        <v>4128</v>
      </c>
      <c r="G2448" s="112">
        <v>1</v>
      </c>
      <c r="H2448" s="112">
        <v>1</v>
      </c>
      <c r="I2448" s="112">
        <v>1</v>
      </c>
      <c r="J2448" s="112">
        <v>2</v>
      </c>
      <c r="K2448" s="112">
        <v>2</v>
      </c>
      <c r="L2448" s="112">
        <v>2</v>
      </c>
      <c r="M2448" s="112">
        <v>1</v>
      </c>
      <c r="N2448" s="112">
        <v>1</v>
      </c>
      <c r="O2448" s="112">
        <v>1</v>
      </c>
    </row>
    <row r="2449" spans="1:15" x14ac:dyDescent="0.2">
      <c r="A2449" s="111">
        <v>2550</v>
      </c>
      <c r="B2449" s="421" t="s">
        <v>4104</v>
      </c>
      <c r="C2449" s="421" t="s">
        <v>1201</v>
      </c>
      <c r="D2449" s="422" t="s">
        <v>663</v>
      </c>
      <c r="F2449" s="421" t="s">
        <v>3192</v>
      </c>
      <c r="G2449" s="112">
        <v>1</v>
      </c>
      <c r="H2449" s="112">
        <v>1</v>
      </c>
    </row>
    <row r="2450" spans="1:15" x14ac:dyDescent="0.2">
      <c r="A2450" s="111">
        <v>2551</v>
      </c>
      <c r="B2450" s="421" t="s">
        <v>1490</v>
      </c>
      <c r="C2450" s="421" t="s">
        <v>547</v>
      </c>
      <c r="D2450" s="422" t="s">
        <v>666</v>
      </c>
      <c r="E2450" s="111">
        <v>15376</v>
      </c>
      <c r="F2450" s="421" t="s">
        <v>4129</v>
      </c>
      <c r="G2450" s="112">
        <v>1</v>
      </c>
      <c r="H2450" s="112">
        <v>1</v>
      </c>
      <c r="I2450" s="112">
        <v>1</v>
      </c>
      <c r="J2450" s="112">
        <v>11</v>
      </c>
      <c r="K2450" s="112">
        <v>10</v>
      </c>
      <c r="L2450" s="112">
        <v>13</v>
      </c>
      <c r="M2450" s="112">
        <v>13</v>
      </c>
      <c r="N2450" s="112">
        <v>7</v>
      </c>
      <c r="O2450" s="112">
        <v>8</v>
      </c>
    </row>
    <row r="2451" spans="1:15" x14ac:dyDescent="0.2">
      <c r="A2451" s="111">
        <v>2552</v>
      </c>
      <c r="B2451" s="421" t="s">
        <v>4100</v>
      </c>
      <c r="C2451" s="421" t="s">
        <v>1908</v>
      </c>
      <c r="D2451" s="422" t="s">
        <v>663</v>
      </c>
      <c r="E2451" s="111">
        <v>14883</v>
      </c>
      <c r="F2451" s="421" t="s">
        <v>2601</v>
      </c>
    </row>
    <row r="2452" spans="1:15" x14ac:dyDescent="0.2">
      <c r="A2452" s="111">
        <v>2553</v>
      </c>
      <c r="B2452" s="421" t="s">
        <v>57</v>
      </c>
      <c r="C2452" s="421" t="s">
        <v>530</v>
      </c>
      <c r="D2452" s="422" t="s">
        <v>663</v>
      </c>
      <c r="E2452" s="111">
        <v>15438</v>
      </c>
      <c r="F2452" s="421" t="s">
        <v>4123</v>
      </c>
      <c r="G2452" s="112">
        <v>1</v>
      </c>
      <c r="H2452" s="112">
        <v>1</v>
      </c>
      <c r="I2452" s="112">
        <v>1</v>
      </c>
      <c r="J2452" s="112">
        <v>7</v>
      </c>
      <c r="K2452" s="112">
        <v>8</v>
      </c>
      <c r="L2452" s="112">
        <v>7</v>
      </c>
      <c r="M2452" s="112">
        <v>8</v>
      </c>
      <c r="N2452" s="112">
        <v>5</v>
      </c>
      <c r="O2452" s="112">
        <v>4</v>
      </c>
    </row>
    <row r="2453" spans="1:15" x14ac:dyDescent="0.2">
      <c r="A2453" s="111">
        <v>2554</v>
      </c>
      <c r="B2453" s="421" t="s">
        <v>4101</v>
      </c>
      <c r="C2453" s="421" t="s">
        <v>567</v>
      </c>
      <c r="D2453" s="422" t="s">
        <v>663</v>
      </c>
      <c r="E2453" s="111">
        <v>15414</v>
      </c>
      <c r="F2453" s="421" t="s">
        <v>4126</v>
      </c>
      <c r="G2453" s="112">
        <v>1</v>
      </c>
      <c r="H2453" s="112">
        <v>1</v>
      </c>
      <c r="I2453" s="112">
        <v>1</v>
      </c>
      <c r="J2453" s="112">
        <v>7</v>
      </c>
      <c r="K2453" s="112">
        <v>7</v>
      </c>
      <c r="L2453" s="112">
        <v>7</v>
      </c>
      <c r="M2453" s="112">
        <v>3</v>
      </c>
      <c r="N2453" s="112">
        <v>3</v>
      </c>
      <c r="O2453" s="112">
        <v>3</v>
      </c>
    </row>
    <row r="2454" spans="1:15" x14ac:dyDescent="0.2">
      <c r="A2454" s="111">
        <v>2555</v>
      </c>
      <c r="B2454" s="421" t="s">
        <v>112</v>
      </c>
      <c r="C2454" s="421" t="s">
        <v>510</v>
      </c>
      <c r="D2454" s="422" t="s">
        <v>663</v>
      </c>
      <c r="E2454" s="111">
        <v>14811</v>
      </c>
      <c r="F2454" s="421" t="s">
        <v>4125</v>
      </c>
      <c r="G2454" s="112">
        <v>1</v>
      </c>
      <c r="H2454" s="112">
        <v>1</v>
      </c>
      <c r="I2454" s="112">
        <v>1</v>
      </c>
      <c r="K2454" s="112">
        <v>1</v>
      </c>
      <c r="L2454" s="112">
        <v>1</v>
      </c>
    </row>
    <row r="2455" spans="1:15" x14ac:dyDescent="0.2">
      <c r="A2455" s="111">
        <v>2556</v>
      </c>
      <c r="B2455" s="421" t="s">
        <v>295</v>
      </c>
      <c r="C2455" s="421" t="s">
        <v>1378</v>
      </c>
      <c r="D2455" s="422" t="s">
        <v>666</v>
      </c>
      <c r="E2455" s="111">
        <v>15416</v>
      </c>
      <c r="F2455" s="421" t="s">
        <v>4136</v>
      </c>
      <c r="G2455" s="112">
        <v>1</v>
      </c>
      <c r="H2455" s="112">
        <v>1</v>
      </c>
      <c r="I2455" s="112">
        <v>1</v>
      </c>
      <c r="K2455" s="112">
        <v>1</v>
      </c>
    </row>
    <row r="2456" spans="1:15" x14ac:dyDescent="0.2">
      <c r="A2456" s="111">
        <v>2557</v>
      </c>
      <c r="B2456" s="421" t="s">
        <v>4102</v>
      </c>
      <c r="C2456" s="421" t="s">
        <v>514</v>
      </c>
      <c r="D2456" s="422" t="s">
        <v>663</v>
      </c>
      <c r="E2456" s="111">
        <v>14889</v>
      </c>
      <c r="F2456" s="421" t="s">
        <v>2621</v>
      </c>
      <c r="G2456" s="112">
        <v>1</v>
      </c>
      <c r="H2456" s="112">
        <v>2</v>
      </c>
      <c r="I2456" s="112">
        <v>2</v>
      </c>
    </row>
    <row r="2457" spans="1:15" x14ac:dyDescent="0.2">
      <c r="A2457" s="111">
        <v>2558</v>
      </c>
      <c r="B2457" s="421" t="s">
        <v>368</v>
      </c>
      <c r="C2457" s="421" t="s">
        <v>506</v>
      </c>
      <c r="D2457" s="422" t="s">
        <v>663</v>
      </c>
      <c r="E2457" s="111">
        <v>15406</v>
      </c>
      <c r="F2457" s="421" t="s">
        <v>4130</v>
      </c>
    </row>
    <row r="2458" spans="1:15" x14ac:dyDescent="0.2">
      <c r="A2458" s="111">
        <v>2559</v>
      </c>
      <c r="B2458" s="421" t="s">
        <v>4106</v>
      </c>
      <c r="C2458" s="421" t="s">
        <v>1898</v>
      </c>
      <c r="D2458" s="422" t="s">
        <v>666</v>
      </c>
      <c r="E2458" s="111">
        <v>15417</v>
      </c>
      <c r="F2458" s="421" t="s">
        <v>4133</v>
      </c>
    </row>
    <row r="2459" spans="1:15" x14ac:dyDescent="0.2">
      <c r="A2459" s="111">
        <v>2560</v>
      </c>
      <c r="B2459" s="421" t="s">
        <v>2202</v>
      </c>
      <c r="C2459" s="421" t="s">
        <v>531</v>
      </c>
      <c r="D2459" s="422" t="s">
        <v>663</v>
      </c>
      <c r="E2459" s="111">
        <v>15419</v>
      </c>
      <c r="F2459" s="421" t="s">
        <v>4131</v>
      </c>
      <c r="H2459" s="112">
        <v>1</v>
      </c>
    </row>
    <row r="2460" spans="1:15" x14ac:dyDescent="0.2">
      <c r="A2460" s="111">
        <v>2561</v>
      </c>
      <c r="B2460" s="421" t="s">
        <v>2614</v>
      </c>
      <c r="C2460" s="421" t="s">
        <v>587</v>
      </c>
      <c r="D2460" s="422" t="s">
        <v>663</v>
      </c>
      <c r="E2460" s="111">
        <v>15420</v>
      </c>
      <c r="F2460" s="421" t="s">
        <v>4122</v>
      </c>
      <c r="G2460" s="112">
        <v>3</v>
      </c>
      <c r="H2460" s="112">
        <v>3</v>
      </c>
      <c r="I2460" s="112">
        <v>1</v>
      </c>
      <c r="J2460" s="112">
        <v>11</v>
      </c>
      <c r="K2460" s="112">
        <v>10</v>
      </c>
      <c r="L2460" s="112">
        <v>11</v>
      </c>
      <c r="M2460" s="112">
        <v>17</v>
      </c>
      <c r="N2460" s="112">
        <v>8</v>
      </c>
      <c r="O2460" s="112">
        <v>11</v>
      </c>
    </row>
    <row r="2461" spans="1:15" x14ac:dyDescent="0.2">
      <c r="A2461" s="111">
        <v>2562</v>
      </c>
      <c r="B2461" s="421" t="s">
        <v>1281</v>
      </c>
      <c r="C2461" s="421" t="s">
        <v>567</v>
      </c>
      <c r="D2461" s="422" t="s">
        <v>666</v>
      </c>
      <c r="E2461" s="111">
        <v>14819</v>
      </c>
      <c r="F2461" s="421" t="s">
        <v>2450</v>
      </c>
      <c r="G2461" s="112">
        <v>1</v>
      </c>
      <c r="H2461" s="112">
        <v>1</v>
      </c>
      <c r="I2461" s="112">
        <v>1</v>
      </c>
      <c r="J2461" s="112">
        <v>1</v>
      </c>
      <c r="K2461" s="112">
        <v>1</v>
      </c>
      <c r="L2461" s="112">
        <v>1</v>
      </c>
    </row>
    <row r="2462" spans="1:15" x14ac:dyDescent="0.2">
      <c r="A2462" s="111">
        <v>2563</v>
      </c>
      <c r="B2462" s="421" t="s">
        <v>4105</v>
      </c>
      <c r="C2462" s="421" t="s">
        <v>514</v>
      </c>
      <c r="D2462" s="422" t="s">
        <v>663</v>
      </c>
      <c r="E2462" s="111">
        <v>15411</v>
      </c>
      <c r="F2462" s="421" t="s">
        <v>4132</v>
      </c>
    </row>
    <row r="2463" spans="1:15" x14ac:dyDescent="0.2">
      <c r="A2463" s="111">
        <v>2564</v>
      </c>
      <c r="B2463" s="421" t="s">
        <v>221</v>
      </c>
      <c r="C2463" s="421" t="s">
        <v>506</v>
      </c>
      <c r="D2463" s="422" t="s">
        <v>666</v>
      </c>
      <c r="E2463" s="111">
        <v>14645</v>
      </c>
      <c r="F2463" s="421" t="s">
        <v>1932</v>
      </c>
    </row>
    <row r="2464" spans="1:15" x14ac:dyDescent="0.2">
      <c r="A2464" s="111">
        <v>2565</v>
      </c>
      <c r="B2464" s="421" t="s">
        <v>368</v>
      </c>
      <c r="C2464" s="421" t="s">
        <v>501</v>
      </c>
      <c r="D2464" s="422" t="s">
        <v>663</v>
      </c>
      <c r="E2464" s="111">
        <v>14989</v>
      </c>
      <c r="F2464" s="421" t="s">
        <v>2866</v>
      </c>
      <c r="G2464" s="112">
        <v>1</v>
      </c>
      <c r="H2464" s="112">
        <v>2</v>
      </c>
      <c r="I2464" s="112">
        <v>2</v>
      </c>
      <c r="K2464" s="112">
        <v>1</v>
      </c>
    </row>
    <row r="2465" spans="1:15" x14ac:dyDescent="0.2">
      <c r="A2465" s="111">
        <v>2566</v>
      </c>
      <c r="B2465" s="421" t="s">
        <v>4103</v>
      </c>
      <c r="C2465" s="421" t="s">
        <v>555</v>
      </c>
      <c r="D2465" s="422" t="s">
        <v>666</v>
      </c>
      <c r="E2465" s="111">
        <v>15320</v>
      </c>
      <c r="F2465" s="421" t="s">
        <v>4127</v>
      </c>
      <c r="G2465" s="112">
        <v>1</v>
      </c>
      <c r="H2465" s="112">
        <v>1</v>
      </c>
      <c r="I2465" s="112">
        <v>1</v>
      </c>
    </row>
    <row r="2466" spans="1:15" x14ac:dyDescent="0.2">
      <c r="A2466" s="111">
        <v>2567</v>
      </c>
      <c r="B2466" s="421" t="s">
        <v>1676</v>
      </c>
      <c r="C2466" s="421" t="s">
        <v>501</v>
      </c>
      <c r="D2466" s="422" t="s">
        <v>663</v>
      </c>
      <c r="E2466" s="111">
        <v>15423</v>
      </c>
      <c r="F2466" s="421" t="s">
        <v>4134</v>
      </c>
      <c r="G2466" s="112">
        <v>1</v>
      </c>
      <c r="H2466" s="112">
        <v>1</v>
      </c>
      <c r="I2466" s="112">
        <v>1</v>
      </c>
    </row>
    <row r="2467" spans="1:15" x14ac:dyDescent="0.2">
      <c r="A2467" s="111">
        <v>2568</v>
      </c>
      <c r="B2467" s="421" t="s">
        <v>4108</v>
      </c>
      <c r="C2467" s="421" t="s">
        <v>534</v>
      </c>
      <c r="D2467" s="422" t="s">
        <v>666</v>
      </c>
      <c r="E2467" s="111">
        <v>14444</v>
      </c>
      <c r="F2467" s="421" t="s">
        <v>1482</v>
      </c>
      <c r="G2467" s="112">
        <v>1</v>
      </c>
      <c r="H2467" s="112">
        <v>1</v>
      </c>
      <c r="I2467" s="112">
        <v>1</v>
      </c>
      <c r="J2467" s="112">
        <v>5</v>
      </c>
      <c r="K2467" s="112">
        <v>5</v>
      </c>
      <c r="L2467" s="112">
        <v>5</v>
      </c>
      <c r="M2467" s="112">
        <v>31</v>
      </c>
      <c r="N2467" s="112">
        <v>15</v>
      </c>
      <c r="O2467" s="112">
        <v>27</v>
      </c>
    </row>
    <row r="2468" spans="1:15" x14ac:dyDescent="0.2">
      <c r="A2468" s="111">
        <v>2569</v>
      </c>
      <c r="B2468" s="421" t="s">
        <v>2416</v>
      </c>
      <c r="C2468" s="421" t="s">
        <v>506</v>
      </c>
      <c r="D2468" s="422" t="s">
        <v>663</v>
      </c>
      <c r="E2468" s="111">
        <v>15422</v>
      </c>
      <c r="F2468" s="421" t="s">
        <v>4139</v>
      </c>
    </row>
    <row r="2469" spans="1:15" x14ac:dyDescent="0.2">
      <c r="A2469" s="111">
        <v>2570</v>
      </c>
      <c r="B2469" s="421" t="s">
        <v>4111</v>
      </c>
      <c r="C2469" s="421" t="s">
        <v>503</v>
      </c>
      <c r="D2469" s="422" t="s">
        <v>666</v>
      </c>
      <c r="F2469" s="421" t="s">
        <v>4142</v>
      </c>
      <c r="G2469" s="112">
        <v>1</v>
      </c>
      <c r="H2469" s="112">
        <v>1</v>
      </c>
      <c r="I2469" s="112">
        <v>1</v>
      </c>
      <c r="J2469" s="112">
        <v>1</v>
      </c>
      <c r="L2469" s="112">
        <v>1</v>
      </c>
    </row>
    <row r="2470" spans="1:15" x14ac:dyDescent="0.2">
      <c r="A2470" s="111">
        <v>2571</v>
      </c>
      <c r="B2470" s="421" t="s">
        <v>4117</v>
      </c>
      <c r="C2470" s="421" t="s">
        <v>577</v>
      </c>
      <c r="D2470" s="422" t="s">
        <v>663</v>
      </c>
      <c r="F2470" s="421" t="s">
        <v>4150</v>
      </c>
      <c r="G2470" s="112">
        <v>1</v>
      </c>
      <c r="H2470" s="112">
        <v>1</v>
      </c>
    </row>
    <row r="2471" spans="1:15" x14ac:dyDescent="0.2">
      <c r="A2471" s="111">
        <v>2572</v>
      </c>
      <c r="B2471" s="421" t="s">
        <v>4112</v>
      </c>
      <c r="C2471" s="421" t="s">
        <v>518</v>
      </c>
      <c r="D2471" s="422" t="s">
        <v>666</v>
      </c>
      <c r="E2471" s="111">
        <v>15424</v>
      </c>
      <c r="F2471" s="421" t="s">
        <v>4143</v>
      </c>
      <c r="G2471" s="112">
        <v>1</v>
      </c>
      <c r="H2471" s="112">
        <v>1</v>
      </c>
    </row>
    <row r="2472" spans="1:15" x14ac:dyDescent="0.2">
      <c r="A2472" s="111">
        <v>2573</v>
      </c>
      <c r="B2472" s="421" t="s">
        <v>3790</v>
      </c>
      <c r="C2472" s="421" t="s">
        <v>535</v>
      </c>
      <c r="D2472" s="422" t="s">
        <v>666</v>
      </c>
      <c r="E2472" s="111">
        <v>16167</v>
      </c>
      <c r="F2472" s="421" t="s">
        <v>4147</v>
      </c>
      <c r="H2472" s="112">
        <v>1</v>
      </c>
    </row>
    <row r="2473" spans="1:15" x14ac:dyDescent="0.2">
      <c r="A2473" s="111">
        <v>2574</v>
      </c>
      <c r="B2473" s="421" t="s">
        <v>4109</v>
      </c>
      <c r="C2473" s="421" t="s">
        <v>2318</v>
      </c>
      <c r="D2473" s="422" t="s">
        <v>666</v>
      </c>
      <c r="F2473" s="421" t="s">
        <v>4140</v>
      </c>
      <c r="H2473" s="112">
        <v>1</v>
      </c>
    </row>
    <row r="2474" spans="1:15" x14ac:dyDescent="0.2">
      <c r="A2474" s="111">
        <v>2575</v>
      </c>
      <c r="B2474" s="421" t="s">
        <v>4172</v>
      </c>
      <c r="C2474" s="421" t="s">
        <v>4173</v>
      </c>
      <c r="D2474" s="422" t="s">
        <v>666</v>
      </c>
      <c r="E2474" s="111">
        <v>15158</v>
      </c>
      <c r="F2474" s="421" t="s">
        <v>3187</v>
      </c>
      <c r="G2474" s="112">
        <v>1</v>
      </c>
      <c r="H2474" s="112">
        <v>1</v>
      </c>
      <c r="I2474" s="112">
        <v>1</v>
      </c>
      <c r="J2474" s="112">
        <v>1</v>
      </c>
      <c r="K2474" s="112">
        <v>1</v>
      </c>
      <c r="L2474" s="112">
        <v>1</v>
      </c>
      <c r="M2474" s="112">
        <v>1</v>
      </c>
      <c r="N2474" s="112">
        <v>1</v>
      </c>
      <c r="O2474" s="112">
        <v>1</v>
      </c>
    </row>
    <row r="2475" spans="1:15" x14ac:dyDescent="0.2">
      <c r="A2475" s="111">
        <v>2576</v>
      </c>
      <c r="B2475" s="421" t="s">
        <v>397</v>
      </c>
      <c r="C2475" s="421" t="s">
        <v>528</v>
      </c>
      <c r="D2475" s="422" t="s">
        <v>666</v>
      </c>
      <c r="E2475" s="111">
        <v>15440</v>
      </c>
      <c r="F2475" s="421" t="s">
        <v>4152</v>
      </c>
      <c r="G2475" s="112">
        <v>3</v>
      </c>
      <c r="H2475" s="112">
        <v>3</v>
      </c>
      <c r="I2475" s="112">
        <v>1</v>
      </c>
      <c r="J2475" s="112">
        <v>3</v>
      </c>
      <c r="K2475" s="112">
        <v>2</v>
      </c>
      <c r="L2475" s="112">
        <v>3</v>
      </c>
    </row>
    <row r="2476" spans="1:15" x14ac:dyDescent="0.2">
      <c r="A2476" s="111">
        <v>2577</v>
      </c>
      <c r="B2476" s="421" t="s">
        <v>4119</v>
      </c>
      <c r="C2476" s="421" t="s">
        <v>513</v>
      </c>
      <c r="D2476" s="422" t="s">
        <v>663</v>
      </c>
      <c r="E2476" s="111">
        <v>15425</v>
      </c>
      <c r="F2476" s="421" t="s">
        <v>4156</v>
      </c>
      <c r="G2476" s="112">
        <v>1</v>
      </c>
      <c r="H2476" s="112">
        <v>1</v>
      </c>
      <c r="I2476" s="112">
        <v>1</v>
      </c>
    </row>
    <row r="2477" spans="1:15" x14ac:dyDescent="0.2">
      <c r="A2477" s="111">
        <v>2578</v>
      </c>
      <c r="B2477" s="421" t="s">
        <v>2444</v>
      </c>
      <c r="C2477" s="421" t="s">
        <v>503</v>
      </c>
      <c r="D2477" s="422" t="s">
        <v>663</v>
      </c>
      <c r="E2477" s="111">
        <v>14865</v>
      </c>
      <c r="F2477" s="421" t="s">
        <v>2569</v>
      </c>
    </row>
    <row r="2478" spans="1:15" x14ac:dyDescent="0.2">
      <c r="A2478" s="111">
        <v>2579</v>
      </c>
      <c r="B2478" s="421" t="s">
        <v>3483</v>
      </c>
      <c r="C2478" s="421" t="s">
        <v>521</v>
      </c>
      <c r="D2478" s="422" t="s">
        <v>663</v>
      </c>
      <c r="E2478" s="111">
        <v>15449</v>
      </c>
      <c r="F2478" s="421" t="s">
        <v>4174</v>
      </c>
      <c r="G2478" s="112">
        <v>4</v>
      </c>
      <c r="H2478" s="112">
        <v>5</v>
      </c>
      <c r="I2478" s="112">
        <v>2</v>
      </c>
      <c r="J2478" s="112">
        <v>4</v>
      </c>
      <c r="K2478" s="112">
        <v>1</v>
      </c>
      <c r="L2478" s="112">
        <v>2</v>
      </c>
      <c r="M2478" s="112">
        <v>2</v>
      </c>
      <c r="N2478" s="112">
        <v>2</v>
      </c>
      <c r="O2478" s="112">
        <v>3</v>
      </c>
    </row>
    <row r="2479" spans="1:15" x14ac:dyDescent="0.2">
      <c r="A2479" s="111">
        <v>2580</v>
      </c>
      <c r="B2479" s="421" t="s">
        <v>4116</v>
      </c>
      <c r="C2479" s="421" t="s">
        <v>1523</v>
      </c>
      <c r="D2479" s="422" t="s">
        <v>663</v>
      </c>
      <c r="E2479" s="111">
        <v>15511</v>
      </c>
      <c r="F2479" s="421" t="s">
        <v>4149</v>
      </c>
      <c r="G2479" s="112">
        <v>1</v>
      </c>
      <c r="H2479" s="112">
        <v>1</v>
      </c>
      <c r="I2479" s="112">
        <v>1</v>
      </c>
      <c r="J2479" s="112">
        <v>2</v>
      </c>
    </row>
    <row r="2480" spans="1:15" x14ac:dyDescent="0.2">
      <c r="A2480" s="111">
        <v>2581</v>
      </c>
      <c r="B2480" s="421" t="s">
        <v>4118</v>
      </c>
      <c r="C2480" s="421" t="s">
        <v>519</v>
      </c>
      <c r="D2480" s="422" t="s">
        <v>666</v>
      </c>
      <c r="E2480" s="111">
        <v>15428</v>
      </c>
      <c r="F2480" s="421" t="s">
        <v>4155</v>
      </c>
    </row>
    <row r="2481" spans="1:15" x14ac:dyDescent="0.2">
      <c r="A2481" s="111">
        <v>2582</v>
      </c>
      <c r="B2481" s="421" t="s">
        <v>4115</v>
      </c>
      <c r="C2481" s="421" t="s">
        <v>530</v>
      </c>
      <c r="D2481" s="422" t="s">
        <v>666</v>
      </c>
      <c r="E2481" s="111">
        <v>15845</v>
      </c>
      <c r="F2481" s="421" t="s">
        <v>3194</v>
      </c>
      <c r="G2481" s="112">
        <v>1</v>
      </c>
      <c r="H2481" s="112">
        <v>1</v>
      </c>
    </row>
    <row r="2482" spans="1:15" x14ac:dyDescent="0.2">
      <c r="A2482" s="111">
        <v>2583</v>
      </c>
      <c r="B2482" s="421" t="s">
        <v>4114</v>
      </c>
      <c r="C2482" s="421" t="s">
        <v>573</v>
      </c>
      <c r="D2482" s="422" t="s">
        <v>663</v>
      </c>
      <c r="E2482" s="111">
        <v>15418</v>
      </c>
      <c r="F2482" s="421" t="s">
        <v>4145</v>
      </c>
      <c r="G2482" s="112">
        <v>1</v>
      </c>
      <c r="H2482" s="112">
        <v>2</v>
      </c>
      <c r="I2482" s="112">
        <v>2</v>
      </c>
      <c r="J2482" s="112">
        <v>3</v>
      </c>
      <c r="K2482" s="112">
        <v>2</v>
      </c>
      <c r="L2482" s="112">
        <v>1</v>
      </c>
    </row>
    <row r="2483" spans="1:15" x14ac:dyDescent="0.2">
      <c r="A2483" s="111">
        <v>2584</v>
      </c>
      <c r="B2483" s="421" t="s">
        <v>4023</v>
      </c>
      <c r="C2483" s="421" t="s">
        <v>518</v>
      </c>
      <c r="D2483" s="422" t="s">
        <v>663</v>
      </c>
      <c r="E2483" s="111">
        <v>15431</v>
      </c>
      <c r="F2483" s="421" t="s">
        <v>4151</v>
      </c>
      <c r="G2483" s="112">
        <v>1</v>
      </c>
      <c r="H2483" s="112">
        <v>1</v>
      </c>
      <c r="I2483" s="112">
        <v>1</v>
      </c>
      <c r="J2483" s="112">
        <v>1</v>
      </c>
      <c r="K2483" s="112">
        <v>1</v>
      </c>
      <c r="L2483" s="112">
        <v>1</v>
      </c>
    </row>
    <row r="2484" spans="1:15" x14ac:dyDescent="0.2">
      <c r="A2484" s="111">
        <v>2585</v>
      </c>
      <c r="B2484" s="421" t="s">
        <v>100</v>
      </c>
      <c r="C2484" s="421" t="s">
        <v>503</v>
      </c>
      <c r="D2484" s="422" t="s">
        <v>666</v>
      </c>
      <c r="E2484" s="111">
        <v>15432</v>
      </c>
      <c r="F2484" s="421" t="s">
        <v>1715</v>
      </c>
      <c r="G2484" s="112">
        <v>1</v>
      </c>
      <c r="H2484" s="112">
        <v>2</v>
      </c>
      <c r="I2484" s="112">
        <v>2</v>
      </c>
    </row>
    <row r="2485" spans="1:15" x14ac:dyDescent="0.2">
      <c r="A2485" s="111">
        <v>2586</v>
      </c>
      <c r="B2485" s="421" t="s">
        <v>4113</v>
      </c>
      <c r="C2485" s="421" t="s">
        <v>533</v>
      </c>
      <c r="D2485" s="422" t="s">
        <v>666</v>
      </c>
      <c r="E2485" s="111">
        <v>15791</v>
      </c>
      <c r="F2485" s="421" t="s">
        <v>4144</v>
      </c>
      <c r="G2485" s="112">
        <v>1</v>
      </c>
      <c r="H2485" s="112">
        <v>1</v>
      </c>
      <c r="I2485" s="112">
        <v>1</v>
      </c>
      <c r="J2485" s="112">
        <v>6</v>
      </c>
      <c r="K2485" s="112">
        <v>6</v>
      </c>
      <c r="L2485" s="112">
        <v>6</v>
      </c>
      <c r="M2485" s="112">
        <v>4</v>
      </c>
      <c r="N2485" s="112">
        <v>4</v>
      </c>
      <c r="O2485" s="112">
        <v>4</v>
      </c>
    </row>
    <row r="2486" spans="1:15" x14ac:dyDescent="0.2">
      <c r="A2486" s="111">
        <v>2587</v>
      </c>
      <c r="B2486" s="421" t="s">
        <v>2806</v>
      </c>
      <c r="C2486" s="421" t="s">
        <v>577</v>
      </c>
      <c r="D2486" s="422" t="s">
        <v>663</v>
      </c>
      <c r="E2486" s="111">
        <v>15433</v>
      </c>
      <c r="F2486" s="421" t="s">
        <v>4148</v>
      </c>
    </row>
    <row r="2487" spans="1:15" x14ac:dyDescent="0.2">
      <c r="A2487" s="111">
        <v>2588</v>
      </c>
      <c r="B2487" s="421" t="s">
        <v>1455</v>
      </c>
      <c r="C2487" s="421" t="s">
        <v>506</v>
      </c>
      <c r="D2487" s="422" t="s">
        <v>666</v>
      </c>
      <c r="E2487" s="111">
        <v>15451</v>
      </c>
      <c r="F2487" s="421" t="s">
        <v>983</v>
      </c>
      <c r="G2487" s="112">
        <v>1</v>
      </c>
      <c r="H2487" s="112">
        <v>1</v>
      </c>
      <c r="I2487" s="112">
        <v>1</v>
      </c>
      <c r="J2487" s="112">
        <v>1</v>
      </c>
    </row>
    <row r="2488" spans="1:15" x14ac:dyDescent="0.2">
      <c r="A2488" s="111">
        <v>2589</v>
      </c>
      <c r="B2488" s="421" t="s">
        <v>443</v>
      </c>
      <c r="C2488" s="421" t="s">
        <v>520</v>
      </c>
      <c r="D2488" s="422" t="s">
        <v>666</v>
      </c>
      <c r="E2488" s="111">
        <v>15242</v>
      </c>
      <c r="F2488" s="421" t="s">
        <v>3475</v>
      </c>
      <c r="G2488" s="112">
        <v>1</v>
      </c>
      <c r="H2488" s="112">
        <v>2</v>
      </c>
      <c r="I2488" s="112">
        <v>3</v>
      </c>
      <c r="J2488" s="112">
        <v>2</v>
      </c>
    </row>
    <row r="2489" spans="1:15" x14ac:dyDescent="0.2">
      <c r="A2489" s="111">
        <v>2590</v>
      </c>
      <c r="B2489" s="421" t="s">
        <v>1220</v>
      </c>
      <c r="C2489" s="421" t="s">
        <v>513</v>
      </c>
      <c r="D2489" s="422" t="s">
        <v>666</v>
      </c>
      <c r="E2489" s="111">
        <v>15439</v>
      </c>
      <c r="F2489" s="421" t="s">
        <v>3203</v>
      </c>
      <c r="G2489" s="112">
        <v>1</v>
      </c>
      <c r="H2489" s="112">
        <v>1</v>
      </c>
      <c r="I2489" s="112">
        <v>1</v>
      </c>
      <c r="J2489" s="112">
        <v>11</v>
      </c>
      <c r="K2489" s="112">
        <v>11</v>
      </c>
      <c r="L2489" s="112">
        <v>10</v>
      </c>
      <c r="M2489" s="112">
        <v>28</v>
      </c>
      <c r="N2489" s="112">
        <v>18</v>
      </c>
      <c r="O2489" s="112">
        <v>17</v>
      </c>
    </row>
    <row r="2490" spans="1:15" x14ac:dyDescent="0.2">
      <c r="A2490" s="111">
        <v>2591</v>
      </c>
      <c r="B2490" s="421" t="s">
        <v>4110</v>
      </c>
      <c r="C2490" s="421" t="s">
        <v>510</v>
      </c>
      <c r="D2490" s="422" t="s">
        <v>666</v>
      </c>
      <c r="E2490" s="111">
        <v>15435</v>
      </c>
      <c r="F2490" s="421" t="s">
        <v>4141</v>
      </c>
    </row>
    <row r="2491" spans="1:15" x14ac:dyDescent="0.2">
      <c r="A2491" s="111">
        <v>2592</v>
      </c>
      <c r="B2491" s="421" t="s">
        <v>2484</v>
      </c>
      <c r="C2491" s="421" t="s">
        <v>513</v>
      </c>
      <c r="D2491" s="422" t="s">
        <v>663</v>
      </c>
      <c r="E2491" s="111">
        <v>15804</v>
      </c>
      <c r="F2491" s="421" t="s">
        <v>4146</v>
      </c>
      <c r="G2491" s="112">
        <v>1</v>
      </c>
      <c r="H2491" s="112">
        <v>1</v>
      </c>
      <c r="I2491" s="112">
        <v>1</v>
      </c>
      <c r="J2491" s="112">
        <v>1</v>
      </c>
      <c r="K2491" s="112">
        <v>1</v>
      </c>
      <c r="L2491" s="112">
        <v>1</v>
      </c>
      <c r="M2491" s="112">
        <v>1</v>
      </c>
    </row>
    <row r="2492" spans="1:15" x14ac:dyDescent="0.2">
      <c r="A2492" s="111">
        <v>2593</v>
      </c>
      <c r="B2492" s="421" t="s">
        <v>381</v>
      </c>
      <c r="C2492" s="421" t="s">
        <v>1625</v>
      </c>
      <c r="D2492" s="422" t="s">
        <v>663</v>
      </c>
      <c r="F2492" s="421" t="s">
        <v>4153</v>
      </c>
      <c r="G2492" s="112">
        <v>1</v>
      </c>
      <c r="H2492" s="112">
        <v>1</v>
      </c>
    </row>
    <row r="2493" spans="1:15" x14ac:dyDescent="0.2">
      <c r="A2493" s="111">
        <v>2594</v>
      </c>
      <c r="B2493" s="421" t="s">
        <v>2241</v>
      </c>
      <c r="C2493" s="421" t="s">
        <v>1447</v>
      </c>
      <c r="D2493" s="422" t="s">
        <v>663</v>
      </c>
      <c r="E2493" s="111">
        <v>15441</v>
      </c>
      <c r="F2493" s="421" t="s">
        <v>4154</v>
      </c>
      <c r="G2493" s="112">
        <v>1</v>
      </c>
      <c r="H2493" s="112">
        <v>1</v>
      </c>
      <c r="I2493" s="112">
        <v>1</v>
      </c>
      <c r="L2493" s="112">
        <v>1</v>
      </c>
    </row>
    <row r="2494" spans="1:15" x14ac:dyDescent="0.2">
      <c r="A2494" s="111">
        <v>2595</v>
      </c>
      <c r="B2494" s="421" t="s">
        <v>3786</v>
      </c>
      <c r="C2494" s="421" t="s">
        <v>518</v>
      </c>
      <c r="D2494" s="422" t="s">
        <v>663</v>
      </c>
      <c r="E2494" s="111">
        <v>15973</v>
      </c>
      <c r="F2494" s="421" t="s">
        <v>991</v>
      </c>
      <c r="G2494" s="112">
        <v>1</v>
      </c>
      <c r="H2494" s="112">
        <v>1</v>
      </c>
      <c r="I2494" s="112">
        <v>1</v>
      </c>
      <c r="J2494" s="112">
        <v>9</v>
      </c>
      <c r="K2494" s="112">
        <v>9</v>
      </c>
      <c r="L2494" s="112">
        <v>9</v>
      </c>
      <c r="M2494" s="112">
        <v>3</v>
      </c>
      <c r="N2494" s="112">
        <v>3</v>
      </c>
      <c r="O2494" s="112">
        <v>3</v>
      </c>
    </row>
    <row r="2495" spans="1:15" x14ac:dyDescent="0.2">
      <c r="A2495" s="111">
        <v>2596</v>
      </c>
      <c r="B2495" s="421" t="s">
        <v>347</v>
      </c>
      <c r="C2495" s="421" t="s">
        <v>3387</v>
      </c>
      <c r="D2495" s="422" t="s">
        <v>663</v>
      </c>
      <c r="E2495" s="111">
        <v>16074</v>
      </c>
      <c r="F2495" s="421" t="s">
        <v>4175</v>
      </c>
      <c r="G2495" s="112">
        <v>1</v>
      </c>
      <c r="H2495" s="112">
        <v>1</v>
      </c>
      <c r="I2495" s="112">
        <v>1</v>
      </c>
      <c r="J2495" s="112">
        <v>4</v>
      </c>
      <c r="K2495" s="112">
        <v>2</v>
      </c>
      <c r="L2495" s="112">
        <v>5</v>
      </c>
      <c r="M2495" s="112">
        <v>3</v>
      </c>
      <c r="N2495" s="112">
        <v>2</v>
      </c>
      <c r="O2495" s="112">
        <v>1</v>
      </c>
    </row>
    <row r="2496" spans="1:15" x14ac:dyDescent="0.2">
      <c r="A2496" s="111">
        <v>2597</v>
      </c>
      <c r="B2496" s="421" t="s">
        <v>3152</v>
      </c>
      <c r="C2496" s="421" t="s">
        <v>540</v>
      </c>
      <c r="D2496" s="422" t="s">
        <v>666</v>
      </c>
      <c r="E2496" s="111">
        <v>15442</v>
      </c>
      <c r="F2496" s="421" t="s">
        <v>4176</v>
      </c>
      <c r="G2496" s="112">
        <v>1</v>
      </c>
      <c r="H2496" s="112">
        <v>1</v>
      </c>
      <c r="I2496" s="112">
        <v>1</v>
      </c>
      <c r="J2496" s="112">
        <v>1</v>
      </c>
      <c r="K2496" s="112">
        <v>2</v>
      </c>
      <c r="L2496" s="112">
        <v>1</v>
      </c>
    </row>
    <row r="2497" spans="1:15" x14ac:dyDescent="0.2">
      <c r="A2497" s="111">
        <v>2598</v>
      </c>
      <c r="B2497" s="421" t="s">
        <v>4177</v>
      </c>
      <c r="C2497" s="421" t="s">
        <v>551</v>
      </c>
      <c r="D2497" s="422" t="s">
        <v>666</v>
      </c>
      <c r="E2497" s="111">
        <v>15443</v>
      </c>
      <c r="F2497" s="421" t="s">
        <v>4178</v>
      </c>
      <c r="G2497" s="112">
        <v>1</v>
      </c>
      <c r="H2497" s="112">
        <v>1</v>
      </c>
      <c r="I2497" s="112">
        <v>1</v>
      </c>
      <c r="J2497" s="112">
        <v>3</v>
      </c>
      <c r="K2497" s="112">
        <v>4</v>
      </c>
      <c r="L2497" s="112">
        <v>4</v>
      </c>
      <c r="M2497" s="112">
        <v>4</v>
      </c>
      <c r="N2497" s="112">
        <v>1</v>
      </c>
      <c r="O2497" s="112">
        <v>2</v>
      </c>
    </row>
    <row r="2498" spans="1:15" x14ac:dyDescent="0.2">
      <c r="A2498" s="111">
        <v>2599</v>
      </c>
      <c r="B2498" s="421" t="s">
        <v>1224</v>
      </c>
      <c r="C2498" s="421" t="s">
        <v>1625</v>
      </c>
      <c r="D2498" s="422" t="s">
        <v>666</v>
      </c>
      <c r="E2498" s="111">
        <v>15444</v>
      </c>
      <c r="F2498" s="421" t="s">
        <v>4179</v>
      </c>
    </row>
    <row r="2499" spans="1:15" x14ac:dyDescent="0.2">
      <c r="A2499" s="111">
        <v>2600</v>
      </c>
      <c r="B2499" s="421" t="s">
        <v>4180</v>
      </c>
      <c r="C2499" s="421" t="s">
        <v>501</v>
      </c>
      <c r="D2499" s="422" t="s">
        <v>663</v>
      </c>
      <c r="E2499" s="111">
        <v>15445</v>
      </c>
      <c r="F2499" s="421" t="s">
        <v>4181</v>
      </c>
      <c r="G2499" s="112">
        <v>1</v>
      </c>
      <c r="H2499" s="112">
        <v>1</v>
      </c>
      <c r="I2499" s="112">
        <v>1</v>
      </c>
    </row>
    <row r="2500" spans="1:15" x14ac:dyDescent="0.2">
      <c r="A2500" s="111">
        <v>2601</v>
      </c>
      <c r="B2500" s="421" t="s">
        <v>4182</v>
      </c>
      <c r="C2500" s="421" t="s">
        <v>580</v>
      </c>
      <c r="D2500" s="422" t="s">
        <v>663</v>
      </c>
      <c r="F2500" s="421" t="s">
        <v>4183</v>
      </c>
    </row>
    <row r="2501" spans="1:15" x14ac:dyDescent="0.2">
      <c r="A2501" s="111">
        <v>2602</v>
      </c>
      <c r="B2501" s="421" t="s">
        <v>1585</v>
      </c>
      <c r="C2501" s="421" t="s">
        <v>513</v>
      </c>
      <c r="D2501" s="422" t="s">
        <v>666</v>
      </c>
      <c r="E2501" s="111">
        <v>15447</v>
      </c>
      <c r="F2501" s="421" t="s">
        <v>4184</v>
      </c>
      <c r="G2501" s="112">
        <v>1</v>
      </c>
      <c r="H2501" s="112">
        <v>1</v>
      </c>
      <c r="I2501" s="112">
        <v>1</v>
      </c>
    </row>
    <row r="2502" spans="1:15" x14ac:dyDescent="0.2">
      <c r="A2502" s="111">
        <v>2603</v>
      </c>
      <c r="B2502" s="421" t="s">
        <v>1228</v>
      </c>
      <c r="C2502" s="421" t="s">
        <v>570</v>
      </c>
      <c r="D2502" s="422" t="s">
        <v>666</v>
      </c>
      <c r="E2502" s="111">
        <v>15201</v>
      </c>
      <c r="F2502" s="421" t="s">
        <v>3403</v>
      </c>
      <c r="G2502" s="112">
        <v>1</v>
      </c>
      <c r="H2502" s="112">
        <v>1</v>
      </c>
      <c r="I2502" s="112">
        <v>1</v>
      </c>
      <c r="J2502" s="112">
        <v>7</v>
      </c>
      <c r="K2502" s="112">
        <v>7</v>
      </c>
      <c r="L2502" s="112">
        <v>7</v>
      </c>
      <c r="M2502" s="112">
        <v>4</v>
      </c>
      <c r="N2502" s="112">
        <v>4</v>
      </c>
      <c r="O2502" s="112">
        <v>3</v>
      </c>
    </row>
    <row r="2503" spans="1:15" x14ac:dyDescent="0.2">
      <c r="A2503" s="111">
        <v>2604</v>
      </c>
      <c r="B2503" s="421" t="s">
        <v>3276</v>
      </c>
      <c r="C2503" s="421" t="s">
        <v>628</v>
      </c>
      <c r="D2503" s="422" t="s">
        <v>663</v>
      </c>
      <c r="E2503" s="111">
        <v>15398</v>
      </c>
      <c r="F2503" s="421" t="s">
        <v>4185</v>
      </c>
      <c r="G2503" s="112">
        <v>2</v>
      </c>
      <c r="H2503" s="112">
        <v>1</v>
      </c>
      <c r="I2503" s="112">
        <v>1</v>
      </c>
      <c r="J2503" s="112">
        <v>2</v>
      </c>
      <c r="K2503" s="112">
        <v>2</v>
      </c>
      <c r="L2503" s="112">
        <v>1</v>
      </c>
    </row>
    <row r="2504" spans="1:15" x14ac:dyDescent="0.2">
      <c r="A2504" s="111">
        <v>2605</v>
      </c>
      <c r="B2504" s="421" t="s">
        <v>4186</v>
      </c>
      <c r="C2504" s="421" t="s">
        <v>3298</v>
      </c>
      <c r="D2504" s="422" t="s">
        <v>666</v>
      </c>
      <c r="E2504" s="111">
        <v>15514</v>
      </c>
      <c r="F2504" s="421" t="s">
        <v>4187</v>
      </c>
      <c r="G2504" s="112">
        <v>1</v>
      </c>
      <c r="H2504" s="112">
        <v>1</v>
      </c>
      <c r="I2504" s="112">
        <v>1</v>
      </c>
      <c r="J2504" s="112">
        <v>10</v>
      </c>
      <c r="K2504" s="112">
        <v>8</v>
      </c>
      <c r="L2504" s="112">
        <v>9</v>
      </c>
      <c r="M2504" s="112">
        <v>9</v>
      </c>
      <c r="N2504" s="112">
        <v>3</v>
      </c>
      <c r="O2504" s="112">
        <v>3</v>
      </c>
    </row>
    <row r="2505" spans="1:15" x14ac:dyDescent="0.2">
      <c r="A2505" s="111">
        <v>2606</v>
      </c>
      <c r="B2505" s="421" t="s">
        <v>4188</v>
      </c>
      <c r="C2505" s="421" t="s">
        <v>512</v>
      </c>
      <c r="D2505" s="422" t="s">
        <v>663</v>
      </c>
      <c r="E2505" s="111">
        <v>14988</v>
      </c>
      <c r="F2505" s="421" t="s">
        <v>2867</v>
      </c>
      <c r="G2505" s="112">
        <v>1</v>
      </c>
      <c r="H2505" s="112">
        <v>1</v>
      </c>
      <c r="I2505" s="112">
        <v>1</v>
      </c>
      <c r="J2505" s="112">
        <v>7</v>
      </c>
      <c r="K2505" s="112">
        <v>6</v>
      </c>
      <c r="L2505" s="112">
        <v>5</v>
      </c>
      <c r="M2505" s="112">
        <v>2</v>
      </c>
      <c r="N2505" s="112">
        <v>1</v>
      </c>
      <c r="O2505" s="112">
        <v>1</v>
      </c>
    </row>
    <row r="2506" spans="1:15" x14ac:dyDescent="0.2">
      <c r="A2506" s="111">
        <v>2607</v>
      </c>
      <c r="B2506" s="421" t="s">
        <v>4189</v>
      </c>
      <c r="C2506" s="421" t="s">
        <v>586</v>
      </c>
      <c r="D2506" s="422" t="s">
        <v>666</v>
      </c>
      <c r="E2506" s="111">
        <v>15448</v>
      </c>
      <c r="F2506" s="421" t="s">
        <v>4190</v>
      </c>
      <c r="G2506" s="112">
        <v>2</v>
      </c>
      <c r="H2506" s="112">
        <v>1</v>
      </c>
      <c r="I2506" s="112">
        <v>1</v>
      </c>
      <c r="J2506" s="112">
        <v>1</v>
      </c>
      <c r="K2506" s="112">
        <v>1</v>
      </c>
    </row>
    <row r="2507" spans="1:15" x14ac:dyDescent="0.2">
      <c r="A2507" s="111">
        <v>2608</v>
      </c>
      <c r="B2507" s="421" t="s">
        <v>4191</v>
      </c>
      <c r="C2507" s="421" t="s">
        <v>577</v>
      </c>
      <c r="D2507" s="422" t="s">
        <v>663</v>
      </c>
      <c r="E2507" s="111">
        <v>14204</v>
      </c>
      <c r="F2507" s="421" t="s">
        <v>926</v>
      </c>
      <c r="G2507" s="112">
        <v>1</v>
      </c>
      <c r="H2507" s="112">
        <v>1</v>
      </c>
      <c r="I2507" s="112">
        <v>1</v>
      </c>
    </row>
    <row r="2508" spans="1:15" x14ac:dyDescent="0.2">
      <c r="A2508" s="111">
        <v>2609</v>
      </c>
      <c r="B2508" s="421" t="s">
        <v>46</v>
      </c>
      <c r="C2508" s="421" t="s">
        <v>506</v>
      </c>
      <c r="D2508" s="422" t="s">
        <v>663</v>
      </c>
      <c r="E2508" s="111">
        <v>15450</v>
      </c>
      <c r="F2508" s="421" t="s">
        <v>3734</v>
      </c>
      <c r="G2508" s="112">
        <v>1</v>
      </c>
      <c r="H2508" s="112">
        <v>1</v>
      </c>
      <c r="I2508" s="112">
        <v>1</v>
      </c>
      <c r="J2508" s="112">
        <v>2</v>
      </c>
      <c r="K2508" s="112">
        <v>3</v>
      </c>
      <c r="L2508" s="112">
        <v>2</v>
      </c>
      <c r="M2508" s="112">
        <v>1</v>
      </c>
      <c r="N2508" s="112">
        <v>1</v>
      </c>
    </row>
    <row r="2509" spans="1:15" x14ac:dyDescent="0.2">
      <c r="A2509" s="111">
        <v>2610</v>
      </c>
      <c r="B2509" s="421" t="s">
        <v>101</v>
      </c>
      <c r="C2509" s="421" t="s">
        <v>536</v>
      </c>
      <c r="D2509" s="422" t="s">
        <v>666</v>
      </c>
      <c r="E2509" s="111">
        <v>15534</v>
      </c>
      <c r="F2509" s="421" t="s">
        <v>989</v>
      </c>
      <c r="G2509" s="112">
        <v>1</v>
      </c>
      <c r="H2509" s="112">
        <v>1</v>
      </c>
      <c r="I2509" s="112">
        <v>1</v>
      </c>
    </row>
    <row r="2510" spans="1:15" x14ac:dyDescent="0.2">
      <c r="A2510" s="111">
        <v>2611</v>
      </c>
      <c r="B2510" s="421" t="s">
        <v>3780</v>
      </c>
      <c r="C2510" s="421" t="s">
        <v>503</v>
      </c>
      <c r="D2510" s="422" t="s">
        <v>666</v>
      </c>
      <c r="E2510" s="111">
        <v>14762</v>
      </c>
      <c r="F2510" s="421" t="s">
        <v>2251</v>
      </c>
      <c r="G2510" s="112">
        <v>1</v>
      </c>
      <c r="H2510" s="112">
        <v>1</v>
      </c>
      <c r="I2510" s="112">
        <v>1</v>
      </c>
      <c r="J2510" s="112">
        <v>1</v>
      </c>
      <c r="K2510" s="112">
        <v>1</v>
      </c>
      <c r="L2510" s="112">
        <v>1</v>
      </c>
    </row>
    <row r="2511" spans="1:15" x14ac:dyDescent="0.2">
      <c r="A2511" s="111">
        <v>2612</v>
      </c>
      <c r="B2511" s="421" t="s">
        <v>1903</v>
      </c>
      <c r="C2511" s="421" t="s">
        <v>501</v>
      </c>
      <c r="D2511" s="422" t="s">
        <v>663</v>
      </c>
      <c r="E2511" s="111">
        <v>15452</v>
      </c>
      <c r="F2511" s="421" t="s">
        <v>4192</v>
      </c>
      <c r="I2511" s="112">
        <v>1</v>
      </c>
    </row>
    <row r="2512" spans="1:15" x14ac:dyDescent="0.2">
      <c r="A2512" s="111">
        <v>2613</v>
      </c>
      <c r="B2512" s="421" t="s">
        <v>37</v>
      </c>
      <c r="C2512" s="421" t="s">
        <v>587</v>
      </c>
      <c r="D2512" s="422" t="s">
        <v>663</v>
      </c>
      <c r="E2512" s="111">
        <v>15453</v>
      </c>
      <c r="F2512" s="421" t="s">
        <v>4193</v>
      </c>
      <c r="G2512" s="112">
        <v>1</v>
      </c>
      <c r="H2512" s="112">
        <v>1</v>
      </c>
      <c r="I2512" s="112">
        <v>1</v>
      </c>
      <c r="L2512" s="112">
        <v>1</v>
      </c>
    </row>
    <row r="2513" spans="1:15" x14ac:dyDescent="0.2">
      <c r="A2513" s="111">
        <v>2614</v>
      </c>
      <c r="B2513" s="421" t="s">
        <v>4194</v>
      </c>
      <c r="C2513" s="421" t="s">
        <v>574</v>
      </c>
      <c r="D2513" s="422" t="s">
        <v>663</v>
      </c>
      <c r="E2513" s="111">
        <v>15324</v>
      </c>
      <c r="F2513" s="421" t="s">
        <v>3896</v>
      </c>
    </row>
    <row r="2514" spans="1:15" x14ac:dyDescent="0.2">
      <c r="A2514" s="111">
        <v>2615</v>
      </c>
      <c r="B2514" s="421" t="s">
        <v>1316</v>
      </c>
      <c r="C2514" s="421" t="s">
        <v>516</v>
      </c>
      <c r="D2514" s="422" t="s">
        <v>666</v>
      </c>
      <c r="E2514" s="111">
        <v>15455</v>
      </c>
      <c r="F2514" s="421" t="s">
        <v>4195</v>
      </c>
      <c r="G2514" s="112">
        <v>1</v>
      </c>
      <c r="H2514" s="112">
        <v>1</v>
      </c>
      <c r="I2514" s="112">
        <v>1</v>
      </c>
    </row>
    <row r="2515" spans="1:15" x14ac:dyDescent="0.2">
      <c r="A2515" s="111">
        <v>2616</v>
      </c>
      <c r="B2515" s="421" t="s">
        <v>2614</v>
      </c>
      <c r="C2515" s="421" t="s">
        <v>503</v>
      </c>
      <c r="D2515" s="422" t="s">
        <v>666</v>
      </c>
      <c r="E2515" s="111">
        <v>15454</v>
      </c>
      <c r="F2515" s="421" t="s">
        <v>4196</v>
      </c>
    </row>
    <row r="2516" spans="1:15" x14ac:dyDescent="0.2">
      <c r="A2516" s="111">
        <v>2617</v>
      </c>
      <c r="B2516" s="421" t="s">
        <v>175</v>
      </c>
      <c r="C2516" s="421" t="s">
        <v>3855</v>
      </c>
      <c r="D2516" s="422" t="s">
        <v>666</v>
      </c>
      <c r="E2516" s="111">
        <v>15456</v>
      </c>
      <c r="F2516" s="421" t="s">
        <v>4197</v>
      </c>
      <c r="G2516" s="112">
        <v>1</v>
      </c>
      <c r="H2516" s="112">
        <v>1</v>
      </c>
      <c r="I2516" s="112">
        <v>1</v>
      </c>
    </row>
    <row r="2517" spans="1:15" x14ac:dyDescent="0.2">
      <c r="A2517" s="111">
        <v>2618</v>
      </c>
      <c r="B2517" s="421" t="s">
        <v>4198</v>
      </c>
      <c r="C2517" s="421" t="s">
        <v>510</v>
      </c>
      <c r="D2517" s="422" t="s">
        <v>666</v>
      </c>
      <c r="E2517" s="111">
        <v>15177</v>
      </c>
      <c r="F2517" s="421" t="s">
        <v>2968</v>
      </c>
      <c r="G2517" s="112">
        <v>1</v>
      </c>
      <c r="H2517" s="112">
        <v>1</v>
      </c>
      <c r="I2517" s="112">
        <v>1</v>
      </c>
      <c r="J2517" s="112">
        <v>3</v>
      </c>
      <c r="K2517" s="112">
        <v>3</v>
      </c>
      <c r="L2517" s="112">
        <v>2</v>
      </c>
      <c r="M2517" s="112">
        <v>2</v>
      </c>
    </row>
    <row r="2518" spans="1:15" x14ac:dyDescent="0.2">
      <c r="A2518" s="111">
        <v>2619</v>
      </c>
      <c r="B2518" s="421" t="s">
        <v>1583</v>
      </c>
      <c r="C2518" s="421" t="s">
        <v>528</v>
      </c>
      <c r="D2518" s="422" t="s">
        <v>663</v>
      </c>
      <c r="E2518" s="111">
        <v>14834</v>
      </c>
      <c r="F2518" s="421" t="s">
        <v>2506</v>
      </c>
      <c r="G2518" s="112">
        <v>1</v>
      </c>
      <c r="H2518" s="112">
        <v>1</v>
      </c>
      <c r="I2518" s="112">
        <v>1</v>
      </c>
      <c r="J2518" s="112">
        <v>1</v>
      </c>
      <c r="K2518" s="112">
        <v>1</v>
      </c>
      <c r="L2518" s="112">
        <v>1</v>
      </c>
      <c r="M2518" s="112">
        <v>4</v>
      </c>
      <c r="N2518" s="112">
        <v>1</v>
      </c>
      <c r="O2518" s="112">
        <v>2</v>
      </c>
    </row>
    <row r="2519" spans="1:15" x14ac:dyDescent="0.2">
      <c r="A2519" s="111">
        <v>2620</v>
      </c>
      <c r="B2519" s="421" t="s">
        <v>4199</v>
      </c>
      <c r="C2519" s="421" t="s">
        <v>510</v>
      </c>
      <c r="D2519" s="422" t="s">
        <v>663</v>
      </c>
      <c r="E2519" s="111">
        <v>15461</v>
      </c>
      <c r="F2519" s="421" t="s">
        <v>8745</v>
      </c>
      <c r="G2519" s="112">
        <v>1</v>
      </c>
      <c r="H2519" s="112">
        <v>1</v>
      </c>
      <c r="I2519" s="112">
        <v>1</v>
      </c>
      <c r="J2519" s="112">
        <v>9</v>
      </c>
      <c r="K2519" s="112">
        <v>11</v>
      </c>
      <c r="L2519" s="112">
        <v>9</v>
      </c>
      <c r="M2519" s="112">
        <v>9</v>
      </c>
      <c r="N2519" s="112">
        <v>5</v>
      </c>
      <c r="O2519" s="112">
        <v>9</v>
      </c>
    </row>
    <row r="2520" spans="1:15" x14ac:dyDescent="0.2">
      <c r="A2520" s="111">
        <v>2621</v>
      </c>
      <c r="B2520" s="421" t="s">
        <v>2096</v>
      </c>
      <c r="C2520" s="421" t="s">
        <v>512</v>
      </c>
      <c r="D2520" s="422" t="s">
        <v>666</v>
      </c>
      <c r="E2520" s="111">
        <v>15457</v>
      </c>
      <c r="F2520" s="421" t="s">
        <v>4200</v>
      </c>
      <c r="G2520" s="112">
        <v>1</v>
      </c>
      <c r="H2520" s="112">
        <v>1</v>
      </c>
      <c r="I2520" s="112">
        <v>1</v>
      </c>
      <c r="J2520" s="112">
        <v>7</v>
      </c>
      <c r="K2520" s="112">
        <v>9</v>
      </c>
      <c r="L2520" s="112">
        <v>8</v>
      </c>
      <c r="M2520" s="112">
        <v>11</v>
      </c>
      <c r="N2520" s="112">
        <v>4</v>
      </c>
      <c r="O2520" s="112">
        <v>3</v>
      </c>
    </row>
    <row r="2521" spans="1:15" x14ac:dyDescent="0.2">
      <c r="A2521" s="111">
        <v>2622</v>
      </c>
      <c r="B2521" s="421" t="s">
        <v>4201</v>
      </c>
      <c r="C2521" s="421" t="s">
        <v>544</v>
      </c>
      <c r="D2521" s="422" t="s">
        <v>663</v>
      </c>
      <c r="E2521" s="111">
        <v>15458</v>
      </c>
      <c r="F2521" s="421" t="s">
        <v>4202</v>
      </c>
      <c r="G2521" s="112">
        <v>1</v>
      </c>
      <c r="H2521" s="112">
        <v>1</v>
      </c>
      <c r="I2521" s="112">
        <v>1</v>
      </c>
      <c r="J2521" s="112">
        <v>7</v>
      </c>
      <c r="K2521" s="112">
        <v>7</v>
      </c>
      <c r="L2521" s="112">
        <v>8</v>
      </c>
      <c r="M2521" s="112">
        <v>3</v>
      </c>
      <c r="N2521" s="112">
        <v>3</v>
      </c>
      <c r="O2521" s="112">
        <v>3</v>
      </c>
    </row>
    <row r="2522" spans="1:15" x14ac:dyDescent="0.2">
      <c r="A2522" s="111">
        <v>2623</v>
      </c>
      <c r="B2522" s="421" t="s">
        <v>309</v>
      </c>
      <c r="C2522" s="421" t="s">
        <v>555</v>
      </c>
      <c r="D2522" s="422" t="s">
        <v>666</v>
      </c>
      <c r="E2522" s="111">
        <v>15459</v>
      </c>
      <c r="F2522" s="421" t="s">
        <v>4203</v>
      </c>
      <c r="G2522" s="112">
        <v>1</v>
      </c>
      <c r="H2522" s="112">
        <v>1</v>
      </c>
      <c r="I2522" s="112">
        <v>1</v>
      </c>
      <c r="J2522" s="112">
        <v>1</v>
      </c>
      <c r="K2522" s="112">
        <v>1</v>
      </c>
    </row>
    <row r="2523" spans="1:15" x14ac:dyDescent="0.2">
      <c r="A2523" s="111">
        <v>2624</v>
      </c>
      <c r="B2523" s="421" t="s">
        <v>186</v>
      </c>
      <c r="C2523" s="421" t="s">
        <v>555</v>
      </c>
      <c r="D2523" s="422" t="s">
        <v>663</v>
      </c>
      <c r="E2523" s="111">
        <v>15474</v>
      </c>
      <c r="F2523" s="421" t="s">
        <v>4371</v>
      </c>
      <c r="G2523" s="112">
        <v>1</v>
      </c>
      <c r="H2523" s="112">
        <v>1</v>
      </c>
      <c r="I2523" s="112">
        <v>1</v>
      </c>
      <c r="J2523" s="112">
        <v>1</v>
      </c>
    </row>
    <row r="2524" spans="1:15" x14ac:dyDescent="0.2">
      <c r="A2524" s="111">
        <v>2625</v>
      </c>
      <c r="B2524" s="421" t="s">
        <v>1327</v>
      </c>
      <c r="C2524" s="421" t="s">
        <v>521</v>
      </c>
      <c r="D2524" s="422" t="s">
        <v>666</v>
      </c>
      <c r="E2524" s="111">
        <v>15802</v>
      </c>
      <c r="F2524" s="421" t="s">
        <v>4204</v>
      </c>
      <c r="G2524" s="112">
        <v>1</v>
      </c>
      <c r="H2524" s="112">
        <v>1</v>
      </c>
      <c r="I2524" s="112">
        <v>1</v>
      </c>
    </row>
    <row r="2525" spans="1:15" x14ac:dyDescent="0.2">
      <c r="A2525" s="111">
        <v>2626</v>
      </c>
      <c r="B2525" s="421" t="s">
        <v>4205</v>
      </c>
      <c r="C2525" s="421" t="s">
        <v>516</v>
      </c>
      <c r="D2525" s="422" t="s">
        <v>663</v>
      </c>
      <c r="E2525" s="111">
        <v>15072</v>
      </c>
      <c r="F2525" s="421" t="s">
        <v>3057</v>
      </c>
      <c r="G2525" s="112">
        <v>1</v>
      </c>
      <c r="H2525" s="112">
        <v>1</v>
      </c>
      <c r="I2525" s="112">
        <v>1</v>
      </c>
      <c r="J2525" s="112">
        <v>7</v>
      </c>
      <c r="K2525" s="112">
        <v>6</v>
      </c>
      <c r="L2525" s="112">
        <v>7</v>
      </c>
      <c r="M2525" s="112">
        <v>3</v>
      </c>
      <c r="N2525" s="112">
        <v>2</v>
      </c>
      <c r="O2525" s="112">
        <v>3</v>
      </c>
    </row>
    <row r="2526" spans="1:15" x14ac:dyDescent="0.2">
      <c r="A2526" s="111">
        <v>2627</v>
      </c>
      <c r="B2526" s="421" t="s">
        <v>266</v>
      </c>
      <c r="C2526" s="421" t="s">
        <v>588</v>
      </c>
      <c r="D2526" s="422" t="s">
        <v>663</v>
      </c>
      <c r="E2526" s="111">
        <v>15460</v>
      </c>
      <c r="F2526" s="421" t="s">
        <v>4206</v>
      </c>
      <c r="G2526" s="112">
        <v>1</v>
      </c>
      <c r="H2526" s="112">
        <v>1</v>
      </c>
      <c r="I2526" s="112">
        <v>1</v>
      </c>
      <c r="J2526" s="112">
        <v>3</v>
      </c>
      <c r="K2526" s="112">
        <v>4</v>
      </c>
      <c r="L2526" s="112">
        <v>1</v>
      </c>
    </row>
    <row r="2527" spans="1:15" x14ac:dyDescent="0.2">
      <c r="A2527" s="111">
        <v>2628</v>
      </c>
      <c r="B2527" s="421" t="s">
        <v>2465</v>
      </c>
      <c r="C2527" s="421" t="s">
        <v>503</v>
      </c>
      <c r="D2527" s="422" t="s">
        <v>666</v>
      </c>
      <c r="E2527" s="111">
        <v>15159</v>
      </c>
      <c r="F2527" s="421" t="s">
        <v>3310</v>
      </c>
      <c r="G2527" s="112">
        <v>1</v>
      </c>
      <c r="H2527" s="112">
        <v>1</v>
      </c>
      <c r="I2527" s="112">
        <v>1</v>
      </c>
      <c r="J2527" s="112">
        <v>4</v>
      </c>
      <c r="K2527" s="112">
        <v>4</v>
      </c>
      <c r="L2527" s="112">
        <v>4</v>
      </c>
      <c r="M2527" s="112">
        <v>4</v>
      </c>
      <c r="N2527" s="112">
        <v>3</v>
      </c>
      <c r="O2527" s="112">
        <v>4</v>
      </c>
    </row>
    <row r="2528" spans="1:15" x14ac:dyDescent="0.2">
      <c r="A2528" s="111">
        <v>2629</v>
      </c>
      <c r="B2528" s="421" t="s">
        <v>1129</v>
      </c>
      <c r="C2528" s="421" t="s">
        <v>518</v>
      </c>
      <c r="D2528" s="422" t="s">
        <v>666</v>
      </c>
      <c r="E2528" s="111">
        <v>14303</v>
      </c>
      <c r="F2528" s="421" t="s">
        <v>807</v>
      </c>
      <c r="G2528" s="112">
        <v>1</v>
      </c>
      <c r="H2528" s="112">
        <v>1</v>
      </c>
      <c r="I2528" s="112">
        <v>1</v>
      </c>
    </row>
    <row r="2529" spans="1:15" x14ac:dyDescent="0.2">
      <c r="A2529" s="111">
        <v>2630</v>
      </c>
      <c r="B2529" s="421" t="s">
        <v>4207</v>
      </c>
      <c r="C2529" s="421" t="s">
        <v>513</v>
      </c>
      <c r="D2529" s="422" t="s">
        <v>663</v>
      </c>
      <c r="E2529" s="111">
        <v>15463</v>
      </c>
      <c r="F2529" s="421" t="s">
        <v>4208</v>
      </c>
      <c r="G2529" s="112">
        <v>1</v>
      </c>
      <c r="H2529" s="112">
        <v>1</v>
      </c>
      <c r="I2529" s="112">
        <v>1</v>
      </c>
      <c r="J2529" s="112">
        <v>1</v>
      </c>
      <c r="K2529" s="112">
        <v>1</v>
      </c>
      <c r="L2529" s="112">
        <v>3</v>
      </c>
    </row>
    <row r="2530" spans="1:15" x14ac:dyDescent="0.2">
      <c r="A2530" s="111">
        <v>2631</v>
      </c>
      <c r="B2530" s="421" t="s">
        <v>4209</v>
      </c>
      <c r="C2530" s="421" t="s">
        <v>543</v>
      </c>
      <c r="D2530" s="422" t="s">
        <v>666</v>
      </c>
      <c r="E2530" s="111">
        <v>16639</v>
      </c>
      <c r="F2530" s="421" t="s">
        <v>4210</v>
      </c>
      <c r="H2530" s="112">
        <v>1</v>
      </c>
      <c r="I2530" s="112">
        <v>1</v>
      </c>
    </row>
    <row r="2531" spans="1:15" x14ac:dyDescent="0.2">
      <c r="A2531" s="111">
        <v>2632</v>
      </c>
      <c r="B2531" s="421" t="s">
        <v>4211</v>
      </c>
      <c r="C2531" s="421" t="s">
        <v>543</v>
      </c>
      <c r="D2531" s="422" t="s">
        <v>663</v>
      </c>
      <c r="E2531" s="111">
        <v>16639</v>
      </c>
      <c r="F2531" s="421" t="s">
        <v>4210</v>
      </c>
      <c r="G2531" s="112">
        <v>1</v>
      </c>
      <c r="H2531" s="112">
        <v>1</v>
      </c>
      <c r="I2531" s="112">
        <v>1</v>
      </c>
    </row>
    <row r="2532" spans="1:15" x14ac:dyDescent="0.2">
      <c r="A2532" s="111">
        <v>2633</v>
      </c>
      <c r="B2532" s="421" t="s">
        <v>1407</v>
      </c>
      <c r="C2532" s="421" t="s">
        <v>503</v>
      </c>
      <c r="D2532" s="422" t="s">
        <v>666</v>
      </c>
      <c r="E2532" s="111">
        <v>15464</v>
      </c>
      <c r="F2532" s="421" t="s">
        <v>4212</v>
      </c>
      <c r="G2532" s="112">
        <v>1</v>
      </c>
      <c r="I2532" s="112">
        <v>1</v>
      </c>
    </row>
    <row r="2533" spans="1:15" x14ac:dyDescent="0.2">
      <c r="A2533" s="111">
        <v>2634</v>
      </c>
      <c r="B2533" s="421" t="s">
        <v>488</v>
      </c>
      <c r="C2533" s="421" t="s">
        <v>577</v>
      </c>
      <c r="D2533" s="422" t="s">
        <v>666</v>
      </c>
      <c r="E2533" s="111">
        <v>15465</v>
      </c>
      <c r="F2533" s="421" t="s">
        <v>4213</v>
      </c>
      <c r="G2533" s="112">
        <v>2</v>
      </c>
      <c r="H2533" s="112">
        <v>2</v>
      </c>
      <c r="I2533" s="112">
        <v>1</v>
      </c>
    </row>
    <row r="2534" spans="1:15" x14ac:dyDescent="0.2">
      <c r="A2534" s="111">
        <v>2635</v>
      </c>
      <c r="B2534" s="421" t="s">
        <v>4214</v>
      </c>
      <c r="C2534" s="421" t="s">
        <v>502</v>
      </c>
      <c r="D2534" s="422" t="s">
        <v>663</v>
      </c>
      <c r="E2534" s="111">
        <v>15772</v>
      </c>
      <c r="F2534" s="421" t="s">
        <v>4215</v>
      </c>
      <c r="G2534" s="112">
        <v>1</v>
      </c>
      <c r="H2534" s="112">
        <v>1</v>
      </c>
      <c r="I2534" s="112">
        <v>1</v>
      </c>
    </row>
    <row r="2535" spans="1:15" x14ac:dyDescent="0.2">
      <c r="A2535" s="111">
        <v>2636</v>
      </c>
      <c r="B2535" s="421" t="s">
        <v>1630</v>
      </c>
      <c r="C2535" s="421" t="s">
        <v>506</v>
      </c>
      <c r="D2535" s="422" t="s">
        <v>663</v>
      </c>
      <c r="E2535" s="111">
        <v>15466</v>
      </c>
      <c r="F2535" s="421" t="s">
        <v>4216</v>
      </c>
    </row>
    <row r="2536" spans="1:15" x14ac:dyDescent="0.2">
      <c r="A2536" s="111">
        <v>2637</v>
      </c>
      <c r="B2536" s="421" t="s">
        <v>124</v>
      </c>
      <c r="C2536" s="421" t="s">
        <v>518</v>
      </c>
      <c r="D2536" s="422" t="s">
        <v>666</v>
      </c>
      <c r="F2536" s="421" t="s">
        <v>4217</v>
      </c>
      <c r="G2536" s="112">
        <v>1</v>
      </c>
      <c r="H2536" s="112">
        <v>1</v>
      </c>
    </row>
    <row r="2537" spans="1:15" x14ac:dyDescent="0.2">
      <c r="A2537" s="111">
        <v>2638</v>
      </c>
      <c r="B2537" s="421" t="s">
        <v>2155</v>
      </c>
      <c r="C2537" s="421" t="s">
        <v>510</v>
      </c>
      <c r="D2537" s="422" t="s">
        <v>666</v>
      </c>
      <c r="E2537" s="111">
        <v>15305</v>
      </c>
      <c r="F2537" s="421" t="s">
        <v>3777</v>
      </c>
      <c r="G2537" s="112">
        <v>2</v>
      </c>
      <c r="H2537" s="112">
        <v>1</v>
      </c>
      <c r="I2537" s="112">
        <v>1</v>
      </c>
    </row>
    <row r="2538" spans="1:15" x14ac:dyDescent="0.2">
      <c r="A2538" s="111">
        <v>2639</v>
      </c>
      <c r="B2538" s="421" t="s">
        <v>4189</v>
      </c>
      <c r="C2538" s="421" t="s">
        <v>506</v>
      </c>
      <c r="D2538" s="422" t="s">
        <v>666</v>
      </c>
      <c r="E2538" s="111">
        <v>1465</v>
      </c>
      <c r="F2538" s="421" t="s">
        <v>708</v>
      </c>
    </row>
    <row r="2539" spans="1:15" x14ac:dyDescent="0.2">
      <c r="A2539" s="111">
        <v>2640</v>
      </c>
      <c r="B2539" s="421" t="s">
        <v>4282</v>
      </c>
      <c r="C2539" s="421" t="s">
        <v>503</v>
      </c>
      <c r="D2539" s="422" t="s">
        <v>663</v>
      </c>
      <c r="E2539" s="111">
        <v>14364</v>
      </c>
      <c r="F2539" s="421" t="s">
        <v>1202</v>
      </c>
    </row>
    <row r="2540" spans="1:15" x14ac:dyDescent="0.2">
      <c r="A2540" s="111">
        <v>2641</v>
      </c>
      <c r="B2540" s="421" t="s">
        <v>4283</v>
      </c>
      <c r="C2540" s="421" t="s">
        <v>3387</v>
      </c>
      <c r="D2540" s="422" t="s">
        <v>663</v>
      </c>
      <c r="E2540" s="111">
        <v>15347</v>
      </c>
      <c r="F2540" s="421" t="s">
        <v>4284</v>
      </c>
      <c r="G2540" s="112">
        <v>1</v>
      </c>
      <c r="H2540" s="112">
        <v>1</v>
      </c>
      <c r="I2540" s="112">
        <v>1</v>
      </c>
      <c r="J2540" s="112">
        <v>7</v>
      </c>
      <c r="K2540" s="112">
        <v>6</v>
      </c>
      <c r="L2540" s="112">
        <v>6</v>
      </c>
      <c r="M2540" s="112">
        <v>4</v>
      </c>
      <c r="N2540" s="112">
        <v>4</v>
      </c>
      <c r="O2540" s="112">
        <v>4</v>
      </c>
    </row>
    <row r="2541" spans="1:15" x14ac:dyDescent="0.2">
      <c r="A2541" s="111">
        <v>2642</v>
      </c>
      <c r="B2541" s="421" t="s">
        <v>1933</v>
      </c>
      <c r="C2541" s="421" t="s">
        <v>503</v>
      </c>
      <c r="D2541" s="422" t="s">
        <v>663</v>
      </c>
      <c r="F2541" s="421" t="s">
        <v>4285</v>
      </c>
    </row>
    <row r="2542" spans="1:15" x14ac:dyDescent="0.2">
      <c r="A2542" s="111">
        <v>2643</v>
      </c>
      <c r="B2542" s="421" t="s">
        <v>362</v>
      </c>
      <c r="C2542" s="421" t="s">
        <v>547</v>
      </c>
      <c r="D2542" s="422" t="s">
        <v>663</v>
      </c>
      <c r="E2542" s="111">
        <v>15376</v>
      </c>
      <c r="F2542" s="421" t="s">
        <v>4129</v>
      </c>
      <c r="G2542" s="112">
        <v>3</v>
      </c>
      <c r="H2542" s="112">
        <v>3</v>
      </c>
      <c r="I2542" s="112">
        <v>2</v>
      </c>
      <c r="J2542" s="112">
        <v>10</v>
      </c>
      <c r="K2542" s="112">
        <v>12</v>
      </c>
      <c r="L2542" s="112">
        <v>13</v>
      </c>
      <c r="M2542" s="112">
        <v>11</v>
      </c>
      <c r="N2542" s="112">
        <v>7</v>
      </c>
      <c r="O2542" s="112">
        <v>6</v>
      </c>
    </row>
    <row r="2543" spans="1:15" x14ac:dyDescent="0.2">
      <c r="A2543" s="111">
        <v>2644</v>
      </c>
      <c r="B2543" s="421" t="s">
        <v>418</v>
      </c>
      <c r="C2543" s="421" t="s">
        <v>532</v>
      </c>
      <c r="D2543" s="422" t="s">
        <v>663</v>
      </c>
      <c r="E2543" s="111">
        <v>15169</v>
      </c>
      <c r="F2543" s="421" t="s">
        <v>3315</v>
      </c>
      <c r="G2543" s="112">
        <v>2</v>
      </c>
      <c r="H2543" s="112">
        <v>2</v>
      </c>
      <c r="I2543" s="112">
        <v>2</v>
      </c>
      <c r="J2543" s="112">
        <v>7</v>
      </c>
      <c r="K2543" s="112">
        <v>3</v>
      </c>
      <c r="L2543" s="112">
        <v>6</v>
      </c>
    </row>
    <row r="2544" spans="1:15" x14ac:dyDescent="0.2">
      <c r="A2544" s="111">
        <v>2645</v>
      </c>
      <c r="B2544" s="421" t="s">
        <v>4328</v>
      </c>
      <c r="C2544" s="421" t="s">
        <v>501</v>
      </c>
      <c r="D2544" s="422" t="s">
        <v>666</v>
      </c>
      <c r="E2544" s="111">
        <v>15369</v>
      </c>
      <c r="F2544" s="421" t="s">
        <v>3913</v>
      </c>
      <c r="G2544" s="112">
        <v>1</v>
      </c>
      <c r="H2544" s="112">
        <v>1</v>
      </c>
    </row>
    <row r="2545" spans="1:15" x14ac:dyDescent="0.2">
      <c r="A2545" s="111">
        <v>2646</v>
      </c>
      <c r="B2545" s="421" t="s">
        <v>4329</v>
      </c>
      <c r="C2545" s="421" t="s">
        <v>504</v>
      </c>
      <c r="D2545" s="422" t="s">
        <v>666</v>
      </c>
      <c r="E2545" s="111">
        <v>15597</v>
      </c>
      <c r="F2545" s="421" t="s">
        <v>4330</v>
      </c>
      <c r="G2545" s="112">
        <v>1</v>
      </c>
      <c r="H2545" s="112">
        <v>1</v>
      </c>
      <c r="I2545" s="112">
        <v>1</v>
      </c>
      <c r="J2545" s="112">
        <v>3</v>
      </c>
      <c r="K2545" s="112">
        <v>2</v>
      </c>
      <c r="L2545" s="112">
        <v>2</v>
      </c>
      <c r="M2545" s="112">
        <v>3</v>
      </c>
      <c r="N2545" s="112">
        <v>2</v>
      </c>
    </row>
    <row r="2546" spans="1:15" x14ac:dyDescent="0.2">
      <c r="A2546" s="111">
        <v>2647</v>
      </c>
      <c r="B2546" s="421" t="s">
        <v>281</v>
      </c>
      <c r="C2546" s="421" t="s">
        <v>518</v>
      </c>
      <c r="D2546" s="422" t="s">
        <v>663</v>
      </c>
      <c r="F2546" s="421" t="s">
        <v>4331</v>
      </c>
    </row>
    <row r="2547" spans="1:15" x14ac:dyDescent="0.2">
      <c r="A2547" s="111">
        <v>2648</v>
      </c>
      <c r="B2547" s="421" t="s">
        <v>3361</v>
      </c>
      <c r="C2547" s="421" t="s">
        <v>556</v>
      </c>
      <c r="D2547" s="422" t="s">
        <v>663</v>
      </c>
      <c r="F2547" s="421" t="s">
        <v>4332</v>
      </c>
      <c r="G2547" s="112">
        <v>1</v>
      </c>
      <c r="H2547" s="112">
        <v>1</v>
      </c>
      <c r="I2547" s="112">
        <v>1</v>
      </c>
      <c r="J2547" s="112">
        <v>1</v>
      </c>
      <c r="K2547" s="112">
        <v>1</v>
      </c>
      <c r="L2547" s="112">
        <v>1</v>
      </c>
    </row>
    <row r="2548" spans="1:15" x14ac:dyDescent="0.2">
      <c r="A2548" s="111">
        <v>2649</v>
      </c>
      <c r="B2548" s="421" t="s">
        <v>390</v>
      </c>
      <c r="C2548" s="421" t="s">
        <v>3855</v>
      </c>
      <c r="D2548" s="422" t="s">
        <v>666</v>
      </c>
      <c r="E2548" s="111">
        <v>15468</v>
      </c>
      <c r="F2548" s="421" t="s">
        <v>4333</v>
      </c>
      <c r="G2548" s="112">
        <v>1</v>
      </c>
      <c r="H2548" s="112">
        <v>1</v>
      </c>
      <c r="I2548" s="112">
        <v>1</v>
      </c>
      <c r="J2548" s="112">
        <v>1</v>
      </c>
      <c r="K2548" s="112">
        <v>1</v>
      </c>
      <c r="L2548" s="112">
        <v>1</v>
      </c>
      <c r="M2548" s="112">
        <v>2</v>
      </c>
      <c r="N2548" s="112">
        <v>3</v>
      </c>
      <c r="O2548" s="112">
        <v>2</v>
      </c>
    </row>
    <row r="2549" spans="1:15" x14ac:dyDescent="0.2">
      <c r="A2549" s="111">
        <v>2650</v>
      </c>
      <c r="B2549" s="421" t="s">
        <v>1260</v>
      </c>
      <c r="C2549" s="421" t="s">
        <v>577</v>
      </c>
      <c r="D2549" s="422" t="s">
        <v>666</v>
      </c>
      <c r="E2549" s="111">
        <v>15469</v>
      </c>
      <c r="F2549" s="421" t="s">
        <v>4334</v>
      </c>
    </row>
    <row r="2550" spans="1:15" x14ac:dyDescent="0.2">
      <c r="A2550" s="111">
        <v>2651</v>
      </c>
      <c r="B2550" s="421" t="s">
        <v>4335</v>
      </c>
      <c r="C2550" s="421" t="s">
        <v>503</v>
      </c>
      <c r="D2550" s="422" t="s">
        <v>666</v>
      </c>
      <c r="E2550" s="111">
        <v>14300</v>
      </c>
      <c r="F2550" s="421" t="s">
        <v>1015</v>
      </c>
      <c r="G2550" s="112">
        <v>1</v>
      </c>
      <c r="H2550" s="112">
        <v>1</v>
      </c>
      <c r="I2550" s="112">
        <v>1</v>
      </c>
      <c r="J2550" s="112">
        <v>9</v>
      </c>
      <c r="K2550" s="112">
        <v>8</v>
      </c>
      <c r="L2550" s="112">
        <v>10</v>
      </c>
      <c r="M2550" s="112">
        <v>6</v>
      </c>
      <c r="N2550" s="112">
        <v>3</v>
      </c>
      <c r="O2550" s="112">
        <v>4</v>
      </c>
    </row>
    <row r="2551" spans="1:15" x14ac:dyDescent="0.2">
      <c r="A2551" s="111">
        <v>2652</v>
      </c>
      <c r="B2551" s="421" t="s">
        <v>4336</v>
      </c>
      <c r="C2551" s="421" t="s">
        <v>522</v>
      </c>
      <c r="D2551" s="422" t="s">
        <v>663</v>
      </c>
      <c r="E2551" s="111">
        <v>14667</v>
      </c>
      <c r="F2551" s="421" t="s">
        <v>1880</v>
      </c>
      <c r="G2551" s="112">
        <v>4</v>
      </c>
      <c r="H2551" s="112">
        <v>2</v>
      </c>
      <c r="I2551" s="112">
        <v>1</v>
      </c>
      <c r="J2551" s="112">
        <v>5</v>
      </c>
      <c r="K2551" s="112">
        <v>6</v>
      </c>
      <c r="L2551" s="112">
        <v>3</v>
      </c>
      <c r="M2551" s="112">
        <v>4</v>
      </c>
      <c r="N2551" s="112">
        <v>1</v>
      </c>
      <c r="O2551" s="112">
        <v>1</v>
      </c>
    </row>
    <row r="2552" spans="1:15" x14ac:dyDescent="0.2">
      <c r="A2552" s="111">
        <v>2653</v>
      </c>
      <c r="B2552" s="421" t="s">
        <v>4189</v>
      </c>
      <c r="C2552" s="421" t="s">
        <v>501</v>
      </c>
      <c r="D2552" s="422" t="s">
        <v>666</v>
      </c>
      <c r="E2552" s="111">
        <v>15471</v>
      </c>
      <c r="F2552" s="421" t="s">
        <v>4337</v>
      </c>
      <c r="G2552" s="112">
        <v>1</v>
      </c>
      <c r="H2552" s="112">
        <v>1</v>
      </c>
      <c r="I2552" s="112">
        <v>1</v>
      </c>
      <c r="J2552" s="112">
        <v>8</v>
      </c>
      <c r="K2552" s="112">
        <v>9</v>
      </c>
      <c r="L2552" s="112">
        <v>8</v>
      </c>
      <c r="M2552" s="112">
        <v>11</v>
      </c>
      <c r="N2552" s="112">
        <v>3</v>
      </c>
      <c r="O2552" s="112">
        <v>8</v>
      </c>
    </row>
    <row r="2553" spans="1:15" x14ac:dyDescent="0.2">
      <c r="A2553" s="111">
        <v>2654</v>
      </c>
      <c r="B2553" s="421" t="s">
        <v>4338</v>
      </c>
      <c r="C2553" s="421" t="s">
        <v>1870</v>
      </c>
      <c r="D2553" s="422" t="s">
        <v>663</v>
      </c>
      <c r="E2553" s="111">
        <v>15762</v>
      </c>
      <c r="F2553" s="421" t="s">
        <v>4339</v>
      </c>
    </row>
    <row r="2554" spans="1:15" x14ac:dyDescent="0.2">
      <c r="A2554" s="111">
        <v>2655</v>
      </c>
      <c r="B2554" s="421" t="s">
        <v>4340</v>
      </c>
      <c r="C2554" s="421" t="s">
        <v>1870</v>
      </c>
      <c r="D2554" s="422" t="s">
        <v>663</v>
      </c>
      <c r="E2554" s="111">
        <v>15762</v>
      </c>
      <c r="F2554" s="421" t="s">
        <v>4339</v>
      </c>
    </row>
    <row r="2555" spans="1:15" x14ac:dyDescent="0.2">
      <c r="A2555" s="111">
        <v>2656</v>
      </c>
      <c r="B2555" s="421" t="s">
        <v>4341</v>
      </c>
      <c r="C2555" s="421" t="s">
        <v>547</v>
      </c>
      <c r="D2555" s="422" t="s">
        <v>663</v>
      </c>
      <c r="E2555" s="111">
        <v>15055</v>
      </c>
      <c r="F2555" s="421" t="s">
        <v>3017</v>
      </c>
      <c r="G2555" s="112">
        <v>1</v>
      </c>
      <c r="H2555" s="112">
        <v>1</v>
      </c>
      <c r="I2555" s="112">
        <v>1</v>
      </c>
      <c r="J2555" s="112">
        <v>6</v>
      </c>
      <c r="K2555" s="112">
        <v>7</v>
      </c>
      <c r="L2555" s="112">
        <v>5</v>
      </c>
      <c r="M2555" s="112">
        <v>4</v>
      </c>
      <c r="N2555" s="112">
        <v>4</v>
      </c>
      <c r="O2555" s="112">
        <v>4</v>
      </c>
    </row>
    <row r="2556" spans="1:15" x14ac:dyDescent="0.2">
      <c r="A2556" s="111">
        <v>2657</v>
      </c>
      <c r="B2556" s="421" t="s">
        <v>3868</v>
      </c>
      <c r="C2556" s="421" t="s">
        <v>501</v>
      </c>
      <c r="D2556" s="422" t="s">
        <v>663</v>
      </c>
      <c r="E2556" s="111">
        <v>15326</v>
      </c>
      <c r="F2556" s="421" t="s">
        <v>3857</v>
      </c>
    </row>
    <row r="2557" spans="1:15" x14ac:dyDescent="0.2">
      <c r="A2557" s="111">
        <v>2658</v>
      </c>
      <c r="B2557" s="421" t="s">
        <v>1903</v>
      </c>
      <c r="C2557" s="421" t="s">
        <v>516</v>
      </c>
      <c r="D2557" s="422" t="s">
        <v>663</v>
      </c>
      <c r="E2557" s="111">
        <v>15472</v>
      </c>
      <c r="F2557" s="421" t="s">
        <v>4372</v>
      </c>
      <c r="G2557" s="112">
        <v>1</v>
      </c>
      <c r="H2557" s="112">
        <v>1</v>
      </c>
      <c r="I2557" s="112">
        <v>1</v>
      </c>
      <c r="J2557" s="112">
        <v>2</v>
      </c>
      <c r="K2557" s="112">
        <v>2</v>
      </c>
      <c r="L2557" s="112">
        <v>2</v>
      </c>
    </row>
    <row r="2558" spans="1:15" x14ac:dyDescent="0.2">
      <c r="A2558" s="111">
        <v>2659</v>
      </c>
      <c r="B2558" s="421" t="s">
        <v>4373</v>
      </c>
      <c r="C2558" s="421" t="s">
        <v>1817</v>
      </c>
      <c r="D2558" s="422" t="s">
        <v>663</v>
      </c>
      <c r="E2558" s="111">
        <v>15357</v>
      </c>
      <c r="F2558" s="421" t="s">
        <v>3355</v>
      </c>
      <c r="G2558" s="112">
        <v>1</v>
      </c>
      <c r="H2558" s="112">
        <v>1</v>
      </c>
      <c r="I2558" s="112">
        <v>1</v>
      </c>
      <c r="J2558" s="112">
        <v>3</v>
      </c>
      <c r="K2558" s="112">
        <v>2</v>
      </c>
      <c r="L2558" s="112">
        <v>2</v>
      </c>
      <c r="M2558" s="112">
        <v>2</v>
      </c>
    </row>
    <row r="2559" spans="1:15" x14ac:dyDescent="0.2">
      <c r="A2559" s="111">
        <v>2660</v>
      </c>
      <c r="B2559" s="421" t="s">
        <v>4374</v>
      </c>
      <c r="C2559" s="421" t="s">
        <v>3298</v>
      </c>
      <c r="D2559" s="422" t="s">
        <v>663</v>
      </c>
      <c r="E2559" s="111">
        <v>14982</v>
      </c>
      <c r="F2559" s="421" t="s">
        <v>3299</v>
      </c>
    </row>
    <row r="2560" spans="1:15" x14ac:dyDescent="0.2">
      <c r="A2560" s="111">
        <v>2661</v>
      </c>
      <c r="B2560" s="421" t="s">
        <v>4188</v>
      </c>
      <c r="C2560" s="421" t="s">
        <v>2932</v>
      </c>
      <c r="D2560" s="422" t="s">
        <v>663</v>
      </c>
      <c r="F2560" s="421" t="s">
        <v>4375</v>
      </c>
    </row>
    <row r="2561" spans="1:15" x14ac:dyDescent="0.2">
      <c r="A2561" s="111">
        <v>2662</v>
      </c>
      <c r="B2561" s="421" t="s">
        <v>1345</v>
      </c>
      <c r="C2561" s="421" t="s">
        <v>573</v>
      </c>
      <c r="D2561" s="422" t="s">
        <v>663</v>
      </c>
      <c r="E2561" s="111">
        <v>14542</v>
      </c>
      <c r="F2561" s="421" t="s">
        <v>1648</v>
      </c>
      <c r="G2561" s="112">
        <v>1</v>
      </c>
      <c r="H2561" s="112">
        <v>1</v>
      </c>
      <c r="I2561" s="112">
        <v>1</v>
      </c>
    </row>
    <row r="2562" spans="1:15" x14ac:dyDescent="0.2">
      <c r="A2562" s="111">
        <v>2663</v>
      </c>
      <c r="B2562" s="421" t="s">
        <v>122</v>
      </c>
      <c r="C2562" s="421" t="s">
        <v>506</v>
      </c>
      <c r="D2562" s="422" t="s">
        <v>663</v>
      </c>
      <c r="F2562" s="421" t="s">
        <v>4376</v>
      </c>
      <c r="G2562" s="112">
        <v>1</v>
      </c>
      <c r="H2562" s="112">
        <v>1</v>
      </c>
      <c r="I2562" s="112">
        <v>1</v>
      </c>
    </row>
    <row r="2563" spans="1:15" x14ac:dyDescent="0.2">
      <c r="A2563" s="111">
        <v>2664</v>
      </c>
      <c r="B2563" s="421" t="s">
        <v>159</v>
      </c>
      <c r="C2563" s="421" t="s">
        <v>1523</v>
      </c>
      <c r="D2563" s="422" t="s">
        <v>663</v>
      </c>
      <c r="E2563" s="111">
        <v>15315</v>
      </c>
      <c r="F2563" s="421" t="s">
        <v>3794</v>
      </c>
      <c r="G2563" s="112">
        <v>1</v>
      </c>
      <c r="H2563" s="112">
        <v>1</v>
      </c>
    </row>
    <row r="2564" spans="1:15" x14ac:dyDescent="0.2">
      <c r="A2564" s="111">
        <v>2665</v>
      </c>
      <c r="B2564" s="421" t="s">
        <v>1254</v>
      </c>
      <c r="C2564" s="421" t="s">
        <v>509</v>
      </c>
      <c r="D2564" s="422" t="s">
        <v>663</v>
      </c>
      <c r="E2564" s="111">
        <v>15475</v>
      </c>
      <c r="F2564" s="421" t="s">
        <v>4377</v>
      </c>
    </row>
    <row r="2565" spans="1:15" x14ac:dyDescent="0.2">
      <c r="A2565" s="111">
        <v>2666</v>
      </c>
      <c r="B2565" s="421" t="s">
        <v>1240</v>
      </c>
      <c r="C2565" s="421" t="s">
        <v>1447</v>
      </c>
      <c r="D2565" s="422" t="s">
        <v>666</v>
      </c>
      <c r="F2565" s="421" t="s">
        <v>4378</v>
      </c>
    </row>
    <row r="2566" spans="1:15" x14ac:dyDescent="0.2">
      <c r="A2566" s="111">
        <v>2667</v>
      </c>
      <c r="B2566" s="421" t="s">
        <v>2081</v>
      </c>
      <c r="C2566" s="421" t="s">
        <v>540</v>
      </c>
      <c r="D2566" s="422" t="s">
        <v>663</v>
      </c>
      <c r="E2566" s="111">
        <v>15191</v>
      </c>
      <c r="F2566" s="421" t="s">
        <v>1045</v>
      </c>
      <c r="G2566" s="112">
        <v>1</v>
      </c>
      <c r="H2566" s="112">
        <v>1</v>
      </c>
      <c r="I2566" s="112">
        <v>1</v>
      </c>
      <c r="J2566" s="112">
        <v>2</v>
      </c>
      <c r="K2566" s="112">
        <v>1</v>
      </c>
      <c r="L2566" s="112">
        <v>2</v>
      </c>
    </row>
    <row r="2567" spans="1:15" x14ac:dyDescent="0.2">
      <c r="A2567" s="111">
        <v>2668</v>
      </c>
      <c r="B2567" s="421" t="s">
        <v>4393</v>
      </c>
      <c r="C2567" s="421" t="s">
        <v>1447</v>
      </c>
      <c r="D2567" s="422" t="s">
        <v>663</v>
      </c>
      <c r="E2567" s="111">
        <v>15200</v>
      </c>
      <c r="F2567" s="421" t="s">
        <v>733</v>
      </c>
      <c r="G2567" s="112">
        <v>1</v>
      </c>
      <c r="H2567" s="112">
        <v>1</v>
      </c>
      <c r="I2567" s="112">
        <v>1</v>
      </c>
      <c r="J2567" s="112">
        <v>3</v>
      </c>
      <c r="K2567" s="112">
        <v>2</v>
      </c>
      <c r="L2567" s="112">
        <v>3</v>
      </c>
    </row>
    <row r="2568" spans="1:15" x14ac:dyDescent="0.2">
      <c r="A2568" s="111">
        <v>2669</v>
      </c>
      <c r="B2568" s="421" t="s">
        <v>257</v>
      </c>
      <c r="C2568" s="421" t="s">
        <v>501</v>
      </c>
      <c r="D2568" s="422" t="s">
        <v>663</v>
      </c>
      <c r="E2568" s="111">
        <v>15476</v>
      </c>
      <c r="F2568" s="421" t="s">
        <v>4394</v>
      </c>
      <c r="G2568" s="112">
        <v>1</v>
      </c>
      <c r="H2568" s="112">
        <v>1</v>
      </c>
      <c r="I2568" s="112">
        <v>1</v>
      </c>
      <c r="J2568" s="112">
        <v>8</v>
      </c>
      <c r="K2568" s="112">
        <v>7</v>
      </c>
      <c r="L2568" s="112">
        <v>7</v>
      </c>
      <c r="M2568" s="112">
        <v>4</v>
      </c>
      <c r="N2568" s="112">
        <v>3</v>
      </c>
      <c r="O2568" s="112">
        <v>5</v>
      </c>
    </row>
    <row r="2569" spans="1:15" x14ac:dyDescent="0.2">
      <c r="A2569" s="111">
        <v>2670</v>
      </c>
      <c r="B2569" s="421" t="s">
        <v>4395</v>
      </c>
      <c r="C2569" s="421" t="s">
        <v>1817</v>
      </c>
      <c r="D2569" s="422" t="s">
        <v>663</v>
      </c>
      <c r="E2569" s="111">
        <v>15479</v>
      </c>
      <c r="F2569" s="421" t="s">
        <v>4396</v>
      </c>
    </row>
    <row r="2570" spans="1:15" x14ac:dyDescent="0.2">
      <c r="A2570" s="111">
        <v>2671</v>
      </c>
      <c r="B2570" s="421" t="s">
        <v>1937</v>
      </c>
      <c r="C2570" s="421" t="s">
        <v>532</v>
      </c>
      <c r="D2570" s="422" t="s">
        <v>666</v>
      </c>
      <c r="E2570" s="111">
        <v>15246</v>
      </c>
      <c r="F2570" s="421" t="s">
        <v>3486</v>
      </c>
      <c r="G2570" s="112">
        <v>1</v>
      </c>
      <c r="H2570" s="112">
        <v>2</v>
      </c>
      <c r="I2570" s="112">
        <v>2</v>
      </c>
      <c r="J2570" s="112">
        <v>13</v>
      </c>
      <c r="K2570" s="112">
        <v>13</v>
      </c>
      <c r="L2570" s="112">
        <v>12</v>
      </c>
      <c r="M2570" s="112">
        <v>10</v>
      </c>
      <c r="N2570" s="112">
        <v>9</v>
      </c>
      <c r="O2570" s="112">
        <v>7</v>
      </c>
    </row>
    <row r="2571" spans="1:15" x14ac:dyDescent="0.2">
      <c r="A2571" s="111">
        <v>2672</v>
      </c>
      <c r="B2571" s="421" t="s">
        <v>4430</v>
      </c>
      <c r="C2571" s="421" t="s">
        <v>530</v>
      </c>
      <c r="D2571" s="422" t="s">
        <v>666</v>
      </c>
      <c r="F2571" s="421" t="s">
        <v>4431</v>
      </c>
    </row>
    <row r="2572" spans="1:15" x14ac:dyDescent="0.2">
      <c r="A2572" s="111">
        <v>2673</v>
      </c>
      <c r="B2572" s="421" t="s">
        <v>302</v>
      </c>
      <c r="C2572" s="421" t="s">
        <v>1644</v>
      </c>
      <c r="D2572" s="422" t="s">
        <v>666</v>
      </c>
      <c r="E2572" s="111">
        <v>15483</v>
      </c>
      <c r="F2572" s="421" t="s">
        <v>4432</v>
      </c>
    </row>
    <row r="2573" spans="1:15" x14ac:dyDescent="0.2">
      <c r="A2573" s="111">
        <v>2674</v>
      </c>
      <c r="B2573" s="421" t="s">
        <v>4433</v>
      </c>
      <c r="C2573" s="421" t="s">
        <v>1625</v>
      </c>
      <c r="D2573" s="422" t="s">
        <v>666</v>
      </c>
      <c r="E2573" s="111">
        <v>15482</v>
      </c>
      <c r="F2573" s="421" t="s">
        <v>4434</v>
      </c>
    </row>
    <row r="2574" spans="1:15" x14ac:dyDescent="0.2">
      <c r="A2574" s="111">
        <v>2675</v>
      </c>
      <c r="B2574" s="421" t="s">
        <v>4435</v>
      </c>
      <c r="C2574" s="421" t="s">
        <v>503</v>
      </c>
      <c r="D2574" s="422" t="s">
        <v>663</v>
      </c>
      <c r="E2574" s="111">
        <v>15484</v>
      </c>
      <c r="F2574" s="421" t="s">
        <v>4436</v>
      </c>
      <c r="G2574" s="112">
        <v>1</v>
      </c>
      <c r="H2574" s="112">
        <v>1</v>
      </c>
      <c r="I2574" s="112">
        <v>1</v>
      </c>
      <c r="J2574" s="112">
        <v>3</v>
      </c>
      <c r="K2574" s="112">
        <v>3</v>
      </c>
      <c r="L2574" s="112">
        <v>3</v>
      </c>
      <c r="M2574" s="112">
        <v>6</v>
      </c>
      <c r="N2574" s="112">
        <v>8</v>
      </c>
      <c r="O2574" s="112">
        <v>7</v>
      </c>
    </row>
    <row r="2575" spans="1:15" x14ac:dyDescent="0.2">
      <c r="A2575" s="111">
        <v>2676</v>
      </c>
      <c r="B2575" s="421" t="s">
        <v>4437</v>
      </c>
      <c r="C2575" s="421" t="s">
        <v>551</v>
      </c>
      <c r="D2575" s="422" t="s">
        <v>663</v>
      </c>
      <c r="E2575" s="111">
        <v>15908</v>
      </c>
      <c r="F2575" s="421" t="s">
        <v>2777</v>
      </c>
      <c r="G2575" s="112">
        <v>1</v>
      </c>
      <c r="H2575" s="112">
        <v>1</v>
      </c>
      <c r="I2575" s="112">
        <v>1</v>
      </c>
      <c r="J2575" s="112">
        <v>2</v>
      </c>
      <c r="K2575" s="112">
        <v>2</v>
      </c>
      <c r="L2575" s="112">
        <v>2</v>
      </c>
      <c r="M2575" s="112">
        <v>1</v>
      </c>
      <c r="N2575" s="112">
        <v>1</v>
      </c>
    </row>
    <row r="2576" spans="1:15" x14ac:dyDescent="0.2">
      <c r="A2576" s="111">
        <v>2677</v>
      </c>
      <c r="B2576" s="421" t="s">
        <v>381</v>
      </c>
      <c r="C2576" s="421" t="s">
        <v>572</v>
      </c>
      <c r="D2576" s="422" t="s">
        <v>663</v>
      </c>
      <c r="E2576" s="111">
        <v>15486</v>
      </c>
      <c r="F2576" s="421" t="s">
        <v>4438</v>
      </c>
      <c r="G2576" s="112">
        <v>1</v>
      </c>
      <c r="H2576" s="112">
        <v>1</v>
      </c>
      <c r="I2576" s="112">
        <v>1</v>
      </c>
      <c r="J2576" s="112">
        <v>1</v>
      </c>
      <c r="K2576" s="112">
        <v>1</v>
      </c>
      <c r="L2576" s="112">
        <v>1</v>
      </c>
    </row>
    <row r="2577" spans="1:15" x14ac:dyDescent="0.2">
      <c r="A2577" s="111">
        <v>2678</v>
      </c>
      <c r="B2577" s="421" t="s">
        <v>4439</v>
      </c>
      <c r="C2577" s="421" t="s">
        <v>503</v>
      </c>
      <c r="D2577" s="422" t="s">
        <v>666</v>
      </c>
      <c r="E2577" s="111">
        <v>14634</v>
      </c>
      <c r="F2577" s="421" t="s">
        <v>1906</v>
      </c>
      <c r="G2577" s="112">
        <v>3</v>
      </c>
      <c r="H2577" s="112">
        <v>1</v>
      </c>
      <c r="I2577" s="112">
        <v>1</v>
      </c>
      <c r="J2577" s="112">
        <v>6</v>
      </c>
      <c r="K2577" s="112">
        <v>5</v>
      </c>
      <c r="L2577" s="112">
        <v>4</v>
      </c>
      <c r="M2577" s="112">
        <v>2</v>
      </c>
      <c r="O2577" s="112">
        <v>1</v>
      </c>
    </row>
    <row r="2578" spans="1:15" x14ac:dyDescent="0.2">
      <c r="A2578" s="111">
        <v>2679</v>
      </c>
      <c r="B2578" s="421" t="s">
        <v>4440</v>
      </c>
      <c r="C2578" s="421" t="s">
        <v>1112</v>
      </c>
      <c r="D2578" s="422" t="s">
        <v>663</v>
      </c>
      <c r="E2578" s="111">
        <v>15487</v>
      </c>
      <c r="F2578" s="421" t="s">
        <v>4441</v>
      </c>
      <c r="G2578" s="112">
        <v>1</v>
      </c>
      <c r="H2578" s="112">
        <v>2</v>
      </c>
      <c r="I2578" s="112">
        <v>2</v>
      </c>
      <c r="J2578" s="112">
        <v>2</v>
      </c>
      <c r="L2578" s="112">
        <v>1</v>
      </c>
    </row>
    <row r="2579" spans="1:15" x14ac:dyDescent="0.2">
      <c r="A2579" s="111">
        <v>2680</v>
      </c>
      <c r="B2579" s="421" t="s">
        <v>4442</v>
      </c>
      <c r="C2579" s="421" t="s">
        <v>551</v>
      </c>
      <c r="D2579" s="422" t="s">
        <v>666</v>
      </c>
      <c r="E2579" s="111">
        <v>15488</v>
      </c>
      <c r="F2579" s="421" t="s">
        <v>8396</v>
      </c>
      <c r="G2579" s="112">
        <v>1</v>
      </c>
      <c r="H2579" s="112">
        <v>1</v>
      </c>
      <c r="I2579" s="112">
        <v>1</v>
      </c>
      <c r="J2579" s="112">
        <v>10</v>
      </c>
      <c r="K2579" s="112">
        <v>12</v>
      </c>
      <c r="L2579" s="112">
        <v>10</v>
      </c>
      <c r="M2579" s="112">
        <v>9</v>
      </c>
      <c r="N2579" s="112">
        <v>9</v>
      </c>
      <c r="O2579" s="112">
        <v>8</v>
      </c>
    </row>
    <row r="2580" spans="1:15" x14ac:dyDescent="0.2">
      <c r="A2580" s="111">
        <v>2681</v>
      </c>
      <c r="B2580" s="421" t="s">
        <v>4443</v>
      </c>
      <c r="C2580" s="421" t="s">
        <v>1994</v>
      </c>
      <c r="D2580" s="422" t="s">
        <v>663</v>
      </c>
      <c r="E2580" s="111">
        <v>15573</v>
      </c>
      <c r="F2580" s="421" t="s">
        <v>4444</v>
      </c>
    </row>
    <row r="2581" spans="1:15" x14ac:dyDescent="0.2">
      <c r="A2581" s="111">
        <v>2682</v>
      </c>
      <c r="B2581" s="421" t="s">
        <v>4445</v>
      </c>
      <c r="C2581" s="421" t="s">
        <v>501</v>
      </c>
      <c r="D2581" s="422" t="s">
        <v>663</v>
      </c>
      <c r="E2581" s="111">
        <v>15462</v>
      </c>
      <c r="F2581" s="421" t="s">
        <v>4446</v>
      </c>
      <c r="G2581" s="112">
        <v>1</v>
      </c>
      <c r="H2581" s="112">
        <v>1</v>
      </c>
      <c r="I2581" s="112">
        <v>1</v>
      </c>
      <c r="J2581" s="112">
        <v>1</v>
      </c>
      <c r="K2581" s="112">
        <v>1</v>
      </c>
      <c r="L2581" s="112">
        <v>1</v>
      </c>
      <c r="O2581" s="112">
        <v>1</v>
      </c>
    </row>
    <row r="2582" spans="1:15" x14ac:dyDescent="0.2">
      <c r="A2582" s="111">
        <v>2683</v>
      </c>
      <c r="B2582" s="421" t="s">
        <v>4447</v>
      </c>
      <c r="C2582" s="421" t="s">
        <v>506</v>
      </c>
      <c r="D2582" s="422" t="s">
        <v>666</v>
      </c>
      <c r="E2582" s="111">
        <v>15489</v>
      </c>
      <c r="F2582" s="421" t="s">
        <v>4448</v>
      </c>
    </row>
    <row r="2583" spans="1:15" x14ac:dyDescent="0.2">
      <c r="A2583" s="111">
        <v>2684</v>
      </c>
      <c r="B2583" s="421" t="s">
        <v>106</v>
      </c>
      <c r="C2583" s="421" t="s">
        <v>540</v>
      </c>
      <c r="D2583" s="422" t="s">
        <v>666</v>
      </c>
      <c r="F2583" s="421" t="s">
        <v>4449</v>
      </c>
      <c r="G2583" s="112">
        <v>1</v>
      </c>
      <c r="H2583" s="112">
        <v>1</v>
      </c>
      <c r="I2583" s="112">
        <v>1</v>
      </c>
      <c r="J2583" s="112">
        <v>7</v>
      </c>
      <c r="K2583" s="112">
        <v>9</v>
      </c>
      <c r="L2583" s="112">
        <v>7</v>
      </c>
      <c r="M2583" s="112">
        <v>3</v>
      </c>
      <c r="N2583" s="112">
        <v>4</v>
      </c>
      <c r="O2583" s="112">
        <v>3</v>
      </c>
    </row>
    <row r="2584" spans="1:15" x14ac:dyDescent="0.2">
      <c r="A2584" s="111">
        <v>2685</v>
      </c>
      <c r="B2584" s="421" t="s">
        <v>4450</v>
      </c>
      <c r="C2584" s="421" t="s">
        <v>506</v>
      </c>
      <c r="D2584" s="422" t="s">
        <v>663</v>
      </c>
      <c r="E2584" s="111">
        <v>15518</v>
      </c>
      <c r="F2584" s="421" t="s">
        <v>4451</v>
      </c>
      <c r="G2584" s="112">
        <v>1</v>
      </c>
      <c r="H2584" s="112">
        <v>1</v>
      </c>
      <c r="I2584" s="112">
        <v>1</v>
      </c>
      <c r="J2584" s="112">
        <v>7</v>
      </c>
      <c r="K2584" s="112">
        <v>7</v>
      </c>
      <c r="L2584" s="112">
        <v>6</v>
      </c>
      <c r="M2584" s="112">
        <v>3</v>
      </c>
      <c r="N2584" s="112">
        <v>3</v>
      </c>
      <c r="O2584" s="112">
        <v>3</v>
      </c>
    </row>
    <row r="2585" spans="1:15" x14ac:dyDescent="0.2">
      <c r="A2585" s="111">
        <v>2686</v>
      </c>
      <c r="B2585" s="421" t="s">
        <v>3868</v>
      </c>
      <c r="C2585" s="421" t="s">
        <v>504</v>
      </c>
      <c r="D2585" s="422" t="s">
        <v>663</v>
      </c>
      <c r="E2585" s="111">
        <v>15615</v>
      </c>
      <c r="F2585" s="421" t="s">
        <v>4452</v>
      </c>
      <c r="G2585" s="112">
        <v>1</v>
      </c>
      <c r="H2585" s="112">
        <v>1</v>
      </c>
      <c r="I2585" s="112">
        <v>1</v>
      </c>
      <c r="J2585" s="112">
        <v>3</v>
      </c>
      <c r="K2585" s="112">
        <v>2</v>
      </c>
      <c r="L2585" s="112">
        <v>2</v>
      </c>
      <c r="M2585" s="112">
        <v>1</v>
      </c>
      <c r="N2585" s="112">
        <v>1</v>
      </c>
    </row>
    <row r="2586" spans="1:15" x14ac:dyDescent="0.2">
      <c r="A2586" s="111">
        <v>2687</v>
      </c>
      <c r="B2586" s="421" t="s">
        <v>80</v>
      </c>
      <c r="C2586" s="421" t="s">
        <v>514</v>
      </c>
      <c r="D2586" s="422" t="s">
        <v>663</v>
      </c>
      <c r="E2586" s="111">
        <v>15492</v>
      </c>
      <c r="F2586" s="421" t="s">
        <v>4453</v>
      </c>
      <c r="G2586" s="112">
        <v>4</v>
      </c>
      <c r="H2586" s="112">
        <v>2</v>
      </c>
      <c r="I2586" s="112">
        <v>1</v>
      </c>
      <c r="J2586" s="112">
        <v>6</v>
      </c>
      <c r="K2586" s="112">
        <v>4</v>
      </c>
      <c r="L2586" s="112">
        <v>6</v>
      </c>
      <c r="M2586" s="112">
        <v>4</v>
      </c>
      <c r="N2586" s="112">
        <v>3</v>
      </c>
      <c r="O2586" s="112">
        <v>3</v>
      </c>
    </row>
    <row r="2587" spans="1:15" x14ac:dyDescent="0.2">
      <c r="A2587" s="111">
        <v>2688</v>
      </c>
      <c r="B2587" s="421" t="s">
        <v>4454</v>
      </c>
      <c r="C2587" s="421" t="s">
        <v>527</v>
      </c>
      <c r="D2587" s="422" t="s">
        <v>666</v>
      </c>
      <c r="E2587" s="111">
        <v>15493</v>
      </c>
      <c r="F2587" s="421" t="s">
        <v>4455</v>
      </c>
      <c r="G2587" s="112">
        <v>1</v>
      </c>
    </row>
    <row r="2588" spans="1:15" x14ac:dyDescent="0.2">
      <c r="A2588" s="111">
        <v>2689</v>
      </c>
      <c r="B2588" s="421" t="s">
        <v>4456</v>
      </c>
      <c r="C2588" s="421" t="s">
        <v>510</v>
      </c>
      <c r="D2588" s="422" t="s">
        <v>663</v>
      </c>
      <c r="E2588" s="111">
        <v>15494</v>
      </c>
      <c r="F2588" s="421" t="s">
        <v>4457</v>
      </c>
      <c r="G2588" s="112">
        <v>1</v>
      </c>
    </row>
    <row r="2589" spans="1:15" x14ac:dyDescent="0.2">
      <c r="A2589" s="111">
        <v>2690</v>
      </c>
      <c r="B2589" s="421" t="s">
        <v>4458</v>
      </c>
      <c r="C2589" s="421" t="s">
        <v>577</v>
      </c>
      <c r="D2589" s="422" t="s">
        <v>663</v>
      </c>
      <c r="E2589" s="111">
        <v>15495</v>
      </c>
      <c r="F2589" s="421" t="s">
        <v>4459</v>
      </c>
    </row>
    <row r="2590" spans="1:15" x14ac:dyDescent="0.2">
      <c r="A2590" s="111">
        <v>2691</v>
      </c>
      <c r="B2590" s="421" t="s">
        <v>3553</v>
      </c>
      <c r="C2590" s="421" t="s">
        <v>506</v>
      </c>
      <c r="D2590" s="422" t="s">
        <v>666</v>
      </c>
      <c r="E2590" s="111">
        <v>15497</v>
      </c>
      <c r="F2590" s="421" t="s">
        <v>4490</v>
      </c>
      <c r="G2590" s="112">
        <v>1</v>
      </c>
      <c r="H2590" s="112">
        <v>1</v>
      </c>
      <c r="I2590" s="112">
        <v>1</v>
      </c>
      <c r="J2590" s="112">
        <v>1</v>
      </c>
    </row>
    <row r="2591" spans="1:15" x14ac:dyDescent="0.2">
      <c r="A2591" s="111">
        <v>2692</v>
      </c>
      <c r="B2591" s="421" t="s">
        <v>4491</v>
      </c>
      <c r="C2591" s="421" t="s">
        <v>501</v>
      </c>
      <c r="D2591" s="422" t="s">
        <v>666</v>
      </c>
      <c r="E2591" s="111">
        <v>15832</v>
      </c>
      <c r="F2591" s="421" t="s">
        <v>2596</v>
      </c>
      <c r="G2591" s="112">
        <v>1</v>
      </c>
      <c r="H2591" s="112">
        <v>1</v>
      </c>
      <c r="I2591" s="112">
        <v>1</v>
      </c>
      <c r="J2591" s="112">
        <v>2</v>
      </c>
      <c r="K2591" s="112">
        <v>2</v>
      </c>
      <c r="L2591" s="112">
        <v>2</v>
      </c>
      <c r="N2591" s="112">
        <v>2</v>
      </c>
      <c r="O2591" s="112">
        <v>2</v>
      </c>
    </row>
    <row r="2592" spans="1:15" x14ac:dyDescent="0.2">
      <c r="A2592" s="111">
        <v>2693</v>
      </c>
      <c r="B2592" s="421" t="s">
        <v>4492</v>
      </c>
      <c r="C2592" s="421" t="s">
        <v>591</v>
      </c>
      <c r="D2592" s="422" t="s">
        <v>663</v>
      </c>
      <c r="F2592" s="421" t="s">
        <v>4493</v>
      </c>
    </row>
    <row r="2593" spans="1:15" x14ac:dyDescent="0.2">
      <c r="A2593" s="111">
        <v>2694</v>
      </c>
      <c r="B2593" s="421" t="s">
        <v>4494</v>
      </c>
      <c r="C2593" s="421" t="s">
        <v>574</v>
      </c>
      <c r="D2593" s="422" t="s">
        <v>666</v>
      </c>
      <c r="E2593" s="111">
        <v>15499</v>
      </c>
      <c r="F2593" s="421" t="s">
        <v>4495</v>
      </c>
      <c r="G2593" s="112">
        <v>2</v>
      </c>
      <c r="H2593" s="112">
        <v>1</v>
      </c>
      <c r="I2593" s="112">
        <v>1</v>
      </c>
      <c r="J2593" s="112">
        <v>12</v>
      </c>
      <c r="K2593" s="112">
        <v>13</v>
      </c>
      <c r="L2593" s="112">
        <v>10</v>
      </c>
      <c r="M2593" s="112">
        <v>11</v>
      </c>
      <c r="N2593" s="112">
        <v>6</v>
      </c>
      <c r="O2593" s="112">
        <v>9</v>
      </c>
    </row>
    <row r="2594" spans="1:15" x14ac:dyDescent="0.2">
      <c r="A2594" s="111">
        <v>2695</v>
      </c>
      <c r="B2594" s="421" t="s">
        <v>4496</v>
      </c>
      <c r="C2594" s="421" t="s">
        <v>506</v>
      </c>
      <c r="D2594" s="422" t="s">
        <v>663</v>
      </c>
      <c r="E2594" s="111">
        <v>14237</v>
      </c>
      <c r="F2594" s="421" t="s">
        <v>963</v>
      </c>
      <c r="G2594" s="112">
        <v>2</v>
      </c>
      <c r="H2594" s="112">
        <v>1</v>
      </c>
      <c r="I2594" s="112">
        <v>1</v>
      </c>
      <c r="J2594" s="112">
        <v>1</v>
      </c>
      <c r="K2594" s="112">
        <v>2</v>
      </c>
      <c r="L2594" s="112">
        <v>1</v>
      </c>
      <c r="N2594" s="112">
        <v>1</v>
      </c>
    </row>
    <row r="2595" spans="1:15" x14ac:dyDescent="0.2">
      <c r="A2595" s="111">
        <v>2696</v>
      </c>
      <c r="B2595" s="421" t="s">
        <v>3169</v>
      </c>
      <c r="C2595" s="421" t="s">
        <v>503</v>
      </c>
      <c r="D2595" s="422" t="s">
        <v>666</v>
      </c>
      <c r="E2595" s="111">
        <v>15322</v>
      </c>
      <c r="F2595" s="421" t="s">
        <v>3829</v>
      </c>
    </row>
    <row r="2596" spans="1:15" x14ac:dyDescent="0.2">
      <c r="A2596" s="111">
        <v>2697</v>
      </c>
      <c r="B2596" s="421" t="s">
        <v>4497</v>
      </c>
      <c r="C2596" s="421" t="s">
        <v>1066</v>
      </c>
      <c r="D2596" s="422" t="s">
        <v>663</v>
      </c>
      <c r="F2596" s="421" t="s">
        <v>4498</v>
      </c>
    </row>
    <row r="2597" spans="1:15" x14ac:dyDescent="0.2">
      <c r="A2597" s="111">
        <v>2698</v>
      </c>
      <c r="B2597" s="421" t="s">
        <v>4499</v>
      </c>
      <c r="C2597" s="421" t="s">
        <v>563</v>
      </c>
      <c r="D2597" s="422" t="s">
        <v>663</v>
      </c>
      <c r="E2597" s="111">
        <v>14250</v>
      </c>
      <c r="F2597" s="421" t="s">
        <v>978</v>
      </c>
      <c r="G2597" s="112">
        <v>1</v>
      </c>
      <c r="H2597" s="112">
        <v>1</v>
      </c>
      <c r="I2597" s="112">
        <v>1</v>
      </c>
      <c r="J2597" s="112">
        <v>7</v>
      </c>
      <c r="K2597" s="112">
        <v>7</v>
      </c>
      <c r="L2597" s="112">
        <v>6</v>
      </c>
      <c r="M2597" s="112">
        <v>3</v>
      </c>
      <c r="N2597" s="112">
        <v>3</v>
      </c>
      <c r="O2597" s="112">
        <v>3</v>
      </c>
    </row>
    <row r="2598" spans="1:15" x14ac:dyDescent="0.2">
      <c r="A2598" s="111">
        <v>2699</v>
      </c>
      <c r="B2598" s="421" t="s">
        <v>1845</v>
      </c>
      <c r="C2598" s="421" t="s">
        <v>512</v>
      </c>
      <c r="D2598" s="422" t="s">
        <v>666</v>
      </c>
      <c r="E2598" s="111">
        <v>15500</v>
      </c>
      <c r="F2598" s="421" t="s">
        <v>4500</v>
      </c>
      <c r="G2598" s="112">
        <v>1</v>
      </c>
      <c r="H2598" s="112">
        <v>1</v>
      </c>
    </row>
    <row r="2599" spans="1:15" x14ac:dyDescent="0.2">
      <c r="A2599" s="111">
        <v>2700</v>
      </c>
      <c r="B2599" s="421" t="s">
        <v>2247</v>
      </c>
      <c r="C2599" s="421" t="s">
        <v>548</v>
      </c>
      <c r="D2599" s="422" t="s">
        <v>666</v>
      </c>
      <c r="E2599" s="111">
        <v>15510</v>
      </c>
      <c r="F2599" s="421" t="s">
        <v>4501</v>
      </c>
      <c r="G2599" s="112">
        <v>1</v>
      </c>
      <c r="H2599" s="112">
        <v>1</v>
      </c>
      <c r="I2599" s="112">
        <v>1</v>
      </c>
      <c r="J2599" s="112">
        <v>4</v>
      </c>
      <c r="K2599" s="112">
        <v>1</v>
      </c>
      <c r="L2599" s="112">
        <v>2</v>
      </c>
    </row>
    <row r="2600" spans="1:15" x14ac:dyDescent="0.2">
      <c r="A2600" s="111">
        <v>2701</v>
      </c>
      <c r="B2600" s="421" t="s">
        <v>597</v>
      </c>
      <c r="C2600" s="421" t="s">
        <v>572</v>
      </c>
      <c r="D2600" s="422" t="s">
        <v>663</v>
      </c>
      <c r="E2600" s="111">
        <v>15490</v>
      </c>
      <c r="F2600" s="421" t="s">
        <v>4502</v>
      </c>
      <c r="G2600" s="112">
        <v>1</v>
      </c>
      <c r="H2600" s="112">
        <v>1</v>
      </c>
    </row>
    <row r="2601" spans="1:15" x14ac:dyDescent="0.2">
      <c r="A2601" s="111">
        <v>2702</v>
      </c>
      <c r="B2601" s="421" t="s">
        <v>4503</v>
      </c>
      <c r="C2601" s="421" t="s">
        <v>628</v>
      </c>
      <c r="D2601" s="422" t="s">
        <v>666</v>
      </c>
      <c r="E2601" s="111">
        <v>15519</v>
      </c>
      <c r="F2601" s="421" t="s">
        <v>4504</v>
      </c>
      <c r="G2601" s="112">
        <v>1</v>
      </c>
      <c r="H2601" s="112">
        <v>1</v>
      </c>
      <c r="I2601" s="112">
        <v>1</v>
      </c>
    </row>
    <row r="2602" spans="1:15" x14ac:dyDescent="0.2">
      <c r="A2602" s="111">
        <v>2703</v>
      </c>
      <c r="B2602" s="421" t="s">
        <v>2266</v>
      </c>
      <c r="C2602" s="421" t="s">
        <v>510</v>
      </c>
      <c r="D2602" s="422" t="s">
        <v>666</v>
      </c>
      <c r="E2602" s="111">
        <v>15661</v>
      </c>
      <c r="F2602" s="421" t="s">
        <v>4505</v>
      </c>
    </row>
    <row r="2603" spans="1:15" x14ac:dyDescent="0.2">
      <c r="A2603" s="111">
        <v>2704</v>
      </c>
      <c r="B2603" s="421" t="s">
        <v>4506</v>
      </c>
      <c r="C2603" s="421" t="s">
        <v>503</v>
      </c>
      <c r="D2603" s="422" t="s">
        <v>666</v>
      </c>
      <c r="E2603" s="111">
        <v>15491</v>
      </c>
      <c r="F2603" s="421" t="s">
        <v>10199</v>
      </c>
      <c r="G2603" s="112">
        <v>2</v>
      </c>
      <c r="H2603" s="112">
        <v>2</v>
      </c>
      <c r="I2603" s="112">
        <v>2</v>
      </c>
      <c r="J2603" s="112">
        <v>1</v>
      </c>
      <c r="L2603" s="112">
        <v>1</v>
      </c>
    </row>
    <row r="2604" spans="1:15" x14ac:dyDescent="0.2">
      <c r="A2604" s="111">
        <v>2705</v>
      </c>
      <c r="B2604" s="421" t="s">
        <v>2409</v>
      </c>
      <c r="C2604" s="421" t="s">
        <v>503</v>
      </c>
      <c r="D2604" s="422" t="s">
        <v>663</v>
      </c>
      <c r="E2604" s="111">
        <v>15491</v>
      </c>
      <c r="F2604" s="421" t="s">
        <v>10199</v>
      </c>
      <c r="G2604" s="112">
        <v>1</v>
      </c>
      <c r="H2604" s="112">
        <v>1</v>
      </c>
      <c r="I2604" s="112">
        <v>1</v>
      </c>
    </row>
    <row r="2605" spans="1:15" x14ac:dyDescent="0.2">
      <c r="A2605" s="111">
        <v>2706</v>
      </c>
      <c r="B2605" s="421" t="s">
        <v>2856</v>
      </c>
      <c r="C2605" s="421" t="s">
        <v>503</v>
      </c>
      <c r="D2605" s="422" t="s">
        <v>666</v>
      </c>
      <c r="E2605" s="111">
        <v>15503</v>
      </c>
      <c r="F2605" s="421" t="s">
        <v>4507</v>
      </c>
    </row>
    <row r="2606" spans="1:15" x14ac:dyDescent="0.2">
      <c r="A2606" s="111">
        <v>2707</v>
      </c>
      <c r="B2606" s="421" t="s">
        <v>4508</v>
      </c>
      <c r="C2606" s="421" t="s">
        <v>502</v>
      </c>
      <c r="D2606" s="422" t="s">
        <v>663</v>
      </c>
      <c r="E2606" s="111">
        <v>15501</v>
      </c>
      <c r="F2606" s="421" t="s">
        <v>4509</v>
      </c>
      <c r="G2606" s="112">
        <v>1</v>
      </c>
      <c r="H2606" s="112">
        <v>1</v>
      </c>
      <c r="I2606" s="112">
        <v>1</v>
      </c>
    </row>
    <row r="2607" spans="1:15" x14ac:dyDescent="0.2">
      <c r="A2607" s="111">
        <v>2708</v>
      </c>
      <c r="B2607" s="421" t="s">
        <v>4510</v>
      </c>
      <c r="C2607" s="421" t="s">
        <v>506</v>
      </c>
      <c r="D2607" s="422" t="s">
        <v>666</v>
      </c>
      <c r="E2607" s="111">
        <v>15501</v>
      </c>
      <c r="F2607" s="421" t="s">
        <v>4509</v>
      </c>
      <c r="G2607" s="112">
        <v>1</v>
      </c>
      <c r="H2607" s="112">
        <v>1</v>
      </c>
    </row>
    <row r="2608" spans="1:15" x14ac:dyDescent="0.2">
      <c r="A2608" s="111">
        <v>2709</v>
      </c>
      <c r="B2608" s="421" t="s">
        <v>4511</v>
      </c>
      <c r="C2608" s="421" t="s">
        <v>506</v>
      </c>
      <c r="D2608" s="422" t="s">
        <v>663</v>
      </c>
      <c r="E2608" s="111">
        <v>15481</v>
      </c>
      <c r="F2608" s="421" t="s">
        <v>4512</v>
      </c>
    </row>
    <row r="2609" spans="1:15" x14ac:dyDescent="0.2">
      <c r="A2609" s="111">
        <v>2710</v>
      </c>
      <c r="B2609" s="421" t="s">
        <v>487</v>
      </c>
      <c r="C2609" s="421" t="s">
        <v>551</v>
      </c>
      <c r="D2609" s="422" t="s">
        <v>663</v>
      </c>
      <c r="E2609" s="111">
        <v>15939</v>
      </c>
      <c r="F2609" s="421" t="s">
        <v>3351</v>
      </c>
    </row>
    <row r="2610" spans="1:15" x14ac:dyDescent="0.2">
      <c r="A2610" s="111">
        <v>2711</v>
      </c>
      <c r="B2610" s="421" t="s">
        <v>215</v>
      </c>
      <c r="C2610" s="421" t="s">
        <v>1450</v>
      </c>
      <c r="D2610" s="422" t="s">
        <v>666</v>
      </c>
      <c r="E2610" s="111">
        <v>15429</v>
      </c>
      <c r="F2610" s="421" t="s">
        <v>4513</v>
      </c>
    </row>
    <row r="2611" spans="1:15" x14ac:dyDescent="0.2">
      <c r="A2611" s="111">
        <v>2712</v>
      </c>
      <c r="B2611" s="421" t="s">
        <v>4514</v>
      </c>
      <c r="C2611" s="421" t="s">
        <v>559</v>
      </c>
      <c r="D2611" s="422" t="s">
        <v>666</v>
      </c>
      <c r="E2611" s="111">
        <v>15505</v>
      </c>
      <c r="F2611" s="421" t="s">
        <v>4515</v>
      </c>
      <c r="G2611" s="112">
        <v>1</v>
      </c>
      <c r="H2611" s="112">
        <v>1</v>
      </c>
      <c r="I2611" s="112">
        <v>1</v>
      </c>
      <c r="J2611" s="112">
        <v>1</v>
      </c>
      <c r="K2611" s="112">
        <v>2</v>
      </c>
      <c r="L2611" s="112">
        <v>1</v>
      </c>
      <c r="M2611" s="112">
        <v>1</v>
      </c>
    </row>
    <row r="2612" spans="1:15" x14ac:dyDescent="0.2">
      <c r="A2612" s="111">
        <v>2713</v>
      </c>
      <c r="B2612" s="421" t="s">
        <v>4516</v>
      </c>
      <c r="C2612" s="421" t="s">
        <v>503</v>
      </c>
      <c r="D2612" s="422" t="s">
        <v>666</v>
      </c>
      <c r="E2612" s="111">
        <v>15506</v>
      </c>
      <c r="F2612" s="421" t="s">
        <v>4517</v>
      </c>
    </row>
    <row r="2613" spans="1:15" x14ac:dyDescent="0.2">
      <c r="A2613" s="111">
        <v>2714</v>
      </c>
      <c r="B2613" s="421" t="s">
        <v>4518</v>
      </c>
      <c r="C2613" s="421" t="s">
        <v>501</v>
      </c>
      <c r="D2613" s="422" t="s">
        <v>666</v>
      </c>
      <c r="E2613" s="111">
        <v>15507</v>
      </c>
      <c r="F2613" s="421" t="s">
        <v>4519</v>
      </c>
      <c r="G2613" s="112">
        <v>1</v>
      </c>
      <c r="H2613" s="112">
        <v>1</v>
      </c>
      <c r="I2613" s="112">
        <v>1</v>
      </c>
      <c r="J2613" s="112">
        <v>1</v>
      </c>
      <c r="K2613" s="112">
        <v>1</v>
      </c>
    </row>
    <row r="2614" spans="1:15" x14ac:dyDescent="0.2">
      <c r="A2614" s="111">
        <v>2715</v>
      </c>
      <c r="B2614" s="421" t="s">
        <v>4520</v>
      </c>
      <c r="C2614" s="421" t="s">
        <v>17458</v>
      </c>
      <c r="D2614" s="422" t="s">
        <v>663</v>
      </c>
      <c r="E2614" s="111">
        <v>15502</v>
      </c>
      <c r="F2614" s="421" t="s">
        <v>4521</v>
      </c>
      <c r="G2614" s="112">
        <v>1</v>
      </c>
      <c r="H2614" s="112">
        <v>2</v>
      </c>
      <c r="I2614" s="112">
        <v>1</v>
      </c>
      <c r="J2614" s="112">
        <v>2</v>
      </c>
      <c r="K2614" s="112">
        <v>1</v>
      </c>
      <c r="L2614" s="112">
        <v>1</v>
      </c>
      <c r="M2614" s="112">
        <v>2</v>
      </c>
    </row>
    <row r="2615" spans="1:15" x14ac:dyDescent="0.2">
      <c r="A2615" s="111">
        <v>2716</v>
      </c>
      <c r="B2615" s="421" t="s">
        <v>2436</v>
      </c>
      <c r="C2615" s="421" t="s">
        <v>514</v>
      </c>
      <c r="D2615" s="422" t="s">
        <v>663</v>
      </c>
      <c r="E2615" s="111">
        <v>15546</v>
      </c>
      <c r="F2615" s="421" t="s">
        <v>8621</v>
      </c>
      <c r="G2615" s="112">
        <v>3</v>
      </c>
      <c r="H2615" s="112">
        <v>2</v>
      </c>
      <c r="I2615" s="112">
        <v>1</v>
      </c>
      <c r="J2615" s="112">
        <v>4</v>
      </c>
      <c r="K2615" s="112">
        <v>7</v>
      </c>
      <c r="L2615" s="112">
        <v>5</v>
      </c>
      <c r="M2615" s="112">
        <v>2</v>
      </c>
      <c r="N2615" s="112">
        <v>4</v>
      </c>
      <c r="O2615" s="112">
        <v>4</v>
      </c>
    </row>
    <row r="2616" spans="1:15" x14ac:dyDescent="0.2">
      <c r="A2616" s="111">
        <v>2717</v>
      </c>
      <c r="B2616" s="421" t="s">
        <v>4622</v>
      </c>
      <c r="C2616" s="421" t="s">
        <v>1625</v>
      </c>
      <c r="D2616" s="422" t="s">
        <v>666</v>
      </c>
      <c r="E2616" s="111">
        <v>15508</v>
      </c>
      <c r="F2616" s="421" t="s">
        <v>4710</v>
      </c>
      <c r="G2616" s="112">
        <v>2</v>
      </c>
      <c r="H2616" s="112">
        <v>1</v>
      </c>
      <c r="I2616" s="112">
        <v>2</v>
      </c>
    </row>
    <row r="2617" spans="1:15" x14ac:dyDescent="0.2">
      <c r="A2617" s="111">
        <v>2718</v>
      </c>
      <c r="B2617" s="421" t="s">
        <v>4624</v>
      </c>
      <c r="C2617" s="421" t="s">
        <v>544</v>
      </c>
      <c r="D2617" s="422" t="s">
        <v>663</v>
      </c>
      <c r="E2617" s="111">
        <v>14344</v>
      </c>
      <c r="F2617" s="421" t="s">
        <v>1807</v>
      </c>
      <c r="G2617" s="112">
        <v>1</v>
      </c>
      <c r="H2617" s="112">
        <v>1</v>
      </c>
      <c r="I2617" s="112">
        <v>1</v>
      </c>
      <c r="J2617" s="112">
        <v>1</v>
      </c>
      <c r="K2617" s="112">
        <v>1</v>
      </c>
      <c r="L2617" s="112">
        <v>1</v>
      </c>
      <c r="M2617" s="112">
        <v>1</v>
      </c>
      <c r="N2617" s="112">
        <v>1</v>
      </c>
      <c r="O2617" s="112">
        <v>1</v>
      </c>
    </row>
    <row r="2618" spans="1:15" x14ac:dyDescent="0.2">
      <c r="A2618" s="111">
        <v>2719</v>
      </c>
      <c r="B2618" s="421" t="s">
        <v>1480</v>
      </c>
      <c r="C2618" s="421" t="s">
        <v>1226</v>
      </c>
      <c r="D2618" s="422" t="s">
        <v>666</v>
      </c>
      <c r="E2618" s="111">
        <v>15509</v>
      </c>
      <c r="F2618" s="421" t="s">
        <v>4666</v>
      </c>
      <c r="G2618" s="112">
        <v>1</v>
      </c>
      <c r="H2618" s="112">
        <v>1</v>
      </c>
    </row>
    <row r="2619" spans="1:15" x14ac:dyDescent="0.2">
      <c r="A2619" s="111">
        <v>2720</v>
      </c>
      <c r="B2619" s="421" t="s">
        <v>1771</v>
      </c>
      <c r="C2619" s="421" t="s">
        <v>574</v>
      </c>
      <c r="D2619" s="422" t="s">
        <v>663</v>
      </c>
      <c r="E2619" s="111">
        <v>15512</v>
      </c>
      <c r="F2619" s="421" t="s">
        <v>4674</v>
      </c>
      <c r="G2619" s="112">
        <v>1</v>
      </c>
      <c r="H2619" s="112">
        <v>1</v>
      </c>
      <c r="I2619" s="112">
        <v>1</v>
      </c>
      <c r="J2619" s="112">
        <v>3</v>
      </c>
      <c r="K2619" s="112">
        <v>3</v>
      </c>
      <c r="L2619" s="112">
        <v>1</v>
      </c>
    </row>
    <row r="2620" spans="1:15" x14ac:dyDescent="0.2">
      <c r="A2620" s="111">
        <v>2721</v>
      </c>
      <c r="B2620" s="421" t="s">
        <v>1218</v>
      </c>
      <c r="C2620" s="421" t="s">
        <v>574</v>
      </c>
      <c r="D2620" s="422" t="s">
        <v>663</v>
      </c>
      <c r="E2620" s="111">
        <v>15512</v>
      </c>
      <c r="F2620" s="421" t="s">
        <v>4674</v>
      </c>
      <c r="G2620" s="112">
        <v>1</v>
      </c>
      <c r="H2620" s="112">
        <v>1</v>
      </c>
      <c r="I2620" s="112">
        <v>1</v>
      </c>
      <c r="J2620" s="112">
        <v>5</v>
      </c>
      <c r="K2620" s="112">
        <v>4</v>
      </c>
      <c r="L2620" s="112">
        <v>5</v>
      </c>
      <c r="M2620" s="112">
        <v>2</v>
      </c>
      <c r="N2620" s="112">
        <v>2</v>
      </c>
      <c r="O2620" s="112">
        <v>2</v>
      </c>
    </row>
    <row r="2621" spans="1:15" x14ac:dyDescent="0.2">
      <c r="A2621" s="111">
        <v>2722</v>
      </c>
      <c r="B2621" s="421" t="s">
        <v>4638</v>
      </c>
      <c r="C2621" s="421" t="s">
        <v>1446</v>
      </c>
      <c r="D2621" s="422" t="s">
        <v>666</v>
      </c>
      <c r="E2621" s="111">
        <v>14832</v>
      </c>
      <c r="F2621" s="421" t="s">
        <v>2124</v>
      </c>
      <c r="G2621" s="112">
        <v>1</v>
      </c>
      <c r="H2621" s="112">
        <v>1</v>
      </c>
      <c r="I2621" s="112">
        <v>1</v>
      </c>
      <c r="J2621" s="112">
        <v>4</v>
      </c>
      <c r="K2621" s="112">
        <v>5</v>
      </c>
      <c r="L2621" s="112">
        <v>6</v>
      </c>
      <c r="M2621" s="112">
        <v>3</v>
      </c>
      <c r="N2621" s="112">
        <v>3</v>
      </c>
      <c r="O2621" s="112">
        <v>3</v>
      </c>
    </row>
    <row r="2622" spans="1:15" x14ac:dyDescent="0.2">
      <c r="A2622" s="111">
        <v>2723</v>
      </c>
      <c r="B2622" s="421" t="s">
        <v>4592</v>
      </c>
      <c r="C2622" s="421" t="s">
        <v>516</v>
      </c>
      <c r="D2622" s="422" t="s">
        <v>663</v>
      </c>
      <c r="E2622" s="111">
        <v>15565</v>
      </c>
      <c r="F2622" s="421" t="s">
        <v>4672</v>
      </c>
      <c r="G2622" s="112">
        <v>1</v>
      </c>
      <c r="H2622" s="112">
        <v>2</v>
      </c>
      <c r="I2622" s="112">
        <v>1</v>
      </c>
      <c r="J2622" s="112">
        <v>3</v>
      </c>
      <c r="K2622" s="112">
        <v>3</v>
      </c>
      <c r="L2622" s="112">
        <v>3</v>
      </c>
      <c r="M2622" s="112">
        <v>2</v>
      </c>
      <c r="N2622" s="112">
        <v>2</v>
      </c>
      <c r="O2622" s="112">
        <v>1</v>
      </c>
    </row>
    <row r="2623" spans="1:15" x14ac:dyDescent="0.2">
      <c r="A2623" s="111">
        <v>2724</v>
      </c>
      <c r="B2623" s="421" t="s">
        <v>4607</v>
      </c>
      <c r="C2623" s="421" t="s">
        <v>534</v>
      </c>
      <c r="D2623" s="422" t="s">
        <v>663</v>
      </c>
      <c r="E2623" s="111">
        <v>14368</v>
      </c>
      <c r="F2623" s="421" t="s">
        <v>2836</v>
      </c>
      <c r="G2623" s="112">
        <v>1</v>
      </c>
      <c r="H2623" s="112">
        <v>1</v>
      </c>
      <c r="I2623" s="112">
        <v>1</v>
      </c>
      <c r="J2623" s="112">
        <v>7</v>
      </c>
      <c r="K2623" s="112">
        <v>5</v>
      </c>
      <c r="L2623" s="112">
        <v>7</v>
      </c>
      <c r="M2623" s="112">
        <v>2</v>
      </c>
    </row>
    <row r="2624" spans="1:15" x14ac:dyDescent="0.2">
      <c r="A2624" s="111">
        <v>2725</v>
      </c>
      <c r="B2624" s="421" t="s">
        <v>632</v>
      </c>
      <c r="C2624" s="421" t="s">
        <v>522</v>
      </c>
      <c r="D2624" s="422" t="s">
        <v>666</v>
      </c>
      <c r="E2624" s="111">
        <v>15517</v>
      </c>
      <c r="F2624" s="421" t="s">
        <v>4690</v>
      </c>
      <c r="G2624" s="112">
        <v>1</v>
      </c>
      <c r="H2624" s="112">
        <v>1</v>
      </c>
      <c r="I2624" s="112">
        <v>1</v>
      </c>
      <c r="J2624" s="112">
        <v>3</v>
      </c>
      <c r="K2624" s="112">
        <v>6</v>
      </c>
      <c r="L2624" s="112">
        <v>4</v>
      </c>
      <c r="M2624" s="112">
        <v>1</v>
      </c>
      <c r="N2624" s="112">
        <v>1</v>
      </c>
    </row>
    <row r="2625" spans="1:15" x14ac:dyDescent="0.2">
      <c r="A2625" s="111">
        <v>2726</v>
      </c>
      <c r="B2625" s="421" t="s">
        <v>4499</v>
      </c>
      <c r="C2625" s="421" t="s">
        <v>563</v>
      </c>
      <c r="D2625" s="422" t="s">
        <v>663</v>
      </c>
      <c r="E2625" s="111">
        <v>14388</v>
      </c>
      <c r="F2625" s="421" t="s">
        <v>982</v>
      </c>
    </row>
    <row r="2626" spans="1:15" x14ac:dyDescent="0.2">
      <c r="A2626" s="111">
        <v>2727</v>
      </c>
      <c r="B2626" s="421" t="s">
        <v>2008</v>
      </c>
      <c r="C2626" s="421" t="s">
        <v>506</v>
      </c>
      <c r="D2626" s="422" t="s">
        <v>666</v>
      </c>
      <c r="E2626" s="111">
        <v>141</v>
      </c>
      <c r="F2626" s="421" t="s">
        <v>966</v>
      </c>
      <c r="G2626" s="112">
        <v>1</v>
      </c>
      <c r="H2626" s="112">
        <v>1</v>
      </c>
      <c r="I2626" s="112">
        <v>1</v>
      </c>
      <c r="J2626" s="112">
        <v>16</v>
      </c>
      <c r="K2626" s="112">
        <v>12</v>
      </c>
      <c r="L2626" s="112">
        <v>11</v>
      </c>
      <c r="M2626" s="112">
        <v>8</v>
      </c>
      <c r="N2626" s="112">
        <v>9</v>
      </c>
      <c r="O2626" s="112">
        <v>9</v>
      </c>
    </row>
    <row r="2627" spans="1:15" x14ac:dyDescent="0.2">
      <c r="A2627" s="111">
        <v>2728</v>
      </c>
      <c r="B2627" s="421" t="s">
        <v>2218</v>
      </c>
      <c r="C2627" s="421" t="s">
        <v>528</v>
      </c>
      <c r="D2627" s="422" t="s">
        <v>666</v>
      </c>
      <c r="E2627" s="111">
        <v>16410</v>
      </c>
      <c r="F2627" s="421" t="s">
        <v>4678</v>
      </c>
      <c r="G2627" s="112">
        <v>1</v>
      </c>
      <c r="H2627" s="112">
        <v>1</v>
      </c>
      <c r="I2627" s="112">
        <v>1</v>
      </c>
      <c r="J2627" s="112">
        <v>1</v>
      </c>
    </row>
    <row r="2628" spans="1:15" x14ac:dyDescent="0.2">
      <c r="A2628" s="111">
        <v>2729</v>
      </c>
      <c r="B2628" s="421" t="s">
        <v>4603</v>
      </c>
      <c r="C2628" s="421" t="s">
        <v>558</v>
      </c>
      <c r="D2628" s="422" t="s">
        <v>663</v>
      </c>
      <c r="E2628" s="111">
        <v>14348</v>
      </c>
      <c r="F2628" s="421" t="s">
        <v>1110</v>
      </c>
      <c r="G2628" s="112">
        <v>1</v>
      </c>
      <c r="H2628" s="112">
        <v>1</v>
      </c>
      <c r="I2628" s="112">
        <v>1</v>
      </c>
      <c r="J2628" s="112">
        <v>13</v>
      </c>
      <c r="K2628" s="112">
        <v>12</v>
      </c>
      <c r="L2628" s="112">
        <v>11</v>
      </c>
      <c r="M2628" s="112">
        <v>4</v>
      </c>
      <c r="N2628" s="112">
        <v>1</v>
      </c>
      <c r="O2628" s="112">
        <v>1</v>
      </c>
    </row>
    <row r="2629" spans="1:15" x14ac:dyDescent="0.2">
      <c r="A2629" s="111">
        <v>2730</v>
      </c>
      <c r="B2629" s="421" t="s">
        <v>4602</v>
      </c>
      <c r="C2629" s="421" t="s">
        <v>1226</v>
      </c>
      <c r="D2629" s="422" t="s">
        <v>663</v>
      </c>
      <c r="E2629" s="111">
        <v>15356</v>
      </c>
      <c r="F2629" s="421" t="s">
        <v>4685</v>
      </c>
      <c r="G2629" s="112">
        <v>1</v>
      </c>
      <c r="H2629" s="112">
        <v>1</v>
      </c>
      <c r="I2629" s="112">
        <v>1</v>
      </c>
      <c r="K2629" s="112">
        <v>1</v>
      </c>
      <c r="L2629" s="112">
        <v>1</v>
      </c>
    </row>
    <row r="2630" spans="1:15" x14ac:dyDescent="0.2">
      <c r="A2630" s="111">
        <v>2731</v>
      </c>
      <c r="B2630" s="421" t="s">
        <v>2792</v>
      </c>
      <c r="C2630" s="421" t="s">
        <v>3855</v>
      </c>
      <c r="D2630" s="422" t="s">
        <v>666</v>
      </c>
      <c r="E2630" s="111">
        <v>15520</v>
      </c>
      <c r="F2630" s="421" t="s">
        <v>4716</v>
      </c>
    </row>
    <row r="2631" spans="1:15" x14ac:dyDescent="0.2">
      <c r="A2631" s="111">
        <v>2732</v>
      </c>
      <c r="B2631" s="421" t="s">
        <v>140</v>
      </c>
      <c r="C2631" s="421" t="s">
        <v>532</v>
      </c>
      <c r="D2631" s="422" t="s">
        <v>666</v>
      </c>
      <c r="E2631" s="111">
        <v>14582</v>
      </c>
      <c r="F2631" s="421" t="s">
        <v>1603</v>
      </c>
      <c r="G2631" s="112">
        <v>1</v>
      </c>
      <c r="H2631" s="112">
        <v>1</v>
      </c>
      <c r="I2631" s="112">
        <v>1</v>
      </c>
      <c r="J2631" s="112">
        <v>1</v>
      </c>
      <c r="K2631" s="112">
        <v>2</v>
      </c>
      <c r="L2631" s="112">
        <v>3</v>
      </c>
    </row>
    <row r="2632" spans="1:15" x14ac:dyDescent="0.2">
      <c r="A2632" s="111">
        <v>2733</v>
      </c>
      <c r="B2632" s="421" t="s">
        <v>4625</v>
      </c>
      <c r="C2632" s="421" t="s">
        <v>537</v>
      </c>
      <c r="D2632" s="422" t="s">
        <v>666</v>
      </c>
      <c r="E2632" s="111">
        <v>15523</v>
      </c>
      <c r="F2632" s="421" t="s">
        <v>4713</v>
      </c>
      <c r="G2632" s="112">
        <v>1</v>
      </c>
      <c r="H2632" s="112">
        <v>1</v>
      </c>
      <c r="I2632" s="112">
        <v>1</v>
      </c>
      <c r="J2632" s="112">
        <v>1</v>
      </c>
      <c r="L2632" s="112">
        <v>1</v>
      </c>
    </row>
    <row r="2633" spans="1:15" x14ac:dyDescent="0.2">
      <c r="A2633" s="111">
        <v>2734</v>
      </c>
      <c r="B2633" s="421" t="s">
        <v>284</v>
      </c>
      <c r="C2633" s="421" t="s">
        <v>518</v>
      </c>
      <c r="D2633" s="422" t="s">
        <v>663</v>
      </c>
      <c r="E2633" s="111">
        <v>15633</v>
      </c>
      <c r="F2633" s="421" t="s">
        <v>4682</v>
      </c>
      <c r="G2633" s="112">
        <v>1</v>
      </c>
      <c r="H2633" s="112">
        <v>1</v>
      </c>
      <c r="I2633" s="112">
        <v>1</v>
      </c>
    </row>
    <row r="2634" spans="1:15" x14ac:dyDescent="0.2">
      <c r="A2634" s="111">
        <v>2736</v>
      </c>
      <c r="B2634" s="421" t="s">
        <v>119</v>
      </c>
      <c r="C2634" s="421" t="s">
        <v>549</v>
      </c>
      <c r="D2634" s="422" t="s">
        <v>663</v>
      </c>
      <c r="E2634" s="111">
        <v>14688</v>
      </c>
      <c r="F2634" s="421" t="s">
        <v>2947</v>
      </c>
      <c r="G2634" s="112">
        <v>1</v>
      </c>
      <c r="H2634" s="112">
        <v>1</v>
      </c>
      <c r="I2634" s="112">
        <v>1</v>
      </c>
      <c r="J2634" s="112">
        <v>12</v>
      </c>
      <c r="K2634" s="112">
        <v>13</v>
      </c>
      <c r="L2634" s="112">
        <v>12</v>
      </c>
      <c r="M2634" s="112">
        <v>13</v>
      </c>
      <c r="N2634" s="112">
        <v>12</v>
      </c>
      <c r="O2634" s="112">
        <v>14</v>
      </c>
    </row>
    <row r="2635" spans="1:15" x14ac:dyDescent="0.2">
      <c r="A2635" s="111">
        <v>2737</v>
      </c>
      <c r="B2635" s="421" t="s">
        <v>425</v>
      </c>
      <c r="C2635" s="421" t="s">
        <v>513</v>
      </c>
      <c r="D2635" s="422" t="s">
        <v>666</v>
      </c>
      <c r="E2635" s="111">
        <v>1469</v>
      </c>
      <c r="F2635" s="421" t="s">
        <v>803</v>
      </c>
      <c r="G2635" s="112">
        <v>1</v>
      </c>
      <c r="H2635" s="112">
        <v>1</v>
      </c>
      <c r="I2635" s="112">
        <v>1</v>
      </c>
    </row>
    <row r="2636" spans="1:15" x14ac:dyDescent="0.2">
      <c r="A2636" s="111">
        <v>2738</v>
      </c>
      <c r="B2636" s="421" t="s">
        <v>198</v>
      </c>
      <c r="C2636" s="421" t="s">
        <v>17459</v>
      </c>
      <c r="D2636" s="422" t="s">
        <v>666</v>
      </c>
      <c r="E2636" s="111">
        <v>15525</v>
      </c>
      <c r="F2636" s="421" t="s">
        <v>4814</v>
      </c>
    </row>
    <row r="2637" spans="1:15" x14ac:dyDescent="0.2">
      <c r="A2637" s="111">
        <v>2739</v>
      </c>
      <c r="B2637" s="421" t="s">
        <v>332</v>
      </c>
      <c r="C2637" s="421" t="s">
        <v>577</v>
      </c>
      <c r="D2637" s="422" t="s">
        <v>666</v>
      </c>
      <c r="E2637" s="111">
        <v>15526</v>
      </c>
      <c r="F2637" s="421" t="s">
        <v>4717</v>
      </c>
    </row>
    <row r="2638" spans="1:15" x14ac:dyDescent="0.2">
      <c r="A2638" s="111">
        <v>2740</v>
      </c>
      <c r="B2638" s="421" t="s">
        <v>4601</v>
      </c>
      <c r="C2638" s="421" t="s">
        <v>522</v>
      </c>
      <c r="D2638" s="422" t="s">
        <v>666</v>
      </c>
      <c r="E2638" s="111">
        <v>15527</v>
      </c>
      <c r="F2638" s="421" t="s">
        <v>4684</v>
      </c>
      <c r="G2638" s="112">
        <v>1</v>
      </c>
      <c r="H2638" s="112">
        <v>1</v>
      </c>
      <c r="I2638" s="112">
        <v>1</v>
      </c>
      <c r="J2638" s="112">
        <v>3</v>
      </c>
      <c r="K2638" s="112">
        <v>3</v>
      </c>
      <c r="L2638" s="112">
        <v>3</v>
      </c>
      <c r="M2638" s="112">
        <v>2</v>
      </c>
      <c r="N2638" s="112">
        <v>1</v>
      </c>
    </row>
    <row r="2639" spans="1:15" x14ac:dyDescent="0.2">
      <c r="A2639" s="111">
        <v>2741</v>
      </c>
      <c r="B2639" s="421" t="s">
        <v>4600</v>
      </c>
      <c r="C2639" s="421" t="s">
        <v>502</v>
      </c>
      <c r="D2639" s="422" t="s">
        <v>666</v>
      </c>
      <c r="E2639" s="111">
        <v>15527</v>
      </c>
      <c r="F2639" s="421" t="s">
        <v>4684</v>
      </c>
    </row>
    <row r="2640" spans="1:15" x14ac:dyDescent="0.2">
      <c r="A2640" s="111">
        <v>2742</v>
      </c>
      <c r="B2640" s="421" t="s">
        <v>1942</v>
      </c>
      <c r="C2640" s="421" t="s">
        <v>581</v>
      </c>
      <c r="D2640" s="422" t="s">
        <v>663</v>
      </c>
      <c r="E2640" s="111">
        <v>16399</v>
      </c>
      <c r="F2640" s="421" t="s">
        <v>7406</v>
      </c>
      <c r="G2640" s="112">
        <v>1</v>
      </c>
      <c r="H2640" s="112">
        <v>1</v>
      </c>
      <c r="I2640" s="112">
        <v>1</v>
      </c>
      <c r="J2640" s="112">
        <v>10</v>
      </c>
      <c r="K2640" s="112">
        <v>9</v>
      </c>
      <c r="L2640" s="112">
        <v>8</v>
      </c>
      <c r="M2640" s="112">
        <v>9</v>
      </c>
      <c r="N2640" s="112">
        <v>5</v>
      </c>
      <c r="O2640" s="112">
        <v>5</v>
      </c>
    </row>
    <row r="2641" spans="1:15" x14ac:dyDescent="0.2">
      <c r="A2641" s="111">
        <v>2743</v>
      </c>
      <c r="B2641" s="421" t="s">
        <v>353</v>
      </c>
      <c r="C2641" s="421" t="s">
        <v>506</v>
      </c>
      <c r="D2641" s="422" t="s">
        <v>666</v>
      </c>
      <c r="E2641" s="111">
        <v>15516</v>
      </c>
      <c r="F2641" s="421" t="s">
        <v>10478</v>
      </c>
      <c r="G2641" s="112">
        <v>1</v>
      </c>
      <c r="H2641" s="112">
        <v>1</v>
      </c>
      <c r="I2641" s="112">
        <v>1</v>
      </c>
      <c r="J2641" s="112">
        <v>7</v>
      </c>
      <c r="K2641" s="112">
        <v>8</v>
      </c>
      <c r="L2641" s="112">
        <v>8</v>
      </c>
      <c r="M2641" s="112">
        <v>3</v>
      </c>
      <c r="N2641" s="112">
        <v>3</v>
      </c>
      <c r="O2641" s="112">
        <v>3</v>
      </c>
    </row>
    <row r="2642" spans="1:15" x14ac:dyDescent="0.2">
      <c r="A2642" s="111">
        <v>2744</v>
      </c>
      <c r="B2642" s="421" t="s">
        <v>4591</v>
      </c>
      <c r="C2642" s="421" t="s">
        <v>592</v>
      </c>
      <c r="D2642" s="422" t="s">
        <v>663</v>
      </c>
      <c r="E2642" s="111">
        <v>14721</v>
      </c>
      <c r="F2642" s="421" t="s">
        <v>2180</v>
      </c>
      <c r="G2642" s="112">
        <v>1</v>
      </c>
      <c r="H2642" s="112">
        <v>1</v>
      </c>
      <c r="I2642" s="112">
        <v>1</v>
      </c>
    </row>
    <row r="2643" spans="1:15" x14ac:dyDescent="0.2">
      <c r="A2643" s="111">
        <v>2745</v>
      </c>
      <c r="B2643" s="421" t="s">
        <v>4634</v>
      </c>
      <c r="C2643" s="421" t="s">
        <v>516</v>
      </c>
      <c r="D2643" s="422" t="s">
        <v>663</v>
      </c>
      <c r="E2643" s="111">
        <v>15529</v>
      </c>
      <c r="F2643" s="421" t="s">
        <v>4719</v>
      </c>
      <c r="G2643" s="112">
        <v>2</v>
      </c>
      <c r="H2643" s="112">
        <v>1</v>
      </c>
      <c r="I2643" s="112">
        <v>2</v>
      </c>
      <c r="J2643" s="112">
        <v>7</v>
      </c>
      <c r="K2643" s="112">
        <v>7</v>
      </c>
      <c r="L2643" s="112">
        <v>7</v>
      </c>
      <c r="M2643" s="112">
        <v>3</v>
      </c>
      <c r="N2643" s="112">
        <v>3</v>
      </c>
      <c r="O2643" s="112">
        <v>3</v>
      </c>
    </row>
    <row r="2644" spans="1:15" x14ac:dyDescent="0.2">
      <c r="A2644" s="111">
        <v>2746</v>
      </c>
      <c r="B2644" s="421" t="s">
        <v>4626</v>
      </c>
      <c r="C2644" s="421" t="s">
        <v>551</v>
      </c>
      <c r="D2644" s="422" t="s">
        <v>666</v>
      </c>
      <c r="E2644" s="111">
        <v>15336</v>
      </c>
      <c r="F2644" s="421" t="s">
        <v>3938</v>
      </c>
      <c r="G2644" s="112">
        <v>1</v>
      </c>
      <c r="H2644" s="112">
        <v>1</v>
      </c>
      <c r="I2644" s="112">
        <v>1</v>
      </c>
      <c r="J2644" s="112">
        <v>7</v>
      </c>
      <c r="K2644" s="112">
        <v>9</v>
      </c>
      <c r="L2644" s="112">
        <v>7</v>
      </c>
      <c r="M2644" s="112">
        <v>7</v>
      </c>
      <c r="N2644" s="112">
        <v>3</v>
      </c>
      <c r="O2644" s="112">
        <v>6</v>
      </c>
    </row>
    <row r="2645" spans="1:15" x14ac:dyDescent="0.2">
      <c r="A2645" s="111">
        <v>2747</v>
      </c>
      <c r="B2645" s="421" t="s">
        <v>4598</v>
      </c>
      <c r="C2645" s="421" t="s">
        <v>556</v>
      </c>
      <c r="D2645" s="422" t="s">
        <v>663</v>
      </c>
      <c r="E2645" s="111">
        <v>14102</v>
      </c>
      <c r="F2645" s="421" t="s">
        <v>731</v>
      </c>
      <c r="G2645" s="112">
        <v>1</v>
      </c>
      <c r="H2645" s="112">
        <v>1</v>
      </c>
      <c r="I2645" s="112">
        <v>1</v>
      </c>
      <c r="J2645" s="112">
        <v>7</v>
      </c>
      <c r="K2645" s="112">
        <v>7</v>
      </c>
      <c r="L2645" s="112">
        <v>7</v>
      </c>
      <c r="M2645" s="112">
        <v>7</v>
      </c>
      <c r="N2645" s="112">
        <v>5</v>
      </c>
      <c r="O2645" s="112">
        <v>6</v>
      </c>
    </row>
    <row r="2646" spans="1:15" x14ac:dyDescent="0.2">
      <c r="A2646" s="111">
        <v>2748</v>
      </c>
      <c r="B2646" s="421" t="s">
        <v>275</v>
      </c>
      <c r="C2646" s="421" t="s">
        <v>537</v>
      </c>
      <c r="D2646" s="422" t="s">
        <v>663</v>
      </c>
      <c r="E2646" s="111">
        <v>15528</v>
      </c>
      <c r="F2646" s="421" t="s">
        <v>4671</v>
      </c>
      <c r="G2646" s="112">
        <v>2</v>
      </c>
      <c r="H2646" s="112">
        <v>1</v>
      </c>
      <c r="I2646" s="112">
        <v>1</v>
      </c>
      <c r="J2646" s="112">
        <v>7</v>
      </c>
      <c r="K2646" s="112">
        <v>7</v>
      </c>
      <c r="L2646" s="112">
        <v>7</v>
      </c>
      <c r="M2646" s="112">
        <v>3</v>
      </c>
      <c r="N2646" s="112">
        <v>3</v>
      </c>
      <c r="O2646" s="112">
        <v>3</v>
      </c>
    </row>
    <row r="2647" spans="1:15" x14ac:dyDescent="0.2">
      <c r="A2647" s="111">
        <v>2749</v>
      </c>
      <c r="B2647" s="421" t="s">
        <v>3343</v>
      </c>
      <c r="C2647" s="421" t="s">
        <v>537</v>
      </c>
      <c r="D2647" s="422" t="s">
        <v>663</v>
      </c>
      <c r="E2647" s="111">
        <v>15528</v>
      </c>
      <c r="F2647" s="421" t="s">
        <v>4671</v>
      </c>
      <c r="G2647" s="112">
        <v>1</v>
      </c>
      <c r="H2647" s="112">
        <v>1</v>
      </c>
      <c r="I2647" s="112">
        <v>1</v>
      </c>
    </row>
    <row r="2648" spans="1:15" x14ac:dyDescent="0.2">
      <c r="A2648" s="111">
        <v>2750</v>
      </c>
      <c r="B2648" s="421" t="s">
        <v>494</v>
      </c>
      <c r="C2648" s="421" t="s">
        <v>521</v>
      </c>
      <c r="D2648" s="422" t="s">
        <v>663</v>
      </c>
      <c r="E2648" s="111">
        <v>15522</v>
      </c>
      <c r="F2648" s="421" t="s">
        <v>4694</v>
      </c>
      <c r="G2648" s="112">
        <v>1</v>
      </c>
      <c r="H2648" s="112">
        <v>1</v>
      </c>
      <c r="I2648" s="112">
        <v>1</v>
      </c>
      <c r="J2648" s="112">
        <v>1</v>
      </c>
    </row>
    <row r="2649" spans="1:15" x14ac:dyDescent="0.2">
      <c r="A2649" s="111">
        <v>2751</v>
      </c>
      <c r="B2649" s="421" t="s">
        <v>4620</v>
      </c>
      <c r="C2649" s="421" t="s">
        <v>510</v>
      </c>
      <c r="D2649" s="422" t="s">
        <v>663</v>
      </c>
      <c r="E2649" s="111">
        <v>15530</v>
      </c>
      <c r="F2649" s="421" t="s">
        <v>4707</v>
      </c>
      <c r="G2649" s="112">
        <v>1</v>
      </c>
      <c r="H2649" s="112">
        <v>1</v>
      </c>
      <c r="I2649" s="112">
        <v>1</v>
      </c>
    </row>
    <row r="2650" spans="1:15" x14ac:dyDescent="0.2">
      <c r="A2650" s="111">
        <v>2752</v>
      </c>
      <c r="B2650" s="421" t="s">
        <v>4619</v>
      </c>
      <c r="C2650" s="421" t="s">
        <v>529</v>
      </c>
      <c r="D2650" s="422" t="s">
        <v>663</v>
      </c>
      <c r="E2650" s="111">
        <v>15530</v>
      </c>
      <c r="F2650" s="421" t="s">
        <v>4707</v>
      </c>
      <c r="G2650" s="112">
        <v>2</v>
      </c>
      <c r="H2650" s="112">
        <v>1</v>
      </c>
      <c r="I2650" s="112">
        <v>2</v>
      </c>
      <c r="J2650" s="112">
        <v>2</v>
      </c>
      <c r="K2650" s="112">
        <v>1</v>
      </c>
      <c r="L2650" s="112">
        <v>2</v>
      </c>
    </row>
    <row r="2651" spans="1:15" x14ac:dyDescent="0.2">
      <c r="A2651" s="111">
        <v>2753</v>
      </c>
      <c r="B2651" s="421" t="s">
        <v>4618</v>
      </c>
      <c r="C2651" s="421" t="s">
        <v>529</v>
      </c>
      <c r="D2651" s="422" t="s">
        <v>663</v>
      </c>
      <c r="E2651" s="111">
        <v>15530</v>
      </c>
      <c r="F2651" s="421" t="s">
        <v>4707</v>
      </c>
      <c r="G2651" s="112">
        <v>1</v>
      </c>
      <c r="H2651" s="112">
        <v>1</v>
      </c>
      <c r="I2651" s="112">
        <v>1</v>
      </c>
      <c r="J2651" s="112">
        <v>9</v>
      </c>
      <c r="K2651" s="112">
        <v>4</v>
      </c>
      <c r="L2651" s="112">
        <v>9</v>
      </c>
      <c r="M2651" s="112">
        <v>8</v>
      </c>
      <c r="N2651" s="112">
        <v>2</v>
      </c>
      <c r="O2651" s="112">
        <v>2</v>
      </c>
    </row>
    <row r="2652" spans="1:15" x14ac:dyDescent="0.2">
      <c r="A2652" s="111">
        <v>2754</v>
      </c>
      <c r="B2652" s="421" t="s">
        <v>4627</v>
      </c>
      <c r="C2652" s="421" t="s">
        <v>3797</v>
      </c>
      <c r="D2652" s="422" t="s">
        <v>666</v>
      </c>
      <c r="F2652" s="421" t="s">
        <v>4714</v>
      </c>
    </row>
    <row r="2653" spans="1:15" x14ac:dyDescent="0.2">
      <c r="A2653" s="111">
        <v>2755</v>
      </c>
      <c r="B2653" s="421" t="s">
        <v>193</v>
      </c>
      <c r="C2653" s="421" t="s">
        <v>581</v>
      </c>
      <c r="D2653" s="422" t="s">
        <v>663</v>
      </c>
      <c r="E2653" s="111">
        <v>15532</v>
      </c>
      <c r="F2653" s="421" t="s">
        <v>4670</v>
      </c>
      <c r="G2653" s="112">
        <v>3</v>
      </c>
      <c r="H2653" s="112">
        <v>1</v>
      </c>
      <c r="I2653" s="112">
        <v>2</v>
      </c>
    </row>
    <row r="2654" spans="1:15" x14ac:dyDescent="0.2">
      <c r="A2654" s="111">
        <v>2756</v>
      </c>
      <c r="B2654" s="421" t="s">
        <v>1469</v>
      </c>
      <c r="C2654" s="421" t="s">
        <v>537</v>
      </c>
      <c r="D2654" s="422" t="s">
        <v>666</v>
      </c>
      <c r="E2654" s="111">
        <v>15478</v>
      </c>
      <c r="F2654" s="421" t="s">
        <v>4677</v>
      </c>
    </row>
    <row r="2655" spans="1:15" x14ac:dyDescent="0.2">
      <c r="A2655" s="111">
        <v>2757</v>
      </c>
      <c r="B2655" s="421" t="s">
        <v>4595</v>
      </c>
      <c r="C2655" s="421" t="s">
        <v>544</v>
      </c>
      <c r="D2655" s="422" t="s">
        <v>663</v>
      </c>
      <c r="E2655" s="111">
        <v>14457</v>
      </c>
      <c r="F2655" s="421" t="s">
        <v>1899</v>
      </c>
      <c r="G2655" s="112">
        <v>2</v>
      </c>
      <c r="H2655" s="112">
        <v>2</v>
      </c>
      <c r="I2655" s="112">
        <v>1</v>
      </c>
      <c r="J2655" s="112">
        <v>1</v>
      </c>
      <c r="K2655" s="112">
        <v>2</v>
      </c>
      <c r="L2655" s="112">
        <v>1</v>
      </c>
    </row>
    <row r="2656" spans="1:15" x14ac:dyDescent="0.2">
      <c r="A2656" s="111">
        <v>2758</v>
      </c>
      <c r="B2656" s="421" t="s">
        <v>2133</v>
      </c>
      <c r="C2656" s="421" t="s">
        <v>516</v>
      </c>
      <c r="D2656" s="422" t="s">
        <v>666</v>
      </c>
      <c r="E2656" s="111">
        <v>15531</v>
      </c>
      <c r="F2656" s="421" t="s">
        <v>4722</v>
      </c>
    </row>
    <row r="2657" spans="1:15" x14ac:dyDescent="0.2">
      <c r="A2657" s="111">
        <v>2759</v>
      </c>
      <c r="B2657" s="421" t="s">
        <v>131</v>
      </c>
      <c r="C2657" s="421" t="s">
        <v>550</v>
      </c>
      <c r="D2657" s="422" t="s">
        <v>663</v>
      </c>
      <c r="E2657" s="111">
        <v>15890</v>
      </c>
      <c r="F2657" s="421" t="s">
        <v>4668</v>
      </c>
      <c r="G2657" s="112">
        <v>1</v>
      </c>
      <c r="H2657" s="112">
        <v>1</v>
      </c>
      <c r="I2657" s="112">
        <v>1</v>
      </c>
      <c r="J2657" s="112">
        <v>7</v>
      </c>
      <c r="K2657" s="112">
        <v>5</v>
      </c>
      <c r="L2657" s="112">
        <v>5</v>
      </c>
      <c r="M2657" s="112">
        <v>3</v>
      </c>
      <c r="N2657" s="112">
        <v>3</v>
      </c>
      <c r="O2657" s="112">
        <v>3</v>
      </c>
    </row>
    <row r="2658" spans="1:15" x14ac:dyDescent="0.2">
      <c r="A2658" s="111">
        <v>2760</v>
      </c>
      <c r="B2658" s="421" t="s">
        <v>3170</v>
      </c>
      <c r="C2658" s="421" t="s">
        <v>550</v>
      </c>
      <c r="D2658" s="422" t="s">
        <v>666</v>
      </c>
      <c r="E2658" s="111">
        <v>15890</v>
      </c>
      <c r="F2658" s="421" t="s">
        <v>4668</v>
      </c>
      <c r="G2658" s="112">
        <v>1</v>
      </c>
      <c r="H2658" s="112">
        <v>1</v>
      </c>
      <c r="I2658" s="112">
        <v>1</v>
      </c>
      <c r="J2658" s="112">
        <v>10</v>
      </c>
      <c r="K2658" s="112">
        <v>10</v>
      </c>
      <c r="L2658" s="112">
        <v>10</v>
      </c>
      <c r="M2658" s="112">
        <v>12</v>
      </c>
      <c r="N2658" s="112">
        <v>11</v>
      </c>
      <c r="O2658" s="112">
        <v>11</v>
      </c>
    </row>
    <row r="2659" spans="1:15" x14ac:dyDescent="0.2">
      <c r="A2659" s="111">
        <v>2761</v>
      </c>
      <c r="B2659" s="421" t="s">
        <v>4623</v>
      </c>
      <c r="C2659" s="421" t="s">
        <v>551</v>
      </c>
      <c r="D2659" s="422" t="s">
        <v>663</v>
      </c>
      <c r="E2659" s="111">
        <v>15283</v>
      </c>
      <c r="F2659" s="421" t="s">
        <v>3742</v>
      </c>
      <c r="G2659" s="112">
        <v>1</v>
      </c>
      <c r="H2659" s="112">
        <v>1</v>
      </c>
      <c r="I2659" s="112">
        <v>1</v>
      </c>
      <c r="J2659" s="112">
        <v>2</v>
      </c>
      <c r="K2659" s="112">
        <v>2</v>
      </c>
    </row>
    <row r="2660" spans="1:15" x14ac:dyDescent="0.2">
      <c r="A2660" s="111">
        <v>2762</v>
      </c>
      <c r="B2660" s="421" t="s">
        <v>4621</v>
      </c>
      <c r="C2660" s="421" t="s">
        <v>514</v>
      </c>
      <c r="D2660" s="422" t="s">
        <v>666</v>
      </c>
      <c r="E2660" s="111">
        <v>1416</v>
      </c>
      <c r="F2660" s="421" t="s">
        <v>4071</v>
      </c>
      <c r="G2660" s="112">
        <v>1</v>
      </c>
      <c r="H2660" s="112">
        <v>2</v>
      </c>
      <c r="I2660" s="112">
        <v>1</v>
      </c>
      <c r="J2660" s="112">
        <v>8</v>
      </c>
      <c r="K2660" s="112">
        <v>8</v>
      </c>
      <c r="L2660" s="112">
        <v>7</v>
      </c>
      <c r="M2660" s="112">
        <v>4</v>
      </c>
      <c r="N2660" s="112">
        <v>3</v>
      </c>
      <c r="O2660" s="112">
        <v>4</v>
      </c>
    </row>
    <row r="2661" spans="1:15" x14ac:dyDescent="0.2">
      <c r="A2661" s="111">
        <v>2763</v>
      </c>
      <c r="B2661" s="421" t="s">
        <v>49</v>
      </c>
      <c r="C2661" s="421" t="s">
        <v>510</v>
      </c>
      <c r="D2661" s="422" t="s">
        <v>663</v>
      </c>
      <c r="E2661" s="111">
        <v>15620</v>
      </c>
      <c r="F2661" s="421" t="s">
        <v>4687</v>
      </c>
    </row>
    <row r="2662" spans="1:15" x14ac:dyDescent="0.2">
      <c r="A2662" s="111">
        <v>2764</v>
      </c>
      <c r="B2662" s="421" t="s">
        <v>4593</v>
      </c>
      <c r="C2662" s="421" t="s">
        <v>506</v>
      </c>
      <c r="D2662" s="422" t="s">
        <v>666</v>
      </c>
      <c r="E2662" s="111">
        <v>14252</v>
      </c>
      <c r="F2662" s="421" t="s">
        <v>4673</v>
      </c>
      <c r="G2662" s="112">
        <v>1</v>
      </c>
      <c r="H2662" s="112">
        <v>1</v>
      </c>
      <c r="I2662" s="112">
        <v>1</v>
      </c>
      <c r="J2662" s="112">
        <v>7</v>
      </c>
      <c r="K2662" s="112">
        <v>8</v>
      </c>
      <c r="L2662" s="112">
        <v>6</v>
      </c>
      <c r="M2662" s="112">
        <v>6</v>
      </c>
      <c r="N2662" s="112">
        <v>4</v>
      </c>
      <c r="O2662" s="112">
        <v>5</v>
      </c>
    </row>
    <row r="2663" spans="1:15" x14ac:dyDescent="0.2">
      <c r="A2663" s="111">
        <v>2765</v>
      </c>
      <c r="B2663" s="421" t="s">
        <v>4606</v>
      </c>
      <c r="C2663" s="421" t="s">
        <v>529</v>
      </c>
      <c r="D2663" s="422" t="s">
        <v>666</v>
      </c>
      <c r="E2663" s="111">
        <v>14391</v>
      </c>
      <c r="F2663" s="421" t="s">
        <v>1264</v>
      </c>
    </row>
    <row r="2664" spans="1:15" x14ac:dyDescent="0.2">
      <c r="A2664" s="111">
        <v>2766</v>
      </c>
      <c r="B2664" s="421" t="s">
        <v>4633</v>
      </c>
      <c r="C2664" s="421" t="s">
        <v>6287</v>
      </c>
      <c r="D2664" s="422" t="s">
        <v>666</v>
      </c>
      <c r="E2664" s="111">
        <v>15927</v>
      </c>
      <c r="F2664" s="421" t="s">
        <v>4718</v>
      </c>
      <c r="G2664" s="112">
        <v>1</v>
      </c>
      <c r="H2664" s="112">
        <v>1</v>
      </c>
      <c r="I2664" s="112">
        <v>1</v>
      </c>
      <c r="J2664" s="112">
        <v>15</v>
      </c>
      <c r="K2664" s="112">
        <v>14</v>
      </c>
      <c r="L2664" s="112">
        <v>14</v>
      </c>
      <c r="M2664" s="112">
        <v>12</v>
      </c>
      <c r="N2664" s="112">
        <v>6</v>
      </c>
      <c r="O2664" s="112">
        <v>7</v>
      </c>
    </row>
    <row r="2665" spans="1:15" x14ac:dyDescent="0.2">
      <c r="A2665" s="111">
        <v>2767</v>
      </c>
      <c r="B2665" s="421" t="s">
        <v>4632</v>
      </c>
      <c r="C2665" s="421" t="s">
        <v>6287</v>
      </c>
      <c r="D2665" s="422" t="s">
        <v>666</v>
      </c>
      <c r="E2665" s="111">
        <v>15927</v>
      </c>
      <c r="F2665" s="421" t="s">
        <v>4718</v>
      </c>
      <c r="G2665" s="112">
        <v>1</v>
      </c>
      <c r="H2665" s="112">
        <v>1</v>
      </c>
      <c r="I2665" s="112">
        <v>1</v>
      </c>
      <c r="J2665" s="112">
        <v>10</v>
      </c>
      <c r="K2665" s="112">
        <v>3</v>
      </c>
      <c r="L2665" s="112">
        <v>8</v>
      </c>
      <c r="M2665" s="112">
        <v>6</v>
      </c>
    </row>
    <row r="2666" spans="1:15" x14ac:dyDescent="0.2">
      <c r="A2666" s="111">
        <v>2768</v>
      </c>
      <c r="B2666" s="421" t="s">
        <v>234</v>
      </c>
      <c r="C2666" s="421" t="s">
        <v>577</v>
      </c>
      <c r="D2666" s="422" t="s">
        <v>666</v>
      </c>
      <c r="E2666" s="111">
        <v>15526</v>
      </c>
      <c r="F2666" s="421" t="s">
        <v>4717</v>
      </c>
    </row>
    <row r="2667" spans="1:15" x14ac:dyDescent="0.2">
      <c r="A2667" s="111">
        <v>2769</v>
      </c>
      <c r="B2667" s="421" t="s">
        <v>334</v>
      </c>
      <c r="C2667" s="421" t="s">
        <v>528</v>
      </c>
      <c r="D2667" s="422" t="s">
        <v>666</v>
      </c>
      <c r="E2667" s="111">
        <v>15526</v>
      </c>
      <c r="F2667" s="421" t="s">
        <v>4717</v>
      </c>
    </row>
    <row r="2668" spans="1:15" x14ac:dyDescent="0.2">
      <c r="A2668" s="111">
        <v>2770</v>
      </c>
      <c r="B2668" s="421" t="s">
        <v>4630</v>
      </c>
      <c r="C2668" s="421" t="s">
        <v>554</v>
      </c>
      <c r="D2668" s="422" t="s">
        <v>663</v>
      </c>
      <c r="E2668" s="111">
        <v>15526</v>
      </c>
      <c r="F2668" s="421" t="s">
        <v>4717</v>
      </c>
    </row>
    <row r="2669" spans="1:15" x14ac:dyDescent="0.2">
      <c r="A2669" s="111">
        <v>2771</v>
      </c>
      <c r="B2669" s="421" t="s">
        <v>4628</v>
      </c>
      <c r="C2669" s="421" t="s">
        <v>577</v>
      </c>
      <c r="D2669" s="422" t="s">
        <v>666</v>
      </c>
      <c r="E2669" s="111">
        <v>15526</v>
      </c>
      <c r="F2669" s="421" t="s">
        <v>4717</v>
      </c>
    </row>
    <row r="2670" spans="1:15" x14ac:dyDescent="0.2">
      <c r="A2670" s="111">
        <v>2772</v>
      </c>
      <c r="B2670" s="421" t="s">
        <v>4629</v>
      </c>
      <c r="C2670" s="421" t="s">
        <v>554</v>
      </c>
      <c r="D2670" s="422" t="s">
        <v>663</v>
      </c>
      <c r="E2670" s="111">
        <v>15526</v>
      </c>
      <c r="F2670" s="421" t="s">
        <v>4717</v>
      </c>
    </row>
    <row r="2671" spans="1:15" x14ac:dyDescent="0.2">
      <c r="A2671" s="111">
        <v>2773</v>
      </c>
      <c r="B2671" s="421" t="s">
        <v>310</v>
      </c>
      <c r="C2671" s="421" t="s">
        <v>521</v>
      </c>
      <c r="D2671" s="422" t="s">
        <v>663</v>
      </c>
      <c r="F2671" s="421" t="s">
        <v>4689</v>
      </c>
    </row>
    <row r="2672" spans="1:15" x14ac:dyDescent="0.2">
      <c r="A2672" s="111">
        <v>2774</v>
      </c>
      <c r="B2672" s="421" t="s">
        <v>218</v>
      </c>
      <c r="C2672" s="421" t="s">
        <v>521</v>
      </c>
      <c r="D2672" s="422" t="s">
        <v>666</v>
      </c>
      <c r="F2672" s="421" t="s">
        <v>4689</v>
      </c>
    </row>
    <row r="2673" spans="1:15" x14ac:dyDescent="0.2">
      <c r="A2673" s="111">
        <v>2775</v>
      </c>
      <c r="B2673" s="421" t="s">
        <v>2188</v>
      </c>
      <c r="C2673" s="421" t="s">
        <v>503</v>
      </c>
      <c r="D2673" s="422" t="s">
        <v>663</v>
      </c>
      <c r="E2673" s="111">
        <v>15552</v>
      </c>
      <c r="F2673" s="421" t="s">
        <v>4691</v>
      </c>
      <c r="G2673" s="112">
        <v>1</v>
      </c>
      <c r="H2673" s="112">
        <v>1</v>
      </c>
      <c r="I2673" s="112">
        <v>1</v>
      </c>
      <c r="J2673" s="112">
        <v>5</v>
      </c>
      <c r="K2673" s="112">
        <v>5</v>
      </c>
      <c r="L2673" s="112">
        <v>5</v>
      </c>
      <c r="M2673" s="112">
        <v>9</v>
      </c>
      <c r="N2673" s="112">
        <v>11</v>
      </c>
      <c r="O2673" s="112">
        <v>9</v>
      </c>
    </row>
    <row r="2674" spans="1:15" x14ac:dyDescent="0.2">
      <c r="A2674" s="111">
        <v>2776</v>
      </c>
      <c r="B2674" s="421" t="s">
        <v>4596</v>
      </c>
      <c r="C2674" s="421" t="s">
        <v>550</v>
      </c>
      <c r="D2674" s="422" t="s">
        <v>666</v>
      </c>
      <c r="E2674" s="111">
        <v>16873</v>
      </c>
      <c r="F2674" s="421" t="s">
        <v>4679</v>
      </c>
      <c r="G2674" s="112">
        <v>1</v>
      </c>
      <c r="H2674" s="112">
        <v>1</v>
      </c>
      <c r="I2674" s="112">
        <v>1</v>
      </c>
      <c r="J2674" s="112">
        <v>2</v>
      </c>
      <c r="K2674" s="112">
        <v>1</v>
      </c>
      <c r="L2674" s="112">
        <v>3</v>
      </c>
    </row>
    <row r="2675" spans="1:15" x14ac:dyDescent="0.2">
      <c r="A2675" s="111">
        <v>2777</v>
      </c>
      <c r="B2675" s="421" t="s">
        <v>3170</v>
      </c>
      <c r="C2675" s="421" t="s">
        <v>567</v>
      </c>
      <c r="D2675" s="422" t="s">
        <v>666</v>
      </c>
      <c r="E2675" s="111">
        <v>15536</v>
      </c>
      <c r="F2675" s="421" t="s">
        <v>4705</v>
      </c>
    </row>
    <row r="2676" spans="1:15" x14ac:dyDescent="0.2">
      <c r="A2676" s="111">
        <v>2778</v>
      </c>
      <c r="B2676" s="421" t="s">
        <v>397</v>
      </c>
      <c r="C2676" s="421" t="s">
        <v>503</v>
      </c>
      <c r="D2676" s="422" t="s">
        <v>666</v>
      </c>
      <c r="E2676" s="111">
        <v>15524</v>
      </c>
      <c r="F2676" s="421" t="s">
        <v>4712</v>
      </c>
    </row>
    <row r="2677" spans="1:15" x14ac:dyDescent="0.2">
      <c r="A2677" s="111">
        <v>2779</v>
      </c>
      <c r="B2677" s="421" t="s">
        <v>455</v>
      </c>
      <c r="C2677" s="421" t="s">
        <v>551</v>
      </c>
      <c r="D2677" s="422" t="s">
        <v>663</v>
      </c>
      <c r="E2677" s="111">
        <v>15645</v>
      </c>
      <c r="F2677" s="421" t="s">
        <v>4669</v>
      </c>
      <c r="G2677" s="112">
        <v>2</v>
      </c>
      <c r="H2677" s="112">
        <v>2</v>
      </c>
      <c r="I2677" s="112">
        <v>1</v>
      </c>
      <c r="J2677" s="112">
        <v>3</v>
      </c>
      <c r="K2677" s="112">
        <v>4</v>
      </c>
      <c r="L2677" s="112">
        <v>3</v>
      </c>
      <c r="M2677" s="112">
        <v>4</v>
      </c>
      <c r="N2677" s="112">
        <v>2</v>
      </c>
      <c r="O2677" s="112">
        <v>2</v>
      </c>
    </row>
    <row r="2678" spans="1:15" x14ac:dyDescent="0.2">
      <c r="A2678" s="111">
        <v>2780</v>
      </c>
      <c r="B2678" s="421" t="s">
        <v>4616</v>
      </c>
      <c r="C2678" s="421" t="s">
        <v>503</v>
      </c>
      <c r="D2678" s="422" t="s">
        <v>663</v>
      </c>
      <c r="E2678" s="111">
        <v>15670</v>
      </c>
      <c r="F2678" s="421" t="s">
        <v>4704</v>
      </c>
      <c r="G2678" s="112">
        <v>1</v>
      </c>
      <c r="H2678" s="112">
        <v>1</v>
      </c>
      <c r="I2678" s="112">
        <v>1</v>
      </c>
      <c r="J2678" s="112">
        <v>2</v>
      </c>
      <c r="K2678" s="112">
        <v>1</v>
      </c>
      <c r="L2678" s="112">
        <v>2</v>
      </c>
    </row>
    <row r="2679" spans="1:15" x14ac:dyDescent="0.2">
      <c r="A2679" s="111">
        <v>2782</v>
      </c>
      <c r="B2679" s="421" t="s">
        <v>3152</v>
      </c>
      <c r="C2679" s="421" t="s">
        <v>543</v>
      </c>
      <c r="D2679" s="422" t="s">
        <v>666</v>
      </c>
      <c r="E2679" s="111">
        <v>15539</v>
      </c>
      <c r="F2679" s="421" t="s">
        <v>4681</v>
      </c>
    </row>
    <row r="2680" spans="1:15" x14ac:dyDescent="0.2">
      <c r="A2680" s="111">
        <v>2783</v>
      </c>
      <c r="B2680" s="421" t="s">
        <v>4588</v>
      </c>
      <c r="C2680" s="421" t="s">
        <v>501</v>
      </c>
      <c r="D2680" s="422" t="s">
        <v>663</v>
      </c>
      <c r="E2680" s="111">
        <v>15541</v>
      </c>
      <c r="F2680" s="421" t="s">
        <v>4706</v>
      </c>
      <c r="G2680" s="112">
        <v>1</v>
      </c>
      <c r="H2680" s="112">
        <v>1</v>
      </c>
      <c r="I2680" s="112">
        <v>1</v>
      </c>
      <c r="J2680" s="112">
        <v>2</v>
      </c>
      <c r="K2680" s="112">
        <v>1</v>
      </c>
      <c r="L2680" s="112">
        <v>1</v>
      </c>
      <c r="M2680" s="112">
        <v>1</v>
      </c>
      <c r="O2680" s="112">
        <v>1</v>
      </c>
    </row>
    <row r="2681" spans="1:15" x14ac:dyDescent="0.2">
      <c r="A2681" s="111">
        <v>2784</v>
      </c>
      <c r="B2681" s="421" t="s">
        <v>4635</v>
      </c>
      <c r="C2681" s="421" t="s">
        <v>1112</v>
      </c>
      <c r="D2681" s="422" t="s">
        <v>663</v>
      </c>
      <c r="E2681" s="111">
        <v>15803</v>
      </c>
      <c r="F2681" s="421" t="s">
        <v>4720</v>
      </c>
      <c r="G2681" s="112">
        <v>1</v>
      </c>
      <c r="H2681" s="112">
        <v>1</v>
      </c>
      <c r="I2681" s="112">
        <v>1</v>
      </c>
      <c r="J2681" s="112">
        <v>1</v>
      </c>
      <c r="K2681" s="112">
        <v>1</v>
      </c>
      <c r="L2681" s="112">
        <v>1</v>
      </c>
      <c r="M2681" s="112">
        <v>1</v>
      </c>
      <c r="O2681" s="112">
        <v>1</v>
      </c>
    </row>
    <row r="2682" spans="1:15" x14ac:dyDescent="0.2">
      <c r="A2682" s="111">
        <v>2785</v>
      </c>
      <c r="B2682" s="421" t="s">
        <v>1612</v>
      </c>
      <c r="C2682" s="421" t="s">
        <v>506</v>
      </c>
      <c r="D2682" s="422" t="s">
        <v>666</v>
      </c>
      <c r="E2682" s="111">
        <v>15542</v>
      </c>
      <c r="F2682" s="421" t="s">
        <v>4711</v>
      </c>
    </row>
    <row r="2683" spans="1:15" x14ac:dyDescent="0.2">
      <c r="A2683" s="111">
        <v>2786</v>
      </c>
      <c r="B2683" s="421" t="s">
        <v>462</v>
      </c>
      <c r="C2683" s="421" t="s">
        <v>501</v>
      </c>
      <c r="D2683" s="422" t="s">
        <v>663</v>
      </c>
      <c r="E2683" s="111">
        <v>15543</v>
      </c>
      <c r="F2683" s="421" t="s">
        <v>4708</v>
      </c>
      <c r="G2683" s="112">
        <v>2</v>
      </c>
      <c r="H2683" s="112">
        <v>2</v>
      </c>
      <c r="I2683" s="112">
        <v>2</v>
      </c>
      <c r="L2683" s="112">
        <v>1</v>
      </c>
    </row>
    <row r="2684" spans="1:15" x14ac:dyDescent="0.2">
      <c r="A2684" s="111">
        <v>2787</v>
      </c>
      <c r="B2684" s="421" t="s">
        <v>1771</v>
      </c>
      <c r="C2684" s="421" t="s">
        <v>506</v>
      </c>
      <c r="D2684" s="422" t="s">
        <v>663</v>
      </c>
      <c r="E2684" s="111">
        <v>15545</v>
      </c>
      <c r="F2684" s="421" t="s">
        <v>4724</v>
      </c>
    </row>
    <row r="2685" spans="1:15" x14ac:dyDescent="0.2">
      <c r="A2685" s="111">
        <v>2788</v>
      </c>
      <c r="B2685" s="421" t="s">
        <v>4599</v>
      </c>
      <c r="C2685" s="421" t="s">
        <v>532</v>
      </c>
      <c r="D2685" s="422" t="s">
        <v>663</v>
      </c>
      <c r="E2685" s="111">
        <v>15553</v>
      </c>
      <c r="F2685" s="421" t="s">
        <v>4683</v>
      </c>
      <c r="G2685" s="112">
        <v>1</v>
      </c>
      <c r="I2685" s="112">
        <v>1</v>
      </c>
    </row>
    <row r="2686" spans="1:15" x14ac:dyDescent="0.2">
      <c r="A2686" s="111">
        <v>2789</v>
      </c>
      <c r="B2686" s="421" t="s">
        <v>4609</v>
      </c>
      <c r="C2686" s="421" t="s">
        <v>503</v>
      </c>
      <c r="D2686" s="422" t="s">
        <v>666</v>
      </c>
      <c r="E2686" s="111">
        <v>14153</v>
      </c>
      <c r="F2686" s="421" t="s">
        <v>688</v>
      </c>
      <c r="G2686" s="112">
        <v>1</v>
      </c>
      <c r="H2686" s="112">
        <v>1</v>
      </c>
      <c r="I2686" s="112">
        <v>1</v>
      </c>
      <c r="J2686" s="112">
        <v>7</v>
      </c>
      <c r="K2686" s="112">
        <v>7</v>
      </c>
      <c r="L2686" s="112">
        <v>7</v>
      </c>
      <c r="M2686" s="112">
        <v>5</v>
      </c>
      <c r="N2686" s="112">
        <v>3</v>
      </c>
      <c r="O2686" s="112">
        <v>3</v>
      </c>
    </row>
    <row r="2687" spans="1:15" x14ac:dyDescent="0.2">
      <c r="A2687" s="111">
        <v>2790</v>
      </c>
      <c r="B2687" s="421" t="s">
        <v>4588</v>
      </c>
      <c r="C2687" s="421" t="s">
        <v>503</v>
      </c>
      <c r="D2687" s="422" t="s">
        <v>663</v>
      </c>
      <c r="E2687" s="111">
        <v>15547</v>
      </c>
      <c r="F2687" s="421" t="s">
        <v>4665</v>
      </c>
    </row>
    <row r="2688" spans="1:15" x14ac:dyDescent="0.2">
      <c r="A2688" s="111">
        <v>2791</v>
      </c>
      <c r="B2688" s="421" t="s">
        <v>4605</v>
      </c>
      <c r="C2688" s="421" t="s">
        <v>503</v>
      </c>
      <c r="D2688" s="422" t="s">
        <v>666</v>
      </c>
      <c r="E2688" s="111">
        <v>14666</v>
      </c>
      <c r="F2688" s="421" t="s">
        <v>2177</v>
      </c>
    </row>
    <row r="2689" spans="1:15" x14ac:dyDescent="0.2">
      <c r="A2689" s="111">
        <v>2792</v>
      </c>
      <c r="B2689" s="421" t="s">
        <v>4637</v>
      </c>
      <c r="C2689" s="421" t="s">
        <v>555</v>
      </c>
      <c r="D2689" s="422" t="s">
        <v>663</v>
      </c>
      <c r="E2689" s="111">
        <v>15596</v>
      </c>
      <c r="F2689" s="421" t="s">
        <v>4725</v>
      </c>
      <c r="G2689" s="112">
        <v>1</v>
      </c>
      <c r="H2689" s="112">
        <v>1</v>
      </c>
      <c r="I2689" s="112">
        <v>1</v>
      </c>
      <c r="J2689" s="112">
        <v>3</v>
      </c>
      <c r="K2689" s="112">
        <v>3</v>
      </c>
      <c r="L2689" s="112">
        <v>4</v>
      </c>
      <c r="N2689" s="112">
        <v>2</v>
      </c>
      <c r="O2689" s="112">
        <v>1</v>
      </c>
    </row>
    <row r="2690" spans="1:15" x14ac:dyDescent="0.2">
      <c r="A2690" s="111">
        <v>2793</v>
      </c>
      <c r="B2690" s="421" t="s">
        <v>393</v>
      </c>
      <c r="C2690" s="421" t="s">
        <v>4663</v>
      </c>
      <c r="D2690" s="422" t="s">
        <v>666</v>
      </c>
      <c r="E2690" s="111">
        <v>15450</v>
      </c>
      <c r="F2690" s="421" t="s">
        <v>3734</v>
      </c>
      <c r="G2690" s="112">
        <v>2</v>
      </c>
      <c r="H2690" s="112">
        <v>2</v>
      </c>
      <c r="I2690" s="112">
        <v>3</v>
      </c>
      <c r="J2690" s="112">
        <v>1</v>
      </c>
      <c r="K2690" s="112">
        <v>1</v>
      </c>
    </row>
    <row r="2691" spans="1:15" x14ac:dyDescent="0.2">
      <c r="A2691" s="111">
        <v>2794</v>
      </c>
      <c r="B2691" s="421" t="s">
        <v>4589</v>
      </c>
      <c r="C2691" s="421" t="s">
        <v>516</v>
      </c>
      <c r="D2691" s="422" t="s">
        <v>663</v>
      </c>
      <c r="E2691" s="111">
        <v>14106</v>
      </c>
      <c r="F2691" s="421" t="s">
        <v>686</v>
      </c>
      <c r="G2691" s="112">
        <v>1</v>
      </c>
      <c r="H2691" s="112">
        <v>1</v>
      </c>
      <c r="I2691" s="112">
        <v>1</v>
      </c>
      <c r="J2691" s="112">
        <v>7</v>
      </c>
      <c r="K2691" s="112">
        <v>8</v>
      </c>
      <c r="L2691" s="112">
        <v>6</v>
      </c>
      <c r="M2691" s="112">
        <v>8</v>
      </c>
      <c r="N2691" s="112">
        <v>5</v>
      </c>
      <c r="O2691" s="112">
        <v>6</v>
      </c>
    </row>
    <row r="2692" spans="1:15" x14ac:dyDescent="0.2">
      <c r="A2692" s="111">
        <v>2795</v>
      </c>
      <c r="B2692" s="421" t="s">
        <v>4608</v>
      </c>
      <c r="C2692" s="421" t="s">
        <v>509</v>
      </c>
      <c r="D2692" s="422" t="s">
        <v>663</v>
      </c>
      <c r="E2692" s="111">
        <v>15551</v>
      </c>
      <c r="F2692" s="421" t="s">
        <v>4693</v>
      </c>
    </row>
    <row r="2693" spans="1:15" x14ac:dyDescent="0.2">
      <c r="A2693" s="111">
        <v>2796</v>
      </c>
      <c r="B2693" s="421" t="s">
        <v>1944</v>
      </c>
      <c r="C2693" s="421" t="s">
        <v>573</v>
      </c>
      <c r="D2693" s="422" t="s">
        <v>663</v>
      </c>
      <c r="E2693" s="111">
        <v>15551</v>
      </c>
      <c r="F2693" s="421" t="s">
        <v>4693</v>
      </c>
    </row>
    <row r="2694" spans="1:15" x14ac:dyDescent="0.2">
      <c r="A2694" s="111">
        <v>2797</v>
      </c>
      <c r="B2694" s="421" t="s">
        <v>4590</v>
      </c>
      <c r="C2694" s="421" t="s">
        <v>1674</v>
      </c>
      <c r="D2694" s="422" t="s">
        <v>666</v>
      </c>
      <c r="E2694" s="111">
        <v>15549</v>
      </c>
      <c r="F2694" s="421" t="s">
        <v>4667</v>
      </c>
      <c r="G2694" s="112">
        <v>1</v>
      </c>
      <c r="H2694" s="112">
        <v>1</v>
      </c>
      <c r="I2694" s="112">
        <v>1</v>
      </c>
      <c r="J2694" s="112">
        <v>2</v>
      </c>
      <c r="K2694" s="112">
        <v>3</v>
      </c>
      <c r="L2694" s="112">
        <v>4</v>
      </c>
      <c r="M2694" s="112">
        <v>1</v>
      </c>
      <c r="N2694" s="112">
        <v>1</v>
      </c>
      <c r="O2694" s="112">
        <v>1</v>
      </c>
    </row>
    <row r="2695" spans="1:15" x14ac:dyDescent="0.2">
      <c r="A2695" s="111">
        <v>2798</v>
      </c>
      <c r="B2695" s="421" t="s">
        <v>4636</v>
      </c>
      <c r="C2695" s="421" t="s">
        <v>534</v>
      </c>
      <c r="D2695" s="422" t="s">
        <v>663</v>
      </c>
      <c r="E2695" s="111">
        <v>16673</v>
      </c>
      <c r="F2695" s="421" t="s">
        <v>4721</v>
      </c>
      <c r="G2695" s="112">
        <v>1</v>
      </c>
      <c r="H2695" s="112">
        <v>1</v>
      </c>
      <c r="I2695" s="112">
        <v>1</v>
      </c>
      <c r="J2695" s="112">
        <v>1</v>
      </c>
      <c r="K2695" s="112">
        <v>1</v>
      </c>
      <c r="L2695" s="112">
        <v>1</v>
      </c>
    </row>
    <row r="2696" spans="1:15" x14ac:dyDescent="0.2">
      <c r="A2696" s="111">
        <v>2799</v>
      </c>
      <c r="B2696" s="421" t="s">
        <v>1390</v>
      </c>
      <c r="C2696" s="421" t="s">
        <v>501</v>
      </c>
      <c r="D2696" s="422" t="s">
        <v>663</v>
      </c>
      <c r="E2696" s="111">
        <v>15548</v>
      </c>
      <c r="F2696" s="421" t="s">
        <v>4709</v>
      </c>
    </row>
    <row r="2697" spans="1:15" x14ac:dyDescent="0.2">
      <c r="A2697" s="111">
        <v>2800</v>
      </c>
      <c r="B2697" s="421" t="s">
        <v>362</v>
      </c>
      <c r="C2697" s="421" t="s">
        <v>501</v>
      </c>
      <c r="D2697" s="422" t="s">
        <v>663</v>
      </c>
      <c r="E2697" s="111">
        <v>14869</v>
      </c>
      <c r="F2697" s="421" t="s">
        <v>2550</v>
      </c>
    </row>
    <row r="2698" spans="1:15" x14ac:dyDescent="0.2">
      <c r="A2698" s="111">
        <v>2801</v>
      </c>
      <c r="B2698" s="421" t="s">
        <v>4597</v>
      </c>
      <c r="C2698" s="421" t="s">
        <v>506</v>
      </c>
      <c r="D2698" s="422" t="s">
        <v>663</v>
      </c>
      <c r="E2698" s="111">
        <v>15498</v>
      </c>
      <c r="F2698" s="421" t="s">
        <v>4680</v>
      </c>
      <c r="G2698" s="112">
        <v>2</v>
      </c>
    </row>
    <row r="2699" spans="1:15" x14ac:dyDescent="0.2">
      <c r="A2699" s="111">
        <v>2802</v>
      </c>
      <c r="B2699" s="421" t="s">
        <v>3900</v>
      </c>
      <c r="C2699" s="421" t="s">
        <v>580</v>
      </c>
      <c r="D2699" s="422" t="s">
        <v>663</v>
      </c>
      <c r="E2699" s="111">
        <v>15555</v>
      </c>
      <c r="F2699" s="421" t="s">
        <v>4692</v>
      </c>
      <c r="G2699" s="112">
        <v>3</v>
      </c>
      <c r="H2699" s="112">
        <v>2</v>
      </c>
      <c r="I2699" s="112">
        <v>1</v>
      </c>
      <c r="J2699" s="112">
        <v>6</v>
      </c>
      <c r="K2699" s="112">
        <v>5</v>
      </c>
      <c r="L2699" s="112">
        <v>4</v>
      </c>
      <c r="M2699" s="112">
        <v>2</v>
      </c>
      <c r="N2699" s="112">
        <v>2</v>
      </c>
      <c r="O2699" s="112">
        <v>1</v>
      </c>
    </row>
    <row r="2700" spans="1:15" x14ac:dyDescent="0.2">
      <c r="A2700" s="111">
        <v>2803</v>
      </c>
      <c r="B2700" s="421" t="s">
        <v>4628</v>
      </c>
      <c r="C2700" s="421" t="s">
        <v>551</v>
      </c>
      <c r="D2700" s="422" t="s">
        <v>666</v>
      </c>
      <c r="E2700" s="111">
        <v>15556</v>
      </c>
      <c r="F2700" s="421" t="s">
        <v>4715</v>
      </c>
      <c r="G2700" s="112">
        <v>1</v>
      </c>
      <c r="I2700" s="112">
        <v>1</v>
      </c>
    </row>
    <row r="2701" spans="1:15" x14ac:dyDescent="0.2">
      <c r="A2701" s="111">
        <v>2804</v>
      </c>
      <c r="B2701" s="421" t="s">
        <v>4604</v>
      </c>
      <c r="C2701" s="421" t="s">
        <v>502</v>
      </c>
      <c r="D2701" s="422" t="s">
        <v>663</v>
      </c>
      <c r="E2701" s="111">
        <v>15557</v>
      </c>
      <c r="F2701" s="421" t="s">
        <v>4686</v>
      </c>
    </row>
    <row r="2702" spans="1:15" x14ac:dyDescent="0.2">
      <c r="A2702" s="111">
        <v>2805</v>
      </c>
      <c r="B2702" s="421" t="s">
        <v>115</v>
      </c>
      <c r="C2702" s="421" t="s">
        <v>551</v>
      </c>
      <c r="D2702" s="422" t="s">
        <v>663</v>
      </c>
      <c r="E2702" s="111">
        <v>15558</v>
      </c>
      <c r="F2702" s="421" t="s">
        <v>4723</v>
      </c>
      <c r="G2702" s="112">
        <v>1</v>
      </c>
      <c r="H2702" s="112">
        <v>1</v>
      </c>
    </row>
    <row r="2703" spans="1:15" x14ac:dyDescent="0.2">
      <c r="A2703" s="111">
        <v>2806</v>
      </c>
      <c r="B2703" s="421" t="s">
        <v>48</v>
      </c>
      <c r="C2703" s="421" t="s">
        <v>1450</v>
      </c>
      <c r="D2703" s="422" t="s">
        <v>663</v>
      </c>
      <c r="E2703" s="111">
        <v>15560</v>
      </c>
      <c r="F2703" s="421" t="s">
        <v>4675</v>
      </c>
      <c r="G2703" s="112">
        <v>2</v>
      </c>
      <c r="H2703" s="112">
        <v>3</v>
      </c>
      <c r="J2703" s="112">
        <v>1</v>
      </c>
    </row>
    <row r="2704" spans="1:15" x14ac:dyDescent="0.2">
      <c r="A2704" s="111">
        <v>2807</v>
      </c>
      <c r="B2704" s="421" t="s">
        <v>1250</v>
      </c>
      <c r="C2704" s="421" t="s">
        <v>519</v>
      </c>
      <c r="D2704" s="422" t="s">
        <v>663</v>
      </c>
      <c r="F2704" s="421" t="s">
        <v>4688</v>
      </c>
      <c r="G2704" s="112">
        <v>1</v>
      </c>
    </row>
    <row r="2705" spans="1:15" x14ac:dyDescent="0.2">
      <c r="A2705" s="111">
        <v>2808</v>
      </c>
      <c r="B2705" s="421" t="s">
        <v>4631</v>
      </c>
      <c r="C2705" s="421" t="s">
        <v>501</v>
      </c>
      <c r="D2705" s="422" t="s">
        <v>666</v>
      </c>
      <c r="E2705" s="111">
        <v>15083</v>
      </c>
      <c r="F2705" s="421" t="s">
        <v>3106</v>
      </c>
      <c r="G2705" s="112">
        <v>1</v>
      </c>
      <c r="H2705" s="112">
        <v>1</v>
      </c>
      <c r="I2705" s="112">
        <v>1</v>
      </c>
      <c r="J2705" s="112">
        <v>17</v>
      </c>
      <c r="K2705" s="112">
        <v>20</v>
      </c>
      <c r="L2705" s="112">
        <v>22</v>
      </c>
      <c r="M2705" s="112">
        <v>13</v>
      </c>
      <c r="N2705" s="112">
        <v>12</v>
      </c>
      <c r="O2705" s="112">
        <v>9</v>
      </c>
    </row>
    <row r="2706" spans="1:15" x14ac:dyDescent="0.2">
      <c r="A2706" s="111">
        <v>2809</v>
      </c>
      <c r="B2706" s="421" t="s">
        <v>4594</v>
      </c>
      <c r="C2706" s="421" t="s">
        <v>516</v>
      </c>
      <c r="D2706" s="422" t="s">
        <v>663</v>
      </c>
      <c r="E2706" s="111">
        <v>15562</v>
      </c>
      <c r="F2706" s="421" t="s">
        <v>4676</v>
      </c>
      <c r="G2706" s="112">
        <v>1</v>
      </c>
      <c r="H2706" s="112">
        <v>1</v>
      </c>
      <c r="I2706" s="112">
        <v>1</v>
      </c>
    </row>
    <row r="2707" spans="1:15" x14ac:dyDescent="0.2">
      <c r="A2707" s="111">
        <v>2810</v>
      </c>
      <c r="B2707" s="421" t="s">
        <v>4617</v>
      </c>
      <c r="C2707" s="421" t="s">
        <v>516</v>
      </c>
      <c r="D2707" s="422" t="s">
        <v>663</v>
      </c>
      <c r="E2707" s="111">
        <v>15561</v>
      </c>
      <c r="F2707" s="421" t="s">
        <v>3013</v>
      </c>
      <c r="G2707" s="112">
        <v>1</v>
      </c>
      <c r="H2707" s="112">
        <v>1</v>
      </c>
    </row>
    <row r="2708" spans="1:15" x14ac:dyDescent="0.2">
      <c r="A2708" s="111">
        <v>2811</v>
      </c>
      <c r="B2708" s="421" t="s">
        <v>2433</v>
      </c>
      <c r="C2708" s="421" t="s">
        <v>533</v>
      </c>
      <c r="D2708" s="422" t="s">
        <v>663</v>
      </c>
      <c r="E2708" s="111">
        <v>15561</v>
      </c>
      <c r="F2708" s="421" t="s">
        <v>3013</v>
      </c>
      <c r="H2708" s="112">
        <v>1</v>
      </c>
      <c r="I2708" s="112">
        <v>1</v>
      </c>
    </row>
    <row r="2709" spans="1:15" x14ac:dyDescent="0.2">
      <c r="A2709" s="111">
        <v>2812</v>
      </c>
      <c r="B2709" s="421" t="s">
        <v>4612</v>
      </c>
      <c r="C2709" s="421" t="s">
        <v>501</v>
      </c>
      <c r="D2709" s="422" t="s">
        <v>663</v>
      </c>
      <c r="F2709" s="421" t="s">
        <v>4699</v>
      </c>
    </row>
    <row r="2710" spans="1:15" x14ac:dyDescent="0.2">
      <c r="A2710" s="111">
        <v>2813</v>
      </c>
      <c r="B2710" s="421" t="s">
        <v>4658</v>
      </c>
      <c r="C2710" s="421" t="s">
        <v>532</v>
      </c>
      <c r="D2710" s="422" t="s">
        <v>666</v>
      </c>
      <c r="E2710" s="111">
        <v>15309</v>
      </c>
      <c r="F2710" s="421" t="s">
        <v>4750</v>
      </c>
      <c r="G2710" s="112">
        <v>1</v>
      </c>
      <c r="H2710" s="112">
        <v>1</v>
      </c>
      <c r="I2710" s="112">
        <v>1</v>
      </c>
      <c r="J2710" s="112">
        <v>6</v>
      </c>
      <c r="K2710" s="112">
        <v>6</v>
      </c>
      <c r="L2710" s="112">
        <v>6</v>
      </c>
      <c r="M2710" s="112">
        <v>4</v>
      </c>
      <c r="N2710" s="112">
        <v>2</v>
      </c>
      <c r="O2710" s="112">
        <v>3</v>
      </c>
    </row>
    <row r="2711" spans="1:15" x14ac:dyDescent="0.2">
      <c r="A2711" s="111">
        <v>2814</v>
      </c>
      <c r="B2711" s="421" t="s">
        <v>2444</v>
      </c>
      <c r="C2711" s="421" t="s">
        <v>506</v>
      </c>
      <c r="D2711" s="422" t="s">
        <v>663</v>
      </c>
      <c r="E2711" s="111">
        <v>15566</v>
      </c>
      <c r="F2711" s="421" t="s">
        <v>4697</v>
      </c>
      <c r="G2711" s="112">
        <v>1</v>
      </c>
      <c r="H2711" s="112">
        <v>1</v>
      </c>
      <c r="I2711" s="112">
        <v>1</v>
      </c>
      <c r="J2711" s="112">
        <v>6</v>
      </c>
      <c r="K2711" s="112">
        <v>6</v>
      </c>
      <c r="L2711" s="112">
        <v>6</v>
      </c>
      <c r="M2711" s="112">
        <v>10</v>
      </c>
      <c r="N2711" s="112">
        <v>8</v>
      </c>
      <c r="O2711" s="112">
        <v>8</v>
      </c>
    </row>
    <row r="2712" spans="1:15" x14ac:dyDescent="0.2">
      <c r="A2712" s="111">
        <v>2815</v>
      </c>
      <c r="B2712" s="421" t="s">
        <v>4641</v>
      </c>
      <c r="C2712" s="421" t="s">
        <v>561</v>
      </c>
      <c r="D2712" s="422" t="s">
        <v>666</v>
      </c>
      <c r="E2712" s="111">
        <v>15780</v>
      </c>
      <c r="F2712" s="421" t="s">
        <v>4728</v>
      </c>
      <c r="G2712" s="112">
        <v>2</v>
      </c>
      <c r="H2712" s="112">
        <v>2</v>
      </c>
      <c r="I2712" s="112">
        <v>1</v>
      </c>
      <c r="J2712" s="112">
        <v>4</v>
      </c>
      <c r="K2712" s="112">
        <v>3</v>
      </c>
      <c r="L2712" s="112">
        <v>4</v>
      </c>
      <c r="M2712" s="112">
        <v>2</v>
      </c>
      <c r="N2712" s="112">
        <v>1</v>
      </c>
      <c r="O2712" s="112">
        <v>1</v>
      </c>
    </row>
    <row r="2713" spans="1:15" x14ac:dyDescent="0.2">
      <c r="A2713" s="111">
        <v>2816</v>
      </c>
      <c r="B2713" s="421" t="s">
        <v>4657</v>
      </c>
      <c r="C2713" s="421" t="s">
        <v>533</v>
      </c>
      <c r="D2713" s="422" t="s">
        <v>666</v>
      </c>
      <c r="F2713" s="421" t="s">
        <v>4748</v>
      </c>
    </row>
    <row r="2714" spans="1:15" x14ac:dyDescent="0.2">
      <c r="A2714" s="111">
        <v>2817</v>
      </c>
      <c r="B2714" s="421" t="s">
        <v>2408</v>
      </c>
      <c r="C2714" s="421" t="s">
        <v>573</v>
      </c>
      <c r="D2714" s="422" t="s">
        <v>666</v>
      </c>
      <c r="F2714" s="421" t="s">
        <v>4748</v>
      </c>
    </row>
    <row r="2715" spans="1:15" x14ac:dyDescent="0.2">
      <c r="A2715" s="111">
        <v>2818</v>
      </c>
      <c r="B2715" s="421" t="s">
        <v>1957</v>
      </c>
      <c r="C2715" s="421" t="s">
        <v>516</v>
      </c>
      <c r="D2715" s="422" t="s">
        <v>663</v>
      </c>
      <c r="E2715" s="111">
        <v>14177</v>
      </c>
      <c r="F2715" s="421" t="s">
        <v>881</v>
      </c>
      <c r="G2715" s="112">
        <v>1</v>
      </c>
      <c r="H2715" s="112">
        <v>1</v>
      </c>
      <c r="I2715" s="112">
        <v>1</v>
      </c>
      <c r="J2715" s="112">
        <v>1</v>
      </c>
      <c r="L2715" s="112">
        <v>1</v>
      </c>
    </row>
    <row r="2716" spans="1:15" x14ac:dyDescent="0.2">
      <c r="A2716" s="111">
        <v>2819</v>
      </c>
      <c r="B2716" s="421" t="s">
        <v>2204</v>
      </c>
      <c r="C2716" s="421" t="s">
        <v>516</v>
      </c>
      <c r="D2716" s="422" t="s">
        <v>666</v>
      </c>
      <c r="E2716" s="111">
        <v>15568</v>
      </c>
      <c r="F2716" s="421" t="s">
        <v>4755</v>
      </c>
      <c r="G2716" s="112">
        <v>2</v>
      </c>
      <c r="H2716" s="112">
        <v>2</v>
      </c>
      <c r="I2716" s="112">
        <v>1</v>
      </c>
    </row>
    <row r="2717" spans="1:15" x14ac:dyDescent="0.2">
      <c r="A2717" s="111">
        <v>2820</v>
      </c>
      <c r="B2717" s="421" t="s">
        <v>446</v>
      </c>
      <c r="C2717" s="421" t="s">
        <v>501</v>
      </c>
      <c r="D2717" s="422" t="s">
        <v>666</v>
      </c>
      <c r="E2717" s="111">
        <v>15569</v>
      </c>
      <c r="F2717" s="421" t="s">
        <v>4700</v>
      </c>
      <c r="G2717" s="112">
        <v>1</v>
      </c>
      <c r="H2717" s="112">
        <v>1</v>
      </c>
      <c r="I2717" s="112">
        <v>1</v>
      </c>
    </row>
    <row r="2718" spans="1:15" x14ac:dyDescent="0.2">
      <c r="A2718" s="111">
        <v>2821</v>
      </c>
      <c r="B2718" s="421" t="s">
        <v>4656</v>
      </c>
      <c r="C2718" s="421" t="s">
        <v>572</v>
      </c>
      <c r="D2718" s="422" t="s">
        <v>666</v>
      </c>
      <c r="F2718" s="421" t="s">
        <v>4746</v>
      </c>
    </row>
    <row r="2719" spans="1:15" x14ac:dyDescent="0.2">
      <c r="A2719" s="111">
        <v>2822</v>
      </c>
      <c r="B2719" s="421" t="s">
        <v>1428</v>
      </c>
      <c r="C2719" s="421" t="s">
        <v>1066</v>
      </c>
      <c r="D2719" s="422" t="s">
        <v>666</v>
      </c>
      <c r="E2719" s="111">
        <v>14746</v>
      </c>
      <c r="F2719" s="421" t="s">
        <v>4751</v>
      </c>
    </row>
    <row r="2720" spans="1:15" x14ac:dyDescent="0.2">
      <c r="A2720" s="111">
        <v>2823</v>
      </c>
      <c r="B2720" s="421" t="s">
        <v>387</v>
      </c>
      <c r="C2720" s="421" t="s">
        <v>1066</v>
      </c>
      <c r="D2720" s="422" t="s">
        <v>663</v>
      </c>
      <c r="E2720" s="111">
        <v>14746</v>
      </c>
      <c r="F2720" s="421" t="s">
        <v>4751</v>
      </c>
    </row>
    <row r="2721" spans="1:15" x14ac:dyDescent="0.2">
      <c r="A2721" s="111">
        <v>2824</v>
      </c>
      <c r="B2721" s="421" t="s">
        <v>3762</v>
      </c>
      <c r="C2721" s="421" t="s">
        <v>506</v>
      </c>
      <c r="D2721" s="422" t="s">
        <v>663</v>
      </c>
      <c r="E2721" s="111">
        <v>15572</v>
      </c>
      <c r="F2721" s="421" t="s">
        <v>4749</v>
      </c>
      <c r="G2721" s="112">
        <v>1</v>
      </c>
      <c r="H2721" s="112">
        <v>1</v>
      </c>
    </row>
    <row r="2722" spans="1:15" x14ac:dyDescent="0.2">
      <c r="A2722" s="111">
        <v>2825</v>
      </c>
      <c r="B2722" s="421" t="s">
        <v>4655</v>
      </c>
      <c r="C2722" s="421" t="s">
        <v>530</v>
      </c>
      <c r="D2722" s="422" t="s">
        <v>663</v>
      </c>
      <c r="E2722" s="111">
        <v>14532</v>
      </c>
      <c r="F2722" s="421" t="s">
        <v>1636</v>
      </c>
    </row>
    <row r="2723" spans="1:15" x14ac:dyDescent="0.2">
      <c r="A2723" s="111">
        <v>2826</v>
      </c>
      <c r="B2723" s="421" t="s">
        <v>4614</v>
      </c>
      <c r="C2723" s="421" t="s">
        <v>1994</v>
      </c>
      <c r="D2723" s="422" t="s">
        <v>666</v>
      </c>
      <c r="E2723" s="111">
        <v>15574</v>
      </c>
      <c r="F2723" s="421" t="s">
        <v>4703</v>
      </c>
    </row>
    <row r="2724" spans="1:15" x14ac:dyDescent="0.2">
      <c r="A2724" s="111">
        <v>2827</v>
      </c>
      <c r="B2724" s="421" t="s">
        <v>4615</v>
      </c>
      <c r="C2724" s="421" t="s">
        <v>1994</v>
      </c>
      <c r="D2724" s="422" t="s">
        <v>663</v>
      </c>
      <c r="E2724" s="111">
        <v>15574</v>
      </c>
      <c r="F2724" s="421" t="s">
        <v>4703</v>
      </c>
    </row>
    <row r="2725" spans="1:15" x14ac:dyDescent="0.2">
      <c r="A2725" s="111">
        <v>2828</v>
      </c>
      <c r="B2725" s="421" t="s">
        <v>4643</v>
      </c>
      <c r="C2725" s="421" t="s">
        <v>7405</v>
      </c>
      <c r="D2725" s="422" t="s">
        <v>663</v>
      </c>
      <c r="E2725" s="111">
        <v>15575</v>
      </c>
      <c r="F2725" s="421" t="s">
        <v>4731</v>
      </c>
      <c r="G2725" s="112">
        <v>3</v>
      </c>
      <c r="H2725" s="112">
        <v>3</v>
      </c>
      <c r="I2725" s="112">
        <v>3</v>
      </c>
      <c r="J2725" s="112">
        <v>2</v>
      </c>
      <c r="K2725" s="112">
        <v>2</v>
      </c>
      <c r="L2725" s="112">
        <v>2</v>
      </c>
      <c r="O2725" s="112">
        <v>2</v>
      </c>
    </row>
    <row r="2726" spans="1:15" x14ac:dyDescent="0.2">
      <c r="A2726" s="111">
        <v>2829</v>
      </c>
      <c r="B2726" s="421" t="s">
        <v>330</v>
      </c>
      <c r="C2726" s="421" t="s">
        <v>530</v>
      </c>
      <c r="D2726" s="422" t="s">
        <v>663</v>
      </c>
      <c r="E2726" s="111">
        <v>15577</v>
      </c>
      <c r="F2726" s="421" t="s">
        <v>4757</v>
      </c>
      <c r="G2726" s="112">
        <v>1</v>
      </c>
      <c r="H2726" s="112">
        <v>1</v>
      </c>
      <c r="I2726" s="112">
        <v>1</v>
      </c>
      <c r="J2726" s="112">
        <v>4</v>
      </c>
      <c r="K2726" s="112">
        <v>4</v>
      </c>
      <c r="L2726" s="112">
        <v>4</v>
      </c>
      <c r="M2726" s="112">
        <v>6</v>
      </c>
      <c r="N2726" s="112">
        <v>5</v>
      </c>
      <c r="O2726" s="112">
        <v>4</v>
      </c>
    </row>
    <row r="2727" spans="1:15" x14ac:dyDescent="0.2">
      <c r="A2727" s="111">
        <v>2830</v>
      </c>
      <c r="B2727" s="421" t="s">
        <v>1273</v>
      </c>
      <c r="C2727" s="421" t="s">
        <v>501</v>
      </c>
      <c r="D2727" s="422" t="s">
        <v>666</v>
      </c>
      <c r="E2727" s="111">
        <v>15576</v>
      </c>
      <c r="F2727" s="421" t="s">
        <v>4745</v>
      </c>
    </row>
    <row r="2728" spans="1:15" x14ac:dyDescent="0.2">
      <c r="A2728" s="111">
        <v>2831</v>
      </c>
      <c r="B2728" s="421" t="s">
        <v>4649</v>
      </c>
      <c r="C2728" s="421" t="s">
        <v>501</v>
      </c>
      <c r="D2728" s="422" t="s">
        <v>663</v>
      </c>
      <c r="E2728" s="111">
        <v>15559</v>
      </c>
      <c r="F2728" s="421" t="s">
        <v>4738</v>
      </c>
    </row>
    <row r="2729" spans="1:15" x14ac:dyDescent="0.2">
      <c r="A2729" s="111">
        <v>2832</v>
      </c>
      <c r="B2729" s="421" t="s">
        <v>4644</v>
      </c>
      <c r="C2729" s="421" t="s">
        <v>4664</v>
      </c>
      <c r="D2729" s="422" t="s">
        <v>663</v>
      </c>
      <c r="E2729" s="111">
        <v>15578</v>
      </c>
      <c r="F2729" s="421" t="s">
        <v>4821</v>
      </c>
      <c r="G2729" s="112">
        <v>2</v>
      </c>
      <c r="H2729" s="112">
        <v>1</v>
      </c>
      <c r="I2729" s="112">
        <v>2</v>
      </c>
      <c r="J2729" s="112">
        <v>2</v>
      </c>
      <c r="K2729" s="112">
        <v>1</v>
      </c>
      <c r="L2729" s="112">
        <v>2</v>
      </c>
    </row>
    <row r="2730" spans="1:15" x14ac:dyDescent="0.2">
      <c r="A2730" s="111">
        <v>2833</v>
      </c>
      <c r="B2730" s="421" t="s">
        <v>53</v>
      </c>
      <c r="C2730" s="421" t="s">
        <v>506</v>
      </c>
      <c r="D2730" s="422" t="s">
        <v>663</v>
      </c>
      <c r="E2730" s="111">
        <v>15580</v>
      </c>
      <c r="F2730" s="421" t="s">
        <v>4732</v>
      </c>
      <c r="G2730" s="112">
        <v>1</v>
      </c>
      <c r="H2730" s="112">
        <v>1</v>
      </c>
    </row>
    <row r="2731" spans="1:15" x14ac:dyDescent="0.2">
      <c r="A2731" s="111">
        <v>2834</v>
      </c>
      <c r="B2731" s="421" t="s">
        <v>4642</v>
      </c>
      <c r="C2731" s="421" t="s">
        <v>540</v>
      </c>
      <c r="D2731" s="422" t="s">
        <v>666</v>
      </c>
      <c r="E2731" s="111">
        <v>14640</v>
      </c>
      <c r="F2731" s="421" t="s">
        <v>1941</v>
      </c>
      <c r="G2731" s="112">
        <v>3</v>
      </c>
      <c r="H2731" s="112">
        <v>3</v>
      </c>
      <c r="I2731" s="112">
        <v>1</v>
      </c>
      <c r="J2731" s="112">
        <v>1</v>
      </c>
      <c r="K2731" s="112">
        <v>1</v>
      </c>
    </row>
    <row r="2732" spans="1:15" x14ac:dyDescent="0.2">
      <c r="A2732" s="111">
        <v>2835</v>
      </c>
      <c r="B2732" s="421" t="s">
        <v>430</v>
      </c>
      <c r="C2732" s="421" t="s">
        <v>574</v>
      </c>
      <c r="D2732" s="422" t="s">
        <v>666</v>
      </c>
      <c r="E2732" s="111">
        <v>15583</v>
      </c>
      <c r="F2732" s="421" t="s">
        <v>4733</v>
      </c>
      <c r="G2732" s="112">
        <v>1</v>
      </c>
      <c r="H2732" s="112">
        <v>1</v>
      </c>
      <c r="I2732" s="112">
        <v>1</v>
      </c>
      <c r="J2732" s="112">
        <v>8</v>
      </c>
      <c r="K2732" s="112">
        <v>8</v>
      </c>
      <c r="L2732" s="112">
        <v>8</v>
      </c>
      <c r="M2732" s="112">
        <v>18</v>
      </c>
      <c r="N2732" s="112">
        <v>17</v>
      </c>
      <c r="O2732" s="112">
        <v>18</v>
      </c>
    </row>
    <row r="2733" spans="1:15" x14ac:dyDescent="0.2">
      <c r="A2733" s="111">
        <v>2836</v>
      </c>
      <c r="B2733" s="421" t="s">
        <v>195</v>
      </c>
      <c r="C2733" s="421" t="s">
        <v>501</v>
      </c>
      <c r="D2733" s="422" t="s">
        <v>663</v>
      </c>
      <c r="F2733" s="421" t="s">
        <v>4756</v>
      </c>
    </row>
    <row r="2734" spans="1:15" x14ac:dyDescent="0.2">
      <c r="A2734" s="111">
        <v>2838</v>
      </c>
      <c r="B2734" s="421" t="s">
        <v>1997</v>
      </c>
      <c r="C2734" s="421" t="s">
        <v>1908</v>
      </c>
      <c r="D2734" s="422" t="s">
        <v>666</v>
      </c>
      <c r="F2734" s="421" t="s">
        <v>4729</v>
      </c>
    </row>
    <row r="2735" spans="1:15" x14ac:dyDescent="0.2">
      <c r="A2735" s="111">
        <v>2839</v>
      </c>
      <c r="B2735" s="421" t="s">
        <v>123</v>
      </c>
      <c r="C2735" s="421" t="s">
        <v>506</v>
      </c>
      <c r="D2735" s="422" t="s">
        <v>663</v>
      </c>
      <c r="E2735" s="111">
        <v>15581</v>
      </c>
      <c r="F2735" s="421" t="s">
        <v>4754</v>
      </c>
      <c r="G2735" s="112">
        <v>1</v>
      </c>
      <c r="H2735" s="112">
        <v>1</v>
      </c>
      <c r="I2735" s="112">
        <v>1</v>
      </c>
      <c r="J2735" s="112">
        <v>1</v>
      </c>
      <c r="K2735" s="112">
        <v>1</v>
      </c>
      <c r="L2735" s="112">
        <v>1</v>
      </c>
      <c r="M2735" s="112">
        <v>2</v>
      </c>
      <c r="N2735" s="112">
        <v>1</v>
      </c>
    </row>
    <row r="2736" spans="1:15" x14ac:dyDescent="0.2">
      <c r="A2736" s="111">
        <v>2840</v>
      </c>
      <c r="B2736" s="421" t="s">
        <v>1538</v>
      </c>
      <c r="C2736" s="421" t="s">
        <v>501</v>
      </c>
      <c r="D2736" s="422" t="s">
        <v>663</v>
      </c>
      <c r="E2736" s="111">
        <v>15585</v>
      </c>
      <c r="F2736" s="421" t="s">
        <v>4744</v>
      </c>
      <c r="G2736" s="112">
        <v>1</v>
      </c>
      <c r="H2736" s="112">
        <v>1</v>
      </c>
      <c r="I2736" s="112">
        <v>1</v>
      </c>
    </row>
    <row r="2737" spans="1:15" x14ac:dyDescent="0.2">
      <c r="A2737" s="111">
        <v>2841</v>
      </c>
      <c r="B2737" s="421" t="s">
        <v>172</v>
      </c>
      <c r="C2737" s="421" t="s">
        <v>4662</v>
      </c>
      <c r="D2737" s="422" t="s">
        <v>663</v>
      </c>
      <c r="E2737" s="111">
        <v>15513</v>
      </c>
      <c r="F2737" s="421" t="s">
        <v>4741</v>
      </c>
    </row>
    <row r="2738" spans="1:15" x14ac:dyDescent="0.2">
      <c r="A2738" s="111">
        <v>2842</v>
      </c>
      <c r="B2738" s="421" t="s">
        <v>235</v>
      </c>
      <c r="C2738" s="421" t="s">
        <v>506</v>
      </c>
      <c r="D2738" s="422" t="s">
        <v>663</v>
      </c>
      <c r="E2738" s="111">
        <v>15400</v>
      </c>
      <c r="F2738" s="421" t="s">
        <v>3980</v>
      </c>
      <c r="H2738" s="112">
        <v>1</v>
      </c>
      <c r="I2738" s="112">
        <v>1</v>
      </c>
    </row>
    <row r="2739" spans="1:15" x14ac:dyDescent="0.2">
      <c r="A2739" s="111">
        <v>2843</v>
      </c>
      <c r="B2739" s="421" t="s">
        <v>468</v>
      </c>
      <c r="C2739" s="421" t="s">
        <v>526</v>
      </c>
      <c r="D2739" s="422" t="s">
        <v>663</v>
      </c>
      <c r="E2739" s="111">
        <v>14627</v>
      </c>
      <c r="F2739" s="421" t="s">
        <v>1896</v>
      </c>
    </row>
    <row r="2740" spans="1:15" x14ac:dyDescent="0.2">
      <c r="A2740" s="111">
        <v>2844</v>
      </c>
      <c r="B2740" s="421" t="s">
        <v>4645</v>
      </c>
      <c r="C2740" s="421" t="s">
        <v>526</v>
      </c>
      <c r="D2740" s="422" t="s">
        <v>663</v>
      </c>
      <c r="E2740" s="111">
        <v>14627</v>
      </c>
      <c r="F2740" s="421" t="s">
        <v>1896</v>
      </c>
    </row>
    <row r="2741" spans="1:15" x14ac:dyDescent="0.2">
      <c r="A2741" s="111">
        <v>2845</v>
      </c>
      <c r="B2741" s="421" t="s">
        <v>266</v>
      </c>
      <c r="C2741" s="421" t="s">
        <v>501</v>
      </c>
      <c r="D2741" s="422" t="s">
        <v>663</v>
      </c>
      <c r="E2741" s="111">
        <v>15006</v>
      </c>
      <c r="F2741" s="421" t="s">
        <v>922</v>
      </c>
      <c r="G2741" s="112">
        <v>1</v>
      </c>
      <c r="H2741" s="112">
        <v>1</v>
      </c>
      <c r="I2741" s="112">
        <v>1</v>
      </c>
      <c r="J2741" s="112">
        <v>2</v>
      </c>
      <c r="K2741" s="112">
        <v>2</v>
      </c>
    </row>
    <row r="2742" spans="1:15" x14ac:dyDescent="0.2">
      <c r="A2742" s="111">
        <v>2846</v>
      </c>
      <c r="B2742" s="421" t="s">
        <v>4611</v>
      </c>
      <c r="C2742" s="421" t="s">
        <v>509</v>
      </c>
      <c r="D2742" s="422" t="s">
        <v>666</v>
      </c>
      <c r="E2742" s="111">
        <v>15563</v>
      </c>
      <c r="F2742" s="421" t="s">
        <v>2137</v>
      </c>
    </row>
    <row r="2743" spans="1:15" x14ac:dyDescent="0.2">
      <c r="A2743" s="111">
        <v>2847</v>
      </c>
      <c r="B2743" s="421" t="s">
        <v>1987</v>
      </c>
      <c r="C2743" s="421" t="s">
        <v>537</v>
      </c>
      <c r="D2743" s="422" t="s">
        <v>666</v>
      </c>
      <c r="E2743" s="111">
        <v>15587</v>
      </c>
      <c r="F2743" s="421" t="s">
        <v>4698</v>
      </c>
      <c r="G2743" s="112">
        <v>1</v>
      </c>
      <c r="H2743" s="112">
        <v>1</v>
      </c>
      <c r="I2743" s="112">
        <v>1</v>
      </c>
      <c r="J2743" s="112">
        <v>5</v>
      </c>
      <c r="K2743" s="112">
        <v>8</v>
      </c>
      <c r="L2743" s="112">
        <v>5</v>
      </c>
      <c r="M2743" s="112">
        <v>2</v>
      </c>
    </row>
    <row r="2744" spans="1:15" x14ac:dyDescent="0.2">
      <c r="A2744" s="111">
        <v>2848</v>
      </c>
      <c r="B2744" s="421" t="s">
        <v>3170</v>
      </c>
      <c r="C2744" s="421" t="s">
        <v>501</v>
      </c>
      <c r="D2744" s="422" t="s">
        <v>666</v>
      </c>
      <c r="E2744" s="111">
        <v>15588</v>
      </c>
      <c r="F2744" s="421" t="s">
        <v>4737</v>
      </c>
    </row>
    <row r="2745" spans="1:15" x14ac:dyDescent="0.2">
      <c r="A2745" s="111">
        <v>2849</v>
      </c>
      <c r="B2745" s="421" t="s">
        <v>4650</v>
      </c>
      <c r="C2745" s="421" t="s">
        <v>530</v>
      </c>
      <c r="D2745" s="422" t="s">
        <v>666</v>
      </c>
      <c r="E2745" s="111">
        <v>15504</v>
      </c>
      <c r="F2745" s="421" t="s">
        <v>4739</v>
      </c>
      <c r="G2745" s="112">
        <v>1</v>
      </c>
      <c r="H2745" s="112">
        <v>1</v>
      </c>
      <c r="I2745" s="112">
        <v>1</v>
      </c>
    </row>
    <row r="2746" spans="1:15" x14ac:dyDescent="0.2">
      <c r="A2746" s="111">
        <v>2850</v>
      </c>
      <c r="B2746" s="421" t="s">
        <v>4652</v>
      </c>
      <c r="C2746" s="421" t="s">
        <v>501</v>
      </c>
      <c r="D2746" s="422" t="s">
        <v>663</v>
      </c>
      <c r="E2746" s="111">
        <v>15589</v>
      </c>
      <c r="F2746" s="421" t="s">
        <v>4742</v>
      </c>
    </row>
    <row r="2747" spans="1:15" x14ac:dyDescent="0.2">
      <c r="A2747" s="111">
        <v>2851</v>
      </c>
      <c r="B2747" s="421" t="s">
        <v>4653</v>
      </c>
      <c r="C2747" s="421" t="s">
        <v>501</v>
      </c>
      <c r="D2747" s="422" t="s">
        <v>666</v>
      </c>
      <c r="E2747" s="111">
        <v>15589</v>
      </c>
      <c r="F2747" s="421" t="s">
        <v>4742</v>
      </c>
    </row>
    <row r="2748" spans="1:15" x14ac:dyDescent="0.2">
      <c r="A2748" s="111">
        <v>2852</v>
      </c>
      <c r="B2748" s="421" t="s">
        <v>337</v>
      </c>
      <c r="C2748" s="421" t="s">
        <v>510</v>
      </c>
      <c r="D2748" s="422" t="s">
        <v>666</v>
      </c>
      <c r="E2748" s="111">
        <v>15601</v>
      </c>
      <c r="F2748" s="421" t="s">
        <v>4730</v>
      </c>
      <c r="G2748" s="112">
        <v>2</v>
      </c>
      <c r="H2748" s="112">
        <v>2</v>
      </c>
      <c r="I2748" s="112">
        <v>1</v>
      </c>
      <c r="J2748" s="112">
        <v>2</v>
      </c>
      <c r="K2748" s="112">
        <v>2</v>
      </c>
      <c r="L2748" s="112">
        <v>2</v>
      </c>
    </row>
    <row r="2749" spans="1:15" x14ac:dyDescent="0.2">
      <c r="A2749" s="111">
        <v>2853</v>
      </c>
      <c r="B2749" s="421" t="s">
        <v>4661</v>
      </c>
      <c r="C2749" s="421" t="s">
        <v>551</v>
      </c>
      <c r="D2749" s="422" t="s">
        <v>666</v>
      </c>
      <c r="F2749" s="421" t="s">
        <v>4753</v>
      </c>
      <c r="G2749" s="112">
        <v>1</v>
      </c>
      <c r="H2749" s="112">
        <v>1</v>
      </c>
      <c r="I2749" s="112">
        <v>1</v>
      </c>
      <c r="J2749" s="112">
        <v>6</v>
      </c>
      <c r="K2749" s="112">
        <v>6</v>
      </c>
      <c r="L2749" s="112">
        <v>6</v>
      </c>
      <c r="M2749" s="112">
        <v>9</v>
      </c>
      <c r="N2749" s="112">
        <v>4</v>
      </c>
      <c r="O2749" s="112">
        <v>4</v>
      </c>
    </row>
    <row r="2750" spans="1:15" x14ac:dyDescent="0.2">
      <c r="A2750" s="111">
        <v>2854</v>
      </c>
      <c r="B2750" s="421" t="s">
        <v>1072</v>
      </c>
      <c r="C2750" s="421" t="s">
        <v>1447</v>
      </c>
      <c r="D2750" s="422" t="s">
        <v>663</v>
      </c>
      <c r="E2750" s="111">
        <v>15591</v>
      </c>
      <c r="F2750" s="421" t="s">
        <v>4752</v>
      </c>
      <c r="G2750" s="112">
        <v>1</v>
      </c>
      <c r="H2750" s="112">
        <v>1</v>
      </c>
      <c r="I2750" s="112">
        <v>1</v>
      </c>
      <c r="J2750" s="112">
        <v>10</v>
      </c>
      <c r="K2750" s="112">
        <v>9</v>
      </c>
      <c r="L2750" s="112">
        <v>11</v>
      </c>
      <c r="M2750" s="112">
        <v>20</v>
      </c>
      <c r="N2750" s="112">
        <v>10</v>
      </c>
      <c r="O2750" s="112">
        <v>17</v>
      </c>
    </row>
    <row r="2751" spans="1:15" x14ac:dyDescent="0.2">
      <c r="A2751" s="111">
        <v>2855</v>
      </c>
      <c r="B2751" s="421" t="s">
        <v>4660</v>
      </c>
      <c r="C2751" s="421" t="s">
        <v>1447</v>
      </c>
      <c r="D2751" s="422" t="s">
        <v>666</v>
      </c>
      <c r="E2751" s="111">
        <v>15591</v>
      </c>
      <c r="F2751" s="421" t="s">
        <v>4752</v>
      </c>
    </row>
    <row r="2752" spans="1:15" x14ac:dyDescent="0.2">
      <c r="A2752" s="111">
        <v>2856</v>
      </c>
      <c r="B2752" s="421" t="s">
        <v>4651</v>
      </c>
      <c r="C2752" s="421" t="s">
        <v>501</v>
      </c>
      <c r="D2752" s="422" t="s">
        <v>663</v>
      </c>
      <c r="E2752" s="111">
        <v>15768</v>
      </c>
      <c r="F2752" s="421" t="s">
        <v>2904</v>
      </c>
      <c r="G2752" s="112">
        <v>1</v>
      </c>
      <c r="H2752" s="112">
        <v>1</v>
      </c>
      <c r="I2752" s="112">
        <v>1</v>
      </c>
      <c r="J2752" s="112">
        <v>3</v>
      </c>
      <c r="K2752" s="112">
        <v>3</v>
      </c>
      <c r="L2752" s="112">
        <v>3</v>
      </c>
      <c r="M2752" s="112">
        <v>3</v>
      </c>
      <c r="N2752" s="112">
        <v>1</v>
      </c>
      <c r="O2752" s="112">
        <v>1</v>
      </c>
    </row>
    <row r="2753" spans="1:15" x14ac:dyDescent="0.2">
      <c r="A2753" s="111">
        <v>2857</v>
      </c>
      <c r="B2753" s="421" t="s">
        <v>4194</v>
      </c>
      <c r="C2753" s="421" t="s">
        <v>523</v>
      </c>
      <c r="D2753" s="422" t="s">
        <v>663</v>
      </c>
      <c r="E2753" s="111">
        <v>15593</v>
      </c>
      <c r="F2753" s="421" t="s">
        <v>4702</v>
      </c>
    </row>
    <row r="2754" spans="1:15" x14ac:dyDescent="0.2">
      <c r="A2754" s="111">
        <v>2858</v>
      </c>
      <c r="B2754" s="421" t="s">
        <v>4640</v>
      </c>
      <c r="C2754" s="421" t="s">
        <v>503</v>
      </c>
      <c r="D2754" s="422" t="s">
        <v>663</v>
      </c>
      <c r="E2754" s="111">
        <v>15594</v>
      </c>
      <c r="F2754" s="421" t="s">
        <v>4727</v>
      </c>
      <c r="G2754" s="112">
        <v>1</v>
      </c>
      <c r="H2754" s="112">
        <v>1</v>
      </c>
    </row>
    <row r="2755" spans="1:15" x14ac:dyDescent="0.2">
      <c r="A2755" s="111">
        <v>2859</v>
      </c>
      <c r="B2755" s="421" t="s">
        <v>4647</v>
      </c>
      <c r="C2755" s="421" t="s">
        <v>506</v>
      </c>
      <c r="D2755" s="422" t="s">
        <v>663</v>
      </c>
      <c r="F2755" s="421" t="s">
        <v>4736</v>
      </c>
      <c r="H2755" s="112">
        <v>1</v>
      </c>
      <c r="I2755" s="112">
        <v>1</v>
      </c>
    </row>
    <row r="2756" spans="1:15" x14ac:dyDescent="0.2">
      <c r="A2756" s="111">
        <v>2860</v>
      </c>
      <c r="B2756" s="421" t="s">
        <v>4605</v>
      </c>
      <c r="C2756" s="421" t="s">
        <v>502</v>
      </c>
      <c r="D2756" s="422" t="s">
        <v>666</v>
      </c>
      <c r="E2756" s="111">
        <v>15162</v>
      </c>
      <c r="F2756" s="421" t="s">
        <v>2945</v>
      </c>
      <c r="G2756" s="112">
        <v>2</v>
      </c>
      <c r="H2756" s="112">
        <v>2</v>
      </c>
      <c r="I2756" s="112">
        <v>2</v>
      </c>
      <c r="J2756" s="112">
        <v>8</v>
      </c>
      <c r="K2756" s="112">
        <v>9</v>
      </c>
      <c r="L2756" s="112">
        <v>7</v>
      </c>
      <c r="M2756" s="112">
        <v>6</v>
      </c>
      <c r="N2756" s="112">
        <v>5</v>
      </c>
      <c r="O2756" s="112">
        <v>3</v>
      </c>
    </row>
    <row r="2757" spans="1:15" x14ac:dyDescent="0.2">
      <c r="A2757" s="111">
        <v>2861</v>
      </c>
      <c r="B2757" s="421" t="s">
        <v>1254</v>
      </c>
      <c r="C2757" s="421" t="s">
        <v>501</v>
      </c>
      <c r="D2757" s="422" t="s">
        <v>663</v>
      </c>
      <c r="E2757" s="111">
        <v>15595</v>
      </c>
      <c r="F2757" s="421" t="s">
        <v>4701</v>
      </c>
      <c r="G2757" s="112">
        <v>1</v>
      </c>
      <c r="H2757" s="112">
        <v>1</v>
      </c>
      <c r="I2757" s="112">
        <v>1</v>
      </c>
    </row>
    <row r="2758" spans="1:15" x14ac:dyDescent="0.2">
      <c r="A2758" s="111">
        <v>2862</v>
      </c>
      <c r="B2758" s="421" t="s">
        <v>4613</v>
      </c>
      <c r="C2758" s="421" t="s">
        <v>551</v>
      </c>
      <c r="D2758" s="422" t="s">
        <v>663</v>
      </c>
      <c r="E2758" s="111">
        <v>15595</v>
      </c>
      <c r="F2758" s="421" t="s">
        <v>4701</v>
      </c>
      <c r="G2758" s="112">
        <v>1</v>
      </c>
      <c r="H2758" s="112">
        <v>1</v>
      </c>
      <c r="J2758" s="112">
        <v>1</v>
      </c>
    </row>
    <row r="2759" spans="1:15" x14ac:dyDescent="0.2">
      <c r="A2759" s="111">
        <v>2863</v>
      </c>
      <c r="B2759" s="421" t="s">
        <v>36</v>
      </c>
      <c r="C2759" s="421" t="s">
        <v>1447</v>
      </c>
      <c r="D2759" s="422" t="s">
        <v>666</v>
      </c>
      <c r="F2759" s="421" t="s">
        <v>4695</v>
      </c>
    </row>
    <row r="2760" spans="1:15" x14ac:dyDescent="0.2">
      <c r="A2760" s="111">
        <v>2864</v>
      </c>
      <c r="B2760" s="421" t="s">
        <v>4610</v>
      </c>
      <c r="C2760" s="421" t="s">
        <v>522</v>
      </c>
      <c r="D2760" s="422" t="s">
        <v>663</v>
      </c>
      <c r="E2760" s="111">
        <v>15598</v>
      </c>
      <c r="F2760" s="421" t="s">
        <v>4696</v>
      </c>
      <c r="G2760" s="112">
        <v>2</v>
      </c>
      <c r="H2760" s="112">
        <v>2</v>
      </c>
      <c r="I2760" s="112">
        <v>1</v>
      </c>
      <c r="J2760" s="112">
        <v>13</v>
      </c>
      <c r="K2760" s="112">
        <v>9</v>
      </c>
      <c r="L2760" s="112">
        <v>10</v>
      </c>
      <c r="M2760" s="112">
        <v>19</v>
      </c>
      <c r="N2760" s="112">
        <v>12</v>
      </c>
      <c r="O2760" s="112">
        <v>18</v>
      </c>
    </row>
    <row r="2761" spans="1:15" x14ac:dyDescent="0.2">
      <c r="A2761" s="111">
        <v>2865</v>
      </c>
      <c r="B2761" s="421" t="s">
        <v>1599</v>
      </c>
      <c r="C2761" s="421" t="s">
        <v>587</v>
      </c>
      <c r="D2761" s="422" t="s">
        <v>666</v>
      </c>
      <c r="E2761" s="111">
        <v>15599</v>
      </c>
      <c r="F2761" s="421" t="s">
        <v>4747</v>
      </c>
    </row>
    <row r="2762" spans="1:15" x14ac:dyDescent="0.2">
      <c r="A2762" s="111">
        <v>2866</v>
      </c>
      <c r="B2762" s="421" t="s">
        <v>2580</v>
      </c>
      <c r="C2762" s="421" t="s">
        <v>555</v>
      </c>
      <c r="D2762" s="422" t="s">
        <v>666</v>
      </c>
      <c r="E2762" s="111">
        <v>14546</v>
      </c>
      <c r="F2762" s="421" t="s">
        <v>4735</v>
      </c>
      <c r="G2762" s="112">
        <v>1</v>
      </c>
      <c r="H2762" s="112">
        <v>1</v>
      </c>
      <c r="I2762" s="112">
        <v>1</v>
      </c>
      <c r="J2762" s="112">
        <v>1</v>
      </c>
      <c r="K2762" s="112">
        <v>2</v>
      </c>
      <c r="L2762" s="112">
        <v>1</v>
      </c>
    </row>
    <row r="2763" spans="1:15" x14ac:dyDescent="0.2">
      <c r="A2763" s="111">
        <v>2867</v>
      </c>
      <c r="B2763" s="421" t="s">
        <v>3285</v>
      </c>
      <c r="C2763" s="421" t="s">
        <v>555</v>
      </c>
      <c r="D2763" s="422" t="s">
        <v>663</v>
      </c>
      <c r="E2763" s="111">
        <v>14546</v>
      </c>
      <c r="F2763" s="421" t="s">
        <v>4735</v>
      </c>
      <c r="G2763" s="112">
        <v>1</v>
      </c>
      <c r="H2763" s="112">
        <v>1</v>
      </c>
      <c r="I2763" s="112">
        <v>1</v>
      </c>
      <c r="J2763" s="112">
        <v>1</v>
      </c>
    </row>
    <row r="2764" spans="1:15" x14ac:dyDescent="0.2">
      <c r="A2764" s="111">
        <v>2868</v>
      </c>
      <c r="B2764" s="421" t="s">
        <v>131</v>
      </c>
      <c r="C2764" s="421" t="s">
        <v>516</v>
      </c>
      <c r="D2764" s="422" t="s">
        <v>663</v>
      </c>
      <c r="E2764" s="111">
        <v>15602</v>
      </c>
      <c r="F2764" s="421" t="s">
        <v>4743</v>
      </c>
    </row>
    <row r="2765" spans="1:15" x14ac:dyDescent="0.2">
      <c r="A2765" s="111">
        <v>2869</v>
      </c>
      <c r="B2765" s="421" t="s">
        <v>4648</v>
      </c>
      <c r="C2765" s="421" t="s">
        <v>526</v>
      </c>
      <c r="D2765" s="422" t="s">
        <v>666</v>
      </c>
      <c r="E2765" s="111">
        <v>14795</v>
      </c>
      <c r="F2765" s="421" t="s">
        <v>2386</v>
      </c>
      <c r="G2765" s="112">
        <v>1</v>
      </c>
    </row>
    <row r="2766" spans="1:15" x14ac:dyDescent="0.2">
      <c r="A2766" s="111">
        <v>2870</v>
      </c>
      <c r="B2766" s="421" t="s">
        <v>4654</v>
      </c>
      <c r="C2766" s="421" t="s">
        <v>518</v>
      </c>
      <c r="D2766" s="422" t="s">
        <v>666</v>
      </c>
      <c r="E2766" s="111">
        <v>15387</v>
      </c>
      <c r="F2766" s="421" t="s">
        <v>4135</v>
      </c>
      <c r="G2766" s="112">
        <v>1</v>
      </c>
      <c r="H2766" s="112">
        <v>1</v>
      </c>
      <c r="I2766" s="112">
        <v>1</v>
      </c>
      <c r="J2766" s="112">
        <v>7</v>
      </c>
      <c r="K2766" s="112">
        <v>6</v>
      </c>
      <c r="L2766" s="112">
        <v>7</v>
      </c>
      <c r="M2766" s="112">
        <v>5</v>
      </c>
      <c r="N2766" s="112">
        <v>4</v>
      </c>
      <c r="O2766" s="112">
        <v>4</v>
      </c>
    </row>
    <row r="2767" spans="1:15" x14ac:dyDescent="0.2">
      <c r="A2767" s="111">
        <v>2871</v>
      </c>
      <c r="B2767" s="421" t="s">
        <v>4646</v>
      </c>
      <c r="C2767" s="421" t="s">
        <v>512</v>
      </c>
      <c r="D2767" s="422" t="s">
        <v>663</v>
      </c>
      <c r="E2767" s="111">
        <v>15554</v>
      </c>
      <c r="F2767" s="421" t="s">
        <v>4734</v>
      </c>
      <c r="G2767" s="112">
        <v>1</v>
      </c>
      <c r="H2767" s="112">
        <v>1</v>
      </c>
      <c r="I2767" s="112">
        <v>1</v>
      </c>
      <c r="J2767" s="112">
        <v>4</v>
      </c>
      <c r="K2767" s="112">
        <v>3</v>
      </c>
      <c r="L2767" s="112">
        <v>4</v>
      </c>
      <c r="M2767" s="112">
        <v>5</v>
      </c>
      <c r="N2767" s="112">
        <v>2</v>
      </c>
      <c r="O2767" s="112">
        <v>2</v>
      </c>
    </row>
    <row r="2768" spans="1:15" x14ac:dyDescent="0.2">
      <c r="A2768" s="111">
        <v>2872</v>
      </c>
      <c r="B2768" s="421" t="s">
        <v>1617</v>
      </c>
      <c r="C2768" s="421" t="s">
        <v>1687</v>
      </c>
      <c r="D2768" s="422" t="s">
        <v>666</v>
      </c>
      <c r="E2768" s="111">
        <v>15603</v>
      </c>
      <c r="F2768" s="421" t="s">
        <v>4740</v>
      </c>
      <c r="G2768" s="112">
        <v>2</v>
      </c>
      <c r="H2768" s="112">
        <v>2</v>
      </c>
      <c r="I2768" s="112">
        <v>1</v>
      </c>
      <c r="J2768" s="112">
        <v>1</v>
      </c>
      <c r="K2768" s="112">
        <v>1</v>
      </c>
    </row>
    <row r="2769" spans="1:15" x14ac:dyDescent="0.2">
      <c r="A2769" s="111">
        <v>2873</v>
      </c>
      <c r="B2769" s="421" t="s">
        <v>4659</v>
      </c>
      <c r="C2769" s="421" t="s">
        <v>515</v>
      </c>
      <c r="D2769" s="422" t="s">
        <v>663</v>
      </c>
      <c r="E2769" s="111">
        <v>14351</v>
      </c>
      <c r="F2769" s="421" t="s">
        <v>683</v>
      </c>
    </row>
    <row r="2770" spans="1:15" x14ac:dyDescent="0.2">
      <c r="A2770" s="111">
        <v>2874</v>
      </c>
      <c r="B2770" s="421" t="s">
        <v>4639</v>
      </c>
      <c r="C2770" s="421" t="s">
        <v>519</v>
      </c>
      <c r="D2770" s="422" t="s">
        <v>666</v>
      </c>
      <c r="E2770" s="111">
        <v>15592</v>
      </c>
      <c r="F2770" s="421" t="s">
        <v>4726</v>
      </c>
      <c r="G2770" s="112">
        <v>1</v>
      </c>
      <c r="H2770" s="112">
        <v>1</v>
      </c>
      <c r="I2770" s="112">
        <v>1</v>
      </c>
      <c r="J2770" s="112">
        <v>6</v>
      </c>
      <c r="K2770" s="112">
        <v>6</v>
      </c>
      <c r="L2770" s="112">
        <v>4</v>
      </c>
      <c r="M2770" s="112">
        <v>4</v>
      </c>
      <c r="N2770" s="112">
        <v>3</v>
      </c>
      <c r="O2770" s="112">
        <v>3</v>
      </c>
    </row>
    <row r="2771" spans="1:15" x14ac:dyDescent="0.2">
      <c r="A2771" s="111">
        <v>2875</v>
      </c>
      <c r="B2771" s="421" t="s">
        <v>4822</v>
      </c>
      <c r="C2771" s="421" t="s">
        <v>4823</v>
      </c>
      <c r="D2771" s="422" t="s">
        <v>663</v>
      </c>
      <c r="E2771" s="111">
        <v>15604</v>
      </c>
      <c r="F2771" s="421" t="s">
        <v>3079</v>
      </c>
      <c r="G2771" s="112">
        <v>1</v>
      </c>
      <c r="H2771" s="112">
        <v>1</v>
      </c>
      <c r="I2771" s="112">
        <v>1</v>
      </c>
      <c r="J2771" s="112">
        <v>3</v>
      </c>
      <c r="K2771" s="112">
        <v>3</v>
      </c>
      <c r="L2771" s="112">
        <v>2</v>
      </c>
    </row>
    <row r="2772" spans="1:15" x14ac:dyDescent="0.2">
      <c r="A2772" s="111">
        <v>2876</v>
      </c>
      <c r="B2772" s="421" t="s">
        <v>246</v>
      </c>
      <c r="C2772" s="421" t="s">
        <v>513</v>
      </c>
      <c r="D2772" s="422" t="s">
        <v>663</v>
      </c>
      <c r="E2772" s="111">
        <v>15089</v>
      </c>
      <c r="F2772" s="421" t="s">
        <v>3090</v>
      </c>
    </row>
    <row r="2773" spans="1:15" x14ac:dyDescent="0.2">
      <c r="A2773" s="111">
        <v>2877</v>
      </c>
      <c r="B2773" s="421" t="s">
        <v>2573</v>
      </c>
      <c r="C2773" s="421" t="s">
        <v>513</v>
      </c>
      <c r="D2773" s="422" t="s">
        <v>663</v>
      </c>
      <c r="F2773" s="421" t="s">
        <v>3168</v>
      </c>
      <c r="G2773" s="112">
        <v>1</v>
      </c>
      <c r="H2773" s="112">
        <v>1</v>
      </c>
      <c r="I2773" s="112">
        <v>1</v>
      </c>
      <c r="J2773" s="112">
        <v>6</v>
      </c>
      <c r="K2773" s="112">
        <v>3</v>
      </c>
      <c r="L2773" s="112">
        <v>6</v>
      </c>
      <c r="M2773" s="112">
        <v>5</v>
      </c>
      <c r="O2773" s="112">
        <v>2</v>
      </c>
    </row>
    <row r="2774" spans="1:15" x14ac:dyDescent="0.2">
      <c r="A2774" s="111">
        <v>2878</v>
      </c>
      <c r="B2774" s="421" t="s">
        <v>4824</v>
      </c>
      <c r="C2774" s="421" t="s">
        <v>503</v>
      </c>
      <c r="D2774" s="422" t="s">
        <v>666</v>
      </c>
      <c r="E2774" s="111">
        <v>15605</v>
      </c>
      <c r="F2774" s="421" t="s">
        <v>4825</v>
      </c>
    </row>
    <row r="2775" spans="1:15" x14ac:dyDescent="0.2">
      <c r="A2775" s="111">
        <v>2879</v>
      </c>
      <c r="B2775" s="421" t="s">
        <v>4826</v>
      </c>
      <c r="C2775" s="421" t="s">
        <v>2003</v>
      </c>
      <c r="D2775" s="422" t="s">
        <v>663</v>
      </c>
      <c r="E2775" s="111">
        <v>15606</v>
      </c>
      <c r="F2775" s="421" t="s">
        <v>4827</v>
      </c>
      <c r="G2775" s="112">
        <v>2</v>
      </c>
      <c r="H2775" s="112">
        <v>2</v>
      </c>
      <c r="I2775" s="112">
        <v>2</v>
      </c>
      <c r="J2775" s="112">
        <v>23</v>
      </c>
      <c r="K2775" s="112">
        <v>22</v>
      </c>
      <c r="L2775" s="112">
        <v>18</v>
      </c>
      <c r="M2775" s="112">
        <v>16</v>
      </c>
      <c r="N2775" s="112">
        <v>12</v>
      </c>
      <c r="O2775" s="112">
        <v>9</v>
      </c>
    </row>
    <row r="2776" spans="1:15" x14ac:dyDescent="0.2">
      <c r="A2776" s="111">
        <v>2880</v>
      </c>
      <c r="B2776" s="421" t="s">
        <v>347</v>
      </c>
      <c r="C2776" s="421" t="s">
        <v>2338</v>
      </c>
      <c r="D2776" s="422" t="s">
        <v>663</v>
      </c>
      <c r="E2776" s="111">
        <v>15607</v>
      </c>
      <c r="F2776" s="421" t="s">
        <v>4828</v>
      </c>
    </row>
    <row r="2777" spans="1:15" x14ac:dyDescent="0.2">
      <c r="A2777" s="111">
        <v>2881</v>
      </c>
      <c r="B2777" s="421" t="s">
        <v>289</v>
      </c>
      <c r="C2777" s="421" t="s">
        <v>510</v>
      </c>
      <c r="D2777" s="422" t="s">
        <v>666</v>
      </c>
      <c r="E2777" s="111">
        <v>15608</v>
      </c>
      <c r="F2777" s="421" t="s">
        <v>4829</v>
      </c>
      <c r="G2777" s="112">
        <v>1</v>
      </c>
      <c r="H2777" s="112">
        <v>1</v>
      </c>
      <c r="I2777" s="112">
        <v>1</v>
      </c>
    </row>
    <row r="2778" spans="1:15" x14ac:dyDescent="0.2">
      <c r="A2778" s="111">
        <v>2882</v>
      </c>
      <c r="B2778" s="421" t="s">
        <v>70</v>
      </c>
      <c r="C2778" s="421" t="s">
        <v>501</v>
      </c>
      <c r="D2778" s="422" t="s">
        <v>666</v>
      </c>
      <c r="E2778" s="111">
        <v>15609</v>
      </c>
      <c r="F2778" s="421" t="s">
        <v>4830</v>
      </c>
      <c r="G2778" s="112">
        <v>1</v>
      </c>
      <c r="H2778" s="112">
        <v>1</v>
      </c>
      <c r="I2778" s="112">
        <v>1</v>
      </c>
      <c r="J2778" s="112">
        <v>3</v>
      </c>
      <c r="K2778" s="112">
        <v>3</v>
      </c>
      <c r="L2778" s="112">
        <v>3</v>
      </c>
      <c r="M2778" s="112">
        <v>4</v>
      </c>
      <c r="N2778" s="112">
        <v>2</v>
      </c>
      <c r="O2778" s="112">
        <v>2</v>
      </c>
    </row>
    <row r="2779" spans="1:15" x14ac:dyDescent="0.2">
      <c r="A2779" s="111">
        <v>2883</v>
      </c>
      <c r="B2779" s="421" t="s">
        <v>2545</v>
      </c>
      <c r="C2779" s="421" t="s">
        <v>1908</v>
      </c>
      <c r="D2779" s="422" t="s">
        <v>663</v>
      </c>
      <c r="E2779" s="111">
        <v>15611</v>
      </c>
      <c r="F2779" s="421" t="s">
        <v>4831</v>
      </c>
    </row>
    <row r="2780" spans="1:15" x14ac:dyDescent="0.2">
      <c r="A2780" s="111">
        <v>2884</v>
      </c>
      <c r="B2780" s="421" t="s">
        <v>215</v>
      </c>
      <c r="C2780" s="421" t="s">
        <v>1908</v>
      </c>
      <c r="D2780" s="422" t="s">
        <v>666</v>
      </c>
      <c r="E2780" s="111">
        <v>15611</v>
      </c>
      <c r="F2780" s="421" t="s">
        <v>4831</v>
      </c>
      <c r="I2780" s="112">
        <v>1</v>
      </c>
    </row>
    <row r="2781" spans="1:15" x14ac:dyDescent="0.2">
      <c r="A2781" s="111">
        <v>2885</v>
      </c>
      <c r="B2781" s="421" t="s">
        <v>41</v>
      </c>
      <c r="C2781" s="421" t="s">
        <v>2872</v>
      </c>
      <c r="D2781" s="422" t="s">
        <v>663</v>
      </c>
      <c r="E2781" s="111">
        <v>15473</v>
      </c>
      <c r="F2781" s="421" t="s">
        <v>4832</v>
      </c>
      <c r="G2781" s="112">
        <v>1</v>
      </c>
      <c r="H2781" s="112">
        <v>1</v>
      </c>
      <c r="I2781" s="112">
        <v>1</v>
      </c>
      <c r="J2781" s="112">
        <v>7</v>
      </c>
      <c r="K2781" s="112">
        <v>7</v>
      </c>
      <c r="L2781" s="112">
        <v>7</v>
      </c>
      <c r="M2781" s="112">
        <v>5</v>
      </c>
      <c r="N2781" s="112">
        <v>3</v>
      </c>
      <c r="O2781" s="112">
        <v>4</v>
      </c>
    </row>
    <row r="2782" spans="1:15" x14ac:dyDescent="0.2">
      <c r="A2782" s="111">
        <v>2886</v>
      </c>
      <c r="B2782" s="421" t="s">
        <v>4833</v>
      </c>
      <c r="C2782" s="421" t="s">
        <v>503</v>
      </c>
      <c r="D2782" s="422" t="s">
        <v>663</v>
      </c>
      <c r="F2782" s="421" t="s">
        <v>4834</v>
      </c>
    </row>
    <row r="2783" spans="1:15" x14ac:dyDescent="0.2">
      <c r="A2783" s="111">
        <v>2887</v>
      </c>
      <c r="B2783" s="421" t="s">
        <v>326</v>
      </c>
      <c r="C2783" s="421" t="s">
        <v>503</v>
      </c>
      <c r="D2783" s="422" t="s">
        <v>663</v>
      </c>
      <c r="F2783" s="421" t="s">
        <v>4834</v>
      </c>
    </row>
    <row r="2784" spans="1:15" x14ac:dyDescent="0.2">
      <c r="A2784" s="111">
        <v>2888</v>
      </c>
      <c r="B2784" s="421" t="s">
        <v>4835</v>
      </c>
      <c r="C2784" s="421" t="s">
        <v>551</v>
      </c>
      <c r="D2784" s="422" t="s">
        <v>666</v>
      </c>
      <c r="E2784" s="111">
        <v>15098</v>
      </c>
      <c r="F2784" s="421" t="s">
        <v>3135</v>
      </c>
      <c r="G2784" s="112">
        <v>2</v>
      </c>
      <c r="H2784" s="112">
        <v>2</v>
      </c>
      <c r="I2784" s="112">
        <v>2</v>
      </c>
      <c r="J2784" s="112">
        <v>5</v>
      </c>
      <c r="K2784" s="112">
        <v>5</v>
      </c>
      <c r="L2784" s="112">
        <v>5</v>
      </c>
      <c r="M2784" s="112">
        <v>12</v>
      </c>
      <c r="N2784" s="112">
        <v>12</v>
      </c>
      <c r="O2784" s="112">
        <v>11</v>
      </c>
    </row>
    <row r="2785" spans="1:15" x14ac:dyDescent="0.2">
      <c r="A2785" s="111">
        <v>2889</v>
      </c>
      <c r="B2785" s="421" t="s">
        <v>4836</v>
      </c>
      <c r="C2785" s="421" t="s">
        <v>2470</v>
      </c>
      <c r="D2785" s="422" t="s">
        <v>666</v>
      </c>
      <c r="E2785" s="111">
        <v>15612</v>
      </c>
      <c r="F2785" s="421" t="s">
        <v>4837</v>
      </c>
    </row>
    <row r="2786" spans="1:15" x14ac:dyDescent="0.2">
      <c r="A2786" s="111">
        <v>2890</v>
      </c>
      <c r="B2786" s="421" t="s">
        <v>218</v>
      </c>
      <c r="C2786" s="421" t="s">
        <v>501</v>
      </c>
      <c r="D2786" s="422" t="s">
        <v>666</v>
      </c>
      <c r="E2786" s="111">
        <v>15613</v>
      </c>
      <c r="F2786" s="421" t="s">
        <v>4838</v>
      </c>
      <c r="G2786" s="112">
        <v>1</v>
      </c>
      <c r="H2786" s="112">
        <v>1</v>
      </c>
      <c r="I2786" s="112">
        <v>1</v>
      </c>
    </row>
    <row r="2787" spans="1:15" x14ac:dyDescent="0.2">
      <c r="A2787" s="111">
        <v>2891</v>
      </c>
      <c r="B2787" s="421" t="s">
        <v>1371</v>
      </c>
      <c r="C2787" s="421" t="s">
        <v>503</v>
      </c>
      <c r="D2787" s="422" t="s">
        <v>666</v>
      </c>
      <c r="E2787" s="111">
        <v>15614</v>
      </c>
      <c r="F2787" s="421" t="s">
        <v>4839</v>
      </c>
      <c r="G2787" s="112">
        <v>2</v>
      </c>
      <c r="H2787" s="112">
        <v>3</v>
      </c>
      <c r="I2787" s="112">
        <v>2</v>
      </c>
      <c r="J2787" s="112">
        <v>9</v>
      </c>
      <c r="K2787" s="112">
        <v>12</v>
      </c>
      <c r="L2787" s="112">
        <v>12</v>
      </c>
      <c r="M2787" s="112">
        <v>7</v>
      </c>
      <c r="N2787" s="112">
        <v>4</v>
      </c>
      <c r="O2787" s="112">
        <v>5</v>
      </c>
    </row>
    <row r="2788" spans="1:15" x14ac:dyDescent="0.2">
      <c r="A2788" s="111">
        <v>2892</v>
      </c>
      <c r="B2788" s="421" t="s">
        <v>3900</v>
      </c>
      <c r="C2788" s="421" t="s">
        <v>516</v>
      </c>
      <c r="D2788" s="422" t="s">
        <v>663</v>
      </c>
      <c r="E2788" s="111">
        <v>15644</v>
      </c>
      <c r="F2788" s="421" t="s">
        <v>4840</v>
      </c>
      <c r="G2788" s="112">
        <v>1</v>
      </c>
      <c r="H2788" s="112">
        <v>1</v>
      </c>
      <c r="I2788" s="112">
        <v>1</v>
      </c>
      <c r="J2788" s="112">
        <v>7</v>
      </c>
      <c r="K2788" s="112">
        <v>5</v>
      </c>
      <c r="L2788" s="112">
        <v>6</v>
      </c>
      <c r="M2788" s="112">
        <v>5</v>
      </c>
      <c r="N2788" s="112">
        <v>5</v>
      </c>
      <c r="O2788" s="112">
        <v>8</v>
      </c>
    </row>
    <row r="2789" spans="1:15" x14ac:dyDescent="0.2">
      <c r="A2789" s="111">
        <v>2893</v>
      </c>
      <c r="B2789" s="421" t="s">
        <v>5611</v>
      </c>
      <c r="C2789" s="421" t="s">
        <v>507</v>
      </c>
      <c r="D2789" s="422" t="s">
        <v>663</v>
      </c>
      <c r="E2789" s="111">
        <v>14317</v>
      </c>
      <c r="F2789" s="421" t="s">
        <v>1024</v>
      </c>
      <c r="G2789" s="112">
        <v>1</v>
      </c>
      <c r="H2789" s="112">
        <v>1</v>
      </c>
      <c r="I2789" s="112">
        <v>1</v>
      </c>
      <c r="J2789" s="112">
        <v>6</v>
      </c>
      <c r="K2789" s="112">
        <v>5</v>
      </c>
      <c r="L2789" s="112">
        <v>4</v>
      </c>
      <c r="M2789" s="112">
        <v>3</v>
      </c>
      <c r="N2789" s="112">
        <v>1</v>
      </c>
      <c r="O2789" s="112">
        <v>2</v>
      </c>
    </row>
    <row r="2790" spans="1:15" x14ac:dyDescent="0.2">
      <c r="A2790" s="111">
        <v>2894</v>
      </c>
      <c r="B2790" s="421" t="s">
        <v>4841</v>
      </c>
      <c r="C2790" s="421" t="s">
        <v>551</v>
      </c>
      <c r="D2790" s="422" t="s">
        <v>666</v>
      </c>
      <c r="E2790" s="111">
        <v>15827</v>
      </c>
      <c r="F2790" s="421" t="s">
        <v>4842</v>
      </c>
      <c r="G2790" s="112">
        <v>1</v>
      </c>
      <c r="H2790" s="112">
        <v>1</v>
      </c>
      <c r="I2790" s="112">
        <v>1</v>
      </c>
    </row>
    <row r="2791" spans="1:15" x14ac:dyDescent="0.2">
      <c r="A2791" s="111">
        <v>2895</v>
      </c>
      <c r="B2791" s="421" t="s">
        <v>1195</v>
      </c>
      <c r="C2791" s="421" t="s">
        <v>502</v>
      </c>
      <c r="D2791" s="422" t="s">
        <v>666</v>
      </c>
      <c r="E2791" s="111">
        <v>15610</v>
      </c>
      <c r="F2791" s="421" t="s">
        <v>4843</v>
      </c>
      <c r="G2791" s="112">
        <v>1</v>
      </c>
    </row>
    <row r="2792" spans="1:15" x14ac:dyDescent="0.2">
      <c r="A2792" s="111">
        <v>2896</v>
      </c>
      <c r="B2792" s="421" t="s">
        <v>4844</v>
      </c>
      <c r="C2792" s="421" t="s">
        <v>1197</v>
      </c>
      <c r="D2792" s="422" t="s">
        <v>666</v>
      </c>
      <c r="E2792" s="111">
        <v>15616</v>
      </c>
      <c r="F2792" s="421" t="s">
        <v>4845</v>
      </c>
      <c r="G2792" s="112">
        <v>1</v>
      </c>
      <c r="H2792" s="112">
        <v>1</v>
      </c>
      <c r="I2792" s="112">
        <v>1</v>
      </c>
      <c r="J2792" s="112">
        <v>3</v>
      </c>
      <c r="K2792" s="112">
        <v>1</v>
      </c>
      <c r="L2792" s="112">
        <v>1</v>
      </c>
    </row>
    <row r="2793" spans="1:15" x14ac:dyDescent="0.2">
      <c r="A2793" s="111">
        <v>2897</v>
      </c>
      <c r="B2793" s="421" t="s">
        <v>4846</v>
      </c>
      <c r="C2793" s="421" t="s">
        <v>1994</v>
      </c>
      <c r="D2793" s="422" t="s">
        <v>663</v>
      </c>
      <c r="F2793" s="421" t="s">
        <v>4847</v>
      </c>
    </row>
    <row r="2794" spans="1:15" x14ac:dyDescent="0.2">
      <c r="A2794" s="111">
        <v>2898</v>
      </c>
      <c r="B2794" s="421" t="s">
        <v>4848</v>
      </c>
      <c r="C2794" s="421" t="s">
        <v>2470</v>
      </c>
      <c r="D2794" s="422" t="s">
        <v>663</v>
      </c>
      <c r="E2794" s="111">
        <v>15584</v>
      </c>
      <c r="F2794" s="421" t="s">
        <v>4849</v>
      </c>
    </row>
    <row r="2795" spans="1:15" x14ac:dyDescent="0.2">
      <c r="A2795" s="111">
        <v>2899</v>
      </c>
      <c r="B2795" s="421" t="s">
        <v>2806</v>
      </c>
      <c r="C2795" s="421" t="s">
        <v>506</v>
      </c>
      <c r="D2795" s="422" t="s">
        <v>663</v>
      </c>
      <c r="E2795" s="111">
        <v>15617</v>
      </c>
      <c r="F2795" s="421" t="s">
        <v>4850</v>
      </c>
    </row>
    <row r="2796" spans="1:15" x14ac:dyDescent="0.2">
      <c r="A2796" s="111">
        <v>2900</v>
      </c>
      <c r="B2796" s="421" t="s">
        <v>4880</v>
      </c>
      <c r="C2796" s="421" t="s">
        <v>502</v>
      </c>
      <c r="D2796" s="422" t="s">
        <v>666</v>
      </c>
      <c r="E2796" s="111">
        <v>15618</v>
      </c>
      <c r="F2796" s="421" t="s">
        <v>4907</v>
      </c>
    </row>
    <row r="2797" spans="1:15" x14ac:dyDescent="0.2">
      <c r="A2797" s="111">
        <v>2901</v>
      </c>
      <c r="B2797" s="421" t="s">
        <v>4881</v>
      </c>
      <c r="C2797" s="421" t="s">
        <v>1487</v>
      </c>
      <c r="D2797" s="422" t="s">
        <v>663</v>
      </c>
      <c r="E2797" s="111">
        <v>15618</v>
      </c>
      <c r="F2797" s="421" t="s">
        <v>4907</v>
      </c>
    </row>
    <row r="2798" spans="1:15" x14ac:dyDescent="0.2">
      <c r="A2798" s="111">
        <v>2902</v>
      </c>
      <c r="B2798" s="421" t="s">
        <v>112</v>
      </c>
      <c r="C2798" s="421" t="s">
        <v>551</v>
      </c>
      <c r="D2798" s="422" t="s">
        <v>663</v>
      </c>
      <c r="E2798" s="111">
        <v>15619</v>
      </c>
      <c r="F2798" s="421" t="s">
        <v>4906</v>
      </c>
      <c r="G2798" s="112">
        <v>1</v>
      </c>
    </row>
    <row r="2799" spans="1:15" x14ac:dyDescent="0.2">
      <c r="A2799" s="111">
        <v>2903</v>
      </c>
      <c r="B2799" s="421" t="s">
        <v>404</v>
      </c>
      <c r="C2799" s="421" t="s">
        <v>518</v>
      </c>
      <c r="D2799" s="422" t="s">
        <v>663</v>
      </c>
      <c r="E2799" s="111">
        <v>15621</v>
      </c>
      <c r="F2799" s="421" t="s">
        <v>4909</v>
      </c>
    </row>
    <row r="2800" spans="1:15" x14ac:dyDescent="0.2">
      <c r="A2800" s="111">
        <v>2904</v>
      </c>
      <c r="B2800" s="421" t="s">
        <v>4885</v>
      </c>
      <c r="C2800" s="421" t="s">
        <v>2318</v>
      </c>
      <c r="D2800" s="422" t="s">
        <v>666</v>
      </c>
      <c r="E2800" s="111">
        <v>15622</v>
      </c>
      <c r="F2800" s="421" t="s">
        <v>4908</v>
      </c>
    </row>
    <row r="2801" spans="1:15" x14ac:dyDescent="0.2">
      <c r="A2801" s="111">
        <v>2905</v>
      </c>
      <c r="B2801" s="421" t="s">
        <v>3170</v>
      </c>
      <c r="C2801" s="421" t="s">
        <v>2412</v>
      </c>
      <c r="D2801" s="422" t="s">
        <v>666</v>
      </c>
      <c r="E2801" s="111">
        <v>15623</v>
      </c>
      <c r="F2801" s="421" t="s">
        <v>4902</v>
      </c>
      <c r="G2801" s="112">
        <v>1</v>
      </c>
      <c r="H2801" s="112">
        <v>1</v>
      </c>
      <c r="I2801" s="112">
        <v>1</v>
      </c>
      <c r="J2801" s="112">
        <v>6</v>
      </c>
      <c r="K2801" s="112">
        <v>4</v>
      </c>
      <c r="L2801" s="112">
        <v>3</v>
      </c>
    </row>
    <row r="2802" spans="1:15" x14ac:dyDescent="0.2">
      <c r="A2802" s="111">
        <v>2906</v>
      </c>
      <c r="B2802" s="421" t="s">
        <v>4882</v>
      </c>
      <c r="C2802" s="421" t="s">
        <v>530</v>
      </c>
      <c r="D2802" s="422" t="s">
        <v>663</v>
      </c>
      <c r="E2802" s="111">
        <v>14447</v>
      </c>
      <c r="F2802" s="421" t="s">
        <v>1623</v>
      </c>
      <c r="G2802" s="112">
        <v>2</v>
      </c>
      <c r="H2802" s="112">
        <v>1</v>
      </c>
      <c r="I2802" s="112">
        <v>1</v>
      </c>
    </row>
    <row r="2803" spans="1:15" x14ac:dyDescent="0.2">
      <c r="A2803" s="111">
        <v>2907</v>
      </c>
      <c r="B2803" s="421" t="s">
        <v>4877</v>
      </c>
      <c r="C2803" s="421" t="s">
        <v>1112</v>
      </c>
      <c r="D2803" s="422" t="s">
        <v>666</v>
      </c>
      <c r="E2803" s="111">
        <v>15625</v>
      </c>
      <c r="F2803" s="421" t="s">
        <v>4901</v>
      </c>
      <c r="G2803" s="112">
        <v>1</v>
      </c>
      <c r="H2803" s="112">
        <v>1</v>
      </c>
      <c r="I2803" s="112">
        <v>1</v>
      </c>
      <c r="J2803" s="112">
        <v>2</v>
      </c>
      <c r="K2803" s="112">
        <v>1</v>
      </c>
      <c r="L2803" s="112">
        <v>1</v>
      </c>
      <c r="M2803" s="112">
        <v>1</v>
      </c>
    </row>
    <row r="2804" spans="1:15" x14ac:dyDescent="0.2">
      <c r="A2804" s="111">
        <v>2908</v>
      </c>
      <c r="B2804" s="421" t="s">
        <v>48</v>
      </c>
      <c r="C2804" s="421" t="s">
        <v>506</v>
      </c>
      <c r="D2804" s="422" t="s">
        <v>663</v>
      </c>
      <c r="E2804" s="111">
        <v>15626</v>
      </c>
      <c r="F2804" s="421" t="s">
        <v>4904</v>
      </c>
      <c r="G2804" s="112">
        <v>1</v>
      </c>
      <c r="H2804" s="112">
        <v>1</v>
      </c>
      <c r="I2804" s="112">
        <v>1</v>
      </c>
      <c r="J2804" s="112">
        <v>10</v>
      </c>
      <c r="K2804" s="112">
        <v>10</v>
      </c>
      <c r="L2804" s="112">
        <v>10</v>
      </c>
      <c r="M2804" s="112">
        <v>10</v>
      </c>
      <c r="N2804" s="112">
        <v>9</v>
      </c>
      <c r="O2804" s="112">
        <v>10</v>
      </c>
    </row>
    <row r="2805" spans="1:15" x14ac:dyDescent="0.2">
      <c r="A2805" s="111">
        <v>2909</v>
      </c>
      <c r="B2805" s="421" t="s">
        <v>4879</v>
      </c>
      <c r="C2805" s="421" t="s">
        <v>544</v>
      </c>
      <c r="D2805" s="422" t="s">
        <v>663</v>
      </c>
      <c r="E2805" s="111">
        <v>15458</v>
      </c>
      <c r="F2805" s="421" t="s">
        <v>4202</v>
      </c>
      <c r="G2805" s="112">
        <v>1</v>
      </c>
      <c r="H2805" s="112">
        <v>2</v>
      </c>
      <c r="I2805" s="112">
        <v>1</v>
      </c>
      <c r="J2805" s="112">
        <v>6</v>
      </c>
      <c r="K2805" s="112">
        <v>6</v>
      </c>
      <c r="L2805" s="112">
        <v>6</v>
      </c>
      <c r="M2805" s="112">
        <v>9</v>
      </c>
      <c r="N2805" s="112">
        <v>5</v>
      </c>
      <c r="O2805" s="112">
        <v>7</v>
      </c>
    </row>
    <row r="2806" spans="1:15" x14ac:dyDescent="0.2">
      <c r="A2806" s="111">
        <v>2910</v>
      </c>
      <c r="B2806" s="421" t="s">
        <v>4883</v>
      </c>
      <c r="C2806" s="421" t="s">
        <v>581</v>
      </c>
      <c r="D2806" s="422" t="s">
        <v>666</v>
      </c>
      <c r="E2806" s="111">
        <v>15561</v>
      </c>
      <c r="F2806" s="421" t="s">
        <v>3013</v>
      </c>
      <c r="G2806" s="112">
        <v>1</v>
      </c>
    </row>
    <row r="2807" spans="1:15" x14ac:dyDescent="0.2">
      <c r="A2807" s="111">
        <v>2911</v>
      </c>
      <c r="B2807" s="421" t="s">
        <v>291</v>
      </c>
      <c r="C2807" s="421" t="s">
        <v>516</v>
      </c>
      <c r="D2807" s="422" t="s">
        <v>666</v>
      </c>
      <c r="E2807" s="111">
        <v>15561</v>
      </c>
      <c r="F2807" s="421" t="s">
        <v>3013</v>
      </c>
      <c r="G2807" s="112">
        <v>1</v>
      </c>
    </row>
    <row r="2808" spans="1:15" x14ac:dyDescent="0.2">
      <c r="A2808" s="111">
        <v>2912</v>
      </c>
      <c r="B2808" s="421" t="s">
        <v>3263</v>
      </c>
      <c r="C2808" s="421" t="s">
        <v>503</v>
      </c>
      <c r="D2808" s="422" t="s">
        <v>663</v>
      </c>
      <c r="F2808" s="421" t="s">
        <v>4911</v>
      </c>
    </row>
    <row r="2809" spans="1:15" x14ac:dyDescent="0.2">
      <c r="A2809" s="111">
        <v>2913</v>
      </c>
      <c r="B2809" s="421" t="s">
        <v>4878</v>
      </c>
      <c r="C2809" s="421" t="s">
        <v>503</v>
      </c>
      <c r="D2809" s="422" t="s">
        <v>666</v>
      </c>
      <c r="E2809" s="111">
        <v>15629</v>
      </c>
      <c r="F2809" s="421" t="s">
        <v>4903</v>
      </c>
    </row>
    <row r="2810" spans="1:15" x14ac:dyDescent="0.2">
      <c r="A2810" s="111">
        <v>2914</v>
      </c>
      <c r="B2810" s="421" t="s">
        <v>1483</v>
      </c>
      <c r="C2810" s="421" t="s">
        <v>503</v>
      </c>
      <c r="D2810" s="422" t="s">
        <v>666</v>
      </c>
      <c r="E2810" s="111">
        <v>15629</v>
      </c>
      <c r="F2810" s="421" t="s">
        <v>4903</v>
      </c>
    </row>
    <row r="2811" spans="1:15" x14ac:dyDescent="0.2">
      <c r="A2811" s="111">
        <v>2915</v>
      </c>
      <c r="B2811" s="421" t="s">
        <v>1349</v>
      </c>
      <c r="C2811" s="421" t="s">
        <v>581</v>
      </c>
      <c r="D2811" s="422" t="s">
        <v>663</v>
      </c>
      <c r="E2811" s="111">
        <v>15630</v>
      </c>
      <c r="F2811" s="421" t="s">
        <v>4910</v>
      </c>
      <c r="G2811" s="112">
        <v>1</v>
      </c>
      <c r="H2811" s="112">
        <v>2</v>
      </c>
      <c r="I2811" s="112">
        <v>1</v>
      </c>
    </row>
    <row r="2812" spans="1:15" x14ac:dyDescent="0.2">
      <c r="A2812" s="111">
        <v>2916</v>
      </c>
      <c r="B2812" s="421" t="s">
        <v>4435</v>
      </c>
      <c r="C2812" s="421" t="s">
        <v>503</v>
      </c>
      <c r="D2812" s="422" t="s">
        <v>663</v>
      </c>
      <c r="E2812" s="111">
        <v>15631</v>
      </c>
      <c r="F2812" s="421" t="s">
        <v>4905</v>
      </c>
    </row>
    <row r="2813" spans="1:15" x14ac:dyDescent="0.2">
      <c r="A2813" s="111">
        <v>2917</v>
      </c>
      <c r="B2813" s="421" t="s">
        <v>78</v>
      </c>
      <c r="C2813" s="421" t="s">
        <v>2003</v>
      </c>
      <c r="D2813" s="422" t="s">
        <v>663</v>
      </c>
      <c r="E2813" s="111">
        <v>14979</v>
      </c>
      <c r="F2813" s="421" t="s">
        <v>2701</v>
      </c>
      <c r="G2813" s="112">
        <v>1</v>
      </c>
      <c r="H2813" s="112">
        <v>1</v>
      </c>
      <c r="I2813" s="112">
        <v>1</v>
      </c>
      <c r="J2813" s="112">
        <v>5</v>
      </c>
      <c r="K2813" s="112">
        <v>5</v>
      </c>
      <c r="L2813" s="112">
        <v>5</v>
      </c>
      <c r="M2813" s="112">
        <v>10</v>
      </c>
      <c r="N2813" s="112">
        <v>6</v>
      </c>
      <c r="O2813" s="112">
        <v>6</v>
      </c>
    </row>
    <row r="2814" spans="1:15" x14ac:dyDescent="0.2">
      <c r="A2814" s="111">
        <v>2918</v>
      </c>
      <c r="B2814" s="421" t="s">
        <v>4884</v>
      </c>
      <c r="C2814" s="421" t="s">
        <v>501</v>
      </c>
      <c r="D2814" s="422" t="s">
        <v>666</v>
      </c>
      <c r="E2814" s="111">
        <v>14299</v>
      </c>
      <c r="F2814" s="421" t="s">
        <v>1056</v>
      </c>
      <c r="G2814" s="112">
        <v>1</v>
      </c>
      <c r="H2814" s="112">
        <v>1</v>
      </c>
      <c r="I2814" s="112">
        <v>1</v>
      </c>
      <c r="J2814" s="112">
        <v>5</v>
      </c>
      <c r="K2814" s="112">
        <v>7</v>
      </c>
      <c r="L2814" s="112">
        <v>5</v>
      </c>
      <c r="M2814" s="112">
        <v>4</v>
      </c>
      <c r="N2814" s="112">
        <v>3</v>
      </c>
      <c r="O2814" s="112">
        <v>2</v>
      </c>
    </row>
    <row r="2815" spans="1:15" x14ac:dyDescent="0.2">
      <c r="A2815" s="111">
        <v>2919</v>
      </c>
      <c r="B2815" s="421" t="s">
        <v>353</v>
      </c>
      <c r="C2815" s="421" t="s">
        <v>530</v>
      </c>
      <c r="D2815" s="422" t="s">
        <v>666</v>
      </c>
      <c r="E2815" s="111">
        <v>15632</v>
      </c>
      <c r="F2815" s="421" t="s">
        <v>4914</v>
      </c>
      <c r="G2815" s="112">
        <v>1</v>
      </c>
      <c r="H2815" s="112">
        <v>1</v>
      </c>
      <c r="I2815" s="112">
        <v>1</v>
      </c>
    </row>
    <row r="2816" spans="1:15" x14ac:dyDescent="0.2">
      <c r="A2816" s="111">
        <v>2920</v>
      </c>
      <c r="B2816" s="421" t="s">
        <v>2218</v>
      </c>
      <c r="C2816" s="421" t="s">
        <v>586</v>
      </c>
      <c r="D2816" s="422" t="s">
        <v>663</v>
      </c>
      <c r="E2816" s="111">
        <v>15754</v>
      </c>
      <c r="F2816" s="421" t="s">
        <v>4912</v>
      </c>
      <c r="G2816" s="112">
        <v>1</v>
      </c>
      <c r="H2816" s="112">
        <v>1</v>
      </c>
      <c r="I2816" s="112">
        <v>1</v>
      </c>
      <c r="J2816" s="112">
        <v>1</v>
      </c>
      <c r="K2816" s="112">
        <v>1</v>
      </c>
      <c r="L2816" s="112">
        <v>1</v>
      </c>
    </row>
    <row r="2817" spans="1:15" x14ac:dyDescent="0.2">
      <c r="A2817" s="111">
        <v>2921</v>
      </c>
      <c r="B2817" s="421" t="s">
        <v>4890</v>
      </c>
      <c r="C2817" s="421" t="s">
        <v>4900</v>
      </c>
      <c r="D2817" s="422" t="s">
        <v>666</v>
      </c>
      <c r="E2817" s="111">
        <v>16967</v>
      </c>
      <c r="F2817" s="421" t="s">
        <v>696</v>
      </c>
      <c r="G2817" s="112">
        <v>1</v>
      </c>
      <c r="H2817" s="112">
        <v>1</v>
      </c>
      <c r="I2817" s="112">
        <v>1</v>
      </c>
      <c r="J2817" s="112">
        <v>5</v>
      </c>
      <c r="K2817" s="112">
        <v>7</v>
      </c>
      <c r="L2817" s="112">
        <v>6</v>
      </c>
      <c r="M2817" s="112">
        <v>4</v>
      </c>
      <c r="N2817" s="112">
        <v>4</v>
      </c>
      <c r="O2817" s="112">
        <v>4</v>
      </c>
    </row>
    <row r="2818" spans="1:15" x14ac:dyDescent="0.2">
      <c r="A2818" s="111">
        <v>2922</v>
      </c>
      <c r="B2818" s="421" t="s">
        <v>4889</v>
      </c>
      <c r="C2818" s="421" t="s">
        <v>576</v>
      </c>
      <c r="D2818" s="422" t="s">
        <v>663</v>
      </c>
      <c r="E2818" s="111">
        <v>15190</v>
      </c>
      <c r="F2818" s="421" t="s">
        <v>3382</v>
      </c>
    </row>
    <row r="2819" spans="1:15" x14ac:dyDescent="0.2">
      <c r="A2819" s="111">
        <v>2923</v>
      </c>
      <c r="B2819" s="421" t="s">
        <v>4886</v>
      </c>
      <c r="C2819" s="421" t="s">
        <v>555</v>
      </c>
      <c r="D2819" s="422" t="s">
        <v>666</v>
      </c>
      <c r="E2819" s="111">
        <v>15320</v>
      </c>
      <c r="F2819" s="421" t="s">
        <v>4127</v>
      </c>
      <c r="H2819" s="112">
        <v>1</v>
      </c>
    </row>
    <row r="2820" spans="1:15" x14ac:dyDescent="0.2">
      <c r="A2820" s="111">
        <v>2924</v>
      </c>
      <c r="B2820" s="421" t="s">
        <v>1079</v>
      </c>
      <c r="C2820" s="421" t="s">
        <v>516</v>
      </c>
      <c r="D2820" s="422" t="s">
        <v>663</v>
      </c>
      <c r="E2820" s="111">
        <v>15216</v>
      </c>
      <c r="F2820" s="421" t="s">
        <v>2327</v>
      </c>
    </row>
    <row r="2821" spans="1:15" x14ac:dyDescent="0.2">
      <c r="A2821" s="111">
        <v>2925</v>
      </c>
      <c r="B2821" s="421" t="s">
        <v>106</v>
      </c>
      <c r="C2821" s="421" t="s">
        <v>502</v>
      </c>
      <c r="D2821" s="422" t="s">
        <v>666</v>
      </c>
      <c r="E2821" s="111">
        <v>15418</v>
      </c>
      <c r="F2821" s="421" t="s">
        <v>4145</v>
      </c>
      <c r="G2821" s="112">
        <v>1</v>
      </c>
      <c r="H2821" s="112">
        <v>1</v>
      </c>
      <c r="I2821" s="112">
        <v>1</v>
      </c>
      <c r="L2821" s="112">
        <v>1</v>
      </c>
    </row>
    <row r="2822" spans="1:15" x14ac:dyDescent="0.2">
      <c r="A2822" s="111">
        <v>2926</v>
      </c>
      <c r="B2822" s="421" t="s">
        <v>37</v>
      </c>
      <c r="C2822" s="421" t="s">
        <v>544</v>
      </c>
      <c r="D2822" s="422" t="s">
        <v>663</v>
      </c>
      <c r="E2822" s="111">
        <v>15634</v>
      </c>
      <c r="F2822" s="421" t="s">
        <v>4913</v>
      </c>
      <c r="G2822" s="112">
        <v>1</v>
      </c>
      <c r="H2822" s="112">
        <v>1</v>
      </c>
      <c r="I2822" s="112">
        <v>1</v>
      </c>
    </row>
    <row r="2823" spans="1:15" x14ac:dyDescent="0.2">
      <c r="A2823" s="111">
        <v>2928</v>
      </c>
      <c r="B2823" s="421" t="s">
        <v>4887</v>
      </c>
      <c r="C2823" s="421" t="s">
        <v>555</v>
      </c>
      <c r="D2823" s="422" t="s">
        <v>663</v>
      </c>
      <c r="E2823" s="111">
        <v>15320</v>
      </c>
      <c r="F2823" s="421" t="s">
        <v>4127</v>
      </c>
      <c r="G2823" s="112">
        <v>1</v>
      </c>
      <c r="H2823" s="112">
        <v>1</v>
      </c>
      <c r="I2823" s="112">
        <v>1</v>
      </c>
    </row>
    <row r="2824" spans="1:15" x14ac:dyDescent="0.2">
      <c r="A2824" s="111">
        <v>2929</v>
      </c>
      <c r="B2824" s="421" t="s">
        <v>4888</v>
      </c>
      <c r="C2824" s="421" t="s">
        <v>548</v>
      </c>
      <c r="D2824" s="422" t="s">
        <v>663</v>
      </c>
      <c r="E2824" s="111">
        <v>15638</v>
      </c>
      <c r="F2824" s="421" t="s">
        <v>4915</v>
      </c>
      <c r="I2824" s="112">
        <v>1</v>
      </c>
    </row>
    <row r="2825" spans="1:15" x14ac:dyDescent="0.2">
      <c r="A2825" s="111">
        <v>2930</v>
      </c>
      <c r="B2825" s="421" t="s">
        <v>2684</v>
      </c>
      <c r="C2825" s="421" t="s">
        <v>551</v>
      </c>
      <c r="D2825" s="422" t="s">
        <v>663</v>
      </c>
      <c r="E2825" s="111">
        <v>15635</v>
      </c>
      <c r="F2825" s="421" t="s">
        <v>4927</v>
      </c>
      <c r="G2825" s="112">
        <v>1</v>
      </c>
      <c r="H2825" s="112">
        <v>1</v>
      </c>
      <c r="I2825" s="112">
        <v>1</v>
      </c>
      <c r="K2825" s="112">
        <v>2</v>
      </c>
      <c r="L2825" s="112">
        <v>2</v>
      </c>
    </row>
    <row r="2826" spans="1:15" x14ac:dyDescent="0.2">
      <c r="A2826" s="111">
        <v>2931</v>
      </c>
      <c r="B2826" s="421" t="s">
        <v>2614</v>
      </c>
      <c r="C2826" s="421" t="s">
        <v>501</v>
      </c>
      <c r="D2826" s="422" t="s">
        <v>663</v>
      </c>
      <c r="E2826" s="111">
        <v>15635</v>
      </c>
      <c r="F2826" s="421" t="s">
        <v>4927</v>
      </c>
      <c r="H2826" s="112">
        <v>1</v>
      </c>
      <c r="I2826" s="112">
        <v>1</v>
      </c>
    </row>
    <row r="2827" spans="1:15" x14ac:dyDescent="0.2">
      <c r="A2827" s="111">
        <v>2932</v>
      </c>
      <c r="B2827" s="421" t="s">
        <v>2927</v>
      </c>
      <c r="C2827" s="421" t="s">
        <v>536</v>
      </c>
      <c r="D2827" s="422" t="s">
        <v>663</v>
      </c>
      <c r="E2827" s="111">
        <v>14856</v>
      </c>
      <c r="F2827" s="421" t="s">
        <v>2523</v>
      </c>
      <c r="G2827" s="112">
        <v>1</v>
      </c>
      <c r="H2827" s="112">
        <v>2</v>
      </c>
      <c r="I2827" s="112">
        <v>2</v>
      </c>
      <c r="J2827" s="112">
        <v>1</v>
      </c>
      <c r="K2827" s="112">
        <v>1</v>
      </c>
    </row>
    <row r="2828" spans="1:15" x14ac:dyDescent="0.2">
      <c r="A2828" s="111">
        <v>2933</v>
      </c>
      <c r="B2828" s="421" t="s">
        <v>1439</v>
      </c>
      <c r="C2828" s="421" t="s">
        <v>513</v>
      </c>
      <c r="D2828" s="422" t="s">
        <v>666</v>
      </c>
      <c r="F2828" s="421" t="s">
        <v>4931</v>
      </c>
      <c r="G2828" s="112">
        <v>1</v>
      </c>
      <c r="H2828" s="112">
        <v>1</v>
      </c>
      <c r="I2828" s="112">
        <v>1</v>
      </c>
      <c r="L2828" s="112">
        <v>1</v>
      </c>
    </row>
    <row r="2829" spans="1:15" x14ac:dyDescent="0.2">
      <c r="A2829" s="111">
        <v>2934</v>
      </c>
      <c r="B2829" s="421" t="s">
        <v>4895</v>
      </c>
      <c r="C2829" s="421" t="s">
        <v>574</v>
      </c>
      <c r="D2829" s="422" t="s">
        <v>663</v>
      </c>
      <c r="E2829" s="111">
        <v>15300</v>
      </c>
      <c r="F2829" s="421" t="s">
        <v>3767</v>
      </c>
      <c r="G2829" s="112">
        <v>1</v>
      </c>
      <c r="H2829" s="112">
        <v>1</v>
      </c>
      <c r="I2829" s="112">
        <v>1</v>
      </c>
      <c r="J2829" s="112">
        <v>2</v>
      </c>
      <c r="K2829" s="112">
        <v>1</v>
      </c>
      <c r="L2829" s="112">
        <v>1</v>
      </c>
    </row>
    <row r="2830" spans="1:15" x14ac:dyDescent="0.2">
      <c r="A2830" s="111">
        <v>2935</v>
      </c>
      <c r="B2830" s="421" t="s">
        <v>185</v>
      </c>
      <c r="C2830" s="421" t="s">
        <v>533</v>
      </c>
      <c r="D2830" s="422" t="s">
        <v>663</v>
      </c>
      <c r="E2830" s="111">
        <v>15442</v>
      </c>
      <c r="F2830" s="421" t="s">
        <v>4176</v>
      </c>
      <c r="G2830" s="112">
        <v>1</v>
      </c>
      <c r="H2830" s="112">
        <v>1</v>
      </c>
      <c r="I2830" s="112">
        <v>1</v>
      </c>
    </row>
    <row r="2831" spans="1:15" x14ac:dyDescent="0.2">
      <c r="A2831" s="111">
        <v>2936</v>
      </c>
      <c r="B2831" s="421" t="s">
        <v>1281</v>
      </c>
      <c r="C2831" s="421" t="s">
        <v>533</v>
      </c>
      <c r="D2831" s="422" t="s">
        <v>663</v>
      </c>
      <c r="E2831" s="111">
        <v>15442</v>
      </c>
      <c r="F2831" s="421" t="s">
        <v>4176</v>
      </c>
    </row>
    <row r="2832" spans="1:15" x14ac:dyDescent="0.2">
      <c r="A2832" s="111">
        <v>2937</v>
      </c>
      <c r="B2832" s="421" t="s">
        <v>257</v>
      </c>
      <c r="C2832" s="421" t="s">
        <v>587</v>
      </c>
      <c r="D2832" s="422" t="s">
        <v>663</v>
      </c>
      <c r="E2832" s="111">
        <v>15627</v>
      </c>
      <c r="F2832" s="421" t="s">
        <v>4917</v>
      </c>
      <c r="G2832" s="112">
        <v>2</v>
      </c>
      <c r="H2832" s="112">
        <v>1</v>
      </c>
      <c r="I2832" s="112">
        <v>1</v>
      </c>
    </row>
    <row r="2833" spans="1:15" x14ac:dyDescent="0.2">
      <c r="A2833" s="111">
        <v>2938</v>
      </c>
      <c r="B2833" s="421" t="s">
        <v>4893</v>
      </c>
      <c r="C2833" s="421" t="s">
        <v>501</v>
      </c>
      <c r="D2833" s="422" t="s">
        <v>666</v>
      </c>
      <c r="E2833" s="111">
        <v>16074</v>
      </c>
      <c r="F2833" s="421" t="s">
        <v>4175</v>
      </c>
      <c r="G2833" s="112">
        <v>1</v>
      </c>
      <c r="H2833" s="112">
        <v>1</v>
      </c>
      <c r="I2833" s="112">
        <v>1</v>
      </c>
      <c r="J2833" s="112">
        <v>7</v>
      </c>
      <c r="K2833" s="112">
        <v>7</v>
      </c>
      <c r="L2833" s="112">
        <v>7</v>
      </c>
      <c r="M2833" s="112">
        <v>3</v>
      </c>
      <c r="N2833" s="112">
        <v>3</v>
      </c>
      <c r="O2833" s="112">
        <v>3</v>
      </c>
    </row>
    <row r="2834" spans="1:15" x14ac:dyDescent="0.2">
      <c r="A2834" s="111">
        <v>2939</v>
      </c>
      <c r="B2834" s="421" t="s">
        <v>4875</v>
      </c>
      <c r="C2834" s="421" t="s">
        <v>501</v>
      </c>
      <c r="D2834" s="422" t="s">
        <v>663</v>
      </c>
      <c r="E2834" s="111">
        <v>15640</v>
      </c>
      <c r="F2834" s="421" t="s">
        <v>4876</v>
      </c>
      <c r="H2834" s="112">
        <v>1</v>
      </c>
      <c r="I2834" s="112">
        <v>1</v>
      </c>
    </row>
    <row r="2835" spans="1:15" x14ac:dyDescent="0.2">
      <c r="A2835" s="111">
        <v>2940</v>
      </c>
      <c r="B2835" s="421" t="s">
        <v>4620</v>
      </c>
      <c r="C2835" s="421" t="s">
        <v>1908</v>
      </c>
      <c r="D2835" s="422" t="s">
        <v>663</v>
      </c>
      <c r="E2835" s="111">
        <v>15945</v>
      </c>
      <c r="F2835" s="421" t="s">
        <v>4928</v>
      </c>
      <c r="G2835" s="112">
        <v>1</v>
      </c>
    </row>
    <row r="2836" spans="1:15" x14ac:dyDescent="0.2">
      <c r="A2836" s="111">
        <v>2941</v>
      </c>
      <c r="B2836" s="421" t="s">
        <v>1604</v>
      </c>
      <c r="C2836" s="421" t="s">
        <v>513</v>
      </c>
      <c r="D2836" s="422" t="s">
        <v>666</v>
      </c>
      <c r="E2836" s="111">
        <v>15642</v>
      </c>
      <c r="F2836" s="421" t="s">
        <v>4932</v>
      </c>
      <c r="G2836" s="112">
        <v>2</v>
      </c>
      <c r="H2836" s="112">
        <v>1</v>
      </c>
      <c r="I2836" s="112">
        <v>1</v>
      </c>
      <c r="J2836" s="112">
        <v>7</v>
      </c>
      <c r="K2836" s="112">
        <v>7</v>
      </c>
      <c r="L2836" s="112">
        <v>6</v>
      </c>
      <c r="M2836" s="112">
        <v>4</v>
      </c>
      <c r="N2836" s="112">
        <v>1</v>
      </c>
      <c r="O2836" s="112">
        <v>3</v>
      </c>
    </row>
    <row r="2837" spans="1:15" x14ac:dyDescent="0.2">
      <c r="A2837" s="111">
        <v>2942</v>
      </c>
      <c r="B2837" s="421" t="s">
        <v>237</v>
      </c>
      <c r="C2837" s="421" t="s">
        <v>1994</v>
      </c>
      <c r="D2837" s="422" t="s">
        <v>663</v>
      </c>
      <c r="E2837" s="111">
        <v>15642</v>
      </c>
      <c r="F2837" s="421" t="s">
        <v>4932</v>
      </c>
    </row>
    <row r="2838" spans="1:15" x14ac:dyDescent="0.2">
      <c r="A2838" s="111">
        <v>2943</v>
      </c>
      <c r="B2838" s="421" t="s">
        <v>3408</v>
      </c>
      <c r="C2838" s="421" t="s">
        <v>513</v>
      </c>
      <c r="D2838" s="422" t="s">
        <v>663</v>
      </c>
      <c r="E2838" s="111">
        <v>15447</v>
      </c>
      <c r="F2838" s="421" t="s">
        <v>4184</v>
      </c>
      <c r="G2838" s="112">
        <v>1</v>
      </c>
      <c r="H2838" s="112">
        <v>1</v>
      </c>
      <c r="I2838" s="112">
        <v>1</v>
      </c>
      <c r="J2838" s="112">
        <v>6</v>
      </c>
      <c r="K2838" s="112">
        <v>6</v>
      </c>
      <c r="L2838" s="112">
        <v>2</v>
      </c>
      <c r="M2838" s="112">
        <v>1</v>
      </c>
    </row>
    <row r="2839" spans="1:15" x14ac:dyDescent="0.2">
      <c r="A2839" s="111">
        <v>2944</v>
      </c>
      <c r="B2839" s="421" t="s">
        <v>229</v>
      </c>
      <c r="C2839" s="421" t="s">
        <v>501</v>
      </c>
      <c r="D2839" s="422" t="s">
        <v>663</v>
      </c>
      <c r="E2839" s="111">
        <v>15643</v>
      </c>
      <c r="F2839" s="421" t="s">
        <v>4923</v>
      </c>
      <c r="G2839" s="112">
        <v>1</v>
      </c>
      <c r="H2839" s="112">
        <v>1</v>
      </c>
      <c r="I2839" s="112">
        <v>1</v>
      </c>
      <c r="J2839" s="112">
        <v>2</v>
      </c>
      <c r="K2839" s="112">
        <v>3</v>
      </c>
      <c r="L2839" s="112">
        <v>3</v>
      </c>
    </row>
    <row r="2840" spans="1:15" x14ac:dyDescent="0.2">
      <c r="A2840" s="111">
        <v>2945</v>
      </c>
      <c r="B2840" s="421" t="s">
        <v>78</v>
      </c>
      <c r="C2840" s="421" t="s">
        <v>537</v>
      </c>
      <c r="D2840" s="422" t="s">
        <v>663</v>
      </c>
      <c r="E2840" s="111">
        <v>15027</v>
      </c>
      <c r="F2840" s="421" t="s">
        <v>2870</v>
      </c>
    </row>
    <row r="2841" spans="1:15" x14ac:dyDescent="0.2">
      <c r="A2841" s="111">
        <v>2946</v>
      </c>
      <c r="B2841" s="421" t="s">
        <v>1617</v>
      </c>
      <c r="C2841" s="421" t="s">
        <v>574</v>
      </c>
      <c r="D2841" s="422" t="s">
        <v>663</v>
      </c>
      <c r="E2841" s="111">
        <v>15641</v>
      </c>
      <c r="F2841" s="421" t="s">
        <v>826</v>
      </c>
      <c r="G2841" s="112">
        <v>1</v>
      </c>
      <c r="H2841" s="112">
        <v>1</v>
      </c>
      <c r="I2841" s="112">
        <v>1</v>
      </c>
      <c r="J2841" s="112">
        <v>8</v>
      </c>
      <c r="K2841" s="112">
        <v>8</v>
      </c>
      <c r="L2841" s="112">
        <v>8</v>
      </c>
      <c r="M2841" s="112">
        <v>8</v>
      </c>
      <c r="N2841" s="112">
        <v>4</v>
      </c>
      <c r="O2841" s="112">
        <v>6</v>
      </c>
    </row>
    <row r="2842" spans="1:15" x14ac:dyDescent="0.2">
      <c r="A2842" s="111">
        <v>2947</v>
      </c>
      <c r="B2842" s="421" t="s">
        <v>4899</v>
      </c>
      <c r="C2842" s="421" t="s">
        <v>628</v>
      </c>
      <c r="D2842" s="422" t="s">
        <v>663</v>
      </c>
      <c r="E2842" s="111">
        <v>15639</v>
      </c>
      <c r="F2842" s="421" t="s">
        <v>4930</v>
      </c>
      <c r="G2842" s="112">
        <v>1</v>
      </c>
      <c r="H2842" s="112">
        <v>2</v>
      </c>
      <c r="I2842" s="112">
        <v>1</v>
      </c>
    </row>
    <row r="2843" spans="1:15" x14ac:dyDescent="0.2">
      <c r="A2843" s="111">
        <v>2948</v>
      </c>
      <c r="B2843" s="421" t="s">
        <v>93</v>
      </c>
      <c r="C2843" s="421" t="s">
        <v>507</v>
      </c>
      <c r="D2843" s="422" t="s">
        <v>663</v>
      </c>
      <c r="E2843" s="111">
        <v>15644</v>
      </c>
      <c r="F2843" s="421" t="s">
        <v>4840</v>
      </c>
    </row>
    <row r="2844" spans="1:15" x14ac:dyDescent="0.2">
      <c r="A2844" s="111">
        <v>2949</v>
      </c>
      <c r="B2844" s="421" t="s">
        <v>1331</v>
      </c>
      <c r="C2844" s="421" t="s">
        <v>584</v>
      </c>
      <c r="D2844" s="422" t="s">
        <v>666</v>
      </c>
      <c r="E2844" s="111">
        <v>15646</v>
      </c>
      <c r="F2844" s="421" t="s">
        <v>4919</v>
      </c>
      <c r="G2844" s="112">
        <v>1</v>
      </c>
      <c r="H2844" s="112">
        <v>1</v>
      </c>
      <c r="I2844" s="112">
        <v>1</v>
      </c>
      <c r="J2844" s="112">
        <v>2</v>
      </c>
      <c r="K2844" s="112">
        <v>1</v>
      </c>
      <c r="L2844" s="112">
        <v>1</v>
      </c>
    </row>
    <row r="2845" spans="1:15" x14ac:dyDescent="0.2">
      <c r="A2845" s="111">
        <v>2950</v>
      </c>
      <c r="B2845" s="421" t="s">
        <v>4896</v>
      </c>
      <c r="C2845" s="421" t="s">
        <v>563</v>
      </c>
      <c r="D2845" s="422" t="s">
        <v>666</v>
      </c>
      <c r="E2845" s="111">
        <v>15647</v>
      </c>
      <c r="F2845" s="421" t="s">
        <v>4926</v>
      </c>
    </row>
    <row r="2846" spans="1:15" x14ac:dyDescent="0.2">
      <c r="A2846" s="111">
        <v>2951</v>
      </c>
      <c r="B2846" s="421" t="s">
        <v>4897</v>
      </c>
      <c r="C2846" s="421" t="s">
        <v>563</v>
      </c>
      <c r="D2846" s="422" t="s">
        <v>666</v>
      </c>
      <c r="E2846" s="111">
        <v>15647</v>
      </c>
      <c r="F2846" s="421" t="s">
        <v>4926</v>
      </c>
    </row>
    <row r="2847" spans="1:15" x14ac:dyDescent="0.2">
      <c r="A2847" s="111">
        <v>2952</v>
      </c>
      <c r="B2847" s="421" t="s">
        <v>308</v>
      </c>
      <c r="C2847" s="421" t="s">
        <v>567</v>
      </c>
      <c r="D2847" s="422" t="s">
        <v>666</v>
      </c>
      <c r="E2847" s="111">
        <v>15648</v>
      </c>
      <c r="F2847" s="421" t="s">
        <v>4916</v>
      </c>
    </row>
    <row r="2848" spans="1:15" x14ac:dyDescent="0.2">
      <c r="A2848" s="111">
        <v>2953</v>
      </c>
      <c r="B2848" s="421" t="s">
        <v>3259</v>
      </c>
      <c r="C2848" s="421" t="s">
        <v>501</v>
      </c>
      <c r="D2848" s="422" t="s">
        <v>666</v>
      </c>
      <c r="E2848" s="111">
        <v>15678</v>
      </c>
      <c r="F2848" s="421" t="s">
        <v>4921</v>
      </c>
      <c r="G2848" s="112">
        <v>1</v>
      </c>
      <c r="H2848" s="112">
        <v>1</v>
      </c>
      <c r="I2848" s="112">
        <v>1</v>
      </c>
      <c r="J2848" s="112">
        <v>13</v>
      </c>
      <c r="K2848" s="112">
        <v>12</v>
      </c>
      <c r="L2848" s="112">
        <v>8</v>
      </c>
      <c r="M2848" s="112">
        <v>8</v>
      </c>
      <c r="N2848" s="112">
        <v>5</v>
      </c>
      <c r="O2848" s="112">
        <v>6</v>
      </c>
    </row>
    <row r="2849" spans="1:15" x14ac:dyDescent="0.2">
      <c r="A2849" s="111">
        <v>2954</v>
      </c>
      <c r="B2849" s="421" t="s">
        <v>4892</v>
      </c>
      <c r="C2849" s="421" t="s">
        <v>502</v>
      </c>
      <c r="D2849" s="422" t="s">
        <v>666</v>
      </c>
      <c r="E2849" s="111">
        <v>15649</v>
      </c>
      <c r="F2849" s="421" t="s">
        <v>4922</v>
      </c>
      <c r="G2849" s="112">
        <v>1</v>
      </c>
      <c r="H2849" s="112">
        <v>1</v>
      </c>
    </row>
    <row r="2850" spans="1:15" x14ac:dyDescent="0.2">
      <c r="A2850" s="111">
        <v>2955</v>
      </c>
      <c r="B2850" s="421" t="s">
        <v>4898</v>
      </c>
      <c r="C2850" s="421" t="s">
        <v>551</v>
      </c>
      <c r="D2850" s="422" t="s">
        <v>666</v>
      </c>
      <c r="E2850" s="111">
        <v>15208</v>
      </c>
      <c r="F2850" s="421" t="s">
        <v>3418</v>
      </c>
      <c r="G2850" s="112">
        <v>1</v>
      </c>
      <c r="H2850" s="112">
        <v>1</v>
      </c>
      <c r="I2850" s="112">
        <v>1</v>
      </c>
      <c r="J2850" s="112">
        <v>5</v>
      </c>
      <c r="K2850" s="112">
        <v>2</v>
      </c>
      <c r="L2850" s="112">
        <v>4</v>
      </c>
    </row>
    <row r="2851" spans="1:15" x14ac:dyDescent="0.2">
      <c r="A2851" s="111">
        <v>2956</v>
      </c>
      <c r="B2851" s="421" t="s">
        <v>4891</v>
      </c>
      <c r="C2851" s="421" t="s">
        <v>510</v>
      </c>
      <c r="D2851" s="422" t="s">
        <v>663</v>
      </c>
      <c r="E2851" s="111">
        <v>15650</v>
      </c>
      <c r="F2851" s="421" t="s">
        <v>4918</v>
      </c>
      <c r="G2851" s="112">
        <v>1</v>
      </c>
      <c r="H2851" s="112">
        <v>2</v>
      </c>
      <c r="I2851" s="112">
        <v>1</v>
      </c>
      <c r="J2851" s="112">
        <v>11</v>
      </c>
      <c r="K2851" s="112">
        <v>11</v>
      </c>
      <c r="L2851" s="112">
        <v>11</v>
      </c>
      <c r="M2851" s="112">
        <v>11</v>
      </c>
      <c r="N2851" s="112">
        <v>12</v>
      </c>
      <c r="O2851" s="112">
        <v>11</v>
      </c>
    </row>
    <row r="2852" spans="1:15" x14ac:dyDescent="0.2">
      <c r="A2852" s="111">
        <v>2957</v>
      </c>
      <c r="B2852" s="421" t="s">
        <v>218</v>
      </c>
      <c r="C2852" s="421" t="s">
        <v>551</v>
      </c>
      <c r="D2852" s="422" t="s">
        <v>666</v>
      </c>
      <c r="E2852" s="111">
        <v>15651</v>
      </c>
      <c r="F2852" s="421" t="s">
        <v>4924</v>
      </c>
      <c r="G2852" s="112">
        <v>1</v>
      </c>
      <c r="H2852" s="112">
        <v>1</v>
      </c>
      <c r="I2852" s="112">
        <v>1</v>
      </c>
      <c r="J2852" s="112">
        <v>7</v>
      </c>
      <c r="K2852" s="112">
        <v>7</v>
      </c>
      <c r="L2852" s="112">
        <v>8</v>
      </c>
      <c r="M2852" s="112">
        <v>3</v>
      </c>
      <c r="N2852" s="112">
        <v>3</v>
      </c>
      <c r="O2852" s="112">
        <v>4</v>
      </c>
    </row>
    <row r="2853" spans="1:15" x14ac:dyDescent="0.2">
      <c r="A2853" s="111">
        <v>2958</v>
      </c>
      <c r="B2853" s="421" t="s">
        <v>4894</v>
      </c>
      <c r="C2853" s="421" t="s">
        <v>525</v>
      </c>
      <c r="D2853" s="422" t="s">
        <v>663</v>
      </c>
      <c r="E2853" s="111">
        <v>15614</v>
      </c>
      <c r="F2853" s="421" t="s">
        <v>4839</v>
      </c>
      <c r="G2853" s="112">
        <v>1</v>
      </c>
      <c r="H2853" s="112">
        <v>3</v>
      </c>
      <c r="I2853" s="112">
        <v>2</v>
      </c>
    </row>
    <row r="2854" spans="1:15" x14ac:dyDescent="0.2">
      <c r="A2854" s="111">
        <v>2959</v>
      </c>
      <c r="B2854" s="421" t="s">
        <v>1254</v>
      </c>
      <c r="C2854" s="421" t="s">
        <v>518</v>
      </c>
      <c r="D2854" s="422" t="s">
        <v>663</v>
      </c>
      <c r="E2854" s="111">
        <v>15652</v>
      </c>
      <c r="F2854" s="421" t="s">
        <v>4929</v>
      </c>
      <c r="G2854" s="112">
        <v>1</v>
      </c>
      <c r="H2854" s="112">
        <v>1</v>
      </c>
      <c r="I2854" s="112">
        <v>1</v>
      </c>
      <c r="J2854" s="112">
        <v>5</v>
      </c>
      <c r="K2854" s="112">
        <v>5</v>
      </c>
      <c r="L2854" s="112">
        <v>1</v>
      </c>
      <c r="M2854" s="112">
        <v>5</v>
      </c>
      <c r="N2854" s="112">
        <v>2</v>
      </c>
    </row>
    <row r="2855" spans="1:15" x14ac:dyDescent="0.2">
      <c r="A2855" s="111">
        <v>2960</v>
      </c>
      <c r="B2855" s="421" t="s">
        <v>1507</v>
      </c>
      <c r="C2855" s="421" t="s">
        <v>1687</v>
      </c>
      <c r="D2855" s="422" t="s">
        <v>666</v>
      </c>
      <c r="E2855" s="111">
        <v>15673</v>
      </c>
      <c r="F2855" s="421" t="s">
        <v>4920</v>
      </c>
      <c r="G2855" s="112">
        <v>1</v>
      </c>
      <c r="H2855" s="112">
        <v>1</v>
      </c>
      <c r="J2855" s="112">
        <v>2</v>
      </c>
    </row>
    <row r="2856" spans="1:15" x14ac:dyDescent="0.2">
      <c r="A2856" s="111">
        <v>2961</v>
      </c>
      <c r="B2856" s="421" t="s">
        <v>1964</v>
      </c>
      <c r="C2856" s="421" t="s">
        <v>522</v>
      </c>
      <c r="D2856" s="422" t="s">
        <v>663</v>
      </c>
      <c r="E2856" s="111">
        <v>15653</v>
      </c>
      <c r="F2856" s="421" t="s">
        <v>4925</v>
      </c>
      <c r="G2856" s="112">
        <v>1</v>
      </c>
      <c r="H2856" s="112">
        <v>1</v>
      </c>
      <c r="I2856" s="112">
        <v>1</v>
      </c>
      <c r="J2856" s="112">
        <v>3</v>
      </c>
      <c r="K2856" s="112">
        <v>3</v>
      </c>
      <c r="L2856" s="112">
        <v>3</v>
      </c>
      <c r="M2856" s="112">
        <v>6</v>
      </c>
      <c r="N2856" s="112">
        <v>1</v>
      </c>
      <c r="O2856" s="112">
        <v>3</v>
      </c>
    </row>
    <row r="2857" spans="1:15" x14ac:dyDescent="0.2">
      <c r="A2857" s="111">
        <v>2962</v>
      </c>
      <c r="B2857" s="421" t="s">
        <v>2822</v>
      </c>
      <c r="C2857" s="421" t="s">
        <v>506</v>
      </c>
      <c r="D2857" s="422" t="s">
        <v>666</v>
      </c>
      <c r="E2857" s="111">
        <v>14265</v>
      </c>
      <c r="F2857" s="421" t="s">
        <v>751</v>
      </c>
      <c r="G2857" s="112">
        <v>1</v>
      </c>
    </row>
    <row r="2858" spans="1:15" x14ac:dyDescent="0.2">
      <c r="A2858" s="111">
        <v>2963</v>
      </c>
      <c r="B2858" s="421" t="s">
        <v>4985</v>
      </c>
      <c r="C2858" s="421" t="s">
        <v>1112</v>
      </c>
      <c r="D2858" s="422" t="s">
        <v>666</v>
      </c>
      <c r="E2858" s="111">
        <v>15803</v>
      </c>
      <c r="F2858" s="421" t="s">
        <v>4720</v>
      </c>
      <c r="G2858" s="112">
        <v>1</v>
      </c>
      <c r="H2858" s="112">
        <v>1</v>
      </c>
      <c r="I2858" s="112">
        <v>1</v>
      </c>
      <c r="J2858" s="112">
        <v>7</v>
      </c>
      <c r="K2858" s="112">
        <v>7</v>
      </c>
      <c r="L2858" s="112">
        <v>8</v>
      </c>
      <c r="M2858" s="112">
        <v>3</v>
      </c>
      <c r="N2858" s="112">
        <v>6</v>
      </c>
      <c r="O2858" s="112">
        <v>3</v>
      </c>
    </row>
    <row r="2859" spans="1:15" x14ac:dyDescent="0.2">
      <c r="A2859" s="111">
        <v>2964</v>
      </c>
      <c r="B2859" s="421" t="s">
        <v>4986</v>
      </c>
      <c r="C2859" s="421" t="s">
        <v>506</v>
      </c>
      <c r="D2859" s="422" t="s">
        <v>663</v>
      </c>
      <c r="F2859" s="421" t="s">
        <v>4987</v>
      </c>
      <c r="G2859" s="112">
        <v>1</v>
      </c>
      <c r="H2859" s="112">
        <v>1</v>
      </c>
      <c r="I2859" s="112">
        <v>1</v>
      </c>
    </row>
    <row r="2860" spans="1:15" x14ac:dyDescent="0.2">
      <c r="A2860" s="111">
        <v>2965</v>
      </c>
      <c r="B2860" s="421" t="s">
        <v>3055</v>
      </c>
      <c r="C2860" s="421" t="s">
        <v>522</v>
      </c>
      <c r="D2860" s="422" t="s">
        <v>666</v>
      </c>
      <c r="E2860" s="111">
        <v>14612</v>
      </c>
      <c r="F2860" s="421" t="s">
        <v>1842</v>
      </c>
      <c r="G2860" s="112">
        <v>1</v>
      </c>
      <c r="H2860" s="112">
        <v>1</v>
      </c>
      <c r="I2860" s="112">
        <v>1</v>
      </c>
    </row>
    <row r="2861" spans="1:15" x14ac:dyDescent="0.2">
      <c r="A2861" s="111">
        <v>2966</v>
      </c>
      <c r="B2861" s="421" t="s">
        <v>443</v>
      </c>
      <c r="C2861" s="421" t="s">
        <v>551</v>
      </c>
      <c r="D2861" s="422" t="s">
        <v>663</v>
      </c>
      <c r="E2861" s="111">
        <v>15851</v>
      </c>
      <c r="F2861" s="421" t="s">
        <v>3243</v>
      </c>
      <c r="G2861" s="112">
        <v>1</v>
      </c>
      <c r="H2861" s="112">
        <v>1</v>
      </c>
      <c r="I2861" s="112">
        <v>1</v>
      </c>
      <c r="K2861" s="112">
        <v>1</v>
      </c>
      <c r="L2861" s="112">
        <v>1</v>
      </c>
    </row>
    <row r="2862" spans="1:15" x14ac:dyDescent="0.2">
      <c r="A2862" s="111">
        <v>2967</v>
      </c>
      <c r="B2862" s="421" t="s">
        <v>4988</v>
      </c>
      <c r="C2862" s="421" t="s">
        <v>521</v>
      </c>
      <c r="D2862" s="422" t="s">
        <v>666</v>
      </c>
      <c r="E2862" s="111">
        <v>1495</v>
      </c>
      <c r="F2862" s="421" t="s">
        <v>714</v>
      </c>
      <c r="G2862" s="112">
        <v>1</v>
      </c>
      <c r="H2862" s="112">
        <v>1</v>
      </c>
      <c r="I2862" s="112">
        <v>1</v>
      </c>
      <c r="J2862" s="112">
        <v>11</v>
      </c>
      <c r="K2862" s="112">
        <v>7</v>
      </c>
      <c r="L2862" s="112">
        <v>9</v>
      </c>
      <c r="M2862" s="112">
        <v>18</v>
      </c>
      <c r="N2862" s="112">
        <v>13</v>
      </c>
      <c r="O2862" s="112">
        <v>13</v>
      </c>
    </row>
    <row r="2863" spans="1:15" x14ac:dyDescent="0.2">
      <c r="A2863" s="111">
        <v>2968</v>
      </c>
      <c r="B2863" s="421" t="s">
        <v>382</v>
      </c>
      <c r="C2863" s="421" t="s">
        <v>542</v>
      </c>
      <c r="D2863" s="422" t="s">
        <v>663</v>
      </c>
      <c r="E2863" s="111">
        <v>15392</v>
      </c>
      <c r="F2863" s="421" t="s">
        <v>3967</v>
      </c>
      <c r="G2863" s="112">
        <v>1</v>
      </c>
      <c r="H2863" s="112">
        <v>1</v>
      </c>
    </row>
    <row r="2864" spans="1:15" x14ac:dyDescent="0.2">
      <c r="A2864" s="111">
        <v>2969</v>
      </c>
      <c r="B2864" s="421" t="s">
        <v>4989</v>
      </c>
      <c r="C2864" s="421" t="s">
        <v>513</v>
      </c>
      <c r="D2864" s="422" t="s">
        <v>666</v>
      </c>
      <c r="E2864" s="111">
        <v>15773</v>
      </c>
      <c r="F2864" s="421" t="s">
        <v>4990</v>
      </c>
    </row>
    <row r="2865" spans="1:15" x14ac:dyDescent="0.2">
      <c r="A2865" s="111">
        <v>2970</v>
      </c>
      <c r="B2865" s="421" t="s">
        <v>4991</v>
      </c>
      <c r="C2865" s="421" t="s">
        <v>503</v>
      </c>
      <c r="D2865" s="422" t="s">
        <v>663</v>
      </c>
      <c r="E2865" s="111">
        <v>15406</v>
      </c>
      <c r="F2865" s="421" t="s">
        <v>4130</v>
      </c>
      <c r="G2865" s="112">
        <v>1</v>
      </c>
      <c r="H2865" s="112">
        <v>1</v>
      </c>
      <c r="I2865" s="112">
        <v>1</v>
      </c>
      <c r="J2865" s="112">
        <v>2</v>
      </c>
    </row>
    <row r="2866" spans="1:15" x14ac:dyDescent="0.2">
      <c r="A2866" s="111">
        <v>2971</v>
      </c>
      <c r="B2866" s="421" t="s">
        <v>4992</v>
      </c>
      <c r="C2866" s="421" t="s">
        <v>1211</v>
      </c>
      <c r="D2866" s="422" t="s">
        <v>663</v>
      </c>
      <c r="E2866" s="111">
        <v>15655</v>
      </c>
      <c r="F2866" s="421" t="s">
        <v>4993</v>
      </c>
    </row>
    <row r="2867" spans="1:15" x14ac:dyDescent="0.2">
      <c r="A2867" s="111">
        <v>2972</v>
      </c>
      <c r="B2867" s="421" t="s">
        <v>4994</v>
      </c>
      <c r="C2867" s="421" t="s">
        <v>526</v>
      </c>
      <c r="D2867" s="422" t="s">
        <v>666</v>
      </c>
      <c r="E2867" s="111">
        <v>15639</v>
      </c>
      <c r="F2867" s="421" t="s">
        <v>4930</v>
      </c>
      <c r="G2867" s="112">
        <v>2</v>
      </c>
      <c r="H2867" s="112">
        <v>1</v>
      </c>
      <c r="I2867" s="112">
        <v>2</v>
      </c>
      <c r="J2867" s="112">
        <v>2</v>
      </c>
      <c r="K2867" s="112">
        <v>2</v>
      </c>
    </row>
    <row r="2868" spans="1:15" x14ac:dyDescent="0.2">
      <c r="A2868" s="111">
        <v>2973</v>
      </c>
      <c r="B2868" s="421" t="s">
        <v>4995</v>
      </c>
      <c r="C2868" s="421" t="s">
        <v>516</v>
      </c>
      <c r="D2868" s="422" t="s">
        <v>666</v>
      </c>
      <c r="E2868" s="111">
        <v>14184</v>
      </c>
      <c r="F2868" s="421" t="s">
        <v>885</v>
      </c>
      <c r="G2868" s="112">
        <v>1</v>
      </c>
      <c r="H2868" s="112">
        <v>1</v>
      </c>
      <c r="I2868" s="112">
        <v>1</v>
      </c>
      <c r="J2868" s="112">
        <v>2</v>
      </c>
      <c r="K2868" s="112">
        <v>1</v>
      </c>
      <c r="L2868" s="112">
        <v>2</v>
      </c>
    </row>
    <row r="2869" spans="1:15" x14ac:dyDescent="0.2">
      <c r="A2869" s="111">
        <v>2974</v>
      </c>
      <c r="B2869" s="421" t="s">
        <v>3905</v>
      </c>
      <c r="C2869" s="421" t="s">
        <v>1318</v>
      </c>
      <c r="D2869" s="422" t="s">
        <v>663</v>
      </c>
      <c r="E2869" s="111">
        <v>15656</v>
      </c>
      <c r="F2869" s="421" t="s">
        <v>4996</v>
      </c>
    </row>
    <row r="2870" spans="1:15" x14ac:dyDescent="0.2">
      <c r="A2870" s="111">
        <v>2975</v>
      </c>
      <c r="B2870" s="421" t="s">
        <v>1496</v>
      </c>
      <c r="C2870" s="421" t="s">
        <v>501</v>
      </c>
      <c r="D2870" s="422" t="s">
        <v>663</v>
      </c>
      <c r="E2870" s="111">
        <v>15657</v>
      </c>
      <c r="F2870" s="421" t="s">
        <v>4997</v>
      </c>
      <c r="G2870" s="112">
        <v>1</v>
      </c>
      <c r="H2870" s="112">
        <v>1</v>
      </c>
      <c r="I2870" s="112">
        <v>1</v>
      </c>
      <c r="J2870" s="112">
        <v>5</v>
      </c>
      <c r="K2870" s="112">
        <v>2</v>
      </c>
      <c r="L2870" s="112">
        <v>3</v>
      </c>
      <c r="M2870" s="112">
        <v>5</v>
      </c>
      <c r="N2870" s="112">
        <v>1</v>
      </c>
      <c r="O2870" s="112">
        <v>3</v>
      </c>
    </row>
    <row r="2871" spans="1:15" x14ac:dyDescent="0.2">
      <c r="A2871" s="111">
        <v>2976</v>
      </c>
      <c r="B2871" s="421" t="s">
        <v>112</v>
      </c>
      <c r="C2871" s="421" t="s">
        <v>1994</v>
      </c>
      <c r="D2871" s="422" t="s">
        <v>663</v>
      </c>
      <c r="E2871" s="111">
        <v>15403</v>
      </c>
      <c r="F2871" s="421" t="s">
        <v>4998</v>
      </c>
      <c r="G2871" s="112">
        <v>1</v>
      </c>
      <c r="H2871" s="112">
        <v>1</v>
      </c>
      <c r="I2871" s="112">
        <v>1</v>
      </c>
      <c r="K2871" s="112">
        <v>1</v>
      </c>
      <c r="L2871" s="112">
        <v>1</v>
      </c>
    </row>
    <row r="2872" spans="1:15" x14ac:dyDescent="0.2">
      <c r="A2872" s="111">
        <v>2977</v>
      </c>
      <c r="B2872" s="421" t="s">
        <v>4999</v>
      </c>
      <c r="C2872" s="421" t="s">
        <v>516</v>
      </c>
      <c r="D2872" s="422" t="s">
        <v>663</v>
      </c>
      <c r="E2872" s="111">
        <v>15205</v>
      </c>
      <c r="F2872" s="421" t="s">
        <v>3414</v>
      </c>
      <c r="G2872" s="112">
        <v>1</v>
      </c>
      <c r="H2872" s="112">
        <v>1</v>
      </c>
      <c r="I2872" s="112">
        <v>1</v>
      </c>
      <c r="J2872" s="112">
        <v>7</v>
      </c>
      <c r="K2872" s="112">
        <v>7</v>
      </c>
      <c r="L2872" s="112">
        <v>7</v>
      </c>
      <c r="M2872" s="112">
        <v>10</v>
      </c>
      <c r="N2872" s="112">
        <v>6</v>
      </c>
      <c r="O2872" s="112">
        <v>9</v>
      </c>
    </row>
    <row r="2873" spans="1:15" x14ac:dyDescent="0.2">
      <c r="A2873" s="111">
        <v>2978</v>
      </c>
      <c r="B2873" s="421" t="s">
        <v>5000</v>
      </c>
      <c r="C2873" s="421" t="s">
        <v>502</v>
      </c>
      <c r="D2873" s="422" t="s">
        <v>663</v>
      </c>
      <c r="E2873" s="111">
        <v>15658</v>
      </c>
      <c r="F2873" s="421" t="s">
        <v>5001</v>
      </c>
      <c r="G2873" s="112">
        <v>1</v>
      </c>
      <c r="H2873" s="112">
        <v>1</v>
      </c>
      <c r="I2873" s="112">
        <v>1</v>
      </c>
      <c r="K2873" s="112">
        <v>2</v>
      </c>
      <c r="L2873" s="112">
        <v>1</v>
      </c>
    </row>
    <row r="2874" spans="1:15" x14ac:dyDescent="0.2">
      <c r="A2874" s="111">
        <v>2979</v>
      </c>
      <c r="B2874" s="421" t="s">
        <v>5002</v>
      </c>
      <c r="C2874" s="421" t="s">
        <v>502</v>
      </c>
      <c r="D2874" s="422" t="s">
        <v>663</v>
      </c>
      <c r="E2874" s="111">
        <v>15659</v>
      </c>
      <c r="F2874" s="421" t="s">
        <v>5079</v>
      </c>
      <c r="G2874" s="112">
        <v>1</v>
      </c>
      <c r="H2874" s="112">
        <v>1</v>
      </c>
      <c r="I2874" s="112">
        <v>1</v>
      </c>
      <c r="K2874" s="112">
        <v>1</v>
      </c>
      <c r="L2874" s="112">
        <v>1</v>
      </c>
    </row>
    <row r="2875" spans="1:15" x14ac:dyDescent="0.2">
      <c r="A2875" s="111">
        <v>2980</v>
      </c>
      <c r="B2875" s="421" t="s">
        <v>4189</v>
      </c>
      <c r="C2875" s="421" t="s">
        <v>502</v>
      </c>
      <c r="D2875" s="422" t="s">
        <v>666</v>
      </c>
      <c r="E2875" s="111">
        <v>15659</v>
      </c>
      <c r="F2875" s="421" t="s">
        <v>5079</v>
      </c>
    </row>
    <row r="2876" spans="1:15" x14ac:dyDescent="0.2">
      <c r="A2876" s="111">
        <v>2981</v>
      </c>
      <c r="B2876" s="421" t="s">
        <v>1538</v>
      </c>
      <c r="C2876" s="421" t="s">
        <v>503</v>
      </c>
      <c r="D2876" s="422" t="s">
        <v>663</v>
      </c>
      <c r="E2876" s="111">
        <v>15658</v>
      </c>
      <c r="F2876" s="421" t="s">
        <v>5001</v>
      </c>
    </row>
    <row r="2877" spans="1:15" x14ac:dyDescent="0.2">
      <c r="A2877" s="111">
        <v>2982</v>
      </c>
      <c r="B2877" s="421" t="s">
        <v>101</v>
      </c>
      <c r="C2877" s="421" t="s">
        <v>526</v>
      </c>
      <c r="D2877" s="422" t="s">
        <v>663</v>
      </c>
      <c r="E2877" s="111">
        <v>15709</v>
      </c>
      <c r="F2877" s="421" t="s">
        <v>5003</v>
      </c>
      <c r="G2877" s="112">
        <v>1</v>
      </c>
      <c r="H2877" s="112">
        <v>1</v>
      </c>
      <c r="I2877" s="112">
        <v>1</v>
      </c>
      <c r="J2877" s="112">
        <v>1</v>
      </c>
      <c r="K2877" s="112">
        <v>1</v>
      </c>
    </row>
    <row r="2878" spans="1:15" x14ac:dyDescent="0.2">
      <c r="A2878" s="111">
        <v>2983</v>
      </c>
      <c r="B2878" s="421" t="s">
        <v>38</v>
      </c>
      <c r="C2878" s="421" t="s">
        <v>523</v>
      </c>
      <c r="D2878" s="422" t="s">
        <v>663</v>
      </c>
      <c r="E2878" s="111">
        <v>15660</v>
      </c>
      <c r="F2878" s="421" t="s">
        <v>5004</v>
      </c>
      <c r="G2878" s="112">
        <v>1</v>
      </c>
      <c r="H2878" s="112">
        <v>1</v>
      </c>
      <c r="I2878" s="112">
        <v>1</v>
      </c>
      <c r="J2878" s="112">
        <v>2</v>
      </c>
      <c r="K2878" s="112">
        <v>3</v>
      </c>
      <c r="L2878" s="112">
        <v>2</v>
      </c>
      <c r="M2878" s="112">
        <v>7</v>
      </c>
      <c r="N2878" s="112">
        <v>7</v>
      </c>
      <c r="O2878" s="112">
        <v>7</v>
      </c>
    </row>
    <row r="2879" spans="1:15" x14ac:dyDescent="0.2">
      <c r="A2879" s="111">
        <v>2984</v>
      </c>
      <c r="B2879" s="421" t="s">
        <v>1423</v>
      </c>
      <c r="C2879" s="421" t="s">
        <v>503</v>
      </c>
      <c r="D2879" s="422" t="s">
        <v>663</v>
      </c>
      <c r="E2879" s="111">
        <v>15663</v>
      </c>
      <c r="F2879" s="421" t="s">
        <v>5005</v>
      </c>
      <c r="G2879" s="112">
        <v>1</v>
      </c>
      <c r="H2879" s="112">
        <v>1</v>
      </c>
      <c r="I2879" s="112">
        <v>1</v>
      </c>
      <c r="J2879" s="112">
        <v>7</v>
      </c>
      <c r="K2879" s="112">
        <v>5</v>
      </c>
      <c r="L2879" s="112">
        <v>5</v>
      </c>
      <c r="M2879" s="112">
        <v>5</v>
      </c>
      <c r="N2879" s="112">
        <v>5</v>
      </c>
      <c r="O2879" s="112">
        <v>1</v>
      </c>
    </row>
    <row r="2880" spans="1:15" x14ac:dyDescent="0.2">
      <c r="A2880" s="111">
        <v>2985</v>
      </c>
      <c r="B2880" s="421" t="s">
        <v>2473</v>
      </c>
      <c r="C2880" s="421" t="s">
        <v>502</v>
      </c>
      <c r="D2880" s="422" t="s">
        <v>666</v>
      </c>
      <c r="E2880" s="111">
        <v>15664</v>
      </c>
      <c r="F2880" s="421" t="s">
        <v>837</v>
      </c>
    </row>
    <row r="2881" spans="1:15" x14ac:dyDescent="0.2">
      <c r="A2881" s="111">
        <v>2986</v>
      </c>
      <c r="B2881" s="421" t="s">
        <v>5006</v>
      </c>
      <c r="C2881" s="421" t="s">
        <v>544</v>
      </c>
      <c r="D2881" s="422" t="s">
        <v>666</v>
      </c>
      <c r="E2881" s="111">
        <v>15665</v>
      </c>
      <c r="F2881" s="421" t="s">
        <v>5007</v>
      </c>
      <c r="G2881" s="112">
        <v>1</v>
      </c>
      <c r="H2881" s="112">
        <v>1</v>
      </c>
      <c r="I2881" s="112">
        <v>1</v>
      </c>
      <c r="J2881" s="112">
        <v>5</v>
      </c>
      <c r="K2881" s="112">
        <v>5</v>
      </c>
      <c r="L2881" s="112">
        <v>3</v>
      </c>
      <c r="M2881" s="112">
        <v>7</v>
      </c>
      <c r="N2881" s="112">
        <v>2</v>
      </c>
      <c r="O2881" s="112">
        <v>5</v>
      </c>
    </row>
    <row r="2882" spans="1:15" x14ac:dyDescent="0.2">
      <c r="A2882" s="111">
        <v>2987</v>
      </c>
      <c r="B2882" s="421" t="s">
        <v>5008</v>
      </c>
      <c r="C2882" s="421" t="s">
        <v>516</v>
      </c>
      <c r="D2882" s="422" t="s">
        <v>666</v>
      </c>
      <c r="E2882" s="111">
        <v>149</v>
      </c>
      <c r="F2882" s="421" t="s">
        <v>759</v>
      </c>
      <c r="G2882" s="112">
        <v>1</v>
      </c>
      <c r="H2882" s="112">
        <v>1</v>
      </c>
      <c r="I2882" s="112">
        <v>1</v>
      </c>
      <c r="J2882" s="112">
        <v>7</v>
      </c>
      <c r="K2882" s="112">
        <v>7</v>
      </c>
      <c r="L2882" s="112">
        <v>7</v>
      </c>
      <c r="M2882" s="112">
        <v>4</v>
      </c>
      <c r="N2882" s="112">
        <v>3</v>
      </c>
      <c r="O2882" s="112">
        <v>2</v>
      </c>
    </row>
    <row r="2883" spans="1:15" x14ac:dyDescent="0.2">
      <c r="A2883" s="111">
        <v>2988</v>
      </c>
      <c r="B2883" s="421" t="s">
        <v>172</v>
      </c>
      <c r="C2883" s="421" t="s">
        <v>546</v>
      </c>
      <c r="D2883" s="422" t="s">
        <v>663</v>
      </c>
      <c r="E2883" s="111">
        <v>15790</v>
      </c>
      <c r="F2883" s="421" t="s">
        <v>5009</v>
      </c>
      <c r="G2883" s="112">
        <v>1</v>
      </c>
      <c r="H2883" s="112">
        <v>1</v>
      </c>
      <c r="I2883" s="112">
        <v>1</v>
      </c>
      <c r="J2883" s="112">
        <v>2</v>
      </c>
      <c r="K2883" s="112">
        <v>2</v>
      </c>
      <c r="L2883" s="112">
        <v>1</v>
      </c>
    </row>
    <row r="2884" spans="1:15" x14ac:dyDescent="0.2">
      <c r="A2884" s="111">
        <v>2989</v>
      </c>
      <c r="B2884" s="421" t="s">
        <v>5010</v>
      </c>
      <c r="C2884" s="421" t="s">
        <v>5497</v>
      </c>
      <c r="D2884" s="422" t="s">
        <v>663</v>
      </c>
      <c r="E2884" s="111">
        <v>15790</v>
      </c>
      <c r="F2884" s="421" t="s">
        <v>5009</v>
      </c>
      <c r="G2884" s="112">
        <v>1</v>
      </c>
      <c r="H2884" s="112">
        <v>1</v>
      </c>
      <c r="I2884" s="112">
        <v>1</v>
      </c>
      <c r="J2884" s="112">
        <v>3</v>
      </c>
      <c r="K2884" s="112">
        <v>4</v>
      </c>
      <c r="L2884" s="112">
        <v>4</v>
      </c>
      <c r="M2884" s="112">
        <v>4</v>
      </c>
      <c r="N2884" s="112">
        <v>2</v>
      </c>
      <c r="O2884" s="112">
        <v>2</v>
      </c>
    </row>
    <row r="2885" spans="1:15" x14ac:dyDescent="0.2">
      <c r="A2885" s="111">
        <v>2990</v>
      </c>
      <c r="B2885" s="421" t="s">
        <v>2575</v>
      </c>
      <c r="C2885" s="421" t="s">
        <v>551</v>
      </c>
      <c r="D2885" s="422" t="s">
        <v>666</v>
      </c>
      <c r="E2885" s="111">
        <v>14790</v>
      </c>
      <c r="F2885" s="421" t="s">
        <v>2344</v>
      </c>
      <c r="G2885" s="112">
        <v>2</v>
      </c>
      <c r="H2885" s="112">
        <v>2</v>
      </c>
      <c r="I2885" s="112">
        <v>2</v>
      </c>
      <c r="J2885" s="112">
        <v>2</v>
      </c>
      <c r="K2885" s="112">
        <v>1</v>
      </c>
      <c r="L2885" s="112">
        <v>1</v>
      </c>
    </row>
    <row r="2886" spans="1:15" x14ac:dyDescent="0.2">
      <c r="A2886" s="111">
        <v>2991</v>
      </c>
      <c r="B2886" s="421" t="s">
        <v>5011</v>
      </c>
      <c r="C2886" s="421" t="s">
        <v>543</v>
      </c>
      <c r="D2886" s="422" t="s">
        <v>663</v>
      </c>
      <c r="E2886" s="111">
        <v>14914</v>
      </c>
      <c r="F2886" s="421" t="s">
        <v>1998</v>
      </c>
      <c r="G2886" s="112">
        <v>1</v>
      </c>
      <c r="H2886" s="112">
        <v>1</v>
      </c>
      <c r="I2886" s="112">
        <v>1</v>
      </c>
    </row>
    <row r="2887" spans="1:15" x14ac:dyDescent="0.2">
      <c r="A2887" s="111">
        <v>2992</v>
      </c>
      <c r="B2887" s="421" t="s">
        <v>5012</v>
      </c>
      <c r="C2887" s="421" t="s">
        <v>543</v>
      </c>
      <c r="D2887" s="422" t="s">
        <v>663</v>
      </c>
      <c r="E2887" s="111">
        <v>14914</v>
      </c>
      <c r="F2887" s="421" t="s">
        <v>1998</v>
      </c>
      <c r="G2887" s="112">
        <v>1</v>
      </c>
      <c r="H2887" s="112">
        <v>1</v>
      </c>
      <c r="I2887" s="112">
        <v>1</v>
      </c>
    </row>
    <row r="2888" spans="1:15" x14ac:dyDescent="0.2">
      <c r="A2888" s="111">
        <v>2993</v>
      </c>
      <c r="B2888" s="421" t="s">
        <v>5013</v>
      </c>
      <c r="C2888" s="421" t="s">
        <v>543</v>
      </c>
      <c r="D2888" s="422" t="s">
        <v>666</v>
      </c>
      <c r="E2888" s="111">
        <v>14914</v>
      </c>
      <c r="F2888" s="421" t="s">
        <v>1998</v>
      </c>
      <c r="G2888" s="112">
        <v>1</v>
      </c>
      <c r="H2888" s="112">
        <v>1</v>
      </c>
      <c r="I2888" s="112">
        <v>1</v>
      </c>
    </row>
    <row r="2889" spans="1:15" x14ac:dyDescent="0.2">
      <c r="A2889" s="111">
        <v>2994</v>
      </c>
      <c r="B2889" s="421" t="s">
        <v>5014</v>
      </c>
      <c r="C2889" s="421" t="s">
        <v>510</v>
      </c>
      <c r="D2889" s="422" t="s">
        <v>663</v>
      </c>
      <c r="E2889" s="111">
        <v>15666</v>
      </c>
      <c r="F2889" s="421" t="s">
        <v>5015</v>
      </c>
      <c r="G2889" s="112">
        <v>2</v>
      </c>
      <c r="H2889" s="112">
        <v>2</v>
      </c>
      <c r="I2889" s="112">
        <v>1</v>
      </c>
      <c r="J2889" s="112">
        <v>5</v>
      </c>
      <c r="K2889" s="112">
        <v>4</v>
      </c>
      <c r="L2889" s="112">
        <v>3</v>
      </c>
      <c r="M2889" s="112">
        <v>6</v>
      </c>
      <c r="N2889" s="112">
        <v>4</v>
      </c>
      <c r="O2889" s="112">
        <v>4</v>
      </c>
    </row>
    <row r="2890" spans="1:15" x14ac:dyDescent="0.2">
      <c r="A2890" s="111">
        <v>2995</v>
      </c>
      <c r="B2890" s="421" t="s">
        <v>5016</v>
      </c>
      <c r="C2890" s="421" t="s">
        <v>591</v>
      </c>
      <c r="D2890" s="422" t="s">
        <v>666</v>
      </c>
      <c r="E2890" s="111">
        <v>15294</v>
      </c>
      <c r="F2890" s="421" t="s">
        <v>1703</v>
      </c>
      <c r="G2890" s="112">
        <v>1</v>
      </c>
      <c r="H2890" s="112">
        <v>1</v>
      </c>
      <c r="I2890" s="112">
        <v>1</v>
      </c>
      <c r="J2890" s="112">
        <v>11</v>
      </c>
      <c r="K2890" s="112">
        <v>11</v>
      </c>
      <c r="L2890" s="112">
        <v>13</v>
      </c>
      <c r="M2890" s="112">
        <v>13</v>
      </c>
      <c r="N2890" s="112">
        <v>10</v>
      </c>
      <c r="O2890" s="112">
        <v>11</v>
      </c>
    </row>
    <row r="2891" spans="1:15" x14ac:dyDescent="0.2">
      <c r="A2891" s="111">
        <v>2996</v>
      </c>
      <c r="B2891" s="421" t="s">
        <v>1543</v>
      </c>
      <c r="C2891" s="421" t="s">
        <v>513</v>
      </c>
      <c r="D2891" s="422" t="s">
        <v>663</v>
      </c>
      <c r="E2891" s="111">
        <v>15667</v>
      </c>
      <c r="F2891" s="421" t="s">
        <v>5017</v>
      </c>
      <c r="G2891" s="112">
        <v>1</v>
      </c>
      <c r="H2891" s="112">
        <v>1</v>
      </c>
      <c r="I2891" s="112">
        <v>1</v>
      </c>
      <c r="J2891" s="112">
        <v>13</v>
      </c>
      <c r="K2891" s="112">
        <v>11</v>
      </c>
      <c r="L2891" s="112">
        <v>11</v>
      </c>
      <c r="M2891" s="112">
        <v>3</v>
      </c>
      <c r="N2891" s="112">
        <v>3</v>
      </c>
      <c r="O2891" s="112">
        <v>3</v>
      </c>
    </row>
    <row r="2892" spans="1:15" x14ac:dyDescent="0.2">
      <c r="A2892" s="111">
        <v>2997</v>
      </c>
      <c r="B2892" s="421" t="s">
        <v>5018</v>
      </c>
      <c r="C2892" s="421" t="s">
        <v>506</v>
      </c>
      <c r="D2892" s="422" t="s">
        <v>663</v>
      </c>
      <c r="E2892" s="111">
        <v>14841</v>
      </c>
      <c r="F2892" s="421" t="s">
        <v>2302</v>
      </c>
    </row>
    <row r="2893" spans="1:15" x14ac:dyDescent="0.2">
      <c r="A2893" s="111">
        <v>2998</v>
      </c>
      <c r="B2893" s="421" t="s">
        <v>5019</v>
      </c>
      <c r="C2893" s="421" t="s">
        <v>513</v>
      </c>
      <c r="D2893" s="422" t="s">
        <v>663</v>
      </c>
      <c r="E2893" s="111">
        <v>15668</v>
      </c>
      <c r="F2893" s="421" t="s">
        <v>5020</v>
      </c>
      <c r="G2893" s="112">
        <v>1</v>
      </c>
      <c r="H2893" s="112">
        <v>1</v>
      </c>
      <c r="I2893" s="112">
        <v>1</v>
      </c>
      <c r="J2893" s="112">
        <v>1</v>
      </c>
      <c r="K2893" s="112">
        <v>1</v>
      </c>
    </row>
    <row r="2894" spans="1:15" x14ac:dyDescent="0.2">
      <c r="A2894" s="111">
        <v>2999</v>
      </c>
      <c r="B2894" s="421" t="s">
        <v>5021</v>
      </c>
      <c r="C2894" s="421" t="s">
        <v>536</v>
      </c>
      <c r="D2894" s="422" t="s">
        <v>666</v>
      </c>
      <c r="E2894" s="111">
        <v>15669</v>
      </c>
      <c r="F2894" s="421" t="s">
        <v>5022</v>
      </c>
      <c r="G2894" s="112">
        <v>2</v>
      </c>
      <c r="H2894" s="112">
        <v>1</v>
      </c>
      <c r="I2894" s="112">
        <v>2</v>
      </c>
    </row>
    <row r="2895" spans="1:15" x14ac:dyDescent="0.2">
      <c r="A2895" s="111">
        <v>3000</v>
      </c>
      <c r="B2895" s="421" t="s">
        <v>5023</v>
      </c>
      <c r="C2895" s="421" t="s">
        <v>581</v>
      </c>
      <c r="D2895" s="422" t="s">
        <v>666</v>
      </c>
      <c r="E2895" s="111">
        <v>15532</v>
      </c>
      <c r="F2895" s="421" t="s">
        <v>4670</v>
      </c>
      <c r="G2895" s="112">
        <v>1</v>
      </c>
      <c r="H2895" s="112">
        <v>1</v>
      </c>
      <c r="I2895" s="112">
        <v>1</v>
      </c>
      <c r="J2895" s="112">
        <v>3</v>
      </c>
      <c r="K2895" s="112">
        <v>3</v>
      </c>
      <c r="L2895" s="112">
        <v>2</v>
      </c>
    </row>
    <row r="2896" spans="1:15" x14ac:dyDescent="0.2">
      <c r="A2896" s="111">
        <v>3001</v>
      </c>
      <c r="B2896" s="421" t="s">
        <v>5024</v>
      </c>
      <c r="C2896" s="421" t="s">
        <v>581</v>
      </c>
      <c r="D2896" s="422" t="s">
        <v>663</v>
      </c>
      <c r="E2896" s="111">
        <v>15532</v>
      </c>
      <c r="F2896" s="421" t="s">
        <v>4670</v>
      </c>
      <c r="G2896" s="112">
        <v>1</v>
      </c>
      <c r="H2896" s="112">
        <v>1</v>
      </c>
      <c r="I2896" s="112">
        <v>1</v>
      </c>
      <c r="J2896" s="112">
        <v>2</v>
      </c>
      <c r="K2896" s="112">
        <v>2</v>
      </c>
      <c r="L2896" s="112">
        <v>1</v>
      </c>
      <c r="M2896" s="112">
        <v>1</v>
      </c>
      <c r="N2896" s="112">
        <v>1</v>
      </c>
    </row>
    <row r="2897" spans="1:15" x14ac:dyDescent="0.2">
      <c r="A2897" s="111">
        <v>3002</v>
      </c>
      <c r="B2897" s="421" t="s">
        <v>52</v>
      </c>
      <c r="C2897" s="421" t="s">
        <v>586</v>
      </c>
      <c r="D2897" s="422" t="s">
        <v>663</v>
      </c>
      <c r="E2897" s="111">
        <v>15671</v>
      </c>
      <c r="F2897" s="421" t="s">
        <v>5025</v>
      </c>
      <c r="G2897" s="112">
        <v>1</v>
      </c>
      <c r="H2897" s="112">
        <v>1</v>
      </c>
      <c r="I2897" s="112">
        <v>1</v>
      </c>
      <c r="J2897" s="112">
        <v>1</v>
      </c>
      <c r="K2897" s="112">
        <v>1</v>
      </c>
    </row>
    <row r="2898" spans="1:15" x14ac:dyDescent="0.2">
      <c r="A2898" s="111">
        <v>3003</v>
      </c>
      <c r="B2898" s="421" t="s">
        <v>5033</v>
      </c>
      <c r="C2898" s="421" t="s">
        <v>591</v>
      </c>
      <c r="D2898" s="422" t="s">
        <v>666</v>
      </c>
      <c r="E2898" s="111">
        <v>15672</v>
      </c>
      <c r="F2898" s="421" t="s">
        <v>5034</v>
      </c>
      <c r="G2898" s="112">
        <v>1</v>
      </c>
    </row>
    <row r="2899" spans="1:15" x14ac:dyDescent="0.2">
      <c r="A2899" s="111">
        <v>3004</v>
      </c>
      <c r="B2899" s="421" t="s">
        <v>5035</v>
      </c>
      <c r="C2899" s="421" t="s">
        <v>570</v>
      </c>
      <c r="D2899" s="422" t="s">
        <v>666</v>
      </c>
      <c r="E2899" s="111">
        <v>15674</v>
      </c>
      <c r="F2899" s="421" t="s">
        <v>5036</v>
      </c>
      <c r="G2899" s="112">
        <v>1</v>
      </c>
      <c r="H2899" s="112">
        <v>1</v>
      </c>
      <c r="I2899" s="112">
        <v>1</v>
      </c>
      <c r="J2899" s="112">
        <v>8</v>
      </c>
      <c r="K2899" s="112">
        <v>8</v>
      </c>
      <c r="L2899" s="112">
        <v>7</v>
      </c>
      <c r="M2899" s="112">
        <v>4</v>
      </c>
      <c r="N2899" s="112">
        <v>3</v>
      </c>
      <c r="O2899" s="112">
        <v>3</v>
      </c>
    </row>
    <row r="2900" spans="1:15" x14ac:dyDescent="0.2">
      <c r="A2900" s="111">
        <v>3005</v>
      </c>
      <c r="B2900" s="421" t="s">
        <v>1543</v>
      </c>
      <c r="C2900" s="421" t="s">
        <v>501</v>
      </c>
      <c r="D2900" s="422" t="s">
        <v>663</v>
      </c>
      <c r="E2900" s="111">
        <v>14874</v>
      </c>
      <c r="F2900" s="421" t="s">
        <v>2586</v>
      </c>
      <c r="G2900" s="112">
        <v>1</v>
      </c>
      <c r="H2900" s="112">
        <v>1</v>
      </c>
      <c r="I2900" s="112">
        <v>1</v>
      </c>
      <c r="J2900" s="112">
        <v>8</v>
      </c>
      <c r="K2900" s="112">
        <v>8</v>
      </c>
      <c r="L2900" s="112">
        <v>8</v>
      </c>
      <c r="M2900" s="112">
        <v>20</v>
      </c>
      <c r="N2900" s="112">
        <v>14</v>
      </c>
      <c r="O2900" s="112">
        <v>17</v>
      </c>
    </row>
    <row r="2901" spans="1:15" x14ac:dyDescent="0.2">
      <c r="A2901" s="111">
        <v>3006</v>
      </c>
      <c r="B2901" s="421" t="s">
        <v>5037</v>
      </c>
      <c r="C2901" s="421" t="s">
        <v>530</v>
      </c>
      <c r="D2901" s="422" t="s">
        <v>663</v>
      </c>
      <c r="F2901" s="421" t="s">
        <v>5038</v>
      </c>
      <c r="H2901" s="112">
        <v>1</v>
      </c>
    </row>
    <row r="2902" spans="1:15" x14ac:dyDescent="0.2">
      <c r="A2902" s="111">
        <v>3007</v>
      </c>
      <c r="B2902" s="421" t="s">
        <v>5039</v>
      </c>
      <c r="C2902" s="421" t="s">
        <v>513</v>
      </c>
      <c r="D2902" s="422" t="s">
        <v>663</v>
      </c>
      <c r="E2902" s="111">
        <v>15804</v>
      </c>
      <c r="F2902" s="421" t="s">
        <v>4146</v>
      </c>
      <c r="G2902" s="112">
        <v>1</v>
      </c>
      <c r="H2902" s="112">
        <v>1</v>
      </c>
      <c r="I2902" s="112">
        <v>1</v>
      </c>
      <c r="J2902" s="112">
        <v>1</v>
      </c>
      <c r="K2902" s="112">
        <v>1</v>
      </c>
      <c r="L2902" s="112">
        <v>1</v>
      </c>
      <c r="M2902" s="112">
        <v>1</v>
      </c>
    </row>
    <row r="2903" spans="1:15" x14ac:dyDescent="0.2">
      <c r="A2903" s="111">
        <v>3008</v>
      </c>
      <c r="B2903" s="421" t="s">
        <v>5040</v>
      </c>
      <c r="C2903" s="421" t="s">
        <v>503</v>
      </c>
      <c r="D2903" s="422" t="s">
        <v>663</v>
      </c>
      <c r="E2903" s="111">
        <v>1417</v>
      </c>
      <c r="F2903" s="421" t="s">
        <v>768</v>
      </c>
      <c r="G2903" s="112">
        <v>1</v>
      </c>
      <c r="H2903" s="112">
        <v>1</v>
      </c>
      <c r="I2903" s="112">
        <v>1</v>
      </c>
    </row>
    <row r="2904" spans="1:15" x14ac:dyDescent="0.2">
      <c r="A2904" s="111">
        <v>3009</v>
      </c>
      <c r="B2904" s="421" t="s">
        <v>5041</v>
      </c>
      <c r="C2904" s="421" t="s">
        <v>512</v>
      </c>
      <c r="D2904" s="422" t="s">
        <v>663</v>
      </c>
      <c r="E2904" s="111">
        <v>15639</v>
      </c>
      <c r="F2904" s="421" t="s">
        <v>4930</v>
      </c>
      <c r="G2904" s="112">
        <v>2</v>
      </c>
      <c r="H2904" s="112">
        <v>4</v>
      </c>
      <c r="I2904" s="112">
        <v>2</v>
      </c>
      <c r="J2904" s="112">
        <v>3</v>
      </c>
      <c r="K2904" s="112">
        <v>2</v>
      </c>
      <c r="L2904" s="112">
        <v>4</v>
      </c>
      <c r="M2904" s="112">
        <v>2</v>
      </c>
      <c r="N2904" s="112">
        <v>1</v>
      </c>
    </row>
    <row r="2905" spans="1:15" x14ac:dyDescent="0.2">
      <c r="A2905" s="111">
        <v>3010</v>
      </c>
      <c r="B2905" s="421" t="s">
        <v>3134</v>
      </c>
      <c r="C2905" s="421" t="s">
        <v>3384</v>
      </c>
      <c r="D2905" s="422" t="s">
        <v>666</v>
      </c>
      <c r="F2905" s="421" t="s">
        <v>5042</v>
      </c>
      <c r="H2905" s="112">
        <v>1</v>
      </c>
    </row>
    <row r="2906" spans="1:15" x14ac:dyDescent="0.2">
      <c r="A2906" s="111">
        <v>3011</v>
      </c>
      <c r="B2906" s="421" t="s">
        <v>5043</v>
      </c>
      <c r="C2906" s="421" t="s">
        <v>516</v>
      </c>
      <c r="D2906" s="422" t="s">
        <v>666</v>
      </c>
      <c r="F2906" s="421" t="s">
        <v>5044</v>
      </c>
      <c r="G2906" s="112">
        <v>1</v>
      </c>
    </row>
    <row r="2907" spans="1:15" x14ac:dyDescent="0.2">
      <c r="A2907" s="111">
        <v>3012</v>
      </c>
      <c r="B2907" s="421" t="s">
        <v>146</v>
      </c>
      <c r="C2907" s="421" t="s">
        <v>525</v>
      </c>
      <c r="D2907" s="422" t="s">
        <v>663</v>
      </c>
      <c r="E2907" s="111">
        <v>15675</v>
      </c>
      <c r="F2907" s="421" t="s">
        <v>5045</v>
      </c>
    </row>
    <row r="2908" spans="1:15" x14ac:dyDescent="0.2">
      <c r="A2908" s="111">
        <v>3013</v>
      </c>
      <c r="B2908" s="421" t="s">
        <v>5046</v>
      </c>
      <c r="C2908" s="421" t="s">
        <v>537</v>
      </c>
      <c r="D2908" s="422" t="s">
        <v>663</v>
      </c>
      <c r="E2908" s="111">
        <v>15739</v>
      </c>
      <c r="F2908" s="421" t="s">
        <v>5047</v>
      </c>
      <c r="G2908" s="112">
        <v>1</v>
      </c>
      <c r="I2908" s="112">
        <v>1</v>
      </c>
    </row>
    <row r="2909" spans="1:15" x14ac:dyDescent="0.2">
      <c r="A2909" s="111">
        <v>3014</v>
      </c>
      <c r="B2909" s="421" t="s">
        <v>390</v>
      </c>
      <c r="C2909" s="421" t="s">
        <v>516</v>
      </c>
      <c r="D2909" s="422" t="s">
        <v>666</v>
      </c>
      <c r="E2909" s="111">
        <v>15739</v>
      </c>
      <c r="F2909" s="421" t="s">
        <v>5047</v>
      </c>
      <c r="G2909" s="112">
        <v>1</v>
      </c>
      <c r="H2909" s="112">
        <v>1</v>
      </c>
      <c r="I2909" s="112">
        <v>1</v>
      </c>
    </row>
    <row r="2910" spans="1:15" x14ac:dyDescent="0.2">
      <c r="A2910" s="111">
        <v>3015</v>
      </c>
      <c r="B2910" s="421" t="s">
        <v>5048</v>
      </c>
      <c r="C2910" s="421" t="s">
        <v>545</v>
      </c>
      <c r="D2910" s="422" t="s">
        <v>663</v>
      </c>
      <c r="F2910" s="421" t="s">
        <v>5049</v>
      </c>
      <c r="G2910" s="112">
        <v>1</v>
      </c>
      <c r="H2910" s="112">
        <v>1</v>
      </c>
      <c r="I2910" s="112">
        <v>1</v>
      </c>
      <c r="J2910" s="112">
        <v>2</v>
      </c>
      <c r="K2910" s="112">
        <v>2</v>
      </c>
      <c r="L2910" s="112">
        <v>2</v>
      </c>
    </row>
    <row r="2911" spans="1:15" x14ac:dyDescent="0.2">
      <c r="A2911" s="111">
        <v>3016</v>
      </c>
      <c r="B2911" s="421" t="s">
        <v>2011</v>
      </c>
      <c r="C2911" s="421" t="s">
        <v>3387</v>
      </c>
      <c r="D2911" s="422" t="s">
        <v>666</v>
      </c>
      <c r="E2911" s="111">
        <v>15361</v>
      </c>
      <c r="F2911" s="421" t="s">
        <v>3901</v>
      </c>
      <c r="G2911" s="112">
        <v>1</v>
      </c>
      <c r="H2911" s="112">
        <v>1</v>
      </c>
      <c r="I2911" s="112">
        <v>1</v>
      </c>
      <c r="J2911" s="112">
        <v>5</v>
      </c>
      <c r="K2911" s="112">
        <v>5</v>
      </c>
      <c r="L2911" s="112">
        <v>5</v>
      </c>
      <c r="M2911" s="112">
        <v>5</v>
      </c>
      <c r="N2911" s="112">
        <v>6</v>
      </c>
      <c r="O2911" s="112">
        <v>5</v>
      </c>
    </row>
    <row r="2912" spans="1:15" x14ac:dyDescent="0.2">
      <c r="A2912" s="111">
        <v>3017</v>
      </c>
      <c r="B2912" s="421" t="s">
        <v>1189</v>
      </c>
      <c r="C2912" s="421" t="s">
        <v>503</v>
      </c>
      <c r="D2912" s="422" t="s">
        <v>666</v>
      </c>
      <c r="E2912" s="111">
        <v>15677</v>
      </c>
      <c r="F2912" s="421" t="s">
        <v>5050</v>
      </c>
      <c r="G2912" s="112">
        <v>1</v>
      </c>
      <c r="H2912" s="112">
        <v>1</v>
      </c>
      <c r="I2912" s="112">
        <v>1</v>
      </c>
    </row>
    <row r="2913" spans="1:15" x14ac:dyDescent="0.2">
      <c r="A2913" s="111">
        <v>3018</v>
      </c>
      <c r="B2913" s="421" t="s">
        <v>5051</v>
      </c>
      <c r="C2913" s="421" t="s">
        <v>521</v>
      </c>
      <c r="D2913" s="422" t="s">
        <v>663</v>
      </c>
      <c r="E2913" s="111">
        <v>15679</v>
      </c>
      <c r="F2913" s="421" t="s">
        <v>5052</v>
      </c>
    </row>
    <row r="2914" spans="1:15" x14ac:dyDescent="0.2">
      <c r="A2914" s="111">
        <v>3019</v>
      </c>
      <c r="B2914" s="421" t="s">
        <v>5053</v>
      </c>
      <c r="C2914" s="421" t="s">
        <v>574</v>
      </c>
      <c r="D2914" s="422" t="s">
        <v>663</v>
      </c>
      <c r="E2914" s="111">
        <v>15681</v>
      </c>
      <c r="F2914" s="421" t="s">
        <v>5054</v>
      </c>
      <c r="G2914" s="112">
        <v>1</v>
      </c>
      <c r="H2914" s="112">
        <v>1</v>
      </c>
      <c r="I2914" s="112">
        <v>1</v>
      </c>
      <c r="J2914" s="112">
        <v>1</v>
      </c>
      <c r="K2914" s="112">
        <v>1</v>
      </c>
      <c r="L2914" s="112">
        <v>1</v>
      </c>
    </row>
    <row r="2915" spans="1:15" x14ac:dyDescent="0.2">
      <c r="A2915" s="111">
        <v>3020</v>
      </c>
      <c r="B2915" s="421" t="s">
        <v>3890</v>
      </c>
      <c r="C2915" s="421" t="s">
        <v>583</v>
      </c>
      <c r="D2915" s="422" t="s">
        <v>666</v>
      </c>
      <c r="E2915" s="111">
        <v>15680</v>
      </c>
      <c r="F2915" s="421" t="s">
        <v>5055</v>
      </c>
      <c r="G2915" s="112">
        <v>1</v>
      </c>
      <c r="H2915" s="112">
        <v>1</v>
      </c>
      <c r="I2915" s="112">
        <v>1</v>
      </c>
    </row>
    <row r="2916" spans="1:15" x14ac:dyDescent="0.2">
      <c r="A2916" s="111">
        <v>3021</v>
      </c>
      <c r="B2916" s="421" t="s">
        <v>5056</v>
      </c>
      <c r="C2916" s="421" t="s">
        <v>573</v>
      </c>
      <c r="D2916" s="422" t="s">
        <v>663</v>
      </c>
      <c r="E2916" s="111">
        <v>14772</v>
      </c>
      <c r="F2916" s="421" t="s">
        <v>2283</v>
      </c>
      <c r="G2916" s="112">
        <v>1</v>
      </c>
      <c r="H2916" s="112">
        <v>1</v>
      </c>
      <c r="I2916" s="112">
        <v>1</v>
      </c>
      <c r="J2916" s="112">
        <v>10</v>
      </c>
      <c r="K2916" s="112">
        <v>13</v>
      </c>
      <c r="L2916" s="112">
        <v>11</v>
      </c>
      <c r="M2916" s="112">
        <v>10</v>
      </c>
      <c r="N2916" s="112">
        <v>4</v>
      </c>
      <c r="O2916" s="112">
        <v>10</v>
      </c>
    </row>
    <row r="2917" spans="1:15" x14ac:dyDescent="0.2">
      <c r="A2917" s="111">
        <v>3022</v>
      </c>
      <c r="B2917" s="421" t="s">
        <v>2575</v>
      </c>
      <c r="C2917" s="421" t="s">
        <v>513</v>
      </c>
      <c r="D2917" s="422" t="s">
        <v>666</v>
      </c>
      <c r="E2917" s="111">
        <v>15241</v>
      </c>
      <c r="F2917" s="421" t="s">
        <v>3473</v>
      </c>
      <c r="G2917" s="112">
        <v>1</v>
      </c>
      <c r="H2917" s="112">
        <v>1</v>
      </c>
      <c r="I2917" s="112">
        <v>1</v>
      </c>
      <c r="J2917" s="112">
        <v>5</v>
      </c>
      <c r="K2917" s="112">
        <v>7</v>
      </c>
      <c r="L2917" s="112">
        <v>6</v>
      </c>
      <c r="M2917" s="112">
        <v>7</v>
      </c>
      <c r="N2917" s="112">
        <v>3</v>
      </c>
      <c r="O2917" s="112">
        <v>3</v>
      </c>
    </row>
    <row r="2918" spans="1:15" x14ac:dyDescent="0.2">
      <c r="A2918" s="111">
        <v>3023</v>
      </c>
      <c r="B2918" s="421" t="s">
        <v>5057</v>
      </c>
      <c r="C2918" s="421" t="s">
        <v>502</v>
      </c>
      <c r="D2918" s="422" t="s">
        <v>663</v>
      </c>
      <c r="E2918" s="111">
        <v>1416</v>
      </c>
      <c r="F2918" s="421" t="s">
        <v>4071</v>
      </c>
      <c r="G2918" s="112">
        <v>1</v>
      </c>
      <c r="H2918" s="112">
        <v>1</v>
      </c>
      <c r="I2918" s="112">
        <v>1</v>
      </c>
      <c r="J2918" s="112">
        <v>10</v>
      </c>
      <c r="K2918" s="112">
        <v>10</v>
      </c>
      <c r="L2918" s="112">
        <v>9</v>
      </c>
      <c r="M2918" s="112">
        <v>4</v>
      </c>
      <c r="N2918" s="112">
        <v>4</v>
      </c>
      <c r="O2918" s="112">
        <v>3</v>
      </c>
    </row>
    <row r="2919" spans="1:15" x14ac:dyDescent="0.2">
      <c r="A2919" s="111">
        <v>3024</v>
      </c>
      <c r="B2919" s="421" t="s">
        <v>5058</v>
      </c>
      <c r="C2919" s="421" t="s">
        <v>501</v>
      </c>
      <c r="D2919" s="422" t="s">
        <v>666</v>
      </c>
      <c r="E2919" s="111">
        <v>15684</v>
      </c>
      <c r="F2919" s="421" t="s">
        <v>5059</v>
      </c>
      <c r="G2919" s="112">
        <v>1</v>
      </c>
      <c r="I2919" s="112">
        <v>1</v>
      </c>
    </row>
    <row r="2920" spans="1:15" x14ac:dyDescent="0.2">
      <c r="A2920" s="111">
        <v>3025</v>
      </c>
      <c r="B2920" s="421" t="s">
        <v>5060</v>
      </c>
      <c r="C2920" s="421" t="s">
        <v>551</v>
      </c>
      <c r="D2920" s="422" t="s">
        <v>666</v>
      </c>
      <c r="E2920" s="111">
        <v>15645</v>
      </c>
      <c r="F2920" s="421" t="s">
        <v>4669</v>
      </c>
      <c r="G2920" s="112">
        <v>1</v>
      </c>
      <c r="H2920" s="112">
        <v>2</v>
      </c>
      <c r="I2920" s="112">
        <v>2</v>
      </c>
      <c r="J2920" s="112">
        <v>2</v>
      </c>
      <c r="K2920" s="112">
        <v>3</v>
      </c>
      <c r="L2920" s="112">
        <v>3</v>
      </c>
      <c r="M2920" s="112">
        <v>1</v>
      </c>
      <c r="O2920" s="112">
        <v>1</v>
      </c>
    </row>
    <row r="2921" spans="1:15" x14ac:dyDescent="0.2">
      <c r="A2921" s="111">
        <v>3026</v>
      </c>
      <c r="B2921" s="421" t="s">
        <v>1543</v>
      </c>
      <c r="C2921" s="421" t="s">
        <v>551</v>
      </c>
      <c r="D2921" s="422" t="s">
        <v>663</v>
      </c>
      <c r="E2921" s="111">
        <v>16076</v>
      </c>
      <c r="F2921" s="421" t="s">
        <v>5061</v>
      </c>
      <c r="H2921" s="112">
        <v>1</v>
      </c>
      <c r="I2921" s="112">
        <v>1</v>
      </c>
    </row>
    <row r="2922" spans="1:15" x14ac:dyDescent="0.2">
      <c r="A2922" s="111">
        <v>3027</v>
      </c>
      <c r="B2922" s="421" t="s">
        <v>5062</v>
      </c>
      <c r="C2922" s="421" t="s">
        <v>533</v>
      </c>
      <c r="D2922" s="422" t="s">
        <v>666</v>
      </c>
      <c r="E2922" s="111">
        <v>15239</v>
      </c>
      <c r="F2922" s="421" t="s">
        <v>5063</v>
      </c>
      <c r="G2922" s="112">
        <v>2</v>
      </c>
      <c r="H2922" s="112">
        <v>1</v>
      </c>
      <c r="I2922" s="112">
        <v>1</v>
      </c>
      <c r="J2922" s="112">
        <v>10</v>
      </c>
      <c r="K2922" s="112">
        <v>9</v>
      </c>
      <c r="L2922" s="112">
        <v>9</v>
      </c>
      <c r="M2922" s="112">
        <v>12</v>
      </c>
      <c r="N2922" s="112">
        <v>4</v>
      </c>
      <c r="O2922" s="112">
        <v>6</v>
      </c>
    </row>
    <row r="2923" spans="1:15" x14ac:dyDescent="0.2">
      <c r="A2923" s="111">
        <v>3028</v>
      </c>
      <c r="B2923" s="421" t="s">
        <v>3542</v>
      </c>
      <c r="C2923" s="421" t="s">
        <v>568</v>
      </c>
      <c r="D2923" s="422" t="s">
        <v>666</v>
      </c>
      <c r="F2923" s="421" t="s">
        <v>872</v>
      </c>
    </row>
    <row r="2924" spans="1:15" x14ac:dyDescent="0.2">
      <c r="A2924" s="111">
        <v>3029</v>
      </c>
      <c r="B2924" s="421" t="s">
        <v>5064</v>
      </c>
      <c r="C2924" s="421" t="s">
        <v>501</v>
      </c>
      <c r="D2924" s="422" t="s">
        <v>663</v>
      </c>
      <c r="F2924" s="421" t="s">
        <v>3240</v>
      </c>
      <c r="G2924" s="112">
        <v>2</v>
      </c>
      <c r="H2924" s="112">
        <v>1</v>
      </c>
      <c r="I2924" s="112">
        <v>1</v>
      </c>
      <c r="J2924" s="112">
        <v>1</v>
      </c>
      <c r="K2924" s="112">
        <v>2</v>
      </c>
      <c r="L2924" s="112">
        <v>2</v>
      </c>
      <c r="M2924" s="112">
        <v>1</v>
      </c>
    </row>
    <row r="2925" spans="1:15" x14ac:dyDescent="0.2">
      <c r="A2925" s="111">
        <v>3030</v>
      </c>
      <c r="B2925" s="421" t="s">
        <v>5065</v>
      </c>
      <c r="C2925" s="421" t="s">
        <v>513</v>
      </c>
      <c r="D2925" s="422" t="s">
        <v>663</v>
      </c>
      <c r="E2925" s="111">
        <v>15687</v>
      </c>
      <c r="F2925" s="421" t="s">
        <v>5066</v>
      </c>
    </row>
    <row r="2926" spans="1:15" x14ac:dyDescent="0.2">
      <c r="A2926" s="111">
        <v>3031</v>
      </c>
      <c r="B2926" s="421" t="s">
        <v>5067</v>
      </c>
      <c r="C2926" s="421" t="s">
        <v>528</v>
      </c>
      <c r="D2926" s="422" t="s">
        <v>666</v>
      </c>
      <c r="E2926" s="111">
        <v>15690</v>
      </c>
      <c r="F2926" s="421" t="s">
        <v>5068</v>
      </c>
      <c r="G2926" s="112">
        <v>1</v>
      </c>
      <c r="H2926" s="112">
        <v>1</v>
      </c>
      <c r="I2926" s="112">
        <v>1</v>
      </c>
    </row>
    <row r="2927" spans="1:15" x14ac:dyDescent="0.2">
      <c r="A2927" s="111">
        <v>3032</v>
      </c>
      <c r="B2927" s="421" t="s">
        <v>106</v>
      </c>
      <c r="C2927" s="421" t="s">
        <v>503</v>
      </c>
      <c r="D2927" s="422" t="s">
        <v>666</v>
      </c>
      <c r="F2927" s="421" t="s">
        <v>5069</v>
      </c>
    </row>
    <row r="2928" spans="1:15" x14ac:dyDescent="0.2">
      <c r="A2928" s="111">
        <v>3033</v>
      </c>
      <c r="B2928" s="421" t="s">
        <v>38</v>
      </c>
      <c r="C2928" s="421" t="s">
        <v>501</v>
      </c>
      <c r="D2928" s="422" t="s">
        <v>663</v>
      </c>
      <c r="F2928" s="421" t="s">
        <v>5070</v>
      </c>
    </row>
    <row r="2929" spans="1:15" x14ac:dyDescent="0.2">
      <c r="A2929" s="111">
        <v>3034</v>
      </c>
      <c r="B2929" s="421" t="s">
        <v>53</v>
      </c>
      <c r="C2929" s="421" t="s">
        <v>501</v>
      </c>
      <c r="D2929" s="422" t="s">
        <v>663</v>
      </c>
      <c r="F2929" s="421" t="s">
        <v>5071</v>
      </c>
    </row>
    <row r="2930" spans="1:15" x14ac:dyDescent="0.2">
      <c r="A2930" s="111">
        <v>3035</v>
      </c>
      <c r="B2930" s="421" t="s">
        <v>5072</v>
      </c>
      <c r="C2930" s="421" t="s">
        <v>1447</v>
      </c>
      <c r="D2930" s="422" t="s">
        <v>666</v>
      </c>
      <c r="E2930" s="111">
        <v>15567</v>
      </c>
      <c r="F2930" s="421" t="s">
        <v>5073</v>
      </c>
      <c r="G2930" s="112">
        <v>1</v>
      </c>
      <c r="H2930" s="112">
        <v>1</v>
      </c>
      <c r="I2930" s="112">
        <v>1</v>
      </c>
    </row>
    <row r="2931" spans="1:15" x14ac:dyDescent="0.2">
      <c r="A2931" s="111">
        <v>3036</v>
      </c>
      <c r="B2931" s="421" t="s">
        <v>2061</v>
      </c>
      <c r="C2931" s="421" t="s">
        <v>501</v>
      </c>
      <c r="D2931" s="422" t="s">
        <v>663</v>
      </c>
      <c r="E2931" s="111">
        <v>15567</v>
      </c>
      <c r="F2931" s="421" t="s">
        <v>5073</v>
      </c>
      <c r="I2931" s="112">
        <v>1</v>
      </c>
    </row>
    <row r="2932" spans="1:15" x14ac:dyDescent="0.2">
      <c r="A2932" s="111">
        <v>3037</v>
      </c>
      <c r="B2932" s="421" t="s">
        <v>381</v>
      </c>
      <c r="C2932" s="421" t="s">
        <v>503</v>
      </c>
      <c r="D2932" s="422" t="s">
        <v>663</v>
      </c>
      <c r="E2932" s="111">
        <v>15691</v>
      </c>
      <c r="F2932" s="421" t="s">
        <v>5074</v>
      </c>
    </row>
    <row r="2933" spans="1:15" x14ac:dyDescent="0.2">
      <c r="A2933" s="111">
        <v>3038</v>
      </c>
      <c r="B2933" s="421" t="s">
        <v>5112</v>
      </c>
      <c r="C2933" s="421" t="s">
        <v>507</v>
      </c>
      <c r="D2933" s="422" t="s">
        <v>666</v>
      </c>
      <c r="E2933" s="111">
        <v>15692</v>
      </c>
      <c r="F2933" s="421" t="s">
        <v>5113</v>
      </c>
      <c r="G2933" s="112">
        <v>1</v>
      </c>
      <c r="H2933" s="112">
        <v>1</v>
      </c>
      <c r="I2933" s="112">
        <v>1</v>
      </c>
      <c r="K2933" s="112">
        <v>1</v>
      </c>
    </row>
    <row r="2934" spans="1:15" x14ac:dyDescent="0.2">
      <c r="A2934" s="111">
        <v>3039</v>
      </c>
      <c r="B2934" s="421" t="s">
        <v>4340</v>
      </c>
      <c r="C2934" s="421" t="s">
        <v>506</v>
      </c>
      <c r="D2934" s="422" t="s">
        <v>663</v>
      </c>
      <c r="E2934" s="111">
        <v>14131</v>
      </c>
      <c r="F2934" s="421" t="s">
        <v>726</v>
      </c>
      <c r="G2934" s="112">
        <v>1</v>
      </c>
      <c r="H2934" s="112">
        <v>1</v>
      </c>
      <c r="I2934" s="112">
        <v>1</v>
      </c>
      <c r="J2934" s="112">
        <v>1</v>
      </c>
      <c r="K2934" s="112">
        <v>1</v>
      </c>
    </row>
    <row r="2935" spans="1:15" x14ac:dyDescent="0.2">
      <c r="A2935" s="111">
        <v>3040</v>
      </c>
      <c r="B2935" s="421" t="s">
        <v>382</v>
      </c>
      <c r="C2935" s="421" t="s">
        <v>1523</v>
      </c>
      <c r="D2935" s="422" t="s">
        <v>663</v>
      </c>
      <c r="E2935" s="111">
        <v>15693</v>
      </c>
      <c r="F2935" s="421" t="s">
        <v>5114</v>
      </c>
      <c r="G2935" s="112">
        <v>1</v>
      </c>
      <c r="H2935" s="112">
        <v>1</v>
      </c>
      <c r="I2935" s="112">
        <v>1</v>
      </c>
      <c r="J2935" s="112">
        <v>3</v>
      </c>
      <c r="K2935" s="112">
        <v>1</v>
      </c>
      <c r="L2935" s="112">
        <v>2</v>
      </c>
    </row>
    <row r="2936" spans="1:15" x14ac:dyDescent="0.2">
      <c r="A2936" s="111">
        <v>3041</v>
      </c>
      <c r="B2936" s="421" t="s">
        <v>5115</v>
      </c>
      <c r="C2936" s="421" t="s">
        <v>501</v>
      </c>
      <c r="D2936" s="422" t="s">
        <v>663</v>
      </c>
      <c r="E2936" s="111">
        <v>15694</v>
      </c>
      <c r="F2936" s="421" t="s">
        <v>5116</v>
      </c>
      <c r="G2936" s="112">
        <v>1</v>
      </c>
      <c r="H2936" s="112">
        <v>1</v>
      </c>
      <c r="I2936" s="112">
        <v>1</v>
      </c>
      <c r="J2936" s="112">
        <v>1</v>
      </c>
      <c r="K2936" s="112">
        <v>3</v>
      </c>
      <c r="L2936" s="112">
        <v>2</v>
      </c>
    </row>
    <row r="2937" spans="1:15" x14ac:dyDescent="0.2">
      <c r="A2937" s="111">
        <v>3042</v>
      </c>
      <c r="B2937" s="421" t="s">
        <v>472</v>
      </c>
      <c r="C2937" s="421" t="s">
        <v>514</v>
      </c>
      <c r="D2937" s="422" t="s">
        <v>663</v>
      </c>
      <c r="E2937" s="111">
        <v>15696</v>
      </c>
      <c r="F2937" s="421" t="s">
        <v>5117</v>
      </c>
      <c r="G2937" s="112">
        <v>1</v>
      </c>
      <c r="H2937" s="112">
        <v>1</v>
      </c>
      <c r="I2937" s="112">
        <v>1</v>
      </c>
    </row>
    <row r="2938" spans="1:15" x14ac:dyDescent="0.2">
      <c r="A2938" s="111">
        <v>3043</v>
      </c>
      <c r="B2938" s="421" t="s">
        <v>5118</v>
      </c>
      <c r="C2938" s="421" t="s">
        <v>502</v>
      </c>
      <c r="D2938" s="422" t="s">
        <v>663</v>
      </c>
      <c r="E2938" s="111">
        <v>15697</v>
      </c>
      <c r="F2938" s="421" t="s">
        <v>5119</v>
      </c>
      <c r="G2938" s="112">
        <v>1</v>
      </c>
      <c r="H2938" s="112">
        <v>1</v>
      </c>
      <c r="I2938" s="112">
        <v>1</v>
      </c>
      <c r="J2938" s="112">
        <v>6</v>
      </c>
      <c r="K2938" s="112">
        <v>5</v>
      </c>
      <c r="L2938" s="112">
        <v>5</v>
      </c>
      <c r="M2938" s="112">
        <v>4</v>
      </c>
      <c r="N2938" s="112">
        <v>2</v>
      </c>
      <c r="O2938" s="112">
        <v>3</v>
      </c>
    </row>
    <row r="2939" spans="1:15" x14ac:dyDescent="0.2">
      <c r="A2939" s="111">
        <v>3044</v>
      </c>
      <c r="B2939" s="421" t="s">
        <v>5120</v>
      </c>
      <c r="C2939" s="421" t="s">
        <v>581</v>
      </c>
      <c r="D2939" s="422" t="s">
        <v>666</v>
      </c>
      <c r="E2939" s="111">
        <v>14540</v>
      </c>
      <c r="F2939" s="421" t="s">
        <v>2203</v>
      </c>
      <c r="G2939" s="112">
        <v>2</v>
      </c>
      <c r="H2939" s="112">
        <v>3</v>
      </c>
      <c r="I2939" s="112">
        <v>2</v>
      </c>
      <c r="J2939" s="112">
        <v>10</v>
      </c>
      <c r="K2939" s="112">
        <v>10</v>
      </c>
      <c r="L2939" s="112">
        <v>9</v>
      </c>
      <c r="M2939" s="112">
        <v>12</v>
      </c>
      <c r="N2939" s="112">
        <v>10</v>
      </c>
      <c r="O2939" s="112">
        <v>8</v>
      </c>
    </row>
    <row r="2940" spans="1:15" x14ac:dyDescent="0.2">
      <c r="A2940" s="111">
        <v>3045</v>
      </c>
      <c r="B2940" s="421" t="s">
        <v>365</v>
      </c>
      <c r="C2940" s="421" t="s">
        <v>533</v>
      </c>
      <c r="D2940" s="422" t="s">
        <v>666</v>
      </c>
      <c r="E2940" s="111">
        <v>15698</v>
      </c>
      <c r="F2940" s="421" t="s">
        <v>5121</v>
      </c>
      <c r="G2940" s="112">
        <v>1</v>
      </c>
      <c r="H2940" s="112">
        <v>1</v>
      </c>
      <c r="I2940" s="112">
        <v>1</v>
      </c>
    </row>
    <row r="2941" spans="1:15" x14ac:dyDescent="0.2">
      <c r="A2941" s="111">
        <v>3046</v>
      </c>
      <c r="B2941" s="421" t="s">
        <v>5122</v>
      </c>
      <c r="C2941" s="421" t="s">
        <v>528</v>
      </c>
      <c r="D2941" s="422" t="s">
        <v>666</v>
      </c>
      <c r="E2941" s="111">
        <v>15700</v>
      </c>
      <c r="F2941" s="421" t="s">
        <v>5123</v>
      </c>
      <c r="G2941" s="112">
        <v>1</v>
      </c>
      <c r="H2941" s="112">
        <v>1</v>
      </c>
      <c r="I2941" s="112">
        <v>1</v>
      </c>
      <c r="J2941" s="112">
        <v>1</v>
      </c>
      <c r="K2941" s="112">
        <v>1</v>
      </c>
      <c r="L2941" s="112">
        <v>3</v>
      </c>
    </row>
    <row r="2942" spans="1:15" x14ac:dyDescent="0.2">
      <c r="A2942" s="111">
        <v>3047</v>
      </c>
      <c r="B2942" s="421" t="s">
        <v>5124</v>
      </c>
      <c r="C2942" s="421" t="s">
        <v>507</v>
      </c>
      <c r="D2942" s="422" t="s">
        <v>663</v>
      </c>
      <c r="E2942" s="111">
        <v>15844</v>
      </c>
      <c r="F2942" s="421" t="s">
        <v>5125</v>
      </c>
      <c r="G2942" s="112">
        <v>2</v>
      </c>
      <c r="H2942" s="112">
        <v>1</v>
      </c>
      <c r="I2942" s="112">
        <v>2</v>
      </c>
      <c r="J2942" s="112">
        <v>4</v>
      </c>
      <c r="K2942" s="112">
        <v>3</v>
      </c>
      <c r="L2942" s="112">
        <v>3</v>
      </c>
      <c r="M2942" s="112">
        <v>4</v>
      </c>
      <c r="N2942" s="112">
        <v>2</v>
      </c>
      <c r="O2942" s="112">
        <v>2</v>
      </c>
    </row>
    <row r="2943" spans="1:15" x14ac:dyDescent="0.2">
      <c r="A2943" s="111">
        <v>3048</v>
      </c>
      <c r="B2943" s="421" t="s">
        <v>4340</v>
      </c>
      <c r="C2943" s="421" t="s">
        <v>5126</v>
      </c>
      <c r="D2943" s="422" t="s">
        <v>663</v>
      </c>
      <c r="E2943" s="111">
        <v>15701</v>
      </c>
      <c r="F2943" s="421" t="s">
        <v>5127</v>
      </c>
      <c r="G2943" s="112">
        <v>2</v>
      </c>
      <c r="H2943" s="112">
        <v>2</v>
      </c>
      <c r="I2943" s="112">
        <v>2</v>
      </c>
    </row>
    <row r="2944" spans="1:15" x14ac:dyDescent="0.2">
      <c r="A2944" s="111">
        <v>3049</v>
      </c>
      <c r="B2944" s="421" t="s">
        <v>232</v>
      </c>
      <c r="C2944" s="421" t="s">
        <v>516</v>
      </c>
      <c r="D2944" s="422" t="s">
        <v>666</v>
      </c>
      <c r="E2944" s="111">
        <v>15717</v>
      </c>
      <c r="F2944" s="421" t="s">
        <v>5128</v>
      </c>
      <c r="G2944" s="112">
        <v>1</v>
      </c>
      <c r="H2944" s="112">
        <v>1</v>
      </c>
      <c r="I2944" s="112">
        <v>1</v>
      </c>
      <c r="J2944" s="112">
        <v>7</v>
      </c>
      <c r="K2944" s="112">
        <v>9</v>
      </c>
      <c r="L2944" s="112">
        <v>8</v>
      </c>
      <c r="M2944" s="112">
        <v>6</v>
      </c>
      <c r="N2944" s="112">
        <v>5</v>
      </c>
      <c r="O2944" s="112">
        <v>4</v>
      </c>
    </row>
    <row r="2945" spans="1:15" x14ac:dyDescent="0.2">
      <c r="A2945" s="111">
        <v>3050</v>
      </c>
      <c r="B2945" s="421" t="s">
        <v>336</v>
      </c>
      <c r="C2945" s="421" t="s">
        <v>514</v>
      </c>
      <c r="D2945" s="422" t="s">
        <v>666</v>
      </c>
      <c r="E2945" s="111">
        <v>15702</v>
      </c>
      <c r="F2945" s="421" t="s">
        <v>5129</v>
      </c>
      <c r="G2945" s="112">
        <v>1</v>
      </c>
      <c r="H2945" s="112">
        <v>1</v>
      </c>
      <c r="I2945" s="112">
        <v>1</v>
      </c>
      <c r="J2945" s="112">
        <v>2</v>
      </c>
      <c r="K2945" s="112">
        <v>1</v>
      </c>
      <c r="L2945" s="112">
        <v>1</v>
      </c>
    </row>
    <row r="2946" spans="1:15" x14ac:dyDescent="0.2">
      <c r="A2946" s="111">
        <v>3051</v>
      </c>
      <c r="B2946" s="421" t="s">
        <v>5130</v>
      </c>
      <c r="C2946" s="421" t="s">
        <v>574</v>
      </c>
      <c r="D2946" s="422" t="s">
        <v>666</v>
      </c>
      <c r="E2946" s="111">
        <v>15363</v>
      </c>
      <c r="F2946" s="421" t="s">
        <v>3906</v>
      </c>
    </row>
    <row r="2947" spans="1:15" x14ac:dyDescent="0.2">
      <c r="A2947" s="111">
        <v>3052</v>
      </c>
      <c r="B2947" s="421" t="s">
        <v>5131</v>
      </c>
      <c r="C2947" s="421" t="s">
        <v>518</v>
      </c>
      <c r="D2947" s="422" t="s">
        <v>663</v>
      </c>
      <c r="E2947" s="111">
        <v>14678</v>
      </c>
      <c r="F2947" s="421" t="s">
        <v>2029</v>
      </c>
      <c r="G2947" s="112">
        <v>1</v>
      </c>
      <c r="H2947" s="112">
        <v>1</v>
      </c>
      <c r="I2947" s="112">
        <v>1</v>
      </c>
      <c r="J2947" s="112">
        <v>1</v>
      </c>
      <c r="K2947" s="112">
        <v>1</v>
      </c>
      <c r="L2947" s="112">
        <v>1</v>
      </c>
      <c r="M2947" s="112">
        <v>1</v>
      </c>
      <c r="N2947" s="112">
        <v>1</v>
      </c>
      <c r="O2947" s="112">
        <v>1</v>
      </c>
    </row>
    <row r="2948" spans="1:15" x14ac:dyDescent="0.2">
      <c r="A2948" s="111">
        <v>3053</v>
      </c>
      <c r="B2948" s="421" t="s">
        <v>112</v>
      </c>
      <c r="C2948" s="421" t="s">
        <v>523</v>
      </c>
      <c r="D2948" s="422" t="s">
        <v>663</v>
      </c>
      <c r="E2948" s="111">
        <v>16476</v>
      </c>
      <c r="F2948" s="421" t="s">
        <v>5132</v>
      </c>
      <c r="G2948" s="112">
        <v>1</v>
      </c>
      <c r="H2948" s="112">
        <v>1</v>
      </c>
      <c r="I2948" s="112">
        <v>1</v>
      </c>
      <c r="J2948" s="112">
        <v>1</v>
      </c>
      <c r="K2948" s="112">
        <v>1</v>
      </c>
      <c r="L2948" s="112">
        <v>1</v>
      </c>
      <c r="M2948" s="112">
        <v>1</v>
      </c>
    </row>
    <row r="2949" spans="1:15" x14ac:dyDescent="0.2">
      <c r="A2949" s="111">
        <v>3054</v>
      </c>
      <c r="B2949" s="421" t="s">
        <v>341</v>
      </c>
      <c r="C2949" s="421" t="s">
        <v>537</v>
      </c>
      <c r="D2949" s="422" t="s">
        <v>666</v>
      </c>
      <c r="E2949" s="111">
        <v>15485</v>
      </c>
      <c r="F2949" s="421" t="s">
        <v>5133</v>
      </c>
    </row>
    <row r="2950" spans="1:15" x14ac:dyDescent="0.2">
      <c r="A2950" s="111">
        <v>3055</v>
      </c>
      <c r="B2950" s="421" t="s">
        <v>5134</v>
      </c>
      <c r="C2950" s="421" t="s">
        <v>555</v>
      </c>
      <c r="D2950" s="422" t="s">
        <v>663</v>
      </c>
      <c r="E2950" s="111">
        <v>15703</v>
      </c>
      <c r="F2950" s="421" t="s">
        <v>5135</v>
      </c>
      <c r="G2950" s="112">
        <v>1</v>
      </c>
      <c r="H2950" s="112">
        <v>2</v>
      </c>
      <c r="I2950" s="112">
        <v>1</v>
      </c>
    </row>
    <row r="2951" spans="1:15" x14ac:dyDescent="0.2">
      <c r="A2951" s="111">
        <v>3056</v>
      </c>
      <c r="B2951" s="421" t="s">
        <v>5136</v>
      </c>
      <c r="C2951" s="421" t="s">
        <v>573</v>
      </c>
      <c r="D2951" s="422" t="s">
        <v>666</v>
      </c>
      <c r="E2951" s="111">
        <v>15533</v>
      </c>
      <c r="F2951" s="421" t="s">
        <v>2645</v>
      </c>
      <c r="G2951" s="112">
        <v>1</v>
      </c>
      <c r="H2951" s="112">
        <v>1</v>
      </c>
      <c r="I2951" s="112">
        <v>1</v>
      </c>
      <c r="J2951" s="112">
        <v>3</v>
      </c>
      <c r="K2951" s="112">
        <v>4</v>
      </c>
      <c r="L2951" s="112">
        <v>5</v>
      </c>
      <c r="M2951" s="112">
        <v>2</v>
      </c>
      <c r="N2951" s="112">
        <v>1</v>
      </c>
      <c r="O2951" s="112">
        <v>2</v>
      </c>
    </row>
    <row r="2952" spans="1:15" x14ac:dyDescent="0.2">
      <c r="A2952" s="111">
        <v>3057</v>
      </c>
      <c r="B2952" s="421" t="s">
        <v>5137</v>
      </c>
      <c r="C2952" s="421" t="s">
        <v>573</v>
      </c>
      <c r="D2952" s="422" t="s">
        <v>663</v>
      </c>
      <c r="E2952" s="111">
        <v>15533</v>
      </c>
      <c r="F2952" s="421" t="s">
        <v>2645</v>
      </c>
      <c r="G2952" s="112">
        <v>1</v>
      </c>
      <c r="H2952" s="112">
        <v>1</v>
      </c>
      <c r="I2952" s="112">
        <v>1</v>
      </c>
      <c r="J2952" s="112">
        <v>1</v>
      </c>
      <c r="K2952" s="112">
        <v>1</v>
      </c>
      <c r="L2952" s="112">
        <v>1</v>
      </c>
    </row>
    <row r="2953" spans="1:15" x14ac:dyDescent="0.2">
      <c r="A2953" s="111">
        <v>3058</v>
      </c>
      <c r="B2953" s="421" t="s">
        <v>5138</v>
      </c>
      <c r="C2953" s="421" t="s">
        <v>567</v>
      </c>
      <c r="D2953" s="422" t="s">
        <v>663</v>
      </c>
      <c r="E2953" s="111">
        <v>14915</v>
      </c>
      <c r="F2953" s="421" t="s">
        <v>2664</v>
      </c>
      <c r="G2953" s="112">
        <v>1</v>
      </c>
      <c r="H2953" s="112">
        <v>1</v>
      </c>
      <c r="I2953" s="112">
        <v>1</v>
      </c>
    </row>
    <row r="2954" spans="1:15" x14ac:dyDescent="0.2">
      <c r="A2954" s="111">
        <v>3059</v>
      </c>
      <c r="B2954" s="421" t="s">
        <v>215</v>
      </c>
      <c r="C2954" s="421" t="s">
        <v>567</v>
      </c>
      <c r="D2954" s="422" t="s">
        <v>666</v>
      </c>
      <c r="E2954" s="111">
        <v>15704</v>
      </c>
      <c r="F2954" s="421" t="s">
        <v>5139</v>
      </c>
    </row>
    <row r="2955" spans="1:15" x14ac:dyDescent="0.2">
      <c r="A2955" s="111">
        <v>3060</v>
      </c>
      <c r="B2955" s="421" t="s">
        <v>5140</v>
      </c>
      <c r="C2955" s="421" t="s">
        <v>506</v>
      </c>
      <c r="D2955" s="422" t="s">
        <v>666</v>
      </c>
      <c r="E2955" s="111">
        <v>15798</v>
      </c>
      <c r="F2955" s="421" t="s">
        <v>5141</v>
      </c>
    </row>
    <row r="2956" spans="1:15" x14ac:dyDescent="0.2">
      <c r="A2956" s="111">
        <v>3061</v>
      </c>
      <c r="B2956" s="421" t="s">
        <v>5142</v>
      </c>
      <c r="C2956" s="421" t="s">
        <v>501</v>
      </c>
      <c r="D2956" s="422" t="s">
        <v>663</v>
      </c>
      <c r="E2956" s="111">
        <v>15640</v>
      </c>
      <c r="F2956" s="421" t="s">
        <v>4876</v>
      </c>
    </row>
    <row r="2957" spans="1:15" x14ac:dyDescent="0.2">
      <c r="A2957" s="111">
        <v>3062</v>
      </c>
      <c r="B2957" s="421" t="s">
        <v>5143</v>
      </c>
      <c r="C2957" s="421" t="s">
        <v>533</v>
      </c>
      <c r="D2957" s="422" t="s">
        <v>666</v>
      </c>
      <c r="E2957" s="111">
        <v>16025</v>
      </c>
      <c r="F2957" s="421" t="s">
        <v>2239</v>
      </c>
      <c r="G2957" s="112">
        <v>1</v>
      </c>
      <c r="H2957" s="112">
        <v>1</v>
      </c>
      <c r="I2957" s="112">
        <v>1</v>
      </c>
    </row>
    <row r="2958" spans="1:15" x14ac:dyDescent="0.2">
      <c r="A2958" s="111">
        <v>3063</v>
      </c>
      <c r="B2958" s="421" t="s">
        <v>5144</v>
      </c>
      <c r="C2958" s="421" t="s">
        <v>566</v>
      </c>
      <c r="D2958" s="422" t="s">
        <v>663</v>
      </c>
      <c r="F2958" s="421" t="s">
        <v>5145</v>
      </c>
    </row>
    <row r="2959" spans="1:15" x14ac:dyDescent="0.2">
      <c r="A2959" s="111">
        <v>3064</v>
      </c>
      <c r="B2959" s="421" t="s">
        <v>5146</v>
      </c>
      <c r="C2959" s="421" t="s">
        <v>501</v>
      </c>
      <c r="D2959" s="422" t="s">
        <v>663</v>
      </c>
      <c r="E2959" s="111">
        <v>15705</v>
      </c>
      <c r="F2959" s="421" t="s">
        <v>5147</v>
      </c>
      <c r="G2959" s="112">
        <v>1</v>
      </c>
      <c r="H2959" s="112">
        <v>1</v>
      </c>
      <c r="I2959" s="112">
        <v>1</v>
      </c>
      <c r="J2959" s="112">
        <v>1</v>
      </c>
    </row>
    <row r="2960" spans="1:15" x14ac:dyDescent="0.2">
      <c r="A2960" s="111">
        <v>3065</v>
      </c>
      <c r="B2960" s="421" t="s">
        <v>1327</v>
      </c>
      <c r="C2960" s="421" t="s">
        <v>552</v>
      </c>
      <c r="D2960" s="422" t="s">
        <v>666</v>
      </c>
      <c r="E2960" s="111">
        <v>15705</v>
      </c>
      <c r="F2960" s="421" t="s">
        <v>5147</v>
      </c>
    </row>
    <row r="2961" spans="1:15" x14ac:dyDescent="0.2">
      <c r="A2961" s="111">
        <v>3066</v>
      </c>
      <c r="B2961" s="421" t="s">
        <v>5148</v>
      </c>
      <c r="C2961" s="421" t="s">
        <v>514</v>
      </c>
      <c r="D2961" s="422" t="s">
        <v>666</v>
      </c>
      <c r="E2961" s="111">
        <v>15695</v>
      </c>
      <c r="F2961" s="421" t="s">
        <v>5149</v>
      </c>
      <c r="G2961" s="112">
        <v>1</v>
      </c>
      <c r="H2961" s="112">
        <v>2</v>
      </c>
      <c r="I2961" s="112">
        <v>1</v>
      </c>
      <c r="K2961" s="112">
        <v>1</v>
      </c>
    </row>
    <row r="2962" spans="1:15" x14ac:dyDescent="0.2">
      <c r="A2962" s="111">
        <v>3067</v>
      </c>
      <c r="B2962" s="421" t="s">
        <v>5150</v>
      </c>
      <c r="C2962" s="421" t="s">
        <v>514</v>
      </c>
      <c r="D2962" s="422" t="s">
        <v>666</v>
      </c>
      <c r="E2962" s="111">
        <v>15837</v>
      </c>
      <c r="F2962" s="421" t="s">
        <v>5151</v>
      </c>
      <c r="G2962" s="112">
        <v>2</v>
      </c>
      <c r="H2962" s="112">
        <v>1</v>
      </c>
      <c r="I2962" s="112">
        <v>1</v>
      </c>
      <c r="J2962" s="112">
        <v>1</v>
      </c>
    </row>
    <row r="2963" spans="1:15" x14ac:dyDescent="0.2">
      <c r="A2963" s="111">
        <v>3068</v>
      </c>
      <c r="B2963" s="421" t="s">
        <v>5152</v>
      </c>
      <c r="C2963" s="421" t="s">
        <v>523</v>
      </c>
      <c r="D2963" s="422" t="s">
        <v>666</v>
      </c>
      <c r="E2963" s="111">
        <v>14574</v>
      </c>
      <c r="F2963" s="421" t="s">
        <v>2214</v>
      </c>
      <c r="G2963" s="112">
        <v>2</v>
      </c>
      <c r="H2963" s="112">
        <v>2</v>
      </c>
      <c r="I2963" s="112">
        <v>2</v>
      </c>
      <c r="J2963" s="112">
        <v>10</v>
      </c>
      <c r="K2963" s="112">
        <v>10</v>
      </c>
      <c r="L2963" s="112">
        <v>10</v>
      </c>
      <c r="M2963" s="112">
        <v>10</v>
      </c>
      <c r="N2963" s="112">
        <v>7</v>
      </c>
      <c r="O2963" s="112">
        <v>10</v>
      </c>
    </row>
    <row r="2964" spans="1:15" x14ac:dyDescent="0.2">
      <c r="A2964" s="111">
        <v>3069</v>
      </c>
      <c r="B2964" s="421" t="s">
        <v>5153</v>
      </c>
      <c r="C2964" s="421" t="s">
        <v>572</v>
      </c>
      <c r="D2964" s="422" t="s">
        <v>663</v>
      </c>
      <c r="E2964" s="111">
        <v>15706</v>
      </c>
      <c r="F2964" s="421" t="s">
        <v>5154</v>
      </c>
      <c r="G2964" s="112">
        <v>1</v>
      </c>
      <c r="H2964" s="112">
        <v>1</v>
      </c>
      <c r="I2964" s="112">
        <v>1</v>
      </c>
      <c r="J2964" s="112">
        <v>1</v>
      </c>
      <c r="K2964" s="112">
        <v>1</v>
      </c>
      <c r="L2964" s="112">
        <v>1</v>
      </c>
      <c r="M2964" s="112">
        <v>1</v>
      </c>
    </row>
    <row r="2965" spans="1:15" x14ac:dyDescent="0.2">
      <c r="A2965" s="111">
        <v>3070</v>
      </c>
      <c r="B2965" s="421" t="s">
        <v>5155</v>
      </c>
      <c r="C2965" s="421" t="s">
        <v>501</v>
      </c>
      <c r="D2965" s="422" t="s">
        <v>666</v>
      </c>
      <c r="E2965" s="111">
        <v>15960</v>
      </c>
      <c r="F2965" s="421" t="s">
        <v>5156</v>
      </c>
    </row>
    <row r="2966" spans="1:15" x14ac:dyDescent="0.2">
      <c r="A2966" s="111">
        <v>3071</v>
      </c>
      <c r="B2966" s="421" t="s">
        <v>632</v>
      </c>
      <c r="C2966" s="421" t="s">
        <v>518</v>
      </c>
      <c r="D2966" s="422" t="s">
        <v>663</v>
      </c>
      <c r="E2966" s="111">
        <v>15725</v>
      </c>
      <c r="F2966" s="421" t="s">
        <v>5157</v>
      </c>
      <c r="G2966" s="112">
        <v>1</v>
      </c>
      <c r="H2966" s="112">
        <v>1</v>
      </c>
      <c r="I2966" s="112">
        <v>1</v>
      </c>
      <c r="J2966" s="112">
        <v>1</v>
      </c>
      <c r="K2966" s="112">
        <v>1</v>
      </c>
      <c r="L2966" s="112">
        <v>2</v>
      </c>
    </row>
    <row r="2967" spans="1:15" x14ac:dyDescent="0.2">
      <c r="A2967" s="111">
        <v>3072</v>
      </c>
      <c r="B2967" s="421" t="s">
        <v>5158</v>
      </c>
      <c r="C2967" s="421" t="s">
        <v>518</v>
      </c>
      <c r="D2967" s="422" t="s">
        <v>663</v>
      </c>
      <c r="E2967" s="111">
        <v>15707</v>
      </c>
      <c r="F2967" s="421" t="s">
        <v>5159</v>
      </c>
    </row>
    <row r="2968" spans="1:15" x14ac:dyDescent="0.2">
      <c r="A2968" s="111">
        <v>3073</v>
      </c>
      <c r="B2968" s="421" t="s">
        <v>174</v>
      </c>
      <c r="C2968" s="421" t="s">
        <v>503</v>
      </c>
      <c r="D2968" s="422" t="s">
        <v>666</v>
      </c>
      <c r="E2968" s="111">
        <v>15708</v>
      </c>
      <c r="F2968" s="421" t="s">
        <v>5160</v>
      </c>
      <c r="G2968" s="112">
        <v>2</v>
      </c>
      <c r="H2968" s="112">
        <v>1</v>
      </c>
      <c r="I2968" s="112">
        <v>2</v>
      </c>
      <c r="J2968" s="112">
        <v>4</v>
      </c>
      <c r="K2968" s="112">
        <v>3</v>
      </c>
      <c r="L2968" s="112">
        <v>4</v>
      </c>
      <c r="M2968" s="112">
        <v>2</v>
      </c>
      <c r="N2968" s="112">
        <v>3</v>
      </c>
      <c r="O2968" s="112">
        <v>2</v>
      </c>
    </row>
    <row r="2969" spans="1:15" x14ac:dyDescent="0.2">
      <c r="A2969" s="111">
        <v>3074</v>
      </c>
      <c r="B2969" s="421" t="s">
        <v>341</v>
      </c>
      <c r="C2969" s="421" t="s">
        <v>567</v>
      </c>
      <c r="D2969" s="422" t="s">
        <v>663</v>
      </c>
      <c r="E2969" s="111">
        <v>15704</v>
      </c>
      <c r="F2969" s="421" t="s">
        <v>5139</v>
      </c>
    </row>
    <row r="2970" spans="1:15" x14ac:dyDescent="0.2">
      <c r="A2970" s="111">
        <v>3075</v>
      </c>
      <c r="B2970" s="421" t="s">
        <v>5161</v>
      </c>
      <c r="C2970" s="421" t="s">
        <v>544</v>
      </c>
      <c r="D2970" s="422" t="s">
        <v>666</v>
      </c>
      <c r="E2970" s="111">
        <v>15689</v>
      </c>
      <c r="F2970" s="421" t="s">
        <v>5162</v>
      </c>
      <c r="G2970" s="112">
        <v>1</v>
      </c>
      <c r="H2970" s="112">
        <v>1</v>
      </c>
      <c r="I2970" s="112">
        <v>1</v>
      </c>
      <c r="J2970" s="112">
        <v>1</v>
      </c>
      <c r="K2970" s="112">
        <v>1</v>
      </c>
      <c r="L2970" s="112">
        <v>1</v>
      </c>
    </row>
    <row r="2971" spans="1:15" x14ac:dyDescent="0.2">
      <c r="A2971" s="111">
        <v>3076</v>
      </c>
      <c r="B2971" s="421" t="s">
        <v>5163</v>
      </c>
      <c r="C2971" s="421" t="s">
        <v>628</v>
      </c>
      <c r="D2971" s="422" t="s">
        <v>666</v>
      </c>
      <c r="F2971" s="421" t="s">
        <v>5164</v>
      </c>
    </row>
    <row r="2972" spans="1:15" x14ac:dyDescent="0.2">
      <c r="A2972" s="111">
        <v>3077</v>
      </c>
      <c r="B2972" s="421" t="s">
        <v>5165</v>
      </c>
      <c r="C2972" s="421" t="s">
        <v>522</v>
      </c>
      <c r="D2972" s="422" t="s">
        <v>663</v>
      </c>
      <c r="F2972" s="421" t="s">
        <v>5166</v>
      </c>
    </row>
    <row r="2973" spans="1:15" x14ac:dyDescent="0.2">
      <c r="A2973" s="111">
        <v>3078</v>
      </c>
      <c r="B2973" s="421" t="s">
        <v>5167</v>
      </c>
      <c r="C2973" s="421" t="s">
        <v>17459</v>
      </c>
      <c r="D2973" s="422" t="s">
        <v>663</v>
      </c>
      <c r="E2973" s="111">
        <v>15710</v>
      </c>
      <c r="F2973" s="421" t="s">
        <v>5168</v>
      </c>
      <c r="G2973" s="112">
        <v>1</v>
      </c>
      <c r="H2973" s="112">
        <v>1</v>
      </c>
      <c r="I2973" s="112">
        <v>1</v>
      </c>
    </row>
    <row r="2974" spans="1:15" x14ac:dyDescent="0.2">
      <c r="A2974" s="111">
        <v>3079</v>
      </c>
      <c r="B2974" s="421" t="s">
        <v>4439</v>
      </c>
      <c r="C2974" s="421" t="s">
        <v>588</v>
      </c>
      <c r="D2974" s="422" t="s">
        <v>663</v>
      </c>
      <c r="E2974" s="111">
        <v>15712</v>
      </c>
      <c r="F2974" s="421" t="s">
        <v>5169</v>
      </c>
      <c r="I2974" s="112">
        <v>1</v>
      </c>
    </row>
    <row r="2975" spans="1:15" x14ac:dyDescent="0.2">
      <c r="A2975" s="111">
        <v>3080</v>
      </c>
      <c r="B2975" s="421" t="s">
        <v>5170</v>
      </c>
      <c r="C2975" s="421" t="s">
        <v>1378</v>
      </c>
      <c r="D2975" s="422" t="s">
        <v>666</v>
      </c>
      <c r="E2975" s="111">
        <v>15714</v>
      </c>
      <c r="F2975" s="421" t="s">
        <v>5171</v>
      </c>
      <c r="G2975" s="112">
        <v>1</v>
      </c>
      <c r="H2975" s="112">
        <v>1</v>
      </c>
    </row>
    <row r="2976" spans="1:15" x14ac:dyDescent="0.2">
      <c r="A2976" s="111">
        <v>3081</v>
      </c>
      <c r="B2976" s="421" t="s">
        <v>5172</v>
      </c>
      <c r="C2976" s="421" t="s">
        <v>510</v>
      </c>
      <c r="D2976" s="422" t="s">
        <v>666</v>
      </c>
      <c r="F2976" s="421" t="s">
        <v>5173</v>
      </c>
    </row>
    <row r="2977" spans="1:15" x14ac:dyDescent="0.2">
      <c r="A2977" s="111">
        <v>3082</v>
      </c>
      <c r="B2977" s="421" t="s">
        <v>1214</v>
      </c>
      <c r="C2977" s="421" t="s">
        <v>503</v>
      </c>
      <c r="D2977" s="422" t="s">
        <v>666</v>
      </c>
      <c r="E2977" s="111">
        <v>15715</v>
      </c>
      <c r="F2977" s="421" t="s">
        <v>5174</v>
      </c>
      <c r="G2977" s="112">
        <v>1</v>
      </c>
      <c r="H2977" s="112">
        <v>1</v>
      </c>
      <c r="I2977" s="112">
        <v>1</v>
      </c>
      <c r="J2977" s="112">
        <v>3</v>
      </c>
      <c r="K2977" s="112">
        <v>1</v>
      </c>
      <c r="L2977" s="112">
        <v>2</v>
      </c>
      <c r="M2977" s="112">
        <v>4</v>
      </c>
      <c r="O2977" s="112">
        <v>1</v>
      </c>
    </row>
    <row r="2978" spans="1:15" x14ac:dyDescent="0.2">
      <c r="A2978" s="111">
        <v>3083</v>
      </c>
      <c r="B2978" s="421" t="s">
        <v>2822</v>
      </c>
      <c r="C2978" s="421" t="s">
        <v>501</v>
      </c>
      <c r="D2978" s="422" t="s">
        <v>663</v>
      </c>
      <c r="E2978" s="111">
        <v>15643</v>
      </c>
      <c r="F2978" s="421" t="s">
        <v>4923</v>
      </c>
      <c r="G2978" s="112">
        <v>1</v>
      </c>
      <c r="H2978" s="112">
        <v>1</v>
      </c>
      <c r="I2978" s="112">
        <v>1</v>
      </c>
      <c r="J2978" s="112">
        <v>1</v>
      </c>
      <c r="K2978" s="112">
        <v>1</v>
      </c>
    </row>
    <row r="2979" spans="1:15" x14ac:dyDescent="0.2">
      <c r="A2979" s="111">
        <v>3084</v>
      </c>
      <c r="B2979" s="421" t="s">
        <v>320</v>
      </c>
      <c r="C2979" s="421" t="s">
        <v>506</v>
      </c>
      <c r="D2979" s="422" t="s">
        <v>666</v>
      </c>
      <c r="E2979" s="111">
        <v>14856</v>
      </c>
      <c r="F2979" s="421" t="s">
        <v>2523</v>
      </c>
      <c r="G2979" s="112">
        <v>2</v>
      </c>
      <c r="H2979" s="112">
        <v>2</v>
      </c>
      <c r="I2979" s="112">
        <v>2</v>
      </c>
      <c r="J2979" s="112">
        <v>5</v>
      </c>
      <c r="K2979" s="112">
        <v>5</v>
      </c>
      <c r="L2979" s="112">
        <v>4</v>
      </c>
      <c r="M2979" s="112">
        <v>1</v>
      </c>
      <c r="N2979" s="112">
        <v>1</v>
      </c>
      <c r="O2979" s="112">
        <v>2</v>
      </c>
    </row>
    <row r="2980" spans="1:15" x14ac:dyDescent="0.2">
      <c r="A2980" s="111">
        <v>3085</v>
      </c>
      <c r="B2980" s="421" t="s">
        <v>5175</v>
      </c>
      <c r="C2980" s="421" t="s">
        <v>1994</v>
      </c>
      <c r="D2980" s="422" t="s">
        <v>663</v>
      </c>
      <c r="E2980" s="111">
        <v>15716</v>
      </c>
      <c r="F2980" s="421" t="s">
        <v>5176</v>
      </c>
      <c r="G2980" s="112">
        <v>1</v>
      </c>
      <c r="H2980" s="112">
        <v>2</v>
      </c>
      <c r="I2980" s="112">
        <v>2</v>
      </c>
      <c r="J2980" s="112">
        <v>1</v>
      </c>
      <c r="K2980" s="112">
        <v>1</v>
      </c>
    </row>
    <row r="2981" spans="1:15" x14ac:dyDescent="0.2">
      <c r="A2981" s="111">
        <v>3086</v>
      </c>
      <c r="B2981" s="421" t="s">
        <v>4329</v>
      </c>
      <c r="C2981" s="421" t="s">
        <v>1523</v>
      </c>
      <c r="D2981" s="422" t="s">
        <v>666</v>
      </c>
      <c r="E2981" s="111">
        <v>15718</v>
      </c>
      <c r="F2981" s="421" t="s">
        <v>5177</v>
      </c>
    </row>
    <row r="2982" spans="1:15" x14ac:dyDescent="0.2">
      <c r="A2982" s="111">
        <v>3087</v>
      </c>
      <c r="B2982" s="421" t="s">
        <v>3408</v>
      </c>
      <c r="C2982" s="421" t="s">
        <v>551</v>
      </c>
      <c r="D2982" s="422" t="s">
        <v>663</v>
      </c>
      <c r="E2982" s="111">
        <v>15719</v>
      </c>
      <c r="F2982" s="421" t="s">
        <v>5178</v>
      </c>
    </row>
    <row r="2983" spans="1:15" x14ac:dyDescent="0.2">
      <c r="A2983" s="111">
        <v>3088</v>
      </c>
      <c r="B2983" s="421" t="s">
        <v>5179</v>
      </c>
      <c r="C2983" s="421" t="s">
        <v>577</v>
      </c>
      <c r="D2983" s="422" t="s">
        <v>666</v>
      </c>
      <c r="E2983" s="111">
        <v>15720</v>
      </c>
      <c r="F2983" s="421" t="s">
        <v>5180</v>
      </c>
    </row>
    <row r="2984" spans="1:15" x14ac:dyDescent="0.2">
      <c r="A2984" s="111">
        <v>3089</v>
      </c>
      <c r="B2984" s="421" t="s">
        <v>2100</v>
      </c>
      <c r="C2984" s="421" t="s">
        <v>529</v>
      </c>
      <c r="D2984" s="422" t="s">
        <v>663</v>
      </c>
      <c r="E2984" s="111">
        <v>15711</v>
      </c>
      <c r="F2984" s="421" t="s">
        <v>5181</v>
      </c>
      <c r="G2984" s="112">
        <v>1</v>
      </c>
      <c r="H2984" s="112">
        <v>1</v>
      </c>
      <c r="I2984" s="112">
        <v>1</v>
      </c>
    </row>
    <row r="2985" spans="1:15" x14ac:dyDescent="0.2">
      <c r="A2985" s="111">
        <v>3090</v>
      </c>
      <c r="B2985" s="421" t="s">
        <v>1214</v>
      </c>
      <c r="C2985" s="421" t="s">
        <v>1625</v>
      </c>
      <c r="D2985" s="422" t="s">
        <v>666</v>
      </c>
      <c r="E2985" s="111">
        <v>15721</v>
      </c>
      <c r="F2985" s="421" t="s">
        <v>5182</v>
      </c>
    </row>
    <row r="2986" spans="1:15" x14ac:dyDescent="0.2">
      <c r="A2986" s="111">
        <v>3091</v>
      </c>
      <c r="B2986" s="421" t="s">
        <v>5183</v>
      </c>
      <c r="C2986" s="421" t="s">
        <v>502</v>
      </c>
      <c r="D2986" s="422" t="s">
        <v>666</v>
      </c>
      <c r="E2986" s="111">
        <v>15722</v>
      </c>
      <c r="F2986" s="421" t="s">
        <v>5184</v>
      </c>
    </row>
    <row r="2987" spans="1:15" x14ac:dyDescent="0.2">
      <c r="A2987" s="111">
        <v>3092</v>
      </c>
      <c r="B2987" s="421" t="s">
        <v>93</v>
      </c>
      <c r="C2987" s="421" t="s">
        <v>501</v>
      </c>
      <c r="D2987" s="422" t="s">
        <v>663</v>
      </c>
      <c r="E2987" s="111">
        <v>15705</v>
      </c>
      <c r="F2987" s="421" t="s">
        <v>5147</v>
      </c>
      <c r="H2987" s="112">
        <v>1</v>
      </c>
      <c r="I2987" s="112">
        <v>1</v>
      </c>
    </row>
    <row r="2988" spans="1:15" x14ac:dyDescent="0.2">
      <c r="A2988" s="111">
        <v>3093</v>
      </c>
      <c r="B2988" s="421" t="s">
        <v>4511</v>
      </c>
      <c r="C2988" s="421" t="s">
        <v>502</v>
      </c>
      <c r="D2988" s="422" t="s">
        <v>666</v>
      </c>
      <c r="E2988" s="111">
        <v>15713</v>
      </c>
      <c r="F2988" s="421" t="s">
        <v>5185</v>
      </c>
      <c r="G2988" s="112">
        <v>1</v>
      </c>
      <c r="H2988" s="112">
        <v>1</v>
      </c>
      <c r="I2988" s="112">
        <v>1</v>
      </c>
    </row>
    <row r="2989" spans="1:15" x14ac:dyDescent="0.2">
      <c r="A2989" s="111">
        <v>3094</v>
      </c>
      <c r="B2989" s="421" t="s">
        <v>5186</v>
      </c>
      <c r="C2989" s="421" t="s">
        <v>501</v>
      </c>
      <c r="D2989" s="422" t="s">
        <v>666</v>
      </c>
      <c r="E2989" s="111">
        <v>15723</v>
      </c>
      <c r="F2989" s="421" t="s">
        <v>5187</v>
      </c>
      <c r="G2989" s="112">
        <v>2</v>
      </c>
      <c r="H2989" s="112">
        <v>1</v>
      </c>
      <c r="I2989" s="112">
        <v>2</v>
      </c>
      <c r="J2989" s="112">
        <v>12</v>
      </c>
      <c r="K2989" s="112">
        <v>14</v>
      </c>
      <c r="L2989" s="112">
        <v>10</v>
      </c>
      <c r="M2989" s="112">
        <v>20</v>
      </c>
      <c r="N2989" s="112">
        <v>14</v>
      </c>
      <c r="O2989" s="112">
        <v>16</v>
      </c>
    </row>
    <row r="2990" spans="1:15" x14ac:dyDescent="0.2">
      <c r="A2990" s="111">
        <v>3095</v>
      </c>
      <c r="B2990" s="421" t="s">
        <v>5188</v>
      </c>
      <c r="C2990" s="421" t="s">
        <v>506</v>
      </c>
      <c r="D2990" s="422" t="s">
        <v>663</v>
      </c>
      <c r="E2990" s="111">
        <v>15724</v>
      </c>
      <c r="F2990" s="421" t="s">
        <v>1042</v>
      </c>
      <c r="G2990" s="112">
        <v>1</v>
      </c>
      <c r="H2990" s="112">
        <v>1</v>
      </c>
      <c r="I2990" s="112">
        <v>1</v>
      </c>
      <c r="J2990" s="112">
        <v>4</v>
      </c>
      <c r="K2990" s="112">
        <v>4</v>
      </c>
      <c r="L2990" s="112">
        <v>4</v>
      </c>
      <c r="M2990" s="112">
        <v>4</v>
      </c>
      <c r="N2990" s="112">
        <v>2</v>
      </c>
      <c r="O2990" s="112">
        <v>3</v>
      </c>
    </row>
    <row r="2991" spans="1:15" x14ac:dyDescent="0.2">
      <c r="A2991" s="111">
        <v>3096</v>
      </c>
      <c r="B2991" s="421" t="s">
        <v>5189</v>
      </c>
      <c r="C2991" s="421" t="s">
        <v>535</v>
      </c>
      <c r="D2991" s="422" t="s">
        <v>663</v>
      </c>
      <c r="E2991" s="111">
        <v>14780</v>
      </c>
      <c r="F2991" s="421" t="s">
        <v>2308</v>
      </c>
    </row>
    <row r="2992" spans="1:15" x14ac:dyDescent="0.2">
      <c r="A2992" s="111">
        <v>3097</v>
      </c>
      <c r="B2992" s="421" t="s">
        <v>80</v>
      </c>
      <c r="C2992" s="421" t="s">
        <v>532</v>
      </c>
      <c r="D2992" s="422" t="s">
        <v>663</v>
      </c>
      <c r="E2992" s="111">
        <v>15826</v>
      </c>
      <c r="F2992" s="421" t="s">
        <v>5190</v>
      </c>
      <c r="G2992" s="112">
        <v>1</v>
      </c>
      <c r="H2992" s="112">
        <v>1</v>
      </c>
      <c r="I2992" s="112">
        <v>1</v>
      </c>
      <c r="J2992" s="112">
        <v>3</v>
      </c>
      <c r="K2992" s="112">
        <v>3</v>
      </c>
      <c r="L2992" s="112">
        <v>4</v>
      </c>
      <c r="M2992" s="112">
        <v>5</v>
      </c>
      <c r="N2992" s="112">
        <v>5</v>
      </c>
      <c r="O2992" s="112">
        <v>3</v>
      </c>
    </row>
    <row r="2993" spans="1:15" x14ac:dyDescent="0.2">
      <c r="A2993" s="111">
        <v>3099</v>
      </c>
      <c r="B2993" s="421" t="s">
        <v>5191</v>
      </c>
      <c r="C2993" s="421" t="s">
        <v>1419</v>
      </c>
      <c r="D2993" s="422" t="s">
        <v>666</v>
      </c>
      <c r="E2993" s="111">
        <v>16080</v>
      </c>
      <c r="F2993" s="421" t="s">
        <v>5192</v>
      </c>
      <c r="G2993" s="112">
        <v>3</v>
      </c>
      <c r="H2993" s="112">
        <v>1</v>
      </c>
      <c r="I2993" s="112">
        <v>1</v>
      </c>
      <c r="J2993" s="112">
        <v>3</v>
      </c>
      <c r="K2993" s="112">
        <v>3</v>
      </c>
      <c r="L2993" s="112">
        <v>2</v>
      </c>
    </row>
    <row r="2994" spans="1:15" x14ac:dyDescent="0.2">
      <c r="A2994" s="111">
        <v>3100</v>
      </c>
      <c r="B2994" s="421" t="s">
        <v>5193</v>
      </c>
      <c r="C2994" s="421" t="s">
        <v>532</v>
      </c>
      <c r="D2994" s="422" t="s">
        <v>666</v>
      </c>
      <c r="F2994" s="421" t="s">
        <v>5194</v>
      </c>
    </row>
    <row r="2995" spans="1:15" x14ac:dyDescent="0.2">
      <c r="A2995" s="111">
        <v>3101</v>
      </c>
      <c r="B2995" s="421" t="s">
        <v>1617</v>
      </c>
      <c r="C2995" s="421" t="s">
        <v>5195</v>
      </c>
      <c r="D2995" s="422" t="s">
        <v>663</v>
      </c>
      <c r="E2995" s="111">
        <v>15726</v>
      </c>
      <c r="F2995" s="421" t="s">
        <v>5196</v>
      </c>
      <c r="G2995" s="112">
        <v>1</v>
      </c>
      <c r="H2995" s="112">
        <v>1</v>
      </c>
      <c r="I2995" s="112">
        <v>1</v>
      </c>
      <c r="J2995" s="112">
        <v>7</v>
      </c>
      <c r="K2995" s="112">
        <v>5</v>
      </c>
      <c r="L2995" s="112">
        <v>3</v>
      </c>
      <c r="M2995" s="112">
        <v>4</v>
      </c>
      <c r="N2995" s="112">
        <v>1</v>
      </c>
    </row>
    <row r="2996" spans="1:15" x14ac:dyDescent="0.2">
      <c r="A2996" s="111">
        <v>3102</v>
      </c>
      <c r="B2996" s="421" t="s">
        <v>5197</v>
      </c>
      <c r="C2996" s="421" t="s">
        <v>514</v>
      </c>
      <c r="D2996" s="422" t="s">
        <v>663</v>
      </c>
      <c r="E2996" s="111">
        <v>15727</v>
      </c>
      <c r="F2996" s="421" t="s">
        <v>5198</v>
      </c>
      <c r="G2996" s="112">
        <v>1</v>
      </c>
      <c r="H2996" s="112">
        <v>2</v>
      </c>
      <c r="I2996" s="112">
        <v>2</v>
      </c>
      <c r="J2996" s="112">
        <v>11</v>
      </c>
      <c r="K2996" s="112">
        <v>10</v>
      </c>
      <c r="L2996" s="112">
        <v>7</v>
      </c>
    </row>
    <row r="2997" spans="1:15" x14ac:dyDescent="0.2">
      <c r="A2997" s="111">
        <v>3103</v>
      </c>
      <c r="B2997" s="421" t="s">
        <v>5199</v>
      </c>
      <c r="C2997" s="421" t="s">
        <v>510</v>
      </c>
      <c r="D2997" s="422" t="s">
        <v>666</v>
      </c>
      <c r="E2997" s="111">
        <v>15728</v>
      </c>
      <c r="F2997" s="421" t="s">
        <v>5200</v>
      </c>
    </row>
    <row r="2998" spans="1:15" x14ac:dyDescent="0.2">
      <c r="A2998" s="111">
        <v>3104</v>
      </c>
      <c r="B2998" s="421" t="s">
        <v>5221</v>
      </c>
      <c r="C2998" s="421" t="s">
        <v>2412</v>
      </c>
      <c r="D2998" s="422" t="s">
        <v>663</v>
      </c>
      <c r="E2998" s="111">
        <v>15729</v>
      </c>
      <c r="F2998" s="421" t="s">
        <v>5222</v>
      </c>
      <c r="G2998" s="112">
        <v>1</v>
      </c>
      <c r="H2998" s="112">
        <v>2</v>
      </c>
      <c r="I2998" s="112">
        <v>1</v>
      </c>
      <c r="J2998" s="112">
        <v>9</v>
      </c>
      <c r="K2998" s="112">
        <v>7</v>
      </c>
      <c r="L2998" s="112">
        <v>8</v>
      </c>
      <c r="M2998" s="112">
        <v>3</v>
      </c>
      <c r="N2998" s="112">
        <v>3</v>
      </c>
      <c r="O2998" s="112">
        <v>3</v>
      </c>
    </row>
    <row r="2999" spans="1:15" x14ac:dyDescent="0.2">
      <c r="A2999" s="111">
        <v>3105</v>
      </c>
      <c r="B2999" s="421" t="s">
        <v>5223</v>
      </c>
      <c r="C2999" s="421" t="s">
        <v>534</v>
      </c>
      <c r="D2999" s="422" t="s">
        <v>663</v>
      </c>
      <c r="E2999" s="111">
        <v>15688</v>
      </c>
      <c r="F2999" s="421" t="s">
        <v>5224</v>
      </c>
      <c r="G2999" s="112">
        <v>1</v>
      </c>
      <c r="H2999" s="112">
        <v>1</v>
      </c>
      <c r="I2999" s="112">
        <v>1</v>
      </c>
      <c r="J2999" s="112">
        <v>6</v>
      </c>
      <c r="K2999" s="112">
        <v>5</v>
      </c>
      <c r="L2999" s="112">
        <v>4</v>
      </c>
      <c r="O2999" s="112">
        <v>1</v>
      </c>
    </row>
    <row r="3000" spans="1:15" x14ac:dyDescent="0.2">
      <c r="A3000" s="111">
        <v>3106</v>
      </c>
      <c r="B3000" s="421" t="s">
        <v>5225</v>
      </c>
      <c r="C3000" s="421" t="s">
        <v>1674</v>
      </c>
      <c r="D3000" s="422" t="s">
        <v>663</v>
      </c>
      <c r="E3000" s="111">
        <v>15017</v>
      </c>
      <c r="F3000" s="421" t="s">
        <v>2908</v>
      </c>
      <c r="G3000" s="112">
        <v>1</v>
      </c>
      <c r="H3000" s="112">
        <v>1</v>
      </c>
      <c r="I3000" s="112">
        <v>1</v>
      </c>
      <c r="J3000" s="112">
        <v>3</v>
      </c>
      <c r="K3000" s="112">
        <v>4</v>
      </c>
      <c r="L3000" s="112">
        <v>2</v>
      </c>
      <c r="M3000" s="112">
        <v>1</v>
      </c>
      <c r="N3000" s="112">
        <v>1</v>
      </c>
      <c r="O3000" s="112">
        <v>1</v>
      </c>
    </row>
    <row r="3001" spans="1:15" x14ac:dyDescent="0.2">
      <c r="A3001" s="111">
        <v>3107</v>
      </c>
      <c r="B3001" s="421" t="s">
        <v>2911</v>
      </c>
      <c r="C3001" s="421" t="s">
        <v>528</v>
      </c>
      <c r="D3001" s="422" t="s">
        <v>663</v>
      </c>
      <c r="E3001" s="111">
        <v>15731</v>
      </c>
      <c r="F3001" s="421" t="s">
        <v>5226</v>
      </c>
    </row>
    <row r="3002" spans="1:15" x14ac:dyDescent="0.2">
      <c r="A3002" s="111">
        <v>3108</v>
      </c>
      <c r="B3002" s="421" t="s">
        <v>186</v>
      </c>
      <c r="C3002" s="421" t="s">
        <v>501</v>
      </c>
      <c r="D3002" s="422" t="s">
        <v>666</v>
      </c>
      <c r="F3002" s="421" t="s">
        <v>5227</v>
      </c>
    </row>
    <row r="3003" spans="1:15" x14ac:dyDescent="0.2">
      <c r="A3003" s="111">
        <v>3109</v>
      </c>
      <c r="B3003" s="421" t="s">
        <v>1519</v>
      </c>
      <c r="C3003" s="421" t="s">
        <v>1758</v>
      </c>
      <c r="D3003" s="422" t="s">
        <v>666</v>
      </c>
      <c r="E3003" s="111">
        <v>15732</v>
      </c>
      <c r="F3003" s="421" t="s">
        <v>5228</v>
      </c>
      <c r="G3003" s="112">
        <v>1</v>
      </c>
      <c r="H3003" s="112">
        <v>1</v>
      </c>
      <c r="I3003" s="112">
        <v>1</v>
      </c>
    </row>
    <row r="3004" spans="1:15" x14ac:dyDescent="0.2">
      <c r="A3004" s="111">
        <v>3110</v>
      </c>
      <c r="B3004" s="421" t="s">
        <v>5229</v>
      </c>
      <c r="C3004" s="421" t="s">
        <v>1758</v>
      </c>
      <c r="D3004" s="422" t="s">
        <v>663</v>
      </c>
      <c r="E3004" s="111">
        <v>15732</v>
      </c>
      <c r="F3004" s="421" t="s">
        <v>5228</v>
      </c>
    </row>
    <row r="3005" spans="1:15" x14ac:dyDescent="0.2">
      <c r="A3005" s="111">
        <v>3111</v>
      </c>
      <c r="B3005" s="421" t="s">
        <v>5230</v>
      </c>
      <c r="C3005" s="421" t="s">
        <v>506</v>
      </c>
      <c r="D3005" s="422" t="s">
        <v>663</v>
      </c>
      <c r="E3005" s="111">
        <v>15734</v>
      </c>
      <c r="F3005" s="421" t="s">
        <v>5231</v>
      </c>
    </row>
    <row r="3006" spans="1:15" x14ac:dyDescent="0.2">
      <c r="A3006" s="111">
        <v>3112</v>
      </c>
      <c r="B3006" s="421" t="s">
        <v>5232</v>
      </c>
      <c r="C3006" s="421" t="s">
        <v>530</v>
      </c>
      <c r="D3006" s="422" t="s">
        <v>663</v>
      </c>
      <c r="E3006" s="111">
        <v>15733</v>
      </c>
      <c r="F3006" s="421" t="s">
        <v>5233</v>
      </c>
      <c r="G3006" s="112">
        <v>1</v>
      </c>
      <c r="H3006" s="112">
        <v>1</v>
      </c>
      <c r="I3006" s="112">
        <v>1</v>
      </c>
      <c r="J3006" s="112">
        <v>1</v>
      </c>
    </row>
    <row r="3007" spans="1:15" x14ac:dyDescent="0.2">
      <c r="A3007" s="111">
        <v>3113</v>
      </c>
      <c r="B3007" s="421" t="s">
        <v>5234</v>
      </c>
      <c r="C3007" s="421" t="s">
        <v>550</v>
      </c>
      <c r="D3007" s="422" t="s">
        <v>666</v>
      </c>
      <c r="E3007" s="111">
        <v>14778</v>
      </c>
      <c r="F3007" s="421" t="s">
        <v>2064</v>
      </c>
    </row>
    <row r="3008" spans="1:15" x14ac:dyDescent="0.2">
      <c r="A3008" s="111">
        <v>3114</v>
      </c>
      <c r="B3008" s="421" t="s">
        <v>5235</v>
      </c>
      <c r="C3008" s="421" t="s">
        <v>503</v>
      </c>
      <c r="D3008" s="422" t="s">
        <v>666</v>
      </c>
      <c r="F3008" s="421" t="s">
        <v>5236</v>
      </c>
    </row>
    <row r="3009" spans="1:15" x14ac:dyDescent="0.2">
      <c r="A3009" s="111">
        <v>3115</v>
      </c>
      <c r="B3009" s="421" t="s">
        <v>402</v>
      </c>
      <c r="C3009" s="421" t="s">
        <v>503</v>
      </c>
      <c r="D3009" s="422" t="s">
        <v>663</v>
      </c>
      <c r="E3009" s="111">
        <v>14875</v>
      </c>
      <c r="F3009" s="421" t="s">
        <v>3451</v>
      </c>
      <c r="G3009" s="112">
        <v>1</v>
      </c>
      <c r="H3009" s="112">
        <v>1</v>
      </c>
      <c r="I3009" s="112">
        <v>1</v>
      </c>
      <c r="J3009" s="112">
        <v>6</v>
      </c>
      <c r="K3009" s="112">
        <v>6</v>
      </c>
      <c r="L3009" s="112">
        <v>6</v>
      </c>
      <c r="M3009" s="112">
        <v>9</v>
      </c>
      <c r="N3009" s="112">
        <v>9</v>
      </c>
      <c r="O3009" s="112">
        <v>8</v>
      </c>
    </row>
    <row r="3010" spans="1:15" x14ac:dyDescent="0.2">
      <c r="A3010" s="111">
        <v>3116</v>
      </c>
      <c r="B3010" s="421" t="s">
        <v>5237</v>
      </c>
      <c r="C3010" s="421" t="s">
        <v>533</v>
      </c>
      <c r="D3010" s="422" t="s">
        <v>666</v>
      </c>
      <c r="E3010" s="111">
        <v>15735</v>
      </c>
      <c r="F3010" s="421" t="s">
        <v>5238</v>
      </c>
      <c r="G3010" s="112">
        <v>1</v>
      </c>
      <c r="H3010" s="112">
        <v>1</v>
      </c>
      <c r="I3010" s="112">
        <v>1</v>
      </c>
      <c r="J3010" s="112">
        <v>14</v>
      </c>
      <c r="K3010" s="112">
        <v>11</v>
      </c>
      <c r="L3010" s="112">
        <v>13</v>
      </c>
      <c r="M3010" s="112">
        <v>16</v>
      </c>
      <c r="N3010" s="112">
        <v>10</v>
      </c>
      <c r="O3010" s="112">
        <v>12</v>
      </c>
    </row>
    <row r="3011" spans="1:15" x14ac:dyDescent="0.2">
      <c r="A3011" s="111">
        <v>3117</v>
      </c>
      <c r="B3011" s="421" t="s">
        <v>1407</v>
      </c>
      <c r="C3011" s="421" t="s">
        <v>551</v>
      </c>
      <c r="D3011" s="422" t="s">
        <v>666</v>
      </c>
      <c r="F3011" s="421" t="s">
        <v>5239</v>
      </c>
    </row>
    <row r="3012" spans="1:15" x14ac:dyDescent="0.2">
      <c r="A3012" s="111">
        <v>3118</v>
      </c>
      <c r="B3012" s="421" t="s">
        <v>119</v>
      </c>
      <c r="C3012" s="421" t="s">
        <v>580</v>
      </c>
      <c r="D3012" s="422" t="s">
        <v>663</v>
      </c>
      <c r="E3012" s="111">
        <v>15736</v>
      </c>
      <c r="F3012" s="421" t="s">
        <v>5240</v>
      </c>
      <c r="G3012" s="112">
        <v>2</v>
      </c>
      <c r="H3012" s="112">
        <v>1</v>
      </c>
      <c r="I3012" s="112">
        <v>1</v>
      </c>
    </row>
    <row r="3013" spans="1:15" x14ac:dyDescent="0.2">
      <c r="A3013" s="111">
        <v>3119</v>
      </c>
      <c r="B3013" s="421" t="s">
        <v>5241</v>
      </c>
      <c r="C3013" s="421" t="s">
        <v>513</v>
      </c>
      <c r="D3013" s="422" t="s">
        <v>666</v>
      </c>
      <c r="E3013" s="111">
        <v>14367</v>
      </c>
      <c r="F3013" s="421" t="s">
        <v>831</v>
      </c>
      <c r="G3013" s="112">
        <v>2</v>
      </c>
      <c r="H3013" s="112">
        <v>1</v>
      </c>
      <c r="I3013" s="112">
        <v>1</v>
      </c>
      <c r="J3013" s="112">
        <v>14</v>
      </c>
      <c r="K3013" s="112">
        <v>10</v>
      </c>
      <c r="L3013" s="112">
        <v>10</v>
      </c>
      <c r="M3013" s="112">
        <v>19</v>
      </c>
      <c r="N3013" s="112">
        <v>10</v>
      </c>
      <c r="O3013" s="112">
        <v>14</v>
      </c>
    </row>
    <row r="3014" spans="1:15" x14ac:dyDescent="0.2">
      <c r="A3014" s="111">
        <v>3120</v>
      </c>
      <c r="B3014" s="421" t="s">
        <v>468</v>
      </c>
      <c r="C3014" s="421" t="s">
        <v>551</v>
      </c>
      <c r="D3014" s="422" t="s">
        <v>663</v>
      </c>
      <c r="E3014" s="111">
        <v>15556</v>
      </c>
      <c r="F3014" s="421" t="s">
        <v>4715</v>
      </c>
      <c r="G3014" s="112">
        <v>1</v>
      </c>
      <c r="H3014" s="112">
        <v>1</v>
      </c>
      <c r="I3014" s="112">
        <v>1</v>
      </c>
    </row>
    <row r="3015" spans="1:15" x14ac:dyDescent="0.2">
      <c r="A3015" s="111">
        <v>3121</v>
      </c>
      <c r="B3015" s="421" t="s">
        <v>2397</v>
      </c>
      <c r="C3015" s="421" t="s">
        <v>515</v>
      </c>
      <c r="D3015" s="422" t="s">
        <v>666</v>
      </c>
      <c r="E3015" s="111">
        <v>16799</v>
      </c>
      <c r="F3015" s="421" t="s">
        <v>5242</v>
      </c>
      <c r="G3015" s="112">
        <v>1</v>
      </c>
      <c r="H3015" s="112">
        <v>1</v>
      </c>
      <c r="I3015" s="112">
        <v>1</v>
      </c>
      <c r="J3015" s="112">
        <v>2</v>
      </c>
      <c r="K3015" s="112">
        <v>2</v>
      </c>
      <c r="L3015" s="112">
        <v>2</v>
      </c>
      <c r="M3015" s="112">
        <v>1</v>
      </c>
    </row>
    <row r="3016" spans="1:15" x14ac:dyDescent="0.2">
      <c r="A3016" s="111">
        <v>3122</v>
      </c>
      <c r="B3016" s="421" t="s">
        <v>488</v>
      </c>
      <c r="C3016" s="421" t="s">
        <v>1817</v>
      </c>
      <c r="D3016" s="422" t="s">
        <v>666</v>
      </c>
      <c r="E3016" s="111">
        <v>15737</v>
      </c>
      <c r="F3016" s="421" t="s">
        <v>5243</v>
      </c>
      <c r="G3016" s="112">
        <v>2</v>
      </c>
      <c r="H3016" s="112">
        <v>2</v>
      </c>
      <c r="I3016" s="112">
        <v>1</v>
      </c>
      <c r="J3016" s="112">
        <v>4</v>
      </c>
      <c r="K3016" s="112">
        <v>3</v>
      </c>
      <c r="L3016" s="112">
        <v>3</v>
      </c>
      <c r="M3016" s="112">
        <v>4</v>
      </c>
      <c r="N3016" s="112">
        <v>1</v>
      </c>
      <c r="O3016" s="112">
        <v>2</v>
      </c>
    </row>
    <row r="3017" spans="1:15" x14ac:dyDescent="0.2">
      <c r="A3017" s="111">
        <v>3123</v>
      </c>
      <c r="B3017" s="421" t="s">
        <v>5008</v>
      </c>
      <c r="C3017" s="421" t="s">
        <v>1112</v>
      </c>
      <c r="D3017" s="422" t="s">
        <v>666</v>
      </c>
      <c r="F3017" s="421" t="s">
        <v>5244</v>
      </c>
    </row>
    <row r="3018" spans="1:15" x14ac:dyDescent="0.2">
      <c r="A3018" s="111">
        <v>3124</v>
      </c>
      <c r="B3018" s="421" t="s">
        <v>5245</v>
      </c>
      <c r="C3018" s="421" t="s">
        <v>551</v>
      </c>
      <c r="D3018" s="422" t="s">
        <v>663</v>
      </c>
      <c r="E3018" s="111">
        <v>15926</v>
      </c>
      <c r="F3018" s="421" t="s">
        <v>5246</v>
      </c>
    </row>
    <row r="3019" spans="1:15" x14ac:dyDescent="0.2">
      <c r="A3019" s="111">
        <v>3125</v>
      </c>
      <c r="B3019" s="421" t="s">
        <v>1612</v>
      </c>
      <c r="C3019" s="421" t="s">
        <v>516</v>
      </c>
      <c r="D3019" s="422" t="s">
        <v>666</v>
      </c>
      <c r="E3019" s="111">
        <v>15926</v>
      </c>
      <c r="F3019" s="421" t="s">
        <v>5246</v>
      </c>
    </row>
    <row r="3020" spans="1:15" x14ac:dyDescent="0.2">
      <c r="A3020" s="111">
        <v>3126</v>
      </c>
      <c r="B3020" s="421" t="s">
        <v>5293</v>
      </c>
      <c r="C3020" s="421" t="s">
        <v>501</v>
      </c>
      <c r="D3020" s="422" t="s">
        <v>666</v>
      </c>
      <c r="E3020" s="111">
        <v>15805</v>
      </c>
      <c r="F3020" s="421" t="s">
        <v>5294</v>
      </c>
      <c r="G3020" s="112">
        <v>1</v>
      </c>
      <c r="H3020" s="112">
        <v>1</v>
      </c>
      <c r="I3020" s="112">
        <v>1</v>
      </c>
    </row>
    <row r="3021" spans="1:15" x14ac:dyDescent="0.2">
      <c r="A3021" s="111">
        <v>3127</v>
      </c>
      <c r="B3021" s="421" t="s">
        <v>3044</v>
      </c>
      <c r="C3021" s="421" t="s">
        <v>501</v>
      </c>
      <c r="D3021" s="422" t="s">
        <v>663</v>
      </c>
      <c r="E3021" s="111">
        <v>15741</v>
      </c>
      <c r="F3021" s="421" t="s">
        <v>5295</v>
      </c>
      <c r="G3021" s="112">
        <v>2</v>
      </c>
      <c r="H3021" s="112">
        <v>2</v>
      </c>
      <c r="I3021" s="112">
        <v>1</v>
      </c>
      <c r="J3021" s="112">
        <v>6</v>
      </c>
      <c r="K3021" s="112">
        <v>6</v>
      </c>
      <c r="L3021" s="112">
        <v>6</v>
      </c>
      <c r="M3021" s="112">
        <v>5</v>
      </c>
      <c r="N3021" s="112">
        <v>3</v>
      </c>
      <c r="O3021" s="112">
        <v>4</v>
      </c>
    </row>
    <row r="3022" spans="1:15" x14ac:dyDescent="0.2">
      <c r="A3022" s="111">
        <v>3128</v>
      </c>
      <c r="B3022" s="421" t="s">
        <v>5296</v>
      </c>
      <c r="C3022" s="421" t="s">
        <v>506</v>
      </c>
      <c r="D3022" s="422" t="s">
        <v>666</v>
      </c>
      <c r="E3022" s="111">
        <v>15742</v>
      </c>
      <c r="F3022" s="421" t="s">
        <v>5297</v>
      </c>
      <c r="G3022" s="112">
        <v>1</v>
      </c>
    </row>
    <row r="3023" spans="1:15" x14ac:dyDescent="0.2">
      <c r="A3023" s="111">
        <v>3129</v>
      </c>
      <c r="B3023" s="421" t="s">
        <v>5298</v>
      </c>
      <c r="C3023" s="421" t="s">
        <v>518</v>
      </c>
      <c r="D3023" s="422" t="s">
        <v>663</v>
      </c>
      <c r="E3023" s="111">
        <v>15743</v>
      </c>
      <c r="F3023" s="421" t="s">
        <v>5299</v>
      </c>
    </row>
    <row r="3024" spans="1:15" x14ac:dyDescent="0.2">
      <c r="A3024" s="111">
        <v>3130</v>
      </c>
      <c r="B3024" s="421" t="s">
        <v>3894</v>
      </c>
      <c r="C3024" s="421" t="s">
        <v>506</v>
      </c>
      <c r="D3024" s="422" t="s">
        <v>666</v>
      </c>
      <c r="E3024" s="111">
        <v>15810</v>
      </c>
      <c r="F3024" s="421" t="s">
        <v>5300</v>
      </c>
      <c r="G3024" s="112">
        <v>1</v>
      </c>
      <c r="H3024" s="112">
        <v>2</v>
      </c>
      <c r="I3024" s="112">
        <v>1</v>
      </c>
      <c r="J3024" s="112">
        <v>7</v>
      </c>
      <c r="K3024" s="112">
        <v>7</v>
      </c>
      <c r="L3024" s="112">
        <v>7</v>
      </c>
      <c r="M3024" s="112">
        <v>6</v>
      </c>
      <c r="N3024" s="112">
        <v>3</v>
      </c>
      <c r="O3024" s="112">
        <v>2</v>
      </c>
    </row>
    <row r="3025" spans="1:15" x14ac:dyDescent="0.2">
      <c r="A3025" s="111">
        <v>3131</v>
      </c>
      <c r="B3025" s="421" t="s">
        <v>5301</v>
      </c>
      <c r="C3025" s="421" t="s">
        <v>506</v>
      </c>
      <c r="D3025" s="422" t="s">
        <v>663</v>
      </c>
      <c r="E3025" s="111">
        <v>15810</v>
      </c>
      <c r="F3025" s="421" t="s">
        <v>5300</v>
      </c>
      <c r="G3025" s="112">
        <v>1</v>
      </c>
      <c r="H3025" s="112">
        <v>1</v>
      </c>
      <c r="I3025" s="112">
        <v>1</v>
      </c>
      <c r="J3025" s="112">
        <v>10</v>
      </c>
      <c r="K3025" s="112">
        <v>10</v>
      </c>
      <c r="L3025" s="112">
        <v>10</v>
      </c>
      <c r="M3025" s="112">
        <v>11</v>
      </c>
      <c r="N3025" s="112">
        <v>10</v>
      </c>
      <c r="O3025" s="112">
        <v>8</v>
      </c>
    </row>
    <row r="3026" spans="1:15" x14ac:dyDescent="0.2">
      <c r="A3026" s="111">
        <v>3132</v>
      </c>
      <c r="B3026" s="421" t="s">
        <v>1689</v>
      </c>
      <c r="C3026" s="421" t="s">
        <v>523</v>
      </c>
      <c r="D3026" s="422" t="s">
        <v>666</v>
      </c>
      <c r="E3026" s="111">
        <v>14104</v>
      </c>
      <c r="F3026" s="421" t="s">
        <v>746</v>
      </c>
      <c r="G3026" s="112">
        <v>1</v>
      </c>
      <c r="H3026" s="112">
        <v>1</v>
      </c>
      <c r="I3026" s="112">
        <v>1</v>
      </c>
      <c r="K3026" s="112">
        <v>1</v>
      </c>
    </row>
    <row r="3027" spans="1:15" x14ac:dyDescent="0.2">
      <c r="A3027" s="111">
        <v>3133</v>
      </c>
      <c r="B3027" s="421" t="s">
        <v>435</v>
      </c>
      <c r="C3027" s="421" t="s">
        <v>523</v>
      </c>
      <c r="D3027" s="422" t="s">
        <v>663</v>
      </c>
      <c r="E3027" s="111">
        <v>14104</v>
      </c>
      <c r="F3027" s="421" t="s">
        <v>746</v>
      </c>
      <c r="G3027" s="112">
        <v>1</v>
      </c>
      <c r="H3027" s="112">
        <v>1</v>
      </c>
      <c r="I3027" s="112">
        <v>1</v>
      </c>
      <c r="J3027" s="112">
        <v>1</v>
      </c>
      <c r="L3027" s="112">
        <v>1</v>
      </c>
    </row>
    <row r="3028" spans="1:15" x14ac:dyDescent="0.2">
      <c r="A3028" s="111">
        <v>3134</v>
      </c>
      <c r="B3028" s="421" t="s">
        <v>214</v>
      </c>
      <c r="C3028" s="421" t="s">
        <v>504</v>
      </c>
      <c r="D3028" s="422" t="s">
        <v>666</v>
      </c>
      <c r="E3028" s="111">
        <v>14549</v>
      </c>
      <c r="F3028" s="421" t="s">
        <v>1662</v>
      </c>
    </row>
    <row r="3029" spans="1:15" x14ac:dyDescent="0.2">
      <c r="A3029" s="111">
        <v>3135</v>
      </c>
      <c r="B3029" s="421" t="s">
        <v>2155</v>
      </c>
      <c r="C3029" s="421" t="s">
        <v>506</v>
      </c>
      <c r="D3029" s="422" t="s">
        <v>666</v>
      </c>
      <c r="E3029" s="111">
        <v>15740</v>
      </c>
      <c r="F3029" s="421" t="s">
        <v>5302</v>
      </c>
      <c r="G3029" s="112">
        <v>1</v>
      </c>
      <c r="H3029" s="112">
        <v>1</v>
      </c>
      <c r="I3029" s="112">
        <v>1</v>
      </c>
      <c r="J3029" s="112">
        <v>2</v>
      </c>
      <c r="K3029" s="112">
        <v>2</v>
      </c>
      <c r="L3029" s="112">
        <v>2</v>
      </c>
      <c r="M3029" s="112">
        <v>2</v>
      </c>
    </row>
    <row r="3030" spans="1:15" x14ac:dyDescent="0.2">
      <c r="A3030" s="111">
        <v>3136</v>
      </c>
      <c r="B3030" s="421" t="s">
        <v>5303</v>
      </c>
      <c r="C3030" s="421" t="s">
        <v>525</v>
      </c>
      <c r="D3030" s="422" t="s">
        <v>663</v>
      </c>
      <c r="F3030" s="421" t="s">
        <v>5304</v>
      </c>
    </row>
    <row r="3031" spans="1:15" x14ac:dyDescent="0.2">
      <c r="A3031" s="111">
        <v>3137</v>
      </c>
      <c r="B3031" s="421" t="s">
        <v>5305</v>
      </c>
      <c r="C3031" s="421" t="s">
        <v>572</v>
      </c>
      <c r="D3031" s="422" t="s">
        <v>663</v>
      </c>
      <c r="E3031" s="111">
        <v>15706</v>
      </c>
      <c r="F3031" s="421" t="s">
        <v>5154</v>
      </c>
      <c r="G3031" s="112">
        <v>1</v>
      </c>
      <c r="H3031" s="112">
        <v>1</v>
      </c>
      <c r="I3031" s="112">
        <v>1</v>
      </c>
      <c r="J3031" s="112">
        <v>1</v>
      </c>
      <c r="K3031" s="112">
        <v>1</v>
      </c>
    </row>
    <row r="3032" spans="1:15" x14ac:dyDescent="0.2">
      <c r="A3032" s="111">
        <v>3138</v>
      </c>
      <c r="B3032" s="421" t="s">
        <v>5306</v>
      </c>
      <c r="C3032" s="421" t="s">
        <v>527</v>
      </c>
      <c r="D3032" s="422" t="s">
        <v>666</v>
      </c>
      <c r="E3032" s="111">
        <v>15745</v>
      </c>
      <c r="F3032" s="421" t="s">
        <v>718</v>
      </c>
      <c r="G3032" s="112">
        <v>1</v>
      </c>
      <c r="H3032" s="112">
        <v>1</v>
      </c>
      <c r="I3032" s="112">
        <v>1</v>
      </c>
    </row>
    <row r="3033" spans="1:15" x14ac:dyDescent="0.2">
      <c r="A3033" s="111">
        <v>3139</v>
      </c>
      <c r="B3033" s="421" t="s">
        <v>3392</v>
      </c>
      <c r="C3033" s="421" t="s">
        <v>551</v>
      </c>
      <c r="D3033" s="422" t="s">
        <v>663</v>
      </c>
      <c r="E3033" s="111">
        <v>15746</v>
      </c>
      <c r="F3033" s="421" t="s">
        <v>5307</v>
      </c>
      <c r="G3033" s="112">
        <v>1</v>
      </c>
    </row>
    <row r="3034" spans="1:15" x14ac:dyDescent="0.2">
      <c r="A3034" s="111">
        <v>3140</v>
      </c>
      <c r="B3034" s="421" t="s">
        <v>353</v>
      </c>
      <c r="C3034" s="421" t="s">
        <v>516</v>
      </c>
      <c r="D3034" s="422" t="s">
        <v>663</v>
      </c>
      <c r="E3034" s="111">
        <v>15747</v>
      </c>
      <c r="F3034" s="421" t="s">
        <v>5308</v>
      </c>
      <c r="G3034" s="112">
        <v>1</v>
      </c>
      <c r="H3034" s="112">
        <v>1</v>
      </c>
      <c r="I3034" s="112">
        <v>1</v>
      </c>
      <c r="J3034" s="112">
        <v>2</v>
      </c>
      <c r="K3034" s="112">
        <v>2</v>
      </c>
      <c r="L3034" s="112">
        <v>2</v>
      </c>
    </row>
    <row r="3035" spans="1:15" x14ac:dyDescent="0.2">
      <c r="A3035" s="111">
        <v>3141</v>
      </c>
      <c r="B3035" s="421" t="s">
        <v>2930</v>
      </c>
      <c r="C3035" s="421" t="s">
        <v>1523</v>
      </c>
      <c r="D3035" s="422" t="s">
        <v>666</v>
      </c>
      <c r="E3035" s="111">
        <v>15748</v>
      </c>
      <c r="F3035" s="421" t="s">
        <v>5309</v>
      </c>
      <c r="G3035" s="112">
        <v>1</v>
      </c>
      <c r="H3035" s="112">
        <v>1</v>
      </c>
      <c r="I3035" s="112">
        <v>1</v>
      </c>
    </row>
    <row r="3036" spans="1:15" x14ac:dyDescent="0.2">
      <c r="A3036" s="111">
        <v>3142</v>
      </c>
      <c r="B3036" s="421" t="s">
        <v>1085</v>
      </c>
      <c r="C3036" s="421" t="s">
        <v>2362</v>
      </c>
      <c r="D3036" s="422" t="s">
        <v>663</v>
      </c>
      <c r="E3036" s="111">
        <v>15749</v>
      </c>
      <c r="F3036" s="421" t="s">
        <v>5310</v>
      </c>
      <c r="G3036" s="112">
        <v>2</v>
      </c>
      <c r="H3036" s="112">
        <v>1</v>
      </c>
      <c r="I3036" s="112">
        <v>2</v>
      </c>
      <c r="J3036" s="112">
        <v>7</v>
      </c>
      <c r="K3036" s="112">
        <v>6</v>
      </c>
      <c r="L3036" s="112">
        <v>7</v>
      </c>
      <c r="M3036" s="112">
        <v>8</v>
      </c>
      <c r="N3036" s="112">
        <v>2</v>
      </c>
      <c r="O3036" s="112">
        <v>1</v>
      </c>
    </row>
    <row r="3037" spans="1:15" x14ac:dyDescent="0.2">
      <c r="A3037" s="111">
        <v>3143</v>
      </c>
      <c r="B3037" s="421" t="s">
        <v>5311</v>
      </c>
      <c r="C3037" s="421" t="s">
        <v>501</v>
      </c>
      <c r="D3037" s="422" t="s">
        <v>666</v>
      </c>
      <c r="E3037" s="111">
        <v>15750</v>
      </c>
      <c r="F3037" s="421" t="s">
        <v>5312</v>
      </c>
    </row>
    <row r="3038" spans="1:15" x14ac:dyDescent="0.2">
      <c r="A3038" s="111">
        <v>3144</v>
      </c>
      <c r="B3038" s="421" t="s">
        <v>2994</v>
      </c>
      <c r="C3038" s="421" t="s">
        <v>530</v>
      </c>
      <c r="D3038" s="422" t="s">
        <v>666</v>
      </c>
      <c r="F3038" s="421" t="s">
        <v>5313</v>
      </c>
    </row>
    <row r="3039" spans="1:15" x14ac:dyDescent="0.2">
      <c r="A3039" s="111">
        <v>3145</v>
      </c>
      <c r="B3039" s="421" t="s">
        <v>2360</v>
      </c>
      <c r="C3039" s="421" t="s">
        <v>516</v>
      </c>
      <c r="D3039" s="422" t="s">
        <v>666</v>
      </c>
      <c r="F3039" s="421" t="s">
        <v>5314</v>
      </c>
    </row>
    <row r="3040" spans="1:15" x14ac:dyDescent="0.2">
      <c r="A3040" s="111">
        <v>3146</v>
      </c>
      <c r="B3040" s="421" t="s">
        <v>140</v>
      </c>
      <c r="C3040" s="421" t="s">
        <v>507</v>
      </c>
      <c r="D3040" s="422" t="s">
        <v>663</v>
      </c>
      <c r="E3040" s="111">
        <v>15843</v>
      </c>
      <c r="F3040" s="421" t="s">
        <v>5315</v>
      </c>
      <c r="G3040" s="112">
        <v>1</v>
      </c>
      <c r="H3040" s="112">
        <v>1</v>
      </c>
      <c r="I3040" s="112">
        <v>1</v>
      </c>
      <c r="J3040" s="112">
        <v>2</v>
      </c>
    </row>
    <row r="3041" spans="1:15" x14ac:dyDescent="0.2">
      <c r="A3041" s="111">
        <v>3147</v>
      </c>
      <c r="B3041" s="421" t="s">
        <v>1449</v>
      </c>
      <c r="C3041" s="421" t="s">
        <v>5316</v>
      </c>
      <c r="D3041" s="422" t="s">
        <v>666</v>
      </c>
      <c r="E3041" s="111">
        <v>15843</v>
      </c>
      <c r="F3041" s="421" t="s">
        <v>5315</v>
      </c>
      <c r="G3041" s="112">
        <v>2</v>
      </c>
      <c r="H3041" s="112">
        <v>1</v>
      </c>
      <c r="I3041" s="112">
        <v>1</v>
      </c>
      <c r="K3041" s="112">
        <v>1</v>
      </c>
      <c r="L3041" s="112">
        <v>1</v>
      </c>
    </row>
    <row r="3042" spans="1:15" x14ac:dyDescent="0.2">
      <c r="A3042" s="111">
        <v>3148</v>
      </c>
      <c r="B3042" s="421" t="s">
        <v>2118</v>
      </c>
      <c r="C3042" s="421" t="s">
        <v>503</v>
      </c>
      <c r="D3042" s="422" t="s">
        <v>666</v>
      </c>
      <c r="E3042" s="111">
        <v>15751</v>
      </c>
      <c r="F3042" s="421" t="s">
        <v>5317</v>
      </c>
      <c r="G3042" s="112">
        <v>1</v>
      </c>
      <c r="H3042" s="112">
        <v>1</v>
      </c>
      <c r="I3042" s="112">
        <v>1</v>
      </c>
    </row>
    <row r="3043" spans="1:15" x14ac:dyDescent="0.2">
      <c r="A3043" s="111">
        <v>3149</v>
      </c>
      <c r="B3043" s="421" t="s">
        <v>5318</v>
      </c>
      <c r="C3043" s="421" t="s">
        <v>503</v>
      </c>
      <c r="D3043" s="422" t="s">
        <v>663</v>
      </c>
      <c r="E3043" s="111">
        <v>15753</v>
      </c>
      <c r="F3043" s="421" t="s">
        <v>5319</v>
      </c>
      <c r="G3043" s="112">
        <v>1</v>
      </c>
      <c r="H3043" s="112">
        <v>1</v>
      </c>
      <c r="I3043" s="112">
        <v>1</v>
      </c>
    </row>
    <row r="3044" spans="1:15" x14ac:dyDescent="0.2">
      <c r="A3044" s="111">
        <v>3150</v>
      </c>
      <c r="B3044" s="421" t="s">
        <v>5320</v>
      </c>
      <c r="C3044" s="421" t="s">
        <v>574</v>
      </c>
      <c r="D3044" s="422" t="s">
        <v>666</v>
      </c>
      <c r="E3044" s="111">
        <v>14198</v>
      </c>
      <c r="F3044" s="421" t="s">
        <v>912</v>
      </c>
    </row>
    <row r="3045" spans="1:15" x14ac:dyDescent="0.2">
      <c r="A3045" s="111">
        <v>3151</v>
      </c>
      <c r="B3045" s="421" t="s">
        <v>310</v>
      </c>
      <c r="C3045" s="421" t="s">
        <v>513</v>
      </c>
      <c r="D3045" s="422" t="s">
        <v>663</v>
      </c>
      <c r="E3045" s="111">
        <v>15752</v>
      </c>
      <c r="F3045" s="421" t="s">
        <v>5321</v>
      </c>
      <c r="G3045" s="112">
        <v>1</v>
      </c>
      <c r="H3045" s="112">
        <v>1</v>
      </c>
      <c r="I3045" s="112">
        <v>1</v>
      </c>
    </row>
    <row r="3046" spans="1:15" x14ac:dyDescent="0.2">
      <c r="A3046" s="111">
        <v>3152</v>
      </c>
      <c r="B3046" s="421" t="s">
        <v>2813</v>
      </c>
      <c r="C3046" s="421" t="s">
        <v>501</v>
      </c>
      <c r="D3046" s="422" t="s">
        <v>666</v>
      </c>
      <c r="F3046" s="421" t="s">
        <v>5322</v>
      </c>
      <c r="G3046" s="112">
        <v>1</v>
      </c>
      <c r="H3046" s="112">
        <v>1</v>
      </c>
      <c r="I3046" s="112">
        <v>1</v>
      </c>
    </row>
    <row r="3047" spans="1:15" x14ac:dyDescent="0.2">
      <c r="A3047" s="111">
        <v>3153</v>
      </c>
      <c r="B3047" s="421" t="s">
        <v>1585</v>
      </c>
      <c r="C3047" s="421" t="s">
        <v>513</v>
      </c>
      <c r="D3047" s="422" t="s">
        <v>666</v>
      </c>
      <c r="F3047" s="421" t="s">
        <v>5322</v>
      </c>
    </row>
    <row r="3048" spans="1:15" x14ac:dyDescent="0.2">
      <c r="A3048" s="111">
        <v>3154</v>
      </c>
      <c r="B3048" s="421" t="s">
        <v>5323</v>
      </c>
      <c r="C3048" s="421" t="s">
        <v>551</v>
      </c>
      <c r="D3048" s="422" t="s">
        <v>663</v>
      </c>
      <c r="E3048" s="111">
        <v>15755</v>
      </c>
      <c r="F3048" s="421" t="s">
        <v>5324</v>
      </c>
    </row>
    <row r="3049" spans="1:15" x14ac:dyDescent="0.2">
      <c r="A3049" s="111">
        <v>3155</v>
      </c>
      <c r="B3049" s="421" t="s">
        <v>159</v>
      </c>
      <c r="C3049" s="421" t="s">
        <v>501</v>
      </c>
      <c r="D3049" s="422" t="s">
        <v>663</v>
      </c>
      <c r="E3049" s="111">
        <v>14856</v>
      </c>
      <c r="F3049" s="421" t="s">
        <v>2523</v>
      </c>
    </row>
    <row r="3050" spans="1:15" x14ac:dyDescent="0.2">
      <c r="A3050" s="111">
        <v>3156</v>
      </c>
      <c r="B3050" s="421" t="s">
        <v>5325</v>
      </c>
      <c r="C3050" s="421" t="s">
        <v>513</v>
      </c>
      <c r="D3050" s="422" t="s">
        <v>666</v>
      </c>
      <c r="E3050" s="111">
        <v>14958</v>
      </c>
      <c r="F3050" s="421" t="s">
        <v>2812</v>
      </c>
      <c r="G3050" s="112">
        <v>1</v>
      </c>
      <c r="H3050" s="112">
        <v>1</v>
      </c>
      <c r="I3050" s="112">
        <v>2</v>
      </c>
      <c r="J3050" s="112">
        <v>9</v>
      </c>
      <c r="K3050" s="112">
        <v>7</v>
      </c>
      <c r="L3050" s="112">
        <v>11</v>
      </c>
      <c r="M3050" s="112">
        <v>11</v>
      </c>
      <c r="N3050" s="112">
        <v>2</v>
      </c>
      <c r="O3050" s="112">
        <v>7</v>
      </c>
    </row>
    <row r="3051" spans="1:15" x14ac:dyDescent="0.2">
      <c r="A3051" s="111">
        <v>3157</v>
      </c>
      <c r="B3051" s="421" t="s">
        <v>2468</v>
      </c>
      <c r="C3051" s="421" t="s">
        <v>513</v>
      </c>
      <c r="D3051" s="422" t="s">
        <v>663</v>
      </c>
      <c r="E3051" s="111">
        <v>14958</v>
      </c>
      <c r="F3051" s="421" t="s">
        <v>2812</v>
      </c>
      <c r="G3051" s="112">
        <v>1</v>
      </c>
      <c r="H3051" s="112">
        <v>1</v>
      </c>
      <c r="I3051" s="112">
        <v>1</v>
      </c>
    </row>
    <row r="3052" spans="1:15" x14ac:dyDescent="0.2">
      <c r="A3052" s="111">
        <v>3158</v>
      </c>
      <c r="B3052" s="421" t="s">
        <v>5326</v>
      </c>
      <c r="C3052" s="421" t="s">
        <v>510</v>
      </c>
      <c r="D3052" s="422" t="s">
        <v>663</v>
      </c>
      <c r="E3052" s="111">
        <v>14683</v>
      </c>
      <c r="F3052" s="421" t="s">
        <v>2090</v>
      </c>
      <c r="G3052" s="112">
        <v>2</v>
      </c>
      <c r="H3052" s="112">
        <v>1</v>
      </c>
      <c r="I3052" s="112">
        <v>1</v>
      </c>
      <c r="J3052" s="112">
        <v>4</v>
      </c>
      <c r="K3052" s="112">
        <v>7</v>
      </c>
      <c r="L3052" s="112">
        <v>4</v>
      </c>
    </row>
    <row r="3053" spans="1:15" x14ac:dyDescent="0.2">
      <c r="A3053" s="111">
        <v>3159</v>
      </c>
      <c r="B3053" s="421" t="s">
        <v>2058</v>
      </c>
      <c r="C3053" s="421" t="s">
        <v>513</v>
      </c>
      <c r="D3053" s="422" t="s">
        <v>666</v>
      </c>
      <c r="E3053" s="111">
        <v>15264</v>
      </c>
      <c r="F3053" s="421" t="s">
        <v>3552</v>
      </c>
      <c r="G3053" s="112">
        <v>1</v>
      </c>
      <c r="H3053" s="112">
        <v>1</v>
      </c>
      <c r="I3053" s="112">
        <v>1</v>
      </c>
      <c r="J3053" s="112">
        <v>5</v>
      </c>
      <c r="K3053" s="112">
        <v>5</v>
      </c>
      <c r="L3053" s="112">
        <v>5</v>
      </c>
      <c r="M3053" s="112">
        <v>10</v>
      </c>
      <c r="N3053" s="112">
        <v>7</v>
      </c>
      <c r="O3053" s="112">
        <v>7</v>
      </c>
    </row>
    <row r="3054" spans="1:15" x14ac:dyDescent="0.2">
      <c r="A3054" s="111">
        <v>3160</v>
      </c>
      <c r="B3054" s="421" t="s">
        <v>5327</v>
      </c>
      <c r="C3054" s="421" t="s">
        <v>628</v>
      </c>
      <c r="D3054" s="422" t="s">
        <v>663</v>
      </c>
      <c r="E3054" s="111">
        <v>16447</v>
      </c>
      <c r="F3054" s="421" t="s">
        <v>5328</v>
      </c>
      <c r="G3054" s="112">
        <v>1</v>
      </c>
      <c r="H3054" s="112">
        <v>2</v>
      </c>
      <c r="I3054" s="112">
        <v>1</v>
      </c>
      <c r="J3054" s="112">
        <v>2</v>
      </c>
      <c r="K3054" s="112">
        <v>3</v>
      </c>
      <c r="L3054" s="112">
        <v>1</v>
      </c>
    </row>
    <row r="3055" spans="1:15" x14ac:dyDescent="0.2">
      <c r="A3055" s="111">
        <v>3161</v>
      </c>
      <c r="B3055" s="421" t="s">
        <v>186</v>
      </c>
      <c r="C3055" s="421" t="s">
        <v>513</v>
      </c>
      <c r="D3055" s="422" t="s">
        <v>666</v>
      </c>
      <c r="E3055" s="111">
        <v>15075</v>
      </c>
      <c r="F3055" s="421" t="s">
        <v>3087</v>
      </c>
      <c r="G3055" s="112">
        <v>2</v>
      </c>
      <c r="H3055" s="112">
        <v>1</v>
      </c>
      <c r="I3055" s="112">
        <v>2</v>
      </c>
      <c r="J3055" s="112">
        <v>9</v>
      </c>
      <c r="K3055" s="112">
        <v>7</v>
      </c>
      <c r="L3055" s="112">
        <v>7</v>
      </c>
      <c r="M3055" s="112">
        <v>6</v>
      </c>
      <c r="N3055" s="112">
        <v>3</v>
      </c>
      <c r="O3055" s="112">
        <v>3</v>
      </c>
    </row>
    <row r="3056" spans="1:15" x14ac:dyDescent="0.2">
      <c r="A3056" s="111">
        <v>3162</v>
      </c>
      <c r="B3056" s="421" t="s">
        <v>5329</v>
      </c>
      <c r="C3056" s="421" t="s">
        <v>506</v>
      </c>
      <c r="D3056" s="422" t="s">
        <v>663</v>
      </c>
      <c r="E3056" s="111">
        <v>15756</v>
      </c>
      <c r="F3056" s="421" t="s">
        <v>5330</v>
      </c>
      <c r="G3056" s="112">
        <v>2</v>
      </c>
      <c r="H3056" s="112">
        <v>1</v>
      </c>
      <c r="I3056" s="112">
        <v>1</v>
      </c>
      <c r="J3056" s="112">
        <v>8</v>
      </c>
      <c r="K3056" s="112">
        <v>6</v>
      </c>
      <c r="L3056" s="112">
        <v>7</v>
      </c>
      <c r="M3056" s="112">
        <v>5</v>
      </c>
      <c r="N3056" s="112">
        <v>1</v>
      </c>
      <c r="O3056" s="112">
        <v>4</v>
      </c>
    </row>
    <row r="3057" spans="1:15" x14ac:dyDescent="0.2">
      <c r="A3057" s="111">
        <v>3163</v>
      </c>
      <c r="B3057" s="421" t="s">
        <v>218</v>
      </c>
      <c r="C3057" s="421" t="s">
        <v>518</v>
      </c>
      <c r="D3057" s="422" t="s">
        <v>666</v>
      </c>
      <c r="F3057" s="421" t="s">
        <v>10615</v>
      </c>
      <c r="G3057" s="112">
        <v>1</v>
      </c>
      <c r="H3057" s="112">
        <v>1</v>
      </c>
      <c r="I3057" s="112">
        <v>1</v>
      </c>
    </row>
    <row r="3058" spans="1:15" x14ac:dyDescent="0.2">
      <c r="A3058" s="111">
        <v>3164</v>
      </c>
      <c r="B3058" s="421" t="s">
        <v>45</v>
      </c>
      <c r="C3058" s="421" t="s">
        <v>512</v>
      </c>
      <c r="D3058" s="422" t="s">
        <v>666</v>
      </c>
      <c r="E3058" s="111">
        <v>15929</v>
      </c>
      <c r="F3058" s="421" t="s">
        <v>5331</v>
      </c>
      <c r="G3058" s="112">
        <v>1</v>
      </c>
      <c r="H3058" s="112">
        <v>1</v>
      </c>
      <c r="I3058" s="112">
        <v>1</v>
      </c>
      <c r="J3058" s="112">
        <v>5</v>
      </c>
      <c r="K3058" s="112">
        <v>4</v>
      </c>
      <c r="L3058" s="112">
        <v>4</v>
      </c>
      <c r="M3058" s="112">
        <v>4</v>
      </c>
      <c r="N3058" s="112">
        <v>1</v>
      </c>
      <c r="O3058" s="112">
        <v>2</v>
      </c>
    </row>
    <row r="3059" spans="1:15" x14ac:dyDescent="0.2">
      <c r="A3059" s="111">
        <v>3165</v>
      </c>
      <c r="B3059" s="421" t="s">
        <v>2022</v>
      </c>
      <c r="C3059" s="421" t="s">
        <v>551</v>
      </c>
      <c r="D3059" s="422" t="s">
        <v>663</v>
      </c>
      <c r="E3059" s="111">
        <v>15380</v>
      </c>
      <c r="F3059" s="421" t="s">
        <v>3976</v>
      </c>
      <c r="G3059" s="112">
        <v>1</v>
      </c>
      <c r="H3059" s="112">
        <v>1</v>
      </c>
      <c r="I3059" s="112">
        <v>1</v>
      </c>
      <c r="J3059" s="112">
        <v>9</v>
      </c>
      <c r="K3059" s="112">
        <v>9</v>
      </c>
      <c r="L3059" s="112">
        <v>9</v>
      </c>
      <c r="M3059" s="112">
        <v>3</v>
      </c>
      <c r="N3059" s="112">
        <v>1</v>
      </c>
      <c r="O3059" s="112">
        <v>2</v>
      </c>
    </row>
    <row r="3060" spans="1:15" x14ac:dyDescent="0.2">
      <c r="A3060" s="111">
        <v>3166</v>
      </c>
      <c r="B3060" s="421" t="s">
        <v>5332</v>
      </c>
      <c r="C3060" s="421" t="s">
        <v>2165</v>
      </c>
      <c r="D3060" s="422" t="s">
        <v>663</v>
      </c>
      <c r="E3060" s="111">
        <v>15536</v>
      </c>
      <c r="F3060" s="421" t="s">
        <v>4705</v>
      </c>
      <c r="G3060" s="112">
        <v>1</v>
      </c>
      <c r="H3060" s="112">
        <v>1</v>
      </c>
      <c r="I3060" s="112">
        <v>1</v>
      </c>
      <c r="J3060" s="112">
        <v>2</v>
      </c>
      <c r="K3060" s="112">
        <v>1</v>
      </c>
      <c r="L3060" s="112">
        <v>1</v>
      </c>
      <c r="M3060" s="112">
        <v>3</v>
      </c>
    </row>
    <row r="3061" spans="1:15" x14ac:dyDescent="0.2">
      <c r="A3061" s="111">
        <v>3167</v>
      </c>
      <c r="B3061" s="421" t="s">
        <v>152</v>
      </c>
      <c r="C3061" s="421" t="s">
        <v>1674</v>
      </c>
      <c r="D3061" s="422" t="s">
        <v>666</v>
      </c>
      <c r="E3061" s="111">
        <v>14548</v>
      </c>
      <c r="F3061" s="421" t="s">
        <v>1675</v>
      </c>
      <c r="G3061" s="112">
        <v>2</v>
      </c>
      <c r="H3061" s="112">
        <v>2</v>
      </c>
      <c r="I3061" s="112">
        <v>1</v>
      </c>
      <c r="J3061" s="112">
        <v>10</v>
      </c>
      <c r="K3061" s="112">
        <v>10</v>
      </c>
      <c r="L3061" s="112">
        <v>10</v>
      </c>
      <c r="M3061" s="112">
        <v>13</v>
      </c>
      <c r="N3061" s="112">
        <v>9</v>
      </c>
      <c r="O3061" s="112">
        <v>10</v>
      </c>
    </row>
    <row r="3062" spans="1:15" x14ac:dyDescent="0.2">
      <c r="A3062" s="111">
        <v>3168</v>
      </c>
      <c r="B3062" s="421" t="s">
        <v>5333</v>
      </c>
      <c r="C3062" s="421" t="s">
        <v>506</v>
      </c>
      <c r="D3062" s="422" t="s">
        <v>666</v>
      </c>
      <c r="E3062" s="111">
        <v>14841</v>
      </c>
      <c r="F3062" s="421" t="s">
        <v>2302</v>
      </c>
      <c r="G3062" s="112">
        <v>1</v>
      </c>
      <c r="H3062" s="112">
        <v>1</v>
      </c>
      <c r="I3062" s="112">
        <v>1</v>
      </c>
      <c r="J3062" s="112">
        <v>4</v>
      </c>
      <c r="K3062" s="112">
        <v>3</v>
      </c>
      <c r="L3062" s="112">
        <v>3</v>
      </c>
      <c r="M3062" s="112">
        <v>4</v>
      </c>
      <c r="N3062" s="112">
        <v>3</v>
      </c>
      <c r="O3062" s="112">
        <v>4</v>
      </c>
    </row>
    <row r="3063" spans="1:15" x14ac:dyDescent="0.2">
      <c r="A3063" s="111">
        <v>3169</v>
      </c>
      <c r="B3063" s="421" t="s">
        <v>2186</v>
      </c>
      <c r="C3063" s="421" t="s">
        <v>1908</v>
      </c>
      <c r="D3063" s="422" t="s">
        <v>666</v>
      </c>
      <c r="E3063" s="111">
        <v>14883</v>
      </c>
      <c r="F3063" s="421" t="s">
        <v>2601</v>
      </c>
    </row>
    <row r="3064" spans="1:15" x14ac:dyDescent="0.2">
      <c r="A3064" s="111">
        <v>3170</v>
      </c>
      <c r="B3064" s="421" t="s">
        <v>302</v>
      </c>
      <c r="C3064" s="421" t="s">
        <v>1870</v>
      </c>
      <c r="D3064" s="422" t="s">
        <v>666</v>
      </c>
      <c r="E3064" s="111">
        <v>15696</v>
      </c>
      <c r="F3064" s="421" t="s">
        <v>5117</v>
      </c>
      <c r="G3064" s="112">
        <v>1</v>
      </c>
      <c r="H3064" s="112">
        <v>1</v>
      </c>
      <c r="I3064" s="112">
        <v>2</v>
      </c>
      <c r="J3064" s="112">
        <v>7</v>
      </c>
      <c r="K3064" s="112">
        <v>3</v>
      </c>
      <c r="L3064" s="112">
        <v>6</v>
      </c>
      <c r="M3064" s="112">
        <v>3</v>
      </c>
      <c r="O3064" s="112">
        <v>2</v>
      </c>
    </row>
    <row r="3065" spans="1:15" x14ac:dyDescent="0.2">
      <c r="A3065" s="111">
        <v>3171</v>
      </c>
      <c r="B3065" s="421" t="s">
        <v>5360</v>
      </c>
      <c r="C3065" s="421" t="s">
        <v>518</v>
      </c>
      <c r="D3065" s="422" t="s">
        <v>666</v>
      </c>
      <c r="E3065" s="111">
        <v>15758</v>
      </c>
      <c r="F3065" s="421" t="s">
        <v>5361</v>
      </c>
      <c r="G3065" s="112">
        <v>1</v>
      </c>
      <c r="H3065" s="112">
        <v>1</v>
      </c>
      <c r="I3065" s="112">
        <v>1</v>
      </c>
      <c r="J3065" s="112">
        <v>1</v>
      </c>
      <c r="K3065" s="112">
        <v>1</v>
      </c>
      <c r="L3065" s="112">
        <v>1</v>
      </c>
      <c r="M3065" s="112">
        <v>1</v>
      </c>
    </row>
    <row r="3066" spans="1:15" x14ac:dyDescent="0.2">
      <c r="A3066" s="111">
        <v>3172</v>
      </c>
      <c r="B3066" s="421" t="s">
        <v>5362</v>
      </c>
      <c r="C3066" s="421" t="s">
        <v>550</v>
      </c>
      <c r="D3066" s="422" t="s">
        <v>663</v>
      </c>
      <c r="E3066" s="111">
        <v>15095</v>
      </c>
      <c r="F3066" s="421" t="s">
        <v>4761</v>
      </c>
      <c r="G3066" s="112">
        <v>1</v>
      </c>
      <c r="H3066" s="112">
        <v>1</v>
      </c>
      <c r="I3066" s="112">
        <v>1</v>
      </c>
      <c r="J3066" s="112">
        <v>1</v>
      </c>
      <c r="K3066" s="112">
        <v>4</v>
      </c>
      <c r="L3066" s="112">
        <v>2</v>
      </c>
      <c r="M3066" s="112">
        <v>1</v>
      </c>
      <c r="N3066" s="112">
        <v>1</v>
      </c>
    </row>
    <row r="3067" spans="1:15" x14ac:dyDescent="0.2">
      <c r="A3067" s="111">
        <v>3173</v>
      </c>
      <c r="B3067" s="421" t="s">
        <v>5363</v>
      </c>
      <c r="C3067" s="421" t="s">
        <v>513</v>
      </c>
      <c r="D3067" s="422" t="s">
        <v>666</v>
      </c>
      <c r="E3067" s="111">
        <v>14335</v>
      </c>
      <c r="F3067" s="421" t="s">
        <v>977</v>
      </c>
    </row>
    <row r="3068" spans="1:15" x14ac:dyDescent="0.2">
      <c r="A3068" s="111">
        <v>3174</v>
      </c>
      <c r="B3068" s="421" t="s">
        <v>5364</v>
      </c>
      <c r="C3068" s="421" t="s">
        <v>581</v>
      </c>
      <c r="D3068" s="422" t="s">
        <v>663</v>
      </c>
      <c r="E3068" s="111">
        <v>14291</v>
      </c>
      <c r="F3068" s="421" t="s">
        <v>11892</v>
      </c>
      <c r="G3068" s="112">
        <v>3</v>
      </c>
      <c r="H3068" s="112">
        <v>3</v>
      </c>
      <c r="I3068" s="112">
        <v>2</v>
      </c>
      <c r="J3068" s="112">
        <v>11</v>
      </c>
      <c r="K3068" s="112">
        <v>11</v>
      </c>
      <c r="L3068" s="112">
        <v>9</v>
      </c>
      <c r="M3068" s="112">
        <v>3</v>
      </c>
      <c r="N3068" s="112">
        <v>4</v>
      </c>
      <c r="O3068" s="112">
        <v>3</v>
      </c>
    </row>
    <row r="3069" spans="1:15" x14ac:dyDescent="0.2">
      <c r="A3069" s="111">
        <v>3175</v>
      </c>
      <c r="B3069" s="421" t="s">
        <v>4518</v>
      </c>
      <c r="C3069" s="421" t="s">
        <v>506</v>
      </c>
      <c r="D3069" s="422" t="s">
        <v>663</v>
      </c>
      <c r="E3069" s="111">
        <v>1411</v>
      </c>
      <c r="F3069" s="421" t="s">
        <v>765</v>
      </c>
      <c r="G3069" s="112">
        <v>1</v>
      </c>
      <c r="H3069" s="112">
        <v>1</v>
      </c>
      <c r="I3069" s="112">
        <v>1</v>
      </c>
      <c r="J3069" s="112">
        <v>7</v>
      </c>
      <c r="K3069" s="112">
        <v>7</v>
      </c>
      <c r="L3069" s="112">
        <v>7</v>
      </c>
      <c r="M3069" s="112">
        <v>4</v>
      </c>
      <c r="N3069" s="112">
        <v>3</v>
      </c>
      <c r="O3069" s="112">
        <v>3</v>
      </c>
    </row>
    <row r="3070" spans="1:15" x14ac:dyDescent="0.2">
      <c r="A3070" s="111">
        <v>3176</v>
      </c>
      <c r="B3070" s="421" t="s">
        <v>4888</v>
      </c>
      <c r="C3070" s="421" t="s">
        <v>506</v>
      </c>
      <c r="D3070" s="422" t="s">
        <v>663</v>
      </c>
      <c r="E3070" s="111">
        <v>15761</v>
      </c>
      <c r="F3070" s="421" t="s">
        <v>1503</v>
      </c>
    </row>
    <row r="3071" spans="1:15" x14ac:dyDescent="0.2">
      <c r="A3071" s="111">
        <v>3177</v>
      </c>
      <c r="B3071" s="421" t="s">
        <v>121</v>
      </c>
      <c r="C3071" s="421" t="s">
        <v>4664</v>
      </c>
      <c r="D3071" s="422" t="s">
        <v>666</v>
      </c>
      <c r="E3071" s="111">
        <v>15762</v>
      </c>
      <c r="F3071" s="421" t="s">
        <v>4339</v>
      </c>
      <c r="G3071" s="112">
        <v>1</v>
      </c>
      <c r="H3071" s="112">
        <v>1</v>
      </c>
      <c r="I3071" s="112">
        <v>1</v>
      </c>
    </row>
    <row r="3072" spans="1:15" x14ac:dyDescent="0.2">
      <c r="A3072" s="111">
        <v>3178</v>
      </c>
      <c r="B3072" s="421" t="s">
        <v>5365</v>
      </c>
      <c r="C3072" s="421" t="s">
        <v>511</v>
      </c>
      <c r="D3072" s="422" t="s">
        <v>663</v>
      </c>
      <c r="E3072" s="111">
        <v>15763</v>
      </c>
      <c r="F3072" s="421" t="s">
        <v>5366</v>
      </c>
      <c r="G3072" s="112">
        <v>1</v>
      </c>
      <c r="H3072" s="112">
        <v>1</v>
      </c>
      <c r="I3072" s="112">
        <v>1</v>
      </c>
      <c r="J3072" s="112">
        <v>13</v>
      </c>
      <c r="K3072" s="112">
        <v>8</v>
      </c>
      <c r="L3072" s="112">
        <v>15</v>
      </c>
      <c r="M3072" s="112">
        <v>12</v>
      </c>
      <c r="N3072" s="112">
        <v>2</v>
      </c>
      <c r="O3072" s="112">
        <v>6</v>
      </c>
    </row>
    <row r="3073" spans="1:15" x14ac:dyDescent="0.2">
      <c r="A3073" s="111">
        <v>3179</v>
      </c>
      <c r="B3073" s="421" t="s">
        <v>3169</v>
      </c>
      <c r="C3073" s="421" t="s">
        <v>502</v>
      </c>
      <c r="D3073" s="422" t="s">
        <v>666</v>
      </c>
      <c r="E3073" s="111">
        <v>15764</v>
      </c>
      <c r="F3073" s="421" t="s">
        <v>5367</v>
      </c>
      <c r="G3073" s="112">
        <v>1</v>
      </c>
      <c r="H3073" s="112">
        <v>1</v>
      </c>
      <c r="I3073" s="112">
        <v>1</v>
      </c>
      <c r="J3073" s="112">
        <v>3</v>
      </c>
      <c r="K3073" s="112">
        <v>3</v>
      </c>
      <c r="L3073" s="112">
        <v>3</v>
      </c>
      <c r="M3073" s="112">
        <v>3</v>
      </c>
      <c r="N3073" s="112">
        <v>2</v>
      </c>
      <c r="O3073" s="112">
        <v>2</v>
      </c>
    </row>
    <row r="3074" spans="1:15" x14ac:dyDescent="0.2">
      <c r="A3074" s="111">
        <v>3180</v>
      </c>
      <c r="B3074" s="421" t="s">
        <v>5368</v>
      </c>
      <c r="C3074" s="421" t="s">
        <v>502</v>
      </c>
      <c r="D3074" s="422" t="s">
        <v>663</v>
      </c>
      <c r="E3074" s="111">
        <v>15764</v>
      </c>
      <c r="F3074" s="421" t="s">
        <v>5367</v>
      </c>
    </row>
    <row r="3075" spans="1:15" x14ac:dyDescent="0.2">
      <c r="A3075" s="111">
        <v>3181</v>
      </c>
      <c r="B3075" s="421" t="s">
        <v>5369</v>
      </c>
      <c r="C3075" s="421" t="s">
        <v>5370</v>
      </c>
      <c r="D3075" s="422" t="s">
        <v>663</v>
      </c>
      <c r="E3075" s="111">
        <v>15010</v>
      </c>
      <c r="F3075" s="421" t="s">
        <v>2886</v>
      </c>
    </row>
    <row r="3076" spans="1:15" x14ac:dyDescent="0.2">
      <c r="A3076" s="111">
        <v>3182</v>
      </c>
      <c r="B3076" s="421" t="s">
        <v>2856</v>
      </c>
      <c r="C3076" s="421" t="s">
        <v>516</v>
      </c>
      <c r="D3076" s="422" t="s">
        <v>666</v>
      </c>
      <c r="E3076" s="111">
        <v>14536</v>
      </c>
      <c r="F3076" s="421" t="s">
        <v>1640</v>
      </c>
    </row>
    <row r="3077" spans="1:15" x14ac:dyDescent="0.2">
      <c r="A3077" s="111">
        <v>3183</v>
      </c>
      <c r="B3077" s="421" t="s">
        <v>5371</v>
      </c>
      <c r="C3077" s="421" t="s">
        <v>506</v>
      </c>
      <c r="D3077" s="422" t="s">
        <v>663</v>
      </c>
      <c r="E3077" s="111">
        <v>15765</v>
      </c>
      <c r="F3077" s="421" t="s">
        <v>5372</v>
      </c>
      <c r="G3077" s="112">
        <v>1</v>
      </c>
      <c r="H3077" s="112">
        <v>1</v>
      </c>
      <c r="I3077" s="112">
        <v>1</v>
      </c>
    </row>
    <row r="3078" spans="1:15" x14ac:dyDescent="0.2">
      <c r="A3078" s="111">
        <v>3184</v>
      </c>
      <c r="B3078" s="421" t="s">
        <v>2202</v>
      </c>
      <c r="C3078" s="421" t="s">
        <v>506</v>
      </c>
      <c r="D3078" s="422" t="s">
        <v>663</v>
      </c>
      <c r="E3078" s="111">
        <v>15765</v>
      </c>
      <c r="F3078" s="421" t="s">
        <v>5372</v>
      </c>
    </row>
    <row r="3079" spans="1:15" x14ac:dyDescent="0.2">
      <c r="A3079" s="111">
        <v>3185</v>
      </c>
      <c r="B3079" s="421" t="s">
        <v>5373</v>
      </c>
      <c r="C3079" s="421" t="s">
        <v>506</v>
      </c>
      <c r="D3079" s="422" t="s">
        <v>666</v>
      </c>
      <c r="E3079" s="111">
        <v>15906</v>
      </c>
      <c r="F3079" s="421" t="s">
        <v>5374</v>
      </c>
      <c r="G3079" s="112">
        <v>1</v>
      </c>
      <c r="I3079" s="112">
        <v>1</v>
      </c>
    </row>
    <row r="3080" spans="1:15" x14ac:dyDescent="0.2">
      <c r="A3080" s="111">
        <v>3186</v>
      </c>
      <c r="B3080" s="421" t="s">
        <v>499</v>
      </c>
      <c r="C3080" s="421" t="s">
        <v>506</v>
      </c>
      <c r="D3080" s="422" t="s">
        <v>666</v>
      </c>
      <c r="E3080" s="111">
        <v>15766</v>
      </c>
      <c r="F3080" s="421" t="s">
        <v>5375</v>
      </c>
      <c r="G3080" s="112">
        <v>1</v>
      </c>
      <c r="H3080" s="112">
        <v>1</v>
      </c>
      <c r="I3080" s="112">
        <v>1</v>
      </c>
    </row>
    <row r="3081" spans="1:15" x14ac:dyDescent="0.2">
      <c r="A3081" s="111">
        <v>3187</v>
      </c>
      <c r="B3081" s="421" t="s">
        <v>3170</v>
      </c>
      <c r="C3081" s="421" t="s">
        <v>550</v>
      </c>
      <c r="D3081" s="422" t="s">
        <v>666</v>
      </c>
      <c r="E3081" s="111">
        <v>15774</v>
      </c>
      <c r="F3081" s="421" t="s">
        <v>5376</v>
      </c>
    </row>
    <row r="3082" spans="1:15" x14ac:dyDescent="0.2">
      <c r="A3082" s="111">
        <v>3188</v>
      </c>
      <c r="B3082" s="421" t="s">
        <v>5377</v>
      </c>
      <c r="C3082" s="421" t="s">
        <v>503</v>
      </c>
      <c r="D3082" s="422" t="s">
        <v>663</v>
      </c>
      <c r="E3082" s="111">
        <v>15767</v>
      </c>
      <c r="F3082" s="421" t="s">
        <v>5378</v>
      </c>
    </row>
    <row r="3083" spans="1:15" x14ac:dyDescent="0.2">
      <c r="A3083" s="111">
        <v>3189</v>
      </c>
      <c r="B3083" s="421" t="s">
        <v>5379</v>
      </c>
      <c r="C3083" s="421" t="s">
        <v>516</v>
      </c>
      <c r="D3083" s="422" t="s">
        <v>663</v>
      </c>
      <c r="E3083" s="111">
        <v>15157</v>
      </c>
      <c r="F3083" s="421" t="s">
        <v>3308</v>
      </c>
      <c r="G3083" s="112">
        <v>1</v>
      </c>
      <c r="H3083" s="112">
        <v>1</v>
      </c>
      <c r="I3083" s="112">
        <v>1</v>
      </c>
      <c r="J3083" s="112">
        <v>1</v>
      </c>
      <c r="K3083" s="112">
        <v>4</v>
      </c>
      <c r="L3083" s="112">
        <v>4</v>
      </c>
      <c r="O3083" s="112">
        <v>1</v>
      </c>
    </row>
    <row r="3084" spans="1:15" x14ac:dyDescent="0.2">
      <c r="A3084" s="111">
        <v>3190</v>
      </c>
      <c r="B3084" s="421" t="s">
        <v>5380</v>
      </c>
      <c r="C3084" s="421" t="s">
        <v>509</v>
      </c>
      <c r="D3084" s="422" t="s">
        <v>666</v>
      </c>
      <c r="E3084" s="111">
        <v>15769</v>
      </c>
      <c r="F3084" s="421" t="s">
        <v>5381</v>
      </c>
      <c r="G3084" s="112">
        <v>1</v>
      </c>
      <c r="H3084" s="112">
        <v>1</v>
      </c>
      <c r="I3084" s="112">
        <v>1</v>
      </c>
      <c r="J3084" s="112">
        <v>13</v>
      </c>
      <c r="K3084" s="112">
        <v>13</v>
      </c>
      <c r="L3084" s="112">
        <v>11</v>
      </c>
      <c r="M3084" s="112">
        <v>12</v>
      </c>
      <c r="N3084" s="112">
        <v>6</v>
      </c>
      <c r="O3084" s="112">
        <v>7</v>
      </c>
    </row>
    <row r="3085" spans="1:15" x14ac:dyDescent="0.2">
      <c r="A3085" s="111">
        <v>3191</v>
      </c>
      <c r="B3085" s="421" t="s">
        <v>5382</v>
      </c>
      <c r="C3085" s="421" t="s">
        <v>530</v>
      </c>
      <c r="D3085" s="422" t="s">
        <v>663</v>
      </c>
      <c r="E3085" s="111">
        <v>14609</v>
      </c>
      <c r="F3085" s="421" t="s">
        <v>1839</v>
      </c>
      <c r="G3085" s="112">
        <v>1</v>
      </c>
      <c r="H3085" s="112">
        <v>1</v>
      </c>
      <c r="I3085" s="112">
        <v>1</v>
      </c>
      <c r="J3085" s="112">
        <v>9</v>
      </c>
      <c r="K3085" s="112">
        <v>8</v>
      </c>
      <c r="L3085" s="112">
        <v>7</v>
      </c>
      <c r="M3085" s="112">
        <v>4</v>
      </c>
      <c r="O3085" s="112">
        <v>3</v>
      </c>
    </row>
    <row r="3086" spans="1:15" x14ac:dyDescent="0.2">
      <c r="A3086" s="111">
        <v>3192</v>
      </c>
      <c r="B3086" s="421" t="s">
        <v>186</v>
      </c>
      <c r="C3086" s="421" t="s">
        <v>572</v>
      </c>
      <c r="D3086" s="422" t="s">
        <v>666</v>
      </c>
      <c r="E3086" s="111">
        <v>15770</v>
      </c>
      <c r="F3086" s="421" t="s">
        <v>5383</v>
      </c>
      <c r="G3086" s="112">
        <v>2</v>
      </c>
      <c r="H3086" s="112">
        <v>2</v>
      </c>
      <c r="I3086" s="112">
        <v>1</v>
      </c>
      <c r="J3086" s="112">
        <v>2</v>
      </c>
      <c r="K3086" s="112">
        <v>4</v>
      </c>
      <c r="L3086" s="112">
        <v>2</v>
      </c>
      <c r="M3086" s="112">
        <v>10</v>
      </c>
      <c r="N3086" s="112">
        <v>6</v>
      </c>
      <c r="O3086" s="112">
        <v>6</v>
      </c>
    </row>
    <row r="3087" spans="1:15" x14ac:dyDescent="0.2">
      <c r="A3087" s="111">
        <v>3193</v>
      </c>
      <c r="B3087" s="421" t="s">
        <v>5384</v>
      </c>
      <c r="C3087" s="421" t="s">
        <v>593</v>
      </c>
      <c r="D3087" s="422" t="s">
        <v>663</v>
      </c>
      <c r="E3087" s="111">
        <v>14597</v>
      </c>
      <c r="F3087" s="421" t="s">
        <v>1809</v>
      </c>
      <c r="G3087" s="112">
        <v>1</v>
      </c>
      <c r="H3087" s="112">
        <v>1</v>
      </c>
      <c r="I3087" s="112">
        <v>1</v>
      </c>
      <c r="J3087" s="112">
        <v>5</v>
      </c>
      <c r="K3087" s="112">
        <v>5</v>
      </c>
      <c r="L3087" s="112">
        <v>4</v>
      </c>
      <c r="M3087" s="112">
        <v>2</v>
      </c>
      <c r="O3087" s="112">
        <v>2</v>
      </c>
    </row>
    <row r="3088" spans="1:15" x14ac:dyDescent="0.2">
      <c r="A3088" s="111">
        <v>3194</v>
      </c>
      <c r="B3088" s="421" t="s">
        <v>2473</v>
      </c>
      <c r="C3088" s="421" t="s">
        <v>580</v>
      </c>
      <c r="D3088" s="422" t="s">
        <v>666</v>
      </c>
      <c r="E3088" s="111">
        <v>15662</v>
      </c>
      <c r="F3088" s="421" t="s">
        <v>5385</v>
      </c>
      <c r="G3088" s="112">
        <v>1</v>
      </c>
      <c r="H3088" s="112">
        <v>1</v>
      </c>
      <c r="I3088" s="112">
        <v>2</v>
      </c>
      <c r="J3088" s="112">
        <v>5</v>
      </c>
      <c r="K3088" s="112">
        <v>4</v>
      </c>
      <c r="L3088" s="112">
        <v>5</v>
      </c>
    </row>
    <row r="3089" spans="1:15" x14ac:dyDescent="0.2">
      <c r="A3089" s="111">
        <v>3195</v>
      </c>
      <c r="B3089" s="421" t="s">
        <v>5386</v>
      </c>
      <c r="C3089" s="421" t="s">
        <v>574</v>
      </c>
      <c r="D3089" s="422" t="s">
        <v>666</v>
      </c>
      <c r="E3089" s="111">
        <v>15771</v>
      </c>
      <c r="F3089" s="421" t="s">
        <v>5387</v>
      </c>
      <c r="G3089" s="112">
        <v>1</v>
      </c>
      <c r="H3089" s="112">
        <v>1</v>
      </c>
      <c r="I3089" s="112">
        <v>1</v>
      </c>
      <c r="K3089" s="112">
        <v>1</v>
      </c>
    </row>
    <row r="3090" spans="1:15" x14ac:dyDescent="0.2">
      <c r="A3090" s="111">
        <v>3196</v>
      </c>
      <c r="B3090" s="421" t="s">
        <v>5388</v>
      </c>
      <c r="C3090" s="421" t="s">
        <v>528</v>
      </c>
      <c r="D3090" s="422" t="s">
        <v>663</v>
      </c>
      <c r="E3090" s="111">
        <v>15771</v>
      </c>
      <c r="F3090" s="421" t="s">
        <v>5387</v>
      </c>
    </row>
    <row r="3091" spans="1:15" x14ac:dyDescent="0.2">
      <c r="A3091" s="111">
        <v>3197</v>
      </c>
      <c r="B3091" s="421" t="s">
        <v>5389</v>
      </c>
      <c r="C3091" s="421" t="s">
        <v>505</v>
      </c>
      <c r="D3091" s="422" t="s">
        <v>666</v>
      </c>
      <c r="E3091" s="111">
        <v>15775</v>
      </c>
      <c r="F3091" s="421" t="s">
        <v>5390</v>
      </c>
    </row>
    <row r="3092" spans="1:15" x14ac:dyDescent="0.2">
      <c r="A3092" s="111">
        <v>3198</v>
      </c>
      <c r="B3092" s="421" t="s">
        <v>5391</v>
      </c>
      <c r="C3092" s="421" t="s">
        <v>563</v>
      </c>
      <c r="D3092" s="422" t="s">
        <v>663</v>
      </c>
      <c r="E3092" s="111">
        <v>15776</v>
      </c>
      <c r="F3092" s="421" t="s">
        <v>5392</v>
      </c>
      <c r="G3092" s="112">
        <v>1</v>
      </c>
      <c r="H3092" s="112">
        <v>1</v>
      </c>
      <c r="I3092" s="112">
        <v>1</v>
      </c>
      <c r="J3092" s="112">
        <v>4</v>
      </c>
      <c r="K3092" s="112">
        <v>4</v>
      </c>
      <c r="L3092" s="112">
        <v>2</v>
      </c>
      <c r="M3092" s="112">
        <v>3</v>
      </c>
      <c r="N3092" s="112">
        <v>6</v>
      </c>
    </row>
    <row r="3093" spans="1:15" x14ac:dyDescent="0.2">
      <c r="A3093" s="111">
        <v>3199</v>
      </c>
      <c r="B3093" s="421" t="s">
        <v>1343</v>
      </c>
      <c r="C3093" s="421" t="s">
        <v>501</v>
      </c>
      <c r="D3093" s="422" t="s">
        <v>666</v>
      </c>
      <c r="E3093" s="111">
        <v>15984</v>
      </c>
      <c r="F3093" s="421" t="s">
        <v>5393</v>
      </c>
      <c r="G3093" s="112">
        <v>1</v>
      </c>
      <c r="H3093" s="112">
        <v>1</v>
      </c>
      <c r="I3093" s="112">
        <v>1</v>
      </c>
      <c r="J3093" s="112">
        <v>10</v>
      </c>
      <c r="K3093" s="112">
        <v>3</v>
      </c>
      <c r="L3093" s="112">
        <v>5</v>
      </c>
      <c r="M3093" s="112">
        <v>9</v>
      </c>
      <c r="N3093" s="112">
        <v>3</v>
      </c>
      <c r="O3093" s="112">
        <v>3</v>
      </c>
    </row>
    <row r="3094" spans="1:15" x14ac:dyDescent="0.2">
      <c r="A3094" s="111">
        <v>3200</v>
      </c>
      <c r="B3094" s="421" t="s">
        <v>5394</v>
      </c>
      <c r="C3094" s="421" t="s">
        <v>560</v>
      </c>
      <c r="D3094" s="422" t="s">
        <v>663</v>
      </c>
      <c r="E3094" s="111">
        <v>14129</v>
      </c>
      <c r="F3094" s="421" t="s">
        <v>823</v>
      </c>
    </row>
    <row r="3095" spans="1:15" x14ac:dyDescent="0.2">
      <c r="A3095" s="111">
        <v>3201</v>
      </c>
      <c r="B3095" s="421" t="s">
        <v>3158</v>
      </c>
      <c r="C3095" s="421" t="s">
        <v>502</v>
      </c>
      <c r="D3095" s="422" t="s">
        <v>666</v>
      </c>
      <c r="E3095" s="111">
        <v>15778</v>
      </c>
      <c r="F3095" s="421" t="s">
        <v>5405</v>
      </c>
      <c r="G3095" s="112">
        <v>2</v>
      </c>
      <c r="H3095" s="112">
        <v>1</v>
      </c>
      <c r="I3095" s="112">
        <v>2</v>
      </c>
    </row>
    <row r="3096" spans="1:15" x14ac:dyDescent="0.2">
      <c r="A3096" s="111">
        <v>3202</v>
      </c>
      <c r="B3096" s="421" t="s">
        <v>52</v>
      </c>
      <c r="C3096" s="421" t="s">
        <v>502</v>
      </c>
      <c r="D3096" s="422" t="s">
        <v>663</v>
      </c>
      <c r="E3096" s="111">
        <v>15686</v>
      </c>
      <c r="F3096" s="421" t="s">
        <v>4449</v>
      </c>
      <c r="G3096" s="112">
        <v>1</v>
      </c>
      <c r="H3096" s="112">
        <v>1</v>
      </c>
      <c r="I3096" s="112">
        <v>1</v>
      </c>
      <c r="J3096" s="112">
        <v>7</v>
      </c>
      <c r="K3096" s="112">
        <v>6</v>
      </c>
      <c r="L3096" s="112">
        <v>8</v>
      </c>
      <c r="M3096" s="112">
        <v>4</v>
      </c>
      <c r="N3096" s="112">
        <v>1</v>
      </c>
      <c r="O3096" s="112">
        <v>3</v>
      </c>
    </row>
    <row r="3097" spans="1:15" x14ac:dyDescent="0.2">
      <c r="A3097" s="111">
        <v>3203</v>
      </c>
      <c r="B3097" s="421" t="s">
        <v>1957</v>
      </c>
      <c r="C3097" s="421" t="s">
        <v>555</v>
      </c>
      <c r="D3097" s="422" t="s">
        <v>663</v>
      </c>
      <c r="E3097" s="111">
        <v>14546</v>
      </c>
      <c r="F3097" s="421" t="s">
        <v>4735</v>
      </c>
      <c r="G3097" s="112">
        <v>1</v>
      </c>
      <c r="H3097" s="112">
        <v>2</v>
      </c>
      <c r="I3097" s="112">
        <v>3</v>
      </c>
      <c r="J3097" s="112">
        <v>2</v>
      </c>
      <c r="K3097" s="112">
        <v>1</v>
      </c>
      <c r="M3097" s="112">
        <v>1</v>
      </c>
    </row>
    <row r="3098" spans="1:15" x14ac:dyDescent="0.2">
      <c r="A3098" s="111">
        <v>3204</v>
      </c>
      <c r="B3098" s="421" t="s">
        <v>5406</v>
      </c>
      <c r="C3098" s="421" t="s">
        <v>516</v>
      </c>
      <c r="D3098" s="422" t="s">
        <v>663</v>
      </c>
      <c r="E3098" s="111">
        <v>15078</v>
      </c>
      <c r="F3098" s="421" t="s">
        <v>2919</v>
      </c>
      <c r="G3098" s="112">
        <v>1</v>
      </c>
      <c r="H3098" s="112">
        <v>1</v>
      </c>
      <c r="I3098" s="112">
        <v>1</v>
      </c>
      <c r="J3098" s="112">
        <v>13</v>
      </c>
      <c r="K3098" s="112">
        <v>12</v>
      </c>
      <c r="L3098" s="112">
        <v>12</v>
      </c>
      <c r="M3098" s="112">
        <v>12</v>
      </c>
      <c r="N3098" s="112">
        <v>3</v>
      </c>
      <c r="O3098" s="112">
        <v>15</v>
      </c>
    </row>
    <row r="3099" spans="1:15" x14ac:dyDescent="0.2">
      <c r="A3099" s="111">
        <v>3205</v>
      </c>
      <c r="B3099" s="421" t="s">
        <v>1933</v>
      </c>
      <c r="C3099" s="421" t="s">
        <v>506</v>
      </c>
      <c r="D3099" s="422" t="s">
        <v>663</v>
      </c>
      <c r="E3099" s="111">
        <v>15781</v>
      </c>
      <c r="F3099" s="421" t="s">
        <v>5407</v>
      </c>
    </row>
    <row r="3100" spans="1:15" x14ac:dyDescent="0.2">
      <c r="A3100" s="111">
        <v>3206</v>
      </c>
      <c r="B3100" s="421" t="s">
        <v>119</v>
      </c>
      <c r="C3100" s="421" t="s">
        <v>532</v>
      </c>
      <c r="D3100" s="422" t="s">
        <v>663</v>
      </c>
      <c r="E3100" s="111">
        <v>14992</v>
      </c>
      <c r="F3100" s="421" t="s">
        <v>2690</v>
      </c>
    </row>
    <row r="3101" spans="1:15" x14ac:dyDescent="0.2">
      <c r="A3101" s="111">
        <v>3207</v>
      </c>
      <c r="B3101" s="421" t="s">
        <v>78</v>
      </c>
      <c r="C3101" s="421" t="s">
        <v>516</v>
      </c>
      <c r="D3101" s="422" t="s">
        <v>666</v>
      </c>
      <c r="E3101" s="111">
        <v>15220</v>
      </c>
      <c r="F3101" s="421" t="s">
        <v>3439</v>
      </c>
      <c r="G3101" s="112">
        <v>1</v>
      </c>
      <c r="H3101" s="112">
        <v>1</v>
      </c>
      <c r="I3101" s="112">
        <v>1</v>
      </c>
      <c r="J3101" s="112">
        <v>10</v>
      </c>
      <c r="K3101" s="112">
        <v>10</v>
      </c>
      <c r="L3101" s="112">
        <v>10</v>
      </c>
      <c r="M3101" s="112">
        <v>19</v>
      </c>
      <c r="N3101" s="112">
        <v>12</v>
      </c>
      <c r="O3101" s="112">
        <v>17</v>
      </c>
    </row>
    <row r="3102" spans="1:15" x14ac:dyDescent="0.2">
      <c r="A3102" s="111">
        <v>3208</v>
      </c>
      <c r="B3102" s="421" t="s">
        <v>317</v>
      </c>
      <c r="C3102" s="421" t="s">
        <v>565</v>
      </c>
      <c r="D3102" s="422" t="s">
        <v>666</v>
      </c>
      <c r="E3102" s="111">
        <v>14320</v>
      </c>
      <c r="F3102" s="421" t="s">
        <v>2946</v>
      </c>
      <c r="G3102" s="112">
        <v>4</v>
      </c>
      <c r="H3102" s="112">
        <v>1</v>
      </c>
      <c r="I3102" s="112">
        <v>1</v>
      </c>
      <c r="J3102" s="112">
        <v>10</v>
      </c>
      <c r="K3102" s="112">
        <v>6</v>
      </c>
      <c r="L3102" s="112">
        <v>7</v>
      </c>
      <c r="M3102" s="112">
        <v>6</v>
      </c>
      <c r="O3102" s="112">
        <v>1</v>
      </c>
    </row>
    <row r="3103" spans="1:15" x14ac:dyDescent="0.2">
      <c r="A3103" s="111">
        <v>3209</v>
      </c>
      <c r="B3103" s="421" t="s">
        <v>5408</v>
      </c>
      <c r="C3103" s="421" t="s">
        <v>544</v>
      </c>
      <c r="D3103" s="422" t="s">
        <v>663</v>
      </c>
      <c r="E3103" s="111">
        <v>15783</v>
      </c>
      <c r="F3103" s="421" t="s">
        <v>5409</v>
      </c>
      <c r="G3103" s="112">
        <v>1</v>
      </c>
      <c r="H3103" s="112">
        <v>1</v>
      </c>
      <c r="I3103" s="112">
        <v>1</v>
      </c>
    </row>
    <row r="3104" spans="1:15" x14ac:dyDescent="0.2">
      <c r="A3104" s="111">
        <v>3210</v>
      </c>
      <c r="B3104" s="421" t="s">
        <v>2433</v>
      </c>
      <c r="C3104" s="421" t="s">
        <v>544</v>
      </c>
      <c r="D3104" s="422" t="s">
        <v>663</v>
      </c>
      <c r="E3104" s="111">
        <v>15783</v>
      </c>
      <c r="F3104" s="421" t="s">
        <v>5409</v>
      </c>
    </row>
    <row r="3105" spans="1:15" x14ac:dyDescent="0.2">
      <c r="A3105" s="111">
        <v>3212</v>
      </c>
      <c r="B3105" s="421" t="s">
        <v>5410</v>
      </c>
      <c r="C3105" s="421" t="s">
        <v>554</v>
      </c>
      <c r="D3105" s="422" t="s">
        <v>666</v>
      </c>
      <c r="E3105" s="111">
        <v>15001</v>
      </c>
      <c r="F3105" s="421" t="s">
        <v>17460</v>
      </c>
      <c r="G3105" s="112">
        <v>1</v>
      </c>
      <c r="H3105" s="112">
        <v>2</v>
      </c>
      <c r="I3105" s="112">
        <v>1</v>
      </c>
      <c r="J3105" s="112">
        <v>1</v>
      </c>
      <c r="K3105" s="112">
        <v>1</v>
      </c>
      <c r="L3105" s="112">
        <v>1</v>
      </c>
      <c r="M3105" s="112">
        <v>3</v>
      </c>
      <c r="N3105" s="112">
        <v>1</v>
      </c>
      <c r="O3105" s="112">
        <v>1</v>
      </c>
    </row>
    <row r="3106" spans="1:15" x14ac:dyDescent="0.2">
      <c r="A3106" s="111">
        <v>3213</v>
      </c>
      <c r="B3106" s="421" t="s">
        <v>5411</v>
      </c>
      <c r="C3106" s="421" t="s">
        <v>503</v>
      </c>
      <c r="D3106" s="422" t="s">
        <v>663</v>
      </c>
      <c r="E3106" s="111">
        <v>15016</v>
      </c>
      <c r="F3106" s="421" t="s">
        <v>1976</v>
      </c>
      <c r="G3106" s="112">
        <v>1</v>
      </c>
      <c r="H3106" s="112">
        <v>1</v>
      </c>
      <c r="I3106" s="112">
        <v>1</v>
      </c>
      <c r="J3106" s="112">
        <v>4</v>
      </c>
      <c r="K3106" s="112">
        <v>4</v>
      </c>
      <c r="L3106" s="112">
        <v>4</v>
      </c>
      <c r="M3106" s="112">
        <v>2</v>
      </c>
      <c r="N3106" s="112">
        <v>2</v>
      </c>
      <c r="O3106" s="112">
        <v>2</v>
      </c>
    </row>
    <row r="3107" spans="1:15" x14ac:dyDescent="0.2">
      <c r="A3107" s="111">
        <v>3214</v>
      </c>
      <c r="B3107" s="421" t="s">
        <v>2127</v>
      </c>
      <c r="C3107" s="421" t="s">
        <v>581</v>
      </c>
      <c r="D3107" s="422" t="s">
        <v>666</v>
      </c>
      <c r="E3107" s="111">
        <v>15231</v>
      </c>
      <c r="F3107" s="421" t="s">
        <v>3453</v>
      </c>
      <c r="G3107" s="112">
        <v>1</v>
      </c>
      <c r="H3107" s="112">
        <v>1</v>
      </c>
      <c r="I3107" s="112">
        <v>1</v>
      </c>
      <c r="K3107" s="112">
        <v>1</v>
      </c>
      <c r="L3107" s="112">
        <v>1</v>
      </c>
    </row>
    <row r="3108" spans="1:15" x14ac:dyDescent="0.2">
      <c r="A3108" s="111">
        <v>3215</v>
      </c>
      <c r="B3108" s="421" t="s">
        <v>5412</v>
      </c>
      <c r="C3108" s="421" t="s">
        <v>538</v>
      </c>
      <c r="D3108" s="422" t="s">
        <v>663</v>
      </c>
      <c r="E3108" s="111">
        <v>14222</v>
      </c>
      <c r="F3108" s="421" t="s">
        <v>754</v>
      </c>
      <c r="H3108" s="112">
        <v>1</v>
      </c>
    </row>
    <row r="3109" spans="1:15" x14ac:dyDescent="0.2">
      <c r="A3109" s="111">
        <v>3216</v>
      </c>
      <c r="B3109" s="421" t="s">
        <v>5413</v>
      </c>
      <c r="C3109" s="421" t="s">
        <v>526</v>
      </c>
      <c r="D3109" s="422" t="s">
        <v>666</v>
      </c>
      <c r="E3109" s="111">
        <v>15785</v>
      </c>
      <c r="F3109" s="421" t="s">
        <v>5414</v>
      </c>
      <c r="G3109" s="112">
        <v>1</v>
      </c>
      <c r="H3109" s="112">
        <v>1</v>
      </c>
      <c r="I3109" s="112">
        <v>1</v>
      </c>
      <c r="J3109" s="112">
        <v>7</v>
      </c>
      <c r="K3109" s="112">
        <v>7</v>
      </c>
      <c r="L3109" s="112">
        <v>8</v>
      </c>
      <c r="M3109" s="112">
        <v>5</v>
      </c>
      <c r="N3109" s="112">
        <v>5</v>
      </c>
      <c r="O3109" s="112">
        <v>5</v>
      </c>
    </row>
    <row r="3110" spans="1:15" x14ac:dyDescent="0.2">
      <c r="A3110" s="111">
        <v>3217</v>
      </c>
      <c r="B3110" s="421" t="s">
        <v>1434</v>
      </c>
      <c r="C3110" s="421" t="s">
        <v>514</v>
      </c>
      <c r="D3110" s="422" t="s">
        <v>666</v>
      </c>
      <c r="E3110" s="111">
        <v>15786</v>
      </c>
      <c r="F3110" s="421" t="s">
        <v>5415</v>
      </c>
      <c r="G3110" s="112">
        <v>2</v>
      </c>
      <c r="H3110" s="112">
        <v>1</v>
      </c>
      <c r="I3110" s="112">
        <v>1</v>
      </c>
      <c r="K3110" s="112">
        <v>1</v>
      </c>
    </row>
    <row r="3111" spans="1:15" x14ac:dyDescent="0.2">
      <c r="A3111" s="111">
        <v>3218</v>
      </c>
      <c r="B3111" s="421" t="s">
        <v>2416</v>
      </c>
      <c r="C3111" s="421" t="s">
        <v>509</v>
      </c>
      <c r="D3111" s="422" t="s">
        <v>663</v>
      </c>
      <c r="F3111" s="421" t="s">
        <v>3495</v>
      </c>
    </row>
    <row r="3112" spans="1:15" x14ac:dyDescent="0.2">
      <c r="A3112" s="111">
        <v>3219</v>
      </c>
      <c r="B3112" s="421" t="s">
        <v>5416</v>
      </c>
      <c r="C3112" s="421" t="s">
        <v>504</v>
      </c>
      <c r="D3112" s="422" t="s">
        <v>666</v>
      </c>
      <c r="E3112" s="111">
        <v>15587</v>
      </c>
      <c r="F3112" s="421" t="s">
        <v>4698</v>
      </c>
      <c r="G3112" s="112">
        <v>1</v>
      </c>
      <c r="H3112" s="112">
        <v>1</v>
      </c>
      <c r="I3112" s="112">
        <v>1</v>
      </c>
      <c r="J3112" s="112">
        <v>1</v>
      </c>
      <c r="K3112" s="112">
        <v>1</v>
      </c>
      <c r="L3112" s="112">
        <v>1</v>
      </c>
    </row>
    <row r="3113" spans="1:15" x14ac:dyDescent="0.2">
      <c r="A3113" s="111">
        <v>3220</v>
      </c>
      <c r="B3113" s="421" t="s">
        <v>5417</v>
      </c>
      <c r="C3113" s="421" t="s">
        <v>537</v>
      </c>
      <c r="D3113" s="422" t="s">
        <v>663</v>
      </c>
      <c r="E3113" s="111">
        <v>15587</v>
      </c>
      <c r="F3113" s="421" t="s">
        <v>4698</v>
      </c>
      <c r="G3113" s="112">
        <v>1</v>
      </c>
      <c r="H3113" s="112">
        <v>1</v>
      </c>
      <c r="I3113" s="112">
        <v>1</v>
      </c>
      <c r="J3113" s="112">
        <v>3</v>
      </c>
      <c r="K3113" s="112">
        <v>1</v>
      </c>
      <c r="L3113" s="112">
        <v>6</v>
      </c>
    </row>
    <row r="3114" spans="1:15" x14ac:dyDescent="0.2">
      <c r="A3114" s="111">
        <v>3221</v>
      </c>
      <c r="B3114" s="421" t="s">
        <v>2409</v>
      </c>
      <c r="C3114" s="421" t="s">
        <v>577</v>
      </c>
      <c r="D3114" s="422" t="s">
        <v>663</v>
      </c>
      <c r="E3114" s="111">
        <v>15784</v>
      </c>
      <c r="F3114" s="421" t="s">
        <v>5418</v>
      </c>
      <c r="G3114" s="112">
        <v>1</v>
      </c>
      <c r="H3114" s="112">
        <v>1</v>
      </c>
      <c r="I3114" s="112">
        <v>1</v>
      </c>
      <c r="J3114" s="112">
        <v>3</v>
      </c>
      <c r="K3114" s="112">
        <v>2</v>
      </c>
      <c r="L3114" s="112">
        <v>1</v>
      </c>
      <c r="M3114" s="112">
        <v>1</v>
      </c>
    </row>
    <row r="3115" spans="1:15" x14ac:dyDescent="0.2">
      <c r="A3115" s="111">
        <v>3222</v>
      </c>
      <c r="B3115" s="421" t="s">
        <v>3044</v>
      </c>
      <c r="C3115" s="421" t="s">
        <v>1112</v>
      </c>
      <c r="D3115" s="422" t="s">
        <v>663</v>
      </c>
      <c r="E3115" s="111">
        <v>15803</v>
      </c>
      <c r="F3115" s="421" t="s">
        <v>4720</v>
      </c>
      <c r="G3115" s="112">
        <v>1</v>
      </c>
      <c r="H3115" s="112">
        <v>1</v>
      </c>
      <c r="I3115" s="112">
        <v>1</v>
      </c>
      <c r="J3115" s="112">
        <v>1</v>
      </c>
      <c r="K3115" s="112">
        <v>4</v>
      </c>
    </row>
    <row r="3116" spans="1:15" x14ac:dyDescent="0.2">
      <c r="A3116" s="111">
        <v>3223</v>
      </c>
      <c r="B3116" s="421" t="s">
        <v>5419</v>
      </c>
      <c r="C3116" s="421" t="s">
        <v>534</v>
      </c>
      <c r="D3116" s="422" t="s">
        <v>663</v>
      </c>
      <c r="F3116" s="421" t="s">
        <v>5420</v>
      </c>
    </row>
    <row r="3117" spans="1:15" x14ac:dyDescent="0.2">
      <c r="A3117" s="111">
        <v>3224</v>
      </c>
      <c r="B3117" s="421" t="s">
        <v>5421</v>
      </c>
      <c r="C3117" s="421" t="s">
        <v>555</v>
      </c>
      <c r="D3117" s="422" t="s">
        <v>663</v>
      </c>
      <c r="E3117" s="111">
        <v>15320</v>
      </c>
      <c r="F3117" s="421" t="s">
        <v>4127</v>
      </c>
      <c r="G3117" s="112">
        <v>1</v>
      </c>
      <c r="H3117" s="112">
        <v>1</v>
      </c>
    </row>
    <row r="3118" spans="1:15" x14ac:dyDescent="0.2">
      <c r="A3118" s="111">
        <v>3225</v>
      </c>
      <c r="B3118" s="421" t="s">
        <v>5422</v>
      </c>
      <c r="C3118" s="421" t="s">
        <v>506</v>
      </c>
      <c r="D3118" s="422" t="s">
        <v>663</v>
      </c>
      <c r="E3118" s="111">
        <v>15052</v>
      </c>
      <c r="F3118" s="421" t="s">
        <v>2901</v>
      </c>
    </row>
    <row r="3119" spans="1:15" x14ac:dyDescent="0.2">
      <c r="A3119" s="111">
        <v>3228</v>
      </c>
      <c r="B3119" s="421" t="s">
        <v>190</v>
      </c>
      <c r="C3119" s="421" t="s">
        <v>577</v>
      </c>
      <c r="D3119" s="422" t="s">
        <v>663</v>
      </c>
      <c r="E3119" s="111">
        <v>15787</v>
      </c>
      <c r="F3119" s="421" t="s">
        <v>5423</v>
      </c>
      <c r="G3119" s="112">
        <v>3</v>
      </c>
      <c r="H3119" s="112">
        <v>2</v>
      </c>
      <c r="I3119" s="112">
        <v>2</v>
      </c>
    </row>
    <row r="3120" spans="1:15" x14ac:dyDescent="0.2">
      <c r="A3120" s="111">
        <v>3230</v>
      </c>
      <c r="B3120" s="421" t="s">
        <v>274</v>
      </c>
      <c r="C3120" s="421" t="s">
        <v>1112</v>
      </c>
      <c r="D3120" s="422" t="s">
        <v>666</v>
      </c>
      <c r="E3120" s="111">
        <v>15122</v>
      </c>
      <c r="F3120" s="421" t="s">
        <v>3184</v>
      </c>
    </row>
    <row r="3121" spans="1:15" x14ac:dyDescent="0.2">
      <c r="A3121" s="111">
        <v>3231</v>
      </c>
      <c r="B3121" s="421" t="s">
        <v>5424</v>
      </c>
      <c r="C3121" s="421" t="s">
        <v>551</v>
      </c>
      <c r="D3121" s="422" t="s">
        <v>666</v>
      </c>
      <c r="E3121" s="111">
        <v>15122</v>
      </c>
      <c r="F3121" s="421" t="s">
        <v>3184</v>
      </c>
    </row>
    <row r="3122" spans="1:15" x14ac:dyDescent="0.2">
      <c r="A3122" s="111">
        <v>3232</v>
      </c>
      <c r="B3122" s="421" t="s">
        <v>5425</v>
      </c>
      <c r="C3122" s="421" t="s">
        <v>1817</v>
      </c>
      <c r="D3122" s="422" t="s">
        <v>663</v>
      </c>
      <c r="E3122" s="111">
        <v>15122</v>
      </c>
      <c r="F3122" s="421" t="s">
        <v>3184</v>
      </c>
    </row>
    <row r="3123" spans="1:15" x14ac:dyDescent="0.2">
      <c r="A3123" s="111">
        <v>3233</v>
      </c>
      <c r="B3123" s="421" t="s">
        <v>5426</v>
      </c>
      <c r="C3123" s="421" t="s">
        <v>1817</v>
      </c>
      <c r="D3123" s="422" t="s">
        <v>663</v>
      </c>
      <c r="E3123" s="111">
        <v>15122</v>
      </c>
      <c r="F3123" s="421" t="s">
        <v>3184</v>
      </c>
    </row>
    <row r="3124" spans="1:15" x14ac:dyDescent="0.2">
      <c r="A3124" s="111">
        <v>3234</v>
      </c>
      <c r="B3124" s="421" t="s">
        <v>5427</v>
      </c>
      <c r="C3124" s="421" t="s">
        <v>502</v>
      </c>
      <c r="D3124" s="422" t="s">
        <v>663</v>
      </c>
      <c r="E3124" s="111">
        <v>15037</v>
      </c>
      <c r="F3124" s="421" t="s">
        <v>7899</v>
      </c>
      <c r="G3124" s="112">
        <v>1</v>
      </c>
      <c r="H3124" s="112">
        <v>3</v>
      </c>
      <c r="I3124" s="112">
        <v>3</v>
      </c>
      <c r="K3124" s="112">
        <v>1</v>
      </c>
      <c r="L3124" s="112">
        <v>1</v>
      </c>
    </row>
    <row r="3125" spans="1:15" x14ac:dyDescent="0.2">
      <c r="A3125" s="111">
        <v>3235</v>
      </c>
      <c r="B3125" s="421" t="s">
        <v>5428</v>
      </c>
      <c r="C3125" s="421" t="s">
        <v>502</v>
      </c>
      <c r="D3125" s="422" t="s">
        <v>663</v>
      </c>
      <c r="E3125" s="111">
        <v>15037</v>
      </c>
      <c r="F3125" s="421" t="s">
        <v>7899</v>
      </c>
      <c r="G3125" s="112">
        <v>2</v>
      </c>
      <c r="H3125" s="112">
        <v>1</v>
      </c>
      <c r="I3125" s="112">
        <v>1</v>
      </c>
      <c r="J3125" s="112">
        <v>7</v>
      </c>
      <c r="K3125" s="112">
        <v>6</v>
      </c>
      <c r="L3125" s="112">
        <v>6</v>
      </c>
      <c r="M3125" s="112">
        <v>2</v>
      </c>
      <c r="N3125" s="112">
        <v>3</v>
      </c>
      <c r="O3125" s="112">
        <v>3</v>
      </c>
    </row>
    <row r="3126" spans="1:15" x14ac:dyDescent="0.2">
      <c r="A3126" s="111">
        <v>3236</v>
      </c>
      <c r="B3126" s="421" t="s">
        <v>443</v>
      </c>
      <c r="C3126" s="421" t="s">
        <v>628</v>
      </c>
      <c r="D3126" s="422" t="s">
        <v>663</v>
      </c>
      <c r="E3126" s="111">
        <v>15788</v>
      </c>
      <c r="F3126" s="421" t="s">
        <v>7811</v>
      </c>
      <c r="G3126" s="112">
        <v>2</v>
      </c>
      <c r="H3126" s="112">
        <v>1</v>
      </c>
      <c r="I3126" s="112">
        <v>1</v>
      </c>
      <c r="J3126" s="112">
        <v>7</v>
      </c>
      <c r="K3126" s="112">
        <v>7</v>
      </c>
      <c r="L3126" s="112">
        <v>7</v>
      </c>
      <c r="M3126" s="112">
        <v>3</v>
      </c>
      <c r="N3126" s="112">
        <v>3</v>
      </c>
      <c r="O3126" s="112">
        <v>3</v>
      </c>
    </row>
    <row r="3127" spans="1:15" x14ac:dyDescent="0.2">
      <c r="A3127" s="111">
        <v>3237</v>
      </c>
      <c r="B3127" s="421" t="s">
        <v>5429</v>
      </c>
      <c r="C3127" s="421" t="s">
        <v>509</v>
      </c>
      <c r="D3127" s="422" t="s">
        <v>666</v>
      </c>
      <c r="E3127" s="111">
        <v>15510</v>
      </c>
      <c r="F3127" s="421" t="s">
        <v>4501</v>
      </c>
      <c r="G3127" s="112">
        <v>1</v>
      </c>
      <c r="H3127" s="112">
        <v>1</v>
      </c>
      <c r="I3127" s="112">
        <v>1</v>
      </c>
      <c r="J3127" s="112">
        <v>1</v>
      </c>
      <c r="K3127" s="112">
        <v>1</v>
      </c>
      <c r="L3127" s="112">
        <v>1</v>
      </c>
    </row>
    <row r="3128" spans="1:15" x14ac:dyDescent="0.2">
      <c r="A3128" s="111">
        <v>3238</v>
      </c>
      <c r="B3128" s="421" t="s">
        <v>5430</v>
      </c>
      <c r="C3128" s="421" t="s">
        <v>519</v>
      </c>
      <c r="D3128" s="422" t="s">
        <v>666</v>
      </c>
      <c r="F3128" s="421" t="s">
        <v>5431</v>
      </c>
    </row>
    <row r="3129" spans="1:15" x14ac:dyDescent="0.2">
      <c r="A3129" s="111">
        <v>3239</v>
      </c>
      <c r="B3129" s="421" t="s">
        <v>5432</v>
      </c>
      <c r="C3129" s="421" t="s">
        <v>503</v>
      </c>
      <c r="D3129" s="422" t="s">
        <v>666</v>
      </c>
      <c r="E3129" s="111">
        <v>15801</v>
      </c>
      <c r="F3129" s="421" t="s">
        <v>5433</v>
      </c>
      <c r="G3129" s="112">
        <v>1</v>
      </c>
      <c r="H3129" s="112">
        <v>1</v>
      </c>
      <c r="I3129" s="112">
        <v>1</v>
      </c>
      <c r="J3129" s="112">
        <v>1</v>
      </c>
      <c r="K3129" s="112">
        <v>1</v>
      </c>
      <c r="L3129" s="112">
        <v>1</v>
      </c>
    </row>
    <row r="3130" spans="1:15" x14ac:dyDescent="0.2">
      <c r="A3130" s="111">
        <v>3240</v>
      </c>
      <c r="B3130" s="421" t="s">
        <v>190</v>
      </c>
      <c r="C3130" s="421" t="s">
        <v>1201</v>
      </c>
      <c r="D3130" s="422" t="s">
        <v>663</v>
      </c>
      <c r="F3130" s="421" t="s">
        <v>3192</v>
      </c>
    </row>
    <row r="3131" spans="1:15" x14ac:dyDescent="0.2">
      <c r="A3131" s="111">
        <v>3241</v>
      </c>
      <c r="B3131" s="421" t="s">
        <v>4634</v>
      </c>
      <c r="C3131" s="421" t="s">
        <v>528</v>
      </c>
      <c r="D3131" s="422" t="s">
        <v>663</v>
      </c>
      <c r="E3131" s="111">
        <v>15792</v>
      </c>
      <c r="F3131" s="421" t="s">
        <v>2509</v>
      </c>
      <c r="G3131" s="112">
        <v>1</v>
      </c>
      <c r="H3131" s="112">
        <v>1</v>
      </c>
      <c r="I3131" s="112">
        <v>1</v>
      </c>
      <c r="J3131" s="112">
        <v>1</v>
      </c>
      <c r="K3131" s="112">
        <v>2</v>
      </c>
      <c r="L3131" s="112">
        <v>1</v>
      </c>
      <c r="M3131" s="112">
        <v>3</v>
      </c>
      <c r="N3131" s="112">
        <v>1</v>
      </c>
      <c r="O3131" s="112">
        <v>2</v>
      </c>
    </row>
    <row r="3132" spans="1:15" x14ac:dyDescent="0.2">
      <c r="A3132" s="111">
        <v>3242</v>
      </c>
      <c r="B3132" s="421" t="s">
        <v>4191</v>
      </c>
      <c r="C3132" s="421" t="s">
        <v>536</v>
      </c>
      <c r="D3132" s="422" t="s">
        <v>666</v>
      </c>
      <c r="E3132" s="111">
        <v>15103</v>
      </c>
      <c r="F3132" s="421" t="s">
        <v>3151</v>
      </c>
      <c r="G3132" s="112">
        <v>2</v>
      </c>
      <c r="H3132" s="112">
        <v>1</v>
      </c>
      <c r="I3132" s="112">
        <v>2</v>
      </c>
    </row>
    <row r="3133" spans="1:15" x14ac:dyDescent="0.2">
      <c r="A3133" s="111">
        <v>3243</v>
      </c>
      <c r="B3133" s="421" t="s">
        <v>119</v>
      </c>
      <c r="C3133" s="421" t="s">
        <v>2581</v>
      </c>
      <c r="D3133" s="422" t="s">
        <v>663</v>
      </c>
      <c r="E3133" s="111">
        <v>15794</v>
      </c>
      <c r="F3133" s="421" t="s">
        <v>5434</v>
      </c>
      <c r="G3133" s="112">
        <v>2</v>
      </c>
      <c r="H3133" s="112">
        <v>1</v>
      </c>
      <c r="I3133" s="112">
        <v>1</v>
      </c>
      <c r="J3133" s="112">
        <v>2</v>
      </c>
    </row>
    <row r="3134" spans="1:15" x14ac:dyDescent="0.2">
      <c r="A3134" s="111">
        <v>3244</v>
      </c>
      <c r="B3134" s="421" t="s">
        <v>2916</v>
      </c>
      <c r="C3134" s="421" t="s">
        <v>574</v>
      </c>
      <c r="D3134" s="422" t="s">
        <v>666</v>
      </c>
      <c r="E3134" s="111">
        <v>15817</v>
      </c>
      <c r="F3134" s="421" t="s">
        <v>5435</v>
      </c>
      <c r="G3134" s="112">
        <v>1</v>
      </c>
      <c r="H3134" s="112">
        <v>1</v>
      </c>
      <c r="I3134" s="112">
        <v>1</v>
      </c>
      <c r="J3134" s="112">
        <v>5</v>
      </c>
      <c r="K3134" s="112">
        <v>4</v>
      </c>
      <c r="L3134" s="112">
        <v>3</v>
      </c>
      <c r="M3134" s="112">
        <v>3</v>
      </c>
      <c r="N3134" s="112">
        <v>3</v>
      </c>
      <c r="O3134" s="112">
        <v>2</v>
      </c>
    </row>
    <row r="3135" spans="1:15" x14ac:dyDescent="0.2">
      <c r="A3135" s="111">
        <v>3245</v>
      </c>
      <c r="B3135" s="421" t="s">
        <v>5436</v>
      </c>
      <c r="C3135" s="421" t="s">
        <v>5195</v>
      </c>
      <c r="D3135" s="422" t="s">
        <v>666</v>
      </c>
      <c r="F3135" s="421" t="s">
        <v>5437</v>
      </c>
    </row>
    <row r="3136" spans="1:15" x14ac:dyDescent="0.2">
      <c r="A3136" s="111">
        <v>3246</v>
      </c>
      <c r="B3136" s="421" t="s">
        <v>185</v>
      </c>
      <c r="C3136" s="421" t="s">
        <v>529</v>
      </c>
      <c r="D3136" s="422" t="s">
        <v>663</v>
      </c>
      <c r="E3136" s="111">
        <v>15814</v>
      </c>
      <c r="F3136" s="421" t="s">
        <v>5438</v>
      </c>
      <c r="G3136" s="112">
        <v>1</v>
      </c>
      <c r="H3136" s="112">
        <v>1</v>
      </c>
      <c r="I3136" s="112">
        <v>1</v>
      </c>
      <c r="J3136" s="112">
        <v>1</v>
      </c>
      <c r="K3136" s="112">
        <v>1</v>
      </c>
      <c r="L3136" s="112">
        <v>1</v>
      </c>
      <c r="M3136" s="112">
        <v>2</v>
      </c>
    </row>
    <row r="3137" spans="1:15" x14ac:dyDescent="0.2">
      <c r="A3137" s="111">
        <v>3247</v>
      </c>
      <c r="B3137" s="421" t="s">
        <v>1364</v>
      </c>
      <c r="C3137" s="421" t="s">
        <v>510</v>
      </c>
      <c r="D3137" s="422" t="s">
        <v>666</v>
      </c>
      <c r="E3137" s="111">
        <v>15795</v>
      </c>
      <c r="F3137" s="421" t="s">
        <v>5439</v>
      </c>
    </row>
    <row r="3138" spans="1:15" x14ac:dyDescent="0.2">
      <c r="A3138" s="111">
        <v>3248</v>
      </c>
      <c r="B3138" s="421" t="s">
        <v>5440</v>
      </c>
      <c r="C3138" s="421" t="s">
        <v>502</v>
      </c>
      <c r="D3138" s="422" t="s">
        <v>666</v>
      </c>
      <c r="E3138" s="111">
        <v>15778</v>
      </c>
      <c r="F3138" s="421" t="s">
        <v>5405</v>
      </c>
    </row>
    <row r="3139" spans="1:15" x14ac:dyDescent="0.2">
      <c r="A3139" s="111">
        <v>3249</v>
      </c>
      <c r="B3139" s="421" t="s">
        <v>435</v>
      </c>
      <c r="C3139" s="421" t="s">
        <v>501</v>
      </c>
      <c r="D3139" s="422" t="s">
        <v>663</v>
      </c>
      <c r="E3139" s="111">
        <v>15694</v>
      </c>
      <c r="F3139" s="421" t="s">
        <v>5116</v>
      </c>
      <c r="G3139" s="112">
        <v>1</v>
      </c>
      <c r="H3139" s="112">
        <v>2</v>
      </c>
      <c r="I3139" s="112">
        <v>2</v>
      </c>
      <c r="J3139" s="112">
        <v>8</v>
      </c>
      <c r="K3139" s="112">
        <v>4</v>
      </c>
      <c r="L3139" s="112">
        <v>6</v>
      </c>
      <c r="M3139" s="112">
        <v>3</v>
      </c>
      <c r="N3139" s="112">
        <v>1</v>
      </c>
      <c r="O3139" s="112">
        <v>2</v>
      </c>
    </row>
    <row r="3140" spans="1:15" x14ac:dyDescent="0.2">
      <c r="A3140" s="111">
        <v>3250</v>
      </c>
      <c r="B3140" s="421" t="s">
        <v>484</v>
      </c>
      <c r="C3140" s="421" t="s">
        <v>521</v>
      </c>
      <c r="D3140" s="422" t="s">
        <v>666</v>
      </c>
      <c r="E3140" s="111">
        <v>15796</v>
      </c>
      <c r="F3140" s="421" t="s">
        <v>5441</v>
      </c>
      <c r="G3140" s="112">
        <v>1</v>
      </c>
      <c r="H3140" s="112">
        <v>1</v>
      </c>
      <c r="I3140" s="112">
        <v>1</v>
      </c>
      <c r="J3140" s="112">
        <v>5</v>
      </c>
      <c r="K3140" s="112">
        <v>7</v>
      </c>
      <c r="L3140" s="112">
        <v>5</v>
      </c>
      <c r="M3140" s="112">
        <v>6</v>
      </c>
      <c r="N3140" s="112">
        <v>5</v>
      </c>
      <c r="O3140" s="112">
        <v>6</v>
      </c>
    </row>
    <row r="3141" spans="1:15" x14ac:dyDescent="0.2">
      <c r="A3141" s="111">
        <v>3251</v>
      </c>
      <c r="B3141" s="421" t="s">
        <v>5442</v>
      </c>
      <c r="C3141" s="421" t="s">
        <v>513</v>
      </c>
      <c r="D3141" s="422" t="s">
        <v>666</v>
      </c>
      <c r="E3141" s="111">
        <v>15439</v>
      </c>
      <c r="F3141" s="421" t="s">
        <v>3203</v>
      </c>
      <c r="G3141" s="112">
        <v>1</v>
      </c>
      <c r="H3141" s="112">
        <v>2</v>
      </c>
      <c r="I3141" s="112">
        <v>1</v>
      </c>
      <c r="J3141" s="112">
        <v>13</v>
      </c>
      <c r="K3141" s="112">
        <v>10</v>
      </c>
      <c r="L3141" s="112">
        <v>11</v>
      </c>
      <c r="M3141" s="112">
        <v>28</v>
      </c>
      <c r="N3141" s="112">
        <v>16</v>
      </c>
      <c r="O3141" s="112">
        <v>16</v>
      </c>
    </row>
    <row r="3142" spans="1:15" x14ac:dyDescent="0.2">
      <c r="A3142" s="111">
        <v>3252</v>
      </c>
      <c r="B3142" s="421" t="s">
        <v>4896</v>
      </c>
      <c r="C3142" s="421" t="s">
        <v>555</v>
      </c>
      <c r="D3142" s="422" t="s">
        <v>666</v>
      </c>
      <c r="E3142" s="111">
        <v>15797</v>
      </c>
      <c r="F3142" s="421" t="s">
        <v>5443</v>
      </c>
      <c r="G3142" s="112">
        <v>1</v>
      </c>
      <c r="H3142" s="112">
        <v>1</v>
      </c>
      <c r="I3142" s="112">
        <v>1</v>
      </c>
    </row>
    <row r="3143" spans="1:15" x14ac:dyDescent="0.2">
      <c r="A3143" s="111">
        <v>3253</v>
      </c>
      <c r="B3143" s="421" t="s">
        <v>185</v>
      </c>
      <c r="C3143" s="421" t="s">
        <v>555</v>
      </c>
      <c r="D3143" s="422" t="s">
        <v>663</v>
      </c>
      <c r="E3143" s="111">
        <v>15800</v>
      </c>
      <c r="F3143" s="421" t="s">
        <v>5444</v>
      </c>
    </row>
    <row r="3144" spans="1:15" x14ac:dyDescent="0.2">
      <c r="A3144" s="111">
        <v>3254</v>
      </c>
      <c r="B3144" s="421" t="s">
        <v>1612</v>
      </c>
      <c r="C3144" s="421" t="s">
        <v>527</v>
      </c>
      <c r="D3144" s="422" t="s">
        <v>666</v>
      </c>
      <c r="E3144" s="111">
        <v>15066</v>
      </c>
      <c r="F3144" s="421" t="s">
        <v>3040</v>
      </c>
      <c r="G3144" s="112">
        <v>1</v>
      </c>
      <c r="H3144" s="112">
        <v>1</v>
      </c>
      <c r="I3144" s="112">
        <v>1</v>
      </c>
      <c r="J3144" s="112">
        <v>1</v>
      </c>
      <c r="K3144" s="112">
        <v>1</v>
      </c>
      <c r="L3144" s="112">
        <v>1</v>
      </c>
      <c r="M3144" s="112">
        <v>1</v>
      </c>
      <c r="N3144" s="112">
        <v>1</v>
      </c>
      <c r="O3144" s="112">
        <v>1</v>
      </c>
    </row>
    <row r="3145" spans="1:15" x14ac:dyDescent="0.2">
      <c r="A3145" s="111">
        <v>3255</v>
      </c>
      <c r="B3145" s="421" t="s">
        <v>5445</v>
      </c>
      <c r="C3145" s="421" t="s">
        <v>587</v>
      </c>
      <c r="D3145" s="422" t="s">
        <v>666</v>
      </c>
      <c r="E3145" s="111">
        <v>15799</v>
      </c>
      <c r="F3145" s="421" t="s">
        <v>5446</v>
      </c>
      <c r="G3145" s="112">
        <v>1</v>
      </c>
      <c r="H3145" s="112">
        <v>1</v>
      </c>
    </row>
    <row r="3146" spans="1:15" x14ac:dyDescent="0.2">
      <c r="A3146" s="111">
        <v>3256</v>
      </c>
      <c r="B3146" s="421" t="s">
        <v>5447</v>
      </c>
      <c r="C3146" s="421" t="s">
        <v>2338</v>
      </c>
      <c r="D3146" s="422" t="s">
        <v>666</v>
      </c>
      <c r="E3146" s="111">
        <v>15607</v>
      </c>
      <c r="F3146" s="421" t="s">
        <v>4828</v>
      </c>
    </row>
    <row r="3147" spans="1:15" x14ac:dyDescent="0.2">
      <c r="A3147" s="111">
        <v>3257</v>
      </c>
      <c r="B3147" s="421" t="s">
        <v>2204</v>
      </c>
      <c r="C3147" s="421" t="s">
        <v>567</v>
      </c>
      <c r="D3147" s="422" t="s">
        <v>666</v>
      </c>
      <c r="E3147" s="111">
        <v>15414</v>
      </c>
      <c r="F3147" s="421" t="s">
        <v>4126</v>
      </c>
      <c r="G3147" s="112">
        <v>1</v>
      </c>
      <c r="H3147" s="112">
        <v>1</v>
      </c>
      <c r="I3147" s="112">
        <v>1</v>
      </c>
      <c r="J3147" s="112">
        <v>4</v>
      </c>
      <c r="K3147" s="112">
        <v>2</v>
      </c>
      <c r="L3147" s="112">
        <v>2</v>
      </c>
      <c r="M3147" s="112">
        <v>2</v>
      </c>
    </row>
    <row r="3148" spans="1:15" x14ac:dyDescent="0.2">
      <c r="A3148" s="111">
        <v>3258</v>
      </c>
      <c r="B3148" s="421" t="s">
        <v>5448</v>
      </c>
      <c r="C3148" s="421" t="s">
        <v>518</v>
      </c>
      <c r="D3148" s="422" t="s">
        <v>666</v>
      </c>
      <c r="E3148" s="111">
        <v>15652</v>
      </c>
      <c r="F3148" s="421" t="s">
        <v>4929</v>
      </c>
      <c r="G3148" s="112">
        <v>5</v>
      </c>
      <c r="H3148" s="112">
        <v>2</v>
      </c>
      <c r="I3148" s="112">
        <v>4</v>
      </c>
      <c r="J3148" s="112">
        <v>2</v>
      </c>
      <c r="K3148" s="112">
        <v>1</v>
      </c>
      <c r="L3148" s="112">
        <v>1</v>
      </c>
    </row>
    <row r="3149" spans="1:15" x14ac:dyDescent="0.2">
      <c r="A3149" s="111">
        <v>3259</v>
      </c>
      <c r="B3149" s="421" t="s">
        <v>5449</v>
      </c>
      <c r="C3149" s="421" t="s">
        <v>510</v>
      </c>
      <c r="D3149" s="422" t="s">
        <v>666</v>
      </c>
      <c r="E3149" s="111">
        <v>15806</v>
      </c>
      <c r="F3149" s="421" t="s">
        <v>3247</v>
      </c>
      <c r="H3149" s="112">
        <v>1</v>
      </c>
    </row>
    <row r="3150" spans="1:15" x14ac:dyDescent="0.2">
      <c r="A3150" s="111">
        <v>3260</v>
      </c>
      <c r="B3150" s="421" t="s">
        <v>5450</v>
      </c>
      <c r="C3150" s="421" t="s">
        <v>504</v>
      </c>
      <c r="D3150" s="422" t="s">
        <v>666</v>
      </c>
      <c r="E3150" s="111">
        <v>16402</v>
      </c>
      <c r="F3150" s="421" t="s">
        <v>5451</v>
      </c>
      <c r="G3150" s="112">
        <v>2</v>
      </c>
      <c r="H3150" s="112">
        <v>1</v>
      </c>
      <c r="I3150" s="112">
        <v>1</v>
      </c>
    </row>
    <row r="3151" spans="1:15" x14ac:dyDescent="0.2">
      <c r="A3151" s="111">
        <v>3261</v>
      </c>
      <c r="B3151" s="421" t="s">
        <v>2856</v>
      </c>
      <c r="C3151" s="421" t="s">
        <v>506</v>
      </c>
      <c r="D3151" s="422" t="s">
        <v>666</v>
      </c>
      <c r="E3151" s="111">
        <v>15108</v>
      </c>
      <c r="F3151" s="421" t="s">
        <v>3172</v>
      </c>
    </row>
    <row r="3152" spans="1:15" x14ac:dyDescent="0.2">
      <c r="A3152" s="111">
        <v>3262</v>
      </c>
      <c r="B3152" s="421" t="s">
        <v>5452</v>
      </c>
      <c r="C3152" s="421" t="s">
        <v>3387</v>
      </c>
      <c r="D3152" s="422" t="s">
        <v>663</v>
      </c>
      <c r="E3152" s="111">
        <v>15807</v>
      </c>
      <c r="F3152" s="421" t="s">
        <v>5453</v>
      </c>
    </row>
    <row r="3153" spans="1:15" x14ac:dyDescent="0.2">
      <c r="A3153" s="111">
        <v>3263</v>
      </c>
      <c r="B3153" s="421" t="s">
        <v>5454</v>
      </c>
      <c r="C3153" s="421" t="s">
        <v>3387</v>
      </c>
      <c r="D3153" s="422" t="s">
        <v>666</v>
      </c>
      <c r="E3153" s="111">
        <v>15807</v>
      </c>
      <c r="F3153" s="421" t="s">
        <v>5453</v>
      </c>
      <c r="G3153" s="112">
        <v>1</v>
      </c>
      <c r="H3153" s="112">
        <v>1</v>
      </c>
      <c r="I3153" s="112">
        <v>1</v>
      </c>
      <c r="K3153" s="112">
        <v>1</v>
      </c>
      <c r="L3153" s="112">
        <v>1</v>
      </c>
    </row>
    <row r="3154" spans="1:15" x14ac:dyDescent="0.2">
      <c r="A3154" s="111">
        <v>3264</v>
      </c>
      <c r="B3154" s="421" t="s">
        <v>5455</v>
      </c>
      <c r="C3154" s="421" t="s">
        <v>514</v>
      </c>
      <c r="D3154" s="422" t="s">
        <v>663</v>
      </c>
      <c r="F3154" s="421" t="s">
        <v>5456</v>
      </c>
    </row>
    <row r="3155" spans="1:15" x14ac:dyDescent="0.2">
      <c r="A3155" s="111">
        <v>3265</v>
      </c>
      <c r="B3155" s="421" t="s">
        <v>3846</v>
      </c>
      <c r="C3155" s="421" t="s">
        <v>501</v>
      </c>
      <c r="D3155" s="422" t="s">
        <v>666</v>
      </c>
      <c r="F3155" s="421" t="s">
        <v>4370</v>
      </c>
    </row>
    <row r="3156" spans="1:15" x14ac:dyDescent="0.2">
      <c r="A3156" s="111">
        <v>3266</v>
      </c>
      <c r="B3156" s="421" t="s">
        <v>5457</v>
      </c>
      <c r="C3156" s="421" t="s">
        <v>503</v>
      </c>
      <c r="D3156" s="422" t="s">
        <v>666</v>
      </c>
      <c r="E3156" s="111">
        <v>15685</v>
      </c>
      <c r="F3156" s="421" t="s">
        <v>5727</v>
      </c>
      <c r="G3156" s="112">
        <v>1</v>
      </c>
      <c r="H3156" s="112">
        <v>1</v>
      </c>
      <c r="I3156" s="112">
        <v>1</v>
      </c>
      <c r="J3156" s="112">
        <v>5</v>
      </c>
      <c r="K3156" s="112">
        <v>4</v>
      </c>
      <c r="L3156" s="112">
        <v>3</v>
      </c>
      <c r="M3156" s="112">
        <v>2</v>
      </c>
      <c r="N3156" s="112">
        <v>1</v>
      </c>
      <c r="O3156" s="112">
        <v>1</v>
      </c>
    </row>
    <row r="3157" spans="1:15" x14ac:dyDescent="0.2">
      <c r="A3157" s="111">
        <v>3267</v>
      </c>
      <c r="B3157" s="421" t="s">
        <v>2436</v>
      </c>
      <c r="C3157" s="421" t="s">
        <v>501</v>
      </c>
      <c r="D3157" s="422" t="s">
        <v>663</v>
      </c>
      <c r="E3157" s="111">
        <v>15808</v>
      </c>
      <c r="F3157" s="421" t="s">
        <v>3258</v>
      </c>
      <c r="G3157" s="112">
        <v>1</v>
      </c>
      <c r="H3157" s="112">
        <v>1</v>
      </c>
      <c r="I3157" s="112">
        <v>1</v>
      </c>
      <c r="J3157" s="112">
        <v>9</v>
      </c>
      <c r="K3157" s="112">
        <v>3</v>
      </c>
      <c r="L3157" s="112">
        <v>7</v>
      </c>
      <c r="M3157" s="112">
        <v>7</v>
      </c>
      <c r="N3157" s="112">
        <v>2</v>
      </c>
      <c r="O3157" s="112">
        <v>3</v>
      </c>
    </row>
    <row r="3158" spans="1:15" x14ac:dyDescent="0.2">
      <c r="A3158" s="111">
        <v>3268</v>
      </c>
      <c r="B3158" s="421" t="s">
        <v>2204</v>
      </c>
      <c r="C3158" s="421" t="s">
        <v>628</v>
      </c>
      <c r="D3158" s="422" t="s">
        <v>666</v>
      </c>
      <c r="E3158" s="111">
        <v>15809</v>
      </c>
      <c r="F3158" s="421" t="s">
        <v>5458</v>
      </c>
      <c r="G3158" s="112">
        <v>1</v>
      </c>
      <c r="H3158" s="112">
        <v>1</v>
      </c>
      <c r="I3158" s="112">
        <v>1</v>
      </c>
      <c r="J3158" s="112">
        <v>11</v>
      </c>
      <c r="K3158" s="112">
        <v>7</v>
      </c>
      <c r="L3158" s="112">
        <v>8</v>
      </c>
      <c r="M3158" s="112">
        <v>8</v>
      </c>
      <c r="N3158" s="112">
        <v>4</v>
      </c>
      <c r="O3158" s="112">
        <v>2</v>
      </c>
    </row>
    <row r="3159" spans="1:15" x14ac:dyDescent="0.2">
      <c r="A3159" s="111">
        <v>3269</v>
      </c>
      <c r="B3159" s="421" t="s">
        <v>284</v>
      </c>
      <c r="C3159" s="421" t="s">
        <v>572</v>
      </c>
      <c r="D3159" s="422" t="s">
        <v>666</v>
      </c>
      <c r="E3159" s="111">
        <v>15811</v>
      </c>
      <c r="F3159" s="421" t="s">
        <v>5459</v>
      </c>
      <c r="G3159" s="112">
        <v>2</v>
      </c>
      <c r="H3159" s="112">
        <v>1</v>
      </c>
      <c r="I3159" s="112">
        <v>1</v>
      </c>
      <c r="J3159" s="112">
        <v>1</v>
      </c>
    </row>
    <row r="3160" spans="1:15" x14ac:dyDescent="0.2">
      <c r="A3160" s="111">
        <v>3270</v>
      </c>
      <c r="B3160" s="421" t="s">
        <v>3302</v>
      </c>
      <c r="C3160" s="421" t="s">
        <v>510</v>
      </c>
      <c r="D3160" s="422" t="s">
        <v>666</v>
      </c>
      <c r="E3160" s="111">
        <v>14828</v>
      </c>
      <c r="F3160" s="421" t="s">
        <v>2457</v>
      </c>
      <c r="G3160" s="112">
        <v>2</v>
      </c>
      <c r="H3160" s="112">
        <v>1</v>
      </c>
      <c r="I3160" s="112">
        <v>2</v>
      </c>
      <c r="J3160" s="112">
        <v>9</v>
      </c>
      <c r="K3160" s="112">
        <v>6</v>
      </c>
      <c r="L3160" s="112">
        <v>8</v>
      </c>
      <c r="M3160" s="112">
        <v>7</v>
      </c>
      <c r="N3160" s="112">
        <v>5</v>
      </c>
      <c r="O3160" s="112">
        <v>4</v>
      </c>
    </row>
    <row r="3161" spans="1:15" x14ac:dyDescent="0.2">
      <c r="A3161" s="111">
        <v>3271</v>
      </c>
      <c r="B3161" s="421" t="s">
        <v>5460</v>
      </c>
      <c r="C3161" s="421" t="s">
        <v>501</v>
      </c>
      <c r="D3161" s="422" t="s">
        <v>666</v>
      </c>
      <c r="E3161" s="111">
        <v>15812</v>
      </c>
      <c r="F3161" s="421" t="s">
        <v>5461</v>
      </c>
      <c r="G3161" s="112">
        <v>1</v>
      </c>
      <c r="H3161" s="112">
        <v>1</v>
      </c>
      <c r="I3161" s="112">
        <v>1</v>
      </c>
      <c r="J3161" s="112">
        <v>1</v>
      </c>
      <c r="L3161" s="112">
        <v>1</v>
      </c>
    </row>
    <row r="3162" spans="1:15" x14ac:dyDescent="0.2">
      <c r="A3162" s="111">
        <v>3272</v>
      </c>
      <c r="B3162" s="421" t="s">
        <v>5462</v>
      </c>
      <c r="C3162" s="421" t="s">
        <v>502</v>
      </c>
      <c r="D3162" s="422" t="s">
        <v>663</v>
      </c>
      <c r="E3162" s="111">
        <v>15901</v>
      </c>
      <c r="F3162" s="421" t="s">
        <v>5463</v>
      </c>
      <c r="G3162" s="112">
        <v>2</v>
      </c>
      <c r="H3162" s="112">
        <v>2</v>
      </c>
      <c r="I3162" s="112">
        <v>2</v>
      </c>
      <c r="J3162" s="112">
        <v>7</v>
      </c>
      <c r="K3162" s="112">
        <v>6</v>
      </c>
      <c r="L3162" s="112">
        <v>8</v>
      </c>
      <c r="M3162" s="112">
        <v>8</v>
      </c>
      <c r="N3162" s="112">
        <v>4</v>
      </c>
      <c r="O3162" s="112">
        <v>2</v>
      </c>
    </row>
    <row r="3163" spans="1:15" x14ac:dyDescent="0.2">
      <c r="A3163" s="111">
        <v>3273</v>
      </c>
      <c r="B3163" s="421" t="s">
        <v>5464</v>
      </c>
      <c r="C3163" s="421" t="s">
        <v>506</v>
      </c>
      <c r="D3163" s="422" t="s">
        <v>663</v>
      </c>
      <c r="E3163" s="111">
        <v>15901</v>
      </c>
      <c r="F3163" s="421" t="s">
        <v>5463</v>
      </c>
      <c r="G3163" s="112">
        <v>1</v>
      </c>
      <c r="H3163" s="112">
        <v>2</v>
      </c>
      <c r="I3163" s="112">
        <v>3</v>
      </c>
      <c r="J3163" s="112">
        <v>1</v>
      </c>
      <c r="K3163" s="112">
        <v>2</v>
      </c>
      <c r="L3163" s="112">
        <v>2</v>
      </c>
    </row>
    <row r="3164" spans="1:15" x14ac:dyDescent="0.2">
      <c r="A3164" s="111">
        <v>3274</v>
      </c>
      <c r="B3164" s="421" t="s">
        <v>5465</v>
      </c>
      <c r="C3164" s="421" t="s">
        <v>501</v>
      </c>
      <c r="D3164" s="422" t="s">
        <v>666</v>
      </c>
      <c r="E3164" s="111">
        <v>15813</v>
      </c>
      <c r="F3164" s="421" t="s">
        <v>5466</v>
      </c>
      <c r="G3164" s="112">
        <v>1</v>
      </c>
      <c r="H3164" s="112">
        <v>1</v>
      </c>
      <c r="I3164" s="112">
        <v>1</v>
      </c>
      <c r="J3164" s="112">
        <v>2</v>
      </c>
      <c r="K3164" s="112">
        <v>2</v>
      </c>
      <c r="L3164" s="112">
        <v>2</v>
      </c>
    </row>
    <row r="3165" spans="1:15" x14ac:dyDescent="0.2">
      <c r="A3165" s="111">
        <v>3275</v>
      </c>
      <c r="B3165" s="421" t="s">
        <v>5467</v>
      </c>
      <c r="C3165" s="421" t="s">
        <v>580</v>
      </c>
      <c r="D3165" s="422" t="s">
        <v>666</v>
      </c>
      <c r="E3165" s="111">
        <v>14678</v>
      </c>
      <c r="F3165" s="421" t="s">
        <v>2029</v>
      </c>
      <c r="G3165" s="112">
        <v>1</v>
      </c>
      <c r="H3165" s="112">
        <v>1</v>
      </c>
      <c r="I3165" s="112">
        <v>1</v>
      </c>
      <c r="J3165" s="112">
        <v>2</v>
      </c>
      <c r="K3165" s="112">
        <v>1</v>
      </c>
      <c r="L3165" s="112">
        <v>1</v>
      </c>
    </row>
    <row r="3166" spans="1:15" x14ac:dyDescent="0.2">
      <c r="A3166" s="111">
        <v>3276</v>
      </c>
      <c r="B3166" s="421" t="s">
        <v>381</v>
      </c>
      <c r="C3166" s="421" t="s">
        <v>585</v>
      </c>
      <c r="D3166" s="422" t="s">
        <v>663</v>
      </c>
      <c r="E3166" s="111">
        <v>15815</v>
      </c>
      <c r="F3166" s="421" t="s">
        <v>975</v>
      </c>
      <c r="G3166" s="112">
        <v>1</v>
      </c>
      <c r="H3166" s="112">
        <v>1</v>
      </c>
      <c r="I3166" s="112">
        <v>1</v>
      </c>
      <c r="J3166" s="112">
        <v>1</v>
      </c>
      <c r="K3166" s="112">
        <v>1</v>
      </c>
      <c r="L3166" s="112">
        <v>1</v>
      </c>
      <c r="M3166" s="112">
        <v>1</v>
      </c>
    </row>
    <row r="3167" spans="1:15" x14ac:dyDescent="0.2">
      <c r="A3167" s="111">
        <v>3277</v>
      </c>
      <c r="B3167" s="421" t="s">
        <v>1359</v>
      </c>
      <c r="C3167" s="421" t="s">
        <v>503</v>
      </c>
      <c r="D3167" s="422" t="s">
        <v>663</v>
      </c>
      <c r="E3167" s="111">
        <v>15878</v>
      </c>
      <c r="F3167" s="421" t="s">
        <v>5468</v>
      </c>
      <c r="G3167" s="112">
        <v>1</v>
      </c>
      <c r="H3167" s="112">
        <v>1</v>
      </c>
      <c r="I3167" s="112">
        <v>1</v>
      </c>
      <c r="J3167" s="112">
        <v>5</v>
      </c>
      <c r="K3167" s="112">
        <v>4</v>
      </c>
      <c r="L3167" s="112">
        <v>2</v>
      </c>
    </row>
    <row r="3168" spans="1:15" x14ac:dyDescent="0.2">
      <c r="A3168" s="111">
        <v>3278</v>
      </c>
      <c r="B3168" s="421" t="s">
        <v>5469</v>
      </c>
      <c r="C3168" s="421" t="s">
        <v>550</v>
      </c>
      <c r="D3168" s="422" t="s">
        <v>666</v>
      </c>
      <c r="E3168" s="111">
        <v>15816</v>
      </c>
      <c r="F3168" s="421" t="s">
        <v>5470</v>
      </c>
      <c r="G3168" s="112">
        <v>1</v>
      </c>
      <c r="H3168" s="112">
        <v>1</v>
      </c>
      <c r="I3168" s="112">
        <v>1</v>
      </c>
      <c r="J3168" s="112">
        <v>5</v>
      </c>
      <c r="K3168" s="112">
        <v>3</v>
      </c>
      <c r="L3168" s="112">
        <v>2</v>
      </c>
      <c r="M3168" s="112">
        <v>3</v>
      </c>
      <c r="N3168" s="112">
        <v>1</v>
      </c>
      <c r="O3168" s="112">
        <v>1</v>
      </c>
    </row>
    <row r="3169" spans="1:15" x14ac:dyDescent="0.2">
      <c r="A3169" s="111">
        <v>3279</v>
      </c>
      <c r="B3169" s="421" t="s">
        <v>7860</v>
      </c>
      <c r="C3169" s="421" t="s">
        <v>501</v>
      </c>
      <c r="D3169" s="422" t="s">
        <v>663</v>
      </c>
      <c r="E3169" s="111">
        <v>16048</v>
      </c>
      <c r="F3169" s="421" t="s">
        <v>5471</v>
      </c>
      <c r="G3169" s="112">
        <v>1</v>
      </c>
      <c r="H3169" s="112">
        <v>1</v>
      </c>
      <c r="I3169" s="112">
        <v>1</v>
      </c>
      <c r="J3169" s="112">
        <v>5</v>
      </c>
      <c r="K3169" s="112">
        <v>5</v>
      </c>
      <c r="L3169" s="112">
        <v>5</v>
      </c>
      <c r="M3169" s="112">
        <v>6</v>
      </c>
      <c r="N3169" s="112">
        <v>3</v>
      </c>
      <c r="O3169" s="112">
        <v>4</v>
      </c>
    </row>
    <row r="3170" spans="1:15" x14ac:dyDescent="0.2">
      <c r="A3170" s="111">
        <v>3280</v>
      </c>
      <c r="B3170" s="421" t="s">
        <v>86</v>
      </c>
      <c r="C3170" s="421" t="s">
        <v>502</v>
      </c>
      <c r="D3170" s="422" t="s">
        <v>663</v>
      </c>
      <c r="E3170" s="111">
        <v>15175</v>
      </c>
      <c r="F3170" s="421" t="s">
        <v>3353</v>
      </c>
    </row>
    <row r="3171" spans="1:15" x14ac:dyDescent="0.2">
      <c r="A3171" s="111">
        <v>3281</v>
      </c>
      <c r="B3171" s="421" t="s">
        <v>5472</v>
      </c>
      <c r="C3171" s="421" t="s">
        <v>530</v>
      </c>
      <c r="D3171" s="422" t="s">
        <v>663</v>
      </c>
      <c r="E3171" s="111">
        <v>14575</v>
      </c>
      <c r="F3171" s="421" t="s">
        <v>1794</v>
      </c>
    </row>
    <row r="3172" spans="1:15" x14ac:dyDescent="0.2">
      <c r="A3172" s="111">
        <v>3282</v>
      </c>
      <c r="B3172" s="421" t="s">
        <v>5473</v>
      </c>
      <c r="C3172" s="421" t="s">
        <v>533</v>
      </c>
      <c r="D3172" s="422" t="s">
        <v>666</v>
      </c>
      <c r="E3172" s="111">
        <v>15818</v>
      </c>
      <c r="F3172" s="421" t="s">
        <v>5474</v>
      </c>
    </row>
    <row r="3173" spans="1:15" x14ac:dyDescent="0.2">
      <c r="A3173" s="111">
        <v>3284</v>
      </c>
      <c r="B3173" s="421" t="s">
        <v>5475</v>
      </c>
      <c r="C3173" s="421" t="s">
        <v>512</v>
      </c>
      <c r="D3173" s="422" t="s">
        <v>666</v>
      </c>
      <c r="E3173" s="111">
        <v>15639</v>
      </c>
      <c r="F3173" s="421" t="s">
        <v>4930</v>
      </c>
      <c r="G3173" s="112">
        <v>2</v>
      </c>
      <c r="H3173" s="112">
        <v>2</v>
      </c>
      <c r="I3173" s="112">
        <v>2</v>
      </c>
      <c r="J3173" s="112">
        <v>10</v>
      </c>
      <c r="K3173" s="112">
        <v>9</v>
      </c>
      <c r="L3173" s="112">
        <v>10</v>
      </c>
      <c r="M3173" s="112">
        <v>5</v>
      </c>
      <c r="N3173" s="112">
        <v>1</v>
      </c>
      <c r="O3173" s="112">
        <v>1</v>
      </c>
    </row>
    <row r="3174" spans="1:15" x14ac:dyDescent="0.2">
      <c r="A3174" s="111">
        <v>3285</v>
      </c>
      <c r="B3174" s="421" t="s">
        <v>39</v>
      </c>
      <c r="C3174" s="421" t="s">
        <v>503</v>
      </c>
      <c r="D3174" s="422" t="s">
        <v>663</v>
      </c>
      <c r="E3174" s="111">
        <v>15819</v>
      </c>
      <c r="F3174" s="421" t="s">
        <v>5476</v>
      </c>
      <c r="G3174" s="112">
        <v>1</v>
      </c>
      <c r="I3174" s="112">
        <v>1</v>
      </c>
    </row>
    <row r="3175" spans="1:15" x14ac:dyDescent="0.2">
      <c r="A3175" s="111">
        <v>3286</v>
      </c>
      <c r="B3175" s="421" t="s">
        <v>2238</v>
      </c>
      <c r="C3175" s="421" t="s">
        <v>510</v>
      </c>
      <c r="D3175" s="422" t="s">
        <v>663</v>
      </c>
      <c r="E3175" s="111">
        <v>15830</v>
      </c>
      <c r="F3175" s="421" t="s">
        <v>3092</v>
      </c>
    </row>
    <row r="3176" spans="1:15" x14ac:dyDescent="0.2">
      <c r="A3176" s="111">
        <v>3287</v>
      </c>
      <c r="B3176" s="421" t="s">
        <v>2159</v>
      </c>
      <c r="C3176" s="421" t="s">
        <v>513</v>
      </c>
      <c r="D3176" s="422" t="s">
        <v>663</v>
      </c>
      <c r="E3176" s="111">
        <v>15369</v>
      </c>
      <c r="F3176" s="421" t="s">
        <v>3913</v>
      </c>
      <c r="G3176" s="112">
        <v>1</v>
      </c>
      <c r="H3176" s="112">
        <v>1</v>
      </c>
      <c r="I3176" s="112">
        <v>1</v>
      </c>
    </row>
    <row r="3177" spans="1:15" x14ac:dyDescent="0.2">
      <c r="A3177" s="111">
        <v>3288</v>
      </c>
      <c r="B3177" s="421" t="s">
        <v>1371</v>
      </c>
      <c r="C3177" s="421" t="s">
        <v>502</v>
      </c>
      <c r="D3177" s="422" t="s">
        <v>663</v>
      </c>
      <c r="E3177" s="111">
        <v>15821</v>
      </c>
      <c r="F3177" s="421" t="s">
        <v>5498</v>
      </c>
      <c r="G3177" s="112">
        <v>1</v>
      </c>
      <c r="H3177" s="112">
        <v>1</v>
      </c>
      <c r="I3177" s="112">
        <v>1</v>
      </c>
      <c r="J3177" s="112">
        <v>2</v>
      </c>
      <c r="K3177" s="112">
        <v>2</v>
      </c>
      <c r="L3177" s="112">
        <v>2</v>
      </c>
      <c r="O3177" s="112">
        <v>1</v>
      </c>
    </row>
    <row r="3178" spans="1:15" x14ac:dyDescent="0.2">
      <c r="A3178" s="111">
        <v>3289</v>
      </c>
      <c r="B3178" s="421" t="s">
        <v>1348</v>
      </c>
      <c r="C3178" s="421" t="s">
        <v>516</v>
      </c>
      <c r="D3178" s="422" t="s">
        <v>663</v>
      </c>
      <c r="F3178" s="421" t="s">
        <v>5499</v>
      </c>
    </row>
    <row r="3179" spans="1:15" x14ac:dyDescent="0.2">
      <c r="A3179" s="111">
        <v>3290</v>
      </c>
      <c r="B3179" s="421" t="s">
        <v>1423</v>
      </c>
      <c r="C3179" s="421" t="s">
        <v>1284</v>
      </c>
      <c r="D3179" s="422" t="s">
        <v>663</v>
      </c>
      <c r="E3179" s="111">
        <v>15822</v>
      </c>
      <c r="F3179" s="421" t="s">
        <v>5500</v>
      </c>
      <c r="G3179" s="112">
        <v>1</v>
      </c>
      <c r="H3179" s="112">
        <v>1</v>
      </c>
      <c r="I3179" s="112">
        <v>1</v>
      </c>
      <c r="J3179" s="112">
        <v>6</v>
      </c>
      <c r="K3179" s="112">
        <v>6</v>
      </c>
      <c r="L3179" s="112">
        <v>6</v>
      </c>
      <c r="M3179" s="112">
        <v>4</v>
      </c>
      <c r="N3179" s="112">
        <v>5</v>
      </c>
      <c r="O3179" s="112">
        <v>5</v>
      </c>
    </row>
    <row r="3180" spans="1:15" x14ac:dyDescent="0.2">
      <c r="A3180" s="111">
        <v>3291</v>
      </c>
      <c r="B3180" s="421" t="s">
        <v>5501</v>
      </c>
      <c r="C3180" s="421" t="s">
        <v>1112</v>
      </c>
      <c r="D3180" s="422" t="s">
        <v>666</v>
      </c>
      <c r="E3180" s="111">
        <v>15625</v>
      </c>
      <c r="F3180" s="421" t="s">
        <v>4901</v>
      </c>
      <c r="G3180" s="112">
        <v>1</v>
      </c>
      <c r="H3180" s="112">
        <v>1</v>
      </c>
      <c r="I3180" s="112">
        <v>1</v>
      </c>
      <c r="J3180" s="112">
        <v>2</v>
      </c>
      <c r="K3180" s="112">
        <v>1</v>
      </c>
      <c r="L3180" s="112">
        <v>1</v>
      </c>
    </row>
    <row r="3181" spans="1:15" x14ac:dyDescent="0.2">
      <c r="A3181" s="111">
        <v>3292</v>
      </c>
      <c r="B3181" s="421" t="s">
        <v>5502</v>
      </c>
      <c r="C3181" s="421" t="s">
        <v>3387</v>
      </c>
      <c r="D3181" s="422" t="s">
        <v>666</v>
      </c>
      <c r="E3181" s="111">
        <v>15823</v>
      </c>
      <c r="F3181" s="421" t="s">
        <v>5503</v>
      </c>
      <c r="G3181" s="112">
        <v>1</v>
      </c>
      <c r="I3181" s="112">
        <v>1</v>
      </c>
    </row>
    <row r="3182" spans="1:15" x14ac:dyDescent="0.2">
      <c r="A3182" s="111">
        <v>3293</v>
      </c>
      <c r="B3182" s="421" t="s">
        <v>1092</v>
      </c>
      <c r="C3182" s="421" t="s">
        <v>510</v>
      </c>
      <c r="D3182" s="422" t="s">
        <v>663</v>
      </c>
      <c r="E3182" s="111">
        <v>15853</v>
      </c>
      <c r="F3182" s="421" t="s">
        <v>5504</v>
      </c>
      <c r="G3182" s="112">
        <v>2</v>
      </c>
      <c r="H3182" s="112">
        <v>1</v>
      </c>
      <c r="I3182" s="112">
        <v>2</v>
      </c>
      <c r="J3182" s="112">
        <v>1</v>
      </c>
      <c r="L3182" s="112">
        <v>1</v>
      </c>
    </row>
    <row r="3183" spans="1:15" x14ac:dyDescent="0.2">
      <c r="A3183" s="111">
        <v>3294</v>
      </c>
      <c r="B3183" s="421" t="s">
        <v>5505</v>
      </c>
      <c r="C3183" s="421" t="s">
        <v>5506</v>
      </c>
      <c r="D3183" s="422" t="s">
        <v>663</v>
      </c>
      <c r="E3183" s="111">
        <v>15824</v>
      </c>
      <c r="F3183" s="421" t="s">
        <v>5507</v>
      </c>
    </row>
    <row r="3184" spans="1:15" x14ac:dyDescent="0.2">
      <c r="A3184" s="111">
        <v>3295</v>
      </c>
      <c r="B3184" s="421" t="s">
        <v>5508</v>
      </c>
      <c r="C3184" s="421" t="s">
        <v>5509</v>
      </c>
      <c r="D3184" s="422" t="s">
        <v>666</v>
      </c>
      <c r="E3184" s="111">
        <v>14944</v>
      </c>
      <c r="F3184" s="421" t="s">
        <v>2078</v>
      </c>
      <c r="G3184" s="112">
        <v>1</v>
      </c>
      <c r="H3184" s="112">
        <v>1</v>
      </c>
      <c r="I3184" s="112">
        <v>1</v>
      </c>
      <c r="J3184" s="112">
        <v>2</v>
      </c>
      <c r="K3184" s="112">
        <v>2</v>
      </c>
      <c r="L3184" s="112">
        <v>3</v>
      </c>
      <c r="M3184" s="112">
        <v>1</v>
      </c>
    </row>
    <row r="3185" spans="1:15" x14ac:dyDescent="0.2">
      <c r="A3185" s="111">
        <v>3296</v>
      </c>
      <c r="B3185" s="421" t="s">
        <v>5510</v>
      </c>
      <c r="C3185" s="421" t="s">
        <v>577</v>
      </c>
      <c r="D3185" s="422" t="s">
        <v>663</v>
      </c>
      <c r="E3185" s="111">
        <v>15171</v>
      </c>
      <c r="F3185" s="421" t="s">
        <v>3339</v>
      </c>
      <c r="G3185" s="112">
        <v>3</v>
      </c>
      <c r="H3185" s="112">
        <v>2</v>
      </c>
      <c r="I3185" s="112">
        <v>3</v>
      </c>
      <c r="J3185" s="112">
        <v>6</v>
      </c>
      <c r="K3185" s="112">
        <v>5</v>
      </c>
      <c r="L3185" s="112">
        <v>7</v>
      </c>
      <c r="M3185" s="112">
        <v>2</v>
      </c>
    </row>
    <row r="3186" spans="1:15" x14ac:dyDescent="0.2">
      <c r="A3186" s="111">
        <v>3297</v>
      </c>
      <c r="B3186" s="421" t="s">
        <v>1218</v>
      </c>
      <c r="C3186" s="421" t="s">
        <v>551</v>
      </c>
      <c r="D3186" s="422" t="s">
        <v>663</v>
      </c>
      <c r="E3186" s="111">
        <v>15825</v>
      </c>
      <c r="F3186" s="421" t="s">
        <v>5511</v>
      </c>
      <c r="G3186" s="112">
        <v>1</v>
      </c>
      <c r="H3186" s="112">
        <v>1</v>
      </c>
      <c r="I3186" s="112">
        <v>1</v>
      </c>
      <c r="J3186" s="112">
        <v>2</v>
      </c>
      <c r="K3186" s="112">
        <v>1</v>
      </c>
      <c r="L3186" s="112">
        <v>1</v>
      </c>
      <c r="M3186" s="112">
        <v>1</v>
      </c>
      <c r="O3186" s="112">
        <v>1</v>
      </c>
    </row>
    <row r="3187" spans="1:15" x14ac:dyDescent="0.2">
      <c r="A3187" s="111">
        <v>3298</v>
      </c>
      <c r="B3187" s="421" t="s">
        <v>5512</v>
      </c>
      <c r="C3187" s="421" t="s">
        <v>551</v>
      </c>
      <c r="D3187" s="422" t="s">
        <v>666</v>
      </c>
      <c r="E3187" s="111">
        <v>15825</v>
      </c>
      <c r="F3187" s="421" t="s">
        <v>5511</v>
      </c>
      <c r="G3187" s="112">
        <v>1</v>
      </c>
      <c r="H3187" s="112">
        <v>1</v>
      </c>
      <c r="I3187" s="112">
        <v>1</v>
      </c>
    </row>
    <row r="3188" spans="1:15" x14ac:dyDescent="0.2">
      <c r="A3188" s="111">
        <v>3299</v>
      </c>
      <c r="B3188" s="421" t="s">
        <v>2238</v>
      </c>
      <c r="C3188" s="421" t="s">
        <v>510</v>
      </c>
      <c r="D3188" s="422" t="s">
        <v>663</v>
      </c>
      <c r="E3188" s="111">
        <v>15426</v>
      </c>
      <c r="F3188" s="421" t="s">
        <v>1975</v>
      </c>
      <c r="G3188" s="112">
        <v>2</v>
      </c>
      <c r="H3188" s="112">
        <v>3</v>
      </c>
      <c r="I3188" s="112">
        <v>3</v>
      </c>
    </row>
    <row r="3189" spans="1:15" x14ac:dyDescent="0.2">
      <c r="A3189" s="111">
        <v>3300</v>
      </c>
      <c r="B3189" s="421" t="s">
        <v>1543</v>
      </c>
      <c r="C3189" s="421" t="s">
        <v>2412</v>
      </c>
      <c r="D3189" s="422" t="s">
        <v>663</v>
      </c>
      <c r="E3189" s="111">
        <v>15729</v>
      </c>
      <c r="F3189" s="421" t="s">
        <v>5222</v>
      </c>
      <c r="G3189" s="112">
        <v>1</v>
      </c>
      <c r="H3189" s="112">
        <v>1</v>
      </c>
      <c r="I3189" s="112">
        <v>1</v>
      </c>
      <c r="J3189" s="112">
        <v>5</v>
      </c>
      <c r="K3189" s="112">
        <v>3</v>
      </c>
      <c r="L3189" s="112">
        <v>3</v>
      </c>
      <c r="M3189" s="112">
        <v>1</v>
      </c>
      <c r="N3189" s="112">
        <v>1</v>
      </c>
    </row>
    <row r="3190" spans="1:15" x14ac:dyDescent="0.2">
      <c r="A3190" s="111">
        <v>3301</v>
      </c>
      <c r="B3190" s="421" t="s">
        <v>5513</v>
      </c>
      <c r="C3190" s="421" t="s">
        <v>551</v>
      </c>
      <c r="D3190" s="422" t="s">
        <v>663</v>
      </c>
      <c r="E3190" s="111">
        <v>15827</v>
      </c>
      <c r="F3190" s="421" t="s">
        <v>4842</v>
      </c>
      <c r="G3190" s="112">
        <v>1</v>
      </c>
      <c r="H3190" s="112">
        <v>1</v>
      </c>
      <c r="I3190" s="112">
        <v>1</v>
      </c>
    </row>
    <row r="3191" spans="1:15" x14ac:dyDescent="0.2">
      <c r="A3191" s="111">
        <v>3302</v>
      </c>
      <c r="B3191" s="421" t="s">
        <v>67</v>
      </c>
      <c r="C3191" s="421" t="s">
        <v>506</v>
      </c>
      <c r="D3191" s="422" t="s">
        <v>666</v>
      </c>
      <c r="E3191" s="111">
        <v>15108</v>
      </c>
      <c r="F3191" s="421" t="s">
        <v>3172</v>
      </c>
    </row>
    <row r="3192" spans="1:15" x14ac:dyDescent="0.2">
      <c r="A3192" s="111">
        <v>3303</v>
      </c>
      <c r="B3192" s="421" t="s">
        <v>5514</v>
      </c>
      <c r="C3192" s="421" t="s">
        <v>510</v>
      </c>
      <c r="D3192" s="422" t="s">
        <v>666</v>
      </c>
      <c r="E3192" s="111">
        <v>15828</v>
      </c>
      <c r="F3192" s="421" t="s">
        <v>5515</v>
      </c>
      <c r="G3192" s="112">
        <v>1</v>
      </c>
      <c r="H3192" s="112">
        <v>1</v>
      </c>
      <c r="I3192" s="112">
        <v>1</v>
      </c>
      <c r="J3192" s="112">
        <v>1</v>
      </c>
      <c r="K3192" s="112">
        <v>3</v>
      </c>
      <c r="L3192" s="112">
        <v>3</v>
      </c>
    </row>
    <row r="3193" spans="1:15" x14ac:dyDescent="0.2">
      <c r="A3193" s="111">
        <v>3304</v>
      </c>
      <c r="B3193" s="421" t="s">
        <v>5516</v>
      </c>
      <c r="C3193" s="421" t="s">
        <v>1211</v>
      </c>
      <c r="D3193" s="422" t="s">
        <v>663</v>
      </c>
      <c r="E3193" s="111">
        <v>15768</v>
      </c>
      <c r="F3193" s="421" t="s">
        <v>2904</v>
      </c>
      <c r="G3193" s="112">
        <v>1</v>
      </c>
      <c r="H3193" s="112">
        <v>1</v>
      </c>
      <c r="I3193" s="112">
        <v>1</v>
      </c>
      <c r="J3193" s="112">
        <v>5</v>
      </c>
      <c r="K3193" s="112">
        <v>5</v>
      </c>
      <c r="L3193" s="112">
        <v>5</v>
      </c>
      <c r="M3193" s="112">
        <v>2</v>
      </c>
      <c r="N3193" s="112">
        <v>2</v>
      </c>
      <c r="O3193" s="112">
        <v>3</v>
      </c>
    </row>
    <row r="3194" spans="1:15" x14ac:dyDescent="0.2">
      <c r="A3194" s="111">
        <v>3305</v>
      </c>
      <c r="B3194" s="421" t="s">
        <v>5517</v>
      </c>
      <c r="C3194" s="421" t="s">
        <v>506</v>
      </c>
      <c r="D3194" s="422" t="s">
        <v>666</v>
      </c>
      <c r="E3194" s="111">
        <v>15829</v>
      </c>
      <c r="F3194" s="421" t="s">
        <v>5518</v>
      </c>
    </row>
    <row r="3195" spans="1:15" x14ac:dyDescent="0.2">
      <c r="A3195" s="111">
        <v>3306</v>
      </c>
      <c r="B3195" s="421" t="s">
        <v>5519</v>
      </c>
      <c r="C3195" s="421" t="s">
        <v>540</v>
      </c>
      <c r="D3195" s="422" t="s">
        <v>666</v>
      </c>
      <c r="E3195" s="111">
        <v>15442</v>
      </c>
      <c r="F3195" s="421" t="s">
        <v>4176</v>
      </c>
      <c r="G3195" s="112">
        <v>1</v>
      </c>
      <c r="H3195" s="112">
        <v>1</v>
      </c>
      <c r="I3195" s="112">
        <v>1</v>
      </c>
      <c r="K3195" s="112">
        <v>1</v>
      </c>
    </row>
    <row r="3196" spans="1:15" x14ac:dyDescent="0.2">
      <c r="A3196" s="111">
        <v>3307</v>
      </c>
      <c r="B3196" s="421" t="s">
        <v>5520</v>
      </c>
      <c r="C3196" s="421" t="s">
        <v>543</v>
      </c>
      <c r="D3196" s="422" t="s">
        <v>663</v>
      </c>
      <c r="E3196" s="111">
        <v>15434</v>
      </c>
      <c r="F3196" s="421" t="s">
        <v>3916</v>
      </c>
      <c r="G3196" s="112">
        <v>1</v>
      </c>
      <c r="H3196" s="112">
        <v>1</v>
      </c>
      <c r="I3196" s="112">
        <v>1</v>
      </c>
      <c r="J3196" s="112">
        <v>3</v>
      </c>
      <c r="K3196" s="112">
        <v>3</v>
      </c>
      <c r="L3196" s="112">
        <v>3</v>
      </c>
      <c r="M3196" s="112">
        <v>2</v>
      </c>
      <c r="N3196" s="112">
        <v>2</v>
      </c>
      <c r="O3196" s="112">
        <v>2</v>
      </c>
    </row>
    <row r="3197" spans="1:15" x14ac:dyDescent="0.2">
      <c r="A3197" s="111">
        <v>3308</v>
      </c>
      <c r="B3197" s="421" t="s">
        <v>5521</v>
      </c>
      <c r="C3197" s="421" t="s">
        <v>581</v>
      </c>
      <c r="D3197" s="422" t="s">
        <v>666</v>
      </c>
      <c r="E3197" s="111">
        <v>15834</v>
      </c>
      <c r="F3197" s="421" t="s">
        <v>5522</v>
      </c>
      <c r="G3197" s="112">
        <v>1</v>
      </c>
      <c r="H3197" s="112">
        <v>1</v>
      </c>
      <c r="I3197" s="112">
        <v>1</v>
      </c>
      <c r="J3197" s="112">
        <v>4</v>
      </c>
      <c r="K3197" s="112">
        <v>3</v>
      </c>
      <c r="L3197" s="112">
        <v>3</v>
      </c>
      <c r="M3197" s="112">
        <v>4</v>
      </c>
      <c r="N3197" s="112">
        <v>3</v>
      </c>
      <c r="O3197" s="112">
        <v>2</v>
      </c>
    </row>
    <row r="3198" spans="1:15" x14ac:dyDescent="0.2">
      <c r="A3198" s="111">
        <v>3309</v>
      </c>
      <c r="B3198" s="421" t="s">
        <v>5523</v>
      </c>
      <c r="C3198" s="421" t="s">
        <v>513</v>
      </c>
      <c r="D3198" s="422" t="s">
        <v>663</v>
      </c>
      <c r="F3198" s="421" t="s">
        <v>5524</v>
      </c>
      <c r="G3198" s="112">
        <v>1</v>
      </c>
      <c r="H3198" s="112">
        <v>1</v>
      </c>
      <c r="I3198" s="112">
        <v>1</v>
      </c>
      <c r="J3198" s="112">
        <v>2</v>
      </c>
      <c r="K3198" s="112">
        <v>1</v>
      </c>
      <c r="L3198" s="112">
        <v>2</v>
      </c>
      <c r="M3198" s="112">
        <v>2</v>
      </c>
      <c r="O3198" s="112">
        <v>1</v>
      </c>
    </row>
    <row r="3199" spans="1:15" x14ac:dyDescent="0.2">
      <c r="A3199" s="111">
        <v>3310</v>
      </c>
      <c r="B3199" s="421" t="s">
        <v>5525</v>
      </c>
      <c r="C3199" s="421" t="s">
        <v>552</v>
      </c>
      <c r="D3199" s="422" t="s">
        <v>663</v>
      </c>
      <c r="F3199" s="421" t="s">
        <v>5526</v>
      </c>
      <c r="G3199" s="112">
        <v>1</v>
      </c>
      <c r="H3199" s="112">
        <v>1</v>
      </c>
      <c r="I3199" s="112">
        <v>1</v>
      </c>
      <c r="J3199" s="112">
        <v>3</v>
      </c>
      <c r="K3199" s="112">
        <v>1</v>
      </c>
      <c r="L3199" s="112">
        <v>3</v>
      </c>
    </row>
    <row r="3200" spans="1:15" x14ac:dyDescent="0.2">
      <c r="A3200" s="111">
        <v>3311</v>
      </c>
      <c r="B3200" s="421" t="s">
        <v>3204</v>
      </c>
      <c r="C3200" s="421" t="s">
        <v>1318</v>
      </c>
      <c r="D3200" s="422" t="s">
        <v>663</v>
      </c>
      <c r="F3200" s="421" t="s">
        <v>5526</v>
      </c>
      <c r="G3200" s="112">
        <v>1</v>
      </c>
      <c r="H3200" s="112">
        <v>1</v>
      </c>
      <c r="I3200" s="112">
        <v>1</v>
      </c>
      <c r="J3200" s="112">
        <v>1</v>
      </c>
      <c r="K3200" s="112">
        <v>2</v>
      </c>
      <c r="L3200" s="112">
        <v>1</v>
      </c>
    </row>
    <row r="3201" spans="1:15" x14ac:dyDescent="0.2">
      <c r="A3201" s="111">
        <v>3312</v>
      </c>
      <c r="B3201" s="421" t="s">
        <v>2759</v>
      </c>
      <c r="C3201" s="421" t="s">
        <v>551</v>
      </c>
      <c r="D3201" s="422" t="s">
        <v>666</v>
      </c>
      <c r="E3201" s="111">
        <v>15836</v>
      </c>
      <c r="F3201" s="421" t="s">
        <v>5527</v>
      </c>
      <c r="G3201" s="112">
        <v>1</v>
      </c>
      <c r="H3201" s="112">
        <v>1</v>
      </c>
      <c r="I3201" s="112">
        <v>1</v>
      </c>
      <c r="J3201" s="112">
        <v>8</v>
      </c>
      <c r="K3201" s="112">
        <v>6</v>
      </c>
      <c r="L3201" s="112">
        <v>9</v>
      </c>
      <c r="M3201" s="112">
        <v>10</v>
      </c>
      <c r="N3201" s="112">
        <v>6</v>
      </c>
      <c r="O3201" s="112">
        <v>10</v>
      </c>
    </row>
    <row r="3202" spans="1:15" x14ac:dyDescent="0.2">
      <c r="A3202" s="111">
        <v>3314</v>
      </c>
      <c r="B3202" s="421" t="s">
        <v>5528</v>
      </c>
      <c r="C3202" s="421" t="s">
        <v>532</v>
      </c>
      <c r="D3202" s="422" t="s">
        <v>666</v>
      </c>
      <c r="E3202" s="111">
        <v>15826</v>
      </c>
      <c r="F3202" s="421" t="s">
        <v>5190</v>
      </c>
    </row>
    <row r="3203" spans="1:15" x14ac:dyDescent="0.2">
      <c r="A3203" s="111">
        <v>3315</v>
      </c>
      <c r="B3203" s="421" t="s">
        <v>1406</v>
      </c>
      <c r="C3203" s="421" t="s">
        <v>530</v>
      </c>
      <c r="D3203" s="422" t="s">
        <v>663</v>
      </c>
      <c r="E3203" s="111">
        <v>14575</v>
      </c>
      <c r="F3203" s="421" t="s">
        <v>1794</v>
      </c>
    </row>
    <row r="3204" spans="1:15" x14ac:dyDescent="0.2">
      <c r="A3204" s="111">
        <v>3316</v>
      </c>
      <c r="B3204" s="421" t="s">
        <v>4605</v>
      </c>
      <c r="C3204" s="421" t="s">
        <v>559</v>
      </c>
      <c r="D3204" s="422" t="s">
        <v>666</v>
      </c>
      <c r="E3204" s="111">
        <v>15859</v>
      </c>
      <c r="F3204" s="421" t="s">
        <v>5529</v>
      </c>
      <c r="G3204" s="112">
        <v>1</v>
      </c>
      <c r="I3204" s="112">
        <v>1</v>
      </c>
    </row>
    <row r="3205" spans="1:15" x14ac:dyDescent="0.2">
      <c r="A3205" s="111">
        <v>3317</v>
      </c>
      <c r="B3205" s="421" t="s">
        <v>5530</v>
      </c>
      <c r="C3205" s="421" t="s">
        <v>510</v>
      </c>
      <c r="D3205" s="422" t="s">
        <v>663</v>
      </c>
      <c r="E3205" s="111">
        <v>15838</v>
      </c>
      <c r="F3205" s="421" t="s">
        <v>5531</v>
      </c>
      <c r="G3205" s="112">
        <v>1</v>
      </c>
      <c r="H3205" s="112">
        <v>1</v>
      </c>
      <c r="I3205" s="112">
        <v>1</v>
      </c>
    </row>
    <row r="3206" spans="1:15" x14ac:dyDescent="0.2">
      <c r="A3206" s="111">
        <v>3318</v>
      </c>
      <c r="B3206" s="421" t="s">
        <v>5532</v>
      </c>
      <c r="C3206" s="421" t="s">
        <v>1378</v>
      </c>
      <c r="D3206" s="422" t="s">
        <v>666</v>
      </c>
      <c r="E3206" s="111">
        <v>15840</v>
      </c>
      <c r="F3206" s="421" t="s">
        <v>5533</v>
      </c>
      <c r="G3206" s="112">
        <v>3</v>
      </c>
      <c r="H3206" s="112">
        <v>1</v>
      </c>
      <c r="I3206" s="112">
        <v>3</v>
      </c>
      <c r="J3206" s="112">
        <v>7</v>
      </c>
      <c r="K3206" s="112">
        <v>7</v>
      </c>
      <c r="L3206" s="112">
        <v>7</v>
      </c>
      <c r="M3206" s="112">
        <v>3</v>
      </c>
      <c r="N3206" s="112">
        <v>3</v>
      </c>
      <c r="O3206" s="112">
        <v>3</v>
      </c>
    </row>
    <row r="3207" spans="1:15" x14ac:dyDescent="0.2">
      <c r="A3207" s="111">
        <v>3319</v>
      </c>
      <c r="B3207" s="421" t="s">
        <v>5062</v>
      </c>
      <c r="C3207" s="421" t="s">
        <v>513</v>
      </c>
      <c r="D3207" s="422" t="s">
        <v>666</v>
      </c>
      <c r="E3207" s="111">
        <v>15578</v>
      </c>
      <c r="F3207" s="421" t="s">
        <v>4821</v>
      </c>
      <c r="G3207" s="112">
        <v>1</v>
      </c>
      <c r="H3207" s="112">
        <v>1</v>
      </c>
      <c r="I3207" s="112">
        <v>1</v>
      </c>
      <c r="J3207" s="112">
        <v>12</v>
      </c>
      <c r="K3207" s="112">
        <v>10</v>
      </c>
      <c r="L3207" s="112">
        <v>15</v>
      </c>
      <c r="M3207" s="112">
        <v>7</v>
      </c>
      <c r="N3207" s="112">
        <v>6</v>
      </c>
      <c r="O3207" s="112">
        <v>8</v>
      </c>
    </row>
    <row r="3208" spans="1:15" x14ac:dyDescent="0.2">
      <c r="A3208" s="111">
        <v>3320</v>
      </c>
      <c r="B3208" s="421" t="s">
        <v>159</v>
      </c>
      <c r="C3208" s="421" t="s">
        <v>551</v>
      </c>
      <c r="D3208" s="422" t="s">
        <v>663</v>
      </c>
      <c r="E3208" s="111">
        <v>15839</v>
      </c>
      <c r="F3208" s="421" t="s">
        <v>5534</v>
      </c>
      <c r="G3208" s="112">
        <v>1</v>
      </c>
      <c r="H3208" s="112">
        <v>1</v>
      </c>
      <c r="I3208" s="112">
        <v>1</v>
      </c>
      <c r="J3208" s="112">
        <v>9</v>
      </c>
      <c r="K3208" s="112">
        <v>8</v>
      </c>
      <c r="L3208" s="112">
        <v>7</v>
      </c>
      <c r="M3208" s="112">
        <v>4</v>
      </c>
      <c r="N3208" s="112">
        <v>4</v>
      </c>
      <c r="O3208" s="112">
        <v>3</v>
      </c>
    </row>
    <row r="3209" spans="1:15" x14ac:dyDescent="0.2">
      <c r="A3209" s="111">
        <v>3321</v>
      </c>
      <c r="B3209" s="421" t="s">
        <v>5535</v>
      </c>
      <c r="C3209" s="421" t="s">
        <v>1066</v>
      </c>
      <c r="D3209" s="422" t="s">
        <v>666</v>
      </c>
      <c r="E3209" s="111">
        <v>15839</v>
      </c>
      <c r="F3209" s="421" t="s">
        <v>5534</v>
      </c>
      <c r="G3209" s="112">
        <v>1</v>
      </c>
      <c r="H3209" s="112">
        <v>1</v>
      </c>
      <c r="I3209" s="112">
        <v>1</v>
      </c>
      <c r="J3209" s="112">
        <v>6</v>
      </c>
      <c r="K3209" s="112">
        <v>6</v>
      </c>
      <c r="L3209" s="112">
        <v>3</v>
      </c>
      <c r="M3209" s="112">
        <v>1</v>
      </c>
      <c r="N3209" s="112">
        <v>1</v>
      </c>
    </row>
    <row r="3210" spans="1:15" x14ac:dyDescent="0.2">
      <c r="A3210" s="111">
        <v>3322</v>
      </c>
      <c r="B3210" s="421" t="s">
        <v>2742</v>
      </c>
      <c r="C3210" s="421" t="s">
        <v>2027</v>
      </c>
      <c r="D3210" s="422" t="s">
        <v>663</v>
      </c>
      <c r="E3210" s="111">
        <v>15841</v>
      </c>
      <c r="F3210" s="421" t="s">
        <v>5536</v>
      </c>
      <c r="G3210" s="112">
        <v>1</v>
      </c>
      <c r="H3210" s="112">
        <v>1</v>
      </c>
      <c r="I3210" s="112">
        <v>1</v>
      </c>
    </row>
    <row r="3211" spans="1:15" x14ac:dyDescent="0.2">
      <c r="A3211" s="111">
        <v>3323</v>
      </c>
      <c r="B3211" s="421" t="s">
        <v>5537</v>
      </c>
      <c r="C3211" s="421" t="s">
        <v>1447</v>
      </c>
      <c r="D3211" s="422" t="s">
        <v>663</v>
      </c>
      <c r="E3211" s="111">
        <v>15842</v>
      </c>
      <c r="F3211" s="421" t="s">
        <v>3275</v>
      </c>
      <c r="G3211" s="112">
        <v>1</v>
      </c>
      <c r="H3211" s="112">
        <v>1</v>
      </c>
      <c r="I3211" s="112">
        <v>1</v>
      </c>
      <c r="J3211" s="112">
        <v>10</v>
      </c>
      <c r="K3211" s="112">
        <v>9</v>
      </c>
      <c r="L3211" s="112">
        <v>8</v>
      </c>
      <c r="M3211" s="112">
        <v>3</v>
      </c>
      <c r="N3211" s="112">
        <v>1</v>
      </c>
      <c r="O3211" s="112">
        <v>1</v>
      </c>
    </row>
    <row r="3212" spans="1:15" x14ac:dyDescent="0.2">
      <c r="A3212" s="111">
        <v>3324</v>
      </c>
      <c r="B3212" s="421" t="s">
        <v>108</v>
      </c>
      <c r="C3212" s="421" t="s">
        <v>507</v>
      </c>
      <c r="D3212" s="422" t="s">
        <v>663</v>
      </c>
      <c r="E3212" s="111">
        <v>14317</v>
      </c>
      <c r="F3212" s="421" t="s">
        <v>1024</v>
      </c>
    </row>
    <row r="3213" spans="1:15" x14ac:dyDescent="0.2">
      <c r="A3213" s="111">
        <v>3325</v>
      </c>
      <c r="B3213" s="421" t="s">
        <v>140</v>
      </c>
      <c r="C3213" s="421" t="s">
        <v>507</v>
      </c>
      <c r="D3213" s="422" t="s">
        <v>663</v>
      </c>
      <c r="E3213" s="111">
        <v>15843</v>
      </c>
      <c r="F3213" s="421" t="s">
        <v>5315</v>
      </c>
    </row>
    <row r="3214" spans="1:15" x14ac:dyDescent="0.2">
      <c r="A3214" s="111">
        <v>3326</v>
      </c>
      <c r="B3214" s="421" t="s">
        <v>1449</v>
      </c>
      <c r="C3214" s="421" t="s">
        <v>5316</v>
      </c>
      <c r="D3214" s="422" t="s">
        <v>666</v>
      </c>
      <c r="E3214" s="111">
        <v>15843</v>
      </c>
      <c r="F3214" s="421" t="s">
        <v>5315</v>
      </c>
    </row>
    <row r="3215" spans="1:15" x14ac:dyDescent="0.2">
      <c r="A3215" s="111">
        <v>3327</v>
      </c>
      <c r="B3215" s="421" t="s">
        <v>5538</v>
      </c>
      <c r="C3215" s="421" t="s">
        <v>523</v>
      </c>
      <c r="D3215" s="422" t="s">
        <v>666</v>
      </c>
      <c r="E3215" s="111">
        <v>15846</v>
      </c>
      <c r="F3215" s="421" t="s">
        <v>5539</v>
      </c>
      <c r="I3215" s="112">
        <v>1</v>
      </c>
    </row>
    <row r="3216" spans="1:15" x14ac:dyDescent="0.2">
      <c r="A3216" s="111">
        <v>3328</v>
      </c>
      <c r="B3216" s="421" t="s">
        <v>5540</v>
      </c>
      <c r="C3216" s="421" t="s">
        <v>518</v>
      </c>
      <c r="D3216" s="422" t="s">
        <v>666</v>
      </c>
      <c r="E3216" s="111">
        <v>15847</v>
      </c>
      <c r="F3216" s="421" t="s">
        <v>5541</v>
      </c>
      <c r="G3216" s="112">
        <v>1</v>
      </c>
      <c r="H3216" s="112">
        <v>1</v>
      </c>
      <c r="I3216" s="112">
        <v>1</v>
      </c>
      <c r="J3216" s="112">
        <v>1</v>
      </c>
      <c r="K3216" s="112">
        <v>1</v>
      </c>
      <c r="L3216" s="112">
        <v>1</v>
      </c>
    </row>
    <row r="3217" spans="1:15" x14ac:dyDescent="0.2">
      <c r="A3217" s="111">
        <v>3329</v>
      </c>
      <c r="B3217" s="421" t="s">
        <v>5542</v>
      </c>
      <c r="C3217" s="421" t="s">
        <v>551</v>
      </c>
      <c r="D3217" s="422" t="s">
        <v>663</v>
      </c>
      <c r="E3217" s="111">
        <v>15848</v>
      </c>
      <c r="F3217" s="421" t="s">
        <v>5543</v>
      </c>
      <c r="G3217" s="112">
        <v>1</v>
      </c>
      <c r="H3217" s="112">
        <v>2</v>
      </c>
      <c r="I3217" s="112">
        <v>3</v>
      </c>
      <c r="J3217" s="112">
        <v>1</v>
      </c>
      <c r="K3217" s="112">
        <v>2</v>
      </c>
    </row>
    <row r="3218" spans="1:15" x14ac:dyDescent="0.2">
      <c r="A3218" s="111">
        <v>3330</v>
      </c>
      <c r="B3218" s="421" t="s">
        <v>5544</v>
      </c>
      <c r="C3218" s="421" t="s">
        <v>551</v>
      </c>
      <c r="D3218" s="422" t="s">
        <v>663</v>
      </c>
      <c r="E3218" s="111">
        <v>15849</v>
      </c>
      <c r="F3218" s="421" t="s">
        <v>5545</v>
      </c>
      <c r="G3218" s="112">
        <v>1</v>
      </c>
      <c r="H3218" s="112">
        <v>1</v>
      </c>
      <c r="I3218" s="112">
        <v>1</v>
      </c>
      <c r="J3218" s="112">
        <v>1</v>
      </c>
      <c r="L3218" s="112">
        <v>1</v>
      </c>
    </row>
    <row r="3219" spans="1:15" x14ac:dyDescent="0.2">
      <c r="A3219" s="111">
        <v>3331</v>
      </c>
      <c r="B3219" s="421" t="s">
        <v>5546</v>
      </c>
      <c r="C3219" s="421" t="s">
        <v>1378</v>
      </c>
      <c r="D3219" s="422" t="s">
        <v>666</v>
      </c>
      <c r="E3219" s="111">
        <v>15850</v>
      </c>
      <c r="F3219" s="421" t="s">
        <v>5547</v>
      </c>
      <c r="G3219" s="112">
        <v>1</v>
      </c>
      <c r="H3219" s="112">
        <v>1</v>
      </c>
      <c r="I3219" s="112">
        <v>1</v>
      </c>
      <c r="J3219" s="112">
        <v>1</v>
      </c>
      <c r="K3219" s="112">
        <v>1</v>
      </c>
      <c r="L3219" s="112">
        <v>1</v>
      </c>
    </row>
    <row r="3220" spans="1:15" x14ac:dyDescent="0.2">
      <c r="A3220" s="111">
        <v>3332</v>
      </c>
      <c r="B3220" s="421" t="s">
        <v>5548</v>
      </c>
      <c r="C3220" s="421" t="s">
        <v>513</v>
      </c>
      <c r="D3220" s="422" t="s">
        <v>666</v>
      </c>
      <c r="E3220" s="111">
        <v>15447</v>
      </c>
      <c r="F3220" s="421" t="s">
        <v>4184</v>
      </c>
      <c r="G3220" s="112">
        <v>1</v>
      </c>
      <c r="H3220" s="112">
        <v>2</v>
      </c>
      <c r="I3220" s="112">
        <v>1</v>
      </c>
      <c r="J3220" s="112">
        <v>11</v>
      </c>
      <c r="K3220" s="112">
        <v>7</v>
      </c>
      <c r="L3220" s="112">
        <v>9</v>
      </c>
      <c r="M3220" s="112">
        <v>11</v>
      </c>
      <c r="N3220" s="112">
        <v>7</v>
      </c>
      <c r="O3220" s="112">
        <v>7</v>
      </c>
    </row>
    <row r="3221" spans="1:15" x14ac:dyDescent="0.2">
      <c r="A3221" s="111">
        <v>3333</v>
      </c>
      <c r="B3221" s="421" t="s">
        <v>3367</v>
      </c>
      <c r="C3221" s="421" t="s">
        <v>1817</v>
      </c>
      <c r="D3221" s="422" t="s">
        <v>666</v>
      </c>
      <c r="E3221" s="111">
        <v>15852</v>
      </c>
      <c r="F3221" s="421" t="s">
        <v>5549</v>
      </c>
      <c r="G3221" s="112">
        <v>2</v>
      </c>
      <c r="H3221" s="112">
        <v>1</v>
      </c>
      <c r="I3221" s="112">
        <v>1</v>
      </c>
      <c r="J3221" s="112">
        <v>5</v>
      </c>
      <c r="K3221" s="112">
        <v>4</v>
      </c>
      <c r="L3221" s="112">
        <v>3</v>
      </c>
    </row>
    <row r="3222" spans="1:15" x14ac:dyDescent="0.2">
      <c r="A3222" s="111">
        <v>3334</v>
      </c>
      <c r="B3222" s="421" t="s">
        <v>5550</v>
      </c>
      <c r="C3222" s="421" t="s">
        <v>538</v>
      </c>
      <c r="D3222" s="422" t="s">
        <v>666</v>
      </c>
      <c r="E3222" s="111">
        <v>14416</v>
      </c>
      <c r="F3222" s="421" t="s">
        <v>1304</v>
      </c>
      <c r="G3222" s="112">
        <v>1</v>
      </c>
      <c r="H3222" s="112">
        <v>1</v>
      </c>
      <c r="I3222" s="112">
        <v>1</v>
      </c>
    </row>
    <row r="3223" spans="1:15" x14ac:dyDescent="0.2">
      <c r="A3223" s="111">
        <v>3335</v>
      </c>
      <c r="B3223" s="421" t="s">
        <v>5551</v>
      </c>
      <c r="C3223" s="421" t="s">
        <v>569</v>
      </c>
      <c r="D3223" s="422" t="s">
        <v>663</v>
      </c>
      <c r="E3223" s="111">
        <v>14731</v>
      </c>
      <c r="F3223" s="421" t="s">
        <v>2199</v>
      </c>
      <c r="G3223" s="112">
        <v>1</v>
      </c>
      <c r="H3223" s="112">
        <v>1</v>
      </c>
      <c r="I3223" s="112">
        <v>1</v>
      </c>
      <c r="J3223" s="112">
        <v>1</v>
      </c>
      <c r="K3223" s="112">
        <v>1</v>
      </c>
    </row>
    <row r="3224" spans="1:15" x14ac:dyDescent="0.2">
      <c r="A3224" s="111">
        <v>3336</v>
      </c>
      <c r="B3224" s="421" t="s">
        <v>1434</v>
      </c>
      <c r="C3224" s="421" t="s">
        <v>528</v>
      </c>
      <c r="D3224" s="422" t="s">
        <v>666</v>
      </c>
      <c r="E3224" s="111">
        <v>14834</v>
      </c>
      <c r="F3224" s="421" t="s">
        <v>2506</v>
      </c>
      <c r="G3224" s="112">
        <v>1</v>
      </c>
      <c r="H3224" s="112">
        <v>1</v>
      </c>
      <c r="I3224" s="112">
        <v>1</v>
      </c>
    </row>
    <row r="3225" spans="1:15" x14ac:dyDescent="0.2">
      <c r="A3225" s="111">
        <v>3337</v>
      </c>
      <c r="B3225" s="421" t="s">
        <v>5552</v>
      </c>
      <c r="C3225" s="421" t="s">
        <v>501</v>
      </c>
      <c r="D3225" s="422" t="s">
        <v>666</v>
      </c>
      <c r="E3225" s="111">
        <v>15855</v>
      </c>
      <c r="F3225" s="421" t="s">
        <v>5553</v>
      </c>
      <c r="G3225" s="112">
        <v>1</v>
      </c>
      <c r="H3225" s="112">
        <v>1</v>
      </c>
      <c r="I3225" s="112">
        <v>1</v>
      </c>
      <c r="J3225" s="112">
        <v>7</v>
      </c>
      <c r="K3225" s="112">
        <v>8</v>
      </c>
      <c r="L3225" s="112">
        <v>7</v>
      </c>
      <c r="M3225" s="112">
        <v>4</v>
      </c>
      <c r="N3225" s="112">
        <v>3</v>
      </c>
      <c r="O3225" s="112">
        <v>3</v>
      </c>
    </row>
    <row r="3226" spans="1:15" x14ac:dyDescent="0.2">
      <c r="A3226" s="111">
        <v>3338</v>
      </c>
      <c r="B3226" s="421" t="s">
        <v>5554</v>
      </c>
      <c r="C3226" s="421" t="s">
        <v>547</v>
      </c>
      <c r="D3226" s="422" t="s">
        <v>666</v>
      </c>
      <c r="E3226" s="111">
        <v>15856</v>
      </c>
      <c r="F3226" s="421" t="s">
        <v>5555</v>
      </c>
      <c r="G3226" s="112">
        <v>1</v>
      </c>
      <c r="H3226" s="112">
        <v>1</v>
      </c>
      <c r="I3226" s="112">
        <v>1</v>
      </c>
      <c r="J3226" s="112">
        <v>9</v>
      </c>
      <c r="K3226" s="112">
        <v>8</v>
      </c>
      <c r="L3226" s="112">
        <v>7</v>
      </c>
      <c r="M3226" s="112">
        <v>6</v>
      </c>
      <c r="N3226" s="112">
        <v>4</v>
      </c>
      <c r="O3226" s="112">
        <v>5</v>
      </c>
    </row>
    <row r="3227" spans="1:15" x14ac:dyDescent="0.2">
      <c r="A3227" s="111">
        <v>3339</v>
      </c>
      <c r="B3227" s="421" t="s">
        <v>1933</v>
      </c>
      <c r="C3227" s="421" t="s">
        <v>534</v>
      </c>
      <c r="D3227" s="422" t="s">
        <v>666</v>
      </c>
      <c r="E3227" s="111">
        <v>15898</v>
      </c>
      <c r="F3227" s="421" t="s">
        <v>5556</v>
      </c>
      <c r="G3227" s="112">
        <v>1</v>
      </c>
      <c r="H3227" s="112">
        <v>1</v>
      </c>
      <c r="I3227" s="112">
        <v>1</v>
      </c>
      <c r="J3227" s="112">
        <v>9</v>
      </c>
      <c r="K3227" s="112">
        <v>7</v>
      </c>
      <c r="L3227" s="112">
        <v>8</v>
      </c>
      <c r="M3227" s="112">
        <v>7</v>
      </c>
      <c r="N3227" s="112">
        <v>4</v>
      </c>
      <c r="O3227" s="112">
        <v>3</v>
      </c>
    </row>
    <row r="3228" spans="1:15" x14ac:dyDescent="0.2">
      <c r="A3228" s="111">
        <v>3340</v>
      </c>
      <c r="B3228" s="421" t="s">
        <v>1469</v>
      </c>
      <c r="C3228" s="421" t="s">
        <v>501</v>
      </c>
      <c r="D3228" s="422" t="s">
        <v>666</v>
      </c>
      <c r="E3228" s="111">
        <v>15498</v>
      </c>
      <c r="F3228" s="421" t="s">
        <v>4680</v>
      </c>
      <c r="G3228" s="112">
        <v>1</v>
      </c>
      <c r="H3228" s="112">
        <v>1</v>
      </c>
      <c r="I3228" s="112">
        <v>1</v>
      </c>
      <c r="J3228" s="112">
        <v>3</v>
      </c>
      <c r="K3228" s="112">
        <v>4</v>
      </c>
      <c r="L3228" s="112">
        <v>3</v>
      </c>
      <c r="M3228" s="112">
        <v>3</v>
      </c>
      <c r="N3228" s="112">
        <v>2</v>
      </c>
      <c r="O3228" s="112">
        <v>3</v>
      </c>
    </row>
    <row r="3229" spans="1:15" x14ac:dyDescent="0.2">
      <c r="A3229" s="111">
        <v>3341</v>
      </c>
      <c r="B3229" s="421" t="s">
        <v>48</v>
      </c>
      <c r="C3229" s="421" t="s">
        <v>533</v>
      </c>
      <c r="D3229" s="422" t="s">
        <v>663</v>
      </c>
      <c r="E3229" s="111">
        <v>15858</v>
      </c>
      <c r="F3229" s="421" t="s">
        <v>5557</v>
      </c>
      <c r="G3229" s="112">
        <v>1</v>
      </c>
      <c r="H3229" s="112">
        <v>1</v>
      </c>
      <c r="I3229" s="112">
        <v>1</v>
      </c>
      <c r="J3229" s="112">
        <v>13</v>
      </c>
      <c r="K3229" s="112">
        <v>10</v>
      </c>
      <c r="L3229" s="112">
        <v>9</v>
      </c>
      <c r="M3229" s="112">
        <v>16</v>
      </c>
      <c r="N3229" s="112">
        <v>9</v>
      </c>
      <c r="O3229" s="112">
        <v>11</v>
      </c>
    </row>
    <row r="3230" spans="1:15" x14ac:dyDescent="0.2">
      <c r="A3230" s="111">
        <v>3342</v>
      </c>
      <c r="B3230" s="421" t="s">
        <v>3503</v>
      </c>
      <c r="C3230" s="421" t="s">
        <v>514</v>
      </c>
      <c r="D3230" s="422" t="s">
        <v>666</v>
      </c>
      <c r="E3230" s="111">
        <v>15854</v>
      </c>
      <c r="F3230" s="421" t="s">
        <v>5558</v>
      </c>
      <c r="G3230" s="112">
        <v>1</v>
      </c>
      <c r="H3230" s="112">
        <v>1</v>
      </c>
      <c r="I3230" s="112">
        <v>1</v>
      </c>
      <c r="J3230" s="112">
        <v>1</v>
      </c>
    </row>
    <row r="3231" spans="1:15" x14ac:dyDescent="0.2">
      <c r="A3231" s="111">
        <v>3343</v>
      </c>
      <c r="B3231" s="421" t="s">
        <v>5559</v>
      </c>
      <c r="C3231" s="421" t="s">
        <v>522</v>
      </c>
      <c r="D3231" s="422" t="s">
        <v>663</v>
      </c>
      <c r="E3231" s="111">
        <v>15637</v>
      </c>
      <c r="F3231" s="421" t="s">
        <v>5560</v>
      </c>
      <c r="G3231" s="112">
        <v>3</v>
      </c>
      <c r="H3231" s="112">
        <v>1</v>
      </c>
      <c r="I3231" s="112">
        <v>3</v>
      </c>
      <c r="J3231" s="112">
        <v>10</v>
      </c>
      <c r="K3231" s="112">
        <v>5</v>
      </c>
      <c r="L3231" s="112">
        <v>8</v>
      </c>
      <c r="M3231" s="112">
        <v>3</v>
      </c>
      <c r="N3231" s="112">
        <v>3</v>
      </c>
      <c r="O3231" s="112">
        <v>3</v>
      </c>
    </row>
    <row r="3232" spans="1:15" x14ac:dyDescent="0.2">
      <c r="A3232" s="111">
        <v>3344</v>
      </c>
      <c r="B3232" s="421" t="s">
        <v>119</v>
      </c>
      <c r="C3232" s="421" t="s">
        <v>551</v>
      </c>
      <c r="D3232" s="422" t="s">
        <v>663</v>
      </c>
      <c r="E3232" s="111">
        <v>15861</v>
      </c>
      <c r="F3232" s="421" t="s">
        <v>5561</v>
      </c>
      <c r="G3232" s="112">
        <v>2</v>
      </c>
      <c r="H3232" s="112">
        <v>1</v>
      </c>
      <c r="I3232" s="112">
        <v>1</v>
      </c>
      <c r="J3232" s="112">
        <v>9</v>
      </c>
      <c r="K3232" s="112">
        <v>8</v>
      </c>
      <c r="L3232" s="112">
        <v>7</v>
      </c>
      <c r="M3232" s="112">
        <v>18</v>
      </c>
      <c r="N3232" s="112">
        <v>12</v>
      </c>
      <c r="O3232" s="112">
        <v>9</v>
      </c>
    </row>
    <row r="3233" spans="1:15" x14ac:dyDescent="0.2">
      <c r="A3233" s="111">
        <v>3345</v>
      </c>
      <c r="B3233" s="421" t="s">
        <v>5562</v>
      </c>
      <c r="C3233" s="421" t="s">
        <v>522</v>
      </c>
      <c r="D3233" s="422" t="s">
        <v>666</v>
      </c>
      <c r="E3233" s="111">
        <v>14581</v>
      </c>
      <c r="F3233" s="421" t="s">
        <v>1768</v>
      </c>
      <c r="G3233" s="112">
        <v>1</v>
      </c>
      <c r="H3233" s="112">
        <v>1</v>
      </c>
      <c r="I3233" s="112">
        <v>1</v>
      </c>
      <c r="J3233" s="112">
        <v>9</v>
      </c>
      <c r="K3233" s="112">
        <v>8</v>
      </c>
      <c r="L3233" s="112">
        <v>9</v>
      </c>
      <c r="M3233" s="112">
        <v>11</v>
      </c>
      <c r="N3233" s="112">
        <v>6</v>
      </c>
      <c r="O3233" s="112">
        <v>8</v>
      </c>
    </row>
    <row r="3234" spans="1:15" x14ac:dyDescent="0.2">
      <c r="A3234" s="111">
        <v>3346</v>
      </c>
      <c r="B3234" s="421" t="s">
        <v>5563</v>
      </c>
      <c r="C3234" s="421" t="s">
        <v>502</v>
      </c>
      <c r="D3234" s="422" t="s">
        <v>666</v>
      </c>
      <c r="E3234" s="111">
        <v>15738</v>
      </c>
      <c r="F3234" s="421" t="s">
        <v>5564</v>
      </c>
      <c r="G3234" s="112">
        <v>1</v>
      </c>
      <c r="H3234" s="112">
        <v>1</v>
      </c>
      <c r="I3234" s="112">
        <v>1</v>
      </c>
      <c r="J3234" s="112">
        <v>6</v>
      </c>
      <c r="K3234" s="112">
        <v>4</v>
      </c>
      <c r="L3234" s="112">
        <v>5</v>
      </c>
    </row>
    <row r="3235" spans="1:15" x14ac:dyDescent="0.2">
      <c r="A3235" s="111">
        <v>3347</v>
      </c>
      <c r="B3235" s="421" t="s">
        <v>5565</v>
      </c>
      <c r="C3235" s="421" t="s">
        <v>510</v>
      </c>
      <c r="D3235" s="422" t="s">
        <v>666</v>
      </c>
      <c r="E3235" s="111">
        <v>15862</v>
      </c>
      <c r="F3235" s="421" t="s">
        <v>5566</v>
      </c>
      <c r="G3235" s="112">
        <v>1</v>
      </c>
      <c r="H3235" s="112">
        <v>1</v>
      </c>
      <c r="I3235" s="112">
        <v>1</v>
      </c>
      <c r="J3235" s="112">
        <v>3</v>
      </c>
      <c r="K3235" s="112">
        <v>3</v>
      </c>
      <c r="L3235" s="112">
        <v>4</v>
      </c>
      <c r="M3235" s="112">
        <v>4</v>
      </c>
      <c r="N3235" s="112">
        <v>2</v>
      </c>
      <c r="O3235" s="112">
        <v>3</v>
      </c>
    </row>
    <row r="3236" spans="1:15" x14ac:dyDescent="0.2">
      <c r="A3236" s="111">
        <v>3348</v>
      </c>
      <c r="B3236" s="421" t="s">
        <v>390</v>
      </c>
      <c r="C3236" s="421" t="s">
        <v>1523</v>
      </c>
      <c r="D3236" s="422" t="s">
        <v>666</v>
      </c>
      <c r="E3236" s="111">
        <v>15744</v>
      </c>
      <c r="F3236" s="421" t="s">
        <v>5567</v>
      </c>
      <c r="G3236" s="112">
        <v>3</v>
      </c>
      <c r="H3236" s="112">
        <v>1</v>
      </c>
      <c r="I3236" s="112">
        <v>2</v>
      </c>
    </row>
    <row r="3237" spans="1:15" x14ac:dyDescent="0.2">
      <c r="A3237" s="111">
        <v>3349</v>
      </c>
      <c r="B3237" s="421" t="s">
        <v>5568</v>
      </c>
      <c r="C3237" s="421" t="s">
        <v>513</v>
      </c>
      <c r="D3237" s="422" t="s">
        <v>666</v>
      </c>
      <c r="E3237" s="111">
        <v>1469</v>
      </c>
      <c r="F3237" s="421" t="s">
        <v>803</v>
      </c>
    </row>
    <row r="3238" spans="1:15" x14ac:dyDescent="0.2">
      <c r="A3238" s="111">
        <v>3350</v>
      </c>
      <c r="B3238" s="421" t="s">
        <v>5569</v>
      </c>
      <c r="C3238" s="421" t="s">
        <v>1378</v>
      </c>
      <c r="D3238" s="422" t="s">
        <v>663</v>
      </c>
      <c r="E3238" s="111">
        <v>15863</v>
      </c>
      <c r="F3238" s="421" t="s">
        <v>5570</v>
      </c>
      <c r="G3238" s="112">
        <v>2</v>
      </c>
      <c r="H3238" s="112">
        <v>1</v>
      </c>
      <c r="I3238" s="112">
        <v>1</v>
      </c>
      <c r="J3238" s="112">
        <v>4</v>
      </c>
      <c r="K3238" s="112">
        <v>4</v>
      </c>
      <c r="L3238" s="112">
        <v>5</v>
      </c>
      <c r="M3238" s="112">
        <v>3</v>
      </c>
      <c r="N3238" s="112">
        <v>2</v>
      </c>
      <c r="O3238" s="112">
        <v>4</v>
      </c>
    </row>
    <row r="3239" spans="1:15" x14ac:dyDescent="0.2">
      <c r="A3239" s="111">
        <v>3351</v>
      </c>
      <c r="B3239" s="421" t="s">
        <v>5571</v>
      </c>
      <c r="C3239" s="421" t="s">
        <v>518</v>
      </c>
      <c r="D3239" s="422" t="s">
        <v>663</v>
      </c>
      <c r="E3239" s="111">
        <v>15864</v>
      </c>
      <c r="F3239" s="421" t="s">
        <v>5572</v>
      </c>
      <c r="G3239" s="112">
        <v>1</v>
      </c>
      <c r="H3239" s="112">
        <v>1</v>
      </c>
      <c r="I3239" s="112">
        <v>1</v>
      </c>
      <c r="J3239" s="112">
        <v>8</v>
      </c>
      <c r="K3239" s="112">
        <v>7</v>
      </c>
      <c r="L3239" s="112">
        <v>7</v>
      </c>
      <c r="M3239" s="112">
        <v>4</v>
      </c>
      <c r="N3239" s="112">
        <v>3</v>
      </c>
      <c r="O3239" s="112">
        <v>4</v>
      </c>
    </row>
    <row r="3240" spans="1:15" x14ac:dyDescent="0.2">
      <c r="A3240" s="111">
        <v>3352</v>
      </c>
      <c r="B3240" s="421" t="s">
        <v>5573</v>
      </c>
      <c r="C3240" s="421" t="s">
        <v>1112</v>
      </c>
      <c r="D3240" s="422" t="s">
        <v>666</v>
      </c>
      <c r="E3240" s="111">
        <v>15487</v>
      </c>
      <c r="F3240" s="421" t="s">
        <v>4441</v>
      </c>
      <c r="G3240" s="112">
        <v>1</v>
      </c>
      <c r="H3240" s="112">
        <v>1</v>
      </c>
      <c r="I3240" s="112">
        <v>1</v>
      </c>
      <c r="J3240" s="112">
        <v>1</v>
      </c>
    </row>
    <row r="3241" spans="1:15" x14ac:dyDescent="0.2">
      <c r="A3241" s="111">
        <v>3353</v>
      </c>
      <c r="B3241" s="421" t="s">
        <v>5574</v>
      </c>
      <c r="C3241" s="421" t="s">
        <v>533</v>
      </c>
      <c r="D3241" s="422" t="s">
        <v>663</v>
      </c>
      <c r="E3241" s="111">
        <v>15866</v>
      </c>
      <c r="F3241" s="421" t="s">
        <v>5575</v>
      </c>
    </row>
    <row r="3242" spans="1:15" x14ac:dyDescent="0.2">
      <c r="A3242" s="111">
        <v>3354</v>
      </c>
      <c r="B3242" s="421" t="s">
        <v>1196</v>
      </c>
      <c r="C3242" s="421" t="s">
        <v>516</v>
      </c>
      <c r="D3242" s="422" t="s">
        <v>663</v>
      </c>
      <c r="E3242" s="111">
        <v>15867</v>
      </c>
      <c r="F3242" s="421" t="s">
        <v>5576</v>
      </c>
      <c r="G3242" s="112">
        <v>1</v>
      </c>
      <c r="H3242" s="112">
        <v>2</v>
      </c>
      <c r="I3242" s="112">
        <v>2</v>
      </c>
      <c r="J3242" s="112">
        <v>11</v>
      </c>
      <c r="K3242" s="112">
        <v>12</v>
      </c>
      <c r="L3242" s="112">
        <v>12</v>
      </c>
      <c r="M3242" s="112">
        <v>17</v>
      </c>
      <c r="N3242" s="112">
        <v>12</v>
      </c>
      <c r="O3242" s="112">
        <v>18</v>
      </c>
    </row>
    <row r="3243" spans="1:15" x14ac:dyDescent="0.2">
      <c r="A3243" s="111">
        <v>3355</v>
      </c>
      <c r="B3243" s="421" t="s">
        <v>5577</v>
      </c>
      <c r="C3243" s="421" t="s">
        <v>2412</v>
      </c>
      <c r="D3243" s="422" t="s">
        <v>663</v>
      </c>
      <c r="E3243" s="111">
        <v>15729</v>
      </c>
      <c r="F3243" s="421" t="s">
        <v>5222</v>
      </c>
      <c r="G3243" s="112">
        <v>1</v>
      </c>
      <c r="H3243" s="112">
        <v>1</v>
      </c>
      <c r="I3243" s="112">
        <v>1</v>
      </c>
      <c r="J3243" s="112">
        <v>9</v>
      </c>
      <c r="K3243" s="112">
        <v>8</v>
      </c>
      <c r="L3243" s="112">
        <v>7</v>
      </c>
      <c r="M3243" s="112">
        <v>3</v>
      </c>
      <c r="N3243" s="112">
        <v>3</v>
      </c>
      <c r="O3243" s="112">
        <v>3</v>
      </c>
    </row>
    <row r="3244" spans="1:15" x14ac:dyDescent="0.2">
      <c r="A3244" s="111">
        <v>3356</v>
      </c>
      <c r="B3244" s="421" t="s">
        <v>5578</v>
      </c>
      <c r="C3244" s="421" t="s">
        <v>517</v>
      </c>
      <c r="D3244" s="422" t="s">
        <v>663</v>
      </c>
      <c r="E3244" s="111">
        <v>1480</v>
      </c>
      <c r="F3244" s="421" t="s">
        <v>692</v>
      </c>
      <c r="G3244" s="112">
        <v>1</v>
      </c>
      <c r="H3244" s="112">
        <v>1</v>
      </c>
      <c r="I3244" s="112">
        <v>1</v>
      </c>
      <c r="J3244" s="112">
        <v>5</v>
      </c>
      <c r="K3244" s="112">
        <v>3</v>
      </c>
      <c r="L3244" s="112">
        <v>3</v>
      </c>
      <c r="M3244" s="112">
        <v>5</v>
      </c>
      <c r="O3244" s="112">
        <v>1</v>
      </c>
    </row>
    <row r="3245" spans="1:15" x14ac:dyDescent="0.2">
      <c r="A3245" s="111">
        <v>3357</v>
      </c>
      <c r="B3245" s="421" t="s">
        <v>146</v>
      </c>
      <c r="C3245" s="421" t="s">
        <v>570</v>
      </c>
      <c r="D3245" s="422" t="s">
        <v>663</v>
      </c>
      <c r="E3245" s="111">
        <v>1414</v>
      </c>
      <c r="F3245" s="421" t="s">
        <v>5579</v>
      </c>
    </row>
    <row r="3246" spans="1:15" x14ac:dyDescent="0.2">
      <c r="A3246" s="111">
        <v>3358</v>
      </c>
      <c r="B3246" s="421" t="s">
        <v>3966</v>
      </c>
      <c r="C3246" s="421" t="s">
        <v>501</v>
      </c>
      <c r="D3246" s="422" t="s">
        <v>663</v>
      </c>
      <c r="E3246" s="111">
        <v>1414</v>
      </c>
      <c r="F3246" s="421" t="s">
        <v>5579</v>
      </c>
    </row>
    <row r="3247" spans="1:15" x14ac:dyDescent="0.2">
      <c r="A3247" s="111">
        <v>3359</v>
      </c>
      <c r="B3247" s="421" t="s">
        <v>5175</v>
      </c>
      <c r="C3247" s="421" t="s">
        <v>572</v>
      </c>
      <c r="D3247" s="422" t="s">
        <v>663</v>
      </c>
      <c r="E3247" s="111">
        <v>15868</v>
      </c>
      <c r="F3247" s="421" t="s">
        <v>5580</v>
      </c>
      <c r="G3247" s="112">
        <v>1</v>
      </c>
      <c r="H3247" s="112">
        <v>1</v>
      </c>
      <c r="I3247" s="112">
        <v>1</v>
      </c>
      <c r="J3247" s="112">
        <v>1</v>
      </c>
    </row>
    <row r="3248" spans="1:15" x14ac:dyDescent="0.2">
      <c r="A3248" s="111">
        <v>3360</v>
      </c>
      <c r="B3248" s="421" t="s">
        <v>2133</v>
      </c>
      <c r="C3248" s="421" t="s">
        <v>2003</v>
      </c>
      <c r="D3248" s="422" t="s">
        <v>666</v>
      </c>
      <c r="E3248" s="111">
        <v>15868</v>
      </c>
      <c r="F3248" s="421" t="s">
        <v>5580</v>
      </c>
      <c r="G3248" s="112">
        <v>1</v>
      </c>
      <c r="H3248" s="112">
        <v>1</v>
      </c>
      <c r="I3248" s="112">
        <v>1</v>
      </c>
    </row>
    <row r="3249" spans="1:15" x14ac:dyDescent="0.2">
      <c r="A3249" s="111">
        <v>3361</v>
      </c>
      <c r="B3249" s="421" t="s">
        <v>1316</v>
      </c>
      <c r="C3249" s="421" t="s">
        <v>516</v>
      </c>
      <c r="D3249" s="422" t="s">
        <v>666</v>
      </c>
      <c r="E3249" s="111">
        <v>15869</v>
      </c>
      <c r="F3249" s="421" t="s">
        <v>5581</v>
      </c>
    </row>
    <row r="3250" spans="1:15" x14ac:dyDescent="0.2">
      <c r="A3250" s="111">
        <v>3362</v>
      </c>
      <c r="B3250" s="421" t="s">
        <v>1387</v>
      </c>
      <c r="C3250" s="421" t="s">
        <v>503</v>
      </c>
      <c r="D3250" s="422" t="s">
        <v>666</v>
      </c>
      <c r="E3250" s="111">
        <v>15870</v>
      </c>
      <c r="F3250" s="421" t="s">
        <v>12388</v>
      </c>
      <c r="G3250" s="112">
        <v>1</v>
      </c>
      <c r="H3250" s="112">
        <v>1</v>
      </c>
      <c r="I3250" s="112">
        <v>2</v>
      </c>
      <c r="J3250" s="112">
        <v>10</v>
      </c>
      <c r="K3250" s="112">
        <v>8</v>
      </c>
      <c r="L3250" s="112">
        <v>7</v>
      </c>
      <c r="M3250" s="112">
        <v>3</v>
      </c>
      <c r="N3250" s="112">
        <v>2</v>
      </c>
      <c r="O3250" s="112">
        <v>3</v>
      </c>
    </row>
    <row r="3251" spans="1:15" x14ac:dyDescent="0.2">
      <c r="A3251" s="111">
        <v>3363</v>
      </c>
      <c r="B3251" s="421" t="s">
        <v>2806</v>
      </c>
      <c r="C3251" s="421" t="s">
        <v>516</v>
      </c>
      <c r="D3251" s="422" t="s">
        <v>663</v>
      </c>
      <c r="E3251" s="111">
        <v>15871</v>
      </c>
      <c r="F3251" s="421" t="s">
        <v>5582</v>
      </c>
      <c r="G3251" s="112">
        <v>1</v>
      </c>
      <c r="H3251" s="112">
        <v>1</v>
      </c>
      <c r="I3251" s="112">
        <v>1</v>
      </c>
      <c r="J3251" s="112">
        <v>7</v>
      </c>
      <c r="K3251" s="112">
        <v>6</v>
      </c>
      <c r="L3251" s="112">
        <v>7</v>
      </c>
      <c r="M3251" s="112">
        <v>15</v>
      </c>
      <c r="N3251" s="112">
        <v>10</v>
      </c>
      <c r="O3251" s="112">
        <v>8</v>
      </c>
    </row>
    <row r="3252" spans="1:15" x14ac:dyDescent="0.2">
      <c r="A3252" s="111">
        <v>3364</v>
      </c>
      <c r="B3252" s="421" t="s">
        <v>4833</v>
      </c>
      <c r="C3252" s="421" t="s">
        <v>585</v>
      </c>
      <c r="D3252" s="422" t="s">
        <v>663</v>
      </c>
      <c r="E3252" s="111">
        <v>16111</v>
      </c>
      <c r="F3252" s="421" t="s">
        <v>1923</v>
      </c>
      <c r="G3252" s="112">
        <v>1</v>
      </c>
      <c r="H3252" s="112">
        <v>1</v>
      </c>
      <c r="I3252" s="112">
        <v>1</v>
      </c>
      <c r="J3252" s="112">
        <v>4</v>
      </c>
      <c r="K3252" s="112">
        <v>4</v>
      </c>
      <c r="L3252" s="112">
        <v>4</v>
      </c>
      <c r="M3252" s="112">
        <v>5</v>
      </c>
      <c r="N3252" s="112">
        <v>2</v>
      </c>
      <c r="O3252" s="112">
        <v>2</v>
      </c>
    </row>
    <row r="3253" spans="1:15" x14ac:dyDescent="0.2">
      <c r="A3253" s="111">
        <v>3365</v>
      </c>
      <c r="B3253" s="421" t="s">
        <v>5583</v>
      </c>
      <c r="C3253" s="421" t="s">
        <v>507</v>
      </c>
      <c r="D3253" s="422" t="s">
        <v>666</v>
      </c>
      <c r="E3253" s="111">
        <v>15872</v>
      </c>
      <c r="F3253" s="421" t="s">
        <v>5584</v>
      </c>
      <c r="G3253" s="112">
        <v>1</v>
      </c>
      <c r="H3253" s="112">
        <v>1</v>
      </c>
      <c r="I3253" s="112">
        <v>1</v>
      </c>
      <c r="J3253" s="112">
        <v>2</v>
      </c>
      <c r="K3253" s="112">
        <v>4</v>
      </c>
      <c r="L3253" s="112">
        <v>5</v>
      </c>
      <c r="M3253" s="112">
        <v>2</v>
      </c>
      <c r="O3253" s="112">
        <v>2</v>
      </c>
    </row>
    <row r="3254" spans="1:15" x14ac:dyDescent="0.2">
      <c r="A3254" s="111">
        <v>3366</v>
      </c>
      <c r="B3254" s="421" t="s">
        <v>5585</v>
      </c>
      <c r="C3254" s="421" t="s">
        <v>551</v>
      </c>
      <c r="D3254" s="422" t="s">
        <v>663</v>
      </c>
      <c r="E3254" s="111">
        <v>15873</v>
      </c>
      <c r="F3254" s="421" t="s">
        <v>5586</v>
      </c>
      <c r="G3254" s="112">
        <v>1</v>
      </c>
      <c r="H3254" s="112">
        <v>1</v>
      </c>
      <c r="I3254" s="112">
        <v>1</v>
      </c>
    </row>
    <row r="3255" spans="1:15" x14ac:dyDescent="0.2">
      <c r="A3255" s="111">
        <v>3367</v>
      </c>
      <c r="B3255" s="421" t="s">
        <v>5587</v>
      </c>
      <c r="C3255" s="421" t="s">
        <v>551</v>
      </c>
      <c r="D3255" s="422" t="s">
        <v>663</v>
      </c>
      <c r="E3255" s="111">
        <v>15873</v>
      </c>
      <c r="F3255" s="421" t="s">
        <v>5586</v>
      </c>
      <c r="G3255" s="112">
        <v>1</v>
      </c>
      <c r="H3255" s="112">
        <v>1</v>
      </c>
      <c r="I3255" s="112">
        <v>1</v>
      </c>
    </row>
    <row r="3256" spans="1:15" x14ac:dyDescent="0.2">
      <c r="A3256" s="111">
        <v>3368</v>
      </c>
      <c r="B3256" s="421" t="s">
        <v>5588</v>
      </c>
      <c r="C3256" s="421" t="s">
        <v>551</v>
      </c>
      <c r="D3256" s="422" t="s">
        <v>663</v>
      </c>
      <c r="E3256" s="111">
        <v>15873</v>
      </c>
      <c r="F3256" s="421" t="s">
        <v>5586</v>
      </c>
      <c r="H3256" s="112">
        <v>1</v>
      </c>
      <c r="I3256" s="112">
        <v>1</v>
      </c>
    </row>
    <row r="3257" spans="1:15" x14ac:dyDescent="0.2">
      <c r="A3257" s="111">
        <v>3369</v>
      </c>
      <c r="B3257" s="421" t="s">
        <v>5589</v>
      </c>
      <c r="C3257" s="421" t="s">
        <v>532</v>
      </c>
      <c r="D3257" s="422" t="s">
        <v>666</v>
      </c>
      <c r="E3257" s="111">
        <v>15874</v>
      </c>
      <c r="F3257" s="421" t="s">
        <v>5590</v>
      </c>
    </row>
    <row r="3258" spans="1:15" x14ac:dyDescent="0.2">
      <c r="A3258" s="111">
        <v>3370</v>
      </c>
      <c r="B3258" s="421" t="s">
        <v>5591</v>
      </c>
      <c r="C3258" s="421" t="s">
        <v>532</v>
      </c>
      <c r="D3258" s="422" t="s">
        <v>666</v>
      </c>
      <c r="E3258" s="111">
        <v>15874</v>
      </c>
      <c r="F3258" s="421" t="s">
        <v>5590</v>
      </c>
    </row>
    <row r="3259" spans="1:15" x14ac:dyDescent="0.2">
      <c r="A3259" s="111">
        <v>3371</v>
      </c>
      <c r="B3259" s="421" t="s">
        <v>5332</v>
      </c>
      <c r="C3259" s="421" t="s">
        <v>555</v>
      </c>
      <c r="D3259" s="422" t="s">
        <v>663</v>
      </c>
      <c r="E3259" s="111">
        <v>15875</v>
      </c>
      <c r="F3259" s="421" t="s">
        <v>5592</v>
      </c>
      <c r="G3259" s="112">
        <v>1</v>
      </c>
      <c r="H3259" s="112">
        <v>2</v>
      </c>
      <c r="I3259" s="112">
        <v>1</v>
      </c>
      <c r="J3259" s="112">
        <v>1</v>
      </c>
      <c r="L3259" s="112">
        <v>1</v>
      </c>
    </row>
    <row r="3260" spans="1:15" x14ac:dyDescent="0.2">
      <c r="A3260" s="111">
        <v>3372</v>
      </c>
      <c r="B3260" s="421" t="s">
        <v>5573</v>
      </c>
      <c r="C3260" s="421" t="s">
        <v>559</v>
      </c>
      <c r="D3260" s="422" t="s">
        <v>666</v>
      </c>
      <c r="E3260" s="111">
        <v>15876</v>
      </c>
      <c r="F3260" s="421" t="s">
        <v>5593</v>
      </c>
      <c r="H3260" s="112">
        <v>1</v>
      </c>
    </row>
    <row r="3261" spans="1:15" x14ac:dyDescent="0.2">
      <c r="A3261" s="111">
        <v>3373</v>
      </c>
      <c r="B3261" s="421" t="s">
        <v>57</v>
      </c>
      <c r="C3261" s="421" t="s">
        <v>506</v>
      </c>
      <c r="D3261" s="422" t="s">
        <v>663</v>
      </c>
      <c r="E3261" s="111">
        <v>15911</v>
      </c>
      <c r="F3261" s="421" t="s">
        <v>3287</v>
      </c>
      <c r="G3261" s="112">
        <v>1</v>
      </c>
      <c r="H3261" s="112">
        <v>1</v>
      </c>
      <c r="I3261" s="112">
        <v>1</v>
      </c>
    </row>
    <row r="3262" spans="1:15" x14ac:dyDescent="0.2">
      <c r="A3262" s="111">
        <v>3374</v>
      </c>
      <c r="B3262" s="421" t="s">
        <v>5594</v>
      </c>
      <c r="C3262" s="421" t="s">
        <v>551</v>
      </c>
      <c r="D3262" s="422" t="s">
        <v>666</v>
      </c>
      <c r="E3262" s="111">
        <v>15877</v>
      </c>
      <c r="F3262" s="421" t="s">
        <v>5595</v>
      </c>
      <c r="G3262" s="112">
        <v>1</v>
      </c>
      <c r="H3262" s="112">
        <v>1</v>
      </c>
      <c r="I3262" s="112">
        <v>1</v>
      </c>
    </row>
    <row r="3263" spans="1:15" x14ac:dyDescent="0.2">
      <c r="A3263" s="111">
        <v>3375</v>
      </c>
      <c r="B3263" s="421" t="s">
        <v>291</v>
      </c>
      <c r="C3263" s="421" t="s">
        <v>586</v>
      </c>
      <c r="D3263" s="422" t="s">
        <v>666</v>
      </c>
      <c r="E3263" s="111">
        <v>15448</v>
      </c>
      <c r="F3263" s="421" t="s">
        <v>4190</v>
      </c>
    </row>
    <row r="3264" spans="1:15" x14ac:dyDescent="0.2">
      <c r="A3264" s="111">
        <v>3376</v>
      </c>
      <c r="B3264" s="421" t="s">
        <v>5596</v>
      </c>
      <c r="C3264" s="421" t="s">
        <v>507</v>
      </c>
      <c r="D3264" s="422" t="s">
        <v>663</v>
      </c>
      <c r="E3264" s="111">
        <v>15692</v>
      </c>
      <c r="F3264" s="421" t="s">
        <v>5113</v>
      </c>
      <c r="G3264" s="112">
        <v>1</v>
      </c>
      <c r="H3264" s="112">
        <v>1</v>
      </c>
      <c r="I3264" s="112">
        <v>1</v>
      </c>
      <c r="J3264" s="112">
        <v>2</v>
      </c>
      <c r="K3264" s="112">
        <v>2</v>
      </c>
      <c r="L3264" s="112">
        <v>2</v>
      </c>
      <c r="M3264" s="112">
        <v>2</v>
      </c>
      <c r="N3264" s="112">
        <v>2</v>
      </c>
      <c r="O3264" s="112">
        <v>1</v>
      </c>
    </row>
    <row r="3265" spans="1:15" x14ac:dyDescent="0.2">
      <c r="A3265" s="111">
        <v>3377</v>
      </c>
      <c r="B3265" s="421" t="s">
        <v>1129</v>
      </c>
      <c r="C3265" s="421" t="s">
        <v>513</v>
      </c>
      <c r="D3265" s="422" t="s">
        <v>666</v>
      </c>
      <c r="E3265" s="111">
        <v>15007</v>
      </c>
      <c r="F3265" s="421" t="s">
        <v>2882</v>
      </c>
      <c r="G3265" s="112">
        <v>1</v>
      </c>
      <c r="H3265" s="112">
        <v>2</v>
      </c>
      <c r="I3265" s="112">
        <v>2</v>
      </c>
      <c r="J3265" s="112">
        <v>1</v>
      </c>
      <c r="K3265" s="112">
        <v>1</v>
      </c>
      <c r="L3265" s="112">
        <v>2</v>
      </c>
    </row>
    <row r="3266" spans="1:15" x14ac:dyDescent="0.2">
      <c r="A3266" s="111">
        <v>3378</v>
      </c>
      <c r="B3266" s="421" t="s">
        <v>5597</v>
      </c>
      <c r="C3266" s="421" t="s">
        <v>551</v>
      </c>
      <c r="D3266" s="422" t="s">
        <v>666</v>
      </c>
      <c r="E3266" s="111">
        <v>15879</v>
      </c>
      <c r="F3266" s="421" t="s">
        <v>5598</v>
      </c>
      <c r="G3266" s="112">
        <v>1</v>
      </c>
      <c r="H3266" s="112">
        <v>1</v>
      </c>
      <c r="I3266" s="112">
        <v>1</v>
      </c>
      <c r="J3266" s="112">
        <v>1</v>
      </c>
      <c r="K3266" s="112">
        <v>1</v>
      </c>
      <c r="L3266" s="112">
        <v>1</v>
      </c>
    </row>
    <row r="3267" spans="1:15" x14ac:dyDescent="0.2">
      <c r="A3267" s="111">
        <v>3379</v>
      </c>
      <c r="B3267" s="421" t="s">
        <v>5599</v>
      </c>
      <c r="C3267" s="421" t="s">
        <v>510</v>
      </c>
      <c r="D3267" s="422" t="s">
        <v>666</v>
      </c>
      <c r="E3267" s="111">
        <v>14845</v>
      </c>
      <c r="F3267" s="421" t="s">
        <v>2347</v>
      </c>
    </row>
    <row r="3268" spans="1:15" x14ac:dyDescent="0.2">
      <c r="A3268" s="111">
        <v>3380</v>
      </c>
      <c r="B3268" s="421" t="s">
        <v>4198</v>
      </c>
      <c r="C3268" s="421" t="s">
        <v>1758</v>
      </c>
      <c r="D3268" s="422" t="s">
        <v>666</v>
      </c>
      <c r="E3268" s="111">
        <v>15683</v>
      </c>
      <c r="F3268" s="421" t="s">
        <v>972</v>
      </c>
      <c r="G3268" s="112">
        <v>1</v>
      </c>
      <c r="H3268" s="112">
        <v>2</v>
      </c>
      <c r="I3268" s="112">
        <v>3</v>
      </c>
      <c r="J3268" s="112">
        <v>3</v>
      </c>
      <c r="K3268" s="112">
        <v>3</v>
      </c>
      <c r="L3268" s="112">
        <v>2</v>
      </c>
    </row>
    <row r="3269" spans="1:15" x14ac:dyDescent="0.2">
      <c r="A3269" s="111">
        <v>3381</v>
      </c>
      <c r="B3269" s="421" t="s">
        <v>381</v>
      </c>
      <c r="C3269" s="421" t="s">
        <v>516</v>
      </c>
      <c r="D3269" s="422" t="s">
        <v>663</v>
      </c>
      <c r="E3269" s="111">
        <v>15903</v>
      </c>
      <c r="F3269" s="421" t="s">
        <v>5600</v>
      </c>
      <c r="G3269" s="112">
        <v>1</v>
      </c>
      <c r="H3269" s="112">
        <v>1</v>
      </c>
      <c r="I3269" s="112">
        <v>1</v>
      </c>
      <c r="J3269" s="112">
        <v>7</v>
      </c>
      <c r="K3269" s="112">
        <v>7</v>
      </c>
      <c r="L3269" s="112">
        <v>7</v>
      </c>
      <c r="M3269" s="112">
        <v>4</v>
      </c>
      <c r="N3269" s="112">
        <v>1</v>
      </c>
      <c r="O3269" s="112">
        <v>3</v>
      </c>
    </row>
    <row r="3270" spans="1:15" x14ac:dyDescent="0.2">
      <c r="A3270" s="111">
        <v>3382</v>
      </c>
      <c r="B3270" s="421" t="s">
        <v>301</v>
      </c>
      <c r="C3270" s="421" t="s">
        <v>1378</v>
      </c>
      <c r="D3270" s="422" t="s">
        <v>666</v>
      </c>
      <c r="E3270" s="111">
        <v>15596</v>
      </c>
      <c r="F3270" s="421" t="s">
        <v>4725</v>
      </c>
      <c r="G3270" s="112">
        <v>1</v>
      </c>
      <c r="H3270" s="112">
        <v>2</v>
      </c>
      <c r="I3270" s="112">
        <v>1</v>
      </c>
      <c r="J3270" s="112">
        <v>5</v>
      </c>
      <c r="K3270" s="112">
        <v>4</v>
      </c>
      <c r="L3270" s="112">
        <v>3</v>
      </c>
      <c r="M3270" s="112">
        <v>2</v>
      </c>
      <c r="N3270" s="112">
        <v>2</v>
      </c>
      <c r="O3270" s="112">
        <v>3</v>
      </c>
    </row>
    <row r="3271" spans="1:15" x14ac:dyDescent="0.2">
      <c r="A3271" s="111">
        <v>3383</v>
      </c>
      <c r="B3271" s="421" t="s">
        <v>412</v>
      </c>
      <c r="C3271" s="421" t="s">
        <v>2165</v>
      </c>
      <c r="D3271" s="422" t="s">
        <v>666</v>
      </c>
      <c r="E3271" s="111">
        <v>15880</v>
      </c>
      <c r="F3271" s="421" t="s">
        <v>5601</v>
      </c>
      <c r="G3271" s="112">
        <v>1</v>
      </c>
      <c r="H3271" s="112">
        <v>1</v>
      </c>
      <c r="I3271" s="112">
        <v>1</v>
      </c>
      <c r="J3271" s="112">
        <v>4</v>
      </c>
      <c r="K3271" s="112">
        <v>5</v>
      </c>
      <c r="L3271" s="112">
        <v>3</v>
      </c>
      <c r="M3271" s="112">
        <v>3</v>
      </c>
      <c r="N3271" s="112">
        <v>2</v>
      </c>
      <c r="O3271" s="112">
        <v>2</v>
      </c>
    </row>
    <row r="3272" spans="1:15" x14ac:dyDescent="0.2">
      <c r="A3272" s="111">
        <v>3384</v>
      </c>
      <c r="B3272" s="421" t="s">
        <v>5602</v>
      </c>
      <c r="C3272" s="421" t="s">
        <v>501</v>
      </c>
      <c r="D3272" s="422" t="s">
        <v>663</v>
      </c>
      <c r="E3272" s="111">
        <v>15881</v>
      </c>
      <c r="F3272" s="421" t="s">
        <v>5603</v>
      </c>
    </row>
    <row r="3273" spans="1:15" x14ac:dyDescent="0.2">
      <c r="A3273" s="111">
        <v>3385</v>
      </c>
      <c r="B3273" s="421" t="s">
        <v>5604</v>
      </c>
      <c r="C3273" s="421" t="s">
        <v>519</v>
      </c>
      <c r="D3273" s="422" t="s">
        <v>666</v>
      </c>
      <c r="E3273" s="111">
        <v>15592</v>
      </c>
      <c r="F3273" s="421" t="s">
        <v>4726</v>
      </c>
      <c r="G3273" s="112">
        <v>2</v>
      </c>
      <c r="H3273" s="112">
        <v>2</v>
      </c>
      <c r="I3273" s="112">
        <v>2</v>
      </c>
      <c r="J3273" s="112">
        <v>1</v>
      </c>
      <c r="K3273" s="112">
        <v>4</v>
      </c>
      <c r="L3273" s="112">
        <v>5</v>
      </c>
    </row>
    <row r="3274" spans="1:15" x14ac:dyDescent="0.2">
      <c r="A3274" s="111">
        <v>3386</v>
      </c>
      <c r="B3274" s="421" t="s">
        <v>5605</v>
      </c>
      <c r="C3274" s="421" t="s">
        <v>5606</v>
      </c>
      <c r="D3274" s="422" t="s">
        <v>663</v>
      </c>
      <c r="E3274" s="111">
        <v>14659</v>
      </c>
      <c r="F3274" s="421" t="s">
        <v>1971</v>
      </c>
      <c r="G3274" s="112">
        <v>1</v>
      </c>
      <c r="H3274" s="112">
        <v>1</v>
      </c>
      <c r="I3274" s="112">
        <v>1</v>
      </c>
    </row>
    <row r="3275" spans="1:15" x14ac:dyDescent="0.2">
      <c r="A3275" s="111">
        <v>3387</v>
      </c>
      <c r="B3275" s="421" t="s">
        <v>493</v>
      </c>
      <c r="C3275" s="421" t="s">
        <v>1523</v>
      </c>
      <c r="D3275" s="422" t="s">
        <v>663</v>
      </c>
      <c r="E3275" s="111">
        <v>15882</v>
      </c>
      <c r="F3275" s="421" t="s">
        <v>5607</v>
      </c>
      <c r="G3275" s="112">
        <v>1</v>
      </c>
      <c r="H3275" s="112">
        <v>1</v>
      </c>
      <c r="I3275" s="112">
        <v>2</v>
      </c>
      <c r="J3275" s="112">
        <v>2</v>
      </c>
      <c r="K3275" s="112">
        <v>3</v>
      </c>
      <c r="L3275" s="112">
        <v>2</v>
      </c>
    </row>
    <row r="3276" spans="1:15" x14ac:dyDescent="0.2">
      <c r="A3276" s="111">
        <v>3388</v>
      </c>
      <c r="B3276" s="421" t="s">
        <v>2360</v>
      </c>
      <c r="C3276" s="421" t="s">
        <v>530</v>
      </c>
      <c r="D3276" s="422" t="s">
        <v>666</v>
      </c>
      <c r="E3276" s="111">
        <v>15883</v>
      </c>
      <c r="F3276" s="421" t="s">
        <v>846</v>
      </c>
      <c r="G3276" s="112">
        <v>1</v>
      </c>
      <c r="H3276" s="112">
        <v>1</v>
      </c>
      <c r="I3276" s="112">
        <v>1</v>
      </c>
    </row>
    <row r="3277" spans="1:15" x14ac:dyDescent="0.2">
      <c r="A3277" s="111">
        <v>3389</v>
      </c>
      <c r="B3277" s="421" t="s">
        <v>1399</v>
      </c>
      <c r="C3277" s="421" t="s">
        <v>505</v>
      </c>
      <c r="D3277" s="422" t="s">
        <v>663</v>
      </c>
      <c r="E3277" s="111">
        <v>15775</v>
      </c>
      <c r="F3277" s="421" t="s">
        <v>5390</v>
      </c>
    </row>
    <row r="3278" spans="1:15" x14ac:dyDescent="0.2">
      <c r="A3278" s="111">
        <v>3390</v>
      </c>
      <c r="B3278" s="421" t="s">
        <v>216</v>
      </c>
      <c r="C3278" s="421" t="s">
        <v>525</v>
      </c>
      <c r="D3278" s="422" t="s">
        <v>663</v>
      </c>
      <c r="E3278" s="111">
        <v>15614</v>
      </c>
      <c r="F3278" s="421" t="s">
        <v>4839</v>
      </c>
      <c r="G3278" s="112">
        <v>2</v>
      </c>
      <c r="H3278" s="112">
        <v>2</v>
      </c>
      <c r="I3278" s="112">
        <v>1</v>
      </c>
      <c r="J3278" s="112">
        <v>3</v>
      </c>
      <c r="K3278" s="112">
        <v>3</v>
      </c>
      <c r="L3278" s="112">
        <v>2</v>
      </c>
      <c r="M3278" s="112">
        <v>2</v>
      </c>
    </row>
    <row r="3279" spans="1:15" x14ac:dyDescent="0.2">
      <c r="A3279" s="111">
        <v>3391</v>
      </c>
      <c r="B3279" s="421" t="s">
        <v>1617</v>
      </c>
      <c r="C3279" s="421" t="s">
        <v>552</v>
      </c>
      <c r="D3279" s="422" t="s">
        <v>666</v>
      </c>
      <c r="E3279" s="111">
        <v>15892</v>
      </c>
      <c r="F3279" s="421" t="s">
        <v>5612</v>
      </c>
    </row>
    <row r="3280" spans="1:15" x14ac:dyDescent="0.2">
      <c r="A3280" s="111">
        <v>3392</v>
      </c>
      <c r="B3280" s="421" t="s">
        <v>3858</v>
      </c>
      <c r="C3280" s="421" t="s">
        <v>551</v>
      </c>
      <c r="D3280" s="422" t="s">
        <v>663</v>
      </c>
      <c r="E3280" s="111">
        <v>15884</v>
      </c>
      <c r="F3280" s="421" t="s">
        <v>5613</v>
      </c>
      <c r="G3280" s="112">
        <v>1</v>
      </c>
      <c r="H3280" s="112">
        <v>1</v>
      </c>
    </row>
    <row r="3281" spans="1:15" x14ac:dyDescent="0.2">
      <c r="A3281" s="111">
        <v>3393</v>
      </c>
      <c r="B3281" s="421" t="s">
        <v>159</v>
      </c>
      <c r="C3281" s="421" t="s">
        <v>551</v>
      </c>
      <c r="D3281" s="422" t="s">
        <v>663</v>
      </c>
      <c r="E3281" s="111">
        <v>15884</v>
      </c>
      <c r="F3281" s="421" t="s">
        <v>5613</v>
      </c>
    </row>
    <row r="3282" spans="1:15" x14ac:dyDescent="0.2">
      <c r="A3282" s="111">
        <v>3394</v>
      </c>
      <c r="B3282" s="421" t="s">
        <v>1273</v>
      </c>
      <c r="C3282" s="421" t="s">
        <v>503</v>
      </c>
      <c r="D3282" s="422" t="s">
        <v>663</v>
      </c>
      <c r="E3282" s="111">
        <v>15885</v>
      </c>
      <c r="F3282" s="421" t="s">
        <v>5614</v>
      </c>
    </row>
    <row r="3283" spans="1:15" x14ac:dyDescent="0.2">
      <c r="A3283" s="111">
        <v>3395</v>
      </c>
      <c r="B3283" s="421" t="s">
        <v>2436</v>
      </c>
      <c r="C3283" s="421" t="s">
        <v>503</v>
      </c>
      <c r="D3283" s="422" t="s">
        <v>663</v>
      </c>
      <c r="E3283" s="111">
        <v>15886</v>
      </c>
      <c r="F3283" s="421" t="s">
        <v>5615</v>
      </c>
      <c r="G3283" s="112">
        <v>1</v>
      </c>
      <c r="H3283" s="112">
        <v>1</v>
      </c>
      <c r="I3283" s="112">
        <v>1</v>
      </c>
      <c r="J3283" s="112">
        <v>8</v>
      </c>
      <c r="K3283" s="112">
        <v>7</v>
      </c>
      <c r="L3283" s="112">
        <v>8</v>
      </c>
      <c r="M3283" s="112">
        <v>6</v>
      </c>
      <c r="N3283" s="112">
        <v>3</v>
      </c>
      <c r="O3283" s="112">
        <v>5</v>
      </c>
    </row>
    <row r="3284" spans="1:15" x14ac:dyDescent="0.2">
      <c r="A3284" s="111">
        <v>3396</v>
      </c>
      <c r="B3284" s="421" t="s">
        <v>2202</v>
      </c>
      <c r="C3284" s="421" t="s">
        <v>510</v>
      </c>
      <c r="D3284" s="422" t="s">
        <v>663</v>
      </c>
      <c r="E3284" s="111">
        <v>15910</v>
      </c>
      <c r="F3284" s="421" t="s">
        <v>5616</v>
      </c>
      <c r="G3284" s="112">
        <v>1</v>
      </c>
      <c r="H3284" s="112">
        <v>1</v>
      </c>
      <c r="I3284" s="112">
        <v>1</v>
      </c>
      <c r="J3284" s="112">
        <v>1</v>
      </c>
      <c r="K3284" s="112">
        <v>1</v>
      </c>
      <c r="L3284" s="112">
        <v>1</v>
      </c>
    </row>
    <row r="3285" spans="1:15" x14ac:dyDescent="0.2">
      <c r="A3285" s="111">
        <v>3397</v>
      </c>
      <c r="B3285" s="421" t="s">
        <v>97</v>
      </c>
      <c r="C3285" s="421" t="s">
        <v>512</v>
      </c>
      <c r="D3285" s="422" t="s">
        <v>663</v>
      </c>
      <c r="E3285" s="111">
        <v>15887</v>
      </c>
      <c r="F3285" s="421" t="s">
        <v>821</v>
      </c>
      <c r="G3285" s="112">
        <v>1</v>
      </c>
      <c r="H3285" s="112">
        <v>1</v>
      </c>
      <c r="I3285" s="112">
        <v>1</v>
      </c>
      <c r="J3285" s="112">
        <v>2</v>
      </c>
      <c r="K3285" s="112">
        <v>2</v>
      </c>
      <c r="L3285" s="112">
        <v>1</v>
      </c>
      <c r="M3285" s="112">
        <v>2</v>
      </c>
      <c r="O3285" s="112">
        <v>1</v>
      </c>
    </row>
    <row r="3286" spans="1:15" x14ac:dyDescent="0.2">
      <c r="A3286" s="111">
        <v>3398</v>
      </c>
      <c r="B3286" s="421" t="s">
        <v>240</v>
      </c>
      <c r="C3286" s="421" t="s">
        <v>512</v>
      </c>
      <c r="D3286" s="422" t="s">
        <v>666</v>
      </c>
      <c r="E3286" s="111">
        <v>15887</v>
      </c>
      <c r="F3286" s="421" t="s">
        <v>821</v>
      </c>
      <c r="G3286" s="112">
        <v>1</v>
      </c>
      <c r="H3286" s="112">
        <v>1</v>
      </c>
      <c r="I3286" s="112">
        <v>1</v>
      </c>
      <c r="J3286" s="112">
        <v>1</v>
      </c>
      <c r="K3286" s="112">
        <v>1</v>
      </c>
    </row>
    <row r="3287" spans="1:15" x14ac:dyDescent="0.2">
      <c r="A3287" s="111">
        <v>3399</v>
      </c>
      <c r="B3287" s="421" t="s">
        <v>5617</v>
      </c>
      <c r="C3287" s="421" t="s">
        <v>506</v>
      </c>
      <c r="D3287" s="422" t="s">
        <v>666</v>
      </c>
      <c r="E3287" s="111">
        <v>15888</v>
      </c>
      <c r="F3287" s="421" t="s">
        <v>5618</v>
      </c>
      <c r="G3287" s="112">
        <v>1</v>
      </c>
      <c r="I3287" s="112">
        <v>1</v>
      </c>
    </row>
    <row r="3288" spans="1:15" x14ac:dyDescent="0.2">
      <c r="A3288" s="111">
        <v>3400</v>
      </c>
      <c r="B3288" s="421" t="s">
        <v>5619</v>
      </c>
      <c r="C3288" s="421" t="s">
        <v>547</v>
      </c>
      <c r="D3288" s="422" t="s">
        <v>663</v>
      </c>
      <c r="E3288" s="111">
        <v>15055</v>
      </c>
      <c r="F3288" s="421" t="s">
        <v>3017</v>
      </c>
      <c r="G3288" s="112">
        <v>1</v>
      </c>
      <c r="H3288" s="112">
        <v>1</v>
      </c>
      <c r="I3288" s="112">
        <v>1</v>
      </c>
      <c r="J3288" s="112">
        <v>6</v>
      </c>
      <c r="K3288" s="112">
        <v>9</v>
      </c>
      <c r="L3288" s="112">
        <v>8</v>
      </c>
      <c r="M3288" s="112">
        <v>5</v>
      </c>
      <c r="N3288" s="112">
        <v>3</v>
      </c>
      <c r="O3288" s="112">
        <v>3</v>
      </c>
    </row>
    <row r="3289" spans="1:15" x14ac:dyDescent="0.2">
      <c r="A3289" s="111">
        <v>3401</v>
      </c>
      <c r="B3289" s="421" t="s">
        <v>5620</v>
      </c>
      <c r="C3289" s="421" t="s">
        <v>537</v>
      </c>
      <c r="D3289" s="422" t="s">
        <v>663</v>
      </c>
      <c r="E3289" s="111">
        <v>15038</v>
      </c>
      <c r="F3289" s="421" t="s">
        <v>2966</v>
      </c>
      <c r="G3289" s="112">
        <v>1</v>
      </c>
      <c r="H3289" s="112">
        <v>1</v>
      </c>
      <c r="I3289" s="112">
        <v>1</v>
      </c>
      <c r="J3289" s="112">
        <v>10</v>
      </c>
      <c r="K3289" s="112">
        <v>10</v>
      </c>
      <c r="L3289" s="112">
        <v>10</v>
      </c>
      <c r="M3289" s="112">
        <v>10</v>
      </c>
      <c r="N3289" s="112">
        <v>5</v>
      </c>
      <c r="O3289" s="112">
        <v>8</v>
      </c>
    </row>
    <row r="3290" spans="1:15" x14ac:dyDescent="0.2">
      <c r="A3290" s="111">
        <v>3402</v>
      </c>
      <c r="B3290" s="421" t="s">
        <v>4189</v>
      </c>
      <c r="C3290" s="421" t="s">
        <v>516</v>
      </c>
      <c r="D3290" s="422" t="s">
        <v>666</v>
      </c>
      <c r="E3290" s="111">
        <v>15083</v>
      </c>
      <c r="F3290" s="421" t="s">
        <v>3106</v>
      </c>
      <c r="G3290" s="112">
        <v>2</v>
      </c>
      <c r="H3290" s="112">
        <v>2</v>
      </c>
      <c r="I3290" s="112">
        <v>1</v>
      </c>
      <c r="J3290" s="112">
        <v>12</v>
      </c>
      <c r="K3290" s="112">
        <v>9</v>
      </c>
      <c r="L3290" s="112">
        <v>11</v>
      </c>
      <c r="M3290" s="112">
        <v>7</v>
      </c>
      <c r="N3290" s="112">
        <v>3</v>
      </c>
      <c r="O3290" s="112">
        <v>5</v>
      </c>
    </row>
    <row r="3291" spans="1:15" x14ac:dyDescent="0.2">
      <c r="A3291" s="111">
        <v>3403</v>
      </c>
      <c r="B3291" s="421" t="s">
        <v>1711</v>
      </c>
      <c r="C3291" s="421" t="s">
        <v>551</v>
      </c>
      <c r="D3291" s="422" t="s">
        <v>666</v>
      </c>
      <c r="E3291" s="111">
        <v>15750</v>
      </c>
      <c r="F3291" s="421" t="s">
        <v>5312</v>
      </c>
      <c r="G3291" s="112">
        <v>1</v>
      </c>
      <c r="H3291" s="112">
        <v>1</v>
      </c>
      <c r="I3291" s="112">
        <v>1</v>
      </c>
      <c r="J3291" s="112">
        <v>1</v>
      </c>
      <c r="K3291" s="112">
        <v>1</v>
      </c>
      <c r="L3291" s="112">
        <v>2</v>
      </c>
    </row>
    <row r="3292" spans="1:15" x14ac:dyDescent="0.2">
      <c r="A3292" s="111">
        <v>3404</v>
      </c>
      <c r="B3292" s="421" t="s">
        <v>5621</v>
      </c>
      <c r="C3292" s="421" t="s">
        <v>503</v>
      </c>
      <c r="D3292" s="422" t="s">
        <v>666</v>
      </c>
      <c r="E3292" s="111">
        <v>15891</v>
      </c>
      <c r="F3292" s="421" t="s">
        <v>5622</v>
      </c>
      <c r="G3292" s="112">
        <v>1</v>
      </c>
      <c r="H3292" s="112">
        <v>1</v>
      </c>
      <c r="I3292" s="112">
        <v>1</v>
      </c>
      <c r="K3292" s="112">
        <v>1</v>
      </c>
      <c r="L3292" s="112">
        <v>1</v>
      </c>
    </row>
    <row r="3293" spans="1:15" x14ac:dyDescent="0.2">
      <c r="A3293" s="111">
        <v>3405</v>
      </c>
      <c r="B3293" s="421" t="s">
        <v>382</v>
      </c>
      <c r="C3293" s="421" t="s">
        <v>517</v>
      </c>
      <c r="D3293" s="422" t="s">
        <v>663</v>
      </c>
      <c r="E3293" s="111">
        <v>15894</v>
      </c>
      <c r="F3293" s="421" t="s">
        <v>5623</v>
      </c>
      <c r="G3293" s="112">
        <v>2</v>
      </c>
      <c r="H3293" s="112">
        <v>1</v>
      </c>
      <c r="I3293" s="112">
        <v>1</v>
      </c>
      <c r="J3293" s="112">
        <v>12</v>
      </c>
      <c r="K3293" s="112">
        <v>11</v>
      </c>
      <c r="L3293" s="112">
        <v>12</v>
      </c>
      <c r="M3293" s="112">
        <v>15</v>
      </c>
      <c r="N3293" s="112">
        <v>11</v>
      </c>
      <c r="O3293" s="112">
        <v>8</v>
      </c>
    </row>
    <row r="3294" spans="1:15" x14ac:dyDescent="0.2">
      <c r="A3294" s="111">
        <v>3406</v>
      </c>
      <c r="B3294" s="421" t="s">
        <v>5624</v>
      </c>
      <c r="C3294" s="421" t="s">
        <v>534</v>
      </c>
      <c r="D3294" s="422" t="s">
        <v>666</v>
      </c>
      <c r="E3294" s="111">
        <v>15895</v>
      </c>
      <c r="F3294" s="421" t="s">
        <v>5625</v>
      </c>
      <c r="G3294" s="112">
        <v>1</v>
      </c>
      <c r="H3294" s="112">
        <v>1</v>
      </c>
      <c r="I3294" s="112">
        <v>1</v>
      </c>
      <c r="K3294" s="112">
        <v>1</v>
      </c>
      <c r="L3294" s="112">
        <v>2</v>
      </c>
    </row>
    <row r="3295" spans="1:15" x14ac:dyDescent="0.2">
      <c r="A3295" s="111">
        <v>3407</v>
      </c>
      <c r="B3295" s="421" t="s">
        <v>1399</v>
      </c>
      <c r="C3295" s="421" t="s">
        <v>1066</v>
      </c>
      <c r="D3295" s="422" t="s">
        <v>663</v>
      </c>
      <c r="E3295" s="111">
        <v>15202</v>
      </c>
      <c r="F3295" s="421" t="s">
        <v>3409</v>
      </c>
      <c r="G3295" s="112">
        <v>3</v>
      </c>
      <c r="H3295" s="112">
        <v>1</v>
      </c>
      <c r="I3295" s="112">
        <v>1</v>
      </c>
      <c r="J3295" s="112">
        <v>5</v>
      </c>
      <c r="K3295" s="112">
        <v>5</v>
      </c>
      <c r="L3295" s="112">
        <v>6</v>
      </c>
      <c r="M3295" s="112">
        <v>8</v>
      </c>
      <c r="N3295" s="112">
        <v>3</v>
      </c>
      <c r="O3295" s="112">
        <v>3</v>
      </c>
    </row>
    <row r="3296" spans="1:15" x14ac:dyDescent="0.2">
      <c r="A3296" s="111">
        <v>3408</v>
      </c>
      <c r="B3296" s="421" t="s">
        <v>125</v>
      </c>
      <c r="C3296" s="421" t="s">
        <v>628</v>
      </c>
      <c r="D3296" s="422" t="s">
        <v>663</v>
      </c>
      <c r="E3296" s="111">
        <v>15896</v>
      </c>
      <c r="F3296" s="421" t="s">
        <v>5626</v>
      </c>
      <c r="G3296" s="112">
        <v>1</v>
      </c>
      <c r="H3296" s="112">
        <v>1</v>
      </c>
      <c r="I3296" s="112">
        <v>1</v>
      </c>
    </row>
    <row r="3297" spans="1:15" x14ac:dyDescent="0.2">
      <c r="A3297" s="111">
        <v>3409</v>
      </c>
      <c r="B3297" s="421" t="s">
        <v>5060</v>
      </c>
      <c r="C3297" s="421" t="s">
        <v>628</v>
      </c>
      <c r="D3297" s="422" t="s">
        <v>666</v>
      </c>
      <c r="E3297" s="111">
        <v>15896</v>
      </c>
      <c r="F3297" s="421" t="s">
        <v>5626</v>
      </c>
      <c r="G3297" s="112">
        <v>1</v>
      </c>
      <c r="H3297" s="112">
        <v>2</v>
      </c>
      <c r="I3297" s="112">
        <v>1</v>
      </c>
      <c r="J3297" s="112">
        <v>1</v>
      </c>
      <c r="K3297" s="112">
        <v>1</v>
      </c>
      <c r="L3297" s="112">
        <v>1</v>
      </c>
    </row>
    <row r="3298" spans="1:15" x14ac:dyDescent="0.2">
      <c r="A3298" s="111">
        <v>3410</v>
      </c>
      <c r="B3298" s="421" t="s">
        <v>1692</v>
      </c>
      <c r="C3298" s="421" t="s">
        <v>521</v>
      </c>
      <c r="D3298" s="422" t="s">
        <v>663</v>
      </c>
      <c r="F3298" s="421" t="s">
        <v>5627</v>
      </c>
      <c r="G3298" s="112">
        <v>1</v>
      </c>
      <c r="H3298" s="112">
        <v>1</v>
      </c>
      <c r="I3298" s="112">
        <v>1</v>
      </c>
      <c r="J3298" s="112">
        <v>8</v>
      </c>
      <c r="K3298" s="112">
        <v>7</v>
      </c>
      <c r="L3298" s="112">
        <v>8</v>
      </c>
      <c r="M3298" s="112">
        <v>5</v>
      </c>
      <c r="N3298" s="112">
        <v>3</v>
      </c>
      <c r="O3298" s="112">
        <v>4</v>
      </c>
    </row>
    <row r="3299" spans="1:15" x14ac:dyDescent="0.2">
      <c r="A3299" s="111">
        <v>3411</v>
      </c>
      <c r="B3299" s="421" t="s">
        <v>430</v>
      </c>
      <c r="C3299" s="421" t="s">
        <v>501</v>
      </c>
      <c r="D3299" s="422" t="s">
        <v>666</v>
      </c>
      <c r="E3299" s="111">
        <v>15897</v>
      </c>
      <c r="F3299" s="421" t="s">
        <v>5628</v>
      </c>
      <c r="H3299" s="112">
        <v>1</v>
      </c>
      <c r="I3299" s="112">
        <v>1</v>
      </c>
    </row>
    <row r="3300" spans="1:15" x14ac:dyDescent="0.2">
      <c r="A3300" s="111">
        <v>3412</v>
      </c>
      <c r="B3300" s="421" t="s">
        <v>5629</v>
      </c>
      <c r="C3300" s="421" t="s">
        <v>512</v>
      </c>
      <c r="D3300" s="422" t="s">
        <v>666</v>
      </c>
      <c r="E3300" s="111">
        <v>14867</v>
      </c>
      <c r="F3300" s="421" t="s">
        <v>2572</v>
      </c>
      <c r="G3300" s="112">
        <v>1</v>
      </c>
      <c r="H3300" s="112">
        <v>1</v>
      </c>
      <c r="I3300" s="112">
        <v>1</v>
      </c>
      <c r="J3300" s="112">
        <v>1</v>
      </c>
      <c r="K3300" s="112">
        <v>1</v>
      </c>
      <c r="L3300" s="112">
        <v>1</v>
      </c>
    </row>
    <row r="3301" spans="1:15" x14ac:dyDescent="0.2">
      <c r="A3301" s="111">
        <v>3413</v>
      </c>
      <c r="B3301" s="421" t="s">
        <v>5688</v>
      </c>
      <c r="C3301" s="421" t="s">
        <v>556</v>
      </c>
      <c r="D3301" s="422" t="s">
        <v>666</v>
      </c>
      <c r="E3301" s="111">
        <v>15899</v>
      </c>
      <c r="F3301" s="421" t="s">
        <v>5689</v>
      </c>
      <c r="G3301" s="112">
        <v>2</v>
      </c>
      <c r="H3301" s="112">
        <v>2</v>
      </c>
      <c r="I3301" s="112">
        <v>1</v>
      </c>
      <c r="J3301" s="112">
        <v>9</v>
      </c>
      <c r="K3301" s="112">
        <v>10</v>
      </c>
      <c r="L3301" s="112">
        <v>6</v>
      </c>
      <c r="M3301" s="112">
        <v>4</v>
      </c>
      <c r="N3301" s="112">
        <v>4</v>
      </c>
      <c r="O3301" s="112">
        <v>4</v>
      </c>
    </row>
    <row r="3302" spans="1:15" x14ac:dyDescent="0.2">
      <c r="A3302" s="111">
        <v>3414</v>
      </c>
      <c r="B3302" s="421" t="s">
        <v>266</v>
      </c>
      <c r="C3302" s="421" t="s">
        <v>513</v>
      </c>
      <c r="D3302" s="422" t="s">
        <v>663</v>
      </c>
      <c r="F3302" s="421" t="s">
        <v>5690</v>
      </c>
      <c r="G3302" s="112">
        <v>1</v>
      </c>
      <c r="H3302" s="112">
        <v>1</v>
      </c>
      <c r="I3302" s="112">
        <v>1</v>
      </c>
      <c r="J3302" s="112">
        <v>1</v>
      </c>
    </row>
    <row r="3303" spans="1:15" x14ac:dyDescent="0.2">
      <c r="A3303" s="111">
        <v>3415</v>
      </c>
      <c r="B3303" s="421" t="s">
        <v>5691</v>
      </c>
      <c r="C3303" s="421" t="s">
        <v>533</v>
      </c>
      <c r="D3303" s="422" t="s">
        <v>663</v>
      </c>
      <c r="E3303" s="111">
        <v>15242</v>
      </c>
      <c r="F3303" s="421" t="s">
        <v>3475</v>
      </c>
      <c r="I3303" s="112">
        <v>1</v>
      </c>
    </row>
    <row r="3304" spans="1:15" x14ac:dyDescent="0.2">
      <c r="A3304" s="111">
        <v>3416</v>
      </c>
      <c r="B3304" s="421" t="s">
        <v>3593</v>
      </c>
      <c r="C3304" s="421" t="s">
        <v>501</v>
      </c>
      <c r="D3304" s="422" t="s">
        <v>666</v>
      </c>
      <c r="E3304" s="111">
        <v>15900</v>
      </c>
      <c r="F3304" s="421" t="s">
        <v>5692</v>
      </c>
      <c r="G3304" s="112">
        <v>1</v>
      </c>
      <c r="H3304" s="112">
        <v>2</v>
      </c>
      <c r="I3304" s="112">
        <v>2</v>
      </c>
    </row>
    <row r="3305" spans="1:15" x14ac:dyDescent="0.2">
      <c r="A3305" s="111">
        <v>3417</v>
      </c>
      <c r="B3305" s="421" t="s">
        <v>5693</v>
      </c>
      <c r="C3305" s="421" t="s">
        <v>506</v>
      </c>
      <c r="D3305" s="422" t="s">
        <v>663</v>
      </c>
      <c r="E3305" s="111">
        <v>15901</v>
      </c>
      <c r="F3305" s="421" t="s">
        <v>5463</v>
      </c>
      <c r="G3305" s="112">
        <v>2</v>
      </c>
      <c r="H3305" s="112">
        <v>2</v>
      </c>
      <c r="I3305" s="112">
        <v>2</v>
      </c>
      <c r="J3305" s="112">
        <v>1</v>
      </c>
      <c r="K3305" s="112">
        <v>1</v>
      </c>
      <c r="L3305" s="112">
        <v>2</v>
      </c>
    </row>
    <row r="3306" spans="1:15" x14ac:dyDescent="0.2">
      <c r="A3306" s="111">
        <v>3418</v>
      </c>
      <c r="B3306" s="421" t="s">
        <v>2920</v>
      </c>
      <c r="C3306" s="421" t="s">
        <v>574</v>
      </c>
      <c r="D3306" s="422" t="s">
        <v>663</v>
      </c>
      <c r="E3306" s="111">
        <v>14505</v>
      </c>
      <c r="F3306" s="421" t="s">
        <v>1526</v>
      </c>
      <c r="G3306" s="112">
        <v>1</v>
      </c>
      <c r="H3306" s="112">
        <v>1</v>
      </c>
      <c r="I3306" s="112">
        <v>1</v>
      </c>
      <c r="J3306" s="112">
        <v>10</v>
      </c>
      <c r="K3306" s="112">
        <v>11</v>
      </c>
      <c r="L3306" s="112">
        <v>10</v>
      </c>
      <c r="M3306" s="112">
        <v>18</v>
      </c>
      <c r="N3306" s="112">
        <v>11</v>
      </c>
      <c r="O3306" s="112">
        <v>13</v>
      </c>
    </row>
    <row r="3307" spans="1:15" x14ac:dyDescent="0.2">
      <c r="A3307" s="111">
        <v>3419</v>
      </c>
      <c r="B3307" s="421" t="s">
        <v>65</v>
      </c>
      <c r="C3307" s="421" t="s">
        <v>516</v>
      </c>
      <c r="D3307" s="422" t="s">
        <v>666</v>
      </c>
      <c r="E3307" s="111">
        <v>14562</v>
      </c>
      <c r="F3307" s="421" t="s">
        <v>1698</v>
      </c>
      <c r="G3307" s="112">
        <v>2</v>
      </c>
      <c r="H3307" s="112">
        <v>1</v>
      </c>
      <c r="I3307" s="112">
        <v>1</v>
      </c>
      <c r="J3307" s="112">
        <v>10</v>
      </c>
      <c r="K3307" s="112">
        <v>8</v>
      </c>
      <c r="L3307" s="112">
        <v>8</v>
      </c>
      <c r="M3307" s="112">
        <v>7</v>
      </c>
      <c r="N3307" s="112">
        <v>5</v>
      </c>
      <c r="O3307" s="112">
        <v>4</v>
      </c>
    </row>
    <row r="3308" spans="1:15" x14ac:dyDescent="0.2">
      <c r="A3308" s="111">
        <v>3420</v>
      </c>
      <c r="B3308" s="421" t="s">
        <v>5694</v>
      </c>
      <c r="C3308" s="421" t="s">
        <v>506</v>
      </c>
      <c r="D3308" s="422" t="s">
        <v>663</v>
      </c>
      <c r="E3308" s="111">
        <v>15902</v>
      </c>
      <c r="F3308" s="421" t="s">
        <v>5695</v>
      </c>
      <c r="G3308" s="112">
        <v>1</v>
      </c>
      <c r="H3308" s="112">
        <v>2</v>
      </c>
      <c r="I3308" s="112">
        <v>1</v>
      </c>
      <c r="J3308" s="112">
        <v>7</v>
      </c>
      <c r="K3308" s="112">
        <v>10</v>
      </c>
      <c r="L3308" s="112">
        <v>7</v>
      </c>
      <c r="M3308" s="112">
        <v>11</v>
      </c>
      <c r="N3308" s="112">
        <v>5</v>
      </c>
      <c r="O3308" s="112">
        <v>3</v>
      </c>
    </row>
    <row r="3309" spans="1:15" x14ac:dyDescent="0.2">
      <c r="A3309" s="111">
        <v>3421</v>
      </c>
      <c r="B3309" s="421" t="s">
        <v>2530</v>
      </c>
      <c r="C3309" s="421" t="s">
        <v>551</v>
      </c>
      <c r="D3309" s="422" t="s">
        <v>663</v>
      </c>
      <c r="E3309" s="111">
        <v>16009</v>
      </c>
      <c r="F3309" s="421" t="s">
        <v>5696</v>
      </c>
      <c r="G3309" s="112">
        <v>2</v>
      </c>
      <c r="I3309" s="112">
        <v>2</v>
      </c>
    </row>
    <row r="3310" spans="1:15" x14ac:dyDescent="0.2">
      <c r="A3310" s="111">
        <v>3422</v>
      </c>
      <c r="B3310" s="421" t="s">
        <v>634</v>
      </c>
      <c r="C3310" s="421" t="s">
        <v>551</v>
      </c>
      <c r="D3310" s="422" t="s">
        <v>663</v>
      </c>
      <c r="E3310" s="111">
        <v>16009</v>
      </c>
      <c r="F3310" s="421" t="s">
        <v>5696</v>
      </c>
      <c r="G3310" s="112">
        <v>1</v>
      </c>
      <c r="H3310" s="112">
        <v>1</v>
      </c>
      <c r="I3310" s="112">
        <v>1</v>
      </c>
      <c r="K3310" s="112">
        <v>1</v>
      </c>
      <c r="L3310" s="112">
        <v>1</v>
      </c>
    </row>
    <row r="3311" spans="1:15" x14ac:dyDescent="0.2">
      <c r="A3311" s="111">
        <v>3423</v>
      </c>
      <c r="B3311" s="421" t="s">
        <v>3841</v>
      </c>
      <c r="C3311" s="421" t="s">
        <v>516</v>
      </c>
      <c r="D3311" s="422" t="s">
        <v>666</v>
      </c>
      <c r="E3311" s="111">
        <v>15562</v>
      </c>
      <c r="F3311" s="421" t="s">
        <v>4676</v>
      </c>
      <c r="G3311" s="112">
        <v>1</v>
      </c>
      <c r="H3311" s="112">
        <v>1</v>
      </c>
      <c r="I3311" s="112">
        <v>1</v>
      </c>
      <c r="J3311" s="112">
        <v>2</v>
      </c>
      <c r="K3311" s="112">
        <v>2</v>
      </c>
      <c r="L3311" s="112">
        <v>1</v>
      </c>
      <c r="M3311" s="112">
        <v>1</v>
      </c>
      <c r="O3311" s="112">
        <v>1</v>
      </c>
    </row>
    <row r="3312" spans="1:15" x14ac:dyDescent="0.2">
      <c r="A3312" s="111">
        <v>3424</v>
      </c>
      <c r="B3312" s="421" t="s">
        <v>1214</v>
      </c>
      <c r="C3312" s="421" t="s">
        <v>509</v>
      </c>
      <c r="D3312" s="422" t="s">
        <v>666</v>
      </c>
      <c r="E3312" s="111">
        <v>16014</v>
      </c>
      <c r="F3312" s="421" t="s">
        <v>5697</v>
      </c>
    </row>
    <row r="3313" spans="1:15" x14ac:dyDescent="0.2">
      <c r="A3313" s="111">
        <v>3425</v>
      </c>
      <c r="B3313" s="421" t="s">
        <v>2155</v>
      </c>
      <c r="C3313" s="421" t="s">
        <v>592</v>
      </c>
      <c r="D3313" s="422" t="s">
        <v>666</v>
      </c>
      <c r="E3313" s="111">
        <v>1440</v>
      </c>
      <c r="F3313" s="421" t="s">
        <v>1026</v>
      </c>
      <c r="G3313" s="112">
        <v>2</v>
      </c>
      <c r="H3313" s="112">
        <v>2</v>
      </c>
      <c r="I3313" s="112">
        <v>2</v>
      </c>
      <c r="J3313" s="112">
        <v>2</v>
      </c>
      <c r="K3313" s="112">
        <v>4</v>
      </c>
      <c r="L3313" s="112">
        <v>4</v>
      </c>
    </row>
    <row r="3314" spans="1:15" x14ac:dyDescent="0.2">
      <c r="A3314" s="111">
        <v>3426</v>
      </c>
      <c r="B3314" s="421" t="s">
        <v>4638</v>
      </c>
      <c r="C3314" s="421" t="s">
        <v>523</v>
      </c>
      <c r="D3314" s="422" t="s">
        <v>666</v>
      </c>
      <c r="E3314" s="111">
        <v>15906</v>
      </c>
      <c r="F3314" s="421" t="s">
        <v>5374</v>
      </c>
      <c r="G3314" s="112">
        <v>1</v>
      </c>
      <c r="I3314" s="112">
        <v>1</v>
      </c>
    </row>
    <row r="3315" spans="1:15" x14ac:dyDescent="0.2">
      <c r="A3315" s="111">
        <v>3427</v>
      </c>
      <c r="B3315" s="421" t="s">
        <v>2204</v>
      </c>
      <c r="C3315" s="421" t="s">
        <v>504</v>
      </c>
      <c r="D3315" s="422" t="s">
        <v>666</v>
      </c>
      <c r="E3315" s="111">
        <v>14236</v>
      </c>
      <c r="F3315" s="421" t="s">
        <v>962</v>
      </c>
      <c r="G3315" s="112">
        <v>3</v>
      </c>
      <c r="H3315" s="112">
        <v>2</v>
      </c>
      <c r="I3315" s="112">
        <v>3</v>
      </c>
      <c r="J3315" s="112">
        <v>3</v>
      </c>
      <c r="K3315" s="112">
        <v>3</v>
      </c>
      <c r="L3315" s="112">
        <v>3</v>
      </c>
    </row>
    <row r="3316" spans="1:15" x14ac:dyDescent="0.2">
      <c r="A3316" s="111">
        <v>3428</v>
      </c>
      <c r="B3316" s="421" t="s">
        <v>5698</v>
      </c>
      <c r="C3316" s="421" t="s">
        <v>519</v>
      </c>
      <c r="D3316" s="422" t="s">
        <v>666</v>
      </c>
      <c r="E3316" s="111">
        <v>15904</v>
      </c>
      <c r="F3316" s="421" t="s">
        <v>5699</v>
      </c>
      <c r="G3316" s="112">
        <v>2</v>
      </c>
      <c r="H3316" s="112">
        <v>3</v>
      </c>
      <c r="I3316" s="112">
        <v>4</v>
      </c>
      <c r="J3316" s="112">
        <v>8</v>
      </c>
      <c r="K3316" s="112">
        <v>5</v>
      </c>
      <c r="L3316" s="112">
        <v>4</v>
      </c>
      <c r="M3316" s="112">
        <v>3</v>
      </c>
      <c r="N3316" s="112">
        <v>2</v>
      </c>
      <c r="O3316" s="112">
        <v>4</v>
      </c>
    </row>
    <row r="3317" spans="1:15" x14ac:dyDescent="0.2">
      <c r="A3317" s="111">
        <v>3429</v>
      </c>
      <c r="B3317" s="421" t="s">
        <v>5700</v>
      </c>
      <c r="C3317" s="421" t="s">
        <v>503</v>
      </c>
      <c r="D3317" s="422" t="s">
        <v>666</v>
      </c>
      <c r="E3317" s="111">
        <v>15905</v>
      </c>
      <c r="F3317" s="421" t="s">
        <v>5701</v>
      </c>
      <c r="G3317" s="112">
        <v>1</v>
      </c>
      <c r="H3317" s="112">
        <v>1</v>
      </c>
      <c r="I3317" s="112">
        <v>1</v>
      </c>
      <c r="L3317" s="112">
        <v>1</v>
      </c>
    </row>
    <row r="3318" spans="1:15" x14ac:dyDescent="0.2">
      <c r="A3318" s="111">
        <v>3430</v>
      </c>
      <c r="B3318" s="421" t="s">
        <v>291</v>
      </c>
      <c r="C3318" s="421" t="s">
        <v>512</v>
      </c>
      <c r="D3318" s="422" t="s">
        <v>666</v>
      </c>
      <c r="E3318" s="111">
        <v>15909</v>
      </c>
      <c r="F3318" s="421" t="s">
        <v>5702</v>
      </c>
      <c r="G3318" s="112">
        <v>2</v>
      </c>
      <c r="H3318" s="112">
        <v>1</v>
      </c>
      <c r="I3318" s="112">
        <v>1</v>
      </c>
      <c r="J3318" s="112">
        <v>4</v>
      </c>
      <c r="K3318" s="112">
        <v>2</v>
      </c>
      <c r="L3318" s="112">
        <v>3</v>
      </c>
    </row>
    <row r="3319" spans="1:15" x14ac:dyDescent="0.2">
      <c r="A3319" s="111">
        <v>3431</v>
      </c>
      <c r="B3319" s="421" t="s">
        <v>1538</v>
      </c>
      <c r="C3319" s="421" t="s">
        <v>570</v>
      </c>
      <c r="D3319" s="422" t="s">
        <v>663</v>
      </c>
      <c r="E3319" s="111">
        <v>15907</v>
      </c>
      <c r="F3319" s="421" t="s">
        <v>5703</v>
      </c>
      <c r="G3319" s="112">
        <v>1</v>
      </c>
      <c r="H3319" s="112">
        <v>1</v>
      </c>
      <c r="I3319" s="112">
        <v>1</v>
      </c>
    </row>
    <row r="3320" spans="1:15" x14ac:dyDescent="0.2">
      <c r="A3320" s="111">
        <v>3432</v>
      </c>
      <c r="B3320" s="421" t="s">
        <v>381</v>
      </c>
      <c r="C3320" s="421" t="s">
        <v>523</v>
      </c>
      <c r="D3320" s="422" t="s">
        <v>663</v>
      </c>
      <c r="E3320" s="111">
        <v>15420</v>
      </c>
      <c r="F3320" s="421" t="s">
        <v>4122</v>
      </c>
      <c r="G3320" s="112">
        <v>1</v>
      </c>
      <c r="H3320" s="112">
        <v>2</v>
      </c>
      <c r="I3320" s="112">
        <v>2</v>
      </c>
    </row>
    <row r="3321" spans="1:15" x14ac:dyDescent="0.2">
      <c r="A3321" s="111">
        <v>3433</v>
      </c>
      <c r="B3321" s="421" t="s">
        <v>5704</v>
      </c>
      <c r="C3321" s="421" t="s">
        <v>533</v>
      </c>
      <c r="D3321" s="422" t="s">
        <v>663</v>
      </c>
      <c r="E3321" s="111">
        <v>15833</v>
      </c>
      <c r="F3321" s="421" t="s">
        <v>3740</v>
      </c>
      <c r="G3321" s="112">
        <v>1</v>
      </c>
      <c r="H3321" s="112">
        <v>1</v>
      </c>
      <c r="I3321" s="112">
        <v>1</v>
      </c>
      <c r="J3321" s="112">
        <v>4</v>
      </c>
      <c r="K3321" s="112">
        <v>5</v>
      </c>
      <c r="L3321" s="112">
        <v>4</v>
      </c>
      <c r="M3321" s="112">
        <v>4</v>
      </c>
      <c r="O3321" s="112">
        <v>2</v>
      </c>
    </row>
    <row r="3322" spans="1:15" x14ac:dyDescent="0.2">
      <c r="A3322" s="111">
        <v>3434</v>
      </c>
      <c r="B3322" s="421" t="s">
        <v>5705</v>
      </c>
      <c r="C3322" s="421" t="s">
        <v>501</v>
      </c>
      <c r="D3322" s="422" t="s">
        <v>663</v>
      </c>
      <c r="E3322" s="111">
        <v>15913</v>
      </c>
      <c r="F3322" s="421" t="s">
        <v>5706</v>
      </c>
      <c r="G3322" s="112">
        <v>1</v>
      </c>
      <c r="H3322" s="112">
        <v>1</v>
      </c>
      <c r="I3322" s="112">
        <v>1</v>
      </c>
      <c r="J3322" s="112">
        <v>7</v>
      </c>
      <c r="K3322" s="112">
        <v>3</v>
      </c>
      <c r="L3322" s="112">
        <v>3</v>
      </c>
      <c r="N3322" s="112">
        <v>1</v>
      </c>
    </row>
    <row r="3323" spans="1:15" x14ac:dyDescent="0.2">
      <c r="A3323" s="111">
        <v>3435</v>
      </c>
      <c r="B3323" s="421" t="s">
        <v>159</v>
      </c>
      <c r="C3323" s="421" t="s">
        <v>574</v>
      </c>
      <c r="D3323" s="422" t="s">
        <v>663</v>
      </c>
      <c r="E3323" s="111">
        <v>15817</v>
      </c>
      <c r="F3323" s="421" t="s">
        <v>5435</v>
      </c>
      <c r="G3323" s="112">
        <v>1</v>
      </c>
      <c r="H3323" s="112">
        <v>1</v>
      </c>
      <c r="I3323" s="112">
        <v>1</v>
      </c>
      <c r="J3323" s="112">
        <v>3</v>
      </c>
      <c r="K3323" s="112">
        <v>7</v>
      </c>
      <c r="L3323" s="112">
        <v>2</v>
      </c>
    </row>
    <row r="3324" spans="1:15" x14ac:dyDescent="0.2">
      <c r="A3324" s="111">
        <v>3436</v>
      </c>
      <c r="B3324" s="421" t="s">
        <v>1224</v>
      </c>
      <c r="C3324" s="421" t="s">
        <v>512</v>
      </c>
      <c r="D3324" s="422" t="s">
        <v>666</v>
      </c>
      <c r="E3324" s="111">
        <v>15912</v>
      </c>
      <c r="F3324" s="421" t="s">
        <v>5707</v>
      </c>
      <c r="G3324" s="112">
        <v>1</v>
      </c>
      <c r="H3324" s="112">
        <v>1</v>
      </c>
      <c r="I3324" s="112">
        <v>1</v>
      </c>
      <c r="J3324" s="112">
        <v>1</v>
      </c>
    </row>
    <row r="3325" spans="1:15" x14ac:dyDescent="0.2">
      <c r="A3325" s="111">
        <v>3437</v>
      </c>
      <c r="B3325" s="421" t="s">
        <v>5708</v>
      </c>
      <c r="C3325" s="421" t="s">
        <v>503</v>
      </c>
      <c r="D3325" s="422" t="s">
        <v>666</v>
      </c>
      <c r="E3325" s="111">
        <v>15914</v>
      </c>
      <c r="F3325" s="421" t="s">
        <v>5709</v>
      </c>
      <c r="G3325" s="112">
        <v>1</v>
      </c>
      <c r="H3325" s="112">
        <v>1</v>
      </c>
      <c r="I3325" s="112">
        <v>1</v>
      </c>
      <c r="J3325" s="112">
        <v>3</v>
      </c>
      <c r="K3325" s="112">
        <v>3</v>
      </c>
      <c r="L3325" s="112">
        <v>2</v>
      </c>
      <c r="M3325" s="112">
        <v>1</v>
      </c>
      <c r="N3325" s="112">
        <v>1</v>
      </c>
      <c r="O3325" s="112">
        <v>1</v>
      </c>
    </row>
    <row r="3326" spans="1:15" x14ac:dyDescent="0.2">
      <c r="A3326" s="111">
        <v>3438</v>
      </c>
      <c r="B3326" s="421" t="s">
        <v>1782</v>
      </c>
      <c r="C3326" s="421" t="s">
        <v>510</v>
      </c>
      <c r="D3326" s="422" t="s">
        <v>663</v>
      </c>
      <c r="E3326" s="111">
        <v>15915</v>
      </c>
      <c r="F3326" s="421" t="s">
        <v>5710</v>
      </c>
      <c r="G3326" s="112">
        <v>1</v>
      </c>
      <c r="H3326" s="112">
        <v>1</v>
      </c>
    </row>
    <row r="3327" spans="1:15" x14ac:dyDescent="0.2">
      <c r="A3327" s="111">
        <v>3439</v>
      </c>
      <c r="B3327" s="421" t="s">
        <v>2465</v>
      </c>
      <c r="C3327" s="421" t="s">
        <v>516</v>
      </c>
      <c r="D3327" s="422" t="s">
        <v>666</v>
      </c>
      <c r="E3327" s="111">
        <v>15916</v>
      </c>
      <c r="F3327" s="421" t="s">
        <v>5711</v>
      </c>
      <c r="G3327" s="112">
        <v>1</v>
      </c>
      <c r="H3327" s="112">
        <v>1</v>
      </c>
      <c r="I3327" s="112">
        <v>1</v>
      </c>
      <c r="J3327" s="112">
        <v>4</v>
      </c>
      <c r="K3327" s="112">
        <v>4</v>
      </c>
      <c r="L3327" s="112">
        <v>3</v>
      </c>
    </row>
    <row r="3328" spans="1:15" x14ac:dyDescent="0.2">
      <c r="A3328" s="111">
        <v>3440</v>
      </c>
      <c r="B3328" s="421" t="s">
        <v>1395</v>
      </c>
      <c r="C3328" s="421" t="s">
        <v>572</v>
      </c>
      <c r="D3328" s="422" t="s">
        <v>663</v>
      </c>
      <c r="E3328" s="111">
        <v>15917</v>
      </c>
      <c r="F3328" s="421" t="s">
        <v>5712</v>
      </c>
      <c r="G3328" s="112">
        <v>1</v>
      </c>
      <c r="H3328" s="112">
        <v>1</v>
      </c>
      <c r="I3328" s="112">
        <v>1</v>
      </c>
      <c r="J3328" s="112">
        <v>10</v>
      </c>
      <c r="K3328" s="112">
        <v>9</v>
      </c>
      <c r="L3328" s="112">
        <v>9</v>
      </c>
      <c r="M3328" s="112">
        <v>18</v>
      </c>
      <c r="N3328" s="112">
        <v>12</v>
      </c>
      <c r="O3328" s="112">
        <v>14</v>
      </c>
    </row>
    <row r="3329" spans="1:15" x14ac:dyDescent="0.2">
      <c r="A3329" s="111">
        <v>3441</v>
      </c>
      <c r="B3329" s="421" t="s">
        <v>5713</v>
      </c>
      <c r="C3329" s="421" t="s">
        <v>2154</v>
      </c>
      <c r="D3329" s="422" t="s">
        <v>666</v>
      </c>
      <c r="E3329" s="111">
        <v>16221</v>
      </c>
      <c r="F3329" s="421" t="s">
        <v>5714</v>
      </c>
      <c r="G3329" s="112">
        <v>1</v>
      </c>
      <c r="H3329" s="112">
        <v>1</v>
      </c>
      <c r="I3329" s="112">
        <v>1</v>
      </c>
      <c r="J3329" s="112">
        <v>1</v>
      </c>
    </row>
    <row r="3330" spans="1:15" x14ac:dyDescent="0.2">
      <c r="A3330" s="111">
        <v>3442</v>
      </c>
      <c r="B3330" s="421" t="s">
        <v>5715</v>
      </c>
      <c r="C3330" s="421" t="s">
        <v>543</v>
      </c>
      <c r="D3330" s="422" t="s">
        <v>666</v>
      </c>
      <c r="F3330" s="421" t="s">
        <v>5716</v>
      </c>
    </row>
    <row r="3331" spans="1:15" x14ac:dyDescent="0.2">
      <c r="A3331" s="111">
        <v>3443</v>
      </c>
      <c r="B3331" s="421" t="s">
        <v>5717</v>
      </c>
      <c r="C3331" s="421" t="s">
        <v>501</v>
      </c>
      <c r="D3331" s="422" t="s">
        <v>663</v>
      </c>
      <c r="E3331" s="111">
        <v>15977</v>
      </c>
      <c r="F3331" s="421" t="s">
        <v>5718</v>
      </c>
      <c r="G3331" s="112">
        <v>1</v>
      </c>
      <c r="H3331" s="112">
        <v>1</v>
      </c>
      <c r="I3331" s="112">
        <v>1</v>
      </c>
      <c r="J3331" s="112">
        <v>7</v>
      </c>
      <c r="K3331" s="112">
        <v>18</v>
      </c>
      <c r="L3331" s="112">
        <v>9</v>
      </c>
      <c r="M3331" s="112">
        <v>27</v>
      </c>
      <c r="N3331" s="112">
        <v>26</v>
      </c>
      <c r="O3331" s="112">
        <v>25</v>
      </c>
    </row>
    <row r="3332" spans="1:15" x14ac:dyDescent="0.2">
      <c r="A3332" s="111">
        <v>3444</v>
      </c>
      <c r="B3332" s="421" t="s">
        <v>237</v>
      </c>
      <c r="C3332" s="421" t="s">
        <v>510</v>
      </c>
      <c r="D3332" s="422" t="s">
        <v>663</v>
      </c>
      <c r="E3332" s="111">
        <v>15609</v>
      </c>
      <c r="F3332" s="421" t="s">
        <v>4830</v>
      </c>
      <c r="G3332" s="112">
        <v>1</v>
      </c>
      <c r="H3332" s="112">
        <v>1</v>
      </c>
      <c r="I3332" s="112">
        <v>1</v>
      </c>
      <c r="J3332" s="112">
        <v>1</v>
      </c>
      <c r="K3332" s="112">
        <v>1</v>
      </c>
      <c r="L3332" s="112">
        <v>1</v>
      </c>
      <c r="M3332" s="112">
        <v>2</v>
      </c>
    </row>
    <row r="3333" spans="1:15" x14ac:dyDescent="0.2">
      <c r="A3333" s="111">
        <v>3445</v>
      </c>
      <c r="B3333" s="421" t="s">
        <v>5719</v>
      </c>
      <c r="C3333" s="421" t="s">
        <v>551</v>
      </c>
      <c r="D3333" s="422" t="s">
        <v>666</v>
      </c>
      <c r="E3333" s="111">
        <v>15919</v>
      </c>
      <c r="F3333" s="421" t="s">
        <v>5720</v>
      </c>
      <c r="G3333" s="112">
        <v>2</v>
      </c>
      <c r="H3333" s="112">
        <v>1</v>
      </c>
      <c r="I3333" s="112">
        <v>2</v>
      </c>
      <c r="K3333" s="112">
        <v>1</v>
      </c>
      <c r="L3333" s="112">
        <v>1</v>
      </c>
    </row>
    <row r="3334" spans="1:15" x14ac:dyDescent="0.2">
      <c r="A3334" s="111">
        <v>3446</v>
      </c>
      <c r="B3334" s="421" t="s">
        <v>5721</v>
      </c>
      <c r="C3334" s="421" t="s">
        <v>551</v>
      </c>
      <c r="D3334" s="422" t="s">
        <v>663</v>
      </c>
      <c r="E3334" s="111">
        <v>15920</v>
      </c>
      <c r="F3334" s="421" t="s">
        <v>5722</v>
      </c>
      <c r="G3334" s="112">
        <v>1</v>
      </c>
      <c r="H3334" s="112">
        <v>2</v>
      </c>
      <c r="I3334" s="112">
        <v>1</v>
      </c>
      <c r="J3334" s="112">
        <v>1</v>
      </c>
      <c r="K3334" s="112">
        <v>1</v>
      </c>
      <c r="L3334" s="112">
        <v>1</v>
      </c>
      <c r="N3334" s="112">
        <v>1</v>
      </c>
      <c r="O3334" s="112">
        <v>1</v>
      </c>
    </row>
    <row r="3335" spans="1:15" x14ac:dyDescent="0.2">
      <c r="A3335" s="111">
        <v>3447</v>
      </c>
      <c r="B3335" s="421" t="s">
        <v>1343</v>
      </c>
      <c r="C3335" s="421" t="s">
        <v>503</v>
      </c>
      <c r="D3335" s="422" t="s">
        <v>666</v>
      </c>
      <c r="E3335" s="111">
        <v>14282</v>
      </c>
      <c r="F3335" s="421" t="s">
        <v>1037</v>
      </c>
      <c r="G3335" s="112">
        <v>2</v>
      </c>
      <c r="H3335" s="112">
        <v>2</v>
      </c>
      <c r="I3335" s="112">
        <v>1</v>
      </c>
      <c r="J3335" s="112">
        <v>3</v>
      </c>
      <c r="K3335" s="112">
        <v>2</v>
      </c>
      <c r="L3335" s="112">
        <v>3</v>
      </c>
    </row>
    <row r="3336" spans="1:15" x14ac:dyDescent="0.2">
      <c r="A3336" s="111">
        <v>3448</v>
      </c>
      <c r="B3336" s="421" t="s">
        <v>326</v>
      </c>
      <c r="C3336" s="421" t="s">
        <v>503</v>
      </c>
      <c r="D3336" s="422" t="s">
        <v>663</v>
      </c>
      <c r="E3336" s="111">
        <v>15921</v>
      </c>
      <c r="F3336" s="421" t="s">
        <v>5723</v>
      </c>
    </row>
    <row r="3337" spans="1:15" x14ac:dyDescent="0.2">
      <c r="A3337" s="111">
        <v>3449</v>
      </c>
      <c r="B3337" s="421" t="s">
        <v>5516</v>
      </c>
      <c r="C3337" s="421" t="s">
        <v>530</v>
      </c>
      <c r="D3337" s="422" t="s">
        <v>663</v>
      </c>
      <c r="E3337" s="111">
        <v>15922</v>
      </c>
      <c r="F3337" s="421" t="s">
        <v>5724</v>
      </c>
      <c r="G3337" s="112">
        <v>1</v>
      </c>
      <c r="H3337" s="112">
        <v>1</v>
      </c>
      <c r="I3337" s="112">
        <v>1</v>
      </c>
      <c r="L3337" s="112">
        <v>1</v>
      </c>
    </row>
    <row r="3338" spans="1:15" x14ac:dyDescent="0.2">
      <c r="A3338" s="111">
        <v>3450</v>
      </c>
      <c r="B3338" s="421" t="s">
        <v>2902</v>
      </c>
      <c r="C3338" s="421" t="s">
        <v>501</v>
      </c>
      <c r="D3338" s="422" t="s">
        <v>666</v>
      </c>
      <c r="E3338" s="111">
        <v>15311</v>
      </c>
      <c r="F3338" s="421" t="s">
        <v>4760</v>
      </c>
      <c r="G3338" s="112">
        <v>1</v>
      </c>
      <c r="H3338" s="112">
        <v>1</v>
      </c>
      <c r="I3338" s="112">
        <v>1</v>
      </c>
      <c r="J3338" s="112">
        <v>8</v>
      </c>
      <c r="K3338" s="112">
        <v>8</v>
      </c>
      <c r="L3338" s="112">
        <v>8</v>
      </c>
      <c r="M3338" s="112">
        <v>8</v>
      </c>
      <c r="N3338" s="112">
        <v>4</v>
      </c>
      <c r="O3338" s="112">
        <v>8</v>
      </c>
    </row>
    <row r="3339" spans="1:15" x14ac:dyDescent="0.2">
      <c r="A3339" s="111">
        <v>3451</v>
      </c>
      <c r="B3339" s="421" t="s">
        <v>3836</v>
      </c>
      <c r="C3339" s="421" t="s">
        <v>516</v>
      </c>
      <c r="D3339" s="422" t="s">
        <v>666</v>
      </c>
      <c r="F3339" s="421" t="s">
        <v>5725</v>
      </c>
      <c r="G3339" s="112">
        <v>1</v>
      </c>
      <c r="I3339" s="112">
        <v>1</v>
      </c>
    </row>
    <row r="3340" spans="1:15" x14ac:dyDescent="0.2">
      <c r="A3340" s="111">
        <v>3452</v>
      </c>
      <c r="B3340" s="421" t="s">
        <v>5726</v>
      </c>
      <c r="C3340" s="421" t="s">
        <v>510</v>
      </c>
      <c r="D3340" s="422" t="s">
        <v>663</v>
      </c>
      <c r="F3340" s="421" t="s">
        <v>2384</v>
      </c>
      <c r="H3340" s="112">
        <v>1</v>
      </c>
      <c r="I3340" s="112">
        <v>1</v>
      </c>
    </row>
    <row r="3341" spans="1:15" x14ac:dyDescent="0.2">
      <c r="A3341" s="111">
        <v>3453</v>
      </c>
      <c r="B3341" s="421" t="s">
        <v>313</v>
      </c>
      <c r="C3341" s="421" t="s">
        <v>547</v>
      </c>
      <c r="D3341" s="422" t="s">
        <v>663</v>
      </c>
      <c r="F3341" s="421" t="s">
        <v>2384</v>
      </c>
      <c r="G3341" s="112">
        <v>1</v>
      </c>
      <c r="H3341" s="112">
        <v>1</v>
      </c>
      <c r="I3341" s="112">
        <v>1</v>
      </c>
    </row>
    <row r="3342" spans="1:15" x14ac:dyDescent="0.2">
      <c r="A3342" s="111">
        <v>3454</v>
      </c>
      <c r="B3342" s="421" t="s">
        <v>443</v>
      </c>
      <c r="C3342" s="421" t="s">
        <v>506</v>
      </c>
      <c r="D3342" s="422" t="s">
        <v>663</v>
      </c>
      <c r="E3342" s="111">
        <v>15975</v>
      </c>
      <c r="F3342" s="421" t="s">
        <v>5728</v>
      </c>
    </row>
    <row r="3343" spans="1:15" x14ac:dyDescent="0.2">
      <c r="A3343" s="111">
        <v>3455</v>
      </c>
      <c r="B3343" s="421" t="s">
        <v>3163</v>
      </c>
      <c r="C3343" s="421" t="s">
        <v>526</v>
      </c>
      <c r="D3343" s="422" t="s">
        <v>666</v>
      </c>
      <c r="F3343" s="421" t="s">
        <v>5729</v>
      </c>
      <c r="H3343" s="112">
        <v>1</v>
      </c>
    </row>
    <row r="3344" spans="1:15" x14ac:dyDescent="0.2">
      <c r="A3344" s="111">
        <v>3456</v>
      </c>
      <c r="B3344" s="421" t="s">
        <v>249</v>
      </c>
      <c r="C3344" s="421" t="s">
        <v>572</v>
      </c>
      <c r="D3344" s="422" t="s">
        <v>666</v>
      </c>
      <c r="F3344" s="421" t="s">
        <v>5729</v>
      </c>
      <c r="G3344" s="112">
        <v>1</v>
      </c>
      <c r="H3344" s="112">
        <v>1</v>
      </c>
      <c r="I3344" s="112">
        <v>1</v>
      </c>
    </row>
    <row r="3345" spans="1:15" x14ac:dyDescent="0.2">
      <c r="A3345" s="111">
        <v>3457</v>
      </c>
      <c r="B3345" s="421" t="s">
        <v>5730</v>
      </c>
      <c r="C3345" s="421" t="s">
        <v>574</v>
      </c>
      <c r="D3345" s="422" t="s">
        <v>666</v>
      </c>
      <c r="F3345" s="421" t="s">
        <v>5729</v>
      </c>
      <c r="G3345" s="112">
        <v>1</v>
      </c>
      <c r="H3345" s="112">
        <v>1</v>
      </c>
    </row>
    <row r="3346" spans="1:15" x14ac:dyDescent="0.2">
      <c r="A3346" s="111">
        <v>3458</v>
      </c>
      <c r="B3346" s="421" t="s">
        <v>175</v>
      </c>
      <c r="C3346" s="421" t="s">
        <v>5731</v>
      </c>
      <c r="D3346" s="422" t="s">
        <v>666</v>
      </c>
      <c r="E3346" s="111">
        <v>15924</v>
      </c>
      <c r="F3346" s="421" t="s">
        <v>5732</v>
      </c>
      <c r="G3346" s="112">
        <v>2</v>
      </c>
      <c r="H3346" s="112">
        <v>2</v>
      </c>
      <c r="I3346" s="112">
        <v>1</v>
      </c>
      <c r="J3346" s="112">
        <v>8</v>
      </c>
      <c r="K3346" s="112">
        <v>7</v>
      </c>
      <c r="L3346" s="112">
        <v>7</v>
      </c>
      <c r="M3346" s="112">
        <v>5</v>
      </c>
      <c r="N3346" s="112">
        <v>3</v>
      </c>
      <c r="O3346" s="112">
        <v>3</v>
      </c>
    </row>
    <row r="3347" spans="1:15" x14ac:dyDescent="0.2">
      <c r="A3347" s="111">
        <v>3459</v>
      </c>
      <c r="B3347" s="421" t="s">
        <v>1771</v>
      </c>
      <c r="C3347" s="421" t="s">
        <v>503</v>
      </c>
      <c r="D3347" s="422" t="s">
        <v>666</v>
      </c>
      <c r="E3347" s="111">
        <v>16039</v>
      </c>
      <c r="F3347" s="421" t="s">
        <v>5733</v>
      </c>
      <c r="G3347" s="112">
        <v>1</v>
      </c>
      <c r="H3347" s="112">
        <v>1</v>
      </c>
      <c r="I3347" s="112">
        <v>1</v>
      </c>
      <c r="J3347" s="112">
        <v>1</v>
      </c>
      <c r="K3347" s="112">
        <v>1</v>
      </c>
      <c r="L3347" s="112">
        <v>1</v>
      </c>
      <c r="M3347" s="112">
        <v>1</v>
      </c>
      <c r="N3347" s="112">
        <v>1</v>
      </c>
    </row>
    <row r="3348" spans="1:15" x14ac:dyDescent="0.2">
      <c r="A3348" s="111">
        <v>3460</v>
      </c>
      <c r="B3348" s="421" t="s">
        <v>5734</v>
      </c>
      <c r="C3348" s="421" t="s">
        <v>559</v>
      </c>
      <c r="D3348" s="422" t="s">
        <v>663</v>
      </c>
      <c r="E3348" s="111">
        <v>15925</v>
      </c>
      <c r="F3348" s="421" t="s">
        <v>5735</v>
      </c>
      <c r="G3348" s="112">
        <v>2</v>
      </c>
      <c r="H3348" s="112">
        <v>1</v>
      </c>
      <c r="I3348" s="112">
        <v>2</v>
      </c>
      <c r="J3348" s="112">
        <v>5</v>
      </c>
      <c r="K3348" s="112">
        <v>3</v>
      </c>
      <c r="L3348" s="112">
        <v>3</v>
      </c>
      <c r="M3348" s="112">
        <v>9</v>
      </c>
      <c r="N3348" s="112">
        <v>2</v>
      </c>
      <c r="O3348" s="112">
        <v>1</v>
      </c>
    </row>
    <row r="3349" spans="1:15" x14ac:dyDescent="0.2">
      <c r="A3349" s="111">
        <v>3461</v>
      </c>
      <c r="B3349" s="421" t="s">
        <v>332</v>
      </c>
      <c r="C3349" s="421" t="s">
        <v>533</v>
      </c>
      <c r="D3349" s="422" t="s">
        <v>666</v>
      </c>
      <c r="E3349" s="111">
        <v>15373</v>
      </c>
      <c r="F3349" s="421" t="s">
        <v>3918</v>
      </c>
      <c r="G3349" s="112">
        <v>1</v>
      </c>
      <c r="H3349" s="112">
        <v>1</v>
      </c>
      <c r="I3349" s="112">
        <v>1</v>
      </c>
      <c r="J3349" s="112">
        <v>2</v>
      </c>
      <c r="K3349" s="112">
        <v>2</v>
      </c>
      <c r="L3349" s="112">
        <v>1</v>
      </c>
    </row>
    <row r="3350" spans="1:15" x14ac:dyDescent="0.2">
      <c r="A3350" s="111">
        <v>3462</v>
      </c>
      <c r="B3350" s="421" t="s">
        <v>5736</v>
      </c>
      <c r="C3350" s="421" t="s">
        <v>518</v>
      </c>
      <c r="D3350" s="422" t="s">
        <v>663</v>
      </c>
      <c r="E3350" s="111">
        <v>15373</v>
      </c>
      <c r="F3350" s="421" t="s">
        <v>3918</v>
      </c>
      <c r="G3350" s="112">
        <v>1</v>
      </c>
      <c r="H3350" s="112">
        <v>1</v>
      </c>
      <c r="I3350" s="112">
        <v>1</v>
      </c>
      <c r="J3350" s="112">
        <v>6</v>
      </c>
      <c r="K3350" s="112">
        <v>8</v>
      </c>
      <c r="L3350" s="112">
        <v>5</v>
      </c>
      <c r="M3350" s="112">
        <v>3</v>
      </c>
      <c r="N3350" s="112">
        <v>4</v>
      </c>
      <c r="O3350" s="112">
        <v>4</v>
      </c>
    </row>
    <row r="3351" spans="1:15" x14ac:dyDescent="0.2">
      <c r="A3351" s="111">
        <v>3463</v>
      </c>
      <c r="B3351" s="421" t="s">
        <v>5737</v>
      </c>
      <c r="C3351" s="421" t="s">
        <v>503</v>
      </c>
      <c r="D3351" s="422" t="s">
        <v>663</v>
      </c>
      <c r="E3351" s="111">
        <v>15708</v>
      </c>
      <c r="F3351" s="421" t="s">
        <v>5160</v>
      </c>
      <c r="G3351" s="112">
        <v>1</v>
      </c>
      <c r="H3351" s="112">
        <v>2</v>
      </c>
      <c r="I3351" s="112">
        <v>3</v>
      </c>
      <c r="J3351" s="112">
        <v>2</v>
      </c>
      <c r="K3351" s="112">
        <v>3</v>
      </c>
      <c r="L3351" s="112">
        <v>2</v>
      </c>
      <c r="M3351" s="112">
        <v>3</v>
      </c>
      <c r="O3351" s="112">
        <v>4</v>
      </c>
    </row>
    <row r="3352" spans="1:15" x14ac:dyDescent="0.2">
      <c r="A3352" s="111">
        <v>3464</v>
      </c>
      <c r="B3352" s="421" t="s">
        <v>45</v>
      </c>
      <c r="C3352" s="421" t="s">
        <v>2412</v>
      </c>
      <c r="D3352" s="422" t="s">
        <v>666</v>
      </c>
      <c r="E3352" s="111">
        <v>15729</v>
      </c>
      <c r="F3352" s="421" t="s">
        <v>5222</v>
      </c>
      <c r="G3352" s="112">
        <v>1</v>
      </c>
      <c r="H3352" s="112">
        <v>4</v>
      </c>
      <c r="I3352" s="112">
        <v>3</v>
      </c>
      <c r="J3352" s="112">
        <v>7</v>
      </c>
      <c r="K3352" s="112">
        <v>3</v>
      </c>
      <c r="L3352" s="112">
        <v>4</v>
      </c>
      <c r="M3352" s="112">
        <v>1</v>
      </c>
    </row>
    <row r="3353" spans="1:15" x14ac:dyDescent="0.2">
      <c r="A3353" s="111">
        <v>3465</v>
      </c>
      <c r="B3353" s="421" t="s">
        <v>5738</v>
      </c>
      <c r="C3353" s="421" t="s">
        <v>557</v>
      </c>
      <c r="D3353" s="422" t="s">
        <v>666</v>
      </c>
      <c r="E3353" s="111">
        <v>16029</v>
      </c>
      <c r="F3353" s="421" t="s">
        <v>2582</v>
      </c>
      <c r="G3353" s="112">
        <v>2</v>
      </c>
      <c r="H3353" s="112">
        <v>1</v>
      </c>
    </row>
    <row r="3354" spans="1:15" x14ac:dyDescent="0.2">
      <c r="A3354" s="111">
        <v>3466</v>
      </c>
      <c r="B3354" s="421" t="s">
        <v>4029</v>
      </c>
      <c r="C3354" s="421" t="s">
        <v>501</v>
      </c>
      <c r="D3354" s="422" t="s">
        <v>663</v>
      </c>
      <c r="E3354" s="111">
        <v>15923</v>
      </c>
      <c r="F3354" s="421" t="s">
        <v>5739</v>
      </c>
      <c r="I3354" s="112">
        <v>1</v>
      </c>
    </row>
    <row r="3355" spans="1:15" x14ac:dyDescent="0.2">
      <c r="A3355" s="111">
        <v>3467</v>
      </c>
      <c r="B3355" s="421" t="s">
        <v>274</v>
      </c>
      <c r="C3355" s="421" t="s">
        <v>581</v>
      </c>
      <c r="D3355" s="422" t="s">
        <v>666</v>
      </c>
      <c r="E3355" s="111">
        <v>15834</v>
      </c>
      <c r="F3355" s="421" t="s">
        <v>5522</v>
      </c>
      <c r="G3355" s="112">
        <v>1</v>
      </c>
      <c r="H3355" s="112">
        <v>1</v>
      </c>
      <c r="I3355" s="112">
        <v>1</v>
      </c>
      <c r="J3355" s="112">
        <v>1</v>
      </c>
      <c r="K3355" s="112">
        <v>1</v>
      </c>
      <c r="L3355" s="112">
        <v>1</v>
      </c>
    </row>
    <row r="3356" spans="1:15" x14ac:dyDescent="0.2">
      <c r="A3356" s="111">
        <v>3468</v>
      </c>
      <c r="B3356" s="421" t="s">
        <v>468</v>
      </c>
      <c r="C3356" s="421" t="s">
        <v>551</v>
      </c>
      <c r="D3356" s="422" t="s">
        <v>663</v>
      </c>
      <c r="E3356" s="111">
        <v>15834</v>
      </c>
      <c r="F3356" s="421" t="s">
        <v>5522</v>
      </c>
      <c r="G3356" s="112">
        <v>1</v>
      </c>
      <c r="H3356" s="112">
        <v>1</v>
      </c>
      <c r="I3356" s="112">
        <v>1</v>
      </c>
    </row>
    <row r="3357" spans="1:15" x14ac:dyDescent="0.2">
      <c r="A3357" s="111">
        <v>3470</v>
      </c>
      <c r="B3357" s="421" t="s">
        <v>5229</v>
      </c>
      <c r="C3357" s="421" t="s">
        <v>1758</v>
      </c>
      <c r="D3357" s="422" t="s">
        <v>663</v>
      </c>
      <c r="E3357" s="111">
        <v>15732</v>
      </c>
      <c r="F3357" s="421" t="s">
        <v>5228</v>
      </c>
      <c r="G3357" s="112">
        <v>1</v>
      </c>
      <c r="H3357" s="112">
        <v>1</v>
      </c>
      <c r="I3357" s="112">
        <v>1</v>
      </c>
    </row>
    <row r="3358" spans="1:15" x14ac:dyDescent="0.2">
      <c r="A3358" s="111">
        <v>3471</v>
      </c>
      <c r="B3358" s="421" t="s">
        <v>4616</v>
      </c>
      <c r="C3358" s="421" t="s">
        <v>503</v>
      </c>
      <c r="D3358" s="422" t="s">
        <v>663</v>
      </c>
      <c r="E3358" s="111">
        <v>15670</v>
      </c>
      <c r="F3358" s="421" t="s">
        <v>4704</v>
      </c>
      <c r="M3358" s="112">
        <v>1</v>
      </c>
    </row>
    <row r="3359" spans="1:15" x14ac:dyDescent="0.2">
      <c r="A3359" s="111">
        <v>3472</v>
      </c>
      <c r="B3359" s="421" t="s">
        <v>4439</v>
      </c>
      <c r="C3359" s="421" t="s">
        <v>588</v>
      </c>
      <c r="D3359" s="422" t="s">
        <v>663</v>
      </c>
      <c r="E3359" s="111">
        <v>15712</v>
      </c>
      <c r="F3359" s="421" t="s">
        <v>5169</v>
      </c>
    </row>
    <row r="3360" spans="1:15" x14ac:dyDescent="0.2">
      <c r="A3360" s="111">
        <v>3473</v>
      </c>
      <c r="B3360" s="421" t="s">
        <v>5457</v>
      </c>
      <c r="C3360" s="421" t="s">
        <v>503</v>
      </c>
      <c r="D3360" s="422" t="s">
        <v>666</v>
      </c>
      <c r="E3360" s="111">
        <v>15685</v>
      </c>
      <c r="F3360" s="421" t="s">
        <v>5727</v>
      </c>
    </row>
    <row r="3361" spans="1:15" x14ac:dyDescent="0.2">
      <c r="A3361" s="111">
        <v>3474</v>
      </c>
      <c r="B3361" s="421" t="s">
        <v>1630</v>
      </c>
      <c r="C3361" s="421" t="s">
        <v>1419</v>
      </c>
      <c r="D3361" s="422" t="s">
        <v>663</v>
      </c>
      <c r="E3361" s="111">
        <v>16048</v>
      </c>
      <c r="F3361" s="421" t="s">
        <v>5471</v>
      </c>
      <c r="G3361" s="112">
        <v>2</v>
      </c>
      <c r="H3361" s="112">
        <v>2</v>
      </c>
      <c r="I3361" s="112">
        <v>2</v>
      </c>
      <c r="J3361" s="112">
        <v>4</v>
      </c>
      <c r="K3361" s="112">
        <v>1</v>
      </c>
      <c r="L3361" s="112">
        <v>4</v>
      </c>
    </row>
    <row r="3362" spans="1:15" x14ac:dyDescent="0.2">
      <c r="A3362" s="111">
        <v>3475</v>
      </c>
      <c r="B3362" s="421" t="s">
        <v>2890</v>
      </c>
      <c r="C3362" s="421" t="s">
        <v>501</v>
      </c>
      <c r="D3362" s="422" t="s">
        <v>663</v>
      </c>
      <c r="E3362" s="111">
        <v>16522</v>
      </c>
      <c r="F3362" s="421" t="s">
        <v>5740</v>
      </c>
      <c r="G3362" s="112">
        <v>1</v>
      </c>
      <c r="H3362" s="112">
        <v>1</v>
      </c>
      <c r="I3362" s="112">
        <v>1</v>
      </c>
      <c r="J3362" s="112">
        <v>8</v>
      </c>
      <c r="K3362" s="112">
        <v>7</v>
      </c>
      <c r="L3362" s="112">
        <v>7</v>
      </c>
      <c r="M3362" s="112">
        <v>3</v>
      </c>
      <c r="N3362" s="112">
        <v>3</v>
      </c>
      <c r="O3362" s="112">
        <v>3</v>
      </c>
    </row>
    <row r="3363" spans="1:15" x14ac:dyDescent="0.2">
      <c r="A3363" s="111">
        <v>3477</v>
      </c>
      <c r="B3363" s="421" t="s">
        <v>5741</v>
      </c>
      <c r="C3363" s="421" t="s">
        <v>1500</v>
      </c>
      <c r="D3363" s="422" t="s">
        <v>666</v>
      </c>
      <c r="E3363" s="111">
        <v>15930</v>
      </c>
      <c r="F3363" s="421" t="s">
        <v>5742</v>
      </c>
    </row>
    <row r="3364" spans="1:15" x14ac:dyDescent="0.2">
      <c r="A3364" s="111">
        <v>3478</v>
      </c>
      <c r="B3364" s="421" t="s">
        <v>216</v>
      </c>
      <c r="C3364" s="421" t="s">
        <v>573</v>
      </c>
      <c r="D3364" s="422" t="s">
        <v>666</v>
      </c>
      <c r="E3364" s="111">
        <v>15930</v>
      </c>
      <c r="F3364" s="421" t="s">
        <v>5742</v>
      </c>
    </row>
    <row r="3365" spans="1:15" x14ac:dyDescent="0.2">
      <c r="A3365" s="111">
        <v>3479</v>
      </c>
      <c r="B3365" s="421" t="s">
        <v>5743</v>
      </c>
      <c r="C3365" s="421" t="s">
        <v>573</v>
      </c>
      <c r="D3365" s="422" t="s">
        <v>663</v>
      </c>
      <c r="E3365" s="111">
        <v>15930</v>
      </c>
      <c r="F3365" s="421" t="s">
        <v>5742</v>
      </c>
    </row>
    <row r="3366" spans="1:15" x14ac:dyDescent="0.2">
      <c r="A3366" s="111">
        <v>3480</v>
      </c>
      <c r="B3366" s="421" t="s">
        <v>5744</v>
      </c>
      <c r="C3366" s="421" t="s">
        <v>509</v>
      </c>
      <c r="D3366" s="422" t="s">
        <v>663</v>
      </c>
      <c r="E3366" s="111">
        <v>15931</v>
      </c>
      <c r="F3366" s="421" t="s">
        <v>5745</v>
      </c>
      <c r="G3366" s="112">
        <v>1</v>
      </c>
      <c r="H3366" s="112">
        <v>1</v>
      </c>
      <c r="I3366" s="112">
        <v>1</v>
      </c>
      <c r="J3366" s="112">
        <v>6</v>
      </c>
      <c r="K3366" s="112">
        <v>6</v>
      </c>
      <c r="L3366" s="112">
        <v>6</v>
      </c>
      <c r="M3366" s="112">
        <v>9</v>
      </c>
      <c r="N3366" s="112">
        <v>4</v>
      </c>
      <c r="O3366" s="112">
        <v>4</v>
      </c>
    </row>
    <row r="3367" spans="1:15" x14ac:dyDescent="0.2">
      <c r="A3367" s="111">
        <v>3481</v>
      </c>
      <c r="B3367" s="421" t="s">
        <v>301</v>
      </c>
      <c r="C3367" s="421" t="s">
        <v>586</v>
      </c>
      <c r="D3367" s="422" t="s">
        <v>666</v>
      </c>
      <c r="E3367" s="111">
        <v>15932</v>
      </c>
      <c r="F3367" s="421" t="s">
        <v>5746</v>
      </c>
      <c r="G3367" s="112">
        <v>2</v>
      </c>
      <c r="H3367" s="112">
        <v>1</v>
      </c>
      <c r="I3367" s="112">
        <v>1</v>
      </c>
    </row>
    <row r="3368" spans="1:15" x14ac:dyDescent="0.2">
      <c r="A3368" s="111">
        <v>3482</v>
      </c>
      <c r="B3368" s="421" t="s">
        <v>5747</v>
      </c>
      <c r="C3368" s="421" t="s">
        <v>530</v>
      </c>
      <c r="D3368" s="422" t="s">
        <v>666</v>
      </c>
      <c r="E3368" s="111">
        <v>15933</v>
      </c>
      <c r="F3368" s="421" t="s">
        <v>5748</v>
      </c>
      <c r="G3368" s="112">
        <v>1</v>
      </c>
      <c r="H3368" s="112">
        <v>1</v>
      </c>
      <c r="I3368" s="112">
        <v>1</v>
      </c>
      <c r="J3368" s="112">
        <v>2</v>
      </c>
      <c r="K3368" s="112">
        <v>1</v>
      </c>
      <c r="L3368" s="112">
        <v>1</v>
      </c>
    </row>
    <row r="3369" spans="1:15" x14ac:dyDescent="0.2">
      <c r="A3369" s="111">
        <v>3483</v>
      </c>
      <c r="B3369" s="421" t="s">
        <v>5749</v>
      </c>
      <c r="C3369" s="421" t="s">
        <v>512</v>
      </c>
      <c r="D3369" s="422" t="s">
        <v>666</v>
      </c>
      <c r="F3369" s="421" t="s">
        <v>5750</v>
      </c>
    </row>
    <row r="3370" spans="1:15" x14ac:dyDescent="0.2">
      <c r="A3370" s="111">
        <v>3484</v>
      </c>
      <c r="B3370" s="421" t="s">
        <v>174</v>
      </c>
      <c r="C3370" s="421" t="s">
        <v>503</v>
      </c>
      <c r="D3370" s="422" t="s">
        <v>666</v>
      </c>
      <c r="E3370" s="111">
        <v>15934</v>
      </c>
      <c r="F3370" s="421" t="s">
        <v>5751</v>
      </c>
      <c r="G3370" s="112">
        <v>2</v>
      </c>
      <c r="H3370" s="112">
        <v>2</v>
      </c>
      <c r="I3370" s="112">
        <v>2</v>
      </c>
      <c r="J3370" s="112">
        <v>5</v>
      </c>
      <c r="K3370" s="112">
        <v>3</v>
      </c>
      <c r="L3370" s="112">
        <v>3</v>
      </c>
    </row>
    <row r="3371" spans="1:15" x14ac:dyDescent="0.2">
      <c r="A3371" s="111">
        <v>3485</v>
      </c>
      <c r="B3371" s="421" t="s">
        <v>5752</v>
      </c>
      <c r="C3371" s="421" t="s">
        <v>503</v>
      </c>
      <c r="D3371" s="422" t="s">
        <v>666</v>
      </c>
      <c r="E3371" s="111">
        <v>15934</v>
      </c>
      <c r="F3371" s="421" t="s">
        <v>5751</v>
      </c>
      <c r="G3371" s="112">
        <v>1</v>
      </c>
      <c r="H3371" s="112">
        <v>1</v>
      </c>
      <c r="I3371" s="112">
        <v>2</v>
      </c>
      <c r="J3371" s="112">
        <v>4</v>
      </c>
      <c r="K3371" s="112">
        <v>5</v>
      </c>
      <c r="L3371" s="112">
        <v>3</v>
      </c>
    </row>
    <row r="3372" spans="1:15" x14ac:dyDescent="0.2">
      <c r="A3372" s="111">
        <v>3486</v>
      </c>
      <c r="B3372" s="421" t="s">
        <v>276</v>
      </c>
      <c r="C3372" s="421" t="s">
        <v>509</v>
      </c>
      <c r="D3372" s="422" t="s">
        <v>666</v>
      </c>
      <c r="E3372" s="111">
        <v>14690</v>
      </c>
      <c r="F3372" s="421" t="s">
        <v>2112</v>
      </c>
      <c r="G3372" s="112">
        <v>2</v>
      </c>
      <c r="H3372" s="112">
        <v>2</v>
      </c>
      <c r="I3372" s="112">
        <v>2</v>
      </c>
      <c r="J3372" s="112">
        <v>5</v>
      </c>
      <c r="K3372" s="112">
        <v>5</v>
      </c>
      <c r="L3372" s="112">
        <v>5</v>
      </c>
      <c r="M3372" s="112">
        <v>5</v>
      </c>
      <c r="N3372" s="112">
        <v>2</v>
      </c>
      <c r="O3372" s="112">
        <v>3</v>
      </c>
    </row>
    <row r="3373" spans="1:15" x14ac:dyDescent="0.2">
      <c r="A3373" s="111">
        <v>3487</v>
      </c>
      <c r="B3373" s="421" t="s">
        <v>5807</v>
      </c>
      <c r="C3373" s="421" t="s">
        <v>3855</v>
      </c>
      <c r="D3373" s="422" t="s">
        <v>663</v>
      </c>
      <c r="E3373" s="111">
        <v>14669</v>
      </c>
      <c r="F3373" s="421" t="s">
        <v>1982</v>
      </c>
      <c r="G3373" s="112">
        <v>1</v>
      </c>
      <c r="H3373" s="112">
        <v>1</v>
      </c>
      <c r="I3373" s="112">
        <v>1</v>
      </c>
      <c r="J3373" s="112">
        <v>3</v>
      </c>
      <c r="K3373" s="112">
        <v>4</v>
      </c>
      <c r="L3373" s="112">
        <v>3</v>
      </c>
      <c r="M3373" s="112">
        <v>3</v>
      </c>
      <c r="N3373" s="112">
        <v>3</v>
      </c>
      <c r="O3373" s="112">
        <v>1</v>
      </c>
    </row>
    <row r="3374" spans="1:15" x14ac:dyDescent="0.2">
      <c r="A3374" s="111">
        <v>3488</v>
      </c>
      <c r="B3374" s="421" t="s">
        <v>5808</v>
      </c>
      <c r="C3374" s="421" t="s">
        <v>534</v>
      </c>
      <c r="D3374" s="422" t="s">
        <v>666</v>
      </c>
      <c r="E3374" s="111">
        <v>15936</v>
      </c>
      <c r="F3374" s="421" t="s">
        <v>5809</v>
      </c>
    </row>
    <row r="3375" spans="1:15" x14ac:dyDescent="0.2">
      <c r="A3375" s="111">
        <v>3489</v>
      </c>
      <c r="B3375" s="421" t="s">
        <v>5810</v>
      </c>
      <c r="C3375" s="421" t="s">
        <v>514</v>
      </c>
      <c r="D3375" s="422" t="s">
        <v>663</v>
      </c>
      <c r="F3375" s="421" t="s">
        <v>5811</v>
      </c>
      <c r="G3375" s="112">
        <v>2</v>
      </c>
      <c r="H3375" s="112">
        <v>1</v>
      </c>
      <c r="I3375" s="112">
        <v>2</v>
      </c>
      <c r="J3375" s="112">
        <v>7</v>
      </c>
      <c r="K3375" s="112">
        <v>7</v>
      </c>
      <c r="L3375" s="112">
        <v>7</v>
      </c>
      <c r="M3375" s="112">
        <v>4</v>
      </c>
      <c r="N3375" s="112">
        <v>3</v>
      </c>
      <c r="O3375" s="112">
        <v>3</v>
      </c>
    </row>
    <row r="3376" spans="1:15" x14ac:dyDescent="0.2">
      <c r="A3376" s="111">
        <v>3490</v>
      </c>
      <c r="B3376" s="421" t="s">
        <v>472</v>
      </c>
      <c r="C3376" s="421" t="s">
        <v>503</v>
      </c>
      <c r="D3376" s="422" t="s">
        <v>666</v>
      </c>
      <c r="E3376" s="111">
        <v>15938</v>
      </c>
      <c r="F3376" s="421" t="s">
        <v>5812</v>
      </c>
    </row>
    <row r="3377" spans="1:15" x14ac:dyDescent="0.2">
      <c r="A3377" s="111">
        <v>3491</v>
      </c>
      <c r="B3377" s="421" t="s">
        <v>100</v>
      </c>
      <c r="C3377" s="421" t="s">
        <v>523</v>
      </c>
      <c r="D3377" s="422" t="s">
        <v>666</v>
      </c>
      <c r="E3377" s="111">
        <v>16260</v>
      </c>
      <c r="F3377" s="421" t="s">
        <v>5813</v>
      </c>
      <c r="G3377" s="112">
        <v>1</v>
      </c>
      <c r="H3377" s="112">
        <v>1</v>
      </c>
      <c r="I3377" s="112">
        <v>1</v>
      </c>
      <c r="J3377" s="112">
        <v>1</v>
      </c>
      <c r="K3377" s="112">
        <v>1</v>
      </c>
      <c r="L3377" s="112">
        <v>1</v>
      </c>
    </row>
    <row r="3378" spans="1:15" x14ac:dyDescent="0.2">
      <c r="A3378" s="111">
        <v>3492</v>
      </c>
      <c r="B3378" s="421" t="s">
        <v>3894</v>
      </c>
      <c r="C3378" s="421" t="s">
        <v>581</v>
      </c>
      <c r="D3378" s="422" t="s">
        <v>666</v>
      </c>
      <c r="E3378" s="111">
        <v>14979</v>
      </c>
      <c r="F3378" s="421" t="s">
        <v>2701</v>
      </c>
      <c r="G3378" s="112">
        <v>1</v>
      </c>
      <c r="H3378" s="112">
        <v>2</v>
      </c>
      <c r="I3378" s="112">
        <v>2</v>
      </c>
      <c r="J3378" s="112">
        <v>6</v>
      </c>
      <c r="K3378" s="112">
        <v>6</v>
      </c>
      <c r="L3378" s="112">
        <v>7</v>
      </c>
      <c r="M3378" s="112">
        <v>1</v>
      </c>
    </row>
    <row r="3379" spans="1:15" x14ac:dyDescent="0.2">
      <c r="A3379" s="111">
        <v>3493</v>
      </c>
      <c r="B3379" s="421" t="s">
        <v>39</v>
      </c>
      <c r="C3379" s="421" t="s">
        <v>503</v>
      </c>
      <c r="D3379" s="422" t="s">
        <v>663</v>
      </c>
      <c r="E3379" s="111">
        <v>14167</v>
      </c>
      <c r="F3379" s="421" t="s">
        <v>861</v>
      </c>
      <c r="G3379" s="112">
        <v>2</v>
      </c>
      <c r="H3379" s="112">
        <v>1</v>
      </c>
      <c r="I3379" s="112">
        <v>1</v>
      </c>
      <c r="L3379" s="112">
        <v>1</v>
      </c>
    </row>
    <row r="3380" spans="1:15" x14ac:dyDescent="0.2">
      <c r="A3380" s="111">
        <v>3494</v>
      </c>
      <c r="B3380" s="421" t="s">
        <v>5814</v>
      </c>
      <c r="C3380" s="421" t="s">
        <v>531</v>
      </c>
      <c r="D3380" s="422" t="s">
        <v>663</v>
      </c>
      <c r="E3380" s="111">
        <v>15940</v>
      </c>
      <c r="F3380" s="421" t="s">
        <v>5815</v>
      </c>
    </row>
    <row r="3381" spans="1:15" x14ac:dyDescent="0.2">
      <c r="A3381" s="111">
        <v>3495</v>
      </c>
      <c r="B3381" s="421" t="s">
        <v>5816</v>
      </c>
      <c r="C3381" s="421" t="s">
        <v>502</v>
      </c>
      <c r="D3381" s="422" t="s">
        <v>666</v>
      </c>
      <c r="E3381" s="111">
        <v>15658</v>
      </c>
      <c r="F3381" s="421" t="s">
        <v>5001</v>
      </c>
    </row>
    <row r="3382" spans="1:15" x14ac:dyDescent="0.2">
      <c r="A3382" s="111">
        <v>3496</v>
      </c>
      <c r="B3382" s="421" t="s">
        <v>5817</v>
      </c>
      <c r="C3382" s="421" t="s">
        <v>511</v>
      </c>
      <c r="D3382" s="422" t="s">
        <v>666</v>
      </c>
      <c r="E3382" s="111">
        <v>15520</v>
      </c>
      <c r="F3382" s="421" t="s">
        <v>4716</v>
      </c>
      <c r="G3382" s="112">
        <v>1</v>
      </c>
      <c r="H3382" s="112">
        <v>1</v>
      </c>
      <c r="I3382" s="112">
        <v>1</v>
      </c>
      <c r="J3382" s="112">
        <v>1</v>
      </c>
      <c r="L3382" s="112">
        <v>1</v>
      </c>
      <c r="M3382" s="112">
        <v>1</v>
      </c>
    </row>
    <row r="3383" spans="1:15" x14ac:dyDescent="0.2">
      <c r="A3383" s="111">
        <v>3497</v>
      </c>
      <c r="B3383" s="421" t="s">
        <v>5818</v>
      </c>
      <c r="C3383" s="421" t="s">
        <v>506</v>
      </c>
      <c r="D3383" s="422" t="s">
        <v>666</v>
      </c>
      <c r="E3383" s="111">
        <v>15606</v>
      </c>
      <c r="F3383" s="421" t="s">
        <v>4827</v>
      </c>
      <c r="G3383" s="112">
        <v>1</v>
      </c>
      <c r="H3383" s="112">
        <v>1</v>
      </c>
      <c r="I3383" s="112">
        <v>1</v>
      </c>
      <c r="J3383" s="112">
        <v>22</v>
      </c>
      <c r="K3383" s="112">
        <v>22</v>
      </c>
      <c r="L3383" s="112">
        <v>22</v>
      </c>
      <c r="M3383" s="112">
        <v>15</v>
      </c>
      <c r="N3383" s="112">
        <v>8</v>
      </c>
      <c r="O3383" s="112">
        <v>8</v>
      </c>
    </row>
    <row r="3384" spans="1:15" x14ac:dyDescent="0.2">
      <c r="A3384" s="111">
        <v>3498</v>
      </c>
      <c r="B3384" s="421" t="s">
        <v>5730</v>
      </c>
      <c r="C3384" s="421" t="s">
        <v>577</v>
      </c>
      <c r="D3384" s="422" t="s">
        <v>666</v>
      </c>
      <c r="E3384" s="111">
        <v>16033</v>
      </c>
      <c r="F3384" s="421" t="s">
        <v>3274</v>
      </c>
      <c r="G3384" s="112">
        <v>2</v>
      </c>
      <c r="H3384" s="112">
        <v>2</v>
      </c>
      <c r="I3384" s="112">
        <v>1</v>
      </c>
      <c r="J3384" s="112">
        <v>7</v>
      </c>
      <c r="K3384" s="112">
        <v>7</v>
      </c>
      <c r="L3384" s="112">
        <v>7</v>
      </c>
      <c r="M3384" s="112">
        <v>5</v>
      </c>
      <c r="N3384" s="112">
        <v>3</v>
      </c>
      <c r="O3384" s="112">
        <v>6</v>
      </c>
    </row>
    <row r="3385" spans="1:15" x14ac:dyDescent="0.2">
      <c r="A3385" s="111">
        <v>3499</v>
      </c>
      <c r="B3385" s="421" t="s">
        <v>5819</v>
      </c>
      <c r="C3385" s="421" t="s">
        <v>1378</v>
      </c>
      <c r="D3385" s="422" t="s">
        <v>666</v>
      </c>
      <c r="E3385" s="111">
        <v>15941</v>
      </c>
      <c r="F3385" s="421" t="s">
        <v>5820</v>
      </c>
    </row>
    <row r="3386" spans="1:15" x14ac:dyDescent="0.2">
      <c r="A3386" s="111">
        <v>3500</v>
      </c>
      <c r="B3386" s="421" t="s">
        <v>4340</v>
      </c>
      <c r="C3386" s="421" t="s">
        <v>507</v>
      </c>
      <c r="D3386" s="422" t="s">
        <v>663</v>
      </c>
      <c r="E3386" s="111">
        <v>15942</v>
      </c>
      <c r="F3386" s="421" t="s">
        <v>5821</v>
      </c>
    </row>
    <row r="3387" spans="1:15" x14ac:dyDescent="0.2">
      <c r="A3387" s="111">
        <v>3501</v>
      </c>
      <c r="B3387" s="421" t="s">
        <v>5822</v>
      </c>
      <c r="C3387" s="421" t="s">
        <v>502</v>
      </c>
      <c r="D3387" s="422" t="s">
        <v>666</v>
      </c>
      <c r="E3387" s="111">
        <v>15943</v>
      </c>
      <c r="F3387" s="421" t="s">
        <v>5823</v>
      </c>
    </row>
    <row r="3388" spans="1:15" x14ac:dyDescent="0.2">
      <c r="A3388" s="111">
        <v>3502</v>
      </c>
      <c r="B3388" s="421" t="s">
        <v>1773</v>
      </c>
      <c r="C3388" s="421" t="s">
        <v>544</v>
      </c>
      <c r="D3388" s="422" t="s">
        <v>666</v>
      </c>
      <c r="E3388" s="111">
        <v>16204</v>
      </c>
      <c r="F3388" s="421" t="s">
        <v>7427</v>
      </c>
      <c r="G3388" s="112">
        <v>1</v>
      </c>
      <c r="H3388" s="112">
        <v>1</v>
      </c>
      <c r="I3388" s="112">
        <v>1</v>
      </c>
      <c r="J3388" s="112">
        <v>2</v>
      </c>
      <c r="K3388" s="112">
        <v>1</v>
      </c>
      <c r="L3388" s="112">
        <v>1</v>
      </c>
    </row>
    <row r="3389" spans="1:15" x14ac:dyDescent="0.2">
      <c r="A3389" s="111">
        <v>3503</v>
      </c>
      <c r="B3389" s="421" t="s">
        <v>7397</v>
      </c>
      <c r="C3389" s="421" t="s">
        <v>544</v>
      </c>
      <c r="D3389" s="422" t="s">
        <v>666</v>
      </c>
      <c r="E3389" s="111">
        <v>16204</v>
      </c>
      <c r="F3389" s="421" t="s">
        <v>7427</v>
      </c>
      <c r="G3389" s="112">
        <v>1</v>
      </c>
      <c r="H3389" s="112">
        <v>1</v>
      </c>
      <c r="I3389" s="112">
        <v>1</v>
      </c>
      <c r="J3389" s="112">
        <v>1</v>
      </c>
      <c r="L3389" s="112">
        <v>2</v>
      </c>
    </row>
    <row r="3390" spans="1:15" x14ac:dyDescent="0.2">
      <c r="A3390" s="111">
        <v>3504</v>
      </c>
      <c r="B3390" s="421" t="s">
        <v>3909</v>
      </c>
      <c r="C3390" s="421" t="s">
        <v>516</v>
      </c>
      <c r="D3390" s="422" t="s">
        <v>666</v>
      </c>
      <c r="E3390" s="111">
        <v>15944</v>
      </c>
      <c r="F3390" s="421" t="s">
        <v>5824</v>
      </c>
      <c r="G3390" s="112">
        <v>1</v>
      </c>
    </row>
    <row r="3391" spans="1:15" x14ac:dyDescent="0.2">
      <c r="A3391" s="111">
        <v>3505</v>
      </c>
      <c r="B3391" s="421" t="s">
        <v>5457</v>
      </c>
      <c r="C3391" s="421" t="s">
        <v>516</v>
      </c>
      <c r="D3391" s="422" t="s">
        <v>666</v>
      </c>
      <c r="E3391" s="111">
        <v>15118</v>
      </c>
      <c r="F3391" s="421" t="s">
        <v>3178</v>
      </c>
      <c r="G3391" s="112">
        <v>1</v>
      </c>
      <c r="H3391" s="112">
        <v>1</v>
      </c>
      <c r="I3391" s="112">
        <v>1</v>
      </c>
      <c r="J3391" s="112">
        <v>12</v>
      </c>
      <c r="K3391" s="112">
        <v>10</v>
      </c>
      <c r="L3391" s="112">
        <v>10</v>
      </c>
      <c r="M3391" s="112">
        <v>12</v>
      </c>
      <c r="N3391" s="112">
        <v>12</v>
      </c>
      <c r="O3391" s="112">
        <v>12</v>
      </c>
    </row>
    <row r="3392" spans="1:15" x14ac:dyDescent="0.2">
      <c r="A3392" s="111">
        <v>3506</v>
      </c>
      <c r="B3392" s="421" t="s">
        <v>379</v>
      </c>
      <c r="C3392" s="421" t="s">
        <v>5825</v>
      </c>
      <c r="D3392" s="422" t="s">
        <v>663</v>
      </c>
      <c r="E3392" s="111">
        <v>14409</v>
      </c>
      <c r="F3392" s="421" t="s">
        <v>1965</v>
      </c>
    </row>
    <row r="3393" spans="1:15" x14ac:dyDescent="0.2">
      <c r="A3393" s="111">
        <v>3507</v>
      </c>
      <c r="B3393" s="421" t="s">
        <v>382</v>
      </c>
      <c r="C3393" s="421" t="s">
        <v>591</v>
      </c>
      <c r="D3393" s="422" t="s">
        <v>663</v>
      </c>
      <c r="E3393" s="111">
        <v>15946</v>
      </c>
      <c r="F3393" s="421" t="s">
        <v>5826</v>
      </c>
      <c r="G3393" s="112">
        <v>1</v>
      </c>
      <c r="H3393" s="112">
        <v>1</v>
      </c>
      <c r="I3393" s="112">
        <v>1</v>
      </c>
      <c r="J3393" s="112">
        <v>11</v>
      </c>
      <c r="K3393" s="112">
        <v>9</v>
      </c>
      <c r="L3393" s="112">
        <v>11</v>
      </c>
      <c r="M3393" s="112">
        <v>8</v>
      </c>
      <c r="N3393" s="112">
        <v>5</v>
      </c>
      <c r="O3393" s="112">
        <v>4</v>
      </c>
    </row>
    <row r="3394" spans="1:15" x14ac:dyDescent="0.2">
      <c r="A3394" s="111">
        <v>3508</v>
      </c>
      <c r="B3394" s="421" t="s">
        <v>5827</v>
      </c>
      <c r="C3394" s="421" t="s">
        <v>2272</v>
      </c>
      <c r="D3394" s="422" t="s">
        <v>666</v>
      </c>
      <c r="E3394" s="111">
        <v>15947</v>
      </c>
      <c r="F3394" s="421" t="s">
        <v>5828</v>
      </c>
    </row>
    <row r="3395" spans="1:15" x14ac:dyDescent="0.2">
      <c r="A3395" s="111">
        <v>3509</v>
      </c>
      <c r="B3395" s="421" t="s">
        <v>5829</v>
      </c>
      <c r="C3395" s="421" t="s">
        <v>503</v>
      </c>
      <c r="D3395" s="422" t="s">
        <v>666</v>
      </c>
      <c r="E3395" s="111">
        <v>15948</v>
      </c>
      <c r="F3395" s="421" t="s">
        <v>5830</v>
      </c>
    </row>
    <row r="3396" spans="1:15" x14ac:dyDescent="0.2">
      <c r="A3396" s="111">
        <v>3510</v>
      </c>
      <c r="B3396" s="421" t="s">
        <v>2266</v>
      </c>
      <c r="C3396" s="421" t="s">
        <v>516</v>
      </c>
      <c r="D3396" s="422" t="s">
        <v>666</v>
      </c>
      <c r="E3396" s="111">
        <v>15926</v>
      </c>
      <c r="F3396" s="421" t="s">
        <v>5246</v>
      </c>
    </row>
    <row r="3397" spans="1:15" x14ac:dyDescent="0.2">
      <c r="A3397" s="111">
        <v>3511</v>
      </c>
      <c r="B3397" s="421" t="s">
        <v>4116</v>
      </c>
      <c r="C3397" s="421" t="s">
        <v>513</v>
      </c>
      <c r="D3397" s="422" t="s">
        <v>663</v>
      </c>
      <c r="E3397" s="111">
        <v>15949</v>
      </c>
      <c r="F3397" s="421" t="s">
        <v>5831</v>
      </c>
      <c r="G3397" s="112">
        <v>1</v>
      </c>
      <c r="H3397" s="112">
        <v>1</v>
      </c>
      <c r="I3397" s="112">
        <v>1</v>
      </c>
      <c r="J3397" s="112">
        <v>3</v>
      </c>
      <c r="K3397" s="112">
        <v>2</v>
      </c>
      <c r="L3397" s="112">
        <v>1</v>
      </c>
      <c r="M3397" s="112">
        <v>2</v>
      </c>
      <c r="N3397" s="112">
        <v>1</v>
      </c>
      <c r="O3397" s="112">
        <v>1</v>
      </c>
    </row>
    <row r="3398" spans="1:15" x14ac:dyDescent="0.2">
      <c r="A3398" s="111">
        <v>3512</v>
      </c>
      <c r="B3398" s="421" t="s">
        <v>106</v>
      </c>
      <c r="C3398" s="421" t="s">
        <v>501</v>
      </c>
      <c r="D3398" s="422" t="s">
        <v>666</v>
      </c>
      <c r="F3398" s="421" t="s">
        <v>5832</v>
      </c>
    </row>
    <row r="3399" spans="1:15" x14ac:dyDescent="0.2">
      <c r="A3399" s="111">
        <v>3513</v>
      </c>
      <c r="B3399" s="421" t="s">
        <v>5833</v>
      </c>
      <c r="C3399" s="421" t="s">
        <v>501</v>
      </c>
      <c r="D3399" s="422" t="s">
        <v>663</v>
      </c>
      <c r="F3399" s="421" t="s">
        <v>5834</v>
      </c>
    </row>
    <row r="3400" spans="1:15" x14ac:dyDescent="0.2">
      <c r="A3400" s="111">
        <v>3514</v>
      </c>
      <c r="B3400" s="421" t="s">
        <v>48</v>
      </c>
      <c r="C3400" s="421" t="s">
        <v>577</v>
      </c>
      <c r="D3400" s="422" t="s">
        <v>663</v>
      </c>
      <c r="E3400" s="111">
        <v>15951</v>
      </c>
      <c r="F3400" s="421" t="s">
        <v>5835</v>
      </c>
    </row>
    <row r="3401" spans="1:15" x14ac:dyDescent="0.2">
      <c r="A3401" s="111">
        <v>3515</v>
      </c>
      <c r="B3401" s="421" t="s">
        <v>1434</v>
      </c>
      <c r="C3401" s="421" t="s">
        <v>577</v>
      </c>
      <c r="D3401" s="422" t="s">
        <v>666</v>
      </c>
      <c r="E3401" s="111">
        <v>15951</v>
      </c>
      <c r="F3401" s="421" t="s">
        <v>5835</v>
      </c>
    </row>
    <row r="3402" spans="1:15" x14ac:dyDescent="0.2">
      <c r="A3402" s="111">
        <v>3516</v>
      </c>
      <c r="B3402" s="421" t="s">
        <v>5836</v>
      </c>
      <c r="C3402" s="421" t="s">
        <v>628</v>
      </c>
      <c r="D3402" s="422" t="s">
        <v>666</v>
      </c>
      <c r="E3402" s="111">
        <v>15952</v>
      </c>
      <c r="F3402" s="421" t="s">
        <v>5837</v>
      </c>
    </row>
    <row r="3403" spans="1:15" x14ac:dyDescent="0.2">
      <c r="A3403" s="111">
        <v>3517</v>
      </c>
      <c r="B3403" s="421" t="s">
        <v>5838</v>
      </c>
      <c r="C3403" s="421" t="s">
        <v>628</v>
      </c>
      <c r="D3403" s="422" t="s">
        <v>666</v>
      </c>
      <c r="E3403" s="111">
        <v>15952</v>
      </c>
      <c r="F3403" s="421" t="s">
        <v>5837</v>
      </c>
    </row>
    <row r="3404" spans="1:15" x14ac:dyDescent="0.2">
      <c r="A3404" s="111">
        <v>3518</v>
      </c>
      <c r="B3404" s="421" t="s">
        <v>3979</v>
      </c>
      <c r="C3404" s="421" t="s">
        <v>586</v>
      </c>
      <c r="D3404" s="422" t="s">
        <v>663</v>
      </c>
      <c r="E3404" s="111">
        <v>15953</v>
      </c>
      <c r="F3404" s="421" t="s">
        <v>5839</v>
      </c>
    </row>
    <row r="3405" spans="1:15" x14ac:dyDescent="0.2">
      <c r="A3405" s="111">
        <v>3519</v>
      </c>
      <c r="B3405" s="421" t="s">
        <v>5840</v>
      </c>
      <c r="C3405" s="421" t="s">
        <v>503</v>
      </c>
      <c r="D3405" s="422" t="s">
        <v>666</v>
      </c>
      <c r="E3405" s="111">
        <v>15753</v>
      </c>
      <c r="F3405" s="421" t="s">
        <v>5319</v>
      </c>
      <c r="G3405" s="112">
        <v>1</v>
      </c>
      <c r="H3405" s="112">
        <v>1</v>
      </c>
      <c r="I3405" s="112">
        <v>1</v>
      </c>
      <c r="J3405" s="112">
        <v>2</v>
      </c>
      <c r="K3405" s="112">
        <v>2</v>
      </c>
      <c r="L3405" s="112">
        <v>4</v>
      </c>
    </row>
    <row r="3406" spans="1:15" x14ac:dyDescent="0.2">
      <c r="A3406" s="111">
        <v>3520</v>
      </c>
      <c r="B3406" s="421" t="s">
        <v>2202</v>
      </c>
      <c r="C3406" s="421" t="s">
        <v>17459</v>
      </c>
      <c r="D3406" s="422" t="s">
        <v>663</v>
      </c>
      <c r="E3406" s="111">
        <v>15954</v>
      </c>
      <c r="F3406" s="421" t="s">
        <v>5841</v>
      </c>
      <c r="G3406" s="112">
        <v>1</v>
      </c>
      <c r="H3406" s="112">
        <v>1</v>
      </c>
      <c r="I3406" s="112">
        <v>1</v>
      </c>
    </row>
    <row r="3407" spans="1:15" x14ac:dyDescent="0.2">
      <c r="A3407" s="111">
        <v>3521</v>
      </c>
      <c r="B3407" s="421" t="s">
        <v>5842</v>
      </c>
      <c r="C3407" s="421" t="s">
        <v>501</v>
      </c>
      <c r="D3407" s="422" t="s">
        <v>663</v>
      </c>
      <c r="E3407" s="111">
        <v>15955</v>
      </c>
      <c r="F3407" s="421" t="s">
        <v>5843</v>
      </c>
      <c r="G3407" s="112">
        <v>1</v>
      </c>
      <c r="H3407" s="112">
        <v>1</v>
      </c>
      <c r="I3407" s="112">
        <v>1</v>
      </c>
      <c r="J3407" s="112">
        <v>4</v>
      </c>
      <c r="K3407" s="112">
        <v>3</v>
      </c>
      <c r="L3407" s="112">
        <v>2</v>
      </c>
    </row>
    <row r="3408" spans="1:15" x14ac:dyDescent="0.2">
      <c r="A3408" s="111">
        <v>3522</v>
      </c>
      <c r="B3408" s="421" t="s">
        <v>5844</v>
      </c>
      <c r="C3408" s="421" t="s">
        <v>1523</v>
      </c>
      <c r="D3408" s="422" t="s">
        <v>666</v>
      </c>
      <c r="E3408" s="111">
        <v>15748</v>
      </c>
      <c r="F3408" s="421" t="s">
        <v>5309</v>
      </c>
      <c r="G3408" s="112">
        <v>1</v>
      </c>
      <c r="H3408" s="112">
        <v>1</v>
      </c>
      <c r="I3408" s="112">
        <v>1</v>
      </c>
      <c r="J3408" s="112">
        <v>7</v>
      </c>
      <c r="K3408" s="112">
        <v>7</v>
      </c>
      <c r="L3408" s="112">
        <v>7</v>
      </c>
      <c r="M3408" s="112">
        <v>16</v>
      </c>
      <c r="N3408" s="112">
        <v>14</v>
      </c>
      <c r="O3408" s="112">
        <v>13</v>
      </c>
    </row>
    <row r="3409" spans="1:15" x14ac:dyDescent="0.2">
      <c r="A3409" s="111">
        <v>3523</v>
      </c>
      <c r="B3409" s="421" t="s">
        <v>5888</v>
      </c>
      <c r="C3409" s="421" t="s">
        <v>513</v>
      </c>
      <c r="D3409" s="422" t="s">
        <v>663</v>
      </c>
      <c r="E3409" s="111">
        <v>15956</v>
      </c>
      <c r="F3409" s="421" t="s">
        <v>3465</v>
      </c>
      <c r="G3409" s="112">
        <v>1</v>
      </c>
      <c r="H3409" s="112">
        <v>1</v>
      </c>
      <c r="I3409" s="112">
        <v>1</v>
      </c>
      <c r="J3409" s="112">
        <v>6</v>
      </c>
      <c r="K3409" s="112">
        <v>3</v>
      </c>
      <c r="L3409" s="112">
        <v>6</v>
      </c>
    </row>
    <row r="3410" spans="1:15" x14ac:dyDescent="0.2">
      <c r="A3410" s="111">
        <v>3524</v>
      </c>
      <c r="B3410" s="421" t="s">
        <v>5889</v>
      </c>
      <c r="C3410" s="421" t="s">
        <v>502</v>
      </c>
      <c r="D3410" s="422" t="s">
        <v>666</v>
      </c>
      <c r="E3410" s="111">
        <v>15957</v>
      </c>
      <c r="F3410" s="421" t="s">
        <v>5890</v>
      </c>
    </row>
    <row r="3411" spans="1:15" x14ac:dyDescent="0.2">
      <c r="A3411" s="111">
        <v>3525</v>
      </c>
      <c r="B3411" s="421" t="s">
        <v>379</v>
      </c>
      <c r="C3411" s="421" t="s">
        <v>518</v>
      </c>
      <c r="D3411" s="422" t="s">
        <v>663</v>
      </c>
      <c r="E3411" s="111">
        <v>15958</v>
      </c>
      <c r="F3411" s="421" t="s">
        <v>5891</v>
      </c>
      <c r="G3411" s="112">
        <v>1</v>
      </c>
      <c r="H3411" s="112">
        <v>1</v>
      </c>
      <c r="I3411" s="112">
        <v>1</v>
      </c>
    </row>
    <row r="3412" spans="1:15" x14ac:dyDescent="0.2">
      <c r="A3412" s="111">
        <v>3526</v>
      </c>
      <c r="B3412" s="421" t="s">
        <v>79</v>
      </c>
      <c r="C3412" s="421" t="s">
        <v>513</v>
      </c>
      <c r="D3412" s="422" t="s">
        <v>666</v>
      </c>
      <c r="E3412" s="111">
        <v>15959</v>
      </c>
      <c r="F3412" s="421" t="s">
        <v>5892</v>
      </c>
    </row>
    <row r="3413" spans="1:15" x14ac:dyDescent="0.2">
      <c r="A3413" s="111">
        <v>3527</v>
      </c>
      <c r="B3413" s="421" t="s">
        <v>5893</v>
      </c>
      <c r="C3413" s="421" t="s">
        <v>516</v>
      </c>
      <c r="D3413" s="422" t="s">
        <v>663</v>
      </c>
      <c r="E3413" s="111">
        <v>15960</v>
      </c>
      <c r="F3413" s="421" t="s">
        <v>5156</v>
      </c>
      <c r="G3413" s="112">
        <v>1</v>
      </c>
      <c r="H3413" s="112">
        <v>1</v>
      </c>
      <c r="I3413" s="112">
        <v>1</v>
      </c>
      <c r="J3413" s="112">
        <v>2</v>
      </c>
      <c r="K3413" s="112">
        <v>3</v>
      </c>
      <c r="L3413" s="112">
        <v>2</v>
      </c>
      <c r="M3413" s="112">
        <v>1</v>
      </c>
      <c r="N3413" s="112">
        <v>2</v>
      </c>
      <c r="O3413" s="112">
        <v>1</v>
      </c>
    </row>
    <row r="3414" spans="1:15" x14ac:dyDescent="0.2">
      <c r="A3414" s="111">
        <v>3528</v>
      </c>
      <c r="B3414" s="421" t="s">
        <v>3219</v>
      </c>
      <c r="C3414" s="421" t="s">
        <v>510</v>
      </c>
      <c r="D3414" s="422" t="s">
        <v>666</v>
      </c>
      <c r="F3414" s="421" t="s">
        <v>5894</v>
      </c>
    </row>
    <row r="3415" spans="1:15" x14ac:dyDescent="0.2">
      <c r="A3415" s="111">
        <v>3529</v>
      </c>
      <c r="B3415" s="421" t="s">
        <v>5895</v>
      </c>
      <c r="C3415" s="421" t="s">
        <v>501</v>
      </c>
      <c r="D3415" s="422" t="s">
        <v>666</v>
      </c>
      <c r="E3415" s="111">
        <v>15962</v>
      </c>
      <c r="F3415" s="421" t="s">
        <v>5896</v>
      </c>
      <c r="G3415" s="112">
        <v>1</v>
      </c>
      <c r="H3415" s="112">
        <v>1</v>
      </c>
      <c r="I3415" s="112">
        <v>1</v>
      </c>
      <c r="J3415" s="112">
        <v>1</v>
      </c>
      <c r="L3415" s="112">
        <v>1</v>
      </c>
    </row>
    <row r="3416" spans="1:15" x14ac:dyDescent="0.2">
      <c r="A3416" s="111">
        <v>3530</v>
      </c>
      <c r="B3416" s="421" t="s">
        <v>1127</v>
      </c>
      <c r="C3416" s="421" t="s">
        <v>513</v>
      </c>
      <c r="D3416" s="422" t="s">
        <v>666</v>
      </c>
      <c r="E3416" s="111">
        <v>15667</v>
      </c>
      <c r="F3416" s="421" t="s">
        <v>5017</v>
      </c>
      <c r="G3416" s="112">
        <v>1</v>
      </c>
      <c r="H3416" s="112">
        <v>1</v>
      </c>
      <c r="I3416" s="112">
        <v>1</v>
      </c>
      <c r="J3416" s="112">
        <v>1</v>
      </c>
      <c r="K3416" s="112">
        <v>1</v>
      </c>
    </row>
    <row r="3417" spans="1:15" x14ac:dyDescent="0.2">
      <c r="A3417" s="111">
        <v>3531</v>
      </c>
      <c r="B3417" s="421" t="s">
        <v>143</v>
      </c>
      <c r="C3417" s="421" t="s">
        <v>510</v>
      </c>
      <c r="D3417" s="422" t="s">
        <v>666</v>
      </c>
      <c r="E3417" s="111">
        <v>15963</v>
      </c>
      <c r="F3417" s="421" t="s">
        <v>5897</v>
      </c>
    </row>
    <row r="3418" spans="1:15" x14ac:dyDescent="0.2">
      <c r="A3418" s="111">
        <v>3532</v>
      </c>
      <c r="B3418" s="421" t="s">
        <v>5898</v>
      </c>
      <c r="C3418" s="421" t="s">
        <v>550</v>
      </c>
      <c r="D3418" s="422" t="s">
        <v>666</v>
      </c>
      <c r="F3418" s="421" t="s">
        <v>5899</v>
      </c>
    </row>
    <row r="3419" spans="1:15" x14ac:dyDescent="0.2">
      <c r="A3419" s="111">
        <v>3533</v>
      </c>
      <c r="B3419" s="421" t="s">
        <v>5900</v>
      </c>
      <c r="C3419" s="421" t="s">
        <v>1201</v>
      </c>
      <c r="D3419" s="422" t="s">
        <v>666</v>
      </c>
      <c r="E3419" s="111">
        <v>15965</v>
      </c>
      <c r="F3419" s="421" t="s">
        <v>5901</v>
      </c>
      <c r="G3419" s="112">
        <v>1</v>
      </c>
      <c r="H3419" s="112">
        <v>1</v>
      </c>
      <c r="I3419" s="112">
        <v>1</v>
      </c>
      <c r="J3419" s="112">
        <v>3</v>
      </c>
      <c r="K3419" s="112">
        <v>3</v>
      </c>
      <c r="L3419" s="112">
        <v>2</v>
      </c>
    </row>
    <row r="3420" spans="1:15" x14ac:dyDescent="0.2">
      <c r="A3420" s="111">
        <v>3534</v>
      </c>
      <c r="B3420" s="421" t="s">
        <v>239</v>
      </c>
      <c r="C3420" s="421" t="s">
        <v>506</v>
      </c>
      <c r="D3420" s="422" t="s">
        <v>666</v>
      </c>
      <c r="E3420" s="111">
        <v>15966</v>
      </c>
      <c r="F3420" s="421" t="s">
        <v>5902</v>
      </c>
    </row>
    <row r="3421" spans="1:15" x14ac:dyDescent="0.2">
      <c r="A3421" s="111">
        <v>3535</v>
      </c>
      <c r="B3421" s="421" t="s">
        <v>5903</v>
      </c>
      <c r="C3421" s="421" t="s">
        <v>501</v>
      </c>
      <c r="D3421" s="422" t="s">
        <v>663</v>
      </c>
      <c r="F3421" s="421" t="s">
        <v>5904</v>
      </c>
    </row>
    <row r="3422" spans="1:15" x14ac:dyDescent="0.2">
      <c r="A3422" s="111">
        <v>3536</v>
      </c>
      <c r="B3422" s="421" t="s">
        <v>455</v>
      </c>
      <c r="C3422" s="421" t="s">
        <v>512</v>
      </c>
      <c r="D3422" s="422" t="s">
        <v>663</v>
      </c>
      <c r="E3422" s="111">
        <v>15967</v>
      </c>
      <c r="F3422" s="421" t="s">
        <v>5905</v>
      </c>
      <c r="G3422" s="112">
        <v>2</v>
      </c>
      <c r="H3422" s="112">
        <v>1</v>
      </c>
      <c r="J3422" s="112">
        <v>1</v>
      </c>
      <c r="K3422" s="112">
        <v>1</v>
      </c>
    </row>
    <row r="3423" spans="1:15" x14ac:dyDescent="0.2">
      <c r="A3423" s="111">
        <v>3537</v>
      </c>
      <c r="B3423" s="421" t="s">
        <v>5906</v>
      </c>
      <c r="C3423" s="421" t="s">
        <v>506</v>
      </c>
      <c r="D3423" s="422" t="s">
        <v>666</v>
      </c>
      <c r="E3423" s="111">
        <v>15968</v>
      </c>
      <c r="F3423" s="421" t="s">
        <v>5907</v>
      </c>
      <c r="G3423" s="112">
        <v>1</v>
      </c>
      <c r="H3423" s="112">
        <v>1</v>
      </c>
      <c r="I3423" s="112">
        <v>1</v>
      </c>
    </row>
    <row r="3424" spans="1:15" x14ac:dyDescent="0.2">
      <c r="A3424" s="111">
        <v>3538</v>
      </c>
      <c r="B3424" s="421" t="s">
        <v>46</v>
      </c>
      <c r="C3424" s="421" t="s">
        <v>503</v>
      </c>
      <c r="D3424" s="422" t="s">
        <v>663</v>
      </c>
      <c r="E3424" s="111">
        <v>15969</v>
      </c>
      <c r="F3424" s="421" t="s">
        <v>5908</v>
      </c>
      <c r="G3424" s="112">
        <v>1</v>
      </c>
      <c r="H3424" s="112">
        <v>1</v>
      </c>
      <c r="I3424" s="112">
        <v>1</v>
      </c>
      <c r="J3424" s="112">
        <v>1</v>
      </c>
      <c r="K3424" s="112">
        <v>3</v>
      </c>
      <c r="L3424" s="112">
        <v>4</v>
      </c>
    </row>
    <row r="3425" spans="1:15" x14ac:dyDescent="0.2">
      <c r="A3425" s="111">
        <v>3539</v>
      </c>
      <c r="B3425" s="421" t="s">
        <v>2155</v>
      </c>
      <c r="C3425" s="421" t="s">
        <v>512</v>
      </c>
      <c r="D3425" s="422" t="s">
        <v>666</v>
      </c>
      <c r="F3425" s="421" t="s">
        <v>5909</v>
      </c>
      <c r="H3425" s="112">
        <v>1</v>
      </c>
      <c r="I3425" s="112">
        <v>1</v>
      </c>
      <c r="L3425" s="112">
        <v>1</v>
      </c>
    </row>
    <row r="3426" spans="1:15" x14ac:dyDescent="0.2">
      <c r="A3426" s="111">
        <v>3540</v>
      </c>
      <c r="B3426" s="421" t="s">
        <v>2526</v>
      </c>
      <c r="C3426" s="421" t="s">
        <v>588</v>
      </c>
      <c r="D3426" s="422" t="s">
        <v>666</v>
      </c>
      <c r="F3426" s="421" t="s">
        <v>5909</v>
      </c>
    </row>
    <row r="3427" spans="1:15" x14ac:dyDescent="0.2">
      <c r="A3427" s="111">
        <v>3541</v>
      </c>
      <c r="B3427" s="421" t="s">
        <v>5910</v>
      </c>
      <c r="C3427" s="421" t="s">
        <v>542</v>
      </c>
      <c r="D3427" s="422" t="s">
        <v>663</v>
      </c>
      <c r="E3427" s="111">
        <v>14216</v>
      </c>
      <c r="F3427" s="421" t="s">
        <v>995</v>
      </c>
      <c r="G3427" s="112">
        <v>1</v>
      </c>
      <c r="H3427" s="112">
        <v>1</v>
      </c>
      <c r="I3427" s="112">
        <v>1</v>
      </c>
      <c r="J3427" s="112">
        <v>7</v>
      </c>
      <c r="K3427" s="112">
        <v>8</v>
      </c>
      <c r="L3427" s="112">
        <v>7</v>
      </c>
      <c r="M3427" s="112">
        <v>4</v>
      </c>
      <c r="N3427" s="112">
        <v>3</v>
      </c>
      <c r="O3427" s="112">
        <v>3</v>
      </c>
    </row>
    <row r="3428" spans="1:15" x14ac:dyDescent="0.2">
      <c r="A3428" s="111">
        <v>3542</v>
      </c>
      <c r="B3428" s="421" t="s">
        <v>4603</v>
      </c>
      <c r="C3428" s="421" t="s">
        <v>537</v>
      </c>
      <c r="D3428" s="422" t="s">
        <v>663</v>
      </c>
      <c r="E3428" s="111">
        <v>17166</v>
      </c>
      <c r="F3428" s="421" t="s">
        <v>5911</v>
      </c>
      <c r="G3428" s="112">
        <v>1</v>
      </c>
      <c r="H3428" s="112">
        <v>1</v>
      </c>
      <c r="I3428" s="112">
        <v>1</v>
      </c>
    </row>
    <row r="3429" spans="1:15" x14ac:dyDescent="0.2">
      <c r="A3429" s="111">
        <v>3543</v>
      </c>
      <c r="B3429" s="421" t="s">
        <v>408</v>
      </c>
      <c r="C3429" s="421" t="s">
        <v>555</v>
      </c>
      <c r="D3429" s="422" t="s">
        <v>663</v>
      </c>
      <c r="E3429" s="111">
        <v>15970</v>
      </c>
      <c r="F3429" s="421" t="s">
        <v>5912</v>
      </c>
      <c r="G3429" s="112">
        <v>1</v>
      </c>
      <c r="H3429" s="112">
        <v>1</v>
      </c>
      <c r="I3429" s="112">
        <v>1</v>
      </c>
      <c r="J3429" s="112">
        <v>1</v>
      </c>
      <c r="K3429" s="112">
        <v>2</v>
      </c>
      <c r="L3429" s="112">
        <v>2</v>
      </c>
    </row>
    <row r="3430" spans="1:15" x14ac:dyDescent="0.2">
      <c r="A3430" s="111">
        <v>3544</v>
      </c>
      <c r="B3430" s="421" t="s">
        <v>253</v>
      </c>
      <c r="C3430" s="421" t="s">
        <v>2872</v>
      </c>
      <c r="D3430" s="422" t="s">
        <v>666</v>
      </c>
      <c r="E3430" s="111">
        <v>16035</v>
      </c>
      <c r="F3430" s="421" t="s">
        <v>5913</v>
      </c>
      <c r="G3430" s="112">
        <v>1</v>
      </c>
    </row>
    <row r="3431" spans="1:15" x14ac:dyDescent="0.2">
      <c r="A3431" s="111">
        <v>3545</v>
      </c>
      <c r="B3431" s="421" t="s">
        <v>5914</v>
      </c>
      <c r="C3431" s="421" t="s">
        <v>575</v>
      </c>
      <c r="D3431" s="422" t="s">
        <v>666</v>
      </c>
      <c r="E3431" s="111">
        <v>15971</v>
      </c>
      <c r="F3431" s="421" t="s">
        <v>5915</v>
      </c>
      <c r="G3431" s="112">
        <v>1</v>
      </c>
      <c r="I3431" s="112">
        <v>1</v>
      </c>
    </row>
    <row r="3432" spans="1:15" x14ac:dyDescent="0.2">
      <c r="A3432" s="111">
        <v>3546</v>
      </c>
      <c r="B3432" s="421" t="s">
        <v>5916</v>
      </c>
      <c r="C3432" s="421" t="s">
        <v>512</v>
      </c>
      <c r="D3432" s="422" t="s">
        <v>663</v>
      </c>
      <c r="E3432" s="111">
        <v>15972</v>
      </c>
      <c r="F3432" s="421" t="s">
        <v>5917</v>
      </c>
      <c r="G3432" s="112">
        <v>1</v>
      </c>
      <c r="H3432" s="112">
        <v>1</v>
      </c>
    </row>
    <row r="3433" spans="1:15" x14ac:dyDescent="0.2">
      <c r="A3433" s="111">
        <v>3547</v>
      </c>
      <c r="B3433" s="421" t="s">
        <v>5918</v>
      </c>
      <c r="C3433" s="421" t="s">
        <v>549</v>
      </c>
      <c r="D3433" s="422" t="s">
        <v>666</v>
      </c>
      <c r="F3433" s="421" t="s">
        <v>5919</v>
      </c>
    </row>
    <row r="3434" spans="1:15" x14ac:dyDescent="0.2">
      <c r="A3434" s="111">
        <v>3548</v>
      </c>
      <c r="B3434" s="421" t="s">
        <v>5920</v>
      </c>
      <c r="C3434" s="421" t="s">
        <v>502</v>
      </c>
      <c r="D3434" s="422" t="s">
        <v>663</v>
      </c>
      <c r="E3434" s="111">
        <v>15974</v>
      </c>
      <c r="F3434" s="421" t="s">
        <v>5921</v>
      </c>
    </row>
    <row r="3435" spans="1:15" x14ac:dyDescent="0.2">
      <c r="A3435" s="111">
        <v>3549</v>
      </c>
      <c r="B3435" s="421" t="s">
        <v>1072</v>
      </c>
      <c r="C3435" s="421" t="s">
        <v>503</v>
      </c>
      <c r="D3435" s="422" t="s">
        <v>663</v>
      </c>
      <c r="E3435" s="111">
        <v>15349</v>
      </c>
      <c r="F3435" s="421" t="s">
        <v>4026</v>
      </c>
      <c r="G3435" s="112">
        <v>1</v>
      </c>
      <c r="H3435" s="112">
        <v>1</v>
      </c>
      <c r="I3435" s="112">
        <v>1</v>
      </c>
      <c r="J3435" s="112">
        <v>1</v>
      </c>
      <c r="K3435" s="112">
        <v>1</v>
      </c>
      <c r="L3435" s="112">
        <v>1</v>
      </c>
    </row>
    <row r="3436" spans="1:15" x14ac:dyDescent="0.2">
      <c r="A3436" s="111">
        <v>3550</v>
      </c>
      <c r="B3436" s="421" t="s">
        <v>263</v>
      </c>
      <c r="C3436" s="421" t="s">
        <v>513</v>
      </c>
      <c r="D3436" s="422" t="s">
        <v>666</v>
      </c>
      <c r="E3436" s="111">
        <v>15099</v>
      </c>
      <c r="F3436" s="421" t="s">
        <v>3139</v>
      </c>
      <c r="G3436" s="112">
        <v>2</v>
      </c>
      <c r="H3436" s="112">
        <v>1</v>
      </c>
      <c r="I3436" s="112">
        <v>1</v>
      </c>
      <c r="J3436" s="112">
        <v>2</v>
      </c>
      <c r="K3436" s="112">
        <v>3</v>
      </c>
      <c r="L3436" s="112">
        <v>1</v>
      </c>
      <c r="M3436" s="112">
        <v>1</v>
      </c>
    </row>
    <row r="3437" spans="1:15" x14ac:dyDescent="0.2">
      <c r="A3437" s="111">
        <v>3551</v>
      </c>
      <c r="B3437" s="421" t="s">
        <v>5922</v>
      </c>
      <c r="C3437" s="421" t="s">
        <v>506</v>
      </c>
      <c r="D3437" s="422" t="s">
        <v>666</v>
      </c>
      <c r="E3437" s="111">
        <v>15052</v>
      </c>
      <c r="F3437" s="421" t="s">
        <v>2901</v>
      </c>
    </row>
    <row r="3438" spans="1:15" x14ac:dyDescent="0.2">
      <c r="A3438" s="111">
        <v>3552</v>
      </c>
      <c r="B3438" s="421" t="s">
        <v>5923</v>
      </c>
      <c r="C3438" s="421" t="s">
        <v>2362</v>
      </c>
      <c r="D3438" s="422" t="s">
        <v>663</v>
      </c>
      <c r="E3438" s="111">
        <v>15749</v>
      </c>
      <c r="F3438" s="421" t="s">
        <v>5310</v>
      </c>
      <c r="G3438" s="112">
        <v>2</v>
      </c>
      <c r="H3438" s="112">
        <v>2</v>
      </c>
      <c r="I3438" s="112">
        <v>2</v>
      </c>
      <c r="J3438" s="112">
        <v>3</v>
      </c>
      <c r="K3438" s="112">
        <v>3</v>
      </c>
    </row>
    <row r="3439" spans="1:15" x14ac:dyDescent="0.2">
      <c r="A3439" s="111">
        <v>3553</v>
      </c>
      <c r="B3439" s="421" t="s">
        <v>5563</v>
      </c>
      <c r="C3439" s="421" t="s">
        <v>506</v>
      </c>
      <c r="D3439" s="422" t="s">
        <v>666</v>
      </c>
      <c r="E3439" s="111">
        <v>15800</v>
      </c>
      <c r="F3439" s="421" t="s">
        <v>5444</v>
      </c>
    </row>
    <row r="3440" spans="1:15" x14ac:dyDescent="0.2">
      <c r="A3440" s="111">
        <v>3554</v>
      </c>
      <c r="B3440" s="421" t="s">
        <v>186</v>
      </c>
      <c r="C3440" s="421" t="s">
        <v>503</v>
      </c>
      <c r="D3440" s="422" t="s">
        <v>666</v>
      </c>
      <c r="E3440" s="111">
        <v>15976</v>
      </c>
      <c r="F3440" s="421" t="s">
        <v>5924</v>
      </c>
      <c r="G3440" s="112">
        <v>1</v>
      </c>
      <c r="H3440" s="112">
        <v>2</v>
      </c>
      <c r="I3440" s="112">
        <v>1</v>
      </c>
      <c r="J3440" s="112">
        <v>1</v>
      </c>
      <c r="K3440" s="112">
        <v>1</v>
      </c>
      <c r="L3440" s="112">
        <v>1</v>
      </c>
      <c r="M3440" s="112">
        <v>2</v>
      </c>
      <c r="N3440" s="112">
        <v>1</v>
      </c>
      <c r="O3440" s="112">
        <v>1</v>
      </c>
    </row>
    <row r="3441" spans="1:15" x14ac:dyDescent="0.2">
      <c r="A3441" s="111">
        <v>3555</v>
      </c>
      <c r="B3441" s="421" t="s">
        <v>2133</v>
      </c>
      <c r="C3441" s="421" t="s">
        <v>544</v>
      </c>
      <c r="D3441" s="422" t="s">
        <v>666</v>
      </c>
      <c r="E3441" s="111">
        <v>15978</v>
      </c>
      <c r="F3441" s="421" t="s">
        <v>5925</v>
      </c>
    </row>
    <row r="3442" spans="1:15" x14ac:dyDescent="0.2">
      <c r="A3442" s="111">
        <v>3556</v>
      </c>
      <c r="B3442" s="421" t="s">
        <v>2247</v>
      </c>
      <c r="C3442" s="421" t="s">
        <v>544</v>
      </c>
      <c r="D3442" s="422" t="s">
        <v>663</v>
      </c>
      <c r="E3442" s="111">
        <v>15978</v>
      </c>
      <c r="F3442" s="421" t="s">
        <v>5925</v>
      </c>
      <c r="H3442" s="112">
        <v>1</v>
      </c>
    </row>
    <row r="3443" spans="1:15" x14ac:dyDescent="0.2">
      <c r="A3443" s="111">
        <v>3557</v>
      </c>
      <c r="B3443" s="421" t="s">
        <v>5926</v>
      </c>
      <c r="C3443" s="421" t="s">
        <v>2146</v>
      </c>
      <c r="D3443" s="422" t="s">
        <v>663</v>
      </c>
      <c r="F3443" s="421" t="s">
        <v>5927</v>
      </c>
    </row>
    <row r="3444" spans="1:15" x14ac:dyDescent="0.2">
      <c r="A3444" s="111">
        <v>3558</v>
      </c>
      <c r="B3444" s="421" t="s">
        <v>1214</v>
      </c>
      <c r="C3444" s="421" t="s">
        <v>526</v>
      </c>
      <c r="D3444" s="422" t="s">
        <v>666</v>
      </c>
      <c r="F3444" s="421" t="s">
        <v>5928</v>
      </c>
      <c r="H3444" s="112">
        <v>1</v>
      </c>
    </row>
    <row r="3445" spans="1:15" x14ac:dyDescent="0.2">
      <c r="A3445" s="111">
        <v>3559</v>
      </c>
      <c r="B3445" s="421" t="s">
        <v>5929</v>
      </c>
      <c r="C3445" s="421" t="s">
        <v>514</v>
      </c>
      <c r="D3445" s="422" t="s">
        <v>666</v>
      </c>
      <c r="E3445" s="111">
        <v>15979</v>
      </c>
      <c r="F3445" s="421" t="s">
        <v>5930</v>
      </c>
    </row>
    <row r="3446" spans="1:15" x14ac:dyDescent="0.2">
      <c r="A3446" s="111">
        <v>3560</v>
      </c>
      <c r="B3446" s="421" t="s">
        <v>5931</v>
      </c>
      <c r="C3446" s="421" t="s">
        <v>7695</v>
      </c>
      <c r="D3446" s="422" t="s">
        <v>663</v>
      </c>
      <c r="E3446" s="111">
        <v>15980</v>
      </c>
      <c r="F3446" s="421" t="s">
        <v>5932</v>
      </c>
      <c r="G3446" s="112">
        <v>1</v>
      </c>
      <c r="H3446" s="112">
        <v>1</v>
      </c>
      <c r="I3446" s="112">
        <v>1</v>
      </c>
      <c r="J3446" s="112">
        <v>2</v>
      </c>
      <c r="K3446" s="112">
        <v>1</v>
      </c>
      <c r="L3446" s="112">
        <v>1</v>
      </c>
      <c r="M3446" s="112">
        <v>1</v>
      </c>
    </row>
    <row r="3447" spans="1:15" x14ac:dyDescent="0.2">
      <c r="A3447" s="111">
        <v>3561</v>
      </c>
      <c r="B3447" s="421" t="s">
        <v>5933</v>
      </c>
      <c r="C3447" s="421" t="s">
        <v>550</v>
      </c>
      <c r="D3447" s="422" t="s">
        <v>666</v>
      </c>
      <c r="E3447" s="111">
        <v>15981</v>
      </c>
      <c r="F3447" s="421" t="s">
        <v>2706</v>
      </c>
      <c r="G3447" s="112">
        <v>1</v>
      </c>
      <c r="H3447" s="112">
        <v>1</v>
      </c>
      <c r="I3447" s="112">
        <v>1</v>
      </c>
      <c r="J3447" s="112">
        <v>9</v>
      </c>
      <c r="K3447" s="112">
        <v>7</v>
      </c>
      <c r="L3447" s="112">
        <v>9</v>
      </c>
      <c r="M3447" s="112">
        <v>5</v>
      </c>
      <c r="N3447" s="112">
        <v>4</v>
      </c>
      <c r="O3447" s="112">
        <v>3</v>
      </c>
    </row>
    <row r="3448" spans="1:15" x14ac:dyDescent="0.2">
      <c r="A3448" s="111">
        <v>3562</v>
      </c>
      <c r="B3448" s="421" t="s">
        <v>6008</v>
      </c>
      <c r="C3448" s="421" t="s">
        <v>510</v>
      </c>
      <c r="D3448" s="422" t="s">
        <v>663</v>
      </c>
      <c r="E3448" s="111">
        <v>15304</v>
      </c>
      <c r="F3448" s="421" t="s">
        <v>712</v>
      </c>
    </row>
    <row r="3449" spans="1:15" x14ac:dyDescent="0.2">
      <c r="A3449" s="111">
        <v>3563</v>
      </c>
      <c r="B3449" s="421" t="s">
        <v>2967</v>
      </c>
      <c r="C3449" s="421" t="s">
        <v>581</v>
      </c>
      <c r="D3449" s="422" t="s">
        <v>663</v>
      </c>
      <c r="F3449" s="421" t="s">
        <v>6009</v>
      </c>
    </row>
    <row r="3450" spans="1:15" x14ac:dyDescent="0.2">
      <c r="A3450" s="111">
        <v>3564</v>
      </c>
      <c r="B3450" s="421" t="s">
        <v>2127</v>
      </c>
      <c r="C3450" s="421" t="s">
        <v>506</v>
      </c>
      <c r="D3450" s="422" t="s">
        <v>666</v>
      </c>
      <c r="F3450" s="421" t="s">
        <v>6010</v>
      </c>
    </row>
    <row r="3451" spans="1:15" x14ac:dyDescent="0.2">
      <c r="A3451" s="111">
        <v>3565</v>
      </c>
      <c r="B3451" s="421" t="s">
        <v>6011</v>
      </c>
      <c r="C3451" s="421" t="s">
        <v>532</v>
      </c>
      <c r="D3451" s="422" t="s">
        <v>666</v>
      </c>
      <c r="E3451" s="111">
        <v>15982</v>
      </c>
      <c r="F3451" s="421" t="s">
        <v>6012</v>
      </c>
    </row>
    <row r="3452" spans="1:15" x14ac:dyDescent="0.2">
      <c r="A3452" s="111">
        <v>3566</v>
      </c>
      <c r="B3452" s="421" t="s">
        <v>209</v>
      </c>
      <c r="C3452" s="421" t="s">
        <v>533</v>
      </c>
      <c r="D3452" s="422" t="s">
        <v>666</v>
      </c>
      <c r="E3452" s="111">
        <v>15983</v>
      </c>
      <c r="F3452" s="421" t="s">
        <v>6013</v>
      </c>
      <c r="G3452" s="112">
        <v>1</v>
      </c>
      <c r="H3452" s="112">
        <v>1</v>
      </c>
      <c r="I3452" s="112">
        <v>1</v>
      </c>
      <c r="J3452" s="112">
        <v>1</v>
      </c>
      <c r="K3452" s="112">
        <v>2</v>
      </c>
      <c r="L3452" s="112">
        <v>3</v>
      </c>
    </row>
    <row r="3453" spans="1:15" x14ac:dyDescent="0.2">
      <c r="A3453" s="111">
        <v>3567</v>
      </c>
      <c r="B3453" s="421" t="s">
        <v>171</v>
      </c>
      <c r="C3453" s="421" t="s">
        <v>510</v>
      </c>
      <c r="D3453" s="422" t="s">
        <v>666</v>
      </c>
      <c r="E3453" s="111">
        <v>16066</v>
      </c>
      <c r="F3453" s="421" t="s">
        <v>6014</v>
      </c>
      <c r="G3453" s="112">
        <v>1</v>
      </c>
      <c r="H3453" s="112">
        <v>1</v>
      </c>
      <c r="I3453" s="112">
        <v>1</v>
      </c>
      <c r="J3453" s="112">
        <v>2</v>
      </c>
      <c r="K3453" s="112">
        <v>1</v>
      </c>
      <c r="L3453" s="112">
        <v>1</v>
      </c>
      <c r="M3453" s="112">
        <v>2</v>
      </c>
      <c r="N3453" s="112">
        <v>2</v>
      </c>
    </row>
    <row r="3454" spans="1:15" x14ac:dyDescent="0.2">
      <c r="A3454" s="111">
        <v>3568</v>
      </c>
      <c r="B3454" s="421" t="s">
        <v>2573</v>
      </c>
      <c r="C3454" s="421" t="s">
        <v>528</v>
      </c>
      <c r="D3454" s="422" t="s">
        <v>663</v>
      </c>
      <c r="F3454" s="421" t="s">
        <v>6007</v>
      </c>
    </row>
    <row r="3455" spans="1:15" x14ac:dyDescent="0.2">
      <c r="A3455" s="111">
        <v>3569</v>
      </c>
      <c r="B3455" s="421" t="s">
        <v>2644</v>
      </c>
      <c r="C3455" s="421" t="s">
        <v>551</v>
      </c>
      <c r="D3455" s="422" t="s">
        <v>663</v>
      </c>
      <c r="F3455" s="421" t="s">
        <v>6015</v>
      </c>
    </row>
    <row r="3456" spans="1:15" x14ac:dyDescent="0.2">
      <c r="A3456" s="111">
        <v>3570</v>
      </c>
      <c r="B3456" s="421" t="s">
        <v>6016</v>
      </c>
      <c r="C3456" s="421" t="s">
        <v>551</v>
      </c>
      <c r="D3456" s="422" t="s">
        <v>663</v>
      </c>
      <c r="F3456" s="421" t="s">
        <v>6017</v>
      </c>
      <c r="G3456" s="112">
        <v>2</v>
      </c>
      <c r="I3456" s="112">
        <v>1</v>
      </c>
    </row>
    <row r="3457" spans="1:15" x14ac:dyDescent="0.2">
      <c r="A3457" s="111">
        <v>3571</v>
      </c>
      <c r="B3457" s="421" t="s">
        <v>48</v>
      </c>
      <c r="C3457" s="421" t="s">
        <v>501</v>
      </c>
      <c r="D3457" s="422" t="s">
        <v>663</v>
      </c>
      <c r="F3457" s="421" t="s">
        <v>6018</v>
      </c>
    </row>
    <row r="3458" spans="1:15" x14ac:dyDescent="0.2">
      <c r="A3458" s="111">
        <v>3572</v>
      </c>
      <c r="B3458" s="421" t="s">
        <v>6019</v>
      </c>
      <c r="C3458" s="421" t="s">
        <v>503</v>
      </c>
      <c r="D3458" s="422" t="s">
        <v>663</v>
      </c>
      <c r="E3458" s="111">
        <v>15935</v>
      </c>
      <c r="F3458" s="421" t="s">
        <v>6020</v>
      </c>
      <c r="G3458" s="112">
        <v>1</v>
      </c>
      <c r="H3458" s="112">
        <v>1</v>
      </c>
      <c r="I3458" s="112">
        <v>1</v>
      </c>
      <c r="J3458" s="112">
        <v>15</v>
      </c>
      <c r="K3458" s="112">
        <v>17</v>
      </c>
      <c r="L3458" s="112">
        <v>11</v>
      </c>
      <c r="M3458" s="112">
        <v>8</v>
      </c>
      <c r="N3458" s="112">
        <v>8</v>
      </c>
      <c r="O3458" s="112">
        <v>4</v>
      </c>
    </row>
    <row r="3459" spans="1:15" x14ac:dyDescent="0.2">
      <c r="A3459" s="111">
        <v>3573</v>
      </c>
      <c r="B3459" s="421" t="s">
        <v>1423</v>
      </c>
      <c r="C3459" s="421" t="s">
        <v>518</v>
      </c>
      <c r="D3459" s="422" t="s">
        <v>663</v>
      </c>
      <c r="E3459" s="111">
        <v>15985</v>
      </c>
      <c r="F3459" s="421" t="s">
        <v>6021</v>
      </c>
      <c r="G3459" s="112">
        <v>1</v>
      </c>
      <c r="H3459" s="112">
        <v>1</v>
      </c>
      <c r="I3459" s="112">
        <v>1</v>
      </c>
      <c r="J3459" s="112">
        <v>1</v>
      </c>
    </row>
    <row r="3460" spans="1:15" x14ac:dyDescent="0.2">
      <c r="A3460" s="111">
        <v>3574</v>
      </c>
      <c r="B3460" s="421" t="s">
        <v>6022</v>
      </c>
      <c r="C3460" s="421" t="s">
        <v>1625</v>
      </c>
      <c r="D3460" s="422" t="s">
        <v>666</v>
      </c>
      <c r="F3460" s="421" t="s">
        <v>6023</v>
      </c>
    </row>
    <row r="3461" spans="1:15" x14ac:dyDescent="0.2">
      <c r="A3461" s="111">
        <v>3575</v>
      </c>
      <c r="B3461" s="421" t="s">
        <v>6024</v>
      </c>
      <c r="C3461" s="421" t="s">
        <v>544</v>
      </c>
      <c r="D3461" s="422" t="s">
        <v>666</v>
      </c>
      <c r="E3461" s="111">
        <v>15986</v>
      </c>
      <c r="F3461" s="421" t="s">
        <v>6025</v>
      </c>
      <c r="G3461" s="112">
        <v>1</v>
      </c>
      <c r="H3461" s="112">
        <v>1</v>
      </c>
      <c r="I3461" s="112">
        <v>1</v>
      </c>
      <c r="J3461" s="112">
        <v>1</v>
      </c>
    </row>
    <row r="3462" spans="1:15" x14ac:dyDescent="0.2">
      <c r="A3462" s="111">
        <v>3576</v>
      </c>
      <c r="B3462" s="421" t="s">
        <v>6026</v>
      </c>
      <c r="C3462" s="421" t="s">
        <v>1908</v>
      </c>
      <c r="D3462" s="422" t="s">
        <v>666</v>
      </c>
      <c r="E3462" s="111">
        <v>15987</v>
      </c>
      <c r="F3462" s="421" t="s">
        <v>6027</v>
      </c>
    </row>
    <row r="3463" spans="1:15" x14ac:dyDescent="0.2">
      <c r="A3463" s="111">
        <v>3577</v>
      </c>
      <c r="B3463" s="421" t="s">
        <v>80</v>
      </c>
      <c r="C3463" s="421" t="s">
        <v>512</v>
      </c>
      <c r="D3463" s="422" t="s">
        <v>663</v>
      </c>
      <c r="E3463" s="111">
        <v>14894</v>
      </c>
      <c r="F3463" s="421" t="s">
        <v>2636</v>
      </c>
      <c r="G3463" s="112">
        <v>1</v>
      </c>
      <c r="H3463" s="112">
        <v>1</v>
      </c>
      <c r="I3463" s="112">
        <v>1</v>
      </c>
      <c r="J3463" s="112">
        <v>6</v>
      </c>
      <c r="K3463" s="112">
        <v>7</v>
      </c>
      <c r="L3463" s="112">
        <v>8</v>
      </c>
      <c r="M3463" s="112">
        <v>7</v>
      </c>
      <c r="N3463" s="112">
        <v>4</v>
      </c>
      <c r="O3463" s="112">
        <v>5</v>
      </c>
    </row>
    <row r="3464" spans="1:15" x14ac:dyDescent="0.2">
      <c r="A3464" s="111">
        <v>3578</v>
      </c>
      <c r="B3464" s="421" t="s">
        <v>6028</v>
      </c>
      <c r="C3464" s="421" t="s">
        <v>506</v>
      </c>
      <c r="D3464" s="422" t="s">
        <v>663</v>
      </c>
      <c r="E3464" s="111">
        <v>15988</v>
      </c>
      <c r="F3464" s="421" t="s">
        <v>6029</v>
      </c>
    </row>
    <row r="3465" spans="1:15" x14ac:dyDescent="0.2">
      <c r="A3465" s="111">
        <v>3579</v>
      </c>
      <c r="B3465" s="421" t="s">
        <v>455</v>
      </c>
      <c r="C3465" s="421" t="s">
        <v>503</v>
      </c>
      <c r="D3465" s="422" t="s">
        <v>663</v>
      </c>
      <c r="E3465" s="111">
        <v>16941</v>
      </c>
      <c r="F3465" s="421" t="s">
        <v>6030</v>
      </c>
      <c r="G3465" s="112">
        <v>1</v>
      </c>
      <c r="H3465" s="112">
        <v>1</v>
      </c>
      <c r="I3465" s="112">
        <v>1</v>
      </c>
    </row>
    <row r="3466" spans="1:15" x14ac:dyDescent="0.2">
      <c r="A3466" s="111">
        <v>3580</v>
      </c>
      <c r="B3466" s="421" t="s">
        <v>1903</v>
      </c>
      <c r="C3466" s="421" t="s">
        <v>1378</v>
      </c>
      <c r="D3466" s="422" t="s">
        <v>663</v>
      </c>
      <c r="E3466" s="111">
        <v>15989</v>
      </c>
      <c r="F3466" s="421" t="s">
        <v>6031</v>
      </c>
      <c r="G3466" s="112">
        <v>1</v>
      </c>
      <c r="H3466" s="112">
        <v>1</v>
      </c>
      <c r="I3466" s="112">
        <v>2</v>
      </c>
    </row>
    <row r="3467" spans="1:15" x14ac:dyDescent="0.2">
      <c r="A3467" s="111">
        <v>3581</v>
      </c>
      <c r="B3467" s="421" t="s">
        <v>6032</v>
      </c>
      <c r="C3467" s="421" t="s">
        <v>502</v>
      </c>
      <c r="D3467" s="422" t="s">
        <v>663</v>
      </c>
      <c r="E3467" s="111">
        <v>14307</v>
      </c>
      <c r="F3467" s="421" t="s">
        <v>1404</v>
      </c>
    </row>
    <row r="3468" spans="1:15" x14ac:dyDescent="0.2">
      <c r="A3468" s="111">
        <v>3582</v>
      </c>
      <c r="B3468" s="421" t="s">
        <v>1933</v>
      </c>
      <c r="C3468" s="421" t="s">
        <v>2274</v>
      </c>
      <c r="D3468" s="422" t="s">
        <v>663</v>
      </c>
      <c r="F3468" s="421" t="s">
        <v>6033</v>
      </c>
    </row>
    <row r="3469" spans="1:15" x14ac:dyDescent="0.2">
      <c r="A3469" s="111">
        <v>3584</v>
      </c>
      <c r="B3469" s="421" t="s">
        <v>384</v>
      </c>
      <c r="C3469" s="421" t="s">
        <v>5195</v>
      </c>
      <c r="D3469" s="422" t="s">
        <v>666</v>
      </c>
      <c r="E3469" s="111">
        <v>15726</v>
      </c>
      <c r="F3469" s="421" t="s">
        <v>5196</v>
      </c>
      <c r="G3469" s="112">
        <v>1</v>
      </c>
      <c r="I3469" s="112">
        <v>1</v>
      </c>
      <c r="J3469" s="112">
        <v>2</v>
      </c>
      <c r="L3469" s="112">
        <v>1</v>
      </c>
    </row>
    <row r="3470" spans="1:15" x14ac:dyDescent="0.2">
      <c r="A3470" s="111">
        <v>3585</v>
      </c>
      <c r="B3470" s="421" t="s">
        <v>6034</v>
      </c>
      <c r="C3470" s="421" t="s">
        <v>1201</v>
      </c>
      <c r="D3470" s="422" t="s">
        <v>666</v>
      </c>
      <c r="F3470" s="421" t="s">
        <v>6035</v>
      </c>
      <c r="H3470" s="112">
        <v>1</v>
      </c>
      <c r="I3470" s="112">
        <v>1</v>
      </c>
    </row>
    <row r="3471" spans="1:15" x14ac:dyDescent="0.2">
      <c r="A3471" s="111">
        <v>3586</v>
      </c>
      <c r="B3471" s="421" t="s">
        <v>4637</v>
      </c>
      <c r="C3471" s="421" t="s">
        <v>572</v>
      </c>
      <c r="D3471" s="422" t="s">
        <v>663</v>
      </c>
      <c r="E3471" s="111">
        <v>16109</v>
      </c>
      <c r="F3471" s="421" t="s">
        <v>6036</v>
      </c>
      <c r="G3471" s="112">
        <v>1</v>
      </c>
      <c r="H3471" s="112">
        <v>1</v>
      </c>
      <c r="I3471" s="112">
        <v>1</v>
      </c>
      <c r="J3471" s="112">
        <v>4</v>
      </c>
      <c r="K3471" s="112">
        <v>2</v>
      </c>
    </row>
    <row r="3472" spans="1:15" x14ac:dyDescent="0.2">
      <c r="A3472" s="111">
        <v>3587</v>
      </c>
      <c r="B3472" s="421" t="s">
        <v>6037</v>
      </c>
      <c r="C3472" s="421" t="s">
        <v>557</v>
      </c>
      <c r="D3472" s="422" t="s">
        <v>663</v>
      </c>
      <c r="E3472" s="111">
        <v>15797</v>
      </c>
      <c r="F3472" s="421" t="s">
        <v>5443</v>
      </c>
      <c r="G3472" s="112">
        <v>1</v>
      </c>
      <c r="H3472" s="112">
        <v>1</v>
      </c>
      <c r="I3472" s="112">
        <v>1</v>
      </c>
      <c r="J3472" s="112">
        <v>1</v>
      </c>
      <c r="K3472" s="112">
        <v>2</v>
      </c>
      <c r="L3472" s="112">
        <v>2</v>
      </c>
    </row>
    <row r="3473" spans="1:15" x14ac:dyDescent="0.2">
      <c r="A3473" s="111">
        <v>3588</v>
      </c>
      <c r="B3473" s="421" t="s">
        <v>6038</v>
      </c>
      <c r="C3473" s="421" t="s">
        <v>503</v>
      </c>
      <c r="D3473" s="422" t="s">
        <v>663</v>
      </c>
      <c r="F3473" s="421" t="s">
        <v>6039</v>
      </c>
    </row>
    <row r="3474" spans="1:15" x14ac:dyDescent="0.2">
      <c r="A3474" s="111">
        <v>3589</v>
      </c>
      <c r="B3474" s="421" t="s">
        <v>643</v>
      </c>
      <c r="C3474" s="421" t="s">
        <v>2412</v>
      </c>
      <c r="D3474" s="422" t="s">
        <v>663</v>
      </c>
      <c r="E3474" s="111">
        <v>15729</v>
      </c>
      <c r="F3474" s="421" t="s">
        <v>5222</v>
      </c>
      <c r="G3474" s="112">
        <v>1</v>
      </c>
      <c r="H3474" s="112">
        <v>3</v>
      </c>
      <c r="I3474" s="112">
        <v>1</v>
      </c>
    </row>
    <row r="3475" spans="1:15" x14ac:dyDescent="0.2">
      <c r="A3475" s="111">
        <v>3590</v>
      </c>
      <c r="B3475" s="421" t="s">
        <v>234</v>
      </c>
      <c r="C3475" s="421" t="s">
        <v>501</v>
      </c>
      <c r="D3475" s="422" t="s">
        <v>663</v>
      </c>
      <c r="E3475" s="111">
        <v>16137</v>
      </c>
      <c r="F3475" s="421" t="s">
        <v>6040</v>
      </c>
    </row>
    <row r="3476" spans="1:15" x14ac:dyDescent="0.2">
      <c r="A3476" s="111">
        <v>3591</v>
      </c>
      <c r="B3476" s="421" t="s">
        <v>1543</v>
      </c>
      <c r="C3476" s="421" t="s">
        <v>501</v>
      </c>
      <c r="D3476" s="422" t="s">
        <v>663</v>
      </c>
      <c r="E3476" s="111">
        <v>15990</v>
      </c>
      <c r="F3476" s="421" t="s">
        <v>6041</v>
      </c>
    </row>
    <row r="3477" spans="1:15" x14ac:dyDescent="0.2">
      <c r="A3477" s="111">
        <v>3592</v>
      </c>
      <c r="B3477" s="421" t="s">
        <v>6042</v>
      </c>
      <c r="C3477" s="421" t="s">
        <v>587</v>
      </c>
      <c r="D3477" s="422" t="s">
        <v>666</v>
      </c>
      <c r="E3477" s="111">
        <v>15991</v>
      </c>
      <c r="F3477" s="421" t="s">
        <v>2907</v>
      </c>
      <c r="G3477" s="112">
        <v>1</v>
      </c>
    </row>
    <row r="3478" spans="1:15" x14ac:dyDescent="0.2">
      <c r="A3478" s="111">
        <v>3593</v>
      </c>
      <c r="B3478" s="421" t="s">
        <v>6043</v>
      </c>
      <c r="C3478" s="421" t="s">
        <v>518</v>
      </c>
      <c r="D3478" s="422" t="s">
        <v>666</v>
      </c>
      <c r="E3478" s="111">
        <v>15864</v>
      </c>
      <c r="F3478" s="421" t="s">
        <v>5572</v>
      </c>
      <c r="G3478" s="112">
        <v>2</v>
      </c>
      <c r="H3478" s="112">
        <v>2</v>
      </c>
      <c r="I3478" s="112">
        <v>1</v>
      </c>
      <c r="J3478" s="112">
        <v>2</v>
      </c>
      <c r="K3478" s="112">
        <v>5</v>
      </c>
      <c r="L3478" s="112">
        <v>3</v>
      </c>
    </row>
    <row r="3479" spans="1:15" x14ac:dyDescent="0.2">
      <c r="A3479" s="111">
        <v>3594</v>
      </c>
      <c r="B3479" s="421" t="s">
        <v>4341</v>
      </c>
      <c r="C3479" s="421" t="s">
        <v>506</v>
      </c>
      <c r="D3479" s="422" t="s">
        <v>666</v>
      </c>
      <c r="E3479" s="111">
        <v>1425</v>
      </c>
      <c r="F3479" s="421" t="s">
        <v>774</v>
      </c>
    </row>
    <row r="3480" spans="1:15" x14ac:dyDescent="0.2">
      <c r="A3480" s="111">
        <v>3595</v>
      </c>
      <c r="B3480" s="421" t="s">
        <v>1940</v>
      </c>
      <c r="C3480" s="421" t="s">
        <v>506</v>
      </c>
      <c r="D3480" s="422" t="s">
        <v>666</v>
      </c>
      <c r="E3480" s="111">
        <v>1425</v>
      </c>
      <c r="F3480" s="421" t="s">
        <v>774</v>
      </c>
    </row>
    <row r="3481" spans="1:15" x14ac:dyDescent="0.2">
      <c r="A3481" s="111">
        <v>3596</v>
      </c>
      <c r="B3481" s="421" t="s">
        <v>6044</v>
      </c>
      <c r="C3481" s="421" t="s">
        <v>506</v>
      </c>
      <c r="D3481" s="422" t="s">
        <v>666</v>
      </c>
      <c r="E3481" s="111">
        <v>1425</v>
      </c>
      <c r="F3481" s="421" t="s">
        <v>774</v>
      </c>
    </row>
    <row r="3482" spans="1:15" x14ac:dyDescent="0.2">
      <c r="A3482" s="111">
        <v>3597</v>
      </c>
      <c r="B3482" s="421" t="s">
        <v>4023</v>
      </c>
      <c r="C3482" s="421" t="s">
        <v>547</v>
      </c>
      <c r="D3482" s="422" t="s">
        <v>663</v>
      </c>
      <c r="E3482" s="111">
        <v>16090</v>
      </c>
      <c r="F3482" s="421" t="s">
        <v>6045</v>
      </c>
      <c r="G3482" s="112">
        <v>1</v>
      </c>
      <c r="H3482" s="112">
        <v>1</v>
      </c>
      <c r="I3482" s="112">
        <v>1</v>
      </c>
      <c r="J3482" s="112">
        <v>7</v>
      </c>
      <c r="K3482" s="112">
        <v>7</v>
      </c>
      <c r="L3482" s="112">
        <v>7</v>
      </c>
      <c r="M3482" s="112">
        <v>4</v>
      </c>
      <c r="N3482" s="112">
        <v>3</v>
      </c>
      <c r="O3482" s="112">
        <v>3</v>
      </c>
    </row>
    <row r="3483" spans="1:15" x14ac:dyDescent="0.2">
      <c r="A3483" s="111">
        <v>3598</v>
      </c>
      <c r="B3483" s="421" t="s">
        <v>6046</v>
      </c>
      <c r="C3483" s="421" t="s">
        <v>3383</v>
      </c>
      <c r="D3483" s="422" t="s">
        <v>663</v>
      </c>
      <c r="E3483" s="111">
        <v>15992</v>
      </c>
      <c r="F3483" s="421" t="s">
        <v>6047</v>
      </c>
      <c r="G3483" s="112">
        <v>1</v>
      </c>
      <c r="H3483" s="112">
        <v>1</v>
      </c>
      <c r="I3483" s="112">
        <v>1</v>
      </c>
      <c r="J3483" s="112">
        <v>4</v>
      </c>
      <c r="K3483" s="112">
        <v>5</v>
      </c>
      <c r="L3483" s="112">
        <v>4</v>
      </c>
      <c r="M3483" s="112">
        <v>8</v>
      </c>
      <c r="N3483" s="112">
        <v>6</v>
      </c>
      <c r="O3483" s="112">
        <v>7</v>
      </c>
    </row>
    <row r="3484" spans="1:15" x14ac:dyDescent="0.2">
      <c r="A3484" s="111">
        <v>3599</v>
      </c>
      <c r="B3484" s="421" t="s">
        <v>1232</v>
      </c>
      <c r="C3484" s="421" t="s">
        <v>551</v>
      </c>
      <c r="D3484" s="422" t="s">
        <v>663</v>
      </c>
      <c r="F3484" s="421" t="s">
        <v>6048</v>
      </c>
    </row>
    <row r="3485" spans="1:15" x14ac:dyDescent="0.2">
      <c r="A3485" s="111">
        <v>3600</v>
      </c>
      <c r="B3485" s="421" t="s">
        <v>6049</v>
      </c>
      <c r="C3485" s="421" t="s">
        <v>530</v>
      </c>
      <c r="D3485" s="422" t="s">
        <v>666</v>
      </c>
      <c r="F3485" s="421" t="s">
        <v>6050</v>
      </c>
    </row>
    <row r="3486" spans="1:15" x14ac:dyDescent="0.2">
      <c r="A3486" s="111">
        <v>3601</v>
      </c>
      <c r="B3486" s="421" t="s">
        <v>6051</v>
      </c>
      <c r="C3486" s="421" t="s">
        <v>503</v>
      </c>
      <c r="D3486" s="422" t="s">
        <v>663</v>
      </c>
      <c r="F3486" s="421" t="s">
        <v>6052</v>
      </c>
    </row>
    <row r="3487" spans="1:15" x14ac:dyDescent="0.2">
      <c r="A3487" s="111">
        <v>3602</v>
      </c>
      <c r="B3487" s="421" t="s">
        <v>223</v>
      </c>
      <c r="C3487" s="421" t="s">
        <v>513</v>
      </c>
      <c r="D3487" s="422" t="s">
        <v>663</v>
      </c>
      <c r="F3487" s="421" t="s">
        <v>6053</v>
      </c>
      <c r="G3487" s="112">
        <v>1</v>
      </c>
      <c r="H3487" s="112">
        <v>1</v>
      </c>
      <c r="I3487" s="112">
        <v>1</v>
      </c>
    </row>
    <row r="3488" spans="1:15" x14ac:dyDescent="0.2">
      <c r="A3488" s="111">
        <v>3603</v>
      </c>
      <c r="B3488" s="421" t="s">
        <v>6054</v>
      </c>
      <c r="C3488" s="421" t="s">
        <v>522</v>
      </c>
      <c r="D3488" s="422" t="s">
        <v>663</v>
      </c>
      <c r="F3488" s="421" t="s">
        <v>6055</v>
      </c>
    </row>
    <row r="3489" spans="1:15" x14ac:dyDescent="0.2">
      <c r="A3489" s="111">
        <v>3604</v>
      </c>
      <c r="B3489" s="421" t="s">
        <v>6056</v>
      </c>
      <c r="C3489" s="421" t="s">
        <v>501</v>
      </c>
      <c r="D3489" s="422" t="s">
        <v>666</v>
      </c>
      <c r="F3489" s="421" t="s">
        <v>6057</v>
      </c>
    </row>
    <row r="3490" spans="1:15" x14ac:dyDescent="0.2">
      <c r="A3490" s="111">
        <v>3605</v>
      </c>
      <c r="B3490" s="421" t="s">
        <v>6058</v>
      </c>
      <c r="C3490" s="421" t="s">
        <v>501</v>
      </c>
      <c r="D3490" s="422" t="s">
        <v>666</v>
      </c>
      <c r="E3490" s="111">
        <v>15993</v>
      </c>
      <c r="F3490" s="421" t="s">
        <v>6059</v>
      </c>
      <c r="G3490" s="112">
        <v>1</v>
      </c>
      <c r="H3490" s="112">
        <v>1</v>
      </c>
      <c r="I3490" s="112">
        <v>1</v>
      </c>
      <c r="J3490" s="112">
        <v>2</v>
      </c>
      <c r="K3490" s="112">
        <v>1</v>
      </c>
      <c r="L3490" s="112">
        <v>1</v>
      </c>
      <c r="M3490" s="112">
        <v>3</v>
      </c>
      <c r="N3490" s="112">
        <v>1</v>
      </c>
      <c r="O3490" s="112">
        <v>1</v>
      </c>
    </row>
    <row r="3491" spans="1:15" x14ac:dyDescent="0.2">
      <c r="A3491" s="111">
        <v>3606</v>
      </c>
      <c r="B3491" s="421" t="s">
        <v>5326</v>
      </c>
      <c r="C3491" s="421" t="s">
        <v>516</v>
      </c>
      <c r="D3491" s="422" t="s">
        <v>663</v>
      </c>
      <c r="E3491" s="111">
        <v>15994</v>
      </c>
      <c r="F3491" s="421" t="s">
        <v>6060</v>
      </c>
    </row>
    <row r="3492" spans="1:15" x14ac:dyDescent="0.2">
      <c r="A3492" s="111">
        <v>3608</v>
      </c>
      <c r="B3492" s="421" t="s">
        <v>6061</v>
      </c>
      <c r="C3492" s="421" t="s">
        <v>526</v>
      </c>
      <c r="D3492" s="422" t="s">
        <v>666</v>
      </c>
      <c r="F3492" s="421" t="s">
        <v>6062</v>
      </c>
    </row>
    <row r="3493" spans="1:15" x14ac:dyDescent="0.2">
      <c r="A3493" s="111">
        <v>3609</v>
      </c>
      <c r="B3493" s="421" t="s">
        <v>6063</v>
      </c>
      <c r="C3493" s="421" t="s">
        <v>537</v>
      </c>
      <c r="D3493" s="422" t="s">
        <v>663</v>
      </c>
      <c r="E3493" s="111">
        <v>15158</v>
      </c>
      <c r="F3493" s="421" t="s">
        <v>3187</v>
      </c>
      <c r="G3493" s="112">
        <v>1</v>
      </c>
      <c r="H3493" s="112">
        <v>1</v>
      </c>
      <c r="I3493" s="112">
        <v>1</v>
      </c>
      <c r="J3493" s="112">
        <v>2</v>
      </c>
      <c r="K3493" s="112">
        <v>1</v>
      </c>
      <c r="L3493" s="112">
        <v>1</v>
      </c>
      <c r="M3493" s="112">
        <v>1</v>
      </c>
    </row>
    <row r="3494" spans="1:15" x14ac:dyDescent="0.2">
      <c r="A3494" s="111">
        <v>3610</v>
      </c>
      <c r="B3494" s="421" t="s">
        <v>131</v>
      </c>
      <c r="C3494" s="421" t="s">
        <v>2318</v>
      </c>
      <c r="D3494" s="422" t="s">
        <v>663</v>
      </c>
      <c r="E3494" s="111">
        <v>15995</v>
      </c>
      <c r="F3494" s="421" t="s">
        <v>6064</v>
      </c>
      <c r="H3494" s="112">
        <v>1</v>
      </c>
    </row>
    <row r="3495" spans="1:15" x14ac:dyDescent="0.2">
      <c r="A3495" s="111">
        <v>3611</v>
      </c>
      <c r="B3495" s="421" t="s">
        <v>6065</v>
      </c>
      <c r="C3495" s="421" t="s">
        <v>588</v>
      </c>
      <c r="D3495" s="422" t="s">
        <v>666</v>
      </c>
      <c r="F3495" s="421" t="s">
        <v>6066</v>
      </c>
    </row>
    <row r="3496" spans="1:15" x14ac:dyDescent="0.2">
      <c r="A3496" s="111">
        <v>3612</v>
      </c>
      <c r="B3496" s="421" t="s">
        <v>253</v>
      </c>
      <c r="C3496" s="421" t="s">
        <v>534</v>
      </c>
      <c r="D3496" s="422" t="s">
        <v>666</v>
      </c>
      <c r="E3496" s="111">
        <v>15996</v>
      </c>
      <c r="F3496" s="421" t="s">
        <v>6067</v>
      </c>
      <c r="G3496" s="112">
        <v>1</v>
      </c>
      <c r="H3496" s="112">
        <v>1</v>
      </c>
      <c r="I3496" s="112">
        <v>1</v>
      </c>
      <c r="J3496" s="112">
        <v>12</v>
      </c>
      <c r="K3496" s="112">
        <v>11</v>
      </c>
      <c r="L3496" s="112">
        <v>10</v>
      </c>
      <c r="M3496" s="112">
        <v>14</v>
      </c>
      <c r="N3496" s="112">
        <v>11</v>
      </c>
      <c r="O3496" s="112">
        <v>11</v>
      </c>
    </row>
    <row r="3497" spans="1:15" x14ac:dyDescent="0.2">
      <c r="A3497" s="111">
        <v>3613</v>
      </c>
      <c r="B3497" s="421" t="s">
        <v>1903</v>
      </c>
      <c r="C3497" s="421" t="s">
        <v>503</v>
      </c>
      <c r="D3497" s="422" t="s">
        <v>663</v>
      </c>
      <c r="E3497" s="111">
        <v>16390</v>
      </c>
      <c r="F3497" s="421" t="s">
        <v>6068</v>
      </c>
      <c r="G3497" s="112">
        <v>2</v>
      </c>
      <c r="H3497" s="112">
        <v>1</v>
      </c>
      <c r="I3497" s="112">
        <v>1</v>
      </c>
      <c r="J3497" s="112">
        <v>7</v>
      </c>
      <c r="K3497" s="112">
        <v>7</v>
      </c>
      <c r="L3497" s="112">
        <v>7</v>
      </c>
      <c r="M3497" s="112">
        <v>6</v>
      </c>
      <c r="N3497" s="112">
        <v>4</v>
      </c>
      <c r="O3497" s="112">
        <v>4</v>
      </c>
    </row>
    <row r="3498" spans="1:15" x14ac:dyDescent="0.2">
      <c r="A3498" s="111">
        <v>3614</v>
      </c>
      <c r="B3498" s="421" t="s">
        <v>6069</v>
      </c>
      <c r="C3498" s="421" t="s">
        <v>533</v>
      </c>
      <c r="D3498" s="422" t="s">
        <v>666</v>
      </c>
      <c r="E3498" s="111">
        <v>15997</v>
      </c>
      <c r="F3498" s="421" t="s">
        <v>6070</v>
      </c>
      <c r="G3498" s="112">
        <v>1</v>
      </c>
      <c r="H3498" s="112">
        <v>1</v>
      </c>
      <c r="I3498" s="112">
        <v>1</v>
      </c>
      <c r="K3498" s="112">
        <v>3</v>
      </c>
      <c r="L3498" s="112">
        <v>3</v>
      </c>
    </row>
    <row r="3499" spans="1:15" x14ac:dyDescent="0.2">
      <c r="A3499" s="111">
        <v>3615</v>
      </c>
      <c r="B3499" s="421" t="s">
        <v>6071</v>
      </c>
      <c r="C3499" s="421" t="s">
        <v>518</v>
      </c>
      <c r="D3499" s="422" t="s">
        <v>663</v>
      </c>
      <c r="E3499" s="111">
        <v>16117</v>
      </c>
      <c r="F3499" s="421" t="s">
        <v>6072</v>
      </c>
      <c r="G3499" s="112">
        <v>1</v>
      </c>
      <c r="H3499" s="112">
        <v>1</v>
      </c>
      <c r="I3499" s="112">
        <v>1</v>
      </c>
      <c r="L3499" s="112">
        <v>1</v>
      </c>
    </row>
    <row r="3500" spans="1:15" x14ac:dyDescent="0.2">
      <c r="A3500" s="111">
        <v>3616</v>
      </c>
      <c r="B3500" s="421" t="s">
        <v>1200</v>
      </c>
      <c r="C3500" s="421" t="s">
        <v>17458</v>
      </c>
      <c r="D3500" s="422" t="s">
        <v>663</v>
      </c>
      <c r="E3500" s="111">
        <v>15998</v>
      </c>
      <c r="F3500" s="421" t="s">
        <v>2435</v>
      </c>
      <c r="G3500" s="112">
        <v>1</v>
      </c>
      <c r="H3500" s="112">
        <v>2</v>
      </c>
      <c r="I3500" s="112">
        <v>1</v>
      </c>
      <c r="J3500" s="112">
        <v>1</v>
      </c>
      <c r="K3500" s="112">
        <v>2</v>
      </c>
      <c r="L3500" s="112">
        <v>1</v>
      </c>
    </row>
    <row r="3501" spans="1:15" x14ac:dyDescent="0.2">
      <c r="A3501" s="111">
        <v>3617</v>
      </c>
      <c r="B3501" s="421" t="s">
        <v>6073</v>
      </c>
      <c r="C3501" s="421" t="s">
        <v>510</v>
      </c>
      <c r="D3501" s="422" t="s">
        <v>663</v>
      </c>
      <c r="F3501" s="421" t="s">
        <v>6074</v>
      </c>
    </row>
    <row r="3502" spans="1:15" x14ac:dyDescent="0.2">
      <c r="A3502" s="111">
        <v>3618</v>
      </c>
      <c r="B3502" s="421" t="s">
        <v>6075</v>
      </c>
      <c r="C3502" s="421" t="s">
        <v>501</v>
      </c>
      <c r="D3502" s="422" t="s">
        <v>666</v>
      </c>
      <c r="E3502" s="111">
        <v>16606</v>
      </c>
      <c r="F3502" s="421" t="s">
        <v>6076</v>
      </c>
      <c r="G3502" s="112">
        <v>1</v>
      </c>
      <c r="H3502" s="112">
        <v>1</v>
      </c>
    </row>
    <row r="3503" spans="1:15" x14ac:dyDescent="0.2">
      <c r="A3503" s="111">
        <v>3619</v>
      </c>
      <c r="B3503" s="421" t="s">
        <v>101</v>
      </c>
      <c r="C3503" s="421" t="s">
        <v>506</v>
      </c>
      <c r="D3503" s="422" t="s">
        <v>663</v>
      </c>
      <c r="E3503" s="111">
        <v>16606</v>
      </c>
      <c r="F3503" s="421" t="s">
        <v>6076</v>
      </c>
      <c r="G3503" s="112">
        <v>1</v>
      </c>
      <c r="H3503" s="112">
        <v>1</v>
      </c>
      <c r="I3503" s="112">
        <v>1</v>
      </c>
      <c r="J3503" s="112">
        <v>1</v>
      </c>
      <c r="K3503" s="112">
        <v>2</v>
      </c>
      <c r="L3503" s="112">
        <v>1</v>
      </c>
    </row>
    <row r="3504" spans="1:15" x14ac:dyDescent="0.2">
      <c r="A3504" s="111">
        <v>3620</v>
      </c>
      <c r="B3504" s="421" t="s">
        <v>6077</v>
      </c>
      <c r="C3504" s="421" t="s">
        <v>518</v>
      </c>
      <c r="D3504" s="422" t="s">
        <v>663</v>
      </c>
      <c r="E3504" s="111">
        <v>16000</v>
      </c>
      <c r="F3504" s="421" t="s">
        <v>6078</v>
      </c>
      <c r="G3504" s="112">
        <v>1</v>
      </c>
      <c r="H3504" s="112">
        <v>1</v>
      </c>
    </row>
    <row r="3505" spans="1:15" x14ac:dyDescent="0.2">
      <c r="A3505" s="111">
        <v>3621</v>
      </c>
      <c r="B3505" s="421" t="s">
        <v>6079</v>
      </c>
      <c r="C3505" s="421" t="s">
        <v>506</v>
      </c>
      <c r="D3505" s="422" t="s">
        <v>663</v>
      </c>
      <c r="E3505" s="111">
        <v>16001</v>
      </c>
      <c r="F3505" s="421" t="s">
        <v>6080</v>
      </c>
      <c r="H3505" s="112">
        <v>1</v>
      </c>
    </row>
    <row r="3506" spans="1:15" x14ac:dyDescent="0.2">
      <c r="A3506" s="111">
        <v>3622</v>
      </c>
      <c r="B3506" s="421" t="s">
        <v>2133</v>
      </c>
      <c r="C3506" s="421" t="s">
        <v>1447</v>
      </c>
      <c r="D3506" s="422" t="s">
        <v>666</v>
      </c>
      <c r="E3506" s="111">
        <v>16001</v>
      </c>
      <c r="F3506" s="421" t="s">
        <v>6080</v>
      </c>
    </row>
    <row r="3507" spans="1:15" x14ac:dyDescent="0.2">
      <c r="A3507" s="111">
        <v>3623</v>
      </c>
      <c r="B3507" s="421" t="s">
        <v>1228</v>
      </c>
      <c r="C3507" s="421" t="s">
        <v>506</v>
      </c>
      <c r="D3507" s="422" t="s">
        <v>666</v>
      </c>
      <c r="F3507" s="421" t="s">
        <v>6081</v>
      </c>
    </row>
    <row r="3508" spans="1:15" x14ac:dyDescent="0.2">
      <c r="A3508" s="111">
        <v>3624</v>
      </c>
      <c r="B3508" s="421" t="s">
        <v>6082</v>
      </c>
      <c r="C3508" s="421" t="s">
        <v>506</v>
      </c>
      <c r="D3508" s="422" t="s">
        <v>663</v>
      </c>
      <c r="E3508" s="111">
        <v>16002</v>
      </c>
      <c r="F3508" s="421" t="s">
        <v>6083</v>
      </c>
      <c r="G3508" s="112">
        <v>1</v>
      </c>
      <c r="H3508" s="112">
        <v>1</v>
      </c>
      <c r="I3508" s="112">
        <v>1</v>
      </c>
      <c r="J3508" s="112">
        <v>4</v>
      </c>
      <c r="K3508" s="112">
        <v>4</v>
      </c>
      <c r="L3508" s="112">
        <v>2</v>
      </c>
    </row>
    <row r="3509" spans="1:15" x14ac:dyDescent="0.2">
      <c r="A3509" s="111">
        <v>3625</v>
      </c>
      <c r="B3509" s="421" t="s">
        <v>458</v>
      </c>
      <c r="C3509" s="421" t="s">
        <v>510</v>
      </c>
      <c r="D3509" s="422" t="s">
        <v>663</v>
      </c>
      <c r="E3509" s="111">
        <v>15999</v>
      </c>
      <c r="F3509" s="421" t="s">
        <v>6084</v>
      </c>
    </row>
    <row r="3510" spans="1:15" x14ac:dyDescent="0.2">
      <c r="A3510" s="111">
        <v>3626</v>
      </c>
      <c r="B3510" s="421" t="s">
        <v>6085</v>
      </c>
      <c r="C3510" s="421" t="s">
        <v>547</v>
      </c>
      <c r="D3510" s="422" t="s">
        <v>666</v>
      </c>
      <c r="E3510" s="111">
        <v>16503</v>
      </c>
      <c r="F3510" s="421" t="s">
        <v>3214</v>
      </c>
    </row>
    <row r="3511" spans="1:15" x14ac:dyDescent="0.2">
      <c r="A3511" s="111">
        <v>3627</v>
      </c>
      <c r="B3511" s="421" t="s">
        <v>1814</v>
      </c>
      <c r="C3511" s="421" t="s">
        <v>506</v>
      </c>
      <c r="D3511" s="422" t="s">
        <v>663</v>
      </c>
      <c r="E3511" s="111">
        <v>16003</v>
      </c>
      <c r="F3511" s="421" t="s">
        <v>6086</v>
      </c>
      <c r="G3511" s="112">
        <v>2</v>
      </c>
      <c r="H3511" s="112">
        <v>4</v>
      </c>
      <c r="I3511" s="112">
        <v>1</v>
      </c>
      <c r="L3511" s="112">
        <v>2</v>
      </c>
    </row>
    <row r="3512" spans="1:15" x14ac:dyDescent="0.2">
      <c r="A3512" s="111">
        <v>3628</v>
      </c>
      <c r="B3512" s="421" t="s">
        <v>6087</v>
      </c>
      <c r="C3512" s="421" t="s">
        <v>513</v>
      </c>
      <c r="D3512" s="422" t="s">
        <v>663</v>
      </c>
      <c r="E3512" s="111">
        <v>14810</v>
      </c>
      <c r="F3512" s="421" t="s">
        <v>2323</v>
      </c>
    </row>
    <row r="3513" spans="1:15" x14ac:dyDescent="0.2">
      <c r="A3513" s="111">
        <v>3629</v>
      </c>
      <c r="B3513" s="421" t="s">
        <v>5332</v>
      </c>
      <c r="C3513" s="421" t="s">
        <v>532</v>
      </c>
      <c r="D3513" s="422" t="s">
        <v>663</v>
      </c>
      <c r="E3513" s="111">
        <v>16209</v>
      </c>
      <c r="F3513" s="421" t="s">
        <v>6088</v>
      </c>
      <c r="G3513" s="112">
        <v>1</v>
      </c>
      <c r="H3513" s="112">
        <v>1</v>
      </c>
      <c r="I3513" s="112">
        <v>1</v>
      </c>
      <c r="J3513" s="112">
        <v>9</v>
      </c>
      <c r="K3513" s="112">
        <v>8</v>
      </c>
      <c r="L3513" s="112">
        <v>9</v>
      </c>
      <c r="M3513" s="112">
        <v>5</v>
      </c>
      <c r="N3513" s="112">
        <v>5</v>
      </c>
      <c r="O3513" s="112">
        <v>3</v>
      </c>
    </row>
    <row r="3514" spans="1:15" x14ac:dyDescent="0.2">
      <c r="A3514" s="111">
        <v>3630</v>
      </c>
      <c r="B3514" s="421" t="s">
        <v>6089</v>
      </c>
      <c r="C3514" s="421" t="s">
        <v>506</v>
      </c>
      <c r="D3514" s="422" t="s">
        <v>666</v>
      </c>
      <c r="E3514" s="111">
        <v>16004</v>
      </c>
      <c r="F3514" s="421" t="s">
        <v>6090</v>
      </c>
      <c r="G3514" s="112">
        <v>1</v>
      </c>
      <c r="H3514" s="112">
        <v>1</v>
      </c>
      <c r="I3514" s="112">
        <v>1</v>
      </c>
      <c r="J3514" s="112">
        <v>7</v>
      </c>
      <c r="K3514" s="112">
        <v>6</v>
      </c>
      <c r="L3514" s="112">
        <v>5</v>
      </c>
      <c r="M3514" s="112">
        <v>5</v>
      </c>
      <c r="N3514" s="112">
        <v>2</v>
      </c>
      <c r="O3514" s="112">
        <v>4</v>
      </c>
    </row>
    <row r="3515" spans="1:15" x14ac:dyDescent="0.2">
      <c r="A3515" s="111">
        <v>3631</v>
      </c>
      <c r="B3515" s="421" t="s">
        <v>78</v>
      </c>
      <c r="C3515" s="421" t="s">
        <v>551</v>
      </c>
      <c r="D3515" s="422" t="s">
        <v>663</v>
      </c>
      <c r="E3515" s="111">
        <v>15333</v>
      </c>
      <c r="F3515" s="421" t="s">
        <v>3849</v>
      </c>
    </row>
    <row r="3516" spans="1:15" x14ac:dyDescent="0.2">
      <c r="A3516" s="111">
        <v>3632</v>
      </c>
      <c r="B3516" s="421" t="s">
        <v>6091</v>
      </c>
      <c r="C3516" s="421" t="s">
        <v>551</v>
      </c>
      <c r="D3516" s="422" t="s">
        <v>663</v>
      </c>
      <c r="E3516" s="111">
        <v>15333</v>
      </c>
      <c r="F3516" s="421" t="s">
        <v>3849</v>
      </c>
      <c r="G3516" s="112">
        <v>1</v>
      </c>
      <c r="H3516" s="112">
        <v>1</v>
      </c>
      <c r="I3516" s="112">
        <v>1</v>
      </c>
      <c r="J3516" s="112">
        <v>3</v>
      </c>
      <c r="K3516" s="112">
        <v>3</v>
      </c>
      <c r="L3516" s="112">
        <v>3</v>
      </c>
      <c r="M3516" s="112">
        <v>1</v>
      </c>
      <c r="N3516" s="112">
        <v>1</v>
      </c>
      <c r="O3516" s="112">
        <v>1</v>
      </c>
    </row>
    <row r="3517" spans="1:15" x14ac:dyDescent="0.2">
      <c r="A3517" s="111">
        <v>3633</v>
      </c>
      <c r="B3517" s="421" t="s">
        <v>86</v>
      </c>
      <c r="C3517" s="421" t="s">
        <v>514</v>
      </c>
      <c r="D3517" s="422" t="s">
        <v>663</v>
      </c>
      <c r="E3517" s="111">
        <v>1495</v>
      </c>
      <c r="F3517" s="421" t="s">
        <v>714</v>
      </c>
      <c r="G3517" s="112">
        <v>2</v>
      </c>
      <c r="H3517" s="112">
        <v>1</v>
      </c>
      <c r="I3517" s="112">
        <v>1</v>
      </c>
      <c r="J3517" s="112">
        <v>7</v>
      </c>
      <c r="K3517" s="112">
        <v>7</v>
      </c>
      <c r="L3517" s="112">
        <v>7</v>
      </c>
      <c r="M3517" s="112">
        <v>9</v>
      </c>
      <c r="N3517" s="112">
        <v>3</v>
      </c>
      <c r="O3517" s="112">
        <v>7</v>
      </c>
    </row>
    <row r="3518" spans="1:15" x14ac:dyDescent="0.2">
      <c r="A3518" s="111">
        <v>3634</v>
      </c>
      <c r="B3518" s="421" t="s">
        <v>6092</v>
      </c>
      <c r="C3518" s="421" t="s">
        <v>551</v>
      </c>
      <c r="D3518" s="422" t="s">
        <v>666</v>
      </c>
      <c r="E3518" s="111">
        <v>16006</v>
      </c>
      <c r="F3518" s="421" t="s">
        <v>6093</v>
      </c>
      <c r="G3518" s="112">
        <v>1</v>
      </c>
      <c r="I3518" s="112">
        <v>1</v>
      </c>
    </row>
    <row r="3519" spans="1:15" x14ac:dyDescent="0.2">
      <c r="A3519" s="111">
        <v>3635</v>
      </c>
      <c r="B3519" s="421" t="s">
        <v>3399</v>
      </c>
      <c r="C3519" s="421" t="s">
        <v>539</v>
      </c>
      <c r="D3519" s="422" t="s">
        <v>663</v>
      </c>
      <c r="E3519" s="111">
        <v>16007</v>
      </c>
      <c r="F3519" s="421" t="s">
        <v>6094</v>
      </c>
      <c r="G3519" s="112">
        <v>1</v>
      </c>
      <c r="H3519" s="112">
        <v>1</v>
      </c>
      <c r="I3519" s="112">
        <v>1</v>
      </c>
      <c r="J3519" s="112">
        <v>3</v>
      </c>
      <c r="K3519" s="112">
        <v>5</v>
      </c>
      <c r="L3519" s="112">
        <v>5</v>
      </c>
      <c r="M3519" s="112">
        <v>5</v>
      </c>
      <c r="N3519" s="112">
        <v>3</v>
      </c>
      <c r="O3519" s="112">
        <v>3</v>
      </c>
    </row>
    <row r="3520" spans="1:15" x14ac:dyDescent="0.2">
      <c r="A3520" s="111">
        <v>3636</v>
      </c>
      <c r="B3520" s="421" t="s">
        <v>1630</v>
      </c>
      <c r="C3520" s="421" t="s">
        <v>588</v>
      </c>
      <c r="D3520" s="422" t="s">
        <v>663</v>
      </c>
      <c r="E3520" s="111">
        <v>16008</v>
      </c>
      <c r="F3520" s="421" t="s">
        <v>6095</v>
      </c>
    </row>
    <row r="3521" spans="1:15" x14ac:dyDescent="0.2">
      <c r="A3521" s="111">
        <v>3637</v>
      </c>
      <c r="B3521" s="421" t="s">
        <v>6141</v>
      </c>
      <c r="C3521" s="421" t="s">
        <v>570</v>
      </c>
      <c r="D3521" s="422" t="s">
        <v>663</v>
      </c>
      <c r="E3521" s="111">
        <v>15201</v>
      </c>
      <c r="F3521" s="421" t="s">
        <v>3403</v>
      </c>
      <c r="G3521" s="112">
        <v>1</v>
      </c>
      <c r="H3521" s="112">
        <v>2</v>
      </c>
      <c r="I3521" s="112">
        <v>2</v>
      </c>
      <c r="J3521" s="112">
        <v>9</v>
      </c>
      <c r="K3521" s="112">
        <v>8</v>
      </c>
      <c r="L3521" s="112">
        <v>10</v>
      </c>
      <c r="M3521" s="112">
        <v>9</v>
      </c>
      <c r="N3521" s="112">
        <v>5</v>
      </c>
      <c r="O3521" s="112">
        <v>9</v>
      </c>
    </row>
    <row r="3522" spans="1:15" x14ac:dyDescent="0.2">
      <c r="A3522" s="111">
        <v>3638</v>
      </c>
      <c r="B3522" s="421" t="s">
        <v>108</v>
      </c>
      <c r="C3522" s="421" t="s">
        <v>516</v>
      </c>
      <c r="D3522" s="422" t="s">
        <v>663</v>
      </c>
      <c r="E3522" s="111">
        <v>16010</v>
      </c>
      <c r="F3522" s="421" t="s">
        <v>6142</v>
      </c>
      <c r="G3522" s="112">
        <v>1</v>
      </c>
      <c r="J3522" s="112">
        <v>1</v>
      </c>
    </row>
    <row r="3523" spans="1:15" x14ac:dyDescent="0.2">
      <c r="A3523" s="111">
        <v>3639</v>
      </c>
      <c r="B3523" s="421" t="s">
        <v>6143</v>
      </c>
      <c r="C3523" s="421" t="s">
        <v>512</v>
      </c>
      <c r="D3523" s="422" t="s">
        <v>666</v>
      </c>
      <c r="E3523" s="111">
        <v>15554</v>
      </c>
      <c r="F3523" s="421" t="s">
        <v>4734</v>
      </c>
      <c r="G3523" s="112">
        <v>2</v>
      </c>
      <c r="H3523" s="112">
        <v>2</v>
      </c>
      <c r="I3523" s="112">
        <v>1</v>
      </c>
      <c r="J3523" s="112">
        <v>3</v>
      </c>
      <c r="K3523" s="112">
        <v>3</v>
      </c>
      <c r="L3523" s="112">
        <v>3</v>
      </c>
      <c r="M3523" s="112">
        <v>1</v>
      </c>
      <c r="N3523" s="112">
        <v>1</v>
      </c>
      <c r="O3523" s="112">
        <v>2</v>
      </c>
    </row>
    <row r="3524" spans="1:15" x14ac:dyDescent="0.2">
      <c r="A3524" s="111">
        <v>3641</v>
      </c>
      <c r="B3524" s="421" t="s">
        <v>1488</v>
      </c>
      <c r="C3524" s="421" t="s">
        <v>534</v>
      </c>
      <c r="D3524" s="422" t="s">
        <v>663</v>
      </c>
      <c r="E3524" s="111">
        <v>16011</v>
      </c>
      <c r="F3524" s="421" t="s">
        <v>6144</v>
      </c>
      <c r="G3524" s="112">
        <v>1</v>
      </c>
      <c r="H3524" s="112">
        <v>1</v>
      </c>
      <c r="I3524" s="112">
        <v>1</v>
      </c>
      <c r="K3524" s="112">
        <v>1</v>
      </c>
      <c r="L3524" s="112">
        <v>1</v>
      </c>
    </row>
    <row r="3525" spans="1:15" x14ac:dyDescent="0.2">
      <c r="A3525" s="111">
        <v>3642</v>
      </c>
      <c r="B3525" s="421" t="s">
        <v>2084</v>
      </c>
      <c r="C3525" s="421" t="s">
        <v>525</v>
      </c>
      <c r="D3525" s="422" t="s">
        <v>666</v>
      </c>
      <c r="E3525" s="111">
        <v>16042</v>
      </c>
      <c r="F3525" s="421" t="s">
        <v>6145</v>
      </c>
      <c r="G3525" s="112">
        <v>1</v>
      </c>
      <c r="H3525" s="112">
        <v>1</v>
      </c>
      <c r="I3525" s="112">
        <v>1</v>
      </c>
      <c r="J3525" s="112">
        <v>1</v>
      </c>
      <c r="K3525" s="112">
        <v>2</v>
      </c>
      <c r="L3525" s="112">
        <v>1</v>
      </c>
      <c r="M3525" s="112">
        <v>1</v>
      </c>
      <c r="N3525" s="112">
        <v>1</v>
      </c>
      <c r="O3525" s="112">
        <v>1</v>
      </c>
    </row>
    <row r="3526" spans="1:15" x14ac:dyDescent="0.2">
      <c r="A3526" s="111">
        <v>3643</v>
      </c>
      <c r="B3526" s="421" t="s">
        <v>6146</v>
      </c>
      <c r="C3526" s="421" t="s">
        <v>551</v>
      </c>
      <c r="D3526" s="422" t="s">
        <v>663</v>
      </c>
      <c r="E3526" s="111">
        <v>16012</v>
      </c>
      <c r="F3526" s="421" t="s">
        <v>6147</v>
      </c>
      <c r="G3526" s="112">
        <v>1</v>
      </c>
      <c r="H3526" s="112">
        <v>1</v>
      </c>
      <c r="I3526" s="112">
        <v>1</v>
      </c>
      <c r="J3526" s="112">
        <v>1</v>
      </c>
      <c r="K3526" s="112">
        <v>1</v>
      </c>
      <c r="L3526" s="112">
        <v>1</v>
      </c>
    </row>
    <row r="3527" spans="1:15" x14ac:dyDescent="0.2">
      <c r="A3527" s="111">
        <v>3644</v>
      </c>
      <c r="B3527" s="421" t="s">
        <v>309</v>
      </c>
      <c r="C3527" s="421" t="s">
        <v>550</v>
      </c>
      <c r="D3527" s="422" t="s">
        <v>666</v>
      </c>
      <c r="F3527" s="421" t="s">
        <v>6148</v>
      </c>
    </row>
    <row r="3528" spans="1:15" x14ac:dyDescent="0.2">
      <c r="A3528" s="111">
        <v>3645</v>
      </c>
      <c r="B3528" s="421" t="s">
        <v>6149</v>
      </c>
      <c r="C3528" s="421" t="s">
        <v>530</v>
      </c>
      <c r="D3528" s="422" t="s">
        <v>666</v>
      </c>
      <c r="E3528" s="111">
        <v>14514</v>
      </c>
      <c r="F3528" s="421" t="s">
        <v>736</v>
      </c>
      <c r="G3528" s="112">
        <v>2</v>
      </c>
      <c r="H3528" s="112">
        <v>1</v>
      </c>
      <c r="I3528" s="112">
        <v>2</v>
      </c>
      <c r="J3528" s="112">
        <v>7</v>
      </c>
      <c r="K3528" s="112">
        <v>7</v>
      </c>
      <c r="L3528" s="112">
        <v>7</v>
      </c>
      <c r="M3528" s="112">
        <v>4</v>
      </c>
      <c r="N3528" s="112">
        <v>3</v>
      </c>
      <c r="O3528" s="112">
        <v>2</v>
      </c>
    </row>
    <row r="3529" spans="1:15" x14ac:dyDescent="0.2">
      <c r="A3529" s="111">
        <v>3646</v>
      </c>
      <c r="B3529" s="421" t="s">
        <v>297</v>
      </c>
      <c r="C3529" s="421" t="s">
        <v>533</v>
      </c>
      <c r="D3529" s="422" t="s">
        <v>663</v>
      </c>
      <c r="E3529" s="111">
        <v>16038</v>
      </c>
      <c r="F3529" s="421" t="s">
        <v>6150</v>
      </c>
      <c r="G3529" s="112">
        <v>1</v>
      </c>
      <c r="H3529" s="112">
        <v>1</v>
      </c>
      <c r="I3529" s="112">
        <v>1</v>
      </c>
    </row>
    <row r="3530" spans="1:15" x14ac:dyDescent="0.2">
      <c r="A3530" s="111">
        <v>3647</v>
      </c>
      <c r="B3530" s="421" t="s">
        <v>266</v>
      </c>
      <c r="C3530" s="421" t="s">
        <v>550</v>
      </c>
      <c r="D3530" s="422" t="s">
        <v>663</v>
      </c>
      <c r="E3530" s="111">
        <v>16013</v>
      </c>
      <c r="F3530" s="421" t="s">
        <v>6151</v>
      </c>
      <c r="G3530" s="112">
        <v>2</v>
      </c>
      <c r="I3530" s="112">
        <v>2</v>
      </c>
      <c r="J3530" s="112">
        <v>2</v>
      </c>
      <c r="L3530" s="112">
        <v>3</v>
      </c>
      <c r="O3530" s="112">
        <v>1</v>
      </c>
    </row>
    <row r="3531" spans="1:15" x14ac:dyDescent="0.2">
      <c r="A3531" s="111">
        <v>3648</v>
      </c>
      <c r="B3531" s="421" t="s">
        <v>1102</v>
      </c>
      <c r="C3531" s="421" t="s">
        <v>536</v>
      </c>
      <c r="D3531" s="422" t="s">
        <v>663</v>
      </c>
      <c r="E3531" s="111">
        <v>14695</v>
      </c>
      <c r="F3531" s="421" t="s">
        <v>2121</v>
      </c>
      <c r="G3531" s="112">
        <v>2</v>
      </c>
      <c r="H3531" s="112">
        <v>2</v>
      </c>
      <c r="I3531" s="112">
        <v>2</v>
      </c>
    </row>
    <row r="3532" spans="1:15" x14ac:dyDescent="0.2">
      <c r="A3532" s="111">
        <v>3649</v>
      </c>
      <c r="B3532" s="421" t="s">
        <v>1240</v>
      </c>
      <c r="C3532" s="421" t="s">
        <v>510</v>
      </c>
      <c r="D3532" s="422" t="s">
        <v>663</v>
      </c>
      <c r="E3532" s="111">
        <v>15918</v>
      </c>
      <c r="F3532" s="421" t="s">
        <v>6152</v>
      </c>
    </row>
    <row r="3533" spans="1:15" x14ac:dyDescent="0.2">
      <c r="A3533" s="111">
        <v>3650</v>
      </c>
      <c r="B3533" s="421" t="s">
        <v>1125</v>
      </c>
      <c r="C3533" s="421" t="s">
        <v>536</v>
      </c>
      <c r="D3533" s="422" t="s">
        <v>663</v>
      </c>
      <c r="E3533" s="111">
        <v>14856</v>
      </c>
      <c r="F3533" s="421" t="s">
        <v>2523</v>
      </c>
      <c r="G3533" s="112">
        <v>1</v>
      </c>
      <c r="H3533" s="112">
        <v>1</v>
      </c>
      <c r="I3533" s="112">
        <v>1</v>
      </c>
      <c r="J3533" s="112">
        <v>1</v>
      </c>
    </row>
    <row r="3534" spans="1:15" x14ac:dyDescent="0.2">
      <c r="A3534" s="111">
        <v>3651</v>
      </c>
      <c r="B3534" s="421" t="s">
        <v>2614</v>
      </c>
      <c r="C3534" s="421" t="s">
        <v>501</v>
      </c>
      <c r="D3534" s="422" t="s">
        <v>663</v>
      </c>
      <c r="E3534" s="111">
        <v>16005</v>
      </c>
      <c r="F3534" s="421" t="s">
        <v>6153</v>
      </c>
      <c r="G3534" s="112">
        <v>1</v>
      </c>
    </row>
    <row r="3535" spans="1:15" x14ac:dyDescent="0.2">
      <c r="A3535" s="111">
        <v>3653</v>
      </c>
      <c r="B3535" s="421" t="s">
        <v>6156</v>
      </c>
      <c r="C3535" s="421" t="s">
        <v>2340</v>
      </c>
      <c r="D3535" s="422" t="s">
        <v>663</v>
      </c>
      <c r="E3535" s="111">
        <v>14960</v>
      </c>
      <c r="F3535" s="421" t="s">
        <v>2128</v>
      </c>
      <c r="G3535" s="112">
        <v>1</v>
      </c>
      <c r="H3535" s="112">
        <v>2</v>
      </c>
      <c r="I3535" s="112">
        <v>1</v>
      </c>
      <c r="J3535" s="112">
        <v>4</v>
      </c>
      <c r="K3535" s="112">
        <v>2</v>
      </c>
      <c r="L3535" s="112">
        <v>3</v>
      </c>
      <c r="M3535" s="112">
        <v>3</v>
      </c>
      <c r="N3535" s="112">
        <v>2</v>
      </c>
      <c r="O3535" s="112">
        <v>2</v>
      </c>
    </row>
    <row r="3536" spans="1:15" x14ac:dyDescent="0.2">
      <c r="A3536" s="111">
        <v>3654</v>
      </c>
      <c r="B3536" s="421" t="s">
        <v>1937</v>
      </c>
      <c r="C3536" s="421" t="s">
        <v>545</v>
      </c>
      <c r="D3536" s="422" t="s">
        <v>663</v>
      </c>
      <c r="E3536" s="111">
        <v>14602</v>
      </c>
      <c r="F3536" s="421" t="s">
        <v>1821</v>
      </c>
      <c r="G3536" s="112">
        <v>2</v>
      </c>
      <c r="H3536" s="112">
        <v>1</v>
      </c>
      <c r="I3536" s="112">
        <v>1</v>
      </c>
      <c r="J3536" s="112">
        <v>7</v>
      </c>
      <c r="K3536" s="112">
        <v>7</v>
      </c>
      <c r="L3536" s="112">
        <v>7</v>
      </c>
      <c r="M3536" s="112">
        <v>9</v>
      </c>
      <c r="N3536" s="112">
        <v>7</v>
      </c>
      <c r="O3536" s="112">
        <v>6</v>
      </c>
    </row>
    <row r="3537" spans="1:15" x14ac:dyDescent="0.2">
      <c r="A3537" s="111">
        <v>3655</v>
      </c>
      <c r="B3537" s="421" t="s">
        <v>6157</v>
      </c>
      <c r="C3537" s="421" t="s">
        <v>518</v>
      </c>
      <c r="D3537" s="422" t="s">
        <v>666</v>
      </c>
      <c r="E3537" s="111">
        <v>16015</v>
      </c>
      <c r="F3537" s="421" t="s">
        <v>6158</v>
      </c>
      <c r="G3537" s="112">
        <v>1</v>
      </c>
      <c r="H3537" s="112">
        <v>1</v>
      </c>
      <c r="I3537" s="112">
        <v>1</v>
      </c>
      <c r="J3537" s="112">
        <v>7</v>
      </c>
      <c r="K3537" s="112">
        <v>8</v>
      </c>
      <c r="L3537" s="112">
        <v>8</v>
      </c>
      <c r="M3537" s="112">
        <v>4</v>
      </c>
      <c r="N3537" s="112">
        <v>2</v>
      </c>
      <c r="O3537" s="112">
        <v>5</v>
      </c>
    </row>
    <row r="3538" spans="1:15" x14ac:dyDescent="0.2">
      <c r="A3538" s="111">
        <v>3656</v>
      </c>
      <c r="B3538" s="421" t="s">
        <v>192</v>
      </c>
      <c r="C3538" s="421" t="s">
        <v>507</v>
      </c>
      <c r="D3538" s="422" t="s">
        <v>666</v>
      </c>
      <c r="E3538" s="111">
        <v>16016</v>
      </c>
      <c r="F3538" s="421" t="s">
        <v>6155</v>
      </c>
      <c r="H3538" s="112">
        <v>1</v>
      </c>
    </row>
    <row r="3539" spans="1:15" x14ac:dyDescent="0.2">
      <c r="A3539" s="111">
        <v>3657</v>
      </c>
      <c r="B3539" s="421" t="s">
        <v>6159</v>
      </c>
      <c r="C3539" s="421" t="s">
        <v>514</v>
      </c>
      <c r="D3539" s="422" t="s">
        <v>666</v>
      </c>
      <c r="E3539" s="111">
        <v>16017</v>
      </c>
      <c r="F3539" s="421" t="s">
        <v>6160</v>
      </c>
      <c r="G3539" s="112">
        <v>1</v>
      </c>
      <c r="H3539" s="112">
        <v>1</v>
      </c>
      <c r="I3539" s="112">
        <v>1</v>
      </c>
      <c r="J3539" s="112">
        <v>7</v>
      </c>
      <c r="K3539" s="112">
        <v>8</v>
      </c>
      <c r="L3539" s="112">
        <v>7</v>
      </c>
      <c r="M3539" s="112">
        <v>4</v>
      </c>
      <c r="N3539" s="112">
        <v>4</v>
      </c>
      <c r="O3539" s="112">
        <v>4</v>
      </c>
    </row>
    <row r="3540" spans="1:15" x14ac:dyDescent="0.2">
      <c r="A3540" s="111">
        <v>3658</v>
      </c>
      <c r="B3540" s="421" t="s">
        <v>6161</v>
      </c>
      <c r="C3540" s="421" t="s">
        <v>504</v>
      </c>
      <c r="D3540" s="422" t="s">
        <v>666</v>
      </c>
      <c r="F3540" s="421" t="s">
        <v>6162</v>
      </c>
      <c r="G3540" s="112">
        <v>1</v>
      </c>
      <c r="H3540" s="112">
        <v>1</v>
      </c>
      <c r="I3540" s="112">
        <v>1</v>
      </c>
      <c r="J3540" s="112">
        <v>1</v>
      </c>
      <c r="K3540" s="112">
        <v>2</v>
      </c>
      <c r="L3540" s="112">
        <v>2</v>
      </c>
    </row>
    <row r="3541" spans="1:15" x14ac:dyDescent="0.2">
      <c r="A3541" s="111">
        <v>3659</v>
      </c>
      <c r="B3541" s="421" t="s">
        <v>3233</v>
      </c>
      <c r="C3541" s="421" t="s">
        <v>501</v>
      </c>
      <c r="D3541" s="422" t="s">
        <v>666</v>
      </c>
      <c r="E3541" s="111">
        <v>16018</v>
      </c>
      <c r="F3541" s="421" t="s">
        <v>6163</v>
      </c>
      <c r="G3541" s="112">
        <v>1</v>
      </c>
      <c r="H3541" s="112">
        <v>1</v>
      </c>
      <c r="I3541" s="112">
        <v>1</v>
      </c>
      <c r="J3541" s="112">
        <v>1</v>
      </c>
      <c r="K3541" s="112">
        <v>1</v>
      </c>
      <c r="L3541" s="112">
        <v>1</v>
      </c>
      <c r="M3541" s="112">
        <v>2</v>
      </c>
      <c r="O3541" s="112">
        <v>2</v>
      </c>
    </row>
    <row r="3542" spans="1:15" x14ac:dyDescent="0.2">
      <c r="A3542" s="111">
        <v>3660</v>
      </c>
      <c r="B3542" s="421" t="s">
        <v>193</v>
      </c>
      <c r="C3542" s="421" t="s">
        <v>501</v>
      </c>
      <c r="D3542" s="422" t="s">
        <v>663</v>
      </c>
      <c r="E3542" s="111">
        <v>16018</v>
      </c>
      <c r="F3542" s="421" t="s">
        <v>6163</v>
      </c>
      <c r="G3542" s="112">
        <v>2</v>
      </c>
      <c r="H3542" s="112">
        <v>1</v>
      </c>
      <c r="I3542" s="112">
        <v>1</v>
      </c>
      <c r="J3542" s="112">
        <v>2</v>
      </c>
      <c r="K3542" s="112">
        <v>1</v>
      </c>
    </row>
    <row r="3543" spans="1:15" x14ac:dyDescent="0.2">
      <c r="A3543" s="111">
        <v>3661</v>
      </c>
      <c r="B3543" s="421" t="s">
        <v>4632</v>
      </c>
      <c r="C3543" s="421" t="s">
        <v>513</v>
      </c>
      <c r="D3543" s="422" t="s">
        <v>666</v>
      </c>
      <c r="E3543" s="111">
        <v>15021</v>
      </c>
      <c r="F3543" s="421" t="s">
        <v>2098</v>
      </c>
    </row>
    <row r="3544" spans="1:15" x14ac:dyDescent="0.2">
      <c r="A3544" s="111">
        <v>3662</v>
      </c>
      <c r="B3544" s="421" t="s">
        <v>2081</v>
      </c>
      <c r="C3544" s="421" t="s">
        <v>566</v>
      </c>
      <c r="D3544" s="422" t="s">
        <v>666</v>
      </c>
      <c r="E3544" s="111">
        <v>16019</v>
      </c>
      <c r="F3544" s="421" t="s">
        <v>6164</v>
      </c>
      <c r="G3544" s="112">
        <v>2</v>
      </c>
      <c r="H3544" s="112">
        <v>2</v>
      </c>
    </row>
    <row r="3545" spans="1:15" x14ac:dyDescent="0.2">
      <c r="A3545" s="111">
        <v>3663</v>
      </c>
      <c r="B3545" s="421" t="s">
        <v>6165</v>
      </c>
      <c r="C3545" s="421" t="s">
        <v>516</v>
      </c>
      <c r="D3545" s="422" t="s">
        <v>663</v>
      </c>
      <c r="E3545" s="111">
        <v>16020</v>
      </c>
      <c r="F3545" s="421" t="s">
        <v>6166</v>
      </c>
      <c r="G3545" s="112">
        <v>3</v>
      </c>
      <c r="H3545" s="112">
        <v>3</v>
      </c>
      <c r="I3545" s="112">
        <v>3</v>
      </c>
      <c r="J3545" s="112">
        <v>8</v>
      </c>
      <c r="K3545" s="112">
        <v>6</v>
      </c>
      <c r="L3545" s="112">
        <v>6</v>
      </c>
      <c r="M3545" s="112">
        <v>6</v>
      </c>
      <c r="N3545" s="112">
        <v>4</v>
      </c>
      <c r="O3545" s="112">
        <v>6</v>
      </c>
    </row>
    <row r="3546" spans="1:15" x14ac:dyDescent="0.2">
      <c r="A3546" s="111">
        <v>3664</v>
      </c>
      <c r="B3546" s="421" t="s">
        <v>295</v>
      </c>
      <c r="C3546" s="421" t="s">
        <v>532</v>
      </c>
      <c r="D3546" s="422" t="s">
        <v>663</v>
      </c>
      <c r="E3546" s="111">
        <v>15271</v>
      </c>
      <c r="F3546" s="421" t="s">
        <v>3071</v>
      </c>
      <c r="G3546" s="112">
        <v>1</v>
      </c>
      <c r="H3546" s="112">
        <v>1</v>
      </c>
      <c r="I3546" s="112">
        <v>1</v>
      </c>
      <c r="J3546" s="112">
        <v>1</v>
      </c>
    </row>
    <row r="3547" spans="1:15" x14ac:dyDescent="0.2">
      <c r="A3547" s="111">
        <v>3665</v>
      </c>
      <c r="B3547" s="421" t="s">
        <v>6167</v>
      </c>
      <c r="C3547" s="421" t="s">
        <v>533</v>
      </c>
      <c r="D3547" s="422" t="s">
        <v>663</v>
      </c>
      <c r="E3547" s="111">
        <v>16022</v>
      </c>
      <c r="F3547" s="421" t="s">
        <v>3241</v>
      </c>
      <c r="G3547" s="112">
        <v>1</v>
      </c>
      <c r="H3547" s="112">
        <v>1</v>
      </c>
      <c r="I3547" s="112">
        <v>1</v>
      </c>
      <c r="J3547" s="112">
        <v>3</v>
      </c>
      <c r="K3547" s="112">
        <v>3</v>
      </c>
      <c r="L3547" s="112">
        <v>1</v>
      </c>
    </row>
    <row r="3548" spans="1:15" x14ac:dyDescent="0.2">
      <c r="A3548" s="111">
        <v>3666</v>
      </c>
      <c r="B3548" s="421" t="s">
        <v>309</v>
      </c>
      <c r="C3548" s="421" t="s">
        <v>506</v>
      </c>
      <c r="D3548" s="422" t="s">
        <v>666</v>
      </c>
      <c r="E3548" s="111">
        <v>14484</v>
      </c>
      <c r="F3548" s="421" t="s">
        <v>1468</v>
      </c>
      <c r="G3548" s="112">
        <v>1</v>
      </c>
      <c r="H3548" s="112">
        <v>1</v>
      </c>
      <c r="I3548" s="112">
        <v>1</v>
      </c>
      <c r="J3548" s="112">
        <v>11</v>
      </c>
      <c r="K3548" s="112">
        <v>10</v>
      </c>
      <c r="L3548" s="112">
        <v>10</v>
      </c>
      <c r="M3548" s="112">
        <v>12</v>
      </c>
      <c r="N3548" s="112">
        <v>10</v>
      </c>
      <c r="O3548" s="112">
        <v>11</v>
      </c>
    </row>
    <row r="3549" spans="1:15" x14ac:dyDescent="0.2">
      <c r="A3549" s="111">
        <v>3667</v>
      </c>
      <c r="B3549" s="421" t="s">
        <v>1281</v>
      </c>
      <c r="C3549" s="421" t="s">
        <v>503</v>
      </c>
      <c r="D3549" s="422" t="s">
        <v>663</v>
      </c>
      <c r="E3549" s="111">
        <v>16072</v>
      </c>
      <c r="F3549" s="421" t="s">
        <v>6168</v>
      </c>
      <c r="G3549" s="112">
        <v>1</v>
      </c>
      <c r="H3549" s="112">
        <v>1</v>
      </c>
      <c r="I3549" s="112">
        <v>1</v>
      </c>
      <c r="J3549" s="112">
        <v>1</v>
      </c>
    </row>
    <row r="3550" spans="1:15" x14ac:dyDescent="0.2">
      <c r="A3550" s="111">
        <v>3668</v>
      </c>
      <c r="B3550" s="421" t="s">
        <v>119</v>
      </c>
      <c r="C3550" s="421" t="s">
        <v>544</v>
      </c>
      <c r="D3550" s="422" t="s">
        <v>663</v>
      </c>
      <c r="E3550" s="111">
        <v>14170</v>
      </c>
      <c r="F3550" s="421" t="s">
        <v>866</v>
      </c>
    </row>
    <row r="3551" spans="1:15" x14ac:dyDescent="0.2">
      <c r="A3551" s="111">
        <v>3669</v>
      </c>
      <c r="B3551" s="421" t="s">
        <v>6169</v>
      </c>
      <c r="C3551" s="421" t="s">
        <v>544</v>
      </c>
      <c r="D3551" s="422" t="s">
        <v>666</v>
      </c>
      <c r="E3551" s="111">
        <v>16335</v>
      </c>
      <c r="F3551" s="421" t="s">
        <v>3864</v>
      </c>
      <c r="G3551" s="112">
        <v>1</v>
      </c>
      <c r="H3551" s="112">
        <v>1</v>
      </c>
      <c r="I3551" s="112">
        <v>1</v>
      </c>
      <c r="J3551" s="112">
        <v>1</v>
      </c>
      <c r="K3551" s="112">
        <v>1</v>
      </c>
      <c r="L3551" s="112">
        <v>1</v>
      </c>
      <c r="M3551" s="112">
        <v>1</v>
      </c>
      <c r="N3551" s="112">
        <v>1</v>
      </c>
      <c r="O3551" s="112">
        <v>2</v>
      </c>
    </row>
    <row r="3552" spans="1:15" x14ac:dyDescent="0.2">
      <c r="A3552" s="111">
        <v>3670</v>
      </c>
      <c r="B3552" s="421" t="s">
        <v>6170</v>
      </c>
      <c r="C3552" s="421" t="s">
        <v>558</v>
      </c>
      <c r="D3552" s="422" t="s">
        <v>663</v>
      </c>
      <c r="E3552" s="111">
        <v>16023</v>
      </c>
      <c r="F3552" s="421" t="s">
        <v>6171</v>
      </c>
      <c r="H3552" s="112">
        <v>1</v>
      </c>
    </row>
    <row r="3553" spans="1:15" x14ac:dyDescent="0.2">
      <c r="A3553" s="111">
        <v>3671</v>
      </c>
      <c r="B3553" s="421" t="s">
        <v>1196</v>
      </c>
      <c r="C3553" s="421" t="s">
        <v>513</v>
      </c>
      <c r="D3553" s="422" t="s">
        <v>663</v>
      </c>
      <c r="E3553" s="111">
        <v>14324</v>
      </c>
      <c r="F3553" s="421" t="s">
        <v>1485</v>
      </c>
      <c r="G3553" s="112">
        <v>1</v>
      </c>
      <c r="H3553" s="112">
        <v>1</v>
      </c>
      <c r="I3553" s="112">
        <v>1</v>
      </c>
      <c r="J3553" s="112">
        <v>1</v>
      </c>
    </row>
    <row r="3554" spans="1:15" x14ac:dyDescent="0.2">
      <c r="A3554" s="111">
        <v>3672</v>
      </c>
      <c r="B3554" s="421" t="s">
        <v>3572</v>
      </c>
      <c r="C3554" s="421" t="s">
        <v>501</v>
      </c>
      <c r="D3554" s="422" t="s">
        <v>663</v>
      </c>
      <c r="E3554" s="111">
        <v>16024</v>
      </c>
      <c r="F3554" s="421" t="s">
        <v>6205</v>
      </c>
      <c r="G3554" s="112">
        <v>2</v>
      </c>
      <c r="H3554" s="112">
        <v>2</v>
      </c>
      <c r="I3554" s="112">
        <v>1</v>
      </c>
    </row>
    <row r="3555" spans="1:15" x14ac:dyDescent="0.2">
      <c r="A3555" s="111">
        <v>3673</v>
      </c>
      <c r="B3555" s="421" t="s">
        <v>6206</v>
      </c>
      <c r="C3555" s="421" t="s">
        <v>1908</v>
      </c>
      <c r="D3555" s="422" t="s">
        <v>663</v>
      </c>
      <c r="E3555" s="111">
        <v>16025</v>
      </c>
      <c r="F3555" s="421" t="s">
        <v>2239</v>
      </c>
    </row>
    <row r="3556" spans="1:15" x14ac:dyDescent="0.2">
      <c r="A3556" s="111">
        <v>3674</v>
      </c>
      <c r="B3556" s="421" t="s">
        <v>4877</v>
      </c>
      <c r="C3556" s="421" t="s">
        <v>577</v>
      </c>
      <c r="D3556" s="422" t="s">
        <v>666</v>
      </c>
      <c r="E3556" s="111">
        <v>16026</v>
      </c>
      <c r="F3556" s="421" t="s">
        <v>6207</v>
      </c>
      <c r="G3556" s="112">
        <v>2</v>
      </c>
      <c r="H3556" s="112">
        <v>1</v>
      </c>
      <c r="I3556" s="112">
        <v>1</v>
      </c>
      <c r="J3556" s="112">
        <v>2</v>
      </c>
      <c r="K3556" s="112">
        <v>1</v>
      </c>
    </row>
    <row r="3557" spans="1:15" x14ac:dyDescent="0.2">
      <c r="A3557" s="111">
        <v>3675</v>
      </c>
      <c r="B3557" s="421" t="s">
        <v>186</v>
      </c>
      <c r="C3557" s="421" t="s">
        <v>519</v>
      </c>
      <c r="D3557" s="422" t="s">
        <v>666</v>
      </c>
      <c r="E3557" s="111">
        <v>15688</v>
      </c>
      <c r="F3557" s="421" t="s">
        <v>5224</v>
      </c>
      <c r="G3557" s="112">
        <v>1</v>
      </c>
      <c r="I3557" s="112">
        <v>1</v>
      </c>
    </row>
    <row r="3558" spans="1:15" x14ac:dyDescent="0.2">
      <c r="A3558" s="111">
        <v>3676</v>
      </c>
      <c r="B3558" s="421" t="s">
        <v>6208</v>
      </c>
      <c r="C3558" s="421" t="s">
        <v>501</v>
      </c>
      <c r="D3558" s="422" t="s">
        <v>663</v>
      </c>
      <c r="E3558" s="111">
        <v>16027</v>
      </c>
      <c r="F3558" s="421" t="s">
        <v>6209</v>
      </c>
      <c r="G3558" s="112">
        <v>1</v>
      </c>
      <c r="H3558" s="112">
        <v>1</v>
      </c>
      <c r="I3558" s="112">
        <v>1</v>
      </c>
      <c r="J3558" s="112">
        <v>1</v>
      </c>
      <c r="K3558" s="112">
        <v>1</v>
      </c>
    </row>
    <row r="3559" spans="1:15" x14ac:dyDescent="0.2">
      <c r="A3559" s="111">
        <v>3677</v>
      </c>
      <c r="B3559" s="421" t="s">
        <v>6210</v>
      </c>
      <c r="C3559" s="421" t="s">
        <v>501</v>
      </c>
      <c r="D3559" s="422" t="s">
        <v>663</v>
      </c>
      <c r="E3559" s="111">
        <v>16027</v>
      </c>
      <c r="F3559" s="421" t="s">
        <v>6209</v>
      </c>
      <c r="G3559" s="112">
        <v>1</v>
      </c>
      <c r="H3559" s="112">
        <v>1</v>
      </c>
    </row>
    <row r="3560" spans="1:15" x14ac:dyDescent="0.2">
      <c r="A3560" s="111">
        <v>3678</v>
      </c>
      <c r="B3560" s="421" t="s">
        <v>3894</v>
      </c>
      <c r="C3560" s="421" t="s">
        <v>507</v>
      </c>
      <c r="D3560" s="422" t="s">
        <v>663</v>
      </c>
      <c r="E3560" s="111">
        <v>16545</v>
      </c>
      <c r="F3560" s="421" t="s">
        <v>6211</v>
      </c>
      <c r="G3560" s="112">
        <v>1</v>
      </c>
      <c r="H3560" s="112">
        <v>1</v>
      </c>
      <c r="I3560" s="112">
        <v>1</v>
      </c>
      <c r="J3560" s="112">
        <v>2</v>
      </c>
      <c r="K3560" s="112">
        <v>1</v>
      </c>
      <c r="L3560" s="112">
        <v>1</v>
      </c>
    </row>
    <row r="3561" spans="1:15" x14ac:dyDescent="0.2">
      <c r="A3561" s="111">
        <v>3679</v>
      </c>
      <c r="B3561" s="421" t="s">
        <v>6212</v>
      </c>
      <c r="C3561" s="421" t="s">
        <v>3384</v>
      </c>
      <c r="D3561" s="422" t="s">
        <v>663</v>
      </c>
      <c r="E3561" s="111">
        <v>16045</v>
      </c>
      <c r="F3561" s="421" t="s">
        <v>6213</v>
      </c>
    </row>
    <row r="3562" spans="1:15" x14ac:dyDescent="0.2">
      <c r="A3562" s="111">
        <v>3680</v>
      </c>
      <c r="B3562" s="421" t="s">
        <v>2202</v>
      </c>
      <c r="C3562" s="421" t="s">
        <v>521</v>
      </c>
      <c r="D3562" s="422" t="s">
        <v>663</v>
      </c>
      <c r="E3562" s="111">
        <v>16028</v>
      </c>
      <c r="F3562" s="421" t="s">
        <v>6214</v>
      </c>
      <c r="G3562" s="112">
        <v>1</v>
      </c>
      <c r="H3562" s="112">
        <v>1</v>
      </c>
      <c r="I3562" s="112">
        <v>1</v>
      </c>
      <c r="J3562" s="112">
        <v>7</v>
      </c>
      <c r="K3562" s="112">
        <v>8</v>
      </c>
      <c r="L3562" s="112">
        <v>7</v>
      </c>
      <c r="M3562" s="112">
        <v>3</v>
      </c>
      <c r="N3562" s="112">
        <v>3</v>
      </c>
      <c r="O3562" s="112">
        <v>3</v>
      </c>
    </row>
    <row r="3563" spans="1:15" x14ac:dyDescent="0.2">
      <c r="A3563" s="111">
        <v>3681</v>
      </c>
      <c r="B3563" s="421" t="s">
        <v>6215</v>
      </c>
      <c r="C3563" s="421" t="s">
        <v>506</v>
      </c>
      <c r="D3563" s="422" t="s">
        <v>666</v>
      </c>
      <c r="E3563" s="111">
        <v>16030</v>
      </c>
      <c r="F3563" s="421" t="s">
        <v>6216</v>
      </c>
    </row>
    <row r="3564" spans="1:15" x14ac:dyDescent="0.2">
      <c r="A3564" s="111">
        <v>3683</v>
      </c>
      <c r="B3564" s="421" t="s">
        <v>3055</v>
      </c>
      <c r="C3564" s="421" t="s">
        <v>1908</v>
      </c>
      <c r="D3564" s="422" t="s">
        <v>666</v>
      </c>
      <c r="E3564" s="111">
        <v>16032</v>
      </c>
      <c r="F3564" s="421" t="s">
        <v>6217</v>
      </c>
      <c r="G3564" s="112">
        <v>1</v>
      </c>
      <c r="H3564" s="112">
        <v>1</v>
      </c>
      <c r="I3564" s="112">
        <v>1</v>
      </c>
      <c r="J3564" s="112">
        <v>2</v>
      </c>
      <c r="K3564" s="112">
        <v>1</v>
      </c>
      <c r="L3564" s="112">
        <v>1</v>
      </c>
    </row>
    <row r="3565" spans="1:15" x14ac:dyDescent="0.2">
      <c r="A3565" s="111">
        <v>3684</v>
      </c>
      <c r="B3565" s="421" t="s">
        <v>1949</v>
      </c>
      <c r="C3565" s="421" t="s">
        <v>501</v>
      </c>
      <c r="D3565" s="422" t="s">
        <v>663</v>
      </c>
      <c r="E3565" s="111">
        <v>16034</v>
      </c>
      <c r="F3565" s="421" t="s">
        <v>6218</v>
      </c>
    </row>
    <row r="3566" spans="1:15" x14ac:dyDescent="0.2">
      <c r="A3566" s="111">
        <v>3685</v>
      </c>
      <c r="B3566" s="421" t="s">
        <v>2173</v>
      </c>
      <c r="C3566" s="421" t="s">
        <v>5497</v>
      </c>
      <c r="D3566" s="422" t="s">
        <v>666</v>
      </c>
      <c r="E3566" s="111">
        <v>15287</v>
      </c>
      <c r="F3566" s="421" t="s">
        <v>3733</v>
      </c>
      <c r="G3566" s="112">
        <v>1</v>
      </c>
      <c r="H3566" s="112">
        <v>1</v>
      </c>
      <c r="I3566" s="112">
        <v>1</v>
      </c>
      <c r="J3566" s="112">
        <v>3</v>
      </c>
      <c r="K3566" s="112">
        <v>3</v>
      </c>
      <c r="L3566" s="112">
        <v>3</v>
      </c>
      <c r="M3566" s="112">
        <v>6</v>
      </c>
      <c r="N3566" s="112">
        <v>4</v>
      </c>
      <c r="O3566" s="112">
        <v>2</v>
      </c>
    </row>
    <row r="3567" spans="1:15" x14ac:dyDescent="0.2">
      <c r="A3567" s="111">
        <v>3686</v>
      </c>
      <c r="B3567" s="421" t="s">
        <v>1439</v>
      </c>
      <c r="C3567" s="421" t="s">
        <v>519</v>
      </c>
      <c r="D3567" s="422" t="s">
        <v>666</v>
      </c>
      <c r="E3567" s="111">
        <v>1470</v>
      </c>
      <c r="F3567" s="421" t="s">
        <v>694</v>
      </c>
      <c r="G3567" s="112">
        <v>1</v>
      </c>
      <c r="H3567" s="112">
        <v>2</v>
      </c>
      <c r="I3567" s="112">
        <v>1</v>
      </c>
      <c r="J3567" s="112">
        <v>2</v>
      </c>
      <c r="K3567" s="112">
        <v>3</v>
      </c>
      <c r="L3567" s="112">
        <v>5</v>
      </c>
      <c r="O3567" s="112">
        <v>1</v>
      </c>
    </row>
    <row r="3568" spans="1:15" x14ac:dyDescent="0.2">
      <c r="A3568" s="111">
        <v>3687</v>
      </c>
      <c r="B3568" s="421" t="s">
        <v>2168</v>
      </c>
      <c r="C3568" s="421" t="s">
        <v>519</v>
      </c>
      <c r="D3568" s="422" t="s">
        <v>663</v>
      </c>
      <c r="E3568" s="111">
        <v>1470</v>
      </c>
      <c r="F3568" s="421" t="s">
        <v>694</v>
      </c>
    </row>
    <row r="3569" spans="1:15" x14ac:dyDescent="0.2">
      <c r="A3569" s="111">
        <v>3688</v>
      </c>
      <c r="B3569" s="421" t="s">
        <v>353</v>
      </c>
      <c r="C3569" s="421" t="s">
        <v>516</v>
      </c>
      <c r="D3569" s="422" t="s">
        <v>663</v>
      </c>
      <c r="E3569" s="111">
        <v>16036</v>
      </c>
      <c r="F3569" s="421" t="s">
        <v>6219</v>
      </c>
      <c r="G3569" s="112">
        <v>2</v>
      </c>
      <c r="H3569" s="112">
        <v>2</v>
      </c>
      <c r="I3569" s="112">
        <v>2</v>
      </c>
      <c r="J3569" s="112">
        <v>8</v>
      </c>
      <c r="K3569" s="112">
        <v>8</v>
      </c>
      <c r="L3569" s="112">
        <v>8</v>
      </c>
      <c r="M3569" s="112">
        <v>5</v>
      </c>
      <c r="N3569" s="112">
        <v>6</v>
      </c>
      <c r="O3569" s="112">
        <v>5</v>
      </c>
    </row>
    <row r="3570" spans="1:15" x14ac:dyDescent="0.2">
      <c r="A3570" s="111">
        <v>3689</v>
      </c>
      <c r="B3570" s="421" t="s">
        <v>1845</v>
      </c>
      <c r="C3570" s="421" t="s">
        <v>506</v>
      </c>
      <c r="D3570" s="422" t="s">
        <v>666</v>
      </c>
      <c r="E3570" s="111">
        <v>14283</v>
      </c>
      <c r="F3570" s="421" t="s">
        <v>997</v>
      </c>
      <c r="G3570" s="112">
        <v>2</v>
      </c>
      <c r="H3570" s="112">
        <v>1</v>
      </c>
      <c r="I3570" s="112">
        <v>1</v>
      </c>
      <c r="J3570" s="112">
        <v>6</v>
      </c>
      <c r="K3570" s="112">
        <v>5</v>
      </c>
      <c r="L3570" s="112">
        <v>4</v>
      </c>
      <c r="M3570" s="112">
        <v>3</v>
      </c>
      <c r="N3570" s="112">
        <v>2</v>
      </c>
      <c r="O3570" s="112">
        <v>2</v>
      </c>
    </row>
    <row r="3571" spans="1:15" x14ac:dyDescent="0.2">
      <c r="A3571" s="111">
        <v>3690</v>
      </c>
      <c r="B3571" s="421" t="s">
        <v>6220</v>
      </c>
      <c r="C3571" s="421" t="s">
        <v>1500</v>
      </c>
      <c r="D3571" s="422" t="s">
        <v>663</v>
      </c>
      <c r="E3571" s="111">
        <v>14730</v>
      </c>
      <c r="F3571" s="421" t="s">
        <v>2193</v>
      </c>
      <c r="G3571" s="112">
        <v>1</v>
      </c>
      <c r="H3571" s="112">
        <v>1</v>
      </c>
      <c r="I3571" s="112">
        <v>1</v>
      </c>
      <c r="J3571" s="112">
        <v>7</v>
      </c>
      <c r="K3571" s="112">
        <v>7</v>
      </c>
      <c r="L3571" s="112">
        <v>7</v>
      </c>
      <c r="M3571" s="112">
        <v>5</v>
      </c>
      <c r="N3571" s="112">
        <v>2</v>
      </c>
      <c r="O3571" s="112">
        <v>4</v>
      </c>
    </row>
    <row r="3572" spans="1:15" x14ac:dyDescent="0.2">
      <c r="A3572" s="111">
        <v>3691</v>
      </c>
      <c r="B3572" s="421" t="s">
        <v>6221</v>
      </c>
      <c r="C3572" s="421" t="s">
        <v>563</v>
      </c>
      <c r="D3572" s="422" t="s">
        <v>663</v>
      </c>
      <c r="E3572" s="111">
        <v>15776</v>
      </c>
      <c r="F3572" s="421" t="s">
        <v>5392</v>
      </c>
    </row>
    <row r="3573" spans="1:15" x14ac:dyDescent="0.2">
      <c r="A3573" s="111">
        <v>3692</v>
      </c>
      <c r="B3573" s="421" t="s">
        <v>6222</v>
      </c>
      <c r="C3573" s="421" t="s">
        <v>2274</v>
      </c>
      <c r="D3573" s="422" t="s">
        <v>663</v>
      </c>
      <c r="E3573" s="111">
        <v>16037</v>
      </c>
      <c r="F3573" s="421" t="s">
        <v>6223</v>
      </c>
      <c r="G3573" s="112">
        <v>1</v>
      </c>
      <c r="H3573" s="112">
        <v>1</v>
      </c>
      <c r="I3573" s="112">
        <v>1</v>
      </c>
      <c r="J3573" s="112">
        <v>2</v>
      </c>
      <c r="K3573" s="112">
        <v>4</v>
      </c>
      <c r="L3573" s="112">
        <v>4</v>
      </c>
      <c r="O3573" s="112">
        <v>1</v>
      </c>
    </row>
    <row r="3574" spans="1:15" x14ac:dyDescent="0.2">
      <c r="A3574" s="111">
        <v>3693</v>
      </c>
      <c r="B3574" s="421" t="s">
        <v>7381</v>
      </c>
      <c r="C3574" s="421" t="s">
        <v>572</v>
      </c>
      <c r="D3574" s="422" t="s">
        <v>663</v>
      </c>
      <c r="E3574" s="111">
        <v>15706</v>
      </c>
      <c r="F3574" s="421" t="s">
        <v>5154</v>
      </c>
      <c r="G3574" s="112">
        <v>1</v>
      </c>
      <c r="H3574" s="112">
        <v>1</v>
      </c>
      <c r="I3574" s="112">
        <v>1</v>
      </c>
      <c r="J3574" s="112">
        <v>1</v>
      </c>
      <c r="K3574" s="112">
        <v>3</v>
      </c>
      <c r="L3574" s="112">
        <v>1</v>
      </c>
    </row>
    <row r="3575" spans="1:15" x14ac:dyDescent="0.2">
      <c r="A3575" s="111">
        <v>3694</v>
      </c>
      <c r="B3575" s="421" t="s">
        <v>6224</v>
      </c>
      <c r="C3575" s="421" t="s">
        <v>533</v>
      </c>
      <c r="D3575" s="422" t="s">
        <v>666</v>
      </c>
      <c r="E3575" s="111">
        <v>16040</v>
      </c>
      <c r="F3575" s="421" t="s">
        <v>6225</v>
      </c>
    </row>
    <row r="3576" spans="1:15" x14ac:dyDescent="0.2">
      <c r="A3576" s="111">
        <v>3695</v>
      </c>
      <c r="B3576" s="421" t="s">
        <v>6226</v>
      </c>
      <c r="C3576" s="421" t="s">
        <v>533</v>
      </c>
      <c r="D3576" s="422" t="s">
        <v>663</v>
      </c>
      <c r="E3576" s="111">
        <v>16040</v>
      </c>
      <c r="F3576" s="421" t="s">
        <v>6225</v>
      </c>
    </row>
    <row r="3577" spans="1:15" x14ac:dyDescent="0.2">
      <c r="A3577" s="111">
        <v>3696</v>
      </c>
      <c r="B3577" s="421" t="s">
        <v>6227</v>
      </c>
      <c r="C3577" s="421" t="s">
        <v>510</v>
      </c>
      <c r="D3577" s="422" t="s">
        <v>666</v>
      </c>
      <c r="E3577" s="111">
        <v>16244</v>
      </c>
      <c r="F3577" s="421" t="s">
        <v>6228</v>
      </c>
      <c r="G3577" s="112">
        <v>1</v>
      </c>
      <c r="H3577" s="112">
        <v>1</v>
      </c>
      <c r="I3577" s="112">
        <v>1</v>
      </c>
      <c r="J3577" s="112">
        <v>5</v>
      </c>
      <c r="K3577" s="112">
        <v>5</v>
      </c>
      <c r="L3577" s="112">
        <v>4</v>
      </c>
    </row>
    <row r="3578" spans="1:15" x14ac:dyDescent="0.2">
      <c r="A3578" s="111">
        <v>3697</v>
      </c>
      <c r="B3578" s="421" t="s">
        <v>7315</v>
      </c>
      <c r="C3578" s="421" t="s">
        <v>532</v>
      </c>
      <c r="D3578" s="422" t="s">
        <v>663</v>
      </c>
      <c r="E3578" s="111">
        <v>15604</v>
      </c>
      <c r="F3578" s="421" t="s">
        <v>3079</v>
      </c>
    </row>
    <row r="3579" spans="1:15" x14ac:dyDescent="0.2">
      <c r="A3579" s="111">
        <v>3698</v>
      </c>
      <c r="B3579" s="421" t="s">
        <v>6229</v>
      </c>
      <c r="C3579" s="421" t="s">
        <v>519</v>
      </c>
      <c r="D3579" s="422" t="s">
        <v>666</v>
      </c>
      <c r="E3579" s="111">
        <v>15428</v>
      </c>
      <c r="F3579" s="421" t="s">
        <v>4155</v>
      </c>
      <c r="G3579" s="112">
        <v>2</v>
      </c>
      <c r="I3579" s="112">
        <v>1</v>
      </c>
    </row>
    <row r="3580" spans="1:15" x14ac:dyDescent="0.2">
      <c r="A3580" s="111">
        <v>3699</v>
      </c>
      <c r="B3580" s="421" t="s">
        <v>6230</v>
      </c>
      <c r="C3580" s="421" t="s">
        <v>1915</v>
      </c>
      <c r="D3580" s="422" t="s">
        <v>663</v>
      </c>
      <c r="F3580" s="421" t="s">
        <v>6231</v>
      </c>
    </row>
    <row r="3581" spans="1:15" x14ac:dyDescent="0.2">
      <c r="A3581" s="111">
        <v>3700</v>
      </c>
      <c r="B3581" s="421" t="s">
        <v>6232</v>
      </c>
      <c r="C3581" s="421" t="s">
        <v>513</v>
      </c>
      <c r="D3581" s="422" t="s">
        <v>663</v>
      </c>
      <c r="E3581" s="111">
        <v>15578</v>
      </c>
      <c r="F3581" s="421" t="s">
        <v>4821</v>
      </c>
      <c r="G3581" s="112">
        <v>1</v>
      </c>
      <c r="H3581" s="112">
        <v>1</v>
      </c>
      <c r="I3581" s="112">
        <v>1</v>
      </c>
    </row>
    <row r="3582" spans="1:15" x14ac:dyDescent="0.2">
      <c r="A3582" s="111">
        <v>3701</v>
      </c>
      <c r="B3582" s="421" t="s">
        <v>6233</v>
      </c>
      <c r="C3582" s="421" t="s">
        <v>504</v>
      </c>
      <c r="D3582" s="422" t="s">
        <v>663</v>
      </c>
      <c r="E3582" s="111">
        <v>16043</v>
      </c>
      <c r="F3582" s="421" t="s">
        <v>6234</v>
      </c>
      <c r="G3582" s="112">
        <v>1</v>
      </c>
    </row>
    <row r="3583" spans="1:15" x14ac:dyDescent="0.2">
      <c r="A3583" s="111">
        <v>3702</v>
      </c>
      <c r="B3583" s="421" t="s">
        <v>2547</v>
      </c>
      <c r="C3583" s="421" t="s">
        <v>516</v>
      </c>
      <c r="D3583" s="422" t="s">
        <v>663</v>
      </c>
      <c r="E3583" s="111">
        <v>16044</v>
      </c>
      <c r="F3583" s="421" t="s">
        <v>6235</v>
      </c>
      <c r="G3583" s="112">
        <v>1</v>
      </c>
      <c r="H3583" s="112">
        <v>1</v>
      </c>
    </row>
    <row r="3584" spans="1:15" x14ac:dyDescent="0.2">
      <c r="A3584" s="111">
        <v>3703</v>
      </c>
      <c r="B3584" s="421" t="s">
        <v>6236</v>
      </c>
      <c r="C3584" s="421" t="s">
        <v>502</v>
      </c>
      <c r="D3584" s="422" t="s">
        <v>666</v>
      </c>
      <c r="E3584" s="111">
        <v>15053</v>
      </c>
      <c r="F3584" s="421" t="s">
        <v>2991</v>
      </c>
      <c r="G3584" s="112">
        <v>1</v>
      </c>
      <c r="H3584" s="112">
        <v>1</v>
      </c>
      <c r="I3584" s="112">
        <v>1</v>
      </c>
      <c r="J3584" s="112">
        <v>8</v>
      </c>
      <c r="K3584" s="112">
        <v>8</v>
      </c>
      <c r="L3584" s="112">
        <v>8</v>
      </c>
      <c r="M3584" s="112">
        <v>8</v>
      </c>
      <c r="N3584" s="112">
        <v>7</v>
      </c>
      <c r="O3584" s="112">
        <v>10</v>
      </c>
    </row>
    <row r="3585" spans="1:15" x14ac:dyDescent="0.2">
      <c r="A3585" s="111">
        <v>3704</v>
      </c>
      <c r="B3585" s="421" t="s">
        <v>2173</v>
      </c>
      <c r="C3585" s="421" t="s">
        <v>2872</v>
      </c>
      <c r="D3585" s="422" t="s">
        <v>666</v>
      </c>
      <c r="E3585" s="111">
        <v>14994</v>
      </c>
      <c r="F3585" s="421" t="s">
        <v>2873</v>
      </c>
      <c r="G3585" s="112">
        <v>1</v>
      </c>
      <c r="H3585" s="112">
        <v>1</v>
      </c>
      <c r="I3585" s="112">
        <v>1</v>
      </c>
      <c r="J3585" s="112">
        <v>8</v>
      </c>
      <c r="K3585" s="112">
        <v>8</v>
      </c>
      <c r="L3585" s="112">
        <v>9</v>
      </c>
      <c r="M3585" s="112">
        <v>5</v>
      </c>
      <c r="N3585" s="112">
        <v>3</v>
      </c>
      <c r="O3585" s="112">
        <v>6</v>
      </c>
    </row>
    <row r="3586" spans="1:15" x14ac:dyDescent="0.2">
      <c r="A3586" s="111">
        <v>3705</v>
      </c>
      <c r="B3586" s="421" t="s">
        <v>6212</v>
      </c>
      <c r="C3586" s="421" t="s">
        <v>3384</v>
      </c>
      <c r="D3586" s="422" t="s">
        <v>663</v>
      </c>
      <c r="E3586" s="111">
        <v>16045</v>
      </c>
      <c r="F3586" s="421" t="s">
        <v>6213</v>
      </c>
    </row>
    <row r="3587" spans="1:15" x14ac:dyDescent="0.2">
      <c r="A3587" s="111">
        <v>3706</v>
      </c>
      <c r="B3587" s="421" t="s">
        <v>3891</v>
      </c>
      <c r="C3587" s="421" t="s">
        <v>532</v>
      </c>
      <c r="D3587" s="422" t="s">
        <v>666</v>
      </c>
      <c r="E3587" s="111">
        <v>16046</v>
      </c>
      <c r="F3587" s="421" t="s">
        <v>6237</v>
      </c>
      <c r="G3587" s="112">
        <v>1</v>
      </c>
      <c r="H3587" s="112">
        <v>1</v>
      </c>
      <c r="I3587" s="112">
        <v>1</v>
      </c>
      <c r="J3587" s="112">
        <v>7</v>
      </c>
      <c r="K3587" s="112">
        <v>7</v>
      </c>
      <c r="L3587" s="112">
        <v>7</v>
      </c>
      <c r="M3587" s="112">
        <v>5</v>
      </c>
      <c r="N3587" s="112">
        <v>3</v>
      </c>
      <c r="O3587" s="112">
        <v>3</v>
      </c>
    </row>
    <row r="3588" spans="1:15" x14ac:dyDescent="0.2">
      <c r="A3588" s="111">
        <v>3707</v>
      </c>
      <c r="B3588" s="421" t="s">
        <v>6238</v>
      </c>
      <c r="C3588" s="421" t="s">
        <v>532</v>
      </c>
      <c r="D3588" s="422" t="s">
        <v>666</v>
      </c>
      <c r="E3588" s="111">
        <v>16046</v>
      </c>
      <c r="F3588" s="421" t="s">
        <v>6237</v>
      </c>
      <c r="G3588" s="112">
        <v>1</v>
      </c>
      <c r="H3588" s="112">
        <v>2</v>
      </c>
      <c r="I3588" s="112">
        <v>2</v>
      </c>
      <c r="J3588" s="112">
        <v>2</v>
      </c>
      <c r="K3588" s="112">
        <v>2</v>
      </c>
      <c r="L3588" s="112">
        <v>1</v>
      </c>
    </row>
    <row r="3589" spans="1:15" x14ac:dyDescent="0.2">
      <c r="A3589" s="111">
        <v>3708</v>
      </c>
      <c r="B3589" s="421" t="s">
        <v>6239</v>
      </c>
      <c r="C3589" s="421" t="s">
        <v>540</v>
      </c>
      <c r="D3589" s="422" t="s">
        <v>666</v>
      </c>
      <c r="E3589" s="111">
        <v>16047</v>
      </c>
      <c r="F3589" s="421" t="s">
        <v>6240</v>
      </c>
    </row>
    <row r="3590" spans="1:15" x14ac:dyDescent="0.2">
      <c r="A3590" s="111">
        <v>3709</v>
      </c>
      <c r="B3590" s="421" t="s">
        <v>1195</v>
      </c>
      <c r="C3590" s="421" t="s">
        <v>518</v>
      </c>
      <c r="D3590" s="422" t="s">
        <v>663</v>
      </c>
      <c r="E3590" s="111">
        <v>16134</v>
      </c>
      <c r="F3590" s="421" t="s">
        <v>6241</v>
      </c>
      <c r="G3590" s="112">
        <v>1</v>
      </c>
      <c r="H3590" s="112">
        <v>1</v>
      </c>
    </row>
    <row r="3591" spans="1:15" x14ac:dyDescent="0.2">
      <c r="A3591" s="111">
        <v>3710</v>
      </c>
      <c r="B3591" s="421" t="s">
        <v>5747</v>
      </c>
      <c r="C3591" s="421" t="s">
        <v>1446</v>
      </c>
      <c r="D3591" s="422" t="s">
        <v>666</v>
      </c>
      <c r="E3591" s="111">
        <v>14274</v>
      </c>
      <c r="F3591" s="421" t="s">
        <v>1009</v>
      </c>
      <c r="G3591" s="112">
        <v>1</v>
      </c>
      <c r="H3591" s="112">
        <v>1</v>
      </c>
      <c r="I3591" s="112">
        <v>1</v>
      </c>
      <c r="J3591" s="112">
        <v>9</v>
      </c>
      <c r="K3591" s="112">
        <v>4</v>
      </c>
      <c r="L3591" s="112">
        <v>5</v>
      </c>
      <c r="M3591" s="112">
        <v>5</v>
      </c>
      <c r="N3591" s="112">
        <v>2</v>
      </c>
      <c r="O3591" s="112">
        <v>3</v>
      </c>
    </row>
    <row r="3592" spans="1:15" x14ac:dyDescent="0.2">
      <c r="A3592" s="111">
        <v>3711</v>
      </c>
      <c r="B3592" s="421" t="s">
        <v>6242</v>
      </c>
      <c r="C3592" s="421" t="s">
        <v>516</v>
      </c>
      <c r="D3592" s="422" t="s">
        <v>663</v>
      </c>
      <c r="E3592" s="111">
        <v>15191</v>
      </c>
      <c r="F3592" s="421" t="s">
        <v>1045</v>
      </c>
      <c r="G3592" s="112">
        <v>2</v>
      </c>
      <c r="H3592" s="112">
        <v>1</v>
      </c>
      <c r="I3592" s="112">
        <v>1</v>
      </c>
      <c r="J3592" s="112">
        <v>5</v>
      </c>
      <c r="K3592" s="112">
        <v>3</v>
      </c>
      <c r="L3592" s="112">
        <v>4</v>
      </c>
      <c r="M3592" s="112">
        <v>1</v>
      </c>
    </row>
    <row r="3593" spans="1:15" x14ac:dyDescent="0.2">
      <c r="A3593" s="111">
        <v>3712</v>
      </c>
      <c r="B3593" s="421" t="s">
        <v>6243</v>
      </c>
      <c r="C3593" s="421" t="s">
        <v>551</v>
      </c>
      <c r="D3593" s="422" t="s">
        <v>666</v>
      </c>
      <c r="E3593" s="111">
        <v>16165</v>
      </c>
      <c r="F3593" s="421" t="s">
        <v>6244</v>
      </c>
      <c r="G3593" s="112">
        <v>1</v>
      </c>
      <c r="H3593" s="112">
        <v>1</v>
      </c>
      <c r="I3593" s="112">
        <v>1</v>
      </c>
    </row>
    <row r="3594" spans="1:15" x14ac:dyDescent="0.2">
      <c r="A3594" s="111">
        <v>3713</v>
      </c>
      <c r="B3594" s="421" t="s">
        <v>376</v>
      </c>
      <c r="C3594" s="421" t="s">
        <v>501</v>
      </c>
      <c r="D3594" s="422" t="s">
        <v>666</v>
      </c>
      <c r="E3594" s="111">
        <v>14625</v>
      </c>
      <c r="F3594" s="421" t="s">
        <v>1888</v>
      </c>
    </row>
    <row r="3595" spans="1:15" x14ac:dyDescent="0.2">
      <c r="A3595" s="111">
        <v>3714</v>
      </c>
      <c r="B3595" s="421" t="s">
        <v>193</v>
      </c>
      <c r="C3595" s="421" t="s">
        <v>530</v>
      </c>
      <c r="D3595" s="422" t="s">
        <v>663</v>
      </c>
      <c r="E3595" s="111">
        <v>15632</v>
      </c>
      <c r="F3595" s="421" t="s">
        <v>4914</v>
      </c>
      <c r="G3595" s="112">
        <v>2</v>
      </c>
      <c r="H3595" s="112">
        <v>1</v>
      </c>
      <c r="I3595" s="112">
        <v>2</v>
      </c>
      <c r="J3595" s="112">
        <v>1</v>
      </c>
      <c r="K3595" s="112">
        <v>2</v>
      </c>
      <c r="L3595" s="112">
        <v>2</v>
      </c>
    </row>
    <row r="3596" spans="1:15" x14ac:dyDescent="0.2">
      <c r="A3596" s="111">
        <v>3715</v>
      </c>
      <c r="B3596" s="421" t="s">
        <v>208</v>
      </c>
      <c r="C3596" s="421" t="s">
        <v>581</v>
      </c>
      <c r="D3596" s="422" t="s">
        <v>663</v>
      </c>
      <c r="E3596" s="111">
        <v>15834</v>
      </c>
      <c r="F3596" s="421" t="s">
        <v>5522</v>
      </c>
      <c r="G3596" s="112">
        <v>1</v>
      </c>
      <c r="H3596" s="112">
        <v>1</v>
      </c>
      <c r="I3596" s="112">
        <v>1</v>
      </c>
      <c r="J3596" s="112">
        <v>6</v>
      </c>
      <c r="K3596" s="112">
        <v>6</v>
      </c>
      <c r="L3596" s="112">
        <v>6</v>
      </c>
      <c r="M3596" s="112">
        <v>6</v>
      </c>
      <c r="N3596" s="112">
        <v>2</v>
      </c>
      <c r="O3596" s="112">
        <v>1</v>
      </c>
    </row>
    <row r="3597" spans="1:15" x14ac:dyDescent="0.2">
      <c r="A3597" s="111">
        <v>3716</v>
      </c>
      <c r="B3597" s="421" t="s">
        <v>1831</v>
      </c>
      <c r="C3597" s="421" t="s">
        <v>540</v>
      </c>
      <c r="D3597" s="422" t="s">
        <v>666</v>
      </c>
      <c r="E3597" s="111">
        <v>15639</v>
      </c>
      <c r="F3597" s="421" t="s">
        <v>4930</v>
      </c>
      <c r="G3597" s="112">
        <v>1</v>
      </c>
      <c r="H3597" s="112">
        <v>1</v>
      </c>
    </row>
    <row r="3598" spans="1:15" x14ac:dyDescent="0.2">
      <c r="A3598" s="111">
        <v>3717</v>
      </c>
      <c r="B3598" s="421" t="s">
        <v>4636</v>
      </c>
      <c r="C3598" s="421" t="s">
        <v>2872</v>
      </c>
      <c r="D3598" s="422" t="s">
        <v>666</v>
      </c>
      <c r="E3598" s="111">
        <v>16035</v>
      </c>
      <c r="F3598" s="421" t="s">
        <v>5913</v>
      </c>
      <c r="G3598" s="112">
        <v>1</v>
      </c>
      <c r="I3598" s="112">
        <v>1</v>
      </c>
    </row>
    <row r="3599" spans="1:15" x14ac:dyDescent="0.2">
      <c r="A3599" s="111">
        <v>3718</v>
      </c>
      <c r="B3599" s="421" t="s">
        <v>5840</v>
      </c>
      <c r="C3599" s="421" t="s">
        <v>523</v>
      </c>
      <c r="D3599" s="422" t="s">
        <v>666</v>
      </c>
      <c r="E3599" s="111">
        <v>16051</v>
      </c>
      <c r="F3599" s="421" t="s">
        <v>6245</v>
      </c>
      <c r="G3599" s="112">
        <v>1</v>
      </c>
      <c r="H3599" s="112">
        <v>2</v>
      </c>
      <c r="I3599" s="112">
        <v>1</v>
      </c>
    </row>
    <row r="3600" spans="1:15" x14ac:dyDescent="0.2">
      <c r="A3600" s="111">
        <v>3719</v>
      </c>
      <c r="B3600" s="421" t="s">
        <v>6246</v>
      </c>
      <c r="C3600" s="421" t="s">
        <v>501</v>
      </c>
      <c r="D3600" s="422" t="s">
        <v>666</v>
      </c>
      <c r="E3600" s="111">
        <v>15768</v>
      </c>
      <c r="F3600" s="421" t="s">
        <v>2904</v>
      </c>
      <c r="G3600" s="112">
        <v>1</v>
      </c>
      <c r="H3600" s="112">
        <v>1</v>
      </c>
      <c r="I3600" s="112">
        <v>1</v>
      </c>
      <c r="J3600" s="112">
        <v>3</v>
      </c>
      <c r="K3600" s="112">
        <v>3</v>
      </c>
      <c r="L3600" s="112">
        <v>3</v>
      </c>
      <c r="M3600" s="112">
        <v>2</v>
      </c>
      <c r="N3600" s="112">
        <v>3</v>
      </c>
      <c r="O3600" s="112">
        <v>2</v>
      </c>
    </row>
    <row r="3601" spans="1:15" x14ac:dyDescent="0.2">
      <c r="A3601" s="111">
        <v>3720</v>
      </c>
      <c r="B3601" s="421" t="s">
        <v>1509</v>
      </c>
      <c r="C3601" s="421" t="s">
        <v>513</v>
      </c>
      <c r="D3601" s="422" t="s">
        <v>666</v>
      </c>
      <c r="E3601" s="111">
        <v>16052</v>
      </c>
      <c r="F3601" s="421" t="s">
        <v>6247</v>
      </c>
      <c r="G3601" s="112">
        <v>1</v>
      </c>
      <c r="H3601" s="112">
        <v>1</v>
      </c>
      <c r="I3601" s="112">
        <v>1</v>
      </c>
      <c r="J3601" s="112">
        <v>2</v>
      </c>
      <c r="K3601" s="112">
        <v>1</v>
      </c>
      <c r="L3601" s="112">
        <v>3</v>
      </c>
    </row>
    <row r="3602" spans="1:15" x14ac:dyDescent="0.2">
      <c r="A3602" s="111">
        <v>3721</v>
      </c>
      <c r="B3602" s="421" t="s">
        <v>6248</v>
      </c>
      <c r="C3602" s="421" t="s">
        <v>551</v>
      </c>
      <c r="D3602" s="422" t="s">
        <v>663</v>
      </c>
      <c r="E3602" s="111">
        <v>15962</v>
      </c>
      <c r="F3602" s="421" t="s">
        <v>5896</v>
      </c>
      <c r="G3602" s="112">
        <v>1</v>
      </c>
      <c r="I3602" s="112">
        <v>1</v>
      </c>
    </row>
    <row r="3603" spans="1:15" x14ac:dyDescent="0.2">
      <c r="A3603" s="111">
        <v>3722</v>
      </c>
      <c r="B3603" s="421" t="s">
        <v>6249</v>
      </c>
      <c r="C3603" s="421" t="s">
        <v>501</v>
      </c>
      <c r="D3603" s="422" t="s">
        <v>663</v>
      </c>
      <c r="E3603" s="111">
        <v>15962</v>
      </c>
      <c r="F3603" s="421" t="s">
        <v>5896</v>
      </c>
      <c r="G3603" s="112">
        <v>1</v>
      </c>
      <c r="H3603" s="112">
        <v>1</v>
      </c>
      <c r="I3603" s="112">
        <v>1</v>
      </c>
      <c r="J3603" s="112">
        <v>1</v>
      </c>
    </row>
    <row r="3604" spans="1:15" x14ac:dyDescent="0.2">
      <c r="A3604" s="111">
        <v>3723</v>
      </c>
      <c r="B3604" s="421" t="s">
        <v>6250</v>
      </c>
      <c r="C3604" s="421" t="s">
        <v>4162</v>
      </c>
      <c r="D3604" s="422" t="s">
        <v>663</v>
      </c>
      <c r="E3604" s="111">
        <v>14791</v>
      </c>
      <c r="F3604" s="421" t="s">
        <v>2355</v>
      </c>
      <c r="G3604" s="112">
        <v>1</v>
      </c>
      <c r="H3604" s="112">
        <v>1</v>
      </c>
      <c r="I3604" s="112">
        <v>1</v>
      </c>
      <c r="J3604" s="112">
        <v>1</v>
      </c>
    </row>
    <row r="3605" spans="1:15" x14ac:dyDescent="0.2">
      <c r="A3605" s="111">
        <v>3724</v>
      </c>
      <c r="B3605" s="421" t="s">
        <v>1863</v>
      </c>
      <c r="C3605" s="421" t="s">
        <v>551</v>
      </c>
      <c r="D3605" s="422" t="s">
        <v>663</v>
      </c>
      <c r="E3605" s="111">
        <v>16053</v>
      </c>
      <c r="F3605" s="421" t="s">
        <v>6251</v>
      </c>
    </row>
    <row r="3606" spans="1:15" x14ac:dyDescent="0.2">
      <c r="A3606" s="111">
        <v>3725</v>
      </c>
      <c r="B3606" s="421" t="s">
        <v>1543</v>
      </c>
      <c r="C3606" s="421" t="s">
        <v>551</v>
      </c>
      <c r="D3606" s="422" t="s">
        <v>663</v>
      </c>
      <c r="E3606" s="111">
        <v>15360</v>
      </c>
      <c r="F3606" s="421" t="s">
        <v>3899</v>
      </c>
      <c r="G3606" s="112">
        <v>1</v>
      </c>
      <c r="H3606" s="112">
        <v>1</v>
      </c>
      <c r="I3606" s="112">
        <v>1</v>
      </c>
      <c r="J3606" s="112">
        <v>7</v>
      </c>
      <c r="K3606" s="112">
        <v>6</v>
      </c>
      <c r="L3606" s="112">
        <v>8</v>
      </c>
      <c r="M3606" s="112">
        <v>17</v>
      </c>
      <c r="N3606" s="112">
        <v>11</v>
      </c>
      <c r="O3606" s="112">
        <v>17</v>
      </c>
    </row>
    <row r="3607" spans="1:15" x14ac:dyDescent="0.2">
      <c r="A3607" s="111">
        <v>3726</v>
      </c>
      <c r="B3607" s="421" t="s">
        <v>6034</v>
      </c>
      <c r="C3607" s="421" t="s">
        <v>516</v>
      </c>
      <c r="D3607" s="422" t="s">
        <v>666</v>
      </c>
      <c r="E3607" s="111">
        <v>16054</v>
      </c>
      <c r="F3607" s="421" t="s">
        <v>9029</v>
      </c>
      <c r="G3607" s="112">
        <v>1</v>
      </c>
      <c r="H3607" s="112">
        <v>1</v>
      </c>
      <c r="I3607" s="112">
        <v>2</v>
      </c>
      <c r="K3607" s="112">
        <v>1</v>
      </c>
      <c r="L3607" s="112">
        <v>1</v>
      </c>
    </row>
    <row r="3608" spans="1:15" x14ac:dyDescent="0.2">
      <c r="A3608" s="111">
        <v>3727</v>
      </c>
      <c r="B3608" s="421" t="s">
        <v>6252</v>
      </c>
      <c r="C3608" s="421" t="s">
        <v>1908</v>
      </c>
      <c r="D3608" s="422" t="s">
        <v>666</v>
      </c>
      <c r="E3608" s="111">
        <v>14758</v>
      </c>
      <c r="F3608" s="421" t="s">
        <v>2248</v>
      </c>
      <c r="G3608" s="112">
        <v>1</v>
      </c>
      <c r="H3608" s="112">
        <v>1</v>
      </c>
      <c r="I3608" s="112">
        <v>1</v>
      </c>
      <c r="J3608" s="112">
        <v>3</v>
      </c>
      <c r="K3608" s="112">
        <v>4</v>
      </c>
      <c r="L3608" s="112">
        <v>4</v>
      </c>
      <c r="M3608" s="112">
        <v>5</v>
      </c>
      <c r="O3608" s="112">
        <v>3</v>
      </c>
    </row>
    <row r="3609" spans="1:15" x14ac:dyDescent="0.2">
      <c r="A3609" s="111">
        <v>3728</v>
      </c>
      <c r="B3609" s="421" t="s">
        <v>3076</v>
      </c>
      <c r="C3609" s="421" t="s">
        <v>501</v>
      </c>
      <c r="D3609" s="422" t="s">
        <v>663</v>
      </c>
      <c r="E3609" s="111">
        <v>15129</v>
      </c>
      <c r="F3609" s="421" t="s">
        <v>3221</v>
      </c>
      <c r="G3609" s="112">
        <v>2</v>
      </c>
      <c r="H3609" s="112">
        <v>1</v>
      </c>
      <c r="I3609" s="112">
        <v>2</v>
      </c>
      <c r="J3609" s="112">
        <v>1</v>
      </c>
      <c r="K3609" s="112">
        <v>1</v>
      </c>
      <c r="L3609" s="112">
        <v>1</v>
      </c>
    </row>
    <row r="3610" spans="1:15" x14ac:dyDescent="0.2">
      <c r="A3610" s="111">
        <v>3729</v>
      </c>
      <c r="B3610" s="421" t="s">
        <v>1637</v>
      </c>
      <c r="C3610" s="421" t="s">
        <v>533</v>
      </c>
      <c r="D3610" s="422" t="s">
        <v>666</v>
      </c>
      <c r="E3610" s="111">
        <v>16055</v>
      </c>
      <c r="F3610" s="421" t="s">
        <v>6253</v>
      </c>
      <c r="G3610" s="112">
        <v>1</v>
      </c>
      <c r="H3610" s="112">
        <v>1</v>
      </c>
      <c r="I3610" s="112">
        <v>1</v>
      </c>
      <c r="J3610" s="112">
        <v>9</v>
      </c>
      <c r="K3610" s="112">
        <v>7</v>
      </c>
      <c r="L3610" s="112">
        <v>8</v>
      </c>
      <c r="M3610" s="112">
        <v>7</v>
      </c>
      <c r="N3610" s="112">
        <v>3</v>
      </c>
      <c r="O3610" s="112">
        <v>4</v>
      </c>
    </row>
    <row r="3611" spans="1:15" x14ac:dyDescent="0.2">
      <c r="A3611" s="111">
        <v>3730</v>
      </c>
      <c r="B3611" s="421" t="s">
        <v>6254</v>
      </c>
      <c r="C3611" s="421" t="s">
        <v>577</v>
      </c>
      <c r="D3611" s="422" t="s">
        <v>666</v>
      </c>
      <c r="F3611" s="421" t="s">
        <v>6255</v>
      </c>
    </row>
    <row r="3612" spans="1:15" x14ac:dyDescent="0.2">
      <c r="A3612" s="111">
        <v>3731</v>
      </c>
      <c r="B3612" s="421" t="s">
        <v>6256</v>
      </c>
      <c r="C3612" s="421" t="s">
        <v>1908</v>
      </c>
      <c r="D3612" s="422" t="s">
        <v>663</v>
      </c>
      <c r="E3612" s="111">
        <v>14537</v>
      </c>
      <c r="F3612" s="421" t="s">
        <v>16197</v>
      </c>
      <c r="G3612" s="112">
        <v>1</v>
      </c>
      <c r="H3612" s="112">
        <v>1</v>
      </c>
      <c r="I3612" s="112">
        <v>1</v>
      </c>
      <c r="J3612" s="112">
        <v>12</v>
      </c>
      <c r="K3612" s="112">
        <v>10</v>
      </c>
      <c r="L3612" s="112">
        <v>10</v>
      </c>
      <c r="M3612" s="112">
        <v>25</v>
      </c>
      <c r="N3612" s="112">
        <v>20</v>
      </c>
      <c r="O3612" s="112">
        <v>16</v>
      </c>
    </row>
    <row r="3613" spans="1:15" x14ac:dyDescent="0.2">
      <c r="A3613" s="111">
        <v>3732</v>
      </c>
      <c r="B3613" s="421" t="s">
        <v>6257</v>
      </c>
      <c r="C3613" s="421" t="s">
        <v>503</v>
      </c>
      <c r="D3613" s="422" t="s">
        <v>663</v>
      </c>
      <c r="E3613" s="111">
        <v>15001</v>
      </c>
      <c r="F3613" s="421" t="s">
        <v>17460</v>
      </c>
      <c r="G3613" s="112">
        <v>1</v>
      </c>
      <c r="H3613" s="112">
        <v>1</v>
      </c>
      <c r="I3613" s="112">
        <v>1</v>
      </c>
      <c r="J3613" s="112">
        <v>1</v>
      </c>
      <c r="K3613" s="112">
        <v>1</v>
      </c>
      <c r="L3613" s="112">
        <v>1</v>
      </c>
      <c r="M3613" s="112">
        <v>2</v>
      </c>
      <c r="N3613" s="112">
        <v>1</v>
      </c>
      <c r="O3613" s="112">
        <v>2</v>
      </c>
    </row>
    <row r="3614" spans="1:15" x14ac:dyDescent="0.2">
      <c r="A3614" s="111">
        <v>3733</v>
      </c>
      <c r="B3614" s="421" t="s">
        <v>6258</v>
      </c>
      <c r="C3614" s="421" t="s">
        <v>589</v>
      </c>
      <c r="D3614" s="422" t="s">
        <v>666</v>
      </c>
      <c r="E3614" s="111">
        <v>15372</v>
      </c>
      <c r="F3614" s="421" t="s">
        <v>3917</v>
      </c>
      <c r="G3614" s="112">
        <v>1</v>
      </c>
      <c r="H3614" s="112">
        <v>1</v>
      </c>
      <c r="I3614" s="112">
        <v>1</v>
      </c>
    </row>
    <row r="3615" spans="1:15" x14ac:dyDescent="0.2">
      <c r="A3615" s="111">
        <v>3734</v>
      </c>
      <c r="B3615" s="421" t="s">
        <v>3052</v>
      </c>
      <c r="C3615" s="421" t="s">
        <v>502</v>
      </c>
      <c r="D3615" s="422" t="s">
        <v>666</v>
      </c>
      <c r="E3615" s="111">
        <v>16057</v>
      </c>
      <c r="F3615" s="421" t="s">
        <v>6259</v>
      </c>
      <c r="G3615" s="112">
        <v>1</v>
      </c>
      <c r="H3615" s="112">
        <v>1</v>
      </c>
      <c r="I3615" s="112">
        <v>1</v>
      </c>
    </row>
    <row r="3616" spans="1:15" x14ac:dyDescent="0.2">
      <c r="A3616" s="111">
        <v>3735</v>
      </c>
      <c r="B3616" s="421" t="s">
        <v>5394</v>
      </c>
      <c r="C3616" s="421" t="s">
        <v>560</v>
      </c>
      <c r="D3616" s="422" t="s">
        <v>663</v>
      </c>
      <c r="E3616" s="111">
        <v>14129</v>
      </c>
      <c r="F3616" s="421" t="s">
        <v>823</v>
      </c>
    </row>
    <row r="3617" spans="1:15" x14ac:dyDescent="0.2">
      <c r="A3617" s="111">
        <v>3736</v>
      </c>
      <c r="B3617" s="421" t="s">
        <v>6260</v>
      </c>
      <c r="C3617" s="421" t="s">
        <v>506</v>
      </c>
      <c r="D3617" s="422" t="s">
        <v>663</v>
      </c>
      <c r="E3617" s="111">
        <v>16058</v>
      </c>
      <c r="F3617" s="421" t="s">
        <v>6261</v>
      </c>
      <c r="G3617" s="112">
        <v>1</v>
      </c>
      <c r="H3617" s="112">
        <v>1</v>
      </c>
      <c r="I3617" s="112">
        <v>1</v>
      </c>
      <c r="J3617" s="112">
        <v>9</v>
      </c>
      <c r="K3617" s="112">
        <v>9</v>
      </c>
      <c r="L3617" s="112">
        <v>10</v>
      </c>
      <c r="M3617" s="112">
        <v>14</v>
      </c>
      <c r="N3617" s="112">
        <v>11</v>
      </c>
      <c r="O3617" s="112">
        <v>11</v>
      </c>
    </row>
    <row r="3618" spans="1:15" x14ac:dyDescent="0.2">
      <c r="A3618" s="111">
        <v>3737</v>
      </c>
      <c r="B3618" s="421" t="s">
        <v>106</v>
      </c>
      <c r="C3618" s="421" t="s">
        <v>506</v>
      </c>
      <c r="D3618" s="422" t="s">
        <v>666</v>
      </c>
      <c r="F3618" s="421" t="s">
        <v>6262</v>
      </c>
      <c r="G3618" s="112">
        <v>1</v>
      </c>
      <c r="L3618" s="112">
        <v>1</v>
      </c>
    </row>
    <row r="3619" spans="1:15" x14ac:dyDescent="0.2">
      <c r="A3619" s="111">
        <v>3738</v>
      </c>
      <c r="B3619" s="421" t="s">
        <v>6263</v>
      </c>
      <c r="C3619" s="421" t="s">
        <v>522</v>
      </c>
      <c r="D3619" s="422" t="s">
        <v>663</v>
      </c>
      <c r="E3619" s="111">
        <v>16060</v>
      </c>
      <c r="F3619" s="421" t="s">
        <v>6264</v>
      </c>
      <c r="G3619" s="112">
        <v>1</v>
      </c>
      <c r="H3619" s="112">
        <v>1</v>
      </c>
      <c r="I3619" s="112">
        <v>1</v>
      </c>
      <c r="J3619" s="112">
        <v>5</v>
      </c>
      <c r="K3619" s="112">
        <v>2</v>
      </c>
      <c r="L3619" s="112">
        <v>2</v>
      </c>
      <c r="M3619" s="112">
        <v>1</v>
      </c>
    </row>
    <row r="3620" spans="1:15" x14ac:dyDescent="0.2">
      <c r="A3620" s="111">
        <v>3739</v>
      </c>
      <c r="B3620" s="421" t="s">
        <v>6265</v>
      </c>
      <c r="C3620" s="421" t="s">
        <v>522</v>
      </c>
      <c r="D3620" s="422" t="s">
        <v>666</v>
      </c>
      <c r="E3620" s="111">
        <v>16060</v>
      </c>
      <c r="F3620" s="421" t="s">
        <v>6264</v>
      </c>
      <c r="G3620" s="112">
        <v>1</v>
      </c>
      <c r="H3620" s="112">
        <v>1</v>
      </c>
      <c r="I3620" s="112">
        <v>1</v>
      </c>
      <c r="J3620" s="112">
        <v>1</v>
      </c>
    </row>
    <row r="3621" spans="1:15" x14ac:dyDescent="0.2">
      <c r="A3621" s="111">
        <v>3740</v>
      </c>
      <c r="B3621" s="421" t="s">
        <v>6266</v>
      </c>
      <c r="C3621" s="421" t="s">
        <v>513</v>
      </c>
      <c r="D3621" s="422" t="s">
        <v>666</v>
      </c>
      <c r="E3621" s="111">
        <v>16056</v>
      </c>
      <c r="F3621" s="421" t="s">
        <v>6267</v>
      </c>
      <c r="G3621" s="112">
        <v>1</v>
      </c>
      <c r="H3621" s="112">
        <v>1</v>
      </c>
      <c r="I3621" s="112">
        <v>1</v>
      </c>
      <c r="J3621" s="112">
        <v>14</v>
      </c>
      <c r="K3621" s="112">
        <v>11</v>
      </c>
      <c r="L3621" s="112">
        <v>8</v>
      </c>
      <c r="M3621" s="112">
        <v>4</v>
      </c>
      <c r="N3621" s="112">
        <v>3</v>
      </c>
      <c r="O3621" s="112">
        <v>3</v>
      </c>
    </row>
    <row r="3622" spans="1:15" x14ac:dyDescent="0.2">
      <c r="A3622" s="111">
        <v>3741</v>
      </c>
      <c r="B3622" s="421" t="s">
        <v>365</v>
      </c>
      <c r="C3622" s="421" t="s">
        <v>2165</v>
      </c>
      <c r="D3622" s="422" t="s">
        <v>666</v>
      </c>
      <c r="E3622" s="111">
        <v>15880</v>
      </c>
      <c r="F3622" s="421" t="s">
        <v>5601</v>
      </c>
      <c r="G3622" s="112">
        <v>1</v>
      </c>
      <c r="H3622" s="112">
        <v>1</v>
      </c>
      <c r="I3622" s="112">
        <v>1</v>
      </c>
      <c r="J3622" s="112">
        <v>4</v>
      </c>
      <c r="K3622" s="112">
        <v>3</v>
      </c>
      <c r="L3622" s="112">
        <v>3</v>
      </c>
    </row>
    <row r="3623" spans="1:15" x14ac:dyDescent="0.2">
      <c r="A3623" s="111">
        <v>3742</v>
      </c>
      <c r="B3623" s="421" t="s">
        <v>6268</v>
      </c>
      <c r="C3623" s="421" t="s">
        <v>514</v>
      </c>
      <c r="D3623" s="422" t="s">
        <v>663</v>
      </c>
      <c r="F3623" s="421" t="s">
        <v>6269</v>
      </c>
      <c r="G3623" s="112">
        <v>1</v>
      </c>
      <c r="H3623" s="112">
        <v>1</v>
      </c>
      <c r="I3623" s="112">
        <v>1</v>
      </c>
      <c r="J3623" s="112">
        <v>1</v>
      </c>
    </row>
    <row r="3624" spans="1:15" x14ac:dyDescent="0.2">
      <c r="A3624" s="111">
        <v>3743</v>
      </c>
      <c r="B3624" s="421" t="s">
        <v>6288</v>
      </c>
      <c r="C3624" s="421" t="s">
        <v>551</v>
      </c>
      <c r="D3624" s="422" t="s">
        <v>666</v>
      </c>
      <c r="E3624" s="111">
        <v>15848</v>
      </c>
      <c r="F3624" s="421" t="s">
        <v>5543</v>
      </c>
    </row>
    <row r="3625" spans="1:15" x14ac:dyDescent="0.2">
      <c r="A3625" s="111">
        <v>3744</v>
      </c>
      <c r="B3625" s="421" t="s">
        <v>5394</v>
      </c>
      <c r="C3625" s="421" t="s">
        <v>506</v>
      </c>
      <c r="D3625" s="422" t="s">
        <v>663</v>
      </c>
      <c r="E3625" s="111">
        <v>15797</v>
      </c>
      <c r="F3625" s="421" t="s">
        <v>5443</v>
      </c>
      <c r="G3625" s="112">
        <v>1</v>
      </c>
      <c r="H3625" s="112">
        <v>1</v>
      </c>
      <c r="I3625" s="112">
        <v>1</v>
      </c>
      <c r="J3625" s="112">
        <v>1</v>
      </c>
      <c r="K3625" s="112">
        <v>1</v>
      </c>
    </row>
    <row r="3626" spans="1:15" x14ac:dyDescent="0.2">
      <c r="A3626" s="111">
        <v>3745</v>
      </c>
      <c r="B3626" s="421" t="s">
        <v>1273</v>
      </c>
      <c r="C3626" s="421" t="s">
        <v>510</v>
      </c>
      <c r="D3626" s="422" t="s">
        <v>666</v>
      </c>
      <c r="E3626" s="111">
        <v>14580</v>
      </c>
      <c r="F3626" s="421" t="s">
        <v>1760</v>
      </c>
      <c r="G3626" s="112">
        <v>1</v>
      </c>
      <c r="H3626" s="112">
        <v>1</v>
      </c>
      <c r="I3626" s="112">
        <v>1</v>
      </c>
      <c r="J3626" s="112">
        <v>11</v>
      </c>
      <c r="K3626" s="112">
        <v>10</v>
      </c>
      <c r="L3626" s="112">
        <v>7</v>
      </c>
      <c r="M3626" s="112">
        <v>1</v>
      </c>
      <c r="N3626" s="112">
        <v>1</v>
      </c>
      <c r="O3626" s="112">
        <v>1</v>
      </c>
    </row>
    <row r="3627" spans="1:15" x14ac:dyDescent="0.2">
      <c r="A3627" s="111">
        <v>3746</v>
      </c>
      <c r="B3627" s="421" t="s">
        <v>1771</v>
      </c>
      <c r="C3627" s="421" t="s">
        <v>530</v>
      </c>
      <c r="D3627" s="422" t="s">
        <v>666</v>
      </c>
      <c r="E3627" s="111">
        <v>16062</v>
      </c>
      <c r="F3627" s="421" t="s">
        <v>6289</v>
      </c>
      <c r="G3627" s="112">
        <v>1</v>
      </c>
      <c r="H3627" s="112">
        <v>1</v>
      </c>
      <c r="I3627" s="112">
        <v>1</v>
      </c>
      <c r="J3627" s="112">
        <v>5</v>
      </c>
      <c r="K3627" s="112">
        <v>6</v>
      </c>
      <c r="L3627" s="112">
        <v>5</v>
      </c>
      <c r="M3627" s="112">
        <v>8</v>
      </c>
      <c r="N3627" s="112">
        <v>5</v>
      </c>
      <c r="O3627" s="112">
        <v>8</v>
      </c>
    </row>
    <row r="3628" spans="1:15" x14ac:dyDescent="0.2">
      <c r="A3628" s="111">
        <v>3747</v>
      </c>
      <c r="B3628" s="421" t="s">
        <v>6290</v>
      </c>
      <c r="C3628" s="421" t="s">
        <v>563</v>
      </c>
      <c r="D3628" s="422" t="s">
        <v>663</v>
      </c>
      <c r="F3628" s="421" t="s">
        <v>6291</v>
      </c>
      <c r="G3628" s="112">
        <v>1</v>
      </c>
      <c r="H3628" s="112">
        <v>1</v>
      </c>
      <c r="I3628" s="112">
        <v>1</v>
      </c>
      <c r="J3628" s="112">
        <v>1</v>
      </c>
      <c r="K3628" s="112">
        <v>1</v>
      </c>
      <c r="L3628" s="112">
        <v>1</v>
      </c>
    </row>
    <row r="3629" spans="1:15" x14ac:dyDescent="0.2">
      <c r="A3629" s="111">
        <v>3748</v>
      </c>
      <c r="B3629" s="421" t="s">
        <v>6292</v>
      </c>
      <c r="C3629" s="421" t="s">
        <v>549</v>
      </c>
      <c r="D3629" s="422" t="s">
        <v>663</v>
      </c>
      <c r="E3629" s="111">
        <v>16063</v>
      </c>
      <c r="F3629" s="421" t="s">
        <v>6293</v>
      </c>
      <c r="G3629" s="112">
        <v>1</v>
      </c>
      <c r="H3629" s="112">
        <v>1</v>
      </c>
      <c r="I3629" s="112">
        <v>1</v>
      </c>
      <c r="J3629" s="112">
        <v>1</v>
      </c>
      <c r="K3629" s="112">
        <v>2</v>
      </c>
      <c r="L3629" s="112">
        <v>1</v>
      </c>
      <c r="M3629" s="112">
        <v>1</v>
      </c>
      <c r="N3629" s="112">
        <v>1</v>
      </c>
      <c r="O3629" s="112">
        <v>1</v>
      </c>
    </row>
    <row r="3630" spans="1:15" x14ac:dyDescent="0.2">
      <c r="A3630" s="111">
        <v>3749</v>
      </c>
      <c r="B3630" s="421" t="s">
        <v>3014</v>
      </c>
      <c r="C3630" s="421" t="s">
        <v>502</v>
      </c>
      <c r="D3630" s="422" t="s">
        <v>663</v>
      </c>
      <c r="E3630" s="111">
        <v>16065</v>
      </c>
      <c r="F3630" s="421" t="s">
        <v>6294</v>
      </c>
    </row>
    <row r="3631" spans="1:15" x14ac:dyDescent="0.2">
      <c r="A3631" s="111">
        <v>3750</v>
      </c>
      <c r="B3631" s="421" t="s">
        <v>1940</v>
      </c>
      <c r="C3631" s="421" t="s">
        <v>506</v>
      </c>
      <c r="D3631" s="422" t="s">
        <v>666</v>
      </c>
      <c r="E3631" s="111">
        <v>16067</v>
      </c>
      <c r="F3631" s="421" t="s">
        <v>6295</v>
      </c>
      <c r="G3631" s="112">
        <v>1</v>
      </c>
      <c r="H3631" s="112">
        <v>1</v>
      </c>
      <c r="I3631" s="112">
        <v>1</v>
      </c>
      <c r="J3631" s="112">
        <v>2</v>
      </c>
      <c r="K3631" s="112">
        <v>2</v>
      </c>
      <c r="L3631" s="112">
        <v>1</v>
      </c>
      <c r="M3631" s="112">
        <v>1</v>
      </c>
      <c r="N3631" s="112">
        <v>1</v>
      </c>
      <c r="O3631" s="112">
        <v>1</v>
      </c>
    </row>
    <row r="3632" spans="1:15" x14ac:dyDescent="0.2">
      <c r="A3632" s="111">
        <v>3751</v>
      </c>
      <c r="B3632" s="421" t="s">
        <v>6296</v>
      </c>
      <c r="C3632" s="421" t="s">
        <v>501</v>
      </c>
      <c r="D3632" s="422" t="s">
        <v>663</v>
      </c>
      <c r="E3632" s="111">
        <v>14993</v>
      </c>
      <c r="F3632" s="421" t="s">
        <v>2281</v>
      </c>
    </row>
    <row r="3633" spans="1:15" x14ac:dyDescent="0.2">
      <c r="A3633" s="111">
        <v>3752</v>
      </c>
      <c r="B3633" s="421" t="s">
        <v>6297</v>
      </c>
      <c r="C3633" s="421" t="s">
        <v>547</v>
      </c>
      <c r="D3633" s="422" t="s">
        <v>666</v>
      </c>
      <c r="E3633" s="111">
        <v>16068</v>
      </c>
      <c r="F3633" s="421" t="s">
        <v>6298</v>
      </c>
      <c r="H3633" s="112">
        <v>1</v>
      </c>
    </row>
    <row r="3634" spans="1:15" x14ac:dyDescent="0.2">
      <c r="A3634" s="111">
        <v>3753</v>
      </c>
      <c r="B3634" s="421" t="s">
        <v>313</v>
      </c>
      <c r="C3634" s="421" t="s">
        <v>502</v>
      </c>
      <c r="D3634" s="422" t="s">
        <v>666</v>
      </c>
      <c r="E3634" s="111">
        <v>16069</v>
      </c>
      <c r="F3634" s="421" t="s">
        <v>6299</v>
      </c>
      <c r="G3634" s="112">
        <v>3</v>
      </c>
      <c r="H3634" s="112">
        <v>2</v>
      </c>
      <c r="I3634" s="112">
        <v>2</v>
      </c>
      <c r="J3634" s="112">
        <v>5</v>
      </c>
      <c r="K3634" s="112">
        <v>6</v>
      </c>
      <c r="L3634" s="112">
        <v>6</v>
      </c>
      <c r="M3634" s="112">
        <v>2</v>
      </c>
    </row>
    <row r="3635" spans="1:15" x14ac:dyDescent="0.2">
      <c r="A3635" s="111">
        <v>3754</v>
      </c>
      <c r="B3635" s="421" t="s">
        <v>6300</v>
      </c>
      <c r="C3635" s="421" t="s">
        <v>574</v>
      </c>
      <c r="D3635" s="422" t="s">
        <v>663</v>
      </c>
      <c r="E3635" s="111">
        <v>16070</v>
      </c>
      <c r="F3635" s="421" t="s">
        <v>3042</v>
      </c>
      <c r="G3635" s="112">
        <v>1</v>
      </c>
      <c r="H3635" s="112">
        <v>1</v>
      </c>
      <c r="I3635" s="112">
        <v>1</v>
      </c>
      <c r="J3635" s="112">
        <v>3</v>
      </c>
      <c r="K3635" s="112">
        <v>3</v>
      </c>
      <c r="L3635" s="112">
        <v>4</v>
      </c>
    </row>
    <row r="3636" spans="1:15" x14ac:dyDescent="0.2">
      <c r="A3636" s="111">
        <v>3755</v>
      </c>
      <c r="B3636" s="421" t="s">
        <v>4592</v>
      </c>
      <c r="C3636" s="421" t="s">
        <v>516</v>
      </c>
      <c r="D3636" s="422" t="s">
        <v>663</v>
      </c>
      <c r="E3636" s="111">
        <v>16071</v>
      </c>
      <c r="F3636" s="421" t="s">
        <v>7155</v>
      </c>
      <c r="G3636" s="112">
        <v>1</v>
      </c>
      <c r="H3636" s="112">
        <v>1</v>
      </c>
      <c r="I3636" s="112">
        <v>1</v>
      </c>
      <c r="J3636" s="112">
        <v>4</v>
      </c>
      <c r="K3636" s="112">
        <v>6</v>
      </c>
      <c r="L3636" s="112">
        <v>3</v>
      </c>
      <c r="M3636" s="112">
        <v>3</v>
      </c>
      <c r="N3636" s="112">
        <v>3</v>
      </c>
      <c r="O3636" s="112">
        <v>1</v>
      </c>
    </row>
    <row r="3637" spans="1:15" x14ac:dyDescent="0.2">
      <c r="A3637" s="111">
        <v>3756</v>
      </c>
      <c r="B3637" s="421" t="s">
        <v>112</v>
      </c>
      <c r="C3637" s="421" t="s">
        <v>1994</v>
      </c>
      <c r="D3637" s="422" t="s">
        <v>663</v>
      </c>
      <c r="E3637" s="111">
        <v>16911</v>
      </c>
      <c r="F3637" s="421" t="s">
        <v>15227</v>
      </c>
      <c r="G3637" s="112">
        <v>2</v>
      </c>
      <c r="H3637" s="112">
        <v>3</v>
      </c>
      <c r="I3637" s="112">
        <v>2</v>
      </c>
      <c r="J3637" s="112">
        <v>15</v>
      </c>
      <c r="K3637" s="112">
        <v>12</v>
      </c>
      <c r="L3637" s="112">
        <v>14</v>
      </c>
      <c r="M3637" s="112">
        <v>22</v>
      </c>
      <c r="N3637" s="112">
        <v>22</v>
      </c>
      <c r="O3637" s="112">
        <v>26</v>
      </c>
    </row>
    <row r="3638" spans="1:15" x14ac:dyDescent="0.2">
      <c r="A3638" s="111">
        <v>3757</v>
      </c>
      <c r="B3638" s="421" t="s">
        <v>158</v>
      </c>
      <c r="C3638" s="421" t="s">
        <v>580</v>
      </c>
      <c r="D3638" s="422" t="s">
        <v>663</v>
      </c>
      <c r="E3638" s="111">
        <v>16075</v>
      </c>
      <c r="F3638" s="421" t="s">
        <v>6301</v>
      </c>
      <c r="G3638" s="112">
        <v>3</v>
      </c>
      <c r="H3638" s="112">
        <v>2</v>
      </c>
      <c r="I3638" s="112">
        <v>2</v>
      </c>
      <c r="J3638" s="112">
        <v>5</v>
      </c>
      <c r="K3638" s="112">
        <v>6</v>
      </c>
      <c r="L3638" s="112">
        <v>3</v>
      </c>
      <c r="M3638" s="112">
        <v>3</v>
      </c>
      <c r="N3638" s="112">
        <v>1</v>
      </c>
    </row>
    <row r="3639" spans="1:15" x14ac:dyDescent="0.2">
      <c r="A3639" s="111">
        <v>3758</v>
      </c>
      <c r="B3639" s="421" t="s">
        <v>6302</v>
      </c>
      <c r="C3639" s="421" t="s">
        <v>530</v>
      </c>
      <c r="D3639" s="422" t="s">
        <v>666</v>
      </c>
      <c r="E3639" s="111">
        <v>16086</v>
      </c>
      <c r="F3639" s="421" t="s">
        <v>6303</v>
      </c>
    </row>
    <row r="3640" spans="1:15" x14ac:dyDescent="0.2">
      <c r="A3640" s="111">
        <v>3759</v>
      </c>
      <c r="B3640" s="421" t="s">
        <v>3547</v>
      </c>
      <c r="C3640" s="421" t="s">
        <v>6687</v>
      </c>
      <c r="D3640" s="422" t="s">
        <v>663</v>
      </c>
      <c r="E3640" s="111">
        <v>16077</v>
      </c>
      <c r="F3640" s="421" t="s">
        <v>6712</v>
      </c>
      <c r="G3640" s="112">
        <v>1</v>
      </c>
      <c r="H3640" s="112">
        <v>1</v>
      </c>
      <c r="I3640" s="112">
        <v>1</v>
      </c>
    </row>
    <row r="3641" spans="1:15" x14ac:dyDescent="0.2">
      <c r="A3641" s="111">
        <v>3760</v>
      </c>
      <c r="B3641" s="421" t="s">
        <v>5472</v>
      </c>
      <c r="C3641" s="421" t="s">
        <v>513</v>
      </c>
      <c r="D3641" s="422" t="s">
        <v>666</v>
      </c>
      <c r="E3641" s="111">
        <v>16078</v>
      </c>
      <c r="F3641" s="421" t="s">
        <v>6304</v>
      </c>
      <c r="G3641" s="112">
        <v>1</v>
      </c>
      <c r="H3641" s="112">
        <v>1</v>
      </c>
      <c r="I3641" s="112">
        <v>1</v>
      </c>
      <c r="J3641" s="112">
        <v>8</v>
      </c>
      <c r="K3641" s="112">
        <v>7</v>
      </c>
      <c r="L3641" s="112">
        <v>7</v>
      </c>
      <c r="M3641" s="112">
        <v>6</v>
      </c>
      <c r="N3641" s="112">
        <v>4</v>
      </c>
      <c r="O3641" s="112">
        <v>5</v>
      </c>
    </row>
    <row r="3642" spans="1:15" x14ac:dyDescent="0.2">
      <c r="A3642" s="111">
        <v>3761</v>
      </c>
      <c r="B3642" s="421" t="s">
        <v>1903</v>
      </c>
      <c r="C3642" s="421" t="s">
        <v>1870</v>
      </c>
      <c r="D3642" s="422" t="s">
        <v>663</v>
      </c>
      <c r="E3642" s="111">
        <v>16079</v>
      </c>
      <c r="F3642" s="421" t="s">
        <v>6305</v>
      </c>
      <c r="G3642" s="112">
        <v>2</v>
      </c>
      <c r="H3642" s="112">
        <v>3</v>
      </c>
      <c r="I3642" s="112">
        <v>1</v>
      </c>
      <c r="J3642" s="112">
        <v>2</v>
      </c>
      <c r="K3642" s="112">
        <v>2</v>
      </c>
      <c r="L3642" s="112">
        <v>3</v>
      </c>
      <c r="M3642" s="112">
        <v>1</v>
      </c>
    </row>
    <row r="3643" spans="1:15" x14ac:dyDescent="0.2">
      <c r="A3643" s="111">
        <v>3762</v>
      </c>
      <c r="B3643" s="421" t="s">
        <v>1604</v>
      </c>
      <c r="C3643" s="421" t="s">
        <v>547</v>
      </c>
      <c r="D3643" s="422" t="s">
        <v>663</v>
      </c>
      <c r="E3643" s="111">
        <v>14748</v>
      </c>
      <c r="F3643" s="421" t="s">
        <v>2227</v>
      </c>
      <c r="G3643" s="112">
        <v>1</v>
      </c>
      <c r="H3643" s="112">
        <v>2</v>
      </c>
      <c r="I3643" s="112">
        <v>2</v>
      </c>
      <c r="J3643" s="112">
        <v>8</v>
      </c>
      <c r="K3643" s="112">
        <v>8</v>
      </c>
      <c r="L3643" s="112">
        <v>10</v>
      </c>
      <c r="M3643" s="112">
        <v>9</v>
      </c>
      <c r="N3643" s="112">
        <v>4</v>
      </c>
      <c r="O3643" s="112">
        <v>7</v>
      </c>
    </row>
    <row r="3644" spans="1:15" x14ac:dyDescent="0.2">
      <c r="A3644" s="111">
        <v>3763</v>
      </c>
      <c r="B3644" s="421" t="s">
        <v>1232</v>
      </c>
      <c r="C3644" s="421" t="s">
        <v>501</v>
      </c>
      <c r="D3644" s="422" t="s">
        <v>663</v>
      </c>
      <c r="E3644" s="111">
        <v>16199</v>
      </c>
      <c r="F3644" s="421" t="s">
        <v>6306</v>
      </c>
      <c r="G3644" s="112">
        <v>1</v>
      </c>
      <c r="H3644" s="112">
        <v>1</v>
      </c>
      <c r="I3644" s="112">
        <v>1</v>
      </c>
      <c r="J3644" s="112">
        <v>5</v>
      </c>
      <c r="K3644" s="112">
        <v>5</v>
      </c>
      <c r="L3644" s="112">
        <v>5</v>
      </c>
      <c r="M3644" s="112">
        <v>8</v>
      </c>
      <c r="N3644" s="112">
        <v>5</v>
      </c>
      <c r="O3644" s="112">
        <v>6</v>
      </c>
    </row>
    <row r="3645" spans="1:15" x14ac:dyDescent="0.2">
      <c r="A3645" s="111">
        <v>3764</v>
      </c>
      <c r="B3645" s="421" t="s">
        <v>93</v>
      </c>
      <c r="C3645" s="421" t="s">
        <v>501</v>
      </c>
      <c r="D3645" s="422" t="s">
        <v>663</v>
      </c>
      <c r="E3645" s="111">
        <v>16199</v>
      </c>
      <c r="F3645" s="421" t="s">
        <v>6306</v>
      </c>
      <c r="G3645" s="112">
        <v>1</v>
      </c>
      <c r="H3645" s="112">
        <v>1</v>
      </c>
      <c r="I3645" s="112">
        <v>1</v>
      </c>
      <c r="J3645" s="112">
        <v>5</v>
      </c>
      <c r="K3645" s="112">
        <v>4</v>
      </c>
      <c r="L3645" s="112">
        <v>5</v>
      </c>
      <c r="M3645" s="112">
        <v>7</v>
      </c>
      <c r="N3645" s="112">
        <v>6</v>
      </c>
      <c r="O3645" s="112">
        <v>6</v>
      </c>
    </row>
    <row r="3646" spans="1:15" x14ac:dyDescent="0.2">
      <c r="A3646" s="111">
        <v>3765</v>
      </c>
      <c r="B3646" s="421" t="s">
        <v>6307</v>
      </c>
      <c r="C3646" s="421" t="s">
        <v>554</v>
      </c>
      <c r="D3646" s="422" t="s">
        <v>666</v>
      </c>
      <c r="E3646" s="111">
        <v>14214</v>
      </c>
      <c r="F3646" s="421" t="s">
        <v>3755</v>
      </c>
    </row>
    <row r="3647" spans="1:15" x14ac:dyDescent="0.2">
      <c r="A3647" s="111">
        <v>3766</v>
      </c>
      <c r="B3647" s="421" t="s">
        <v>1804</v>
      </c>
      <c r="C3647" s="421" t="s">
        <v>503</v>
      </c>
      <c r="D3647" s="422" t="s">
        <v>663</v>
      </c>
      <c r="E3647" s="111">
        <v>16081</v>
      </c>
      <c r="F3647" s="421" t="s">
        <v>6308</v>
      </c>
      <c r="G3647" s="112">
        <v>1</v>
      </c>
      <c r="H3647" s="112">
        <v>1</v>
      </c>
      <c r="I3647" s="112">
        <v>1</v>
      </c>
      <c r="J3647" s="112">
        <v>5</v>
      </c>
      <c r="K3647" s="112">
        <v>5</v>
      </c>
      <c r="L3647" s="112">
        <v>4</v>
      </c>
      <c r="M3647" s="112">
        <v>4</v>
      </c>
      <c r="N3647" s="112">
        <v>3</v>
      </c>
      <c r="O3647" s="112">
        <v>3</v>
      </c>
    </row>
    <row r="3648" spans="1:15" x14ac:dyDescent="0.2">
      <c r="A3648" s="111">
        <v>3767</v>
      </c>
      <c r="B3648" s="421" t="s">
        <v>6309</v>
      </c>
      <c r="C3648" s="421" t="s">
        <v>516</v>
      </c>
      <c r="D3648" s="422" t="s">
        <v>666</v>
      </c>
      <c r="E3648" s="111">
        <v>16082</v>
      </c>
      <c r="F3648" s="421" t="s">
        <v>6310</v>
      </c>
      <c r="G3648" s="112">
        <v>1</v>
      </c>
      <c r="H3648" s="112">
        <v>1</v>
      </c>
      <c r="I3648" s="112">
        <v>1</v>
      </c>
      <c r="J3648" s="112">
        <v>1</v>
      </c>
      <c r="K3648" s="112">
        <v>2</v>
      </c>
      <c r="L3648" s="112">
        <v>1</v>
      </c>
    </row>
    <row r="3649" spans="1:15" x14ac:dyDescent="0.2">
      <c r="A3649" s="111">
        <v>3768</v>
      </c>
      <c r="B3649" s="421" t="s">
        <v>2006</v>
      </c>
      <c r="C3649" s="421" t="s">
        <v>551</v>
      </c>
      <c r="D3649" s="422" t="s">
        <v>663</v>
      </c>
      <c r="E3649" s="111">
        <v>16083</v>
      </c>
      <c r="F3649" s="421" t="s">
        <v>6311</v>
      </c>
    </row>
    <row r="3650" spans="1:15" x14ac:dyDescent="0.2">
      <c r="A3650" s="111">
        <v>3769</v>
      </c>
      <c r="B3650" s="421" t="s">
        <v>6312</v>
      </c>
      <c r="C3650" s="421" t="s">
        <v>551</v>
      </c>
      <c r="D3650" s="422" t="s">
        <v>666</v>
      </c>
      <c r="E3650" s="111">
        <v>16083</v>
      </c>
      <c r="F3650" s="421" t="s">
        <v>6311</v>
      </c>
    </row>
    <row r="3651" spans="1:15" x14ac:dyDescent="0.2">
      <c r="A3651" s="111">
        <v>3770</v>
      </c>
      <c r="B3651" s="421" t="s">
        <v>37</v>
      </c>
      <c r="C3651" s="421" t="s">
        <v>510</v>
      </c>
      <c r="D3651" s="422" t="s">
        <v>663</v>
      </c>
      <c r="E3651" s="111">
        <v>15257</v>
      </c>
      <c r="F3651" s="421" t="s">
        <v>3532</v>
      </c>
    </row>
    <row r="3652" spans="1:15" x14ac:dyDescent="0.2">
      <c r="A3652" s="111">
        <v>3771</v>
      </c>
      <c r="B3652" s="421" t="s">
        <v>2465</v>
      </c>
      <c r="C3652" s="421" t="s">
        <v>1112</v>
      </c>
      <c r="D3652" s="422" t="s">
        <v>666</v>
      </c>
      <c r="E3652" s="111">
        <v>16084</v>
      </c>
      <c r="F3652" s="421" t="s">
        <v>6313</v>
      </c>
    </row>
    <row r="3653" spans="1:15" x14ac:dyDescent="0.2">
      <c r="A3653" s="111">
        <v>3772</v>
      </c>
      <c r="B3653" s="421" t="s">
        <v>6314</v>
      </c>
      <c r="C3653" s="421" t="s">
        <v>539</v>
      </c>
      <c r="D3653" s="422" t="s">
        <v>663</v>
      </c>
      <c r="E3653" s="111">
        <v>16085</v>
      </c>
      <c r="F3653" s="421" t="s">
        <v>6315</v>
      </c>
      <c r="G3653" s="112">
        <v>1</v>
      </c>
      <c r="H3653" s="112">
        <v>1</v>
      </c>
      <c r="I3653" s="112">
        <v>1</v>
      </c>
      <c r="J3653" s="112">
        <v>2</v>
      </c>
      <c r="K3653" s="112">
        <v>4</v>
      </c>
      <c r="L3653" s="112">
        <v>3</v>
      </c>
    </row>
    <row r="3654" spans="1:15" x14ac:dyDescent="0.2">
      <c r="A3654" s="111">
        <v>3773</v>
      </c>
      <c r="B3654" s="421" t="s">
        <v>3235</v>
      </c>
      <c r="C3654" s="421" t="s">
        <v>519</v>
      </c>
      <c r="D3654" s="422" t="s">
        <v>663</v>
      </c>
      <c r="E3654" s="111">
        <v>15223</v>
      </c>
      <c r="F3654" s="421" t="s">
        <v>3319</v>
      </c>
      <c r="G3654" s="112">
        <v>1</v>
      </c>
    </row>
    <row r="3655" spans="1:15" x14ac:dyDescent="0.2">
      <c r="A3655" s="111">
        <v>3774</v>
      </c>
      <c r="B3655" s="421" t="s">
        <v>6316</v>
      </c>
      <c r="C3655" s="421" t="s">
        <v>503</v>
      </c>
      <c r="D3655" s="422" t="s">
        <v>666</v>
      </c>
      <c r="E3655" s="111">
        <v>16088</v>
      </c>
      <c r="F3655" s="421" t="s">
        <v>6317</v>
      </c>
      <c r="G3655" s="112">
        <v>1</v>
      </c>
      <c r="H3655" s="112">
        <v>1</v>
      </c>
      <c r="I3655" s="112">
        <v>1</v>
      </c>
      <c r="J3655" s="112">
        <v>5</v>
      </c>
      <c r="K3655" s="112">
        <v>2</v>
      </c>
      <c r="L3655" s="112">
        <v>5</v>
      </c>
      <c r="M3655" s="112">
        <v>1</v>
      </c>
      <c r="N3655" s="112">
        <v>1</v>
      </c>
    </row>
    <row r="3656" spans="1:15" x14ac:dyDescent="0.2">
      <c r="A3656" s="111">
        <v>3775</v>
      </c>
      <c r="B3656" s="421" t="s">
        <v>2173</v>
      </c>
      <c r="C3656" s="421" t="s">
        <v>573</v>
      </c>
      <c r="D3656" s="422" t="s">
        <v>663</v>
      </c>
      <c r="E3656" s="111">
        <v>16137</v>
      </c>
      <c r="F3656" s="421" t="s">
        <v>6040</v>
      </c>
      <c r="G3656" s="112">
        <v>1</v>
      </c>
      <c r="H3656" s="112">
        <v>1</v>
      </c>
      <c r="I3656" s="112">
        <v>1</v>
      </c>
      <c r="J3656" s="112">
        <v>3</v>
      </c>
      <c r="K3656" s="112">
        <v>3</v>
      </c>
      <c r="L3656" s="112">
        <v>3</v>
      </c>
      <c r="M3656" s="112">
        <v>2</v>
      </c>
      <c r="N3656" s="112">
        <v>2</v>
      </c>
      <c r="O3656" s="112">
        <v>2</v>
      </c>
    </row>
    <row r="3657" spans="1:15" x14ac:dyDescent="0.2">
      <c r="A3657" s="111">
        <v>3776</v>
      </c>
      <c r="B3657" s="421" t="s">
        <v>6318</v>
      </c>
      <c r="C3657" s="421" t="s">
        <v>506</v>
      </c>
      <c r="D3657" s="422" t="s">
        <v>663</v>
      </c>
      <c r="E3657" s="111">
        <v>16089</v>
      </c>
      <c r="F3657" s="421" t="s">
        <v>6319</v>
      </c>
      <c r="G3657" s="112">
        <v>1</v>
      </c>
      <c r="H3657" s="112">
        <v>1</v>
      </c>
      <c r="I3657" s="112">
        <v>1</v>
      </c>
      <c r="J3657" s="112">
        <v>12</v>
      </c>
      <c r="K3657" s="112">
        <v>10</v>
      </c>
      <c r="L3657" s="112">
        <v>12</v>
      </c>
      <c r="M3657" s="112">
        <v>17</v>
      </c>
      <c r="N3657" s="112">
        <v>9</v>
      </c>
      <c r="O3657" s="112">
        <v>13</v>
      </c>
    </row>
    <row r="3658" spans="1:15" x14ac:dyDescent="0.2">
      <c r="A3658" s="111">
        <v>3777</v>
      </c>
      <c r="B3658" s="421" t="s">
        <v>1361</v>
      </c>
      <c r="C3658" s="421" t="s">
        <v>510</v>
      </c>
      <c r="D3658" s="422" t="s">
        <v>666</v>
      </c>
      <c r="E3658" s="111">
        <v>15383</v>
      </c>
      <c r="F3658" s="421" t="s">
        <v>3953</v>
      </c>
      <c r="G3658" s="112">
        <v>1</v>
      </c>
      <c r="H3658" s="112">
        <v>1</v>
      </c>
      <c r="I3658" s="112">
        <v>1</v>
      </c>
    </row>
    <row r="3659" spans="1:15" x14ac:dyDescent="0.2">
      <c r="A3659" s="111">
        <v>3778</v>
      </c>
      <c r="B3659" s="421" t="s">
        <v>643</v>
      </c>
      <c r="C3659" s="421" t="s">
        <v>550</v>
      </c>
      <c r="D3659" s="422" t="s">
        <v>663</v>
      </c>
      <c r="F3659" s="421" t="s">
        <v>6320</v>
      </c>
      <c r="G3659" s="112">
        <v>1</v>
      </c>
      <c r="H3659" s="112">
        <v>1</v>
      </c>
      <c r="I3659" s="112">
        <v>1</v>
      </c>
      <c r="J3659" s="112">
        <v>1</v>
      </c>
      <c r="K3659" s="112">
        <v>1</v>
      </c>
      <c r="L3659" s="112">
        <v>1</v>
      </c>
    </row>
    <row r="3660" spans="1:15" x14ac:dyDescent="0.2">
      <c r="A3660" s="111">
        <v>3779</v>
      </c>
      <c r="B3660" s="421" t="s">
        <v>6321</v>
      </c>
      <c r="C3660" s="421" t="s">
        <v>7405</v>
      </c>
      <c r="D3660" s="422" t="s">
        <v>663</v>
      </c>
      <c r="E3660" s="111">
        <v>16087</v>
      </c>
      <c r="F3660" s="421" t="s">
        <v>6322</v>
      </c>
      <c r="G3660" s="112">
        <v>2</v>
      </c>
      <c r="H3660" s="112">
        <v>2</v>
      </c>
      <c r="I3660" s="112">
        <v>1</v>
      </c>
      <c r="J3660" s="112">
        <v>16</v>
      </c>
      <c r="K3660" s="112">
        <v>13</v>
      </c>
      <c r="L3660" s="112">
        <v>12</v>
      </c>
      <c r="M3660" s="112">
        <v>6</v>
      </c>
      <c r="N3660" s="112">
        <v>3</v>
      </c>
      <c r="O3660" s="112">
        <v>4</v>
      </c>
    </row>
    <row r="3661" spans="1:15" x14ac:dyDescent="0.2">
      <c r="A3661" s="111">
        <v>3780</v>
      </c>
      <c r="B3661" s="421" t="s">
        <v>632</v>
      </c>
      <c r="C3661" s="421" t="s">
        <v>503</v>
      </c>
      <c r="D3661" s="422" t="s">
        <v>663</v>
      </c>
      <c r="E3661" s="111">
        <v>16091</v>
      </c>
      <c r="F3661" s="421" t="s">
        <v>6323</v>
      </c>
      <c r="G3661" s="112">
        <v>3</v>
      </c>
      <c r="H3661" s="112">
        <v>1</v>
      </c>
      <c r="I3661" s="112">
        <v>1</v>
      </c>
      <c r="J3661" s="112">
        <v>1</v>
      </c>
      <c r="K3661" s="112">
        <v>3</v>
      </c>
      <c r="L3661" s="112">
        <v>2</v>
      </c>
      <c r="M3661" s="112">
        <v>1</v>
      </c>
    </row>
    <row r="3662" spans="1:15" x14ac:dyDescent="0.2">
      <c r="A3662" s="111">
        <v>3781</v>
      </c>
      <c r="B3662" s="421" t="s">
        <v>4634</v>
      </c>
      <c r="C3662" s="421" t="s">
        <v>510</v>
      </c>
      <c r="D3662" s="422" t="s">
        <v>663</v>
      </c>
      <c r="E3662" s="111">
        <v>16092</v>
      </c>
      <c r="F3662" s="421" t="s">
        <v>6324</v>
      </c>
      <c r="H3662" s="112">
        <v>1</v>
      </c>
    </row>
    <row r="3663" spans="1:15" x14ac:dyDescent="0.2">
      <c r="A3663" s="111">
        <v>3782</v>
      </c>
      <c r="B3663" s="421" t="s">
        <v>6325</v>
      </c>
      <c r="C3663" s="421" t="s">
        <v>516</v>
      </c>
      <c r="D3663" s="422" t="s">
        <v>666</v>
      </c>
      <c r="E3663" s="111">
        <v>16093</v>
      </c>
      <c r="F3663" s="421" t="s">
        <v>6326</v>
      </c>
      <c r="G3663" s="112">
        <v>1</v>
      </c>
      <c r="H3663" s="112">
        <v>1</v>
      </c>
      <c r="I3663" s="112">
        <v>1</v>
      </c>
    </row>
    <row r="3664" spans="1:15" x14ac:dyDescent="0.2">
      <c r="A3664" s="111">
        <v>3783</v>
      </c>
      <c r="B3664" s="421" t="s">
        <v>2696</v>
      </c>
      <c r="C3664" s="421" t="s">
        <v>516</v>
      </c>
      <c r="D3664" s="422" t="s">
        <v>666</v>
      </c>
      <c r="E3664" s="111">
        <v>16093</v>
      </c>
      <c r="F3664" s="421" t="s">
        <v>6326</v>
      </c>
      <c r="G3664" s="112">
        <v>1</v>
      </c>
      <c r="H3664" s="112">
        <v>1</v>
      </c>
      <c r="I3664" s="112">
        <v>1</v>
      </c>
    </row>
    <row r="3665" spans="1:15" x14ac:dyDescent="0.2">
      <c r="A3665" s="111">
        <v>3784</v>
      </c>
      <c r="B3665" s="421" t="s">
        <v>6327</v>
      </c>
      <c r="C3665" s="421" t="s">
        <v>503</v>
      </c>
      <c r="D3665" s="422" t="s">
        <v>666</v>
      </c>
      <c r="E3665" s="111">
        <v>16094</v>
      </c>
      <c r="F3665" s="421" t="s">
        <v>2737</v>
      </c>
    </row>
    <row r="3666" spans="1:15" x14ac:dyDescent="0.2">
      <c r="A3666" s="111">
        <v>3785</v>
      </c>
      <c r="B3666" s="421" t="s">
        <v>6328</v>
      </c>
      <c r="C3666" s="421" t="s">
        <v>518</v>
      </c>
      <c r="D3666" s="422" t="s">
        <v>666</v>
      </c>
      <c r="E3666" s="111">
        <v>16147</v>
      </c>
      <c r="F3666" s="421" t="s">
        <v>6329</v>
      </c>
      <c r="G3666" s="112">
        <v>1</v>
      </c>
      <c r="H3666" s="112">
        <v>1</v>
      </c>
      <c r="I3666" s="112">
        <v>1</v>
      </c>
      <c r="J3666" s="112">
        <v>4</v>
      </c>
      <c r="K3666" s="112">
        <v>5</v>
      </c>
      <c r="L3666" s="112">
        <v>4</v>
      </c>
      <c r="M3666" s="112">
        <v>1</v>
      </c>
      <c r="N3666" s="112">
        <v>2</v>
      </c>
      <c r="O3666" s="112">
        <v>1</v>
      </c>
    </row>
    <row r="3667" spans="1:15" x14ac:dyDescent="0.2">
      <c r="A3667" s="111">
        <v>3786</v>
      </c>
      <c r="B3667" s="421" t="s">
        <v>1428</v>
      </c>
      <c r="C3667" s="421" t="s">
        <v>510</v>
      </c>
      <c r="D3667" s="422" t="s">
        <v>663</v>
      </c>
      <c r="E3667" s="111">
        <v>16095</v>
      </c>
      <c r="F3667" s="421" t="s">
        <v>6330</v>
      </c>
      <c r="G3667" s="112">
        <v>1</v>
      </c>
      <c r="H3667" s="112">
        <v>2</v>
      </c>
      <c r="I3667" s="112">
        <v>2</v>
      </c>
      <c r="J3667" s="112">
        <v>7</v>
      </c>
      <c r="K3667" s="112">
        <v>8</v>
      </c>
      <c r="L3667" s="112">
        <v>7</v>
      </c>
      <c r="M3667" s="112">
        <v>5</v>
      </c>
      <c r="N3667" s="112">
        <v>4</v>
      </c>
      <c r="O3667" s="112">
        <v>6</v>
      </c>
    </row>
    <row r="3668" spans="1:15" x14ac:dyDescent="0.2">
      <c r="A3668" s="111">
        <v>3787</v>
      </c>
      <c r="B3668" s="421" t="s">
        <v>4632</v>
      </c>
      <c r="C3668" s="421" t="s">
        <v>513</v>
      </c>
      <c r="D3668" s="422" t="s">
        <v>666</v>
      </c>
      <c r="E3668" s="111">
        <v>15021</v>
      </c>
      <c r="F3668" s="421" t="s">
        <v>2098</v>
      </c>
      <c r="G3668" s="112">
        <v>1</v>
      </c>
      <c r="H3668" s="112">
        <v>1</v>
      </c>
      <c r="I3668" s="112">
        <v>1</v>
      </c>
      <c r="J3668" s="112">
        <v>1</v>
      </c>
      <c r="K3668" s="112">
        <v>1</v>
      </c>
      <c r="L3668" s="112">
        <v>1</v>
      </c>
    </row>
    <row r="3669" spans="1:15" x14ac:dyDescent="0.2">
      <c r="A3669" s="111">
        <v>3788</v>
      </c>
      <c r="B3669" s="421" t="s">
        <v>6362</v>
      </c>
      <c r="C3669" s="421" t="s">
        <v>516</v>
      </c>
      <c r="D3669" s="422" t="s">
        <v>666</v>
      </c>
      <c r="E3669" s="111">
        <v>16097</v>
      </c>
      <c r="F3669" s="421" t="s">
        <v>6386</v>
      </c>
      <c r="G3669" s="112">
        <v>1</v>
      </c>
      <c r="H3669" s="112">
        <v>1</v>
      </c>
      <c r="I3669" s="112">
        <v>1</v>
      </c>
      <c r="J3669" s="112">
        <v>3</v>
      </c>
      <c r="K3669" s="112">
        <v>3</v>
      </c>
      <c r="L3669" s="112">
        <v>3</v>
      </c>
      <c r="M3669" s="112">
        <v>2</v>
      </c>
      <c r="N3669" s="112">
        <v>1</v>
      </c>
      <c r="O3669" s="112">
        <v>1</v>
      </c>
    </row>
    <row r="3670" spans="1:15" x14ac:dyDescent="0.2">
      <c r="A3670" s="111">
        <v>3789</v>
      </c>
      <c r="B3670" s="421" t="s">
        <v>2916</v>
      </c>
      <c r="C3670" s="421" t="s">
        <v>530</v>
      </c>
      <c r="D3670" s="422" t="s">
        <v>666</v>
      </c>
      <c r="E3670" s="111">
        <v>16096</v>
      </c>
      <c r="F3670" s="421" t="s">
        <v>6390</v>
      </c>
      <c r="G3670" s="112">
        <v>2</v>
      </c>
      <c r="H3670" s="112">
        <v>3</v>
      </c>
      <c r="I3670" s="112">
        <v>2</v>
      </c>
    </row>
    <row r="3671" spans="1:15" x14ac:dyDescent="0.2">
      <c r="A3671" s="111">
        <v>3790</v>
      </c>
      <c r="B3671" s="421" t="s">
        <v>211</v>
      </c>
      <c r="C3671" s="421" t="s">
        <v>4662</v>
      </c>
      <c r="D3671" s="422" t="s">
        <v>666</v>
      </c>
      <c r="E3671" s="111">
        <v>16382</v>
      </c>
      <c r="F3671" s="421" t="s">
        <v>6373</v>
      </c>
      <c r="G3671" s="112">
        <v>1</v>
      </c>
      <c r="H3671" s="112">
        <v>1</v>
      </c>
      <c r="I3671" s="112">
        <v>2</v>
      </c>
      <c r="J3671" s="112">
        <v>7</v>
      </c>
      <c r="K3671" s="112">
        <v>8</v>
      </c>
      <c r="L3671" s="112">
        <v>7</v>
      </c>
      <c r="M3671" s="112">
        <v>14</v>
      </c>
      <c r="N3671" s="112">
        <v>6</v>
      </c>
      <c r="O3671" s="112">
        <v>13</v>
      </c>
    </row>
    <row r="3672" spans="1:15" x14ac:dyDescent="0.2">
      <c r="A3672" s="111">
        <v>3791</v>
      </c>
      <c r="B3672" s="421" t="s">
        <v>356</v>
      </c>
      <c r="C3672" s="421" t="s">
        <v>1908</v>
      </c>
      <c r="D3672" s="422" t="s">
        <v>663</v>
      </c>
      <c r="E3672" s="111">
        <v>16098</v>
      </c>
      <c r="F3672" s="421" t="s">
        <v>6380</v>
      </c>
      <c r="G3672" s="112">
        <v>1</v>
      </c>
      <c r="H3672" s="112">
        <v>1</v>
      </c>
      <c r="I3672" s="112">
        <v>1</v>
      </c>
      <c r="J3672" s="112">
        <v>7</v>
      </c>
      <c r="K3672" s="112">
        <v>7</v>
      </c>
      <c r="L3672" s="112">
        <v>7</v>
      </c>
      <c r="M3672" s="112">
        <v>5</v>
      </c>
      <c r="N3672" s="112">
        <v>3</v>
      </c>
      <c r="O3672" s="112">
        <v>3</v>
      </c>
    </row>
    <row r="3673" spans="1:15" x14ac:dyDescent="0.2">
      <c r="A3673" s="111">
        <v>3792</v>
      </c>
      <c r="B3673" s="421" t="s">
        <v>2198</v>
      </c>
      <c r="C3673" s="421" t="s">
        <v>502</v>
      </c>
      <c r="D3673" s="422" t="s">
        <v>663</v>
      </c>
      <c r="F3673" s="421" t="s">
        <v>6382</v>
      </c>
    </row>
    <row r="3674" spans="1:15" x14ac:dyDescent="0.2">
      <c r="A3674" s="111">
        <v>3793</v>
      </c>
      <c r="B3674" s="421" t="s">
        <v>1773</v>
      </c>
      <c r="C3674" s="421" t="s">
        <v>506</v>
      </c>
      <c r="D3674" s="422" t="s">
        <v>666</v>
      </c>
      <c r="E3674" s="111">
        <v>16099</v>
      </c>
      <c r="F3674" s="421" t="s">
        <v>6395</v>
      </c>
    </row>
    <row r="3675" spans="1:15" x14ac:dyDescent="0.2">
      <c r="A3675" s="111">
        <v>3794</v>
      </c>
      <c r="B3675" s="421" t="s">
        <v>6354</v>
      </c>
      <c r="C3675" s="421" t="s">
        <v>513</v>
      </c>
      <c r="D3675" s="422" t="s">
        <v>666</v>
      </c>
      <c r="E3675" s="111">
        <v>16100</v>
      </c>
      <c r="F3675" s="421" t="s">
        <v>6372</v>
      </c>
      <c r="G3675" s="112">
        <v>1</v>
      </c>
      <c r="H3675" s="112">
        <v>1</v>
      </c>
      <c r="I3675" s="112">
        <v>1</v>
      </c>
    </row>
    <row r="3676" spans="1:15" x14ac:dyDescent="0.2">
      <c r="A3676" s="111">
        <v>3795</v>
      </c>
      <c r="B3676" s="421" t="s">
        <v>1966</v>
      </c>
      <c r="C3676" s="421" t="s">
        <v>520</v>
      </c>
      <c r="D3676" s="422" t="s">
        <v>663</v>
      </c>
      <c r="F3676" s="421" t="s">
        <v>6368</v>
      </c>
    </row>
    <row r="3677" spans="1:15" x14ac:dyDescent="0.2">
      <c r="A3677" s="111">
        <v>3796</v>
      </c>
      <c r="B3677" s="421" t="s">
        <v>2925</v>
      </c>
      <c r="C3677" s="421" t="s">
        <v>584</v>
      </c>
      <c r="D3677" s="422" t="s">
        <v>663</v>
      </c>
      <c r="E3677" s="111">
        <v>15646</v>
      </c>
      <c r="F3677" s="421" t="s">
        <v>4919</v>
      </c>
      <c r="G3677" s="112">
        <v>1</v>
      </c>
    </row>
    <row r="3678" spans="1:15" x14ac:dyDescent="0.2">
      <c r="A3678" s="111">
        <v>3797</v>
      </c>
      <c r="B3678" s="421" t="s">
        <v>6366</v>
      </c>
      <c r="C3678" s="421" t="s">
        <v>516</v>
      </c>
      <c r="D3678" s="422" t="s">
        <v>666</v>
      </c>
      <c r="E3678" s="111">
        <v>16168</v>
      </c>
      <c r="F3678" s="421" t="s">
        <v>6392</v>
      </c>
      <c r="H3678" s="112">
        <v>1</v>
      </c>
      <c r="I3678" s="112">
        <v>1</v>
      </c>
    </row>
    <row r="3679" spans="1:15" x14ac:dyDescent="0.2">
      <c r="A3679" s="111">
        <v>3798</v>
      </c>
      <c r="B3679" s="421" t="s">
        <v>6360</v>
      </c>
      <c r="C3679" s="421" t="s">
        <v>550</v>
      </c>
      <c r="D3679" s="422" t="s">
        <v>663</v>
      </c>
      <c r="E3679" s="111">
        <v>16101</v>
      </c>
      <c r="F3679" s="421" t="s">
        <v>6383</v>
      </c>
    </row>
    <row r="3680" spans="1:15" x14ac:dyDescent="0.2">
      <c r="A3680" s="111">
        <v>3799</v>
      </c>
      <c r="B3680" s="421" t="s">
        <v>2994</v>
      </c>
      <c r="C3680" s="421" t="s">
        <v>522</v>
      </c>
      <c r="D3680" s="422" t="s">
        <v>666</v>
      </c>
      <c r="E3680" s="111">
        <v>14773</v>
      </c>
      <c r="F3680" s="421" t="s">
        <v>2286</v>
      </c>
      <c r="G3680" s="112">
        <v>1</v>
      </c>
      <c r="H3680" s="112">
        <v>1</v>
      </c>
      <c r="I3680" s="112">
        <v>1</v>
      </c>
      <c r="J3680" s="112">
        <v>4</v>
      </c>
      <c r="K3680" s="112">
        <v>4</v>
      </c>
      <c r="L3680" s="112">
        <v>3</v>
      </c>
      <c r="M3680" s="112">
        <v>4</v>
      </c>
      <c r="N3680" s="112">
        <v>4</v>
      </c>
      <c r="O3680" s="112">
        <v>2</v>
      </c>
    </row>
    <row r="3681" spans="1:15" x14ac:dyDescent="0.2">
      <c r="A3681" s="111">
        <v>3800</v>
      </c>
      <c r="B3681" s="421" t="s">
        <v>6357</v>
      </c>
      <c r="C3681" s="421" t="s">
        <v>532</v>
      </c>
      <c r="D3681" s="422" t="s">
        <v>666</v>
      </c>
      <c r="F3681" s="421" t="s">
        <v>6376</v>
      </c>
      <c r="G3681" s="112">
        <v>1</v>
      </c>
      <c r="H3681" s="112">
        <v>2</v>
      </c>
      <c r="I3681" s="112">
        <v>2</v>
      </c>
    </row>
    <row r="3682" spans="1:15" x14ac:dyDescent="0.2">
      <c r="A3682" s="111">
        <v>3801</v>
      </c>
      <c r="B3682" s="421" t="s">
        <v>4598</v>
      </c>
      <c r="C3682" s="421" t="s">
        <v>510</v>
      </c>
      <c r="D3682" s="422" t="s">
        <v>663</v>
      </c>
      <c r="E3682" s="111">
        <v>16102</v>
      </c>
      <c r="F3682" s="421" t="s">
        <v>6387</v>
      </c>
    </row>
    <row r="3683" spans="1:15" x14ac:dyDescent="0.2">
      <c r="A3683" s="111">
        <v>3802</v>
      </c>
      <c r="B3683" s="421" t="s">
        <v>6363</v>
      </c>
      <c r="C3683" s="421" t="s">
        <v>533</v>
      </c>
      <c r="D3683" s="422" t="s">
        <v>666</v>
      </c>
      <c r="E3683" s="111">
        <v>16103</v>
      </c>
      <c r="F3683" s="421" t="s">
        <v>6388</v>
      </c>
    </row>
    <row r="3684" spans="1:15" x14ac:dyDescent="0.2">
      <c r="A3684" s="111">
        <v>3803</v>
      </c>
      <c r="B3684" s="421" t="s">
        <v>3160</v>
      </c>
      <c r="C3684" s="421" t="s">
        <v>533</v>
      </c>
      <c r="D3684" s="422" t="s">
        <v>666</v>
      </c>
      <c r="E3684" s="111">
        <v>16103</v>
      </c>
      <c r="F3684" s="421" t="s">
        <v>6388</v>
      </c>
    </row>
    <row r="3685" spans="1:15" x14ac:dyDescent="0.2">
      <c r="A3685" s="111">
        <v>3804</v>
      </c>
      <c r="B3685" s="421" t="s">
        <v>6367</v>
      </c>
      <c r="C3685" s="421" t="s">
        <v>1066</v>
      </c>
      <c r="D3685" s="422" t="s">
        <v>666</v>
      </c>
      <c r="E3685" s="111">
        <v>16155</v>
      </c>
      <c r="F3685" s="421" t="s">
        <v>6394</v>
      </c>
      <c r="G3685" s="112">
        <v>1</v>
      </c>
      <c r="H3685" s="112">
        <v>1</v>
      </c>
      <c r="I3685" s="112">
        <v>1</v>
      </c>
      <c r="J3685" s="112">
        <v>7</v>
      </c>
      <c r="K3685" s="112">
        <v>7</v>
      </c>
      <c r="L3685" s="112">
        <v>7</v>
      </c>
      <c r="M3685" s="112">
        <v>3</v>
      </c>
      <c r="N3685" s="112">
        <v>3</v>
      </c>
      <c r="O3685" s="112">
        <v>3</v>
      </c>
    </row>
    <row r="3686" spans="1:15" x14ac:dyDescent="0.2">
      <c r="A3686" s="111">
        <v>3805</v>
      </c>
      <c r="B3686" s="421" t="s">
        <v>2234</v>
      </c>
      <c r="C3686" s="421" t="s">
        <v>501</v>
      </c>
      <c r="D3686" s="422" t="s">
        <v>663</v>
      </c>
      <c r="E3686" s="111">
        <v>16104</v>
      </c>
      <c r="F3686" s="421" t="s">
        <v>6384</v>
      </c>
      <c r="G3686" s="112">
        <v>1</v>
      </c>
      <c r="H3686" s="112">
        <v>1</v>
      </c>
      <c r="I3686" s="112">
        <v>1</v>
      </c>
      <c r="J3686" s="112">
        <v>1</v>
      </c>
      <c r="K3686" s="112">
        <v>1</v>
      </c>
      <c r="L3686" s="112">
        <v>1</v>
      </c>
    </row>
    <row r="3687" spans="1:15" x14ac:dyDescent="0.2">
      <c r="A3687" s="111">
        <v>3806</v>
      </c>
      <c r="B3687" s="421" t="s">
        <v>6358</v>
      </c>
      <c r="C3687" s="421" t="s">
        <v>516</v>
      </c>
      <c r="D3687" s="422" t="s">
        <v>663</v>
      </c>
      <c r="E3687" s="111">
        <v>16162</v>
      </c>
      <c r="F3687" s="421" t="s">
        <v>6377</v>
      </c>
      <c r="G3687" s="112">
        <v>1</v>
      </c>
      <c r="H3687" s="112">
        <v>2</v>
      </c>
      <c r="I3687" s="112">
        <v>1</v>
      </c>
      <c r="J3687" s="112">
        <v>2</v>
      </c>
      <c r="K3687" s="112">
        <v>2</v>
      </c>
      <c r="L3687" s="112">
        <v>3</v>
      </c>
      <c r="M3687" s="112">
        <v>1</v>
      </c>
      <c r="N3687" s="112">
        <v>1</v>
      </c>
      <c r="O3687" s="112">
        <v>1</v>
      </c>
    </row>
    <row r="3688" spans="1:15" x14ac:dyDescent="0.2">
      <c r="A3688" s="111">
        <v>3807</v>
      </c>
      <c r="B3688" s="421" t="s">
        <v>6359</v>
      </c>
      <c r="C3688" s="421" t="s">
        <v>503</v>
      </c>
      <c r="D3688" s="422" t="s">
        <v>663</v>
      </c>
      <c r="E3688" s="111">
        <v>16371</v>
      </c>
      <c r="F3688" s="421" t="s">
        <v>6381</v>
      </c>
      <c r="G3688" s="112">
        <v>1</v>
      </c>
      <c r="H3688" s="112">
        <v>1</v>
      </c>
    </row>
    <row r="3689" spans="1:15" x14ac:dyDescent="0.2">
      <c r="A3689" s="111">
        <v>3808</v>
      </c>
      <c r="B3689" s="421" t="s">
        <v>6356</v>
      </c>
      <c r="C3689" s="421" t="s">
        <v>501</v>
      </c>
      <c r="D3689" s="422" t="s">
        <v>666</v>
      </c>
      <c r="E3689" s="111">
        <v>16105</v>
      </c>
      <c r="F3689" s="421" t="s">
        <v>6375</v>
      </c>
      <c r="G3689" s="112">
        <v>1</v>
      </c>
      <c r="H3689" s="112">
        <v>3</v>
      </c>
      <c r="I3689" s="112">
        <v>1</v>
      </c>
      <c r="J3689" s="112">
        <v>4</v>
      </c>
      <c r="K3689" s="112">
        <v>1</v>
      </c>
      <c r="L3689" s="112">
        <v>1</v>
      </c>
    </row>
    <row r="3690" spans="1:15" x14ac:dyDescent="0.2">
      <c r="A3690" s="111">
        <v>3809</v>
      </c>
      <c r="B3690" s="421" t="s">
        <v>6364</v>
      </c>
      <c r="C3690" s="421" t="s">
        <v>550</v>
      </c>
      <c r="D3690" s="422" t="s">
        <v>666</v>
      </c>
      <c r="E3690" s="111">
        <v>16106</v>
      </c>
      <c r="F3690" s="421" t="s">
        <v>6389</v>
      </c>
      <c r="G3690" s="112">
        <v>3</v>
      </c>
      <c r="H3690" s="112">
        <v>3</v>
      </c>
      <c r="I3690" s="112">
        <v>1</v>
      </c>
      <c r="J3690" s="112">
        <v>1</v>
      </c>
      <c r="K3690" s="112">
        <v>1</v>
      </c>
      <c r="L3690" s="112">
        <v>1</v>
      </c>
    </row>
    <row r="3691" spans="1:15" x14ac:dyDescent="0.2">
      <c r="A3691" s="111">
        <v>3810</v>
      </c>
      <c r="B3691" s="421" t="s">
        <v>6353</v>
      </c>
      <c r="C3691" s="421" t="s">
        <v>507</v>
      </c>
      <c r="D3691" s="422" t="s">
        <v>663</v>
      </c>
      <c r="E3691" s="111">
        <v>16107</v>
      </c>
      <c r="F3691" s="421" t="s">
        <v>6370</v>
      </c>
      <c r="G3691" s="112">
        <v>1</v>
      </c>
      <c r="H3691" s="112">
        <v>2</v>
      </c>
      <c r="I3691" s="112">
        <v>2</v>
      </c>
      <c r="J3691" s="112">
        <v>7</v>
      </c>
      <c r="K3691" s="112">
        <v>8</v>
      </c>
      <c r="L3691" s="112">
        <v>7</v>
      </c>
      <c r="M3691" s="112">
        <v>5</v>
      </c>
      <c r="N3691" s="112">
        <v>3</v>
      </c>
      <c r="O3691" s="112">
        <v>3</v>
      </c>
    </row>
    <row r="3692" spans="1:15" x14ac:dyDescent="0.2">
      <c r="A3692" s="111">
        <v>3811</v>
      </c>
      <c r="B3692" s="421" t="s">
        <v>3233</v>
      </c>
      <c r="C3692" s="421" t="s">
        <v>3855</v>
      </c>
      <c r="D3692" s="422" t="s">
        <v>666</v>
      </c>
      <c r="E3692" s="111">
        <v>16108</v>
      </c>
      <c r="F3692" s="421" t="s">
        <v>6371</v>
      </c>
      <c r="G3692" s="112">
        <v>1</v>
      </c>
      <c r="H3692" s="112">
        <v>1</v>
      </c>
      <c r="I3692" s="112">
        <v>1</v>
      </c>
    </row>
    <row r="3693" spans="1:15" x14ac:dyDescent="0.2">
      <c r="A3693" s="111">
        <v>3812</v>
      </c>
      <c r="B3693" s="421" t="s">
        <v>6365</v>
      </c>
      <c r="C3693" s="421" t="s">
        <v>522</v>
      </c>
      <c r="D3693" s="422" t="s">
        <v>666</v>
      </c>
      <c r="E3693" s="111">
        <v>16213</v>
      </c>
      <c r="F3693" s="421" t="s">
        <v>6391</v>
      </c>
      <c r="G3693" s="112">
        <v>1</v>
      </c>
      <c r="H3693" s="112">
        <v>1</v>
      </c>
      <c r="I3693" s="112">
        <v>1</v>
      </c>
      <c r="J3693" s="112">
        <v>2</v>
      </c>
      <c r="K3693" s="112">
        <v>1</v>
      </c>
      <c r="L3693" s="112">
        <v>2</v>
      </c>
    </row>
    <row r="3694" spans="1:15" x14ac:dyDescent="0.2">
      <c r="A3694" s="111">
        <v>3813</v>
      </c>
      <c r="B3694" s="421" t="s">
        <v>5380</v>
      </c>
      <c r="C3694" s="421" t="s">
        <v>501</v>
      </c>
      <c r="D3694" s="422" t="s">
        <v>666</v>
      </c>
      <c r="E3694" s="111">
        <v>15292</v>
      </c>
      <c r="F3694" s="421" t="s">
        <v>5359</v>
      </c>
    </row>
    <row r="3695" spans="1:15" x14ac:dyDescent="0.2">
      <c r="A3695" s="111">
        <v>3814</v>
      </c>
      <c r="B3695" s="421" t="s">
        <v>6355</v>
      </c>
      <c r="C3695" s="421" t="s">
        <v>628</v>
      </c>
      <c r="D3695" s="422" t="s">
        <v>663</v>
      </c>
      <c r="E3695" s="111">
        <v>16110</v>
      </c>
      <c r="F3695" s="421" t="s">
        <v>6374</v>
      </c>
      <c r="G3695" s="112">
        <v>1</v>
      </c>
      <c r="H3695" s="112">
        <v>1</v>
      </c>
      <c r="I3695" s="112">
        <v>1</v>
      </c>
      <c r="J3695" s="112">
        <v>1</v>
      </c>
      <c r="K3695" s="112">
        <v>1</v>
      </c>
      <c r="L3695" s="112">
        <v>1</v>
      </c>
    </row>
    <row r="3696" spans="1:15" x14ac:dyDescent="0.2">
      <c r="A3696" s="111">
        <v>3815</v>
      </c>
      <c r="B3696" s="421" t="s">
        <v>139</v>
      </c>
      <c r="C3696" s="421" t="s">
        <v>563</v>
      </c>
      <c r="D3696" s="422" t="s">
        <v>663</v>
      </c>
      <c r="E3696" s="111">
        <v>16111</v>
      </c>
      <c r="F3696" s="421" t="s">
        <v>1923</v>
      </c>
      <c r="G3696" s="112">
        <v>1</v>
      </c>
    </row>
    <row r="3697" spans="1:15" x14ac:dyDescent="0.2">
      <c r="A3697" s="111">
        <v>3816</v>
      </c>
      <c r="B3697" s="421" t="s">
        <v>2545</v>
      </c>
      <c r="C3697" s="421" t="s">
        <v>506</v>
      </c>
      <c r="D3697" s="422" t="s">
        <v>663</v>
      </c>
      <c r="E3697" s="111">
        <v>16112</v>
      </c>
      <c r="F3697" s="421" t="s">
        <v>6378</v>
      </c>
    </row>
    <row r="3698" spans="1:15" x14ac:dyDescent="0.2">
      <c r="A3698" s="111">
        <v>3817</v>
      </c>
      <c r="B3698" s="421" t="s">
        <v>143</v>
      </c>
      <c r="C3698" s="421" t="s">
        <v>574</v>
      </c>
      <c r="D3698" s="422" t="s">
        <v>666</v>
      </c>
      <c r="E3698" s="111">
        <v>16113</v>
      </c>
      <c r="F3698" s="421" t="s">
        <v>6379</v>
      </c>
      <c r="H3698" s="112">
        <v>1</v>
      </c>
      <c r="I3698" s="112">
        <v>1</v>
      </c>
    </row>
    <row r="3699" spans="1:15" x14ac:dyDescent="0.2">
      <c r="A3699" s="111">
        <v>3818</v>
      </c>
      <c r="B3699" s="421" t="s">
        <v>6361</v>
      </c>
      <c r="C3699" s="421" t="s">
        <v>522</v>
      </c>
      <c r="D3699" s="422" t="s">
        <v>663</v>
      </c>
      <c r="E3699" s="111">
        <v>16115</v>
      </c>
      <c r="F3699" s="421" t="s">
        <v>6385</v>
      </c>
      <c r="G3699" s="112">
        <v>1</v>
      </c>
      <c r="H3699" s="112">
        <v>1</v>
      </c>
      <c r="I3699" s="112">
        <v>1</v>
      </c>
      <c r="K3699" s="112">
        <v>1</v>
      </c>
    </row>
    <row r="3700" spans="1:15" x14ac:dyDescent="0.2">
      <c r="A3700" s="111">
        <v>3819</v>
      </c>
      <c r="B3700" s="421" t="s">
        <v>2592</v>
      </c>
      <c r="C3700" s="421" t="s">
        <v>518</v>
      </c>
      <c r="D3700" s="422" t="s">
        <v>663</v>
      </c>
      <c r="E3700" s="111">
        <v>16117</v>
      </c>
      <c r="F3700" s="421" t="s">
        <v>6072</v>
      </c>
      <c r="G3700" s="112">
        <v>1</v>
      </c>
      <c r="H3700" s="112">
        <v>1</v>
      </c>
      <c r="I3700" s="112">
        <v>1</v>
      </c>
      <c r="J3700" s="112">
        <v>8</v>
      </c>
      <c r="K3700" s="112">
        <v>8</v>
      </c>
      <c r="L3700" s="112">
        <v>8</v>
      </c>
      <c r="M3700" s="112">
        <v>4</v>
      </c>
      <c r="N3700" s="112">
        <v>3</v>
      </c>
      <c r="O3700" s="112">
        <v>3</v>
      </c>
    </row>
    <row r="3701" spans="1:15" x14ac:dyDescent="0.2">
      <c r="A3701" s="111">
        <v>3820</v>
      </c>
      <c r="B3701" s="421" t="s">
        <v>430</v>
      </c>
      <c r="C3701" s="421" t="s">
        <v>516</v>
      </c>
      <c r="D3701" s="422" t="s">
        <v>666</v>
      </c>
      <c r="E3701" s="111">
        <v>16116</v>
      </c>
      <c r="F3701" s="421" t="s">
        <v>6393</v>
      </c>
      <c r="G3701" s="112">
        <v>1</v>
      </c>
      <c r="H3701" s="112">
        <v>1</v>
      </c>
      <c r="I3701" s="112">
        <v>1</v>
      </c>
      <c r="J3701" s="112">
        <v>2</v>
      </c>
      <c r="K3701" s="112">
        <v>1</v>
      </c>
      <c r="L3701" s="112">
        <v>1</v>
      </c>
    </row>
    <row r="3702" spans="1:15" x14ac:dyDescent="0.2">
      <c r="A3702" s="111">
        <v>3821</v>
      </c>
      <c r="B3702" s="421" t="s">
        <v>6351</v>
      </c>
      <c r="C3702" s="421" t="s">
        <v>516</v>
      </c>
      <c r="D3702" s="422" t="s">
        <v>663</v>
      </c>
      <c r="E3702" s="111">
        <v>17015</v>
      </c>
      <c r="F3702" s="421" t="s">
        <v>6369</v>
      </c>
      <c r="G3702" s="112">
        <v>1</v>
      </c>
      <c r="H3702" s="112">
        <v>1</v>
      </c>
      <c r="J3702" s="112">
        <v>1</v>
      </c>
    </row>
    <row r="3703" spans="1:15" x14ac:dyDescent="0.2">
      <c r="A3703" s="111">
        <v>3822</v>
      </c>
      <c r="B3703" s="421" t="s">
        <v>6352</v>
      </c>
      <c r="C3703" s="421" t="s">
        <v>516</v>
      </c>
      <c r="D3703" s="422" t="s">
        <v>666</v>
      </c>
      <c r="E3703" s="111">
        <v>17015</v>
      </c>
      <c r="F3703" s="421" t="s">
        <v>6369</v>
      </c>
      <c r="G3703" s="112">
        <v>1</v>
      </c>
      <c r="H3703" s="112">
        <v>1</v>
      </c>
      <c r="I3703" s="112">
        <v>1</v>
      </c>
      <c r="J3703" s="112">
        <v>1</v>
      </c>
    </row>
    <row r="3704" spans="1:15" x14ac:dyDescent="0.2">
      <c r="A3704" s="111">
        <v>3823</v>
      </c>
      <c r="B3704" s="421" t="s">
        <v>1254</v>
      </c>
      <c r="C3704" s="421" t="s">
        <v>501</v>
      </c>
      <c r="D3704" s="422" t="s">
        <v>663</v>
      </c>
      <c r="E3704" s="111">
        <v>16114</v>
      </c>
      <c r="F3704" s="421" t="s">
        <v>6418</v>
      </c>
      <c r="H3704" s="112">
        <v>1</v>
      </c>
    </row>
    <row r="3705" spans="1:15" x14ac:dyDescent="0.2">
      <c r="A3705" s="111">
        <v>3824</v>
      </c>
      <c r="B3705" s="421" t="s">
        <v>3866</v>
      </c>
      <c r="C3705" s="421" t="s">
        <v>572</v>
      </c>
      <c r="D3705" s="422" t="s">
        <v>663</v>
      </c>
      <c r="E3705" s="111">
        <v>16119</v>
      </c>
      <c r="F3705" s="421" t="s">
        <v>6419</v>
      </c>
      <c r="G3705" s="112">
        <v>1</v>
      </c>
      <c r="H3705" s="112">
        <v>1</v>
      </c>
      <c r="I3705" s="112">
        <v>1</v>
      </c>
      <c r="J3705" s="112">
        <v>1</v>
      </c>
      <c r="K3705" s="112">
        <v>1</v>
      </c>
      <c r="L3705" s="112">
        <v>1</v>
      </c>
    </row>
    <row r="3706" spans="1:15" x14ac:dyDescent="0.2">
      <c r="A3706" s="111">
        <v>3825</v>
      </c>
      <c r="B3706" s="421" t="s">
        <v>4846</v>
      </c>
      <c r="C3706" s="421" t="s">
        <v>516</v>
      </c>
      <c r="D3706" s="422" t="s">
        <v>663</v>
      </c>
      <c r="F3706" s="421" t="s">
        <v>4847</v>
      </c>
    </row>
    <row r="3707" spans="1:15" x14ac:dyDescent="0.2">
      <c r="A3707" s="111">
        <v>3826</v>
      </c>
      <c r="B3707" s="421" t="s">
        <v>4877</v>
      </c>
      <c r="C3707" s="421" t="s">
        <v>501</v>
      </c>
      <c r="D3707" s="422" t="s">
        <v>666</v>
      </c>
      <c r="E3707" s="111">
        <v>16123</v>
      </c>
      <c r="F3707" s="421" t="s">
        <v>6420</v>
      </c>
      <c r="G3707" s="112">
        <v>2</v>
      </c>
      <c r="H3707" s="112">
        <v>2</v>
      </c>
      <c r="I3707" s="112">
        <v>1</v>
      </c>
    </row>
    <row r="3708" spans="1:15" x14ac:dyDescent="0.2">
      <c r="A3708" s="111">
        <v>3827</v>
      </c>
      <c r="B3708" s="421" t="s">
        <v>6421</v>
      </c>
      <c r="C3708" s="421" t="s">
        <v>506</v>
      </c>
      <c r="D3708" s="422" t="s">
        <v>666</v>
      </c>
      <c r="E3708" s="111">
        <v>16041</v>
      </c>
      <c r="F3708" s="421" t="s">
        <v>6422</v>
      </c>
      <c r="G3708" s="112">
        <v>3</v>
      </c>
      <c r="H3708" s="112">
        <v>2</v>
      </c>
      <c r="I3708" s="112">
        <v>3</v>
      </c>
      <c r="J3708" s="112">
        <v>10</v>
      </c>
      <c r="K3708" s="112">
        <v>10</v>
      </c>
      <c r="L3708" s="112">
        <v>7</v>
      </c>
      <c r="M3708" s="112">
        <v>7</v>
      </c>
      <c r="N3708" s="112">
        <v>4</v>
      </c>
      <c r="O3708" s="112">
        <v>8</v>
      </c>
    </row>
    <row r="3709" spans="1:15" x14ac:dyDescent="0.2">
      <c r="A3709" s="111">
        <v>3828</v>
      </c>
      <c r="B3709" s="421" t="s">
        <v>1585</v>
      </c>
      <c r="C3709" s="421" t="s">
        <v>551</v>
      </c>
      <c r="D3709" s="422" t="s">
        <v>666</v>
      </c>
      <c r="E3709" s="111">
        <v>16124</v>
      </c>
      <c r="F3709" s="421" t="s">
        <v>6423</v>
      </c>
      <c r="G3709" s="112">
        <v>1</v>
      </c>
      <c r="I3709" s="112">
        <v>2</v>
      </c>
    </row>
    <row r="3710" spans="1:15" x14ac:dyDescent="0.2">
      <c r="A3710" s="111">
        <v>3829</v>
      </c>
      <c r="B3710" s="421" t="s">
        <v>6424</v>
      </c>
      <c r="C3710" s="421" t="s">
        <v>513</v>
      </c>
      <c r="D3710" s="422" t="s">
        <v>663</v>
      </c>
      <c r="E3710" s="111">
        <v>16125</v>
      </c>
      <c r="F3710" s="421" t="s">
        <v>6425</v>
      </c>
      <c r="G3710" s="112">
        <v>1</v>
      </c>
      <c r="H3710" s="112">
        <v>2</v>
      </c>
      <c r="I3710" s="112">
        <v>2</v>
      </c>
      <c r="J3710" s="112">
        <v>1</v>
      </c>
      <c r="K3710" s="112">
        <v>1</v>
      </c>
    </row>
    <row r="3711" spans="1:15" x14ac:dyDescent="0.2">
      <c r="A3711" s="111">
        <v>3830</v>
      </c>
      <c r="B3711" s="421" t="s">
        <v>3968</v>
      </c>
      <c r="C3711" s="421" t="s">
        <v>542</v>
      </c>
      <c r="D3711" s="422" t="s">
        <v>663</v>
      </c>
      <c r="E3711" s="111">
        <v>14800</v>
      </c>
      <c r="F3711" s="421" t="s">
        <v>2229</v>
      </c>
      <c r="G3711" s="112">
        <v>1</v>
      </c>
      <c r="H3711" s="112">
        <v>1</v>
      </c>
      <c r="I3711" s="112">
        <v>1</v>
      </c>
      <c r="J3711" s="112">
        <v>7</v>
      </c>
      <c r="K3711" s="112">
        <v>7</v>
      </c>
      <c r="L3711" s="112">
        <v>7</v>
      </c>
      <c r="M3711" s="112">
        <v>4</v>
      </c>
      <c r="N3711" s="112">
        <v>3</v>
      </c>
      <c r="O3711" s="112">
        <v>3</v>
      </c>
    </row>
    <row r="3712" spans="1:15" x14ac:dyDescent="0.2">
      <c r="A3712" s="111">
        <v>3831</v>
      </c>
      <c r="B3712" s="421" t="s">
        <v>6481</v>
      </c>
      <c r="C3712" s="421" t="s">
        <v>516</v>
      </c>
      <c r="D3712" s="422" t="s">
        <v>663</v>
      </c>
      <c r="E3712" s="111">
        <v>16126</v>
      </c>
      <c r="F3712" s="421" t="s">
        <v>6523</v>
      </c>
      <c r="G3712" s="112">
        <v>1</v>
      </c>
      <c r="H3712" s="112">
        <v>2</v>
      </c>
      <c r="I3712" s="112">
        <v>2</v>
      </c>
      <c r="J3712" s="112">
        <v>6</v>
      </c>
      <c r="K3712" s="112">
        <v>7</v>
      </c>
      <c r="L3712" s="112">
        <v>6</v>
      </c>
      <c r="M3712" s="112">
        <v>6</v>
      </c>
      <c r="N3712" s="112">
        <v>2</v>
      </c>
      <c r="O3712" s="112">
        <v>5</v>
      </c>
    </row>
    <row r="3713" spans="1:15" x14ac:dyDescent="0.2">
      <c r="A3713" s="111">
        <v>3832</v>
      </c>
      <c r="B3713" s="421" t="s">
        <v>1612</v>
      </c>
      <c r="C3713" s="421" t="s">
        <v>526</v>
      </c>
      <c r="D3713" s="422" t="s">
        <v>666</v>
      </c>
      <c r="E3713" s="111">
        <v>16146</v>
      </c>
      <c r="F3713" s="421" t="s">
        <v>6507</v>
      </c>
      <c r="H3713" s="112">
        <v>1</v>
      </c>
    </row>
    <row r="3714" spans="1:15" x14ac:dyDescent="0.2">
      <c r="A3714" s="111">
        <v>3833</v>
      </c>
      <c r="B3714" s="421" t="s">
        <v>2433</v>
      </c>
      <c r="C3714" s="421" t="s">
        <v>501</v>
      </c>
      <c r="D3714" s="422" t="s">
        <v>663</v>
      </c>
      <c r="E3714" s="111">
        <v>16146</v>
      </c>
      <c r="F3714" s="421" t="s">
        <v>6507</v>
      </c>
      <c r="G3714" s="112">
        <v>1</v>
      </c>
      <c r="I3714" s="112">
        <v>1</v>
      </c>
    </row>
    <row r="3715" spans="1:15" x14ac:dyDescent="0.2">
      <c r="A3715" s="111">
        <v>3834</v>
      </c>
      <c r="B3715" s="421" t="s">
        <v>1771</v>
      </c>
      <c r="C3715" s="421" t="s">
        <v>1201</v>
      </c>
      <c r="D3715" s="422" t="s">
        <v>663</v>
      </c>
      <c r="E3715" s="111">
        <v>16127</v>
      </c>
      <c r="F3715" s="421" t="s">
        <v>6493</v>
      </c>
      <c r="G3715" s="112">
        <v>1</v>
      </c>
      <c r="H3715" s="112">
        <v>1</v>
      </c>
      <c r="I3715" s="112">
        <v>1</v>
      </c>
      <c r="J3715" s="112">
        <v>12</v>
      </c>
      <c r="K3715" s="112">
        <v>11</v>
      </c>
      <c r="L3715" s="112">
        <v>7</v>
      </c>
      <c r="M3715" s="112">
        <v>3</v>
      </c>
      <c r="N3715" s="112">
        <v>3</v>
      </c>
      <c r="O3715" s="112">
        <v>3</v>
      </c>
    </row>
    <row r="3716" spans="1:15" x14ac:dyDescent="0.2">
      <c r="A3716" s="111">
        <v>3835</v>
      </c>
      <c r="B3716" s="421" t="s">
        <v>3517</v>
      </c>
      <c r="C3716" s="421" t="s">
        <v>1994</v>
      </c>
      <c r="D3716" s="422" t="s">
        <v>666</v>
      </c>
      <c r="E3716" s="111">
        <v>16128</v>
      </c>
      <c r="F3716" s="421" t="s">
        <v>6514</v>
      </c>
      <c r="G3716" s="112">
        <v>1</v>
      </c>
      <c r="H3716" s="112">
        <v>1</v>
      </c>
      <c r="I3716" s="112">
        <v>1</v>
      </c>
      <c r="K3716" s="112">
        <v>1</v>
      </c>
      <c r="L3716" s="112">
        <v>1</v>
      </c>
    </row>
    <row r="3717" spans="1:15" x14ac:dyDescent="0.2">
      <c r="A3717" s="111">
        <v>3836</v>
      </c>
      <c r="B3717" s="421" t="s">
        <v>1543</v>
      </c>
      <c r="C3717" s="421" t="s">
        <v>570</v>
      </c>
      <c r="D3717" s="422" t="s">
        <v>663</v>
      </c>
      <c r="E3717" s="111">
        <v>16129</v>
      </c>
      <c r="F3717" s="421" t="s">
        <v>6505</v>
      </c>
    </row>
    <row r="3718" spans="1:15" x14ac:dyDescent="0.2">
      <c r="A3718" s="111">
        <v>3837</v>
      </c>
      <c r="B3718" s="421" t="s">
        <v>6468</v>
      </c>
      <c r="C3718" s="421" t="s">
        <v>507</v>
      </c>
      <c r="D3718" s="422" t="s">
        <v>663</v>
      </c>
      <c r="E3718" s="111">
        <v>16130</v>
      </c>
      <c r="F3718" s="421" t="s">
        <v>6497</v>
      </c>
      <c r="G3718" s="112">
        <v>1</v>
      </c>
      <c r="H3718" s="112">
        <v>1</v>
      </c>
      <c r="I3718" s="112">
        <v>1</v>
      </c>
      <c r="J3718" s="112">
        <v>5</v>
      </c>
      <c r="K3718" s="112">
        <v>3</v>
      </c>
      <c r="L3718" s="112">
        <v>4</v>
      </c>
      <c r="M3718" s="112">
        <v>6</v>
      </c>
      <c r="N3718" s="112">
        <v>4</v>
      </c>
      <c r="O3718" s="112">
        <v>1</v>
      </c>
    </row>
    <row r="3719" spans="1:15" x14ac:dyDescent="0.2">
      <c r="A3719" s="111">
        <v>3838</v>
      </c>
      <c r="B3719" s="421" t="s">
        <v>344</v>
      </c>
      <c r="C3719" s="421" t="s">
        <v>1197</v>
      </c>
      <c r="D3719" s="422" t="s">
        <v>666</v>
      </c>
      <c r="E3719" s="111">
        <v>16131</v>
      </c>
      <c r="F3719" s="421" t="s">
        <v>6500</v>
      </c>
      <c r="G3719" s="112">
        <v>2</v>
      </c>
      <c r="H3719" s="112">
        <v>1</v>
      </c>
      <c r="I3719" s="112">
        <v>1</v>
      </c>
      <c r="J3719" s="112">
        <v>1</v>
      </c>
      <c r="K3719" s="112">
        <v>1</v>
      </c>
      <c r="L3719" s="112">
        <v>2</v>
      </c>
    </row>
    <row r="3720" spans="1:15" x14ac:dyDescent="0.2">
      <c r="A3720" s="111">
        <v>3839</v>
      </c>
      <c r="B3720" s="421" t="s">
        <v>6465</v>
      </c>
      <c r="C3720" s="421" t="s">
        <v>501</v>
      </c>
      <c r="D3720" s="422" t="s">
        <v>666</v>
      </c>
      <c r="E3720" s="111">
        <v>16098</v>
      </c>
      <c r="F3720" s="421" t="s">
        <v>6380</v>
      </c>
      <c r="G3720" s="112">
        <v>1</v>
      </c>
      <c r="H3720" s="112">
        <v>1</v>
      </c>
      <c r="I3720" s="112">
        <v>1</v>
      </c>
      <c r="J3720" s="112">
        <v>1</v>
      </c>
      <c r="K3720" s="112">
        <v>1</v>
      </c>
      <c r="L3720" s="112">
        <v>1</v>
      </c>
      <c r="M3720" s="112">
        <v>1</v>
      </c>
      <c r="N3720" s="112">
        <v>1</v>
      </c>
      <c r="O3720" s="112">
        <v>2</v>
      </c>
    </row>
    <row r="3721" spans="1:15" x14ac:dyDescent="0.2">
      <c r="A3721" s="111">
        <v>3840</v>
      </c>
      <c r="B3721" s="421" t="s">
        <v>6475</v>
      </c>
      <c r="C3721" s="421" t="s">
        <v>530</v>
      </c>
      <c r="D3721" s="422" t="s">
        <v>666</v>
      </c>
      <c r="E3721" s="111">
        <v>16071</v>
      </c>
      <c r="F3721" s="421" t="s">
        <v>7155</v>
      </c>
      <c r="G3721" s="112">
        <v>1</v>
      </c>
      <c r="H3721" s="112">
        <v>1</v>
      </c>
      <c r="I3721" s="112">
        <v>1</v>
      </c>
      <c r="J3721" s="112">
        <v>4</v>
      </c>
      <c r="K3721" s="112">
        <v>4</v>
      </c>
      <c r="L3721" s="112">
        <v>5</v>
      </c>
      <c r="N3721" s="112">
        <v>1</v>
      </c>
      <c r="O3721" s="112">
        <v>1</v>
      </c>
    </row>
    <row r="3722" spans="1:15" x14ac:dyDescent="0.2">
      <c r="A3722" s="111">
        <v>3841</v>
      </c>
      <c r="B3722" s="421" t="s">
        <v>6466</v>
      </c>
      <c r="C3722" s="421" t="s">
        <v>542</v>
      </c>
      <c r="D3722" s="422" t="s">
        <v>663</v>
      </c>
      <c r="E3722" s="111">
        <v>16132</v>
      </c>
      <c r="F3722" s="421" t="s">
        <v>6492</v>
      </c>
      <c r="G3722" s="112">
        <v>1</v>
      </c>
      <c r="H3722" s="112">
        <v>1</v>
      </c>
      <c r="I3722" s="112">
        <v>1</v>
      </c>
      <c r="J3722" s="112">
        <v>2</v>
      </c>
      <c r="K3722" s="112">
        <v>4</v>
      </c>
      <c r="L3722" s="112">
        <v>3</v>
      </c>
      <c r="M3722" s="112">
        <v>1</v>
      </c>
      <c r="N3722" s="112">
        <v>2</v>
      </c>
    </row>
    <row r="3723" spans="1:15" x14ac:dyDescent="0.2">
      <c r="A3723" s="111">
        <v>3842</v>
      </c>
      <c r="B3723" s="421" t="s">
        <v>489</v>
      </c>
      <c r="C3723" s="421" t="s">
        <v>575</v>
      </c>
      <c r="D3723" s="422" t="s">
        <v>663</v>
      </c>
      <c r="E3723" s="111">
        <v>14541</v>
      </c>
      <c r="F3723" s="421" t="s">
        <v>913</v>
      </c>
      <c r="G3723" s="112">
        <v>2</v>
      </c>
      <c r="H3723" s="112">
        <v>1</v>
      </c>
      <c r="I3723" s="112">
        <v>1</v>
      </c>
      <c r="J3723" s="112">
        <v>11</v>
      </c>
      <c r="K3723" s="112">
        <v>11</v>
      </c>
      <c r="L3723" s="112">
        <v>10</v>
      </c>
      <c r="M3723" s="112">
        <v>11</v>
      </c>
      <c r="N3723" s="112">
        <v>7</v>
      </c>
      <c r="O3723" s="112">
        <v>5</v>
      </c>
    </row>
    <row r="3724" spans="1:15" x14ac:dyDescent="0.2">
      <c r="A3724" s="111">
        <v>3843</v>
      </c>
      <c r="B3724" s="421" t="s">
        <v>1617</v>
      </c>
      <c r="C3724" s="421" t="s">
        <v>550</v>
      </c>
      <c r="D3724" s="422" t="s">
        <v>666</v>
      </c>
      <c r="E3724" s="111">
        <v>16133</v>
      </c>
      <c r="F3724" s="421" t="s">
        <v>6487</v>
      </c>
      <c r="G3724" s="112">
        <v>3</v>
      </c>
      <c r="H3724" s="112">
        <v>2</v>
      </c>
      <c r="I3724" s="112">
        <v>1</v>
      </c>
      <c r="J3724" s="112">
        <v>2</v>
      </c>
      <c r="K3724" s="112">
        <v>2</v>
      </c>
      <c r="L3724" s="112">
        <v>1</v>
      </c>
    </row>
    <row r="3725" spans="1:15" x14ac:dyDescent="0.2">
      <c r="A3725" s="111">
        <v>3844</v>
      </c>
      <c r="B3725" s="421" t="s">
        <v>353</v>
      </c>
      <c r="C3725" s="421" t="s">
        <v>509</v>
      </c>
      <c r="D3725" s="422" t="s">
        <v>666</v>
      </c>
      <c r="E3725" s="111">
        <v>16135</v>
      </c>
      <c r="F3725" s="421" t="s">
        <v>6508</v>
      </c>
      <c r="H3725" s="112">
        <v>1</v>
      </c>
    </row>
    <row r="3726" spans="1:15" x14ac:dyDescent="0.2">
      <c r="A3726" s="111">
        <v>3845</v>
      </c>
      <c r="B3726" s="421" t="s">
        <v>1423</v>
      </c>
      <c r="C3726" s="421" t="s">
        <v>501</v>
      </c>
      <c r="D3726" s="422" t="s">
        <v>663</v>
      </c>
      <c r="E3726" s="111">
        <v>16136</v>
      </c>
      <c r="F3726" s="421" t="s">
        <v>6513</v>
      </c>
      <c r="G3726" s="112">
        <v>2</v>
      </c>
      <c r="H3726" s="112">
        <v>1</v>
      </c>
      <c r="I3726" s="112">
        <v>1</v>
      </c>
      <c r="J3726" s="112">
        <v>3</v>
      </c>
      <c r="K3726" s="112">
        <v>3</v>
      </c>
      <c r="L3726" s="112">
        <v>3</v>
      </c>
      <c r="M3726" s="112">
        <v>1</v>
      </c>
      <c r="N3726" s="112">
        <v>2</v>
      </c>
      <c r="O3726" s="112">
        <v>1</v>
      </c>
    </row>
    <row r="3727" spans="1:15" x14ac:dyDescent="0.2">
      <c r="A3727" s="111">
        <v>3846</v>
      </c>
      <c r="B3727" s="421" t="s">
        <v>2155</v>
      </c>
      <c r="C3727" s="421" t="s">
        <v>506</v>
      </c>
      <c r="D3727" s="422" t="s">
        <v>666</v>
      </c>
      <c r="E3727" s="111">
        <v>15740</v>
      </c>
      <c r="F3727" s="421" t="s">
        <v>5302</v>
      </c>
    </row>
    <row r="3728" spans="1:15" x14ac:dyDescent="0.2">
      <c r="A3728" s="111">
        <v>3847</v>
      </c>
      <c r="B3728" s="421" t="s">
        <v>1434</v>
      </c>
      <c r="C3728" s="421" t="s">
        <v>580</v>
      </c>
      <c r="D3728" s="422" t="s">
        <v>666</v>
      </c>
      <c r="E3728" s="111">
        <v>16138</v>
      </c>
      <c r="F3728" s="421" t="s">
        <v>6520</v>
      </c>
    </row>
    <row r="3729" spans="1:15" x14ac:dyDescent="0.2">
      <c r="A3729" s="111">
        <v>3848</v>
      </c>
      <c r="B3729" s="421" t="s">
        <v>262</v>
      </c>
      <c r="C3729" s="421" t="s">
        <v>1378</v>
      </c>
      <c r="D3729" s="422" t="s">
        <v>663</v>
      </c>
      <c r="E3729" s="111">
        <v>16139</v>
      </c>
      <c r="F3729" s="421" t="s">
        <v>6504</v>
      </c>
      <c r="G3729" s="112">
        <v>1</v>
      </c>
      <c r="H3729" s="112">
        <v>1</v>
      </c>
    </row>
    <row r="3730" spans="1:15" x14ac:dyDescent="0.2">
      <c r="A3730" s="111">
        <v>3849</v>
      </c>
      <c r="B3730" s="421" t="s">
        <v>6316</v>
      </c>
      <c r="C3730" s="421" t="s">
        <v>501</v>
      </c>
      <c r="D3730" s="422" t="s">
        <v>666</v>
      </c>
      <c r="E3730" s="111">
        <v>16122</v>
      </c>
      <c r="F3730" s="421" t="s">
        <v>6512</v>
      </c>
      <c r="G3730" s="112">
        <v>2</v>
      </c>
      <c r="H3730" s="112">
        <v>1</v>
      </c>
      <c r="I3730" s="112">
        <v>1</v>
      </c>
    </row>
    <row r="3731" spans="1:15" x14ac:dyDescent="0.2">
      <c r="A3731" s="111">
        <v>3850</v>
      </c>
      <c r="B3731" s="421" t="s">
        <v>2052</v>
      </c>
      <c r="C3731" s="421" t="s">
        <v>503</v>
      </c>
      <c r="D3731" s="422" t="s">
        <v>663</v>
      </c>
      <c r="E3731" s="111">
        <v>16143</v>
      </c>
      <c r="F3731" s="421" t="s">
        <v>6516</v>
      </c>
      <c r="G3731" s="112">
        <v>1</v>
      </c>
      <c r="H3731" s="112">
        <v>2</v>
      </c>
      <c r="I3731" s="112">
        <v>2</v>
      </c>
      <c r="J3731" s="112">
        <v>6</v>
      </c>
      <c r="K3731" s="112">
        <v>6</v>
      </c>
      <c r="L3731" s="112">
        <v>6</v>
      </c>
      <c r="M3731" s="112">
        <v>16</v>
      </c>
      <c r="N3731" s="112">
        <v>14</v>
      </c>
      <c r="O3731" s="112">
        <v>14</v>
      </c>
    </row>
    <row r="3732" spans="1:15" x14ac:dyDescent="0.2">
      <c r="A3732" s="111">
        <v>3851</v>
      </c>
      <c r="B3732" s="421" t="s">
        <v>5624</v>
      </c>
      <c r="C3732" s="421" t="s">
        <v>503</v>
      </c>
      <c r="D3732" s="422" t="s">
        <v>666</v>
      </c>
      <c r="E3732" s="111">
        <v>16143</v>
      </c>
      <c r="F3732" s="421" t="s">
        <v>6516</v>
      </c>
      <c r="G3732" s="112">
        <v>1</v>
      </c>
      <c r="H3732" s="112">
        <v>2</v>
      </c>
      <c r="I3732" s="112">
        <v>2</v>
      </c>
      <c r="J3732" s="112">
        <v>6</v>
      </c>
      <c r="K3732" s="112">
        <v>6</v>
      </c>
      <c r="L3732" s="112">
        <v>7</v>
      </c>
      <c r="M3732" s="112">
        <v>5</v>
      </c>
      <c r="N3732" s="112">
        <v>4</v>
      </c>
      <c r="O3732" s="112">
        <v>4</v>
      </c>
    </row>
    <row r="3733" spans="1:15" x14ac:dyDescent="0.2">
      <c r="A3733" s="111">
        <v>3852</v>
      </c>
      <c r="B3733" s="421" t="s">
        <v>2299</v>
      </c>
      <c r="C3733" s="421" t="s">
        <v>1898</v>
      </c>
      <c r="D3733" s="422" t="s">
        <v>666</v>
      </c>
      <c r="E3733" s="111">
        <v>16144</v>
      </c>
      <c r="F3733" s="421" t="s">
        <v>6502</v>
      </c>
      <c r="G3733" s="112">
        <v>1</v>
      </c>
      <c r="H3733" s="112">
        <v>1</v>
      </c>
      <c r="I3733" s="112">
        <v>1</v>
      </c>
    </row>
    <row r="3734" spans="1:15" x14ac:dyDescent="0.2">
      <c r="A3734" s="111">
        <v>3853</v>
      </c>
      <c r="B3734" s="421" t="s">
        <v>6471</v>
      </c>
      <c r="C3734" s="421" t="s">
        <v>513</v>
      </c>
      <c r="D3734" s="422" t="s">
        <v>663</v>
      </c>
      <c r="E3734" s="111">
        <v>15131</v>
      </c>
      <c r="F3734" s="421" t="s">
        <v>3217</v>
      </c>
      <c r="G3734" s="112">
        <v>1</v>
      </c>
      <c r="H3734" s="112">
        <v>2</v>
      </c>
      <c r="I3734" s="112">
        <v>1</v>
      </c>
      <c r="J3734" s="112">
        <v>11</v>
      </c>
      <c r="K3734" s="112">
        <v>11</v>
      </c>
      <c r="L3734" s="112">
        <v>11</v>
      </c>
      <c r="M3734" s="112">
        <v>10</v>
      </c>
      <c r="N3734" s="112">
        <v>9</v>
      </c>
      <c r="O3734" s="112">
        <v>7</v>
      </c>
    </row>
    <row r="3735" spans="1:15" x14ac:dyDescent="0.2">
      <c r="A3735" s="111">
        <v>3854</v>
      </c>
      <c r="B3735" s="421" t="s">
        <v>6470</v>
      </c>
      <c r="C3735" s="421" t="s">
        <v>513</v>
      </c>
      <c r="D3735" s="422" t="s">
        <v>663</v>
      </c>
      <c r="E3735" s="111">
        <v>15131</v>
      </c>
      <c r="F3735" s="421" t="s">
        <v>3217</v>
      </c>
      <c r="G3735" s="112">
        <v>2</v>
      </c>
      <c r="H3735" s="112">
        <v>1</v>
      </c>
      <c r="I3735" s="112">
        <v>1</v>
      </c>
      <c r="J3735" s="112">
        <v>11</v>
      </c>
      <c r="K3735" s="112">
        <v>13</v>
      </c>
      <c r="L3735" s="112">
        <v>12</v>
      </c>
      <c r="M3735" s="112">
        <v>7</v>
      </c>
      <c r="N3735" s="112">
        <v>6</v>
      </c>
      <c r="O3735" s="112">
        <v>4</v>
      </c>
    </row>
    <row r="3736" spans="1:15" x14ac:dyDescent="0.2">
      <c r="A3736" s="111">
        <v>3855</v>
      </c>
      <c r="B3736" s="421" t="s">
        <v>2436</v>
      </c>
      <c r="C3736" s="421" t="s">
        <v>506</v>
      </c>
      <c r="D3736" s="422" t="s">
        <v>663</v>
      </c>
      <c r="E3736" s="111">
        <v>16145</v>
      </c>
      <c r="F3736" s="421" t="s">
        <v>6519</v>
      </c>
      <c r="G3736" s="112">
        <v>2</v>
      </c>
      <c r="H3736" s="112">
        <v>1</v>
      </c>
      <c r="I3736" s="112">
        <v>1</v>
      </c>
      <c r="J3736" s="112">
        <v>2</v>
      </c>
      <c r="K3736" s="112">
        <v>3</v>
      </c>
    </row>
    <row r="3737" spans="1:15" x14ac:dyDescent="0.2">
      <c r="A3737" s="111">
        <v>3856</v>
      </c>
      <c r="B3737" s="421" t="s">
        <v>5910</v>
      </c>
      <c r="C3737" s="421" t="s">
        <v>539</v>
      </c>
      <c r="D3737" s="422" t="s">
        <v>663</v>
      </c>
      <c r="E3737" s="111">
        <v>16148</v>
      </c>
      <c r="F3737" s="421" t="s">
        <v>6482</v>
      </c>
      <c r="G3737" s="112">
        <v>1</v>
      </c>
      <c r="H3737" s="112">
        <v>1</v>
      </c>
      <c r="I3737" s="112">
        <v>1</v>
      </c>
      <c r="J3737" s="112">
        <v>2</v>
      </c>
      <c r="K3737" s="112">
        <v>1</v>
      </c>
      <c r="L3737" s="112">
        <v>4</v>
      </c>
      <c r="M3737" s="112">
        <v>2</v>
      </c>
      <c r="O3737" s="112">
        <v>2</v>
      </c>
    </row>
    <row r="3738" spans="1:15" x14ac:dyDescent="0.2">
      <c r="A3738" s="111">
        <v>3857</v>
      </c>
      <c r="B3738" s="421" t="s">
        <v>2916</v>
      </c>
      <c r="C3738" s="421" t="s">
        <v>503</v>
      </c>
      <c r="D3738" s="422" t="s">
        <v>666</v>
      </c>
      <c r="E3738" s="111">
        <v>15792</v>
      </c>
      <c r="F3738" s="421" t="s">
        <v>2509</v>
      </c>
      <c r="G3738" s="112">
        <v>1</v>
      </c>
      <c r="H3738" s="112">
        <v>1</v>
      </c>
      <c r="I3738" s="112">
        <v>1</v>
      </c>
      <c r="J3738" s="112">
        <v>1</v>
      </c>
      <c r="K3738" s="112">
        <v>1</v>
      </c>
      <c r="L3738" s="112">
        <v>1</v>
      </c>
      <c r="M3738" s="112">
        <v>2</v>
      </c>
      <c r="N3738" s="112">
        <v>1</v>
      </c>
      <c r="O3738" s="112">
        <v>1</v>
      </c>
    </row>
    <row r="3739" spans="1:15" x14ac:dyDescent="0.2">
      <c r="A3739" s="111">
        <v>3858</v>
      </c>
      <c r="B3739" s="421" t="s">
        <v>174</v>
      </c>
      <c r="C3739" s="421" t="s">
        <v>533</v>
      </c>
      <c r="D3739" s="422" t="s">
        <v>663</v>
      </c>
      <c r="E3739" s="111">
        <v>16149</v>
      </c>
      <c r="F3739" s="421" t="s">
        <v>6494</v>
      </c>
      <c r="G3739" s="112">
        <v>1</v>
      </c>
      <c r="H3739" s="112">
        <v>1</v>
      </c>
    </row>
    <row r="3740" spans="1:15" x14ac:dyDescent="0.2">
      <c r="A3740" s="111">
        <v>3859</v>
      </c>
      <c r="B3740" s="421" t="s">
        <v>430</v>
      </c>
      <c r="C3740" s="421" t="s">
        <v>501</v>
      </c>
      <c r="D3740" s="422" t="s">
        <v>666</v>
      </c>
      <c r="E3740" s="111">
        <v>16150</v>
      </c>
      <c r="F3740" s="421" t="s">
        <v>6503</v>
      </c>
      <c r="G3740" s="112">
        <v>1</v>
      </c>
      <c r="H3740" s="112">
        <v>1</v>
      </c>
      <c r="I3740" s="112">
        <v>1</v>
      </c>
    </row>
    <row r="3741" spans="1:15" x14ac:dyDescent="0.2">
      <c r="A3741" s="111">
        <v>3860</v>
      </c>
      <c r="B3741" s="421" t="s">
        <v>101</v>
      </c>
      <c r="C3741" s="421" t="s">
        <v>506</v>
      </c>
      <c r="D3741" s="422" t="s">
        <v>663</v>
      </c>
      <c r="E3741" s="111">
        <v>16151</v>
      </c>
      <c r="F3741" s="421" t="s">
        <v>6509</v>
      </c>
      <c r="G3741" s="112">
        <v>1</v>
      </c>
      <c r="H3741" s="112">
        <v>1</v>
      </c>
      <c r="I3741" s="112">
        <v>1</v>
      </c>
    </row>
    <row r="3742" spans="1:15" x14ac:dyDescent="0.2">
      <c r="A3742" s="111">
        <v>3861</v>
      </c>
      <c r="B3742" s="421" t="s">
        <v>6463</v>
      </c>
      <c r="C3742" s="421" t="s">
        <v>586</v>
      </c>
      <c r="D3742" s="422" t="s">
        <v>666</v>
      </c>
      <c r="E3742" s="111">
        <v>16152</v>
      </c>
      <c r="F3742" s="421" t="s">
        <v>6490</v>
      </c>
    </row>
    <row r="3743" spans="1:15" x14ac:dyDescent="0.2">
      <c r="A3743" s="111">
        <v>3862</v>
      </c>
      <c r="B3743" s="421" t="s">
        <v>6460</v>
      </c>
      <c r="C3743" s="421" t="s">
        <v>2165</v>
      </c>
      <c r="D3743" s="422" t="s">
        <v>666</v>
      </c>
      <c r="E3743" s="111">
        <v>16153</v>
      </c>
      <c r="F3743" s="421" t="s">
        <v>6486</v>
      </c>
      <c r="G3743" s="112">
        <v>3</v>
      </c>
      <c r="H3743" s="112">
        <v>1</v>
      </c>
      <c r="I3743" s="112">
        <v>1</v>
      </c>
    </row>
    <row r="3744" spans="1:15" x14ac:dyDescent="0.2">
      <c r="A3744" s="111">
        <v>3863</v>
      </c>
      <c r="B3744" s="421" t="s">
        <v>6464</v>
      </c>
      <c r="C3744" s="421" t="s">
        <v>513</v>
      </c>
      <c r="D3744" s="422" t="s">
        <v>666</v>
      </c>
      <c r="E3744" s="111">
        <v>16141</v>
      </c>
      <c r="F3744" s="421" t="s">
        <v>6491</v>
      </c>
      <c r="G3744" s="112">
        <v>1</v>
      </c>
      <c r="H3744" s="112">
        <v>1</v>
      </c>
      <c r="I3744" s="112">
        <v>1</v>
      </c>
      <c r="J3744" s="112">
        <v>2</v>
      </c>
      <c r="K3744" s="112">
        <v>1</v>
      </c>
      <c r="L3744" s="112">
        <v>1</v>
      </c>
    </row>
    <row r="3745" spans="1:15" x14ac:dyDescent="0.2">
      <c r="A3745" s="111">
        <v>3864</v>
      </c>
      <c r="B3745" s="421" t="s">
        <v>6461</v>
      </c>
      <c r="C3745" s="421" t="s">
        <v>1066</v>
      </c>
      <c r="D3745" s="422" t="s">
        <v>666</v>
      </c>
      <c r="E3745" s="111">
        <v>16154</v>
      </c>
      <c r="F3745" s="421" t="s">
        <v>6489</v>
      </c>
      <c r="G3745" s="112">
        <v>2</v>
      </c>
      <c r="H3745" s="112">
        <v>1</v>
      </c>
      <c r="I3745" s="112">
        <v>1</v>
      </c>
    </row>
    <row r="3746" spans="1:15" x14ac:dyDescent="0.2">
      <c r="A3746" s="111">
        <v>3865</v>
      </c>
      <c r="B3746" s="421" t="s">
        <v>6469</v>
      </c>
      <c r="C3746" s="421" t="s">
        <v>506</v>
      </c>
      <c r="D3746" s="422" t="s">
        <v>666</v>
      </c>
      <c r="E3746" s="111">
        <v>16156</v>
      </c>
      <c r="F3746" s="421" t="s">
        <v>6499</v>
      </c>
      <c r="G3746" s="112">
        <v>1</v>
      </c>
      <c r="H3746" s="112">
        <v>1</v>
      </c>
      <c r="I3746" s="112">
        <v>1</v>
      </c>
      <c r="J3746" s="112">
        <v>8</v>
      </c>
      <c r="K3746" s="112">
        <v>8</v>
      </c>
      <c r="L3746" s="112">
        <v>8</v>
      </c>
      <c r="M3746" s="112">
        <v>8</v>
      </c>
      <c r="N3746" s="112">
        <v>5</v>
      </c>
      <c r="O3746" s="112">
        <v>8</v>
      </c>
    </row>
    <row r="3747" spans="1:15" x14ac:dyDescent="0.2">
      <c r="A3747" s="111">
        <v>3866</v>
      </c>
      <c r="B3747" s="421" t="s">
        <v>6458</v>
      </c>
      <c r="C3747" s="421" t="s">
        <v>506</v>
      </c>
      <c r="D3747" s="422" t="s">
        <v>666</v>
      </c>
      <c r="E3747" s="111">
        <v>16322</v>
      </c>
      <c r="F3747" s="421" t="s">
        <v>6483</v>
      </c>
      <c r="G3747" s="112">
        <v>1</v>
      </c>
      <c r="H3747" s="112">
        <v>2</v>
      </c>
      <c r="I3747" s="112">
        <v>1</v>
      </c>
      <c r="J3747" s="112">
        <v>1</v>
      </c>
      <c r="K3747" s="112">
        <v>1</v>
      </c>
      <c r="L3747" s="112">
        <v>1</v>
      </c>
      <c r="M3747" s="112">
        <v>2</v>
      </c>
      <c r="O3747" s="112">
        <v>1</v>
      </c>
    </row>
    <row r="3748" spans="1:15" x14ac:dyDescent="0.2">
      <c r="A3748" s="111">
        <v>3867</v>
      </c>
      <c r="B3748" s="421" t="s">
        <v>84</v>
      </c>
      <c r="C3748" s="421" t="s">
        <v>523</v>
      </c>
      <c r="D3748" s="422" t="s">
        <v>663</v>
      </c>
      <c r="E3748" s="111">
        <v>15935</v>
      </c>
      <c r="F3748" s="421" t="s">
        <v>6020</v>
      </c>
      <c r="G3748" s="112">
        <v>1</v>
      </c>
      <c r="H3748" s="112">
        <v>1</v>
      </c>
      <c r="I3748" s="112">
        <v>1</v>
      </c>
      <c r="J3748" s="112">
        <v>10</v>
      </c>
      <c r="K3748" s="112">
        <v>10</v>
      </c>
      <c r="L3748" s="112">
        <v>13</v>
      </c>
      <c r="M3748" s="112">
        <v>12</v>
      </c>
      <c r="N3748" s="112">
        <v>6</v>
      </c>
      <c r="O3748" s="112">
        <v>5</v>
      </c>
    </row>
    <row r="3749" spans="1:15" x14ac:dyDescent="0.2">
      <c r="A3749" s="111">
        <v>3868</v>
      </c>
      <c r="B3749" s="421" t="s">
        <v>6478</v>
      </c>
      <c r="C3749" s="421" t="s">
        <v>577</v>
      </c>
      <c r="D3749" s="422" t="s">
        <v>666</v>
      </c>
      <c r="E3749" s="111">
        <v>16157</v>
      </c>
      <c r="F3749" s="421" t="s">
        <v>6510</v>
      </c>
      <c r="G3749" s="112">
        <v>3</v>
      </c>
      <c r="H3749" s="112">
        <v>2</v>
      </c>
      <c r="I3749" s="112">
        <v>1</v>
      </c>
      <c r="J3749" s="112">
        <v>1</v>
      </c>
    </row>
    <row r="3750" spans="1:15" x14ac:dyDescent="0.2">
      <c r="A3750" s="111">
        <v>3869</v>
      </c>
      <c r="B3750" s="421" t="s">
        <v>6462</v>
      </c>
      <c r="C3750" s="421" t="s">
        <v>2483</v>
      </c>
      <c r="D3750" s="422" t="s">
        <v>666</v>
      </c>
      <c r="E3750" s="111">
        <v>15061</v>
      </c>
      <c r="F3750" s="421" t="s">
        <v>3045</v>
      </c>
      <c r="G3750" s="112">
        <v>1</v>
      </c>
      <c r="H3750" s="112">
        <v>1</v>
      </c>
      <c r="I3750" s="112">
        <v>1</v>
      </c>
      <c r="J3750" s="112">
        <v>2</v>
      </c>
      <c r="K3750" s="112">
        <v>2</v>
      </c>
      <c r="L3750" s="112">
        <v>1</v>
      </c>
    </row>
    <row r="3751" spans="1:15" x14ac:dyDescent="0.2">
      <c r="A3751" s="111">
        <v>3870</v>
      </c>
      <c r="B3751" s="421" t="s">
        <v>3160</v>
      </c>
      <c r="C3751" s="421" t="s">
        <v>513</v>
      </c>
      <c r="D3751" s="422" t="s">
        <v>666</v>
      </c>
      <c r="E3751" s="111">
        <v>15668</v>
      </c>
      <c r="F3751" s="421" t="s">
        <v>5020</v>
      </c>
    </row>
    <row r="3752" spans="1:15" x14ac:dyDescent="0.2">
      <c r="A3752" s="111">
        <v>3871</v>
      </c>
      <c r="B3752" s="421" t="s">
        <v>198</v>
      </c>
      <c r="C3752" s="421" t="s">
        <v>533</v>
      </c>
      <c r="D3752" s="422" t="s">
        <v>666</v>
      </c>
      <c r="E3752" s="111">
        <v>16158</v>
      </c>
      <c r="F3752" s="421" t="s">
        <v>6488</v>
      </c>
      <c r="G3752" s="112">
        <v>1</v>
      </c>
      <c r="H3752" s="112">
        <v>1</v>
      </c>
      <c r="I3752" s="112">
        <v>1</v>
      </c>
      <c r="J3752" s="112">
        <v>11</v>
      </c>
      <c r="K3752" s="112">
        <v>10</v>
      </c>
      <c r="L3752" s="112">
        <v>12</v>
      </c>
      <c r="M3752" s="112">
        <v>15</v>
      </c>
      <c r="N3752" s="112">
        <v>10</v>
      </c>
      <c r="O3752" s="112">
        <v>11</v>
      </c>
    </row>
    <row r="3753" spans="1:15" x14ac:dyDescent="0.2">
      <c r="A3753" s="111">
        <v>3872</v>
      </c>
      <c r="B3753" s="421" t="s">
        <v>2052</v>
      </c>
      <c r="C3753" s="421" t="s">
        <v>534</v>
      </c>
      <c r="D3753" s="422" t="s">
        <v>663</v>
      </c>
      <c r="E3753" s="111">
        <v>16159</v>
      </c>
      <c r="F3753" s="421" t="s">
        <v>6515</v>
      </c>
      <c r="G3753" s="112">
        <v>1</v>
      </c>
      <c r="H3753" s="112">
        <v>1</v>
      </c>
      <c r="I3753" s="112">
        <v>1</v>
      </c>
      <c r="J3753" s="112">
        <v>1</v>
      </c>
      <c r="K3753" s="112">
        <v>2</v>
      </c>
      <c r="L3753" s="112">
        <v>2</v>
      </c>
      <c r="M3753" s="112">
        <v>1</v>
      </c>
    </row>
    <row r="3754" spans="1:15" x14ac:dyDescent="0.2">
      <c r="A3754" s="111">
        <v>3873</v>
      </c>
      <c r="B3754" s="421" t="s">
        <v>6477</v>
      </c>
      <c r="C3754" s="421" t="s">
        <v>577</v>
      </c>
      <c r="D3754" s="422" t="s">
        <v>666</v>
      </c>
      <c r="E3754" s="111">
        <v>15787</v>
      </c>
      <c r="F3754" s="421" t="s">
        <v>5423</v>
      </c>
      <c r="G3754" s="112">
        <v>2</v>
      </c>
      <c r="H3754" s="112">
        <v>2</v>
      </c>
      <c r="I3754" s="112">
        <v>1</v>
      </c>
    </row>
    <row r="3755" spans="1:15" x14ac:dyDescent="0.2">
      <c r="A3755" s="111">
        <v>3874</v>
      </c>
      <c r="B3755" s="421" t="s">
        <v>6476</v>
      </c>
      <c r="C3755" s="421" t="s">
        <v>502</v>
      </c>
      <c r="D3755" s="422" t="s">
        <v>666</v>
      </c>
      <c r="E3755" s="111">
        <v>15037</v>
      </c>
      <c r="F3755" s="421" t="s">
        <v>7899</v>
      </c>
    </row>
    <row r="3756" spans="1:15" x14ac:dyDescent="0.2">
      <c r="A3756" s="111">
        <v>3875</v>
      </c>
      <c r="B3756" s="421" t="s">
        <v>335</v>
      </c>
      <c r="C3756" s="421" t="s">
        <v>2272</v>
      </c>
      <c r="D3756" s="422" t="s">
        <v>666</v>
      </c>
      <c r="E3756" s="111">
        <v>16160</v>
      </c>
      <c r="F3756" s="421" t="s">
        <v>6522</v>
      </c>
    </row>
    <row r="3757" spans="1:15" x14ac:dyDescent="0.2">
      <c r="A3757" s="111">
        <v>3876</v>
      </c>
      <c r="B3757" s="421" t="s">
        <v>401</v>
      </c>
      <c r="C3757" s="421" t="s">
        <v>4162</v>
      </c>
      <c r="D3757" s="422" t="s">
        <v>663</v>
      </c>
      <c r="E3757" s="111">
        <v>16161</v>
      </c>
      <c r="F3757" s="421" t="s">
        <v>6524</v>
      </c>
    </row>
    <row r="3758" spans="1:15" x14ac:dyDescent="0.2">
      <c r="A3758" s="111">
        <v>3877</v>
      </c>
      <c r="B3758" s="421" t="s">
        <v>5062</v>
      </c>
      <c r="C3758" s="421" t="s">
        <v>501</v>
      </c>
      <c r="D3758" s="422" t="s">
        <v>666</v>
      </c>
      <c r="E3758" s="111">
        <v>16163</v>
      </c>
      <c r="F3758" s="421" t="s">
        <v>6498</v>
      </c>
    </row>
    <row r="3759" spans="1:15" x14ac:dyDescent="0.2">
      <c r="A3759" s="111">
        <v>3878</v>
      </c>
      <c r="B3759" s="421" t="s">
        <v>1771</v>
      </c>
      <c r="C3759" s="421" t="s">
        <v>530</v>
      </c>
      <c r="D3759" s="422" t="s">
        <v>663</v>
      </c>
      <c r="E3759" s="111">
        <v>16164</v>
      </c>
      <c r="F3759" s="421" t="s">
        <v>2611</v>
      </c>
      <c r="G3759" s="112">
        <v>1</v>
      </c>
      <c r="H3759" s="112">
        <v>2</v>
      </c>
      <c r="I3759" s="112">
        <v>2</v>
      </c>
      <c r="J3759" s="112">
        <v>11</v>
      </c>
      <c r="K3759" s="112">
        <v>9</v>
      </c>
      <c r="L3759" s="112">
        <v>10</v>
      </c>
      <c r="M3759" s="112">
        <v>7</v>
      </c>
      <c r="N3759" s="112">
        <v>7</v>
      </c>
      <c r="O3759" s="112">
        <v>9</v>
      </c>
    </row>
    <row r="3760" spans="1:15" x14ac:dyDescent="0.2">
      <c r="A3760" s="111">
        <v>3879</v>
      </c>
      <c r="B3760" s="421" t="s">
        <v>6459</v>
      </c>
      <c r="C3760" s="421" t="s">
        <v>516</v>
      </c>
      <c r="D3760" s="422" t="s">
        <v>663</v>
      </c>
      <c r="E3760" s="111">
        <v>15184</v>
      </c>
      <c r="F3760" s="421" t="s">
        <v>3368</v>
      </c>
      <c r="G3760" s="112">
        <v>1</v>
      </c>
      <c r="H3760" s="112">
        <v>1</v>
      </c>
    </row>
    <row r="3761" spans="1:15" x14ac:dyDescent="0.2">
      <c r="A3761" s="111">
        <v>3880</v>
      </c>
      <c r="B3761" s="421" t="s">
        <v>241</v>
      </c>
      <c r="C3761" s="421" t="s">
        <v>516</v>
      </c>
      <c r="D3761" s="422" t="s">
        <v>666</v>
      </c>
      <c r="E3761" s="111">
        <v>15184</v>
      </c>
      <c r="F3761" s="421" t="s">
        <v>3368</v>
      </c>
      <c r="G3761" s="112">
        <v>1</v>
      </c>
      <c r="H3761" s="112">
        <v>1</v>
      </c>
      <c r="I3761" s="112">
        <v>1</v>
      </c>
      <c r="J3761" s="112">
        <v>3</v>
      </c>
      <c r="K3761" s="112">
        <v>3</v>
      </c>
      <c r="L3761" s="112">
        <v>4</v>
      </c>
      <c r="M3761" s="112">
        <v>4</v>
      </c>
      <c r="N3761" s="112">
        <v>5</v>
      </c>
      <c r="O3761" s="112">
        <v>3</v>
      </c>
    </row>
    <row r="3762" spans="1:15" x14ac:dyDescent="0.2">
      <c r="A3762" s="111">
        <v>3881</v>
      </c>
      <c r="B3762" s="421" t="s">
        <v>1349</v>
      </c>
      <c r="C3762" s="421" t="s">
        <v>5825</v>
      </c>
      <c r="D3762" s="422" t="s">
        <v>663</v>
      </c>
      <c r="F3762" s="421" t="s">
        <v>6521</v>
      </c>
    </row>
    <row r="3763" spans="1:15" x14ac:dyDescent="0.2">
      <c r="A3763" s="111">
        <v>3882</v>
      </c>
      <c r="B3763" s="421" t="s">
        <v>175</v>
      </c>
      <c r="C3763" s="421" t="s">
        <v>551</v>
      </c>
      <c r="D3763" s="422" t="s">
        <v>666</v>
      </c>
      <c r="E3763" s="111">
        <v>16166</v>
      </c>
      <c r="F3763" s="421" t="s">
        <v>6485</v>
      </c>
    </row>
    <row r="3764" spans="1:15" x14ac:dyDescent="0.2">
      <c r="A3764" s="111">
        <v>3883</v>
      </c>
      <c r="B3764" s="421" t="s">
        <v>266</v>
      </c>
      <c r="C3764" s="421" t="s">
        <v>551</v>
      </c>
      <c r="D3764" s="422" t="s">
        <v>663</v>
      </c>
      <c r="E3764" s="111">
        <v>16166</v>
      </c>
      <c r="F3764" s="421" t="s">
        <v>6485</v>
      </c>
    </row>
    <row r="3765" spans="1:15" x14ac:dyDescent="0.2">
      <c r="A3765" s="111">
        <v>3884</v>
      </c>
      <c r="B3765" s="421" t="s">
        <v>6473</v>
      </c>
      <c r="C3765" s="421" t="s">
        <v>1817</v>
      </c>
      <c r="D3765" s="422" t="s">
        <v>666</v>
      </c>
      <c r="E3765" s="111">
        <v>15137</v>
      </c>
      <c r="F3765" s="421" t="s">
        <v>3289</v>
      </c>
      <c r="G3765" s="112">
        <v>3</v>
      </c>
      <c r="H3765" s="112">
        <v>3</v>
      </c>
      <c r="I3765" s="112">
        <v>3</v>
      </c>
      <c r="J3765" s="112">
        <v>10</v>
      </c>
      <c r="K3765" s="112">
        <v>7</v>
      </c>
      <c r="L3765" s="112">
        <v>7</v>
      </c>
      <c r="M3765" s="112">
        <v>1</v>
      </c>
    </row>
    <row r="3766" spans="1:15" x14ac:dyDescent="0.2">
      <c r="A3766" s="111">
        <v>3885</v>
      </c>
      <c r="B3766" s="421" t="s">
        <v>6467</v>
      </c>
      <c r="C3766" s="421" t="s">
        <v>544</v>
      </c>
      <c r="D3766" s="422" t="s">
        <v>663</v>
      </c>
      <c r="E3766" s="111">
        <v>16021</v>
      </c>
      <c r="F3766" s="421" t="s">
        <v>6495</v>
      </c>
      <c r="G3766" s="112">
        <v>1</v>
      </c>
    </row>
    <row r="3767" spans="1:15" x14ac:dyDescent="0.2">
      <c r="A3767" s="111">
        <v>3886</v>
      </c>
      <c r="B3767" s="421" t="s">
        <v>5747</v>
      </c>
      <c r="C3767" s="421" t="s">
        <v>551</v>
      </c>
      <c r="D3767" s="422" t="s">
        <v>666</v>
      </c>
      <c r="E3767" s="111">
        <v>15029</v>
      </c>
      <c r="F3767" s="421" t="s">
        <v>2950</v>
      </c>
      <c r="G3767" s="112">
        <v>1</v>
      </c>
      <c r="H3767" s="112">
        <v>1</v>
      </c>
    </row>
    <row r="3768" spans="1:15" x14ac:dyDescent="0.2">
      <c r="A3768" s="111">
        <v>3887</v>
      </c>
      <c r="B3768" s="421" t="s">
        <v>6472</v>
      </c>
      <c r="C3768" s="421" t="s">
        <v>1934</v>
      </c>
      <c r="D3768" s="422" t="s">
        <v>666</v>
      </c>
      <c r="E3768" s="111">
        <v>16169</v>
      </c>
      <c r="F3768" s="421" t="s">
        <v>6501</v>
      </c>
    </row>
    <row r="3769" spans="1:15" x14ac:dyDescent="0.2">
      <c r="A3769" s="111">
        <v>3888</v>
      </c>
      <c r="B3769" s="421" t="s">
        <v>6474</v>
      </c>
      <c r="C3769" s="421" t="s">
        <v>572</v>
      </c>
      <c r="D3769" s="422" t="s">
        <v>666</v>
      </c>
      <c r="E3769" s="111">
        <v>16170</v>
      </c>
      <c r="F3769" s="421" t="s">
        <v>1836</v>
      </c>
      <c r="G3769" s="112">
        <v>1</v>
      </c>
      <c r="H3769" s="112">
        <v>1</v>
      </c>
      <c r="I3769" s="112">
        <v>1</v>
      </c>
    </row>
    <row r="3770" spans="1:15" x14ac:dyDescent="0.2">
      <c r="A3770" s="111">
        <v>3889</v>
      </c>
      <c r="B3770" s="421" t="s">
        <v>6480</v>
      </c>
      <c r="C3770" s="421" t="s">
        <v>506</v>
      </c>
      <c r="D3770" s="422" t="s">
        <v>666</v>
      </c>
      <c r="E3770" s="111">
        <v>16142</v>
      </c>
      <c r="F3770" s="421" t="s">
        <v>6517</v>
      </c>
      <c r="G3770" s="112">
        <v>5</v>
      </c>
      <c r="H3770" s="112">
        <v>2</v>
      </c>
      <c r="I3770" s="112">
        <v>1</v>
      </c>
    </row>
    <row r="3771" spans="1:15" x14ac:dyDescent="0.2">
      <c r="A3771" s="111">
        <v>3890</v>
      </c>
      <c r="B3771" s="421" t="s">
        <v>322</v>
      </c>
      <c r="C3771" s="421" t="s">
        <v>501</v>
      </c>
      <c r="D3771" s="422" t="s">
        <v>666</v>
      </c>
      <c r="E3771" s="111">
        <v>16171</v>
      </c>
      <c r="F3771" s="421" t="s">
        <v>6496</v>
      </c>
    </row>
    <row r="3772" spans="1:15" x14ac:dyDescent="0.2">
      <c r="A3772" s="111">
        <v>3891</v>
      </c>
      <c r="B3772" s="421" t="s">
        <v>5060</v>
      </c>
      <c r="C3772" s="421" t="s">
        <v>3385</v>
      </c>
      <c r="D3772" s="422" t="s">
        <v>666</v>
      </c>
      <c r="E3772" s="111">
        <v>16172</v>
      </c>
      <c r="F3772" s="421" t="s">
        <v>6518</v>
      </c>
      <c r="G3772" s="112">
        <v>1</v>
      </c>
      <c r="I3772" s="112">
        <v>1</v>
      </c>
    </row>
    <row r="3773" spans="1:15" x14ac:dyDescent="0.2">
      <c r="A3773" s="111">
        <v>3892</v>
      </c>
      <c r="B3773" s="421" t="s">
        <v>55</v>
      </c>
      <c r="C3773" s="421" t="s">
        <v>523</v>
      </c>
      <c r="D3773" s="422" t="s">
        <v>666</v>
      </c>
      <c r="E3773" s="111">
        <v>16173</v>
      </c>
      <c r="F3773" s="421" t="s">
        <v>6484</v>
      </c>
      <c r="G3773" s="112">
        <v>1</v>
      </c>
      <c r="H3773" s="112">
        <v>1</v>
      </c>
      <c r="I3773" s="112">
        <v>1</v>
      </c>
      <c r="J3773" s="112">
        <v>10</v>
      </c>
      <c r="K3773" s="112">
        <v>9</v>
      </c>
      <c r="L3773" s="112">
        <v>9</v>
      </c>
      <c r="M3773" s="112">
        <v>6</v>
      </c>
      <c r="N3773" s="112">
        <v>3</v>
      </c>
      <c r="O3773" s="112">
        <v>4</v>
      </c>
    </row>
    <row r="3774" spans="1:15" x14ac:dyDescent="0.2">
      <c r="A3774" s="111">
        <v>3893</v>
      </c>
      <c r="B3774" s="421" t="s">
        <v>6154</v>
      </c>
      <c r="C3774" s="421" t="s">
        <v>1447</v>
      </c>
      <c r="D3774" s="422" t="s">
        <v>666</v>
      </c>
      <c r="E3774" s="111">
        <v>16016</v>
      </c>
      <c r="F3774" s="421" t="s">
        <v>6155</v>
      </c>
    </row>
    <row r="3775" spans="1:15" x14ac:dyDescent="0.2">
      <c r="A3775" s="111">
        <v>3894</v>
      </c>
      <c r="B3775" s="421" t="s">
        <v>6479</v>
      </c>
      <c r="C3775" s="421" t="s">
        <v>572</v>
      </c>
      <c r="D3775" s="422" t="s">
        <v>663</v>
      </c>
      <c r="E3775" s="111">
        <v>16174</v>
      </c>
      <c r="F3775" s="421" t="s">
        <v>6511</v>
      </c>
      <c r="G3775" s="112">
        <v>2</v>
      </c>
      <c r="H3775" s="112">
        <v>2</v>
      </c>
      <c r="I3775" s="112">
        <v>1</v>
      </c>
      <c r="J3775" s="112">
        <v>1</v>
      </c>
      <c r="K3775" s="112">
        <v>1</v>
      </c>
      <c r="L3775" s="112">
        <v>1</v>
      </c>
    </row>
    <row r="3776" spans="1:15" x14ac:dyDescent="0.2">
      <c r="A3776" s="111">
        <v>3895</v>
      </c>
      <c r="B3776" s="421" t="s">
        <v>321</v>
      </c>
      <c r="C3776" s="421" t="s">
        <v>516</v>
      </c>
      <c r="D3776" s="422" t="s">
        <v>663</v>
      </c>
      <c r="E3776" s="111">
        <v>16246</v>
      </c>
      <c r="F3776" s="421" t="s">
        <v>6506</v>
      </c>
    </row>
    <row r="3777" spans="1:15" x14ac:dyDescent="0.2">
      <c r="A3777" s="111">
        <v>3896</v>
      </c>
      <c r="B3777" s="421" t="s">
        <v>2270</v>
      </c>
      <c r="C3777" s="421" t="s">
        <v>1201</v>
      </c>
      <c r="D3777" s="422" t="s">
        <v>663</v>
      </c>
      <c r="E3777" s="111">
        <v>16175</v>
      </c>
      <c r="F3777" s="421" t="s">
        <v>6582</v>
      </c>
      <c r="G3777" s="112">
        <v>1</v>
      </c>
      <c r="H3777" s="112">
        <v>1</v>
      </c>
      <c r="I3777" s="112">
        <v>1</v>
      </c>
      <c r="J3777" s="112">
        <v>3</v>
      </c>
      <c r="K3777" s="112">
        <v>3</v>
      </c>
      <c r="L3777" s="112">
        <v>4</v>
      </c>
      <c r="M3777" s="112">
        <v>1</v>
      </c>
      <c r="N3777" s="112">
        <v>1</v>
      </c>
      <c r="O3777" s="112">
        <v>1</v>
      </c>
    </row>
    <row r="3778" spans="1:15" x14ac:dyDescent="0.2">
      <c r="A3778" s="111">
        <v>3897</v>
      </c>
      <c r="B3778" s="421" t="s">
        <v>6540</v>
      </c>
      <c r="C3778" s="421" t="s">
        <v>533</v>
      </c>
      <c r="D3778" s="422" t="s">
        <v>666</v>
      </c>
      <c r="E3778" s="111">
        <v>16176</v>
      </c>
      <c r="F3778" s="421" t="s">
        <v>6583</v>
      </c>
      <c r="G3778" s="112">
        <v>1</v>
      </c>
      <c r="H3778" s="112">
        <v>2</v>
      </c>
      <c r="I3778" s="112">
        <v>2</v>
      </c>
      <c r="J3778" s="112">
        <v>1</v>
      </c>
      <c r="K3778" s="112">
        <v>1</v>
      </c>
      <c r="L3778" s="112">
        <v>1</v>
      </c>
    </row>
    <row r="3779" spans="1:15" x14ac:dyDescent="0.2">
      <c r="A3779" s="111">
        <v>3898</v>
      </c>
      <c r="B3779" s="421" t="s">
        <v>6540</v>
      </c>
      <c r="C3779" s="421" t="s">
        <v>572</v>
      </c>
      <c r="D3779" s="422" t="s">
        <v>666</v>
      </c>
      <c r="F3779" s="421" t="s">
        <v>6569</v>
      </c>
      <c r="G3779" s="112">
        <v>1</v>
      </c>
      <c r="H3779" s="112">
        <v>1</v>
      </c>
      <c r="I3779" s="112">
        <v>1</v>
      </c>
      <c r="J3779" s="112">
        <v>1</v>
      </c>
      <c r="K3779" s="112">
        <v>2</v>
      </c>
      <c r="L3779" s="112">
        <v>1</v>
      </c>
    </row>
    <row r="3780" spans="1:15" x14ac:dyDescent="0.2">
      <c r="A3780" s="111">
        <v>3899</v>
      </c>
      <c r="B3780" s="421" t="s">
        <v>6547</v>
      </c>
      <c r="C3780" s="421" t="s">
        <v>510</v>
      </c>
      <c r="D3780" s="422" t="s">
        <v>666</v>
      </c>
      <c r="E3780" s="111">
        <v>16177</v>
      </c>
      <c r="F3780" s="421" t="s">
        <v>6577</v>
      </c>
    </row>
    <row r="3781" spans="1:15" x14ac:dyDescent="0.2">
      <c r="A3781" s="111">
        <v>3900</v>
      </c>
      <c r="B3781" s="421" t="s">
        <v>2238</v>
      </c>
      <c r="C3781" s="421" t="s">
        <v>551</v>
      </c>
      <c r="D3781" s="422" t="s">
        <v>663</v>
      </c>
      <c r="E3781" s="111">
        <v>16180</v>
      </c>
      <c r="F3781" s="421" t="s">
        <v>6588</v>
      </c>
      <c r="G3781" s="112">
        <v>1</v>
      </c>
      <c r="H3781" s="112">
        <v>1</v>
      </c>
      <c r="I3781" s="112">
        <v>1</v>
      </c>
      <c r="J3781" s="112">
        <v>1</v>
      </c>
      <c r="K3781" s="112">
        <v>1</v>
      </c>
      <c r="L3781" s="112">
        <v>1</v>
      </c>
      <c r="M3781" s="112">
        <v>4</v>
      </c>
      <c r="O3781" s="112">
        <v>4</v>
      </c>
    </row>
    <row r="3782" spans="1:15" x14ac:dyDescent="0.2">
      <c r="A3782" s="111">
        <v>3901</v>
      </c>
      <c r="B3782" s="421" t="s">
        <v>1327</v>
      </c>
      <c r="C3782" s="421" t="s">
        <v>501</v>
      </c>
      <c r="D3782" s="422" t="s">
        <v>666</v>
      </c>
      <c r="E3782" s="111">
        <v>16178</v>
      </c>
      <c r="F3782" s="421" t="s">
        <v>6578</v>
      </c>
      <c r="G3782" s="112">
        <v>1</v>
      </c>
      <c r="H3782" s="112">
        <v>1</v>
      </c>
    </row>
    <row r="3783" spans="1:15" x14ac:dyDescent="0.2">
      <c r="A3783" s="111">
        <v>3902</v>
      </c>
      <c r="B3783" s="421" t="s">
        <v>6536</v>
      </c>
      <c r="C3783" s="421" t="s">
        <v>501</v>
      </c>
      <c r="D3783" s="422" t="s">
        <v>663</v>
      </c>
      <c r="E3783" s="111">
        <v>16179</v>
      </c>
      <c r="F3783" s="421" t="s">
        <v>6565</v>
      </c>
      <c r="G3783" s="112">
        <v>1</v>
      </c>
      <c r="H3783" s="112">
        <v>1</v>
      </c>
      <c r="I3783" s="112">
        <v>1</v>
      </c>
      <c r="J3783" s="112">
        <v>2</v>
      </c>
      <c r="K3783" s="112">
        <v>2</v>
      </c>
      <c r="L3783" s="112">
        <v>2</v>
      </c>
      <c r="M3783" s="112">
        <v>4</v>
      </c>
      <c r="N3783" s="112">
        <v>1</v>
      </c>
      <c r="O3783" s="112">
        <v>1</v>
      </c>
    </row>
    <row r="3784" spans="1:15" x14ac:dyDescent="0.2">
      <c r="A3784" s="111">
        <v>3903</v>
      </c>
      <c r="B3784" s="421" t="s">
        <v>6549</v>
      </c>
      <c r="C3784" s="421" t="s">
        <v>506</v>
      </c>
      <c r="D3784" s="422" t="s">
        <v>666</v>
      </c>
      <c r="E3784" s="111">
        <v>16239</v>
      </c>
      <c r="F3784" s="421" t="s">
        <v>6580</v>
      </c>
      <c r="G3784" s="112">
        <v>1</v>
      </c>
      <c r="H3784" s="112">
        <v>2</v>
      </c>
      <c r="I3784" s="112">
        <v>1</v>
      </c>
      <c r="J3784" s="112">
        <v>2</v>
      </c>
      <c r="K3784" s="112">
        <v>3</v>
      </c>
      <c r="L3784" s="112">
        <v>1</v>
      </c>
    </row>
    <row r="3785" spans="1:15" x14ac:dyDescent="0.2">
      <c r="A3785" s="111">
        <v>3904</v>
      </c>
      <c r="B3785" s="421" t="s">
        <v>4117</v>
      </c>
      <c r="C3785" s="421" t="s">
        <v>510</v>
      </c>
      <c r="D3785" s="422" t="s">
        <v>663</v>
      </c>
      <c r="E3785" s="111">
        <v>16197</v>
      </c>
      <c r="F3785" s="421" t="s">
        <v>6566</v>
      </c>
      <c r="G3785" s="112">
        <v>1</v>
      </c>
      <c r="H3785" s="112">
        <v>1</v>
      </c>
      <c r="I3785" s="112">
        <v>1</v>
      </c>
      <c r="J3785" s="112">
        <v>3</v>
      </c>
      <c r="K3785" s="112">
        <v>4</v>
      </c>
      <c r="L3785" s="112">
        <v>4</v>
      </c>
      <c r="M3785" s="112">
        <v>2</v>
      </c>
      <c r="N3785" s="112">
        <v>3</v>
      </c>
      <c r="O3785" s="112">
        <v>3</v>
      </c>
    </row>
    <row r="3786" spans="1:15" x14ac:dyDescent="0.2">
      <c r="A3786" s="111">
        <v>3905</v>
      </c>
      <c r="B3786" s="421" t="s">
        <v>456</v>
      </c>
      <c r="C3786" s="421" t="s">
        <v>518</v>
      </c>
      <c r="D3786" s="422" t="s">
        <v>663</v>
      </c>
      <c r="E3786" s="111">
        <v>15387</v>
      </c>
      <c r="F3786" s="421" t="s">
        <v>4135</v>
      </c>
      <c r="G3786" s="112">
        <v>1</v>
      </c>
      <c r="H3786" s="112">
        <v>1</v>
      </c>
      <c r="I3786" s="112">
        <v>1</v>
      </c>
      <c r="J3786" s="112">
        <v>8</v>
      </c>
      <c r="K3786" s="112">
        <v>8</v>
      </c>
      <c r="L3786" s="112">
        <v>7</v>
      </c>
      <c r="M3786" s="112">
        <v>4</v>
      </c>
      <c r="N3786" s="112">
        <v>4</v>
      </c>
      <c r="O3786" s="112">
        <v>3</v>
      </c>
    </row>
    <row r="3787" spans="1:15" x14ac:dyDescent="0.2">
      <c r="A3787" s="111">
        <v>3906</v>
      </c>
      <c r="B3787" s="421" t="s">
        <v>6542</v>
      </c>
      <c r="C3787" s="421" t="s">
        <v>529</v>
      </c>
      <c r="D3787" s="422" t="s">
        <v>666</v>
      </c>
      <c r="E3787" s="111">
        <v>16181</v>
      </c>
      <c r="F3787" s="421" t="s">
        <v>6571</v>
      </c>
      <c r="G3787" s="112">
        <v>1</v>
      </c>
      <c r="H3787" s="112">
        <v>1</v>
      </c>
    </row>
    <row r="3788" spans="1:15" x14ac:dyDescent="0.2">
      <c r="A3788" s="111">
        <v>3907</v>
      </c>
      <c r="B3788" s="421" t="s">
        <v>6544</v>
      </c>
      <c r="C3788" s="421" t="s">
        <v>525</v>
      </c>
      <c r="D3788" s="422" t="s">
        <v>663</v>
      </c>
      <c r="E3788" s="111">
        <v>14318</v>
      </c>
      <c r="F3788" s="421" t="s">
        <v>903</v>
      </c>
      <c r="G3788" s="112">
        <v>1</v>
      </c>
      <c r="H3788" s="112">
        <v>1</v>
      </c>
      <c r="I3788" s="112">
        <v>1</v>
      </c>
      <c r="J3788" s="112">
        <v>2</v>
      </c>
    </row>
    <row r="3789" spans="1:15" x14ac:dyDescent="0.2">
      <c r="A3789" s="111">
        <v>3908</v>
      </c>
      <c r="B3789" s="421" t="s">
        <v>1434</v>
      </c>
      <c r="C3789" s="421" t="s">
        <v>2165</v>
      </c>
      <c r="D3789" s="422" t="s">
        <v>666</v>
      </c>
      <c r="E3789" s="111">
        <v>16182</v>
      </c>
      <c r="F3789" s="421" t="s">
        <v>6567</v>
      </c>
      <c r="G3789" s="112">
        <v>1</v>
      </c>
      <c r="H3789" s="112">
        <v>1</v>
      </c>
      <c r="I3789" s="112">
        <v>1</v>
      </c>
      <c r="J3789" s="112">
        <v>1</v>
      </c>
      <c r="K3789" s="112">
        <v>1</v>
      </c>
      <c r="L3789" s="112">
        <v>1</v>
      </c>
      <c r="M3789" s="112">
        <v>1</v>
      </c>
    </row>
    <row r="3790" spans="1:15" x14ac:dyDescent="0.2">
      <c r="A3790" s="111">
        <v>3909</v>
      </c>
      <c r="B3790" s="421" t="s">
        <v>5817</v>
      </c>
      <c r="C3790" s="421" t="s">
        <v>569</v>
      </c>
      <c r="D3790" s="422" t="s">
        <v>666</v>
      </c>
      <c r="E3790" s="111">
        <v>16183</v>
      </c>
      <c r="F3790" s="421" t="s">
        <v>6585</v>
      </c>
      <c r="G3790" s="112">
        <v>1</v>
      </c>
      <c r="H3790" s="112">
        <v>1</v>
      </c>
      <c r="I3790" s="112">
        <v>1</v>
      </c>
      <c r="J3790" s="112">
        <v>7</v>
      </c>
      <c r="K3790" s="112">
        <v>8</v>
      </c>
      <c r="L3790" s="112">
        <v>7</v>
      </c>
      <c r="M3790" s="112">
        <v>4</v>
      </c>
      <c r="N3790" s="112">
        <v>3</v>
      </c>
      <c r="O3790" s="112">
        <v>4</v>
      </c>
    </row>
    <row r="3791" spans="1:15" x14ac:dyDescent="0.2">
      <c r="A3791" s="111">
        <v>3910</v>
      </c>
      <c r="B3791" s="421" t="s">
        <v>6545</v>
      </c>
      <c r="C3791" s="421" t="s">
        <v>510</v>
      </c>
      <c r="D3791" s="422" t="s">
        <v>663</v>
      </c>
      <c r="F3791" s="421" t="s">
        <v>6573</v>
      </c>
    </row>
    <row r="3792" spans="1:15" x14ac:dyDescent="0.2">
      <c r="A3792" s="111">
        <v>3911</v>
      </c>
      <c r="B3792" s="421" t="s">
        <v>353</v>
      </c>
      <c r="C3792" s="421" t="s">
        <v>510</v>
      </c>
      <c r="D3792" s="422" t="s">
        <v>663</v>
      </c>
      <c r="E3792" s="111">
        <v>16184</v>
      </c>
      <c r="F3792" s="421" t="s">
        <v>6574</v>
      </c>
      <c r="G3792" s="112">
        <v>1</v>
      </c>
      <c r="H3792" s="112">
        <v>1</v>
      </c>
    </row>
    <row r="3793" spans="1:15" x14ac:dyDescent="0.2">
      <c r="A3793" s="111">
        <v>3912</v>
      </c>
      <c r="B3793" s="421" t="s">
        <v>174</v>
      </c>
      <c r="C3793" s="421" t="s">
        <v>510</v>
      </c>
      <c r="D3793" s="422" t="s">
        <v>666</v>
      </c>
      <c r="E3793" s="111">
        <v>16184</v>
      </c>
      <c r="F3793" s="421" t="s">
        <v>6574</v>
      </c>
      <c r="G3793" s="112">
        <v>1</v>
      </c>
    </row>
    <row r="3794" spans="1:15" x14ac:dyDescent="0.2">
      <c r="A3794" s="111">
        <v>3913</v>
      </c>
      <c r="B3794" s="421" t="s">
        <v>6548</v>
      </c>
      <c r="C3794" s="421" t="s">
        <v>517</v>
      </c>
      <c r="D3794" s="422" t="s">
        <v>663</v>
      </c>
      <c r="E3794" s="111">
        <v>15006</v>
      </c>
      <c r="F3794" s="421" t="s">
        <v>922</v>
      </c>
      <c r="G3794" s="112">
        <v>2</v>
      </c>
      <c r="H3794" s="112">
        <v>2</v>
      </c>
      <c r="I3794" s="112">
        <v>1</v>
      </c>
      <c r="J3794" s="112">
        <v>8</v>
      </c>
      <c r="K3794" s="112">
        <v>8</v>
      </c>
      <c r="L3794" s="112">
        <v>7</v>
      </c>
      <c r="M3794" s="112">
        <v>16</v>
      </c>
      <c r="N3794" s="112">
        <v>9</v>
      </c>
      <c r="O3794" s="112">
        <v>8</v>
      </c>
    </row>
    <row r="3795" spans="1:15" x14ac:dyDescent="0.2">
      <c r="A3795" s="111">
        <v>3914</v>
      </c>
      <c r="B3795" s="421" t="s">
        <v>6550</v>
      </c>
      <c r="C3795" s="421" t="s">
        <v>554</v>
      </c>
      <c r="D3795" s="422" t="s">
        <v>663</v>
      </c>
      <c r="E3795" s="111">
        <v>14539</v>
      </c>
      <c r="F3795" s="421" t="s">
        <v>1834</v>
      </c>
      <c r="G3795" s="112">
        <v>1</v>
      </c>
      <c r="H3795" s="112">
        <v>2</v>
      </c>
      <c r="I3795" s="112">
        <v>1</v>
      </c>
      <c r="J3795" s="112">
        <v>1</v>
      </c>
      <c r="L3795" s="112">
        <v>1</v>
      </c>
    </row>
    <row r="3796" spans="1:15" x14ac:dyDescent="0.2">
      <c r="A3796" s="111">
        <v>3915</v>
      </c>
      <c r="B3796" s="421" t="s">
        <v>3169</v>
      </c>
      <c r="C3796" s="421" t="s">
        <v>501</v>
      </c>
      <c r="D3796" s="422" t="s">
        <v>666</v>
      </c>
      <c r="E3796" s="111">
        <v>16185</v>
      </c>
      <c r="F3796" s="421" t="s">
        <v>6563</v>
      </c>
      <c r="G3796" s="112">
        <v>1</v>
      </c>
      <c r="I3796" s="112">
        <v>1</v>
      </c>
    </row>
    <row r="3797" spans="1:15" x14ac:dyDescent="0.2">
      <c r="A3797" s="111">
        <v>3916</v>
      </c>
      <c r="B3797" s="421" t="s">
        <v>6541</v>
      </c>
      <c r="C3797" s="421" t="s">
        <v>513</v>
      </c>
      <c r="D3797" s="422" t="s">
        <v>666</v>
      </c>
      <c r="E3797" s="111">
        <v>14798</v>
      </c>
      <c r="F3797" s="421" t="s">
        <v>2395</v>
      </c>
    </row>
    <row r="3798" spans="1:15" x14ac:dyDescent="0.2">
      <c r="A3798" s="111">
        <v>3917</v>
      </c>
      <c r="B3798" s="421" t="s">
        <v>6554</v>
      </c>
      <c r="C3798" s="421" t="s">
        <v>503</v>
      </c>
      <c r="D3798" s="422" t="s">
        <v>663</v>
      </c>
      <c r="E3798" s="111">
        <v>16186</v>
      </c>
      <c r="F3798" s="421" t="s">
        <v>6591</v>
      </c>
    </row>
    <row r="3799" spans="1:15" x14ac:dyDescent="0.2">
      <c r="A3799" s="111">
        <v>3918</v>
      </c>
      <c r="B3799" s="421" t="s">
        <v>6546</v>
      </c>
      <c r="C3799" s="421" t="s">
        <v>516</v>
      </c>
      <c r="D3799" s="422" t="s">
        <v>666</v>
      </c>
      <c r="E3799" s="111">
        <v>16893</v>
      </c>
      <c r="F3799" s="421" t="s">
        <v>6575</v>
      </c>
    </row>
    <row r="3800" spans="1:15" x14ac:dyDescent="0.2">
      <c r="A3800" s="111">
        <v>3919</v>
      </c>
      <c r="B3800" s="421" t="s">
        <v>6535</v>
      </c>
      <c r="C3800" s="421" t="s">
        <v>510</v>
      </c>
      <c r="D3800" s="422" t="s">
        <v>663</v>
      </c>
      <c r="E3800" s="111">
        <v>16188</v>
      </c>
      <c r="F3800" s="421" t="s">
        <v>6562</v>
      </c>
    </row>
    <row r="3801" spans="1:15" x14ac:dyDescent="0.2">
      <c r="A3801" s="111">
        <v>3920</v>
      </c>
      <c r="B3801" s="421" t="s">
        <v>2052</v>
      </c>
      <c r="C3801" s="421" t="s">
        <v>501</v>
      </c>
      <c r="D3801" s="422" t="s">
        <v>663</v>
      </c>
      <c r="E3801" s="111">
        <v>16187</v>
      </c>
      <c r="F3801" s="421" t="s">
        <v>6589</v>
      </c>
    </row>
    <row r="3802" spans="1:15" x14ac:dyDescent="0.2">
      <c r="A3802" s="111">
        <v>3921</v>
      </c>
      <c r="B3802" s="421" t="s">
        <v>5898</v>
      </c>
      <c r="C3802" s="421" t="s">
        <v>516</v>
      </c>
      <c r="D3802" s="422" t="s">
        <v>666</v>
      </c>
      <c r="E3802" s="111">
        <v>17073</v>
      </c>
      <c r="F3802" s="421" t="s">
        <v>6579</v>
      </c>
      <c r="G3802" s="112">
        <v>1</v>
      </c>
      <c r="H3802" s="112">
        <v>1</v>
      </c>
      <c r="I3802" s="112">
        <v>1</v>
      </c>
      <c r="J3802" s="112">
        <v>1</v>
      </c>
    </row>
    <row r="3803" spans="1:15" x14ac:dyDescent="0.2">
      <c r="A3803" s="111">
        <v>3922</v>
      </c>
      <c r="B3803" s="421" t="s">
        <v>171</v>
      </c>
      <c r="C3803" s="421" t="s">
        <v>523</v>
      </c>
      <c r="D3803" s="422" t="s">
        <v>666</v>
      </c>
      <c r="E3803" s="111">
        <v>16189</v>
      </c>
      <c r="F3803" s="421" t="s">
        <v>6576</v>
      </c>
      <c r="G3803" s="112">
        <v>2</v>
      </c>
      <c r="H3803" s="112">
        <v>2</v>
      </c>
      <c r="I3803" s="112">
        <v>2</v>
      </c>
      <c r="J3803" s="112">
        <v>7</v>
      </c>
      <c r="K3803" s="112">
        <v>7</v>
      </c>
      <c r="L3803" s="112">
        <v>3</v>
      </c>
    </row>
    <row r="3804" spans="1:15" x14ac:dyDescent="0.2">
      <c r="A3804" s="111">
        <v>3923</v>
      </c>
      <c r="B3804" s="421" t="s">
        <v>1491</v>
      </c>
      <c r="C3804" s="421" t="s">
        <v>1201</v>
      </c>
      <c r="D3804" s="422" t="s">
        <v>666</v>
      </c>
      <c r="E3804" s="111">
        <v>16190</v>
      </c>
      <c r="F3804" s="421" t="s">
        <v>6570</v>
      </c>
      <c r="G3804" s="112">
        <v>1</v>
      </c>
      <c r="H3804" s="112">
        <v>1</v>
      </c>
    </row>
    <row r="3805" spans="1:15" x14ac:dyDescent="0.2">
      <c r="A3805" s="111">
        <v>3924</v>
      </c>
      <c r="B3805" s="421" t="s">
        <v>306</v>
      </c>
      <c r="C3805" s="421" t="s">
        <v>523</v>
      </c>
      <c r="D3805" s="422" t="s">
        <v>663</v>
      </c>
      <c r="E3805" s="111">
        <v>16191</v>
      </c>
      <c r="F3805" s="421" t="s">
        <v>6593</v>
      </c>
    </row>
    <row r="3806" spans="1:15" x14ac:dyDescent="0.2">
      <c r="A3806" s="111">
        <v>3925</v>
      </c>
      <c r="B3806" s="421" t="s">
        <v>6537</v>
      </c>
      <c r="C3806" s="421" t="s">
        <v>503</v>
      </c>
      <c r="D3806" s="422" t="s">
        <v>666</v>
      </c>
      <c r="E3806" s="111">
        <v>15001</v>
      </c>
      <c r="F3806" s="421" t="s">
        <v>17460</v>
      </c>
      <c r="G3806" s="112">
        <v>1</v>
      </c>
      <c r="H3806" s="112">
        <v>2</v>
      </c>
      <c r="I3806" s="112">
        <v>2</v>
      </c>
      <c r="J3806" s="112">
        <v>1</v>
      </c>
      <c r="K3806" s="112">
        <v>1</v>
      </c>
      <c r="L3806" s="112">
        <v>1</v>
      </c>
      <c r="M3806" s="112">
        <v>1</v>
      </c>
    </row>
    <row r="3807" spans="1:15" x14ac:dyDescent="0.2">
      <c r="A3807" s="111">
        <v>3926</v>
      </c>
      <c r="B3807" s="421" t="s">
        <v>6539</v>
      </c>
      <c r="C3807" s="421" t="s">
        <v>503</v>
      </c>
      <c r="D3807" s="422" t="s">
        <v>666</v>
      </c>
      <c r="E3807" s="111">
        <v>15001</v>
      </c>
      <c r="F3807" s="421" t="s">
        <v>17460</v>
      </c>
      <c r="G3807" s="112">
        <v>1</v>
      </c>
      <c r="H3807" s="112">
        <v>1</v>
      </c>
      <c r="I3807" s="112">
        <v>1</v>
      </c>
      <c r="J3807" s="112">
        <v>1</v>
      </c>
    </row>
    <row r="3808" spans="1:15" x14ac:dyDescent="0.2">
      <c r="A3808" s="111">
        <v>3927</v>
      </c>
      <c r="B3808" s="421" t="s">
        <v>6538</v>
      </c>
      <c r="C3808" s="421" t="s">
        <v>503</v>
      </c>
      <c r="D3808" s="422" t="s">
        <v>666</v>
      </c>
      <c r="E3808" s="111">
        <v>15001</v>
      </c>
      <c r="F3808" s="421" t="s">
        <v>17460</v>
      </c>
      <c r="G3808" s="112">
        <v>3</v>
      </c>
      <c r="H3808" s="112">
        <v>1</v>
      </c>
      <c r="I3808" s="112">
        <v>1</v>
      </c>
      <c r="J3808" s="112">
        <v>1</v>
      </c>
      <c r="K3808" s="112">
        <v>1</v>
      </c>
      <c r="L3808" s="112">
        <v>1</v>
      </c>
    </row>
    <row r="3809" spans="1:15" x14ac:dyDescent="0.2">
      <c r="A3809" s="111">
        <v>3928</v>
      </c>
      <c r="B3809" s="421" t="s">
        <v>3134</v>
      </c>
      <c r="C3809" s="421" t="s">
        <v>509</v>
      </c>
      <c r="D3809" s="422" t="s">
        <v>666</v>
      </c>
      <c r="E3809" s="111">
        <v>15931</v>
      </c>
      <c r="F3809" s="421" t="s">
        <v>5745</v>
      </c>
      <c r="G3809" s="112">
        <v>1</v>
      </c>
      <c r="H3809" s="112">
        <v>2</v>
      </c>
      <c r="I3809" s="112">
        <v>2</v>
      </c>
      <c r="J3809" s="112">
        <v>3</v>
      </c>
      <c r="K3809" s="112">
        <v>4</v>
      </c>
      <c r="L3809" s="112">
        <v>3</v>
      </c>
    </row>
    <row r="3810" spans="1:15" x14ac:dyDescent="0.2">
      <c r="A3810" s="111">
        <v>3929</v>
      </c>
      <c r="B3810" s="421" t="s">
        <v>3165</v>
      </c>
      <c r="C3810" s="421" t="s">
        <v>551</v>
      </c>
      <c r="D3810" s="422" t="s">
        <v>663</v>
      </c>
      <c r="E3810" s="111">
        <v>16193</v>
      </c>
      <c r="F3810" s="421" t="s">
        <v>6568</v>
      </c>
      <c r="G3810" s="112">
        <v>1</v>
      </c>
      <c r="H3810" s="112">
        <v>1</v>
      </c>
      <c r="I3810" s="112">
        <v>1</v>
      </c>
      <c r="J3810" s="112">
        <v>3</v>
      </c>
      <c r="K3810" s="112">
        <v>2</v>
      </c>
      <c r="L3810" s="112">
        <v>3</v>
      </c>
    </row>
    <row r="3811" spans="1:15" x14ac:dyDescent="0.2">
      <c r="A3811" s="111">
        <v>3930</v>
      </c>
      <c r="B3811" s="421" t="s">
        <v>5062</v>
      </c>
      <c r="C3811" s="421" t="s">
        <v>530</v>
      </c>
      <c r="D3811" s="422" t="s">
        <v>666</v>
      </c>
      <c r="E3811" s="111">
        <v>15928</v>
      </c>
      <c r="F3811" s="421" t="s">
        <v>3759</v>
      </c>
    </row>
    <row r="3812" spans="1:15" x14ac:dyDescent="0.2">
      <c r="A3812" s="111">
        <v>3931</v>
      </c>
      <c r="B3812" s="421" t="s">
        <v>6543</v>
      </c>
      <c r="C3812" s="421" t="s">
        <v>518</v>
      </c>
      <c r="D3812" s="422" t="s">
        <v>666</v>
      </c>
      <c r="E3812" s="111">
        <v>16202</v>
      </c>
      <c r="F3812" s="421" t="s">
        <v>6572</v>
      </c>
    </row>
    <row r="3813" spans="1:15" x14ac:dyDescent="0.2">
      <c r="A3813" s="111">
        <v>3932</v>
      </c>
      <c r="B3813" s="421" t="s">
        <v>3011</v>
      </c>
      <c r="C3813" s="421" t="s">
        <v>516</v>
      </c>
      <c r="D3813" s="422" t="s">
        <v>666</v>
      </c>
      <c r="E3813" s="111">
        <v>16195</v>
      </c>
      <c r="F3813" s="421" t="s">
        <v>6586</v>
      </c>
      <c r="G3813" s="112">
        <v>1</v>
      </c>
      <c r="H3813" s="112">
        <v>1</v>
      </c>
      <c r="I3813" s="112">
        <v>1</v>
      </c>
      <c r="J3813" s="112">
        <v>3</v>
      </c>
      <c r="K3813" s="112">
        <v>3</v>
      </c>
      <c r="L3813" s="112">
        <v>3</v>
      </c>
      <c r="M3813" s="112">
        <v>3</v>
      </c>
      <c r="N3813" s="112">
        <v>2</v>
      </c>
      <c r="O3813" s="112">
        <v>2</v>
      </c>
    </row>
    <row r="3814" spans="1:15" x14ac:dyDescent="0.2">
      <c r="A3814" s="111">
        <v>3933</v>
      </c>
      <c r="B3814" s="421" t="s">
        <v>1196</v>
      </c>
      <c r="C3814" s="421" t="s">
        <v>501</v>
      </c>
      <c r="D3814" s="422" t="s">
        <v>663</v>
      </c>
      <c r="E3814" s="111">
        <v>16178</v>
      </c>
      <c r="F3814" s="421" t="s">
        <v>6578</v>
      </c>
    </row>
    <row r="3815" spans="1:15" x14ac:dyDescent="0.2">
      <c r="A3815" s="111">
        <v>3934</v>
      </c>
      <c r="B3815" s="421" t="s">
        <v>6552</v>
      </c>
      <c r="C3815" s="421" t="s">
        <v>520</v>
      </c>
      <c r="D3815" s="422" t="s">
        <v>666</v>
      </c>
      <c r="E3815" s="111">
        <v>16196</v>
      </c>
      <c r="F3815" s="421" t="s">
        <v>6587</v>
      </c>
    </row>
    <row r="3816" spans="1:15" x14ac:dyDescent="0.2">
      <c r="A3816" s="111">
        <v>3935</v>
      </c>
      <c r="B3816" s="421" t="s">
        <v>6553</v>
      </c>
      <c r="C3816" s="421" t="s">
        <v>506</v>
      </c>
      <c r="D3816" s="422" t="s">
        <v>663</v>
      </c>
      <c r="E3816" s="111">
        <v>16198</v>
      </c>
      <c r="F3816" s="421" t="s">
        <v>6590</v>
      </c>
    </row>
    <row r="3817" spans="1:15" x14ac:dyDescent="0.2">
      <c r="A3817" s="111">
        <v>3936</v>
      </c>
      <c r="B3817" s="421" t="s">
        <v>3148</v>
      </c>
      <c r="C3817" s="421" t="s">
        <v>506</v>
      </c>
      <c r="D3817" s="422" t="s">
        <v>663</v>
      </c>
      <c r="E3817" s="111">
        <v>16198</v>
      </c>
      <c r="F3817" s="421" t="s">
        <v>6590</v>
      </c>
    </row>
    <row r="3818" spans="1:15" x14ac:dyDescent="0.2">
      <c r="A3818" s="111">
        <v>3937</v>
      </c>
      <c r="B3818" s="421" t="s">
        <v>3832</v>
      </c>
      <c r="C3818" s="421" t="s">
        <v>516</v>
      </c>
      <c r="D3818" s="422" t="s">
        <v>666</v>
      </c>
      <c r="F3818" s="421" t="s">
        <v>6564</v>
      </c>
    </row>
    <row r="3819" spans="1:15" x14ac:dyDescent="0.2">
      <c r="A3819" s="111">
        <v>3938</v>
      </c>
      <c r="B3819" s="421" t="s">
        <v>6555</v>
      </c>
      <c r="C3819" s="421" t="s">
        <v>5509</v>
      </c>
      <c r="D3819" s="422" t="s">
        <v>663</v>
      </c>
      <c r="E3819" s="111">
        <v>16226</v>
      </c>
      <c r="F3819" s="421" t="s">
        <v>6592</v>
      </c>
      <c r="G3819" s="112">
        <v>1</v>
      </c>
      <c r="H3819" s="112">
        <v>1</v>
      </c>
      <c r="I3819" s="112">
        <v>1</v>
      </c>
      <c r="J3819" s="112">
        <v>1</v>
      </c>
    </row>
    <row r="3820" spans="1:15" x14ac:dyDescent="0.2">
      <c r="A3820" s="111">
        <v>3939</v>
      </c>
      <c r="B3820" s="421" t="s">
        <v>5175</v>
      </c>
      <c r="C3820" s="421" t="s">
        <v>501</v>
      </c>
      <c r="D3820" s="422" t="s">
        <v>663</v>
      </c>
      <c r="E3820" s="111">
        <v>16255</v>
      </c>
      <c r="F3820" s="421" t="s">
        <v>6581</v>
      </c>
      <c r="G3820" s="112">
        <v>1</v>
      </c>
      <c r="H3820" s="112">
        <v>1</v>
      </c>
      <c r="I3820" s="112">
        <v>1</v>
      </c>
      <c r="J3820" s="112">
        <v>3</v>
      </c>
      <c r="K3820" s="112">
        <v>4</v>
      </c>
      <c r="L3820" s="112">
        <v>2</v>
      </c>
      <c r="M3820" s="112">
        <v>4</v>
      </c>
    </row>
    <row r="3821" spans="1:15" x14ac:dyDescent="0.2">
      <c r="A3821" s="111">
        <v>3940</v>
      </c>
      <c r="B3821" s="421" t="s">
        <v>5473</v>
      </c>
      <c r="C3821" s="421" t="s">
        <v>506</v>
      </c>
      <c r="D3821" s="422" t="s">
        <v>666</v>
      </c>
      <c r="E3821" s="111">
        <v>15392</v>
      </c>
      <c r="F3821" s="421" t="s">
        <v>3967</v>
      </c>
      <c r="G3821" s="112">
        <v>1</v>
      </c>
      <c r="H3821" s="112">
        <v>1</v>
      </c>
      <c r="I3821" s="112">
        <v>1</v>
      </c>
      <c r="J3821" s="112">
        <v>2</v>
      </c>
      <c r="K3821" s="112">
        <v>1</v>
      </c>
      <c r="L3821" s="112">
        <v>1</v>
      </c>
      <c r="M3821" s="112">
        <v>1</v>
      </c>
    </row>
    <row r="3822" spans="1:15" x14ac:dyDescent="0.2">
      <c r="A3822" s="111">
        <v>3941</v>
      </c>
      <c r="B3822" s="421" t="s">
        <v>189</v>
      </c>
      <c r="C3822" s="421" t="s">
        <v>501</v>
      </c>
      <c r="D3822" s="422" t="s">
        <v>666</v>
      </c>
      <c r="E3822" s="111">
        <v>16107</v>
      </c>
      <c r="F3822" s="421" t="s">
        <v>6370</v>
      </c>
      <c r="H3822" s="112">
        <v>1</v>
      </c>
    </row>
    <row r="3823" spans="1:15" x14ac:dyDescent="0.2">
      <c r="A3823" s="111">
        <v>3942</v>
      </c>
      <c r="B3823" s="421" t="s">
        <v>1612</v>
      </c>
      <c r="C3823" s="421" t="s">
        <v>501</v>
      </c>
      <c r="D3823" s="422" t="s">
        <v>666</v>
      </c>
      <c r="E3823" s="111">
        <v>14757</v>
      </c>
      <c r="F3823" s="421" t="s">
        <v>2258</v>
      </c>
    </row>
    <row r="3824" spans="1:15" x14ac:dyDescent="0.2">
      <c r="A3824" s="111">
        <v>3943</v>
      </c>
      <c r="B3824" s="421" t="s">
        <v>3593</v>
      </c>
      <c r="C3824" s="421" t="s">
        <v>501</v>
      </c>
      <c r="D3824" s="422" t="s">
        <v>666</v>
      </c>
      <c r="E3824" s="111">
        <v>16123</v>
      </c>
      <c r="F3824" s="421" t="s">
        <v>6420</v>
      </c>
      <c r="G3824" s="112">
        <v>1</v>
      </c>
      <c r="H3824" s="112">
        <v>1</v>
      </c>
    </row>
    <row r="3825" spans="1:15" x14ac:dyDescent="0.2">
      <c r="A3825" s="111">
        <v>3944</v>
      </c>
      <c r="B3825" s="421" t="s">
        <v>6551</v>
      </c>
      <c r="C3825" s="421" t="s">
        <v>513</v>
      </c>
      <c r="D3825" s="422" t="s">
        <v>663</v>
      </c>
      <c r="E3825" s="111">
        <v>16200</v>
      </c>
      <c r="F3825" s="421" t="s">
        <v>6584</v>
      </c>
      <c r="G3825" s="112">
        <v>1</v>
      </c>
      <c r="H3825" s="112">
        <v>1</v>
      </c>
      <c r="I3825" s="112">
        <v>1</v>
      </c>
      <c r="J3825" s="112">
        <v>3</v>
      </c>
      <c r="K3825" s="112">
        <v>3</v>
      </c>
      <c r="L3825" s="112">
        <v>3</v>
      </c>
      <c r="M3825" s="112">
        <v>6</v>
      </c>
      <c r="N3825" s="112">
        <v>3</v>
      </c>
      <c r="O3825" s="112">
        <v>3</v>
      </c>
    </row>
    <row r="3826" spans="1:15" x14ac:dyDescent="0.2">
      <c r="A3826" s="111">
        <v>3945</v>
      </c>
      <c r="B3826" s="421" t="s">
        <v>4593</v>
      </c>
      <c r="C3826" s="421" t="s">
        <v>532</v>
      </c>
      <c r="D3826" s="422" t="s">
        <v>663</v>
      </c>
      <c r="E3826" s="111">
        <v>15604</v>
      </c>
      <c r="F3826" s="421" t="s">
        <v>3079</v>
      </c>
      <c r="G3826" s="112">
        <v>1</v>
      </c>
      <c r="H3826" s="112">
        <v>1</v>
      </c>
      <c r="I3826" s="112">
        <v>1</v>
      </c>
      <c r="J3826" s="112">
        <v>3</v>
      </c>
      <c r="K3826" s="112">
        <v>3</v>
      </c>
      <c r="L3826" s="112">
        <v>3</v>
      </c>
      <c r="M3826" s="112">
        <v>3</v>
      </c>
      <c r="N3826" s="112">
        <v>1</v>
      </c>
      <c r="O3826" s="112">
        <v>2</v>
      </c>
    </row>
    <row r="3827" spans="1:15" x14ac:dyDescent="0.2">
      <c r="A3827" s="111">
        <v>3946</v>
      </c>
      <c r="B3827" s="421" t="s">
        <v>401</v>
      </c>
      <c r="C3827" s="421" t="s">
        <v>516</v>
      </c>
      <c r="D3827" s="422" t="s">
        <v>663</v>
      </c>
      <c r="E3827" s="111">
        <v>14536</v>
      </c>
      <c r="F3827" s="421" t="s">
        <v>1640</v>
      </c>
      <c r="G3827" s="112">
        <v>1</v>
      </c>
    </row>
    <row r="3828" spans="1:15" x14ac:dyDescent="0.2">
      <c r="A3828" s="111">
        <v>3947</v>
      </c>
      <c r="B3828" s="421" t="s">
        <v>186</v>
      </c>
      <c r="C3828" s="421" t="s">
        <v>501</v>
      </c>
      <c r="D3828" s="422" t="s">
        <v>666</v>
      </c>
      <c r="E3828" s="111">
        <v>16201</v>
      </c>
      <c r="F3828" s="421" t="s">
        <v>6599</v>
      </c>
      <c r="G3828" s="112">
        <v>1</v>
      </c>
      <c r="H3828" s="112">
        <v>1</v>
      </c>
      <c r="I3828" s="112">
        <v>1</v>
      </c>
      <c r="J3828" s="112">
        <v>3</v>
      </c>
      <c r="K3828" s="112">
        <v>3</v>
      </c>
      <c r="L3828" s="112">
        <v>3</v>
      </c>
      <c r="M3828" s="112">
        <v>5</v>
      </c>
      <c r="N3828" s="112">
        <v>4</v>
      </c>
      <c r="O3828" s="112">
        <v>4</v>
      </c>
    </row>
    <row r="3829" spans="1:15" x14ac:dyDescent="0.2">
      <c r="A3829" s="111">
        <v>3948</v>
      </c>
      <c r="B3829" s="421" t="s">
        <v>291</v>
      </c>
      <c r="C3829" s="421" t="s">
        <v>565</v>
      </c>
      <c r="D3829" s="422" t="s">
        <v>666</v>
      </c>
      <c r="E3829" s="111">
        <v>14157</v>
      </c>
      <c r="F3829" s="421" t="s">
        <v>851</v>
      </c>
      <c r="G3829" s="112">
        <v>2</v>
      </c>
      <c r="H3829" s="112">
        <v>3</v>
      </c>
      <c r="I3829" s="112">
        <v>1</v>
      </c>
      <c r="J3829" s="112">
        <v>7</v>
      </c>
      <c r="K3829" s="112">
        <v>7</v>
      </c>
      <c r="L3829" s="112">
        <v>7</v>
      </c>
      <c r="M3829" s="112">
        <v>4</v>
      </c>
      <c r="N3829" s="112">
        <v>3</v>
      </c>
      <c r="O3829" s="112">
        <v>3</v>
      </c>
    </row>
    <row r="3830" spans="1:15" x14ac:dyDescent="0.2">
      <c r="A3830" s="111">
        <v>3949</v>
      </c>
      <c r="B3830" s="421" t="s">
        <v>126</v>
      </c>
      <c r="C3830" s="421" t="s">
        <v>506</v>
      </c>
      <c r="D3830" s="422" t="s">
        <v>666</v>
      </c>
      <c r="E3830" s="111">
        <v>16203</v>
      </c>
      <c r="F3830" s="421" t="s">
        <v>6600</v>
      </c>
    </row>
    <row r="3831" spans="1:15" x14ac:dyDescent="0.2">
      <c r="A3831" s="111">
        <v>3950</v>
      </c>
      <c r="B3831" s="421" t="s">
        <v>4643</v>
      </c>
      <c r="C3831" s="421" t="s">
        <v>510</v>
      </c>
      <c r="D3831" s="422" t="s">
        <v>663</v>
      </c>
      <c r="E3831" s="111">
        <v>14767</v>
      </c>
      <c r="F3831" s="421" t="s">
        <v>2267</v>
      </c>
    </row>
    <row r="3832" spans="1:15" x14ac:dyDescent="0.2">
      <c r="A3832" s="111">
        <v>3951</v>
      </c>
      <c r="B3832" s="421" t="s">
        <v>2153</v>
      </c>
      <c r="C3832" s="421" t="s">
        <v>6561</v>
      </c>
      <c r="D3832" s="422" t="s">
        <v>666</v>
      </c>
      <c r="E3832" s="111">
        <v>16205</v>
      </c>
      <c r="F3832" s="421" t="s">
        <v>2995</v>
      </c>
      <c r="G3832" s="112">
        <v>2</v>
      </c>
      <c r="H3832" s="112">
        <v>1</v>
      </c>
      <c r="I3832" s="112">
        <v>1</v>
      </c>
      <c r="J3832" s="112">
        <v>6</v>
      </c>
      <c r="K3832" s="112">
        <v>3</v>
      </c>
      <c r="L3832" s="112">
        <v>2</v>
      </c>
      <c r="M3832" s="112">
        <v>2</v>
      </c>
    </row>
    <row r="3833" spans="1:15" x14ac:dyDescent="0.2">
      <c r="A3833" s="111">
        <v>3952</v>
      </c>
      <c r="B3833" s="421" t="s">
        <v>171</v>
      </c>
      <c r="C3833" s="421" t="s">
        <v>501</v>
      </c>
      <c r="D3833" s="422" t="s">
        <v>666</v>
      </c>
      <c r="E3833" s="111">
        <v>15739</v>
      </c>
      <c r="F3833" s="421" t="s">
        <v>5047</v>
      </c>
    </row>
    <row r="3834" spans="1:15" x14ac:dyDescent="0.2">
      <c r="A3834" s="111">
        <v>3953</v>
      </c>
      <c r="B3834" s="421" t="s">
        <v>6556</v>
      </c>
      <c r="C3834" s="421" t="s">
        <v>574</v>
      </c>
      <c r="D3834" s="422" t="s">
        <v>666</v>
      </c>
      <c r="E3834" s="111">
        <v>15739</v>
      </c>
      <c r="F3834" s="421" t="s">
        <v>5047</v>
      </c>
    </row>
    <row r="3835" spans="1:15" x14ac:dyDescent="0.2">
      <c r="A3835" s="111">
        <v>3954</v>
      </c>
      <c r="B3835" s="421" t="s">
        <v>186</v>
      </c>
      <c r="C3835" s="421" t="s">
        <v>581</v>
      </c>
      <c r="D3835" s="422" t="s">
        <v>666</v>
      </c>
      <c r="E3835" s="111">
        <v>16259</v>
      </c>
      <c r="F3835" s="421" t="s">
        <v>6595</v>
      </c>
      <c r="G3835" s="112">
        <v>1</v>
      </c>
      <c r="H3835" s="112">
        <v>2</v>
      </c>
      <c r="I3835" s="112">
        <v>1</v>
      </c>
      <c r="J3835" s="112">
        <v>11</v>
      </c>
      <c r="K3835" s="112">
        <v>9</v>
      </c>
      <c r="L3835" s="112">
        <v>9</v>
      </c>
      <c r="M3835" s="112">
        <v>6</v>
      </c>
      <c r="N3835" s="112">
        <v>3</v>
      </c>
      <c r="O3835" s="112">
        <v>4</v>
      </c>
    </row>
    <row r="3836" spans="1:15" x14ac:dyDescent="0.2">
      <c r="A3836" s="111">
        <v>3955</v>
      </c>
      <c r="B3836" s="421" t="s">
        <v>6236</v>
      </c>
      <c r="C3836" s="421" t="s">
        <v>503</v>
      </c>
      <c r="D3836" s="422" t="s">
        <v>666</v>
      </c>
      <c r="E3836" s="111">
        <v>16220</v>
      </c>
      <c r="F3836" s="421" t="s">
        <v>6594</v>
      </c>
      <c r="G3836" s="112">
        <v>1</v>
      </c>
      <c r="H3836" s="112">
        <v>1</v>
      </c>
      <c r="I3836" s="112">
        <v>1</v>
      </c>
    </row>
    <row r="3837" spans="1:15" x14ac:dyDescent="0.2">
      <c r="A3837" s="111">
        <v>3956</v>
      </c>
      <c r="B3837" s="421" t="s">
        <v>3019</v>
      </c>
      <c r="C3837" s="421" t="s">
        <v>506</v>
      </c>
      <c r="D3837" s="422" t="s">
        <v>663</v>
      </c>
      <c r="F3837" s="421" t="s">
        <v>6598</v>
      </c>
      <c r="G3837" s="112">
        <v>1</v>
      </c>
      <c r="H3837" s="112">
        <v>1</v>
      </c>
    </row>
    <row r="3838" spans="1:15" x14ac:dyDescent="0.2">
      <c r="A3838" s="111">
        <v>3957</v>
      </c>
      <c r="B3838" s="421" t="s">
        <v>6559</v>
      </c>
      <c r="C3838" s="421" t="s">
        <v>501</v>
      </c>
      <c r="D3838" s="422" t="s">
        <v>666</v>
      </c>
      <c r="F3838" s="421" t="s">
        <v>6598</v>
      </c>
      <c r="G3838" s="112">
        <v>1</v>
      </c>
      <c r="H3838" s="112">
        <v>2</v>
      </c>
    </row>
    <row r="3839" spans="1:15" x14ac:dyDescent="0.2">
      <c r="A3839" s="111">
        <v>3958</v>
      </c>
      <c r="B3839" s="421" t="s">
        <v>6557</v>
      </c>
      <c r="C3839" s="421" t="s">
        <v>506</v>
      </c>
      <c r="D3839" s="422" t="s">
        <v>666</v>
      </c>
      <c r="E3839" s="111">
        <v>16206</v>
      </c>
      <c r="F3839" s="421" t="s">
        <v>6596</v>
      </c>
      <c r="H3839" s="112">
        <v>1</v>
      </c>
    </row>
    <row r="3840" spans="1:15" x14ac:dyDescent="0.2">
      <c r="A3840" s="111">
        <v>3959</v>
      </c>
      <c r="B3840" s="421" t="s">
        <v>1933</v>
      </c>
      <c r="C3840" s="421" t="s">
        <v>537</v>
      </c>
      <c r="D3840" s="422" t="s">
        <v>663</v>
      </c>
      <c r="F3840" s="421" t="s">
        <v>6601</v>
      </c>
      <c r="G3840" s="112">
        <v>3</v>
      </c>
      <c r="H3840" s="112">
        <v>1</v>
      </c>
      <c r="I3840" s="112">
        <v>1</v>
      </c>
    </row>
    <row r="3841" spans="1:15" x14ac:dyDescent="0.2">
      <c r="A3841" s="111">
        <v>3960</v>
      </c>
      <c r="B3841" s="421" t="s">
        <v>6558</v>
      </c>
      <c r="C3841" s="421" t="s">
        <v>540</v>
      </c>
      <c r="D3841" s="422" t="s">
        <v>666</v>
      </c>
      <c r="E3841" s="111">
        <v>16207</v>
      </c>
      <c r="F3841" s="421" t="s">
        <v>6597</v>
      </c>
      <c r="G3841" s="112">
        <v>1</v>
      </c>
      <c r="H3841" s="112">
        <v>1</v>
      </c>
      <c r="I3841" s="112">
        <v>1</v>
      </c>
      <c r="J3841" s="112">
        <v>7</v>
      </c>
      <c r="K3841" s="112">
        <v>7</v>
      </c>
      <c r="L3841" s="112">
        <v>7</v>
      </c>
      <c r="M3841" s="112">
        <v>3</v>
      </c>
      <c r="N3841" s="112">
        <v>3</v>
      </c>
      <c r="O3841" s="112">
        <v>3</v>
      </c>
    </row>
    <row r="3842" spans="1:15" x14ac:dyDescent="0.2">
      <c r="A3842" s="111">
        <v>3961</v>
      </c>
      <c r="B3842" s="421" t="s">
        <v>6560</v>
      </c>
      <c r="C3842" s="421" t="s">
        <v>507</v>
      </c>
      <c r="D3842" s="422" t="s">
        <v>663</v>
      </c>
      <c r="E3842" s="111">
        <v>14650</v>
      </c>
      <c r="F3842" s="421" t="s">
        <v>826</v>
      </c>
      <c r="G3842" s="112">
        <v>3</v>
      </c>
      <c r="H3842" s="112">
        <v>3</v>
      </c>
      <c r="I3842" s="112">
        <v>3</v>
      </c>
      <c r="J3842" s="112">
        <v>2</v>
      </c>
      <c r="K3842" s="112">
        <v>6</v>
      </c>
      <c r="L3842" s="112">
        <v>2</v>
      </c>
    </row>
    <row r="3843" spans="1:15" x14ac:dyDescent="0.2">
      <c r="A3843" s="111">
        <v>3962</v>
      </c>
      <c r="B3843" s="421" t="s">
        <v>6686</v>
      </c>
      <c r="C3843" s="421" t="s">
        <v>516</v>
      </c>
      <c r="D3843" s="422" t="s">
        <v>666</v>
      </c>
      <c r="F3843" s="421" t="s">
        <v>6711</v>
      </c>
      <c r="G3843" s="112">
        <v>1</v>
      </c>
    </row>
    <row r="3844" spans="1:15" x14ac:dyDescent="0.2">
      <c r="A3844" s="111">
        <v>3963</v>
      </c>
      <c r="B3844" s="421" t="s">
        <v>6667</v>
      </c>
      <c r="C3844" s="421" t="s">
        <v>554</v>
      </c>
      <c r="D3844" s="422" t="s">
        <v>666</v>
      </c>
      <c r="E3844" s="111">
        <v>15649</v>
      </c>
      <c r="F3844" s="421" t="s">
        <v>4922</v>
      </c>
      <c r="G3844" s="112">
        <v>1</v>
      </c>
      <c r="H3844" s="112">
        <v>1</v>
      </c>
      <c r="I3844" s="112">
        <v>1</v>
      </c>
    </row>
    <row r="3845" spans="1:15" x14ac:dyDescent="0.2">
      <c r="A3845" s="111">
        <v>3964</v>
      </c>
      <c r="B3845" s="421" t="s">
        <v>45</v>
      </c>
      <c r="C3845" s="421" t="s">
        <v>1625</v>
      </c>
      <c r="D3845" s="422" t="s">
        <v>666</v>
      </c>
      <c r="E3845" s="111">
        <v>16210</v>
      </c>
      <c r="F3845" s="421" t="s">
        <v>6697</v>
      </c>
      <c r="G3845" s="112">
        <v>1</v>
      </c>
      <c r="H3845" s="112">
        <v>1</v>
      </c>
      <c r="I3845" s="112">
        <v>1</v>
      </c>
      <c r="J3845" s="112">
        <v>4</v>
      </c>
      <c r="K3845" s="112">
        <v>5</v>
      </c>
      <c r="L3845" s="112">
        <v>4</v>
      </c>
      <c r="O3845" s="112">
        <v>1</v>
      </c>
    </row>
    <row r="3846" spans="1:15" x14ac:dyDescent="0.2">
      <c r="A3846" s="111">
        <v>3965</v>
      </c>
      <c r="B3846" s="421" t="s">
        <v>2961</v>
      </c>
      <c r="C3846" s="421" t="s">
        <v>556</v>
      </c>
      <c r="D3846" s="422" t="s">
        <v>666</v>
      </c>
      <c r="E3846" s="111">
        <v>16211</v>
      </c>
      <c r="F3846" s="421" t="s">
        <v>6706</v>
      </c>
      <c r="G3846" s="112">
        <v>2</v>
      </c>
      <c r="H3846" s="112">
        <v>3</v>
      </c>
      <c r="I3846" s="112">
        <v>1</v>
      </c>
    </row>
    <row r="3847" spans="1:15" x14ac:dyDescent="0.2">
      <c r="A3847" s="111">
        <v>3966</v>
      </c>
      <c r="B3847" s="421" t="s">
        <v>1903</v>
      </c>
      <c r="C3847" s="421" t="s">
        <v>2274</v>
      </c>
      <c r="D3847" s="422" t="s">
        <v>663</v>
      </c>
      <c r="E3847" s="111">
        <v>16212</v>
      </c>
      <c r="F3847" s="421" t="s">
        <v>6696</v>
      </c>
    </row>
    <row r="3848" spans="1:15" x14ac:dyDescent="0.2">
      <c r="A3848" s="111">
        <v>3967</v>
      </c>
      <c r="B3848" s="421" t="s">
        <v>6672</v>
      </c>
      <c r="C3848" s="421" t="s">
        <v>550</v>
      </c>
      <c r="D3848" s="422" t="s">
        <v>663</v>
      </c>
      <c r="E3848" s="111">
        <v>16217</v>
      </c>
      <c r="F3848" s="421" t="s">
        <v>2422</v>
      </c>
      <c r="G3848" s="112">
        <v>1</v>
      </c>
      <c r="H3848" s="112">
        <v>1</v>
      </c>
      <c r="I3848" s="112">
        <v>1</v>
      </c>
      <c r="J3848" s="112">
        <v>3</v>
      </c>
      <c r="K3848" s="112">
        <v>2</v>
      </c>
      <c r="L3848" s="112">
        <v>3</v>
      </c>
    </row>
    <row r="3849" spans="1:15" x14ac:dyDescent="0.2">
      <c r="A3849" s="111">
        <v>3968</v>
      </c>
      <c r="B3849" s="421" t="s">
        <v>6684</v>
      </c>
      <c r="C3849" s="421" t="s">
        <v>551</v>
      </c>
      <c r="D3849" s="422" t="s">
        <v>666</v>
      </c>
      <c r="E3849" s="111">
        <v>16006</v>
      </c>
      <c r="F3849" s="421" t="s">
        <v>6093</v>
      </c>
      <c r="G3849" s="112">
        <v>1</v>
      </c>
      <c r="H3849" s="112">
        <v>1</v>
      </c>
      <c r="I3849" s="112">
        <v>1</v>
      </c>
      <c r="J3849" s="112">
        <v>4</v>
      </c>
      <c r="K3849" s="112">
        <v>3</v>
      </c>
      <c r="L3849" s="112">
        <v>4</v>
      </c>
      <c r="M3849" s="112">
        <v>6</v>
      </c>
      <c r="N3849" s="112">
        <v>5</v>
      </c>
      <c r="O3849" s="112">
        <v>6</v>
      </c>
    </row>
    <row r="3850" spans="1:15" x14ac:dyDescent="0.2">
      <c r="A3850" s="111">
        <v>3969</v>
      </c>
      <c r="B3850" s="421" t="s">
        <v>4878</v>
      </c>
      <c r="C3850" s="421" t="s">
        <v>516</v>
      </c>
      <c r="D3850" s="422" t="s">
        <v>666</v>
      </c>
      <c r="E3850" s="111">
        <v>14302</v>
      </c>
      <c r="F3850" s="421" t="s">
        <v>1048</v>
      </c>
      <c r="G3850" s="112">
        <v>1</v>
      </c>
      <c r="H3850" s="112">
        <v>1</v>
      </c>
      <c r="I3850" s="112">
        <v>1</v>
      </c>
      <c r="J3850" s="112">
        <v>2</v>
      </c>
      <c r="K3850" s="112">
        <v>1</v>
      </c>
      <c r="L3850" s="112">
        <v>3</v>
      </c>
    </row>
    <row r="3851" spans="1:15" x14ac:dyDescent="0.2">
      <c r="A3851" s="111">
        <v>3970</v>
      </c>
      <c r="B3851" s="421" t="s">
        <v>2592</v>
      </c>
      <c r="C3851" s="421" t="s">
        <v>506</v>
      </c>
      <c r="D3851" s="422" t="s">
        <v>663</v>
      </c>
      <c r="E3851" s="111">
        <v>16214</v>
      </c>
      <c r="F3851" s="421" t="s">
        <v>6688</v>
      </c>
      <c r="G3851" s="112">
        <v>3</v>
      </c>
      <c r="H3851" s="112">
        <v>3</v>
      </c>
      <c r="I3851" s="112">
        <v>2</v>
      </c>
      <c r="J3851" s="112">
        <v>3</v>
      </c>
      <c r="K3851" s="112">
        <v>4</v>
      </c>
      <c r="L3851" s="112">
        <v>2</v>
      </c>
    </row>
    <row r="3852" spans="1:15" x14ac:dyDescent="0.2">
      <c r="A3852" s="111">
        <v>3971</v>
      </c>
      <c r="B3852" s="421" t="s">
        <v>6646</v>
      </c>
      <c r="C3852" s="421" t="s">
        <v>577</v>
      </c>
      <c r="D3852" s="422" t="s">
        <v>666</v>
      </c>
      <c r="E3852" s="111">
        <v>16215</v>
      </c>
      <c r="F3852" s="421" t="s">
        <v>6647</v>
      </c>
      <c r="G3852" s="112">
        <v>2</v>
      </c>
      <c r="H3852" s="112">
        <v>1</v>
      </c>
      <c r="I3852" s="112">
        <v>1</v>
      </c>
      <c r="J3852" s="112">
        <v>3</v>
      </c>
      <c r="K3852" s="112">
        <v>4</v>
      </c>
      <c r="L3852" s="112">
        <v>5</v>
      </c>
    </row>
    <row r="3853" spans="1:15" x14ac:dyDescent="0.2">
      <c r="A3853" s="111">
        <v>3972</v>
      </c>
      <c r="B3853" s="421" t="s">
        <v>1933</v>
      </c>
      <c r="C3853" s="421" t="s">
        <v>516</v>
      </c>
      <c r="D3853" s="422" t="s">
        <v>663</v>
      </c>
      <c r="E3853" s="111">
        <v>16366</v>
      </c>
      <c r="F3853" s="421" t="s">
        <v>6695</v>
      </c>
      <c r="G3853" s="112">
        <v>1</v>
      </c>
      <c r="H3853" s="112">
        <v>1</v>
      </c>
    </row>
    <row r="3854" spans="1:15" x14ac:dyDescent="0.2">
      <c r="A3854" s="111">
        <v>3973</v>
      </c>
      <c r="B3854" s="421" t="s">
        <v>6679</v>
      </c>
      <c r="C3854" s="421" t="s">
        <v>551</v>
      </c>
      <c r="D3854" s="422" t="s">
        <v>663</v>
      </c>
      <c r="E3854" s="111">
        <v>15281</v>
      </c>
      <c r="F3854" s="421" t="s">
        <v>3073</v>
      </c>
      <c r="G3854" s="112">
        <v>2</v>
      </c>
      <c r="H3854" s="112">
        <v>1</v>
      </c>
      <c r="I3854" s="112">
        <v>1</v>
      </c>
      <c r="J3854" s="112">
        <v>8</v>
      </c>
      <c r="K3854" s="112">
        <v>9</v>
      </c>
      <c r="L3854" s="112">
        <v>8</v>
      </c>
      <c r="M3854" s="112">
        <v>16</v>
      </c>
      <c r="N3854" s="112">
        <v>6</v>
      </c>
      <c r="O3854" s="112">
        <v>9</v>
      </c>
    </row>
    <row r="3855" spans="1:15" x14ac:dyDescent="0.2">
      <c r="A3855" s="111">
        <v>3974</v>
      </c>
      <c r="B3855" s="421" t="s">
        <v>397</v>
      </c>
      <c r="C3855" s="421" t="s">
        <v>530</v>
      </c>
      <c r="D3855" s="422" t="s">
        <v>666</v>
      </c>
      <c r="E3855" s="111">
        <v>16216</v>
      </c>
      <c r="F3855" s="421" t="s">
        <v>6690</v>
      </c>
    </row>
    <row r="3856" spans="1:15" x14ac:dyDescent="0.2">
      <c r="A3856" s="111">
        <v>3975</v>
      </c>
      <c r="B3856" s="421" t="s">
        <v>1600</v>
      </c>
      <c r="C3856" s="421" t="s">
        <v>503</v>
      </c>
      <c r="D3856" s="422" t="s">
        <v>663</v>
      </c>
      <c r="E3856" s="111">
        <v>16220</v>
      </c>
      <c r="F3856" s="421" t="s">
        <v>6594</v>
      </c>
      <c r="G3856" s="112">
        <v>1</v>
      </c>
    </row>
    <row r="3857" spans="1:15" x14ac:dyDescent="0.2">
      <c r="A3857" s="111">
        <v>3976</v>
      </c>
      <c r="B3857" s="421" t="s">
        <v>6682</v>
      </c>
      <c r="C3857" s="421" t="s">
        <v>1447</v>
      </c>
      <c r="D3857" s="422" t="s">
        <v>666</v>
      </c>
      <c r="E3857" s="111">
        <v>16266</v>
      </c>
      <c r="F3857" s="421" t="s">
        <v>6702</v>
      </c>
      <c r="G3857" s="112">
        <v>3</v>
      </c>
      <c r="H3857" s="112">
        <v>2</v>
      </c>
      <c r="I3857" s="112">
        <v>3</v>
      </c>
    </row>
    <row r="3858" spans="1:15" x14ac:dyDescent="0.2">
      <c r="A3858" s="111">
        <v>3977</v>
      </c>
      <c r="B3858" s="421" t="s">
        <v>6671</v>
      </c>
      <c r="C3858" s="421" t="s">
        <v>528</v>
      </c>
      <c r="D3858" s="422" t="s">
        <v>663</v>
      </c>
      <c r="E3858" s="111">
        <v>16218</v>
      </c>
      <c r="F3858" s="421" t="s">
        <v>6693</v>
      </c>
    </row>
    <row r="3859" spans="1:15" x14ac:dyDescent="0.2">
      <c r="A3859" s="111">
        <v>3978</v>
      </c>
      <c r="B3859" s="421" t="s">
        <v>6678</v>
      </c>
      <c r="C3859" s="421" t="s">
        <v>3400</v>
      </c>
      <c r="D3859" s="422" t="s">
        <v>666</v>
      </c>
      <c r="E3859" s="111">
        <v>16219</v>
      </c>
      <c r="F3859" s="421" t="s">
        <v>6698</v>
      </c>
    </row>
    <row r="3860" spans="1:15" x14ac:dyDescent="0.2">
      <c r="A3860" s="111">
        <v>3979</v>
      </c>
      <c r="B3860" s="421" t="s">
        <v>6683</v>
      </c>
      <c r="C3860" s="421" t="s">
        <v>1625</v>
      </c>
      <c r="D3860" s="422" t="s">
        <v>666</v>
      </c>
      <c r="E3860" s="111">
        <v>16222</v>
      </c>
      <c r="F3860" s="421" t="s">
        <v>6703</v>
      </c>
      <c r="I3860" s="112">
        <v>1</v>
      </c>
    </row>
    <row r="3861" spans="1:15" x14ac:dyDescent="0.2">
      <c r="A3861" s="111">
        <v>3980</v>
      </c>
      <c r="B3861" s="421" t="s">
        <v>2266</v>
      </c>
      <c r="C3861" s="421" t="s">
        <v>506</v>
      </c>
      <c r="D3861" s="422" t="s">
        <v>666</v>
      </c>
      <c r="F3861" s="421" t="s">
        <v>6707</v>
      </c>
      <c r="G3861" s="112">
        <v>1</v>
      </c>
      <c r="H3861" s="112">
        <v>1</v>
      </c>
      <c r="I3861" s="112">
        <v>1</v>
      </c>
    </row>
    <row r="3862" spans="1:15" x14ac:dyDescent="0.2">
      <c r="A3862" s="111">
        <v>3981</v>
      </c>
      <c r="B3862" s="421" t="s">
        <v>274</v>
      </c>
      <c r="C3862" s="421" t="s">
        <v>509</v>
      </c>
      <c r="D3862" s="422" t="s">
        <v>666</v>
      </c>
      <c r="E3862" s="111">
        <v>16194</v>
      </c>
      <c r="F3862" s="421" t="s">
        <v>6708</v>
      </c>
      <c r="G3862" s="112">
        <v>1</v>
      </c>
      <c r="H3862" s="112">
        <v>1</v>
      </c>
      <c r="I3862" s="112">
        <v>1</v>
      </c>
      <c r="J3862" s="112">
        <v>2</v>
      </c>
      <c r="K3862" s="112">
        <v>1</v>
      </c>
      <c r="L3862" s="112">
        <v>1</v>
      </c>
    </row>
    <row r="3863" spans="1:15" x14ac:dyDescent="0.2">
      <c r="A3863" s="111">
        <v>3982</v>
      </c>
      <c r="B3863" s="421" t="s">
        <v>4211</v>
      </c>
      <c r="C3863" s="421" t="s">
        <v>503</v>
      </c>
      <c r="D3863" s="422" t="s">
        <v>663</v>
      </c>
      <c r="E3863" s="111">
        <v>16223</v>
      </c>
      <c r="F3863" s="421" t="s">
        <v>6700</v>
      </c>
      <c r="G3863" s="112">
        <v>1</v>
      </c>
      <c r="H3863" s="112">
        <v>1</v>
      </c>
      <c r="I3863" s="112">
        <v>1</v>
      </c>
    </row>
    <row r="3864" spans="1:15" x14ac:dyDescent="0.2">
      <c r="A3864" s="111">
        <v>3983</v>
      </c>
      <c r="B3864" s="421" t="s">
        <v>6677</v>
      </c>
      <c r="C3864" s="421" t="s">
        <v>4664</v>
      </c>
      <c r="D3864" s="422" t="s">
        <v>666</v>
      </c>
      <c r="E3864" s="111">
        <v>15578</v>
      </c>
      <c r="F3864" s="421" t="s">
        <v>4821</v>
      </c>
    </row>
    <row r="3865" spans="1:15" x14ac:dyDescent="0.2">
      <c r="A3865" s="111">
        <v>3984</v>
      </c>
      <c r="B3865" s="421" t="s">
        <v>6668</v>
      </c>
      <c r="C3865" s="421" t="s">
        <v>513</v>
      </c>
      <c r="D3865" s="422" t="s">
        <v>663</v>
      </c>
      <c r="E3865" s="111">
        <v>15804</v>
      </c>
      <c r="F3865" s="421" t="s">
        <v>4146</v>
      </c>
      <c r="G3865" s="112">
        <v>1</v>
      </c>
      <c r="H3865" s="112">
        <v>1</v>
      </c>
      <c r="I3865" s="112">
        <v>1</v>
      </c>
      <c r="J3865" s="112">
        <v>1</v>
      </c>
      <c r="K3865" s="112">
        <v>1</v>
      </c>
      <c r="L3865" s="112">
        <v>1</v>
      </c>
      <c r="M3865" s="112">
        <v>1</v>
      </c>
    </row>
    <row r="3866" spans="1:15" x14ac:dyDescent="0.2">
      <c r="A3866" s="111">
        <v>3985</v>
      </c>
      <c r="B3866" s="421" t="s">
        <v>6675</v>
      </c>
      <c r="C3866" s="421" t="s">
        <v>506</v>
      </c>
      <c r="D3866" s="422" t="s">
        <v>663</v>
      </c>
      <c r="E3866" s="111">
        <v>16224</v>
      </c>
      <c r="F3866" s="421" t="s">
        <v>6694</v>
      </c>
    </row>
    <row r="3867" spans="1:15" x14ac:dyDescent="0.2">
      <c r="A3867" s="111">
        <v>3986</v>
      </c>
      <c r="B3867" s="421" t="s">
        <v>6674</v>
      </c>
      <c r="C3867" s="421" t="s">
        <v>506</v>
      </c>
      <c r="D3867" s="422" t="s">
        <v>666</v>
      </c>
      <c r="E3867" s="111">
        <v>16224</v>
      </c>
      <c r="F3867" s="421" t="s">
        <v>6694</v>
      </c>
    </row>
    <row r="3868" spans="1:15" x14ac:dyDescent="0.2">
      <c r="A3868" s="111">
        <v>3987</v>
      </c>
      <c r="B3868" s="421" t="s">
        <v>6673</v>
      </c>
      <c r="C3868" s="421" t="s">
        <v>506</v>
      </c>
      <c r="D3868" s="422" t="s">
        <v>663</v>
      </c>
      <c r="E3868" s="111">
        <v>16224</v>
      </c>
      <c r="F3868" s="421" t="s">
        <v>6694</v>
      </c>
    </row>
    <row r="3869" spans="1:15" x14ac:dyDescent="0.2">
      <c r="A3869" s="111">
        <v>3988</v>
      </c>
      <c r="B3869" s="421" t="s">
        <v>198</v>
      </c>
      <c r="C3869" s="421" t="s">
        <v>506</v>
      </c>
      <c r="D3869" s="422" t="s">
        <v>666</v>
      </c>
      <c r="E3869" s="111">
        <v>16224</v>
      </c>
      <c r="F3869" s="421" t="s">
        <v>6694</v>
      </c>
    </row>
    <row r="3870" spans="1:15" x14ac:dyDescent="0.2">
      <c r="A3870" s="111">
        <v>3989</v>
      </c>
      <c r="B3870" s="421" t="s">
        <v>6680</v>
      </c>
      <c r="C3870" s="421" t="s">
        <v>1644</v>
      </c>
      <c r="D3870" s="422" t="s">
        <v>666</v>
      </c>
      <c r="E3870" s="111">
        <v>16225</v>
      </c>
      <c r="F3870" s="421" t="s">
        <v>6701</v>
      </c>
      <c r="G3870" s="112">
        <v>2</v>
      </c>
      <c r="H3870" s="112">
        <v>1</v>
      </c>
      <c r="I3870" s="112">
        <v>2</v>
      </c>
      <c r="J3870" s="112">
        <v>3</v>
      </c>
      <c r="K3870" s="112">
        <v>6</v>
      </c>
      <c r="L3870" s="112">
        <v>6</v>
      </c>
    </row>
    <row r="3871" spans="1:15" x14ac:dyDescent="0.2">
      <c r="A3871" s="111">
        <v>3990</v>
      </c>
      <c r="B3871" s="421" t="s">
        <v>290</v>
      </c>
      <c r="C3871" s="421" t="s">
        <v>537</v>
      </c>
      <c r="D3871" s="422" t="s">
        <v>663</v>
      </c>
      <c r="E3871" s="111">
        <v>16192</v>
      </c>
      <c r="F3871" s="421" t="s">
        <v>6699</v>
      </c>
      <c r="G3871" s="112">
        <v>1</v>
      </c>
      <c r="H3871" s="112">
        <v>1</v>
      </c>
      <c r="I3871" s="112">
        <v>1</v>
      </c>
      <c r="J3871" s="112">
        <v>3</v>
      </c>
      <c r="K3871" s="112">
        <v>4</v>
      </c>
      <c r="L3871" s="112">
        <v>3</v>
      </c>
      <c r="M3871" s="112">
        <v>3</v>
      </c>
      <c r="N3871" s="112">
        <v>2</v>
      </c>
      <c r="O3871" s="112">
        <v>2</v>
      </c>
    </row>
    <row r="3872" spans="1:15" x14ac:dyDescent="0.2">
      <c r="A3872" s="111">
        <v>3991</v>
      </c>
      <c r="B3872" s="421" t="s">
        <v>2148</v>
      </c>
      <c r="C3872" s="421" t="s">
        <v>501</v>
      </c>
      <c r="D3872" s="422" t="s">
        <v>663</v>
      </c>
      <c r="E3872" s="111">
        <v>16227</v>
      </c>
      <c r="F3872" s="421" t="s">
        <v>6704</v>
      </c>
      <c r="G3872" s="112">
        <v>1</v>
      </c>
      <c r="H3872" s="112">
        <v>1</v>
      </c>
      <c r="I3872" s="112">
        <v>1</v>
      </c>
      <c r="J3872" s="112">
        <v>1</v>
      </c>
      <c r="K3872" s="112">
        <v>2</v>
      </c>
      <c r="L3872" s="112">
        <v>2</v>
      </c>
      <c r="M3872" s="112">
        <v>1</v>
      </c>
    </row>
    <row r="3873" spans="1:15" x14ac:dyDescent="0.2">
      <c r="A3873" s="111">
        <v>3992</v>
      </c>
      <c r="B3873" s="421" t="s">
        <v>6670</v>
      </c>
      <c r="C3873" s="421" t="s">
        <v>510</v>
      </c>
      <c r="D3873" s="422" t="s">
        <v>663</v>
      </c>
      <c r="E3873" s="111">
        <v>16228</v>
      </c>
      <c r="F3873" s="421" t="s">
        <v>6692</v>
      </c>
      <c r="G3873" s="112">
        <v>1</v>
      </c>
      <c r="H3873" s="112">
        <v>1</v>
      </c>
      <c r="I3873" s="112">
        <v>1</v>
      </c>
      <c r="J3873" s="112">
        <v>4</v>
      </c>
      <c r="K3873" s="112">
        <v>3</v>
      </c>
      <c r="L3873" s="112">
        <v>3</v>
      </c>
      <c r="M3873" s="112">
        <v>1</v>
      </c>
      <c r="N3873" s="112">
        <v>1</v>
      </c>
      <c r="O3873" s="112">
        <v>2</v>
      </c>
    </row>
    <row r="3874" spans="1:15" x14ac:dyDescent="0.2">
      <c r="A3874" s="111">
        <v>3993</v>
      </c>
      <c r="B3874" s="421" t="s">
        <v>48</v>
      </c>
      <c r="C3874" s="421" t="s">
        <v>527</v>
      </c>
      <c r="D3874" s="422" t="s">
        <v>663</v>
      </c>
      <c r="E3874" s="111">
        <v>15910</v>
      </c>
      <c r="F3874" s="421" t="s">
        <v>5616</v>
      </c>
      <c r="G3874" s="112">
        <v>1</v>
      </c>
    </row>
    <row r="3875" spans="1:15" x14ac:dyDescent="0.2">
      <c r="A3875" s="111">
        <v>3994</v>
      </c>
      <c r="B3875" s="421" t="s">
        <v>174</v>
      </c>
      <c r="C3875" s="421" t="s">
        <v>533</v>
      </c>
      <c r="D3875" s="422" t="s">
        <v>663</v>
      </c>
      <c r="E3875" s="111">
        <v>16149</v>
      </c>
      <c r="F3875" s="421" t="s">
        <v>6494</v>
      </c>
    </row>
    <row r="3876" spans="1:15" x14ac:dyDescent="0.2">
      <c r="A3876" s="111">
        <v>3995</v>
      </c>
      <c r="B3876" s="421" t="s">
        <v>1273</v>
      </c>
      <c r="C3876" s="421" t="s">
        <v>567</v>
      </c>
      <c r="D3876" s="422" t="s">
        <v>666</v>
      </c>
      <c r="E3876" s="111">
        <v>16229</v>
      </c>
      <c r="F3876" s="421" t="s">
        <v>6709</v>
      </c>
      <c r="G3876" s="112">
        <v>1</v>
      </c>
      <c r="H3876" s="112">
        <v>1</v>
      </c>
      <c r="J3876" s="112">
        <v>2</v>
      </c>
      <c r="K3876" s="112">
        <v>1</v>
      </c>
    </row>
    <row r="3877" spans="1:15" x14ac:dyDescent="0.2">
      <c r="A3877" s="111">
        <v>3996</v>
      </c>
      <c r="B3877" s="421" t="s">
        <v>6681</v>
      </c>
      <c r="C3877" s="421" t="s">
        <v>503</v>
      </c>
      <c r="D3877" s="422" t="s">
        <v>663</v>
      </c>
      <c r="E3877" s="111">
        <v>16230</v>
      </c>
      <c r="F3877" s="421" t="s">
        <v>8397</v>
      </c>
      <c r="G3877" s="112">
        <v>2</v>
      </c>
      <c r="H3877" s="112">
        <v>2</v>
      </c>
      <c r="I3877" s="112">
        <v>2</v>
      </c>
      <c r="J3877" s="112">
        <v>8</v>
      </c>
      <c r="K3877" s="112">
        <v>7</v>
      </c>
      <c r="L3877" s="112">
        <v>7</v>
      </c>
      <c r="M3877" s="112">
        <v>5</v>
      </c>
      <c r="N3877" s="112">
        <v>4</v>
      </c>
      <c r="O3877" s="112">
        <v>4</v>
      </c>
    </row>
    <row r="3878" spans="1:15" x14ac:dyDescent="0.2">
      <c r="A3878" s="111">
        <v>3997</v>
      </c>
      <c r="B3878" s="421" t="s">
        <v>1782</v>
      </c>
      <c r="C3878" s="421" t="s">
        <v>534</v>
      </c>
      <c r="D3878" s="422" t="s">
        <v>663</v>
      </c>
      <c r="E3878" s="111">
        <v>15002</v>
      </c>
      <c r="F3878" s="421" t="s">
        <v>2924</v>
      </c>
    </row>
    <row r="3879" spans="1:15" x14ac:dyDescent="0.2">
      <c r="A3879" s="111">
        <v>3998</v>
      </c>
      <c r="B3879" s="421" t="s">
        <v>7314</v>
      </c>
      <c r="C3879" s="421" t="s">
        <v>503</v>
      </c>
      <c r="D3879" s="422" t="s">
        <v>666</v>
      </c>
      <c r="E3879" s="111">
        <v>16231</v>
      </c>
      <c r="F3879" s="421" t="s">
        <v>7316</v>
      </c>
      <c r="G3879" s="112">
        <v>1</v>
      </c>
      <c r="H3879" s="112">
        <v>1</v>
      </c>
      <c r="I3879" s="112">
        <v>1</v>
      </c>
      <c r="J3879" s="112">
        <v>8</v>
      </c>
      <c r="K3879" s="112">
        <v>8</v>
      </c>
      <c r="L3879" s="112">
        <v>7</v>
      </c>
      <c r="M3879" s="112">
        <v>4</v>
      </c>
      <c r="N3879" s="112">
        <v>3</v>
      </c>
      <c r="O3879" s="112">
        <v>7</v>
      </c>
    </row>
    <row r="3880" spans="1:15" x14ac:dyDescent="0.2">
      <c r="A3880" s="111">
        <v>3999</v>
      </c>
      <c r="B3880" s="421" t="s">
        <v>2666</v>
      </c>
      <c r="C3880" s="421" t="s">
        <v>501</v>
      </c>
      <c r="D3880" s="422" t="s">
        <v>663</v>
      </c>
      <c r="E3880" s="111">
        <v>16232</v>
      </c>
      <c r="F3880" s="421" t="s">
        <v>6705</v>
      </c>
    </row>
    <row r="3881" spans="1:15" x14ac:dyDescent="0.2">
      <c r="A3881" s="111">
        <v>4000</v>
      </c>
      <c r="B3881" s="421" t="s">
        <v>6669</v>
      </c>
      <c r="C3881" s="421" t="s">
        <v>510</v>
      </c>
      <c r="D3881" s="422" t="s">
        <v>663</v>
      </c>
      <c r="E3881" s="111">
        <v>16233</v>
      </c>
      <c r="F3881" s="421" t="s">
        <v>6691</v>
      </c>
      <c r="G3881" s="112">
        <v>1</v>
      </c>
      <c r="H3881" s="112">
        <v>1</v>
      </c>
      <c r="I3881" s="112">
        <v>2</v>
      </c>
      <c r="J3881" s="112">
        <v>7</v>
      </c>
      <c r="K3881" s="112">
        <v>7</v>
      </c>
      <c r="L3881" s="112">
        <v>8</v>
      </c>
      <c r="M3881" s="112">
        <v>7</v>
      </c>
      <c r="N3881" s="112">
        <v>4</v>
      </c>
      <c r="O3881" s="112">
        <v>4</v>
      </c>
    </row>
    <row r="3882" spans="1:15" x14ac:dyDescent="0.2">
      <c r="A3882" s="111">
        <v>4001</v>
      </c>
      <c r="B3882" s="421" t="s">
        <v>5920</v>
      </c>
      <c r="C3882" s="421" t="s">
        <v>502</v>
      </c>
      <c r="D3882" s="422" t="s">
        <v>663</v>
      </c>
      <c r="E3882" s="111">
        <v>15974</v>
      </c>
      <c r="F3882" s="421" t="s">
        <v>5921</v>
      </c>
      <c r="G3882" s="112">
        <v>1</v>
      </c>
      <c r="H3882" s="112">
        <v>1</v>
      </c>
      <c r="I3882" s="112">
        <v>1</v>
      </c>
    </row>
    <row r="3883" spans="1:15" x14ac:dyDescent="0.2">
      <c r="A3883" s="111">
        <v>4002</v>
      </c>
      <c r="B3883" s="421" t="s">
        <v>436</v>
      </c>
      <c r="C3883" s="421" t="s">
        <v>503</v>
      </c>
      <c r="D3883" s="422" t="s">
        <v>666</v>
      </c>
      <c r="E3883" s="111">
        <v>16234</v>
      </c>
      <c r="F3883" s="421" t="s">
        <v>6689</v>
      </c>
    </row>
    <row r="3884" spans="1:15" x14ac:dyDescent="0.2">
      <c r="A3884" s="111">
        <v>4003</v>
      </c>
      <c r="B3884" s="421" t="s">
        <v>6685</v>
      </c>
      <c r="C3884" s="421" t="s">
        <v>503</v>
      </c>
      <c r="D3884" s="422" t="s">
        <v>663</v>
      </c>
      <c r="E3884" s="111">
        <v>16235</v>
      </c>
      <c r="F3884" s="421" t="s">
        <v>6710</v>
      </c>
    </row>
    <row r="3885" spans="1:15" x14ac:dyDescent="0.2">
      <c r="A3885" s="111">
        <v>4004</v>
      </c>
      <c r="B3885" s="421" t="s">
        <v>6676</v>
      </c>
      <c r="C3885" s="421" t="s">
        <v>570</v>
      </c>
      <c r="D3885" s="422" t="s">
        <v>666</v>
      </c>
      <c r="E3885" s="111">
        <v>14315</v>
      </c>
      <c r="F3885" s="421" t="s">
        <v>2647</v>
      </c>
      <c r="G3885" s="112">
        <v>1</v>
      </c>
      <c r="H3885" s="112">
        <v>2</v>
      </c>
      <c r="I3885" s="112">
        <v>1</v>
      </c>
      <c r="J3885" s="112">
        <v>8</v>
      </c>
      <c r="K3885" s="112">
        <v>8</v>
      </c>
      <c r="L3885" s="112">
        <v>7</v>
      </c>
      <c r="M3885" s="112">
        <v>5</v>
      </c>
      <c r="N3885" s="112">
        <v>4</v>
      </c>
      <c r="O3885" s="112">
        <v>6</v>
      </c>
    </row>
    <row r="3886" spans="1:15" x14ac:dyDescent="0.2">
      <c r="A3886" s="111">
        <v>4005</v>
      </c>
      <c r="B3886" s="421" t="s">
        <v>455</v>
      </c>
      <c r="C3886" s="421" t="s">
        <v>503</v>
      </c>
      <c r="D3886" s="422" t="s">
        <v>663</v>
      </c>
      <c r="E3886" s="111">
        <v>16238</v>
      </c>
      <c r="F3886" s="421" t="s">
        <v>6813</v>
      </c>
      <c r="G3886" s="112">
        <v>1</v>
      </c>
      <c r="H3886" s="112">
        <v>1</v>
      </c>
      <c r="I3886" s="112">
        <v>1</v>
      </c>
      <c r="J3886" s="112">
        <v>3</v>
      </c>
      <c r="K3886" s="112">
        <v>7</v>
      </c>
      <c r="L3886" s="112">
        <v>6</v>
      </c>
      <c r="M3886" s="112">
        <v>2</v>
      </c>
      <c r="N3886" s="112">
        <v>1</v>
      </c>
      <c r="O3886" s="112">
        <v>1</v>
      </c>
    </row>
    <row r="3887" spans="1:15" x14ac:dyDescent="0.2">
      <c r="A3887" s="111">
        <v>4006</v>
      </c>
      <c r="B3887" s="421" t="s">
        <v>1268</v>
      </c>
      <c r="C3887" s="421" t="s">
        <v>2272</v>
      </c>
      <c r="D3887" s="422" t="s">
        <v>663</v>
      </c>
      <c r="E3887" s="111">
        <v>16502</v>
      </c>
      <c r="F3887" s="421" t="s">
        <v>6822</v>
      </c>
    </row>
    <row r="3888" spans="1:15" x14ac:dyDescent="0.2">
      <c r="A3888" s="111">
        <v>4007</v>
      </c>
      <c r="B3888" s="421" t="s">
        <v>216</v>
      </c>
      <c r="C3888" s="421" t="s">
        <v>516</v>
      </c>
      <c r="D3888" s="422" t="s">
        <v>663</v>
      </c>
      <c r="E3888" s="111">
        <v>16236</v>
      </c>
      <c r="F3888" s="421" t="s">
        <v>6811</v>
      </c>
      <c r="G3888" s="112">
        <v>1</v>
      </c>
      <c r="H3888" s="112">
        <v>1</v>
      </c>
      <c r="I3888" s="112">
        <v>1</v>
      </c>
      <c r="J3888" s="112">
        <v>9</v>
      </c>
      <c r="K3888" s="112">
        <v>9</v>
      </c>
      <c r="L3888" s="112">
        <v>11</v>
      </c>
      <c r="M3888" s="112">
        <v>4</v>
      </c>
      <c r="N3888" s="112">
        <v>3</v>
      </c>
      <c r="O3888" s="112">
        <v>4</v>
      </c>
    </row>
    <row r="3889" spans="1:15" x14ac:dyDescent="0.2">
      <c r="A3889" s="111">
        <v>4008</v>
      </c>
      <c r="B3889" s="421" t="s">
        <v>6790</v>
      </c>
      <c r="C3889" s="421" t="s">
        <v>509</v>
      </c>
      <c r="D3889" s="422" t="s">
        <v>666</v>
      </c>
      <c r="E3889" s="111">
        <v>16492</v>
      </c>
      <c r="F3889" s="421" t="s">
        <v>6826</v>
      </c>
      <c r="G3889" s="112">
        <v>1</v>
      </c>
      <c r="H3889" s="112">
        <v>1</v>
      </c>
      <c r="I3889" s="112">
        <v>1</v>
      </c>
    </row>
    <row r="3890" spans="1:15" x14ac:dyDescent="0.2">
      <c r="A3890" s="111">
        <v>4009</v>
      </c>
      <c r="B3890" s="421" t="s">
        <v>6779</v>
      </c>
      <c r="C3890" s="421" t="s">
        <v>581</v>
      </c>
      <c r="D3890" s="422" t="s">
        <v>666</v>
      </c>
      <c r="E3890" s="111">
        <v>14879</v>
      </c>
      <c r="F3890" s="421" t="s">
        <v>2591</v>
      </c>
      <c r="G3890" s="112">
        <v>2</v>
      </c>
      <c r="H3890" s="112">
        <v>2</v>
      </c>
      <c r="I3890" s="112">
        <v>1</v>
      </c>
      <c r="J3890" s="112">
        <v>2</v>
      </c>
      <c r="K3890" s="112">
        <v>2</v>
      </c>
      <c r="L3890" s="112">
        <v>1</v>
      </c>
    </row>
    <row r="3891" spans="1:15" x14ac:dyDescent="0.2">
      <c r="A3891" s="111">
        <v>4010</v>
      </c>
      <c r="B3891" s="421" t="s">
        <v>6793</v>
      </c>
      <c r="C3891" s="421" t="s">
        <v>521</v>
      </c>
      <c r="D3891" s="422" t="s">
        <v>666</v>
      </c>
      <c r="E3891" s="111">
        <v>16028</v>
      </c>
      <c r="F3891" s="421" t="s">
        <v>6214</v>
      </c>
      <c r="G3891" s="112">
        <v>1</v>
      </c>
      <c r="H3891" s="112">
        <v>1</v>
      </c>
      <c r="I3891" s="112">
        <v>1</v>
      </c>
      <c r="J3891" s="112">
        <v>1</v>
      </c>
      <c r="K3891" s="112">
        <v>1</v>
      </c>
    </row>
    <row r="3892" spans="1:15" x14ac:dyDescent="0.2">
      <c r="A3892" s="111">
        <v>4011</v>
      </c>
      <c r="B3892" s="421" t="s">
        <v>6788</v>
      </c>
      <c r="C3892" s="421" t="s">
        <v>2114</v>
      </c>
      <c r="D3892" s="422" t="s">
        <v>666</v>
      </c>
      <c r="E3892" s="111">
        <v>14529</v>
      </c>
      <c r="F3892" s="421" t="s">
        <v>1611</v>
      </c>
    </row>
    <row r="3893" spans="1:15" x14ac:dyDescent="0.2">
      <c r="A3893" s="111">
        <v>4012</v>
      </c>
      <c r="B3893" s="421" t="s">
        <v>38</v>
      </c>
      <c r="C3893" s="421" t="s">
        <v>510</v>
      </c>
      <c r="D3893" s="422" t="s">
        <v>663</v>
      </c>
      <c r="E3893" s="111">
        <v>16240</v>
      </c>
      <c r="F3893" s="421" t="s">
        <v>6809</v>
      </c>
      <c r="G3893" s="112">
        <v>1</v>
      </c>
      <c r="H3893" s="112">
        <v>1</v>
      </c>
      <c r="I3893" s="112">
        <v>1</v>
      </c>
      <c r="J3893" s="112">
        <v>8</v>
      </c>
      <c r="K3893" s="112">
        <v>8</v>
      </c>
      <c r="L3893" s="112">
        <v>8</v>
      </c>
      <c r="M3893" s="112">
        <v>4</v>
      </c>
      <c r="N3893" s="112">
        <v>5</v>
      </c>
      <c r="O3893" s="112">
        <v>3</v>
      </c>
    </row>
    <row r="3894" spans="1:15" x14ac:dyDescent="0.2">
      <c r="A3894" s="111">
        <v>4013</v>
      </c>
      <c r="B3894" s="421" t="s">
        <v>6777</v>
      </c>
      <c r="C3894" s="421" t="s">
        <v>503</v>
      </c>
      <c r="D3894" s="422" t="s">
        <v>666</v>
      </c>
      <c r="E3894" s="111">
        <v>15537</v>
      </c>
      <c r="F3894" s="421" t="s">
        <v>6803</v>
      </c>
      <c r="G3894" s="112">
        <v>1</v>
      </c>
      <c r="H3894" s="112">
        <v>1</v>
      </c>
      <c r="I3894" s="112">
        <v>1</v>
      </c>
      <c r="J3894" s="112">
        <v>10</v>
      </c>
      <c r="K3894" s="112">
        <v>8</v>
      </c>
      <c r="L3894" s="112">
        <v>8</v>
      </c>
      <c r="M3894" s="112">
        <v>14</v>
      </c>
      <c r="N3894" s="112">
        <v>15</v>
      </c>
      <c r="O3894" s="112">
        <v>7</v>
      </c>
    </row>
    <row r="3895" spans="1:15" x14ac:dyDescent="0.2">
      <c r="A3895" s="111">
        <v>4014</v>
      </c>
      <c r="B3895" s="421" t="s">
        <v>6791</v>
      </c>
      <c r="C3895" s="421" t="s">
        <v>501</v>
      </c>
      <c r="D3895" s="422" t="s">
        <v>666</v>
      </c>
      <c r="E3895" s="111">
        <v>16208</v>
      </c>
      <c r="F3895" s="421" t="s">
        <v>6829</v>
      </c>
      <c r="G3895" s="112">
        <v>1</v>
      </c>
      <c r="H3895" s="112">
        <v>1</v>
      </c>
    </row>
    <row r="3896" spans="1:15" x14ac:dyDescent="0.2">
      <c r="A3896" s="111">
        <v>4015</v>
      </c>
      <c r="B3896" s="421" t="s">
        <v>6789</v>
      </c>
      <c r="C3896" s="421" t="s">
        <v>532</v>
      </c>
      <c r="D3896" s="422" t="s">
        <v>663</v>
      </c>
      <c r="F3896" s="421" t="s">
        <v>6825</v>
      </c>
      <c r="G3896" s="112">
        <v>1</v>
      </c>
    </row>
    <row r="3897" spans="1:15" x14ac:dyDescent="0.2">
      <c r="A3897" s="111">
        <v>4016</v>
      </c>
      <c r="B3897" s="421" t="s">
        <v>6781</v>
      </c>
      <c r="C3897" s="421" t="s">
        <v>510</v>
      </c>
      <c r="D3897" s="422" t="s">
        <v>666</v>
      </c>
      <c r="E3897" s="111">
        <v>16241</v>
      </c>
      <c r="F3897" s="421" t="s">
        <v>6808</v>
      </c>
      <c r="G3897" s="112">
        <v>1</v>
      </c>
      <c r="H3897" s="112">
        <v>1</v>
      </c>
      <c r="I3897" s="112">
        <v>1</v>
      </c>
      <c r="J3897" s="112">
        <v>10</v>
      </c>
      <c r="K3897" s="112">
        <v>12</v>
      </c>
      <c r="L3897" s="112">
        <v>12</v>
      </c>
      <c r="M3897" s="112">
        <v>8</v>
      </c>
      <c r="N3897" s="112">
        <v>5</v>
      </c>
      <c r="O3897" s="112">
        <v>6</v>
      </c>
    </row>
    <row r="3898" spans="1:15" x14ac:dyDescent="0.2">
      <c r="A3898" s="111">
        <v>4017</v>
      </c>
      <c r="B3898" s="421" t="s">
        <v>1538</v>
      </c>
      <c r="C3898" s="421" t="s">
        <v>514</v>
      </c>
      <c r="D3898" s="422" t="s">
        <v>663</v>
      </c>
      <c r="F3898" s="421" t="s">
        <v>6834</v>
      </c>
    </row>
    <row r="3899" spans="1:15" x14ac:dyDescent="0.2">
      <c r="A3899" s="111">
        <v>4018</v>
      </c>
      <c r="B3899" s="421" t="s">
        <v>382</v>
      </c>
      <c r="C3899" s="421" t="s">
        <v>501</v>
      </c>
      <c r="D3899" s="422" t="s">
        <v>663</v>
      </c>
      <c r="E3899" s="111">
        <v>16242</v>
      </c>
      <c r="F3899" s="421" t="s">
        <v>6824</v>
      </c>
      <c r="I3899" s="112">
        <v>2</v>
      </c>
    </row>
    <row r="3900" spans="1:15" x14ac:dyDescent="0.2">
      <c r="A3900" s="111">
        <v>4019</v>
      </c>
      <c r="B3900" s="421" t="s">
        <v>2854</v>
      </c>
      <c r="C3900" s="421" t="s">
        <v>501</v>
      </c>
      <c r="D3900" s="422" t="s">
        <v>666</v>
      </c>
      <c r="E3900" s="111">
        <v>16243</v>
      </c>
      <c r="F3900" s="421" t="s">
        <v>6821</v>
      </c>
    </row>
    <row r="3901" spans="1:15" x14ac:dyDescent="0.2">
      <c r="A3901" s="111">
        <v>4020</v>
      </c>
      <c r="B3901" s="421" t="s">
        <v>6796</v>
      </c>
      <c r="C3901" s="421" t="s">
        <v>510</v>
      </c>
      <c r="D3901" s="422" t="s">
        <v>663</v>
      </c>
      <c r="E3901" s="111">
        <v>15999</v>
      </c>
      <c r="F3901" s="421" t="s">
        <v>6084</v>
      </c>
      <c r="G3901" s="112">
        <v>1</v>
      </c>
      <c r="H3901" s="112">
        <v>1</v>
      </c>
      <c r="I3901" s="112">
        <v>1</v>
      </c>
      <c r="J3901" s="112">
        <v>6</v>
      </c>
      <c r="K3901" s="112">
        <v>6</v>
      </c>
      <c r="L3901" s="112">
        <v>6</v>
      </c>
      <c r="M3901" s="112">
        <v>5</v>
      </c>
      <c r="N3901" s="112">
        <v>2</v>
      </c>
      <c r="O3901" s="112">
        <v>4</v>
      </c>
    </row>
    <row r="3902" spans="1:15" x14ac:dyDescent="0.2">
      <c r="A3902" s="111">
        <v>4021</v>
      </c>
      <c r="B3902" s="421" t="s">
        <v>6794</v>
      </c>
      <c r="C3902" s="421" t="s">
        <v>506</v>
      </c>
      <c r="D3902" s="422" t="s">
        <v>663</v>
      </c>
      <c r="E3902" s="111">
        <v>16088</v>
      </c>
      <c r="F3902" s="421" t="s">
        <v>6317</v>
      </c>
      <c r="G3902" s="112">
        <v>1</v>
      </c>
      <c r="H3902" s="112">
        <v>1</v>
      </c>
      <c r="I3902" s="112">
        <v>1</v>
      </c>
      <c r="J3902" s="112">
        <v>1</v>
      </c>
      <c r="L3902" s="112">
        <v>1</v>
      </c>
    </row>
    <row r="3903" spans="1:15" x14ac:dyDescent="0.2">
      <c r="A3903" s="111">
        <v>4022</v>
      </c>
      <c r="B3903" s="421" t="s">
        <v>108</v>
      </c>
      <c r="C3903" s="421" t="s">
        <v>506</v>
      </c>
      <c r="D3903" s="422" t="s">
        <v>663</v>
      </c>
      <c r="E3903" s="111">
        <v>16245</v>
      </c>
      <c r="F3903" s="421" t="s">
        <v>6818</v>
      </c>
      <c r="G3903" s="112">
        <v>1</v>
      </c>
      <c r="H3903" s="112">
        <v>1</v>
      </c>
      <c r="I3903" s="112">
        <v>1</v>
      </c>
      <c r="J3903" s="112">
        <v>2</v>
      </c>
      <c r="K3903" s="112">
        <v>1</v>
      </c>
      <c r="L3903" s="112">
        <v>2</v>
      </c>
    </row>
    <row r="3904" spans="1:15" x14ac:dyDescent="0.2">
      <c r="A3904" s="111">
        <v>4023</v>
      </c>
      <c r="B3904" s="421" t="s">
        <v>1903</v>
      </c>
      <c r="C3904" s="421" t="s">
        <v>551</v>
      </c>
      <c r="D3904" s="422" t="s">
        <v>663</v>
      </c>
      <c r="E3904" s="111">
        <v>16247</v>
      </c>
      <c r="F3904" s="421" t="s">
        <v>6823</v>
      </c>
      <c r="G3904" s="112">
        <v>2</v>
      </c>
      <c r="H3904" s="112">
        <v>2</v>
      </c>
      <c r="I3904" s="112">
        <v>2</v>
      </c>
      <c r="J3904" s="112">
        <v>3</v>
      </c>
      <c r="K3904" s="112">
        <v>2</v>
      </c>
      <c r="L3904" s="112">
        <v>2</v>
      </c>
    </row>
    <row r="3905" spans="1:15" x14ac:dyDescent="0.2">
      <c r="A3905" s="111">
        <v>4024</v>
      </c>
      <c r="B3905" s="421" t="s">
        <v>6799</v>
      </c>
      <c r="C3905" s="421" t="s">
        <v>506</v>
      </c>
      <c r="D3905" s="422" t="s">
        <v>663</v>
      </c>
      <c r="E3905" s="111">
        <v>16249</v>
      </c>
      <c r="F3905" s="421" t="s">
        <v>6837</v>
      </c>
      <c r="G3905" s="112">
        <v>1</v>
      </c>
      <c r="H3905" s="112">
        <v>1</v>
      </c>
      <c r="I3905" s="112">
        <v>1</v>
      </c>
      <c r="J3905" s="112">
        <v>6</v>
      </c>
      <c r="K3905" s="112">
        <v>6</v>
      </c>
      <c r="L3905" s="112">
        <v>4</v>
      </c>
      <c r="M3905" s="112">
        <v>6</v>
      </c>
      <c r="N3905" s="112">
        <v>2</v>
      </c>
      <c r="O3905" s="112">
        <v>5</v>
      </c>
    </row>
    <row r="3906" spans="1:15" x14ac:dyDescent="0.2">
      <c r="A3906" s="111">
        <v>4025</v>
      </c>
      <c r="B3906" s="421" t="s">
        <v>193</v>
      </c>
      <c r="C3906" s="421" t="s">
        <v>521</v>
      </c>
      <c r="D3906" s="422" t="s">
        <v>663</v>
      </c>
      <c r="E3906" s="111">
        <v>16248</v>
      </c>
      <c r="F3906" s="421" t="s">
        <v>6838</v>
      </c>
      <c r="G3906" s="112">
        <v>1</v>
      </c>
      <c r="H3906" s="112">
        <v>1</v>
      </c>
      <c r="I3906" s="112">
        <v>1</v>
      </c>
      <c r="K3906" s="112">
        <v>1</v>
      </c>
    </row>
    <row r="3907" spans="1:15" x14ac:dyDescent="0.2">
      <c r="A3907" s="111">
        <v>4026</v>
      </c>
      <c r="B3907" s="421" t="s">
        <v>1218</v>
      </c>
      <c r="C3907" s="421" t="s">
        <v>514</v>
      </c>
      <c r="D3907" s="422" t="s">
        <v>663</v>
      </c>
      <c r="E3907" s="111">
        <v>16248</v>
      </c>
      <c r="F3907" s="421" t="s">
        <v>6838</v>
      </c>
      <c r="G3907" s="112">
        <v>1</v>
      </c>
      <c r="H3907" s="112">
        <v>1</v>
      </c>
      <c r="I3907" s="112">
        <v>1</v>
      </c>
    </row>
    <row r="3908" spans="1:15" x14ac:dyDescent="0.2">
      <c r="A3908" s="111">
        <v>4027</v>
      </c>
      <c r="B3908" s="421" t="s">
        <v>3397</v>
      </c>
      <c r="C3908" s="421" t="s">
        <v>533</v>
      </c>
      <c r="D3908" s="422" t="s">
        <v>666</v>
      </c>
      <c r="E3908" s="111">
        <v>17279</v>
      </c>
      <c r="F3908" s="421" t="s">
        <v>6819</v>
      </c>
    </row>
    <row r="3909" spans="1:15" x14ac:dyDescent="0.2">
      <c r="A3909" s="111">
        <v>4028</v>
      </c>
      <c r="B3909" s="421" t="s">
        <v>206</v>
      </c>
      <c r="C3909" s="421" t="s">
        <v>523</v>
      </c>
      <c r="D3909" s="422" t="s">
        <v>663</v>
      </c>
      <c r="E3909" s="111">
        <v>16250</v>
      </c>
      <c r="F3909" s="421" t="s">
        <v>6816</v>
      </c>
      <c r="G3909" s="112">
        <v>1</v>
      </c>
      <c r="H3909" s="112">
        <v>2</v>
      </c>
      <c r="I3909" s="112">
        <v>2</v>
      </c>
      <c r="L3909" s="112">
        <v>1</v>
      </c>
    </row>
    <row r="3910" spans="1:15" x14ac:dyDescent="0.2">
      <c r="A3910" s="111">
        <v>4029</v>
      </c>
      <c r="B3910" s="421" t="s">
        <v>5752</v>
      </c>
      <c r="C3910" s="421" t="s">
        <v>510</v>
      </c>
      <c r="D3910" s="422" t="s">
        <v>666</v>
      </c>
      <c r="E3910" s="111">
        <v>14631</v>
      </c>
      <c r="F3910" s="421" t="s">
        <v>968</v>
      </c>
      <c r="G3910" s="112">
        <v>1</v>
      </c>
      <c r="H3910" s="112">
        <v>1</v>
      </c>
      <c r="I3910" s="112">
        <v>1</v>
      </c>
      <c r="J3910" s="112">
        <v>3</v>
      </c>
      <c r="K3910" s="112">
        <v>4</v>
      </c>
      <c r="L3910" s="112">
        <v>2</v>
      </c>
      <c r="M3910" s="112">
        <v>2</v>
      </c>
      <c r="N3910" s="112">
        <v>1</v>
      </c>
    </row>
    <row r="3911" spans="1:15" x14ac:dyDescent="0.2">
      <c r="A3911" s="111">
        <v>4030</v>
      </c>
      <c r="B3911" s="421" t="s">
        <v>86</v>
      </c>
      <c r="C3911" s="421" t="s">
        <v>1419</v>
      </c>
      <c r="D3911" s="422" t="s">
        <v>663</v>
      </c>
      <c r="E3911" s="111">
        <v>16251</v>
      </c>
      <c r="F3911" s="421" t="s">
        <v>6810</v>
      </c>
      <c r="G3911" s="112">
        <v>2</v>
      </c>
      <c r="H3911" s="112">
        <v>1</v>
      </c>
      <c r="I3911" s="112">
        <v>1</v>
      </c>
      <c r="J3911" s="112">
        <v>2</v>
      </c>
      <c r="K3911" s="112">
        <v>1</v>
      </c>
    </row>
    <row r="3912" spans="1:15" x14ac:dyDescent="0.2">
      <c r="A3912" s="111">
        <v>4031</v>
      </c>
      <c r="B3912" s="421" t="s">
        <v>6787</v>
      </c>
      <c r="C3912" s="421" t="s">
        <v>547</v>
      </c>
      <c r="D3912" s="422" t="s">
        <v>663</v>
      </c>
      <c r="E3912" s="111">
        <v>16252</v>
      </c>
      <c r="F3912" s="421" t="s">
        <v>6820</v>
      </c>
      <c r="G3912" s="112">
        <v>2</v>
      </c>
      <c r="H3912" s="112">
        <v>1</v>
      </c>
      <c r="I3912" s="112">
        <v>1</v>
      </c>
      <c r="J3912" s="112">
        <v>3</v>
      </c>
    </row>
    <row r="3913" spans="1:15" x14ac:dyDescent="0.2">
      <c r="A3913" s="111">
        <v>4032</v>
      </c>
      <c r="B3913" s="421" t="s">
        <v>3170</v>
      </c>
      <c r="C3913" s="421" t="s">
        <v>551</v>
      </c>
      <c r="D3913" s="422" t="s">
        <v>666</v>
      </c>
      <c r="E3913" s="111">
        <v>16253</v>
      </c>
      <c r="F3913" s="421" t="s">
        <v>6835</v>
      </c>
    </row>
    <row r="3914" spans="1:15" x14ac:dyDescent="0.2">
      <c r="A3914" s="111">
        <v>4033</v>
      </c>
      <c r="B3914" s="421" t="s">
        <v>2465</v>
      </c>
      <c r="C3914" s="421" t="s">
        <v>537</v>
      </c>
      <c r="D3914" s="422" t="s">
        <v>666</v>
      </c>
      <c r="E3914" s="111">
        <v>16254</v>
      </c>
      <c r="F3914" s="421" t="s">
        <v>6807</v>
      </c>
      <c r="G3914" s="112">
        <v>1</v>
      </c>
      <c r="H3914" s="112">
        <v>2</v>
      </c>
      <c r="I3914" s="112">
        <v>1</v>
      </c>
      <c r="J3914" s="112">
        <v>3</v>
      </c>
      <c r="K3914" s="112">
        <v>3</v>
      </c>
      <c r="L3914" s="112">
        <v>3</v>
      </c>
      <c r="M3914" s="112">
        <v>3</v>
      </c>
      <c r="N3914" s="112">
        <v>2</v>
      </c>
      <c r="O3914" s="112">
        <v>1</v>
      </c>
    </row>
    <row r="3915" spans="1:15" x14ac:dyDescent="0.2">
      <c r="A3915" s="111">
        <v>4034</v>
      </c>
      <c r="B3915" s="421" t="s">
        <v>6780</v>
      </c>
      <c r="C3915" s="421" t="s">
        <v>516</v>
      </c>
      <c r="D3915" s="422" t="s">
        <v>663</v>
      </c>
      <c r="E3915" s="111">
        <v>16179</v>
      </c>
      <c r="F3915" s="421" t="s">
        <v>6565</v>
      </c>
      <c r="G3915" s="112">
        <v>2</v>
      </c>
      <c r="H3915" s="112">
        <v>1</v>
      </c>
      <c r="I3915" s="112">
        <v>1</v>
      </c>
      <c r="J3915" s="112">
        <v>1</v>
      </c>
      <c r="K3915" s="112">
        <v>1</v>
      </c>
      <c r="L3915" s="112">
        <v>1</v>
      </c>
      <c r="M3915" s="112">
        <v>2</v>
      </c>
    </row>
    <row r="3916" spans="1:15" x14ac:dyDescent="0.2">
      <c r="A3916" s="111">
        <v>4035</v>
      </c>
      <c r="B3916" s="421" t="s">
        <v>381</v>
      </c>
      <c r="C3916" s="421" t="s">
        <v>503</v>
      </c>
      <c r="D3916" s="422" t="s">
        <v>663</v>
      </c>
      <c r="E3916" s="111">
        <v>14209</v>
      </c>
      <c r="F3916" s="421" t="s">
        <v>932</v>
      </c>
      <c r="G3916" s="112">
        <v>1</v>
      </c>
      <c r="H3916" s="112">
        <v>1</v>
      </c>
      <c r="I3916" s="112">
        <v>1</v>
      </c>
      <c r="J3916" s="112">
        <v>6</v>
      </c>
      <c r="K3916" s="112">
        <v>4</v>
      </c>
      <c r="L3916" s="112">
        <v>5</v>
      </c>
      <c r="M3916" s="112">
        <v>2</v>
      </c>
      <c r="N3916" s="112">
        <v>1</v>
      </c>
      <c r="O3916" s="112">
        <v>2</v>
      </c>
    </row>
    <row r="3917" spans="1:15" x14ac:dyDescent="0.2">
      <c r="A3917" s="111">
        <v>4036</v>
      </c>
      <c r="B3917" s="421" t="s">
        <v>281</v>
      </c>
      <c r="C3917" s="421" t="s">
        <v>510</v>
      </c>
      <c r="D3917" s="422" t="s">
        <v>663</v>
      </c>
      <c r="E3917" s="111">
        <v>16256</v>
      </c>
      <c r="F3917" s="421" t="s">
        <v>6830</v>
      </c>
      <c r="G3917" s="112">
        <v>1</v>
      </c>
      <c r="H3917" s="112">
        <v>1</v>
      </c>
      <c r="I3917" s="112">
        <v>1</v>
      </c>
      <c r="J3917" s="112">
        <v>1</v>
      </c>
    </row>
    <row r="3918" spans="1:15" x14ac:dyDescent="0.2">
      <c r="A3918" s="111">
        <v>4037</v>
      </c>
      <c r="B3918" s="421" t="s">
        <v>6797</v>
      </c>
      <c r="C3918" s="421" t="s">
        <v>6802</v>
      </c>
      <c r="D3918" s="422" t="s">
        <v>663</v>
      </c>
      <c r="E3918" s="111">
        <v>16257</v>
      </c>
      <c r="F3918" s="421" t="s">
        <v>6833</v>
      </c>
      <c r="G3918" s="112">
        <v>2</v>
      </c>
      <c r="H3918" s="112">
        <v>1</v>
      </c>
      <c r="I3918" s="112">
        <v>2</v>
      </c>
    </row>
    <row r="3919" spans="1:15" x14ac:dyDescent="0.2">
      <c r="A3919" s="111">
        <v>4038</v>
      </c>
      <c r="B3919" s="421" t="s">
        <v>1348</v>
      </c>
      <c r="C3919" s="421" t="s">
        <v>1748</v>
      </c>
      <c r="D3919" s="422" t="s">
        <v>666</v>
      </c>
      <c r="E3919" s="111">
        <v>16258</v>
      </c>
      <c r="F3919" s="421" t="s">
        <v>6804</v>
      </c>
      <c r="I3919" s="112">
        <v>1</v>
      </c>
    </row>
    <row r="3920" spans="1:15" x14ac:dyDescent="0.2">
      <c r="A3920" s="111">
        <v>4039</v>
      </c>
      <c r="B3920" s="421" t="s">
        <v>6778</v>
      </c>
      <c r="C3920" s="421" t="s">
        <v>510</v>
      </c>
      <c r="D3920" s="422" t="s">
        <v>666</v>
      </c>
      <c r="E3920" s="111">
        <v>16261</v>
      </c>
      <c r="F3920" s="421" t="s">
        <v>6805</v>
      </c>
      <c r="G3920" s="112">
        <v>1</v>
      </c>
      <c r="H3920" s="112">
        <v>1</v>
      </c>
      <c r="I3920" s="112">
        <v>1</v>
      </c>
    </row>
    <row r="3921" spans="1:15" x14ac:dyDescent="0.2">
      <c r="A3921" s="111">
        <v>4040</v>
      </c>
      <c r="B3921" s="421" t="s">
        <v>6798</v>
      </c>
      <c r="C3921" s="421" t="s">
        <v>506</v>
      </c>
      <c r="D3921" s="422" t="s">
        <v>663</v>
      </c>
      <c r="E3921" s="111">
        <v>16262</v>
      </c>
      <c r="F3921" s="421" t="s">
        <v>6836</v>
      </c>
    </row>
    <row r="3922" spans="1:15" x14ac:dyDescent="0.2">
      <c r="A3922" s="111">
        <v>4041</v>
      </c>
      <c r="B3922" s="421" t="s">
        <v>6801</v>
      </c>
      <c r="C3922" s="421" t="s">
        <v>503</v>
      </c>
      <c r="D3922" s="422" t="s">
        <v>663</v>
      </c>
      <c r="E3922" s="111">
        <v>16263</v>
      </c>
      <c r="F3922" s="421" t="s">
        <v>6841</v>
      </c>
      <c r="G3922" s="112">
        <v>1</v>
      </c>
      <c r="I3922" s="112">
        <v>1</v>
      </c>
    </row>
    <row r="3923" spans="1:15" x14ac:dyDescent="0.2">
      <c r="A3923" s="111">
        <v>4042</v>
      </c>
      <c r="B3923" s="421" t="s">
        <v>6786</v>
      </c>
      <c r="C3923" s="421" t="s">
        <v>2003</v>
      </c>
      <c r="D3923" s="422" t="s">
        <v>663</v>
      </c>
      <c r="E3923" s="111">
        <v>15313</v>
      </c>
      <c r="F3923" s="421" t="s">
        <v>3787</v>
      </c>
    </row>
    <row r="3924" spans="1:15" x14ac:dyDescent="0.2">
      <c r="A3924" s="111">
        <v>4043</v>
      </c>
      <c r="B3924" s="421" t="s">
        <v>253</v>
      </c>
      <c r="C3924" s="421" t="s">
        <v>501</v>
      </c>
      <c r="D3924" s="422" t="s">
        <v>666</v>
      </c>
      <c r="E3924" s="111">
        <v>16264</v>
      </c>
      <c r="F3924" s="421" t="s">
        <v>6817</v>
      </c>
      <c r="G3924" s="112">
        <v>1</v>
      </c>
      <c r="H3924" s="112">
        <v>1</v>
      </c>
      <c r="I3924" s="112">
        <v>1</v>
      </c>
      <c r="J3924" s="112">
        <v>5</v>
      </c>
      <c r="K3924" s="112">
        <v>5</v>
      </c>
      <c r="L3924" s="112">
        <v>2</v>
      </c>
    </row>
    <row r="3925" spans="1:15" x14ac:dyDescent="0.2">
      <c r="A3925" s="111">
        <v>4044</v>
      </c>
      <c r="B3925" s="421" t="s">
        <v>461</v>
      </c>
      <c r="C3925" s="421" t="s">
        <v>551</v>
      </c>
      <c r="D3925" s="422" t="s">
        <v>663</v>
      </c>
      <c r="E3925" s="111">
        <v>15351</v>
      </c>
      <c r="F3925" s="421" t="s">
        <v>3885</v>
      </c>
      <c r="G3925" s="112">
        <v>1</v>
      </c>
      <c r="H3925" s="112">
        <v>1</v>
      </c>
      <c r="I3925" s="112">
        <v>1</v>
      </c>
      <c r="J3925" s="112">
        <v>1</v>
      </c>
      <c r="K3925" s="112">
        <v>1</v>
      </c>
      <c r="L3925" s="112">
        <v>1</v>
      </c>
      <c r="M3925" s="112">
        <v>1</v>
      </c>
    </row>
    <row r="3926" spans="1:15" x14ac:dyDescent="0.2">
      <c r="A3926" s="111">
        <v>4045</v>
      </c>
      <c r="B3926" s="421" t="s">
        <v>140</v>
      </c>
      <c r="C3926" s="421" t="s">
        <v>1908</v>
      </c>
      <c r="D3926" s="422" t="s">
        <v>666</v>
      </c>
      <c r="E3926" s="111">
        <v>16265</v>
      </c>
      <c r="F3926" s="421" t="s">
        <v>6839</v>
      </c>
      <c r="G3926" s="112">
        <v>1</v>
      </c>
      <c r="H3926" s="112">
        <v>1</v>
      </c>
      <c r="I3926" s="112">
        <v>1</v>
      </c>
    </row>
    <row r="3927" spans="1:15" x14ac:dyDescent="0.2">
      <c r="A3927" s="111">
        <v>4046</v>
      </c>
      <c r="B3927" s="421" t="s">
        <v>6784</v>
      </c>
      <c r="C3927" s="421" t="s">
        <v>516</v>
      </c>
      <c r="D3927" s="422" t="s">
        <v>666</v>
      </c>
      <c r="E3927" s="111">
        <v>16267</v>
      </c>
      <c r="F3927" s="421" t="s">
        <v>6814</v>
      </c>
      <c r="G3927" s="112">
        <v>1</v>
      </c>
      <c r="H3927" s="112">
        <v>1</v>
      </c>
      <c r="I3927" s="112">
        <v>1</v>
      </c>
      <c r="J3927" s="112">
        <v>3</v>
      </c>
      <c r="K3927" s="112">
        <v>2</v>
      </c>
    </row>
    <row r="3928" spans="1:15" x14ac:dyDescent="0.2">
      <c r="A3928" s="111">
        <v>4047</v>
      </c>
      <c r="B3928" s="421" t="s">
        <v>2575</v>
      </c>
      <c r="C3928" s="421" t="s">
        <v>555</v>
      </c>
      <c r="D3928" s="422" t="s">
        <v>666</v>
      </c>
      <c r="E3928" s="111">
        <v>16268</v>
      </c>
      <c r="F3928" s="421" t="s">
        <v>6806</v>
      </c>
      <c r="G3928" s="112">
        <v>1</v>
      </c>
      <c r="H3928" s="112">
        <v>3</v>
      </c>
      <c r="I3928" s="112">
        <v>3</v>
      </c>
      <c r="J3928" s="112">
        <v>2</v>
      </c>
      <c r="L3928" s="112">
        <v>3</v>
      </c>
    </row>
    <row r="3929" spans="1:15" x14ac:dyDescent="0.2">
      <c r="A3929" s="111">
        <v>4048</v>
      </c>
      <c r="B3929" s="421" t="s">
        <v>6795</v>
      </c>
      <c r="C3929" s="421" t="s">
        <v>501</v>
      </c>
      <c r="D3929" s="422" t="s">
        <v>666</v>
      </c>
      <c r="E3929" s="111">
        <v>14939</v>
      </c>
      <c r="F3929" s="421" t="s">
        <v>2797</v>
      </c>
      <c r="G3929" s="112">
        <v>1</v>
      </c>
      <c r="H3929" s="112">
        <v>1</v>
      </c>
      <c r="I3929" s="112">
        <v>1</v>
      </c>
      <c r="J3929" s="112">
        <v>8</v>
      </c>
      <c r="K3929" s="112">
        <v>9</v>
      </c>
      <c r="L3929" s="112">
        <v>7</v>
      </c>
      <c r="M3929" s="112">
        <v>4</v>
      </c>
      <c r="N3929" s="112">
        <v>3</v>
      </c>
      <c r="O3929" s="112">
        <v>5</v>
      </c>
    </row>
    <row r="3930" spans="1:15" x14ac:dyDescent="0.2">
      <c r="A3930" s="111">
        <v>4049</v>
      </c>
      <c r="B3930" s="421" t="s">
        <v>6785</v>
      </c>
      <c r="C3930" s="421" t="s">
        <v>518</v>
      </c>
      <c r="D3930" s="422" t="s">
        <v>666</v>
      </c>
      <c r="E3930" s="111">
        <v>16269</v>
      </c>
      <c r="F3930" s="421" t="s">
        <v>6815</v>
      </c>
      <c r="G3930" s="112">
        <v>1</v>
      </c>
      <c r="H3930" s="112">
        <v>1</v>
      </c>
      <c r="I3930" s="112">
        <v>1</v>
      </c>
      <c r="J3930" s="112">
        <v>5</v>
      </c>
      <c r="K3930" s="112">
        <v>4</v>
      </c>
      <c r="L3930" s="112">
        <v>3</v>
      </c>
      <c r="M3930" s="112">
        <v>2</v>
      </c>
      <c r="N3930" s="112">
        <v>2</v>
      </c>
      <c r="O3930" s="112">
        <v>2</v>
      </c>
    </row>
    <row r="3931" spans="1:15" x14ac:dyDescent="0.2">
      <c r="A3931" s="111">
        <v>4050</v>
      </c>
      <c r="B3931" s="421" t="s">
        <v>6783</v>
      </c>
      <c r="C3931" s="421" t="s">
        <v>536</v>
      </c>
      <c r="D3931" s="422" t="s">
        <v>663</v>
      </c>
      <c r="E3931" s="111">
        <v>15673</v>
      </c>
      <c r="F3931" s="421" t="s">
        <v>4920</v>
      </c>
      <c r="G3931" s="112">
        <v>1</v>
      </c>
      <c r="H3931" s="112">
        <v>1</v>
      </c>
      <c r="I3931" s="112">
        <v>1</v>
      </c>
      <c r="J3931" s="112">
        <v>8</v>
      </c>
      <c r="K3931" s="112">
        <v>7</v>
      </c>
      <c r="L3931" s="112">
        <v>7</v>
      </c>
      <c r="M3931" s="112">
        <v>7</v>
      </c>
      <c r="N3931" s="112">
        <v>2</v>
      </c>
      <c r="O3931" s="112">
        <v>3</v>
      </c>
    </row>
    <row r="3932" spans="1:15" x14ac:dyDescent="0.2">
      <c r="A3932" s="111">
        <v>4051</v>
      </c>
      <c r="B3932" s="421" t="s">
        <v>80</v>
      </c>
      <c r="C3932" s="421" t="s">
        <v>501</v>
      </c>
      <c r="D3932" s="422" t="s">
        <v>663</v>
      </c>
      <c r="E3932" s="111">
        <v>16237</v>
      </c>
      <c r="F3932" s="421" t="s">
        <v>6840</v>
      </c>
      <c r="G3932" s="112">
        <v>1</v>
      </c>
      <c r="H3932" s="112">
        <v>2</v>
      </c>
      <c r="I3932" s="112">
        <v>1</v>
      </c>
      <c r="J3932" s="112">
        <v>1</v>
      </c>
    </row>
    <row r="3933" spans="1:15" x14ac:dyDescent="0.2">
      <c r="A3933" s="111">
        <v>4052</v>
      </c>
      <c r="B3933" s="421" t="s">
        <v>6800</v>
      </c>
      <c r="C3933" s="421" t="s">
        <v>3578</v>
      </c>
      <c r="D3933" s="422" t="s">
        <v>663</v>
      </c>
      <c r="E3933" s="111">
        <v>15112</v>
      </c>
      <c r="F3933" s="421" t="s">
        <v>2939</v>
      </c>
      <c r="G3933" s="112">
        <v>1</v>
      </c>
      <c r="H3933" s="112">
        <v>1</v>
      </c>
      <c r="I3933" s="112">
        <v>1</v>
      </c>
      <c r="J3933" s="112">
        <v>1</v>
      </c>
    </row>
    <row r="3934" spans="1:15" x14ac:dyDescent="0.2">
      <c r="A3934" s="111">
        <v>4053</v>
      </c>
      <c r="B3934" s="421" t="s">
        <v>6782</v>
      </c>
      <c r="C3934" s="421" t="s">
        <v>516</v>
      </c>
      <c r="D3934" s="422" t="s">
        <v>666</v>
      </c>
      <c r="E3934" s="111">
        <v>16270</v>
      </c>
      <c r="F3934" s="421" t="s">
        <v>6812</v>
      </c>
      <c r="G3934" s="112">
        <v>1</v>
      </c>
      <c r="H3934" s="112">
        <v>1</v>
      </c>
      <c r="I3934" s="112">
        <v>1</v>
      </c>
      <c r="J3934" s="112">
        <v>2</v>
      </c>
      <c r="K3934" s="112">
        <v>1</v>
      </c>
      <c r="L3934" s="112">
        <v>2</v>
      </c>
    </row>
    <row r="3935" spans="1:15" x14ac:dyDescent="0.2">
      <c r="A3935" s="111">
        <v>4054</v>
      </c>
      <c r="B3935" s="421" t="s">
        <v>6792</v>
      </c>
      <c r="C3935" s="421" t="s">
        <v>575</v>
      </c>
      <c r="D3935" s="422" t="s">
        <v>666</v>
      </c>
      <c r="E3935" s="111">
        <v>16271</v>
      </c>
      <c r="F3935" s="421" t="s">
        <v>6831</v>
      </c>
      <c r="G3935" s="112">
        <v>1</v>
      </c>
      <c r="H3935" s="112">
        <v>1</v>
      </c>
      <c r="I3935" s="112">
        <v>1</v>
      </c>
      <c r="J3935" s="112">
        <v>5</v>
      </c>
      <c r="K3935" s="112">
        <v>4</v>
      </c>
      <c r="L3935" s="112">
        <v>5</v>
      </c>
      <c r="M3935" s="112">
        <v>4</v>
      </c>
      <c r="N3935" s="112">
        <v>4</v>
      </c>
      <c r="O3935" s="112">
        <v>3</v>
      </c>
    </row>
    <row r="3936" spans="1:15" x14ac:dyDescent="0.2">
      <c r="A3936" s="111">
        <v>4055</v>
      </c>
      <c r="B3936" s="421" t="s">
        <v>4023</v>
      </c>
      <c r="C3936" s="421" t="s">
        <v>506</v>
      </c>
      <c r="D3936" s="422" t="s">
        <v>663</v>
      </c>
      <c r="E3936" s="111">
        <v>16272</v>
      </c>
      <c r="F3936" s="421" t="s">
        <v>6827</v>
      </c>
      <c r="G3936" s="112">
        <v>1</v>
      </c>
      <c r="H3936" s="112">
        <v>1</v>
      </c>
      <c r="I3936" s="112">
        <v>1</v>
      </c>
      <c r="J3936" s="112">
        <v>5</v>
      </c>
      <c r="K3936" s="112">
        <v>7</v>
      </c>
      <c r="L3936" s="112">
        <v>7</v>
      </c>
      <c r="M3936" s="112">
        <v>10</v>
      </c>
      <c r="N3936" s="112">
        <v>4</v>
      </c>
      <c r="O3936" s="112">
        <v>6</v>
      </c>
    </row>
    <row r="3937" spans="1:15" x14ac:dyDescent="0.2">
      <c r="A3937" s="111">
        <v>4056</v>
      </c>
      <c r="B3937" s="421" t="s">
        <v>281</v>
      </c>
      <c r="C3937" s="421" t="s">
        <v>587</v>
      </c>
      <c r="D3937" s="422" t="s">
        <v>663</v>
      </c>
      <c r="E3937" s="111">
        <v>16275</v>
      </c>
      <c r="F3937" s="421" t="s">
        <v>6828</v>
      </c>
    </row>
    <row r="3938" spans="1:15" x14ac:dyDescent="0.2">
      <c r="A3938" s="111">
        <v>4057</v>
      </c>
      <c r="B3938" s="421" t="s">
        <v>437</v>
      </c>
      <c r="C3938" s="421" t="s">
        <v>506</v>
      </c>
      <c r="D3938" s="422" t="s">
        <v>663</v>
      </c>
      <c r="E3938" s="111">
        <v>16273</v>
      </c>
      <c r="F3938" s="421" t="s">
        <v>6832</v>
      </c>
      <c r="G3938" s="112">
        <v>1</v>
      </c>
      <c r="H3938" s="112">
        <v>1</v>
      </c>
      <c r="I3938" s="112">
        <v>1</v>
      </c>
      <c r="J3938" s="112">
        <v>5</v>
      </c>
      <c r="K3938" s="112">
        <v>5</v>
      </c>
      <c r="L3938" s="112">
        <v>5</v>
      </c>
      <c r="M3938" s="112">
        <v>7</v>
      </c>
      <c r="N3938" s="112">
        <v>2</v>
      </c>
      <c r="O3938" s="112">
        <v>5</v>
      </c>
    </row>
    <row r="3939" spans="1:15" x14ac:dyDescent="0.2">
      <c r="A3939" s="111">
        <v>4058</v>
      </c>
      <c r="B3939" s="421" t="s">
        <v>6850</v>
      </c>
      <c r="C3939" s="421" t="s">
        <v>516</v>
      </c>
      <c r="D3939" s="422" t="s">
        <v>663</v>
      </c>
      <c r="E3939" s="111">
        <v>15565</v>
      </c>
      <c r="F3939" s="421" t="s">
        <v>4672</v>
      </c>
      <c r="G3939" s="112">
        <v>1</v>
      </c>
      <c r="H3939" s="112">
        <v>1</v>
      </c>
      <c r="I3939" s="112">
        <v>1</v>
      </c>
    </row>
    <row r="3940" spans="1:15" x14ac:dyDescent="0.2">
      <c r="A3940" s="111">
        <v>4059</v>
      </c>
      <c r="B3940" s="421" t="s">
        <v>6854</v>
      </c>
      <c r="C3940" s="421" t="s">
        <v>514</v>
      </c>
      <c r="D3940" s="422" t="s">
        <v>663</v>
      </c>
      <c r="E3940" s="111">
        <v>14658</v>
      </c>
      <c r="F3940" s="421" t="s">
        <v>1967</v>
      </c>
      <c r="G3940" s="112">
        <v>1</v>
      </c>
      <c r="H3940" s="112">
        <v>1</v>
      </c>
      <c r="I3940" s="112">
        <v>1</v>
      </c>
      <c r="J3940" s="112">
        <v>17</v>
      </c>
      <c r="K3940" s="112">
        <v>15</v>
      </c>
      <c r="L3940" s="112">
        <v>13</v>
      </c>
      <c r="M3940" s="112">
        <v>28</v>
      </c>
      <c r="N3940" s="112">
        <v>13</v>
      </c>
      <c r="O3940" s="112">
        <v>15</v>
      </c>
    </row>
    <row r="3941" spans="1:15" x14ac:dyDescent="0.2">
      <c r="A3941" s="111">
        <v>4060</v>
      </c>
      <c r="B3941" s="421" t="s">
        <v>6853</v>
      </c>
      <c r="C3941" s="421" t="s">
        <v>506</v>
      </c>
      <c r="D3941" s="422" t="s">
        <v>663</v>
      </c>
      <c r="E3941" s="111">
        <v>16274</v>
      </c>
      <c r="F3941" s="421" t="s">
        <v>6862</v>
      </c>
      <c r="G3941" s="112">
        <v>1</v>
      </c>
      <c r="H3941" s="112">
        <v>1</v>
      </c>
      <c r="I3941" s="112">
        <v>1</v>
      </c>
    </row>
    <row r="3942" spans="1:15" x14ac:dyDescent="0.2">
      <c r="A3942" s="111">
        <v>4061</v>
      </c>
      <c r="B3942" s="421" t="s">
        <v>6855</v>
      </c>
      <c r="C3942" s="421" t="s">
        <v>6858</v>
      </c>
      <c r="D3942" s="422" t="s">
        <v>663</v>
      </c>
      <c r="E3942" s="111">
        <v>15268</v>
      </c>
      <c r="F3942" s="421" t="s">
        <v>3554</v>
      </c>
      <c r="G3942" s="112">
        <v>1</v>
      </c>
      <c r="H3942" s="112">
        <v>1</v>
      </c>
    </row>
    <row r="3943" spans="1:15" x14ac:dyDescent="0.2">
      <c r="A3943" s="111">
        <v>4062</v>
      </c>
      <c r="B3943" s="421" t="s">
        <v>6327</v>
      </c>
      <c r="C3943" s="421" t="s">
        <v>503</v>
      </c>
      <c r="D3943" s="422" t="s">
        <v>666</v>
      </c>
      <c r="E3943" s="111">
        <v>16094</v>
      </c>
      <c r="F3943" s="421" t="s">
        <v>2737</v>
      </c>
      <c r="G3943" s="112">
        <v>1</v>
      </c>
      <c r="H3943" s="112">
        <v>1</v>
      </c>
      <c r="I3943" s="112">
        <v>1</v>
      </c>
      <c r="J3943" s="112">
        <v>2</v>
      </c>
      <c r="K3943" s="112">
        <v>3</v>
      </c>
      <c r="L3943" s="112">
        <v>3</v>
      </c>
    </row>
    <row r="3944" spans="1:15" x14ac:dyDescent="0.2">
      <c r="A3944" s="111">
        <v>4063</v>
      </c>
      <c r="B3944" s="421" t="s">
        <v>6851</v>
      </c>
      <c r="C3944" s="421" t="s">
        <v>502</v>
      </c>
      <c r="D3944" s="422" t="s">
        <v>666</v>
      </c>
      <c r="E3944" s="111">
        <v>15796</v>
      </c>
      <c r="F3944" s="421" t="s">
        <v>5441</v>
      </c>
      <c r="G3944" s="112">
        <v>2</v>
      </c>
      <c r="H3944" s="112">
        <v>3</v>
      </c>
      <c r="I3944" s="112">
        <v>2</v>
      </c>
      <c r="J3944" s="112">
        <v>7</v>
      </c>
      <c r="K3944" s="112">
        <v>8</v>
      </c>
      <c r="L3944" s="112">
        <v>10</v>
      </c>
      <c r="M3944" s="112">
        <v>9</v>
      </c>
      <c r="N3944" s="112">
        <v>3</v>
      </c>
      <c r="O3944" s="112">
        <v>7</v>
      </c>
    </row>
    <row r="3945" spans="1:15" x14ac:dyDescent="0.2">
      <c r="A3945" s="111">
        <v>4064</v>
      </c>
      <c r="B3945" s="421" t="s">
        <v>6852</v>
      </c>
      <c r="C3945" s="421" t="s">
        <v>504</v>
      </c>
      <c r="D3945" s="422" t="s">
        <v>663</v>
      </c>
      <c r="F3945" s="421" t="s">
        <v>4332</v>
      </c>
      <c r="G3945" s="112">
        <v>1</v>
      </c>
      <c r="H3945" s="112">
        <v>1</v>
      </c>
      <c r="I3945" s="112">
        <v>1</v>
      </c>
      <c r="J3945" s="112">
        <v>1</v>
      </c>
      <c r="K3945" s="112">
        <v>1</v>
      </c>
      <c r="L3945" s="112">
        <v>1</v>
      </c>
    </row>
    <row r="3946" spans="1:15" x14ac:dyDescent="0.2">
      <c r="A3946" s="111">
        <v>4065</v>
      </c>
      <c r="B3946" s="421" t="s">
        <v>408</v>
      </c>
      <c r="C3946" s="421" t="s">
        <v>501</v>
      </c>
      <c r="D3946" s="422" t="s">
        <v>663</v>
      </c>
      <c r="E3946" s="111">
        <v>16276</v>
      </c>
      <c r="F3946" s="421" t="s">
        <v>6863</v>
      </c>
      <c r="G3946" s="112">
        <v>2</v>
      </c>
      <c r="H3946" s="112">
        <v>2</v>
      </c>
      <c r="I3946" s="112">
        <v>1</v>
      </c>
      <c r="J3946" s="112">
        <v>1</v>
      </c>
      <c r="K3946" s="112">
        <v>1</v>
      </c>
      <c r="L3946" s="112">
        <v>1</v>
      </c>
    </row>
    <row r="3947" spans="1:15" x14ac:dyDescent="0.2">
      <c r="A3947" s="111">
        <v>4066</v>
      </c>
      <c r="B3947" s="421" t="s">
        <v>1630</v>
      </c>
      <c r="C3947" s="421" t="s">
        <v>2872</v>
      </c>
      <c r="D3947" s="422" t="s">
        <v>663</v>
      </c>
      <c r="E3947" s="111">
        <v>15473</v>
      </c>
      <c r="F3947" s="421" t="s">
        <v>4832</v>
      </c>
      <c r="G3947" s="112">
        <v>1</v>
      </c>
      <c r="H3947" s="112">
        <v>1</v>
      </c>
      <c r="I3947" s="112">
        <v>1</v>
      </c>
    </row>
    <row r="3948" spans="1:15" x14ac:dyDescent="0.2">
      <c r="A3948" s="111">
        <v>4067</v>
      </c>
      <c r="B3948" s="421" t="s">
        <v>1349</v>
      </c>
      <c r="C3948" s="421" t="s">
        <v>503</v>
      </c>
      <c r="D3948" s="422" t="s">
        <v>663</v>
      </c>
      <c r="E3948" s="111">
        <v>16277</v>
      </c>
      <c r="F3948" s="421" t="s">
        <v>6860</v>
      </c>
      <c r="G3948" s="112">
        <v>1</v>
      </c>
      <c r="H3948" s="112">
        <v>1</v>
      </c>
      <c r="I3948" s="112">
        <v>1</v>
      </c>
      <c r="J3948" s="112">
        <v>4</v>
      </c>
      <c r="K3948" s="112">
        <v>4</v>
      </c>
      <c r="L3948" s="112">
        <v>4</v>
      </c>
      <c r="M3948" s="112">
        <v>17</v>
      </c>
      <c r="N3948" s="112">
        <v>17</v>
      </c>
      <c r="O3948" s="112">
        <v>21</v>
      </c>
    </row>
    <row r="3949" spans="1:15" x14ac:dyDescent="0.2">
      <c r="A3949" s="111">
        <v>4068</v>
      </c>
      <c r="B3949" s="421" t="s">
        <v>6856</v>
      </c>
      <c r="C3949" s="421" t="s">
        <v>1758</v>
      </c>
      <c r="D3949" s="422" t="s">
        <v>663</v>
      </c>
      <c r="E3949" s="111">
        <v>15682</v>
      </c>
      <c r="F3949" s="421" t="s">
        <v>1661</v>
      </c>
      <c r="G3949" s="112">
        <v>1</v>
      </c>
      <c r="H3949" s="112">
        <v>1</v>
      </c>
      <c r="I3949" s="112">
        <v>1</v>
      </c>
      <c r="J3949" s="112">
        <v>2</v>
      </c>
      <c r="K3949" s="112">
        <v>2</v>
      </c>
      <c r="L3949" s="112">
        <v>2</v>
      </c>
    </row>
    <row r="3950" spans="1:15" x14ac:dyDescent="0.2">
      <c r="A3950" s="111">
        <v>4069</v>
      </c>
      <c r="B3950" s="421" t="s">
        <v>3226</v>
      </c>
      <c r="C3950" s="421" t="s">
        <v>1817</v>
      </c>
      <c r="D3950" s="422" t="s">
        <v>663</v>
      </c>
      <c r="E3950" s="111">
        <v>16278</v>
      </c>
      <c r="F3950" s="421" t="s">
        <v>6859</v>
      </c>
    </row>
    <row r="3951" spans="1:15" x14ac:dyDescent="0.2">
      <c r="A3951" s="111">
        <v>4070</v>
      </c>
      <c r="B3951" s="421" t="s">
        <v>2508</v>
      </c>
      <c r="C3951" s="421" t="s">
        <v>509</v>
      </c>
      <c r="D3951" s="422" t="s">
        <v>663</v>
      </c>
      <c r="E3951" s="111">
        <v>14204</v>
      </c>
      <c r="F3951" s="421" t="s">
        <v>926</v>
      </c>
      <c r="G3951" s="112">
        <v>1</v>
      </c>
      <c r="H3951" s="112">
        <v>1</v>
      </c>
    </row>
    <row r="3952" spans="1:15" x14ac:dyDescent="0.2">
      <c r="A3952" s="111">
        <v>4071</v>
      </c>
      <c r="B3952" s="421" t="s">
        <v>3426</v>
      </c>
      <c r="C3952" s="421" t="s">
        <v>6857</v>
      </c>
      <c r="D3952" s="422" t="s">
        <v>663</v>
      </c>
      <c r="F3952" s="421" t="s">
        <v>6861</v>
      </c>
    </row>
    <row r="3953" spans="1:15" x14ac:dyDescent="0.2">
      <c r="A3953" s="111">
        <v>4072</v>
      </c>
      <c r="B3953" s="421" t="s">
        <v>6979</v>
      </c>
      <c r="C3953" s="421" t="s">
        <v>506</v>
      </c>
      <c r="D3953" s="422" t="s">
        <v>663</v>
      </c>
      <c r="E3953" s="111">
        <v>14221</v>
      </c>
      <c r="F3953" s="421" t="s">
        <v>3936</v>
      </c>
      <c r="G3953" s="112">
        <v>1</v>
      </c>
      <c r="H3953" s="112">
        <v>1</v>
      </c>
      <c r="I3953" s="112">
        <v>1</v>
      </c>
      <c r="J3953" s="112">
        <v>8</v>
      </c>
      <c r="K3953" s="112">
        <v>8</v>
      </c>
      <c r="L3953" s="112">
        <v>8</v>
      </c>
      <c r="M3953" s="112">
        <v>4</v>
      </c>
      <c r="N3953" s="112">
        <v>4</v>
      </c>
      <c r="O3953" s="112">
        <v>4</v>
      </c>
    </row>
    <row r="3954" spans="1:15" x14ac:dyDescent="0.2">
      <c r="A3954" s="111">
        <v>4073</v>
      </c>
      <c r="B3954" s="421" t="s">
        <v>443</v>
      </c>
      <c r="C3954" s="421" t="s">
        <v>551</v>
      </c>
      <c r="D3954" s="422" t="s">
        <v>663</v>
      </c>
      <c r="E3954" s="111">
        <v>16280</v>
      </c>
      <c r="F3954" s="421" t="s">
        <v>6999</v>
      </c>
    </row>
    <row r="3955" spans="1:15" x14ac:dyDescent="0.2">
      <c r="A3955" s="111">
        <v>4074</v>
      </c>
      <c r="B3955" s="421" t="s">
        <v>6993</v>
      </c>
      <c r="C3955" s="421" t="s">
        <v>503</v>
      </c>
      <c r="D3955" s="422" t="s">
        <v>666</v>
      </c>
      <c r="E3955" s="111">
        <v>16279</v>
      </c>
      <c r="F3955" s="421" t="s">
        <v>7032</v>
      </c>
      <c r="G3955" s="112">
        <v>1</v>
      </c>
      <c r="H3955" s="112">
        <v>1</v>
      </c>
      <c r="I3955" s="112">
        <v>1</v>
      </c>
    </row>
    <row r="3956" spans="1:15" x14ac:dyDescent="0.2">
      <c r="A3956" s="111">
        <v>4075</v>
      </c>
      <c r="B3956" s="421" t="s">
        <v>6976</v>
      </c>
      <c r="C3956" s="421" t="s">
        <v>1908</v>
      </c>
      <c r="D3956" s="422" t="s">
        <v>663</v>
      </c>
      <c r="E3956" s="111">
        <v>16281</v>
      </c>
      <c r="F3956" s="421" t="s">
        <v>6998</v>
      </c>
    </row>
    <row r="3957" spans="1:15" x14ac:dyDescent="0.2">
      <c r="A3957" s="111">
        <v>4076</v>
      </c>
      <c r="B3957" s="421" t="s">
        <v>6975</v>
      </c>
      <c r="C3957" s="421" t="s">
        <v>521</v>
      </c>
      <c r="D3957" s="422" t="s">
        <v>666</v>
      </c>
      <c r="E3957" s="111">
        <v>16281</v>
      </c>
      <c r="F3957" s="421" t="s">
        <v>6998</v>
      </c>
    </row>
    <row r="3958" spans="1:15" x14ac:dyDescent="0.2">
      <c r="A3958" s="111">
        <v>4077</v>
      </c>
      <c r="B3958" s="421" t="s">
        <v>485</v>
      </c>
      <c r="C3958" s="421" t="s">
        <v>501</v>
      </c>
      <c r="D3958" s="422"/>
      <c r="E3958" s="111">
        <v>16282</v>
      </c>
      <c r="F3958" s="421" t="s">
        <v>7057</v>
      </c>
      <c r="H3958" s="112">
        <v>1</v>
      </c>
    </row>
    <row r="3959" spans="1:15" x14ac:dyDescent="0.2">
      <c r="A3959" s="111">
        <v>4078</v>
      </c>
      <c r="B3959" s="421" t="s">
        <v>365</v>
      </c>
      <c r="C3959" s="421" t="s">
        <v>503</v>
      </c>
      <c r="D3959" s="422" t="s">
        <v>666</v>
      </c>
      <c r="E3959" s="111">
        <v>16283</v>
      </c>
      <c r="F3959" s="421" t="s">
        <v>7016</v>
      </c>
    </row>
    <row r="3960" spans="1:15" x14ac:dyDescent="0.2">
      <c r="A3960" s="111">
        <v>4079</v>
      </c>
      <c r="B3960" s="421" t="s">
        <v>6984</v>
      </c>
      <c r="C3960" s="421" t="s">
        <v>516</v>
      </c>
      <c r="D3960" s="422" t="s">
        <v>663</v>
      </c>
      <c r="E3960" s="111">
        <v>16650</v>
      </c>
      <c r="F3960" s="421" t="s">
        <v>7014</v>
      </c>
      <c r="G3960" s="112">
        <v>1</v>
      </c>
      <c r="H3960" s="112">
        <v>1</v>
      </c>
      <c r="I3960" s="112">
        <v>1</v>
      </c>
      <c r="J3960" s="112">
        <v>9</v>
      </c>
      <c r="K3960" s="112">
        <v>8</v>
      </c>
      <c r="L3960" s="112">
        <v>9</v>
      </c>
      <c r="M3960" s="112">
        <v>19</v>
      </c>
      <c r="N3960" s="112">
        <v>4</v>
      </c>
      <c r="O3960" s="112">
        <v>12</v>
      </c>
    </row>
    <row r="3961" spans="1:15" x14ac:dyDescent="0.2">
      <c r="A3961" s="111">
        <v>4080</v>
      </c>
      <c r="B3961" s="421" t="s">
        <v>1439</v>
      </c>
      <c r="C3961" s="421" t="s">
        <v>551</v>
      </c>
      <c r="D3961" s="422" t="s">
        <v>666</v>
      </c>
      <c r="E3961" s="111">
        <v>16284</v>
      </c>
      <c r="F3961" s="421" t="s">
        <v>7003</v>
      </c>
      <c r="G3961" s="112">
        <v>1</v>
      </c>
      <c r="H3961" s="112">
        <v>1</v>
      </c>
      <c r="I3961" s="112">
        <v>1</v>
      </c>
      <c r="J3961" s="112">
        <v>7</v>
      </c>
      <c r="K3961" s="112">
        <v>7</v>
      </c>
      <c r="L3961" s="112">
        <v>7</v>
      </c>
      <c r="M3961" s="112">
        <v>3</v>
      </c>
      <c r="N3961" s="112">
        <v>4</v>
      </c>
      <c r="O3961" s="112">
        <v>3</v>
      </c>
    </row>
    <row r="3962" spans="1:15" x14ac:dyDescent="0.2">
      <c r="A3962" s="111">
        <v>4081</v>
      </c>
      <c r="B3962" s="421" t="s">
        <v>4627</v>
      </c>
      <c r="C3962" s="421" t="s">
        <v>1644</v>
      </c>
      <c r="D3962" s="422" t="s">
        <v>666</v>
      </c>
      <c r="F3962" s="421" t="s">
        <v>7030</v>
      </c>
    </row>
    <row r="3963" spans="1:15" x14ac:dyDescent="0.2">
      <c r="A3963" s="111">
        <v>4082</v>
      </c>
      <c r="B3963" s="421" t="s">
        <v>6990</v>
      </c>
      <c r="C3963" s="421" t="s">
        <v>502</v>
      </c>
      <c r="D3963" s="422" t="s">
        <v>666</v>
      </c>
      <c r="E3963" s="111">
        <v>16286</v>
      </c>
      <c r="F3963" s="421" t="s">
        <v>7025</v>
      </c>
      <c r="G3963" s="112">
        <v>1</v>
      </c>
      <c r="H3963" s="112">
        <v>1</v>
      </c>
      <c r="I3963" s="112">
        <v>1</v>
      </c>
      <c r="K3963" s="112">
        <v>1</v>
      </c>
      <c r="N3963" s="112">
        <v>1</v>
      </c>
    </row>
    <row r="3964" spans="1:15" x14ac:dyDescent="0.2">
      <c r="A3964" s="111">
        <v>4083</v>
      </c>
      <c r="B3964" s="421" t="s">
        <v>2914</v>
      </c>
      <c r="C3964" s="421" t="s">
        <v>555</v>
      </c>
      <c r="D3964" s="422" t="s">
        <v>663</v>
      </c>
      <c r="E3964" s="111">
        <v>16356</v>
      </c>
      <c r="F3964" s="421" t="s">
        <v>7002</v>
      </c>
    </row>
    <row r="3965" spans="1:15" x14ac:dyDescent="0.2">
      <c r="A3965" s="111">
        <v>4084</v>
      </c>
      <c r="B3965" s="421" t="s">
        <v>6989</v>
      </c>
      <c r="C3965" s="421" t="s">
        <v>501</v>
      </c>
      <c r="D3965" s="422" t="s">
        <v>666</v>
      </c>
      <c r="E3965" s="111">
        <v>16287</v>
      </c>
      <c r="F3965" s="421" t="s">
        <v>7024</v>
      </c>
      <c r="G3965" s="112">
        <v>1</v>
      </c>
      <c r="H3965" s="112">
        <v>1</v>
      </c>
      <c r="I3965" s="112">
        <v>1</v>
      </c>
      <c r="J3965" s="112">
        <v>3</v>
      </c>
      <c r="K3965" s="112">
        <v>3</v>
      </c>
      <c r="L3965" s="112">
        <v>3</v>
      </c>
      <c r="M3965" s="112">
        <v>1</v>
      </c>
      <c r="O3965" s="112">
        <v>1</v>
      </c>
    </row>
    <row r="3966" spans="1:15" x14ac:dyDescent="0.2">
      <c r="A3966" s="111">
        <v>4085</v>
      </c>
      <c r="B3966" s="421" t="s">
        <v>1268</v>
      </c>
      <c r="C3966" s="421" t="s">
        <v>501</v>
      </c>
      <c r="D3966" s="422"/>
      <c r="E3966" s="111">
        <v>44365</v>
      </c>
      <c r="F3966" s="421" t="s">
        <v>3986</v>
      </c>
      <c r="G3966" s="112">
        <v>1</v>
      </c>
      <c r="H3966" s="112">
        <v>2</v>
      </c>
      <c r="I3966" s="112">
        <v>1</v>
      </c>
      <c r="J3966" s="112">
        <v>4</v>
      </c>
      <c r="K3966" s="112">
        <v>4</v>
      </c>
      <c r="L3966" s="112">
        <v>2</v>
      </c>
      <c r="N3966" s="112">
        <v>2</v>
      </c>
    </row>
    <row r="3967" spans="1:15" x14ac:dyDescent="0.2">
      <c r="A3967" s="111">
        <v>4086</v>
      </c>
      <c r="B3967" s="421" t="s">
        <v>6981</v>
      </c>
      <c r="C3967" s="421" t="s">
        <v>510</v>
      </c>
      <c r="D3967" s="422" t="s">
        <v>666</v>
      </c>
      <c r="E3967" s="111">
        <v>16285</v>
      </c>
      <c r="F3967" s="421" t="s">
        <v>7009</v>
      </c>
      <c r="G3967" s="112">
        <v>1</v>
      </c>
      <c r="H3967" s="112">
        <v>1</v>
      </c>
      <c r="I3967" s="112">
        <v>1</v>
      </c>
      <c r="J3967" s="112">
        <v>1</v>
      </c>
      <c r="K3967" s="112">
        <v>1</v>
      </c>
      <c r="L3967" s="112">
        <v>1</v>
      </c>
    </row>
    <row r="3968" spans="1:15" x14ac:dyDescent="0.2">
      <c r="A3968" s="111">
        <v>4087</v>
      </c>
      <c r="B3968" s="421" t="s">
        <v>1099</v>
      </c>
      <c r="C3968" s="421" t="s">
        <v>628</v>
      </c>
      <c r="D3968" s="422" t="s">
        <v>666</v>
      </c>
      <c r="E3968" s="111">
        <v>16288</v>
      </c>
      <c r="F3968" s="421" t="s">
        <v>7026</v>
      </c>
      <c r="G3968" s="112">
        <v>1</v>
      </c>
      <c r="H3968" s="112">
        <v>1</v>
      </c>
      <c r="I3968" s="112">
        <v>1</v>
      </c>
      <c r="J3968" s="112">
        <v>10</v>
      </c>
      <c r="K3968" s="112">
        <v>6</v>
      </c>
      <c r="L3968" s="112">
        <v>9</v>
      </c>
      <c r="M3968" s="112">
        <v>7</v>
      </c>
      <c r="N3968" s="112">
        <v>4</v>
      </c>
      <c r="O3968" s="112">
        <v>4</v>
      </c>
    </row>
    <row r="3969" spans="1:15" x14ac:dyDescent="0.2">
      <c r="A3969" s="111">
        <v>4088</v>
      </c>
      <c r="B3969" s="421" t="s">
        <v>1434</v>
      </c>
      <c r="C3969" s="421" t="s">
        <v>503</v>
      </c>
      <c r="D3969" s="422" t="s">
        <v>666</v>
      </c>
      <c r="E3969" s="111">
        <v>16289</v>
      </c>
      <c r="F3969" s="421" t="s">
        <v>7017</v>
      </c>
    </row>
    <row r="3970" spans="1:15" x14ac:dyDescent="0.2">
      <c r="A3970" s="111">
        <v>4089</v>
      </c>
      <c r="B3970" s="421" t="s">
        <v>1428</v>
      </c>
      <c r="C3970" s="421" t="s">
        <v>537</v>
      </c>
      <c r="D3970" s="422" t="s">
        <v>666</v>
      </c>
      <c r="E3970" s="111">
        <v>16290</v>
      </c>
      <c r="F3970" s="421" t="s">
        <v>965</v>
      </c>
      <c r="G3970" s="112">
        <v>2</v>
      </c>
      <c r="H3970" s="112">
        <v>2</v>
      </c>
      <c r="I3970" s="112">
        <v>1</v>
      </c>
      <c r="J3970" s="112">
        <v>1</v>
      </c>
    </row>
    <row r="3971" spans="1:15" x14ac:dyDescent="0.2">
      <c r="A3971" s="111">
        <v>4090</v>
      </c>
      <c r="B3971" s="421" t="s">
        <v>3939</v>
      </c>
      <c r="C3971" s="421" t="s">
        <v>559</v>
      </c>
      <c r="D3971" s="422" t="s">
        <v>666</v>
      </c>
      <c r="E3971" s="111">
        <v>15496</v>
      </c>
      <c r="F3971" s="421" t="s">
        <v>7007</v>
      </c>
      <c r="G3971" s="112">
        <v>2</v>
      </c>
      <c r="H3971" s="112">
        <v>2</v>
      </c>
      <c r="I3971" s="112">
        <v>1</v>
      </c>
      <c r="J3971" s="112">
        <v>1</v>
      </c>
    </row>
    <row r="3972" spans="1:15" x14ac:dyDescent="0.2">
      <c r="A3972" s="111">
        <v>4091</v>
      </c>
      <c r="B3972" s="421" t="s">
        <v>3776</v>
      </c>
      <c r="C3972" s="421" t="s">
        <v>6996</v>
      </c>
      <c r="D3972" s="422" t="s">
        <v>663</v>
      </c>
      <c r="F3972" s="421" t="s">
        <v>7012</v>
      </c>
    </row>
    <row r="3973" spans="1:15" x14ac:dyDescent="0.2">
      <c r="A3973" s="111">
        <v>4092</v>
      </c>
      <c r="B3973" s="421" t="s">
        <v>3261</v>
      </c>
      <c r="C3973" s="421" t="s">
        <v>547</v>
      </c>
      <c r="D3973" s="422" t="s">
        <v>663</v>
      </c>
      <c r="E3973" s="111">
        <v>16291</v>
      </c>
      <c r="F3973" s="421" t="s">
        <v>7034</v>
      </c>
      <c r="G3973" s="112">
        <v>1</v>
      </c>
      <c r="H3973" s="112">
        <v>1</v>
      </c>
      <c r="I3973" s="112">
        <v>1</v>
      </c>
    </row>
    <row r="3974" spans="1:15" x14ac:dyDescent="0.2">
      <c r="A3974" s="111">
        <v>4093</v>
      </c>
      <c r="B3974" s="421" t="s">
        <v>6991</v>
      </c>
      <c r="C3974" s="421" t="s">
        <v>503</v>
      </c>
      <c r="D3974" s="422" t="s">
        <v>666</v>
      </c>
      <c r="E3974" s="111">
        <v>16434</v>
      </c>
      <c r="F3974" s="421" t="s">
        <v>7028</v>
      </c>
      <c r="G3974" s="112">
        <v>2</v>
      </c>
      <c r="H3974" s="112">
        <v>1</v>
      </c>
      <c r="I3974" s="112">
        <v>1</v>
      </c>
    </row>
    <row r="3975" spans="1:15" x14ac:dyDescent="0.2">
      <c r="A3975" s="111">
        <v>4094</v>
      </c>
      <c r="B3975" s="421" t="s">
        <v>2118</v>
      </c>
      <c r="C3975" s="421" t="s">
        <v>628</v>
      </c>
      <c r="D3975" s="422" t="s">
        <v>666</v>
      </c>
      <c r="E3975" s="111">
        <v>16293</v>
      </c>
      <c r="F3975" s="421" t="s">
        <v>7027</v>
      </c>
      <c r="G3975" s="112">
        <v>1</v>
      </c>
      <c r="H3975" s="112">
        <v>2</v>
      </c>
      <c r="I3975" s="112">
        <v>1</v>
      </c>
      <c r="J3975" s="112">
        <v>5</v>
      </c>
      <c r="K3975" s="112">
        <v>5</v>
      </c>
      <c r="L3975" s="112">
        <v>5</v>
      </c>
      <c r="M3975" s="112">
        <v>5</v>
      </c>
      <c r="N3975" s="112">
        <v>6</v>
      </c>
      <c r="O3975" s="112">
        <v>6</v>
      </c>
    </row>
    <row r="3976" spans="1:15" x14ac:dyDescent="0.2">
      <c r="A3976" s="111">
        <v>4095</v>
      </c>
      <c r="B3976" s="421" t="s">
        <v>186</v>
      </c>
      <c r="C3976" s="421" t="s">
        <v>532</v>
      </c>
      <c r="D3976" s="422" t="s">
        <v>666</v>
      </c>
      <c r="E3976" s="111">
        <v>16292</v>
      </c>
      <c r="F3976" s="421" t="s">
        <v>7013</v>
      </c>
      <c r="G3976" s="112">
        <v>1</v>
      </c>
      <c r="H3976" s="112">
        <v>1</v>
      </c>
      <c r="I3976" s="112">
        <v>1</v>
      </c>
      <c r="J3976" s="112">
        <v>10</v>
      </c>
      <c r="K3976" s="112">
        <v>7</v>
      </c>
      <c r="L3976" s="112">
        <v>9</v>
      </c>
      <c r="M3976" s="112">
        <v>6</v>
      </c>
      <c r="N3976" s="112">
        <v>7</v>
      </c>
      <c r="O3976" s="112">
        <v>7</v>
      </c>
    </row>
    <row r="3977" spans="1:15" x14ac:dyDescent="0.2">
      <c r="A3977" s="111">
        <v>4096</v>
      </c>
      <c r="B3977" s="421" t="s">
        <v>2575</v>
      </c>
      <c r="C3977" s="421" t="s">
        <v>501</v>
      </c>
      <c r="D3977" s="422" t="s">
        <v>663</v>
      </c>
      <c r="E3977" s="111">
        <v>44042</v>
      </c>
      <c r="F3977" s="421" t="s">
        <v>7018</v>
      </c>
    </row>
    <row r="3978" spans="1:15" x14ac:dyDescent="0.2">
      <c r="A3978" s="111">
        <v>4097</v>
      </c>
      <c r="B3978" s="421" t="s">
        <v>3900</v>
      </c>
      <c r="C3978" s="421" t="s">
        <v>506</v>
      </c>
      <c r="D3978" s="422" t="s">
        <v>663</v>
      </c>
      <c r="E3978" s="111">
        <v>16294</v>
      </c>
      <c r="F3978" s="421" t="s">
        <v>7019</v>
      </c>
      <c r="G3978" s="112">
        <v>2</v>
      </c>
      <c r="H3978" s="112">
        <v>2</v>
      </c>
      <c r="I3978" s="112">
        <v>2</v>
      </c>
      <c r="J3978" s="112">
        <v>2</v>
      </c>
      <c r="K3978" s="112">
        <v>2</v>
      </c>
      <c r="L3978" s="112">
        <v>2</v>
      </c>
      <c r="N3978" s="112">
        <v>2</v>
      </c>
    </row>
    <row r="3979" spans="1:15" x14ac:dyDescent="0.2">
      <c r="A3979" s="111">
        <v>4098</v>
      </c>
      <c r="B3979" s="421" t="s">
        <v>6995</v>
      </c>
      <c r="C3979" s="421" t="s">
        <v>506</v>
      </c>
      <c r="D3979" s="422" t="s">
        <v>666</v>
      </c>
      <c r="E3979" s="111">
        <v>16977</v>
      </c>
      <c r="F3979" s="421" t="s">
        <v>7033</v>
      </c>
      <c r="G3979" s="112">
        <v>1</v>
      </c>
      <c r="H3979" s="112">
        <v>1</v>
      </c>
      <c r="I3979" s="112">
        <v>1</v>
      </c>
      <c r="J3979" s="112">
        <v>7</v>
      </c>
      <c r="K3979" s="112">
        <v>8</v>
      </c>
      <c r="L3979" s="112">
        <v>8</v>
      </c>
      <c r="M3979" s="112">
        <v>5</v>
      </c>
      <c r="N3979" s="112">
        <v>6</v>
      </c>
      <c r="O3979" s="112">
        <v>10</v>
      </c>
    </row>
    <row r="3980" spans="1:15" x14ac:dyDescent="0.2">
      <c r="A3980" s="111">
        <v>4099</v>
      </c>
      <c r="B3980" s="421" t="s">
        <v>330</v>
      </c>
      <c r="C3980" s="421" t="s">
        <v>514</v>
      </c>
      <c r="D3980" s="422" t="s">
        <v>663</v>
      </c>
      <c r="E3980" s="111">
        <v>16295</v>
      </c>
      <c r="F3980" s="421" t="s">
        <v>7005</v>
      </c>
    </row>
    <row r="3981" spans="1:15" x14ac:dyDescent="0.2">
      <c r="A3981" s="111">
        <v>4100</v>
      </c>
      <c r="B3981" s="421" t="s">
        <v>6992</v>
      </c>
      <c r="C3981" s="421" t="s">
        <v>574</v>
      </c>
      <c r="D3981" s="422" t="s">
        <v>663</v>
      </c>
      <c r="E3981" s="111">
        <v>16373</v>
      </c>
      <c r="F3981" s="421" t="s">
        <v>7031</v>
      </c>
      <c r="G3981" s="112">
        <v>1</v>
      </c>
      <c r="H3981" s="112">
        <v>1</v>
      </c>
      <c r="I3981" s="112">
        <v>1</v>
      </c>
      <c r="J3981" s="112">
        <v>5</v>
      </c>
      <c r="K3981" s="112">
        <v>7</v>
      </c>
      <c r="L3981" s="112">
        <v>5</v>
      </c>
    </row>
    <row r="3982" spans="1:15" x14ac:dyDescent="0.2">
      <c r="A3982" s="111">
        <v>4101</v>
      </c>
      <c r="B3982" s="421" t="s">
        <v>266</v>
      </c>
      <c r="C3982" s="421" t="s">
        <v>502</v>
      </c>
      <c r="D3982" s="422" t="s">
        <v>663</v>
      </c>
      <c r="E3982" s="111">
        <v>16296</v>
      </c>
      <c r="F3982" s="421" t="s">
        <v>15447</v>
      </c>
      <c r="G3982" s="112">
        <v>1</v>
      </c>
      <c r="H3982" s="112">
        <v>1</v>
      </c>
      <c r="I3982" s="112">
        <v>1</v>
      </c>
    </row>
    <row r="3983" spans="1:15" x14ac:dyDescent="0.2">
      <c r="A3983" s="111">
        <v>4102</v>
      </c>
      <c r="B3983" s="421" t="s">
        <v>365</v>
      </c>
      <c r="C3983" s="421" t="s">
        <v>574</v>
      </c>
      <c r="D3983" s="422" t="s">
        <v>666</v>
      </c>
      <c r="E3983" s="111">
        <v>16297</v>
      </c>
      <c r="F3983" s="421" t="s">
        <v>6997</v>
      </c>
      <c r="G3983" s="112">
        <v>1</v>
      </c>
      <c r="H3983" s="112">
        <v>1</v>
      </c>
      <c r="I3983" s="112">
        <v>1</v>
      </c>
      <c r="J3983" s="112">
        <v>4</v>
      </c>
      <c r="K3983" s="112">
        <v>1</v>
      </c>
      <c r="L3983" s="112">
        <v>1</v>
      </c>
      <c r="M3983" s="112">
        <v>2</v>
      </c>
      <c r="N3983" s="112">
        <v>1</v>
      </c>
    </row>
    <row r="3984" spans="1:15" x14ac:dyDescent="0.2">
      <c r="A3984" s="111">
        <v>4103</v>
      </c>
      <c r="B3984" s="421" t="s">
        <v>6988</v>
      </c>
      <c r="C3984" s="421" t="s">
        <v>516</v>
      </c>
      <c r="D3984" s="422"/>
      <c r="E3984" s="111">
        <v>16481</v>
      </c>
      <c r="F3984" s="421" t="s">
        <v>7022</v>
      </c>
      <c r="G3984" s="112">
        <v>1</v>
      </c>
      <c r="H3984" s="112">
        <v>1</v>
      </c>
      <c r="I3984" s="112">
        <v>1</v>
      </c>
      <c r="K3984" s="112">
        <v>1</v>
      </c>
    </row>
    <row r="3985" spans="1:15" x14ac:dyDescent="0.2">
      <c r="A3985" s="111">
        <v>4104</v>
      </c>
      <c r="B3985" s="421" t="s">
        <v>6980</v>
      </c>
      <c r="C3985" s="421" t="s">
        <v>516</v>
      </c>
      <c r="D3985" s="422" t="s">
        <v>666</v>
      </c>
      <c r="E3985" s="111">
        <v>15562</v>
      </c>
      <c r="F3985" s="421" t="s">
        <v>4676</v>
      </c>
      <c r="G3985" s="112">
        <v>1</v>
      </c>
      <c r="H3985" s="112">
        <v>1</v>
      </c>
      <c r="I3985" s="112">
        <v>1</v>
      </c>
      <c r="J3985" s="112">
        <v>1</v>
      </c>
    </row>
    <row r="3986" spans="1:15" x14ac:dyDescent="0.2">
      <c r="A3986" s="111">
        <v>4105</v>
      </c>
      <c r="B3986" s="421" t="s">
        <v>112</v>
      </c>
      <c r="C3986" s="421" t="s">
        <v>628</v>
      </c>
      <c r="D3986" s="422" t="s">
        <v>663</v>
      </c>
      <c r="E3986" s="111">
        <v>16298</v>
      </c>
      <c r="F3986" s="421" t="s">
        <v>7029</v>
      </c>
      <c r="G3986" s="112">
        <v>1</v>
      </c>
      <c r="H3986" s="112">
        <v>1</v>
      </c>
      <c r="I3986" s="112">
        <v>1</v>
      </c>
      <c r="J3986" s="112">
        <v>5</v>
      </c>
      <c r="K3986" s="112">
        <v>5</v>
      </c>
      <c r="L3986" s="112">
        <v>4</v>
      </c>
      <c r="M3986" s="112">
        <v>1</v>
      </c>
    </row>
    <row r="3987" spans="1:15" x14ac:dyDescent="0.2">
      <c r="A3987" s="111">
        <v>4106</v>
      </c>
      <c r="B3987" s="421" t="s">
        <v>1240</v>
      </c>
      <c r="C3987" s="421" t="s">
        <v>503</v>
      </c>
      <c r="D3987" s="422" t="s">
        <v>663</v>
      </c>
      <c r="E3987" s="111">
        <v>16299</v>
      </c>
      <c r="F3987" s="421" t="s">
        <v>7006</v>
      </c>
      <c r="G3987" s="112">
        <v>1</v>
      </c>
      <c r="H3987" s="112">
        <v>1</v>
      </c>
      <c r="I3987" s="112">
        <v>1</v>
      </c>
    </row>
    <row r="3988" spans="1:15" x14ac:dyDescent="0.2">
      <c r="A3988" s="111">
        <v>4107</v>
      </c>
      <c r="B3988" s="421" t="s">
        <v>1869</v>
      </c>
      <c r="C3988" s="421" t="s">
        <v>512</v>
      </c>
      <c r="D3988" s="422" t="s">
        <v>666</v>
      </c>
      <c r="E3988" s="111">
        <v>14153</v>
      </c>
      <c r="F3988" s="421" t="s">
        <v>688</v>
      </c>
      <c r="G3988" s="112">
        <v>1</v>
      </c>
      <c r="H3988" s="112">
        <v>1</v>
      </c>
      <c r="I3988" s="112">
        <v>1</v>
      </c>
      <c r="J3988" s="112">
        <v>10</v>
      </c>
      <c r="K3988" s="112">
        <v>9</v>
      </c>
      <c r="L3988" s="112">
        <v>9</v>
      </c>
      <c r="M3988" s="112">
        <v>5</v>
      </c>
      <c r="N3988" s="112">
        <v>7</v>
      </c>
      <c r="O3988" s="112">
        <v>6</v>
      </c>
    </row>
    <row r="3989" spans="1:15" x14ac:dyDescent="0.2">
      <c r="A3989" s="111">
        <v>4108</v>
      </c>
      <c r="B3989" s="421" t="s">
        <v>274</v>
      </c>
      <c r="C3989" s="421" t="s">
        <v>586</v>
      </c>
      <c r="D3989" s="422" t="s">
        <v>666</v>
      </c>
      <c r="E3989" s="111">
        <v>15671</v>
      </c>
      <c r="F3989" s="421" t="s">
        <v>5025</v>
      </c>
      <c r="G3989" s="112">
        <v>1</v>
      </c>
      <c r="H3989" s="112">
        <v>1</v>
      </c>
      <c r="I3989" s="112">
        <v>1</v>
      </c>
    </row>
    <row r="3990" spans="1:15" x14ac:dyDescent="0.2">
      <c r="A3990" s="111">
        <v>4109</v>
      </c>
      <c r="B3990" s="421" t="s">
        <v>6985</v>
      </c>
      <c r="C3990" s="421" t="s">
        <v>530</v>
      </c>
      <c r="D3990" s="422" t="s">
        <v>666</v>
      </c>
      <c r="E3990" s="111">
        <v>16300</v>
      </c>
      <c r="F3990" s="421" t="s">
        <v>7015</v>
      </c>
      <c r="G3990" s="112">
        <v>1</v>
      </c>
      <c r="H3990" s="112">
        <v>1</v>
      </c>
      <c r="I3990" s="112">
        <v>1</v>
      </c>
    </row>
    <row r="3991" spans="1:15" x14ac:dyDescent="0.2">
      <c r="A3991" s="111">
        <v>4110</v>
      </c>
      <c r="B3991" s="421" t="s">
        <v>4640</v>
      </c>
      <c r="C3991" s="421" t="s">
        <v>501</v>
      </c>
      <c r="D3991" s="422" t="s">
        <v>663</v>
      </c>
      <c r="E3991" s="111">
        <v>15594</v>
      </c>
      <c r="F3991" s="421" t="s">
        <v>4727</v>
      </c>
    </row>
    <row r="3992" spans="1:15" x14ac:dyDescent="0.2">
      <c r="A3992" s="111">
        <v>4111</v>
      </c>
      <c r="B3992" s="421" t="s">
        <v>6994</v>
      </c>
      <c r="C3992" s="421" t="s">
        <v>551</v>
      </c>
      <c r="D3992" s="422" t="s">
        <v>666</v>
      </c>
      <c r="E3992" s="111">
        <v>16301</v>
      </c>
      <c r="F3992" s="421" t="s">
        <v>3883</v>
      </c>
      <c r="G3992" s="112">
        <v>1</v>
      </c>
      <c r="H3992" s="112">
        <v>2</v>
      </c>
      <c r="I3992" s="112">
        <v>3</v>
      </c>
      <c r="J3992" s="112">
        <v>4</v>
      </c>
      <c r="K3992" s="112">
        <v>5</v>
      </c>
      <c r="L3992" s="112">
        <v>3</v>
      </c>
      <c r="M3992" s="112">
        <v>4</v>
      </c>
      <c r="N3992" s="112">
        <v>1</v>
      </c>
      <c r="O3992" s="112">
        <v>3</v>
      </c>
    </row>
    <row r="3993" spans="1:15" x14ac:dyDescent="0.2">
      <c r="A3993" s="111">
        <v>4112</v>
      </c>
      <c r="B3993" s="421" t="s">
        <v>379</v>
      </c>
      <c r="C3993" s="421" t="s">
        <v>506</v>
      </c>
      <c r="D3993" s="422" t="s">
        <v>663</v>
      </c>
      <c r="E3993" s="111">
        <v>16302</v>
      </c>
      <c r="F3993" s="421" t="s">
        <v>7001</v>
      </c>
      <c r="G3993" s="112">
        <v>1</v>
      </c>
      <c r="H3993" s="112">
        <v>1</v>
      </c>
      <c r="I3993" s="112">
        <v>1</v>
      </c>
      <c r="J3993" s="112">
        <v>11</v>
      </c>
      <c r="K3993" s="112">
        <v>7</v>
      </c>
      <c r="L3993" s="112">
        <v>7</v>
      </c>
      <c r="M3993" s="112">
        <v>3</v>
      </c>
      <c r="N3993" s="112">
        <v>5</v>
      </c>
      <c r="O3993" s="112">
        <v>5</v>
      </c>
    </row>
    <row r="3994" spans="1:15" x14ac:dyDescent="0.2">
      <c r="A3994" s="111">
        <v>4113</v>
      </c>
      <c r="B3994" s="421" t="s">
        <v>6977</v>
      </c>
      <c r="C3994" s="421" t="s">
        <v>503</v>
      </c>
      <c r="D3994" s="422" t="s">
        <v>663</v>
      </c>
      <c r="E3994" s="111">
        <v>16379</v>
      </c>
      <c r="F3994" s="421" t="s">
        <v>7000</v>
      </c>
      <c r="G3994" s="112">
        <v>1</v>
      </c>
      <c r="H3994" s="112">
        <v>1</v>
      </c>
      <c r="I3994" s="112">
        <v>1</v>
      </c>
      <c r="J3994" s="112">
        <v>6</v>
      </c>
      <c r="K3994" s="112">
        <v>4</v>
      </c>
      <c r="L3994" s="112">
        <v>5</v>
      </c>
      <c r="M3994" s="112">
        <v>7</v>
      </c>
      <c r="N3994" s="112">
        <v>2</v>
      </c>
      <c r="O3994" s="112">
        <v>3</v>
      </c>
    </row>
    <row r="3995" spans="1:15" x14ac:dyDescent="0.2">
      <c r="A3995" s="111">
        <v>4114</v>
      </c>
      <c r="B3995" s="421" t="s">
        <v>122</v>
      </c>
      <c r="C3995" s="421" t="s">
        <v>506</v>
      </c>
      <c r="D3995" s="422" t="s">
        <v>663</v>
      </c>
      <c r="E3995" s="111">
        <v>15756</v>
      </c>
      <c r="F3995" s="421" t="s">
        <v>5330</v>
      </c>
      <c r="G3995" s="112">
        <v>2</v>
      </c>
      <c r="H3995" s="112">
        <v>2</v>
      </c>
      <c r="I3995" s="112">
        <v>1</v>
      </c>
      <c r="J3995" s="112">
        <v>1</v>
      </c>
    </row>
    <row r="3996" spans="1:15" x14ac:dyDescent="0.2">
      <c r="A3996" s="111">
        <v>4115</v>
      </c>
      <c r="B3996" s="421" t="s">
        <v>6983</v>
      </c>
      <c r="C3996" s="421" t="s">
        <v>536</v>
      </c>
      <c r="D3996" s="422" t="s">
        <v>666</v>
      </c>
      <c r="E3996" s="111">
        <v>15401</v>
      </c>
      <c r="F3996" s="421" t="s">
        <v>7004</v>
      </c>
      <c r="G3996" s="112">
        <v>1</v>
      </c>
      <c r="J3996" s="112">
        <v>1</v>
      </c>
    </row>
    <row r="3997" spans="1:15" x14ac:dyDescent="0.2">
      <c r="A3997" s="111">
        <v>4116</v>
      </c>
      <c r="B3997" s="421" t="s">
        <v>6986</v>
      </c>
      <c r="C3997" s="421" t="s">
        <v>501</v>
      </c>
      <c r="D3997" s="422" t="s">
        <v>666</v>
      </c>
      <c r="E3997" s="111">
        <v>16303</v>
      </c>
      <c r="F3997" s="421" t="s">
        <v>7020</v>
      </c>
      <c r="G3997" s="112">
        <v>3</v>
      </c>
      <c r="H3997" s="112">
        <v>3</v>
      </c>
      <c r="I3997" s="112">
        <v>2</v>
      </c>
    </row>
    <row r="3998" spans="1:15" x14ac:dyDescent="0.2">
      <c r="A3998" s="111">
        <v>4117</v>
      </c>
      <c r="B3998" s="421" t="s">
        <v>45</v>
      </c>
      <c r="C3998" s="421" t="s">
        <v>551</v>
      </c>
      <c r="D3998" s="422" t="s">
        <v>666</v>
      </c>
      <c r="E3998" s="111">
        <v>15380</v>
      </c>
      <c r="F3998" s="421" t="s">
        <v>3976</v>
      </c>
      <c r="G3998" s="112">
        <v>1</v>
      </c>
      <c r="H3998" s="112">
        <v>2</v>
      </c>
      <c r="I3998" s="112">
        <v>2</v>
      </c>
      <c r="J3998" s="112">
        <v>1</v>
      </c>
      <c r="K3998" s="112">
        <v>1</v>
      </c>
    </row>
    <row r="3999" spans="1:15" x14ac:dyDescent="0.2">
      <c r="A3999" s="111">
        <v>4118</v>
      </c>
      <c r="B3999" s="421" t="s">
        <v>5698</v>
      </c>
      <c r="C3999" s="421" t="s">
        <v>503</v>
      </c>
      <c r="D3999" s="422" t="s">
        <v>666</v>
      </c>
      <c r="E3999" s="111">
        <v>16304</v>
      </c>
      <c r="F3999" s="421" t="s">
        <v>7011</v>
      </c>
    </row>
    <row r="4000" spans="1:15" x14ac:dyDescent="0.2">
      <c r="A4000" s="111">
        <v>4119</v>
      </c>
      <c r="B4000" s="421" t="s">
        <v>6987</v>
      </c>
      <c r="C4000" s="421" t="s">
        <v>512</v>
      </c>
      <c r="D4000" s="422" t="s">
        <v>666</v>
      </c>
      <c r="E4000" s="111">
        <v>16349</v>
      </c>
      <c r="F4000" s="421" t="s">
        <v>7021</v>
      </c>
      <c r="G4000" s="112">
        <v>2</v>
      </c>
      <c r="H4000" s="112">
        <v>1</v>
      </c>
      <c r="I4000" s="112">
        <v>1</v>
      </c>
    </row>
    <row r="4001" spans="1:15" x14ac:dyDescent="0.2">
      <c r="A4001" s="111">
        <v>4120</v>
      </c>
      <c r="B4001" s="421" t="s">
        <v>6978</v>
      </c>
      <c r="C4001" s="421" t="s">
        <v>510</v>
      </c>
      <c r="D4001" s="422" t="s">
        <v>663</v>
      </c>
      <c r="E4001" s="111">
        <v>16305</v>
      </c>
      <c r="F4001" s="421" t="s">
        <v>7008</v>
      </c>
      <c r="G4001" s="112">
        <v>1</v>
      </c>
      <c r="H4001" s="112">
        <v>1</v>
      </c>
      <c r="I4001" s="112">
        <v>1</v>
      </c>
      <c r="J4001" s="112">
        <v>1</v>
      </c>
      <c r="K4001" s="112">
        <v>1</v>
      </c>
      <c r="L4001" s="112">
        <v>1</v>
      </c>
      <c r="N4001" s="112">
        <v>1</v>
      </c>
    </row>
    <row r="4002" spans="1:15" x14ac:dyDescent="0.2">
      <c r="A4002" s="111">
        <v>4121</v>
      </c>
      <c r="B4002" s="421" t="s">
        <v>6982</v>
      </c>
      <c r="C4002" s="421" t="s">
        <v>1748</v>
      </c>
      <c r="D4002" s="422" t="s">
        <v>663</v>
      </c>
      <c r="F4002" s="421" t="s">
        <v>7010</v>
      </c>
    </row>
    <row r="4003" spans="1:15" x14ac:dyDescent="0.2">
      <c r="A4003" s="111">
        <v>4122</v>
      </c>
      <c r="B4003" s="421" t="s">
        <v>4640</v>
      </c>
      <c r="C4003" s="421" t="s">
        <v>628</v>
      </c>
      <c r="D4003" s="422" t="s">
        <v>663</v>
      </c>
      <c r="E4003" s="111">
        <v>16306</v>
      </c>
      <c r="F4003" s="421" t="s">
        <v>7023</v>
      </c>
      <c r="G4003" s="112">
        <v>1</v>
      </c>
      <c r="H4003" s="112">
        <v>1</v>
      </c>
      <c r="I4003" s="112">
        <v>1</v>
      </c>
      <c r="J4003" s="112">
        <v>1</v>
      </c>
    </row>
    <row r="4004" spans="1:15" x14ac:dyDescent="0.2">
      <c r="A4004" s="111">
        <v>4123</v>
      </c>
      <c r="B4004" s="421" t="s">
        <v>7063</v>
      </c>
      <c r="C4004" s="421" t="s">
        <v>1112</v>
      </c>
      <c r="D4004" s="422" t="s">
        <v>663</v>
      </c>
      <c r="E4004" s="111">
        <v>15803</v>
      </c>
      <c r="F4004" s="421" t="s">
        <v>4720</v>
      </c>
      <c r="G4004" s="112">
        <v>1</v>
      </c>
      <c r="H4004" s="112">
        <v>1</v>
      </c>
      <c r="I4004" s="112">
        <v>1</v>
      </c>
      <c r="K4004" s="112">
        <v>1</v>
      </c>
      <c r="L4004" s="112">
        <v>2</v>
      </c>
    </row>
    <row r="4005" spans="1:15" x14ac:dyDescent="0.2">
      <c r="A4005" s="111">
        <v>4124</v>
      </c>
      <c r="B4005" s="421" t="s">
        <v>7060</v>
      </c>
      <c r="C4005" s="421" t="s">
        <v>573</v>
      </c>
      <c r="D4005" s="422" t="s">
        <v>663</v>
      </c>
      <c r="E4005" s="111">
        <v>14801</v>
      </c>
      <c r="F4005" s="421" t="s">
        <v>7065</v>
      </c>
      <c r="G4005" s="112">
        <v>1</v>
      </c>
      <c r="H4005" s="112">
        <v>1</v>
      </c>
      <c r="I4005" s="112">
        <v>1</v>
      </c>
      <c r="J4005" s="112">
        <v>7</v>
      </c>
      <c r="K4005" s="112">
        <v>7</v>
      </c>
      <c r="L4005" s="112">
        <v>7</v>
      </c>
      <c r="M4005" s="112">
        <v>2</v>
      </c>
      <c r="N4005" s="112">
        <v>2</v>
      </c>
      <c r="O4005" s="112">
        <v>2</v>
      </c>
    </row>
    <row r="4006" spans="1:15" x14ac:dyDescent="0.2">
      <c r="A4006" s="111">
        <v>4125</v>
      </c>
      <c r="B4006" s="421" t="s">
        <v>7061</v>
      </c>
      <c r="C4006" s="421" t="s">
        <v>533</v>
      </c>
      <c r="D4006" s="422" t="s">
        <v>663</v>
      </c>
      <c r="E4006" s="111">
        <v>14801</v>
      </c>
      <c r="F4006" s="421" t="s">
        <v>7065</v>
      </c>
      <c r="G4006" s="112">
        <v>1</v>
      </c>
      <c r="H4006" s="112">
        <v>1</v>
      </c>
      <c r="I4006" s="112">
        <v>1</v>
      </c>
      <c r="J4006" s="112">
        <v>3</v>
      </c>
      <c r="K4006" s="112">
        <v>2</v>
      </c>
      <c r="L4006" s="112">
        <v>3</v>
      </c>
      <c r="M4006" s="112">
        <v>2</v>
      </c>
      <c r="N4006" s="112">
        <v>2</v>
      </c>
      <c r="O4006" s="112">
        <v>3</v>
      </c>
    </row>
    <row r="4007" spans="1:15" x14ac:dyDescent="0.2">
      <c r="A4007" s="111">
        <v>4126</v>
      </c>
      <c r="B4007" s="421" t="s">
        <v>7062</v>
      </c>
      <c r="C4007" s="421" t="s">
        <v>506</v>
      </c>
      <c r="D4007" s="422" t="s">
        <v>666</v>
      </c>
      <c r="E4007" s="111">
        <v>16307</v>
      </c>
      <c r="F4007" s="421" t="s">
        <v>7066</v>
      </c>
      <c r="G4007" s="112">
        <v>1</v>
      </c>
      <c r="H4007" s="112">
        <v>1</v>
      </c>
      <c r="I4007" s="112">
        <v>1</v>
      </c>
    </row>
    <row r="4008" spans="1:15" x14ac:dyDescent="0.2">
      <c r="A4008" s="111">
        <v>4127</v>
      </c>
      <c r="B4008" s="421" t="s">
        <v>7059</v>
      </c>
      <c r="C4008" s="421" t="s">
        <v>522</v>
      </c>
      <c r="D4008" s="422" t="s">
        <v>663</v>
      </c>
      <c r="E4008" s="111">
        <v>16308</v>
      </c>
      <c r="F4008" s="421" t="s">
        <v>7064</v>
      </c>
    </row>
    <row r="4009" spans="1:15" x14ac:dyDescent="0.2">
      <c r="A4009" s="111">
        <v>4128</v>
      </c>
      <c r="B4009" s="421" t="s">
        <v>214</v>
      </c>
      <c r="C4009" s="421" t="s">
        <v>522</v>
      </c>
      <c r="D4009" s="422" t="s">
        <v>666</v>
      </c>
      <c r="E4009" s="111">
        <v>16308</v>
      </c>
      <c r="F4009" s="421" t="s">
        <v>7064</v>
      </c>
    </row>
    <row r="4010" spans="1:15" x14ac:dyDescent="0.2">
      <c r="A4010" s="111">
        <v>4129</v>
      </c>
      <c r="B4010" s="421" t="s">
        <v>2198</v>
      </c>
      <c r="C4010" s="421" t="s">
        <v>501</v>
      </c>
      <c r="D4010" s="422" t="s">
        <v>666</v>
      </c>
      <c r="E4010" s="111">
        <v>14822</v>
      </c>
      <c r="F4010" s="421" t="s">
        <v>2512</v>
      </c>
      <c r="G4010" s="112">
        <v>1</v>
      </c>
      <c r="H4010" s="112">
        <v>1</v>
      </c>
      <c r="I4010" s="112">
        <v>1</v>
      </c>
      <c r="J4010" s="112">
        <v>6</v>
      </c>
      <c r="K4010" s="112">
        <v>7</v>
      </c>
      <c r="L4010" s="112">
        <v>6</v>
      </c>
      <c r="M4010" s="112">
        <v>6</v>
      </c>
      <c r="N4010" s="112">
        <v>2</v>
      </c>
      <c r="O4010" s="112">
        <v>2</v>
      </c>
    </row>
    <row r="4011" spans="1:15" x14ac:dyDescent="0.2">
      <c r="A4011" s="111">
        <v>4130</v>
      </c>
      <c r="B4011" s="421" t="s">
        <v>7131</v>
      </c>
      <c r="C4011" s="421" t="s">
        <v>516</v>
      </c>
      <c r="D4011" s="422" t="s">
        <v>663</v>
      </c>
      <c r="E4011" s="111">
        <v>16162</v>
      </c>
      <c r="F4011" s="421" t="s">
        <v>6377</v>
      </c>
      <c r="G4011" s="112">
        <v>1</v>
      </c>
      <c r="H4011" s="112">
        <v>1</v>
      </c>
      <c r="I4011" s="112">
        <v>1</v>
      </c>
      <c r="J4011" s="112">
        <v>7</v>
      </c>
      <c r="K4011" s="112">
        <v>7</v>
      </c>
      <c r="L4011" s="112">
        <v>7</v>
      </c>
      <c r="M4011" s="112">
        <v>3</v>
      </c>
      <c r="N4011" s="112">
        <v>3</v>
      </c>
      <c r="O4011" s="112">
        <v>3</v>
      </c>
    </row>
    <row r="4012" spans="1:15" x14ac:dyDescent="0.2">
      <c r="A4012" s="111">
        <v>4131</v>
      </c>
      <c r="B4012" s="421" t="s">
        <v>7140</v>
      </c>
      <c r="C4012" s="421" t="s">
        <v>551</v>
      </c>
      <c r="D4012" s="422" t="s">
        <v>666</v>
      </c>
      <c r="E4012" s="111">
        <v>16310</v>
      </c>
      <c r="F4012" s="421" t="s">
        <v>7169</v>
      </c>
      <c r="G4012" s="112">
        <v>1</v>
      </c>
      <c r="H4012" s="112">
        <v>1</v>
      </c>
      <c r="I4012" s="112">
        <v>1</v>
      </c>
      <c r="J4012" s="112">
        <v>1</v>
      </c>
      <c r="K4012" s="112">
        <v>1</v>
      </c>
      <c r="L4012" s="112">
        <v>1</v>
      </c>
    </row>
    <row r="4013" spans="1:15" x14ac:dyDescent="0.2">
      <c r="A4013" s="111">
        <v>4132</v>
      </c>
      <c r="B4013" s="421" t="s">
        <v>7147</v>
      </c>
      <c r="C4013" s="421" t="s">
        <v>516</v>
      </c>
      <c r="D4013" s="422" t="s">
        <v>666</v>
      </c>
      <c r="F4013" s="421" t="s">
        <v>7180</v>
      </c>
    </row>
    <row r="4014" spans="1:15" x14ac:dyDescent="0.2">
      <c r="A4014" s="111">
        <v>4133</v>
      </c>
      <c r="B4014" s="421" t="s">
        <v>455</v>
      </c>
      <c r="C4014" s="421" t="s">
        <v>516</v>
      </c>
      <c r="D4014" s="422" t="s">
        <v>663</v>
      </c>
      <c r="E4014" s="111">
        <v>16311</v>
      </c>
      <c r="F4014" s="421" t="s">
        <v>7176</v>
      </c>
      <c r="G4014" s="112">
        <v>4</v>
      </c>
      <c r="H4014" s="112">
        <v>2</v>
      </c>
      <c r="I4014" s="112">
        <v>1</v>
      </c>
      <c r="J4014" s="112">
        <v>5</v>
      </c>
      <c r="K4014" s="112">
        <v>4</v>
      </c>
      <c r="L4014" s="112">
        <v>4</v>
      </c>
      <c r="N4014" s="112">
        <v>1</v>
      </c>
      <c r="O4014" s="112">
        <v>4</v>
      </c>
    </row>
    <row r="4015" spans="1:15" x14ac:dyDescent="0.2">
      <c r="A4015" s="111">
        <v>4134</v>
      </c>
      <c r="B4015" s="421" t="s">
        <v>7148</v>
      </c>
      <c r="C4015" s="421" t="s">
        <v>530</v>
      </c>
      <c r="D4015" s="422" t="s">
        <v>666</v>
      </c>
      <c r="E4015" s="111">
        <v>16312</v>
      </c>
      <c r="F4015" s="421" t="s">
        <v>7181</v>
      </c>
    </row>
    <row r="4016" spans="1:15" x14ac:dyDescent="0.2">
      <c r="A4016" s="111">
        <v>4135</v>
      </c>
      <c r="B4016" s="421" t="s">
        <v>106</v>
      </c>
      <c r="C4016" s="421" t="s">
        <v>509</v>
      </c>
      <c r="D4016" s="422" t="s">
        <v>666</v>
      </c>
      <c r="E4016" s="111">
        <v>16313</v>
      </c>
      <c r="F4016" s="421" t="s">
        <v>7160</v>
      </c>
      <c r="G4016" s="112">
        <v>1</v>
      </c>
      <c r="H4016" s="112">
        <v>1</v>
      </c>
      <c r="I4016" s="112">
        <v>1</v>
      </c>
      <c r="J4016" s="112">
        <v>1</v>
      </c>
      <c r="L4016" s="112">
        <v>1</v>
      </c>
    </row>
    <row r="4017" spans="1:15" x14ac:dyDescent="0.2">
      <c r="A4017" s="111">
        <v>4136</v>
      </c>
      <c r="B4017" s="421" t="s">
        <v>7139</v>
      </c>
      <c r="C4017" s="421" t="s">
        <v>567</v>
      </c>
      <c r="D4017" s="422" t="s">
        <v>663</v>
      </c>
      <c r="E4017" s="111">
        <v>16314</v>
      </c>
      <c r="F4017" s="421" t="s">
        <v>7168</v>
      </c>
      <c r="G4017" s="112">
        <v>1</v>
      </c>
      <c r="H4017" s="112">
        <v>1</v>
      </c>
      <c r="I4017" s="112">
        <v>1</v>
      </c>
      <c r="J4017" s="112">
        <v>1</v>
      </c>
      <c r="K4017" s="112">
        <v>2</v>
      </c>
      <c r="L4017" s="112">
        <v>1</v>
      </c>
      <c r="M4017" s="112">
        <v>1</v>
      </c>
      <c r="N4017" s="112">
        <v>1</v>
      </c>
    </row>
    <row r="4018" spans="1:15" x14ac:dyDescent="0.2">
      <c r="A4018" s="111">
        <v>4137</v>
      </c>
      <c r="B4018" s="421" t="s">
        <v>1509</v>
      </c>
      <c r="C4018" s="421" t="s">
        <v>567</v>
      </c>
      <c r="D4018" s="422" t="s">
        <v>666</v>
      </c>
      <c r="E4018" s="111">
        <v>16314</v>
      </c>
      <c r="F4018" s="421" t="s">
        <v>7168</v>
      </c>
      <c r="G4018" s="112">
        <v>1</v>
      </c>
      <c r="H4018" s="112">
        <v>1</v>
      </c>
      <c r="I4018" s="112">
        <v>1</v>
      </c>
      <c r="J4018" s="112">
        <v>1</v>
      </c>
      <c r="L4018" s="112">
        <v>2</v>
      </c>
    </row>
    <row r="4019" spans="1:15" x14ac:dyDescent="0.2">
      <c r="A4019" s="111">
        <v>4138</v>
      </c>
      <c r="B4019" s="421" t="s">
        <v>7154</v>
      </c>
      <c r="C4019" s="421" t="s">
        <v>506</v>
      </c>
      <c r="D4019" s="422" t="s">
        <v>663</v>
      </c>
      <c r="E4019" s="111">
        <v>1497</v>
      </c>
      <c r="F4019" s="421" t="s">
        <v>950</v>
      </c>
      <c r="G4019" s="112">
        <v>1</v>
      </c>
      <c r="H4019" s="112">
        <v>2</v>
      </c>
      <c r="I4019" s="112">
        <v>2</v>
      </c>
      <c r="J4019" s="112">
        <v>1</v>
      </c>
      <c r="K4019" s="112">
        <v>2</v>
      </c>
      <c r="L4019" s="112">
        <v>2</v>
      </c>
      <c r="M4019" s="112">
        <v>1</v>
      </c>
      <c r="N4019" s="112">
        <v>2</v>
      </c>
    </row>
    <row r="4020" spans="1:15" x14ac:dyDescent="0.2">
      <c r="A4020" s="111">
        <v>4139</v>
      </c>
      <c r="B4020" s="421" t="s">
        <v>2756</v>
      </c>
      <c r="C4020" s="421" t="s">
        <v>551</v>
      </c>
      <c r="D4020" s="422" t="s">
        <v>663</v>
      </c>
      <c r="E4020" s="111">
        <v>15993</v>
      </c>
      <c r="F4020" s="421" t="s">
        <v>6059</v>
      </c>
      <c r="G4020" s="112">
        <v>2</v>
      </c>
      <c r="H4020" s="112">
        <v>2</v>
      </c>
      <c r="I4020" s="112">
        <v>1</v>
      </c>
      <c r="J4020" s="112">
        <v>2</v>
      </c>
      <c r="K4020" s="112">
        <v>2</v>
      </c>
      <c r="L4020" s="112">
        <v>2</v>
      </c>
    </row>
    <row r="4021" spans="1:15" x14ac:dyDescent="0.2">
      <c r="A4021" s="111">
        <v>4140</v>
      </c>
      <c r="B4021" s="421" t="s">
        <v>7136</v>
      </c>
      <c r="C4021" s="421" t="s">
        <v>3383</v>
      </c>
      <c r="D4021" s="422" t="s">
        <v>663</v>
      </c>
      <c r="E4021" s="111">
        <v>16315</v>
      </c>
      <c r="F4021" s="421" t="s">
        <v>7161</v>
      </c>
      <c r="G4021" s="112">
        <v>1</v>
      </c>
      <c r="H4021" s="112">
        <v>1</v>
      </c>
      <c r="I4021" s="112">
        <v>1</v>
      </c>
    </row>
    <row r="4022" spans="1:15" x14ac:dyDescent="0.2">
      <c r="A4022" s="111">
        <v>4141</v>
      </c>
      <c r="B4022" s="421" t="s">
        <v>7143</v>
      </c>
      <c r="C4022" s="421" t="s">
        <v>567</v>
      </c>
      <c r="D4022" s="422" t="s">
        <v>663</v>
      </c>
      <c r="E4022" s="111">
        <v>16316</v>
      </c>
      <c r="F4022" s="421" t="s">
        <v>7173</v>
      </c>
      <c r="G4022" s="112">
        <v>1</v>
      </c>
      <c r="H4022" s="112">
        <v>1</v>
      </c>
      <c r="I4022" s="112">
        <v>1</v>
      </c>
      <c r="J4022" s="112">
        <v>4</v>
      </c>
      <c r="K4022" s="112">
        <v>3</v>
      </c>
      <c r="L4022" s="112">
        <v>2</v>
      </c>
      <c r="M4022" s="112">
        <v>2</v>
      </c>
      <c r="N4022" s="112">
        <v>1</v>
      </c>
    </row>
    <row r="4023" spans="1:15" x14ac:dyDescent="0.2">
      <c r="A4023" s="111">
        <v>4143</v>
      </c>
      <c r="B4023" s="421" t="s">
        <v>7134</v>
      </c>
      <c r="C4023" s="421" t="s">
        <v>506</v>
      </c>
      <c r="D4023" s="422" t="s">
        <v>663</v>
      </c>
      <c r="E4023" s="111">
        <v>14947</v>
      </c>
      <c r="F4023" s="421" t="s">
        <v>2686</v>
      </c>
      <c r="G4023" s="112">
        <v>3</v>
      </c>
      <c r="H4023" s="112">
        <v>1</v>
      </c>
      <c r="I4023" s="112">
        <v>1</v>
      </c>
      <c r="J4023" s="112">
        <v>13</v>
      </c>
      <c r="K4023" s="112">
        <v>11</v>
      </c>
      <c r="L4023" s="112">
        <v>13</v>
      </c>
      <c r="M4023" s="112">
        <v>11</v>
      </c>
      <c r="N4023" s="112">
        <v>6</v>
      </c>
      <c r="O4023" s="112">
        <v>7</v>
      </c>
    </row>
    <row r="4024" spans="1:15" x14ac:dyDescent="0.2">
      <c r="A4024" s="111">
        <v>4144</v>
      </c>
      <c r="B4024" s="421" t="s">
        <v>7095</v>
      </c>
      <c r="C4024" s="421" t="s">
        <v>551</v>
      </c>
      <c r="D4024" s="422"/>
      <c r="E4024" s="111">
        <v>16317</v>
      </c>
      <c r="F4024" s="421" t="s">
        <v>7156</v>
      </c>
      <c r="G4024" s="112">
        <v>1</v>
      </c>
      <c r="H4024" s="112">
        <v>1</v>
      </c>
      <c r="I4024" s="112">
        <v>1</v>
      </c>
      <c r="J4024" s="112">
        <v>6</v>
      </c>
      <c r="K4024" s="112">
        <v>5</v>
      </c>
      <c r="L4024" s="112">
        <v>6</v>
      </c>
      <c r="M4024" s="112">
        <v>3</v>
      </c>
      <c r="N4024" s="112">
        <v>2</v>
      </c>
      <c r="O4024" s="112">
        <v>3</v>
      </c>
    </row>
    <row r="4025" spans="1:15" x14ac:dyDescent="0.2">
      <c r="A4025" s="111">
        <v>4145</v>
      </c>
      <c r="B4025" s="421" t="s">
        <v>1254</v>
      </c>
      <c r="C4025" s="421" t="s">
        <v>503</v>
      </c>
      <c r="D4025" s="422" t="s">
        <v>663</v>
      </c>
      <c r="E4025" s="111">
        <v>16318</v>
      </c>
      <c r="F4025" s="421" t="s">
        <v>7166</v>
      </c>
      <c r="G4025" s="112">
        <v>1</v>
      </c>
      <c r="H4025" s="112">
        <v>1</v>
      </c>
      <c r="I4025" s="112">
        <v>1</v>
      </c>
      <c r="J4025" s="112">
        <v>7</v>
      </c>
      <c r="K4025" s="112">
        <v>7</v>
      </c>
      <c r="L4025" s="112">
        <v>7</v>
      </c>
      <c r="M4025" s="112">
        <v>9</v>
      </c>
      <c r="N4025" s="112">
        <v>5</v>
      </c>
      <c r="O4025" s="112">
        <v>9</v>
      </c>
    </row>
    <row r="4026" spans="1:15" x14ac:dyDescent="0.2">
      <c r="A4026" s="111">
        <v>4146</v>
      </c>
      <c r="B4026" s="421" t="s">
        <v>7133</v>
      </c>
      <c r="C4026" s="421" t="s">
        <v>4662</v>
      </c>
      <c r="D4026" s="422" t="s">
        <v>666</v>
      </c>
      <c r="E4026" s="111">
        <v>15420</v>
      </c>
      <c r="F4026" s="421" t="s">
        <v>4122</v>
      </c>
      <c r="G4026" s="112">
        <v>4</v>
      </c>
      <c r="H4026" s="112">
        <v>3</v>
      </c>
      <c r="I4026" s="112">
        <v>3</v>
      </c>
      <c r="J4026" s="112">
        <v>6</v>
      </c>
      <c r="K4026" s="112">
        <v>7</v>
      </c>
      <c r="L4026" s="112">
        <v>5</v>
      </c>
    </row>
    <row r="4027" spans="1:15" x14ac:dyDescent="0.2">
      <c r="A4027" s="111">
        <v>4147</v>
      </c>
      <c r="B4027" s="421" t="s">
        <v>2809</v>
      </c>
      <c r="C4027" s="421" t="s">
        <v>510</v>
      </c>
      <c r="D4027" s="422" t="s">
        <v>666</v>
      </c>
      <c r="E4027" s="111">
        <v>16319</v>
      </c>
      <c r="F4027" s="421" t="s">
        <v>7183</v>
      </c>
      <c r="G4027" s="112">
        <v>3</v>
      </c>
      <c r="H4027" s="112">
        <v>1</v>
      </c>
      <c r="I4027" s="112">
        <v>1</v>
      </c>
      <c r="J4027" s="112">
        <v>7</v>
      </c>
      <c r="K4027" s="112">
        <v>7</v>
      </c>
      <c r="L4027" s="112">
        <v>7</v>
      </c>
      <c r="M4027" s="112">
        <v>7</v>
      </c>
      <c r="N4027" s="112">
        <v>7</v>
      </c>
      <c r="O4027" s="112">
        <v>9</v>
      </c>
    </row>
    <row r="4028" spans="1:15" x14ac:dyDescent="0.2">
      <c r="A4028" s="111">
        <v>4148</v>
      </c>
      <c r="B4028" s="421" t="s">
        <v>7144</v>
      </c>
      <c r="C4028" s="421" t="s">
        <v>503</v>
      </c>
      <c r="D4028" s="422" t="s">
        <v>666</v>
      </c>
      <c r="E4028" s="111">
        <v>16320</v>
      </c>
      <c r="F4028" s="421" t="s">
        <v>7175</v>
      </c>
      <c r="G4028" s="112">
        <v>1</v>
      </c>
      <c r="H4028" s="112">
        <v>1</v>
      </c>
      <c r="I4028" s="112">
        <v>1</v>
      </c>
      <c r="J4028" s="112">
        <v>11</v>
      </c>
      <c r="K4028" s="112">
        <v>12</v>
      </c>
      <c r="L4028" s="112">
        <v>12</v>
      </c>
      <c r="M4028" s="112">
        <v>3</v>
      </c>
      <c r="N4028" s="112">
        <v>4</v>
      </c>
      <c r="O4028" s="112">
        <v>10</v>
      </c>
    </row>
    <row r="4029" spans="1:15" x14ac:dyDescent="0.2">
      <c r="A4029" s="111">
        <v>4149</v>
      </c>
      <c r="B4029" s="421" t="s">
        <v>253</v>
      </c>
      <c r="C4029" s="421" t="s">
        <v>501</v>
      </c>
      <c r="D4029" s="422" t="s">
        <v>666</v>
      </c>
      <c r="E4029" s="111">
        <v>16321</v>
      </c>
      <c r="F4029" s="421" t="s">
        <v>7174</v>
      </c>
    </row>
    <row r="4030" spans="1:15" x14ac:dyDescent="0.2">
      <c r="A4030" s="111">
        <v>4150</v>
      </c>
      <c r="B4030" s="421" t="s">
        <v>193</v>
      </c>
      <c r="C4030" s="421" t="s">
        <v>501</v>
      </c>
      <c r="D4030" s="422" t="s">
        <v>663</v>
      </c>
      <c r="E4030" s="111">
        <v>16321</v>
      </c>
      <c r="F4030" s="421" t="s">
        <v>7174</v>
      </c>
    </row>
    <row r="4031" spans="1:15" x14ac:dyDescent="0.2">
      <c r="A4031" s="111">
        <v>4151</v>
      </c>
      <c r="B4031" s="421" t="s">
        <v>131</v>
      </c>
      <c r="C4031" s="421" t="s">
        <v>501</v>
      </c>
      <c r="D4031" s="422" t="s">
        <v>663</v>
      </c>
      <c r="E4031" s="111">
        <v>16321</v>
      </c>
      <c r="F4031" s="421" t="s">
        <v>7174</v>
      </c>
    </row>
    <row r="4032" spans="1:15" x14ac:dyDescent="0.2">
      <c r="A4032" s="111">
        <v>4152</v>
      </c>
      <c r="B4032" s="421" t="s">
        <v>7137</v>
      </c>
      <c r="C4032" s="421" t="s">
        <v>503</v>
      </c>
      <c r="D4032" s="422" t="s">
        <v>663</v>
      </c>
      <c r="E4032" s="111">
        <v>16709</v>
      </c>
      <c r="F4032" s="421" t="s">
        <v>7162</v>
      </c>
      <c r="G4032" s="112">
        <v>2</v>
      </c>
      <c r="H4032" s="112">
        <v>2</v>
      </c>
      <c r="I4032" s="112">
        <v>2</v>
      </c>
      <c r="J4032" s="112">
        <v>8</v>
      </c>
      <c r="K4032" s="112">
        <v>7</v>
      </c>
      <c r="L4032" s="112">
        <v>6</v>
      </c>
      <c r="M4032" s="112">
        <v>2</v>
      </c>
      <c r="N4032" s="112">
        <v>1</v>
      </c>
      <c r="O4032" s="112">
        <v>3</v>
      </c>
    </row>
    <row r="4033" spans="1:15" x14ac:dyDescent="0.2">
      <c r="A4033" s="111">
        <v>4153</v>
      </c>
      <c r="B4033" s="421" t="s">
        <v>456</v>
      </c>
      <c r="C4033" s="421" t="s">
        <v>596</v>
      </c>
      <c r="D4033" s="422" t="s">
        <v>663</v>
      </c>
      <c r="F4033" s="421" t="s">
        <v>7182</v>
      </c>
    </row>
    <row r="4034" spans="1:15" x14ac:dyDescent="0.2">
      <c r="A4034" s="111">
        <v>4154</v>
      </c>
      <c r="B4034" s="421" t="s">
        <v>468</v>
      </c>
      <c r="C4034" s="421" t="s">
        <v>518</v>
      </c>
      <c r="D4034" s="422" t="s">
        <v>666</v>
      </c>
      <c r="E4034" s="111">
        <v>16325</v>
      </c>
      <c r="F4034" s="421" t="s">
        <v>7157</v>
      </c>
      <c r="G4034" s="112">
        <v>1</v>
      </c>
      <c r="H4034" s="112">
        <v>1</v>
      </c>
      <c r="I4034" s="112">
        <v>1</v>
      </c>
      <c r="J4034" s="112">
        <v>4</v>
      </c>
      <c r="K4034" s="112">
        <v>2</v>
      </c>
      <c r="L4034" s="112">
        <v>2</v>
      </c>
      <c r="M4034" s="112">
        <v>2</v>
      </c>
      <c r="N4034" s="112">
        <v>1</v>
      </c>
      <c r="O4034" s="112">
        <v>1</v>
      </c>
    </row>
    <row r="4035" spans="1:15" x14ac:dyDescent="0.2">
      <c r="A4035" s="111">
        <v>4155</v>
      </c>
      <c r="B4035" s="421" t="s">
        <v>485</v>
      </c>
      <c r="C4035" s="421" t="s">
        <v>503</v>
      </c>
      <c r="D4035" s="422" t="s">
        <v>666</v>
      </c>
      <c r="E4035" s="111">
        <v>16326</v>
      </c>
      <c r="F4035" s="421" t="s">
        <v>7189</v>
      </c>
    </row>
    <row r="4036" spans="1:15" x14ac:dyDescent="0.2">
      <c r="A4036" s="111">
        <v>4156</v>
      </c>
      <c r="B4036" s="421" t="s">
        <v>7135</v>
      </c>
      <c r="C4036" s="421" t="s">
        <v>503</v>
      </c>
      <c r="D4036" s="422" t="s">
        <v>666</v>
      </c>
      <c r="E4036" s="111">
        <v>16327</v>
      </c>
      <c r="F4036" s="421" t="s">
        <v>7159</v>
      </c>
      <c r="G4036" s="112">
        <v>1</v>
      </c>
      <c r="H4036" s="112">
        <v>2</v>
      </c>
      <c r="I4036" s="112">
        <v>2</v>
      </c>
      <c r="J4036" s="112">
        <v>3</v>
      </c>
      <c r="K4036" s="112">
        <v>2</v>
      </c>
      <c r="L4036" s="112">
        <v>2</v>
      </c>
      <c r="M4036" s="112">
        <v>5</v>
      </c>
      <c r="N4036" s="112">
        <v>1</v>
      </c>
      <c r="O4036" s="112">
        <v>2</v>
      </c>
    </row>
    <row r="4037" spans="1:15" x14ac:dyDescent="0.2">
      <c r="A4037" s="111">
        <v>4157</v>
      </c>
      <c r="B4037" s="421" t="s">
        <v>1513</v>
      </c>
      <c r="C4037" s="421" t="s">
        <v>503</v>
      </c>
      <c r="D4037" s="422" t="s">
        <v>663</v>
      </c>
      <c r="E4037" s="111">
        <v>16328</v>
      </c>
      <c r="F4037" s="421" t="s">
        <v>7179</v>
      </c>
      <c r="G4037" s="112">
        <v>6</v>
      </c>
      <c r="H4037" s="112">
        <v>7</v>
      </c>
      <c r="I4037" s="112">
        <v>5</v>
      </c>
      <c r="J4037" s="112">
        <v>8</v>
      </c>
      <c r="K4037" s="112">
        <v>6</v>
      </c>
      <c r="L4037" s="112">
        <v>6</v>
      </c>
    </row>
    <row r="4038" spans="1:15" x14ac:dyDescent="0.2">
      <c r="A4038" s="111">
        <v>4158</v>
      </c>
      <c r="B4038" s="421" t="s">
        <v>1195</v>
      </c>
      <c r="C4038" s="421" t="s">
        <v>526</v>
      </c>
      <c r="D4038" s="422" t="s">
        <v>666</v>
      </c>
      <c r="E4038" s="111">
        <v>16329</v>
      </c>
      <c r="F4038" s="421" t="s">
        <v>7184</v>
      </c>
      <c r="G4038" s="112">
        <v>1</v>
      </c>
      <c r="H4038" s="112">
        <v>1</v>
      </c>
      <c r="I4038" s="112">
        <v>1</v>
      </c>
      <c r="J4038" s="112">
        <v>1</v>
      </c>
      <c r="K4038" s="112">
        <v>1</v>
      </c>
      <c r="L4038" s="112">
        <v>3</v>
      </c>
    </row>
    <row r="4039" spans="1:15" x14ac:dyDescent="0.2">
      <c r="A4039" s="111">
        <v>4159</v>
      </c>
      <c r="B4039" s="421" t="s">
        <v>7151</v>
      </c>
      <c r="C4039" s="421" t="s">
        <v>514</v>
      </c>
      <c r="D4039" s="422" t="s">
        <v>663</v>
      </c>
      <c r="F4039" s="421" t="s">
        <v>7185</v>
      </c>
    </row>
    <row r="4040" spans="1:15" x14ac:dyDescent="0.2">
      <c r="A4040" s="111">
        <v>4160</v>
      </c>
      <c r="B4040" s="421" t="s">
        <v>7150</v>
      </c>
      <c r="C4040" s="421" t="s">
        <v>506</v>
      </c>
      <c r="D4040" s="422" t="s">
        <v>666</v>
      </c>
      <c r="E4040" s="111">
        <v>16794</v>
      </c>
      <c r="F4040" s="421" t="s">
        <v>1752</v>
      </c>
      <c r="J4040" s="112">
        <v>6</v>
      </c>
      <c r="K4040" s="112">
        <v>6</v>
      </c>
      <c r="L4040" s="112">
        <v>6</v>
      </c>
      <c r="M4040" s="112">
        <v>8</v>
      </c>
      <c r="N4040" s="112">
        <v>6</v>
      </c>
      <c r="O4040" s="112">
        <v>8</v>
      </c>
    </row>
    <row r="4041" spans="1:15" x14ac:dyDescent="0.2">
      <c r="A4041" s="111">
        <v>4161</v>
      </c>
      <c r="B4041" s="421" t="s">
        <v>7145</v>
      </c>
      <c r="C4041" s="421" t="s">
        <v>7696</v>
      </c>
      <c r="D4041" s="422" t="s">
        <v>663</v>
      </c>
      <c r="E4041" s="111">
        <v>16330</v>
      </c>
      <c r="F4041" s="421" t="s">
        <v>7177</v>
      </c>
      <c r="G4041" s="112">
        <v>4</v>
      </c>
      <c r="H4041" s="112">
        <v>4</v>
      </c>
      <c r="I4041" s="112">
        <v>4</v>
      </c>
      <c r="J4041" s="112">
        <v>14</v>
      </c>
      <c r="K4041" s="112">
        <v>14</v>
      </c>
      <c r="L4041" s="112">
        <v>10</v>
      </c>
      <c r="M4041" s="112">
        <v>12</v>
      </c>
      <c r="N4041" s="112">
        <v>11</v>
      </c>
      <c r="O4041" s="112">
        <v>9</v>
      </c>
    </row>
    <row r="4042" spans="1:15" x14ac:dyDescent="0.2">
      <c r="A4042" s="111">
        <v>4162</v>
      </c>
      <c r="B4042" s="421" t="s">
        <v>288</v>
      </c>
      <c r="C4042" s="421" t="s">
        <v>513</v>
      </c>
      <c r="D4042" s="422" t="s">
        <v>666</v>
      </c>
      <c r="E4042" s="111">
        <v>16707</v>
      </c>
      <c r="F4042" s="421" t="s">
        <v>7172</v>
      </c>
      <c r="G4042" s="112">
        <v>1</v>
      </c>
      <c r="H4042" s="112">
        <v>1</v>
      </c>
      <c r="I4042" s="112">
        <v>1</v>
      </c>
      <c r="J4042" s="112">
        <v>7</v>
      </c>
      <c r="K4042" s="112">
        <v>9</v>
      </c>
      <c r="L4042" s="112">
        <v>8</v>
      </c>
      <c r="M4042" s="112">
        <v>5</v>
      </c>
      <c r="N4042" s="112">
        <v>3</v>
      </c>
      <c r="O4042" s="112">
        <v>3</v>
      </c>
    </row>
    <row r="4043" spans="1:15" x14ac:dyDescent="0.2">
      <c r="A4043" s="111">
        <v>4163</v>
      </c>
      <c r="B4043" s="421" t="s">
        <v>37</v>
      </c>
      <c r="C4043" s="421" t="s">
        <v>516</v>
      </c>
      <c r="D4043" s="422" t="s">
        <v>663</v>
      </c>
      <c r="E4043" s="111">
        <v>16331</v>
      </c>
      <c r="F4043" s="421" t="s">
        <v>7167</v>
      </c>
      <c r="G4043" s="112">
        <v>2</v>
      </c>
      <c r="H4043" s="112">
        <v>1</v>
      </c>
      <c r="I4043" s="112">
        <v>1</v>
      </c>
      <c r="J4043" s="112">
        <v>1</v>
      </c>
      <c r="K4043" s="112">
        <v>2</v>
      </c>
      <c r="L4043" s="112">
        <v>3</v>
      </c>
    </row>
    <row r="4044" spans="1:15" x14ac:dyDescent="0.2">
      <c r="A4044" s="111">
        <v>4164</v>
      </c>
      <c r="B4044" s="421" t="s">
        <v>7142</v>
      </c>
      <c r="C4044" s="421" t="s">
        <v>533</v>
      </c>
      <c r="D4044" s="422" t="s">
        <v>666</v>
      </c>
      <c r="F4044" s="421" t="s">
        <v>7171</v>
      </c>
    </row>
    <row r="4045" spans="1:15" x14ac:dyDescent="0.2">
      <c r="A4045" s="111">
        <v>4165</v>
      </c>
      <c r="B4045" s="421" t="s">
        <v>7138</v>
      </c>
      <c r="C4045" s="421" t="s">
        <v>1201</v>
      </c>
      <c r="D4045" s="422" t="s">
        <v>663</v>
      </c>
      <c r="F4045" s="421" t="s">
        <v>7165</v>
      </c>
    </row>
    <row r="4046" spans="1:15" x14ac:dyDescent="0.2">
      <c r="A4046" s="111">
        <v>4166</v>
      </c>
      <c r="B4046" s="421" t="s">
        <v>1859</v>
      </c>
      <c r="C4046" s="421" t="s">
        <v>501</v>
      </c>
      <c r="D4046" s="422" t="s">
        <v>663</v>
      </c>
      <c r="E4046" s="111">
        <v>16323</v>
      </c>
      <c r="F4046" s="421" t="s">
        <v>7188</v>
      </c>
      <c r="G4046" s="112">
        <v>1</v>
      </c>
      <c r="H4046" s="112">
        <v>2</v>
      </c>
      <c r="I4046" s="112">
        <v>1</v>
      </c>
      <c r="J4046" s="112">
        <v>2</v>
      </c>
      <c r="K4046" s="112">
        <v>2</v>
      </c>
      <c r="L4046" s="112">
        <v>3</v>
      </c>
      <c r="M4046" s="112">
        <v>1</v>
      </c>
    </row>
    <row r="4047" spans="1:15" x14ac:dyDescent="0.2">
      <c r="A4047" s="111">
        <v>4167</v>
      </c>
      <c r="B4047" s="421" t="s">
        <v>175</v>
      </c>
      <c r="C4047" s="421" t="s">
        <v>517</v>
      </c>
      <c r="D4047" s="422" t="s">
        <v>666</v>
      </c>
      <c r="E4047" s="111">
        <v>16332</v>
      </c>
      <c r="F4047" s="421" t="s">
        <v>7163</v>
      </c>
      <c r="G4047" s="112">
        <v>1</v>
      </c>
      <c r="H4047" s="112">
        <v>1</v>
      </c>
      <c r="I4047" s="112">
        <v>1</v>
      </c>
      <c r="J4047" s="112">
        <v>2</v>
      </c>
      <c r="K4047" s="112">
        <v>3</v>
      </c>
      <c r="L4047" s="112">
        <v>2</v>
      </c>
    </row>
    <row r="4048" spans="1:15" x14ac:dyDescent="0.2">
      <c r="A4048" s="111">
        <v>4168</v>
      </c>
      <c r="B4048" s="421" t="s">
        <v>7132</v>
      </c>
      <c r="C4048" s="421" t="s">
        <v>543</v>
      </c>
      <c r="D4048" s="422" t="s">
        <v>663</v>
      </c>
      <c r="E4048" s="111">
        <v>15434</v>
      </c>
      <c r="F4048" s="421" t="s">
        <v>3916</v>
      </c>
      <c r="G4048" s="112">
        <v>1</v>
      </c>
      <c r="H4048" s="112">
        <v>1</v>
      </c>
      <c r="I4048" s="112">
        <v>1</v>
      </c>
      <c r="J4048" s="112">
        <v>3</v>
      </c>
      <c r="K4048" s="112">
        <v>1</v>
      </c>
      <c r="L4048" s="112">
        <v>2</v>
      </c>
    </row>
    <row r="4049" spans="1:15" x14ac:dyDescent="0.2">
      <c r="A4049" s="111">
        <v>4169</v>
      </c>
      <c r="B4049" s="421" t="s">
        <v>7153</v>
      </c>
      <c r="C4049" s="421" t="s">
        <v>514</v>
      </c>
      <c r="D4049" s="422" t="s">
        <v>663</v>
      </c>
      <c r="E4049" s="111">
        <v>14750</v>
      </c>
      <c r="F4049" s="421" t="s">
        <v>2228</v>
      </c>
      <c r="G4049" s="112">
        <v>2</v>
      </c>
      <c r="H4049" s="112">
        <v>1</v>
      </c>
      <c r="I4049" s="112">
        <v>3</v>
      </c>
      <c r="J4049" s="112">
        <v>7</v>
      </c>
      <c r="K4049" s="112">
        <v>7</v>
      </c>
      <c r="L4049" s="112">
        <v>8</v>
      </c>
      <c r="M4049" s="112">
        <v>4</v>
      </c>
      <c r="N4049" s="112">
        <v>4</v>
      </c>
      <c r="O4049" s="112">
        <v>2</v>
      </c>
    </row>
    <row r="4050" spans="1:15" x14ac:dyDescent="0.2">
      <c r="A4050" s="111">
        <v>4170</v>
      </c>
      <c r="B4050" s="421" t="s">
        <v>1281</v>
      </c>
      <c r="C4050" s="421" t="s">
        <v>506</v>
      </c>
      <c r="D4050" s="422" t="s">
        <v>663</v>
      </c>
      <c r="E4050" s="111">
        <v>16333</v>
      </c>
      <c r="F4050" s="421" t="s">
        <v>7164</v>
      </c>
    </row>
    <row r="4051" spans="1:15" x14ac:dyDescent="0.2">
      <c r="A4051" s="111">
        <v>4171</v>
      </c>
      <c r="B4051" s="421" t="s">
        <v>7152</v>
      </c>
      <c r="C4051" s="421" t="s">
        <v>551</v>
      </c>
      <c r="D4051" s="422" t="s">
        <v>666</v>
      </c>
      <c r="E4051" s="111">
        <v>16351</v>
      </c>
      <c r="F4051" s="421" t="s">
        <v>7187</v>
      </c>
      <c r="G4051" s="112">
        <v>2</v>
      </c>
      <c r="H4051" s="112">
        <v>1</v>
      </c>
      <c r="I4051" s="112">
        <v>1</v>
      </c>
      <c r="J4051" s="112">
        <v>1</v>
      </c>
      <c r="K4051" s="112">
        <v>3</v>
      </c>
      <c r="L4051" s="112">
        <v>1</v>
      </c>
      <c r="M4051" s="112">
        <v>1</v>
      </c>
      <c r="N4051" s="112">
        <v>1</v>
      </c>
      <c r="O4051" s="112">
        <v>1</v>
      </c>
    </row>
    <row r="4052" spans="1:15" x14ac:dyDescent="0.2">
      <c r="A4052" s="111">
        <v>4172</v>
      </c>
      <c r="B4052" s="421" t="s">
        <v>2614</v>
      </c>
      <c r="C4052" s="421" t="s">
        <v>574</v>
      </c>
      <c r="D4052" s="422" t="s">
        <v>666</v>
      </c>
      <c r="E4052" s="111">
        <v>16336</v>
      </c>
      <c r="F4052" s="421" t="s">
        <v>7158</v>
      </c>
      <c r="G4052" s="112">
        <v>2</v>
      </c>
      <c r="H4052" s="112">
        <v>2</v>
      </c>
      <c r="I4052" s="112">
        <v>2</v>
      </c>
    </row>
    <row r="4053" spans="1:15" x14ac:dyDescent="0.2">
      <c r="A4053" s="111">
        <v>4173</v>
      </c>
      <c r="B4053" s="421" t="s">
        <v>7146</v>
      </c>
      <c r="C4053" s="421" t="s">
        <v>572</v>
      </c>
      <c r="D4053" s="422" t="s">
        <v>663</v>
      </c>
      <c r="E4053" s="111">
        <v>16334</v>
      </c>
      <c r="F4053" s="421" t="s">
        <v>7178</v>
      </c>
      <c r="G4053" s="112">
        <v>2</v>
      </c>
      <c r="H4053" s="112">
        <v>1</v>
      </c>
      <c r="I4053" s="112">
        <v>1</v>
      </c>
    </row>
    <row r="4054" spans="1:15" x14ac:dyDescent="0.2">
      <c r="A4054" s="111">
        <v>4174</v>
      </c>
      <c r="B4054" s="421" t="s">
        <v>7141</v>
      </c>
      <c r="C4054" s="421" t="s">
        <v>1817</v>
      </c>
      <c r="D4054" s="422" t="s">
        <v>666</v>
      </c>
      <c r="E4054" s="111">
        <v>16337</v>
      </c>
      <c r="F4054" s="421" t="s">
        <v>7170</v>
      </c>
      <c r="G4054" s="112">
        <v>2</v>
      </c>
      <c r="H4054" s="112">
        <v>1</v>
      </c>
      <c r="I4054" s="112">
        <v>1</v>
      </c>
      <c r="J4054" s="112">
        <v>2</v>
      </c>
      <c r="L4054" s="112">
        <v>1</v>
      </c>
    </row>
    <row r="4055" spans="1:15" x14ac:dyDescent="0.2">
      <c r="A4055" s="111">
        <v>4175</v>
      </c>
      <c r="B4055" s="421" t="s">
        <v>448</v>
      </c>
      <c r="C4055" s="421" t="s">
        <v>510</v>
      </c>
      <c r="D4055" s="422" t="s">
        <v>666</v>
      </c>
      <c r="E4055" s="111">
        <v>16338</v>
      </c>
      <c r="F4055" s="421" t="s">
        <v>7186</v>
      </c>
      <c r="G4055" s="112">
        <v>1</v>
      </c>
      <c r="H4055" s="112">
        <v>1</v>
      </c>
      <c r="I4055" s="112">
        <v>1</v>
      </c>
      <c r="J4055" s="112">
        <v>10</v>
      </c>
      <c r="K4055" s="112">
        <v>10</v>
      </c>
      <c r="L4055" s="112">
        <v>12</v>
      </c>
      <c r="M4055" s="112">
        <v>13</v>
      </c>
      <c r="N4055" s="112">
        <v>14</v>
      </c>
      <c r="O4055" s="112">
        <v>13</v>
      </c>
    </row>
    <row r="4056" spans="1:15" x14ac:dyDescent="0.2">
      <c r="A4056" s="111">
        <v>4176</v>
      </c>
      <c r="B4056" s="421" t="s">
        <v>436</v>
      </c>
      <c r="C4056" s="421" t="s">
        <v>561</v>
      </c>
      <c r="D4056" s="422" t="s">
        <v>666</v>
      </c>
      <c r="E4056" s="111">
        <v>16015</v>
      </c>
      <c r="F4056" s="421" t="s">
        <v>6158</v>
      </c>
      <c r="G4056" s="112">
        <v>2</v>
      </c>
      <c r="H4056" s="112">
        <v>1</v>
      </c>
      <c r="I4056" s="112">
        <v>2</v>
      </c>
      <c r="J4056" s="112">
        <v>7</v>
      </c>
      <c r="K4056" s="112">
        <v>8</v>
      </c>
      <c r="L4056" s="112">
        <v>8</v>
      </c>
      <c r="M4056" s="112">
        <v>3</v>
      </c>
      <c r="N4056" s="112">
        <v>3</v>
      </c>
      <c r="O4056" s="112">
        <v>4</v>
      </c>
    </row>
    <row r="4057" spans="1:15" x14ac:dyDescent="0.2">
      <c r="A4057" s="111">
        <v>4177</v>
      </c>
      <c r="B4057" s="421" t="s">
        <v>7149</v>
      </c>
      <c r="C4057" s="421" t="s">
        <v>503</v>
      </c>
      <c r="D4057" s="422" t="s">
        <v>666</v>
      </c>
      <c r="E4057" s="111">
        <v>14509</v>
      </c>
      <c r="F4057" s="421" t="s">
        <v>1422</v>
      </c>
      <c r="G4057" s="112">
        <v>1</v>
      </c>
      <c r="H4057" s="112">
        <v>1</v>
      </c>
      <c r="I4057" s="112">
        <v>1</v>
      </c>
      <c r="J4057" s="112">
        <v>7</v>
      </c>
      <c r="K4057" s="112">
        <v>7</v>
      </c>
      <c r="L4057" s="112">
        <v>7</v>
      </c>
      <c r="M4057" s="112">
        <v>5</v>
      </c>
      <c r="N4057" s="112">
        <v>4</v>
      </c>
      <c r="O4057" s="112">
        <v>4</v>
      </c>
    </row>
    <row r="4058" spans="1:15" x14ac:dyDescent="0.2">
      <c r="A4058" s="111">
        <v>4178</v>
      </c>
      <c r="B4058" s="421" t="s">
        <v>1354</v>
      </c>
      <c r="C4058" s="421" t="s">
        <v>506</v>
      </c>
      <c r="D4058" s="422" t="s">
        <v>666</v>
      </c>
      <c r="E4058" s="111">
        <v>16339</v>
      </c>
      <c r="F4058" s="421" t="s">
        <v>7240</v>
      </c>
      <c r="G4058" s="112">
        <v>1</v>
      </c>
      <c r="H4058" s="112">
        <v>1</v>
      </c>
      <c r="I4058" s="112">
        <v>1</v>
      </c>
      <c r="J4058" s="112">
        <v>10</v>
      </c>
      <c r="K4058" s="112">
        <v>10</v>
      </c>
      <c r="L4058" s="112">
        <v>10</v>
      </c>
      <c r="M4058" s="112">
        <v>4</v>
      </c>
      <c r="N4058" s="112">
        <v>2</v>
      </c>
      <c r="O4058" s="112">
        <v>4</v>
      </c>
    </row>
    <row r="4059" spans="1:15" x14ac:dyDescent="0.2">
      <c r="A4059" s="111">
        <v>4179</v>
      </c>
      <c r="B4059" s="421" t="s">
        <v>131</v>
      </c>
      <c r="C4059" s="421" t="s">
        <v>573</v>
      </c>
      <c r="D4059" s="422" t="s">
        <v>663</v>
      </c>
      <c r="E4059" s="111">
        <v>16340</v>
      </c>
      <c r="F4059" s="421" t="s">
        <v>7239</v>
      </c>
      <c r="G4059" s="112">
        <v>1</v>
      </c>
      <c r="H4059" s="112">
        <v>1</v>
      </c>
    </row>
    <row r="4060" spans="1:15" x14ac:dyDescent="0.2">
      <c r="A4060" s="111">
        <v>4180</v>
      </c>
      <c r="B4060" s="421" t="s">
        <v>7219</v>
      </c>
      <c r="C4060" s="421" t="s">
        <v>557</v>
      </c>
      <c r="D4060" s="422" t="s">
        <v>666</v>
      </c>
      <c r="E4060" s="111">
        <v>15692</v>
      </c>
      <c r="F4060" s="421" t="s">
        <v>5113</v>
      </c>
      <c r="G4060" s="112">
        <v>1</v>
      </c>
      <c r="H4060" s="112">
        <v>1</v>
      </c>
      <c r="I4060" s="112">
        <v>1</v>
      </c>
      <c r="J4060" s="112">
        <v>3</v>
      </c>
      <c r="K4060" s="112">
        <v>3</v>
      </c>
      <c r="L4060" s="112">
        <v>4</v>
      </c>
      <c r="M4060" s="112">
        <v>2</v>
      </c>
    </row>
    <row r="4061" spans="1:15" x14ac:dyDescent="0.2">
      <c r="A4061" s="111">
        <v>4181</v>
      </c>
      <c r="B4061" s="421" t="s">
        <v>1814</v>
      </c>
      <c r="C4061" s="421" t="s">
        <v>507</v>
      </c>
      <c r="D4061" s="422" t="s">
        <v>663</v>
      </c>
      <c r="E4061" s="111">
        <v>16341</v>
      </c>
      <c r="F4061" s="421" t="s">
        <v>7236</v>
      </c>
      <c r="G4061" s="112">
        <v>1</v>
      </c>
      <c r="H4061" s="112">
        <v>1</v>
      </c>
      <c r="I4061" s="112">
        <v>1</v>
      </c>
      <c r="K4061" s="112">
        <v>1</v>
      </c>
    </row>
    <row r="4062" spans="1:15" x14ac:dyDescent="0.2">
      <c r="A4062" s="111">
        <v>4182</v>
      </c>
      <c r="B4062" s="421" t="s">
        <v>368</v>
      </c>
      <c r="C4062" s="421" t="s">
        <v>507</v>
      </c>
      <c r="D4062" s="422" t="s">
        <v>663</v>
      </c>
      <c r="E4062" s="111">
        <v>16341</v>
      </c>
      <c r="F4062" s="421" t="s">
        <v>7236</v>
      </c>
    </row>
    <row r="4063" spans="1:15" x14ac:dyDescent="0.2">
      <c r="A4063" s="111">
        <v>4183</v>
      </c>
      <c r="B4063" s="421" t="s">
        <v>1903</v>
      </c>
      <c r="C4063" s="421" t="s">
        <v>506</v>
      </c>
      <c r="D4063" s="422" t="s">
        <v>663</v>
      </c>
      <c r="E4063" s="111">
        <v>16342</v>
      </c>
      <c r="F4063" s="421" t="s">
        <v>7227</v>
      </c>
      <c r="G4063" s="112">
        <v>3</v>
      </c>
      <c r="H4063" s="112">
        <v>3</v>
      </c>
      <c r="I4063" s="112">
        <v>3</v>
      </c>
      <c r="J4063" s="112">
        <v>7</v>
      </c>
      <c r="K4063" s="112">
        <v>6</v>
      </c>
      <c r="L4063" s="112">
        <v>4</v>
      </c>
      <c r="M4063" s="112">
        <v>2</v>
      </c>
      <c r="N4063" s="112">
        <v>2</v>
      </c>
      <c r="O4063" s="112">
        <v>1</v>
      </c>
    </row>
    <row r="4064" spans="1:15" x14ac:dyDescent="0.2">
      <c r="A4064" s="111">
        <v>4184</v>
      </c>
      <c r="B4064" s="421" t="s">
        <v>7220</v>
      </c>
      <c r="C4064" s="421" t="s">
        <v>532</v>
      </c>
      <c r="D4064" s="422" t="s">
        <v>666</v>
      </c>
      <c r="E4064" s="111">
        <v>16140</v>
      </c>
      <c r="F4064" s="421" t="s">
        <v>7235</v>
      </c>
      <c r="G4064" s="112">
        <v>1</v>
      </c>
      <c r="H4064" s="112">
        <v>3</v>
      </c>
      <c r="I4064" s="112">
        <v>2</v>
      </c>
    </row>
    <row r="4065" spans="1:15" x14ac:dyDescent="0.2">
      <c r="A4065" s="111">
        <v>4186</v>
      </c>
      <c r="B4065" s="421" t="s">
        <v>7212</v>
      </c>
      <c r="C4065" s="421" t="s">
        <v>503</v>
      </c>
      <c r="D4065" s="422" t="s">
        <v>666</v>
      </c>
      <c r="F4065" s="421" t="s">
        <v>7230</v>
      </c>
      <c r="G4065" s="112">
        <v>1</v>
      </c>
      <c r="H4065" s="112">
        <v>2</v>
      </c>
      <c r="I4065" s="112">
        <v>1</v>
      </c>
      <c r="J4065" s="112">
        <v>1</v>
      </c>
      <c r="K4065" s="112">
        <v>1</v>
      </c>
    </row>
    <row r="4066" spans="1:15" x14ac:dyDescent="0.2">
      <c r="A4066" s="111">
        <v>4187</v>
      </c>
      <c r="B4066" s="421" t="s">
        <v>7216</v>
      </c>
      <c r="C4066" s="421" t="s">
        <v>2412</v>
      </c>
      <c r="D4066" s="422" t="s">
        <v>666</v>
      </c>
      <c r="E4066" s="111">
        <v>15862</v>
      </c>
      <c r="F4066" s="421" t="s">
        <v>5566</v>
      </c>
      <c r="G4066" s="112">
        <v>1</v>
      </c>
      <c r="H4066" s="112">
        <v>1</v>
      </c>
      <c r="I4066" s="112">
        <v>1</v>
      </c>
      <c r="J4066" s="112">
        <v>4</v>
      </c>
      <c r="K4066" s="112">
        <v>2</v>
      </c>
      <c r="L4066" s="112">
        <v>4</v>
      </c>
      <c r="M4066" s="112">
        <v>1</v>
      </c>
      <c r="O4066" s="112">
        <v>1</v>
      </c>
    </row>
    <row r="4067" spans="1:15" x14ac:dyDescent="0.2">
      <c r="A4067" s="111">
        <v>4188</v>
      </c>
      <c r="B4067" s="421" t="s">
        <v>7211</v>
      </c>
      <c r="C4067" s="421" t="s">
        <v>540</v>
      </c>
      <c r="D4067" s="422" t="s">
        <v>666</v>
      </c>
      <c r="E4067" s="111">
        <v>16343</v>
      </c>
      <c r="F4067" s="421" t="s">
        <v>7229</v>
      </c>
      <c r="G4067" s="112">
        <v>1</v>
      </c>
      <c r="H4067" s="112">
        <v>1</v>
      </c>
      <c r="I4067" s="112">
        <v>1</v>
      </c>
      <c r="J4067" s="112">
        <v>1</v>
      </c>
      <c r="L4067" s="112">
        <v>1</v>
      </c>
    </row>
    <row r="4068" spans="1:15" x14ac:dyDescent="0.2">
      <c r="A4068" s="111">
        <v>4189</v>
      </c>
      <c r="B4068" s="421" t="s">
        <v>7209</v>
      </c>
      <c r="C4068" s="421" t="s">
        <v>516</v>
      </c>
      <c r="D4068" s="422" t="s">
        <v>663</v>
      </c>
      <c r="E4068" s="111">
        <v>16344</v>
      </c>
      <c r="F4068" s="421" t="s">
        <v>7226</v>
      </c>
      <c r="G4068" s="112">
        <v>1</v>
      </c>
      <c r="H4068" s="112">
        <v>1</v>
      </c>
      <c r="I4068" s="112">
        <v>1</v>
      </c>
    </row>
    <row r="4069" spans="1:15" x14ac:dyDescent="0.2">
      <c r="A4069" s="111">
        <v>4190</v>
      </c>
      <c r="B4069" s="421" t="s">
        <v>485</v>
      </c>
      <c r="C4069" s="421" t="s">
        <v>506</v>
      </c>
      <c r="D4069" s="422" t="s">
        <v>666</v>
      </c>
      <c r="E4069" s="111">
        <v>15975</v>
      </c>
      <c r="F4069" s="421" t="s">
        <v>5728</v>
      </c>
    </row>
    <row r="4070" spans="1:15" x14ac:dyDescent="0.2">
      <c r="A4070" s="111">
        <v>4191</v>
      </c>
      <c r="B4070" s="421" t="s">
        <v>2468</v>
      </c>
      <c r="C4070" s="421" t="s">
        <v>628</v>
      </c>
      <c r="D4070" s="422" t="s">
        <v>666</v>
      </c>
      <c r="E4070" s="111">
        <v>44029</v>
      </c>
      <c r="F4070" s="421" t="s">
        <v>7241</v>
      </c>
      <c r="G4070" s="112">
        <v>1</v>
      </c>
      <c r="H4070" s="112">
        <v>2</v>
      </c>
      <c r="I4070" s="112">
        <v>2</v>
      </c>
      <c r="J4070" s="112">
        <v>1</v>
      </c>
      <c r="K4070" s="112">
        <v>1</v>
      </c>
      <c r="L4070" s="112">
        <v>1</v>
      </c>
    </row>
    <row r="4071" spans="1:15" x14ac:dyDescent="0.2">
      <c r="A4071" s="111">
        <v>4192</v>
      </c>
      <c r="B4071" s="421" t="s">
        <v>7217</v>
      </c>
      <c r="C4071" s="421" t="s">
        <v>506</v>
      </c>
      <c r="D4071" s="422" t="s">
        <v>663</v>
      </c>
      <c r="E4071" s="111">
        <v>16345</v>
      </c>
      <c r="F4071" s="421" t="s">
        <v>7234</v>
      </c>
      <c r="G4071" s="112">
        <v>1</v>
      </c>
      <c r="H4071" s="112">
        <v>1</v>
      </c>
      <c r="I4071" s="112">
        <v>1</v>
      </c>
    </row>
    <row r="4072" spans="1:15" x14ac:dyDescent="0.2">
      <c r="A4072" s="111">
        <v>4193</v>
      </c>
      <c r="B4072" s="421" t="s">
        <v>7213</v>
      </c>
      <c r="C4072" s="421" t="s">
        <v>506</v>
      </c>
      <c r="D4072" s="422" t="s">
        <v>663</v>
      </c>
      <c r="E4072" s="111">
        <v>16346</v>
      </c>
      <c r="F4072" s="421" t="s">
        <v>7232</v>
      </c>
      <c r="G4072" s="112">
        <v>1</v>
      </c>
      <c r="H4072" s="112">
        <v>1</v>
      </c>
      <c r="I4072" s="112">
        <v>1</v>
      </c>
      <c r="J4072" s="112">
        <v>1</v>
      </c>
      <c r="K4072" s="112">
        <v>1</v>
      </c>
      <c r="L4072" s="112">
        <v>1</v>
      </c>
      <c r="M4072" s="112">
        <v>1</v>
      </c>
    </row>
    <row r="4073" spans="1:15" x14ac:dyDescent="0.2">
      <c r="A4073" s="111">
        <v>4194</v>
      </c>
      <c r="B4073" s="421" t="s">
        <v>7218</v>
      </c>
      <c r="C4073" s="421" t="s">
        <v>510</v>
      </c>
      <c r="D4073" s="422" t="s">
        <v>663</v>
      </c>
      <c r="E4073" s="111">
        <v>14828</v>
      </c>
      <c r="F4073" s="421" t="s">
        <v>2457</v>
      </c>
      <c r="G4073" s="112">
        <v>5</v>
      </c>
      <c r="H4073" s="112">
        <v>3</v>
      </c>
      <c r="I4073" s="112">
        <v>1</v>
      </c>
      <c r="J4073" s="112">
        <v>4</v>
      </c>
      <c r="K4073" s="112">
        <v>3</v>
      </c>
      <c r="L4073" s="112">
        <v>2</v>
      </c>
    </row>
    <row r="4074" spans="1:15" x14ac:dyDescent="0.2">
      <c r="A4074" s="111">
        <v>4195</v>
      </c>
      <c r="B4074" s="421" t="s">
        <v>3979</v>
      </c>
      <c r="C4074" s="421" t="s">
        <v>562</v>
      </c>
      <c r="D4074" s="422" t="s">
        <v>663</v>
      </c>
      <c r="E4074" s="111">
        <v>16352</v>
      </c>
      <c r="F4074" s="421" t="s">
        <v>7231</v>
      </c>
      <c r="G4074" s="112">
        <v>1</v>
      </c>
      <c r="H4074" s="112">
        <v>1</v>
      </c>
      <c r="I4074" s="112">
        <v>2</v>
      </c>
      <c r="J4074" s="112">
        <v>2</v>
      </c>
      <c r="K4074" s="112">
        <v>1</v>
      </c>
      <c r="L4074" s="112">
        <v>2</v>
      </c>
      <c r="M4074" s="112">
        <v>1</v>
      </c>
      <c r="O4074" s="112">
        <v>1</v>
      </c>
    </row>
    <row r="4075" spans="1:15" x14ac:dyDescent="0.2">
      <c r="A4075" s="111">
        <v>4196</v>
      </c>
      <c r="B4075" s="421" t="s">
        <v>485</v>
      </c>
      <c r="C4075" s="421" t="s">
        <v>501</v>
      </c>
      <c r="D4075" s="422" t="s">
        <v>666</v>
      </c>
      <c r="E4075" s="111">
        <v>15066</v>
      </c>
      <c r="F4075" s="421" t="s">
        <v>3040</v>
      </c>
      <c r="G4075" s="112">
        <v>1</v>
      </c>
      <c r="H4075" s="112">
        <v>1</v>
      </c>
    </row>
    <row r="4076" spans="1:15" x14ac:dyDescent="0.2">
      <c r="A4076" s="111">
        <v>4197</v>
      </c>
      <c r="B4076" s="421" t="s">
        <v>7210</v>
      </c>
      <c r="C4076" s="421" t="s">
        <v>570</v>
      </c>
      <c r="D4076" s="422" t="s">
        <v>666</v>
      </c>
      <c r="E4076" s="111">
        <v>16347</v>
      </c>
      <c r="F4076" s="421" t="s">
        <v>7228</v>
      </c>
      <c r="G4076" s="112">
        <v>1</v>
      </c>
      <c r="I4076" s="112">
        <v>1</v>
      </c>
    </row>
    <row r="4077" spans="1:15" x14ac:dyDescent="0.2">
      <c r="A4077" s="111">
        <v>4198</v>
      </c>
      <c r="B4077" s="421" t="s">
        <v>7215</v>
      </c>
      <c r="C4077" s="421" t="s">
        <v>506</v>
      </c>
      <c r="D4077" s="422" t="s">
        <v>666</v>
      </c>
      <c r="E4077" s="111">
        <v>16348</v>
      </c>
      <c r="F4077" s="421" t="s">
        <v>7233</v>
      </c>
      <c r="G4077" s="112">
        <v>1</v>
      </c>
      <c r="H4077" s="112">
        <v>1</v>
      </c>
      <c r="I4077" s="112">
        <v>1</v>
      </c>
    </row>
    <row r="4078" spans="1:15" x14ac:dyDescent="0.2">
      <c r="A4078" s="111">
        <v>4199</v>
      </c>
      <c r="B4078" s="421" t="s">
        <v>7214</v>
      </c>
      <c r="C4078" s="421" t="s">
        <v>628</v>
      </c>
      <c r="D4078" s="422" t="s">
        <v>663</v>
      </c>
      <c r="E4078" s="111">
        <v>16348</v>
      </c>
      <c r="F4078" s="421" t="s">
        <v>7233</v>
      </c>
      <c r="G4078" s="112">
        <v>1</v>
      </c>
      <c r="H4078" s="112">
        <v>1</v>
      </c>
      <c r="I4078" s="112">
        <v>1</v>
      </c>
      <c r="J4078" s="112">
        <v>1</v>
      </c>
      <c r="K4078" s="112">
        <v>1</v>
      </c>
      <c r="L4078" s="112">
        <v>2</v>
      </c>
    </row>
    <row r="4079" spans="1:15" x14ac:dyDescent="0.2">
      <c r="A4079" s="111">
        <v>4200</v>
      </c>
      <c r="B4079" s="421" t="s">
        <v>7223</v>
      </c>
      <c r="C4079" s="421" t="s">
        <v>563</v>
      </c>
      <c r="D4079" s="422" t="s">
        <v>663</v>
      </c>
      <c r="E4079" s="111">
        <v>16350</v>
      </c>
      <c r="F4079" s="421" t="s">
        <v>7238</v>
      </c>
      <c r="G4079" s="112">
        <v>1</v>
      </c>
      <c r="H4079" s="112">
        <v>1</v>
      </c>
      <c r="I4079" s="112">
        <v>1</v>
      </c>
      <c r="J4079" s="112">
        <v>3</v>
      </c>
      <c r="K4079" s="112">
        <v>2</v>
      </c>
      <c r="L4079" s="112">
        <v>2</v>
      </c>
    </row>
    <row r="4080" spans="1:15" x14ac:dyDescent="0.2">
      <c r="A4080" s="111">
        <v>4201</v>
      </c>
      <c r="B4080" s="421" t="s">
        <v>7224</v>
      </c>
      <c r="C4080" s="421" t="s">
        <v>551</v>
      </c>
      <c r="D4080" s="422" t="s">
        <v>666</v>
      </c>
      <c r="E4080" s="111">
        <v>15058</v>
      </c>
      <c r="F4080" s="421" t="s">
        <v>3031</v>
      </c>
      <c r="G4080" s="112">
        <v>1</v>
      </c>
      <c r="H4080" s="112">
        <v>1</v>
      </c>
      <c r="I4080" s="112">
        <v>1</v>
      </c>
      <c r="J4080" s="112">
        <v>1</v>
      </c>
      <c r="K4080" s="112">
        <v>1</v>
      </c>
      <c r="L4080" s="112">
        <v>1</v>
      </c>
      <c r="M4080" s="112">
        <v>3</v>
      </c>
      <c r="N4080" s="112">
        <v>2</v>
      </c>
      <c r="O4080" s="112">
        <v>1</v>
      </c>
    </row>
    <row r="4081" spans="1:15" x14ac:dyDescent="0.2">
      <c r="A4081" s="111">
        <v>4202</v>
      </c>
      <c r="B4081" s="421" t="s">
        <v>1393</v>
      </c>
      <c r="C4081" s="421" t="s">
        <v>501</v>
      </c>
      <c r="D4081" s="422" t="s">
        <v>666</v>
      </c>
      <c r="E4081" s="111">
        <v>15581</v>
      </c>
      <c r="F4081" s="421" t="s">
        <v>4754</v>
      </c>
    </row>
    <row r="4082" spans="1:15" x14ac:dyDescent="0.2">
      <c r="A4082" s="111">
        <v>4203</v>
      </c>
      <c r="B4082" s="421" t="s">
        <v>78</v>
      </c>
      <c r="C4082" s="421" t="s">
        <v>551</v>
      </c>
      <c r="D4082" s="422" t="s">
        <v>663</v>
      </c>
      <c r="E4082" s="111">
        <v>15529</v>
      </c>
      <c r="F4082" s="421" t="s">
        <v>4719</v>
      </c>
      <c r="G4082" s="112">
        <v>1</v>
      </c>
      <c r="H4082" s="112">
        <v>1</v>
      </c>
      <c r="I4082" s="112">
        <v>1</v>
      </c>
      <c r="J4082" s="112">
        <v>5</v>
      </c>
      <c r="K4082" s="112">
        <v>6</v>
      </c>
      <c r="L4082" s="112">
        <v>6</v>
      </c>
      <c r="M4082" s="112">
        <v>2</v>
      </c>
      <c r="N4082" s="112">
        <v>2</v>
      </c>
      <c r="O4082" s="112">
        <v>5</v>
      </c>
    </row>
    <row r="4083" spans="1:15" x14ac:dyDescent="0.2">
      <c r="A4083" s="111">
        <v>4204</v>
      </c>
      <c r="B4083" s="421" t="s">
        <v>7222</v>
      </c>
      <c r="C4083" s="421" t="s">
        <v>513</v>
      </c>
      <c r="D4083" s="422" t="s">
        <v>666</v>
      </c>
      <c r="E4083" s="111">
        <v>16353</v>
      </c>
      <c r="F4083" s="421" t="s">
        <v>7237</v>
      </c>
      <c r="G4083" s="112">
        <v>1</v>
      </c>
      <c r="H4083" s="112">
        <v>1</v>
      </c>
      <c r="I4083" s="112">
        <v>1</v>
      </c>
      <c r="J4083" s="112">
        <v>4</v>
      </c>
      <c r="K4083" s="112">
        <v>3</v>
      </c>
      <c r="L4083" s="112">
        <v>1</v>
      </c>
    </row>
    <row r="4084" spans="1:15" x14ac:dyDescent="0.2">
      <c r="A4084" s="111">
        <v>4205</v>
      </c>
      <c r="B4084" s="421" t="s">
        <v>7221</v>
      </c>
      <c r="C4084" s="421" t="s">
        <v>513</v>
      </c>
      <c r="D4084" s="422" t="s">
        <v>663</v>
      </c>
      <c r="E4084" s="111">
        <v>16353</v>
      </c>
      <c r="F4084" s="421" t="s">
        <v>7237</v>
      </c>
      <c r="G4084" s="112">
        <v>3</v>
      </c>
      <c r="H4084" s="112">
        <v>1</v>
      </c>
      <c r="I4084" s="112">
        <v>1</v>
      </c>
      <c r="J4084" s="112">
        <v>4</v>
      </c>
      <c r="K4084" s="112">
        <v>4</v>
      </c>
      <c r="L4084" s="112">
        <v>4</v>
      </c>
      <c r="M4084" s="112">
        <v>1</v>
      </c>
      <c r="N4084" s="112">
        <v>1</v>
      </c>
      <c r="O4084" s="112">
        <v>1</v>
      </c>
    </row>
    <row r="4085" spans="1:15" x14ac:dyDescent="0.2">
      <c r="A4085" s="111">
        <v>4206</v>
      </c>
      <c r="B4085" s="421" t="s">
        <v>7225</v>
      </c>
      <c r="C4085" s="421" t="s">
        <v>574</v>
      </c>
      <c r="D4085" s="422" t="s">
        <v>663</v>
      </c>
      <c r="E4085" s="111">
        <v>14692</v>
      </c>
      <c r="F4085" s="421" t="s">
        <v>974</v>
      </c>
      <c r="G4085" s="112">
        <v>1</v>
      </c>
      <c r="H4085" s="112">
        <v>1</v>
      </c>
      <c r="I4085" s="112">
        <v>1</v>
      </c>
      <c r="J4085" s="112">
        <v>1</v>
      </c>
      <c r="K4085" s="112">
        <v>1</v>
      </c>
    </row>
    <row r="4086" spans="1:15" x14ac:dyDescent="0.2">
      <c r="A4086" s="111">
        <v>4207</v>
      </c>
      <c r="B4086" s="421" t="s">
        <v>7262</v>
      </c>
      <c r="C4086" s="421" t="s">
        <v>6561</v>
      </c>
      <c r="D4086" s="422" t="s">
        <v>663</v>
      </c>
      <c r="E4086" s="111">
        <v>16355</v>
      </c>
      <c r="F4086" s="421" t="s">
        <v>7263</v>
      </c>
      <c r="G4086" s="112">
        <v>1</v>
      </c>
      <c r="H4086" s="112">
        <v>1</v>
      </c>
      <c r="I4086" s="112">
        <v>1</v>
      </c>
      <c r="J4086" s="112">
        <v>5</v>
      </c>
      <c r="K4086" s="112">
        <v>5</v>
      </c>
      <c r="L4086" s="112">
        <v>3</v>
      </c>
      <c r="M4086" s="112">
        <v>2</v>
      </c>
      <c r="O4086" s="112">
        <v>1</v>
      </c>
    </row>
    <row r="4087" spans="1:15" x14ac:dyDescent="0.2">
      <c r="A4087" s="111">
        <v>4208</v>
      </c>
      <c r="B4087" s="421" t="s">
        <v>7264</v>
      </c>
      <c r="C4087" s="421" t="s">
        <v>585</v>
      </c>
      <c r="D4087" s="422" t="s">
        <v>666</v>
      </c>
      <c r="E4087" s="111">
        <v>16355</v>
      </c>
      <c r="F4087" s="421" t="s">
        <v>7263</v>
      </c>
    </row>
    <row r="4088" spans="1:15" x14ac:dyDescent="0.2">
      <c r="A4088" s="111">
        <v>4209</v>
      </c>
      <c r="B4088" s="421" t="s">
        <v>7265</v>
      </c>
      <c r="C4088" s="421" t="s">
        <v>518</v>
      </c>
      <c r="D4088" s="422" t="s">
        <v>666</v>
      </c>
      <c r="E4088" s="111">
        <v>16360</v>
      </c>
      <c r="F4088" s="421" t="s">
        <v>7266</v>
      </c>
      <c r="G4088" s="112">
        <v>1</v>
      </c>
      <c r="H4088" s="112">
        <v>1</v>
      </c>
      <c r="I4088" s="112">
        <v>1</v>
      </c>
    </row>
    <row r="4089" spans="1:15" x14ac:dyDescent="0.2">
      <c r="A4089" s="111">
        <v>4210</v>
      </c>
      <c r="B4089" s="421" t="s">
        <v>1617</v>
      </c>
      <c r="C4089" s="421" t="s">
        <v>4162</v>
      </c>
      <c r="D4089" s="422" t="s">
        <v>666</v>
      </c>
      <c r="E4089" s="111">
        <v>16357</v>
      </c>
      <c r="F4089" s="421" t="s">
        <v>7267</v>
      </c>
      <c r="G4089" s="112">
        <v>1</v>
      </c>
      <c r="H4089" s="112">
        <v>1</v>
      </c>
      <c r="I4089" s="112">
        <v>1</v>
      </c>
      <c r="J4089" s="112">
        <v>1</v>
      </c>
      <c r="K4089" s="112">
        <v>1</v>
      </c>
      <c r="L4089" s="112">
        <v>1</v>
      </c>
      <c r="M4089" s="112">
        <v>1</v>
      </c>
      <c r="N4089" s="112">
        <v>1</v>
      </c>
      <c r="O4089" s="112">
        <v>1</v>
      </c>
    </row>
    <row r="4090" spans="1:15" x14ac:dyDescent="0.2">
      <c r="A4090" s="111">
        <v>4211</v>
      </c>
      <c r="B4090" s="421" t="s">
        <v>632</v>
      </c>
      <c r="C4090" s="421" t="s">
        <v>503</v>
      </c>
      <c r="D4090" s="422" t="s">
        <v>666</v>
      </c>
      <c r="E4090" s="111">
        <v>16358</v>
      </c>
      <c r="F4090" s="421" t="s">
        <v>7268</v>
      </c>
      <c r="G4090" s="112">
        <v>1</v>
      </c>
      <c r="H4090" s="112">
        <v>1</v>
      </c>
      <c r="I4090" s="112">
        <v>1</v>
      </c>
    </row>
    <row r="4091" spans="1:15" x14ac:dyDescent="0.2">
      <c r="A4091" s="111">
        <v>4212</v>
      </c>
      <c r="B4091" s="421" t="s">
        <v>159</v>
      </c>
      <c r="C4091" s="421" t="s">
        <v>506</v>
      </c>
      <c r="D4091" s="422" t="s">
        <v>663</v>
      </c>
      <c r="F4091" s="421" t="s">
        <v>7269</v>
      </c>
      <c r="G4091" s="112">
        <v>2</v>
      </c>
      <c r="H4091" s="112">
        <v>1</v>
      </c>
    </row>
    <row r="4092" spans="1:15" x14ac:dyDescent="0.2">
      <c r="A4092" s="111">
        <v>4213</v>
      </c>
      <c r="B4092" s="421" t="s">
        <v>392</v>
      </c>
      <c r="C4092" s="421" t="s">
        <v>1915</v>
      </c>
      <c r="D4092" s="422" t="s">
        <v>666</v>
      </c>
      <c r="E4092" s="111">
        <v>14825</v>
      </c>
      <c r="F4092" s="421" t="s">
        <v>2479</v>
      </c>
      <c r="G4092" s="112">
        <v>2</v>
      </c>
      <c r="H4092" s="112">
        <v>2</v>
      </c>
      <c r="I4092" s="112">
        <v>1</v>
      </c>
      <c r="J4092" s="112">
        <v>11</v>
      </c>
      <c r="K4092" s="112">
        <v>10</v>
      </c>
      <c r="L4092" s="112">
        <v>11</v>
      </c>
      <c r="M4092" s="112">
        <v>11</v>
      </c>
      <c r="N4092" s="112">
        <v>8</v>
      </c>
      <c r="O4092" s="112">
        <v>8</v>
      </c>
    </row>
    <row r="4093" spans="1:15" x14ac:dyDescent="0.2">
      <c r="A4093" s="111">
        <v>4214</v>
      </c>
      <c r="B4093" s="421" t="s">
        <v>1490</v>
      </c>
      <c r="C4093" s="421" t="s">
        <v>551</v>
      </c>
      <c r="D4093" s="422" t="s">
        <v>666</v>
      </c>
      <c r="E4093" s="111">
        <v>16419</v>
      </c>
      <c r="F4093" s="421" t="s">
        <v>7270</v>
      </c>
      <c r="G4093" s="112">
        <v>1</v>
      </c>
      <c r="H4093" s="112">
        <v>1</v>
      </c>
      <c r="I4093" s="112">
        <v>1</v>
      </c>
    </row>
    <row r="4094" spans="1:15" x14ac:dyDescent="0.2">
      <c r="A4094" s="111">
        <v>4215</v>
      </c>
      <c r="B4094" s="421" t="s">
        <v>1327</v>
      </c>
      <c r="C4094" s="421" t="s">
        <v>572</v>
      </c>
      <c r="D4094" s="422" t="s">
        <v>663</v>
      </c>
      <c r="F4094" s="421" t="s">
        <v>7271</v>
      </c>
      <c r="G4094" s="112">
        <v>1</v>
      </c>
      <c r="H4094" s="112">
        <v>1</v>
      </c>
      <c r="I4094" s="112">
        <v>1</v>
      </c>
      <c r="J4094" s="112">
        <v>1</v>
      </c>
      <c r="K4094" s="112">
        <v>1</v>
      </c>
      <c r="L4094" s="112">
        <v>1</v>
      </c>
    </row>
    <row r="4095" spans="1:15" x14ac:dyDescent="0.2">
      <c r="A4095" s="111">
        <v>4216</v>
      </c>
      <c r="B4095" s="421" t="s">
        <v>7272</v>
      </c>
      <c r="C4095" s="421" t="s">
        <v>501</v>
      </c>
      <c r="D4095" s="422" t="s">
        <v>663</v>
      </c>
      <c r="E4095" s="111">
        <v>16359</v>
      </c>
      <c r="F4095" s="421" t="s">
        <v>7273</v>
      </c>
    </row>
    <row r="4096" spans="1:15" x14ac:dyDescent="0.2">
      <c r="A4096" s="111">
        <v>4217</v>
      </c>
      <c r="B4096" s="421" t="s">
        <v>4198</v>
      </c>
      <c r="C4096" s="421" t="s">
        <v>551</v>
      </c>
      <c r="D4096" s="422" t="s">
        <v>666</v>
      </c>
      <c r="F4096" s="421" t="s">
        <v>7274</v>
      </c>
    </row>
    <row r="4097" spans="1:15" x14ac:dyDescent="0.2">
      <c r="A4097" s="111">
        <v>4218</v>
      </c>
      <c r="B4097" s="421" t="s">
        <v>1281</v>
      </c>
      <c r="C4097" s="421" t="s">
        <v>506</v>
      </c>
      <c r="D4097" s="422" t="s">
        <v>666</v>
      </c>
      <c r="E4097" s="111">
        <v>14576</v>
      </c>
      <c r="F4097" s="421" t="s">
        <v>1754</v>
      </c>
      <c r="G4097" s="112">
        <v>1</v>
      </c>
      <c r="H4097" s="112">
        <v>1</v>
      </c>
      <c r="I4097" s="112">
        <v>1</v>
      </c>
      <c r="J4097" s="112">
        <v>7</v>
      </c>
      <c r="K4097" s="112">
        <v>10</v>
      </c>
      <c r="L4097" s="112">
        <v>8</v>
      </c>
      <c r="M4097" s="112">
        <v>11</v>
      </c>
      <c r="N4097" s="112">
        <v>6</v>
      </c>
      <c r="O4097" s="112">
        <v>9</v>
      </c>
    </row>
    <row r="4098" spans="1:15" x14ac:dyDescent="0.2">
      <c r="A4098" s="111">
        <v>4219</v>
      </c>
      <c r="B4098" s="421" t="s">
        <v>7275</v>
      </c>
      <c r="C4098" s="421" t="s">
        <v>506</v>
      </c>
      <c r="D4098" s="422" t="s">
        <v>663</v>
      </c>
      <c r="E4098" s="111">
        <v>16245</v>
      </c>
      <c r="F4098" s="421" t="s">
        <v>6818</v>
      </c>
      <c r="G4098" s="112">
        <v>1</v>
      </c>
    </row>
    <row r="4099" spans="1:15" x14ac:dyDescent="0.2">
      <c r="A4099" s="111">
        <v>4220</v>
      </c>
      <c r="B4099" s="421" t="s">
        <v>7276</v>
      </c>
      <c r="C4099" s="421" t="s">
        <v>510</v>
      </c>
      <c r="D4099" s="422" t="s">
        <v>663</v>
      </c>
      <c r="E4099" s="111">
        <v>16361</v>
      </c>
      <c r="F4099" s="421" t="s">
        <v>7277</v>
      </c>
      <c r="G4099" s="112">
        <v>1</v>
      </c>
      <c r="H4099" s="112">
        <v>1</v>
      </c>
      <c r="I4099" s="112">
        <v>1</v>
      </c>
    </row>
    <row r="4100" spans="1:15" x14ac:dyDescent="0.2">
      <c r="A4100" s="111">
        <v>4221</v>
      </c>
      <c r="B4100" s="421" t="s">
        <v>7278</v>
      </c>
      <c r="C4100" s="421" t="s">
        <v>510</v>
      </c>
      <c r="D4100" s="422" t="s">
        <v>663</v>
      </c>
      <c r="E4100" s="111">
        <v>16362</v>
      </c>
      <c r="F4100" s="421" t="s">
        <v>3348</v>
      </c>
    </row>
    <row r="4101" spans="1:15" x14ac:dyDescent="0.2">
      <c r="A4101" s="111">
        <v>4222</v>
      </c>
      <c r="B4101" s="421" t="s">
        <v>7279</v>
      </c>
      <c r="C4101" s="421" t="s">
        <v>586</v>
      </c>
      <c r="D4101" s="422" t="s">
        <v>663</v>
      </c>
      <c r="E4101" s="111">
        <v>16363</v>
      </c>
      <c r="F4101" s="421" t="s">
        <v>7280</v>
      </c>
      <c r="G4101" s="112">
        <v>1</v>
      </c>
      <c r="H4101" s="112">
        <v>1</v>
      </c>
      <c r="I4101" s="112">
        <v>1</v>
      </c>
      <c r="J4101" s="112">
        <v>7</v>
      </c>
      <c r="K4101" s="112">
        <v>7</v>
      </c>
      <c r="L4101" s="112">
        <v>6</v>
      </c>
      <c r="M4101" s="112">
        <v>6</v>
      </c>
      <c r="N4101" s="112">
        <v>4</v>
      </c>
      <c r="O4101" s="112">
        <v>4</v>
      </c>
    </row>
    <row r="4102" spans="1:15" x14ac:dyDescent="0.2">
      <c r="A4102" s="111">
        <v>4223</v>
      </c>
      <c r="B4102" s="421" t="s">
        <v>7347</v>
      </c>
      <c r="C4102" s="421" t="s">
        <v>577</v>
      </c>
      <c r="D4102" s="422" t="s">
        <v>666</v>
      </c>
      <c r="E4102" s="111">
        <v>16364</v>
      </c>
      <c r="F4102" s="421" t="s">
        <v>7356</v>
      </c>
    </row>
    <row r="4103" spans="1:15" x14ac:dyDescent="0.2">
      <c r="A4103" s="111">
        <v>4224</v>
      </c>
      <c r="B4103" s="421" t="s">
        <v>2974</v>
      </c>
      <c r="C4103" s="421" t="s">
        <v>517</v>
      </c>
      <c r="D4103" s="422" t="s">
        <v>663</v>
      </c>
      <c r="E4103" s="111">
        <v>16365</v>
      </c>
      <c r="F4103" s="421" t="s">
        <v>7366</v>
      </c>
      <c r="G4103" s="112">
        <v>1</v>
      </c>
      <c r="H4103" s="112">
        <v>1</v>
      </c>
      <c r="I4103" s="112">
        <v>1</v>
      </c>
      <c r="J4103" s="112">
        <v>1</v>
      </c>
      <c r="K4103" s="112">
        <v>1</v>
      </c>
      <c r="L4103" s="112">
        <v>1</v>
      </c>
      <c r="M4103" s="112">
        <v>1</v>
      </c>
    </row>
    <row r="4104" spans="1:15" x14ac:dyDescent="0.2">
      <c r="A4104" s="111">
        <v>4225</v>
      </c>
      <c r="B4104" s="421" t="s">
        <v>7353</v>
      </c>
      <c r="C4104" s="421" t="s">
        <v>516</v>
      </c>
      <c r="D4104" s="422" t="s">
        <v>663</v>
      </c>
      <c r="E4104" s="111">
        <v>16367</v>
      </c>
      <c r="F4104" s="421" t="s">
        <v>7365</v>
      </c>
      <c r="G4104" s="112">
        <v>1</v>
      </c>
      <c r="H4104" s="112">
        <v>1</v>
      </c>
      <c r="I4104" s="112">
        <v>1</v>
      </c>
      <c r="J4104" s="112">
        <v>1</v>
      </c>
      <c r="K4104" s="112">
        <v>1</v>
      </c>
    </row>
    <row r="4105" spans="1:15" x14ac:dyDescent="0.2">
      <c r="A4105" s="111">
        <v>4226</v>
      </c>
      <c r="B4105" s="421" t="s">
        <v>7351</v>
      </c>
      <c r="C4105" s="421" t="s">
        <v>2146</v>
      </c>
      <c r="D4105" s="422" t="s">
        <v>666</v>
      </c>
      <c r="E4105" s="111">
        <v>16368</v>
      </c>
      <c r="F4105" s="421" t="s">
        <v>7364</v>
      </c>
    </row>
    <row r="4106" spans="1:15" x14ac:dyDescent="0.2">
      <c r="A4106" s="111">
        <v>4227</v>
      </c>
      <c r="B4106" s="421" t="s">
        <v>7345</v>
      </c>
      <c r="C4106" s="421" t="s">
        <v>1201</v>
      </c>
      <c r="D4106" s="422" t="s">
        <v>666</v>
      </c>
      <c r="E4106" s="111">
        <v>16369</v>
      </c>
      <c r="F4106" s="421" t="s">
        <v>7355</v>
      </c>
    </row>
    <row r="4107" spans="1:15" x14ac:dyDescent="0.2">
      <c r="A4107" s="111">
        <v>4228</v>
      </c>
      <c r="B4107" s="421" t="s">
        <v>2590</v>
      </c>
      <c r="C4107" s="421" t="s">
        <v>1446</v>
      </c>
      <c r="D4107" s="422" t="s">
        <v>666</v>
      </c>
      <c r="E4107" s="111">
        <v>16490</v>
      </c>
      <c r="F4107" s="421" t="s">
        <v>10256</v>
      </c>
      <c r="G4107" s="112">
        <v>1</v>
      </c>
      <c r="H4107" s="112">
        <v>1</v>
      </c>
      <c r="I4107" s="112">
        <v>1</v>
      </c>
      <c r="J4107" s="112">
        <v>2</v>
      </c>
      <c r="K4107" s="112">
        <v>2</v>
      </c>
      <c r="L4107" s="112">
        <v>2</v>
      </c>
      <c r="M4107" s="112">
        <v>3</v>
      </c>
      <c r="N4107" s="112">
        <v>1</v>
      </c>
      <c r="O4107" s="112">
        <v>2</v>
      </c>
    </row>
    <row r="4108" spans="1:15" x14ac:dyDescent="0.2">
      <c r="A4108" s="111">
        <v>4229</v>
      </c>
      <c r="B4108" s="421" t="s">
        <v>7352</v>
      </c>
      <c r="C4108" s="421" t="s">
        <v>547</v>
      </c>
      <c r="D4108" s="422" t="s">
        <v>666</v>
      </c>
      <c r="E4108" s="111">
        <v>16503</v>
      </c>
      <c r="F4108" s="421" t="s">
        <v>3214</v>
      </c>
      <c r="G4108" s="112">
        <v>1</v>
      </c>
      <c r="H4108" s="112">
        <v>1</v>
      </c>
      <c r="I4108" s="112">
        <v>1</v>
      </c>
      <c r="J4108" s="112">
        <v>2</v>
      </c>
      <c r="K4108" s="112">
        <v>1</v>
      </c>
      <c r="L4108" s="112">
        <v>2</v>
      </c>
    </row>
    <row r="4109" spans="1:15" x14ac:dyDescent="0.2">
      <c r="A4109" s="111">
        <v>4230</v>
      </c>
      <c r="B4109" s="421" t="s">
        <v>3014</v>
      </c>
      <c r="C4109" s="421" t="s">
        <v>510</v>
      </c>
      <c r="D4109" s="422"/>
      <c r="E4109" s="111">
        <v>14729</v>
      </c>
      <c r="F4109" s="421" t="s">
        <v>2192</v>
      </c>
      <c r="G4109" s="112">
        <v>1</v>
      </c>
      <c r="H4109" s="112">
        <v>1</v>
      </c>
      <c r="I4109" s="112">
        <v>1</v>
      </c>
      <c r="J4109" s="112">
        <v>4</v>
      </c>
      <c r="K4109" s="112">
        <v>4</v>
      </c>
      <c r="L4109" s="112">
        <v>4</v>
      </c>
      <c r="M4109" s="112">
        <v>17</v>
      </c>
      <c r="N4109" s="112">
        <v>14</v>
      </c>
      <c r="O4109" s="112">
        <v>13</v>
      </c>
    </row>
    <row r="4110" spans="1:15" x14ac:dyDescent="0.2">
      <c r="A4110" s="111">
        <v>4231</v>
      </c>
      <c r="B4110" s="421" t="s">
        <v>7354</v>
      </c>
      <c r="C4110" s="421" t="s">
        <v>551</v>
      </c>
      <c r="D4110" s="422" t="s">
        <v>666</v>
      </c>
      <c r="E4110" s="111">
        <v>15755</v>
      </c>
      <c r="F4110" s="421" t="s">
        <v>5324</v>
      </c>
    </row>
    <row r="4111" spans="1:15" x14ac:dyDescent="0.2">
      <c r="A4111" s="111">
        <v>4232</v>
      </c>
      <c r="B4111" s="421" t="s">
        <v>119</v>
      </c>
      <c r="C4111" s="421" t="s">
        <v>501</v>
      </c>
      <c r="D4111" s="422" t="s">
        <v>663</v>
      </c>
      <c r="E4111" s="111">
        <v>16370</v>
      </c>
      <c r="F4111" s="421" t="s">
        <v>7369</v>
      </c>
      <c r="G4111" s="112">
        <v>1</v>
      </c>
      <c r="H4111" s="112">
        <v>1</v>
      </c>
      <c r="I4111" s="112">
        <v>1</v>
      </c>
      <c r="J4111" s="112">
        <v>13</v>
      </c>
      <c r="K4111" s="112">
        <v>10</v>
      </c>
      <c r="L4111" s="112">
        <v>11</v>
      </c>
      <c r="M4111" s="112">
        <v>16</v>
      </c>
      <c r="N4111" s="112">
        <v>16</v>
      </c>
      <c r="O4111" s="112">
        <v>14</v>
      </c>
    </row>
    <row r="4112" spans="1:15" x14ac:dyDescent="0.2">
      <c r="A4112" s="111">
        <v>4233</v>
      </c>
      <c r="B4112" s="421" t="s">
        <v>93</v>
      </c>
      <c r="C4112" s="421" t="s">
        <v>1994</v>
      </c>
      <c r="D4112" s="422" t="s">
        <v>663</v>
      </c>
      <c r="E4112" s="111">
        <v>16422</v>
      </c>
      <c r="F4112" s="421" t="s">
        <v>7357</v>
      </c>
      <c r="G4112" s="112">
        <v>1</v>
      </c>
      <c r="H4112" s="112">
        <v>1</v>
      </c>
      <c r="I4112" s="112">
        <v>1</v>
      </c>
    </row>
    <row r="4113" spans="1:15" x14ac:dyDescent="0.2">
      <c r="A4113" s="111">
        <v>4234</v>
      </c>
      <c r="B4113" s="421" t="s">
        <v>431</v>
      </c>
      <c r="C4113" s="421" t="s">
        <v>517</v>
      </c>
      <c r="D4113" s="422" t="s">
        <v>666</v>
      </c>
      <c r="E4113" s="111">
        <v>16365</v>
      </c>
      <c r="F4113" s="421" t="s">
        <v>7366</v>
      </c>
    </row>
    <row r="4114" spans="1:15" x14ac:dyDescent="0.2">
      <c r="A4114" s="111">
        <v>4235</v>
      </c>
      <c r="B4114" s="421" t="s">
        <v>119</v>
      </c>
      <c r="C4114" s="421" t="s">
        <v>501</v>
      </c>
      <c r="D4114" s="422" t="s">
        <v>663</v>
      </c>
      <c r="E4114" s="111">
        <v>15450</v>
      </c>
      <c r="F4114" s="421" t="s">
        <v>3734</v>
      </c>
    </row>
    <row r="4115" spans="1:15" x14ac:dyDescent="0.2">
      <c r="A4115" s="111">
        <v>4236</v>
      </c>
      <c r="B4115" s="421" t="s">
        <v>1938</v>
      </c>
      <c r="C4115" s="421" t="s">
        <v>572</v>
      </c>
      <c r="D4115" s="422" t="s">
        <v>663</v>
      </c>
      <c r="E4115" s="111">
        <v>16372</v>
      </c>
      <c r="F4115" s="421" t="s">
        <v>7370</v>
      </c>
      <c r="G4115" s="112">
        <v>1</v>
      </c>
      <c r="H4115" s="112">
        <v>1</v>
      </c>
      <c r="I4115" s="112">
        <v>1</v>
      </c>
      <c r="J4115" s="112">
        <v>1</v>
      </c>
      <c r="K4115" s="112">
        <v>1</v>
      </c>
      <c r="L4115" s="112">
        <v>1</v>
      </c>
    </row>
    <row r="4116" spans="1:15" x14ac:dyDescent="0.2">
      <c r="A4116" s="111">
        <v>4237</v>
      </c>
      <c r="B4116" s="421" t="s">
        <v>5501</v>
      </c>
      <c r="C4116" s="421" t="s">
        <v>537</v>
      </c>
      <c r="D4116" s="422" t="s">
        <v>666</v>
      </c>
      <c r="E4116" s="111">
        <v>16375</v>
      </c>
      <c r="F4116" s="421" t="s">
        <v>7358</v>
      </c>
    </row>
    <row r="4117" spans="1:15" x14ac:dyDescent="0.2">
      <c r="A4117" s="111">
        <v>4238</v>
      </c>
      <c r="B4117" s="421" t="s">
        <v>48</v>
      </c>
      <c r="C4117" s="421" t="s">
        <v>628</v>
      </c>
      <c r="D4117" s="422" t="s">
        <v>663</v>
      </c>
      <c r="E4117" s="111">
        <v>16374</v>
      </c>
      <c r="F4117" s="421" t="s">
        <v>7367</v>
      </c>
      <c r="G4117" s="112">
        <v>1</v>
      </c>
      <c r="H4117" s="112">
        <v>1</v>
      </c>
      <c r="I4117" s="112">
        <v>1</v>
      </c>
      <c r="J4117" s="112">
        <v>10</v>
      </c>
      <c r="K4117" s="112">
        <v>9</v>
      </c>
      <c r="L4117" s="112">
        <v>10</v>
      </c>
      <c r="M4117" s="112">
        <v>7</v>
      </c>
      <c r="N4117" s="112">
        <v>4</v>
      </c>
      <c r="O4117" s="112">
        <v>3</v>
      </c>
    </row>
    <row r="4118" spans="1:15" x14ac:dyDescent="0.2">
      <c r="A4118" s="111">
        <v>4239</v>
      </c>
      <c r="B4118" s="421" t="s">
        <v>80</v>
      </c>
      <c r="C4118" s="421" t="s">
        <v>1870</v>
      </c>
      <c r="D4118" s="422" t="s">
        <v>663</v>
      </c>
      <c r="E4118" s="111">
        <v>16324</v>
      </c>
      <c r="F4118" s="421" t="s">
        <v>7368</v>
      </c>
    </row>
    <row r="4119" spans="1:15" x14ac:dyDescent="0.2">
      <c r="A4119" s="111">
        <v>4240</v>
      </c>
      <c r="B4119" s="421" t="s">
        <v>1245</v>
      </c>
      <c r="C4119" s="421" t="s">
        <v>577</v>
      </c>
      <c r="D4119" s="422" t="s">
        <v>663</v>
      </c>
      <c r="F4119" s="421" t="s">
        <v>7363</v>
      </c>
      <c r="G4119" s="112">
        <v>1</v>
      </c>
      <c r="H4119" s="112">
        <v>1</v>
      </c>
      <c r="I4119" s="112">
        <v>1</v>
      </c>
      <c r="J4119" s="112">
        <v>3</v>
      </c>
      <c r="K4119" s="112">
        <v>2</v>
      </c>
      <c r="L4119" s="112">
        <v>3</v>
      </c>
      <c r="M4119" s="112">
        <v>2</v>
      </c>
      <c r="O4119" s="112">
        <v>2</v>
      </c>
    </row>
    <row r="4120" spans="1:15" x14ac:dyDescent="0.2">
      <c r="A4120" s="111">
        <v>4241</v>
      </c>
      <c r="B4120" s="421" t="s">
        <v>7350</v>
      </c>
      <c r="C4120" s="421" t="s">
        <v>551</v>
      </c>
      <c r="D4120" s="422" t="s">
        <v>663</v>
      </c>
      <c r="E4120" s="111">
        <v>16376</v>
      </c>
      <c r="F4120" s="421" t="s">
        <v>7362</v>
      </c>
      <c r="G4120" s="112">
        <v>1</v>
      </c>
      <c r="H4120" s="112">
        <v>1</v>
      </c>
      <c r="I4120" s="112">
        <v>1</v>
      </c>
    </row>
    <row r="4121" spans="1:15" x14ac:dyDescent="0.2">
      <c r="A4121" s="111">
        <v>4242</v>
      </c>
      <c r="B4121" s="421" t="s">
        <v>7348</v>
      </c>
      <c r="C4121" s="421" t="s">
        <v>509</v>
      </c>
      <c r="D4121" s="422" t="s">
        <v>663</v>
      </c>
      <c r="E4121" s="111">
        <v>16377</v>
      </c>
      <c r="F4121" s="421" t="s">
        <v>7359</v>
      </c>
      <c r="G4121" s="112">
        <v>2</v>
      </c>
      <c r="H4121" s="112">
        <v>1</v>
      </c>
      <c r="I4121" s="112">
        <v>2</v>
      </c>
      <c r="J4121" s="112">
        <v>4</v>
      </c>
      <c r="K4121" s="112">
        <v>3</v>
      </c>
      <c r="L4121" s="112">
        <v>3</v>
      </c>
      <c r="M4121" s="112">
        <v>3</v>
      </c>
      <c r="N4121" s="112">
        <v>3</v>
      </c>
      <c r="O4121" s="112">
        <v>2</v>
      </c>
    </row>
    <row r="4122" spans="1:15" x14ac:dyDescent="0.2">
      <c r="A4122" s="111">
        <v>4243</v>
      </c>
      <c r="B4122" s="421" t="s">
        <v>3429</v>
      </c>
      <c r="C4122" s="421" t="s">
        <v>570</v>
      </c>
      <c r="D4122" s="422" t="s">
        <v>666</v>
      </c>
      <c r="E4122" s="111">
        <v>16378</v>
      </c>
      <c r="F4122" s="421" t="s">
        <v>7361</v>
      </c>
    </row>
    <row r="4123" spans="1:15" x14ac:dyDescent="0.2">
      <c r="A4123" s="111">
        <v>4244</v>
      </c>
      <c r="B4123" s="421" t="s">
        <v>7349</v>
      </c>
      <c r="C4123" s="421" t="s">
        <v>577</v>
      </c>
      <c r="D4123" s="422" t="s">
        <v>666</v>
      </c>
      <c r="F4123" s="421" t="s">
        <v>7360</v>
      </c>
    </row>
    <row r="4124" spans="1:15" x14ac:dyDescent="0.2">
      <c r="A4124" s="111">
        <v>4245</v>
      </c>
      <c r="B4124" s="421" t="s">
        <v>2168</v>
      </c>
      <c r="C4124" s="421" t="s">
        <v>512</v>
      </c>
      <c r="D4124" s="422" t="s">
        <v>663</v>
      </c>
      <c r="E4124" s="111">
        <v>14988</v>
      </c>
      <c r="F4124" s="421" t="s">
        <v>2867</v>
      </c>
      <c r="G4124" s="112">
        <v>1</v>
      </c>
      <c r="H4124" s="112">
        <v>1</v>
      </c>
      <c r="I4124" s="112">
        <v>1</v>
      </c>
      <c r="K4124" s="112">
        <v>1</v>
      </c>
      <c r="L4124" s="112">
        <v>1</v>
      </c>
    </row>
    <row r="4125" spans="1:15" x14ac:dyDescent="0.2">
      <c r="A4125" s="111">
        <v>4246</v>
      </c>
      <c r="B4125" s="421" t="s">
        <v>2215</v>
      </c>
      <c r="C4125" s="421" t="s">
        <v>533</v>
      </c>
      <c r="D4125" s="422" t="s">
        <v>663</v>
      </c>
      <c r="E4125" s="111">
        <v>15239</v>
      </c>
      <c r="F4125" s="421" t="s">
        <v>5063</v>
      </c>
      <c r="G4125" s="112">
        <v>2</v>
      </c>
      <c r="H4125" s="112">
        <v>1</v>
      </c>
      <c r="I4125" s="112">
        <v>3</v>
      </c>
      <c r="J4125" s="112">
        <v>9</v>
      </c>
      <c r="K4125" s="112">
        <v>8</v>
      </c>
      <c r="L4125" s="112">
        <v>10</v>
      </c>
      <c r="M4125" s="112">
        <v>7</v>
      </c>
      <c r="N4125" s="112">
        <v>4</v>
      </c>
      <c r="O4125" s="112">
        <v>8</v>
      </c>
    </row>
    <row r="4126" spans="1:15" x14ac:dyDescent="0.2">
      <c r="A4126" s="111">
        <v>4247</v>
      </c>
      <c r="B4126" s="421" t="s">
        <v>7346</v>
      </c>
      <c r="C4126" s="421" t="s">
        <v>506</v>
      </c>
      <c r="D4126" s="422" t="s">
        <v>666</v>
      </c>
      <c r="E4126" s="111">
        <v>15911</v>
      </c>
      <c r="F4126" s="421" t="s">
        <v>3287</v>
      </c>
    </row>
    <row r="4127" spans="1:15" x14ac:dyDescent="0.2">
      <c r="A4127" s="111">
        <v>4248</v>
      </c>
      <c r="B4127" s="421" t="s">
        <v>7384</v>
      </c>
      <c r="C4127" s="421" t="s">
        <v>532</v>
      </c>
      <c r="D4127" s="422" t="s">
        <v>663</v>
      </c>
      <c r="E4127" s="111">
        <v>1493</v>
      </c>
      <c r="F4127" s="421" t="s">
        <v>2125</v>
      </c>
      <c r="G4127" s="112">
        <v>1</v>
      </c>
      <c r="H4127" s="112">
        <v>2</v>
      </c>
      <c r="I4127" s="112">
        <v>2</v>
      </c>
      <c r="J4127" s="112">
        <v>4</v>
      </c>
      <c r="K4127" s="112">
        <v>5</v>
      </c>
      <c r="L4127" s="112">
        <v>3</v>
      </c>
    </row>
    <row r="4128" spans="1:15" x14ac:dyDescent="0.2">
      <c r="A4128" s="111">
        <v>4249</v>
      </c>
      <c r="B4128" s="421" t="s">
        <v>7385</v>
      </c>
      <c r="C4128" s="421" t="s">
        <v>512</v>
      </c>
      <c r="D4128" s="422" t="s">
        <v>666</v>
      </c>
      <c r="E4128" s="111">
        <v>16380</v>
      </c>
      <c r="F4128" s="421" t="s">
        <v>7411</v>
      </c>
      <c r="G4128" s="112">
        <v>1</v>
      </c>
      <c r="H4128" s="112">
        <v>1</v>
      </c>
      <c r="I4128" s="112">
        <v>1</v>
      </c>
      <c r="J4128" s="112">
        <v>2</v>
      </c>
      <c r="K4128" s="112">
        <v>1</v>
      </c>
      <c r="L4128" s="112">
        <v>2</v>
      </c>
      <c r="M4128" s="112">
        <v>2</v>
      </c>
      <c r="N4128" s="112">
        <v>3</v>
      </c>
      <c r="O4128" s="112">
        <v>1</v>
      </c>
    </row>
    <row r="4129" spans="1:15" x14ac:dyDescent="0.2">
      <c r="A4129" s="111">
        <v>4250</v>
      </c>
      <c r="B4129" s="421" t="s">
        <v>7393</v>
      </c>
      <c r="C4129" s="421" t="s">
        <v>529</v>
      </c>
      <c r="D4129" s="422" t="s">
        <v>663</v>
      </c>
      <c r="E4129" s="111">
        <v>16381</v>
      </c>
      <c r="F4129" s="421" t="s">
        <v>7421</v>
      </c>
      <c r="G4129" s="112">
        <v>1</v>
      </c>
      <c r="H4129" s="112">
        <v>1</v>
      </c>
      <c r="I4129" s="112">
        <v>1</v>
      </c>
      <c r="J4129" s="112">
        <v>3</v>
      </c>
      <c r="K4129" s="112">
        <v>3</v>
      </c>
      <c r="L4129" s="112">
        <v>3</v>
      </c>
      <c r="M4129" s="112">
        <v>1</v>
      </c>
    </row>
    <row r="4130" spans="1:15" x14ac:dyDescent="0.2">
      <c r="A4130" s="111">
        <v>4251</v>
      </c>
      <c r="B4130" s="421" t="s">
        <v>7396</v>
      </c>
      <c r="C4130" s="421" t="s">
        <v>17459</v>
      </c>
      <c r="D4130" s="422" t="s">
        <v>663</v>
      </c>
      <c r="E4130" s="111">
        <v>16445</v>
      </c>
      <c r="F4130" s="421" t="s">
        <v>7426</v>
      </c>
      <c r="G4130" s="112">
        <v>2</v>
      </c>
      <c r="H4130" s="112">
        <v>2</v>
      </c>
      <c r="I4130" s="112">
        <v>2</v>
      </c>
      <c r="J4130" s="112">
        <v>1</v>
      </c>
      <c r="L4130" s="112">
        <v>1</v>
      </c>
    </row>
    <row r="4131" spans="1:15" x14ac:dyDescent="0.2">
      <c r="A4131" s="111">
        <v>4252</v>
      </c>
      <c r="B4131" s="421" t="s">
        <v>4824</v>
      </c>
      <c r="C4131" s="421" t="s">
        <v>4662</v>
      </c>
      <c r="D4131" s="422" t="s">
        <v>666</v>
      </c>
      <c r="E4131" s="111">
        <v>16382</v>
      </c>
      <c r="F4131" s="421" t="s">
        <v>6373</v>
      </c>
      <c r="G4131" s="112">
        <v>2</v>
      </c>
      <c r="H4131" s="112">
        <v>4</v>
      </c>
      <c r="I4131" s="112">
        <v>4</v>
      </c>
      <c r="J4131" s="112">
        <v>7</v>
      </c>
      <c r="K4131" s="112">
        <v>6</v>
      </c>
      <c r="L4131" s="112">
        <v>5</v>
      </c>
      <c r="M4131" s="112">
        <v>3</v>
      </c>
      <c r="N4131" s="112">
        <v>2</v>
      </c>
      <c r="O4131" s="112">
        <v>3</v>
      </c>
    </row>
    <row r="4132" spans="1:15" x14ac:dyDescent="0.2">
      <c r="A4132" s="111">
        <v>4253</v>
      </c>
      <c r="B4132" s="421" t="s">
        <v>7391</v>
      </c>
      <c r="C4132" s="421" t="s">
        <v>510</v>
      </c>
      <c r="D4132" s="422" t="s">
        <v>663</v>
      </c>
      <c r="E4132" s="111">
        <v>16383</v>
      </c>
      <c r="F4132" s="421" t="s">
        <v>7419</v>
      </c>
    </row>
    <row r="4133" spans="1:15" x14ac:dyDescent="0.2">
      <c r="A4133" s="111">
        <v>4254</v>
      </c>
      <c r="B4133" s="421" t="s">
        <v>7390</v>
      </c>
      <c r="C4133" s="421" t="s">
        <v>510</v>
      </c>
      <c r="D4133" s="422" t="s">
        <v>663</v>
      </c>
      <c r="E4133" s="111">
        <v>16383</v>
      </c>
      <c r="F4133" s="421" t="s">
        <v>7419</v>
      </c>
    </row>
    <row r="4134" spans="1:15" x14ac:dyDescent="0.2">
      <c r="A4134" s="111">
        <v>4255</v>
      </c>
      <c r="B4134" s="421" t="s">
        <v>1716</v>
      </c>
      <c r="C4134" s="421" t="s">
        <v>503</v>
      </c>
      <c r="D4134" s="422" t="s">
        <v>666</v>
      </c>
      <c r="E4134" s="111">
        <v>16026</v>
      </c>
      <c r="F4134" s="421" t="s">
        <v>6207</v>
      </c>
      <c r="G4134" s="112">
        <v>1</v>
      </c>
      <c r="H4134" s="112">
        <v>1</v>
      </c>
      <c r="I4134" s="112">
        <v>1</v>
      </c>
      <c r="J4134" s="112">
        <v>10</v>
      </c>
      <c r="K4134" s="112">
        <v>9</v>
      </c>
      <c r="L4134" s="112">
        <v>9</v>
      </c>
      <c r="M4134" s="112">
        <v>12</v>
      </c>
      <c r="N4134" s="112">
        <v>10</v>
      </c>
      <c r="O4134" s="112">
        <v>12</v>
      </c>
    </row>
    <row r="4135" spans="1:15" x14ac:dyDescent="0.2">
      <c r="A4135" s="111">
        <v>4256</v>
      </c>
      <c r="B4135" s="421" t="s">
        <v>7389</v>
      </c>
      <c r="C4135" s="421" t="s">
        <v>572</v>
      </c>
      <c r="D4135" s="422" t="s">
        <v>666</v>
      </c>
      <c r="E4135" s="111">
        <v>16384</v>
      </c>
      <c r="F4135" s="421" t="s">
        <v>7418</v>
      </c>
      <c r="G4135" s="112">
        <v>1</v>
      </c>
      <c r="H4135" s="112">
        <v>1</v>
      </c>
      <c r="I4135" s="112">
        <v>1</v>
      </c>
      <c r="J4135" s="112">
        <v>8</v>
      </c>
      <c r="K4135" s="112">
        <v>9</v>
      </c>
      <c r="L4135" s="112">
        <v>7</v>
      </c>
      <c r="M4135" s="112">
        <v>7</v>
      </c>
      <c r="N4135" s="112">
        <v>8</v>
      </c>
      <c r="O4135" s="112">
        <v>2</v>
      </c>
    </row>
    <row r="4136" spans="1:15" x14ac:dyDescent="0.2">
      <c r="A4136" s="111">
        <v>4257</v>
      </c>
      <c r="B4136" s="421" t="s">
        <v>7395</v>
      </c>
      <c r="C4136" s="421" t="s">
        <v>510</v>
      </c>
      <c r="D4136" s="422" t="s">
        <v>663</v>
      </c>
      <c r="E4136" s="111">
        <v>16485</v>
      </c>
      <c r="F4136" s="421" t="s">
        <v>7424</v>
      </c>
      <c r="G4136" s="112">
        <v>1</v>
      </c>
      <c r="H4136" s="112">
        <v>1</v>
      </c>
      <c r="I4136" s="112">
        <v>1</v>
      </c>
    </row>
    <row r="4137" spans="1:15" x14ac:dyDescent="0.2">
      <c r="A4137" s="111">
        <v>4258</v>
      </c>
      <c r="B4137" s="421" t="s">
        <v>6673</v>
      </c>
      <c r="C4137" s="421" t="s">
        <v>502</v>
      </c>
      <c r="D4137" s="422" t="s">
        <v>666</v>
      </c>
      <c r="E4137" s="111">
        <v>16385</v>
      </c>
      <c r="F4137" s="421" t="s">
        <v>7423</v>
      </c>
      <c r="G4137" s="112">
        <v>1</v>
      </c>
      <c r="H4137" s="112">
        <v>1</v>
      </c>
      <c r="I4137" s="112">
        <v>1</v>
      </c>
      <c r="J4137" s="112">
        <v>1</v>
      </c>
      <c r="K4137" s="112">
        <v>1</v>
      </c>
      <c r="L4137" s="112">
        <v>1</v>
      </c>
      <c r="M4137" s="112">
        <v>2</v>
      </c>
      <c r="N4137" s="112">
        <v>1</v>
      </c>
      <c r="O4137" s="112">
        <v>2</v>
      </c>
    </row>
    <row r="4138" spans="1:15" x14ac:dyDescent="0.2">
      <c r="A4138" s="111">
        <v>4259</v>
      </c>
      <c r="B4138" s="421" t="s">
        <v>166</v>
      </c>
      <c r="C4138" s="421" t="s">
        <v>533</v>
      </c>
      <c r="D4138" s="422" t="s">
        <v>663</v>
      </c>
      <c r="E4138" s="111">
        <v>16571</v>
      </c>
      <c r="F4138" s="421" t="s">
        <v>7409</v>
      </c>
      <c r="G4138" s="112">
        <v>1</v>
      </c>
      <c r="H4138" s="112">
        <v>1</v>
      </c>
    </row>
    <row r="4139" spans="1:15" x14ac:dyDescent="0.2">
      <c r="A4139" s="111">
        <v>4260</v>
      </c>
      <c r="B4139" s="421" t="s">
        <v>362</v>
      </c>
      <c r="C4139" s="421" t="s">
        <v>533</v>
      </c>
      <c r="D4139" s="422" t="s">
        <v>663</v>
      </c>
      <c r="E4139" s="111">
        <v>16577</v>
      </c>
      <c r="F4139" s="421" t="s">
        <v>7415</v>
      </c>
    </row>
    <row r="4140" spans="1:15" x14ac:dyDescent="0.2">
      <c r="A4140" s="111">
        <v>4261</v>
      </c>
      <c r="B4140" s="421" t="s">
        <v>7394</v>
      </c>
      <c r="C4140" s="421" t="s">
        <v>551</v>
      </c>
      <c r="D4140" s="422" t="s">
        <v>663</v>
      </c>
      <c r="E4140" s="111">
        <v>16386</v>
      </c>
      <c r="F4140" s="421" t="s">
        <v>7422</v>
      </c>
      <c r="G4140" s="112">
        <v>2</v>
      </c>
      <c r="H4140" s="112">
        <v>2</v>
      </c>
      <c r="I4140" s="112">
        <v>1</v>
      </c>
      <c r="K4140" s="112">
        <v>1</v>
      </c>
    </row>
    <row r="4141" spans="1:15" x14ac:dyDescent="0.2">
      <c r="A4141" s="111">
        <v>4262</v>
      </c>
      <c r="B4141" s="421" t="s">
        <v>356</v>
      </c>
      <c r="C4141" s="421" t="s">
        <v>513</v>
      </c>
      <c r="D4141" s="422" t="s">
        <v>663</v>
      </c>
      <c r="E4141" s="111">
        <v>16387</v>
      </c>
      <c r="F4141" s="421" t="s">
        <v>7410</v>
      </c>
      <c r="G4141" s="112">
        <v>1</v>
      </c>
      <c r="H4141" s="112">
        <v>1</v>
      </c>
      <c r="I4141" s="112">
        <v>1</v>
      </c>
      <c r="J4141" s="112">
        <v>9</v>
      </c>
      <c r="K4141" s="112">
        <v>9</v>
      </c>
      <c r="L4141" s="112">
        <v>9</v>
      </c>
      <c r="M4141" s="112">
        <v>6</v>
      </c>
      <c r="N4141" s="112">
        <v>3</v>
      </c>
      <c r="O4141" s="112">
        <v>5</v>
      </c>
    </row>
    <row r="4142" spans="1:15" x14ac:dyDescent="0.2">
      <c r="A4142" s="111">
        <v>4263</v>
      </c>
      <c r="B4142" s="421" t="s">
        <v>131</v>
      </c>
      <c r="C4142" s="421" t="s">
        <v>510</v>
      </c>
      <c r="D4142" s="422" t="s">
        <v>663</v>
      </c>
      <c r="E4142" s="111">
        <v>16388</v>
      </c>
      <c r="F4142" s="421" t="s">
        <v>7425</v>
      </c>
      <c r="G4142" s="112">
        <v>1</v>
      </c>
      <c r="H4142" s="112">
        <v>1</v>
      </c>
    </row>
    <row r="4143" spans="1:15" x14ac:dyDescent="0.2">
      <c r="A4143" s="111">
        <v>4264</v>
      </c>
      <c r="B4143" s="421" t="s">
        <v>4435</v>
      </c>
      <c r="C4143" s="421" t="s">
        <v>534</v>
      </c>
      <c r="D4143" s="422" t="s">
        <v>663</v>
      </c>
      <c r="E4143" s="111">
        <v>16389</v>
      </c>
      <c r="F4143" s="421" t="s">
        <v>7412</v>
      </c>
    </row>
    <row r="4144" spans="1:15" x14ac:dyDescent="0.2">
      <c r="A4144" s="111">
        <v>4265</v>
      </c>
      <c r="B4144" s="421" t="s">
        <v>7387</v>
      </c>
      <c r="C4144" s="421" t="s">
        <v>516</v>
      </c>
      <c r="D4144" s="422" t="s">
        <v>663</v>
      </c>
      <c r="E4144" s="111">
        <v>14536</v>
      </c>
      <c r="F4144" s="421" t="s">
        <v>1640</v>
      </c>
    </row>
    <row r="4145" spans="1:15" x14ac:dyDescent="0.2">
      <c r="A4145" s="111">
        <v>4266</v>
      </c>
      <c r="B4145" s="421" t="s">
        <v>1642</v>
      </c>
      <c r="C4145" s="421" t="s">
        <v>510</v>
      </c>
      <c r="D4145" s="422" t="s">
        <v>663</v>
      </c>
      <c r="E4145" s="111">
        <v>16391</v>
      </c>
      <c r="F4145" s="421" t="s">
        <v>7416</v>
      </c>
      <c r="G4145" s="112">
        <v>1</v>
      </c>
      <c r="H4145" s="112">
        <v>1</v>
      </c>
      <c r="I4145" s="112">
        <v>1</v>
      </c>
      <c r="J4145" s="112">
        <v>1</v>
      </c>
    </row>
    <row r="4146" spans="1:15" x14ac:dyDescent="0.2">
      <c r="A4146" s="111">
        <v>4267</v>
      </c>
      <c r="B4146" s="421" t="s">
        <v>7382</v>
      </c>
      <c r="C4146" s="421" t="s">
        <v>1870</v>
      </c>
      <c r="D4146" s="422" t="s">
        <v>663</v>
      </c>
      <c r="E4146" s="111">
        <v>15696</v>
      </c>
      <c r="F4146" s="421" t="s">
        <v>5117</v>
      </c>
      <c r="G4146" s="112">
        <v>1</v>
      </c>
      <c r="H4146" s="112">
        <v>1</v>
      </c>
      <c r="I4146" s="112">
        <v>1</v>
      </c>
      <c r="J4146" s="112">
        <v>10</v>
      </c>
      <c r="K4146" s="112">
        <v>10</v>
      </c>
      <c r="L4146" s="112">
        <v>10</v>
      </c>
      <c r="M4146" s="112">
        <v>4</v>
      </c>
      <c r="N4146" s="112">
        <v>4</v>
      </c>
      <c r="O4146" s="112">
        <v>4</v>
      </c>
    </row>
    <row r="4147" spans="1:15" x14ac:dyDescent="0.2">
      <c r="A4147" s="111">
        <v>4268</v>
      </c>
      <c r="B4147" s="421" t="s">
        <v>7386</v>
      </c>
      <c r="C4147" s="421" t="s">
        <v>1378</v>
      </c>
      <c r="D4147" s="422" t="s">
        <v>666</v>
      </c>
      <c r="E4147" s="111">
        <v>16716</v>
      </c>
      <c r="F4147" s="421" t="s">
        <v>7413</v>
      </c>
      <c r="G4147" s="112">
        <v>1</v>
      </c>
      <c r="H4147" s="112">
        <v>2</v>
      </c>
      <c r="I4147" s="112">
        <v>2</v>
      </c>
    </row>
    <row r="4148" spans="1:15" x14ac:dyDescent="0.2">
      <c r="A4148" s="111">
        <v>4269</v>
      </c>
      <c r="B4148" s="421" t="s">
        <v>1214</v>
      </c>
      <c r="C4148" s="421" t="s">
        <v>516</v>
      </c>
      <c r="D4148" s="422" t="s">
        <v>666</v>
      </c>
      <c r="F4148" s="421" t="s">
        <v>7407</v>
      </c>
    </row>
    <row r="4149" spans="1:15" x14ac:dyDescent="0.2">
      <c r="A4149" s="111">
        <v>4270</v>
      </c>
      <c r="B4149" s="421" t="s">
        <v>7383</v>
      </c>
      <c r="C4149" s="421" t="s">
        <v>516</v>
      </c>
      <c r="D4149" s="422" t="s">
        <v>666</v>
      </c>
      <c r="F4149" s="421" t="s">
        <v>7407</v>
      </c>
    </row>
    <row r="4150" spans="1:15" x14ac:dyDescent="0.2">
      <c r="A4150" s="111">
        <v>4271</v>
      </c>
      <c r="B4150" s="421" t="s">
        <v>2260</v>
      </c>
      <c r="C4150" s="421" t="s">
        <v>530</v>
      </c>
      <c r="D4150" s="422" t="s">
        <v>666</v>
      </c>
      <c r="E4150" s="111">
        <v>16392</v>
      </c>
      <c r="F4150" s="421" t="s">
        <v>7408</v>
      </c>
      <c r="G4150" s="112">
        <v>1</v>
      </c>
      <c r="I4150" s="112">
        <v>1</v>
      </c>
    </row>
    <row r="4151" spans="1:15" x14ac:dyDescent="0.2">
      <c r="A4151" s="111">
        <v>4272</v>
      </c>
      <c r="B4151" s="421" t="s">
        <v>125</v>
      </c>
      <c r="C4151" s="421" t="s">
        <v>565</v>
      </c>
      <c r="D4151" s="422" t="s">
        <v>663</v>
      </c>
      <c r="E4151" s="111">
        <v>16393</v>
      </c>
      <c r="F4151" s="421" t="s">
        <v>7414</v>
      </c>
      <c r="G4151" s="112">
        <v>1</v>
      </c>
      <c r="H4151" s="112">
        <v>1</v>
      </c>
      <c r="I4151" s="112">
        <v>1</v>
      </c>
      <c r="J4151" s="112">
        <v>7</v>
      </c>
      <c r="K4151" s="112">
        <v>7</v>
      </c>
      <c r="L4151" s="112">
        <v>7</v>
      </c>
      <c r="M4151" s="112">
        <v>6</v>
      </c>
      <c r="N4151" s="112">
        <v>3</v>
      </c>
      <c r="O4151" s="112">
        <v>5</v>
      </c>
    </row>
    <row r="4152" spans="1:15" x14ac:dyDescent="0.2">
      <c r="A4152" s="111">
        <v>4273</v>
      </c>
      <c r="B4152" s="421" t="s">
        <v>7388</v>
      </c>
      <c r="C4152" s="421" t="s">
        <v>501</v>
      </c>
      <c r="D4152" s="422" t="s">
        <v>663</v>
      </c>
      <c r="E4152" s="111">
        <v>16394</v>
      </c>
      <c r="F4152" s="421" t="s">
        <v>7417</v>
      </c>
    </row>
    <row r="4153" spans="1:15" x14ac:dyDescent="0.2">
      <c r="A4153" s="111">
        <v>4274</v>
      </c>
      <c r="B4153" s="421" t="s">
        <v>295</v>
      </c>
      <c r="C4153" s="421" t="s">
        <v>532</v>
      </c>
      <c r="D4153" s="422" t="s">
        <v>663</v>
      </c>
      <c r="E4153" s="111">
        <v>15271</v>
      </c>
      <c r="F4153" s="421" t="s">
        <v>3071</v>
      </c>
    </row>
    <row r="4154" spans="1:15" x14ac:dyDescent="0.2">
      <c r="A4154" s="111">
        <v>4275</v>
      </c>
      <c r="B4154" s="421" t="s">
        <v>7392</v>
      </c>
      <c r="C4154" s="421" t="s">
        <v>552</v>
      </c>
      <c r="D4154" s="422" t="s">
        <v>663</v>
      </c>
      <c r="E4154" s="111">
        <v>16395</v>
      </c>
      <c r="F4154" s="421" t="s">
        <v>7420</v>
      </c>
      <c r="G4154" s="112">
        <v>2</v>
      </c>
      <c r="H4154" s="112">
        <v>2</v>
      </c>
      <c r="I4154" s="112">
        <v>2</v>
      </c>
      <c r="J4154" s="112">
        <v>9</v>
      </c>
      <c r="K4154" s="112">
        <v>10</v>
      </c>
      <c r="L4154" s="112">
        <v>9</v>
      </c>
      <c r="M4154" s="112">
        <v>14</v>
      </c>
      <c r="N4154" s="112">
        <v>3</v>
      </c>
      <c r="O4154" s="112">
        <v>6</v>
      </c>
    </row>
    <row r="4155" spans="1:15" x14ac:dyDescent="0.2">
      <c r="A4155" s="111">
        <v>4276</v>
      </c>
      <c r="B4155" s="421" t="s">
        <v>7398</v>
      </c>
      <c r="C4155" s="421" t="s">
        <v>506</v>
      </c>
      <c r="D4155" s="422" t="s">
        <v>666</v>
      </c>
      <c r="E4155" s="111">
        <v>16396</v>
      </c>
      <c r="F4155" s="421" t="s">
        <v>7431</v>
      </c>
      <c r="G4155" s="112">
        <v>1</v>
      </c>
      <c r="H4155" s="112">
        <v>1</v>
      </c>
      <c r="I4155" s="112">
        <v>1</v>
      </c>
      <c r="J4155" s="112">
        <v>1</v>
      </c>
    </row>
    <row r="4156" spans="1:15" x14ac:dyDescent="0.2">
      <c r="A4156" s="111">
        <v>4277</v>
      </c>
      <c r="B4156" s="421" t="s">
        <v>6016</v>
      </c>
      <c r="C4156" s="421" t="s">
        <v>10852</v>
      </c>
      <c r="D4156" s="422" t="s">
        <v>663</v>
      </c>
      <c r="E4156" s="111">
        <v>16397</v>
      </c>
      <c r="F4156" s="421" t="s">
        <v>7432</v>
      </c>
      <c r="G4156" s="112">
        <v>1</v>
      </c>
      <c r="H4156" s="112">
        <v>2</v>
      </c>
      <c r="I4156" s="112">
        <v>2</v>
      </c>
      <c r="J4156" s="112">
        <v>3</v>
      </c>
      <c r="K4156" s="112">
        <v>1</v>
      </c>
      <c r="L4156" s="112">
        <v>4</v>
      </c>
    </row>
    <row r="4157" spans="1:15" x14ac:dyDescent="0.2">
      <c r="A4157" s="111">
        <v>4278</v>
      </c>
      <c r="B4157" s="421" t="s">
        <v>2988</v>
      </c>
      <c r="C4157" s="421" t="s">
        <v>513</v>
      </c>
      <c r="D4157" s="422" t="s">
        <v>666</v>
      </c>
      <c r="E4157" s="111">
        <v>16056</v>
      </c>
      <c r="F4157" s="421" t="s">
        <v>6267</v>
      </c>
      <c r="G4157" s="112">
        <v>2</v>
      </c>
      <c r="H4157" s="112">
        <v>2</v>
      </c>
      <c r="I4157" s="112">
        <v>1</v>
      </c>
      <c r="J4157" s="112">
        <v>2</v>
      </c>
      <c r="K4157" s="112">
        <v>2</v>
      </c>
      <c r="L4157" s="112">
        <v>2</v>
      </c>
    </row>
    <row r="4158" spans="1:15" x14ac:dyDescent="0.2">
      <c r="A4158" s="111">
        <v>4279</v>
      </c>
      <c r="B4158" s="421" t="s">
        <v>435</v>
      </c>
      <c r="C4158" s="421" t="s">
        <v>506</v>
      </c>
      <c r="D4158" s="422" t="s">
        <v>663</v>
      </c>
      <c r="E4158" s="111">
        <v>15756</v>
      </c>
      <c r="F4158" s="421" t="s">
        <v>5330</v>
      </c>
      <c r="G4158" s="112">
        <v>1</v>
      </c>
    </row>
    <row r="4159" spans="1:15" x14ac:dyDescent="0.2">
      <c r="A4159" s="111">
        <v>4280</v>
      </c>
      <c r="B4159" s="421" t="s">
        <v>7399</v>
      </c>
      <c r="C4159" s="421" t="s">
        <v>540</v>
      </c>
      <c r="D4159" s="422" t="s">
        <v>666</v>
      </c>
      <c r="E4159" s="111">
        <v>14848</v>
      </c>
      <c r="F4159" s="421" t="s">
        <v>2511</v>
      </c>
      <c r="G4159" s="112">
        <v>1</v>
      </c>
      <c r="H4159" s="112">
        <v>1</v>
      </c>
      <c r="I4159" s="112">
        <v>1</v>
      </c>
      <c r="J4159" s="112">
        <v>7</v>
      </c>
      <c r="K4159" s="112">
        <v>7</v>
      </c>
      <c r="L4159" s="112">
        <v>7</v>
      </c>
      <c r="M4159" s="112">
        <v>14</v>
      </c>
      <c r="N4159" s="112">
        <v>12</v>
      </c>
      <c r="O4159" s="112">
        <v>14</v>
      </c>
    </row>
    <row r="4160" spans="1:15" x14ac:dyDescent="0.2">
      <c r="A4160" s="111">
        <v>4281</v>
      </c>
      <c r="B4160" s="421" t="s">
        <v>7400</v>
      </c>
      <c r="C4160" s="421" t="s">
        <v>2599</v>
      </c>
      <c r="D4160" s="422" t="s">
        <v>666</v>
      </c>
      <c r="E4160" s="111">
        <v>16398</v>
      </c>
      <c r="F4160" s="421" t="s">
        <v>7434</v>
      </c>
      <c r="G4160" s="112">
        <v>2</v>
      </c>
      <c r="H4160" s="112">
        <v>2</v>
      </c>
      <c r="I4160" s="112">
        <v>1</v>
      </c>
      <c r="J4160" s="112">
        <v>2</v>
      </c>
      <c r="K4160" s="112">
        <v>2</v>
      </c>
      <c r="L4160" s="112">
        <v>1</v>
      </c>
      <c r="M4160" s="112">
        <v>1</v>
      </c>
      <c r="O4160" s="112">
        <v>1</v>
      </c>
    </row>
    <row r="4161" spans="1:15" x14ac:dyDescent="0.2">
      <c r="A4161" s="111">
        <v>4282</v>
      </c>
      <c r="B4161" s="421" t="s">
        <v>7403</v>
      </c>
      <c r="C4161" s="421" t="s">
        <v>516</v>
      </c>
      <c r="D4161" s="422" t="s">
        <v>666</v>
      </c>
      <c r="E4161" s="111">
        <v>14363</v>
      </c>
      <c r="F4161" s="421" t="s">
        <v>1199</v>
      </c>
      <c r="G4161" s="112">
        <v>2</v>
      </c>
      <c r="H4161" s="112">
        <v>2</v>
      </c>
      <c r="I4161" s="112">
        <v>1</v>
      </c>
      <c r="J4161" s="112">
        <v>9</v>
      </c>
      <c r="K4161" s="112">
        <v>10</v>
      </c>
      <c r="L4161" s="112">
        <v>8</v>
      </c>
      <c r="M4161" s="112">
        <v>6</v>
      </c>
      <c r="N4161" s="112">
        <v>3</v>
      </c>
      <c r="O4161" s="112">
        <v>5</v>
      </c>
    </row>
    <row r="4162" spans="1:15" x14ac:dyDescent="0.2">
      <c r="A4162" s="111">
        <v>4283</v>
      </c>
      <c r="B4162" s="421" t="s">
        <v>7402</v>
      </c>
      <c r="C4162" s="421" t="s">
        <v>1908</v>
      </c>
      <c r="D4162" s="422" t="s">
        <v>666</v>
      </c>
      <c r="E4162" s="111">
        <v>16828</v>
      </c>
      <c r="F4162" s="421" t="s">
        <v>7436</v>
      </c>
    </row>
    <row r="4163" spans="1:15" x14ac:dyDescent="0.2">
      <c r="A4163" s="111">
        <v>4284</v>
      </c>
      <c r="B4163" s="421" t="s">
        <v>2170</v>
      </c>
      <c r="C4163" s="421" t="s">
        <v>506</v>
      </c>
      <c r="D4163" s="422" t="s">
        <v>666</v>
      </c>
      <c r="E4163" s="111">
        <v>16400</v>
      </c>
      <c r="F4163" s="421" t="s">
        <v>7428</v>
      </c>
      <c r="G4163" s="112">
        <v>1</v>
      </c>
      <c r="H4163" s="112">
        <v>1</v>
      </c>
      <c r="I4163" s="112">
        <v>1</v>
      </c>
      <c r="J4163" s="112">
        <v>1</v>
      </c>
      <c r="K4163" s="112">
        <v>1</v>
      </c>
      <c r="L4163" s="112">
        <v>1</v>
      </c>
      <c r="M4163" s="112">
        <v>3</v>
      </c>
      <c r="N4163" s="112">
        <v>2</v>
      </c>
      <c r="O4163" s="112">
        <v>1</v>
      </c>
    </row>
    <row r="4164" spans="1:15" x14ac:dyDescent="0.2">
      <c r="A4164" s="111">
        <v>4285</v>
      </c>
      <c r="B4164" s="421" t="s">
        <v>257</v>
      </c>
      <c r="C4164" s="421" t="s">
        <v>525</v>
      </c>
      <c r="D4164" s="422" t="s">
        <v>663</v>
      </c>
      <c r="E4164" s="111">
        <v>16401</v>
      </c>
      <c r="F4164" s="421" t="s">
        <v>7430</v>
      </c>
      <c r="G4164" s="112">
        <v>1</v>
      </c>
      <c r="H4164" s="112">
        <v>1</v>
      </c>
      <c r="I4164" s="112">
        <v>1</v>
      </c>
    </row>
    <row r="4165" spans="1:15" x14ac:dyDescent="0.2">
      <c r="A4165" s="111">
        <v>4286</v>
      </c>
      <c r="B4165" s="421" t="s">
        <v>6016</v>
      </c>
      <c r="C4165" s="421" t="s">
        <v>525</v>
      </c>
      <c r="D4165" s="422" t="s">
        <v>663</v>
      </c>
      <c r="E4165" s="111">
        <v>16401</v>
      </c>
      <c r="F4165" s="421" t="s">
        <v>7430</v>
      </c>
      <c r="G4165" s="112">
        <v>1</v>
      </c>
      <c r="H4165" s="112">
        <v>1</v>
      </c>
      <c r="I4165" s="112">
        <v>1</v>
      </c>
    </row>
    <row r="4166" spans="1:15" x14ac:dyDescent="0.2">
      <c r="A4166" s="111">
        <v>4287</v>
      </c>
      <c r="B4166" s="421" t="s">
        <v>3900</v>
      </c>
      <c r="C4166" s="421" t="s">
        <v>525</v>
      </c>
      <c r="D4166" s="422" t="s">
        <v>663</v>
      </c>
      <c r="E4166" s="111">
        <v>16401</v>
      </c>
      <c r="F4166" s="421" t="s">
        <v>7430</v>
      </c>
      <c r="G4166" s="112">
        <v>1</v>
      </c>
      <c r="H4166" s="112">
        <v>1</v>
      </c>
      <c r="I4166" s="112">
        <v>1</v>
      </c>
    </row>
    <row r="4167" spans="1:15" x14ac:dyDescent="0.2">
      <c r="A4167" s="111">
        <v>4288</v>
      </c>
      <c r="B4167" s="421" t="s">
        <v>79</v>
      </c>
      <c r="C4167" s="421" t="s">
        <v>522</v>
      </c>
      <c r="D4167" s="422" t="s">
        <v>666</v>
      </c>
      <c r="E4167" s="111">
        <v>16666</v>
      </c>
      <c r="F4167" s="421" t="s">
        <v>7433</v>
      </c>
      <c r="G4167" s="112">
        <v>1</v>
      </c>
      <c r="H4167" s="112">
        <v>1</v>
      </c>
    </row>
    <row r="4168" spans="1:15" x14ac:dyDescent="0.2">
      <c r="A4168" s="111">
        <v>4289</v>
      </c>
      <c r="B4168" s="421" t="s">
        <v>7404</v>
      </c>
      <c r="C4168" s="421" t="s">
        <v>501</v>
      </c>
      <c r="D4168" s="422" t="s">
        <v>666</v>
      </c>
      <c r="E4168" s="111">
        <v>16786</v>
      </c>
      <c r="F4168" s="421" t="s">
        <v>7437</v>
      </c>
      <c r="G4168" s="112">
        <v>1</v>
      </c>
      <c r="H4168" s="112">
        <v>1</v>
      </c>
      <c r="I4168" s="112">
        <v>1</v>
      </c>
      <c r="J4168" s="112">
        <v>7</v>
      </c>
      <c r="K4168" s="112">
        <v>6</v>
      </c>
      <c r="L4168" s="112">
        <v>7</v>
      </c>
      <c r="M4168" s="112">
        <v>4</v>
      </c>
      <c r="N4168" s="112">
        <v>4</v>
      </c>
      <c r="O4168" s="112">
        <v>4</v>
      </c>
    </row>
    <row r="4169" spans="1:15" x14ac:dyDescent="0.2">
      <c r="A4169" s="111">
        <v>4290</v>
      </c>
      <c r="B4169" s="421" t="s">
        <v>6669</v>
      </c>
      <c r="C4169" s="421" t="s">
        <v>534</v>
      </c>
      <c r="D4169" s="422" t="s">
        <v>663</v>
      </c>
      <c r="E4169" s="111">
        <v>16403</v>
      </c>
      <c r="F4169" s="421" t="s">
        <v>7429</v>
      </c>
      <c r="G4169" s="112">
        <v>1</v>
      </c>
      <c r="H4169" s="112">
        <v>1</v>
      </c>
      <c r="I4169" s="112">
        <v>1</v>
      </c>
      <c r="J4169" s="112">
        <v>15</v>
      </c>
      <c r="K4169" s="112">
        <v>13</v>
      </c>
      <c r="L4169" s="112">
        <v>13</v>
      </c>
      <c r="M4169" s="112">
        <v>18</v>
      </c>
      <c r="N4169" s="112">
        <v>12</v>
      </c>
      <c r="O4169" s="112">
        <v>10</v>
      </c>
    </row>
    <row r="4170" spans="1:15" x14ac:dyDescent="0.2">
      <c r="A4170" s="111">
        <v>4291</v>
      </c>
      <c r="B4170" s="421" t="s">
        <v>1689</v>
      </c>
      <c r="C4170" s="421" t="s">
        <v>534</v>
      </c>
      <c r="D4170" s="422" t="s">
        <v>663</v>
      </c>
      <c r="E4170" s="111">
        <v>16403</v>
      </c>
      <c r="F4170" s="421" t="s">
        <v>7429</v>
      </c>
      <c r="G4170" s="112">
        <v>1</v>
      </c>
      <c r="H4170" s="112">
        <v>1</v>
      </c>
      <c r="I4170" s="112">
        <v>1</v>
      </c>
      <c r="J4170" s="112">
        <v>1</v>
      </c>
      <c r="K4170" s="112">
        <v>1</v>
      </c>
    </row>
    <row r="4171" spans="1:15" x14ac:dyDescent="0.2">
      <c r="A4171" s="111">
        <v>4292</v>
      </c>
      <c r="B4171" s="421" t="s">
        <v>2329</v>
      </c>
      <c r="C4171" s="421" t="s">
        <v>551</v>
      </c>
      <c r="D4171" s="422" t="s">
        <v>663</v>
      </c>
      <c r="E4171" s="111">
        <v>16404</v>
      </c>
      <c r="F4171" s="421" t="s">
        <v>7438</v>
      </c>
    </row>
    <row r="4172" spans="1:15" x14ac:dyDescent="0.2">
      <c r="A4172" s="111">
        <v>4293</v>
      </c>
      <c r="B4172" s="421" t="s">
        <v>485</v>
      </c>
      <c r="C4172" s="421" t="s">
        <v>506</v>
      </c>
      <c r="D4172" s="422" t="s">
        <v>666</v>
      </c>
      <c r="E4172" s="111">
        <v>15975</v>
      </c>
      <c r="F4172" s="421" t="s">
        <v>5728</v>
      </c>
      <c r="G4172" s="112">
        <v>1</v>
      </c>
      <c r="H4172" s="112">
        <v>1</v>
      </c>
      <c r="I4172" s="112">
        <v>1</v>
      </c>
      <c r="J4172" s="112">
        <v>1</v>
      </c>
      <c r="K4172" s="112">
        <v>1</v>
      </c>
      <c r="L4172" s="112">
        <v>2</v>
      </c>
    </row>
    <row r="4173" spans="1:15" x14ac:dyDescent="0.2">
      <c r="A4173" s="111">
        <v>4294</v>
      </c>
      <c r="B4173" s="421" t="s">
        <v>7401</v>
      </c>
      <c r="C4173" s="421" t="s">
        <v>555</v>
      </c>
      <c r="D4173" s="422" t="s">
        <v>666</v>
      </c>
      <c r="E4173" s="111">
        <v>16405</v>
      </c>
      <c r="F4173" s="421" t="s">
        <v>7435</v>
      </c>
      <c r="G4173" s="112">
        <v>1</v>
      </c>
      <c r="H4173" s="112">
        <v>2</v>
      </c>
      <c r="I4173" s="112">
        <v>2</v>
      </c>
      <c r="J4173" s="112">
        <v>2</v>
      </c>
      <c r="K4173" s="112">
        <v>2</v>
      </c>
      <c r="L4173" s="112">
        <v>1</v>
      </c>
    </row>
    <row r="4174" spans="1:15" x14ac:dyDescent="0.2">
      <c r="A4174" s="111">
        <v>4295</v>
      </c>
      <c r="B4174" s="421" t="s">
        <v>209</v>
      </c>
      <c r="C4174" s="421" t="s">
        <v>501</v>
      </c>
      <c r="D4174" s="422" t="s">
        <v>666</v>
      </c>
      <c r="F4174" s="421" t="s">
        <v>7552</v>
      </c>
      <c r="G4174" s="112">
        <v>2</v>
      </c>
      <c r="H4174" s="112">
        <v>1</v>
      </c>
      <c r="I4174" s="112">
        <v>1</v>
      </c>
      <c r="J4174" s="112">
        <v>1</v>
      </c>
      <c r="L4174" s="112">
        <v>1</v>
      </c>
    </row>
    <row r="4175" spans="1:15" x14ac:dyDescent="0.2">
      <c r="A4175" s="111">
        <v>4296</v>
      </c>
      <c r="B4175" s="421" t="s">
        <v>131</v>
      </c>
      <c r="C4175" s="421" t="s">
        <v>527</v>
      </c>
      <c r="D4175" s="422" t="s">
        <v>663</v>
      </c>
      <c r="E4175" s="111">
        <v>16017</v>
      </c>
      <c r="F4175" s="421" t="s">
        <v>6160</v>
      </c>
      <c r="G4175" s="112">
        <v>1</v>
      </c>
      <c r="H4175" s="112">
        <v>1</v>
      </c>
      <c r="I4175" s="112">
        <v>1</v>
      </c>
      <c r="J4175" s="112">
        <v>4</v>
      </c>
      <c r="K4175" s="112">
        <v>3</v>
      </c>
      <c r="L4175" s="112">
        <v>4</v>
      </c>
      <c r="M4175" s="112">
        <v>3</v>
      </c>
      <c r="N4175" s="112">
        <v>1</v>
      </c>
      <c r="O4175" s="112">
        <v>2</v>
      </c>
    </row>
    <row r="4176" spans="1:15" x14ac:dyDescent="0.2">
      <c r="A4176" s="111">
        <v>4297</v>
      </c>
      <c r="B4176" s="421" t="s">
        <v>7526</v>
      </c>
      <c r="C4176" s="421" t="s">
        <v>1284</v>
      </c>
      <c r="D4176" s="422" t="s">
        <v>666</v>
      </c>
      <c r="E4176" s="111">
        <v>16406</v>
      </c>
      <c r="F4176" s="421" t="s">
        <v>7553</v>
      </c>
      <c r="G4176" s="112">
        <v>1</v>
      </c>
      <c r="H4176" s="112">
        <v>1</v>
      </c>
      <c r="I4176" s="112">
        <v>1</v>
      </c>
    </row>
    <row r="4177" spans="1:15" x14ac:dyDescent="0.2">
      <c r="A4177" s="111">
        <v>4298</v>
      </c>
      <c r="B4177" s="421" t="s">
        <v>306</v>
      </c>
      <c r="C4177" s="421" t="s">
        <v>1446</v>
      </c>
      <c r="D4177" s="422" t="s">
        <v>663</v>
      </c>
      <c r="E4177" s="111">
        <v>15591</v>
      </c>
      <c r="F4177" s="421" t="s">
        <v>4752</v>
      </c>
      <c r="G4177" s="112">
        <v>1</v>
      </c>
      <c r="H4177" s="112">
        <v>1</v>
      </c>
      <c r="I4177" s="112">
        <v>1</v>
      </c>
      <c r="J4177" s="112">
        <v>3</v>
      </c>
      <c r="K4177" s="112">
        <v>1</v>
      </c>
      <c r="L4177" s="112">
        <v>1</v>
      </c>
    </row>
    <row r="4178" spans="1:15" x14ac:dyDescent="0.2">
      <c r="A4178" s="111">
        <v>4299</v>
      </c>
      <c r="B4178" s="421" t="s">
        <v>3114</v>
      </c>
      <c r="C4178" s="421" t="s">
        <v>1066</v>
      </c>
      <c r="D4178" s="422" t="s">
        <v>663</v>
      </c>
      <c r="E4178" s="111">
        <v>15202</v>
      </c>
      <c r="F4178" s="421" t="s">
        <v>3409</v>
      </c>
      <c r="G4178" s="112">
        <v>2</v>
      </c>
      <c r="H4178" s="112">
        <v>2</v>
      </c>
      <c r="I4178" s="112">
        <v>1</v>
      </c>
      <c r="J4178" s="112">
        <v>5</v>
      </c>
      <c r="K4178" s="112">
        <v>1</v>
      </c>
      <c r="M4178" s="112">
        <v>1</v>
      </c>
    </row>
    <row r="4179" spans="1:15" x14ac:dyDescent="0.2">
      <c r="A4179" s="111">
        <v>4300</v>
      </c>
      <c r="B4179" s="421" t="s">
        <v>3399</v>
      </c>
      <c r="C4179" s="421" t="s">
        <v>547</v>
      </c>
      <c r="D4179" s="422" t="s">
        <v>666</v>
      </c>
      <c r="E4179" s="111">
        <v>14980</v>
      </c>
      <c r="F4179" s="421" t="s">
        <v>2860</v>
      </c>
    </row>
    <row r="4180" spans="1:15" x14ac:dyDescent="0.2">
      <c r="A4180" s="111">
        <v>4301</v>
      </c>
      <c r="B4180" s="421" t="s">
        <v>3841</v>
      </c>
      <c r="C4180" s="421" t="s">
        <v>2165</v>
      </c>
      <c r="D4180" s="422" t="s">
        <v>666</v>
      </c>
      <c r="E4180" s="111">
        <v>16407</v>
      </c>
      <c r="F4180" s="421" t="s">
        <v>7554</v>
      </c>
      <c r="G4180" s="112">
        <v>1</v>
      </c>
      <c r="H4180" s="112">
        <v>1</v>
      </c>
      <c r="I4180" s="112">
        <v>1</v>
      </c>
      <c r="K4180" s="112">
        <v>2</v>
      </c>
      <c r="L4180" s="112">
        <v>2</v>
      </c>
    </row>
    <row r="4181" spans="1:15" x14ac:dyDescent="0.2">
      <c r="A4181" s="111">
        <v>4302</v>
      </c>
      <c r="B4181" s="421" t="s">
        <v>1359</v>
      </c>
      <c r="C4181" s="421" t="s">
        <v>506</v>
      </c>
      <c r="D4181" s="422" t="s">
        <v>663</v>
      </c>
      <c r="E4181" s="111">
        <v>16408</v>
      </c>
      <c r="F4181" s="421" t="s">
        <v>7555</v>
      </c>
      <c r="G4181" s="112">
        <v>1</v>
      </c>
      <c r="H4181" s="112">
        <v>1</v>
      </c>
      <c r="I4181" s="112">
        <v>1</v>
      </c>
      <c r="J4181" s="112">
        <v>3</v>
      </c>
      <c r="K4181" s="112">
        <v>2</v>
      </c>
      <c r="L4181" s="112">
        <v>2</v>
      </c>
    </row>
    <row r="4182" spans="1:15" x14ac:dyDescent="0.2">
      <c r="A4182" s="111">
        <v>4303</v>
      </c>
      <c r="B4182" s="421" t="s">
        <v>7527</v>
      </c>
      <c r="C4182" s="421" t="s">
        <v>1908</v>
      </c>
      <c r="D4182" s="422" t="s">
        <v>663</v>
      </c>
      <c r="E4182" s="111">
        <v>16409</v>
      </c>
      <c r="F4182" s="421" t="s">
        <v>7556</v>
      </c>
      <c r="G4182" s="112">
        <v>1</v>
      </c>
      <c r="H4182" s="112">
        <v>1</v>
      </c>
      <c r="I4182" s="112">
        <v>1</v>
      </c>
      <c r="J4182" s="112">
        <v>5</v>
      </c>
      <c r="K4182" s="112">
        <v>5</v>
      </c>
      <c r="L4182" s="112">
        <v>4</v>
      </c>
      <c r="M4182" s="112">
        <v>3</v>
      </c>
      <c r="N4182" s="112">
        <v>1</v>
      </c>
    </row>
    <row r="4183" spans="1:15" x14ac:dyDescent="0.2">
      <c r="A4183" s="111">
        <v>4304</v>
      </c>
      <c r="B4183" s="421" t="s">
        <v>1273</v>
      </c>
      <c r="C4183" s="421" t="s">
        <v>577</v>
      </c>
      <c r="D4183" s="422" t="s">
        <v>666</v>
      </c>
      <c r="F4183" s="421" t="s">
        <v>7557</v>
      </c>
    </row>
    <row r="4184" spans="1:15" x14ac:dyDescent="0.2">
      <c r="A4184" s="111">
        <v>4305</v>
      </c>
      <c r="B4184" s="421" t="s">
        <v>1583</v>
      </c>
      <c r="C4184" s="421" t="s">
        <v>1994</v>
      </c>
      <c r="D4184" s="422" t="s">
        <v>666</v>
      </c>
      <c r="E4184" s="111">
        <v>14169</v>
      </c>
      <c r="F4184" s="421" t="s">
        <v>862</v>
      </c>
    </row>
    <row r="4185" spans="1:15" x14ac:dyDescent="0.2">
      <c r="A4185" s="111">
        <v>4306</v>
      </c>
      <c r="B4185" s="421" t="s">
        <v>7528</v>
      </c>
      <c r="C4185" s="421" t="s">
        <v>2165</v>
      </c>
      <c r="D4185" s="422" t="s">
        <v>663</v>
      </c>
      <c r="E4185" s="111">
        <v>16411</v>
      </c>
      <c r="F4185" s="421" t="s">
        <v>7558</v>
      </c>
      <c r="G4185" s="112">
        <v>1</v>
      </c>
      <c r="H4185" s="112">
        <v>1</v>
      </c>
      <c r="I4185" s="112">
        <v>2</v>
      </c>
      <c r="J4185" s="112">
        <v>3</v>
      </c>
      <c r="K4185" s="112">
        <v>4</v>
      </c>
      <c r="L4185" s="112">
        <v>5</v>
      </c>
      <c r="M4185" s="112">
        <v>3</v>
      </c>
      <c r="N4185" s="112">
        <v>1</v>
      </c>
      <c r="O4185" s="112">
        <v>1</v>
      </c>
    </row>
    <row r="4186" spans="1:15" x14ac:dyDescent="0.2">
      <c r="A4186" s="111">
        <v>4307</v>
      </c>
      <c r="B4186" s="421" t="s">
        <v>7529</v>
      </c>
      <c r="C4186" s="421" t="s">
        <v>544</v>
      </c>
      <c r="D4186" s="422" t="s">
        <v>663</v>
      </c>
      <c r="E4186" s="111">
        <v>14344</v>
      </c>
      <c r="F4186" s="421" t="s">
        <v>1807</v>
      </c>
      <c r="G4186" s="112">
        <v>1</v>
      </c>
      <c r="H4186" s="112">
        <v>1</v>
      </c>
      <c r="I4186" s="112">
        <v>1</v>
      </c>
      <c r="J4186" s="112">
        <v>1</v>
      </c>
      <c r="K4186" s="112">
        <v>1</v>
      </c>
      <c r="L4186" s="112">
        <v>1</v>
      </c>
      <c r="M4186" s="112">
        <v>1</v>
      </c>
      <c r="N4186" s="112">
        <v>2</v>
      </c>
    </row>
    <row r="4187" spans="1:15" x14ac:dyDescent="0.2">
      <c r="A4187" s="111">
        <v>4308</v>
      </c>
      <c r="B4187" s="421" t="s">
        <v>1196</v>
      </c>
      <c r="C4187" s="421" t="s">
        <v>518</v>
      </c>
      <c r="D4187" s="422" t="s">
        <v>663</v>
      </c>
      <c r="E4187" s="111">
        <v>14303</v>
      </c>
      <c r="F4187" s="421" t="s">
        <v>807</v>
      </c>
      <c r="G4187" s="112">
        <v>1</v>
      </c>
      <c r="H4187" s="112">
        <v>1</v>
      </c>
      <c r="I4187" s="112">
        <v>1</v>
      </c>
      <c r="J4187" s="112">
        <v>2</v>
      </c>
      <c r="K4187" s="112">
        <v>1</v>
      </c>
      <c r="L4187" s="112">
        <v>1</v>
      </c>
      <c r="M4187" s="112">
        <v>1</v>
      </c>
    </row>
    <row r="4188" spans="1:15" x14ac:dyDescent="0.2">
      <c r="A4188" s="111">
        <v>4309</v>
      </c>
      <c r="B4188" s="421" t="s">
        <v>2084</v>
      </c>
      <c r="C4188" s="421" t="s">
        <v>501</v>
      </c>
      <c r="D4188" s="422" t="s">
        <v>666</v>
      </c>
      <c r="E4188" s="111">
        <v>16412</v>
      </c>
      <c r="F4188" s="421" t="s">
        <v>7574</v>
      </c>
    </row>
    <row r="4189" spans="1:15" x14ac:dyDescent="0.2">
      <c r="A4189" s="111">
        <v>4310</v>
      </c>
      <c r="B4189" s="421" t="s">
        <v>7540</v>
      </c>
      <c r="C4189" s="421" t="s">
        <v>503</v>
      </c>
      <c r="D4189" s="422" t="s">
        <v>663</v>
      </c>
      <c r="E4189" s="111">
        <v>16413</v>
      </c>
      <c r="F4189" s="421" t="s">
        <v>7568</v>
      </c>
      <c r="G4189" s="112">
        <v>2</v>
      </c>
      <c r="H4189" s="112">
        <v>1</v>
      </c>
      <c r="I4189" s="112">
        <v>2</v>
      </c>
      <c r="J4189" s="112">
        <v>3</v>
      </c>
      <c r="K4189" s="112">
        <v>3</v>
      </c>
      <c r="L4189" s="112">
        <v>4</v>
      </c>
      <c r="N4189" s="112">
        <v>1</v>
      </c>
      <c r="O4189" s="112">
        <v>2</v>
      </c>
    </row>
    <row r="4190" spans="1:15" x14ac:dyDescent="0.2">
      <c r="A4190" s="111">
        <v>4311</v>
      </c>
      <c r="B4190" s="421" t="s">
        <v>2813</v>
      </c>
      <c r="C4190" s="421" t="s">
        <v>562</v>
      </c>
      <c r="D4190" s="422" t="s">
        <v>666</v>
      </c>
      <c r="E4190" s="111">
        <v>16414</v>
      </c>
      <c r="F4190" s="421" t="s">
        <v>7582</v>
      </c>
    </row>
    <row r="4191" spans="1:15" x14ac:dyDescent="0.2">
      <c r="A4191" s="111">
        <v>4312</v>
      </c>
      <c r="B4191" s="421" t="s">
        <v>1387</v>
      </c>
      <c r="C4191" s="421" t="s">
        <v>516</v>
      </c>
      <c r="D4191" s="422" t="s">
        <v>666</v>
      </c>
      <c r="E4191" s="111">
        <v>16415</v>
      </c>
      <c r="F4191" s="421" t="s">
        <v>7579</v>
      </c>
      <c r="G4191" s="112">
        <v>1</v>
      </c>
      <c r="H4191" s="112">
        <v>1</v>
      </c>
      <c r="I4191" s="112">
        <v>1</v>
      </c>
      <c r="J4191" s="112">
        <v>7</v>
      </c>
      <c r="K4191" s="112">
        <v>7</v>
      </c>
      <c r="L4191" s="112">
        <v>7</v>
      </c>
      <c r="M4191" s="112">
        <v>4</v>
      </c>
      <c r="N4191" s="112">
        <v>4</v>
      </c>
      <c r="O4191" s="112">
        <v>4</v>
      </c>
    </row>
    <row r="4192" spans="1:15" x14ac:dyDescent="0.2">
      <c r="A4192" s="111">
        <v>4313</v>
      </c>
      <c r="B4192" s="421" t="s">
        <v>7545</v>
      </c>
      <c r="C4192" s="421" t="s">
        <v>501</v>
      </c>
      <c r="D4192" s="422" t="s">
        <v>663</v>
      </c>
      <c r="E4192" s="111">
        <v>15369</v>
      </c>
      <c r="F4192" s="421" t="s">
        <v>3913</v>
      </c>
    </row>
    <row r="4193" spans="1:15" x14ac:dyDescent="0.2">
      <c r="A4193" s="111">
        <v>4314</v>
      </c>
      <c r="B4193" s="421" t="s">
        <v>119</v>
      </c>
      <c r="C4193" s="421" t="s">
        <v>501</v>
      </c>
      <c r="D4193" s="422" t="s">
        <v>663</v>
      </c>
      <c r="E4193" s="111">
        <v>15450</v>
      </c>
      <c r="F4193" s="421" t="s">
        <v>3734</v>
      </c>
    </row>
    <row r="4194" spans="1:15" x14ac:dyDescent="0.2">
      <c r="A4194" s="111">
        <v>4315</v>
      </c>
      <c r="B4194" s="421" t="s">
        <v>7541</v>
      </c>
      <c r="C4194" s="421" t="s">
        <v>506</v>
      </c>
      <c r="D4194" s="422" t="s">
        <v>666</v>
      </c>
      <c r="E4194" s="111">
        <v>16416</v>
      </c>
      <c r="F4194" s="421" t="s">
        <v>7569</v>
      </c>
      <c r="G4194" s="112">
        <v>1</v>
      </c>
      <c r="H4194" s="112">
        <v>2</v>
      </c>
      <c r="I4194" s="112">
        <v>1</v>
      </c>
      <c r="J4194" s="112">
        <v>2</v>
      </c>
      <c r="K4194" s="112">
        <v>1</v>
      </c>
      <c r="L4194" s="112">
        <v>2</v>
      </c>
    </row>
    <row r="4195" spans="1:15" x14ac:dyDescent="0.2">
      <c r="A4195" s="111">
        <v>4316</v>
      </c>
      <c r="B4195" s="421" t="s">
        <v>91</v>
      </c>
      <c r="C4195" s="421" t="s">
        <v>536</v>
      </c>
      <c r="D4195" s="422" t="s">
        <v>663</v>
      </c>
      <c r="E4195" s="111">
        <v>16417</v>
      </c>
      <c r="F4195" s="421" t="s">
        <v>7559</v>
      </c>
      <c r="G4195" s="112">
        <v>1</v>
      </c>
      <c r="H4195" s="112">
        <v>1</v>
      </c>
    </row>
    <row r="4196" spans="1:15" x14ac:dyDescent="0.2">
      <c r="A4196" s="111">
        <v>4317</v>
      </c>
      <c r="B4196" s="421" t="s">
        <v>7537</v>
      </c>
      <c r="C4196" s="421" t="s">
        <v>534</v>
      </c>
      <c r="D4196" s="422" t="s">
        <v>666</v>
      </c>
      <c r="E4196" s="111">
        <v>16418</v>
      </c>
      <c r="F4196" s="421" t="s">
        <v>7567</v>
      </c>
      <c r="G4196" s="112">
        <v>1</v>
      </c>
      <c r="H4196" s="112">
        <v>1</v>
      </c>
      <c r="I4196" s="112">
        <v>1</v>
      </c>
      <c r="J4196" s="112">
        <v>8</v>
      </c>
      <c r="K4196" s="112">
        <v>8</v>
      </c>
      <c r="L4196" s="112">
        <v>7</v>
      </c>
      <c r="M4196" s="112">
        <v>3</v>
      </c>
      <c r="N4196" s="112">
        <v>3</v>
      </c>
      <c r="O4196" s="112">
        <v>3</v>
      </c>
    </row>
    <row r="4197" spans="1:15" x14ac:dyDescent="0.2">
      <c r="A4197" s="111">
        <v>4318</v>
      </c>
      <c r="B4197" s="421" t="s">
        <v>7538</v>
      </c>
      <c r="C4197" s="421" t="s">
        <v>534</v>
      </c>
      <c r="D4197" s="422" t="s">
        <v>666</v>
      </c>
      <c r="E4197" s="111">
        <v>16418</v>
      </c>
      <c r="F4197" s="421" t="s">
        <v>7567</v>
      </c>
      <c r="G4197" s="112">
        <v>1</v>
      </c>
      <c r="H4197" s="112">
        <v>1</v>
      </c>
      <c r="I4197" s="112">
        <v>2</v>
      </c>
    </row>
    <row r="4198" spans="1:15" x14ac:dyDescent="0.2">
      <c r="A4198" s="111">
        <v>4319</v>
      </c>
      <c r="B4198" s="421" t="s">
        <v>3152</v>
      </c>
      <c r="C4198" s="421" t="s">
        <v>550</v>
      </c>
      <c r="D4198" s="422" t="s">
        <v>666</v>
      </c>
      <c r="E4198" s="111">
        <v>16420</v>
      </c>
      <c r="F4198" s="421" t="s">
        <v>7578</v>
      </c>
    </row>
    <row r="4199" spans="1:15" x14ac:dyDescent="0.2">
      <c r="A4199" s="111">
        <v>4320</v>
      </c>
      <c r="B4199" s="421" t="s">
        <v>1513</v>
      </c>
      <c r="C4199" s="421" t="s">
        <v>521</v>
      </c>
      <c r="D4199" s="422" t="s">
        <v>663</v>
      </c>
      <c r="E4199" s="111">
        <v>16421</v>
      </c>
      <c r="F4199" s="421" t="s">
        <v>7571</v>
      </c>
    </row>
    <row r="4200" spans="1:15" x14ac:dyDescent="0.2">
      <c r="A4200" s="111">
        <v>4321</v>
      </c>
      <c r="B4200" s="421" t="s">
        <v>7542</v>
      </c>
      <c r="C4200" s="421" t="s">
        <v>521</v>
      </c>
      <c r="D4200" s="422" t="s">
        <v>666</v>
      </c>
      <c r="E4200" s="111">
        <v>16421</v>
      </c>
      <c r="F4200" s="421" t="s">
        <v>7571</v>
      </c>
    </row>
    <row r="4201" spans="1:15" x14ac:dyDescent="0.2">
      <c r="A4201" s="111">
        <v>4322</v>
      </c>
      <c r="B4201" s="421" t="s">
        <v>7530</v>
      </c>
      <c r="C4201" s="421" t="s">
        <v>521</v>
      </c>
      <c r="D4201" s="422" t="s">
        <v>666</v>
      </c>
      <c r="E4201" s="111">
        <v>15088</v>
      </c>
      <c r="F4201" s="421" t="s">
        <v>3159</v>
      </c>
      <c r="G4201" s="112">
        <v>1</v>
      </c>
      <c r="H4201" s="112">
        <v>1</v>
      </c>
      <c r="I4201" s="112">
        <v>1</v>
      </c>
      <c r="J4201" s="112">
        <v>8</v>
      </c>
      <c r="K4201" s="112">
        <v>7</v>
      </c>
      <c r="L4201" s="112">
        <v>7</v>
      </c>
      <c r="M4201" s="112">
        <v>5</v>
      </c>
      <c r="N4201" s="112">
        <v>3</v>
      </c>
      <c r="O4201" s="112">
        <v>2</v>
      </c>
    </row>
    <row r="4202" spans="1:15" x14ac:dyDescent="0.2">
      <c r="A4202" s="111">
        <v>4323</v>
      </c>
      <c r="B4202" s="421" t="s">
        <v>3483</v>
      </c>
      <c r="C4202" s="421" t="s">
        <v>1447</v>
      </c>
      <c r="D4202" s="422" t="s">
        <v>663</v>
      </c>
      <c r="E4202" s="111">
        <v>16423</v>
      </c>
      <c r="F4202" s="421" t="s">
        <v>7560</v>
      </c>
      <c r="G4202" s="112">
        <v>1</v>
      </c>
      <c r="H4202" s="112">
        <v>1</v>
      </c>
      <c r="I4202" s="112">
        <v>1</v>
      </c>
      <c r="J4202" s="112">
        <v>7</v>
      </c>
      <c r="K4202" s="112">
        <v>7</v>
      </c>
      <c r="L4202" s="112">
        <v>7</v>
      </c>
      <c r="M4202" s="112">
        <v>5</v>
      </c>
      <c r="N4202" s="112">
        <v>3</v>
      </c>
      <c r="O4202" s="112">
        <v>3</v>
      </c>
    </row>
    <row r="4203" spans="1:15" x14ac:dyDescent="0.2">
      <c r="A4203" s="111">
        <v>4324</v>
      </c>
      <c r="B4203" s="421" t="s">
        <v>290</v>
      </c>
      <c r="C4203" s="421" t="s">
        <v>519</v>
      </c>
      <c r="D4203" s="422" t="s">
        <v>666</v>
      </c>
      <c r="E4203" s="111">
        <v>15741</v>
      </c>
      <c r="F4203" s="421" t="s">
        <v>5295</v>
      </c>
      <c r="G4203" s="112">
        <v>2</v>
      </c>
      <c r="H4203" s="112">
        <v>1</v>
      </c>
      <c r="I4203" s="112">
        <v>1</v>
      </c>
    </row>
    <row r="4204" spans="1:15" x14ac:dyDescent="0.2">
      <c r="A4204" s="111">
        <v>4325</v>
      </c>
      <c r="B4204" s="421" t="s">
        <v>139</v>
      </c>
      <c r="C4204" s="421" t="s">
        <v>2114</v>
      </c>
      <c r="D4204" s="422" t="s">
        <v>663</v>
      </c>
      <c r="E4204" s="111">
        <v>15041</v>
      </c>
      <c r="F4204" s="421" t="s">
        <v>9114</v>
      </c>
    </row>
    <row r="4205" spans="1:15" x14ac:dyDescent="0.2">
      <c r="A4205" s="111">
        <v>4326</v>
      </c>
      <c r="B4205" s="421" t="s">
        <v>7536</v>
      </c>
      <c r="C4205" s="421" t="s">
        <v>555</v>
      </c>
      <c r="D4205" s="422" t="s">
        <v>666</v>
      </c>
      <c r="E4205" s="111">
        <v>44055</v>
      </c>
      <c r="F4205" s="421" t="s">
        <v>7566</v>
      </c>
      <c r="G4205" s="112">
        <v>2</v>
      </c>
      <c r="H4205" s="112">
        <v>4</v>
      </c>
      <c r="I4205" s="112">
        <v>4</v>
      </c>
    </row>
    <row r="4206" spans="1:15" x14ac:dyDescent="0.2">
      <c r="A4206" s="111">
        <v>4327</v>
      </c>
      <c r="B4206" s="421" t="s">
        <v>7544</v>
      </c>
      <c r="C4206" s="421" t="s">
        <v>4662</v>
      </c>
      <c r="D4206" s="422" t="s">
        <v>663</v>
      </c>
      <c r="E4206" s="111">
        <v>16424</v>
      </c>
      <c r="F4206" s="421" t="s">
        <v>7577</v>
      </c>
      <c r="G4206" s="112">
        <v>1</v>
      </c>
      <c r="H4206" s="112">
        <v>1</v>
      </c>
      <c r="I4206" s="112">
        <v>1</v>
      </c>
      <c r="J4206" s="112">
        <v>1</v>
      </c>
      <c r="L4206" s="112">
        <v>1</v>
      </c>
      <c r="M4206" s="112">
        <v>1</v>
      </c>
    </row>
    <row r="4207" spans="1:15" x14ac:dyDescent="0.2">
      <c r="A4207" s="111">
        <v>4328</v>
      </c>
      <c r="B4207" s="421" t="s">
        <v>6043</v>
      </c>
      <c r="C4207" s="421" t="s">
        <v>577</v>
      </c>
      <c r="D4207" s="422" t="s">
        <v>666</v>
      </c>
      <c r="E4207" s="111">
        <v>16425</v>
      </c>
      <c r="F4207" s="421" t="s">
        <v>7564</v>
      </c>
      <c r="G4207" s="112">
        <v>1</v>
      </c>
      <c r="H4207" s="112">
        <v>1</v>
      </c>
      <c r="I4207" s="112">
        <v>1</v>
      </c>
      <c r="J4207" s="112">
        <v>6</v>
      </c>
      <c r="K4207" s="112">
        <v>4</v>
      </c>
      <c r="L4207" s="112">
        <v>6</v>
      </c>
      <c r="M4207" s="112">
        <v>4</v>
      </c>
      <c r="N4207" s="112">
        <v>2</v>
      </c>
      <c r="O4207" s="112">
        <v>3</v>
      </c>
    </row>
    <row r="4208" spans="1:15" x14ac:dyDescent="0.2">
      <c r="A4208" s="111">
        <v>4329</v>
      </c>
      <c r="B4208" s="421" t="s">
        <v>7532</v>
      </c>
      <c r="C4208" s="421" t="s">
        <v>528</v>
      </c>
      <c r="D4208" s="422" t="s">
        <v>666</v>
      </c>
      <c r="E4208" s="111">
        <v>15200</v>
      </c>
      <c r="F4208" s="421" t="s">
        <v>733</v>
      </c>
      <c r="G4208" s="112">
        <v>1</v>
      </c>
      <c r="H4208" s="112">
        <v>1</v>
      </c>
      <c r="I4208" s="112">
        <v>1</v>
      </c>
      <c r="J4208" s="112">
        <v>7</v>
      </c>
      <c r="K4208" s="112">
        <v>7</v>
      </c>
      <c r="L4208" s="112">
        <v>7</v>
      </c>
      <c r="M4208" s="112">
        <v>5</v>
      </c>
      <c r="N4208" s="112">
        <v>3</v>
      </c>
      <c r="O4208" s="112">
        <v>3</v>
      </c>
    </row>
    <row r="4209" spans="1:15" x14ac:dyDescent="0.2">
      <c r="A4209" s="111">
        <v>4330</v>
      </c>
      <c r="B4209" s="421" t="s">
        <v>1536</v>
      </c>
      <c r="C4209" s="421" t="s">
        <v>528</v>
      </c>
      <c r="D4209" s="422" t="s">
        <v>666</v>
      </c>
      <c r="E4209" s="111">
        <v>15200</v>
      </c>
      <c r="F4209" s="421" t="s">
        <v>733</v>
      </c>
      <c r="G4209" s="112">
        <v>1</v>
      </c>
      <c r="H4209" s="112">
        <v>2</v>
      </c>
      <c r="I4209" s="112">
        <v>1</v>
      </c>
      <c r="J4209" s="112">
        <v>7</v>
      </c>
      <c r="K4209" s="112">
        <v>7</v>
      </c>
      <c r="L4209" s="112">
        <v>7</v>
      </c>
      <c r="M4209" s="112">
        <v>3</v>
      </c>
      <c r="N4209" s="112">
        <v>3</v>
      </c>
      <c r="O4209" s="112">
        <v>2</v>
      </c>
    </row>
    <row r="4210" spans="1:15" x14ac:dyDescent="0.2">
      <c r="A4210" s="111">
        <v>4331</v>
      </c>
      <c r="B4210" s="421" t="s">
        <v>7547</v>
      </c>
      <c r="C4210" s="421" t="s">
        <v>522</v>
      </c>
      <c r="D4210" s="422" t="s">
        <v>663</v>
      </c>
      <c r="E4210" s="111">
        <v>16111</v>
      </c>
      <c r="F4210" s="421" t="s">
        <v>1923</v>
      </c>
      <c r="G4210" s="112">
        <v>1</v>
      </c>
      <c r="H4210" s="112">
        <v>1</v>
      </c>
      <c r="I4210" s="112">
        <v>1</v>
      </c>
      <c r="J4210" s="112">
        <v>3</v>
      </c>
      <c r="K4210" s="112">
        <v>5</v>
      </c>
      <c r="L4210" s="112">
        <v>3</v>
      </c>
      <c r="M4210" s="112">
        <v>1</v>
      </c>
      <c r="O4210" s="112">
        <v>2</v>
      </c>
    </row>
    <row r="4211" spans="1:15" x14ac:dyDescent="0.2">
      <c r="A4211" s="111">
        <v>4332</v>
      </c>
      <c r="B4211" s="421" t="s">
        <v>387</v>
      </c>
      <c r="C4211" s="421" t="s">
        <v>503</v>
      </c>
      <c r="D4211" s="422" t="s">
        <v>663</v>
      </c>
      <c r="E4211" s="111">
        <v>16743</v>
      </c>
      <c r="F4211" s="421" t="s">
        <v>7580</v>
      </c>
      <c r="G4211" s="112">
        <v>1</v>
      </c>
      <c r="H4211" s="112">
        <v>1</v>
      </c>
    </row>
    <row r="4212" spans="1:15" x14ac:dyDescent="0.2">
      <c r="A4212" s="111">
        <v>4333</v>
      </c>
      <c r="B4212" s="421" t="s">
        <v>1691</v>
      </c>
      <c r="C4212" s="421" t="s">
        <v>503</v>
      </c>
      <c r="D4212" s="422" t="s">
        <v>663</v>
      </c>
      <c r="E4212" s="111">
        <v>16743</v>
      </c>
      <c r="F4212" s="421" t="s">
        <v>7580</v>
      </c>
    </row>
    <row r="4213" spans="1:15" x14ac:dyDescent="0.2">
      <c r="A4213" s="111">
        <v>4334</v>
      </c>
      <c r="B4213" s="421" t="s">
        <v>186</v>
      </c>
      <c r="C4213" s="421" t="s">
        <v>503</v>
      </c>
      <c r="D4213" s="422" t="s">
        <v>666</v>
      </c>
      <c r="E4213" s="111">
        <v>16743</v>
      </c>
      <c r="F4213" s="421" t="s">
        <v>7580</v>
      </c>
    </row>
    <row r="4214" spans="1:15" x14ac:dyDescent="0.2">
      <c r="A4214" s="111">
        <v>4335</v>
      </c>
      <c r="B4214" s="421" t="s">
        <v>5565</v>
      </c>
      <c r="C4214" s="421" t="s">
        <v>1201</v>
      </c>
      <c r="D4214" s="422" t="s">
        <v>663</v>
      </c>
      <c r="E4214" s="111">
        <v>16426</v>
      </c>
      <c r="F4214" s="421" t="s">
        <v>7575</v>
      </c>
      <c r="G4214" s="112">
        <v>1</v>
      </c>
      <c r="H4214" s="112">
        <v>1</v>
      </c>
      <c r="I4214" s="112">
        <v>1</v>
      </c>
      <c r="J4214" s="112">
        <v>1</v>
      </c>
      <c r="K4214" s="112">
        <v>1</v>
      </c>
      <c r="L4214" s="112">
        <v>1</v>
      </c>
    </row>
    <row r="4215" spans="1:15" x14ac:dyDescent="0.2">
      <c r="A4215" s="111">
        <v>4336</v>
      </c>
      <c r="B4215" s="421" t="s">
        <v>408</v>
      </c>
      <c r="C4215" s="421" t="s">
        <v>518</v>
      </c>
      <c r="D4215" s="422" t="s">
        <v>663</v>
      </c>
      <c r="E4215" s="111">
        <v>16427</v>
      </c>
      <c r="F4215" s="421" t="s">
        <v>7576</v>
      </c>
      <c r="G4215" s="112">
        <v>1</v>
      </c>
      <c r="H4215" s="112">
        <v>1</v>
      </c>
      <c r="I4215" s="112">
        <v>1</v>
      </c>
      <c r="J4215" s="112">
        <v>3</v>
      </c>
      <c r="K4215" s="112">
        <v>3</v>
      </c>
      <c r="L4215" s="112">
        <v>4</v>
      </c>
      <c r="M4215" s="112">
        <v>6</v>
      </c>
      <c r="N4215" s="112">
        <v>2</v>
      </c>
      <c r="O4215" s="112">
        <v>2</v>
      </c>
    </row>
    <row r="4216" spans="1:15" x14ac:dyDescent="0.2">
      <c r="A4216" s="111">
        <v>4337</v>
      </c>
      <c r="B4216" s="421" t="s">
        <v>7549</v>
      </c>
      <c r="C4216" s="421" t="s">
        <v>2599</v>
      </c>
      <c r="D4216" s="422" t="s">
        <v>666</v>
      </c>
      <c r="F4216" s="421" t="s">
        <v>7584</v>
      </c>
    </row>
    <row r="4217" spans="1:15" x14ac:dyDescent="0.2">
      <c r="A4217" s="111">
        <v>4338</v>
      </c>
      <c r="B4217" s="421" t="s">
        <v>2198</v>
      </c>
      <c r="C4217" s="421" t="s">
        <v>17459</v>
      </c>
      <c r="D4217" s="422" t="s">
        <v>663</v>
      </c>
      <c r="E4217" s="111">
        <v>16428</v>
      </c>
      <c r="F4217" s="421" t="s">
        <v>7585</v>
      </c>
      <c r="G4217" s="112">
        <v>1</v>
      </c>
      <c r="H4217" s="112">
        <v>1</v>
      </c>
      <c r="I4217" s="112">
        <v>1</v>
      </c>
      <c r="J4217" s="112">
        <v>2</v>
      </c>
      <c r="K4217" s="112">
        <v>1</v>
      </c>
      <c r="L4217" s="112">
        <v>1</v>
      </c>
      <c r="O4217" s="112">
        <v>1</v>
      </c>
    </row>
    <row r="4218" spans="1:15" x14ac:dyDescent="0.2">
      <c r="A4218" s="111">
        <v>4339</v>
      </c>
      <c r="B4218" s="421" t="s">
        <v>3014</v>
      </c>
      <c r="C4218" s="421" t="s">
        <v>2581</v>
      </c>
      <c r="D4218" s="422" t="s">
        <v>663</v>
      </c>
      <c r="E4218" s="111">
        <v>15794</v>
      </c>
      <c r="F4218" s="421" t="s">
        <v>5434</v>
      </c>
      <c r="G4218" s="112">
        <v>1</v>
      </c>
      <c r="H4218" s="112">
        <v>1</v>
      </c>
      <c r="J4218" s="112">
        <v>1</v>
      </c>
    </row>
    <row r="4219" spans="1:15" x14ac:dyDescent="0.2">
      <c r="A4219" s="111">
        <v>4340</v>
      </c>
      <c r="B4219" s="421" t="s">
        <v>408</v>
      </c>
      <c r="C4219" s="421" t="s">
        <v>7551</v>
      </c>
      <c r="D4219" s="422" t="s">
        <v>663</v>
      </c>
      <c r="E4219" s="111">
        <v>16429</v>
      </c>
      <c r="F4219" s="421" t="s">
        <v>7562</v>
      </c>
      <c r="G4219" s="112">
        <v>3</v>
      </c>
      <c r="H4219" s="112">
        <v>3</v>
      </c>
      <c r="I4219" s="112">
        <v>1</v>
      </c>
      <c r="J4219" s="112">
        <v>3</v>
      </c>
      <c r="K4219" s="112">
        <v>3</v>
      </c>
      <c r="L4219" s="112">
        <v>4</v>
      </c>
    </row>
    <row r="4220" spans="1:15" x14ac:dyDescent="0.2">
      <c r="A4220" s="111">
        <v>4341</v>
      </c>
      <c r="B4220" s="421" t="s">
        <v>2170</v>
      </c>
      <c r="C4220" s="421" t="s">
        <v>540</v>
      </c>
      <c r="D4220" s="422" t="s">
        <v>666</v>
      </c>
      <c r="F4220" s="421" t="s">
        <v>7572</v>
      </c>
    </row>
    <row r="4221" spans="1:15" x14ac:dyDescent="0.2">
      <c r="A4221" s="111">
        <v>4342</v>
      </c>
      <c r="B4221" s="421" t="s">
        <v>4618</v>
      </c>
      <c r="C4221" s="421" t="s">
        <v>5195</v>
      </c>
      <c r="D4221" s="422" t="s">
        <v>663</v>
      </c>
      <c r="E4221" s="111">
        <v>15726</v>
      </c>
      <c r="F4221" s="421" t="s">
        <v>5196</v>
      </c>
      <c r="G4221" s="112">
        <v>1</v>
      </c>
      <c r="H4221" s="112">
        <v>1</v>
      </c>
      <c r="I4221" s="112">
        <v>2</v>
      </c>
      <c r="J4221" s="112">
        <v>3</v>
      </c>
      <c r="K4221" s="112">
        <v>3</v>
      </c>
      <c r="L4221" s="112">
        <v>3</v>
      </c>
      <c r="M4221" s="112">
        <v>8</v>
      </c>
      <c r="N4221" s="112">
        <v>3</v>
      </c>
      <c r="O4221" s="112">
        <v>3</v>
      </c>
    </row>
    <row r="4222" spans="1:15" x14ac:dyDescent="0.2">
      <c r="A4222" s="111">
        <v>4343</v>
      </c>
      <c r="B4222" s="421" t="s">
        <v>7543</v>
      </c>
      <c r="C4222" s="421" t="s">
        <v>507</v>
      </c>
      <c r="D4222" s="422" t="s">
        <v>663</v>
      </c>
      <c r="E4222" s="111">
        <v>16430</v>
      </c>
      <c r="F4222" s="421" t="s">
        <v>7573</v>
      </c>
      <c r="G4222" s="112">
        <v>1</v>
      </c>
      <c r="H4222" s="112">
        <v>1</v>
      </c>
      <c r="I4222" s="112">
        <v>1</v>
      </c>
    </row>
    <row r="4223" spans="1:15" x14ac:dyDescent="0.2">
      <c r="A4223" s="111">
        <v>4344</v>
      </c>
      <c r="B4223" s="421" t="s">
        <v>7531</v>
      </c>
      <c r="C4223" s="421" t="s">
        <v>587</v>
      </c>
      <c r="D4223" s="422" t="s">
        <v>666</v>
      </c>
      <c r="E4223" s="111">
        <v>16432</v>
      </c>
      <c r="F4223" s="421" t="s">
        <v>7561</v>
      </c>
      <c r="G4223" s="112">
        <v>1</v>
      </c>
      <c r="H4223" s="112">
        <v>1</v>
      </c>
      <c r="I4223" s="112">
        <v>1</v>
      </c>
      <c r="J4223" s="112">
        <v>10</v>
      </c>
      <c r="K4223" s="112">
        <v>7</v>
      </c>
      <c r="L4223" s="112">
        <v>5</v>
      </c>
      <c r="M4223" s="112">
        <v>3</v>
      </c>
      <c r="N4223" s="112">
        <v>2</v>
      </c>
      <c r="O4223" s="112">
        <v>2</v>
      </c>
    </row>
    <row r="4224" spans="1:15" x14ac:dyDescent="0.2">
      <c r="A4224" s="111">
        <v>4345</v>
      </c>
      <c r="B4224" s="421" t="s">
        <v>7525</v>
      </c>
      <c r="C4224" s="421" t="s">
        <v>506</v>
      </c>
      <c r="D4224" s="422" t="s">
        <v>666</v>
      </c>
      <c r="E4224" s="111">
        <v>1497</v>
      </c>
      <c r="F4224" s="421" t="s">
        <v>950</v>
      </c>
    </row>
    <row r="4225" spans="1:15" x14ac:dyDescent="0.2">
      <c r="A4225" s="111">
        <v>4346</v>
      </c>
      <c r="B4225" s="421" t="s">
        <v>7550</v>
      </c>
      <c r="C4225" s="421" t="s">
        <v>506</v>
      </c>
      <c r="D4225" s="422" t="s">
        <v>663</v>
      </c>
      <c r="E4225" s="111">
        <v>1497</v>
      </c>
      <c r="F4225" s="421" t="s">
        <v>950</v>
      </c>
      <c r="G4225" s="112">
        <v>2</v>
      </c>
      <c r="H4225" s="112">
        <v>1</v>
      </c>
      <c r="I4225" s="112">
        <v>2</v>
      </c>
      <c r="J4225" s="112">
        <v>3</v>
      </c>
      <c r="K4225" s="112">
        <v>2</v>
      </c>
      <c r="L4225" s="112">
        <v>2</v>
      </c>
    </row>
    <row r="4226" spans="1:15" x14ac:dyDescent="0.2">
      <c r="A4226" s="111">
        <v>4347</v>
      </c>
      <c r="B4226" s="421" t="s">
        <v>6671</v>
      </c>
      <c r="C4226" s="421" t="s">
        <v>1817</v>
      </c>
      <c r="D4226" s="422" t="s">
        <v>663</v>
      </c>
      <c r="E4226" s="111">
        <v>16466</v>
      </c>
      <c r="F4226" s="421" t="s">
        <v>7581</v>
      </c>
    </row>
    <row r="4227" spans="1:15" x14ac:dyDescent="0.2">
      <c r="A4227" s="111">
        <v>4348</v>
      </c>
      <c r="B4227" s="421" t="s">
        <v>2468</v>
      </c>
      <c r="C4227" s="421" t="s">
        <v>1908</v>
      </c>
      <c r="D4227" s="422" t="s">
        <v>666</v>
      </c>
      <c r="E4227" s="111">
        <v>16437</v>
      </c>
      <c r="F4227" s="421" t="s">
        <v>7570</v>
      </c>
      <c r="G4227" s="112">
        <v>1</v>
      </c>
      <c r="H4227" s="112">
        <v>1</v>
      </c>
      <c r="I4227" s="112">
        <v>1</v>
      </c>
      <c r="J4227" s="112">
        <v>6</v>
      </c>
      <c r="K4227" s="112">
        <v>4</v>
      </c>
      <c r="L4227" s="112">
        <v>3</v>
      </c>
      <c r="M4227" s="112">
        <v>2</v>
      </c>
      <c r="N4227" s="112">
        <v>2</v>
      </c>
      <c r="O4227" s="112">
        <v>2</v>
      </c>
    </row>
    <row r="4228" spans="1:15" x14ac:dyDescent="0.2">
      <c r="A4228" s="111">
        <v>4349</v>
      </c>
      <c r="B4228" s="421" t="s">
        <v>2358</v>
      </c>
      <c r="C4228" s="421" t="s">
        <v>551</v>
      </c>
      <c r="D4228" s="422" t="s">
        <v>666</v>
      </c>
      <c r="E4228" s="111">
        <v>16310</v>
      </c>
      <c r="F4228" s="421" t="s">
        <v>7169</v>
      </c>
      <c r="G4228" s="112">
        <v>1</v>
      </c>
      <c r="H4228" s="112">
        <v>1</v>
      </c>
      <c r="I4228" s="112">
        <v>1</v>
      </c>
    </row>
    <row r="4229" spans="1:15" x14ac:dyDescent="0.2">
      <c r="A4229" s="111">
        <v>4350</v>
      </c>
      <c r="B4229" s="421" t="s">
        <v>3058</v>
      </c>
      <c r="C4229" s="421" t="s">
        <v>510</v>
      </c>
      <c r="D4229" s="422" t="s">
        <v>663</v>
      </c>
      <c r="E4229" s="111">
        <v>15063</v>
      </c>
      <c r="F4229" s="421" t="s">
        <v>3059</v>
      </c>
    </row>
    <row r="4230" spans="1:15" x14ac:dyDescent="0.2">
      <c r="A4230" s="111">
        <v>4351</v>
      </c>
      <c r="B4230" s="421" t="s">
        <v>7534</v>
      </c>
      <c r="C4230" s="421" t="s">
        <v>525</v>
      </c>
      <c r="D4230" s="422" t="s">
        <v>663</v>
      </c>
      <c r="E4230" s="111">
        <v>16562</v>
      </c>
      <c r="F4230" s="421" t="s">
        <v>7563</v>
      </c>
    </row>
    <row r="4231" spans="1:15" x14ac:dyDescent="0.2">
      <c r="A4231" s="111">
        <v>4352</v>
      </c>
      <c r="B4231" s="421" t="s">
        <v>207</v>
      </c>
      <c r="C4231" s="421" t="s">
        <v>516</v>
      </c>
      <c r="D4231" s="422" t="s">
        <v>666</v>
      </c>
      <c r="E4231" s="111">
        <v>15157</v>
      </c>
      <c r="F4231" s="421" t="s">
        <v>3308</v>
      </c>
      <c r="G4231" s="112">
        <v>1</v>
      </c>
      <c r="H4231" s="112">
        <v>1</v>
      </c>
      <c r="I4231" s="112">
        <v>1</v>
      </c>
      <c r="J4231" s="112">
        <v>5</v>
      </c>
      <c r="K4231" s="112">
        <v>4</v>
      </c>
      <c r="L4231" s="112">
        <v>5</v>
      </c>
      <c r="M4231" s="112">
        <v>3</v>
      </c>
      <c r="N4231" s="112">
        <v>2</v>
      </c>
      <c r="O4231" s="112">
        <v>4</v>
      </c>
    </row>
    <row r="4232" spans="1:15" x14ac:dyDescent="0.2">
      <c r="A4232" s="111">
        <v>4353</v>
      </c>
      <c r="B4232" s="421" t="s">
        <v>2135</v>
      </c>
      <c r="C4232" s="421" t="s">
        <v>559</v>
      </c>
      <c r="D4232" s="422" t="s">
        <v>666</v>
      </c>
      <c r="E4232" s="111">
        <v>16439</v>
      </c>
      <c r="F4232" s="421" t="s">
        <v>7583</v>
      </c>
      <c r="G4232" s="112">
        <v>2</v>
      </c>
      <c r="H4232" s="112">
        <v>1</v>
      </c>
      <c r="I4232" s="112">
        <v>1</v>
      </c>
      <c r="J4232" s="112">
        <v>7</v>
      </c>
      <c r="K4232" s="112">
        <v>4</v>
      </c>
      <c r="L4232" s="112">
        <v>2</v>
      </c>
      <c r="M4232" s="112">
        <v>1</v>
      </c>
      <c r="O4232" s="112">
        <v>1</v>
      </c>
    </row>
    <row r="4233" spans="1:15" x14ac:dyDescent="0.2">
      <c r="A4233" s="111">
        <v>4354</v>
      </c>
      <c r="B4233" s="421" t="s">
        <v>7546</v>
      </c>
      <c r="C4233" s="421" t="s">
        <v>1112</v>
      </c>
      <c r="D4233" s="422" t="s">
        <v>666</v>
      </c>
      <c r="E4233" s="111">
        <v>16674</v>
      </c>
      <c r="F4233" s="421" t="s">
        <v>8398</v>
      </c>
      <c r="G4233" s="112">
        <v>1</v>
      </c>
      <c r="H4233" s="112">
        <v>1</v>
      </c>
      <c r="I4233" s="112">
        <v>1</v>
      </c>
      <c r="J4233" s="112">
        <v>1</v>
      </c>
      <c r="L4233" s="112">
        <v>1</v>
      </c>
    </row>
    <row r="4234" spans="1:15" x14ac:dyDescent="0.2">
      <c r="A4234" s="111">
        <v>4355</v>
      </c>
      <c r="B4234" s="421" t="s">
        <v>7539</v>
      </c>
      <c r="C4234" s="421" t="s">
        <v>555</v>
      </c>
      <c r="D4234" s="422" t="s">
        <v>663</v>
      </c>
      <c r="E4234" s="111">
        <v>14546</v>
      </c>
      <c r="F4234" s="421" t="s">
        <v>4735</v>
      </c>
      <c r="G4234" s="112">
        <v>1</v>
      </c>
      <c r="H4234" s="112">
        <v>1</v>
      </c>
      <c r="I4234" s="112">
        <v>1</v>
      </c>
      <c r="J4234" s="112">
        <v>1</v>
      </c>
      <c r="K4234" s="112">
        <v>3</v>
      </c>
      <c r="L4234" s="112">
        <v>1</v>
      </c>
      <c r="O4234" s="112">
        <v>1</v>
      </c>
    </row>
    <row r="4235" spans="1:15" x14ac:dyDescent="0.2">
      <c r="A4235" s="111">
        <v>4356</v>
      </c>
      <c r="B4235" s="421" t="s">
        <v>7548</v>
      </c>
      <c r="C4235" s="421" t="s">
        <v>1846</v>
      </c>
      <c r="D4235" s="422" t="s">
        <v>663</v>
      </c>
      <c r="E4235" s="111">
        <v>14821</v>
      </c>
      <c r="F4235" s="421" t="s">
        <v>1948</v>
      </c>
      <c r="G4235" s="112">
        <v>1</v>
      </c>
      <c r="H4235" s="112">
        <v>1</v>
      </c>
      <c r="I4235" s="112">
        <v>1</v>
      </c>
      <c r="J4235" s="112">
        <v>9</v>
      </c>
      <c r="K4235" s="112">
        <v>8</v>
      </c>
      <c r="L4235" s="112">
        <v>7</v>
      </c>
      <c r="M4235" s="112">
        <v>14</v>
      </c>
      <c r="N4235" s="112">
        <v>6</v>
      </c>
      <c r="O4235" s="112">
        <v>5</v>
      </c>
    </row>
    <row r="4236" spans="1:15" x14ac:dyDescent="0.2">
      <c r="A4236" s="111">
        <v>4357</v>
      </c>
      <c r="B4236" s="421" t="s">
        <v>455</v>
      </c>
      <c r="C4236" s="421" t="s">
        <v>513</v>
      </c>
      <c r="D4236" s="422" t="s">
        <v>663</v>
      </c>
      <c r="E4236" s="111">
        <v>15578</v>
      </c>
      <c r="F4236" s="421" t="s">
        <v>4821</v>
      </c>
    </row>
    <row r="4237" spans="1:15" x14ac:dyDescent="0.2">
      <c r="A4237" s="111">
        <v>4358</v>
      </c>
      <c r="B4237" s="421" t="s">
        <v>1257</v>
      </c>
      <c r="C4237" s="421" t="s">
        <v>516</v>
      </c>
      <c r="D4237" s="422" t="s">
        <v>666</v>
      </c>
      <c r="E4237" s="111">
        <v>16441</v>
      </c>
      <c r="F4237" s="421" t="s">
        <v>7565</v>
      </c>
      <c r="G4237" s="112">
        <v>1</v>
      </c>
      <c r="H4237" s="112">
        <v>1</v>
      </c>
      <c r="I4237" s="112">
        <v>1</v>
      </c>
      <c r="J4237" s="112">
        <v>10</v>
      </c>
      <c r="K4237" s="112">
        <v>10</v>
      </c>
      <c r="L4237" s="112">
        <v>10</v>
      </c>
      <c r="M4237" s="112">
        <v>33</v>
      </c>
      <c r="N4237" s="112">
        <v>36</v>
      </c>
      <c r="O4237" s="112">
        <v>35</v>
      </c>
    </row>
    <row r="4238" spans="1:15" x14ac:dyDescent="0.2">
      <c r="A4238" s="111">
        <v>4359</v>
      </c>
      <c r="B4238" s="421" t="s">
        <v>7535</v>
      </c>
      <c r="C4238" s="421" t="s">
        <v>516</v>
      </c>
      <c r="D4238" s="422" t="s">
        <v>663</v>
      </c>
      <c r="E4238" s="111">
        <v>16441</v>
      </c>
      <c r="F4238" s="421" t="s">
        <v>7565</v>
      </c>
      <c r="G4238" s="112">
        <v>1</v>
      </c>
      <c r="H4238" s="112">
        <v>1</v>
      </c>
      <c r="I4238" s="112">
        <v>3</v>
      </c>
      <c r="J4238" s="112">
        <v>12</v>
      </c>
      <c r="K4238" s="112">
        <v>10</v>
      </c>
      <c r="L4238" s="112">
        <v>10</v>
      </c>
      <c r="M4238" s="112">
        <v>9</v>
      </c>
      <c r="N4238" s="112">
        <v>5</v>
      </c>
      <c r="O4238" s="112">
        <v>4</v>
      </c>
    </row>
    <row r="4239" spans="1:15" x14ac:dyDescent="0.2">
      <c r="A4239" s="111">
        <v>4360</v>
      </c>
      <c r="B4239" s="421" t="s">
        <v>7533</v>
      </c>
      <c r="C4239" s="421" t="s">
        <v>503</v>
      </c>
      <c r="D4239" s="422" t="s">
        <v>663</v>
      </c>
      <c r="E4239" s="111">
        <v>15708</v>
      </c>
      <c r="F4239" s="421" t="s">
        <v>5160</v>
      </c>
      <c r="G4239" s="112">
        <v>3</v>
      </c>
      <c r="H4239" s="112">
        <v>2</v>
      </c>
      <c r="I4239" s="112">
        <v>1</v>
      </c>
      <c r="J4239" s="112">
        <v>1</v>
      </c>
      <c r="K4239" s="112">
        <v>1</v>
      </c>
      <c r="L4239" s="112">
        <v>1</v>
      </c>
    </row>
    <row r="4240" spans="1:15" x14ac:dyDescent="0.2">
      <c r="A4240" s="111">
        <v>4361</v>
      </c>
      <c r="B4240" s="421" t="s">
        <v>3359</v>
      </c>
      <c r="C4240" s="421" t="s">
        <v>516</v>
      </c>
      <c r="D4240" s="422" t="s">
        <v>663</v>
      </c>
      <c r="E4240" s="111">
        <v>16438</v>
      </c>
      <c r="F4240" s="421" t="s">
        <v>1190</v>
      </c>
      <c r="G4240" s="112">
        <v>2</v>
      </c>
      <c r="H4240" s="112">
        <v>2</v>
      </c>
      <c r="I4240" s="112">
        <v>1</v>
      </c>
      <c r="J4240" s="112">
        <v>1</v>
      </c>
      <c r="K4240" s="112">
        <v>1</v>
      </c>
      <c r="L4240" s="112">
        <v>1</v>
      </c>
    </row>
    <row r="4241" spans="1:15" x14ac:dyDescent="0.2">
      <c r="A4241" s="111">
        <v>4362</v>
      </c>
      <c r="B4241" s="421" t="s">
        <v>7674</v>
      </c>
      <c r="C4241" s="421" t="s">
        <v>3385</v>
      </c>
      <c r="D4241" s="422" t="s">
        <v>666</v>
      </c>
      <c r="E4241" s="111">
        <v>15654</v>
      </c>
      <c r="F4241" s="421" t="s">
        <v>3333</v>
      </c>
      <c r="G4241" s="112">
        <v>1</v>
      </c>
      <c r="H4241" s="112">
        <v>1</v>
      </c>
      <c r="I4241" s="112">
        <v>1</v>
      </c>
      <c r="J4241" s="112">
        <v>2</v>
      </c>
      <c r="K4241" s="112">
        <v>1</v>
      </c>
    </row>
    <row r="4242" spans="1:15" x14ac:dyDescent="0.2">
      <c r="A4242" s="111">
        <v>4363</v>
      </c>
      <c r="B4242" s="421" t="s">
        <v>2937</v>
      </c>
      <c r="C4242" s="421" t="s">
        <v>510</v>
      </c>
      <c r="D4242" s="422" t="s">
        <v>663</v>
      </c>
      <c r="E4242" s="111">
        <v>16442</v>
      </c>
      <c r="F4242" s="421" t="s">
        <v>7753</v>
      </c>
      <c r="G4242" s="112">
        <v>1</v>
      </c>
      <c r="H4242" s="112">
        <v>1</v>
      </c>
      <c r="I4242" s="112">
        <v>1</v>
      </c>
    </row>
    <row r="4243" spans="1:15" x14ac:dyDescent="0.2">
      <c r="A4243" s="111">
        <v>4364</v>
      </c>
      <c r="B4243" s="421" t="s">
        <v>7693</v>
      </c>
      <c r="C4243" s="421" t="s">
        <v>510</v>
      </c>
      <c r="D4243" s="422" t="s">
        <v>666</v>
      </c>
      <c r="E4243" s="111">
        <v>16442</v>
      </c>
      <c r="F4243" s="421" t="s">
        <v>7753</v>
      </c>
      <c r="G4243" s="112">
        <v>1</v>
      </c>
      <c r="H4243" s="112">
        <v>1</v>
      </c>
      <c r="I4243" s="112">
        <v>1</v>
      </c>
      <c r="J4243" s="112">
        <v>1</v>
      </c>
      <c r="K4243" s="112">
        <v>1</v>
      </c>
      <c r="L4243" s="112">
        <v>1</v>
      </c>
    </row>
    <row r="4244" spans="1:15" x14ac:dyDescent="0.2">
      <c r="A4244" s="111">
        <v>4365</v>
      </c>
      <c r="B4244" s="421" t="s">
        <v>7657</v>
      </c>
      <c r="C4244" s="421" t="s">
        <v>628</v>
      </c>
      <c r="D4244" s="422" t="s">
        <v>666</v>
      </c>
      <c r="E4244" s="111">
        <v>16431</v>
      </c>
      <c r="F4244" s="421" t="s">
        <v>7711</v>
      </c>
      <c r="G4244" s="112">
        <v>1</v>
      </c>
      <c r="H4244" s="112">
        <v>1</v>
      </c>
      <c r="I4244" s="112">
        <v>1</v>
      </c>
      <c r="J4244" s="112">
        <v>3</v>
      </c>
      <c r="K4244" s="112">
        <v>3</v>
      </c>
      <c r="L4244" s="112">
        <v>3</v>
      </c>
      <c r="M4244" s="112">
        <v>1</v>
      </c>
      <c r="N4244" s="112">
        <v>1</v>
      </c>
    </row>
    <row r="4245" spans="1:15" x14ac:dyDescent="0.2">
      <c r="A4245" s="111">
        <v>4366</v>
      </c>
      <c r="B4245" s="421" t="s">
        <v>7677</v>
      </c>
      <c r="C4245" s="421" t="s">
        <v>587</v>
      </c>
      <c r="D4245" s="422" t="s">
        <v>663</v>
      </c>
      <c r="E4245" s="111">
        <v>16443</v>
      </c>
      <c r="F4245" s="421" t="s">
        <v>7730</v>
      </c>
    </row>
    <row r="4246" spans="1:15" x14ac:dyDescent="0.2">
      <c r="A4246" s="111">
        <v>4367</v>
      </c>
      <c r="B4246" s="421" t="s">
        <v>7688</v>
      </c>
      <c r="C4246" s="421" t="s">
        <v>574</v>
      </c>
      <c r="D4246" s="422" t="s">
        <v>663</v>
      </c>
      <c r="E4246" s="111">
        <v>16444</v>
      </c>
      <c r="F4246" s="421" t="s">
        <v>7750</v>
      </c>
      <c r="G4246" s="112">
        <v>1</v>
      </c>
      <c r="H4246" s="112">
        <v>1</v>
      </c>
      <c r="I4246" s="112">
        <v>1</v>
      </c>
      <c r="J4246" s="112">
        <v>1</v>
      </c>
      <c r="K4246" s="112">
        <v>1</v>
      </c>
      <c r="L4246" s="112">
        <v>1</v>
      </c>
    </row>
    <row r="4247" spans="1:15" x14ac:dyDescent="0.2">
      <c r="A4247" s="111">
        <v>4368</v>
      </c>
      <c r="B4247" s="421" t="s">
        <v>7683</v>
      </c>
      <c r="C4247" s="421" t="s">
        <v>516</v>
      </c>
      <c r="D4247" s="422" t="s">
        <v>663</v>
      </c>
      <c r="E4247" s="111">
        <v>16446</v>
      </c>
      <c r="F4247" s="421" t="s">
        <v>7740</v>
      </c>
      <c r="G4247" s="112">
        <v>1</v>
      </c>
      <c r="H4247" s="112">
        <v>1</v>
      </c>
    </row>
    <row r="4248" spans="1:15" x14ac:dyDescent="0.2">
      <c r="A4248" s="111">
        <v>4369</v>
      </c>
      <c r="B4248" s="421" t="s">
        <v>2393</v>
      </c>
      <c r="C4248" s="421" t="s">
        <v>582</v>
      </c>
      <c r="D4248" s="422" t="s">
        <v>663</v>
      </c>
      <c r="E4248" s="111">
        <v>16522</v>
      </c>
      <c r="F4248" s="421" t="s">
        <v>5740</v>
      </c>
      <c r="G4248" s="112">
        <v>2</v>
      </c>
      <c r="H4248" s="112">
        <v>1</v>
      </c>
      <c r="I4248" s="112">
        <v>1</v>
      </c>
      <c r="J4248" s="112">
        <v>1</v>
      </c>
    </row>
    <row r="4249" spans="1:15" x14ac:dyDescent="0.2">
      <c r="A4249" s="111">
        <v>4370</v>
      </c>
      <c r="B4249" s="421" t="s">
        <v>1428</v>
      </c>
      <c r="C4249" s="421" t="s">
        <v>509</v>
      </c>
      <c r="D4249" s="422" t="s">
        <v>666</v>
      </c>
      <c r="E4249" s="111">
        <v>15638</v>
      </c>
      <c r="F4249" s="421" t="s">
        <v>4915</v>
      </c>
      <c r="G4249" s="112">
        <v>1</v>
      </c>
      <c r="H4249" s="112">
        <v>1</v>
      </c>
      <c r="I4249" s="112">
        <v>1</v>
      </c>
      <c r="J4249" s="112">
        <v>3</v>
      </c>
      <c r="K4249" s="112">
        <v>3</v>
      </c>
      <c r="L4249" s="112">
        <v>4</v>
      </c>
      <c r="M4249" s="112">
        <v>1</v>
      </c>
    </row>
    <row r="4250" spans="1:15" x14ac:dyDescent="0.2">
      <c r="A4250" s="111">
        <v>4371</v>
      </c>
      <c r="B4250" s="421" t="s">
        <v>7685</v>
      </c>
      <c r="C4250" s="421" t="s">
        <v>509</v>
      </c>
      <c r="D4250" s="422" t="s">
        <v>663</v>
      </c>
      <c r="E4250" s="111">
        <v>16448</v>
      </c>
      <c r="F4250" s="421" t="s">
        <v>7742</v>
      </c>
      <c r="G4250" s="112">
        <v>1</v>
      </c>
      <c r="H4250" s="112">
        <v>1</v>
      </c>
      <c r="I4250" s="112">
        <v>1</v>
      </c>
      <c r="J4250" s="112">
        <v>3</v>
      </c>
      <c r="K4250" s="112">
        <v>2</v>
      </c>
      <c r="L4250" s="112">
        <v>2</v>
      </c>
      <c r="M4250" s="112">
        <v>3</v>
      </c>
      <c r="N4250" s="112">
        <v>1</v>
      </c>
    </row>
    <row r="4251" spans="1:15" x14ac:dyDescent="0.2">
      <c r="A4251" s="111">
        <v>4372</v>
      </c>
      <c r="B4251" s="421" t="s">
        <v>353</v>
      </c>
      <c r="C4251" s="421" t="s">
        <v>509</v>
      </c>
      <c r="D4251" s="422" t="s">
        <v>663</v>
      </c>
      <c r="E4251" s="111">
        <v>16449</v>
      </c>
      <c r="F4251" s="421" t="s">
        <v>7701</v>
      </c>
      <c r="G4251" s="112">
        <v>1</v>
      </c>
      <c r="H4251" s="112">
        <v>1</v>
      </c>
      <c r="I4251" s="112">
        <v>1</v>
      </c>
    </row>
    <row r="4252" spans="1:15" x14ac:dyDescent="0.2">
      <c r="A4252" s="111">
        <v>4373</v>
      </c>
      <c r="B4252" s="421" t="s">
        <v>2266</v>
      </c>
      <c r="C4252" s="421" t="s">
        <v>501</v>
      </c>
      <c r="D4252" s="422" t="s">
        <v>666</v>
      </c>
      <c r="E4252" s="111">
        <v>16349</v>
      </c>
      <c r="F4252" s="421" t="s">
        <v>7021</v>
      </c>
    </row>
    <row r="4253" spans="1:15" x14ac:dyDescent="0.2">
      <c r="A4253" s="111">
        <v>4374</v>
      </c>
      <c r="B4253" s="421" t="s">
        <v>7676</v>
      </c>
      <c r="C4253" s="421" t="s">
        <v>532</v>
      </c>
      <c r="D4253" s="422" t="s">
        <v>663</v>
      </c>
      <c r="E4253" s="111">
        <v>16450</v>
      </c>
      <c r="F4253" s="421" t="s">
        <v>7729</v>
      </c>
      <c r="G4253" s="112">
        <v>2</v>
      </c>
      <c r="H4253" s="112">
        <v>1</v>
      </c>
      <c r="I4253" s="112">
        <v>2</v>
      </c>
    </row>
    <row r="4254" spans="1:15" x14ac:dyDescent="0.2">
      <c r="A4254" s="111">
        <v>4375</v>
      </c>
      <c r="B4254" s="421" t="s">
        <v>7661</v>
      </c>
      <c r="C4254" s="421" t="s">
        <v>519</v>
      </c>
      <c r="D4254" s="422" t="s">
        <v>666</v>
      </c>
      <c r="E4254" s="111">
        <v>14551</v>
      </c>
      <c r="F4254" s="421" t="s">
        <v>1673</v>
      </c>
      <c r="G4254" s="112">
        <v>1</v>
      </c>
      <c r="H4254" s="112">
        <v>1</v>
      </c>
      <c r="I4254" s="112">
        <v>1</v>
      </c>
      <c r="J4254" s="112">
        <v>1</v>
      </c>
      <c r="K4254" s="112">
        <v>2</v>
      </c>
      <c r="L4254" s="112">
        <v>1</v>
      </c>
    </row>
    <row r="4255" spans="1:15" x14ac:dyDescent="0.2">
      <c r="A4255" s="111">
        <v>4376</v>
      </c>
      <c r="B4255" s="421" t="s">
        <v>7675</v>
      </c>
      <c r="C4255" s="421" t="s">
        <v>532</v>
      </c>
      <c r="D4255" s="422" t="s">
        <v>666</v>
      </c>
      <c r="E4255" s="111">
        <v>16450</v>
      </c>
      <c r="F4255" s="421" t="s">
        <v>7729</v>
      </c>
    </row>
    <row r="4256" spans="1:15" x14ac:dyDescent="0.2">
      <c r="A4256" s="111">
        <v>4377</v>
      </c>
      <c r="B4256" s="421" t="s">
        <v>7670</v>
      </c>
      <c r="C4256" s="421" t="s">
        <v>551</v>
      </c>
      <c r="D4256" s="422" t="s">
        <v>663</v>
      </c>
      <c r="E4256" s="111">
        <v>15034</v>
      </c>
      <c r="F4256" s="421" t="s">
        <v>2964</v>
      </c>
      <c r="G4256" s="112">
        <v>1</v>
      </c>
      <c r="H4256" s="112">
        <v>1</v>
      </c>
      <c r="I4256" s="112">
        <v>1</v>
      </c>
      <c r="J4256" s="112">
        <v>9</v>
      </c>
      <c r="K4256" s="112">
        <v>6</v>
      </c>
      <c r="L4256" s="112">
        <v>9</v>
      </c>
      <c r="M4256" s="112">
        <v>2</v>
      </c>
      <c r="N4256" s="112">
        <v>2</v>
      </c>
      <c r="O4256" s="112">
        <v>2</v>
      </c>
    </row>
    <row r="4257" spans="1:15" x14ac:dyDescent="0.2">
      <c r="A4257" s="111">
        <v>4378</v>
      </c>
      <c r="B4257" s="421" t="s">
        <v>3802</v>
      </c>
      <c r="C4257" s="421" t="s">
        <v>510</v>
      </c>
      <c r="D4257" s="422" t="s">
        <v>666</v>
      </c>
      <c r="E4257" s="111">
        <v>16451</v>
      </c>
      <c r="F4257" s="421" t="s">
        <v>7713</v>
      </c>
      <c r="G4257" s="112">
        <v>1</v>
      </c>
      <c r="H4257" s="112">
        <v>1</v>
      </c>
      <c r="I4257" s="112">
        <v>1</v>
      </c>
      <c r="J4257" s="112">
        <v>6</v>
      </c>
      <c r="K4257" s="112">
        <v>6</v>
      </c>
      <c r="L4257" s="112">
        <v>6</v>
      </c>
      <c r="M4257" s="112">
        <v>3</v>
      </c>
      <c r="N4257" s="112">
        <v>1</v>
      </c>
      <c r="O4257" s="112">
        <v>1</v>
      </c>
    </row>
    <row r="4258" spans="1:15" x14ac:dyDescent="0.2">
      <c r="A4258" s="111">
        <v>4379</v>
      </c>
      <c r="B4258" s="421" t="s">
        <v>7679</v>
      </c>
      <c r="C4258" s="421" t="s">
        <v>509</v>
      </c>
      <c r="D4258" s="422" t="s">
        <v>663</v>
      </c>
      <c r="E4258" s="111">
        <v>16452</v>
      </c>
      <c r="F4258" s="421" t="s">
        <v>7733</v>
      </c>
      <c r="G4258" s="112">
        <v>1</v>
      </c>
      <c r="H4258" s="112">
        <v>1</v>
      </c>
      <c r="I4258" s="112">
        <v>1</v>
      </c>
      <c r="J4258" s="112">
        <v>6</v>
      </c>
      <c r="K4258" s="112">
        <v>4</v>
      </c>
      <c r="L4258" s="112">
        <v>2</v>
      </c>
      <c r="M4258" s="112">
        <v>5</v>
      </c>
      <c r="N4258" s="112">
        <v>1</v>
      </c>
      <c r="O4258" s="112">
        <v>5</v>
      </c>
    </row>
    <row r="4259" spans="1:15" x14ac:dyDescent="0.2">
      <c r="A4259" s="111">
        <v>4380</v>
      </c>
      <c r="B4259" s="421" t="s">
        <v>3841</v>
      </c>
      <c r="C4259" s="421" t="s">
        <v>577</v>
      </c>
      <c r="D4259" s="422" t="s">
        <v>666</v>
      </c>
      <c r="E4259" s="111">
        <v>16452</v>
      </c>
      <c r="F4259" s="421" t="s">
        <v>7733</v>
      </c>
      <c r="G4259" s="112">
        <v>1</v>
      </c>
      <c r="H4259" s="112">
        <v>1</v>
      </c>
      <c r="I4259" s="112">
        <v>1</v>
      </c>
      <c r="J4259" s="112">
        <v>10</v>
      </c>
      <c r="K4259" s="112">
        <v>4</v>
      </c>
      <c r="L4259" s="112">
        <v>3</v>
      </c>
      <c r="M4259" s="112">
        <v>6</v>
      </c>
      <c r="O4259" s="112">
        <v>1</v>
      </c>
    </row>
    <row r="4260" spans="1:15" x14ac:dyDescent="0.2">
      <c r="A4260" s="111">
        <v>4384</v>
      </c>
      <c r="B4260" s="421" t="s">
        <v>2091</v>
      </c>
      <c r="C4260" s="421" t="s">
        <v>506</v>
      </c>
      <c r="D4260" s="422" t="s">
        <v>666</v>
      </c>
      <c r="E4260" s="111">
        <v>16453</v>
      </c>
      <c r="F4260" s="421" t="s">
        <v>7708</v>
      </c>
      <c r="G4260" s="112">
        <v>1</v>
      </c>
      <c r="H4260" s="112">
        <v>1</v>
      </c>
      <c r="I4260" s="112">
        <v>1</v>
      </c>
    </row>
    <row r="4261" spans="1:15" x14ac:dyDescent="0.2">
      <c r="A4261" s="111">
        <v>4385</v>
      </c>
      <c r="B4261" s="421" t="s">
        <v>4985</v>
      </c>
      <c r="C4261" s="421" t="s">
        <v>1870</v>
      </c>
      <c r="D4261" s="422" t="s">
        <v>666</v>
      </c>
      <c r="E4261" s="111">
        <v>14638</v>
      </c>
      <c r="F4261" s="421" t="s">
        <v>8227</v>
      </c>
      <c r="G4261" s="112">
        <v>1</v>
      </c>
      <c r="H4261" s="112">
        <v>1</v>
      </c>
      <c r="I4261" s="112">
        <v>1</v>
      </c>
      <c r="J4261" s="112">
        <v>7</v>
      </c>
      <c r="K4261" s="112">
        <v>7</v>
      </c>
      <c r="L4261" s="112">
        <v>7</v>
      </c>
      <c r="M4261" s="112">
        <v>3</v>
      </c>
      <c r="N4261" s="112">
        <v>2</v>
      </c>
      <c r="O4261" s="112">
        <v>5</v>
      </c>
    </row>
    <row r="4262" spans="1:15" x14ac:dyDescent="0.2">
      <c r="A4262" s="111">
        <v>4386</v>
      </c>
      <c r="B4262" s="421" t="s">
        <v>1863</v>
      </c>
      <c r="C4262" s="421" t="s">
        <v>516</v>
      </c>
      <c r="D4262" s="422" t="s">
        <v>663</v>
      </c>
      <c r="E4262" s="111">
        <v>14280</v>
      </c>
      <c r="F4262" s="421" t="s">
        <v>2716</v>
      </c>
      <c r="G4262" s="112">
        <v>1</v>
      </c>
      <c r="H4262" s="112">
        <v>1</v>
      </c>
      <c r="I4262" s="112">
        <v>1</v>
      </c>
      <c r="J4262" s="112">
        <v>1</v>
      </c>
      <c r="K4262" s="112">
        <v>1</v>
      </c>
      <c r="L4262" s="112">
        <v>1</v>
      </c>
    </row>
    <row r="4263" spans="1:15" x14ac:dyDescent="0.2">
      <c r="A4263" s="111">
        <v>4387</v>
      </c>
      <c r="B4263" s="421" t="s">
        <v>6853</v>
      </c>
      <c r="C4263" s="421" t="s">
        <v>577</v>
      </c>
      <c r="D4263" s="422" t="s">
        <v>663</v>
      </c>
      <c r="E4263" s="111">
        <v>16454</v>
      </c>
      <c r="F4263" s="421" t="s">
        <v>7754</v>
      </c>
      <c r="G4263" s="112">
        <v>2</v>
      </c>
      <c r="H4263" s="112">
        <v>2</v>
      </c>
      <c r="I4263" s="112">
        <v>3</v>
      </c>
      <c r="J4263" s="112">
        <v>5</v>
      </c>
      <c r="K4263" s="112">
        <v>4</v>
      </c>
      <c r="L4263" s="112">
        <v>1</v>
      </c>
    </row>
    <row r="4264" spans="1:15" x14ac:dyDescent="0.2">
      <c r="A4264" s="111">
        <v>4388</v>
      </c>
      <c r="B4264" s="421" t="s">
        <v>7666</v>
      </c>
      <c r="C4264" s="421" t="s">
        <v>523</v>
      </c>
      <c r="D4264" s="422" t="s">
        <v>666</v>
      </c>
      <c r="E4264" s="111">
        <v>16435</v>
      </c>
      <c r="F4264" s="421" t="s">
        <v>7722</v>
      </c>
      <c r="G4264" s="112">
        <v>1</v>
      </c>
      <c r="H4264" s="112">
        <v>1</v>
      </c>
      <c r="I4264" s="112">
        <v>1</v>
      </c>
      <c r="J4264" s="112">
        <v>6</v>
      </c>
      <c r="K4264" s="112">
        <v>7</v>
      </c>
      <c r="L4264" s="112">
        <v>6</v>
      </c>
      <c r="M4264" s="112">
        <v>1</v>
      </c>
      <c r="N4264" s="112">
        <v>3</v>
      </c>
      <c r="O4264" s="112">
        <v>3</v>
      </c>
    </row>
    <row r="4265" spans="1:15" x14ac:dyDescent="0.2">
      <c r="A4265" s="111">
        <v>4389</v>
      </c>
      <c r="B4265" s="421" t="s">
        <v>429</v>
      </c>
      <c r="C4265" s="421" t="s">
        <v>517</v>
      </c>
      <c r="D4265" s="422" t="s">
        <v>666</v>
      </c>
      <c r="E4265" s="111">
        <v>16455</v>
      </c>
      <c r="F4265" s="421" t="s">
        <v>7703</v>
      </c>
      <c r="G4265" s="112">
        <v>1</v>
      </c>
      <c r="H4265" s="112">
        <v>1</v>
      </c>
      <c r="I4265" s="112">
        <v>1</v>
      </c>
      <c r="J4265" s="112">
        <v>6</v>
      </c>
      <c r="K4265" s="112">
        <v>5</v>
      </c>
      <c r="L4265" s="112">
        <v>3</v>
      </c>
      <c r="M4265" s="112">
        <v>5</v>
      </c>
      <c r="N4265" s="112">
        <v>3</v>
      </c>
      <c r="O4265" s="112">
        <v>2</v>
      </c>
    </row>
    <row r="4266" spans="1:15" x14ac:dyDescent="0.2">
      <c r="A4266" s="111">
        <v>4390</v>
      </c>
      <c r="B4266" s="421" t="s">
        <v>5730</v>
      </c>
      <c r="C4266" s="421" t="s">
        <v>501</v>
      </c>
      <c r="D4266" s="422" t="s">
        <v>666</v>
      </c>
      <c r="E4266" s="111">
        <v>16459</v>
      </c>
      <c r="F4266" s="421" t="s">
        <v>7731</v>
      </c>
      <c r="G4266" s="112">
        <v>1</v>
      </c>
      <c r="H4266" s="112">
        <v>1</v>
      </c>
      <c r="I4266" s="112">
        <v>1</v>
      </c>
      <c r="J4266" s="112">
        <v>8</v>
      </c>
      <c r="K4266" s="112">
        <v>8</v>
      </c>
      <c r="L4266" s="112">
        <v>8</v>
      </c>
      <c r="M4266" s="112">
        <v>3</v>
      </c>
      <c r="N4266" s="112">
        <v>4</v>
      </c>
      <c r="O4266" s="112">
        <v>4</v>
      </c>
    </row>
    <row r="4267" spans="1:15" x14ac:dyDescent="0.2">
      <c r="A4267" s="111">
        <v>4391</v>
      </c>
      <c r="B4267" s="421" t="s">
        <v>1281</v>
      </c>
      <c r="C4267" s="421" t="s">
        <v>2362</v>
      </c>
      <c r="D4267" s="422" t="s">
        <v>663</v>
      </c>
      <c r="E4267" s="111">
        <v>16456</v>
      </c>
      <c r="F4267" s="421" t="s">
        <v>7718</v>
      </c>
      <c r="G4267" s="112">
        <v>1</v>
      </c>
      <c r="H4267" s="112">
        <v>1</v>
      </c>
      <c r="I4267" s="112">
        <v>1</v>
      </c>
    </row>
    <row r="4268" spans="1:15" x14ac:dyDescent="0.2">
      <c r="A4268" s="111">
        <v>4392</v>
      </c>
      <c r="B4268" s="421" t="s">
        <v>5060</v>
      </c>
      <c r="C4268" s="421" t="s">
        <v>516</v>
      </c>
      <c r="D4268" s="422" t="s">
        <v>666</v>
      </c>
      <c r="E4268" s="111">
        <v>16457</v>
      </c>
      <c r="F4268" s="421" t="s">
        <v>7747</v>
      </c>
      <c r="G4268" s="112">
        <v>1</v>
      </c>
      <c r="H4268" s="112">
        <v>1</v>
      </c>
      <c r="I4268" s="112">
        <v>1</v>
      </c>
      <c r="J4268" s="112">
        <v>6</v>
      </c>
      <c r="K4268" s="112">
        <v>6</v>
      </c>
      <c r="L4268" s="112">
        <v>6</v>
      </c>
      <c r="M4268" s="112">
        <v>4</v>
      </c>
      <c r="N4268" s="112">
        <v>4</v>
      </c>
      <c r="O4268" s="112">
        <v>4</v>
      </c>
    </row>
    <row r="4269" spans="1:15" x14ac:dyDescent="0.2">
      <c r="A4269" s="111">
        <v>4393</v>
      </c>
      <c r="B4269" s="421" t="s">
        <v>3361</v>
      </c>
      <c r="C4269" s="421" t="s">
        <v>516</v>
      </c>
      <c r="D4269" s="422" t="s">
        <v>663</v>
      </c>
      <c r="E4269" s="111">
        <v>16457</v>
      </c>
      <c r="F4269" s="421" t="s">
        <v>7747</v>
      </c>
      <c r="G4269" s="112">
        <v>1</v>
      </c>
      <c r="H4269" s="112">
        <v>1</v>
      </c>
      <c r="I4269" s="112">
        <v>1</v>
      </c>
      <c r="J4269" s="112">
        <v>1</v>
      </c>
      <c r="K4269" s="112">
        <v>1</v>
      </c>
      <c r="L4269" s="112">
        <v>3</v>
      </c>
    </row>
    <row r="4270" spans="1:15" x14ac:dyDescent="0.2">
      <c r="A4270" s="111">
        <v>4394</v>
      </c>
      <c r="B4270" s="421" t="s">
        <v>7680</v>
      </c>
      <c r="C4270" s="421" t="s">
        <v>2412</v>
      </c>
      <c r="D4270" s="422" t="s">
        <v>666</v>
      </c>
      <c r="E4270" s="111">
        <v>15729</v>
      </c>
      <c r="F4270" s="421" t="s">
        <v>5222</v>
      </c>
      <c r="G4270" s="112">
        <v>1</v>
      </c>
      <c r="H4270" s="112">
        <v>3</v>
      </c>
      <c r="I4270" s="112">
        <v>1</v>
      </c>
      <c r="J4270" s="112">
        <v>1</v>
      </c>
    </row>
    <row r="4271" spans="1:15" x14ac:dyDescent="0.2">
      <c r="A4271" s="111">
        <v>4395</v>
      </c>
      <c r="B4271" s="421" t="s">
        <v>7682</v>
      </c>
      <c r="C4271" s="421" t="s">
        <v>10198</v>
      </c>
      <c r="D4271" s="422" t="s">
        <v>663</v>
      </c>
      <c r="E4271" s="111">
        <v>16458</v>
      </c>
      <c r="F4271" s="421" t="s">
        <v>7739</v>
      </c>
      <c r="G4271" s="112">
        <v>1</v>
      </c>
      <c r="H4271" s="112">
        <v>1</v>
      </c>
      <c r="I4271" s="112">
        <v>1</v>
      </c>
      <c r="J4271" s="112">
        <v>4</v>
      </c>
      <c r="K4271" s="112">
        <v>3</v>
      </c>
      <c r="L4271" s="112">
        <v>3</v>
      </c>
      <c r="M4271" s="112">
        <v>5</v>
      </c>
      <c r="N4271" s="112">
        <v>4</v>
      </c>
      <c r="O4271" s="112">
        <v>2</v>
      </c>
    </row>
    <row r="4272" spans="1:15" x14ac:dyDescent="0.2">
      <c r="A4272" s="111">
        <v>4396</v>
      </c>
      <c r="B4272" s="421" t="s">
        <v>632</v>
      </c>
      <c r="C4272" s="421" t="s">
        <v>577</v>
      </c>
      <c r="D4272" s="422" t="s">
        <v>666</v>
      </c>
      <c r="E4272" s="111">
        <v>16458</v>
      </c>
      <c r="F4272" s="421" t="s">
        <v>7739</v>
      </c>
      <c r="G4272" s="112">
        <v>1</v>
      </c>
    </row>
    <row r="4273" spans="1:15" x14ac:dyDescent="0.2">
      <c r="A4273" s="111">
        <v>4397</v>
      </c>
      <c r="B4273" s="421" t="s">
        <v>6541</v>
      </c>
      <c r="C4273" s="421" t="s">
        <v>516</v>
      </c>
      <c r="D4273" s="422" t="s">
        <v>666</v>
      </c>
      <c r="E4273" s="111">
        <v>16460</v>
      </c>
      <c r="F4273" s="421" t="s">
        <v>2336</v>
      </c>
      <c r="G4273" s="112">
        <v>1</v>
      </c>
      <c r="H4273" s="112">
        <v>1</v>
      </c>
      <c r="I4273" s="112">
        <v>1</v>
      </c>
      <c r="J4273" s="112">
        <v>4</v>
      </c>
      <c r="K4273" s="112">
        <v>4</v>
      </c>
      <c r="L4273" s="112">
        <v>4</v>
      </c>
      <c r="M4273" s="112">
        <v>1</v>
      </c>
      <c r="N4273" s="112">
        <v>1</v>
      </c>
    </row>
    <row r="4274" spans="1:15" x14ac:dyDescent="0.2">
      <c r="A4274" s="111">
        <v>4398</v>
      </c>
      <c r="B4274" s="421" t="s">
        <v>7690</v>
      </c>
      <c r="C4274" s="421" t="s">
        <v>501</v>
      </c>
      <c r="D4274" s="422" t="s">
        <v>663</v>
      </c>
      <c r="E4274" s="111">
        <v>16085</v>
      </c>
      <c r="F4274" s="421" t="s">
        <v>6315</v>
      </c>
      <c r="G4274" s="112">
        <v>1</v>
      </c>
      <c r="H4274" s="112">
        <v>1</v>
      </c>
      <c r="I4274" s="112">
        <v>1</v>
      </c>
      <c r="J4274" s="112">
        <v>8</v>
      </c>
      <c r="K4274" s="112">
        <v>6</v>
      </c>
      <c r="L4274" s="112">
        <v>6</v>
      </c>
      <c r="M4274" s="112">
        <v>3</v>
      </c>
      <c r="N4274" s="112">
        <v>1</v>
      </c>
    </row>
    <row r="4275" spans="1:15" x14ac:dyDescent="0.2">
      <c r="A4275" s="111">
        <v>4399</v>
      </c>
      <c r="B4275" s="421" t="s">
        <v>339</v>
      </c>
      <c r="C4275" s="421" t="s">
        <v>507</v>
      </c>
      <c r="D4275" s="422" t="s">
        <v>666</v>
      </c>
      <c r="E4275" s="111">
        <v>15800</v>
      </c>
      <c r="F4275" s="421" t="s">
        <v>5444</v>
      </c>
    </row>
    <row r="4276" spans="1:15" x14ac:dyDescent="0.2">
      <c r="A4276" s="111">
        <v>4400</v>
      </c>
      <c r="B4276" s="421" t="s">
        <v>2198</v>
      </c>
      <c r="C4276" s="421" t="s">
        <v>516</v>
      </c>
      <c r="D4276" s="422" t="s">
        <v>663</v>
      </c>
      <c r="E4276" s="111">
        <v>15044</v>
      </c>
      <c r="F4276" s="421" t="s">
        <v>3167</v>
      </c>
      <c r="G4276" s="112">
        <v>1</v>
      </c>
      <c r="H4276" s="112">
        <v>1</v>
      </c>
      <c r="I4276" s="112">
        <v>1</v>
      </c>
      <c r="J4276" s="112">
        <v>1</v>
      </c>
      <c r="K4276" s="112">
        <v>1</v>
      </c>
    </row>
    <row r="4277" spans="1:15" x14ac:dyDescent="0.2">
      <c r="A4277" s="111">
        <v>4401</v>
      </c>
      <c r="B4277" s="421" t="s">
        <v>2508</v>
      </c>
      <c r="C4277" s="421" t="s">
        <v>501</v>
      </c>
      <c r="D4277" s="422" t="s">
        <v>663</v>
      </c>
      <c r="E4277" s="111">
        <v>16477</v>
      </c>
      <c r="F4277" s="421" t="s">
        <v>1432</v>
      </c>
    </row>
    <row r="4278" spans="1:15" x14ac:dyDescent="0.2">
      <c r="A4278" s="111">
        <v>4402</v>
      </c>
      <c r="B4278" s="421" t="s">
        <v>381</v>
      </c>
      <c r="C4278" s="421" t="s">
        <v>501</v>
      </c>
      <c r="D4278" s="422" t="s">
        <v>663</v>
      </c>
      <c r="E4278" s="111">
        <v>16477</v>
      </c>
      <c r="F4278" s="421" t="s">
        <v>1432</v>
      </c>
    </row>
    <row r="4279" spans="1:15" x14ac:dyDescent="0.2">
      <c r="A4279" s="111">
        <v>4403</v>
      </c>
      <c r="B4279" s="421" t="s">
        <v>7673</v>
      </c>
      <c r="C4279" s="421" t="s">
        <v>530</v>
      </c>
      <c r="D4279" s="422" t="s">
        <v>666</v>
      </c>
      <c r="E4279" s="111">
        <v>16461</v>
      </c>
      <c r="F4279" s="421" t="s">
        <v>7727</v>
      </c>
      <c r="G4279" s="112">
        <v>1</v>
      </c>
      <c r="H4279" s="112">
        <v>1</v>
      </c>
      <c r="I4279" s="112">
        <v>1</v>
      </c>
      <c r="J4279" s="112">
        <v>3</v>
      </c>
      <c r="K4279" s="112">
        <v>2</v>
      </c>
      <c r="L4279" s="112">
        <v>4</v>
      </c>
      <c r="M4279" s="112">
        <v>1</v>
      </c>
    </row>
    <row r="4280" spans="1:15" x14ac:dyDescent="0.2">
      <c r="A4280" s="111">
        <v>4404</v>
      </c>
      <c r="B4280" s="421" t="s">
        <v>457</v>
      </c>
      <c r="C4280" s="421" t="s">
        <v>1201</v>
      </c>
      <c r="D4280" s="422" t="s">
        <v>663</v>
      </c>
      <c r="E4280" s="111">
        <v>15903</v>
      </c>
      <c r="F4280" s="421" t="s">
        <v>5600</v>
      </c>
      <c r="G4280" s="112">
        <v>1</v>
      </c>
      <c r="H4280" s="112">
        <v>1</v>
      </c>
      <c r="I4280" s="112">
        <v>1</v>
      </c>
      <c r="J4280" s="112">
        <v>8</v>
      </c>
      <c r="K4280" s="112">
        <v>7</v>
      </c>
      <c r="L4280" s="112">
        <v>6</v>
      </c>
    </row>
    <row r="4281" spans="1:15" x14ac:dyDescent="0.2">
      <c r="A4281" s="111">
        <v>4405</v>
      </c>
      <c r="B4281" s="421" t="s">
        <v>356</v>
      </c>
      <c r="C4281" s="421" t="s">
        <v>577</v>
      </c>
      <c r="D4281" s="422" t="s">
        <v>663</v>
      </c>
      <c r="E4281" s="111">
        <v>16462</v>
      </c>
      <c r="F4281" s="421" t="s">
        <v>7746</v>
      </c>
      <c r="G4281" s="112">
        <v>1</v>
      </c>
      <c r="H4281" s="112">
        <v>1</v>
      </c>
      <c r="I4281" s="112">
        <v>1</v>
      </c>
    </row>
    <row r="4282" spans="1:15" x14ac:dyDescent="0.2">
      <c r="A4282" s="111">
        <v>4406</v>
      </c>
      <c r="B4282" s="421" t="s">
        <v>3038</v>
      </c>
      <c r="C4282" s="421" t="s">
        <v>577</v>
      </c>
      <c r="D4282" s="422" t="s">
        <v>663</v>
      </c>
      <c r="E4282" s="111">
        <v>16109</v>
      </c>
      <c r="F4282" s="421" t="s">
        <v>6036</v>
      </c>
    </row>
    <row r="4283" spans="1:15" x14ac:dyDescent="0.2">
      <c r="A4283" s="111">
        <v>4407</v>
      </c>
      <c r="B4283" s="421" t="s">
        <v>7660</v>
      </c>
      <c r="C4283" s="421" t="s">
        <v>7697</v>
      </c>
      <c r="D4283" s="422" t="s">
        <v>663</v>
      </c>
      <c r="F4283" s="421" t="s">
        <v>7715</v>
      </c>
    </row>
    <row r="4284" spans="1:15" x14ac:dyDescent="0.2">
      <c r="A4284" s="111">
        <v>4408</v>
      </c>
      <c r="B4284" s="421" t="s">
        <v>7655</v>
      </c>
      <c r="C4284" s="421" t="s">
        <v>577</v>
      </c>
      <c r="D4284" s="422" t="s">
        <v>666</v>
      </c>
      <c r="F4284" s="421" t="s">
        <v>7709</v>
      </c>
      <c r="I4284" s="112">
        <v>1</v>
      </c>
    </row>
    <row r="4285" spans="1:15" x14ac:dyDescent="0.2">
      <c r="A4285" s="111">
        <v>4409</v>
      </c>
      <c r="B4285" s="421" t="s">
        <v>7654</v>
      </c>
      <c r="C4285" s="421" t="s">
        <v>510</v>
      </c>
      <c r="D4285" s="422" t="s">
        <v>666</v>
      </c>
      <c r="E4285" s="111">
        <v>14688</v>
      </c>
      <c r="F4285" s="421" t="s">
        <v>2947</v>
      </c>
      <c r="G4285" s="112">
        <v>1</v>
      </c>
      <c r="H4285" s="112">
        <v>1</v>
      </c>
      <c r="I4285" s="112">
        <v>1</v>
      </c>
      <c r="J4285" s="112">
        <v>3</v>
      </c>
      <c r="K4285" s="112">
        <v>3</v>
      </c>
      <c r="L4285" s="112">
        <v>3</v>
      </c>
      <c r="M4285" s="112">
        <v>2</v>
      </c>
      <c r="N4285" s="112">
        <v>2</v>
      </c>
      <c r="O4285" s="112">
        <v>2</v>
      </c>
    </row>
    <row r="4286" spans="1:15" x14ac:dyDescent="0.2">
      <c r="A4286" s="111">
        <v>4410</v>
      </c>
      <c r="B4286" s="421" t="s">
        <v>1106</v>
      </c>
      <c r="C4286" s="421" t="s">
        <v>513</v>
      </c>
      <c r="D4286" s="422" t="s">
        <v>663</v>
      </c>
      <c r="F4286" s="421" t="s">
        <v>7724</v>
      </c>
      <c r="G4286" s="112">
        <v>1</v>
      </c>
      <c r="H4286" s="112">
        <v>1</v>
      </c>
      <c r="I4286" s="112">
        <v>1</v>
      </c>
      <c r="J4286" s="112">
        <v>1</v>
      </c>
      <c r="K4286" s="112">
        <v>1</v>
      </c>
      <c r="L4286" s="112">
        <v>1</v>
      </c>
      <c r="M4286" s="112">
        <v>1</v>
      </c>
    </row>
    <row r="4287" spans="1:15" x14ac:dyDescent="0.2">
      <c r="A4287" s="111">
        <v>4411</v>
      </c>
      <c r="B4287" s="421" t="s">
        <v>7664</v>
      </c>
      <c r="C4287" s="421" t="s">
        <v>2872</v>
      </c>
      <c r="D4287" s="422" t="s">
        <v>666</v>
      </c>
      <c r="E4287" s="111">
        <v>16465</v>
      </c>
      <c r="F4287" s="421" t="s">
        <v>7720</v>
      </c>
      <c r="G4287" s="112">
        <v>1</v>
      </c>
      <c r="H4287" s="112">
        <v>1</v>
      </c>
      <c r="I4287" s="112">
        <v>1</v>
      </c>
      <c r="J4287" s="112">
        <v>3</v>
      </c>
      <c r="K4287" s="112">
        <v>3</v>
      </c>
      <c r="L4287" s="112">
        <v>3</v>
      </c>
      <c r="O4287" s="112">
        <v>1</v>
      </c>
    </row>
    <row r="4288" spans="1:15" x14ac:dyDescent="0.2">
      <c r="A4288" s="111">
        <v>4412</v>
      </c>
      <c r="B4288" s="421" t="s">
        <v>7272</v>
      </c>
      <c r="C4288" s="421" t="s">
        <v>516</v>
      </c>
      <c r="D4288" s="422" t="s">
        <v>663</v>
      </c>
      <c r="E4288" s="111">
        <v>16464</v>
      </c>
      <c r="F4288" s="421" t="s">
        <v>7738</v>
      </c>
      <c r="G4288" s="112">
        <v>1</v>
      </c>
      <c r="H4288" s="112">
        <v>1</v>
      </c>
      <c r="I4288" s="112">
        <v>2</v>
      </c>
    </row>
    <row r="4289" spans="1:15" x14ac:dyDescent="0.2">
      <c r="A4289" s="111">
        <v>4413</v>
      </c>
      <c r="B4289" s="421" t="s">
        <v>341</v>
      </c>
      <c r="C4289" s="421" t="s">
        <v>501</v>
      </c>
      <c r="D4289" s="422" t="s">
        <v>666</v>
      </c>
      <c r="E4289" s="111">
        <v>16467</v>
      </c>
      <c r="F4289" s="421" t="s">
        <v>7707</v>
      </c>
      <c r="G4289" s="112">
        <v>1</v>
      </c>
      <c r="H4289" s="112">
        <v>1</v>
      </c>
      <c r="I4289" s="112">
        <v>1</v>
      </c>
      <c r="J4289" s="112">
        <v>2</v>
      </c>
      <c r="K4289" s="112">
        <v>1</v>
      </c>
    </row>
    <row r="4290" spans="1:15" x14ac:dyDescent="0.2">
      <c r="A4290" s="111">
        <v>4414</v>
      </c>
      <c r="B4290" s="421" t="s">
        <v>309</v>
      </c>
      <c r="C4290" s="421" t="s">
        <v>533</v>
      </c>
      <c r="D4290" s="422" t="s">
        <v>666</v>
      </c>
      <c r="E4290" s="111">
        <v>16468</v>
      </c>
      <c r="F4290" s="421" t="s">
        <v>7706</v>
      </c>
      <c r="G4290" s="112">
        <v>1</v>
      </c>
      <c r="I4290" s="112">
        <v>1</v>
      </c>
    </row>
    <row r="4291" spans="1:15" x14ac:dyDescent="0.2">
      <c r="A4291" s="111">
        <v>4415</v>
      </c>
      <c r="B4291" s="421" t="s">
        <v>128</v>
      </c>
      <c r="C4291" s="421" t="s">
        <v>522</v>
      </c>
      <c r="D4291" s="422" t="s">
        <v>666</v>
      </c>
      <c r="E4291" s="111">
        <v>16469</v>
      </c>
      <c r="F4291" s="421" t="s">
        <v>7743</v>
      </c>
    </row>
    <row r="4292" spans="1:15" x14ac:dyDescent="0.2">
      <c r="A4292" s="111">
        <v>4416</v>
      </c>
      <c r="B4292" s="421" t="s">
        <v>109</v>
      </c>
      <c r="C4292" s="421" t="s">
        <v>563</v>
      </c>
      <c r="D4292" s="422" t="s">
        <v>666</v>
      </c>
      <c r="E4292" s="111">
        <v>16469</v>
      </c>
      <c r="F4292" s="421" t="s">
        <v>7743</v>
      </c>
    </row>
    <row r="4293" spans="1:15" x14ac:dyDescent="0.2">
      <c r="A4293" s="111">
        <v>4417</v>
      </c>
      <c r="B4293" s="421" t="s">
        <v>313</v>
      </c>
      <c r="C4293" s="421" t="s">
        <v>510</v>
      </c>
      <c r="D4293" s="422" t="s">
        <v>663</v>
      </c>
      <c r="E4293" s="111">
        <v>16066</v>
      </c>
      <c r="F4293" s="421" t="s">
        <v>6014</v>
      </c>
      <c r="G4293" s="112">
        <v>1</v>
      </c>
      <c r="H4293" s="112">
        <v>2</v>
      </c>
      <c r="I4293" s="112">
        <v>2</v>
      </c>
      <c r="L4293" s="112">
        <v>1</v>
      </c>
    </row>
    <row r="4294" spans="1:15" x14ac:dyDescent="0.2">
      <c r="A4294" s="111">
        <v>4418</v>
      </c>
      <c r="B4294" s="421" t="s">
        <v>5747</v>
      </c>
      <c r="C4294" s="421" t="s">
        <v>7695</v>
      </c>
      <c r="D4294" s="422" t="s">
        <v>666</v>
      </c>
      <c r="E4294" s="111">
        <v>15980</v>
      </c>
      <c r="F4294" s="421" t="s">
        <v>5932</v>
      </c>
      <c r="G4294" s="112">
        <v>1</v>
      </c>
      <c r="H4294" s="112">
        <v>1</v>
      </c>
      <c r="I4294" s="112">
        <v>1</v>
      </c>
    </row>
    <row r="4295" spans="1:15" x14ac:dyDescent="0.2">
      <c r="A4295" s="111">
        <v>4419</v>
      </c>
      <c r="B4295" s="421" t="s">
        <v>7659</v>
      </c>
      <c r="C4295" s="421" t="s">
        <v>504</v>
      </c>
      <c r="D4295" s="422" t="s">
        <v>663</v>
      </c>
      <c r="E4295" s="111">
        <v>15980</v>
      </c>
      <c r="F4295" s="421" t="s">
        <v>5932</v>
      </c>
      <c r="G4295" s="112">
        <v>1</v>
      </c>
      <c r="H4295" s="112">
        <v>1</v>
      </c>
      <c r="I4295" s="112">
        <v>1</v>
      </c>
      <c r="J4295" s="112">
        <v>14</v>
      </c>
      <c r="K4295" s="112">
        <v>10</v>
      </c>
      <c r="L4295" s="112">
        <v>13</v>
      </c>
      <c r="M4295" s="112">
        <v>15</v>
      </c>
      <c r="N4295" s="112">
        <v>6</v>
      </c>
      <c r="O4295" s="112">
        <v>6</v>
      </c>
    </row>
    <row r="4296" spans="1:15" x14ac:dyDescent="0.2">
      <c r="A4296" s="111">
        <v>4420</v>
      </c>
      <c r="B4296" s="421" t="s">
        <v>119</v>
      </c>
      <c r="C4296" s="421" t="s">
        <v>510</v>
      </c>
      <c r="D4296" s="422" t="s">
        <v>663</v>
      </c>
      <c r="E4296" s="111">
        <v>16470</v>
      </c>
      <c r="F4296" s="421" t="s">
        <v>7736</v>
      </c>
      <c r="G4296" s="112">
        <v>1</v>
      </c>
      <c r="H4296" s="112">
        <v>1</v>
      </c>
      <c r="I4296" s="112">
        <v>1</v>
      </c>
      <c r="J4296" s="112">
        <v>5</v>
      </c>
      <c r="K4296" s="112">
        <v>5</v>
      </c>
      <c r="L4296" s="112">
        <v>5</v>
      </c>
      <c r="M4296" s="112">
        <v>6</v>
      </c>
      <c r="N4296" s="112">
        <v>5</v>
      </c>
      <c r="O4296" s="112">
        <v>5</v>
      </c>
    </row>
    <row r="4297" spans="1:15" x14ac:dyDescent="0.2">
      <c r="A4297" s="111">
        <v>4421</v>
      </c>
      <c r="B4297" s="421" t="s">
        <v>257</v>
      </c>
      <c r="C4297" s="421" t="s">
        <v>510</v>
      </c>
      <c r="D4297" s="422" t="s">
        <v>663</v>
      </c>
      <c r="E4297" s="111">
        <v>16471</v>
      </c>
      <c r="F4297" s="421" t="s">
        <v>8339</v>
      </c>
      <c r="G4297" s="112">
        <v>1</v>
      </c>
      <c r="H4297" s="112">
        <v>2</v>
      </c>
      <c r="I4297" s="112">
        <v>1</v>
      </c>
      <c r="J4297" s="112">
        <v>5</v>
      </c>
      <c r="K4297" s="112">
        <v>4</v>
      </c>
      <c r="L4297" s="112">
        <v>6</v>
      </c>
      <c r="M4297" s="112">
        <v>3</v>
      </c>
      <c r="N4297" s="112">
        <v>3</v>
      </c>
      <c r="O4297" s="112">
        <v>2</v>
      </c>
    </row>
    <row r="4298" spans="1:15" x14ac:dyDescent="0.2">
      <c r="A4298" s="111">
        <v>4422</v>
      </c>
      <c r="B4298" s="421" t="s">
        <v>382</v>
      </c>
      <c r="C4298" s="421" t="s">
        <v>1201</v>
      </c>
      <c r="D4298" s="422" t="s">
        <v>663</v>
      </c>
      <c r="E4298" s="111">
        <v>16473</v>
      </c>
      <c r="F4298" s="421" t="s">
        <v>7744</v>
      </c>
      <c r="G4298" s="112">
        <v>1</v>
      </c>
      <c r="H4298" s="112">
        <v>1</v>
      </c>
      <c r="I4298" s="112">
        <v>1</v>
      </c>
      <c r="L4298" s="112">
        <v>1</v>
      </c>
    </row>
    <row r="4299" spans="1:15" x14ac:dyDescent="0.2">
      <c r="A4299" s="111">
        <v>4423</v>
      </c>
      <c r="B4299" s="421" t="s">
        <v>7652</v>
      </c>
      <c r="C4299" s="421" t="s">
        <v>502</v>
      </c>
      <c r="D4299" s="422" t="s">
        <v>666</v>
      </c>
      <c r="E4299" s="111">
        <v>16474</v>
      </c>
      <c r="F4299" s="421" t="s">
        <v>7699</v>
      </c>
      <c r="G4299" s="112">
        <v>1</v>
      </c>
      <c r="H4299" s="112">
        <v>1</v>
      </c>
      <c r="I4299" s="112">
        <v>1</v>
      </c>
    </row>
    <row r="4300" spans="1:15" x14ac:dyDescent="0.2">
      <c r="A4300" s="111">
        <v>4424</v>
      </c>
      <c r="B4300" s="421" t="s">
        <v>132</v>
      </c>
      <c r="C4300" s="421" t="s">
        <v>3383</v>
      </c>
      <c r="D4300" s="422" t="s">
        <v>666</v>
      </c>
      <c r="E4300" s="111">
        <v>16475</v>
      </c>
      <c r="F4300" s="421" t="s">
        <v>7737</v>
      </c>
    </row>
    <row r="4301" spans="1:15" x14ac:dyDescent="0.2">
      <c r="A4301" s="111">
        <v>4425</v>
      </c>
      <c r="B4301" s="421" t="s">
        <v>3134</v>
      </c>
      <c r="C4301" s="421" t="s">
        <v>584</v>
      </c>
      <c r="D4301" s="422" t="s">
        <v>666</v>
      </c>
      <c r="E4301" s="111">
        <v>15646</v>
      </c>
      <c r="F4301" s="421" t="s">
        <v>4919</v>
      </c>
      <c r="G4301" s="112">
        <v>1</v>
      </c>
      <c r="H4301" s="112">
        <v>1</v>
      </c>
      <c r="I4301" s="112">
        <v>1</v>
      </c>
      <c r="J4301" s="112">
        <v>1</v>
      </c>
      <c r="K4301" s="112">
        <v>1</v>
      </c>
      <c r="L4301" s="112">
        <v>1</v>
      </c>
      <c r="O4301" s="112">
        <v>1</v>
      </c>
    </row>
    <row r="4302" spans="1:15" x14ac:dyDescent="0.2">
      <c r="A4302" s="111">
        <v>4426</v>
      </c>
      <c r="B4302" s="421" t="s">
        <v>39</v>
      </c>
      <c r="C4302" s="421" t="s">
        <v>523</v>
      </c>
      <c r="D4302" s="422" t="s">
        <v>663</v>
      </c>
      <c r="F4302" s="421" t="s">
        <v>7705</v>
      </c>
    </row>
    <row r="4303" spans="1:15" x14ac:dyDescent="0.2">
      <c r="A4303" s="111">
        <v>4427</v>
      </c>
      <c r="B4303" s="421" t="s">
        <v>3231</v>
      </c>
      <c r="C4303" s="421" t="s">
        <v>518</v>
      </c>
      <c r="D4303" s="422" t="s">
        <v>663</v>
      </c>
      <c r="E4303" s="111">
        <v>16478</v>
      </c>
      <c r="F4303" s="421" t="s">
        <v>7712</v>
      </c>
      <c r="G4303" s="112">
        <v>1</v>
      </c>
      <c r="H4303" s="112">
        <v>1</v>
      </c>
      <c r="I4303" s="112">
        <v>1</v>
      </c>
      <c r="J4303" s="112">
        <v>2</v>
      </c>
      <c r="K4303" s="112">
        <v>5</v>
      </c>
      <c r="L4303" s="112">
        <v>3</v>
      </c>
      <c r="N4303" s="112">
        <v>1</v>
      </c>
    </row>
    <row r="4304" spans="1:15" x14ac:dyDescent="0.2">
      <c r="A4304" s="111">
        <v>4428</v>
      </c>
      <c r="B4304" s="421" t="s">
        <v>237</v>
      </c>
      <c r="C4304" s="421" t="s">
        <v>506</v>
      </c>
      <c r="D4304" s="422" t="s">
        <v>663</v>
      </c>
      <c r="E4304" s="111">
        <v>15219</v>
      </c>
      <c r="F4304" s="421" t="s">
        <v>3437</v>
      </c>
    </row>
    <row r="4305" spans="1:15" x14ac:dyDescent="0.2">
      <c r="A4305" s="111">
        <v>4429</v>
      </c>
      <c r="B4305" s="421" t="s">
        <v>7694</v>
      </c>
      <c r="C4305" s="421" t="s">
        <v>563</v>
      </c>
      <c r="D4305" s="422" t="s">
        <v>663</v>
      </c>
      <c r="E4305" s="111">
        <v>16479</v>
      </c>
      <c r="F4305" s="421" t="s">
        <v>7755</v>
      </c>
      <c r="G4305" s="112">
        <v>1</v>
      </c>
      <c r="H4305" s="112">
        <v>1</v>
      </c>
      <c r="I4305" s="112">
        <v>1</v>
      </c>
      <c r="J4305" s="112">
        <v>2</v>
      </c>
      <c r="K4305" s="112">
        <v>1</v>
      </c>
      <c r="L4305" s="112">
        <v>2</v>
      </c>
    </row>
    <row r="4306" spans="1:15" x14ac:dyDescent="0.2">
      <c r="A4306" s="111">
        <v>4430</v>
      </c>
      <c r="B4306" s="421" t="s">
        <v>1405</v>
      </c>
      <c r="C4306" s="421" t="s">
        <v>563</v>
      </c>
      <c r="D4306" s="422" t="s">
        <v>663</v>
      </c>
      <c r="E4306" s="111">
        <v>16479</v>
      </c>
      <c r="F4306" s="421" t="s">
        <v>7755</v>
      </c>
      <c r="G4306" s="112">
        <v>2</v>
      </c>
      <c r="H4306" s="112">
        <v>2</v>
      </c>
      <c r="I4306" s="112">
        <v>1</v>
      </c>
    </row>
    <row r="4307" spans="1:15" x14ac:dyDescent="0.2">
      <c r="A4307" s="111">
        <v>4431</v>
      </c>
      <c r="B4307" s="421" t="s">
        <v>206</v>
      </c>
      <c r="C4307" s="421" t="s">
        <v>513</v>
      </c>
      <c r="D4307" s="422" t="s">
        <v>666</v>
      </c>
      <c r="E4307" s="111">
        <v>16472</v>
      </c>
      <c r="F4307" s="421" t="s">
        <v>2762</v>
      </c>
      <c r="G4307" s="112">
        <v>1</v>
      </c>
      <c r="H4307" s="112">
        <v>1</v>
      </c>
      <c r="I4307" s="112">
        <v>1</v>
      </c>
      <c r="J4307" s="112">
        <v>9</v>
      </c>
      <c r="K4307" s="112">
        <v>8</v>
      </c>
      <c r="L4307" s="112">
        <v>8</v>
      </c>
      <c r="M4307" s="112">
        <v>9</v>
      </c>
      <c r="N4307" s="112">
        <v>4</v>
      </c>
      <c r="O4307" s="112">
        <v>7</v>
      </c>
    </row>
    <row r="4308" spans="1:15" x14ac:dyDescent="0.2">
      <c r="A4308" s="111">
        <v>4432</v>
      </c>
      <c r="B4308" s="421" t="s">
        <v>7681</v>
      </c>
      <c r="C4308" s="421" t="s">
        <v>521</v>
      </c>
      <c r="D4308" s="422" t="s">
        <v>663</v>
      </c>
      <c r="E4308" s="111">
        <v>16488</v>
      </c>
      <c r="F4308" s="421" t="s">
        <v>7734</v>
      </c>
      <c r="G4308" s="112">
        <v>1</v>
      </c>
      <c r="H4308" s="112">
        <v>1</v>
      </c>
      <c r="I4308" s="112">
        <v>1</v>
      </c>
      <c r="J4308" s="112">
        <v>5</v>
      </c>
      <c r="K4308" s="112">
        <v>5</v>
      </c>
      <c r="L4308" s="112">
        <v>5</v>
      </c>
      <c r="M4308" s="112">
        <v>5</v>
      </c>
      <c r="N4308" s="112">
        <v>1</v>
      </c>
    </row>
    <row r="4309" spans="1:15" x14ac:dyDescent="0.2">
      <c r="A4309" s="111">
        <v>4433</v>
      </c>
      <c r="B4309" s="421" t="s">
        <v>7692</v>
      </c>
      <c r="C4309" s="421" t="s">
        <v>501</v>
      </c>
      <c r="D4309" s="422" t="s">
        <v>666</v>
      </c>
      <c r="E4309" s="111">
        <v>16483</v>
      </c>
      <c r="F4309" s="421" t="s">
        <v>7752</v>
      </c>
      <c r="G4309" s="112">
        <v>1</v>
      </c>
      <c r="H4309" s="112">
        <v>1</v>
      </c>
      <c r="I4309" s="112">
        <v>1</v>
      </c>
      <c r="K4309" s="112">
        <v>1</v>
      </c>
      <c r="L4309" s="112">
        <v>1</v>
      </c>
    </row>
    <row r="4310" spans="1:15" x14ac:dyDescent="0.2">
      <c r="A4310" s="111">
        <v>4434</v>
      </c>
      <c r="B4310" s="421" t="s">
        <v>39</v>
      </c>
      <c r="C4310" s="421" t="s">
        <v>503</v>
      </c>
      <c r="D4310" s="422" t="s">
        <v>663</v>
      </c>
      <c r="E4310" s="111">
        <v>16482</v>
      </c>
      <c r="F4310" s="421" t="s">
        <v>7725</v>
      </c>
      <c r="G4310" s="112">
        <v>1</v>
      </c>
      <c r="H4310" s="112">
        <v>1</v>
      </c>
      <c r="I4310" s="112">
        <v>1</v>
      </c>
      <c r="J4310" s="112">
        <v>10</v>
      </c>
      <c r="K4310" s="112">
        <v>10</v>
      </c>
      <c r="L4310" s="112">
        <v>10</v>
      </c>
      <c r="M4310" s="112">
        <v>18</v>
      </c>
      <c r="N4310" s="112">
        <v>17</v>
      </c>
      <c r="O4310" s="112">
        <v>19</v>
      </c>
    </row>
    <row r="4311" spans="1:15" x14ac:dyDescent="0.2">
      <c r="A4311" s="111">
        <v>4435</v>
      </c>
      <c r="B4311" s="421" t="s">
        <v>7665</v>
      </c>
      <c r="C4311" s="421" t="s">
        <v>510</v>
      </c>
      <c r="D4311" s="422" t="s">
        <v>663</v>
      </c>
      <c r="E4311" s="111">
        <v>16484</v>
      </c>
      <c r="F4311" s="421" t="s">
        <v>7721</v>
      </c>
      <c r="G4311" s="112">
        <v>1</v>
      </c>
      <c r="H4311" s="112">
        <v>1</v>
      </c>
      <c r="I4311" s="112">
        <v>1</v>
      </c>
      <c r="J4311" s="112">
        <v>3</v>
      </c>
      <c r="K4311" s="112">
        <v>2</v>
      </c>
      <c r="L4311" s="112">
        <v>3</v>
      </c>
      <c r="M4311" s="112">
        <v>3</v>
      </c>
      <c r="O4311" s="112">
        <v>2</v>
      </c>
    </row>
    <row r="4312" spans="1:15" x14ac:dyDescent="0.2">
      <c r="A4312" s="111">
        <v>4436</v>
      </c>
      <c r="B4312" s="421" t="s">
        <v>3785</v>
      </c>
      <c r="C4312" s="421" t="s">
        <v>7405</v>
      </c>
      <c r="D4312" s="422" t="s">
        <v>666</v>
      </c>
      <c r="E4312" s="111">
        <v>16486</v>
      </c>
      <c r="F4312" s="421" t="s">
        <v>7728</v>
      </c>
    </row>
    <row r="4313" spans="1:15" x14ac:dyDescent="0.2">
      <c r="A4313" s="111">
        <v>4437</v>
      </c>
      <c r="B4313" s="421" t="s">
        <v>106</v>
      </c>
      <c r="C4313" s="421" t="s">
        <v>512</v>
      </c>
      <c r="D4313" s="422" t="s">
        <v>666</v>
      </c>
      <c r="E4313" s="111">
        <v>16487</v>
      </c>
      <c r="F4313" s="421" t="s">
        <v>7748</v>
      </c>
      <c r="H4313" s="112">
        <v>1</v>
      </c>
    </row>
    <row r="4314" spans="1:15" x14ac:dyDescent="0.2">
      <c r="A4314" s="111">
        <v>4438</v>
      </c>
      <c r="B4314" s="421" t="s">
        <v>7684</v>
      </c>
      <c r="C4314" s="421" t="s">
        <v>532</v>
      </c>
      <c r="D4314" s="422" t="s">
        <v>666</v>
      </c>
      <c r="E4314" s="111">
        <v>16489</v>
      </c>
      <c r="F4314" s="421" t="s">
        <v>7741</v>
      </c>
      <c r="G4314" s="112">
        <v>1</v>
      </c>
      <c r="H4314" s="112">
        <v>1</v>
      </c>
      <c r="I4314" s="112">
        <v>1</v>
      </c>
      <c r="J4314" s="112">
        <v>3</v>
      </c>
      <c r="K4314" s="112">
        <v>3</v>
      </c>
      <c r="L4314" s="112">
        <v>1</v>
      </c>
    </row>
    <row r="4315" spans="1:15" x14ac:dyDescent="0.2">
      <c r="A4315" s="111">
        <v>4439</v>
      </c>
      <c r="B4315" s="421" t="s">
        <v>7653</v>
      </c>
      <c r="C4315" s="421" t="s">
        <v>530</v>
      </c>
      <c r="D4315" s="422" t="s">
        <v>666</v>
      </c>
      <c r="E4315" s="111">
        <v>16578</v>
      </c>
      <c r="F4315" s="421" t="s">
        <v>7702</v>
      </c>
      <c r="G4315" s="112">
        <v>1</v>
      </c>
      <c r="H4315" s="112">
        <v>1</v>
      </c>
      <c r="I4315" s="112">
        <v>1</v>
      </c>
      <c r="J4315" s="112">
        <v>3</v>
      </c>
      <c r="K4315" s="112">
        <v>3</v>
      </c>
      <c r="L4315" s="112">
        <v>3</v>
      </c>
      <c r="M4315" s="112">
        <v>2</v>
      </c>
      <c r="O4315" s="112">
        <v>1</v>
      </c>
    </row>
    <row r="4316" spans="1:15" x14ac:dyDescent="0.2">
      <c r="A4316" s="111">
        <v>4440</v>
      </c>
      <c r="B4316" s="421" t="s">
        <v>2100</v>
      </c>
      <c r="C4316" s="421" t="s">
        <v>519</v>
      </c>
      <c r="D4316" s="422" t="s">
        <v>663</v>
      </c>
      <c r="E4316" s="111">
        <v>1470</v>
      </c>
      <c r="F4316" s="421" t="s">
        <v>694</v>
      </c>
      <c r="G4316" s="112">
        <v>1</v>
      </c>
      <c r="H4316" s="112">
        <v>1</v>
      </c>
      <c r="I4316" s="112">
        <v>2</v>
      </c>
      <c r="J4316" s="112">
        <v>8</v>
      </c>
      <c r="K4316" s="112">
        <v>7</v>
      </c>
      <c r="L4316" s="112">
        <v>8</v>
      </c>
      <c r="M4316" s="112">
        <v>5</v>
      </c>
      <c r="N4316" s="112">
        <v>3</v>
      </c>
      <c r="O4316" s="112">
        <v>4</v>
      </c>
    </row>
    <row r="4317" spans="1:15" x14ac:dyDescent="0.2">
      <c r="A4317" s="111">
        <v>4441</v>
      </c>
      <c r="B4317" s="421" t="s">
        <v>401</v>
      </c>
      <c r="C4317" s="421" t="s">
        <v>518</v>
      </c>
      <c r="D4317" s="422" t="s">
        <v>663</v>
      </c>
      <c r="E4317" s="111">
        <v>15373</v>
      </c>
      <c r="F4317" s="421" t="s">
        <v>3918</v>
      </c>
      <c r="G4317" s="112">
        <v>1</v>
      </c>
      <c r="H4317" s="112">
        <v>1</v>
      </c>
      <c r="I4317" s="112">
        <v>1</v>
      </c>
      <c r="J4317" s="112">
        <v>7</v>
      </c>
      <c r="K4317" s="112">
        <v>6</v>
      </c>
      <c r="L4317" s="112">
        <v>2</v>
      </c>
      <c r="M4317" s="112">
        <v>4</v>
      </c>
      <c r="N4317" s="112">
        <v>2</v>
      </c>
    </row>
    <row r="4318" spans="1:15" x14ac:dyDescent="0.2">
      <c r="A4318" s="111">
        <v>4442</v>
      </c>
      <c r="B4318" s="421" t="s">
        <v>341</v>
      </c>
      <c r="C4318" s="421" t="s">
        <v>516</v>
      </c>
      <c r="D4318" s="422" t="s">
        <v>666</v>
      </c>
      <c r="E4318" s="111">
        <v>16493</v>
      </c>
      <c r="F4318" s="421" t="s">
        <v>7717</v>
      </c>
      <c r="G4318" s="112">
        <v>2</v>
      </c>
      <c r="H4318" s="112">
        <v>1</v>
      </c>
      <c r="I4318" s="112">
        <v>1</v>
      </c>
    </row>
    <row r="4319" spans="1:15" x14ac:dyDescent="0.2">
      <c r="A4319" s="111">
        <v>4443</v>
      </c>
      <c r="B4319" s="421" t="s">
        <v>7667</v>
      </c>
      <c r="C4319" s="421" t="s">
        <v>514</v>
      </c>
      <c r="D4319" s="422" t="s">
        <v>666</v>
      </c>
      <c r="E4319" s="111">
        <v>15411</v>
      </c>
      <c r="F4319" s="421" t="s">
        <v>4132</v>
      </c>
      <c r="G4319" s="112">
        <v>1</v>
      </c>
      <c r="H4319" s="112">
        <v>1</v>
      </c>
      <c r="I4319" s="112">
        <v>1</v>
      </c>
      <c r="J4319" s="112">
        <v>4</v>
      </c>
      <c r="K4319" s="112">
        <v>4</v>
      </c>
      <c r="L4319" s="112">
        <v>6</v>
      </c>
      <c r="M4319" s="112">
        <v>3</v>
      </c>
      <c r="N4319" s="112">
        <v>1</v>
      </c>
      <c r="O4319" s="112">
        <v>1</v>
      </c>
    </row>
    <row r="4320" spans="1:15" x14ac:dyDescent="0.2">
      <c r="A4320" s="111">
        <v>4444</v>
      </c>
      <c r="B4320" s="421" t="s">
        <v>1822</v>
      </c>
      <c r="C4320" s="421" t="s">
        <v>571</v>
      </c>
      <c r="D4320" s="422" t="s">
        <v>663</v>
      </c>
      <c r="E4320" s="111">
        <v>16494</v>
      </c>
      <c r="F4320" s="421" t="s">
        <v>7700</v>
      </c>
      <c r="G4320" s="112">
        <v>2</v>
      </c>
      <c r="H4320" s="112">
        <v>1</v>
      </c>
      <c r="I4320" s="112">
        <v>1</v>
      </c>
      <c r="J4320" s="112">
        <v>3</v>
      </c>
      <c r="K4320" s="112">
        <v>2</v>
      </c>
      <c r="L4320" s="112">
        <v>1</v>
      </c>
    </row>
    <row r="4321" spans="1:15" x14ac:dyDescent="0.2">
      <c r="A4321" s="111">
        <v>4445</v>
      </c>
      <c r="B4321" s="421" t="s">
        <v>7689</v>
      </c>
      <c r="C4321" s="421" t="s">
        <v>3385</v>
      </c>
      <c r="D4321" s="422" t="s">
        <v>666</v>
      </c>
      <c r="E4321" s="111">
        <v>16172</v>
      </c>
      <c r="F4321" s="421" t="s">
        <v>6518</v>
      </c>
      <c r="G4321" s="112">
        <v>4</v>
      </c>
      <c r="H4321" s="112">
        <v>2</v>
      </c>
      <c r="I4321" s="112">
        <v>1</v>
      </c>
      <c r="J4321" s="112">
        <v>1</v>
      </c>
    </row>
    <row r="4322" spans="1:15" x14ac:dyDescent="0.2">
      <c r="A4322" s="111">
        <v>4446</v>
      </c>
      <c r="B4322" s="421" t="s">
        <v>7662</v>
      </c>
      <c r="C4322" s="421" t="s">
        <v>574</v>
      </c>
      <c r="D4322" s="422" t="s">
        <v>663</v>
      </c>
      <c r="E4322" s="111">
        <v>16495</v>
      </c>
      <c r="F4322" s="421" t="s">
        <v>7716</v>
      </c>
      <c r="G4322" s="112">
        <v>1</v>
      </c>
      <c r="H4322" s="112">
        <v>1</v>
      </c>
      <c r="I4322" s="112">
        <v>1</v>
      </c>
      <c r="J4322" s="112">
        <v>4</v>
      </c>
      <c r="K4322" s="112">
        <v>4</v>
      </c>
      <c r="L4322" s="112">
        <v>4</v>
      </c>
      <c r="M4322" s="112">
        <v>5</v>
      </c>
      <c r="N4322" s="112">
        <v>2</v>
      </c>
      <c r="O4322" s="112">
        <v>2</v>
      </c>
    </row>
    <row r="4323" spans="1:15" x14ac:dyDescent="0.2">
      <c r="A4323" s="111">
        <v>4447</v>
      </c>
      <c r="B4323" s="421" t="s">
        <v>7656</v>
      </c>
      <c r="C4323" s="421" t="s">
        <v>2003</v>
      </c>
      <c r="D4323" s="422" t="s">
        <v>663</v>
      </c>
      <c r="E4323" s="111">
        <v>16496</v>
      </c>
      <c r="F4323" s="421" t="s">
        <v>7710</v>
      </c>
      <c r="G4323" s="112">
        <v>1</v>
      </c>
      <c r="H4323" s="112">
        <v>1</v>
      </c>
      <c r="I4323" s="112">
        <v>1</v>
      </c>
      <c r="J4323" s="112">
        <v>2</v>
      </c>
      <c r="K4323" s="112">
        <v>1</v>
      </c>
      <c r="L4323" s="112">
        <v>1</v>
      </c>
    </row>
    <row r="4324" spans="1:15" x14ac:dyDescent="0.2">
      <c r="A4324" s="111">
        <v>4448</v>
      </c>
      <c r="B4324" s="421" t="s">
        <v>7686</v>
      </c>
      <c r="C4324" s="421" t="s">
        <v>544</v>
      </c>
      <c r="D4324" s="422" t="s">
        <v>666</v>
      </c>
      <c r="E4324" s="111">
        <v>16621</v>
      </c>
      <c r="F4324" s="421" t="s">
        <v>7745</v>
      </c>
      <c r="G4324" s="112">
        <v>1</v>
      </c>
      <c r="H4324" s="112">
        <v>1</v>
      </c>
      <c r="I4324" s="112">
        <v>1</v>
      </c>
      <c r="J4324" s="112">
        <v>1</v>
      </c>
      <c r="K4324" s="112">
        <v>1</v>
      </c>
      <c r="L4324" s="112">
        <v>1</v>
      </c>
      <c r="M4324" s="112">
        <v>5</v>
      </c>
      <c r="N4324" s="112">
        <v>1</v>
      </c>
    </row>
    <row r="4325" spans="1:15" x14ac:dyDescent="0.2">
      <c r="A4325" s="111">
        <v>4449</v>
      </c>
      <c r="B4325" s="421" t="s">
        <v>7669</v>
      </c>
      <c r="C4325" s="421" t="s">
        <v>573</v>
      </c>
      <c r="D4325" s="422" t="s">
        <v>666</v>
      </c>
      <c r="E4325" s="111">
        <v>16497</v>
      </c>
      <c r="F4325" s="421" t="s">
        <v>7723</v>
      </c>
      <c r="G4325" s="112">
        <v>1</v>
      </c>
      <c r="H4325" s="112">
        <v>3</v>
      </c>
      <c r="I4325" s="112">
        <v>1</v>
      </c>
      <c r="J4325" s="112">
        <v>7</v>
      </c>
      <c r="K4325" s="112">
        <v>7</v>
      </c>
      <c r="L4325" s="112">
        <v>7</v>
      </c>
      <c r="M4325" s="112">
        <v>9</v>
      </c>
      <c r="N4325" s="112">
        <v>7</v>
      </c>
      <c r="O4325" s="112">
        <v>7</v>
      </c>
    </row>
    <row r="4326" spans="1:15" x14ac:dyDescent="0.2">
      <c r="A4326" s="111">
        <v>4450</v>
      </c>
      <c r="B4326" s="421" t="s">
        <v>7668</v>
      </c>
      <c r="C4326" s="421" t="s">
        <v>573</v>
      </c>
      <c r="D4326" s="422" t="s">
        <v>666</v>
      </c>
      <c r="E4326" s="111">
        <v>16497</v>
      </c>
      <c r="F4326" s="421" t="s">
        <v>7723</v>
      </c>
      <c r="G4326" s="112">
        <v>6</v>
      </c>
      <c r="H4326" s="112">
        <v>3</v>
      </c>
      <c r="I4326" s="112">
        <v>4</v>
      </c>
      <c r="J4326" s="112">
        <v>8</v>
      </c>
      <c r="K4326" s="112">
        <v>12</v>
      </c>
      <c r="L4326" s="112">
        <v>6</v>
      </c>
      <c r="M4326" s="112">
        <v>1</v>
      </c>
      <c r="O4326" s="112">
        <v>1</v>
      </c>
    </row>
    <row r="4327" spans="1:15" x14ac:dyDescent="0.2">
      <c r="A4327" s="111">
        <v>4451</v>
      </c>
      <c r="B4327" s="421" t="s">
        <v>7132</v>
      </c>
      <c r="C4327" s="421" t="s">
        <v>2599</v>
      </c>
      <c r="D4327" s="422" t="s">
        <v>663</v>
      </c>
      <c r="E4327" s="111">
        <v>15407</v>
      </c>
      <c r="F4327" s="421" t="s">
        <v>4137</v>
      </c>
      <c r="G4327" s="112">
        <v>1</v>
      </c>
      <c r="H4327" s="112">
        <v>1</v>
      </c>
    </row>
    <row r="4328" spans="1:15" x14ac:dyDescent="0.2">
      <c r="A4328" s="111">
        <v>4452</v>
      </c>
      <c r="B4328" s="421" t="s">
        <v>6853</v>
      </c>
      <c r="C4328" s="421" t="s">
        <v>514</v>
      </c>
      <c r="D4328" s="422" t="s">
        <v>663</v>
      </c>
      <c r="E4328" s="111">
        <v>16499</v>
      </c>
      <c r="F4328" s="421" t="s">
        <v>7704</v>
      </c>
      <c r="G4328" s="112">
        <v>1</v>
      </c>
    </row>
    <row r="4329" spans="1:15" x14ac:dyDescent="0.2">
      <c r="A4329" s="111">
        <v>4453</v>
      </c>
      <c r="B4329" s="421" t="s">
        <v>7678</v>
      </c>
      <c r="C4329" s="421" t="s">
        <v>513</v>
      </c>
      <c r="D4329" s="422" t="s">
        <v>663</v>
      </c>
      <c r="E4329" s="111">
        <v>16500</v>
      </c>
      <c r="F4329" s="421" t="s">
        <v>7732</v>
      </c>
      <c r="G4329" s="112">
        <v>1</v>
      </c>
      <c r="H4329" s="112">
        <v>1</v>
      </c>
      <c r="I4329" s="112">
        <v>1</v>
      </c>
      <c r="J4329" s="112">
        <v>7</v>
      </c>
      <c r="K4329" s="112">
        <v>4</v>
      </c>
      <c r="L4329" s="112">
        <v>6</v>
      </c>
      <c r="M4329" s="112">
        <v>7</v>
      </c>
      <c r="O4329" s="112">
        <v>2</v>
      </c>
    </row>
    <row r="4330" spans="1:15" x14ac:dyDescent="0.2">
      <c r="A4330" s="111">
        <v>4454</v>
      </c>
      <c r="B4330" s="421" t="s">
        <v>7672</v>
      </c>
      <c r="C4330" s="421" t="s">
        <v>551</v>
      </c>
      <c r="D4330" s="422" t="s">
        <v>666</v>
      </c>
      <c r="E4330" s="111">
        <v>16501</v>
      </c>
      <c r="F4330" s="421" t="s">
        <v>7726</v>
      </c>
      <c r="G4330" s="112">
        <v>1</v>
      </c>
      <c r="H4330" s="112">
        <v>1</v>
      </c>
      <c r="I4330" s="112">
        <v>1</v>
      </c>
      <c r="J4330" s="112">
        <v>5</v>
      </c>
      <c r="K4330" s="112">
        <v>7</v>
      </c>
      <c r="L4330" s="112">
        <v>2</v>
      </c>
    </row>
    <row r="4331" spans="1:15" x14ac:dyDescent="0.2">
      <c r="A4331" s="111">
        <v>4455</v>
      </c>
      <c r="B4331" s="421" t="s">
        <v>7671</v>
      </c>
      <c r="C4331" s="421" t="s">
        <v>551</v>
      </c>
      <c r="D4331" s="422" t="s">
        <v>663</v>
      </c>
      <c r="E4331" s="111">
        <v>16501</v>
      </c>
      <c r="F4331" s="421" t="s">
        <v>7726</v>
      </c>
      <c r="G4331" s="112">
        <v>1</v>
      </c>
      <c r="H4331" s="112">
        <v>1</v>
      </c>
      <c r="I4331" s="112">
        <v>1</v>
      </c>
      <c r="J4331" s="112">
        <v>7</v>
      </c>
      <c r="K4331" s="112">
        <v>8</v>
      </c>
      <c r="L4331" s="112">
        <v>7</v>
      </c>
      <c r="M4331" s="112">
        <v>3</v>
      </c>
      <c r="N4331" s="112">
        <v>3</v>
      </c>
      <c r="O4331" s="112">
        <v>3</v>
      </c>
    </row>
    <row r="4332" spans="1:15" x14ac:dyDescent="0.2">
      <c r="A4332" s="111">
        <v>4456</v>
      </c>
      <c r="B4332" s="421" t="s">
        <v>430</v>
      </c>
      <c r="C4332" s="421" t="s">
        <v>533</v>
      </c>
      <c r="D4332" s="422" t="s">
        <v>666</v>
      </c>
      <c r="E4332" s="111">
        <v>16917</v>
      </c>
      <c r="F4332" s="421" t="s">
        <v>7714</v>
      </c>
      <c r="G4332" s="112">
        <v>1</v>
      </c>
      <c r="H4332" s="112">
        <v>1</v>
      </c>
      <c r="I4332" s="112">
        <v>1</v>
      </c>
      <c r="J4332" s="112">
        <v>3</v>
      </c>
      <c r="K4332" s="112">
        <v>3</v>
      </c>
      <c r="L4332" s="112">
        <v>2</v>
      </c>
      <c r="M4332" s="112">
        <v>1</v>
      </c>
    </row>
    <row r="4333" spans="1:15" x14ac:dyDescent="0.2">
      <c r="A4333" s="111">
        <v>4457</v>
      </c>
      <c r="B4333" s="421" t="s">
        <v>1822</v>
      </c>
      <c r="C4333" s="421" t="s">
        <v>7698</v>
      </c>
      <c r="D4333" s="422" t="s">
        <v>663</v>
      </c>
      <c r="E4333" s="111">
        <v>44509</v>
      </c>
      <c r="F4333" s="421" t="s">
        <v>7756</v>
      </c>
      <c r="G4333" s="112">
        <v>1</v>
      </c>
      <c r="H4333" s="112">
        <v>1</v>
      </c>
      <c r="I4333" s="112">
        <v>1</v>
      </c>
      <c r="J4333" s="112">
        <v>5</v>
      </c>
      <c r="K4333" s="112">
        <v>5</v>
      </c>
      <c r="L4333" s="112">
        <v>4</v>
      </c>
      <c r="M4333" s="112">
        <v>5</v>
      </c>
      <c r="N4333" s="112">
        <v>2</v>
      </c>
      <c r="O4333" s="112">
        <v>4</v>
      </c>
    </row>
    <row r="4334" spans="1:15" x14ac:dyDescent="0.2">
      <c r="A4334" s="111">
        <v>4458</v>
      </c>
      <c r="B4334" s="421" t="s">
        <v>2573</v>
      </c>
      <c r="C4334" s="421" t="s">
        <v>513</v>
      </c>
      <c r="D4334" s="422" t="s">
        <v>663</v>
      </c>
      <c r="E4334" s="111">
        <v>16498</v>
      </c>
      <c r="F4334" s="421" t="s">
        <v>7735</v>
      </c>
      <c r="G4334" s="112">
        <v>2</v>
      </c>
      <c r="H4334" s="112">
        <v>2</v>
      </c>
      <c r="I4334" s="112">
        <v>1</v>
      </c>
      <c r="J4334" s="112">
        <v>1</v>
      </c>
      <c r="K4334" s="112">
        <v>1</v>
      </c>
      <c r="L4334" s="112">
        <v>1</v>
      </c>
      <c r="M4334" s="112">
        <v>4</v>
      </c>
      <c r="N4334" s="112">
        <v>1</v>
      </c>
      <c r="O4334" s="112">
        <v>2</v>
      </c>
    </row>
    <row r="4335" spans="1:15" x14ac:dyDescent="0.2">
      <c r="A4335" s="111">
        <v>4459</v>
      </c>
      <c r="B4335" s="421" t="s">
        <v>7663</v>
      </c>
      <c r="C4335" s="421" t="s">
        <v>501</v>
      </c>
      <c r="D4335" s="422" t="s">
        <v>663</v>
      </c>
      <c r="E4335" s="111">
        <v>16493</v>
      </c>
      <c r="F4335" s="421" t="s">
        <v>7717</v>
      </c>
      <c r="G4335" s="112">
        <v>1</v>
      </c>
      <c r="H4335" s="112">
        <v>1</v>
      </c>
      <c r="I4335" s="112">
        <v>1</v>
      </c>
      <c r="J4335" s="112">
        <v>1</v>
      </c>
      <c r="K4335" s="112">
        <v>1</v>
      </c>
      <c r="L4335" s="112">
        <v>1</v>
      </c>
    </row>
    <row r="4336" spans="1:15" x14ac:dyDescent="0.2">
      <c r="A4336" s="111">
        <v>4460</v>
      </c>
      <c r="B4336" s="421" t="s">
        <v>7687</v>
      </c>
      <c r="C4336" s="421" t="s">
        <v>501</v>
      </c>
      <c r="D4336" s="422" t="s">
        <v>663</v>
      </c>
      <c r="E4336" s="111">
        <v>16480</v>
      </c>
      <c r="F4336" s="421" t="s">
        <v>7749</v>
      </c>
    </row>
    <row r="4337" spans="1:15" x14ac:dyDescent="0.2">
      <c r="A4337" s="111">
        <v>4461</v>
      </c>
      <c r="B4337" s="421" t="s">
        <v>7658</v>
      </c>
      <c r="C4337" s="421" t="s">
        <v>1746</v>
      </c>
      <c r="D4337" s="422" t="s">
        <v>666</v>
      </c>
      <c r="E4337" s="111">
        <v>14916</v>
      </c>
      <c r="F4337" s="421" t="s">
        <v>2755</v>
      </c>
      <c r="G4337" s="112">
        <v>1</v>
      </c>
      <c r="H4337" s="112">
        <v>1</v>
      </c>
      <c r="I4337" s="112">
        <v>1</v>
      </c>
      <c r="J4337" s="112">
        <v>5</v>
      </c>
      <c r="K4337" s="112">
        <v>10</v>
      </c>
      <c r="L4337" s="112">
        <v>7</v>
      </c>
      <c r="M4337" s="112">
        <v>6</v>
      </c>
      <c r="O4337" s="112">
        <v>3</v>
      </c>
    </row>
    <row r="4338" spans="1:15" x14ac:dyDescent="0.2">
      <c r="A4338" s="111">
        <v>4462</v>
      </c>
      <c r="B4338" s="421" t="s">
        <v>392</v>
      </c>
      <c r="C4338" s="421" t="s">
        <v>516</v>
      </c>
      <c r="D4338" s="422" t="s">
        <v>666</v>
      </c>
      <c r="E4338" s="111">
        <v>16504</v>
      </c>
      <c r="F4338" s="421" t="s">
        <v>7719</v>
      </c>
      <c r="G4338" s="112">
        <v>1</v>
      </c>
      <c r="H4338" s="112">
        <v>1</v>
      </c>
      <c r="I4338" s="112">
        <v>1</v>
      </c>
    </row>
    <row r="4339" spans="1:15" x14ac:dyDescent="0.2">
      <c r="A4339" s="111">
        <v>4463</v>
      </c>
      <c r="B4339" s="421" t="s">
        <v>7691</v>
      </c>
      <c r="C4339" s="421" t="s">
        <v>523</v>
      </c>
      <c r="D4339" s="422" t="s">
        <v>666</v>
      </c>
      <c r="E4339" s="111">
        <v>16505</v>
      </c>
      <c r="F4339" s="421" t="s">
        <v>7751</v>
      </c>
      <c r="G4339" s="112">
        <v>1</v>
      </c>
      <c r="H4339" s="112">
        <v>1</v>
      </c>
      <c r="I4339" s="112">
        <v>1</v>
      </c>
      <c r="J4339" s="112">
        <v>4</v>
      </c>
      <c r="K4339" s="112">
        <v>3</v>
      </c>
      <c r="L4339" s="112">
        <v>3</v>
      </c>
      <c r="M4339" s="112">
        <v>5</v>
      </c>
      <c r="N4339" s="112">
        <v>4</v>
      </c>
      <c r="O4339" s="112">
        <v>4</v>
      </c>
    </row>
    <row r="4340" spans="1:15" x14ac:dyDescent="0.2">
      <c r="A4340" s="111">
        <v>4464</v>
      </c>
      <c r="B4340" s="421" t="s">
        <v>2444</v>
      </c>
      <c r="C4340" s="421" t="s">
        <v>503</v>
      </c>
      <c r="D4340" s="422" t="s">
        <v>663</v>
      </c>
      <c r="E4340" s="111">
        <v>16091</v>
      </c>
      <c r="F4340" s="421" t="s">
        <v>6323</v>
      </c>
      <c r="G4340" s="112">
        <v>1</v>
      </c>
      <c r="H4340" s="112">
        <v>1</v>
      </c>
      <c r="I4340" s="112">
        <v>1</v>
      </c>
    </row>
    <row r="4341" spans="1:15" x14ac:dyDescent="0.2">
      <c r="A4341" s="111">
        <v>4465</v>
      </c>
      <c r="B4341" s="421" t="s">
        <v>7804</v>
      </c>
      <c r="C4341" s="421" t="s">
        <v>574</v>
      </c>
      <c r="D4341" s="422" t="s">
        <v>663</v>
      </c>
      <c r="E4341" s="111">
        <v>17289</v>
      </c>
      <c r="F4341" s="421" t="s">
        <v>7850</v>
      </c>
      <c r="G4341" s="112">
        <v>1</v>
      </c>
      <c r="H4341" s="112">
        <v>1</v>
      </c>
      <c r="I4341" s="112">
        <v>1</v>
      </c>
      <c r="J4341" s="112">
        <v>1</v>
      </c>
      <c r="K4341" s="112">
        <v>2</v>
      </c>
      <c r="M4341" s="112">
        <v>1</v>
      </c>
    </row>
    <row r="4342" spans="1:15" x14ac:dyDescent="0.2">
      <c r="A4342" s="111">
        <v>4466</v>
      </c>
      <c r="B4342" s="421" t="s">
        <v>7794</v>
      </c>
      <c r="C4342" s="421" t="s">
        <v>530</v>
      </c>
      <c r="D4342" s="422" t="s">
        <v>663</v>
      </c>
      <c r="E4342" s="111">
        <v>16506</v>
      </c>
      <c r="F4342" s="421" t="s">
        <v>7832</v>
      </c>
      <c r="G4342" s="112">
        <v>1</v>
      </c>
      <c r="H4342" s="112">
        <v>1</v>
      </c>
    </row>
    <row r="4343" spans="1:15" x14ac:dyDescent="0.2">
      <c r="A4343" s="111">
        <v>4467</v>
      </c>
      <c r="B4343" s="421" t="s">
        <v>4023</v>
      </c>
      <c r="C4343" s="421" t="s">
        <v>506</v>
      </c>
      <c r="D4343" s="422" t="s">
        <v>663</v>
      </c>
      <c r="E4343" s="111">
        <v>16507</v>
      </c>
      <c r="F4343" s="421" t="s">
        <v>7845</v>
      </c>
      <c r="G4343" s="112">
        <v>1</v>
      </c>
      <c r="I4343" s="112">
        <v>1</v>
      </c>
    </row>
    <row r="4344" spans="1:15" x14ac:dyDescent="0.2">
      <c r="A4344" s="111">
        <v>4468</v>
      </c>
      <c r="B4344" s="421" t="s">
        <v>143</v>
      </c>
      <c r="C4344" s="421" t="s">
        <v>512</v>
      </c>
      <c r="D4344" s="422" t="s">
        <v>666</v>
      </c>
      <c r="E4344" s="111">
        <v>16508</v>
      </c>
      <c r="F4344" s="421" t="s">
        <v>7824</v>
      </c>
      <c r="G4344" s="112">
        <v>1</v>
      </c>
      <c r="H4344" s="112">
        <v>1</v>
      </c>
      <c r="I4344" s="112">
        <v>1</v>
      </c>
    </row>
    <row r="4345" spans="1:15" x14ac:dyDescent="0.2">
      <c r="A4345" s="111">
        <v>4469</v>
      </c>
      <c r="B4345" s="421" t="s">
        <v>430</v>
      </c>
      <c r="C4345" s="421" t="s">
        <v>577</v>
      </c>
      <c r="D4345" s="422" t="s">
        <v>666</v>
      </c>
      <c r="E4345" s="111">
        <v>16585</v>
      </c>
      <c r="F4345" s="421" t="s">
        <v>7829</v>
      </c>
      <c r="G4345" s="112">
        <v>1</v>
      </c>
      <c r="H4345" s="112">
        <v>1</v>
      </c>
      <c r="I4345" s="112">
        <v>1</v>
      </c>
    </row>
    <row r="4346" spans="1:15" x14ac:dyDescent="0.2">
      <c r="A4346" s="111">
        <v>4470</v>
      </c>
      <c r="B4346" s="421" t="s">
        <v>2792</v>
      </c>
      <c r="C4346" s="421" t="s">
        <v>528</v>
      </c>
      <c r="D4346" s="422" t="s">
        <v>666</v>
      </c>
      <c r="E4346" s="111">
        <v>16681</v>
      </c>
      <c r="F4346" s="421" t="s">
        <v>7827</v>
      </c>
      <c r="G4346" s="112">
        <v>2</v>
      </c>
      <c r="H4346" s="112">
        <v>1</v>
      </c>
      <c r="I4346" s="112">
        <v>1</v>
      </c>
    </row>
    <row r="4347" spans="1:15" x14ac:dyDescent="0.2">
      <c r="A4347" s="111">
        <v>4471</v>
      </c>
      <c r="B4347" s="421" t="s">
        <v>381</v>
      </c>
      <c r="C4347" s="421" t="s">
        <v>501</v>
      </c>
      <c r="D4347" s="422" t="s">
        <v>663</v>
      </c>
      <c r="E4347" s="111">
        <v>16511</v>
      </c>
      <c r="F4347" s="421" t="s">
        <v>7848</v>
      </c>
      <c r="G4347" s="112">
        <v>2</v>
      </c>
      <c r="H4347" s="112">
        <v>2</v>
      </c>
      <c r="I4347" s="112">
        <v>2</v>
      </c>
    </row>
    <row r="4348" spans="1:15" x14ac:dyDescent="0.2">
      <c r="A4348" s="111">
        <v>4472</v>
      </c>
      <c r="B4348" s="421" t="s">
        <v>3332</v>
      </c>
      <c r="C4348" s="421" t="s">
        <v>503</v>
      </c>
      <c r="D4348" s="422" t="s">
        <v>663</v>
      </c>
      <c r="E4348" s="111">
        <v>16512</v>
      </c>
      <c r="F4348" s="421" t="s">
        <v>7836</v>
      </c>
      <c r="G4348" s="112">
        <v>1</v>
      </c>
      <c r="H4348" s="112">
        <v>1</v>
      </c>
      <c r="I4348" s="112">
        <v>1</v>
      </c>
    </row>
    <row r="4349" spans="1:15" x14ac:dyDescent="0.2">
      <c r="A4349" s="111">
        <v>4473</v>
      </c>
      <c r="B4349" s="421" t="s">
        <v>119</v>
      </c>
      <c r="C4349" s="421" t="s">
        <v>503</v>
      </c>
      <c r="D4349" s="422" t="s">
        <v>663</v>
      </c>
      <c r="E4349" s="111">
        <v>16513</v>
      </c>
      <c r="F4349" s="421" t="s">
        <v>7828</v>
      </c>
      <c r="G4349" s="112">
        <v>2</v>
      </c>
      <c r="H4349" s="112">
        <v>1</v>
      </c>
      <c r="I4349" s="112">
        <v>1</v>
      </c>
    </row>
    <row r="4350" spans="1:15" x14ac:dyDescent="0.2">
      <c r="A4350" s="111">
        <v>4474</v>
      </c>
      <c r="B4350" s="421" t="s">
        <v>7803</v>
      </c>
      <c r="C4350" s="421" t="s">
        <v>567</v>
      </c>
      <c r="D4350" s="422" t="s">
        <v>666</v>
      </c>
      <c r="E4350" s="111">
        <v>16701</v>
      </c>
      <c r="F4350" s="421" t="s">
        <v>7849</v>
      </c>
    </row>
    <row r="4351" spans="1:15" x14ac:dyDescent="0.2">
      <c r="A4351" s="111">
        <v>4475</v>
      </c>
      <c r="B4351" s="421" t="s">
        <v>266</v>
      </c>
      <c r="C4351" s="421" t="s">
        <v>1908</v>
      </c>
      <c r="D4351" s="422" t="s">
        <v>663</v>
      </c>
      <c r="E4351" s="111">
        <v>16514</v>
      </c>
      <c r="F4351" s="421" t="s">
        <v>7820</v>
      </c>
      <c r="G4351" s="112">
        <v>1</v>
      </c>
    </row>
    <row r="4352" spans="1:15" x14ac:dyDescent="0.2">
      <c r="A4352" s="111">
        <v>4476</v>
      </c>
      <c r="B4352" s="421" t="s">
        <v>7808</v>
      </c>
      <c r="C4352" s="421" t="s">
        <v>506</v>
      </c>
      <c r="D4352" s="422" t="s">
        <v>663</v>
      </c>
      <c r="F4352" s="421" t="s">
        <v>7854</v>
      </c>
      <c r="G4352" s="112">
        <v>1</v>
      </c>
      <c r="H4352" s="112">
        <v>1</v>
      </c>
      <c r="I4352" s="112">
        <v>1</v>
      </c>
      <c r="K4352" s="112">
        <v>2</v>
      </c>
      <c r="L4352" s="112">
        <v>1</v>
      </c>
    </row>
    <row r="4353" spans="1:15" x14ac:dyDescent="0.2">
      <c r="A4353" s="111">
        <v>4477</v>
      </c>
      <c r="B4353" s="421" t="s">
        <v>1352</v>
      </c>
      <c r="C4353" s="421" t="s">
        <v>577</v>
      </c>
      <c r="D4353" s="422" t="s">
        <v>666</v>
      </c>
      <c r="E4353" s="111">
        <v>16515</v>
      </c>
      <c r="F4353" s="421" t="s">
        <v>7839</v>
      </c>
    </row>
    <row r="4354" spans="1:15" x14ac:dyDescent="0.2">
      <c r="A4354" s="111">
        <v>4478</v>
      </c>
      <c r="B4354" s="421" t="s">
        <v>382</v>
      </c>
      <c r="C4354" s="421" t="s">
        <v>523</v>
      </c>
      <c r="D4354" s="422" t="s">
        <v>663</v>
      </c>
      <c r="E4354" s="111">
        <v>16516</v>
      </c>
      <c r="F4354" s="421" t="s">
        <v>7853</v>
      </c>
      <c r="G4354" s="112">
        <v>1</v>
      </c>
      <c r="H4354" s="112">
        <v>1</v>
      </c>
      <c r="I4354" s="112">
        <v>1</v>
      </c>
      <c r="J4354" s="112">
        <v>2</v>
      </c>
      <c r="K4354" s="112">
        <v>2</v>
      </c>
      <c r="L4354" s="112">
        <v>2</v>
      </c>
    </row>
    <row r="4355" spans="1:15" x14ac:dyDescent="0.2">
      <c r="A4355" s="111">
        <v>4479</v>
      </c>
      <c r="B4355" s="421" t="s">
        <v>2590</v>
      </c>
      <c r="C4355" s="421" t="s">
        <v>523</v>
      </c>
      <c r="D4355" s="422" t="s">
        <v>666</v>
      </c>
      <c r="E4355" s="111">
        <v>14754</v>
      </c>
      <c r="F4355" s="421" t="s">
        <v>2235</v>
      </c>
      <c r="G4355" s="112">
        <v>1</v>
      </c>
      <c r="H4355" s="112">
        <v>1</v>
      </c>
      <c r="I4355" s="112">
        <v>1</v>
      </c>
      <c r="J4355" s="112">
        <v>5</v>
      </c>
      <c r="K4355" s="112">
        <v>9</v>
      </c>
      <c r="L4355" s="112">
        <v>10</v>
      </c>
      <c r="M4355" s="112">
        <v>3</v>
      </c>
      <c r="O4355" s="112">
        <v>1</v>
      </c>
    </row>
    <row r="4356" spans="1:15" x14ac:dyDescent="0.2">
      <c r="A4356" s="111">
        <v>4480</v>
      </c>
      <c r="B4356" s="421" t="s">
        <v>235</v>
      </c>
      <c r="C4356" s="421" t="s">
        <v>506</v>
      </c>
      <c r="D4356" s="422" t="s">
        <v>663</v>
      </c>
      <c r="E4356" s="111">
        <v>16517</v>
      </c>
      <c r="F4356" s="421" t="s">
        <v>7834</v>
      </c>
      <c r="G4356" s="112">
        <v>2</v>
      </c>
      <c r="H4356" s="112">
        <v>2</v>
      </c>
      <c r="I4356" s="112">
        <v>2</v>
      </c>
      <c r="J4356" s="112">
        <v>2</v>
      </c>
      <c r="K4356" s="112">
        <v>1</v>
      </c>
      <c r="L4356" s="112">
        <v>2</v>
      </c>
    </row>
    <row r="4357" spans="1:15" x14ac:dyDescent="0.2">
      <c r="A4357" s="111">
        <v>4481</v>
      </c>
      <c r="B4357" s="421" t="s">
        <v>1109</v>
      </c>
      <c r="C4357" s="421" t="s">
        <v>501</v>
      </c>
      <c r="D4357" s="422" t="s">
        <v>666</v>
      </c>
      <c r="E4357" s="111">
        <v>16518</v>
      </c>
      <c r="F4357" s="421" t="s">
        <v>7818</v>
      </c>
      <c r="G4357" s="112">
        <v>1</v>
      </c>
      <c r="H4357" s="112">
        <v>1</v>
      </c>
      <c r="I4357" s="112">
        <v>1</v>
      </c>
      <c r="J4357" s="112">
        <v>1</v>
      </c>
      <c r="K4357" s="112">
        <v>1</v>
      </c>
    </row>
    <row r="4358" spans="1:15" x14ac:dyDescent="0.2">
      <c r="A4358" s="111">
        <v>4482</v>
      </c>
      <c r="B4358" s="421" t="s">
        <v>7805</v>
      </c>
      <c r="C4358" s="421" t="s">
        <v>501</v>
      </c>
      <c r="D4358" s="422" t="s">
        <v>666</v>
      </c>
      <c r="F4358" s="421" t="s">
        <v>7851</v>
      </c>
      <c r="G4358" s="112">
        <v>1</v>
      </c>
      <c r="H4358" s="112">
        <v>1</v>
      </c>
      <c r="I4358" s="112">
        <v>1</v>
      </c>
      <c r="J4358" s="112">
        <v>1</v>
      </c>
      <c r="K4358" s="112">
        <v>1</v>
      </c>
      <c r="L4358" s="112">
        <v>1</v>
      </c>
      <c r="M4358" s="112">
        <v>2</v>
      </c>
      <c r="O4358" s="112">
        <v>1</v>
      </c>
    </row>
    <row r="4359" spans="1:15" x14ac:dyDescent="0.2">
      <c r="A4359" s="111">
        <v>4483</v>
      </c>
      <c r="B4359" s="421" t="s">
        <v>7793</v>
      </c>
      <c r="C4359" s="421" t="s">
        <v>2335</v>
      </c>
      <c r="D4359" s="422" t="s">
        <v>666</v>
      </c>
      <c r="E4359" s="111">
        <v>16519</v>
      </c>
      <c r="F4359" s="421" t="s">
        <v>7831</v>
      </c>
      <c r="G4359" s="112">
        <v>1</v>
      </c>
      <c r="H4359" s="112">
        <v>1</v>
      </c>
      <c r="I4359" s="112">
        <v>1</v>
      </c>
      <c r="J4359" s="112">
        <v>2</v>
      </c>
      <c r="K4359" s="112">
        <v>4</v>
      </c>
      <c r="L4359" s="112">
        <v>4</v>
      </c>
      <c r="M4359" s="112">
        <v>1</v>
      </c>
      <c r="O4359" s="112">
        <v>2</v>
      </c>
    </row>
    <row r="4360" spans="1:15" x14ac:dyDescent="0.2">
      <c r="A4360" s="111">
        <v>4484</v>
      </c>
      <c r="B4360" s="421" t="s">
        <v>7807</v>
      </c>
      <c r="C4360" s="421" t="s">
        <v>502</v>
      </c>
      <c r="D4360" s="422" t="s">
        <v>666</v>
      </c>
      <c r="E4360" s="111">
        <v>15043</v>
      </c>
      <c r="F4360" s="421" t="s">
        <v>2021</v>
      </c>
      <c r="G4360" s="112">
        <v>1</v>
      </c>
      <c r="H4360" s="112">
        <v>1</v>
      </c>
      <c r="I4360" s="112">
        <v>1</v>
      </c>
      <c r="J4360" s="112">
        <v>6</v>
      </c>
      <c r="K4360" s="112">
        <v>6</v>
      </c>
      <c r="L4360" s="112">
        <v>6</v>
      </c>
      <c r="M4360" s="112">
        <v>5</v>
      </c>
      <c r="N4360" s="112">
        <v>5</v>
      </c>
      <c r="O4360" s="112">
        <v>5</v>
      </c>
    </row>
    <row r="4361" spans="1:15" x14ac:dyDescent="0.2">
      <c r="A4361" s="111">
        <v>4485</v>
      </c>
      <c r="B4361" s="421" t="s">
        <v>1538</v>
      </c>
      <c r="C4361" s="421" t="s">
        <v>512</v>
      </c>
      <c r="D4361" s="422" t="s">
        <v>663</v>
      </c>
      <c r="E4361" s="111">
        <v>15929</v>
      </c>
      <c r="F4361" s="421" t="s">
        <v>5331</v>
      </c>
      <c r="G4361" s="112">
        <v>2</v>
      </c>
      <c r="H4361" s="112">
        <v>1</v>
      </c>
      <c r="I4361" s="112">
        <v>1</v>
      </c>
    </row>
    <row r="4362" spans="1:15" x14ac:dyDescent="0.2">
      <c r="A4362" s="111">
        <v>4486</v>
      </c>
      <c r="B4362" s="421" t="s">
        <v>2096</v>
      </c>
      <c r="C4362" s="421" t="s">
        <v>515</v>
      </c>
      <c r="D4362" s="422" t="s">
        <v>666</v>
      </c>
      <c r="E4362" s="111">
        <v>16520</v>
      </c>
      <c r="F4362" s="421" t="s">
        <v>7816</v>
      </c>
    </row>
    <row r="4363" spans="1:15" x14ac:dyDescent="0.2">
      <c r="A4363" s="111">
        <v>4487</v>
      </c>
      <c r="B4363" s="421" t="s">
        <v>7798</v>
      </c>
      <c r="C4363" s="421" t="s">
        <v>1748</v>
      </c>
      <c r="D4363" s="422" t="s">
        <v>666</v>
      </c>
      <c r="E4363" s="111">
        <v>15790</v>
      </c>
      <c r="F4363" s="421" t="s">
        <v>5009</v>
      </c>
    </row>
    <row r="4364" spans="1:15" x14ac:dyDescent="0.2">
      <c r="A4364" s="111">
        <v>4488</v>
      </c>
      <c r="B4364" s="421" t="s">
        <v>630</v>
      </c>
      <c r="C4364" s="421" t="s">
        <v>506</v>
      </c>
      <c r="D4364" s="422" t="s">
        <v>666</v>
      </c>
      <c r="E4364" s="111">
        <v>14681</v>
      </c>
      <c r="F4364" s="421" t="s">
        <v>2082</v>
      </c>
      <c r="G4364" s="112">
        <v>1</v>
      </c>
      <c r="H4364" s="112">
        <v>1</v>
      </c>
      <c r="I4364" s="112">
        <v>1</v>
      </c>
      <c r="J4364" s="112">
        <v>7</v>
      </c>
      <c r="K4364" s="112">
        <v>7</v>
      </c>
      <c r="L4364" s="112">
        <v>7</v>
      </c>
      <c r="M4364" s="112">
        <v>3</v>
      </c>
      <c r="N4364" s="112">
        <v>3</v>
      </c>
      <c r="O4364" s="112">
        <v>3</v>
      </c>
    </row>
    <row r="4365" spans="1:15" x14ac:dyDescent="0.2">
      <c r="A4365" s="111">
        <v>4489</v>
      </c>
      <c r="B4365" s="421" t="s">
        <v>271</v>
      </c>
      <c r="C4365" s="421" t="s">
        <v>542</v>
      </c>
      <c r="D4365" s="422" t="s">
        <v>666</v>
      </c>
      <c r="E4365" s="111">
        <v>16521</v>
      </c>
      <c r="F4365" s="421" t="s">
        <v>7817</v>
      </c>
      <c r="H4365" s="112">
        <v>1</v>
      </c>
      <c r="I4365" s="112">
        <v>1</v>
      </c>
    </row>
    <row r="4366" spans="1:15" x14ac:dyDescent="0.2">
      <c r="A4366" s="111">
        <v>4490</v>
      </c>
      <c r="B4366" s="421" t="s">
        <v>2914</v>
      </c>
      <c r="C4366" s="421" t="s">
        <v>506</v>
      </c>
      <c r="D4366" s="422" t="s">
        <v>663</v>
      </c>
      <c r="E4366" s="111">
        <v>16781</v>
      </c>
      <c r="F4366" s="421" t="s">
        <v>7822</v>
      </c>
      <c r="G4366" s="112">
        <v>1</v>
      </c>
      <c r="H4366" s="112">
        <v>1</v>
      </c>
      <c r="I4366" s="112">
        <v>1</v>
      </c>
    </row>
    <row r="4367" spans="1:15" x14ac:dyDescent="0.2">
      <c r="A4367" s="111">
        <v>4491</v>
      </c>
      <c r="B4367" s="421" t="s">
        <v>186</v>
      </c>
      <c r="C4367" s="421" t="s">
        <v>503</v>
      </c>
      <c r="D4367" s="422" t="s">
        <v>663</v>
      </c>
      <c r="E4367" s="111">
        <v>16509</v>
      </c>
      <c r="F4367" s="421" t="s">
        <v>7833</v>
      </c>
      <c r="G4367" s="112">
        <v>1</v>
      </c>
      <c r="I4367" s="112">
        <v>1</v>
      </c>
    </row>
    <row r="4368" spans="1:15" x14ac:dyDescent="0.2">
      <c r="A4368" s="111">
        <v>4492</v>
      </c>
      <c r="B4368" s="421" t="s">
        <v>7354</v>
      </c>
      <c r="C4368" s="421" t="s">
        <v>506</v>
      </c>
      <c r="D4368" s="422" t="s">
        <v>663</v>
      </c>
      <c r="E4368" s="111">
        <v>16523</v>
      </c>
      <c r="F4368" s="421" t="s">
        <v>7840</v>
      </c>
      <c r="G4368" s="112">
        <v>1</v>
      </c>
      <c r="H4368" s="112">
        <v>1</v>
      </c>
      <c r="I4368" s="112">
        <v>1</v>
      </c>
    </row>
    <row r="4369" spans="1:15" x14ac:dyDescent="0.2">
      <c r="A4369" s="111">
        <v>4493</v>
      </c>
      <c r="B4369" s="421" t="s">
        <v>3208</v>
      </c>
      <c r="C4369" s="421" t="s">
        <v>502</v>
      </c>
      <c r="D4369" s="422" t="s">
        <v>663</v>
      </c>
      <c r="E4369" s="111">
        <v>16523</v>
      </c>
      <c r="F4369" s="421" t="s">
        <v>7840</v>
      </c>
      <c r="G4369" s="112">
        <v>1</v>
      </c>
      <c r="H4369" s="112">
        <v>1</v>
      </c>
      <c r="I4369" s="112">
        <v>1</v>
      </c>
    </row>
    <row r="4370" spans="1:15" x14ac:dyDescent="0.2">
      <c r="A4370" s="111">
        <v>4494</v>
      </c>
      <c r="B4370" s="421" t="s">
        <v>7789</v>
      </c>
      <c r="C4370" s="421" t="s">
        <v>551</v>
      </c>
      <c r="D4370" s="422" t="s">
        <v>663</v>
      </c>
      <c r="E4370" s="111">
        <v>16964</v>
      </c>
      <c r="F4370" s="421" t="s">
        <v>3889</v>
      </c>
      <c r="G4370" s="112">
        <v>1</v>
      </c>
      <c r="H4370" s="112">
        <v>1</v>
      </c>
      <c r="I4370" s="112">
        <v>1</v>
      </c>
      <c r="J4370" s="112">
        <v>7</v>
      </c>
      <c r="K4370" s="112">
        <v>7</v>
      </c>
      <c r="L4370" s="112">
        <v>7</v>
      </c>
      <c r="M4370" s="112">
        <v>3</v>
      </c>
      <c r="N4370" s="112">
        <v>4</v>
      </c>
      <c r="O4370" s="112">
        <v>3</v>
      </c>
    </row>
    <row r="4371" spans="1:15" x14ac:dyDescent="0.2">
      <c r="A4371" s="111">
        <v>4495</v>
      </c>
      <c r="B4371" s="421" t="s">
        <v>131</v>
      </c>
      <c r="C4371" s="421" t="s">
        <v>533</v>
      </c>
      <c r="D4371" s="422" t="s">
        <v>663</v>
      </c>
      <c r="E4371" s="111">
        <v>16524</v>
      </c>
      <c r="F4371" s="421" t="s">
        <v>7855</v>
      </c>
      <c r="G4371" s="112">
        <v>1</v>
      </c>
      <c r="H4371" s="112">
        <v>1</v>
      </c>
      <c r="I4371" s="112">
        <v>1</v>
      </c>
      <c r="J4371" s="112">
        <v>1</v>
      </c>
      <c r="K4371" s="112">
        <v>2</v>
      </c>
    </row>
    <row r="4372" spans="1:15" x14ac:dyDescent="0.2">
      <c r="A4372" s="111">
        <v>4496</v>
      </c>
      <c r="B4372" s="421" t="s">
        <v>7809</v>
      </c>
      <c r="C4372" s="421" t="s">
        <v>6561</v>
      </c>
      <c r="D4372" s="422" t="s">
        <v>666</v>
      </c>
      <c r="E4372" s="111">
        <v>16524</v>
      </c>
      <c r="F4372" s="421" t="s">
        <v>7855</v>
      </c>
      <c r="G4372" s="112">
        <v>3</v>
      </c>
      <c r="H4372" s="112">
        <v>1</v>
      </c>
      <c r="I4372" s="112">
        <v>1</v>
      </c>
    </row>
    <row r="4373" spans="1:15" x14ac:dyDescent="0.2">
      <c r="A4373" s="111">
        <v>4497</v>
      </c>
      <c r="B4373" s="421" t="s">
        <v>2329</v>
      </c>
      <c r="C4373" s="421" t="s">
        <v>513</v>
      </c>
      <c r="D4373" s="422" t="s">
        <v>663</v>
      </c>
      <c r="E4373" s="111">
        <v>16552</v>
      </c>
      <c r="F4373" s="421" t="s">
        <v>7843</v>
      </c>
      <c r="G4373" s="112">
        <v>1</v>
      </c>
      <c r="H4373" s="112">
        <v>1</v>
      </c>
      <c r="I4373" s="112">
        <v>1</v>
      </c>
      <c r="J4373" s="112">
        <v>3</v>
      </c>
      <c r="K4373" s="112">
        <v>3</v>
      </c>
      <c r="L4373" s="112">
        <v>3</v>
      </c>
      <c r="M4373" s="112">
        <v>2</v>
      </c>
    </row>
    <row r="4374" spans="1:15" x14ac:dyDescent="0.2">
      <c r="A4374" s="111">
        <v>4498</v>
      </c>
      <c r="B4374" s="421" t="s">
        <v>3044</v>
      </c>
      <c r="C4374" s="421" t="s">
        <v>503</v>
      </c>
      <c r="D4374" s="422" t="s">
        <v>663</v>
      </c>
      <c r="E4374" s="111">
        <v>16525</v>
      </c>
      <c r="F4374" s="421" t="s">
        <v>7814</v>
      </c>
      <c r="G4374" s="112">
        <v>1</v>
      </c>
      <c r="H4374" s="112">
        <v>1</v>
      </c>
      <c r="I4374" s="112">
        <v>1</v>
      </c>
    </row>
    <row r="4375" spans="1:15" x14ac:dyDescent="0.2">
      <c r="A4375" s="111">
        <v>4499</v>
      </c>
      <c r="B4375" s="421" t="s">
        <v>2153</v>
      </c>
      <c r="C4375" s="421" t="s">
        <v>509</v>
      </c>
      <c r="D4375" s="422" t="s">
        <v>666</v>
      </c>
      <c r="E4375" s="111">
        <v>15308</v>
      </c>
      <c r="F4375" s="421" t="s">
        <v>3824</v>
      </c>
      <c r="G4375" s="112">
        <v>1</v>
      </c>
      <c r="H4375" s="112">
        <v>1</v>
      </c>
      <c r="I4375" s="112">
        <v>1</v>
      </c>
      <c r="J4375" s="112">
        <v>11</v>
      </c>
      <c r="K4375" s="112">
        <v>7</v>
      </c>
      <c r="L4375" s="112">
        <v>9</v>
      </c>
      <c r="M4375" s="112">
        <v>1</v>
      </c>
      <c r="O4375" s="112">
        <v>3</v>
      </c>
    </row>
    <row r="4376" spans="1:15" x14ac:dyDescent="0.2">
      <c r="A4376" s="111">
        <v>4500</v>
      </c>
      <c r="B4376" s="421" t="s">
        <v>36</v>
      </c>
      <c r="C4376" s="421" t="s">
        <v>1994</v>
      </c>
      <c r="D4376" s="422" t="s">
        <v>666</v>
      </c>
      <c r="E4376" s="111">
        <v>16526</v>
      </c>
      <c r="F4376" s="421" t="s">
        <v>7815</v>
      </c>
      <c r="G4376" s="112">
        <v>1</v>
      </c>
      <c r="H4376" s="112">
        <v>1</v>
      </c>
      <c r="I4376" s="112">
        <v>1</v>
      </c>
      <c r="J4376" s="112">
        <v>3</v>
      </c>
      <c r="K4376" s="112">
        <v>3</v>
      </c>
      <c r="L4376" s="112">
        <v>3</v>
      </c>
      <c r="M4376" s="112">
        <v>2</v>
      </c>
      <c r="N4376" s="112">
        <v>1</v>
      </c>
      <c r="O4376" s="112">
        <v>2</v>
      </c>
    </row>
    <row r="4377" spans="1:15" x14ac:dyDescent="0.2">
      <c r="A4377" s="111">
        <v>4501</v>
      </c>
      <c r="B4377" s="421" t="s">
        <v>4637</v>
      </c>
      <c r="C4377" s="421" t="s">
        <v>502</v>
      </c>
      <c r="D4377" s="422" t="s">
        <v>663</v>
      </c>
      <c r="E4377" s="111">
        <v>16526</v>
      </c>
      <c r="F4377" s="421" t="s">
        <v>7815</v>
      </c>
      <c r="G4377" s="112">
        <v>1</v>
      </c>
      <c r="H4377" s="112">
        <v>1</v>
      </c>
      <c r="I4377" s="112">
        <v>1</v>
      </c>
      <c r="K4377" s="112">
        <v>1</v>
      </c>
      <c r="L4377" s="112">
        <v>1</v>
      </c>
    </row>
    <row r="4378" spans="1:15" x14ac:dyDescent="0.2">
      <c r="A4378" s="111">
        <v>4502</v>
      </c>
      <c r="B4378" s="421" t="s">
        <v>205</v>
      </c>
      <c r="C4378" s="421" t="s">
        <v>574</v>
      </c>
      <c r="D4378" s="422" t="s">
        <v>666</v>
      </c>
      <c r="E4378" s="111">
        <v>16527</v>
      </c>
      <c r="F4378" s="421" t="s">
        <v>7825</v>
      </c>
      <c r="G4378" s="112">
        <v>1</v>
      </c>
      <c r="H4378" s="112">
        <v>1</v>
      </c>
      <c r="I4378" s="112">
        <v>1</v>
      </c>
      <c r="J4378" s="112">
        <v>1</v>
      </c>
      <c r="K4378" s="112">
        <v>2</v>
      </c>
      <c r="L4378" s="112">
        <v>1</v>
      </c>
    </row>
    <row r="4379" spans="1:15" x14ac:dyDescent="0.2">
      <c r="A4379" s="111">
        <v>4503</v>
      </c>
      <c r="B4379" s="421" t="s">
        <v>7791</v>
      </c>
      <c r="C4379" s="421" t="s">
        <v>1201</v>
      </c>
      <c r="D4379" s="422" t="s">
        <v>666</v>
      </c>
      <c r="E4379" s="111">
        <v>16527</v>
      </c>
      <c r="F4379" s="421" t="s">
        <v>7825</v>
      </c>
      <c r="G4379" s="112">
        <v>1</v>
      </c>
      <c r="I4379" s="112">
        <v>1</v>
      </c>
    </row>
    <row r="4380" spans="1:15" x14ac:dyDescent="0.2">
      <c r="A4380" s="111">
        <v>4504</v>
      </c>
      <c r="B4380" s="421" t="s">
        <v>1416</v>
      </c>
      <c r="C4380" s="421" t="s">
        <v>510</v>
      </c>
      <c r="D4380" s="422" t="s">
        <v>663</v>
      </c>
      <c r="E4380" s="111">
        <v>16528</v>
      </c>
      <c r="F4380" s="421" t="s">
        <v>7835</v>
      </c>
      <c r="G4380" s="112">
        <v>1</v>
      </c>
      <c r="H4380" s="112">
        <v>1</v>
      </c>
      <c r="I4380" s="112">
        <v>1</v>
      </c>
      <c r="J4380" s="112">
        <v>5</v>
      </c>
      <c r="K4380" s="112">
        <v>4</v>
      </c>
      <c r="L4380" s="112">
        <v>4</v>
      </c>
      <c r="M4380" s="112">
        <v>5</v>
      </c>
      <c r="N4380" s="112">
        <v>2</v>
      </c>
      <c r="O4380" s="112">
        <v>5</v>
      </c>
    </row>
    <row r="4381" spans="1:15" x14ac:dyDescent="0.2">
      <c r="A4381" s="111">
        <v>4505</v>
      </c>
      <c r="B4381" s="421" t="s">
        <v>1349</v>
      </c>
      <c r="C4381" s="421" t="s">
        <v>516</v>
      </c>
      <c r="D4381" s="422" t="s">
        <v>663</v>
      </c>
      <c r="E4381" s="111">
        <v>16457</v>
      </c>
      <c r="F4381" s="421" t="s">
        <v>7747</v>
      </c>
      <c r="G4381" s="112">
        <v>1</v>
      </c>
      <c r="H4381" s="112">
        <v>1</v>
      </c>
      <c r="I4381" s="112">
        <v>1</v>
      </c>
      <c r="J4381" s="112">
        <v>7</v>
      </c>
      <c r="K4381" s="112">
        <v>7</v>
      </c>
      <c r="L4381" s="112">
        <v>7</v>
      </c>
      <c r="M4381" s="112">
        <v>3</v>
      </c>
      <c r="N4381" s="112">
        <v>3</v>
      </c>
      <c r="O4381" s="112">
        <v>3</v>
      </c>
    </row>
    <row r="4382" spans="1:15" x14ac:dyDescent="0.2">
      <c r="A4382" s="111">
        <v>4506</v>
      </c>
      <c r="B4382" s="421" t="s">
        <v>5736</v>
      </c>
      <c r="C4382" s="421" t="s">
        <v>1112</v>
      </c>
      <c r="D4382" s="422" t="s">
        <v>663</v>
      </c>
      <c r="E4382" s="111">
        <v>15276</v>
      </c>
      <c r="F4382" s="421" t="s">
        <v>3570</v>
      </c>
      <c r="G4382" s="112">
        <v>1</v>
      </c>
      <c r="H4382" s="112">
        <v>2</v>
      </c>
      <c r="I4382" s="112">
        <v>2</v>
      </c>
      <c r="J4382" s="112">
        <v>8</v>
      </c>
      <c r="K4382" s="112">
        <v>11</v>
      </c>
      <c r="L4382" s="112">
        <v>10</v>
      </c>
      <c r="M4382" s="112">
        <v>9</v>
      </c>
      <c r="N4382" s="112">
        <v>3</v>
      </c>
      <c r="O4382" s="112">
        <v>4</v>
      </c>
    </row>
    <row r="4383" spans="1:15" x14ac:dyDescent="0.2">
      <c r="A4383" s="111">
        <v>4507</v>
      </c>
      <c r="B4383" s="421" t="s">
        <v>7802</v>
      </c>
      <c r="C4383" s="421" t="s">
        <v>510</v>
      </c>
      <c r="D4383" s="422" t="s">
        <v>666</v>
      </c>
      <c r="E4383" s="111">
        <v>16530</v>
      </c>
      <c r="F4383" s="421" t="s">
        <v>7847</v>
      </c>
    </row>
    <row r="4384" spans="1:15" x14ac:dyDescent="0.2">
      <c r="A4384" s="111">
        <v>4508</v>
      </c>
      <c r="B4384" s="421" t="s">
        <v>7801</v>
      </c>
      <c r="C4384" s="421" t="s">
        <v>503</v>
      </c>
      <c r="D4384" s="422" t="s">
        <v>663</v>
      </c>
      <c r="E4384" s="111">
        <v>16530</v>
      </c>
      <c r="F4384" s="421" t="s">
        <v>7847</v>
      </c>
      <c r="G4384" s="112">
        <v>1</v>
      </c>
      <c r="H4384" s="112">
        <v>1</v>
      </c>
      <c r="I4384" s="112">
        <v>1</v>
      </c>
    </row>
    <row r="4385" spans="1:15" x14ac:dyDescent="0.2">
      <c r="A4385" s="111">
        <v>4509</v>
      </c>
      <c r="B4385" s="421" t="s">
        <v>7810</v>
      </c>
      <c r="C4385" s="421" t="s">
        <v>2003</v>
      </c>
      <c r="D4385" s="422" t="s">
        <v>663</v>
      </c>
      <c r="E4385" s="111">
        <v>16531</v>
      </c>
      <c r="F4385" s="421" t="s">
        <v>7856</v>
      </c>
      <c r="G4385" s="112">
        <v>2</v>
      </c>
      <c r="H4385" s="112">
        <v>1</v>
      </c>
      <c r="I4385" s="112">
        <v>1</v>
      </c>
      <c r="J4385" s="112">
        <v>4</v>
      </c>
      <c r="K4385" s="112">
        <v>5</v>
      </c>
      <c r="L4385" s="112">
        <v>4</v>
      </c>
      <c r="M4385" s="112">
        <v>1</v>
      </c>
      <c r="N4385" s="112">
        <v>1</v>
      </c>
    </row>
    <row r="4386" spans="1:15" x14ac:dyDescent="0.2">
      <c r="A4386" s="111">
        <v>4510</v>
      </c>
      <c r="B4386" s="421" t="s">
        <v>7796</v>
      </c>
      <c r="C4386" s="421" t="s">
        <v>559</v>
      </c>
      <c r="D4386" s="422" t="s">
        <v>663</v>
      </c>
      <c r="F4386" s="421" t="s">
        <v>7841</v>
      </c>
      <c r="G4386" s="112">
        <v>1</v>
      </c>
    </row>
    <row r="4387" spans="1:15" x14ac:dyDescent="0.2">
      <c r="A4387" s="111">
        <v>4511</v>
      </c>
      <c r="B4387" s="421" t="s">
        <v>7787</v>
      </c>
      <c r="C4387" s="421" t="s">
        <v>1687</v>
      </c>
      <c r="D4387" s="422" t="s">
        <v>663</v>
      </c>
      <c r="F4387" s="421" t="s">
        <v>7812</v>
      </c>
    </row>
    <row r="4388" spans="1:15" x14ac:dyDescent="0.2">
      <c r="A4388" s="111">
        <v>4512</v>
      </c>
      <c r="B4388" s="421" t="s">
        <v>7799</v>
      </c>
      <c r="C4388" s="421" t="s">
        <v>574</v>
      </c>
      <c r="D4388" s="422" t="s">
        <v>663</v>
      </c>
      <c r="E4388" s="111">
        <v>16532</v>
      </c>
      <c r="F4388" s="421" t="s">
        <v>7844</v>
      </c>
    </row>
    <row r="4389" spans="1:15" x14ac:dyDescent="0.2">
      <c r="A4389" s="111">
        <v>4513</v>
      </c>
      <c r="B4389" s="421" t="s">
        <v>3429</v>
      </c>
      <c r="C4389" s="421" t="s">
        <v>570</v>
      </c>
      <c r="D4389" s="422" t="s">
        <v>666</v>
      </c>
      <c r="E4389" s="111">
        <v>16378</v>
      </c>
      <c r="F4389" s="421" t="s">
        <v>7361</v>
      </c>
      <c r="G4389" s="112">
        <v>1</v>
      </c>
      <c r="H4389" s="112">
        <v>1</v>
      </c>
      <c r="I4389" s="112">
        <v>1</v>
      </c>
      <c r="J4389" s="112">
        <v>1</v>
      </c>
    </row>
    <row r="4390" spans="1:15" x14ac:dyDescent="0.2">
      <c r="A4390" s="111">
        <v>4514</v>
      </c>
      <c r="B4390" s="421" t="s">
        <v>1585</v>
      </c>
      <c r="C4390" s="421" t="s">
        <v>502</v>
      </c>
      <c r="D4390" s="422" t="s">
        <v>666</v>
      </c>
      <c r="F4390" s="421" t="s">
        <v>7838</v>
      </c>
      <c r="I4390" s="112">
        <v>1</v>
      </c>
    </row>
    <row r="4391" spans="1:15" x14ac:dyDescent="0.2">
      <c r="A4391" s="111">
        <v>4515</v>
      </c>
      <c r="B4391" s="421" t="s">
        <v>5888</v>
      </c>
      <c r="C4391" s="421" t="s">
        <v>516</v>
      </c>
      <c r="D4391" s="422" t="s">
        <v>663</v>
      </c>
      <c r="E4391" s="111">
        <v>16958</v>
      </c>
      <c r="F4391" s="421" t="s">
        <v>7830</v>
      </c>
      <c r="G4391" s="112">
        <v>2</v>
      </c>
      <c r="H4391" s="112">
        <v>2</v>
      </c>
      <c r="I4391" s="112">
        <v>2</v>
      </c>
      <c r="J4391" s="112">
        <v>3</v>
      </c>
      <c r="K4391" s="112">
        <v>2</v>
      </c>
      <c r="L4391" s="112">
        <v>3</v>
      </c>
    </row>
    <row r="4392" spans="1:15" x14ac:dyDescent="0.2">
      <c r="A4392" s="111">
        <v>4516</v>
      </c>
      <c r="B4392" s="421" t="s">
        <v>7792</v>
      </c>
      <c r="C4392" s="421" t="s">
        <v>558</v>
      </c>
      <c r="D4392" s="422" t="s">
        <v>666</v>
      </c>
      <c r="E4392" s="111">
        <v>16534</v>
      </c>
      <c r="F4392" s="421" t="s">
        <v>7826</v>
      </c>
      <c r="G4392" s="112">
        <v>1</v>
      </c>
      <c r="H4392" s="112">
        <v>1</v>
      </c>
      <c r="I4392" s="112">
        <v>1</v>
      </c>
      <c r="J4392" s="112">
        <v>2</v>
      </c>
      <c r="K4392" s="112">
        <v>1</v>
      </c>
      <c r="L4392" s="112">
        <v>1</v>
      </c>
    </row>
    <row r="4393" spans="1:15" x14ac:dyDescent="0.2">
      <c r="A4393" s="111">
        <v>4517</v>
      </c>
      <c r="B4393" s="421" t="s">
        <v>7800</v>
      </c>
      <c r="C4393" s="421" t="s">
        <v>503</v>
      </c>
      <c r="D4393" s="422" t="s">
        <v>666</v>
      </c>
      <c r="E4393" s="111">
        <v>16535</v>
      </c>
      <c r="F4393" s="421" t="s">
        <v>7846</v>
      </c>
      <c r="G4393" s="112">
        <v>1</v>
      </c>
      <c r="I4393" s="112">
        <v>1</v>
      </c>
    </row>
    <row r="4394" spans="1:15" x14ac:dyDescent="0.2">
      <c r="A4394" s="111">
        <v>4518</v>
      </c>
      <c r="B4394" s="421" t="s">
        <v>75</v>
      </c>
      <c r="C4394" s="421" t="s">
        <v>518</v>
      </c>
      <c r="D4394" s="422" t="s">
        <v>663</v>
      </c>
      <c r="F4394" s="421" t="s">
        <v>7857</v>
      </c>
      <c r="G4394" s="112">
        <v>1</v>
      </c>
      <c r="H4394" s="112">
        <v>1</v>
      </c>
      <c r="I4394" s="112">
        <v>1</v>
      </c>
      <c r="J4394" s="112">
        <v>1</v>
      </c>
      <c r="K4394" s="112">
        <v>1</v>
      </c>
      <c r="L4394" s="112">
        <v>1</v>
      </c>
    </row>
    <row r="4395" spans="1:15" x14ac:dyDescent="0.2">
      <c r="A4395" s="111">
        <v>4519</v>
      </c>
      <c r="B4395" s="421" t="s">
        <v>7806</v>
      </c>
      <c r="C4395" s="421" t="s">
        <v>502</v>
      </c>
      <c r="D4395" s="422" t="s">
        <v>663</v>
      </c>
      <c r="E4395" s="111">
        <v>15244</v>
      </c>
      <c r="F4395" s="421" t="s">
        <v>7852</v>
      </c>
      <c r="G4395" s="112">
        <v>1</v>
      </c>
      <c r="H4395" s="112">
        <v>1</v>
      </c>
      <c r="I4395" s="112">
        <v>1</v>
      </c>
    </row>
    <row r="4396" spans="1:15" x14ac:dyDescent="0.2">
      <c r="A4396" s="111">
        <v>4520</v>
      </c>
      <c r="B4396" s="421" t="s">
        <v>7788</v>
      </c>
      <c r="C4396" s="421" t="s">
        <v>628</v>
      </c>
      <c r="D4396" s="422" t="s">
        <v>666</v>
      </c>
      <c r="E4396" s="111">
        <v>16536</v>
      </c>
      <c r="F4396" s="421" t="s">
        <v>7819</v>
      </c>
      <c r="G4396" s="112">
        <v>2</v>
      </c>
      <c r="H4396" s="112">
        <v>2</v>
      </c>
      <c r="I4396" s="112">
        <v>2</v>
      </c>
      <c r="J4396" s="112">
        <v>3</v>
      </c>
      <c r="K4396" s="112">
        <v>3</v>
      </c>
      <c r="L4396" s="112">
        <v>3</v>
      </c>
    </row>
    <row r="4397" spans="1:15" x14ac:dyDescent="0.2">
      <c r="A4397" s="111">
        <v>4521</v>
      </c>
      <c r="B4397" s="421" t="s">
        <v>7795</v>
      </c>
      <c r="C4397" s="421" t="s">
        <v>1284</v>
      </c>
      <c r="D4397" s="422" t="s">
        <v>666</v>
      </c>
      <c r="E4397" s="111">
        <v>16533</v>
      </c>
      <c r="F4397" s="421" t="s">
        <v>7837</v>
      </c>
      <c r="G4397" s="112">
        <v>1</v>
      </c>
      <c r="H4397" s="112">
        <v>1</v>
      </c>
      <c r="I4397" s="112">
        <v>1</v>
      </c>
      <c r="K4397" s="112">
        <v>2</v>
      </c>
      <c r="L4397" s="112">
        <v>2</v>
      </c>
    </row>
    <row r="4398" spans="1:15" x14ac:dyDescent="0.2">
      <c r="A4398" s="111">
        <v>4522</v>
      </c>
      <c r="B4398" s="421" t="s">
        <v>7797</v>
      </c>
      <c r="C4398" s="421" t="s">
        <v>580</v>
      </c>
      <c r="D4398" s="422" t="s">
        <v>666</v>
      </c>
      <c r="E4398" s="111">
        <v>16537</v>
      </c>
      <c r="F4398" s="421" t="s">
        <v>7842</v>
      </c>
      <c r="G4398" s="112">
        <v>1</v>
      </c>
    </row>
    <row r="4399" spans="1:15" x14ac:dyDescent="0.2">
      <c r="A4399" s="111">
        <v>4523</v>
      </c>
      <c r="B4399" s="421" t="s">
        <v>7790</v>
      </c>
      <c r="C4399" s="421" t="s">
        <v>501</v>
      </c>
      <c r="D4399" s="422" t="s">
        <v>663</v>
      </c>
      <c r="E4399" s="111">
        <v>16538</v>
      </c>
      <c r="F4399" s="421" t="s">
        <v>7823</v>
      </c>
      <c r="G4399" s="112">
        <v>1</v>
      </c>
      <c r="H4399" s="112">
        <v>1</v>
      </c>
      <c r="I4399" s="112">
        <v>1</v>
      </c>
    </row>
    <row r="4400" spans="1:15" x14ac:dyDescent="0.2">
      <c r="A4400" s="111">
        <v>4524</v>
      </c>
      <c r="B4400" s="421" t="s">
        <v>43</v>
      </c>
      <c r="C4400" s="421" t="s">
        <v>532</v>
      </c>
      <c r="D4400" s="422" t="s">
        <v>663</v>
      </c>
      <c r="E4400" s="111">
        <v>14582</v>
      </c>
      <c r="F4400" s="421" t="s">
        <v>1603</v>
      </c>
      <c r="G4400" s="112">
        <v>1</v>
      </c>
      <c r="H4400" s="112">
        <v>1</v>
      </c>
      <c r="I4400" s="112">
        <v>1</v>
      </c>
      <c r="J4400" s="112">
        <v>6</v>
      </c>
      <c r="K4400" s="112">
        <v>5</v>
      </c>
      <c r="L4400" s="112">
        <v>6</v>
      </c>
      <c r="M4400" s="112">
        <v>3</v>
      </c>
      <c r="N4400" s="112">
        <v>2</v>
      </c>
      <c r="O4400" s="112">
        <v>2</v>
      </c>
    </row>
    <row r="4401" spans="1:15" x14ac:dyDescent="0.2">
      <c r="A4401" s="111">
        <v>4525</v>
      </c>
      <c r="B4401" s="421" t="s">
        <v>457</v>
      </c>
      <c r="C4401" s="421" t="s">
        <v>506</v>
      </c>
      <c r="D4401" s="422" t="s">
        <v>663</v>
      </c>
      <c r="E4401" s="111">
        <v>16539</v>
      </c>
      <c r="F4401" s="421" t="s">
        <v>7813</v>
      </c>
      <c r="G4401" s="112">
        <v>1</v>
      </c>
      <c r="H4401" s="112">
        <v>1</v>
      </c>
      <c r="I4401" s="112">
        <v>1</v>
      </c>
    </row>
    <row r="4402" spans="1:15" x14ac:dyDescent="0.2">
      <c r="A4402" s="111">
        <v>4526</v>
      </c>
      <c r="B4402" s="421" t="s">
        <v>3890</v>
      </c>
      <c r="C4402" s="421" t="s">
        <v>502</v>
      </c>
      <c r="D4402" s="422" t="s">
        <v>666</v>
      </c>
      <c r="E4402" s="111">
        <v>16540</v>
      </c>
      <c r="F4402" s="421" t="s">
        <v>7821</v>
      </c>
    </row>
    <row r="4403" spans="1:15" x14ac:dyDescent="0.2">
      <c r="A4403" s="111">
        <v>4527</v>
      </c>
      <c r="B4403" s="421" t="s">
        <v>7662</v>
      </c>
      <c r="C4403" s="421" t="s">
        <v>5509</v>
      </c>
      <c r="D4403" s="422" t="s">
        <v>663</v>
      </c>
      <c r="E4403" s="111">
        <v>16541</v>
      </c>
      <c r="F4403" s="421" t="s">
        <v>7921</v>
      </c>
      <c r="G4403" s="112">
        <v>1</v>
      </c>
      <c r="H4403" s="112">
        <v>1</v>
      </c>
      <c r="I4403" s="112">
        <v>2</v>
      </c>
      <c r="J4403" s="112">
        <v>3</v>
      </c>
      <c r="K4403" s="112">
        <v>2</v>
      </c>
      <c r="L4403" s="112">
        <v>2</v>
      </c>
    </row>
    <row r="4404" spans="1:15" x14ac:dyDescent="0.2">
      <c r="A4404" s="111">
        <v>4528</v>
      </c>
      <c r="B4404" s="421" t="s">
        <v>7880</v>
      </c>
      <c r="C4404" s="421" t="s">
        <v>6287</v>
      </c>
      <c r="D4404" s="422" t="s">
        <v>663</v>
      </c>
      <c r="E4404" s="111">
        <v>16542</v>
      </c>
      <c r="F4404" s="421" t="s">
        <v>7940</v>
      </c>
    </row>
    <row r="4405" spans="1:15" x14ac:dyDescent="0.2">
      <c r="A4405" s="111">
        <v>4529</v>
      </c>
      <c r="B4405" s="421" t="s">
        <v>152</v>
      </c>
      <c r="C4405" s="421" t="s">
        <v>558</v>
      </c>
      <c r="D4405" s="422" t="s">
        <v>666</v>
      </c>
      <c r="E4405" s="111">
        <v>16543</v>
      </c>
      <c r="F4405" s="421" t="s">
        <v>7967</v>
      </c>
    </row>
    <row r="4406" spans="1:15" x14ac:dyDescent="0.2">
      <c r="A4406" s="111">
        <v>4530</v>
      </c>
      <c r="B4406" s="421" t="s">
        <v>3900</v>
      </c>
      <c r="C4406" s="421" t="s">
        <v>558</v>
      </c>
      <c r="D4406" s="422" t="s">
        <v>663</v>
      </c>
      <c r="E4406" s="111">
        <v>16543</v>
      </c>
      <c r="F4406" s="421" t="s">
        <v>7967</v>
      </c>
    </row>
    <row r="4407" spans="1:15" x14ac:dyDescent="0.2">
      <c r="A4407" s="111">
        <v>4531</v>
      </c>
      <c r="B4407" s="421" t="s">
        <v>7534</v>
      </c>
      <c r="C4407" s="421" t="s">
        <v>525</v>
      </c>
      <c r="D4407" s="422" t="s">
        <v>663</v>
      </c>
      <c r="E4407" s="111">
        <v>16562</v>
      </c>
      <c r="F4407" s="421" t="s">
        <v>7563</v>
      </c>
    </row>
    <row r="4408" spans="1:15" x14ac:dyDescent="0.2">
      <c r="A4408" s="111">
        <v>4532</v>
      </c>
      <c r="B4408" s="421" t="s">
        <v>7892</v>
      </c>
      <c r="C4408" s="421" t="s">
        <v>501</v>
      </c>
      <c r="D4408" s="422" t="s">
        <v>663</v>
      </c>
      <c r="F4408" s="421" t="s">
        <v>7960</v>
      </c>
      <c r="G4408" s="112">
        <v>1</v>
      </c>
      <c r="H4408" s="112">
        <v>1</v>
      </c>
      <c r="K4408" s="112">
        <v>1</v>
      </c>
    </row>
    <row r="4409" spans="1:15" x14ac:dyDescent="0.2">
      <c r="A4409" s="111">
        <v>4533</v>
      </c>
      <c r="B4409" s="421" t="s">
        <v>2659</v>
      </c>
      <c r="C4409" s="421" t="s">
        <v>551</v>
      </c>
      <c r="D4409" s="422" t="s">
        <v>666</v>
      </c>
      <c r="E4409" s="111">
        <v>16544</v>
      </c>
      <c r="F4409" s="421" t="s">
        <v>7905</v>
      </c>
      <c r="G4409" s="112">
        <v>1</v>
      </c>
      <c r="H4409" s="112">
        <v>1</v>
      </c>
      <c r="I4409" s="112">
        <v>1</v>
      </c>
      <c r="J4409" s="112">
        <v>1</v>
      </c>
      <c r="K4409" s="112">
        <v>2</v>
      </c>
      <c r="L4409" s="112">
        <v>1</v>
      </c>
      <c r="M4409" s="112">
        <v>1</v>
      </c>
      <c r="N4409" s="112">
        <v>1</v>
      </c>
      <c r="O4409" s="112">
        <v>1</v>
      </c>
    </row>
    <row r="4410" spans="1:15" x14ac:dyDescent="0.2">
      <c r="A4410" s="111">
        <v>4534</v>
      </c>
      <c r="B4410" s="421" t="s">
        <v>284</v>
      </c>
      <c r="C4410" s="421" t="s">
        <v>551</v>
      </c>
      <c r="D4410" s="422" t="s">
        <v>666</v>
      </c>
      <c r="E4410" s="111">
        <v>16544</v>
      </c>
      <c r="F4410" s="421" t="s">
        <v>7905</v>
      </c>
    </row>
    <row r="4411" spans="1:15" x14ac:dyDescent="0.2">
      <c r="A4411" s="111">
        <v>4535</v>
      </c>
      <c r="B4411" s="421" t="s">
        <v>7873</v>
      </c>
      <c r="C4411" s="421" t="s">
        <v>510</v>
      </c>
      <c r="D4411" s="422" t="s">
        <v>666</v>
      </c>
      <c r="E4411" s="111">
        <v>16546</v>
      </c>
      <c r="F4411" s="421" t="s">
        <v>7923</v>
      </c>
      <c r="G4411" s="112">
        <v>2</v>
      </c>
      <c r="H4411" s="112">
        <v>2</v>
      </c>
      <c r="I4411" s="112">
        <v>2</v>
      </c>
      <c r="J4411" s="112">
        <v>10</v>
      </c>
      <c r="K4411" s="112">
        <v>9</v>
      </c>
      <c r="L4411" s="112">
        <v>8</v>
      </c>
      <c r="M4411" s="112">
        <v>5</v>
      </c>
      <c r="N4411" s="112">
        <v>5</v>
      </c>
      <c r="O4411" s="112">
        <v>4</v>
      </c>
    </row>
    <row r="4412" spans="1:15" x14ac:dyDescent="0.2">
      <c r="A4412" s="111">
        <v>4536</v>
      </c>
      <c r="B4412" s="421" t="s">
        <v>1771</v>
      </c>
      <c r="C4412" s="421" t="s">
        <v>503</v>
      </c>
      <c r="D4412" s="422" t="s">
        <v>663</v>
      </c>
      <c r="E4412" s="111">
        <v>16081</v>
      </c>
      <c r="F4412" s="421" t="s">
        <v>6308</v>
      </c>
      <c r="G4412" s="112">
        <v>1</v>
      </c>
      <c r="H4412" s="112">
        <v>1</v>
      </c>
      <c r="I4412" s="112">
        <v>1</v>
      </c>
      <c r="J4412" s="112">
        <v>6</v>
      </c>
      <c r="K4412" s="112">
        <v>5</v>
      </c>
      <c r="L4412" s="112">
        <v>5</v>
      </c>
      <c r="M4412" s="112">
        <v>3</v>
      </c>
      <c r="N4412" s="112">
        <v>2</v>
      </c>
      <c r="O4412" s="112">
        <v>5</v>
      </c>
    </row>
    <row r="4413" spans="1:15" x14ac:dyDescent="0.2">
      <c r="A4413" s="111">
        <v>4537</v>
      </c>
      <c r="B4413" s="421" t="s">
        <v>3170</v>
      </c>
      <c r="C4413" s="421" t="s">
        <v>3855</v>
      </c>
      <c r="D4413" s="422" t="s">
        <v>666</v>
      </c>
      <c r="E4413" s="111">
        <v>16547</v>
      </c>
      <c r="F4413" s="421" t="s">
        <v>7908</v>
      </c>
      <c r="G4413" s="112">
        <v>2</v>
      </c>
      <c r="H4413" s="112">
        <v>2</v>
      </c>
      <c r="I4413" s="112">
        <v>1</v>
      </c>
      <c r="J4413" s="112">
        <v>2</v>
      </c>
      <c r="K4413" s="112">
        <v>4</v>
      </c>
      <c r="L4413" s="112">
        <v>2</v>
      </c>
    </row>
    <row r="4414" spans="1:15" x14ac:dyDescent="0.2">
      <c r="A4414" s="111">
        <v>4538</v>
      </c>
      <c r="B4414" s="421" t="s">
        <v>7878</v>
      </c>
      <c r="C4414" s="421" t="s">
        <v>559</v>
      </c>
      <c r="D4414" s="422" t="s">
        <v>663</v>
      </c>
      <c r="F4414" s="421" t="s">
        <v>7934</v>
      </c>
    </row>
    <row r="4415" spans="1:15" x14ac:dyDescent="0.2">
      <c r="A4415" s="111">
        <v>4539</v>
      </c>
      <c r="B4415" s="421" t="s">
        <v>3911</v>
      </c>
      <c r="C4415" s="421" t="s">
        <v>510</v>
      </c>
      <c r="D4415" s="422" t="s">
        <v>666</v>
      </c>
      <c r="E4415" s="111">
        <v>16548</v>
      </c>
      <c r="F4415" s="421" t="s">
        <v>7925</v>
      </c>
      <c r="G4415" s="112">
        <v>1</v>
      </c>
      <c r="H4415" s="112">
        <v>1</v>
      </c>
      <c r="I4415" s="112">
        <v>1</v>
      </c>
    </row>
    <row r="4416" spans="1:15" x14ac:dyDescent="0.2">
      <c r="A4416" s="111">
        <v>4540</v>
      </c>
      <c r="B4416" s="421" t="s">
        <v>7895</v>
      </c>
      <c r="C4416" s="421" t="s">
        <v>557</v>
      </c>
      <c r="D4416" s="422" t="s">
        <v>666</v>
      </c>
      <c r="E4416" s="111">
        <v>15037</v>
      </c>
      <c r="F4416" s="421" t="s">
        <v>7899</v>
      </c>
    </row>
    <row r="4417" spans="1:15" x14ac:dyDescent="0.2">
      <c r="A4417" s="111">
        <v>4541</v>
      </c>
      <c r="B4417" s="421" t="s">
        <v>2575</v>
      </c>
      <c r="C4417" s="421" t="s">
        <v>510</v>
      </c>
      <c r="D4417" s="422" t="s">
        <v>663</v>
      </c>
      <c r="E4417" s="111">
        <v>16549</v>
      </c>
      <c r="F4417" s="421" t="s">
        <v>7926</v>
      </c>
      <c r="G4417" s="112">
        <v>1</v>
      </c>
      <c r="H4417" s="112">
        <v>1</v>
      </c>
      <c r="I4417" s="112">
        <v>1</v>
      </c>
      <c r="J4417" s="112">
        <v>6</v>
      </c>
      <c r="K4417" s="112">
        <v>5</v>
      </c>
      <c r="L4417" s="112">
        <v>3</v>
      </c>
    </row>
    <row r="4418" spans="1:15" x14ac:dyDescent="0.2">
      <c r="A4418" s="111">
        <v>4542</v>
      </c>
      <c r="B4418" s="421" t="s">
        <v>2575</v>
      </c>
      <c r="C4418" s="421" t="s">
        <v>513</v>
      </c>
      <c r="D4418" s="422" t="s">
        <v>666</v>
      </c>
      <c r="E4418" s="111">
        <v>16550</v>
      </c>
      <c r="F4418" s="421" t="s">
        <v>7964</v>
      </c>
      <c r="G4418" s="112">
        <v>1</v>
      </c>
    </row>
    <row r="4419" spans="1:15" x14ac:dyDescent="0.2">
      <c r="A4419" s="111">
        <v>4543</v>
      </c>
      <c r="B4419" s="421" t="s">
        <v>5537</v>
      </c>
      <c r="C4419" s="421" t="s">
        <v>506</v>
      </c>
      <c r="D4419" s="422" t="s">
        <v>663</v>
      </c>
      <c r="E4419" s="111">
        <v>16302</v>
      </c>
      <c r="F4419" s="421" t="s">
        <v>7001</v>
      </c>
      <c r="G4419" s="112">
        <v>1</v>
      </c>
      <c r="H4419" s="112">
        <v>1</v>
      </c>
      <c r="I4419" s="112">
        <v>1</v>
      </c>
      <c r="J4419" s="112">
        <v>7</v>
      </c>
      <c r="K4419" s="112">
        <v>7</v>
      </c>
      <c r="L4419" s="112">
        <v>7</v>
      </c>
      <c r="M4419" s="112">
        <v>3</v>
      </c>
      <c r="N4419" s="112">
        <v>3</v>
      </c>
      <c r="O4419" s="112">
        <v>4</v>
      </c>
    </row>
    <row r="4420" spans="1:15" x14ac:dyDescent="0.2">
      <c r="A4420" s="111">
        <v>4544</v>
      </c>
      <c r="B4420" s="421" t="s">
        <v>7874</v>
      </c>
      <c r="C4420" s="421" t="s">
        <v>533</v>
      </c>
      <c r="D4420" s="422" t="s">
        <v>666</v>
      </c>
      <c r="E4420" s="111">
        <v>16551</v>
      </c>
      <c r="F4420" s="421" t="s">
        <v>7930</v>
      </c>
      <c r="G4420" s="112">
        <v>1</v>
      </c>
      <c r="I4420" s="112">
        <v>1</v>
      </c>
    </row>
    <row r="4421" spans="1:15" x14ac:dyDescent="0.2">
      <c r="A4421" s="111">
        <v>4545</v>
      </c>
      <c r="B4421" s="421" t="s">
        <v>488</v>
      </c>
      <c r="C4421" s="421" t="s">
        <v>501</v>
      </c>
      <c r="D4421" s="422" t="s">
        <v>666</v>
      </c>
      <c r="E4421" s="111">
        <v>16554</v>
      </c>
      <c r="F4421" s="421" t="s">
        <v>7901</v>
      </c>
      <c r="G4421" s="112">
        <v>1</v>
      </c>
      <c r="H4421" s="112">
        <v>1</v>
      </c>
      <c r="I4421" s="112">
        <v>1</v>
      </c>
    </row>
    <row r="4422" spans="1:15" x14ac:dyDescent="0.2">
      <c r="A4422" s="111">
        <v>4546</v>
      </c>
      <c r="B4422" s="421" t="s">
        <v>7875</v>
      </c>
      <c r="C4422" s="421" t="s">
        <v>516</v>
      </c>
      <c r="D4422" s="422" t="s">
        <v>663</v>
      </c>
      <c r="F4422" s="421" t="s">
        <v>7931</v>
      </c>
      <c r="G4422" s="112">
        <v>1</v>
      </c>
      <c r="H4422" s="112">
        <v>1</v>
      </c>
      <c r="I4422" s="112">
        <v>1</v>
      </c>
    </row>
    <row r="4423" spans="1:15" x14ac:dyDescent="0.2">
      <c r="A4423" s="111">
        <v>4547</v>
      </c>
      <c r="B4423" s="421" t="s">
        <v>7872</v>
      </c>
      <c r="C4423" s="421" t="s">
        <v>518</v>
      </c>
      <c r="D4423" s="422" t="s">
        <v>663</v>
      </c>
      <c r="E4423" s="111">
        <v>16553</v>
      </c>
      <c r="F4423" s="421" t="s">
        <v>7920</v>
      </c>
      <c r="G4423" s="112">
        <v>1</v>
      </c>
      <c r="H4423" s="112">
        <v>1</v>
      </c>
      <c r="I4423" s="112">
        <v>1</v>
      </c>
      <c r="J4423" s="112">
        <v>2</v>
      </c>
      <c r="K4423" s="112">
        <v>1</v>
      </c>
      <c r="L4423" s="112">
        <v>3</v>
      </c>
      <c r="N4423" s="112">
        <v>1</v>
      </c>
      <c r="O4423" s="112">
        <v>1</v>
      </c>
    </row>
    <row r="4424" spans="1:15" x14ac:dyDescent="0.2">
      <c r="A4424" s="111">
        <v>4548</v>
      </c>
      <c r="B4424" s="421" t="s">
        <v>1323</v>
      </c>
      <c r="C4424" s="421" t="s">
        <v>2272</v>
      </c>
      <c r="D4424" s="422" t="s">
        <v>666</v>
      </c>
      <c r="E4424" s="111">
        <v>16555</v>
      </c>
      <c r="F4424" s="421" t="s">
        <v>7965</v>
      </c>
    </row>
    <row r="4425" spans="1:15" x14ac:dyDescent="0.2">
      <c r="A4425" s="111">
        <v>4549</v>
      </c>
      <c r="B4425" s="421" t="s">
        <v>1214</v>
      </c>
      <c r="C4425" s="421" t="s">
        <v>1523</v>
      </c>
      <c r="D4425" s="422" t="s">
        <v>666</v>
      </c>
      <c r="E4425" s="111">
        <v>16556</v>
      </c>
      <c r="F4425" s="421" t="s">
        <v>7957</v>
      </c>
      <c r="G4425" s="112">
        <v>1</v>
      </c>
      <c r="H4425" s="112">
        <v>1</v>
      </c>
      <c r="I4425" s="112">
        <v>1</v>
      </c>
      <c r="J4425" s="112">
        <v>2</v>
      </c>
      <c r="K4425" s="112">
        <v>2</v>
      </c>
      <c r="L4425" s="112">
        <v>1</v>
      </c>
    </row>
    <row r="4426" spans="1:15" x14ac:dyDescent="0.2">
      <c r="A4426" s="111">
        <v>4550</v>
      </c>
      <c r="B4426" s="421" t="s">
        <v>7885</v>
      </c>
      <c r="C4426" s="421" t="s">
        <v>512</v>
      </c>
      <c r="D4426" s="422" t="s">
        <v>663</v>
      </c>
      <c r="E4426" s="111">
        <v>16557</v>
      </c>
      <c r="F4426" s="421" t="s">
        <v>7953</v>
      </c>
    </row>
    <row r="4427" spans="1:15" x14ac:dyDescent="0.2">
      <c r="A4427" s="111">
        <v>4551</v>
      </c>
      <c r="B4427" s="421" t="s">
        <v>7896</v>
      </c>
      <c r="C4427" s="421" t="s">
        <v>532</v>
      </c>
      <c r="D4427" s="422" t="s">
        <v>666</v>
      </c>
      <c r="E4427" s="111">
        <v>16558</v>
      </c>
      <c r="F4427" s="421" t="s">
        <v>7968</v>
      </c>
      <c r="G4427" s="112">
        <v>1</v>
      </c>
      <c r="H4427" s="112">
        <v>1</v>
      </c>
      <c r="I4427" s="112">
        <v>1</v>
      </c>
    </row>
    <row r="4428" spans="1:15" x14ac:dyDescent="0.2">
      <c r="A4428" s="111">
        <v>4552</v>
      </c>
      <c r="B4428" s="421" t="s">
        <v>3014</v>
      </c>
      <c r="C4428" s="421" t="s">
        <v>534</v>
      </c>
      <c r="D4428" s="422" t="s">
        <v>663</v>
      </c>
      <c r="E4428" s="111">
        <v>16559</v>
      </c>
      <c r="F4428" s="421" t="s">
        <v>7941</v>
      </c>
      <c r="G4428" s="112">
        <v>1</v>
      </c>
      <c r="I4428" s="112">
        <v>1</v>
      </c>
    </row>
    <row r="4429" spans="1:15" x14ac:dyDescent="0.2">
      <c r="A4429" s="111">
        <v>4553</v>
      </c>
      <c r="B4429" s="421" t="s">
        <v>309</v>
      </c>
      <c r="C4429" s="421" t="s">
        <v>501</v>
      </c>
      <c r="D4429" s="422" t="s">
        <v>666</v>
      </c>
      <c r="F4429" s="421" t="s">
        <v>7958</v>
      </c>
    </row>
    <row r="4430" spans="1:15" x14ac:dyDescent="0.2">
      <c r="A4430" s="111">
        <v>4554</v>
      </c>
      <c r="B4430" s="421" t="s">
        <v>5898</v>
      </c>
      <c r="C4430" s="421" t="s">
        <v>501</v>
      </c>
      <c r="D4430" s="422" t="s">
        <v>666</v>
      </c>
      <c r="F4430" s="421" t="s">
        <v>7958</v>
      </c>
    </row>
    <row r="4431" spans="1:15" x14ac:dyDescent="0.2">
      <c r="A4431" s="111">
        <v>4555</v>
      </c>
      <c r="B4431" s="421" t="s">
        <v>7881</v>
      </c>
      <c r="C4431" s="421" t="s">
        <v>530</v>
      </c>
      <c r="D4431" s="422" t="s">
        <v>663</v>
      </c>
      <c r="E4431" s="111">
        <v>15275</v>
      </c>
      <c r="F4431" s="421" t="s">
        <v>3566</v>
      </c>
    </row>
    <row r="4432" spans="1:15" x14ac:dyDescent="0.2">
      <c r="A4432" s="111">
        <v>4556</v>
      </c>
      <c r="B4432" s="421" t="s">
        <v>7867</v>
      </c>
      <c r="C4432" s="421" t="s">
        <v>501</v>
      </c>
      <c r="D4432" s="422" t="s">
        <v>666</v>
      </c>
      <c r="E4432" s="111">
        <v>16560</v>
      </c>
      <c r="F4432" s="421" t="s">
        <v>7910</v>
      </c>
      <c r="G4432" s="112">
        <v>1</v>
      </c>
      <c r="H4432" s="112">
        <v>2</v>
      </c>
      <c r="I4432" s="112">
        <v>1</v>
      </c>
      <c r="J4432" s="112">
        <v>2</v>
      </c>
    </row>
    <row r="4433" spans="1:15" x14ac:dyDescent="0.2">
      <c r="A4433" s="111">
        <v>4557</v>
      </c>
      <c r="B4433" s="421" t="s">
        <v>3144</v>
      </c>
      <c r="C4433" s="421" t="s">
        <v>1707</v>
      </c>
      <c r="D4433" s="422" t="s">
        <v>663</v>
      </c>
      <c r="F4433" s="421" t="s">
        <v>7916</v>
      </c>
      <c r="H4433" s="112">
        <v>1</v>
      </c>
    </row>
    <row r="4434" spans="1:15" x14ac:dyDescent="0.2">
      <c r="A4434" s="111">
        <v>4558</v>
      </c>
      <c r="B4434" s="421" t="s">
        <v>2118</v>
      </c>
      <c r="C4434" s="421" t="s">
        <v>3323</v>
      </c>
      <c r="D4434" s="422" t="s">
        <v>666</v>
      </c>
      <c r="F4434" s="421" t="s">
        <v>7927</v>
      </c>
    </row>
    <row r="4435" spans="1:15" x14ac:dyDescent="0.2">
      <c r="A4435" s="111">
        <v>4559</v>
      </c>
      <c r="B4435" s="421" t="s">
        <v>1434</v>
      </c>
      <c r="C4435" s="421" t="s">
        <v>510</v>
      </c>
      <c r="D4435" s="422" t="s">
        <v>666</v>
      </c>
      <c r="E4435" s="111">
        <v>16563</v>
      </c>
      <c r="F4435" s="421" t="s">
        <v>7909</v>
      </c>
      <c r="H4435" s="112">
        <v>1</v>
      </c>
    </row>
    <row r="4436" spans="1:15" x14ac:dyDescent="0.2">
      <c r="A4436" s="111">
        <v>4560</v>
      </c>
      <c r="B4436" s="421" t="s">
        <v>1224</v>
      </c>
      <c r="C4436" s="421" t="s">
        <v>534</v>
      </c>
      <c r="D4436" s="422" t="s">
        <v>666</v>
      </c>
      <c r="E4436" s="111">
        <v>16564</v>
      </c>
      <c r="F4436" s="421" t="s">
        <v>7955</v>
      </c>
      <c r="G4436" s="112">
        <v>1</v>
      </c>
      <c r="H4436" s="112">
        <v>1</v>
      </c>
      <c r="I4436" s="112">
        <v>1</v>
      </c>
      <c r="J4436" s="112">
        <v>3</v>
      </c>
      <c r="K4436" s="112">
        <v>4</v>
      </c>
      <c r="L4436" s="112">
        <v>4</v>
      </c>
      <c r="M4436" s="112">
        <v>3</v>
      </c>
      <c r="N4436" s="112">
        <v>2</v>
      </c>
      <c r="O4436" s="112">
        <v>3</v>
      </c>
    </row>
    <row r="4437" spans="1:15" x14ac:dyDescent="0.2">
      <c r="A4437" s="111">
        <v>4561</v>
      </c>
      <c r="B4437" s="421" t="s">
        <v>7888</v>
      </c>
      <c r="C4437" s="421" t="s">
        <v>534</v>
      </c>
      <c r="D4437" s="422" t="s">
        <v>666</v>
      </c>
      <c r="E4437" s="111">
        <v>16564</v>
      </c>
      <c r="F4437" s="421" t="s">
        <v>7955</v>
      </c>
      <c r="G4437" s="112">
        <v>1</v>
      </c>
      <c r="H4437" s="112">
        <v>1</v>
      </c>
      <c r="I4437" s="112">
        <v>1</v>
      </c>
      <c r="J4437" s="112">
        <v>4</v>
      </c>
      <c r="K4437" s="112">
        <v>5</v>
      </c>
      <c r="L4437" s="112">
        <v>4</v>
      </c>
      <c r="M4437" s="112">
        <v>1</v>
      </c>
      <c r="N4437" s="112">
        <v>1</v>
      </c>
    </row>
    <row r="4438" spans="1:15" x14ac:dyDescent="0.2">
      <c r="A4438" s="111">
        <v>4562</v>
      </c>
      <c r="B4438" s="421" t="s">
        <v>7865</v>
      </c>
      <c r="C4438" s="421" t="s">
        <v>572</v>
      </c>
      <c r="D4438" s="422" t="s">
        <v>666</v>
      </c>
      <c r="E4438" s="111">
        <v>16173</v>
      </c>
      <c r="F4438" s="421" t="s">
        <v>6484</v>
      </c>
      <c r="G4438" s="112">
        <v>2</v>
      </c>
      <c r="H4438" s="112">
        <v>1</v>
      </c>
      <c r="I4438" s="112">
        <v>2</v>
      </c>
      <c r="J4438" s="112">
        <v>10</v>
      </c>
      <c r="K4438" s="112">
        <v>9</v>
      </c>
      <c r="L4438" s="112">
        <v>9</v>
      </c>
      <c r="M4438" s="112">
        <v>9</v>
      </c>
      <c r="N4438" s="112">
        <v>3</v>
      </c>
      <c r="O4438" s="112">
        <v>6</v>
      </c>
    </row>
    <row r="4439" spans="1:15" x14ac:dyDescent="0.2">
      <c r="A4439" s="111">
        <v>4563</v>
      </c>
      <c r="B4439" s="421" t="s">
        <v>6143</v>
      </c>
      <c r="C4439" s="421" t="s">
        <v>533</v>
      </c>
      <c r="D4439" s="422" t="s">
        <v>666</v>
      </c>
      <c r="E4439" s="111">
        <v>16565</v>
      </c>
      <c r="F4439" s="421" t="s">
        <v>7943</v>
      </c>
      <c r="G4439" s="112">
        <v>2</v>
      </c>
      <c r="H4439" s="112">
        <v>1</v>
      </c>
      <c r="I4439" s="112">
        <v>1</v>
      </c>
    </row>
    <row r="4440" spans="1:15" x14ac:dyDescent="0.2">
      <c r="A4440" s="111">
        <v>4564</v>
      </c>
      <c r="B4440" s="421" t="s">
        <v>1127</v>
      </c>
      <c r="C4440" s="421" t="s">
        <v>551</v>
      </c>
      <c r="D4440" s="422" t="s">
        <v>666</v>
      </c>
      <c r="E4440" s="111">
        <v>16566</v>
      </c>
      <c r="F4440" s="421" t="s">
        <v>7904</v>
      </c>
      <c r="G4440" s="112">
        <v>1</v>
      </c>
      <c r="H4440" s="112">
        <v>1</v>
      </c>
      <c r="I4440" s="112">
        <v>1</v>
      </c>
      <c r="J4440" s="112">
        <v>1</v>
      </c>
      <c r="K4440" s="112">
        <v>1</v>
      </c>
      <c r="L4440" s="112">
        <v>1</v>
      </c>
      <c r="M4440" s="112">
        <v>2</v>
      </c>
      <c r="N4440" s="112">
        <v>1</v>
      </c>
      <c r="O4440" s="112">
        <v>1</v>
      </c>
    </row>
    <row r="4441" spans="1:15" x14ac:dyDescent="0.2">
      <c r="A4441" s="111">
        <v>4565</v>
      </c>
      <c r="B4441" s="421" t="s">
        <v>5062</v>
      </c>
      <c r="C4441" s="421" t="s">
        <v>530</v>
      </c>
      <c r="D4441" s="422" t="s">
        <v>666</v>
      </c>
      <c r="E4441" s="111">
        <v>16568</v>
      </c>
      <c r="F4441" s="421" t="s">
        <v>7922</v>
      </c>
    </row>
    <row r="4442" spans="1:15" x14ac:dyDescent="0.2">
      <c r="A4442" s="111">
        <v>4566</v>
      </c>
      <c r="B4442" s="421" t="s">
        <v>96</v>
      </c>
      <c r="C4442" s="421" t="s">
        <v>1908</v>
      </c>
      <c r="D4442" s="422" t="s">
        <v>663</v>
      </c>
      <c r="E4442" s="111">
        <v>16569</v>
      </c>
      <c r="F4442" s="421" t="s">
        <v>7919</v>
      </c>
    </row>
    <row r="4443" spans="1:15" x14ac:dyDescent="0.2">
      <c r="A4443" s="111">
        <v>4567</v>
      </c>
      <c r="B4443" s="421" t="s">
        <v>2942</v>
      </c>
      <c r="C4443" s="421" t="s">
        <v>1908</v>
      </c>
      <c r="D4443" s="422" t="s">
        <v>663</v>
      </c>
      <c r="E4443" s="111">
        <v>16569</v>
      </c>
      <c r="F4443" s="421" t="s">
        <v>7919</v>
      </c>
    </row>
    <row r="4444" spans="1:15" x14ac:dyDescent="0.2">
      <c r="A4444" s="111">
        <v>4568</v>
      </c>
      <c r="B4444" s="421" t="s">
        <v>1349</v>
      </c>
      <c r="C4444" s="421" t="s">
        <v>513</v>
      </c>
      <c r="D4444" s="422" t="s">
        <v>663</v>
      </c>
      <c r="E4444" s="111">
        <v>15241</v>
      </c>
      <c r="F4444" s="421" t="s">
        <v>3473</v>
      </c>
      <c r="G4444" s="112">
        <v>1</v>
      </c>
      <c r="H4444" s="112">
        <v>1</v>
      </c>
      <c r="I4444" s="112">
        <v>1</v>
      </c>
      <c r="J4444" s="112">
        <v>5</v>
      </c>
      <c r="K4444" s="112">
        <v>3</v>
      </c>
      <c r="L4444" s="112">
        <v>6</v>
      </c>
      <c r="M4444" s="112">
        <v>2</v>
      </c>
      <c r="O4444" s="112">
        <v>1</v>
      </c>
    </row>
    <row r="4445" spans="1:15" x14ac:dyDescent="0.2">
      <c r="A4445" s="111">
        <v>4569</v>
      </c>
      <c r="B4445" s="421" t="s">
        <v>7883</v>
      </c>
      <c r="C4445" s="421" t="s">
        <v>501</v>
      </c>
      <c r="D4445" s="422" t="s">
        <v>663</v>
      </c>
      <c r="E4445" s="111">
        <v>16570</v>
      </c>
      <c r="F4445" s="421" t="s">
        <v>7946</v>
      </c>
      <c r="G4445" s="112">
        <v>2</v>
      </c>
      <c r="H4445" s="112">
        <v>1</v>
      </c>
      <c r="I4445" s="112">
        <v>1</v>
      </c>
      <c r="J4445" s="112">
        <v>2</v>
      </c>
      <c r="K4445" s="112">
        <v>1</v>
      </c>
      <c r="L4445" s="112">
        <v>1</v>
      </c>
      <c r="M4445" s="112">
        <v>1</v>
      </c>
      <c r="N4445" s="112">
        <v>1</v>
      </c>
      <c r="O4445" s="112">
        <v>1</v>
      </c>
    </row>
    <row r="4446" spans="1:15" x14ac:dyDescent="0.2">
      <c r="A4446" s="111">
        <v>4570</v>
      </c>
      <c r="B4446" s="421" t="s">
        <v>7898</v>
      </c>
      <c r="C4446" s="421" t="s">
        <v>4900</v>
      </c>
      <c r="D4446" s="422" t="s">
        <v>663</v>
      </c>
      <c r="F4446" s="421" t="s">
        <v>7972</v>
      </c>
      <c r="I4446" s="112">
        <v>1</v>
      </c>
    </row>
    <row r="4447" spans="1:15" x14ac:dyDescent="0.2">
      <c r="A4447" s="111">
        <v>4571</v>
      </c>
      <c r="B4447" s="421" t="s">
        <v>291</v>
      </c>
      <c r="C4447" s="421" t="s">
        <v>1625</v>
      </c>
      <c r="D4447" s="422" t="s">
        <v>666</v>
      </c>
      <c r="E4447" s="111">
        <v>16573</v>
      </c>
      <c r="F4447" s="421" t="s">
        <v>7961</v>
      </c>
      <c r="G4447" s="112">
        <v>1</v>
      </c>
      <c r="H4447" s="112">
        <v>1</v>
      </c>
      <c r="I4447" s="112">
        <v>1</v>
      </c>
      <c r="J4447" s="112">
        <v>4</v>
      </c>
      <c r="K4447" s="112">
        <v>2</v>
      </c>
      <c r="L4447" s="112">
        <v>3</v>
      </c>
      <c r="M4447" s="112">
        <v>3</v>
      </c>
      <c r="N4447" s="112">
        <v>1</v>
      </c>
    </row>
    <row r="4448" spans="1:15" x14ac:dyDescent="0.2">
      <c r="A4448" s="111">
        <v>4572</v>
      </c>
      <c r="B4448" s="421" t="s">
        <v>7893</v>
      </c>
      <c r="C4448" s="421" t="s">
        <v>1625</v>
      </c>
      <c r="D4448" s="422" t="s">
        <v>666</v>
      </c>
      <c r="E4448" s="111">
        <v>16573</v>
      </c>
      <c r="F4448" s="421" t="s">
        <v>7961</v>
      </c>
      <c r="G4448" s="112">
        <v>1</v>
      </c>
      <c r="H4448" s="112">
        <v>1</v>
      </c>
      <c r="I4448" s="112">
        <v>1</v>
      </c>
      <c r="J4448" s="112">
        <v>2</v>
      </c>
      <c r="K4448" s="112">
        <v>1</v>
      </c>
      <c r="L4448" s="112">
        <v>1</v>
      </c>
    </row>
    <row r="4449" spans="1:15" x14ac:dyDescent="0.2">
      <c r="A4449" s="111">
        <v>4573</v>
      </c>
      <c r="B4449" s="421" t="s">
        <v>3426</v>
      </c>
      <c r="C4449" s="421" t="s">
        <v>501</v>
      </c>
      <c r="D4449" s="422" t="s">
        <v>663</v>
      </c>
      <c r="E4449" s="111">
        <v>16572</v>
      </c>
      <c r="F4449" s="421" t="s">
        <v>7914</v>
      </c>
      <c r="G4449" s="112">
        <v>2</v>
      </c>
      <c r="H4449" s="112">
        <v>1</v>
      </c>
      <c r="I4449" s="112">
        <v>1</v>
      </c>
      <c r="J4449" s="112">
        <v>4</v>
      </c>
      <c r="K4449" s="112">
        <v>2</v>
      </c>
      <c r="L4449" s="112">
        <v>2</v>
      </c>
    </row>
    <row r="4450" spans="1:15" x14ac:dyDescent="0.2">
      <c r="A4450" s="111">
        <v>4574</v>
      </c>
      <c r="B4450" s="421" t="s">
        <v>7861</v>
      </c>
      <c r="C4450" s="421" t="s">
        <v>1625</v>
      </c>
      <c r="D4450" s="422" t="s">
        <v>666</v>
      </c>
      <c r="E4450" s="111">
        <v>16574</v>
      </c>
      <c r="F4450" s="421" t="s">
        <v>7900</v>
      </c>
      <c r="H4450" s="112">
        <v>1</v>
      </c>
      <c r="I4450" s="112">
        <v>1</v>
      </c>
    </row>
    <row r="4451" spans="1:15" x14ac:dyDescent="0.2">
      <c r="A4451" s="111">
        <v>4575</v>
      </c>
      <c r="B4451" s="421" t="s">
        <v>7894</v>
      </c>
      <c r="C4451" s="421" t="s">
        <v>563</v>
      </c>
      <c r="D4451" s="422" t="s">
        <v>666</v>
      </c>
      <c r="E4451" s="111">
        <v>16575</v>
      </c>
      <c r="F4451" s="421" t="s">
        <v>7963</v>
      </c>
      <c r="G4451" s="112">
        <v>1</v>
      </c>
      <c r="H4451" s="112">
        <v>1</v>
      </c>
      <c r="I4451" s="112">
        <v>1</v>
      </c>
    </row>
    <row r="4452" spans="1:15" x14ac:dyDescent="0.2">
      <c r="A4452" s="111">
        <v>4576</v>
      </c>
      <c r="B4452" s="421" t="s">
        <v>3911</v>
      </c>
      <c r="C4452" s="421" t="s">
        <v>516</v>
      </c>
      <c r="D4452" s="422" t="s">
        <v>663</v>
      </c>
      <c r="E4452" s="111">
        <v>14822</v>
      </c>
      <c r="F4452" s="421" t="s">
        <v>2512</v>
      </c>
      <c r="G4452" s="112">
        <v>1</v>
      </c>
      <c r="H4452" s="112">
        <v>1</v>
      </c>
      <c r="I4452" s="112">
        <v>1</v>
      </c>
      <c r="J4452" s="112">
        <v>10</v>
      </c>
      <c r="K4452" s="112">
        <v>7</v>
      </c>
      <c r="L4452" s="112">
        <v>7</v>
      </c>
      <c r="M4452" s="112">
        <v>3</v>
      </c>
      <c r="N4452" s="112">
        <v>1</v>
      </c>
      <c r="O4452" s="112">
        <v>2</v>
      </c>
    </row>
    <row r="4453" spans="1:15" x14ac:dyDescent="0.2">
      <c r="A4453" s="111">
        <v>4577</v>
      </c>
      <c r="B4453" s="421" t="s">
        <v>257</v>
      </c>
      <c r="C4453" s="421" t="s">
        <v>551</v>
      </c>
      <c r="D4453" s="422" t="s">
        <v>663</v>
      </c>
      <c r="E4453" s="111">
        <v>16576</v>
      </c>
      <c r="F4453" s="421" t="s">
        <v>7952</v>
      </c>
    </row>
    <row r="4454" spans="1:15" x14ac:dyDescent="0.2">
      <c r="A4454" s="111">
        <v>4578</v>
      </c>
      <c r="B4454" s="421" t="s">
        <v>119</v>
      </c>
      <c r="C4454" s="421" t="s">
        <v>521</v>
      </c>
      <c r="D4454" s="422" t="s">
        <v>663</v>
      </c>
      <c r="E4454" s="111">
        <v>44373</v>
      </c>
      <c r="F4454" s="421" t="s">
        <v>7912</v>
      </c>
      <c r="G4454" s="112">
        <v>1</v>
      </c>
      <c r="H4454" s="112">
        <v>1</v>
      </c>
      <c r="I4454" s="112">
        <v>1</v>
      </c>
      <c r="J4454" s="112">
        <v>3</v>
      </c>
      <c r="K4454" s="112">
        <v>4</v>
      </c>
      <c r="L4454" s="112">
        <v>2</v>
      </c>
    </row>
    <row r="4455" spans="1:15" x14ac:dyDescent="0.2">
      <c r="A4455" s="111">
        <v>4579</v>
      </c>
      <c r="B4455" s="421" t="s">
        <v>7862</v>
      </c>
      <c r="C4455" s="421" t="s">
        <v>501</v>
      </c>
      <c r="D4455" s="422" t="s">
        <v>666</v>
      </c>
      <c r="E4455" s="111">
        <v>16578</v>
      </c>
      <c r="F4455" s="421" t="s">
        <v>7702</v>
      </c>
      <c r="G4455" s="112">
        <v>1</v>
      </c>
      <c r="H4455" s="112">
        <v>1</v>
      </c>
      <c r="I4455" s="112">
        <v>1</v>
      </c>
      <c r="J4455" s="112">
        <v>4</v>
      </c>
      <c r="K4455" s="112">
        <v>3</v>
      </c>
      <c r="L4455" s="112">
        <v>3</v>
      </c>
      <c r="M4455" s="112">
        <v>2</v>
      </c>
      <c r="N4455" s="112">
        <v>2</v>
      </c>
      <c r="O4455" s="112">
        <v>2</v>
      </c>
    </row>
    <row r="4456" spans="1:15" x14ac:dyDescent="0.2">
      <c r="A4456" s="111">
        <v>4580</v>
      </c>
      <c r="B4456" s="421" t="s">
        <v>1283</v>
      </c>
      <c r="C4456" s="421" t="s">
        <v>1625</v>
      </c>
      <c r="D4456" s="422" t="s">
        <v>666</v>
      </c>
      <c r="E4456" s="111">
        <v>16579</v>
      </c>
      <c r="F4456" s="421" t="s">
        <v>7918</v>
      </c>
      <c r="G4456" s="112">
        <v>1</v>
      </c>
      <c r="H4456" s="112">
        <v>1</v>
      </c>
      <c r="I4456" s="112">
        <v>1</v>
      </c>
      <c r="J4456" s="112">
        <v>1</v>
      </c>
      <c r="K4456" s="112">
        <v>1</v>
      </c>
      <c r="L4456" s="112">
        <v>1</v>
      </c>
      <c r="O4456" s="112">
        <v>1</v>
      </c>
    </row>
    <row r="4457" spans="1:15" x14ac:dyDescent="0.2">
      <c r="A4457" s="111">
        <v>4581</v>
      </c>
      <c r="B4457" s="421" t="s">
        <v>7870</v>
      </c>
      <c r="C4457" s="421" t="s">
        <v>1625</v>
      </c>
      <c r="D4457" s="422" t="s">
        <v>663</v>
      </c>
      <c r="E4457" s="111">
        <v>16579</v>
      </c>
      <c r="F4457" s="421" t="s">
        <v>7918</v>
      </c>
      <c r="G4457" s="112">
        <v>2</v>
      </c>
      <c r="H4457" s="112">
        <v>2</v>
      </c>
      <c r="I4457" s="112">
        <v>1</v>
      </c>
      <c r="J4457" s="112">
        <v>2</v>
      </c>
      <c r="K4457" s="112">
        <v>4</v>
      </c>
      <c r="L4457" s="112">
        <v>3</v>
      </c>
    </row>
    <row r="4458" spans="1:15" x14ac:dyDescent="0.2">
      <c r="A4458" s="111">
        <v>4582</v>
      </c>
      <c r="B4458" s="421" t="s">
        <v>7879</v>
      </c>
      <c r="C4458" s="421" t="s">
        <v>506</v>
      </c>
      <c r="D4458" s="422" t="s">
        <v>666</v>
      </c>
      <c r="E4458" s="111">
        <v>16580</v>
      </c>
      <c r="F4458" s="421" t="s">
        <v>7937</v>
      </c>
      <c r="G4458" s="112">
        <v>1</v>
      </c>
      <c r="H4458" s="112">
        <v>1</v>
      </c>
      <c r="I4458" s="112">
        <v>1</v>
      </c>
      <c r="J4458" s="112">
        <v>3</v>
      </c>
      <c r="K4458" s="112">
        <v>2</v>
      </c>
      <c r="L4458" s="112">
        <v>2</v>
      </c>
    </row>
    <row r="4459" spans="1:15" x14ac:dyDescent="0.2">
      <c r="A4459" s="111">
        <v>4583</v>
      </c>
      <c r="B4459" s="421" t="s">
        <v>3975</v>
      </c>
      <c r="C4459" s="421" t="s">
        <v>506</v>
      </c>
      <c r="D4459" s="422" t="s">
        <v>666</v>
      </c>
      <c r="E4459" s="111">
        <v>16581</v>
      </c>
      <c r="F4459" s="421" t="s">
        <v>7971</v>
      </c>
    </row>
    <row r="4460" spans="1:15" x14ac:dyDescent="0.2">
      <c r="A4460" s="111">
        <v>4584</v>
      </c>
      <c r="B4460" s="421" t="s">
        <v>3128</v>
      </c>
      <c r="C4460" s="421" t="s">
        <v>519</v>
      </c>
      <c r="D4460" s="422" t="s">
        <v>666</v>
      </c>
      <c r="E4460" s="111">
        <v>16581</v>
      </c>
      <c r="F4460" s="421" t="s">
        <v>7971</v>
      </c>
    </row>
    <row r="4461" spans="1:15" x14ac:dyDescent="0.2">
      <c r="A4461" s="111">
        <v>4585</v>
      </c>
      <c r="B4461" s="421" t="s">
        <v>1947</v>
      </c>
      <c r="C4461" s="421" t="s">
        <v>503</v>
      </c>
      <c r="D4461" s="422" t="s">
        <v>666</v>
      </c>
      <c r="E4461" s="111">
        <v>16626</v>
      </c>
      <c r="F4461" s="421" t="s">
        <v>7929</v>
      </c>
      <c r="G4461" s="112">
        <v>1</v>
      </c>
      <c r="H4461" s="112">
        <v>1</v>
      </c>
      <c r="I4461" s="112">
        <v>1</v>
      </c>
      <c r="J4461" s="112">
        <v>4</v>
      </c>
      <c r="K4461" s="112">
        <v>4</v>
      </c>
      <c r="L4461" s="112">
        <v>3</v>
      </c>
      <c r="M4461" s="112">
        <v>1</v>
      </c>
      <c r="N4461" s="112">
        <v>2</v>
      </c>
      <c r="O4461" s="112">
        <v>2</v>
      </c>
    </row>
    <row r="4462" spans="1:15" x14ac:dyDescent="0.2">
      <c r="A4462" s="111">
        <v>4586</v>
      </c>
      <c r="B4462" s="421" t="s">
        <v>7871</v>
      </c>
      <c r="C4462" s="421" t="s">
        <v>509</v>
      </c>
      <c r="D4462" s="422" t="s">
        <v>663</v>
      </c>
      <c r="E4462" s="111">
        <v>15678</v>
      </c>
      <c r="F4462" s="421" t="s">
        <v>4921</v>
      </c>
      <c r="G4462" s="112">
        <v>2</v>
      </c>
      <c r="H4462" s="112">
        <v>3</v>
      </c>
      <c r="I4462" s="112">
        <v>3</v>
      </c>
      <c r="J4462" s="112">
        <v>7</v>
      </c>
      <c r="K4462" s="112">
        <v>8</v>
      </c>
      <c r="L4462" s="112">
        <v>7</v>
      </c>
      <c r="M4462" s="112">
        <v>2</v>
      </c>
      <c r="N4462" s="112">
        <v>1</v>
      </c>
      <c r="O4462" s="112">
        <v>3</v>
      </c>
    </row>
    <row r="4463" spans="1:15" x14ac:dyDescent="0.2">
      <c r="A4463" s="111">
        <v>4587</v>
      </c>
      <c r="B4463" s="421" t="s">
        <v>7133</v>
      </c>
      <c r="C4463" s="421" t="s">
        <v>510</v>
      </c>
      <c r="D4463" s="422" t="s">
        <v>666</v>
      </c>
      <c r="E4463" s="111">
        <v>16582</v>
      </c>
      <c r="F4463" s="421" t="s">
        <v>7917</v>
      </c>
    </row>
    <row r="4464" spans="1:15" x14ac:dyDescent="0.2">
      <c r="A4464" s="111">
        <v>4588</v>
      </c>
      <c r="B4464" s="421" t="s">
        <v>7864</v>
      </c>
      <c r="C4464" s="421" t="s">
        <v>501</v>
      </c>
      <c r="D4464" s="422" t="s">
        <v>663</v>
      </c>
      <c r="E4464" s="111">
        <v>16583</v>
      </c>
      <c r="F4464" s="421" t="s">
        <v>7907</v>
      </c>
    </row>
    <row r="4465" spans="1:15" x14ac:dyDescent="0.2">
      <c r="A4465" s="111">
        <v>4589</v>
      </c>
      <c r="B4465" s="421" t="s">
        <v>7887</v>
      </c>
      <c r="C4465" s="421" t="s">
        <v>577</v>
      </c>
      <c r="D4465" s="422" t="s">
        <v>663</v>
      </c>
      <c r="E4465" s="111">
        <v>16584</v>
      </c>
      <c r="F4465" s="421" t="s">
        <v>7954</v>
      </c>
      <c r="G4465" s="112">
        <v>1</v>
      </c>
      <c r="H4465" s="112">
        <v>1</v>
      </c>
      <c r="I4465" s="112">
        <v>1</v>
      </c>
      <c r="J4465" s="112">
        <v>20</v>
      </c>
      <c r="K4465" s="112">
        <v>21</v>
      </c>
      <c r="L4465" s="112">
        <v>19</v>
      </c>
      <c r="M4465" s="112">
        <v>8</v>
      </c>
      <c r="N4465" s="112">
        <v>3</v>
      </c>
      <c r="O4465" s="112">
        <v>4</v>
      </c>
    </row>
    <row r="4466" spans="1:15" x14ac:dyDescent="0.2">
      <c r="A4466" s="111">
        <v>4590</v>
      </c>
      <c r="B4466" s="421" t="s">
        <v>7886</v>
      </c>
      <c r="C4466" s="421" t="s">
        <v>577</v>
      </c>
      <c r="D4466" s="422" t="s">
        <v>663</v>
      </c>
      <c r="E4466" s="111">
        <v>16584</v>
      </c>
      <c r="F4466" s="421" t="s">
        <v>7954</v>
      </c>
      <c r="G4466" s="112">
        <v>5</v>
      </c>
      <c r="H4466" s="112">
        <v>5</v>
      </c>
      <c r="I4466" s="112">
        <v>4</v>
      </c>
      <c r="J4466" s="112">
        <v>13</v>
      </c>
      <c r="K4466" s="112">
        <v>15</v>
      </c>
      <c r="L4466" s="112">
        <v>14</v>
      </c>
      <c r="M4466" s="112">
        <v>14</v>
      </c>
      <c r="N4466" s="112">
        <v>6</v>
      </c>
      <c r="O4466" s="112">
        <v>6</v>
      </c>
    </row>
    <row r="4467" spans="1:15" x14ac:dyDescent="0.2">
      <c r="A4467" s="111">
        <v>4591</v>
      </c>
      <c r="B4467" s="421" t="s">
        <v>119</v>
      </c>
      <c r="C4467" s="421" t="s">
        <v>501</v>
      </c>
      <c r="D4467" s="422" t="s">
        <v>663</v>
      </c>
      <c r="E4467" s="111">
        <v>16586</v>
      </c>
      <c r="F4467" s="421" t="s">
        <v>7942</v>
      </c>
    </row>
    <row r="4468" spans="1:15" x14ac:dyDescent="0.2">
      <c r="A4468" s="111">
        <v>4592</v>
      </c>
      <c r="B4468" s="421" t="s">
        <v>1853</v>
      </c>
      <c r="C4468" s="421" t="s">
        <v>1687</v>
      </c>
      <c r="D4468" s="422" t="s">
        <v>666</v>
      </c>
      <c r="E4468" s="111">
        <v>16411</v>
      </c>
      <c r="F4468" s="421" t="s">
        <v>7558</v>
      </c>
    </row>
    <row r="4469" spans="1:15" x14ac:dyDescent="0.2">
      <c r="A4469" s="111">
        <v>4593</v>
      </c>
      <c r="B4469" s="421" t="s">
        <v>7877</v>
      </c>
      <c r="C4469" s="421" t="s">
        <v>503</v>
      </c>
      <c r="D4469" s="422" t="s">
        <v>663</v>
      </c>
      <c r="E4469" s="111">
        <v>15491</v>
      </c>
      <c r="F4469" s="421" t="s">
        <v>10199</v>
      </c>
      <c r="G4469" s="112">
        <v>2</v>
      </c>
      <c r="H4469" s="112">
        <v>2</v>
      </c>
      <c r="I4469" s="112">
        <v>2</v>
      </c>
      <c r="J4469" s="112">
        <v>2</v>
      </c>
      <c r="K4469" s="112">
        <v>2</v>
      </c>
      <c r="L4469" s="112">
        <v>2</v>
      </c>
    </row>
    <row r="4470" spans="1:15" x14ac:dyDescent="0.2">
      <c r="A4470" s="111">
        <v>4594</v>
      </c>
      <c r="B4470" s="421" t="s">
        <v>6367</v>
      </c>
      <c r="C4470" s="421" t="s">
        <v>526</v>
      </c>
      <c r="D4470" s="422" t="s">
        <v>666</v>
      </c>
      <c r="E4470" s="111">
        <v>16571</v>
      </c>
      <c r="F4470" s="421" t="s">
        <v>7409</v>
      </c>
      <c r="I4470" s="112">
        <v>1</v>
      </c>
    </row>
    <row r="4471" spans="1:15" x14ac:dyDescent="0.2">
      <c r="A4471" s="111">
        <v>4595</v>
      </c>
      <c r="B4471" s="421" t="s">
        <v>599</v>
      </c>
      <c r="C4471" s="421" t="s">
        <v>526</v>
      </c>
      <c r="D4471" s="422" t="s">
        <v>666</v>
      </c>
      <c r="E4471" s="111">
        <v>16571</v>
      </c>
      <c r="F4471" s="421" t="s">
        <v>7409</v>
      </c>
      <c r="H4471" s="112">
        <v>1</v>
      </c>
    </row>
    <row r="4472" spans="1:15" x14ac:dyDescent="0.2">
      <c r="A4472" s="111">
        <v>4596</v>
      </c>
      <c r="B4472" s="421" t="s">
        <v>7891</v>
      </c>
      <c r="C4472" s="421" t="s">
        <v>506</v>
      </c>
      <c r="D4472" s="422" t="s">
        <v>666</v>
      </c>
      <c r="E4472" s="111">
        <v>16587</v>
      </c>
      <c r="F4472" s="421" t="s">
        <v>7959</v>
      </c>
      <c r="G4472" s="112">
        <v>1</v>
      </c>
      <c r="H4472" s="112">
        <v>1</v>
      </c>
      <c r="I4472" s="112">
        <v>1</v>
      </c>
      <c r="K4472" s="112">
        <v>2</v>
      </c>
      <c r="L4472" s="112">
        <v>1</v>
      </c>
    </row>
    <row r="4473" spans="1:15" x14ac:dyDescent="0.2">
      <c r="A4473" s="111">
        <v>4597</v>
      </c>
      <c r="B4473" s="421" t="s">
        <v>119</v>
      </c>
      <c r="C4473" s="421" t="s">
        <v>501</v>
      </c>
      <c r="D4473" s="422" t="s">
        <v>663</v>
      </c>
      <c r="E4473" s="111">
        <v>15450</v>
      </c>
      <c r="F4473" s="421" t="s">
        <v>3734</v>
      </c>
      <c r="G4473" s="112">
        <v>1</v>
      </c>
      <c r="H4473" s="112">
        <v>1</v>
      </c>
      <c r="I4473" s="112">
        <v>1</v>
      </c>
      <c r="J4473" s="112">
        <v>5</v>
      </c>
      <c r="K4473" s="112">
        <v>4</v>
      </c>
      <c r="L4473" s="112">
        <v>5</v>
      </c>
      <c r="M4473" s="112">
        <v>5</v>
      </c>
      <c r="O4473" s="112">
        <v>2</v>
      </c>
    </row>
    <row r="4474" spans="1:15" x14ac:dyDescent="0.2">
      <c r="A4474" s="111">
        <v>4598</v>
      </c>
      <c r="B4474" s="421" t="s">
        <v>2759</v>
      </c>
      <c r="C4474" s="421" t="s">
        <v>506</v>
      </c>
      <c r="D4474" s="422" t="s">
        <v>666</v>
      </c>
      <c r="E4474" s="111">
        <v>16589</v>
      </c>
      <c r="F4474" s="421" t="s">
        <v>7924</v>
      </c>
      <c r="G4474" s="112">
        <v>1</v>
      </c>
      <c r="H4474" s="112">
        <v>1</v>
      </c>
      <c r="I4474" s="112">
        <v>1</v>
      </c>
    </row>
    <row r="4475" spans="1:15" x14ac:dyDescent="0.2">
      <c r="A4475" s="111">
        <v>4599</v>
      </c>
      <c r="B4475" s="421" t="s">
        <v>266</v>
      </c>
      <c r="C4475" s="421" t="s">
        <v>513</v>
      </c>
      <c r="D4475" s="422" t="s">
        <v>663</v>
      </c>
      <c r="E4475" s="111">
        <v>16783</v>
      </c>
      <c r="F4475" s="421" t="s">
        <v>7948</v>
      </c>
      <c r="G4475" s="112">
        <v>2</v>
      </c>
      <c r="H4475" s="112">
        <v>1</v>
      </c>
    </row>
    <row r="4476" spans="1:15" x14ac:dyDescent="0.2">
      <c r="A4476" s="111">
        <v>4600</v>
      </c>
      <c r="B4476" s="421" t="s">
        <v>7882</v>
      </c>
      <c r="C4476" s="421" t="s">
        <v>549</v>
      </c>
      <c r="D4476" s="422" t="s">
        <v>663</v>
      </c>
      <c r="E4476" s="111">
        <v>16590</v>
      </c>
      <c r="F4476" s="421" t="s">
        <v>7945</v>
      </c>
      <c r="G4476" s="112">
        <v>1</v>
      </c>
      <c r="H4476" s="112">
        <v>1</v>
      </c>
      <c r="I4476" s="112">
        <v>1</v>
      </c>
      <c r="J4476" s="112">
        <v>5</v>
      </c>
      <c r="K4476" s="112">
        <v>2</v>
      </c>
      <c r="L4476" s="112">
        <v>3</v>
      </c>
      <c r="M4476" s="112">
        <v>5</v>
      </c>
      <c r="N4476" s="112">
        <v>1</v>
      </c>
      <c r="O4476" s="112">
        <v>2</v>
      </c>
    </row>
    <row r="4477" spans="1:15" x14ac:dyDescent="0.2">
      <c r="A4477" s="111">
        <v>4601</v>
      </c>
      <c r="B4477" s="421" t="s">
        <v>2745</v>
      </c>
      <c r="C4477" s="421" t="s">
        <v>526</v>
      </c>
      <c r="D4477" s="422" t="s">
        <v>666</v>
      </c>
      <c r="E4477" s="111">
        <v>16591</v>
      </c>
      <c r="F4477" s="421" t="s">
        <v>7938</v>
      </c>
    </row>
    <row r="4478" spans="1:15" x14ac:dyDescent="0.2">
      <c r="A4478" s="111">
        <v>4602</v>
      </c>
      <c r="B4478" s="421" t="s">
        <v>7890</v>
      </c>
      <c r="C4478" s="421" t="s">
        <v>506</v>
      </c>
      <c r="D4478" s="422" t="s">
        <v>666</v>
      </c>
      <c r="E4478" s="111">
        <v>16592</v>
      </c>
      <c r="F4478" s="421" t="s">
        <v>7956</v>
      </c>
      <c r="G4478" s="112">
        <v>3</v>
      </c>
      <c r="H4478" s="112">
        <v>2</v>
      </c>
      <c r="I4478" s="112">
        <v>3</v>
      </c>
    </row>
    <row r="4479" spans="1:15" x14ac:dyDescent="0.2">
      <c r="A4479" s="111">
        <v>4603</v>
      </c>
      <c r="B4479" s="421" t="s">
        <v>7889</v>
      </c>
      <c r="C4479" s="421" t="s">
        <v>1746</v>
      </c>
      <c r="D4479" s="422" t="s">
        <v>663</v>
      </c>
      <c r="E4479" s="111">
        <v>16592</v>
      </c>
      <c r="F4479" s="421" t="s">
        <v>7956</v>
      </c>
      <c r="G4479" s="112">
        <v>2</v>
      </c>
      <c r="H4479" s="112">
        <v>2</v>
      </c>
      <c r="I4479" s="112">
        <v>2</v>
      </c>
    </row>
    <row r="4480" spans="1:15" x14ac:dyDescent="0.2">
      <c r="A4480" s="111">
        <v>4604</v>
      </c>
      <c r="B4480" s="421" t="s">
        <v>7869</v>
      </c>
      <c r="C4480" s="421" t="s">
        <v>506</v>
      </c>
      <c r="D4480" s="422" t="s">
        <v>666</v>
      </c>
      <c r="E4480" s="111">
        <v>16593</v>
      </c>
      <c r="F4480" s="421" t="s">
        <v>7913</v>
      </c>
      <c r="G4480" s="112">
        <v>2</v>
      </c>
      <c r="H4480" s="112">
        <v>1</v>
      </c>
      <c r="I4480" s="112">
        <v>2</v>
      </c>
    </row>
    <row r="4481" spans="1:15" x14ac:dyDescent="0.2">
      <c r="A4481" s="111">
        <v>4605</v>
      </c>
      <c r="B4481" s="421" t="s">
        <v>5306</v>
      </c>
      <c r="C4481" s="421" t="s">
        <v>510</v>
      </c>
      <c r="D4481" s="422" t="s">
        <v>666</v>
      </c>
      <c r="E4481" s="111">
        <v>16594</v>
      </c>
      <c r="F4481" s="421" t="s">
        <v>7944</v>
      </c>
      <c r="G4481" s="112">
        <v>2</v>
      </c>
      <c r="H4481" s="112">
        <v>2</v>
      </c>
      <c r="I4481" s="112">
        <v>1</v>
      </c>
      <c r="J4481" s="112">
        <v>2</v>
      </c>
      <c r="K4481" s="112">
        <v>2</v>
      </c>
      <c r="L4481" s="112">
        <v>1</v>
      </c>
    </row>
    <row r="4482" spans="1:15" x14ac:dyDescent="0.2">
      <c r="A4482" s="111">
        <v>4606</v>
      </c>
      <c r="B4482" s="421" t="s">
        <v>1327</v>
      </c>
      <c r="C4482" s="421" t="s">
        <v>534</v>
      </c>
      <c r="D4482" s="422" t="s">
        <v>666</v>
      </c>
      <c r="E4482" s="111">
        <v>16595</v>
      </c>
      <c r="F4482" s="421" t="s">
        <v>7915</v>
      </c>
    </row>
    <row r="4483" spans="1:15" x14ac:dyDescent="0.2">
      <c r="A4483" s="111">
        <v>4607</v>
      </c>
      <c r="B4483" s="421" t="s">
        <v>257</v>
      </c>
      <c r="C4483" s="421" t="s">
        <v>501</v>
      </c>
      <c r="D4483" s="422" t="s">
        <v>663</v>
      </c>
      <c r="E4483" s="111">
        <v>16596</v>
      </c>
      <c r="F4483" s="421" t="s">
        <v>7932</v>
      </c>
      <c r="G4483" s="112">
        <v>1</v>
      </c>
      <c r="H4483" s="112">
        <v>1</v>
      </c>
      <c r="I4483" s="112">
        <v>1</v>
      </c>
      <c r="J4483" s="112">
        <v>5</v>
      </c>
      <c r="K4483" s="112">
        <v>5</v>
      </c>
      <c r="L4483" s="112">
        <v>4</v>
      </c>
      <c r="M4483" s="112">
        <v>2</v>
      </c>
      <c r="N4483" s="112">
        <v>1</v>
      </c>
      <c r="O4483" s="112">
        <v>2</v>
      </c>
    </row>
    <row r="4484" spans="1:15" x14ac:dyDescent="0.2">
      <c r="A4484" s="111">
        <v>4608</v>
      </c>
      <c r="B4484" s="421" t="s">
        <v>1903</v>
      </c>
      <c r="C4484" s="421" t="s">
        <v>510</v>
      </c>
      <c r="D4484" s="422" t="s">
        <v>663</v>
      </c>
      <c r="E4484" s="111">
        <v>16597</v>
      </c>
      <c r="F4484" s="421" t="s">
        <v>7928</v>
      </c>
      <c r="G4484" s="112">
        <v>1</v>
      </c>
      <c r="H4484" s="112">
        <v>1</v>
      </c>
      <c r="I4484" s="112">
        <v>1</v>
      </c>
      <c r="J4484" s="112">
        <v>5</v>
      </c>
      <c r="K4484" s="112">
        <v>5</v>
      </c>
      <c r="L4484" s="112">
        <v>4</v>
      </c>
      <c r="M4484" s="112">
        <v>4</v>
      </c>
      <c r="N4484" s="112">
        <v>3</v>
      </c>
      <c r="O4484" s="112">
        <v>3</v>
      </c>
    </row>
    <row r="4485" spans="1:15" x14ac:dyDescent="0.2">
      <c r="A4485" s="111">
        <v>4609</v>
      </c>
      <c r="B4485" s="421" t="s">
        <v>7876</v>
      </c>
      <c r="C4485" s="421" t="s">
        <v>501</v>
      </c>
      <c r="D4485" s="422" t="s">
        <v>666</v>
      </c>
      <c r="E4485" s="111">
        <v>17009</v>
      </c>
      <c r="F4485" s="421" t="s">
        <v>7933</v>
      </c>
      <c r="G4485" s="112">
        <v>1</v>
      </c>
      <c r="H4485" s="112">
        <v>1</v>
      </c>
      <c r="I4485" s="112">
        <v>1</v>
      </c>
      <c r="J4485" s="112">
        <v>3</v>
      </c>
      <c r="K4485" s="112">
        <v>2</v>
      </c>
      <c r="L4485" s="112">
        <v>2</v>
      </c>
      <c r="M4485" s="112">
        <v>1</v>
      </c>
      <c r="N4485" s="112">
        <v>1</v>
      </c>
      <c r="O4485" s="112">
        <v>1</v>
      </c>
    </row>
    <row r="4486" spans="1:15" x14ac:dyDescent="0.2">
      <c r="A4486" s="111">
        <v>4610</v>
      </c>
      <c r="B4486" s="421" t="s">
        <v>7863</v>
      </c>
      <c r="C4486" s="421" t="s">
        <v>1908</v>
      </c>
      <c r="D4486" s="422" t="s">
        <v>666</v>
      </c>
      <c r="E4486" s="111">
        <v>44446</v>
      </c>
      <c r="F4486" s="421" t="s">
        <v>7906</v>
      </c>
      <c r="G4486" s="112">
        <v>1</v>
      </c>
      <c r="H4486" s="112">
        <v>1</v>
      </c>
      <c r="I4486" s="112">
        <v>1</v>
      </c>
      <c r="J4486" s="112">
        <v>1</v>
      </c>
      <c r="K4486" s="112">
        <v>1</v>
      </c>
      <c r="L4486" s="112">
        <v>1</v>
      </c>
      <c r="N4486" s="112">
        <v>1</v>
      </c>
      <c r="O4486" s="112">
        <v>1</v>
      </c>
    </row>
    <row r="4487" spans="1:15" x14ac:dyDescent="0.2">
      <c r="A4487" s="111">
        <v>4611</v>
      </c>
      <c r="B4487" s="421" t="s">
        <v>7884</v>
      </c>
      <c r="C4487" s="421" t="s">
        <v>570</v>
      </c>
      <c r="D4487" s="422" t="s">
        <v>666</v>
      </c>
      <c r="F4487" s="421" t="s">
        <v>7949</v>
      </c>
      <c r="G4487" s="112">
        <v>1</v>
      </c>
    </row>
    <row r="4488" spans="1:15" x14ac:dyDescent="0.2">
      <c r="A4488" s="111">
        <v>4612</v>
      </c>
      <c r="B4488" s="421" t="s">
        <v>2465</v>
      </c>
      <c r="C4488" s="421" t="s">
        <v>501</v>
      </c>
      <c r="D4488" s="422" t="s">
        <v>666</v>
      </c>
      <c r="E4488" s="111">
        <v>44364</v>
      </c>
      <c r="F4488" s="421" t="s">
        <v>7939</v>
      </c>
      <c r="G4488" s="112">
        <v>1</v>
      </c>
      <c r="H4488" s="112">
        <v>1</v>
      </c>
      <c r="I4488" s="112">
        <v>1</v>
      </c>
      <c r="J4488" s="112">
        <v>4</v>
      </c>
      <c r="K4488" s="112">
        <v>3</v>
      </c>
      <c r="L4488" s="112">
        <v>4</v>
      </c>
      <c r="M4488" s="112">
        <v>1</v>
      </c>
    </row>
    <row r="4489" spans="1:15" x14ac:dyDescent="0.2">
      <c r="A4489" s="111">
        <v>4613</v>
      </c>
      <c r="B4489" s="421" t="s">
        <v>3826</v>
      </c>
      <c r="C4489" s="421" t="s">
        <v>506</v>
      </c>
      <c r="D4489" s="422" t="s">
        <v>666</v>
      </c>
      <c r="F4489" s="421" t="s">
        <v>7962</v>
      </c>
      <c r="H4489" s="112">
        <v>1</v>
      </c>
    </row>
    <row r="4490" spans="1:15" x14ac:dyDescent="0.2">
      <c r="A4490" s="111">
        <v>4614</v>
      </c>
      <c r="B4490" s="421" t="s">
        <v>7146</v>
      </c>
      <c r="C4490" s="421" t="s">
        <v>5506</v>
      </c>
      <c r="D4490" s="422" t="s">
        <v>663</v>
      </c>
      <c r="E4490" s="111">
        <v>16598</v>
      </c>
      <c r="F4490" s="421" t="s">
        <v>7966</v>
      </c>
    </row>
    <row r="4491" spans="1:15" x14ac:dyDescent="0.2">
      <c r="A4491" s="111">
        <v>4615</v>
      </c>
      <c r="B4491" s="421" t="s">
        <v>259</v>
      </c>
      <c r="C4491" s="421" t="s">
        <v>551</v>
      </c>
      <c r="D4491" s="422" t="s">
        <v>666</v>
      </c>
      <c r="E4491" s="111">
        <v>16599</v>
      </c>
      <c r="F4491" s="421" t="s">
        <v>7947</v>
      </c>
      <c r="G4491" s="112">
        <v>1</v>
      </c>
      <c r="H4491" s="112">
        <v>1</v>
      </c>
      <c r="I4491" s="112">
        <v>1</v>
      </c>
      <c r="J4491" s="112">
        <v>7</v>
      </c>
      <c r="K4491" s="112">
        <v>9</v>
      </c>
      <c r="L4491" s="112">
        <v>7</v>
      </c>
      <c r="M4491" s="112">
        <v>4</v>
      </c>
      <c r="N4491" s="112">
        <v>3</v>
      </c>
      <c r="O4491" s="112">
        <v>3</v>
      </c>
    </row>
    <row r="4492" spans="1:15" x14ac:dyDescent="0.2">
      <c r="A4492" s="111">
        <v>4616</v>
      </c>
      <c r="B4492" s="421" t="s">
        <v>6785</v>
      </c>
      <c r="C4492" s="421" t="s">
        <v>551</v>
      </c>
      <c r="D4492" s="422" t="s">
        <v>666</v>
      </c>
      <c r="E4492" s="111">
        <v>16600</v>
      </c>
      <c r="F4492" s="421" t="s">
        <v>7950</v>
      </c>
      <c r="G4492" s="112">
        <v>1</v>
      </c>
      <c r="H4492" s="112">
        <v>1</v>
      </c>
      <c r="I4492" s="112">
        <v>1</v>
      </c>
    </row>
    <row r="4493" spans="1:15" x14ac:dyDescent="0.2">
      <c r="A4493" s="111">
        <v>4617</v>
      </c>
      <c r="B4493" s="421" t="s">
        <v>7897</v>
      </c>
      <c r="C4493" s="421" t="s">
        <v>501</v>
      </c>
      <c r="D4493" s="422" t="s">
        <v>666</v>
      </c>
      <c r="E4493" s="111">
        <v>16601</v>
      </c>
      <c r="F4493" s="421" t="s">
        <v>7970</v>
      </c>
      <c r="G4493" s="112">
        <v>1</v>
      </c>
      <c r="H4493" s="112">
        <v>1</v>
      </c>
      <c r="I4493" s="112">
        <v>1</v>
      </c>
      <c r="J4493" s="112">
        <v>7</v>
      </c>
      <c r="K4493" s="112">
        <v>7</v>
      </c>
      <c r="L4493" s="112">
        <v>7</v>
      </c>
      <c r="M4493" s="112">
        <v>5</v>
      </c>
      <c r="N4493" s="112">
        <v>4</v>
      </c>
      <c r="O4493" s="112">
        <v>5</v>
      </c>
    </row>
    <row r="4494" spans="1:15" x14ac:dyDescent="0.2">
      <c r="A4494" s="111">
        <v>4618</v>
      </c>
      <c r="B4494" s="421" t="s">
        <v>5605</v>
      </c>
      <c r="C4494" s="421" t="s">
        <v>506</v>
      </c>
      <c r="D4494" s="422" t="s">
        <v>666</v>
      </c>
      <c r="E4494" s="111">
        <v>16602</v>
      </c>
      <c r="F4494" s="421" t="s">
        <v>7903</v>
      </c>
      <c r="G4494" s="112">
        <v>1</v>
      </c>
      <c r="H4494" s="112">
        <v>1</v>
      </c>
    </row>
    <row r="4495" spans="1:15" x14ac:dyDescent="0.2">
      <c r="A4495" s="111">
        <v>4620</v>
      </c>
      <c r="B4495" s="421" t="s">
        <v>7868</v>
      </c>
      <c r="C4495" s="421" t="s">
        <v>510</v>
      </c>
      <c r="D4495" s="422" t="s">
        <v>663</v>
      </c>
      <c r="E4495" s="111">
        <v>16603</v>
      </c>
      <c r="F4495" s="421" t="s">
        <v>7911</v>
      </c>
    </row>
    <row r="4496" spans="1:15" x14ac:dyDescent="0.2">
      <c r="A4496" s="111">
        <v>4621</v>
      </c>
      <c r="B4496" s="421" t="s">
        <v>110</v>
      </c>
      <c r="C4496" s="421" t="s">
        <v>530</v>
      </c>
      <c r="D4496" s="422" t="s">
        <v>663</v>
      </c>
      <c r="E4496" s="111">
        <v>16604</v>
      </c>
      <c r="F4496" s="421" t="s">
        <v>7969</v>
      </c>
      <c r="G4496" s="112">
        <v>2</v>
      </c>
      <c r="H4496" s="112">
        <v>2</v>
      </c>
      <c r="I4496" s="112">
        <v>1</v>
      </c>
      <c r="J4496" s="112">
        <v>2</v>
      </c>
      <c r="K4496" s="112">
        <v>1</v>
      </c>
      <c r="L4496" s="112">
        <v>1</v>
      </c>
    </row>
    <row r="4497" spans="1:15" x14ac:dyDescent="0.2">
      <c r="A4497" s="111">
        <v>4622</v>
      </c>
      <c r="B4497" s="421" t="s">
        <v>6309</v>
      </c>
      <c r="C4497" s="421" t="s">
        <v>502</v>
      </c>
      <c r="D4497" s="422" t="s">
        <v>666</v>
      </c>
      <c r="F4497" s="421" t="s">
        <v>7902</v>
      </c>
    </row>
    <row r="4498" spans="1:15" x14ac:dyDescent="0.2">
      <c r="A4498" s="111">
        <v>4623</v>
      </c>
      <c r="B4498" s="421" t="s">
        <v>7866</v>
      </c>
      <c r="C4498" s="421" t="s">
        <v>7405</v>
      </c>
      <c r="D4498" s="422" t="s">
        <v>663</v>
      </c>
      <c r="E4498" s="111">
        <v>16087</v>
      </c>
      <c r="F4498" s="421" t="s">
        <v>6322</v>
      </c>
      <c r="G4498" s="112">
        <v>2</v>
      </c>
      <c r="H4498" s="112">
        <v>2</v>
      </c>
      <c r="I4498" s="112">
        <v>2</v>
      </c>
      <c r="J4498" s="112">
        <v>10</v>
      </c>
      <c r="K4498" s="112">
        <v>12</v>
      </c>
      <c r="L4498" s="112">
        <v>11</v>
      </c>
      <c r="M4498" s="112">
        <v>4</v>
      </c>
      <c r="N4498" s="112">
        <v>3</v>
      </c>
      <c r="O4498" s="112">
        <v>6</v>
      </c>
    </row>
    <row r="4499" spans="1:15" x14ac:dyDescent="0.2">
      <c r="A4499" s="111">
        <v>4624</v>
      </c>
      <c r="B4499" s="421" t="s">
        <v>148</v>
      </c>
      <c r="C4499" s="421" t="s">
        <v>501</v>
      </c>
      <c r="D4499" s="422" t="s">
        <v>666</v>
      </c>
      <c r="E4499" s="111">
        <v>17059</v>
      </c>
      <c r="F4499" s="421" t="s">
        <v>7935</v>
      </c>
      <c r="G4499" s="112">
        <v>1</v>
      </c>
      <c r="H4499" s="112">
        <v>1</v>
      </c>
      <c r="I4499" s="112">
        <v>1</v>
      </c>
    </row>
    <row r="4500" spans="1:15" x14ac:dyDescent="0.2">
      <c r="A4500" s="111">
        <v>4625</v>
      </c>
      <c r="B4500" s="421" t="s">
        <v>2133</v>
      </c>
      <c r="C4500" s="421" t="s">
        <v>1112</v>
      </c>
      <c r="D4500" s="422" t="s">
        <v>666</v>
      </c>
      <c r="E4500" s="111">
        <v>16605</v>
      </c>
      <c r="F4500" s="421" t="s">
        <v>7951</v>
      </c>
      <c r="G4500" s="112">
        <v>1</v>
      </c>
      <c r="H4500" s="112">
        <v>1</v>
      </c>
      <c r="I4500" s="112">
        <v>1</v>
      </c>
      <c r="J4500" s="112">
        <v>1</v>
      </c>
      <c r="L4500" s="112">
        <v>1</v>
      </c>
    </row>
    <row r="4501" spans="1:15" x14ac:dyDescent="0.2">
      <c r="A4501" s="111">
        <v>4626</v>
      </c>
      <c r="B4501" s="421" t="s">
        <v>266</v>
      </c>
      <c r="C4501" s="421" t="s">
        <v>551</v>
      </c>
      <c r="D4501" s="422" t="s">
        <v>663</v>
      </c>
      <c r="E4501" s="111">
        <v>15360</v>
      </c>
      <c r="F4501" s="421" t="s">
        <v>3899</v>
      </c>
      <c r="G4501" s="112">
        <v>1</v>
      </c>
      <c r="H4501" s="112">
        <v>1</v>
      </c>
      <c r="I4501" s="112">
        <v>1</v>
      </c>
      <c r="J4501" s="112">
        <v>3</v>
      </c>
      <c r="K4501" s="112">
        <v>1</v>
      </c>
      <c r="L4501" s="112">
        <v>1</v>
      </c>
    </row>
    <row r="4502" spans="1:15" x14ac:dyDescent="0.2">
      <c r="A4502" s="111">
        <v>4627</v>
      </c>
      <c r="B4502" s="421" t="s">
        <v>132</v>
      </c>
      <c r="C4502" s="421" t="s">
        <v>513</v>
      </c>
      <c r="D4502" s="422" t="s">
        <v>666</v>
      </c>
      <c r="E4502" s="111">
        <v>16607</v>
      </c>
      <c r="F4502" s="421" t="s">
        <v>7936</v>
      </c>
      <c r="G4502" s="112">
        <v>1</v>
      </c>
      <c r="H4502" s="112">
        <v>1</v>
      </c>
      <c r="K4502" s="112">
        <v>1</v>
      </c>
    </row>
    <row r="4503" spans="1:15" x14ac:dyDescent="0.2">
      <c r="A4503" s="111">
        <v>4628</v>
      </c>
      <c r="B4503" s="421" t="s">
        <v>2911</v>
      </c>
      <c r="C4503" s="421" t="s">
        <v>509</v>
      </c>
      <c r="D4503" s="422" t="s">
        <v>663</v>
      </c>
      <c r="E4503" s="111">
        <v>15931</v>
      </c>
      <c r="F4503" s="421" t="s">
        <v>5745</v>
      </c>
      <c r="G4503" s="112">
        <v>2</v>
      </c>
      <c r="H4503" s="112">
        <v>2</v>
      </c>
      <c r="I4503" s="112">
        <v>2</v>
      </c>
      <c r="J4503" s="112">
        <v>3</v>
      </c>
      <c r="K4503" s="112">
        <v>5</v>
      </c>
      <c r="L4503" s="112">
        <v>3</v>
      </c>
      <c r="M4503" s="112">
        <v>4</v>
      </c>
      <c r="N4503" s="112">
        <v>2</v>
      </c>
      <c r="O4503" s="112">
        <v>3</v>
      </c>
    </row>
    <row r="4504" spans="1:15" x14ac:dyDescent="0.2">
      <c r="A4504" s="111">
        <v>4629</v>
      </c>
      <c r="B4504" s="421" t="s">
        <v>8015</v>
      </c>
      <c r="C4504" s="421" t="s">
        <v>551</v>
      </c>
      <c r="D4504" s="422" t="s">
        <v>666</v>
      </c>
      <c r="E4504" s="111">
        <v>16501</v>
      </c>
      <c r="F4504" s="421" t="s">
        <v>7726</v>
      </c>
      <c r="G4504" s="112">
        <v>1</v>
      </c>
      <c r="H4504" s="112">
        <v>1</v>
      </c>
      <c r="I4504" s="112">
        <v>1</v>
      </c>
      <c r="J4504" s="112">
        <v>8</v>
      </c>
      <c r="K4504" s="112">
        <v>8</v>
      </c>
      <c r="L4504" s="112">
        <v>8</v>
      </c>
      <c r="M4504" s="112">
        <v>5</v>
      </c>
      <c r="N4504" s="112">
        <v>3</v>
      </c>
      <c r="O4504" s="112">
        <v>3</v>
      </c>
    </row>
    <row r="4505" spans="1:15" x14ac:dyDescent="0.2">
      <c r="A4505" s="111">
        <v>4630</v>
      </c>
      <c r="B4505" s="421" t="s">
        <v>2436</v>
      </c>
      <c r="C4505" s="421" t="s">
        <v>551</v>
      </c>
      <c r="D4505" s="422" t="s">
        <v>663</v>
      </c>
      <c r="E4505" s="111">
        <v>16501</v>
      </c>
      <c r="F4505" s="421" t="s">
        <v>7726</v>
      </c>
      <c r="G4505" s="112">
        <v>1</v>
      </c>
      <c r="H4505" s="112">
        <v>1</v>
      </c>
      <c r="I4505" s="112">
        <v>1</v>
      </c>
      <c r="J4505" s="112">
        <v>5</v>
      </c>
      <c r="K4505" s="112">
        <v>5</v>
      </c>
      <c r="L4505" s="112">
        <v>6</v>
      </c>
    </row>
    <row r="4506" spans="1:15" x14ac:dyDescent="0.2">
      <c r="A4506" s="111">
        <v>4631</v>
      </c>
      <c r="B4506" s="421" t="s">
        <v>8019</v>
      </c>
      <c r="C4506" s="421" t="s">
        <v>1870</v>
      </c>
      <c r="D4506" s="422" t="s">
        <v>663</v>
      </c>
      <c r="E4506" s="111">
        <v>16609</v>
      </c>
      <c r="F4506" s="421" t="s">
        <v>8045</v>
      </c>
      <c r="G4506" s="112">
        <v>1</v>
      </c>
      <c r="H4506" s="112">
        <v>1</v>
      </c>
      <c r="I4506" s="112">
        <v>1</v>
      </c>
    </row>
    <row r="4507" spans="1:15" x14ac:dyDescent="0.2">
      <c r="A4507" s="111">
        <v>4632</v>
      </c>
      <c r="B4507" s="421" t="s">
        <v>8014</v>
      </c>
      <c r="C4507" s="421" t="s">
        <v>510</v>
      </c>
      <c r="D4507" s="422" t="s">
        <v>663</v>
      </c>
      <c r="E4507" s="111">
        <v>16610</v>
      </c>
      <c r="F4507" s="421" t="s">
        <v>8040</v>
      </c>
      <c r="H4507" s="112">
        <v>1</v>
      </c>
    </row>
    <row r="4508" spans="1:15" x14ac:dyDescent="0.2">
      <c r="A4508" s="111">
        <v>4633</v>
      </c>
      <c r="B4508" s="421" t="s">
        <v>6984</v>
      </c>
      <c r="C4508" s="421" t="s">
        <v>510</v>
      </c>
      <c r="D4508" s="422" t="s">
        <v>663</v>
      </c>
      <c r="E4508" s="111">
        <v>16610</v>
      </c>
      <c r="F4508" s="421" t="s">
        <v>8040</v>
      </c>
    </row>
    <row r="4509" spans="1:15" x14ac:dyDescent="0.2">
      <c r="A4509" s="111">
        <v>4634</v>
      </c>
      <c r="B4509" s="421" t="s">
        <v>8022</v>
      </c>
      <c r="C4509" s="421" t="s">
        <v>501</v>
      </c>
      <c r="D4509" s="422" t="s">
        <v>663</v>
      </c>
      <c r="E4509" s="111">
        <v>16611</v>
      </c>
      <c r="F4509" s="421" t="s">
        <v>8050</v>
      </c>
    </row>
    <row r="4510" spans="1:15" x14ac:dyDescent="0.2">
      <c r="A4510" s="111">
        <v>4635</v>
      </c>
      <c r="B4510" s="421" t="s">
        <v>8025</v>
      </c>
      <c r="C4510" s="421" t="s">
        <v>563</v>
      </c>
      <c r="D4510" s="422" t="s">
        <v>666</v>
      </c>
      <c r="E4510" s="111">
        <v>16612</v>
      </c>
      <c r="F4510" s="421" t="s">
        <v>8056</v>
      </c>
      <c r="G4510" s="112">
        <v>1</v>
      </c>
      <c r="H4510" s="112">
        <v>1</v>
      </c>
      <c r="I4510" s="112">
        <v>1</v>
      </c>
    </row>
    <row r="4511" spans="1:15" x14ac:dyDescent="0.2">
      <c r="A4511" s="111">
        <v>4636</v>
      </c>
      <c r="B4511" s="421" t="s">
        <v>3572</v>
      </c>
      <c r="C4511" s="421" t="s">
        <v>510</v>
      </c>
      <c r="D4511" s="422" t="s">
        <v>663</v>
      </c>
      <c r="E4511" s="111">
        <v>17010</v>
      </c>
      <c r="F4511" s="421" t="s">
        <v>8051</v>
      </c>
      <c r="G4511" s="112">
        <v>1</v>
      </c>
      <c r="H4511" s="112">
        <v>1</v>
      </c>
      <c r="I4511" s="112">
        <v>1</v>
      </c>
      <c r="J4511" s="112">
        <v>4</v>
      </c>
      <c r="K4511" s="112">
        <v>3</v>
      </c>
      <c r="L4511" s="112">
        <v>2</v>
      </c>
    </row>
    <row r="4512" spans="1:15" x14ac:dyDescent="0.2">
      <c r="A4512" s="111">
        <v>4637</v>
      </c>
      <c r="B4512" s="421" t="s">
        <v>5577</v>
      </c>
      <c r="C4512" s="421" t="s">
        <v>4900</v>
      </c>
      <c r="D4512" s="422" t="s">
        <v>663</v>
      </c>
      <c r="E4512" s="111">
        <v>14823</v>
      </c>
      <c r="F4512" s="421" t="s">
        <v>2474</v>
      </c>
      <c r="G4512" s="112">
        <v>6</v>
      </c>
      <c r="H4512" s="112">
        <v>6</v>
      </c>
      <c r="I4512" s="112">
        <v>4</v>
      </c>
      <c r="J4512" s="112">
        <v>13</v>
      </c>
      <c r="K4512" s="112">
        <v>13</v>
      </c>
      <c r="L4512" s="112">
        <v>9</v>
      </c>
      <c r="M4512" s="112">
        <v>4</v>
      </c>
      <c r="O4512" s="112">
        <v>4</v>
      </c>
    </row>
    <row r="4513" spans="1:15" x14ac:dyDescent="0.2">
      <c r="A4513" s="111">
        <v>4638</v>
      </c>
      <c r="B4513" s="421" t="s">
        <v>80</v>
      </c>
      <c r="C4513" s="421" t="s">
        <v>501</v>
      </c>
      <c r="D4513" s="422" t="s">
        <v>663</v>
      </c>
      <c r="E4513" s="111">
        <v>44101</v>
      </c>
      <c r="F4513" s="421" t="s">
        <v>8039</v>
      </c>
    </row>
    <row r="4514" spans="1:15" x14ac:dyDescent="0.2">
      <c r="A4514" s="111">
        <v>4639</v>
      </c>
      <c r="B4514" s="421" t="s">
        <v>8016</v>
      </c>
      <c r="C4514" s="421" t="s">
        <v>506</v>
      </c>
      <c r="D4514" s="422" t="s">
        <v>663</v>
      </c>
      <c r="E4514" s="111">
        <v>16613</v>
      </c>
      <c r="F4514" s="421" t="s">
        <v>8043</v>
      </c>
      <c r="G4514" s="112">
        <v>1</v>
      </c>
      <c r="H4514" s="112">
        <v>1</v>
      </c>
      <c r="I4514" s="112">
        <v>1</v>
      </c>
    </row>
    <row r="4515" spans="1:15" x14ac:dyDescent="0.2">
      <c r="A4515" s="111">
        <v>4640</v>
      </c>
      <c r="B4515" s="421" t="s">
        <v>2204</v>
      </c>
      <c r="C4515" s="421" t="s">
        <v>3443</v>
      </c>
      <c r="D4515" s="422" t="s">
        <v>666</v>
      </c>
      <c r="E4515" s="111">
        <v>16614</v>
      </c>
      <c r="F4515" s="421" t="s">
        <v>8034</v>
      </c>
      <c r="H4515" s="112">
        <v>1</v>
      </c>
      <c r="I4515" s="112">
        <v>1</v>
      </c>
    </row>
    <row r="4516" spans="1:15" x14ac:dyDescent="0.2">
      <c r="A4516" s="111">
        <v>4641</v>
      </c>
      <c r="B4516" s="421" t="s">
        <v>5752</v>
      </c>
      <c r="C4516" s="421" t="s">
        <v>501</v>
      </c>
      <c r="D4516" s="422" t="s">
        <v>666</v>
      </c>
      <c r="E4516" s="111">
        <v>16608</v>
      </c>
      <c r="F4516" s="421" t="s">
        <v>8029</v>
      </c>
      <c r="G4516" s="112">
        <v>1</v>
      </c>
      <c r="H4516" s="112">
        <v>1</v>
      </c>
      <c r="I4516" s="112">
        <v>1</v>
      </c>
      <c r="J4516" s="112">
        <v>9</v>
      </c>
      <c r="K4516" s="112">
        <v>9</v>
      </c>
      <c r="L4516" s="112">
        <v>9</v>
      </c>
      <c r="M4516" s="112">
        <v>14</v>
      </c>
      <c r="N4516" s="112">
        <v>10</v>
      </c>
      <c r="O4516" s="112">
        <v>10</v>
      </c>
    </row>
    <row r="4517" spans="1:15" x14ac:dyDescent="0.2">
      <c r="A4517" s="111">
        <v>4642</v>
      </c>
      <c r="B4517" s="421" t="s">
        <v>8008</v>
      </c>
      <c r="C4517" s="421" t="s">
        <v>532</v>
      </c>
      <c r="D4517" s="422" t="s">
        <v>663</v>
      </c>
      <c r="E4517" s="111">
        <v>16615</v>
      </c>
      <c r="F4517" s="421" t="s">
        <v>1061</v>
      </c>
    </row>
    <row r="4518" spans="1:15" x14ac:dyDescent="0.2">
      <c r="A4518" s="111">
        <v>4643</v>
      </c>
      <c r="B4518" s="421" t="s">
        <v>4895</v>
      </c>
      <c r="C4518" s="421" t="s">
        <v>532</v>
      </c>
      <c r="D4518" s="422" t="s">
        <v>666</v>
      </c>
      <c r="E4518" s="111">
        <v>16615</v>
      </c>
      <c r="F4518" s="421" t="s">
        <v>1061</v>
      </c>
      <c r="G4518" s="112">
        <v>1</v>
      </c>
      <c r="H4518" s="112">
        <v>1</v>
      </c>
      <c r="I4518" s="112">
        <v>1</v>
      </c>
    </row>
    <row r="4519" spans="1:15" x14ac:dyDescent="0.2">
      <c r="A4519" s="111">
        <v>4644</v>
      </c>
      <c r="B4519" s="421" t="s">
        <v>8021</v>
      </c>
      <c r="C4519" s="421" t="s">
        <v>560</v>
      </c>
      <c r="D4519" s="422" t="s">
        <v>663</v>
      </c>
      <c r="E4519" s="111">
        <v>16616</v>
      </c>
      <c r="F4519" s="421" t="s">
        <v>8047</v>
      </c>
      <c r="G4519" s="112">
        <v>1</v>
      </c>
      <c r="H4519" s="112">
        <v>1</v>
      </c>
      <c r="I4519" s="112">
        <v>1</v>
      </c>
      <c r="J4519" s="112">
        <v>1</v>
      </c>
    </row>
    <row r="4520" spans="1:15" x14ac:dyDescent="0.2">
      <c r="A4520" s="111">
        <v>4645</v>
      </c>
      <c r="B4520" s="421" t="s">
        <v>253</v>
      </c>
      <c r="C4520" s="421" t="s">
        <v>582</v>
      </c>
      <c r="D4520" s="422" t="s">
        <v>666</v>
      </c>
      <c r="E4520" s="111">
        <v>16617</v>
      </c>
      <c r="F4520" s="421" t="s">
        <v>8026</v>
      </c>
    </row>
    <row r="4521" spans="1:15" x14ac:dyDescent="0.2">
      <c r="A4521" s="111">
        <v>4646</v>
      </c>
      <c r="B4521" s="421" t="s">
        <v>119</v>
      </c>
      <c r="C4521" s="421" t="s">
        <v>551</v>
      </c>
      <c r="D4521" s="422" t="s">
        <v>663</v>
      </c>
      <c r="E4521" s="111">
        <v>16618</v>
      </c>
      <c r="F4521" s="421" t="s">
        <v>8055</v>
      </c>
      <c r="G4521" s="112">
        <v>2</v>
      </c>
      <c r="H4521" s="112">
        <v>1</v>
      </c>
      <c r="I4521" s="112">
        <v>1</v>
      </c>
      <c r="J4521" s="112">
        <v>2</v>
      </c>
      <c r="K4521" s="112">
        <v>1</v>
      </c>
      <c r="L4521" s="112">
        <v>1</v>
      </c>
    </row>
    <row r="4522" spans="1:15" x14ac:dyDescent="0.2">
      <c r="A4522" s="111">
        <v>4647</v>
      </c>
      <c r="B4522" s="421" t="s">
        <v>8009</v>
      </c>
      <c r="C4522" s="421" t="s">
        <v>523</v>
      </c>
      <c r="D4522" s="422" t="s">
        <v>663</v>
      </c>
      <c r="E4522" s="111">
        <v>14574</v>
      </c>
      <c r="F4522" s="421" t="s">
        <v>2214</v>
      </c>
      <c r="G4522" s="112">
        <v>1</v>
      </c>
      <c r="H4522" s="112">
        <v>1</v>
      </c>
      <c r="I4522" s="112">
        <v>1</v>
      </c>
      <c r="J4522" s="112">
        <v>1</v>
      </c>
      <c r="K4522" s="112">
        <v>1</v>
      </c>
      <c r="L4522" s="112">
        <v>2</v>
      </c>
    </row>
    <row r="4523" spans="1:15" x14ac:dyDescent="0.2">
      <c r="A4523" s="111">
        <v>4648</v>
      </c>
      <c r="B4523" s="421" t="s">
        <v>4617</v>
      </c>
      <c r="C4523" s="421" t="s">
        <v>2165</v>
      </c>
      <c r="D4523" s="422" t="s">
        <v>663</v>
      </c>
      <c r="F4523" s="421" t="s">
        <v>8048</v>
      </c>
    </row>
    <row r="4524" spans="1:15" x14ac:dyDescent="0.2">
      <c r="A4524" s="111">
        <v>4649</v>
      </c>
      <c r="B4524" s="421" t="s">
        <v>1357</v>
      </c>
      <c r="C4524" s="421" t="s">
        <v>520</v>
      </c>
      <c r="D4524" s="422" t="s">
        <v>663</v>
      </c>
      <c r="F4524" s="421" t="s">
        <v>8048</v>
      </c>
    </row>
    <row r="4525" spans="1:15" x14ac:dyDescent="0.2">
      <c r="A4525" s="111">
        <v>4650</v>
      </c>
      <c r="B4525" s="421" t="s">
        <v>4191</v>
      </c>
      <c r="C4525" s="421" t="s">
        <v>574</v>
      </c>
      <c r="D4525" s="422" t="s">
        <v>666</v>
      </c>
      <c r="E4525" s="111">
        <v>16619</v>
      </c>
      <c r="F4525" s="421" t="s">
        <v>8035</v>
      </c>
    </row>
    <row r="4526" spans="1:15" x14ac:dyDescent="0.2">
      <c r="A4526" s="111">
        <v>4651</v>
      </c>
      <c r="B4526" s="421" t="s">
        <v>634</v>
      </c>
      <c r="C4526" s="421" t="s">
        <v>574</v>
      </c>
      <c r="D4526" s="422" t="s">
        <v>663</v>
      </c>
      <c r="E4526" s="111">
        <v>16619</v>
      </c>
      <c r="F4526" s="421" t="s">
        <v>8035</v>
      </c>
      <c r="G4526" s="112">
        <v>1</v>
      </c>
      <c r="I4526" s="112">
        <v>1</v>
      </c>
    </row>
    <row r="4527" spans="1:15" x14ac:dyDescent="0.2">
      <c r="A4527" s="111">
        <v>4652</v>
      </c>
      <c r="B4527" s="421" t="s">
        <v>1428</v>
      </c>
      <c r="C4527" s="421" t="s">
        <v>551</v>
      </c>
      <c r="D4527" s="422" t="s">
        <v>663</v>
      </c>
      <c r="E4527" s="111">
        <v>44088</v>
      </c>
      <c r="F4527" s="421" t="s">
        <v>2786</v>
      </c>
      <c r="G4527" s="112">
        <v>3</v>
      </c>
      <c r="H4527" s="112">
        <v>3</v>
      </c>
      <c r="I4527" s="112">
        <v>4</v>
      </c>
      <c r="J4527" s="112">
        <v>5</v>
      </c>
      <c r="K4527" s="112">
        <v>7</v>
      </c>
      <c r="L4527" s="112">
        <v>5</v>
      </c>
      <c r="M4527" s="112">
        <v>7</v>
      </c>
      <c r="N4527" s="112">
        <v>5</v>
      </c>
      <c r="O4527" s="112">
        <v>6</v>
      </c>
    </row>
    <row r="4528" spans="1:15" x14ac:dyDescent="0.2">
      <c r="A4528" s="111">
        <v>4653</v>
      </c>
      <c r="B4528" s="421" t="s">
        <v>3011</v>
      </c>
      <c r="C4528" s="421" t="s">
        <v>503</v>
      </c>
      <c r="D4528" s="422" t="s">
        <v>666</v>
      </c>
      <c r="E4528" s="111">
        <v>16620</v>
      </c>
      <c r="F4528" s="421" t="s">
        <v>8033</v>
      </c>
      <c r="G4528" s="112">
        <v>1</v>
      </c>
      <c r="H4528" s="112">
        <v>1</v>
      </c>
      <c r="I4528" s="112">
        <v>1</v>
      </c>
      <c r="J4528" s="112">
        <v>1</v>
      </c>
      <c r="K4528" s="112">
        <v>1</v>
      </c>
    </row>
    <row r="4529" spans="1:15" x14ac:dyDescent="0.2">
      <c r="A4529" s="111">
        <v>4654</v>
      </c>
      <c r="B4529" s="421" t="s">
        <v>1543</v>
      </c>
      <c r="C4529" s="421" t="s">
        <v>628</v>
      </c>
      <c r="D4529" s="422" t="s">
        <v>663</v>
      </c>
      <c r="E4529" s="111">
        <v>16622</v>
      </c>
      <c r="F4529" s="421" t="s">
        <v>8030</v>
      </c>
      <c r="G4529" s="112">
        <v>2</v>
      </c>
      <c r="H4529" s="112">
        <v>2</v>
      </c>
      <c r="I4529" s="112">
        <v>1</v>
      </c>
    </row>
    <row r="4530" spans="1:15" x14ac:dyDescent="0.2">
      <c r="A4530" s="111">
        <v>4655</v>
      </c>
      <c r="B4530" s="421" t="s">
        <v>1911</v>
      </c>
      <c r="C4530" s="421" t="s">
        <v>503</v>
      </c>
      <c r="D4530" s="422" t="s">
        <v>663</v>
      </c>
      <c r="F4530" s="421" t="s">
        <v>8053</v>
      </c>
      <c r="I4530" s="112">
        <v>1</v>
      </c>
    </row>
    <row r="4531" spans="1:15" x14ac:dyDescent="0.2">
      <c r="A4531" s="111">
        <v>4656</v>
      </c>
      <c r="B4531" s="421" t="s">
        <v>448</v>
      </c>
      <c r="C4531" s="421" t="s">
        <v>550</v>
      </c>
      <c r="D4531" s="422" t="s">
        <v>666</v>
      </c>
      <c r="E4531" s="111">
        <v>15816</v>
      </c>
      <c r="F4531" s="421" t="s">
        <v>5470</v>
      </c>
      <c r="G4531" s="112">
        <v>2</v>
      </c>
      <c r="H4531" s="112">
        <v>2</v>
      </c>
      <c r="I4531" s="112">
        <v>2</v>
      </c>
      <c r="J4531" s="112">
        <v>6</v>
      </c>
      <c r="K4531" s="112">
        <v>8</v>
      </c>
      <c r="L4531" s="112">
        <v>5</v>
      </c>
      <c r="M4531" s="112">
        <v>4</v>
      </c>
      <c r="N4531" s="112">
        <v>1</v>
      </c>
    </row>
    <row r="4532" spans="1:15" x14ac:dyDescent="0.2">
      <c r="A4532" s="111">
        <v>4657</v>
      </c>
      <c r="B4532" s="421" t="s">
        <v>598</v>
      </c>
      <c r="C4532" s="421" t="s">
        <v>532</v>
      </c>
      <c r="D4532" s="422" t="s">
        <v>666</v>
      </c>
      <c r="E4532" s="111">
        <v>16623</v>
      </c>
      <c r="F4532" s="421" t="s">
        <v>8037</v>
      </c>
    </row>
    <row r="4533" spans="1:15" x14ac:dyDescent="0.2">
      <c r="A4533" s="111">
        <v>4658</v>
      </c>
      <c r="B4533" s="421" t="s">
        <v>2416</v>
      </c>
      <c r="C4533" s="421" t="s">
        <v>532</v>
      </c>
      <c r="D4533" s="422" t="s">
        <v>663</v>
      </c>
      <c r="E4533" s="111">
        <v>16623</v>
      </c>
      <c r="F4533" s="421" t="s">
        <v>8037</v>
      </c>
      <c r="G4533" s="112">
        <v>1</v>
      </c>
      <c r="H4533" s="112">
        <v>1</v>
      </c>
    </row>
    <row r="4534" spans="1:15" x14ac:dyDescent="0.2">
      <c r="A4534" s="111">
        <v>4659</v>
      </c>
      <c r="B4534" s="421" t="s">
        <v>8011</v>
      </c>
      <c r="C4534" s="421" t="s">
        <v>506</v>
      </c>
      <c r="D4534" s="422" t="s">
        <v>666</v>
      </c>
      <c r="F4534" s="421" t="s">
        <v>8028</v>
      </c>
    </row>
    <row r="4535" spans="1:15" x14ac:dyDescent="0.2">
      <c r="A4535" s="111">
        <v>4660</v>
      </c>
      <c r="B4535" s="421" t="s">
        <v>8013</v>
      </c>
      <c r="C4535" s="421" t="s">
        <v>501</v>
      </c>
      <c r="D4535" s="422" t="s">
        <v>663</v>
      </c>
      <c r="E4535" s="111">
        <v>16624</v>
      </c>
      <c r="F4535" s="421" t="s">
        <v>8032</v>
      </c>
    </row>
    <row r="4536" spans="1:15" x14ac:dyDescent="0.2">
      <c r="A4536" s="111">
        <v>4661</v>
      </c>
      <c r="B4536" s="421" t="s">
        <v>8018</v>
      </c>
      <c r="C4536" s="421" t="s">
        <v>506</v>
      </c>
      <c r="D4536" s="422" t="s">
        <v>663</v>
      </c>
      <c r="E4536" s="111">
        <v>16625</v>
      </c>
      <c r="F4536" s="421" t="s">
        <v>8044</v>
      </c>
      <c r="G4536" s="112">
        <v>2</v>
      </c>
      <c r="H4536" s="112">
        <v>2</v>
      </c>
      <c r="I4536" s="112">
        <v>2</v>
      </c>
      <c r="J4536" s="112">
        <v>2</v>
      </c>
      <c r="K4536" s="112">
        <v>2</v>
      </c>
      <c r="L4536" s="112">
        <v>2</v>
      </c>
      <c r="M4536" s="112">
        <v>7</v>
      </c>
      <c r="N4536" s="112">
        <v>6</v>
      </c>
      <c r="O4536" s="112">
        <v>4</v>
      </c>
    </row>
    <row r="4537" spans="1:15" x14ac:dyDescent="0.2">
      <c r="A4537" s="111">
        <v>4662</v>
      </c>
      <c r="B4537" s="421" t="s">
        <v>8012</v>
      </c>
      <c r="C4537" s="421" t="s">
        <v>503</v>
      </c>
      <c r="D4537" s="422" t="s">
        <v>663</v>
      </c>
      <c r="E4537" s="111">
        <v>15329</v>
      </c>
      <c r="F4537" s="421" t="s">
        <v>3842</v>
      </c>
      <c r="G4537" s="112">
        <v>2</v>
      </c>
      <c r="H4537" s="112">
        <v>1</v>
      </c>
      <c r="I4537" s="112">
        <v>2</v>
      </c>
      <c r="J4537" s="112">
        <v>9</v>
      </c>
      <c r="K4537" s="112">
        <v>7</v>
      </c>
      <c r="L4537" s="112">
        <v>7</v>
      </c>
      <c r="M4537" s="112">
        <v>5</v>
      </c>
      <c r="N4537" s="112">
        <v>5</v>
      </c>
      <c r="O4537" s="112">
        <v>5</v>
      </c>
    </row>
    <row r="4538" spans="1:15" x14ac:dyDescent="0.2">
      <c r="A4538" s="111">
        <v>4663</v>
      </c>
      <c r="B4538" s="421" t="s">
        <v>4329</v>
      </c>
      <c r="C4538" s="421" t="s">
        <v>522</v>
      </c>
      <c r="D4538" s="422" t="s">
        <v>666</v>
      </c>
      <c r="E4538" s="111">
        <v>14257</v>
      </c>
      <c r="F4538" s="421" t="s">
        <v>993</v>
      </c>
      <c r="G4538" s="112">
        <v>1</v>
      </c>
      <c r="H4538" s="112">
        <v>1</v>
      </c>
      <c r="I4538" s="112">
        <v>1</v>
      </c>
      <c r="J4538" s="112">
        <v>2</v>
      </c>
      <c r="K4538" s="112">
        <v>1</v>
      </c>
      <c r="L4538" s="112">
        <v>2</v>
      </c>
    </row>
    <row r="4539" spans="1:15" x14ac:dyDescent="0.2">
      <c r="A4539" s="111">
        <v>4664</v>
      </c>
      <c r="B4539" s="421" t="s">
        <v>8024</v>
      </c>
      <c r="C4539" s="421" t="s">
        <v>551</v>
      </c>
      <c r="D4539" s="422" t="s">
        <v>663</v>
      </c>
      <c r="E4539" s="111">
        <v>14801</v>
      </c>
      <c r="F4539" s="421" t="s">
        <v>7065</v>
      </c>
      <c r="G4539" s="112">
        <v>1</v>
      </c>
      <c r="H4539" s="112">
        <v>1</v>
      </c>
      <c r="I4539" s="112">
        <v>1</v>
      </c>
      <c r="J4539" s="112">
        <v>3</v>
      </c>
      <c r="K4539" s="112">
        <v>3</v>
      </c>
      <c r="L4539" s="112">
        <v>3</v>
      </c>
      <c r="M4539" s="112">
        <v>2</v>
      </c>
      <c r="N4539" s="112">
        <v>2</v>
      </c>
      <c r="O4539" s="112">
        <v>2</v>
      </c>
    </row>
    <row r="4540" spans="1:15" x14ac:dyDescent="0.2">
      <c r="A4540" s="111">
        <v>4665</v>
      </c>
      <c r="B4540" s="421" t="s">
        <v>2792</v>
      </c>
      <c r="C4540" s="421" t="s">
        <v>574</v>
      </c>
      <c r="D4540" s="422" t="s">
        <v>666</v>
      </c>
      <c r="E4540" s="111">
        <v>16629</v>
      </c>
      <c r="F4540" s="421" t="s">
        <v>8027</v>
      </c>
      <c r="I4540" s="112">
        <v>1</v>
      </c>
    </row>
    <row r="4541" spans="1:15" x14ac:dyDescent="0.2">
      <c r="A4541" s="111">
        <v>4666</v>
      </c>
      <c r="B4541" s="421" t="s">
        <v>8010</v>
      </c>
      <c r="C4541" s="421" t="s">
        <v>574</v>
      </c>
      <c r="D4541" s="422" t="s">
        <v>666</v>
      </c>
      <c r="E4541" s="111">
        <v>16629</v>
      </c>
      <c r="F4541" s="421" t="s">
        <v>8027</v>
      </c>
    </row>
    <row r="4542" spans="1:15" x14ac:dyDescent="0.2">
      <c r="A4542" s="111">
        <v>4667</v>
      </c>
      <c r="B4542" s="421" t="s">
        <v>4595</v>
      </c>
      <c r="C4542" s="421" t="s">
        <v>503</v>
      </c>
      <c r="D4542" s="422" t="s">
        <v>666</v>
      </c>
      <c r="E4542" s="111">
        <v>14100</v>
      </c>
      <c r="F4542" s="421" t="s">
        <v>1038</v>
      </c>
      <c r="G4542" s="112">
        <v>1</v>
      </c>
      <c r="H4542" s="112">
        <v>2</v>
      </c>
      <c r="I4542" s="112">
        <v>1</v>
      </c>
      <c r="J4542" s="112">
        <v>3</v>
      </c>
      <c r="K4542" s="112">
        <v>2</v>
      </c>
      <c r="L4542" s="112">
        <v>2</v>
      </c>
    </row>
    <row r="4543" spans="1:15" x14ac:dyDescent="0.2">
      <c r="A4543" s="111">
        <v>4668</v>
      </c>
      <c r="B4543" s="421" t="s">
        <v>1224</v>
      </c>
      <c r="C4543" s="421" t="s">
        <v>501</v>
      </c>
      <c r="D4543" s="422" t="s">
        <v>666</v>
      </c>
      <c r="F4543" s="421" t="s">
        <v>8042</v>
      </c>
    </row>
    <row r="4544" spans="1:15" x14ac:dyDescent="0.2">
      <c r="A4544" s="111">
        <v>4669</v>
      </c>
      <c r="B4544" s="421" t="s">
        <v>1092</v>
      </c>
      <c r="C4544" s="421" t="s">
        <v>577</v>
      </c>
      <c r="D4544" s="422" t="s">
        <v>663</v>
      </c>
      <c r="E4544" s="111">
        <v>16627</v>
      </c>
      <c r="F4544" s="421" t="s">
        <v>8041</v>
      </c>
      <c r="G4544" s="112">
        <v>1</v>
      </c>
      <c r="H4544" s="112">
        <v>1</v>
      </c>
      <c r="I4544" s="112">
        <v>1</v>
      </c>
      <c r="J4544" s="112">
        <v>12</v>
      </c>
      <c r="K4544" s="112">
        <v>7</v>
      </c>
      <c r="L4544" s="112">
        <v>8</v>
      </c>
      <c r="M4544" s="112">
        <v>4</v>
      </c>
      <c r="N4544" s="112">
        <v>3</v>
      </c>
      <c r="O4544" s="112">
        <v>4</v>
      </c>
    </row>
    <row r="4545" spans="1:15" x14ac:dyDescent="0.2">
      <c r="A4545" s="111">
        <v>4670</v>
      </c>
      <c r="B4545" s="421" t="s">
        <v>1676</v>
      </c>
      <c r="C4545" s="421" t="s">
        <v>2872</v>
      </c>
      <c r="D4545" s="422" t="s">
        <v>663</v>
      </c>
      <c r="E4545" s="111">
        <v>16628</v>
      </c>
      <c r="F4545" s="421" t="s">
        <v>8049</v>
      </c>
      <c r="G4545" s="112">
        <v>1</v>
      </c>
      <c r="H4545" s="112">
        <v>2</v>
      </c>
      <c r="I4545" s="112">
        <v>2</v>
      </c>
      <c r="J4545" s="112">
        <v>7</v>
      </c>
      <c r="K4545" s="112">
        <v>9</v>
      </c>
      <c r="L4545" s="112">
        <v>6</v>
      </c>
      <c r="M4545" s="112">
        <v>5</v>
      </c>
      <c r="N4545" s="112">
        <v>2</v>
      </c>
      <c r="O4545" s="112">
        <v>2</v>
      </c>
    </row>
    <row r="4546" spans="1:15" x14ac:dyDescent="0.2">
      <c r="A4546" s="111">
        <v>4671</v>
      </c>
      <c r="B4546" s="421" t="s">
        <v>8023</v>
      </c>
      <c r="C4546" s="421" t="s">
        <v>528</v>
      </c>
      <c r="D4546" s="422" t="s">
        <v>663</v>
      </c>
      <c r="E4546" s="111">
        <v>16630</v>
      </c>
      <c r="F4546" s="421" t="s">
        <v>8052</v>
      </c>
      <c r="G4546" s="112">
        <v>1</v>
      </c>
      <c r="H4546" s="112">
        <v>1</v>
      </c>
      <c r="I4546" s="112">
        <v>1</v>
      </c>
      <c r="J4546" s="112">
        <v>3</v>
      </c>
      <c r="K4546" s="112">
        <v>4</v>
      </c>
      <c r="L4546" s="112">
        <v>3</v>
      </c>
      <c r="N4546" s="112">
        <v>1</v>
      </c>
    </row>
    <row r="4547" spans="1:15" x14ac:dyDescent="0.2">
      <c r="A4547" s="111">
        <v>4672</v>
      </c>
      <c r="B4547" s="421" t="s">
        <v>2780</v>
      </c>
      <c r="C4547" s="421" t="s">
        <v>510</v>
      </c>
      <c r="D4547" s="422" t="s">
        <v>666</v>
      </c>
      <c r="E4547" s="111">
        <v>16631</v>
      </c>
      <c r="F4547" s="421" t="s">
        <v>8054</v>
      </c>
      <c r="G4547" s="112">
        <v>1</v>
      </c>
      <c r="H4547" s="112">
        <v>1</v>
      </c>
      <c r="I4547" s="112">
        <v>1</v>
      </c>
      <c r="J4547" s="112">
        <v>6</v>
      </c>
      <c r="K4547" s="112">
        <v>6</v>
      </c>
      <c r="L4547" s="112">
        <v>6</v>
      </c>
      <c r="M4547" s="112">
        <v>6</v>
      </c>
      <c r="N4547" s="112">
        <v>6</v>
      </c>
      <c r="O4547" s="112">
        <v>5</v>
      </c>
    </row>
    <row r="4548" spans="1:15" x14ac:dyDescent="0.2">
      <c r="A4548" s="111">
        <v>4673</v>
      </c>
      <c r="B4548" s="421" t="s">
        <v>8017</v>
      </c>
      <c r="C4548" s="421" t="s">
        <v>534</v>
      </c>
      <c r="D4548" s="422" t="s">
        <v>663</v>
      </c>
      <c r="E4548" s="111">
        <v>15167</v>
      </c>
      <c r="F4548" s="421" t="s">
        <v>3314</v>
      </c>
      <c r="G4548" s="112">
        <v>1</v>
      </c>
      <c r="H4548" s="112">
        <v>1</v>
      </c>
      <c r="I4548" s="112">
        <v>1</v>
      </c>
      <c r="J4548" s="112">
        <v>2</v>
      </c>
      <c r="K4548" s="112">
        <v>3</v>
      </c>
      <c r="L4548" s="112">
        <v>2</v>
      </c>
      <c r="M4548" s="112">
        <v>6</v>
      </c>
      <c r="N4548" s="112">
        <v>4</v>
      </c>
      <c r="O4548" s="112">
        <v>2</v>
      </c>
    </row>
    <row r="4549" spans="1:15" x14ac:dyDescent="0.2">
      <c r="A4549" s="111">
        <v>4674</v>
      </c>
      <c r="B4549" s="421" t="s">
        <v>8020</v>
      </c>
      <c r="C4549" s="421" t="s">
        <v>518</v>
      </c>
      <c r="D4549" s="422" t="s">
        <v>666</v>
      </c>
      <c r="E4549" s="111">
        <v>16632</v>
      </c>
      <c r="F4549" s="421" t="s">
        <v>8046</v>
      </c>
    </row>
    <row r="4550" spans="1:15" x14ac:dyDescent="0.2">
      <c r="A4550" s="111">
        <v>4675</v>
      </c>
      <c r="B4550" s="421" t="s">
        <v>1782</v>
      </c>
      <c r="C4550" s="421" t="s">
        <v>516</v>
      </c>
      <c r="D4550" s="422" t="s">
        <v>663</v>
      </c>
      <c r="E4550" s="111">
        <v>14990</v>
      </c>
      <c r="F4550" s="421" t="s">
        <v>2879</v>
      </c>
      <c r="G4550" s="112">
        <v>1</v>
      </c>
      <c r="H4550" s="112">
        <v>1</v>
      </c>
      <c r="I4550" s="112">
        <v>1</v>
      </c>
    </row>
    <row r="4551" spans="1:15" x14ac:dyDescent="0.2">
      <c r="A4551" s="111">
        <v>4676</v>
      </c>
      <c r="B4551" s="421" t="s">
        <v>2881</v>
      </c>
      <c r="C4551" s="421" t="s">
        <v>528</v>
      </c>
      <c r="D4551" s="422" t="s">
        <v>663</v>
      </c>
      <c r="E4551" s="111">
        <v>16633</v>
      </c>
      <c r="F4551" s="421" t="s">
        <v>8036</v>
      </c>
      <c r="G4551" s="112">
        <v>1</v>
      </c>
      <c r="H4551" s="112">
        <v>1</v>
      </c>
      <c r="I4551" s="112">
        <v>1</v>
      </c>
      <c r="L4551" s="112">
        <v>1</v>
      </c>
    </row>
    <row r="4552" spans="1:15" x14ac:dyDescent="0.2">
      <c r="A4552" s="111">
        <v>4677</v>
      </c>
      <c r="B4552" s="421" t="s">
        <v>5386</v>
      </c>
      <c r="C4552" s="421" t="s">
        <v>513</v>
      </c>
      <c r="D4552" s="422" t="s">
        <v>666</v>
      </c>
      <c r="F4552" s="421" t="s">
        <v>8031</v>
      </c>
      <c r="G4552" s="112">
        <v>1</v>
      </c>
      <c r="I4552" s="112">
        <v>1</v>
      </c>
    </row>
    <row r="4553" spans="1:15" x14ac:dyDescent="0.2">
      <c r="A4553" s="111">
        <v>4678</v>
      </c>
      <c r="B4553" s="421" t="s">
        <v>128</v>
      </c>
      <c r="C4553" s="421" t="s">
        <v>551</v>
      </c>
      <c r="D4553" s="422" t="s">
        <v>666</v>
      </c>
      <c r="F4553" s="421" t="s">
        <v>2265</v>
      </c>
      <c r="G4553" s="112">
        <v>1</v>
      </c>
      <c r="H4553" s="112">
        <v>1</v>
      </c>
    </row>
    <row r="4554" spans="1:15" x14ac:dyDescent="0.2">
      <c r="A4554" s="111">
        <v>4679</v>
      </c>
      <c r="B4554" s="421" t="s">
        <v>1407</v>
      </c>
      <c r="C4554" s="421" t="s">
        <v>529</v>
      </c>
      <c r="D4554" s="422" t="s">
        <v>666</v>
      </c>
      <c r="E4554" s="111">
        <v>16634</v>
      </c>
      <c r="F4554" s="421" t="s">
        <v>8038</v>
      </c>
      <c r="G4554" s="112">
        <v>1</v>
      </c>
      <c r="H4554" s="112">
        <v>3</v>
      </c>
      <c r="I4554" s="112">
        <v>2</v>
      </c>
      <c r="J4554" s="112">
        <v>5</v>
      </c>
      <c r="K4554" s="112">
        <v>9</v>
      </c>
      <c r="L4554" s="112">
        <v>7</v>
      </c>
      <c r="M4554" s="112">
        <v>2</v>
      </c>
      <c r="N4554" s="112">
        <v>1</v>
      </c>
      <c r="O4554" s="112">
        <v>2</v>
      </c>
    </row>
    <row r="4555" spans="1:15" x14ac:dyDescent="0.2">
      <c r="A4555" s="111">
        <v>4680</v>
      </c>
      <c r="B4555" s="421" t="s">
        <v>8106</v>
      </c>
      <c r="C4555" s="421" t="s">
        <v>502</v>
      </c>
      <c r="D4555" s="422" t="s">
        <v>663</v>
      </c>
      <c r="E4555" s="111">
        <v>16898</v>
      </c>
      <c r="F4555" s="421" t="s">
        <v>8112</v>
      </c>
      <c r="G4555" s="112">
        <v>2</v>
      </c>
      <c r="H4555" s="112">
        <v>2</v>
      </c>
      <c r="I4555" s="112">
        <v>2</v>
      </c>
      <c r="J4555" s="112">
        <v>2</v>
      </c>
      <c r="K4555" s="112">
        <v>3</v>
      </c>
      <c r="L4555" s="112">
        <v>4</v>
      </c>
    </row>
    <row r="4556" spans="1:15" x14ac:dyDescent="0.2">
      <c r="A4556" s="111">
        <v>4681</v>
      </c>
      <c r="B4556" s="421" t="s">
        <v>8108</v>
      </c>
      <c r="C4556" s="421" t="s">
        <v>570</v>
      </c>
      <c r="D4556" s="422" t="s">
        <v>666</v>
      </c>
      <c r="E4556" s="111">
        <v>16510</v>
      </c>
      <c r="F4556" s="421" t="s">
        <v>8122</v>
      </c>
      <c r="G4556" s="112">
        <v>1</v>
      </c>
      <c r="H4556" s="112">
        <v>1</v>
      </c>
      <c r="I4556" s="112">
        <v>1</v>
      </c>
      <c r="J4556" s="112">
        <v>1</v>
      </c>
    </row>
    <row r="4557" spans="1:15" x14ac:dyDescent="0.2">
      <c r="A4557" s="111">
        <v>4682</v>
      </c>
      <c r="B4557" s="421" t="s">
        <v>2507</v>
      </c>
      <c r="C4557" s="421" t="s">
        <v>628</v>
      </c>
      <c r="D4557" s="422" t="s">
        <v>663</v>
      </c>
      <c r="E4557" s="111">
        <v>16635</v>
      </c>
      <c r="F4557" s="421" t="s">
        <v>8120</v>
      </c>
    </row>
    <row r="4558" spans="1:15" x14ac:dyDescent="0.2">
      <c r="A4558" s="111">
        <v>4683</v>
      </c>
      <c r="B4558" s="421" t="s">
        <v>257</v>
      </c>
      <c r="C4558" s="421" t="s">
        <v>503</v>
      </c>
      <c r="D4558" s="422" t="s">
        <v>663</v>
      </c>
      <c r="E4558" s="111">
        <v>16636</v>
      </c>
      <c r="F4558" s="421" t="s">
        <v>8113</v>
      </c>
      <c r="G4558" s="112">
        <v>1</v>
      </c>
      <c r="H4558" s="112">
        <v>1</v>
      </c>
      <c r="I4558" s="112">
        <v>1</v>
      </c>
    </row>
    <row r="4559" spans="1:15" x14ac:dyDescent="0.2">
      <c r="A4559" s="111">
        <v>4684</v>
      </c>
      <c r="B4559" s="421" t="s">
        <v>6075</v>
      </c>
      <c r="C4559" s="421" t="s">
        <v>628</v>
      </c>
      <c r="D4559" s="422" t="s">
        <v>666</v>
      </c>
      <c r="E4559" s="111">
        <v>16637</v>
      </c>
      <c r="F4559" s="421" t="s">
        <v>8114</v>
      </c>
      <c r="G4559" s="112">
        <v>1</v>
      </c>
      <c r="H4559" s="112">
        <v>1</v>
      </c>
      <c r="I4559" s="112">
        <v>1</v>
      </c>
    </row>
    <row r="4560" spans="1:15" x14ac:dyDescent="0.2">
      <c r="A4560" s="111">
        <v>4685</v>
      </c>
      <c r="B4560" s="421" t="s">
        <v>416</v>
      </c>
      <c r="C4560" s="421" t="s">
        <v>549</v>
      </c>
      <c r="D4560" s="422" t="s">
        <v>663</v>
      </c>
      <c r="E4560" s="111">
        <v>44463</v>
      </c>
      <c r="F4560" s="421" t="s">
        <v>15342</v>
      </c>
      <c r="G4560" s="112">
        <v>1</v>
      </c>
      <c r="H4560" s="112">
        <v>3</v>
      </c>
      <c r="I4560" s="112">
        <v>3</v>
      </c>
      <c r="K4560" s="112">
        <v>1</v>
      </c>
    </row>
    <row r="4561" spans="1:15" x14ac:dyDescent="0.2">
      <c r="A4561" s="111">
        <v>4686</v>
      </c>
      <c r="B4561" s="421" t="s">
        <v>341</v>
      </c>
      <c r="C4561" s="421" t="s">
        <v>502</v>
      </c>
      <c r="D4561" s="422" t="s">
        <v>666</v>
      </c>
      <c r="E4561" s="111">
        <v>16638</v>
      </c>
      <c r="F4561" s="421" t="s">
        <v>8115</v>
      </c>
    </row>
    <row r="4562" spans="1:15" x14ac:dyDescent="0.2">
      <c r="A4562" s="111">
        <v>4687</v>
      </c>
      <c r="B4562" s="421" t="s">
        <v>48</v>
      </c>
      <c r="C4562" s="421" t="s">
        <v>501</v>
      </c>
      <c r="D4562" s="422" t="s">
        <v>663</v>
      </c>
      <c r="E4562" s="111">
        <v>16640</v>
      </c>
      <c r="F4562" s="421" t="s">
        <v>8116</v>
      </c>
      <c r="G4562" s="112">
        <v>2</v>
      </c>
      <c r="H4562" s="112">
        <v>2</v>
      </c>
      <c r="I4562" s="112">
        <v>2</v>
      </c>
      <c r="J4562" s="112">
        <v>2</v>
      </c>
      <c r="K4562" s="112">
        <v>2</v>
      </c>
      <c r="L4562" s="112">
        <v>3</v>
      </c>
      <c r="O4562" s="112">
        <v>1</v>
      </c>
    </row>
    <row r="4563" spans="1:15" x14ac:dyDescent="0.2">
      <c r="A4563" s="111">
        <v>4688</v>
      </c>
      <c r="B4563" s="421" t="s">
        <v>1469</v>
      </c>
      <c r="C4563" s="421" t="s">
        <v>555</v>
      </c>
      <c r="D4563" s="422" t="s">
        <v>666</v>
      </c>
      <c r="E4563" s="111">
        <v>16641</v>
      </c>
      <c r="F4563" s="421" t="s">
        <v>8117</v>
      </c>
      <c r="G4563" s="112">
        <v>1</v>
      </c>
      <c r="I4563" s="112">
        <v>1</v>
      </c>
    </row>
    <row r="4564" spans="1:15" x14ac:dyDescent="0.2">
      <c r="A4564" s="111">
        <v>4689</v>
      </c>
      <c r="B4564" s="421" t="s">
        <v>8107</v>
      </c>
      <c r="C4564" s="421" t="s">
        <v>555</v>
      </c>
      <c r="D4564" s="422" t="s">
        <v>663</v>
      </c>
      <c r="E4564" s="111">
        <v>44193</v>
      </c>
      <c r="F4564" s="421" t="s">
        <v>8119</v>
      </c>
      <c r="G4564" s="112">
        <v>4</v>
      </c>
      <c r="H4564" s="112">
        <v>4</v>
      </c>
      <c r="I4564" s="112">
        <v>1</v>
      </c>
      <c r="J4564" s="112">
        <v>8</v>
      </c>
      <c r="K4564" s="112">
        <v>5</v>
      </c>
      <c r="L4564" s="112">
        <v>7</v>
      </c>
      <c r="M4564" s="112">
        <v>4</v>
      </c>
      <c r="N4564" s="112">
        <v>3</v>
      </c>
      <c r="O4564" s="112">
        <v>3</v>
      </c>
    </row>
    <row r="4565" spans="1:15" x14ac:dyDescent="0.2">
      <c r="A4565" s="111">
        <v>4690</v>
      </c>
      <c r="B4565" s="421" t="s">
        <v>8105</v>
      </c>
      <c r="C4565" s="421" t="s">
        <v>510</v>
      </c>
      <c r="D4565" s="422" t="s">
        <v>663</v>
      </c>
      <c r="E4565" s="111">
        <v>16642</v>
      </c>
      <c r="F4565" s="421" t="s">
        <v>8111</v>
      </c>
      <c r="G4565" s="112">
        <v>2</v>
      </c>
      <c r="H4565" s="112">
        <v>1</v>
      </c>
      <c r="I4565" s="112">
        <v>1</v>
      </c>
    </row>
    <row r="4566" spans="1:15" x14ac:dyDescent="0.2">
      <c r="A4566" s="111">
        <v>4691</v>
      </c>
      <c r="B4566" s="421" t="s">
        <v>6016</v>
      </c>
      <c r="C4566" s="421" t="s">
        <v>516</v>
      </c>
      <c r="D4566" s="422" t="s">
        <v>663</v>
      </c>
      <c r="E4566" s="111">
        <v>16236</v>
      </c>
      <c r="F4566" s="421" t="s">
        <v>6811</v>
      </c>
      <c r="G4566" s="112">
        <v>2</v>
      </c>
      <c r="H4566" s="112">
        <v>2</v>
      </c>
      <c r="I4566" s="112">
        <v>1</v>
      </c>
      <c r="J4566" s="112">
        <v>1</v>
      </c>
      <c r="K4566" s="112">
        <v>3</v>
      </c>
      <c r="L4566" s="112">
        <v>5</v>
      </c>
      <c r="M4566" s="112">
        <v>1</v>
      </c>
      <c r="N4566" s="112">
        <v>1</v>
      </c>
      <c r="O4566" s="112">
        <v>3</v>
      </c>
    </row>
    <row r="4567" spans="1:15" x14ac:dyDescent="0.2">
      <c r="A4567" s="111">
        <v>4692</v>
      </c>
      <c r="B4567" s="421" t="s">
        <v>132</v>
      </c>
      <c r="C4567" s="421" t="s">
        <v>520</v>
      </c>
      <c r="D4567" s="422" t="s">
        <v>666</v>
      </c>
      <c r="E4567" s="111">
        <v>16645</v>
      </c>
      <c r="F4567" s="421" t="s">
        <v>8121</v>
      </c>
      <c r="G4567" s="112">
        <v>1</v>
      </c>
      <c r="H4567" s="112">
        <v>1</v>
      </c>
      <c r="I4567" s="112">
        <v>1</v>
      </c>
      <c r="J4567" s="112">
        <v>1</v>
      </c>
      <c r="K4567" s="112">
        <v>1</v>
      </c>
      <c r="L4567" s="112">
        <v>1</v>
      </c>
    </row>
    <row r="4568" spans="1:15" x14ac:dyDescent="0.2">
      <c r="A4568" s="111">
        <v>4693</v>
      </c>
      <c r="B4568" s="421" t="s">
        <v>8109</v>
      </c>
      <c r="C4568" s="421" t="s">
        <v>509</v>
      </c>
      <c r="D4568" s="422" t="s">
        <v>663</v>
      </c>
      <c r="E4568" s="111">
        <v>16491</v>
      </c>
      <c r="F4568" s="421" t="s">
        <v>8123</v>
      </c>
      <c r="G4568" s="112">
        <v>1</v>
      </c>
      <c r="I4568" s="112">
        <v>1</v>
      </c>
    </row>
    <row r="4569" spans="1:15" x14ac:dyDescent="0.2">
      <c r="A4569" s="111">
        <v>4694</v>
      </c>
      <c r="B4569" s="421" t="s">
        <v>8110</v>
      </c>
      <c r="C4569" s="421" t="s">
        <v>503</v>
      </c>
      <c r="D4569" s="422" t="s">
        <v>663</v>
      </c>
      <c r="E4569" s="111">
        <v>16646</v>
      </c>
      <c r="F4569" s="421" t="s">
        <v>8125</v>
      </c>
      <c r="G4569" s="112">
        <v>1</v>
      </c>
      <c r="H4569" s="112">
        <v>1</v>
      </c>
      <c r="I4569" s="112">
        <v>1</v>
      </c>
      <c r="J4569" s="112">
        <v>1</v>
      </c>
      <c r="K4569" s="112">
        <v>1</v>
      </c>
      <c r="L4569" s="112">
        <v>1</v>
      </c>
      <c r="M4569" s="112">
        <v>3</v>
      </c>
      <c r="N4569" s="112">
        <v>3</v>
      </c>
      <c r="O4569" s="112">
        <v>3</v>
      </c>
    </row>
    <row r="4570" spans="1:15" x14ac:dyDescent="0.2">
      <c r="A4570" s="111">
        <v>4695</v>
      </c>
      <c r="B4570" s="421" t="s">
        <v>5332</v>
      </c>
      <c r="C4570" s="421" t="s">
        <v>522</v>
      </c>
      <c r="D4570" s="422" t="s">
        <v>663</v>
      </c>
      <c r="F4570" s="421" t="s">
        <v>8118</v>
      </c>
    </row>
    <row r="4571" spans="1:15" x14ac:dyDescent="0.2">
      <c r="A4571" s="111">
        <v>4696</v>
      </c>
      <c r="B4571" s="421" t="s">
        <v>101</v>
      </c>
      <c r="C4571" s="421" t="s">
        <v>530</v>
      </c>
      <c r="D4571" s="422" t="s">
        <v>663</v>
      </c>
      <c r="E4571" s="111">
        <v>16647</v>
      </c>
      <c r="F4571" s="421" t="s">
        <v>8124</v>
      </c>
      <c r="G4571" s="112">
        <v>1</v>
      </c>
      <c r="H4571" s="112">
        <v>1</v>
      </c>
      <c r="I4571" s="112">
        <v>1</v>
      </c>
      <c r="J4571" s="112">
        <v>1</v>
      </c>
      <c r="K4571" s="112">
        <v>1</v>
      </c>
    </row>
    <row r="4572" spans="1:15" x14ac:dyDescent="0.2">
      <c r="A4572" s="111">
        <v>4697</v>
      </c>
      <c r="B4572" s="421" t="s">
        <v>8167</v>
      </c>
      <c r="C4572" s="421" t="s">
        <v>526</v>
      </c>
      <c r="D4572" s="422" t="s">
        <v>663</v>
      </c>
      <c r="E4572" s="111">
        <v>16648</v>
      </c>
      <c r="F4572" s="421" t="s">
        <v>8175</v>
      </c>
    </row>
    <row r="4573" spans="1:15" x14ac:dyDescent="0.2">
      <c r="A4573" s="111">
        <v>4698</v>
      </c>
      <c r="B4573" s="421" t="s">
        <v>7210</v>
      </c>
      <c r="C4573" s="421" t="s">
        <v>503</v>
      </c>
      <c r="D4573" s="422" t="s">
        <v>666</v>
      </c>
      <c r="E4573" s="111">
        <v>15154</v>
      </c>
      <c r="F4573" s="421" t="s">
        <v>3300</v>
      </c>
      <c r="G4573" s="112">
        <v>1</v>
      </c>
      <c r="H4573" s="112">
        <v>1</v>
      </c>
      <c r="I4573" s="112">
        <v>1</v>
      </c>
      <c r="J4573" s="112">
        <v>2</v>
      </c>
      <c r="K4573" s="112">
        <v>3</v>
      </c>
      <c r="L4573" s="112">
        <v>2</v>
      </c>
    </row>
    <row r="4574" spans="1:15" x14ac:dyDescent="0.2">
      <c r="A4574" s="111">
        <v>4699</v>
      </c>
      <c r="B4574" s="421" t="s">
        <v>119</v>
      </c>
      <c r="C4574" s="421" t="s">
        <v>577</v>
      </c>
      <c r="D4574" s="422" t="s">
        <v>663</v>
      </c>
      <c r="E4574" s="111">
        <v>16649</v>
      </c>
      <c r="F4574" s="421" t="s">
        <v>8172</v>
      </c>
      <c r="G4574" s="112">
        <v>1</v>
      </c>
      <c r="H4574" s="112">
        <v>1</v>
      </c>
      <c r="I4574" s="112">
        <v>1</v>
      </c>
    </row>
    <row r="4575" spans="1:15" x14ac:dyDescent="0.2">
      <c r="A4575" s="111">
        <v>4700</v>
      </c>
      <c r="B4575" s="421" t="s">
        <v>8165</v>
      </c>
      <c r="C4575" s="421" t="s">
        <v>570</v>
      </c>
      <c r="D4575" s="422" t="s">
        <v>663</v>
      </c>
      <c r="E4575" s="111">
        <v>14846</v>
      </c>
      <c r="F4575" s="421" t="s">
        <v>2504</v>
      </c>
    </row>
    <row r="4576" spans="1:15" x14ac:dyDescent="0.2">
      <c r="A4576" s="111">
        <v>4701</v>
      </c>
      <c r="B4576" s="421" t="s">
        <v>1606</v>
      </c>
      <c r="C4576" s="421" t="s">
        <v>1758</v>
      </c>
      <c r="D4576" s="422" t="s">
        <v>663</v>
      </c>
      <c r="F4576" s="421" t="s">
        <v>8169</v>
      </c>
    </row>
    <row r="4577" spans="1:15" x14ac:dyDescent="0.2">
      <c r="A4577" s="111">
        <v>4702</v>
      </c>
      <c r="B4577" s="421" t="s">
        <v>356</v>
      </c>
      <c r="C4577" s="421" t="s">
        <v>551</v>
      </c>
      <c r="D4577" s="422" t="s">
        <v>663</v>
      </c>
      <c r="E4577" s="111">
        <v>15851</v>
      </c>
      <c r="F4577" s="421" t="s">
        <v>3243</v>
      </c>
      <c r="G4577" s="112">
        <v>1</v>
      </c>
      <c r="H4577" s="112">
        <v>1</v>
      </c>
      <c r="I4577" s="112">
        <v>1</v>
      </c>
    </row>
    <row r="4578" spans="1:15" x14ac:dyDescent="0.2">
      <c r="A4578" s="111">
        <v>4703</v>
      </c>
      <c r="B4578" s="421" t="s">
        <v>8164</v>
      </c>
      <c r="C4578" s="421" t="s">
        <v>503</v>
      </c>
      <c r="D4578" s="422" t="s">
        <v>663</v>
      </c>
      <c r="E4578" s="111">
        <v>16348</v>
      </c>
      <c r="F4578" s="421" t="s">
        <v>7233</v>
      </c>
      <c r="G4578" s="112">
        <v>1</v>
      </c>
      <c r="H4578" s="112">
        <v>1</v>
      </c>
      <c r="I4578" s="112">
        <v>1</v>
      </c>
    </row>
    <row r="4579" spans="1:15" x14ac:dyDescent="0.2">
      <c r="A4579" s="111">
        <v>4704</v>
      </c>
      <c r="B4579" s="421" t="s">
        <v>430</v>
      </c>
      <c r="C4579" s="421" t="s">
        <v>501</v>
      </c>
      <c r="D4579" s="422" t="s">
        <v>666</v>
      </c>
      <c r="E4579" s="111">
        <v>16651</v>
      </c>
      <c r="F4579" s="421" t="s">
        <v>8173</v>
      </c>
      <c r="G4579" s="112">
        <v>1</v>
      </c>
      <c r="H4579" s="112">
        <v>1</v>
      </c>
      <c r="I4579" s="112">
        <v>1</v>
      </c>
      <c r="J4579" s="112">
        <v>16</v>
      </c>
      <c r="K4579" s="112">
        <v>14</v>
      </c>
      <c r="L4579" s="112">
        <v>13</v>
      </c>
      <c r="M4579" s="112">
        <v>31</v>
      </c>
      <c r="N4579" s="112">
        <v>17</v>
      </c>
      <c r="O4579" s="112">
        <v>20</v>
      </c>
    </row>
    <row r="4580" spans="1:15" x14ac:dyDescent="0.2">
      <c r="A4580" s="111">
        <v>4705</v>
      </c>
      <c r="B4580" s="421" t="s">
        <v>8163</v>
      </c>
      <c r="C4580" s="421" t="s">
        <v>506</v>
      </c>
      <c r="D4580" s="422" t="s">
        <v>663</v>
      </c>
      <c r="E4580" s="111">
        <v>16652</v>
      </c>
      <c r="F4580" s="421" t="s">
        <v>8171</v>
      </c>
      <c r="G4580" s="112">
        <v>1</v>
      </c>
      <c r="H4580" s="112">
        <v>1</v>
      </c>
      <c r="I4580" s="112">
        <v>1</v>
      </c>
      <c r="J4580" s="112">
        <v>1</v>
      </c>
      <c r="K4580" s="112">
        <v>1</v>
      </c>
      <c r="L4580" s="112">
        <v>3</v>
      </c>
    </row>
    <row r="4581" spans="1:15" x14ac:dyDescent="0.2">
      <c r="A4581" s="111">
        <v>4706</v>
      </c>
      <c r="B4581" s="421" t="s">
        <v>8166</v>
      </c>
      <c r="C4581" s="421" t="s">
        <v>548</v>
      </c>
      <c r="D4581" s="422" t="s">
        <v>663</v>
      </c>
      <c r="E4581" s="111">
        <v>16653</v>
      </c>
      <c r="F4581" s="421" t="s">
        <v>8174</v>
      </c>
      <c r="G4581" s="112">
        <v>4</v>
      </c>
      <c r="H4581" s="112">
        <v>2</v>
      </c>
      <c r="I4581" s="112">
        <v>1</v>
      </c>
      <c r="J4581" s="112">
        <v>13</v>
      </c>
      <c r="K4581" s="112">
        <v>11</v>
      </c>
      <c r="L4581" s="112">
        <v>13</v>
      </c>
      <c r="M4581" s="112">
        <v>11</v>
      </c>
      <c r="N4581" s="112">
        <v>5</v>
      </c>
      <c r="O4581" s="112">
        <v>4</v>
      </c>
    </row>
    <row r="4582" spans="1:15" x14ac:dyDescent="0.2">
      <c r="A4582" s="111">
        <v>4707</v>
      </c>
      <c r="B4582" s="421" t="s">
        <v>8105</v>
      </c>
      <c r="C4582" s="421" t="s">
        <v>501</v>
      </c>
      <c r="D4582" s="422" t="s">
        <v>663</v>
      </c>
      <c r="E4582" s="111">
        <v>16654</v>
      </c>
      <c r="F4582" s="421" t="s">
        <v>8170</v>
      </c>
      <c r="G4582" s="112">
        <v>1</v>
      </c>
      <c r="H4582" s="112">
        <v>2</v>
      </c>
      <c r="I4582" s="112">
        <v>1</v>
      </c>
      <c r="J4582" s="112">
        <v>1</v>
      </c>
      <c r="K4582" s="112">
        <v>2</v>
      </c>
      <c r="L4582" s="112">
        <v>2</v>
      </c>
      <c r="M4582" s="112">
        <v>5</v>
      </c>
      <c r="N4582" s="112">
        <v>3</v>
      </c>
      <c r="O4582" s="112">
        <v>3</v>
      </c>
    </row>
    <row r="4583" spans="1:15" x14ac:dyDescent="0.2">
      <c r="A4583" s="111">
        <v>4708</v>
      </c>
      <c r="B4583" s="421" t="s">
        <v>8162</v>
      </c>
      <c r="C4583" s="421" t="s">
        <v>1201</v>
      </c>
      <c r="D4583" s="422" t="s">
        <v>666</v>
      </c>
      <c r="E4583" s="111">
        <v>15965</v>
      </c>
      <c r="F4583" s="421" t="s">
        <v>5901</v>
      </c>
      <c r="G4583" s="112">
        <v>1</v>
      </c>
      <c r="H4583" s="112">
        <v>1</v>
      </c>
      <c r="I4583" s="112">
        <v>1</v>
      </c>
      <c r="J4583" s="112">
        <v>1</v>
      </c>
      <c r="K4583" s="112">
        <v>1</v>
      </c>
      <c r="L4583" s="112">
        <v>2</v>
      </c>
    </row>
    <row r="4584" spans="1:15" x14ac:dyDescent="0.2">
      <c r="A4584" s="111">
        <v>4709</v>
      </c>
      <c r="B4584" s="421" t="s">
        <v>2937</v>
      </c>
      <c r="C4584" s="421" t="s">
        <v>519</v>
      </c>
      <c r="D4584" s="422" t="s">
        <v>663</v>
      </c>
      <c r="E4584" s="111">
        <v>16655</v>
      </c>
      <c r="F4584" s="421" t="s">
        <v>8168</v>
      </c>
      <c r="G4584" s="112">
        <v>1</v>
      </c>
      <c r="H4584" s="112">
        <v>1</v>
      </c>
      <c r="I4584" s="112">
        <v>1</v>
      </c>
      <c r="J4584" s="112">
        <v>9</v>
      </c>
      <c r="K4584" s="112">
        <v>9</v>
      </c>
      <c r="L4584" s="112">
        <v>9</v>
      </c>
      <c r="M4584" s="112">
        <v>10</v>
      </c>
      <c r="N4584" s="112">
        <v>4</v>
      </c>
      <c r="O4584" s="112">
        <v>6</v>
      </c>
    </row>
    <row r="4585" spans="1:15" x14ac:dyDescent="0.2">
      <c r="A4585" s="111">
        <v>4710</v>
      </c>
      <c r="B4585" s="421" t="s">
        <v>3276</v>
      </c>
      <c r="C4585" s="421" t="s">
        <v>519</v>
      </c>
      <c r="D4585" s="422" t="s">
        <v>663</v>
      </c>
      <c r="E4585" s="111">
        <v>16655</v>
      </c>
      <c r="F4585" s="421" t="s">
        <v>8168</v>
      </c>
      <c r="G4585" s="112">
        <v>1</v>
      </c>
      <c r="H4585" s="112">
        <v>1</v>
      </c>
      <c r="I4585" s="112">
        <v>1</v>
      </c>
      <c r="J4585" s="112">
        <v>9</v>
      </c>
      <c r="K4585" s="112">
        <v>9</v>
      </c>
      <c r="L4585" s="112">
        <v>9</v>
      </c>
      <c r="M4585" s="112">
        <v>10</v>
      </c>
      <c r="N4585" s="112">
        <v>7</v>
      </c>
      <c r="O4585" s="112">
        <v>5</v>
      </c>
    </row>
    <row r="4586" spans="1:15" x14ac:dyDescent="0.2">
      <c r="A4586" s="111">
        <v>4711</v>
      </c>
      <c r="B4586" s="421" t="s">
        <v>5514</v>
      </c>
      <c r="C4586" s="421" t="s">
        <v>522</v>
      </c>
      <c r="D4586" s="422" t="s">
        <v>663</v>
      </c>
      <c r="E4586" s="111">
        <v>16705</v>
      </c>
      <c r="F4586" s="421" t="s">
        <v>8204</v>
      </c>
      <c r="G4586" s="112">
        <v>1</v>
      </c>
      <c r="H4586" s="112">
        <v>1</v>
      </c>
      <c r="I4586" s="112">
        <v>1</v>
      </c>
      <c r="J4586" s="112">
        <v>1</v>
      </c>
      <c r="K4586" s="112">
        <v>2</v>
      </c>
      <c r="L4586" s="112">
        <v>1</v>
      </c>
      <c r="M4586" s="112">
        <v>2</v>
      </c>
      <c r="N4586" s="112">
        <v>1</v>
      </c>
    </row>
    <row r="4587" spans="1:15" x14ac:dyDescent="0.2">
      <c r="A4587" s="111">
        <v>4712</v>
      </c>
      <c r="B4587" s="421" t="s">
        <v>5056</v>
      </c>
      <c r="C4587" s="421" t="s">
        <v>551</v>
      </c>
      <c r="D4587" s="422" t="s">
        <v>663</v>
      </c>
      <c r="E4587" s="111">
        <v>16193</v>
      </c>
      <c r="F4587" s="421" t="s">
        <v>6568</v>
      </c>
      <c r="G4587" s="112">
        <v>2</v>
      </c>
      <c r="H4587" s="112">
        <v>1</v>
      </c>
      <c r="I4587" s="112">
        <v>1</v>
      </c>
    </row>
    <row r="4588" spans="1:15" x14ac:dyDescent="0.2">
      <c r="A4588" s="111">
        <v>4713</v>
      </c>
      <c r="B4588" s="421" t="s">
        <v>50</v>
      </c>
      <c r="C4588" s="421" t="s">
        <v>507</v>
      </c>
      <c r="D4588" s="422" t="s">
        <v>666</v>
      </c>
      <c r="E4588" s="111">
        <v>16706</v>
      </c>
      <c r="F4588" s="421" t="s">
        <v>8196</v>
      </c>
      <c r="G4588" s="112">
        <v>1</v>
      </c>
      <c r="H4588" s="112">
        <v>1</v>
      </c>
      <c r="I4588" s="112">
        <v>1</v>
      </c>
      <c r="J4588" s="112">
        <v>8</v>
      </c>
      <c r="K4588" s="112">
        <v>9</v>
      </c>
      <c r="L4588" s="112">
        <v>8</v>
      </c>
      <c r="M4588" s="112">
        <v>5</v>
      </c>
      <c r="N4588" s="112">
        <v>3</v>
      </c>
      <c r="O4588" s="112">
        <v>5</v>
      </c>
    </row>
    <row r="4589" spans="1:15" x14ac:dyDescent="0.2">
      <c r="A4589" s="111">
        <v>4714</v>
      </c>
      <c r="B4589" s="421" t="s">
        <v>8193</v>
      </c>
      <c r="C4589" s="421" t="s">
        <v>512</v>
      </c>
      <c r="D4589" s="422" t="s">
        <v>663</v>
      </c>
      <c r="E4589" s="111">
        <v>15554</v>
      </c>
      <c r="F4589" s="421" t="s">
        <v>4734</v>
      </c>
      <c r="G4589" s="112">
        <v>1</v>
      </c>
      <c r="H4589" s="112">
        <v>1</v>
      </c>
      <c r="I4589" s="112">
        <v>1</v>
      </c>
      <c r="J4589" s="112">
        <v>2</v>
      </c>
      <c r="K4589" s="112">
        <v>1</v>
      </c>
      <c r="L4589" s="112">
        <v>2</v>
      </c>
    </row>
    <row r="4590" spans="1:15" x14ac:dyDescent="0.2">
      <c r="A4590" s="111">
        <v>4715</v>
      </c>
      <c r="B4590" s="421" t="s">
        <v>8194</v>
      </c>
      <c r="C4590" s="421" t="s">
        <v>502</v>
      </c>
      <c r="D4590" s="422" t="s">
        <v>663</v>
      </c>
      <c r="E4590" s="111">
        <v>16657</v>
      </c>
      <c r="F4590" s="421" t="s">
        <v>8202</v>
      </c>
    </row>
    <row r="4591" spans="1:15" x14ac:dyDescent="0.2">
      <c r="A4591" s="111">
        <v>4716</v>
      </c>
      <c r="B4591" s="421" t="s">
        <v>8189</v>
      </c>
      <c r="C4591" s="421" t="s">
        <v>501</v>
      </c>
      <c r="D4591" s="422" t="s">
        <v>663</v>
      </c>
      <c r="E4591" s="111">
        <v>16658</v>
      </c>
      <c r="F4591" s="421" t="s">
        <v>8197</v>
      </c>
    </row>
    <row r="4592" spans="1:15" x14ac:dyDescent="0.2">
      <c r="A4592" s="111">
        <v>4717</v>
      </c>
      <c r="B4592" s="421" t="s">
        <v>2792</v>
      </c>
      <c r="C4592" s="421" t="s">
        <v>1284</v>
      </c>
      <c r="D4592" s="422" t="s">
        <v>666</v>
      </c>
      <c r="E4592" s="111">
        <v>16659</v>
      </c>
      <c r="F4592" s="421" t="s">
        <v>17461</v>
      </c>
      <c r="G4592" s="112">
        <v>1</v>
      </c>
      <c r="H4592" s="112">
        <v>1</v>
      </c>
      <c r="I4592" s="112">
        <v>1</v>
      </c>
      <c r="J4592" s="112">
        <v>1</v>
      </c>
      <c r="K4592" s="112">
        <v>2</v>
      </c>
      <c r="L4592" s="112">
        <v>1</v>
      </c>
      <c r="O4592" s="112">
        <v>1</v>
      </c>
    </row>
    <row r="4593" spans="1:15" x14ac:dyDescent="0.2">
      <c r="A4593" s="111">
        <v>4718</v>
      </c>
      <c r="B4593" s="421" t="s">
        <v>481</v>
      </c>
      <c r="C4593" s="421" t="s">
        <v>1284</v>
      </c>
      <c r="D4593" s="422" t="s">
        <v>663</v>
      </c>
      <c r="E4593" s="111">
        <v>16659</v>
      </c>
      <c r="F4593" s="421" t="s">
        <v>17461</v>
      </c>
      <c r="G4593" s="112">
        <v>4</v>
      </c>
      <c r="H4593" s="112">
        <v>6</v>
      </c>
      <c r="I4593" s="112">
        <v>2</v>
      </c>
      <c r="J4593" s="112">
        <v>1</v>
      </c>
    </row>
    <row r="4594" spans="1:15" x14ac:dyDescent="0.2">
      <c r="A4594" s="111">
        <v>4719</v>
      </c>
      <c r="B4594" s="421" t="s">
        <v>2198</v>
      </c>
      <c r="C4594" s="421" t="s">
        <v>533</v>
      </c>
      <c r="D4594" s="422" t="s">
        <v>663</v>
      </c>
      <c r="F4594" s="421" t="s">
        <v>8199</v>
      </c>
    </row>
    <row r="4595" spans="1:15" x14ac:dyDescent="0.2">
      <c r="A4595" s="111">
        <v>4720</v>
      </c>
      <c r="B4595" s="421" t="s">
        <v>8191</v>
      </c>
      <c r="C4595" s="421" t="s">
        <v>6561</v>
      </c>
      <c r="D4595" s="422" t="s">
        <v>663</v>
      </c>
      <c r="F4595" s="421" t="s">
        <v>8199</v>
      </c>
    </row>
    <row r="4596" spans="1:15" x14ac:dyDescent="0.2">
      <c r="A4596" s="111">
        <v>4721</v>
      </c>
      <c r="B4596" s="421" t="s">
        <v>1428</v>
      </c>
      <c r="C4596" s="421" t="s">
        <v>1994</v>
      </c>
      <c r="D4596" s="422" t="s">
        <v>666</v>
      </c>
      <c r="E4596" s="111">
        <v>14874</v>
      </c>
      <c r="F4596" s="421" t="s">
        <v>2586</v>
      </c>
      <c r="G4596" s="112">
        <v>1</v>
      </c>
      <c r="H4596" s="112">
        <v>1</v>
      </c>
      <c r="I4596" s="112">
        <v>1</v>
      </c>
      <c r="J4596" s="112">
        <v>9</v>
      </c>
      <c r="K4596" s="112">
        <v>4</v>
      </c>
      <c r="L4596" s="112">
        <v>8</v>
      </c>
      <c r="M4596" s="112">
        <v>2</v>
      </c>
      <c r="O4596" s="112">
        <v>1</v>
      </c>
    </row>
    <row r="4597" spans="1:15" x14ac:dyDescent="0.2">
      <c r="A4597" s="111">
        <v>4722</v>
      </c>
      <c r="B4597" s="421" t="s">
        <v>8188</v>
      </c>
      <c r="C4597" s="421" t="s">
        <v>564</v>
      </c>
      <c r="D4597" s="422" t="s">
        <v>663</v>
      </c>
      <c r="E4597" s="111">
        <v>15791</v>
      </c>
      <c r="F4597" s="421" t="s">
        <v>4144</v>
      </c>
      <c r="G4597" s="112">
        <v>1</v>
      </c>
      <c r="H4597" s="112">
        <v>1</v>
      </c>
      <c r="I4597" s="112">
        <v>1</v>
      </c>
      <c r="J4597" s="112">
        <v>2</v>
      </c>
      <c r="K4597" s="112">
        <v>2</v>
      </c>
      <c r="L4597" s="112">
        <v>2</v>
      </c>
      <c r="M4597" s="112">
        <v>1</v>
      </c>
    </row>
    <row r="4598" spans="1:15" x14ac:dyDescent="0.2">
      <c r="A4598" s="111">
        <v>4723</v>
      </c>
      <c r="B4598" s="421" t="s">
        <v>430</v>
      </c>
      <c r="C4598" s="421" t="s">
        <v>503</v>
      </c>
      <c r="D4598" s="422" t="s">
        <v>666</v>
      </c>
      <c r="E4598" s="111">
        <v>16660</v>
      </c>
      <c r="F4598" s="421" t="s">
        <v>8201</v>
      </c>
      <c r="G4598" s="112">
        <v>1</v>
      </c>
      <c r="H4598" s="112">
        <v>1</v>
      </c>
      <c r="I4598" s="112">
        <v>1</v>
      </c>
      <c r="J4598" s="112">
        <v>2</v>
      </c>
      <c r="K4598" s="112">
        <v>2</v>
      </c>
      <c r="L4598" s="112">
        <v>1</v>
      </c>
      <c r="M4598" s="112">
        <v>2</v>
      </c>
      <c r="N4598" s="112">
        <v>1</v>
      </c>
    </row>
    <row r="4599" spans="1:15" x14ac:dyDescent="0.2">
      <c r="A4599" s="111">
        <v>4724</v>
      </c>
      <c r="B4599" s="421" t="s">
        <v>463</v>
      </c>
      <c r="C4599" s="421" t="s">
        <v>516</v>
      </c>
      <c r="D4599" s="422" t="s">
        <v>663</v>
      </c>
      <c r="E4599" s="111">
        <v>16661</v>
      </c>
      <c r="F4599" s="421" t="s">
        <v>8198</v>
      </c>
      <c r="G4599" s="112">
        <v>1</v>
      </c>
      <c r="H4599" s="112">
        <v>1</v>
      </c>
      <c r="I4599" s="112">
        <v>1</v>
      </c>
      <c r="J4599" s="112">
        <v>1</v>
      </c>
      <c r="K4599" s="112">
        <v>1</v>
      </c>
    </row>
    <row r="4600" spans="1:15" x14ac:dyDescent="0.2">
      <c r="A4600" s="111">
        <v>4725</v>
      </c>
      <c r="B4600" s="421" t="s">
        <v>8190</v>
      </c>
      <c r="C4600" s="421" t="s">
        <v>516</v>
      </c>
      <c r="D4600" s="422" t="s">
        <v>666</v>
      </c>
      <c r="E4600" s="111">
        <v>16661</v>
      </c>
      <c r="F4600" s="421" t="s">
        <v>8198</v>
      </c>
      <c r="G4600" s="112">
        <v>1</v>
      </c>
      <c r="H4600" s="112">
        <v>1</v>
      </c>
      <c r="I4600" s="112">
        <v>1</v>
      </c>
      <c r="J4600" s="112">
        <v>1</v>
      </c>
      <c r="K4600" s="112">
        <v>1</v>
      </c>
      <c r="L4600" s="112">
        <v>1</v>
      </c>
      <c r="M4600" s="112">
        <v>2</v>
      </c>
      <c r="N4600" s="112">
        <v>2</v>
      </c>
    </row>
    <row r="4601" spans="1:15" x14ac:dyDescent="0.2">
      <c r="A4601" s="111">
        <v>4726</v>
      </c>
      <c r="B4601" s="421" t="s">
        <v>4209</v>
      </c>
      <c r="C4601" s="421" t="s">
        <v>518</v>
      </c>
      <c r="D4601" s="422" t="s">
        <v>663</v>
      </c>
      <c r="F4601" s="421" t="s">
        <v>1654</v>
      </c>
      <c r="G4601" s="112">
        <v>1</v>
      </c>
      <c r="H4601" s="112">
        <v>1</v>
      </c>
      <c r="I4601" s="112">
        <v>1</v>
      </c>
      <c r="J4601" s="112">
        <v>1</v>
      </c>
      <c r="K4601" s="112">
        <v>1</v>
      </c>
      <c r="L4601" s="112">
        <v>1</v>
      </c>
      <c r="M4601" s="112">
        <v>1</v>
      </c>
    </row>
    <row r="4602" spans="1:15" x14ac:dyDescent="0.2">
      <c r="A4602" s="111">
        <v>4727</v>
      </c>
      <c r="B4602" s="421" t="s">
        <v>8019</v>
      </c>
      <c r="C4602" s="421" t="s">
        <v>530</v>
      </c>
      <c r="D4602" s="422" t="s">
        <v>663</v>
      </c>
      <c r="F4602" s="421" t="s">
        <v>8203</v>
      </c>
    </row>
    <row r="4603" spans="1:15" x14ac:dyDescent="0.2">
      <c r="A4603" s="111">
        <v>4728</v>
      </c>
      <c r="B4603" s="421" t="s">
        <v>8195</v>
      </c>
      <c r="C4603" s="421" t="s">
        <v>563</v>
      </c>
      <c r="D4603" s="422" t="s">
        <v>663</v>
      </c>
      <c r="E4603" s="111">
        <v>15144</v>
      </c>
      <c r="F4603" s="421" t="s">
        <v>3094</v>
      </c>
    </row>
    <row r="4604" spans="1:15" x14ac:dyDescent="0.2">
      <c r="A4604" s="111">
        <v>4729</v>
      </c>
      <c r="B4604" s="421" t="s">
        <v>8192</v>
      </c>
      <c r="C4604" s="421" t="s">
        <v>574</v>
      </c>
      <c r="D4604" s="422" t="s">
        <v>666</v>
      </c>
      <c r="F4604" s="421" t="s">
        <v>8200</v>
      </c>
    </row>
    <row r="4605" spans="1:15" x14ac:dyDescent="0.2">
      <c r="A4605" s="111">
        <v>4730</v>
      </c>
      <c r="B4605" s="421" t="s">
        <v>1642</v>
      </c>
      <c r="C4605" s="421" t="s">
        <v>506</v>
      </c>
      <c r="D4605" s="422" t="s">
        <v>663</v>
      </c>
      <c r="E4605" s="111">
        <v>16662</v>
      </c>
      <c r="F4605" s="421" t="s">
        <v>8220</v>
      </c>
      <c r="G4605" s="112">
        <v>1</v>
      </c>
      <c r="H4605" s="112">
        <v>1</v>
      </c>
      <c r="I4605" s="112">
        <v>1</v>
      </c>
      <c r="J4605" s="112">
        <v>2</v>
      </c>
      <c r="K4605" s="112">
        <v>2</v>
      </c>
      <c r="L4605" s="112">
        <v>1</v>
      </c>
    </row>
    <row r="4606" spans="1:15" x14ac:dyDescent="0.2">
      <c r="A4606" s="111">
        <v>4731</v>
      </c>
      <c r="B4606" s="421" t="s">
        <v>276</v>
      </c>
      <c r="C4606" s="421" t="s">
        <v>6802</v>
      </c>
      <c r="D4606" s="422" t="s">
        <v>666</v>
      </c>
      <c r="E4606" s="111">
        <v>16257</v>
      </c>
      <c r="F4606" s="421" t="s">
        <v>6833</v>
      </c>
      <c r="G4606" s="112">
        <v>1</v>
      </c>
      <c r="H4606" s="112">
        <v>2</v>
      </c>
    </row>
    <row r="4607" spans="1:15" x14ac:dyDescent="0.2">
      <c r="A4607" s="111">
        <v>4732</v>
      </c>
      <c r="B4607" s="421" t="s">
        <v>8218</v>
      </c>
      <c r="C4607" s="421" t="s">
        <v>506</v>
      </c>
      <c r="D4607" s="422" t="s">
        <v>663</v>
      </c>
      <c r="F4607" s="421" t="s">
        <v>8226</v>
      </c>
      <c r="G4607" s="112">
        <v>1</v>
      </c>
      <c r="H4607" s="112">
        <v>1</v>
      </c>
      <c r="I4607" s="112">
        <v>1</v>
      </c>
      <c r="J4607" s="112">
        <v>1</v>
      </c>
    </row>
    <row r="4608" spans="1:15" x14ac:dyDescent="0.2">
      <c r="A4608" s="111">
        <v>4733</v>
      </c>
      <c r="B4608" s="421" t="s">
        <v>2937</v>
      </c>
      <c r="C4608" s="421" t="s">
        <v>566</v>
      </c>
      <c r="D4608" s="422" t="s">
        <v>663</v>
      </c>
      <c r="E4608" s="111">
        <v>16696</v>
      </c>
      <c r="F4608" s="421" t="s">
        <v>1374</v>
      </c>
      <c r="G4608" s="112">
        <v>1</v>
      </c>
      <c r="H4608" s="112">
        <v>1</v>
      </c>
      <c r="I4608" s="112">
        <v>1</v>
      </c>
      <c r="J4608" s="112">
        <v>8</v>
      </c>
      <c r="K4608" s="112">
        <v>7</v>
      </c>
      <c r="L4608" s="112">
        <v>3</v>
      </c>
      <c r="N4608" s="112">
        <v>1</v>
      </c>
      <c r="O4608" s="112">
        <v>1</v>
      </c>
    </row>
    <row r="4609" spans="1:15" x14ac:dyDescent="0.2">
      <c r="A4609" s="111">
        <v>4734</v>
      </c>
      <c r="B4609" s="421" t="s">
        <v>8219</v>
      </c>
      <c r="C4609" s="421" t="s">
        <v>506</v>
      </c>
      <c r="D4609" s="422" t="s">
        <v>663</v>
      </c>
      <c r="E4609" s="111">
        <v>16663</v>
      </c>
      <c r="F4609" s="421" t="s">
        <v>8228</v>
      </c>
    </row>
    <row r="4610" spans="1:15" x14ac:dyDescent="0.2">
      <c r="A4610" s="111">
        <v>4735</v>
      </c>
      <c r="B4610" s="421" t="s">
        <v>2008</v>
      </c>
      <c r="C4610" s="421" t="s">
        <v>516</v>
      </c>
      <c r="D4610" s="422" t="s">
        <v>666</v>
      </c>
      <c r="E4610" s="111">
        <v>16664</v>
      </c>
      <c r="F4610" s="421" t="s">
        <v>8225</v>
      </c>
      <c r="G4610" s="112">
        <v>1</v>
      </c>
      <c r="H4610" s="112">
        <v>1</v>
      </c>
      <c r="I4610" s="112">
        <v>1</v>
      </c>
      <c r="K4610" s="112">
        <v>1</v>
      </c>
    </row>
    <row r="4611" spans="1:15" x14ac:dyDescent="0.2">
      <c r="A4611" s="111">
        <v>4736</v>
      </c>
      <c r="B4611" s="421" t="s">
        <v>1460</v>
      </c>
      <c r="C4611" s="421" t="s">
        <v>510</v>
      </c>
      <c r="D4611" s="422" t="s">
        <v>663</v>
      </c>
      <c r="E4611" s="111">
        <v>16597</v>
      </c>
      <c r="F4611" s="421" t="s">
        <v>7928</v>
      </c>
      <c r="G4611" s="112">
        <v>1</v>
      </c>
      <c r="H4611" s="112">
        <v>1</v>
      </c>
      <c r="I4611" s="112">
        <v>1</v>
      </c>
      <c r="J4611" s="112">
        <v>4</v>
      </c>
      <c r="K4611" s="112">
        <v>5</v>
      </c>
      <c r="L4611" s="112">
        <v>6</v>
      </c>
      <c r="M4611" s="112">
        <v>3</v>
      </c>
      <c r="O4611" s="112">
        <v>3</v>
      </c>
    </row>
    <row r="4612" spans="1:15" x14ac:dyDescent="0.2">
      <c r="A4612" s="111">
        <v>4737</v>
      </c>
      <c r="B4612" s="421" t="s">
        <v>6985</v>
      </c>
      <c r="C4612" s="421" t="s">
        <v>1201</v>
      </c>
      <c r="D4612" s="422" t="s">
        <v>663</v>
      </c>
      <c r="E4612" s="111">
        <v>17067</v>
      </c>
      <c r="F4612" s="421" t="s">
        <v>8221</v>
      </c>
      <c r="G4612" s="112">
        <v>1</v>
      </c>
      <c r="H4612" s="112">
        <v>1</v>
      </c>
      <c r="I4612" s="112">
        <v>1</v>
      </c>
      <c r="J4612" s="112">
        <v>4</v>
      </c>
      <c r="K4612" s="112">
        <v>4</v>
      </c>
      <c r="L4612" s="112">
        <v>3</v>
      </c>
      <c r="M4612" s="112">
        <v>2</v>
      </c>
      <c r="N4612" s="112">
        <v>1</v>
      </c>
    </row>
    <row r="4613" spans="1:15" x14ac:dyDescent="0.2">
      <c r="A4613" s="111">
        <v>4738</v>
      </c>
      <c r="B4613" s="421" t="s">
        <v>2526</v>
      </c>
      <c r="C4613" s="421" t="s">
        <v>1066</v>
      </c>
      <c r="D4613" s="422" t="s">
        <v>666</v>
      </c>
      <c r="E4613" s="111">
        <v>15290</v>
      </c>
      <c r="F4613" s="421" t="s">
        <v>3753</v>
      </c>
      <c r="G4613" s="112">
        <v>1</v>
      </c>
      <c r="H4613" s="112">
        <v>1</v>
      </c>
      <c r="I4613" s="112">
        <v>1</v>
      </c>
      <c r="J4613" s="112">
        <v>4</v>
      </c>
      <c r="K4613" s="112">
        <v>3</v>
      </c>
      <c r="L4613" s="112">
        <v>5</v>
      </c>
      <c r="M4613" s="112">
        <v>2</v>
      </c>
    </row>
    <row r="4614" spans="1:15" x14ac:dyDescent="0.2">
      <c r="A4614" s="111">
        <v>4739</v>
      </c>
      <c r="B4614" s="421" t="s">
        <v>39</v>
      </c>
      <c r="C4614" s="421" t="s">
        <v>503</v>
      </c>
      <c r="D4614" s="422" t="s">
        <v>663</v>
      </c>
      <c r="E4614" s="111">
        <v>16667</v>
      </c>
      <c r="F4614" s="421" t="s">
        <v>8223</v>
      </c>
      <c r="G4614" s="112">
        <v>1</v>
      </c>
      <c r="H4614" s="112">
        <v>1</v>
      </c>
      <c r="I4614" s="112">
        <v>1</v>
      </c>
    </row>
    <row r="4615" spans="1:15" x14ac:dyDescent="0.2">
      <c r="A4615" s="111">
        <v>4740</v>
      </c>
      <c r="B4615" s="421" t="s">
        <v>488</v>
      </c>
      <c r="C4615" s="421" t="s">
        <v>1447</v>
      </c>
      <c r="D4615" s="422" t="s">
        <v>666</v>
      </c>
      <c r="E4615" s="111">
        <v>16213</v>
      </c>
      <c r="F4615" s="421" t="s">
        <v>6391</v>
      </c>
      <c r="G4615" s="112">
        <v>1</v>
      </c>
      <c r="H4615" s="112">
        <v>1</v>
      </c>
      <c r="I4615" s="112">
        <v>1</v>
      </c>
      <c r="J4615" s="112">
        <v>1</v>
      </c>
      <c r="K4615" s="112">
        <v>1</v>
      </c>
      <c r="L4615" s="112">
        <v>1</v>
      </c>
      <c r="M4615" s="112">
        <v>1</v>
      </c>
      <c r="N4615" s="112">
        <v>1</v>
      </c>
      <c r="O4615" s="112">
        <v>1</v>
      </c>
    </row>
    <row r="4616" spans="1:15" x14ac:dyDescent="0.2">
      <c r="A4616" s="111">
        <v>4741</v>
      </c>
      <c r="B4616" s="421" t="s">
        <v>6051</v>
      </c>
      <c r="C4616" s="421" t="s">
        <v>567</v>
      </c>
      <c r="D4616" s="422" t="s">
        <v>663</v>
      </c>
      <c r="E4616" s="111">
        <v>16668</v>
      </c>
      <c r="F4616" s="421" t="s">
        <v>8224</v>
      </c>
      <c r="G4616" s="112">
        <v>3</v>
      </c>
      <c r="H4616" s="112">
        <v>3</v>
      </c>
      <c r="I4616" s="112">
        <v>3</v>
      </c>
    </row>
    <row r="4617" spans="1:15" x14ac:dyDescent="0.2">
      <c r="A4617" s="111">
        <v>4742</v>
      </c>
      <c r="B4617" s="421" t="s">
        <v>10914</v>
      </c>
      <c r="C4617" s="421" t="s">
        <v>522</v>
      </c>
      <c r="D4617" s="422" t="s">
        <v>666</v>
      </c>
      <c r="F4617" s="421" t="s">
        <v>11014</v>
      </c>
      <c r="G4617" s="112">
        <v>1</v>
      </c>
      <c r="H4617" s="112">
        <v>1</v>
      </c>
      <c r="I4617" s="112">
        <v>1</v>
      </c>
      <c r="J4617" s="112">
        <v>1</v>
      </c>
      <c r="K4617" s="112">
        <v>1</v>
      </c>
      <c r="L4617" s="112">
        <v>1</v>
      </c>
      <c r="M4617" s="112">
        <v>2</v>
      </c>
      <c r="N4617" s="112">
        <v>1</v>
      </c>
      <c r="O4617" s="112">
        <v>2</v>
      </c>
    </row>
    <row r="4618" spans="1:15" x14ac:dyDescent="0.2">
      <c r="A4618" s="111">
        <v>4743</v>
      </c>
      <c r="B4618" s="421" t="s">
        <v>1214</v>
      </c>
      <c r="C4618" s="421" t="s">
        <v>501</v>
      </c>
      <c r="D4618" s="422" t="s">
        <v>666</v>
      </c>
      <c r="E4618" s="111">
        <v>16669</v>
      </c>
      <c r="F4618" s="421" t="s">
        <v>8222</v>
      </c>
      <c r="G4618" s="112">
        <v>2</v>
      </c>
      <c r="H4618" s="112">
        <v>2</v>
      </c>
      <c r="I4618" s="112">
        <v>1</v>
      </c>
      <c r="J4618" s="112">
        <v>5</v>
      </c>
      <c r="K4618" s="112">
        <v>6</v>
      </c>
      <c r="L4618" s="112">
        <v>3</v>
      </c>
      <c r="M4618" s="112">
        <v>6</v>
      </c>
      <c r="N4618" s="112">
        <v>4</v>
      </c>
      <c r="O4618" s="112">
        <v>2</v>
      </c>
    </row>
    <row r="4619" spans="1:15" x14ac:dyDescent="0.2">
      <c r="A4619" s="111">
        <v>4744</v>
      </c>
      <c r="B4619" s="421" t="s">
        <v>1316</v>
      </c>
      <c r="C4619" s="421" t="s">
        <v>530</v>
      </c>
      <c r="D4619" s="422" t="s">
        <v>666</v>
      </c>
      <c r="E4619" s="111">
        <v>17189</v>
      </c>
      <c r="F4619" s="421" t="s">
        <v>8229</v>
      </c>
      <c r="G4619" s="112">
        <v>1</v>
      </c>
      <c r="H4619" s="112">
        <v>1</v>
      </c>
    </row>
    <row r="4620" spans="1:15" x14ac:dyDescent="0.2">
      <c r="A4620" s="111">
        <v>4745</v>
      </c>
      <c r="B4620" s="421" t="s">
        <v>2465</v>
      </c>
      <c r="C4620" s="421" t="s">
        <v>501</v>
      </c>
      <c r="D4620" s="422" t="s">
        <v>666</v>
      </c>
      <c r="E4620" s="111">
        <v>16670</v>
      </c>
      <c r="F4620" s="421" t="s">
        <v>8345</v>
      </c>
      <c r="G4620" s="112">
        <v>1</v>
      </c>
      <c r="H4620" s="112">
        <v>1</v>
      </c>
      <c r="I4620" s="112">
        <v>1</v>
      </c>
      <c r="J4620" s="112">
        <v>3</v>
      </c>
      <c r="K4620" s="112">
        <v>3</v>
      </c>
      <c r="L4620" s="112">
        <v>3</v>
      </c>
      <c r="M4620" s="112">
        <v>5</v>
      </c>
      <c r="N4620" s="112">
        <v>2</v>
      </c>
      <c r="O4620" s="112">
        <v>5</v>
      </c>
    </row>
    <row r="4621" spans="1:15" x14ac:dyDescent="0.2">
      <c r="A4621" s="111">
        <v>4746</v>
      </c>
      <c r="B4621" s="421" t="s">
        <v>5175</v>
      </c>
      <c r="C4621" s="421" t="s">
        <v>1523</v>
      </c>
      <c r="D4621" s="422" t="s">
        <v>663</v>
      </c>
      <c r="E4621" s="111">
        <v>15748</v>
      </c>
      <c r="F4621" s="421" t="s">
        <v>5309</v>
      </c>
      <c r="G4621" s="112">
        <v>1</v>
      </c>
      <c r="H4621" s="112">
        <v>1</v>
      </c>
      <c r="I4621" s="112">
        <v>1</v>
      </c>
      <c r="J4621" s="112">
        <v>19</v>
      </c>
      <c r="K4621" s="112">
        <v>11</v>
      </c>
      <c r="L4621" s="112">
        <v>13</v>
      </c>
      <c r="M4621" s="112">
        <v>4</v>
      </c>
    </row>
    <row r="4622" spans="1:15" x14ac:dyDescent="0.2">
      <c r="A4622" s="111">
        <v>4747</v>
      </c>
      <c r="B4622" s="421" t="s">
        <v>8331</v>
      </c>
      <c r="C4622" s="421" t="s">
        <v>532</v>
      </c>
      <c r="D4622" s="422" t="s">
        <v>663</v>
      </c>
      <c r="E4622" s="111">
        <v>16671</v>
      </c>
      <c r="F4622" s="421" t="s">
        <v>8341</v>
      </c>
      <c r="G4622" s="112">
        <v>1</v>
      </c>
      <c r="H4622" s="112">
        <v>1</v>
      </c>
      <c r="I4622" s="112">
        <v>1</v>
      </c>
      <c r="J4622" s="112">
        <v>8</v>
      </c>
      <c r="K4622" s="112">
        <v>7</v>
      </c>
      <c r="L4622" s="112">
        <v>7</v>
      </c>
      <c r="M4622" s="112">
        <v>5</v>
      </c>
      <c r="N4622" s="112">
        <v>5</v>
      </c>
      <c r="O4622" s="112">
        <v>3</v>
      </c>
    </row>
    <row r="4623" spans="1:15" x14ac:dyDescent="0.2">
      <c r="A4623" s="111">
        <v>4748</v>
      </c>
      <c r="B4623" s="421" t="s">
        <v>8332</v>
      </c>
      <c r="C4623" s="421" t="s">
        <v>567</v>
      </c>
      <c r="D4623" s="422" t="s">
        <v>666</v>
      </c>
      <c r="E4623" s="111">
        <v>16676</v>
      </c>
      <c r="F4623" s="421" t="s">
        <v>8344</v>
      </c>
      <c r="G4623" s="112">
        <v>1</v>
      </c>
      <c r="H4623" s="112">
        <v>1</v>
      </c>
      <c r="I4623" s="112">
        <v>1</v>
      </c>
      <c r="J4623" s="112">
        <v>5</v>
      </c>
      <c r="K4623" s="112">
        <v>3</v>
      </c>
      <c r="L4623" s="112">
        <v>7</v>
      </c>
      <c r="M4623" s="112">
        <v>9</v>
      </c>
      <c r="N4623" s="112">
        <v>3</v>
      </c>
      <c r="O4623" s="112">
        <v>7</v>
      </c>
    </row>
    <row r="4624" spans="1:15" x14ac:dyDescent="0.2">
      <c r="A4624" s="111">
        <v>4749</v>
      </c>
      <c r="B4624" s="421" t="s">
        <v>1371</v>
      </c>
      <c r="C4624" s="421" t="s">
        <v>507</v>
      </c>
      <c r="D4624" s="422" t="s">
        <v>666</v>
      </c>
      <c r="F4624" s="421" t="s">
        <v>1762</v>
      </c>
      <c r="G4624" s="112">
        <v>1</v>
      </c>
      <c r="H4624" s="112">
        <v>1</v>
      </c>
      <c r="I4624" s="112">
        <v>1</v>
      </c>
      <c r="J4624" s="112">
        <v>3</v>
      </c>
      <c r="K4624" s="112">
        <v>4</v>
      </c>
      <c r="L4624" s="112">
        <v>3</v>
      </c>
      <c r="M4624" s="112">
        <v>2</v>
      </c>
      <c r="O4624" s="112">
        <v>2</v>
      </c>
    </row>
    <row r="4625" spans="1:15" x14ac:dyDescent="0.2">
      <c r="A4625" s="111">
        <v>4750</v>
      </c>
      <c r="B4625" s="421" t="s">
        <v>1480</v>
      </c>
      <c r="C4625" s="421" t="s">
        <v>544</v>
      </c>
      <c r="D4625" s="422" t="s">
        <v>666</v>
      </c>
      <c r="E4625" s="111">
        <v>16738</v>
      </c>
      <c r="F4625" s="421" t="s">
        <v>8346</v>
      </c>
      <c r="G4625" s="112">
        <v>1</v>
      </c>
      <c r="H4625" s="112">
        <v>1</v>
      </c>
      <c r="I4625" s="112">
        <v>1</v>
      </c>
    </row>
    <row r="4626" spans="1:15" x14ac:dyDescent="0.2">
      <c r="A4626" s="111">
        <v>4751</v>
      </c>
      <c r="B4626" s="421" t="s">
        <v>8330</v>
      </c>
      <c r="C4626" s="421" t="s">
        <v>503</v>
      </c>
      <c r="D4626" s="422" t="s">
        <v>663</v>
      </c>
      <c r="E4626" s="111">
        <v>16672</v>
      </c>
      <c r="F4626" s="421" t="s">
        <v>8340</v>
      </c>
      <c r="G4626" s="112">
        <v>1</v>
      </c>
      <c r="H4626" s="112">
        <v>1</v>
      </c>
      <c r="I4626" s="112">
        <v>1</v>
      </c>
      <c r="J4626" s="112">
        <v>3</v>
      </c>
      <c r="K4626" s="112">
        <v>3</v>
      </c>
      <c r="L4626" s="112">
        <v>3</v>
      </c>
      <c r="M4626" s="112">
        <v>5</v>
      </c>
      <c r="N4626" s="112">
        <v>5</v>
      </c>
      <c r="O4626" s="112">
        <v>5</v>
      </c>
    </row>
    <row r="4627" spans="1:15" x14ac:dyDescent="0.2">
      <c r="A4627" s="111">
        <v>4752</v>
      </c>
      <c r="B4627" s="421" t="s">
        <v>6850</v>
      </c>
      <c r="C4627" s="421" t="s">
        <v>550</v>
      </c>
      <c r="D4627" s="422" t="s">
        <v>666</v>
      </c>
      <c r="F4627" s="421" t="s">
        <v>8343</v>
      </c>
      <c r="G4627" s="112">
        <v>1</v>
      </c>
      <c r="H4627" s="112">
        <v>1</v>
      </c>
      <c r="I4627" s="112">
        <v>1</v>
      </c>
    </row>
    <row r="4628" spans="1:15" x14ac:dyDescent="0.2">
      <c r="A4628" s="111">
        <v>4753</v>
      </c>
      <c r="B4628" s="421" t="s">
        <v>2465</v>
      </c>
      <c r="C4628" s="421" t="s">
        <v>501</v>
      </c>
      <c r="D4628" s="422" t="s">
        <v>666</v>
      </c>
      <c r="E4628" s="111">
        <v>16104</v>
      </c>
      <c r="F4628" s="421" t="s">
        <v>6384</v>
      </c>
      <c r="I4628" s="112">
        <v>1</v>
      </c>
    </row>
    <row r="4629" spans="1:15" x14ac:dyDescent="0.2">
      <c r="A4629" s="111">
        <v>4754</v>
      </c>
      <c r="B4629" s="421" t="s">
        <v>5898</v>
      </c>
      <c r="C4629" s="421" t="s">
        <v>518</v>
      </c>
      <c r="D4629" s="422" t="s">
        <v>666</v>
      </c>
      <c r="E4629" s="111">
        <v>16675</v>
      </c>
      <c r="F4629" s="421" t="s">
        <v>8342</v>
      </c>
      <c r="G4629" s="112">
        <v>1</v>
      </c>
      <c r="H4629" s="112">
        <v>1</v>
      </c>
      <c r="I4629" s="112">
        <v>1</v>
      </c>
    </row>
    <row r="4630" spans="1:15" x14ac:dyDescent="0.2">
      <c r="A4630" s="111">
        <v>4755</v>
      </c>
      <c r="B4630" s="421" t="s">
        <v>1214</v>
      </c>
      <c r="C4630" s="421" t="s">
        <v>518</v>
      </c>
      <c r="D4630" s="422" t="s">
        <v>666</v>
      </c>
      <c r="E4630" s="111">
        <v>16427</v>
      </c>
      <c r="F4630" s="421" t="s">
        <v>7576</v>
      </c>
      <c r="G4630" s="112">
        <v>1</v>
      </c>
      <c r="H4630" s="112">
        <v>1</v>
      </c>
      <c r="I4630" s="112">
        <v>1</v>
      </c>
      <c r="J4630" s="112">
        <v>4</v>
      </c>
      <c r="K4630" s="112">
        <v>4</v>
      </c>
      <c r="L4630" s="112">
        <v>6</v>
      </c>
      <c r="M4630" s="112">
        <v>1</v>
      </c>
    </row>
    <row r="4631" spans="1:15" x14ac:dyDescent="0.2">
      <c r="A4631" s="111">
        <v>4756</v>
      </c>
      <c r="B4631" s="421" t="s">
        <v>5808</v>
      </c>
      <c r="C4631" s="421" t="s">
        <v>510</v>
      </c>
      <c r="D4631" s="422" t="s">
        <v>666</v>
      </c>
      <c r="E4631" s="111">
        <v>15666</v>
      </c>
      <c r="F4631" s="421" t="s">
        <v>5015</v>
      </c>
      <c r="G4631" s="112">
        <v>3</v>
      </c>
      <c r="H4631" s="112">
        <v>3</v>
      </c>
      <c r="I4631" s="112">
        <v>1</v>
      </c>
      <c r="J4631" s="112">
        <v>5</v>
      </c>
      <c r="K4631" s="112">
        <v>4</v>
      </c>
      <c r="L4631" s="112">
        <v>3</v>
      </c>
    </row>
    <row r="4632" spans="1:15" x14ac:dyDescent="0.2">
      <c r="A4632" s="111">
        <v>4757</v>
      </c>
      <c r="B4632" s="421" t="s">
        <v>8323</v>
      </c>
      <c r="C4632" s="421" t="s">
        <v>1908</v>
      </c>
      <c r="D4632" s="422" t="s">
        <v>666</v>
      </c>
      <c r="E4632" s="111">
        <v>15225</v>
      </c>
      <c r="F4632" s="421" t="s">
        <v>2172</v>
      </c>
      <c r="G4632" s="112">
        <v>1</v>
      </c>
      <c r="H4632" s="112">
        <v>1</v>
      </c>
      <c r="I4632" s="112">
        <v>1</v>
      </c>
      <c r="J4632" s="112">
        <v>2</v>
      </c>
      <c r="K4632" s="112">
        <v>1</v>
      </c>
      <c r="L4632" s="112">
        <v>2</v>
      </c>
    </row>
    <row r="4633" spans="1:15" x14ac:dyDescent="0.2">
      <c r="A4633" s="111">
        <v>4758</v>
      </c>
      <c r="B4633" s="421" t="s">
        <v>8324</v>
      </c>
      <c r="C4633" s="421" t="s">
        <v>1908</v>
      </c>
      <c r="D4633" s="422" t="s">
        <v>666</v>
      </c>
      <c r="E4633" s="111">
        <v>15225</v>
      </c>
      <c r="F4633" s="421" t="s">
        <v>2172</v>
      </c>
      <c r="G4633" s="112">
        <v>1</v>
      </c>
      <c r="H4633" s="112">
        <v>2</v>
      </c>
      <c r="I4633" s="112">
        <v>2</v>
      </c>
      <c r="K4633" s="112">
        <v>1</v>
      </c>
      <c r="L4633" s="112">
        <v>1</v>
      </c>
    </row>
    <row r="4634" spans="1:15" x14ac:dyDescent="0.2">
      <c r="A4634" s="111">
        <v>4759</v>
      </c>
      <c r="B4634" s="421" t="s">
        <v>8326</v>
      </c>
      <c r="C4634" s="421" t="s">
        <v>537</v>
      </c>
      <c r="D4634" s="422" t="s">
        <v>663</v>
      </c>
      <c r="E4634" s="111">
        <v>15528</v>
      </c>
      <c r="F4634" s="421" t="s">
        <v>4671</v>
      </c>
      <c r="G4634" s="112">
        <v>1</v>
      </c>
      <c r="H4634" s="112">
        <v>1</v>
      </c>
      <c r="I4634" s="112">
        <v>1</v>
      </c>
      <c r="J4634" s="112">
        <v>9</v>
      </c>
      <c r="K4634" s="112">
        <v>9</v>
      </c>
      <c r="L4634" s="112">
        <v>10</v>
      </c>
      <c r="M4634" s="112">
        <v>5</v>
      </c>
      <c r="N4634" s="112">
        <v>6</v>
      </c>
      <c r="O4634" s="112">
        <v>4</v>
      </c>
    </row>
    <row r="4635" spans="1:15" x14ac:dyDescent="0.2">
      <c r="A4635" s="111">
        <v>4760</v>
      </c>
      <c r="B4635" s="421" t="s">
        <v>8325</v>
      </c>
      <c r="C4635" s="421" t="s">
        <v>1870</v>
      </c>
      <c r="D4635" s="422" t="s">
        <v>666</v>
      </c>
      <c r="E4635" s="111">
        <v>16677</v>
      </c>
      <c r="F4635" s="421" t="s">
        <v>8333</v>
      </c>
      <c r="G4635" s="112">
        <v>1</v>
      </c>
      <c r="H4635" s="112">
        <v>1</v>
      </c>
      <c r="I4635" s="112">
        <v>1</v>
      </c>
      <c r="J4635" s="112">
        <v>6</v>
      </c>
      <c r="K4635" s="112">
        <v>3</v>
      </c>
      <c r="L4635" s="112">
        <v>4</v>
      </c>
      <c r="N4635" s="112">
        <v>1</v>
      </c>
      <c r="O4635" s="112">
        <v>1</v>
      </c>
    </row>
    <row r="4636" spans="1:15" x14ac:dyDescent="0.2">
      <c r="A4636" s="111">
        <v>4761</v>
      </c>
      <c r="B4636" s="421" t="s">
        <v>2266</v>
      </c>
      <c r="C4636" s="421" t="s">
        <v>510</v>
      </c>
      <c r="D4636" s="422" t="s">
        <v>666</v>
      </c>
      <c r="E4636" s="111">
        <v>16678</v>
      </c>
      <c r="F4636" s="421" t="s">
        <v>8337</v>
      </c>
      <c r="G4636" s="112">
        <v>3</v>
      </c>
      <c r="H4636" s="112">
        <v>3</v>
      </c>
      <c r="I4636" s="112">
        <v>4</v>
      </c>
      <c r="J4636" s="112">
        <v>2</v>
      </c>
      <c r="K4636" s="112">
        <v>2</v>
      </c>
      <c r="L4636" s="112">
        <v>2</v>
      </c>
    </row>
    <row r="4637" spans="1:15" x14ac:dyDescent="0.2">
      <c r="A4637" s="111">
        <v>4762</v>
      </c>
      <c r="B4637" s="421" t="s">
        <v>8329</v>
      </c>
      <c r="C4637" s="421" t="s">
        <v>560</v>
      </c>
      <c r="D4637" s="422" t="s">
        <v>663</v>
      </c>
      <c r="E4637" s="111">
        <v>16679</v>
      </c>
      <c r="F4637" s="421" t="s">
        <v>2277</v>
      </c>
      <c r="G4637" s="112">
        <v>2</v>
      </c>
      <c r="H4637" s="112">
        <v>2</v>
      </c>
      <c r="I4637" s="112">
        <v>1</v>
      </c>
      <c r="J4637" s="112">
        <v>1</v>
      </c>
      <c r="K4637" s="112">
        <v>2</v>
      </c>
      <c r="L4637" s="112">
        <v>1</v>
      </c>
    </row>
    <row r="4638" spans="1:15" x14ac:dyDescent="0.2">
      <c r="A4638" s="111">
        <v>4763</v>
      </c>
      <c r="B4638" s="421" t="s">
        <v>2133</v>
      </c>
      <c r="C4638" s="421" t="s">
        <v>551</v>
      </c>
      <c r="D4638" s="422" t="s">
        <v>666</v>
      </c>
      <c r="E4638" s="111">
        <v>16331</v>
      </c>
      <c r="F4638" s="421" t="s">
        <v>7167</v>
      </c>
      <c r="G4638" s="112">
        <v>2</v>
      </c>
      <c r="H4638" s="112">
        <v>3</v>
      </c>
      <c r="I4638" s="112">
        <v>3</v>
      </c>
      <c r="J4638" s="112">
        <v>4</v>
      </c>
      <c r="K4638" s="112">
        <v>6</v>
      </c>
      <c r="L4638" s="112">
        <v>4</v>
      </c>
      <c r="M4638" s="112">
        <v>2</v>
      </c>
      <c r="N4638" s="112">
        <v>2</v>
      </c>
      <c r="O4638" s="112">
        <v>4</v>
      </c>
    </row>
    <row r="4639" spans="1:15" x14ac:dyDescent="0.2">
      <c r="A4639" s="111">
        <v>4764</v>
      </c>
      <c r="B4639" s="421" t="s">
        <v>3235</v>
      </c>
      <c r="C4639" s="421" t="s">
        <v>523</v>
      </c>
      <c r="D4639" s="422" t="s">
        <v>663</v>
      </c>
      <c r="E4639" s="111">
        <v>15413</v>
      </c>
      <c r="F4639" s="421" t="s">
        <v>1251</v>
      </c>
      <c r="G4639" s="112">
        <v>3</v>
      </c>
      <c r="H4639" s="112">
        <v>1</v>
      </c>
      <c r="I4639" s="112">
        <v>1</v>
      </c>
      <c r="J4639" s="112">
        <v>3</v>
      </c>
      <c r="K4639" s="112">
        <v>3</v>
      </c>
      <c r="L4639" s="112">
        <v>1</v>
      </c>
      <c r="M4639" s="112">
        <v>1</v>
      </c>
      <c r="N4639" s="112">
        <v>1</v>
      </c>
    </row>
    <row r="4640" spans="1:15" x14ac:dyDescent="0.2">
      <c r="A4640" s="111">
        <v>4765</v>
      </c>
      <c r="B4640" s="421" t="s">
        <v>2084</v>
      </c>
      <c r="C4640" s="421" t="s">
        <v>574</v>
      </c>
      <c r="D4640" s="422" t="s">
        <v>666</v>
      </c>
      <c r="E4640" s="111">
        <v>15159</v>
      </c>
      <c r="F4640" s="421" t="s">
        <v>3310</v>
      </c>
      <c r="G4640" s="112">
        <v>1</v>
      </c>
      <c r="H4640" s="112">
        <v>1</v>
      </c>
      <c r="I4640" s="112">
        <v>1</v>
      </c>
    </row>
    <row r="4641" spans="1:15" x14ac:dyDescent="0.2">
      <c r="A4641" s="111">
        <v>4766</v>
      </c>
      <c r="B4641" s="421" t="s">
        <v>8328</v>
      </c>
      <c r="C4641" s="421" t="s">
        <v>516</v>
      </c>
      <c r="D4641" s="422" t="s">
        <v>663</v>
      </c>
      <c r="E4641" s="111">
        <v>16682</v>
      </c>
      <c r="F4641" s="421" t="s">
        <v>8336</v>
      </c>
      <c r="G4641" s="112">
        <v>1</v>
      </c>
      <c r="H4641" s="112">
        <v>1</v>
      </c>
      <c r="I4641" s="112">
        <v>1</v>
      </c>
      <c r="J4641" s="112">
        <v>3</v>
      </c>
      <c r="K4641" s="112">
        <v>3</v>
      </c>
      <c r="L4641" s="112">
        <v>3</v>
      </c>
      <c r="N4641" s="112">
        <v>1</v>
      </c>
      <c r="O4641" s="112">
        <v>1</v>
      </c>
    </row>
    <row r="4642" spans="1:15" x14ac:dyDescent="0.2">
      <c r="A4642" s="111">
        <v>4767</v>
      </c>
      <c r="B4642" s="421" t="s">
        <v>8327</v>
      </c>
      <c r="C4642" s="421" t="s">
        <v>501</v>
      </c>
      <c r="D4642" s="422" t="s">
        <v>663</v>
      </c>
      <c r="E4642" s="111">
        <v>16683</v>
      </c>
      <c r="F4642" s="421" t="s">
        <v>8335</v>
      </c>
      <c r="G4642" s="112">
        <v>1</v>
      </c>
      <c r="H4642" s="112">
        <v>1</v>
      </c>
      <c r="I4642" s="112">
        <v>1</v>
      </c>
    </row>
    <row r="4643" spans="1:15" x14ac:dyDescent="0.2">
      <c r="A4643" s="111">
        <v>4768</v>
      </c>
      <c r="B4643" s="421" t="s">
        <v>1667</v>
      </c>
      <c r="C4643" s="421" t="s">
        <v>501</v>
      </c>
      <c r="D4643" s="422" t="s">
        <v>663</v>
      </c>
      <c r="E4643" s="111">
        <v>16683</v>
      </c>
      <c r="F4643" s="421" t="s">
        <v>8335</v>
      </c>
    </row>
    <row r="4644" spans="1:15" x14ac:dyDescent="0.2">
      <c r="A4644" s="111">
        <v>4769</v>
      </c>
      <c r="B4644" s="421" t="s">
        <v>2809</v>
      </c>
      <c r="C4644" s="421" t="s">
        <v>512</v>
      </c>
      <c r="D4644" s="422" t="s">
        <v>666</v>
      </c>
      <c r="E4644" s="111">
        <v>16684</v>
      </c>
      <c r="F4644" s="421" t="s">
        <v>8334</v>
      </c>
      <c r="G4644" s="112">
        <v>2</v>
      </c>
      <c r="H4644" s="112">
        <v>1</v>
      </c>
      <c r="I4644" s="112">
        <v>1</v>
      </c>
      <c r="J4644" s="112">
        <v>5</v>
      </c>
      <c r="K4644" s="112">
        <v>5</v>
      </c>
      <c r="L4644" s="112">
        <v>5</v>
      </c>
      <c r="M4644" s="112">
        <v>4</v>
      </c>
      <c r="N4644" s="112">
        <v>1</v>
      </c>
      <c r="O4644" s="112">
        <v>2</v>
      </c>
    </row>
    <row r="4645" spans="1:15" x14ac:dyDescent="0.2">
      <c r="A4645" s="111">
        <v>4770</v>
      </c>
      <c r="B4645" s="421" t="s">
        <v>4191</v>
      </c>
      <c r="C4645" s="421" t="s">
        <v>506</v>
      </c>
      <c r="D4645" s="422" t="s">
        <v>666</v>
      </c>
      <c r="E4645" s="111">
        <v>14230</v>
      </c>
      <c r="F4645" s="421" t="s">
        <v>957</v>
      </c>
      <c r="G4645" s="112">
        <v>1</v>
      </c>
      <c r="H4645" s="112">
        <v>1</v>
      </c>
    </row>
    <row r="4646" spans="1:15" x14ac:dyDescent="0.2">
      <c r="A4646" s="111">
        <v>4771</v>
      </c>
      <c r="B4646" s="421" t="s">
        <v>8380</v>
      </c>
      <c r="C4646" s="421" t="s">
        <v>506</v>
      </c>
      <c r="D4646" s="422" t="s">
        <v>663</v>
      </c>
      <c r="E4646" s="111">
        <v>16685</v>
      </c>
      <c r="F4646" s="421" t="s">
        <v>8390</v>
      </c>
      <c r="G4646" s="112">
        <v>1</v>
      </c>
      <c r="H4646" s="112">
        <v>1</v>
      </c>
      <c r="I4646" s="112">
        <v>1</v>
      </c>
      <c r="J4646" s="112">
        <v>4</v>
      </c>
      <c r="K4646" s="112">
        <v>4</v>
      </c>
      <c r="L4646" s="112">
        <v>3</v>
      </c>
      <c r="M4646" s="112">
        <v>1</v>
      </c>
      <c r="O4646" s="112">
        <v>1</v>
      </c>
    </row>
    <row r="4647" spans="1:15" x14ac:dyDescent="0.2">
      <c r="A4647" s="111">
        <v>4772</v>
      </c>
      <c r="B4647" s="421" t="s">
        <v>2759</v>
      </c>
      <c r="C4647" s="421" t="s">
        <v>506</v>
      </c>
      <c r="D4647" s="422" t="s">
        <v>666</v>
      </c>
      <c r="F4647" s="421" t="s">
        <v>8393</v>
      </c>
    </row>
    <row r="4648" spans="1:15" x14ac:dyDescent="0.2">
      <c r="A4648" s="111">
        <v>4773</v>
      </c>
      <c r="B4648" s="421" t="s">
        <v>8384</v>
      </c>
      <c r="C4648" s="421" t="s">
        <v>532</v>
      </c>
      <c r="D4648" s="422" t="s">
        <v>666</v>
      </c>
      <c r="F4648" s="421" t="s">
        <v>8394</v>
      </c>
      <c r="G4648" s="112">
        <v>1</v>
      </c>
      <c r="I4648" s="112">
        <v>1</v>
      </c>
    </row>
    <row r="4649" spans="1:15" x14ac:dyDescent="0.2">
      <c r="A4649" s="111">
        <v>4774</v>
      </c>
      <c r="B4649" s="421" t="s">
        <v>8385</v>
      </c>
      <c r="C4649" s="421" t="s">
        <v>1378</v>
      </c>
      <c r="D4649" s="422" t="s">
        <v>663</v>
      </c>
      <c r="E4649" s="111">
        <v>15086</v>
      </c>
      <c r="F4649" s="421" t="s">
        <v>3108</v>
      </c>
    </row>
    <row r="4650" spans="1:15" x14ac:dyDescent="0.2">
      <c r="A4650" s="111">
        <v>4775</v>
      </c>
      <c r="B4650" s="421" t="s">
        <v>1377</v>
      </c>
      <c r="C4650" s="421" t="s">
        <v>506</v>
      </c>
      <c r="D4650" s="422" t="s">
        <v>663</v>
      </c>
      <c r="E4650" s="111">
        <v>16701</v>
      </c>
      <c r="F4650" s="421" t="s">
        <v>7849</v>
      </c>
      <c r="G4650" s="112">
        <v>1</v>
      </c>
      <c r="H4650" s="112">
        <v>1</v>
      </c>
      <c r="I4650" s="112">
        <v>1</v>
      </c>
      <c r="J4650" s="112">
        <v>1</v>
      </c>
      <c r="K4650" s="112">
        <v>1</v>
      </c>
    </row>
    <row r="4651" spans="1:15" x14ac:dyDescent="0.2">
      <c r="A4651" s="111">
        <v>4776</v>
      </c>
      <c r="B4651" s="421" t="s">
        <v>8379</v>
      </c>
      <c r="C4651" s="421" t="s">
        <v>530</v>
      </c>
      <c r="D4651" s="422" t="s">
        <v>663</v>
      </c>
      <c r="E4651" s="111">
        <v>16687</v>
      </c>
      <c r="F4651" s="421" t="s">
        <v>8389</v>
      </c>
      <c r="G4651" s="112">
        <v>1</v>
      </c>
      <c r="H4651" s="112">
        <v>1</v>
      </c>
      <c r="I4651" s="112">
        <v>1</v>
      </c>
      <c r="J4651" s="112">
        <v>3</v>
      </c>
      <c r="K4651" s="112">
        <v>4</v>
      </c>
      <c r="L4651" s="112">
        <v>3</v>
      </c>
      <c r="M4651" s="112">
        <v>5</v>
      </c>
      <c r="N4651" s="112">
        <v>2</v>
      </c>
      <c r="O4651" s="112">
        <v>2</v>
      </c>
    </row>
    <row r="4652" spans="1:15" x14ac:dyDescent="0.2">
      <c r="A4652" s="111">
        <v>4777</v>
      </c>
      <c r="B4652" s="421" t="s">
        <v>1232</v>
      </c>
      <c r="C4652" s="421" t="s">
        <v>2338</v>
      </c>
      <c r="D4652" s="422" t="s">
        <v>663</v>
      </c>
      <c r="E4652" s="111">
        <v>15607</v>
      </c>
      <c r="F4652" s="421" t="s">
        <v>4828</v>
      </c>
    </row>
    <row r="4653" spans="1:15" x14ac:dyDescent="0.2">
      <c r="A4653" s="111">
        <v>4778</v>
      </c>
      <c r="B4653" s="421" t="s">
        <v>5888</v>
      </c>
      <c r="C4653" s="421" t="s">
        <v>572</v>
      </c>
      <c r="D4653" s="422" t="s">
        <v>663</v>
      </c>
      <c r="E4653" s="111">
        <v>16688</v>
      </c>
      <c r="F4653" s="421" t="s">
        <v>8399</v>
      </c>
      <c r="G4653" s="112">
        <v>1</v>
      </c>
      <c r="H4653" s="112">
        <v>1</v>
      </c>
      <c r="I4653" s="112">
        <v>1</v>
      </c>
      <c r="J4653" s="112">
        <v>4</v>
      </c>
      <c r="K4653" s="112">
        <v>3</v>
      </c>
      <c r="L4653" s="112">
        <v>2</v>
      </c>
      <c r="M4653" s="112">
        <v>4</v>
      </c>
      <c r="N4653" s="112">
        <v>1</v>
      </c>
      <c r="O4653" s="112">
        <v>2</v>
      </c>
    </row>
    <row r="4654" spans="1:15" x14ac:dyDescent="0.2">
      <c r="A4654" s="111">
        <v>4779</v>
      </c>
      <c r="B4654" s="421" t="s">
        <v>8383</v>
      </c>
      <c r="C4654" s="421" t="s">
        <v>559</v>
      </c>
      <c r="D4654" s="422" t="s">
        <v>663</v>
      </c>
      <c r="E4654" s="111">
        <v>16689</v>
      </c>
      <c r="F4654" s="421" t="s">
        <v>8392</v>
      </c>
      <c r="G4654" s="112">
        <v>1</v>
      </c>
      <c r="H4654" s="112">
        <v>1</v>
      </c>
      <c r="I4654" s="112">
        <v>1</v>
      </c>
    </row>
    <row r="4655" spans="1:15" x14ac:dyDescent="0.2">
      <c r="A4655" s="111">
        <v>4780</v>
      </c>
      <c r="B4655" s="421" t="s">
        <v>8378</v>
      </c>
      <c r="C4655" s="421" t="s">
        <v>545</v>
      </c>
      <c r="D4655" s="422" t="s">
        <v>663</v>
      </c>
      <c r="E4655" s="111">
        <v>16690</v>
      </c>
      <c r="F4655" s="421" t="s">
        <v>8388</v>
      </c>
      <c r="G4655" s="112">
        <v>3</v>
      </c>
      <c r="H4655" s="112">
        <v>2</v>
      </c>
      <c r="I4655" s="112">
        <v>1</v>
      </c>
      <c r="J4655" s="112">
        <v>2</v>
      </c>
    </row>
    <row r="4656" spans="1:15" x14ac:dyDescent="0.2">
      <c r="A4656" s="111">
        <v>4781</v>
      </c>
      <c r="B4656" s="421" t="s">
        <v>3367</v>
      </c>
      <c r="C4656" s="421" t="s">
        <v>1817</v>
      </c>
      <c r="D4656" s="422" t="s">
        <v>666</v>
      </c>
      <c r="E4656" s="111">
        <v>16691</v>
      </c>
      <c r="F4656" s="421" t="s">
        <v>8403</v>
      </c>
    </row>
    <row r="4657" spans="1:15" x14ac:dyDescent="0.2">
      <c r="A4657" s="111">
        <v>4782</v>
      </c>
      <c r="B4657" s="421" t="s">
        <v>52</v>
      </c>
      <c r="C4657" s="421" t="s">
        <v>551</v>
      </c>
      <c r="D4657" s="422" t="s">
        <v>663</v>
      </c>
      <c r="E4657" s="111">
        <v>16006</v>
      </c>
      <c r="F4657" s="421" t="s">
        <v>6093</v>
      </c>
      <c r="G4657" s="112">
        <v>1</v>
      </c>
      <c r="H4657" s="112">
        <v>1</v>
      </c>
      <c r="I4657" s="112">
        <v>1</v>
      </c>
      <c r="J4657" s="112">
        <v>2</v>
      </c>
      <c r="K4657" s="112">
        <v>1</v>
      </c>
      <c r="L4657" s="112">
        <v>2</v>
      </c>
    </row>
    <row r="4658" spans="1:15" x14ac:dyDescent="0.2">
      <c r="A4658" s="111">
        <v>4783</v>
      </c>
      <c r="B4658" s="421" t="s">
        <v>8382</v>
      </c>
      <c r="C4658" s="421" t="s">
        <v>535</v>
      </c>
      <c r="D4658" s="422" t="s">
        <v>663</v>
      </c>
      <c r="E4658" s="111">
        <v>14864</v>
      </c>
      <c r="F4658" s="421" t="s">
        <v>2568</v>
      </c>
      <c r="G4658" s="112">
        <v>2</v>
      </c>
      <c r="H4658" s="112">
        <v>2</v>
      </c>
      <c r="I4658" s="112">
        <v>1</v>
      </c>
    </row>
    <row r="4659" spans="1:15" x14ac:dyDescent="0.2">
      <c r="A4659" s="111">
        <v>4784</v>
      </c>
      <c r="B4659" s="421" t="s">
        <v>52</v>
      </c>
      <c r="C4659" s="421" t="s">
        <v>551</v>
      </c>
      <c r="D4659" s="422" t="s">
        <v>663</v>
      </c>
      <c r="E4659" s="111">
        <v>16692</v>
      </c>
      <c r="F4659" s="421" t="s">
        <v>8402</v>
      </c>
    </row>
    <row r="4660" spans="1:15" x14ac:dyDescent="0.2">
      <c r="A4660" s="111">
        <v>4785</v>
      </c>
      <c r="B4660" s="421" t="s">
        <v>249</v>
      </c>
      <c r="C4660" s="421" t="s">
        <v>572</v>
      </c>
      <c r="D4660" s="422" t="s">
        <v>666</v>
      </c>
      <c r="E4660" s="111">
        <v>16693</v>
      </c>
      <c r="F4660" s="421" t="s">
        <v>8387</v>
      </c>
    </row>
    <row r="4661" spans="1:15" x14ac:dyDescent="0.2">
      <c r="A4661" s="111">
        <v>4786</v>
      </c>
      <c r="B4661" s="421" t="s">
        <v>5730</v>
      </c>
      <c r="C4661" s="421" t="s">
        <v>574</v>
      </c>
      <c r="D4661" s="422" t="s">
        <v>666</v>
      </c>
      <c r="E4661" s="111">
        <v>16693</v>
      </c>
      <c r="F4661" s="421" t="s">
        <v>8387</v>
      </c>
    </row>
    <row r="4662" spans="1:15" x14ac:dyDescent="0.2">
      <c r="A4662" s="111">
        <v>4787</v>
      </c>
      <c r="B4662" s="421" t="s">
        <v>8376</v>
      </c>
      <c r="C4662" s="421" t="s">
        <v>577</v>
      </c>
      <c r="D4662" s="422" t="s">
        <v>666</v>
      </c>
      <c r="E4662" s="111">
        <v>15102</v>
      </c>
      <c r="F4662" s="421" t="s">
        <v>3149</v>
      </c>
    </row>
    <row r="4663" spans="1:15" x14ac:dyDescent="0.2">
      <c r="A4663" s="111">
        <v>4788</v>
      </c>
      <c r="B4663" s="421" t="s">
        <v>8381</v>
      </c>
      <c r="C4663" s="421" t="s">
        <v>503</v>
      </c>
      <c r="D4663" s="422" t="s">
        <v>666</v>
      </c>
      <c r="F4663" s="421" t="s">
        <v>8391</v>
      </c>
    </row>
    <row r="4664" spans="1:15" x14ac:dyDescent="0.2">
      <c r="A4664" s="111">
        <v>4789</v>
      </c>
      <c r="B4664" s="421" t="s">
        <v>455</v>
      </c>
      <c r="C4664" s="421" t="s">
        <v>501</v>
      </c>
      <c r="D4664" s="422" t="s">
        <v>663</v>
      </c>
      <c r="E4664" s="111">
        <v>16694</v>
      </c>
      <c r="F4664" s="421" t="s">
        <v>8400</v>
      </c>
      <c r="G4664" s="112">
        <v>1</v>
      </c>
      <c r="H4664" s="112">
        <v>1</v>
      </c>
      <c r="I4664" s="112">
        <v>1</v>
      </c>
      <c r="J4664" s="112">
        <v>1</v>
      </c>
      <c r="K4664" s="112">
        <v>1</v>
      </c>
      <c r="L4664" s="112">
        <v>1</v>
      </c>
    </row>
    <row r="4665" spans="1:15" x14ac:dyDescent="0.2">
      <c r="A4665" s="111">
        <v>4790</v>
      </c>
      <c r="B4665" s="421" t="s">
        <v>8377</v>
      </c>
      <c r="C4665" s="421" t="s">
        <v>1908</v>
      </c>
      <c r="D4665" s="422" t="s">
        <v>663</v>
      </c>
      <c r="E4665" s="111">
        <v>16695</v>
      </c>
      <c r="F4665" s="421" t="s">
        <v>8386</v>
      </c>
      <c r="G4665" s="112">
        <v>1</v>
      </c>
      <c r="H4665" s="112">
        <v>1</v>
      </c>
      <c r="I4665" s="112">
        <v>1</v>
      </c>
      <c r="J4665" s="112">
        <v>1</v>
      </c>
    </row>
    <row r="4666" spans="1:15" x14ac:dyDescent="0.2">
      <c r="A4666" s="111">
        <v>4791</v>
      </c>
      <c r="B4666" s="421" t="s">
        <v>1903</v>
      </c>
      <c r="C4666" s="421" t="s">
        <v>503</v>
      </c>
      <c r="D4666" s="422" t="s">
        <v>663</v>
      </c>
      <c r="E4666" s="111">
        <v>16697</v>
      </c>
      <c r="F4666" s="421" t="s">
        <v>8401</v>
      </c>
      <c r="G4666" s="112">
        <v>2</v>
      </c>
      <c r="H4666" s="112">
        <v>1</v>
      </c>
      <c r="I4666" s="112">
        <v>2</v>
      </c>
      <c r="J4666" s="112">
        <v>3</v>
      </c>
      <c r="K4666" s="112">
        <v>3</v>
      </c>
      <c r="L4666" s="112">
        <v>3</v>
      </c>
      <c r="M4666" s="112">
        <v>2</v>
      </c>
      <c r="N4666" s="112">
        <v>2</v>
      </c>
      <c r="O4666" s="112">
        <v>3</v>
      </c>
    </row>
    <row r="4667" spans="1:15" x14ac:dyDescent="0.2">
      <c r="A4667" s="111">
        <v>4792</v>
      </c>
      <c r="B4667" s="421" t="s">
        <v>8439</v>
      </c>
      <c r="C4667" s="421" t="s">
        <v>501</v>
      </c>
      <c r="D4667" s="422" t="s">
        <v>666</v>
      </c>
      <c r="E4667" s="111">
        <v>16698</v>
      </c>
      <c r="F4667" s="421" t="s">
        <v>8453</v>
      </c>
      <c r="G4667" s="112">
        <v>1</v>
      </c>
      <c r="H4667" s="112">
        <v>1</v>
      </c>
    </row>
    <row r="4668" spans="1:15" x14ac:dyDescent="0.2">
      <c r="A4668" s="111">
        <v>4793</v>
      </c>
      <c r="B4668" s="421" t="s">
        <v>1109</v>
      </c>
      <c r="C4668" s="421" t="s">
        <v>501</v>
      </c>
      <c r="D4668" s="422" t="s">
        <v>666</v>
      </c>
      <c r="E4668" s="111">
        <v>16699</v>
      </c>
      <c r="F4668" s="421" t="s">
        <v>8455</v>
      </c>
      <c r="G4668" s="112">
        <v>2</v>
      </c>
      <c r="H4668" s="112">
        <v>1</v>
      </c>
      <c r="I4668" s="112">
        <v>1</v>
      </c>
      <c r="J4668" s="112">
        <v>6</v>
      </c>
      <c r="K4668" s="112">
        <v>2</v>
      </c>
      <c r="L4668" s="112">
        <v>5</v>
      </c>
      <c r="M4668" s="112">
        <v>2</v>
      </c>
    </row>
    <row r="4669" spans="1:15" x14ac:dyDescent="0.2">
      <c r="A4669" s="111">
        <v>4794</v>
      </c>
      <c r="B4669" s="421" t="s">
        <v>8441</v>
      </c>
      <c r="C4669" s="421" t="s">
        <v>501</v>
      </c>
      <c r="D4669" s="422" t="s">
        <v>666</v>
      </c>
      <c r="E4669" s="111">
        <v>16699</v>
      </c>
      <c r="F4669" s="421" t="s">
        <v>8455</v>
      </c>
      <c r="G4669" s="112">
        <v>2</v>
      </c>
      <c r="H4669" s="112">
        <v>1</v>
      </c>
      <c r="I4669" s="112">
        <v>1</v>
      </c>
      <c r="J4669" s="112">
        <v>4</v>
      </c>
      <c r="K4669" s="112">
        <v>3</v>
      </c>
      <c r="L4669" s="112">
        <v>5</v>
      </c>
      <c r="M4669" s="112">
        <v>2</v>
      </c>
      <c r="N4669" s="112">
        <v>2</v>
      </c>
      <c r="O4669" s="112">
        <v>2</v>
      </c>
    </row>
    <row r="4670" spans="1:15" x14ac:dyDescent="0.2">
      <c r="A4670" s="111">
        <v>4795</v>
      </c>
      <c r="B4670" s="421" t="s">
        <v>235</v>
      </c>
      <c r="C4670" s="421" t="s">
        <v>530</v>
      </c>
      <c r="D4670" s="422" t="s">
        <v>663</v>
      </c>
      <c r="E4670" s="111">
        <v>16700</v>
      </c>
      <c r="F4670" s="421" t="s">
        <v>8452</v>
      </c>
      <c r="G4670" s="112">
        <v>1</v>
      </c>
      <c r="H4670" s="112">
        <v>1</v>
      </c>
      <c r="I4670" s="112">
        <v>1</v>
      </c>
      <c r="J4670" s="112">
        <v>3</v>
      </c>
      <c r="K4670" s="112">
        <v>2</v>
      </c>
      <c r="L4670" s="112">
        <v>2</v>
      </c>
      <c r="M4670" s="112">
        <v>2</v>
      </c>
      <c r="N4670" s="112">
        <v>2</v>
      </c>
      <c r="O4670" s="112">
        <v>2</v>
      </c>
    </row>
    <row r="4671" spans="1:15" x14ac:dyDescent="0.2">
      <c r="A4671" s="111">
        <v>4796</v>
      </c>
      <c r="B4671" s="421" t="s">
        <v>3763</v>
      </c>
      <c r="C4671" s="421" t="s">
        <v>516</v>
      </c>
      <c r="D4671" s="422" t="s">
        <v>666</v>
      </c>
      <c r="E4671" s="111">
        <v>16441</v>
      </c>
      <c r="F4671" s="421" t="s">
        <v>7565</v>
      </c>
      <c r="G4671" s="112">
        <v>1</v>
      </c>
      <c r="H4671" s="112">
        <v>1</v>
      </c>
      <c r="I4671" s="112">
        <v>2</v>
      </c>
    </row>
    <row r="4672" spans="1:15" x14ac:dyDescent="0.2">
      <c r="A4672" s="111">
        <v>4797</v>
      </c>
      <c r="B4672" s="421" t="s">
        <v>257</v>
      </c>
      <c r="C4672" s="421" t="s">
        <v>551</v>
      </c>
      <c r="D4672" s="422" t="s">
        <v>663</v>
      </c>
      <c r="E4672" s="111">
        <v>16576</v>
      </c>
      <c r="F4672" s="421" t="s">
        <v>7952</v>
      </c>
      <c r="G4672" s="112">
        <v>1</v>
      </c>
      <c r="H4672" s="112">
        <v>1</v>
      </c>
      <c r="I4672" s="112">
        <v>1</v>
      </c>
      <c r="J4672" s="112">
        <v>4</v>
      </c>
      <c r="K4672" s="112">
        <v>3</v>
      </c>
      <c r="L4672" s="112">
        <v>6</v>
      </c>
      <c r="M4672" s="112">
        <v>2</v>
      </c>
      <c r="O4672" s="112">
        <v>1</v>
      </c>
    </row>
    <row r="4673" spans="1:15" x14ac:dyDescent="0.2">
      <c r="A4673" s="111">
        <v>4798</v>
      </c>
      <c r="B4673" s="421" t="s">
        <v>250</v>
      </c>
      <c r="C4673" s="421" t="s">
        <v>551</v>
      </c>
      <c r="D4673" s="422" t="s">
        <v>666</v>
      </c>
      <c r="E4673" s="111">
        <v>15645</v>
      </c>
      <c r="F4673" s="421" t="s">
        <v>4669</v>
      </c>
      <c r="G4673" s="112">
        <v>2</v>
      </c>
      <c r="H4673" s="112">
        <v>1</v>
      </c>
      <c r="I4673" s="112">
        <v>1</v>
      </c>
      <c r="J4673" s="112">
        <v>2</v>
      </c>
      <c r="K4673" s="112">
        <v>3</v>
      </c>
      <c r="L4673" s="112">
        <v>1</v>
      </c>
    </row>
    <row r="4674" spans="1:15" x14ac:dyDescent="0.2">
      <c r="A4674" s="111">
        <v>4799</v>
      </c>
      <c r="B4674" s="421" t="s">
        <v>8436</v>
      </c>
      <c r="C4674" s="421" t="s">
        <v>563</v>
      </c>
      <c r="D4674" s="422" t="s">
        <v>663</v>
      </c>
      <c r="E4674" s="111">
        <v>15644</v>
      </c>
      <c r="F4674" s="421" t="s">
        <v>4840</v>
      </c>
      <c r="H4674" s="112">
        <v>1</v>
      </c>
    </row>
    <row r="4675" spans="1:15" x14ac:dyDescent="0.2">
      <c r="A4675" s="111">
        <v>4800</v>
      </c>
      <c r="B4675" s="421" t="s">
        <v>2614</v>
      </c>
      <c r="C4675" s="421" t="s">
        <v>501</v>
      </c>
      <c r="D4675" s="422" t="s">
        <v>666</v>
      </c>
      <c r="E4675" s="111">
        <v>16702</v>
      </c>
      <c r="F4675" s="421" t="s">
        <v>8448</v>
      </c>
    </row>
    <row r="4676" spans="1:15" x14ac:dyDescent="0.2">
      <c r="A4676" s="111">
        <v>4801</v>
      </c>
      <c r="B4676" s="421" t="s">
        <v>8435</v>
      </c>
      <c r="C4676" s="421" t="s">
        <v>562</v>
      </c>
      <c r="D4676" s="422" t="s">
        <v>666</v>
      </c>
      <c r="E4676" s="111">
        <v>16703</v>
      </c>
      <c r="F4676" s="421" t="s">
        <v>8447</v>
      </c>
      <c r="G4676" s="112">
        <v>1</v>
      </c>
      <c r="H4676" s="112">
        <v>1</v>
      </c>
      <c r="I4676" s="112">
        <v>1</v>
      </c>
      <c r="J4676" s="112">
        <v>12</v>
      </c>
      <c r="K4676" s="112">
        <v>8</v>
      </c>
      <c r="L4676" s="112">
        <v>6</v>
      </c>
      <c r="M4676" s="112">
        <v>7</v>
      </c>
      <c r="N4676" s="112">
        <v>5</v>
      </c>
      <c r="O4676" s="112">
        <v>3</v>
      </c>
    </row>
    <row r="4677" spans="1:15" x14ac:dyDescent="0.2">
      <c r="A4677" s="111">
        <v>4803</v>
      </c>
      <c r="B4677" s="421" t="s">
        <v>8444</v>
      </c>
      <c r="C4677" s="421" t="s">
        <v>506</v>
      </c>
      <c r="D4677" s="422" t="s">
        <v>666</v>
      </c>
      <c r="E4677" s="111">
        <v>16704</v>
      </c>
      <c r="F4677" s="421" t="s">
        <v>8457</v>
      </c>
      <c r="G4677" s="112">
        <v>1</v>
      </c>
      <c r="H4677" s="112">
        <v>1</v>
      </c>
      <c r="I4677" s="112">
        <v>1</v>
      </c>
      <c r="J4677" s="112">
        <v>1</v>
      </c>
    </row>
    <row r="4678" spans="1:15" x14ac:dyDescent="0.2">
      <c r="A4678" s="111">
        <v>4805</v>
      </c>
      <c r="B4678" s="421" t="s">
        <v>5691</v>
      </c>
      <c r="C4678" s="421" t="s">
        <v>533</v>
      </c>
      <c r="D4678" s="422" t="s">
        <v>663</v>
      </c>
      <c r="E4678" s="111">
        <v>15242</v>
      </c>
      <c r="F4678" s="421" t="s">
        <v>3475</v>
      </c>
    </row>
    <row r="4679" spans="1:15" x14ac:dyDescent="0.2">
      <c r="A4679" s="111">
        <v>4806</v>
      </c>
      <c r="B4679" s="421" t="s">
        <v>1771</v>
      </c>
      <c r="C4679" s="421" t="s">
        <v>533</v>
      </c>
      <c r="D4679" s="422" t="s">
        <v>666</v>
      </c>
      <c r="E4679" s="111">
        <v>15242</v>
      </c>
      <c r="F4679" s="421" t="s">
        <v>3475</v>
      </c>
      <c r="G4679" s="112">
        <v>1</v>
      </c>
      <c r="H4679" s="112">
        <v>1</v>
      </c>
      <c r="I4679" s="112">
        <v>1</v>
      </c>
    </row>
    <row r="4680" spans="1:15" x14ac:dyDescent="0.2">
      <c r="A4680" s="111">
        <v>4807</v>
      </c>
      <c r="B4680" s="421" t="s">
        <v>1903</v>
      </c>
      <c r="C4680" s="421" t="s">
        <v>572</v>
      </c>
      <c r="D4680" s="422" t="s">
        <v>663</v>
      </c>
      <c r="E4680" s="111">
        <v>16731</v>
      </c>
      <c r="F4680" s="421" t="s">
        <v>8458</v>
      </c>
      <c r="G4680" s="112">
        <v>1</v>
      </c>
      <c r="H4680" s="112">
        <v>1</v>
      </c>
      <c r="I4680" s="112">
        <v>1</v>
      </c>
      <c r="J4680" s="112">
        <v>3</v>
      </c>
      <c r="K4680" s="112">
        <v>2</v>
      </c>
      <c r="L4680" s="112">
        <v>1</v>
      </c>
    </row>
    <row r="4681" spans="1:15" x14ac:dyDescent="0.2">
      <c r="A4681" s="111">
        <v>4808</v>
      </c>
      <c r="B4681" s="421" t="s">
        <v>6850</v>
      </c>
      <c r="C4681" s="421" t="s">
        <v>577</v>
      </c>
      <c r="D4681" s="422" t="s">
        <v>666</v>
      </c>
      <c r="E4681" s="111">
        <v>14680</v>
      </c>
      <c r="F4681" s="421" t="s">
        <v>2068</v>
      </c>
      <c r="G4681" s="112">
        <v>1</v>
      </c>
      <c r="H4681" s="112">
        <v>1</v>
      </c>
      <c r="I4681" s="112">
        <v>1</v>
      </c>
      <c r="J4681" s="112">
        <v>2</v>
      </c>
      <c r="K4681" s="112">
        <v>1</v>
      </c>
      <c r="L4681" s="112">
        <v>3</v>
      </c>
    </row>
    <row r="4682" spans="1:15" x14ac:dyDescent="0.2">
      <c r="A4682" s="111">
        <v>4809</v>
      </c>
      <c r="B4682" s="421" t="s">
        <v>2916</v>
      </c>
      <c r="C4682" s="421" t="s">
        <v>503</v>
      </c>
      <c r="D4682" s="422" t="s">
        <v>666</v>
      </c>
      <c r="E4682" s="111">
        <v>16708</v>
      </c>
      <c r="F4682" s="421" t="s">
        <v>8456</v>
      </c>
      <c r="G4682" s="112">
        <v>1</v>
      </c>
      <c r="H4682" s="112">
        <v>1</v>
      </c>
      <c r="I4682" s="112">
        <v>1</v>
      </c>
      <c r="J4682" s="112">
        <v>1</v>
      </c>
      <c r="K4682" s="112">
        <v>2</v>
      </c>
      <c r="L4682" s="112">
        <v>2</v>
      </c>
    </row>
    <row r="4683" spans="1:15" x14ac:dyDescent="0.2">
      <c r="A4683" s="111">
        <v>4810</v>
      </c>
      <c r="B4683" s="421" t="s">
        <v>8442</v>
      </c>
      <c r="C4683" s="421" t="s">
        <v>512</v>
      </c>
      <c r="D4683" s="422" t="s">
        <v>666</v>
      </c>
      <c r="E4683" s="111">
        <v>15468</v>
      </c>
      <c r="F4683" s="421" t="s">
        <v>4333</v>
      </c>
      <c r="G4683" s="112">
        <v>2</v>
      </c>
      <c r="H4683" s="112">
        <v>2</v>
      </c>
      <c r="I4683" s="112">
        <v>1</v>
      </c>
      <c r="J4683" s="112">
        <v>4</v>
      </c>
      <c r="K4683" s="112">
        <v>2</v>
      </c>
      <c r="L4683" s="112">
        <v>3</v>
      </c>
    </row>
    <row r="4684" spans="1:15" x14ac:dyDescent="0.2">
      <c r="A4684" s="111">
        <v>4811</v>
      </c>
      <c r="B4684" s="421" t="s">
        <v>8437</v>
      </c>
      <c r="C4684" s="421" t="s">
        <v>501</v>
      </c>
      <c r="D4684" s="422" t="s">
        <v>663</v>
      </c>
      <c r="E4684" s="111">
        <v>16710</v>
      </c>
      <c r="F4684" s="421" t="s">
        <v>8449</v>
      </c>
      <c r="G4684" s="112">
        <v>1</v>
      </c>
      <c r="H4684" s="112">
        <v>1</v>
      </c>
      <c r="I4684" s="112">
        <v>1</v>
      </c>
      <c r="J4684" s="112">
        <v>2</v>
      </c>
      <c r="K4684" s="112">
        <v>1</v>
      </c>
      <c r="L4684" s="112">
        <v>1</v>
      </c>
    </row>
    <row r="4685" spans="1:15" x14ac:dyDescent="0.2">
      <c r="A4685" s="111">
        <v>4812</v>
      </c>
      <c r="B4685" s="421" t="s">
        <v>8438</v>
      </c>
      <c r="C4685" s="421" t="s">
        <v>551</v>
      </c>
      <c r="D4685" s="422" t="s">
        <v>666</v>
      </c>
      <c r="E4685" s="111">
        <v>16710</v>
      </c>
      <c r="F4685" s="421" t="s">
        <v>8449</v>
      </c>
      <c r="G4685" s="112">
        <v>1</v>
      </c>
      <c r="H4685" s="112">
        <v>1</v>
      </c>
      <c r="I4685" s="112">
        <v>1</v>
      </c>
    </row>
    <row r="4686" spans="1:15" x14ac:dyDescent="0.2">
      <c r="A4686" s="111">
        <v>4813</v>
      </c>
      <c r="B4686" s="421" t="s">
        <v>2052</v>
      </c>
      <c r="C4686" s="421" t="s">
        <v>551</v>
      </c>
      <c r="D4686" s="422" t="s">
        <v>663</v>
      </c>
      <c r="E4686" s="111">
        <v>16711</v>
      </c>
      <c r="F4686" s="421" t="s">
        <v>8451</v>
      </c>
      <c r="G4686" s="112">
        <v>1</v>
      </c>
      <c r="H4686" s="112">
        <v>1</v>
      </c>
      <c r="I4686" s="112">
        <v>1</v>
      </c>
      <c r="J4686" s="112">
        <v>1</v>
      </c>
      <c r="K4686" s="112">
        <v>1</v>
      </c>
      <c r="L4686" s="112">
        <v>1</v>
      </c>
    </row>
    <row r="4687" spans="1:15" x14ac:dyDescent="0.2">
      <c r="A4687" s="111">
        <v>4814</v>
      </c>
      <c r="B4687" s="421" t="s">
        <v>8443</v>
      </c>
      <c r="C4687" s="421" t="s">
        <v>501</v>
      </c>
      <c r="D4687" s="422" t="s">
        <v>663</v>
      </c>
      <c r="E4687" s="111">
        <v>16624</v>
      </c>
      <c r="F4687" s="421" t="s">
        <v>8032</v>
      </c>
      <c r="G4687" s="112">
        <v>1</v>
      </c>
      <c r="H4687" s="112">
        <v>1</v>
      </c>
      <c r="I4687" s="112">
        <v>1</v>
      </c>
    </row>
    <row r="4688" spans="1:15" x14ac:dyDescent="0.2">
      <c r="A4688" s="111">
        <v>4815</v>
      </c>
      <c r="B4688" s="421" t="s">
        <v>8440</v>
      </c>
      <c r="C4688" s="421" t="s">
        <v>1615</v>
      </c>
      <c r="D4688" s="422" t="s">
        <v>666</v>
      </c>
      <c r="E4688" s="111">
        <v>16712</v>
      </c>
      <c r="F4688" s="421" t="s">
        <v>8454</v>
      </c>
      <c r="G4688" s="112">
        <v>1</v>
      </c>
      <c r="H4688" s="112">
        <v>1</v>
      </c>
      <c r="I4688" s="112">
        <v>1</v>
      </c>
      <c r="K4688" s="112">
        <v>1</v>
      </c>
      <c r="L4688" s="112">
        <v>2</v>
      </c>
    </row>
    <row r="4689" spans="1:15" x14ac:dyDescent="0.2">
      <c r="A4689" s="111">
        <v>4816</v>
      </c>
      <c r="B4689" s="421" t="s">
        <v>353</v>
      </c>
      <c r="C4689" s="421" t="s">
        <v>1817</v>
      </c>
      <c r="D4689" s="422" t="s">
        <v>663</v>
      </c>
      <c r="E4689" s="111">
        <v>17117</v>
      </c>
      <c r="F4689" s="421" t="s">
        <v>8446</v>
      </c>
      <c r="G4689" s="112">
        <v>2</v>
      </c>
      <c r="H4689" s="112">
        <v>2</v>
      </c>
      <c r="I4689" s="112">
        <v>1</v>
      </c>
      <c r="J4689" s="112">
        <v>2</v>
      </c>
      <c r="K4689" s="112">
        <v>2</v>
      </c>
      <c r="L4689" s="112">
        <v>2</v>
      </c>
    </row>
    <row r="4690" spans="1:15" x14ac:dyDescent="0.2">
      <c r="A4690" s="111">
        <v>4817</v>
      </c>
      <c r="B4690" s="421" t="s">
        <v>1349</v>
      </c>
      <c r="C4690" s="421" t="s">
        <v>1817</v>
      </c>
      <c r="D4690" s="422" t="s">
        <v>663</v>
      </c>
      <c r="E4690" s="111">
        <v>17117</v>
      </c>
      <c r="F4690" s="421" t="s">
        <v>8446</v>
      </c>
      <c r="G4690" s="112">
        <v>2</v>
      </c>
      <c r="H4690" s="112">
        <v>2</v>
      </c>
      <c r="I4690" s="112">
        <v>1</v>
      </c>
      <c r="J4690" s="112">
        <v>3</v>
      </c>
      <c r="K4690" s="112">
        <v>2</v>
      </c>
      <c r="L4690" s="112">
        <v>1</v>
      </c>
    </row>
    <row r="4691" spans="1:15" x14ac:dyDescent="0.2">
      <c r="A4691" s="111">
        <v>4818</v>
      </c>
      <c r="B4691" s="421" t="s">
        <v>5726</v>
      </c>
      <c r="C4691" s="421" t="s">
        <v>572</v>
      </c>
      <c r="D4691" s="422" t="s">
        <v>663</v>
      </c>
      <c r="E4691" s="111">
        <v>16732</v>
      </c>
      <c r="F4691" s="421" t="s">
        <v>8450</v>
      </c>
      <c r="G4691" s="112">
        <v>1</v>
      </c>
      <c r="H4691" s="112">
        <v>1</v>
      </c>
    </row>
    <row r="4692" spans="1:15" x14ac:dyDescent="0.2">
      <c r="A4692" s="111">
        <v>4819</v>
      </c>
      <c r="B4692" s="421" t="s">
        <v>4989</v>
      </c>
      <c r="C4692" s="421" t="s">
        <v>1908</v>
      </c>
      <c r="D4692" s="422" t="s">
        <v>666</v>
      </c>
      <c r="E4692" s="111">
        <v>16287</v>
      </c>
      <c r="F4692" s="421" t="s">
        <v>7024</v>
      </c>
      <c r="G4692" s="112">
        <v>1</v>
      </c>
      <c r="H4692" s="112">
        <v>1</v>
      </c>
      <c r="I4692" s="112">
        <v>1</v>
      </c>
      <c r="J4692" s="112">
        <v>2</v>
      </c>
      <c r="K4692" s="112">
        <v>2</v>
      </c>
      <c r="L4692" s="112">
        <v>2</v>
      </c>
    </row>
    <row r="4693" spans="1:15" x14ac:dyDescent="0.2">
      <c r="A4693" s="111">
        <v>4820</v>
      </c>
      <c r="B4693" s="421" t="s">
        <v>4657</v>
      </c>
      <c r="C4693" s="421" t="s">
        <v>591</v>
      </c>
      <c r="D4693" s="422" t="s">
        <v>666</v>
      </c>
      <c r="E4693" s="111">
        <v>15365</v>
      </c>
      <c r="F4693" s="421" t="s">
        <v>3897</v>
      </c>
      <c r="G4693" s="112">
        <v>1</v>
      </c>
      <c r="H4693" s="112">
        <v>2</v>
      </c>
      <c r="I4693" s="112">
        <v>3</v>
      </c>
    </row>
    <row r="4694" spans="1:15" x14ac:dyDescent="0.2">
      <c r="A4694" s="111">
        <v>4821</v>
      </c>
      <c r="B4694" s="421" t="s">
        <v>8445</v>
      </c>
      <c r="C4694" s="421" t="s">
        <v>522</v>
      </c>
      <c r="D4694" s="422" t="s">
        <v>663</v>
      </c>
      <c r="E4694" s="111">
        <v>14816</v>
      </c>
      <c r="F4694" s="421" t="s">
        <v>2464</v>
      </c>
    </row>
    <row r="4695" spans="1:15" x14ac:dyDescent="0.2">
      <c r="A4695" s="111">
        <v>4822</v>
      </c>
      <c r="B4695" s="421" t="s">
        <v>4340</v>
      </c>
      <c r="C4695" s="421" t="s">
        <v>503</v>
      </c>
      <c r="D4695" s="422" t="s">
        <v>663</v>
      </c>
      <c r="E4695" s="111">
        <v>14941</v>
      </c>
      <c r="F4695" s="421" t="s">
        <v>3534</v>
      </c>
      <c r="G4695" s="112">
        <v>2</v>
      </c>
      <c r="H4695" s="112">
        <v>2</v>
      </c>
      <c r="I4695" s="112">
        <v>2</v>
      </c>
      <c r="J4695" s="112">
        <v>14</v>
      </c>
      <c r="K4695" s="112">
        <v>14</v>
      </c>
      <c r="L4695" s="112">
        <v>14</v>
      </c>
      <c r="M4695" s="112">
        <v>21</v>
      </c>
      <c r="N4695" s="112">
        <v>21</v>
      </c>
      <c r="O4695" s="112">
        <v>20</v>
      </c>
    </row>
    <row r="4696" spans="1:15" x14ac:dyDescent="0.2">
      <c r="A4696" s="111">
        <v>4823</v>
      </c>
      <c r="B4696" s="421" t="s">
        <v>8502</v>
      </c>
      <c r="C4696" s="421" t="s">
        <v>514</v>
      </c>
      <c r="D4696" s="422" t="s">
        <v>666</v>
      </c>
      <c r="E4696" s="111">
        <v>15695</v>
      </c>
      <c r="F4696" s="421" t="s">
        <v>5149</v>
      </c>
      <c r="G4696" s="112">
        <v>1</v>
      </c>
      <c r="H4696" s="112">
        <v>1</v>
      </c>
      <c r="I4696" s="112">
        <v>1</v>
      </c>
    </row>
    <row r="4697" spans="1:15" x14ac:dyDescent="0.2">
      <c r="A4697" s="111">
        <v>4824</v>
      </c>
      <c r="B4697" s="421" t="s">
        <v>8491</v>
      </c>
      <c r="C4697" s="421" t="s">
        <v>532</v>
      </c>
      <c r="D4697" s="422" t="s">
        <v>666</v>
      </c>
      <c r="E4697" s="111">
        <v>16713</v>
      </c>
      <c r="F4697" s="421" t="s">
        <v>8510</v>
      </c>
      <c r="G4697" s="112">
        <v>2</v>
      </c>
      <c r="H4697" s="112">
        <v>2</v>
      </c>
      <c r="I4697" s="112">
        <v>2</v>
      </c>
      <c r="J4697" s="112">
        <v>4</v>
      </c>
      <c r="K4697" s="112">
        <v>6</v>
      </c>
      <c r="L4697" s="112">
        <v>5</v>
      </c>
    </row>
    <row r="4698" spans="1:15" x14ac:dyDescent="0.2">
      <c r="A4698" s="111">
        <v>4825</v>
      </c>
      <c r="B4698" s="421" t="s">
        <v>8500</v>
      </c>
      <c r="C4698" s="421" t="s">
        <v>529</v>
      </c>
      <c r="D4698" s="422" t="s">
        <v>663</v>
      </c>
      <c r="E4698" s="111">
        <v>15530</v>
      </c>
      <c r="F4698" s="421" t="s">
        <v>4707</v>
      </c>
      <c r="G4698" s="112">
        <v>1</v>
      </c>
      <c r="H4698" s="112">
        <v>1</v>
      </c>
      <c r="I4698" s="112">
        <v>1</v>
      </c>
      <c r="L4698" s="112">
        <v>1</v>
      </c>
    </row>
    <row r="4699" spans="1:15" x14ac:dyDescent="0.2">
      <c r="A4699" s="111">
        <v>4826</v>
      </c>
      <c r="B4699" s="421" t="s">
        <v>7885</v>
      </c>
      <c r="C4699" s="421" t="s">
        <v>501</v>
      </c>
      <c r="D4699" s="422" t="s">
        <v>663</v>
      </c>
      <c r="E4699" s="111">
        <v>16714</v>
      </c>
      <c r="F4699" s="421" t="s">
        <v>8511</v>
      </c>
    </row>
    <row r="4700" spans="1:15" x14ac:dyDescent="0.2">
      <c r="A4700" s="111">
        <v>4827</v>
      </c>
      <c r="B4700" s="421" t="s">
        <v>8506</v>
      </c>
      <c r="C4700" s="421" t="s">
        <v>1066</v>
      </c>
      <c r="D4700" s="422" t="s">
        <v>666</v>
      </c>
      <c r="E4700" s="111">
        <v>16715</v>
      </c>
      <c r="F4700" s="421" t="s">
        <v>8526</v>
      </c>
      <c r="G4700" s="112">
        <v>1</v>
      </c>
      <c r="H4700" s="112">
        <v>1</v>
      </c>
      <c r="I4700" s="112">
        <v>1</v>
      </c>
    </row>
    <row r="4701" spans="1:15" x14ac:dyDescent="0.2">
      <c r="A4701" s="111">
        <v>4828</v>
      </c>
      <c r="B4701" s="421" t="s">
        <v>1111</v>
      </c>
      <c r="C4701" s="421" t="s">
        <v>551</v>
      </c>
      <c r="D4701" s="422" t="s">
        <v>666</v>
      </c>
      <c r="E4701" s="111">
        <v>16193</v>
      </c>
      <c r="F4701" s="421" t="s">
        <v>6568</v>
      </c>
      <c r="G4701" s="112">
        <v>1</v>
      </c>
      <c r="H4701" s="112">
        <v>1</v>
      </c>
      <c r="I4701" s="112">
        <v>1</v>
      </c>
      <c r="J4701" s="112">
        <v>3</v>
      </c>
      <c r="K4701" s="112">
        <v>3</v>
      </c>
      <c r="L4701" s="112">
        <v>3</v>
      </c>
      <c r="M4701" s="112">
        <v>3</v>
      </c>
      <c r="N4701" s="112">
        <v>3</v>
      </c>
      <c r="O4701" s="112">
        <v>2</v>
      </c>
    </row>
    <row r="4702" spans="1:15" x14ac:dyDescent="0.2">
      <c r="A4702" s="111">
        <v>4829</v>
      </c>
      <c r="B4702" s="421" t="s">
        <v>8497</v>
      </c>
      <c r="C4702" s="421" t="s">
        <v>522</v>
      </c>
      <c r="D4702" s="422" t="s">
        <v>663</v>
      </c>
      <c r="E4702" s="111">
        <v>14667</v>
      </c>
      <c r="F4702" s="421" t="s">
        <v>1880</v>
      </c>
      <c r="G4702" s="112">
        <v>1</v>
      </c>
      <c r="H4702" s="112">
        <v>1</v>
      </c>
      <c r="I4702" s="112">
        <v>1</v>
      </c>
      <c r="J4702" s="112">
        <v>3</v>
      </c>
      <c r="K4702" s="112">
        <v>4</v>
      </c>
      <c r="L4702" s="112">
        <v>4</v>
      </c>
      <c r="M4702" s="112">
        <v>1</v>
      </c>
      <c r="N4702" s="112">
        <v>1</v>
      </c>
      <c r="O4702" s="112">
        <v>2</v>
      </c>
    </row>
    <row r="4703" spans="1:15" x14ac:dyDescent="0.2">
      <c r="A4703" s="111">
        <v>4830</v>
      </c>
      <c r="B4703" s="421" t="s">
        <v>8496</v>
      </c>
      <c r="C4703" s="421" t="s">
        <v>548</v>
      </c>
      <c r="D4703" s="422" t="s">
        <v>666</v>
      </c>
      <c r="F4703" s="421" t="s">
        <v>8516</v>
      </c>
      <c r="G4703" s="112">
        <v>1</v>
      </c>
      <c r="H4703" s="112">
        <v>1</v>
      </c>
      <c r="I4703" s="112">
        <v>1</v>
      </c>
      <c r="J4703" s="112">
        <v>1</v>
      </c>
    </row>
    <row r="4704" spans="1:15" x14ac:dyDescent="0.2">
      <c r="A4704" s="111">
        <v>4831</v>
      </c>
      <c r="B4704" s="421" t="s">
        <v>4645</v>
      </c>
      <c r="C4704" s="421" t="s">
        <v>503</v>
      </c>
      <c r="D4704" s="422" t="s">
        <v>663</v>
      </c>
      <c r="E4704" s="111">
        <v>15454</v>
      </c>
      <c r="F4704" s="421" t="s">
        <v>4196</v>
      </c>
      <c r="G4704" s="112">
        <v>1</v>
      </c>
      <c r="H4704" s="112">
        <v>1</v>
      </c>
      <c r="I4704" s="112">
        <v>1</v>
      </c>
      <c r="J4704" s="112">
        <v>6</v>
      </c>
      <c r="K4704" s="112">
        <v>3</v>
      </c>
      <c r="L4704" s="112">
        <v>7</v>
      </c>
      <c r="M4704" s="112">
        <v>3</v>
      </c>
      <c r="N4704" s="112">
        <v>3</v>
      </c>
      <c r="O4704" s="112">
        <v>5</v>
      </c>
    </row>
    <row r="4705" spans="1:15" x14ac:dyDescent="0.2">
      <c r="A4705" s="111">
        <v>4832</v>
      </c>
      <c r="B4705" s="421" t="s">
        <v>266</v>
      </c>
      <c r="C4705" s="421" t="s">
        <v>1284</v>
      </c>
      <c r="D4705" s="422" t="s">
        <v>663</v>
      </c>
      <c r="E4705" s="111">
        <v>16717</v>
      </c>
      <c r="F4705" s="421" t="s">
        <v>8529</v>
      </c>
      <c r="G4705" s="112">
        <v>1</v>
      </c>
      <c r="H4705" s="112">
        <v>1</v>
      </c>
      <c r="I4705" s="112">
        <v>1</v>
      </c>
      <c r="J4705" s="112">
        <v>5</v>
      </c>
      <c r="K4705" s="112">
        <v>5</v>
      </c>
      <c r="L4705" s="112">
        <v>6</v>
      </c>
      <c r="M4705" s="112">
        <v>4</v>
      </c>
      <c r="N4705" s="112">
        <v>3</v>
      </c>
      <c r="O4705" s="112">
        <v>2</v>
      </c>
    </row>
    <row r="4706" spans="1:15" x14ac:dyDescent="0.2">
      <c r="A4706" s="111">
        <v>4833</v>
      </c>
      <c r="B4706" s="421" t="s">
        <v>8493</v>
      </c>
      <c r="C4706" s="421" t="s">
        <v>503</v>
      </c>
      <c r="D4706" s="422" t="s">
        <v>666</v>
      </c>
      <c r="E4706" s="111">
        <v>16718</v>
      </c>
      <c r="F4706" s="421" t="s">
        <v>8512</v>
      </c>
      <c r="G4706" s="112">
        <v>1</v>
      </c>
      <c r="H4706" s="112">
        <v>1</v>
      </c>
      <c r="I4706" s="112">
        <v>1</v>
      </c>
      <c r="K4706" s="112">
        <v>1</v>
      </c>
    </row>
    <row r="4707" spans="1:15" x14ac:dyDescent="0.2">
      <c r="A4707" s="111">
        <v>4834</v>
      </c>
      <c r="B4707" s="421" t="s">
        <v>4588</v>
      </c>
      <c r="C4707" s="421" t="s">
        <v>503</v>
      </c>
      <c r="D4707" s="422" t="s">
        <v>666</v>
      </c>
      <c r="E4707" s="111">
        <v>16289</v>
      </c>
      <c r="F4707" s="421" t="s">
        <v>7017</v>
      </c>
    </row>
    <row r="4708" spans="1:15" x14ac:dyDescent="0.2">
      <c r="A4708" s="111">
        <v>4835</v>
      </c>
      <c r="B4708" s="421" t="s">
        <v>8504</v>
      </c>
      <c r="C4708" s="421" t="s">
        <v>510</v>
      </c>
      <c r="D4708" s="422" t="s">
        <v>663</v>
      </c>
      <c r="E4708" s="111">
        <v>16719</v>
      </c>
      <c r="F4708" s="421" t="s">
        <v>8525</v>
      </c>
      <c r="G4708" s="112">
        <v>1</v>
      </c>
      <c r="H4708" s="112">
        <v>1</v>
      </c>
      <c r="I4708" s="112">
        <v>1</v>
      </c>
      <c r="K4708" s="112">
        <v>1</v>
      </c>
    </row>
    <row r="4709" spans="1:15" x14ac:dyDescent="0.2">
      <c r="A4709" s="111">
        <v>4836</v>
      </c>
      <c r="B4709" s="421" t="s">
        <v>8505</v>
      </c>
      <c r="C4709" s="421" t="s">
        <v>510</v>
      </c>
      <c r="D4709" s="422" t="s">
        <v>666</v>
      </c>
      <c r="E4709" s="111">
        <v>16719</v>
      </c>
      <c r="F4709" s="421" t="s">
        <v>8525</v>
      </c>
      <c r="G4709" s="112">
        <v>1</v>
      </c>
      <c r="H4709" s="112">
        <v>2</v>
      </c>
      <c r="I4709" s="112">
        <v>1</v>
      </c>
    </row>
    <row r="4710" spans="1:15" x14ac:dyDescent="0.2">
      <c r="A4710" s="111">
        <v>4837</v>
      </c>
      <c r="B4710" s="421" t="s">
        <v>8494</v>
      </c>
      <c r="C4710" s="421" t="s">
        <v>507</v>
      </c>
      <c r="D4710" s="422" t="s">
        <v>666</v>
      </c>
      <c r="E4710" s="111">
        <v>16720</v>
      </c>
      <c r="F4710" s="421" t="s">
        <v>8513</v>
      </c>
    </row>
    <row r="4711" spans="1:15" x14ac:dyDescent="0.2">
      <c r="A4711" s="111">
        <v>4838</v>
      </c>
      <c r="B4711" s="421" t="s">
        <v>8495</v>
      </c>
      <c r="C4711" s="421" t="s">
        <v>5370</v>
      </c>
      <c r="D4711" s="422" t="s">
        <v>663</v>
      </c>
      <c r="E4711" s="111">
        <v>16721</v>
      </c>
      <c r="F4711" s="421" t="s">
        <v>8514</v>
      </c>
    </row>
    <row r="4712" spans="1:15" x14ac:dyDescent="0.2">
      <c r="A4712" s="111">
        <v>4839</v>
      </c>
      <c r="B4712" s="421" t="s">
        <v>8498</v>
      </c>
      <c r="C4712" s="421" t="s">
        <v>510</v>
      </c>
      <c r="D4712" s="422" t="s">
        <v>666</v>
      </c>
      <c r="E4712" s="111">
        <v>16433</v>
      </c>
      <c r="F4712" s="421" t="s">
        <v>8518</v>
      </c>
      <c r="G4712" s="112">
        <v>1</v>
      </c>
      <c r="H4712" s="112">
        <v>1</v>
      </c>
      <c r="I4712" s="112">
        <v>1</v>
      </c>
      <c r="J4712" s="112">
        <v>4</v>
      </c>
      <c r="K4712" s="112">
        <v>4</v>
      </c>
      <c r="L4712" s="112">
        <v>3</v>
      </c>
    </row>
    <row r="4713" spans="1:15" x14ac:dyDescent="0.2">
      <c r="A4713" s="111">
        <v>4840</v>
      </c>
      <c r="B4713" s="421" t="s">
        <v>237</v>
      </c>
      <c r="C4713" s="421" t="s">
        <v>550</v>
      </c>
      <c r="D4713" s="422" t="s">
        <v>663</v>
      </c>
      <c r="E4713" s="111">
        <v>16801</v>
      </c>
      <c r="F4713" s="421" t="s">
        <v>8524</v>
      </c>
      <c r="G4713" s="112">
        <v>1</v>
      </c>
      <c r="H4713" s="112">
        <v>1</v>
      </c>
      <c r="I4713" s="112">
        <v>1</v>
      </c>
      <c r="J4713" s="112">
        <v>6</v>
      </c>
      <c r="K4713" s="112">
        <v>9</v>
      </c>
      <c r="L4713" s="112">
        <v>7</v>
      </c>
      <c r="M4713" s="112">
        <v>6</v>
      </c>
      <c r="N4713" s="112">
        <v>6</v>
      </c>
      <c r="O4713" s="112">
        <v>4</v>
      </c>
    </row>
    <row r="4714" spans="1:15" x14ac:dyDescent="0.2">
      <c r="A4714" s="111">
        <v>4841</v>
      </c>
      <c r="B4714" s="421" t="s">
        <v>437</v>
      </c>
      <c r="C4714" s="421" t="s">
        <v>503</v>
      </c>
      <c r="D4714" s="422" t="s">
        <v>663</v>
      </c>
      <c r="E4714" s="111">
        <v>16723</v>
      </c>
      <c r="F4714" s="421" t="s">
        <v>8515</v>
      </c>
      <c r="G4714" s="112">
        <v>1</v>
      </c>
      <c r="H4714" s="112">
        <v>1</v>
      </c>
      <c r="I4714" s="112">
        <v>1</v>
      </c>
      <c r="J4714" s="112">
        <v>7</v>
      </c>
      <c r="K4714" s="112">
        <v>6</v>
      </c>
      <c r="L4714" s="112">
        <v>6</v>
      </c>
      <c r="M4714" s="112">
        <v>6</v>
      </c>
      <c r="N4714" s="112">
        <v>5</v>
      </c>
      <c r="O4714" s="112">
        <v>6</v>
      </c>
    </row>
    <row r="4715" spans="1:15" x14ac:dyDescent="0.2">
      <c r="A4715" s="111">
        <v>4842</v>
      </c>
      <c r="B4715" s="421" t="s">
        <v>1232</v>
      </c>
      <c r="C4715" s="421" t="s">
        <v>1625</v>
      </c>
      <c r="D4715" s="422" t="s">
        <v>663</v>
      </c>
      <c r="E4715" s="111">
        <v>16724</v>
      </c>
      <c r="F4715" s="421" t="s">
        <v>8519</v>
      </c>
    </row>
    <row r="4716" spans="1:15" x14ac:dyDescent="0.2">
      <c r="A4716" s="111">
        <v>4843</v>
      </c>
      <c r="B4716" s="421" t="s">
        <v>313</v>
      </c>
      <c r="C4716" s="421" t="s">
        <v>501</v>
      </c>
      <c r="D4716" s="422" t="s">
        <v>663</v>
      </c>
      <c r="E4716" s="111">
        <v>16725</v>
      </c>
      <c r="F4716" s="421" t="s">
        <v>8523</v>
      </c>
      <c r="G4716" s="112">
        <v>1</v>
      </c>
      <c r="H4716" s="112">
        <v>1</v>
      </c>
      <c r="I4716" s="112">
        <v>1</v>
      </c>
      <c r="J4716" s="112">
        <v>2</v>
      </c>
      <c r="K4716" s="112">
        <v>2</v>
      </c>
      <c r="L4716" s="112">
        <v>3</v>
      </c>
    </row>
    <row r="4717" spans="1:15" x14ac:dyDescent="0.2">
      <c r="A4717" s="111">
        <v>4844</v>
      </c>
      <c r="B4717" s="421" t="s">
        <v>8503</v>
      </c>
      <c r="C4717" s="421" t="s">
        <v>501</v>
      </c>
      <c r="D4717" s="422" t="s">
        <v>666</v>
      </c>
      <c r="E4717" s="111">
        <v>16725</v>
      </c>
      <c r="F4717" s="421" t="s">
        <v>8523</v>
      </c>
      <c r="G4717" s="112">
        <v>1</v>
      </c>
      <c r="H4717" s="112">
        <v>1</v>
      </c>
      <c r="I4717" s="112">
        <v>1</v>
      </c>
      <c r="J4717" s="112">
        <v>2</v>
      </c>
      <c r="K4717" s="112">
        <v>2</v>
      </c>
      <c r="L4717" s="112">
        <v>2</v>
      </c>
    </row>
    <row r="4718" spans="1:15" x14ac:dyDescent="0.2">
      <c r="A4718" s="111">
        <v>4845</v>
      </c>
      <c r="B4718" s="421" t="s">
        <v>1766</v>
      </c>
      <c r="C4718" s="421" t="s">
        <v>525</v>
      </c>
      <c r="D4718" s="422" t="s">
        <v>666</v>
      </c>
      <c r="E4718" s="111">
        <v>16727</v>
      </c>
      <c r="F4718" s="421" t="s">
        <v>8517</v>
      </c>
      <c r="G4718" s="112">
        <v>1</v>
      </c>
      <c r="H4718" s="112">
        <v>1</v>
      </c>
      <c r="I4718" s="112">
        <v>1</v>
      </c>
      <c r="J4718" s="112">
        <v>1</v>
      </c>
      <c r="L4718" s="112">
        <v>1</v>
      </c>
    </row>
    <row r="4719" spans="1:15" x14ac:dyDescent="0.2">
      <c r="A4719" s="111">
        <v>4846</v>
      </c>
      <c r="B4719" s="421" t="s">
        <v>1617</v>
      </c>
      <c r="C4719" s="421" t="s">
        <v>550</v>
      </c>
      <c r="D4719" s="422" t="s">
        <v>666</v>
      </c>
      <c r="F4719" s="421" t="s">
        <v>8520</v>
      </c>
    </row>
    <row r="4720" spans="1:15" x14ac:dyDescent="0.2">
      <c r="A4720" s="111">
        <v>4847</v>
      </c>
      <c r="B4720" s="421" t="s">
        <v>8501</v>
      </c>
      <c r="C4720" s="421" t="s">
        <v>506</v>
      </c>
      <c r="D4720" s="422" t="s">
        <v>666</v>
      </c>
      <c r="E4720" s="111">
        <v>16728</v>
      </c>
      <c r="F4720" s="421" t="s">
        <v>8522</v>
      </c>
    </row>
    <row r="4721" spans="1:15" x14ac:dyDescent="0.2">
      <c r="A4721" s="111">
        <v>4848</v>
      </c>
      <c r="B4721" s="421" t="s">
        <v>8499</v>
      </c>
      <c r="C4721" s="421" t="s">
        <v>577</v>
      </c>
      <c r="D4721" s="422" t="s">
        <v>663</v>
      </c>
      <c r="E4721" s="111">
        <v>16729</v>
      </c>
      <c r="F4721" s="421" t="s">
        <v>8521</v>
      </c>
      <c r="G4721" s="112">
        <v>1</v>
      </c>
      <c r="H4721" s="112">
        <v>1</v>
      </c>
      <c r="I4721" s="112">
        <v>1</v>
      </c>
      <c r="J4721" s="112">
        <v>6</v>
      </c>
      <c r="K4721" s="112">
        <v>3</v>
      </c>
      <c r="L4721" s="112">
        <v>3</v>
      </c>
    </row>
    <row r="4722" spans="1:15" x14ac:dyDescent="0.2">
      <c r="A4722" s="111">
        <v>4849</v>
      </c>
      <c r="B4722" s="421" t="s">
        <v>8509</v>
      </c>
      <c r="C4722" s="421" t="s">
        <v>551</v>
      </c>
      <c r="D4722" s="422" t="s">
        <v>663</v>
      </c>
      <c r="E4722" s="111">
        <v>16730</v>
      </c>
      <c r="F4722" s="421" t="s">
        <v>8528</v>
      </c>
      <c r="G4722" s="112">
        <v>2</v>
      </c>
      <c r="H4722" s="112">
        <v>2</v>
      </c>
      <c r="I4722" s="112">
        <v>1</v>
      </c>
      <c r="J4722" s="112">
        <v>2</v>
      </c>
      <c r="K4722" s="112">
        <v>1</v>
      </c>
      <c r="L4722" s="112">
        <v>2</v>
      </c>
    </row>
    <row r="4723" spans="1:15" x14ac:dyDescent="0.2">
      <c r="A4723" s="111">
        <v>4850</v>
      </c>
      <c r="B4723" s="421" t="s">
        <v>8492</v>
      </c>
      <c r="C4723" s="421" t="s">
        <v>1674</v>
      </c>
      <c r="D4723" s="422" t="s">
        <v>663</v>
      </c>
      <c r="E4723" s="111">
        <v>15673</v>
      </c>
      <c r="F4723" s="421" t="s">
        <v>4920</v>
      </c>
      <c r="G4723" s="112">
        <v>1</v>
      </c>
      <c r="H4723" s="112">
        <v>1</v>
      </c>
      <c r="I4723" s="112">
        <v>1</v>
      </c>
      <c r="J4723" s="112">
        <v>10</v>
      </c>
      <c r="K4723" s="112">
        <v>10</v>
      </c>
      <c r="L4723" s="112">
        <v>7</v>
      </c>
      <c r="M4723" s="112">
        <v>4</v>
      </c>
      <c r="O4723" s="112">
        <v>2</v>
      </c>
    </row>
    <row r="4724" spans="1:15" x14ac:dyDescent="0.2">
      <c r="A4724" s="111">
        <v>4851</v>
      </c>
      <c r="B4724" s="421" t="s">
        <v>8507</v>
      </c>
      <c r="C4724" s="421" t="s">
        <v>588</v>
      </c>
      <c r="D4724" s="422" t="s">
        <v>666</v>
      </c>
      <c r="E4724" s="111">
        <v>16733</v>
      </c>
      <c r="F4724" s="421" t="s">
        <v>8527</v>
      </c>
      <c r="G4724" s="112">
        <v>1</v>
      </c>
      <c r="H4724" s="112">
        <v>1</v>
      </c>
      <c r="I4724" s="112">
        <v>1</v>
      </c>
      <c r="J4724" s="112">
        <v>1</v>
      </c>
      <c r="K4724" s="112">
        <v>1</v>
      </c>
      <c r="L4724" s="112">
        <v>1</v>
      </c>
    </row>
    <row r="4725" spans="1:15" x14ac:dyDescent="0.2">
      <c r="A4725" s="111">
        <v>4852</v>
      </c>
      <c r="B4725" s="421" t="s">
        <v>8508</v>
      </c>
      <c r="C4725" s="421" t="s">
        <v>503</v>
      </c>
      <c r="D4725" s="422" t="s">
        <v>666</v>
      </c>
      <c r="E4725" s="111">
        <v>16733</v>
      </c>
      <c r="F4725" s="421" t="s">
        <v>8527</v>
      </c>
    </row>
    <row r="4726" spans="1:15" x14ac:dyDescent="0.2">
      <c r="A4726" s="111">
        <v>4853</v>
      </c>
      <c r="B4726" s="421" t="s">
        <v>8599</v>
      </c>
      <c r="C4726" s="421" t="s">
        <v>506</v>
      </c>
      <c r="D4726" s="422" t="s">
        <v>663</v>
      </c>
      <c r="E4726" s="111">
        <v>14907</v>
      </c>
      <c r="F4726" s="421" t="s">
        <v>2293</v>
      </c>
      <c r="G4726" s="112">
        <v>1</v>
      </c>
      <c r="H4726" s="112">
        <v>2</v>
      </c>
      <c r="I4726" s="112">
        <v>1</v>
      </c>
      <c r="J4726" s="112">
        <v>7</v>
      </c>
      <c r="K4726" s="112">
        <v>8</v>
      </c>
      <c r="L4726" s="112">
        <v>8</v>
      </c>
      <c r="M4726" s="112">
        <v>3</v>
      </c>
      <c r="N4726" s="112">
        <v>3</v>
      </c>
      <c r="O4726" s="112">
        <v>3</v>
      </c>
    </row>
    <row r="4727" spans="1:15" x14ac:dyDescent="0.2">
      <c r="A4727" s="111">
        <v>4854</v>
      </c>
      <c r="B4727" s="421" t="s">
        <v>8598</v>
      </c>
      <c r="C4727" s="421" t="s">
        <v>577</v>
      </c>
      <c r="D4727" s="422" t="s">
        <v>666</v>
      </c>
      <c r="E4727" s="111">
        <v>16734</v>
      </c>
      <c r="F4727" s="421" t="s">
        <v>8617</v>
      </c>
      <c r="G4727" s="112">
        <v>1</v>
      </c>
      <c r="H4727" s="112">
        <v>1</v>
      </c>
      <c r="I4727" s="112">
        <v>1</v>
      </c>
      <c r="J4727" s="112">
        <v>2</v>
      </c>
      <c r="K4727" s="112">
        <v>2</v>
      </c>
      <c r="L4727" s="112">
        <v>2</v>
      </c>
    </row>
    <row r="4728" spans="1:15" x14ac:dyDescent="0.2">
      <c r="A4728" s="111">
        <v>4855</v>
      </c>
      <c r="B4728" s="421" t="s">
        <v>3235</v>
      </c>
      <c r="C4728" s="421" t="s">
        <v>501</v>
      </c>
      <c r="D4728" s="422" t="s">
        <v>663</v>
      </c>
      <c r="E4728" s="111">
        <v>16640</v>
      </c>
      <c r="F4728" s="421" t="s">
        <v>8116</v>
      </c>
      <c r="G4728" s="112">
        <v>3</v>
      </c>
      <c r="H4728" s="112">
        <v>3</v>
      </c>
      <c r="I4728" s="112">
        <v>1</v>
      </c>
      <c r="J4728" s="112">
        <v>2</v>
      </c>
      <c r="K4728" s="112">
        <v>2</v>
      </c>
    </row>
    <row r="4729" spans="1:15" x14ac:dyDescent="0.2">
      <c r="A4729" s="111">
        <v>4856</v>
      </c>
      <c r="B4729" s="421" t="s">
        <v>2056</v>
      </c>
      <c r="C4729" s="421" t="s">
        <v>510</v>
      </c>
      <c r="D4729" s="422" t="s">
        <v>663</v>
      </c>
      <c r="E4729" s="111">
        <v>16735</v>
      </c>
      <c r="F4729" s="421" t="s">
        <v>8622</v>
      </c>
      <c r="G4729" s="112">
        <v>1</v>
      </c>
      <c r="H4729" s="112">
        <v>2</v>
      </c>
      <c r="I4729" s="112">
        <v>2</v>
      </c>
      <c r="J4729" s="112">
        <v>4</v>
      </c>
      <c r="K4729" s="112">
        <v>2</v>
      </c>
      <c r="L4729" s="112">
        <v>3</v>
      </c>
      <c r="M4729" s="112">
        <v>5</v>
      </c>
      <c r="N4729" s="112">
        <v>1</v>
      </c>
      <c r="O4729" s="112">
        <v>3</v>
      </c>
    </row>
    <row r="4730" spans="1:15" x14ac:dyDescent="0.2">
      <c r="A4730" s="111">
        <v>4857</v>
      </c>
      <c r="B4730" s="421" t="s">
        <v>8593</v>
      </c>
      <c r="C4730" s="421" t="s">
        <v>522</v>
      </c>
      <c r="D4730" s="422" t="s">
        <v>666</v>
      </c>
      <c r="E4730" s="111">
        <v>16736</v>
      </c>
      <c r="F4730" s="421" t="s">
        <v>8608</v>
      </c>
      <c r="G4730" s="112">
        <v>1</v>
      </c>
      <c r="H4730" s="112">
        <v>1</v>
      </c>
      <c r="I4730" s="112">
        <v>1</v>
      </c>
    </row>
    <row r="4731" spans="1:15" x14ac:dyDescent="0.2">
      <c r="A4731" s="111">
        <v>4858</v>
      </c>
      <c r="B4731" s="421" t="s">
        <v>4588</v>
      </c>
      <c r="C4731" s="421" t="s">
        <v>506</v>
      </c>
      <c r="D4731" s="422" t="s">
        <v>663</v>
      </c>
      <c r="E4731" s="111">
        <v>14237</v>
      </c>
      <c r="F4731" s="421" t="s">
        <v>963</v>
      </c>
      <c r="G4731" s="112">
        <v>1</v>
      </c>
      <c r="H4731" s="112">
        <v>1</v>
      </c>
      <c r="I4731" s="112">
        <v>2</v>
      </c>
      <c r="J4731" s="112">
        <v>4</v>
      </c>
      <c r="K4731" s="112">
        <v>3</v>
      </c>
      <c r="L4731" s="112">
        <v>3</v>
      </c>
      <c r="M4731" s="112">
        <v>2</v>
      </c>
      <c r="N4731" s="112">
        <v>2</v>
      </c>
      <c r="O4731" s="112">
        <v>1</v>
      </c>
    </row>
    <row r="4732" spans="1:15" x14ac:dyDescent="0.2">
      <c r="A4732" s="111">
        <v>4859</v>
      </c>
      <c r="B4732" s="421" t="s">
        <v>8604</v>
      </c>
      <c r="C4732" s="421" t="s">
        <v>506</v>
      </c>
      <c r="D4732" s="422" t="s">
        <v>666</v>
      </c>
      <c r="E4732" s="111">
        <v>16737</v>
      </c>
      <c r="F4732" s="421" t="s">
        <v>8623</v>
      </c>
    </row>
    <row r="4733" spans="1:15" x14ac:dyDescent="0.2">
      <c r="A4733" s="111">
        <v>4860</v>
      </c>
      <c r="B4733" s="421" t="s">
        <v>8603</v>
      </c>
      <c r="C4733" s="421" t="s">
        <v>518</v>
      </c>
      <c r="D4733" s="422" t="s">
        <v>663</v>
      </c>
      <c r="E4733" s="111">
        <v>16643</v>
      </c>
      <c r="F4733" s="421" t="s">
        <v>8620</v>
      </c>
      <c r="G4733" s="112">
        <v>1</v>
      </c>
      <c r="H4733" s="112">
        <v>1</v>
      </c>
      <c r="I4733" s="112">
        <v>1</v>
      </c>
      <c r="J4733" s="112">
        <v>1</v>
      </c>
    </row>
    <row r="4734" spans="1:15" x14ac:dyDescent="0.2">
      <c r="A4734" s="111">
        <v>4861</v>
      </c>
      <c r="B4734" s="421" t="s">
        <v>1538</v>
      </c>
      <c r="C4734" s="421" t="s">
        <v>514</v>
      </c>
      <c r="D4734" s="422" t="s">
        <v>663</v>
      </c>
      <c r="E4734" s="111">
        <v>16739</v>
      </c>
      <c r="F4734" s="421" t="s">
        <v>6834</v>
      </c>
      <c r="G4734" s="112">
        <v>1</v>
      </c>
      <c r="H4734" s="112">
        <v>1</v>
      </c>
      <c r="I4734" s="112">
        <v>1</v>
      </c>
      <c r="K4734" s="112">
        <v>1</v>
      </c>
      <c r="L4734" s="112">
        <v>1</v>
      </c>
    </row>
    <row r="4735" spans="1:15" x14ac:dyDescent="0.2">
      <c r="A4735" s="111">
        <v>4862</v>
      </c>
      <c r="B4735" s="421" t="s">
        <v>122</v>
      </c>
      <c r="C4735" s="421" t="s">
        <v>17459</v>
      </c>
      <c r="D4735" s="422" t="s">
        <v>663</v>
      </c>
      <c r="E4735" s="111">
        <v>16741</v>
      </c>
      <c r="F4735" s="421" t="s">
        <v>8627</v>
      </c>
      <c r="G4735" s="112">
        <v>1</v>
      </c>
      <c r="H4735" s="112">
        <v>1</v>
      </c>
      <c r="I4735" s="112">
        <v>1</v>
      </c>
      <c r="J4735" s="112">
        <v>2</v>
      </c>
      <c r="K4735" s="112">
        <v>2</v>
      </c>
      <c r="L4735" s="112">
        <v>2</v>
      </c>
      <c r="M4735" s="112">
        <v>3</v>
      </c>
      <c r="N4735" s="112">
        <v>2</v>
      </c>
      <c r="O4735" s="112">
        <v>2</v>
      </c>
    </row>
    <row r="4736" spans="1:15" x14ac:dyDescent="0.2">
      <c r="A4736" s="111">
        <v>4863</v>
      </c>
      <c r="B4736" s="421" t="s">
        <v>1460</v>
      </c>
      <c r="C4736" s="421" t="s">
        <v>551</v>
      </c>
      <c r="D4736" s="422" t="s">
        <v>663</v>
      </c>
      <c r="E4736" s="111">
        <v>15364</v>
      </c>
      <c r="F4736" s="421" t="s">
        <v>3910</v>
      </c>
      <c r="G4736" s="112">
        <v>1</v>
      </c>
      <c r="H4736" s="112">
        <v>1</v>
      </c>
      <c r="I4736" s="112">
        <v>1</v>
      </c>
      <c r="J4736" s="112">
        <v>7</v>
      </c>
      <c r="K4736" s="112">
        <v>7</v>
      </c>
      <c r="L4736" s="112">
        <v>7</v>
      </c>
      <c r="M4736" s="112">
        <v>3</v>
      </c>
      <c r="N4736" s="112">
        <v>1</v>
      </c>
      <c r="O4736" s="112">
        <v>1</v>
      </c>
    </row>
    <row r="4737" spans="1:15" x14ac:dyDescent="0.2">
      <c r="A4737" s="111">
        <v>4864</v>
      </c>
      <c r="B4737" s="421" t="s">
        <v>8600</v>
      </c>
      <c r="C4737" s="421" t="s">
        <v>510</v>
      </c>
      <c r="D4737" s="422" t="s">
        <v>663</v>
      </c>
      <c r="E4737" s="111">
        <v>16740</v>
      </c>
      <c r="F4737" s="421" t="s">
        <v>8618</v>
      </c>
      <c r="G4737" s="112">
        <v>1</v>
      </c>
      <c r="H4737" s="112">
        <v>1</v>
      </c>
      <c r="I4737" s="112">
        <v>1</v>
      </c>
      <c r="J4737" s="112">
        <v>3</v>
      </c>
      <c r="K4737" s="112">
        <v>3</v>
      </c>
      <c r="L4737" s="112">
        <v>3</v>
      </c>
      <c r="M4737" s="112">
        <v>4</v>
      </c>
      <c r="N4737" s="112">
        <v>5</v>
      </c>
      <c r="O4737" s="112">
        <v>6</v>
      </c>
    </row>
    <row r="4738" spans="1:15" x14ac:dyDescent="0.2">
      <c r="A4738" s="111">
        <v>4865</v>
      </c>
      <c r="B4738" s="421" t="s">
        <v>1232</v>
      </c>
      <c r="C4738" s="421" t="s">
        <v>518</v>
      </c>
      <c r="D4738" s="422" t="s">
        <v>663</v>
      </c>
      <c r="E4738" s="111">
        <v>16201</v>
      </c>
      <c r="F4738" s="421" t="s">
        <v>6599</v>
      </c>
      <c r="G4738" s="112">
        <v>1</v>
      </c>
      <c r="H4738" s="112">
        <v>2</v>
      </c>
      <c r="I4738" s="112">
        <v>2</v>
      </c>
    </row>
    <row r="4739" spans="1:15" x14ac:dyDescent="0.2">
      <c r="A4739" s="111">
        <v>4866</v>
      </c>
      <c r="B4739" s="421" t="s">
        <v>2083</v>
      </c>
      <c r="C4739" s="421" t="s">
        <v>510</v>
      </c>
      <c r="D4739" s="422" t="s">
        <v>666</v>
      </c>
      <c r="E4739" s="111">
        <v>16354</v>
      </c>
      <c r="F4739" s="421" t="s">
        <v>8626</v>
      </c>
      <c r="G4739" s="112">
        <v>1</v>
      </c>
      <c r="H4739" s="112">
        <v>1</v>
      </c>
      <c r="I4739" s="112">
        <v>1</v>
      </c>
      <c r="J4739" s="112">
        <v>4</v>
      </c>
      <c r="K4739" s="112">
        <v>5</v>
      </c>
      <c r="L4739" s="112">
        <v>5</v>
      </c>
      <c r="M4739" s="112">
        <v>1</v>
      </c>
    </row>
    <row r="4740" spans="1:15" x14ac:dyDescent="0.2">
      <c r="A4740" s="111">
        <v>4867</v>
      </c>
      <c r="B4740" s="421" t="s">
        <v>1428</v>
      </c>
      <c r="C4740" s="421" t="s">
        <v>577</v>
      </c>
      <c r="D4740" s="422" t="s">
        <v>666</v>
      </c>
      <c r="E4740" s="111">
        <v>16742</v>
      </c>
      <c r="F4740" s="421" t="s">
        <v>8611</v>
      </c>
    </row>
    <row r="4741" spans="1:15" x14ac:dyDescent="0.2">
      <c r="A4741" s="111">
        <v>4868</v>
      </c>
      <c r="B4741" s="421" t="s">
        <v>45</v>
      </c>
      <c r="C4741" s="421" t="s">
        <v>577</v>
      </c>
      <c r="D4741" s="422" t="s">
        <v>666</v>
      </c>
      <c r="E4741" s="111">
        <v>16744</v>
      </c>
      <c r="F4741" s="421" t="s">
        <v>8610</v>
      </c>
    </row>
    <row r="4742" spans="1:15" x14ac:dyDescent="0.2">
      <c r="A4742" s="111">
        <v>4869</v>
      </c>
      <c r="B4742" s="421" t="s">
        <v>38</v>
      </c>
      <c r="C4742" s="421" t="s">
        <v>513</v>
      </c>
      <c r="D4742" s="422" t="s">
        <v>663</v>
      </c>
      <c r="E4742" s="111">
        <v>14304</v>
      </c>
      <c r="F4742" s="421" t="s">
        <v>1084</v>
      </c>
      <c r="G4742" s="112">
        <v>1</v>
      </c>
    </row>
    <row r="4743" spans="1:15" x14ac:dyDescent="0.2">
      <c r="A4743" s="111">
        <v>4870</v>
      </c>
      <c r="B4743" s="421" t="s">
        <v>281</v>
      </c>
      <c r="C4743" s="421" t="s">
        <v>510</v>
      </c>
      <c r="D4743" s="422" t="s">
        <v>663</v>
      </c>
      <c r="E4743" s="111">
        <v>15347</v>
      </c>
      <c r="F4743" s="421" t="s">
        <v>4284</v>
      </c>
      <c r="G4743" s="112">
        <v>1</v>
      </c>
      <c r="H4743" s="112">
        <v>6</v>
      </c>
      <c r="I4743" s="112">
        <v>6</v>
      </c>
      <c r="J4743" s="112">
        <v>2</v>
      </c>
      <c r="K4743" s="112">
        <v>3</v>
      </c>
      <c r="L4743" s="112">
        <v>3</v>
      </c>
    </row>
    <row r="4744" spans="1:15" x14ac:dyDescent="0.2">
      <c r="A4744" s="111">
        <v>4871</v>
      </c>
      <c r="B4744" s="421" t="s">
        <v>8592</v>
      </c>
      <c r="C4744" s="421" t="s">
        <v>577</v>
      </c>
      <c r="D4744" s="422" t="s">
        <v>663</v>
      </c>
      <c r="E4744" s="111">
        <v>16768</v>
      </c>
      <c r="F4744" s="421" t="s">
        <v>8607</v>
      </c>
      <c r="G4744" s="112">
        <v>1</v>
      </c>
    </row>
    <row r="4745" spans="1:15" x14ac:dyDescent="0.2">
      <c r="A4745" s="111">
        <v>4872</v>
      </c>
      <c r="B4745" s="421" t="s">
        <v>8602</v>
      </c>
      <c r="C4745" s="421" t="s">
        <v>547</v>
      </c>
      <c r="D4745" s="422" t="s">
        <v>666</v>
      </c>
      <c r="E4745" s="111">
        <v>1440</v>
      </c>
      <c r="F4745" s="421" t="s">
        <v>1026</v>
      </c>
      <c r="G4745" s="112">
        <v>1</v>
      </c>
      <c r="H4745" s="112">
        <v>2</v>
      </c>
      <c r="I4745" s="112">
        <v>2</v>
      </c>
      <c r="J4745" s="112">
        <v>10</v>
      </c>
      <c r="K4745" s="112">
        <v>11</v>
      </c>
      <c r="L4745" s="112">
        <v>10</v>
      </c>
      <c r="M4745" s="112">
        <v>15</v>
      </c>
      <c r="N4745" s="112">
        <v>13</v>
      </c>
      <c r="O4745" s="112">
        <v>13</v>
      </c>
    </row>
    <row r="4746" spans="1:15" x14ac:dyDescent="0.2">
      <c r="A4746" s="111">
        <v>4873</v>
      </c>
      <c r="B4746" s="421" t="s">
        <v>4211</v>
      </c>
      <c r="C4746" s="421" t="s">
        <v>516</v>
      </c>
      <c r="D4746" s="422" t="s">
        <v>663</v>
      </c>
      <c r="E4746" s="111">
        <v>17171</v>
      </c>
      <c r="F4746" s="421" t="s">
        <v>8624</v>
      </c>
      <c r="G4746" s="112">
        <v>2</v>
      </c>
      <c r="H4746" s="112">
        <v>1</v>
      </c>
      <c r="I4746" s="112">
        <v>2</v>
      </c>
      <c r="J4746" s="112">
        <v>1</v>
      </c>
      <c r="K4746" s="112">
        <v>1</v>
      </c>
      <c r="L4746" s="112">
        <v>2</v>
      </c>
    </row>
    <row r="4747" spans="1:15" x14ac:dyDescent="0.2">
      <c r="A4747" s="111">
        <v>4874</v>
      </c>
      <c r="B4747" s="421" t="s">
        <v>8595</v>
      </c>
      <c r="C4747" s="421" t="s">
        <v>2003</v>
      </c>
      <c r="D4747" s="422" t="s">
        <v>666</v>
      </c>
      <c r="E4747" s="111">
        <v>17103</v>
      </c>
      <c r="F4747" s="421" t="s">
        <v>8613</v>
      </c>
      <c r="G4747" s="112">
        <v>1</v>
      </c>
      <c r="H4747" s="112">
        <v>1</v>
      </c>
      <c r="I4747" s="112">
        <v>1</v>
      </c>
      <c r="J4747" s="112">
        <v>3</v>
      </c>
      <c r="K4747" s="112">
        <v>3</v>
      </c>
      <c r="L4747" s="112">
        <v>3</v>
      </c>
      <c r="M4747" s="112">
        <v>2</v>
      </c>
      <c r="N4747" s="112">
        <v>2</v>
      </c>
      <c r="O4747" s="112">
        <v>3</v>
      </c>
    </row>
    <row r="4748" spans="1:15" x14ac:dyDescent="0.2">
      <c r="A4748" s="111">
        <v>4875</v>
      </c>
      <c r="B4748" s="421" t="s">
        <v>8596</v>
      </c>
      <c r="C4748" s="421" t="s">
        <v>532</v>
      </c>
      <c r="D4748" s="422" t="s">
        <v>663</v>
      </c>
      <c r="E4748" s="111">
        <v>16756</v>
      </c>
      <c r="F4748" s="421" t="s">
        <v>8616</v>
      </c>
      <c r="G4748" s="112">
        <v>1</v>
      </c>
      <c r="H4748" s="112">
        <v>1</v>
      </c>
      <c r="I4748" s="112">
        <v>1</v>
      </c>
      <c r="J4748" s="112">
        <v>3</v>
      </c>
      <c r="K4748" s="112">
        <v>4</v>
      </c>
      <c r="L4748" s="112">
        <v>3</v>
      </c>
      <c r="M4748" s="112">
        <v>5</v>
      </c>
      <c r="O4748" s="112">
        <v>2</v>
      </c>
    </row>
    <row r="4749" spans="1:15" x14ac:dyDescent="0.2">
      <c r="A4749" s="111">
        <v>4876</v>
      </c>
      <c r="B4749" s="421" t="s">
        <v>8597</v>
      </c>
      <c r="C4749" s="421" t="s">
        <v>532</v>
      </c>
      <c r="D4749" s="422" t="s">
        <v>663</v>
      </c>
      <c r="E4749" s="111">
        <v>16756</v>
      </c>
      <c r="F4749" s="421" t="s">
        <v>8616</v>
      </c>
      <c r="G4749" s="112">
        <v>1</v>
      </c>
      <c r="H4749" s="112">
        <v>1</v>
      </c>
      <c r="I4749" s="112">
        <v>1</v>
      </c>
      <c r="J4749" s="112">
        <v>3</v>
      </c>
      <c r="K4749" s="112">
        <v>4</v>
      </c>
      <c r="L4749" s="112">
        <v>4</v>
      </c>
      <c r="M4749" s="112">
        <v>3</v>
      </c>
      <c r="N4749" s="112">
        <v>2</v>
      </c>
      <c r="O4749" s="112">
        <v>2</v>
      </c>
    </row>
    <row r="4750" spans="1:15" x14ac:dyDescent="0.2">
      <c r="A4750" s="111">
        <v>4877</v>
      </c>
      <c r="B4750" s="421" t="s">
        <v>8601</v>
      </c>
      <c r="C4750" s="421" t="s">
        <v>581</v>
      </c>
      <c r="D4750" s="422" t="s">
        <v>666</v>
      </c>
      <c r="E4750" s="111">
        <v>14220</v>
      </c>
      <c r="F4750" s="421" t="s">
        <v>941</v>
      </c>
      <c r="G4750" s="112">
        <v>1</v>
      </c>
      <c r="H4750" s="112">
        <v>1</v>
      </c>
      <c r="I4750" s="112">
        <v>1</v>
      </c>
      <c r="J4750" s="112">
        <v>11</v>
      </c>
      <c r="K4750" s="112">
        <v>10</v>
      </c>
      <c r="L4750" s="112">
        <v>10</v>
      </c>
      <c r="M4750" s="112">
        <v>8</v>
      </c>
      <c r="N4750" s="112">
        <v>8</v>
      </c>
      <c r="O4750" s="112">
        <v>8</v>
      </c>
    </row>
    <row r="4751" spans="1:15" x14ac:dyDescent="0.2">
      <c r="A4751" s="111">
        <v>4878</v>
      </c>
      <c r="B4751" s="421" t="s">
        <v>8605</v>
      </c>
      <c r="C4751" s="421" t="s">
        <v>1378</v>
      </c>
      <c r="D4751" s="422" t="s">
        <v>666</v>
      </c>
      <c r="E4751" s="111">
        <v>16747</v>
      </c>
      <c r="F4751" s="421" t="s">
        <v>8625</v>
      </c>
      <c r="H4751" s="112">
        <v>2</v>
      </c>
      <c r="I4751" s="112">
        <v>2</v>
      </c>
    </row>
    <row r="4752" spans="1:15" x14ac:dyDescent="0.2">
      <c r="A4752" s="111">
        <v>4879</v>
      </c>
      <c r="B4752" s="421" t="s">
        <v>8591</v>
      </c>
      <c r="C4752" s="421" t="s">
        <v>2003</v>
      </c>
      <c r="D4752" s="422" t="s">
        <v>663</v>
      </c>
      <c r="E4752" s="111">
        <v>16748</v>
      </c>
      <c r="F4752" s="421" t="s">
        <v>8606</v>
      </c>
      <c r="G4752" s="112">
        <v>1</v>
      </c>
      <c r="H4752" s="112">
        <v>1</v>
      </c>
      <c r="I4752" s="112">
        <v>1</v>
      </c>
    </row>
    <row r="4753" spans="1:15" x14ac:dyDescent="0.2">
      <c r="A4753" s="111">
        <v>4880</v>
      </c>
      <c r="B4753" s="421" t="s">
        <v>2091</v>
      </c>
      <c r="C4753" s="421" t="s">
        <v>503</v>
      </c>
      <c r="D4753" s="422" t="s">
        <v>666</v>
      </c>
      <c r="E4753" s="111">
        <v>16718</v>
      </c>
      <c r="F4753" s="421" t="s">
        <v>8512</v>
      </c>
      <c r="H4753" s="112">
        <v>1</v>
      </c>
      <c r="I4753" s="112">
        <v>1</v>
      </c>
    </row>
    <row r="4754" spans="1:15" x14ac:dyDescent="0.2">
      <c r="A4754" s="111">
        <v>4881</v>
      </c>
      <c r="B4754" s="421" t="s">
        <v>4189</v>
      </c>
      <c r="C4754" s="421" t="s">
        <v>501</v>
      </c>
      <c r="D4754" s="422" t="s">
        <v>666</v>
      </c>
      <c r="E4754" s="111">
        <v>16927</v>
      </c>
      <c r="F4754" s="421" t="s">
        <v>8612</v>
      </c>
      <c r="G4754" s="112">
        <v>1</v>
      </c>
      <c r="H4754" s="112">
        <v>1</v>
      </c>
      <c r="I4754" s="112">
        <v>1</v>
      </c>
      <c r="J4754" s="112">
        <v>1</v>
      </c>
      <c r="K4754" s="112">
        <v>1</v>
      </c>
      <c r="L4754" s="112">
        <v>1</v>
      </c>
    </row>
    <row r="4755" spans="1:15" x14ac:dyDescent="0.2">
      <c r="A4755" s="111">
        <v>4882</v>
      </c>
      <c r="B4755" s="421" t="s">
        <v>3549</v>
      </c>
      <c r="C4755" s="421" t="s">
        <v>510</v>
      </c>
      <c r="D4755" s="422" t="s">
        <v>666</v>
      </c>
      <c r="E4755" s="111">
        <v>14513</v>
      </c>
      <c r="F4755" s="421" t="s">
        <v>1584</v>
      </c>
      <c r="G4755" s="112">
        <v>1</v>
      </c>
      <c r="H4755" s="112">
        <v>1</v>
      </c>
      <c r="I4755" s="112">
        <v>1</v>
      </c>
      <c r="J4755" s="112">
        <v>9</v>
      </c>
      <c r="K4755" s="112">
        <v>9</v>
      </c>
      <c r="L4755" s="112">
        <v>8</v>
      </c>
      <c r="M4755" s="112">
        <v>5</v>
      </c>
      <c r="N4755" s="112">
        <v>3</v>
      </c>
      <c r="O4755" s="112">
        <v>5</v>
      </c>
    </row>
    <row r="4756" spans="1:15" x14ac:dyDescent="0.2">
      <c r="A4756" s="111">
        <v>4883</v>
      </c>
      <c r="B4756" s="421" t="s">
        <v>310</v>
      </c>
      <c r="C4756" s="421" t="s">
        <v>510</v>
      </c>
      <c r="D4756" s="422" t="s">
        <v>663</v>
      </c>
      <c r="E4756" s="111">
        <v>16749</v>
      </c>
      <c r="F4756" s="421" t="s">
        <v>8619</v>
      </c>
      <c r="G4756" s="112">
        <v>1</v>
      </c>
      <c r="I4756" s="112">
        <v>1</v>
      </c>
    </row>
    <row r="4757" spans="1:15" x14ac:dyDescent="0.2">
      <c r="A4757" s="111">
        <v>4884</v>
      </c>
      <c r="B4757" s="421" t="s">
        <v>332</v>
      </c>
      <c r="C4757" s="421" t="s">
        <v>513</v>
      </c>
      <c r="D4757" s="422" t="s">
        <v>666</v>
      </c>
      <c r="E4757" s="111">
        <v>16750</v>
      </c>
      <c r="F4757" s="421" t="s">
        <v>8609</v>
      </c>
      <c r="G4757" s="112">
        <v>1</v>
      </c>
      <c r="H4757" s="112">
        <v>1</v>
      </c>
      <c r="I4757" s="112">
        <v>1</v>
      </c>
      <c r="J4757" s="112">
        <v>7</v>
      </c>
      <c r="K4757" s="112">
        <v>5</v>
      </c>
      <c r="L4757" s="112">
        <v>7</v>
      </c>
      <c r="M4757" s="112">
        <v>8</v>
      </c>
      <c r="N4757" s="112">
        <v>6</v>
      </c>
      <c r="O4757" s="112">
        <v>6</v>
      </c>
    </row>
    <row r="4758" spans="1:15" x14ac:dyDescent="0.2">
      <c r="A4758" s="111">
        <v>4885</v>
      </c>
      <c r="B4758" s="421" t="s">
        <v>416</v>
      </c>
      <c r="C4758" s="421" t="s">
        <v>501</v>
      </c>
      <c r="D4758" s="422" t="s">
        <v>663</v>
      </c>
      <c r="E4758" s="111">
        <v>16751</v>
      </c>
      <c r="F4758" s="421" t="s">
        <v>8614</v>
      </c>
    </row>
    <row r="4759" spans="1:15" x14ac:dyDescent="0.2">
      <c r="A4759" s="111">
        <v>4886</v>
      </c>
      <c r="B4759" s="421" t="s">
        <v>1937</v>
      </c>
      <c r="C4759" s="421" t="s">
        <v>550</v>
      </c>
      <c r="D4759" s="422" t="s">
        <v>666</v>
      </c>
      <c r="E4759" s="111">
        <v>16752</v>
      </c>
      <c r="F4759" s="421" t="s">
        <v>8615</v>
      </c>
      <c r="G4759" s="112">
        <v>2</v>
      </c>
      <c r="H4759" s="112">
        <v>2</v>
      </c>
      <c r="I4759" s="112">
        <v>2</v>
      </c>
      <c r="J4759" s="112">
        <v>4</v>
      </c>
      <c r="K4759" s="112">
        <v>3</v>
      </c>
      <c r="L4759" s="112">
        <v>4</v>
      </c>
      <c r="M4759" s="112">
        <v>1</v>
      </c>
      <c r="N4759" s="112">
        <v>1</v>
      </c>
    </row>
    <row r="4760" spans="1:15" x14ac:dyDescent="0.2">
      <c r="A4760" s="111">
        <v>4887</v>
      </c>
      <c r="B4760" s="421" t="s">
        <v>8594</v>
      </c>
      <c r="C4760" s="421" t="s">
        <v>522</v>
      </c>
      <c r="D4760" s="422" t="s">
        <v>666</v>
      </c>
      <c r="E4760" s="111">
        <v>15000</v>
      </c>
      <c r="F4760" s="421" t="s">
        <v>2907</v>
      </c>
      <c r="G4760" s="112">
        <v>1</v>
      </c>
      <c r="H4760" s="112">
        <v>1</v>
      </c>
      <c r="I4760" s="112">
        <v>1</v>
      </c>
      <c r="J4760" s="112">
        <v>1</v>
      </c>
      <c r="K4760" s="112">
        <v>1</v>
      </c>
      <c r="L4760" s="112">
        <v>1</v>
      </c>
      <c r="M4760" s="112">
        <v>1</v>
      </c>
    </row>
    <row r="4761" spans="1:15" x14ac:dyDescent="0.2">
      <c r="A4761" s="111">
        <v>4888</v>
      </c>
      <c r="B4761" s="421" t="s">
        <v>8640</v>
      </c>
      <c r="C4761" s="421" t="s">
        <v>628</v>
      </c>
      <c r="D4761" s="422" t="s">
        <v>666</v>
      </c>
      <c r="F4761" s="421" t="s">
        <v>8650</v>
      </c>
      <c r="G4761" s="112">
        <v>1</v>
      </c>
    </row>
    <row r="4762" spans="1:15" x14ac:dyDescent="0.2">
      <c r="A4762" s="111">
        <v>4889</v>
      </c>
      <c r="B4762" s="421" t="s">
        <v>1387</v>
      </c>
      <c r="C4762" s="421" t="s">
        <v>506</v>
      </c>
      <c r="D4762" s="422" t="s">
        <v>666</v>
      </c>
      <c r="E4762" s="111">
        <v>16753</v>
      </c>
      <c r="F4762" s="421" t="s">
        <v>8655</v>
      </c>
      <c r="G4762" s="112">
        <v>1</v>
      </c>
      <c r="H4762" s="112">
        <v>1</v>
      </c>
      <c r="I4762" s="112">
        <v>1</v>
      </c>
      <c r="J4762" s="112">
        <v>9</v>
      </c>
      <c r="K4762" s="112">
        <v>8</v>
      </c>
      <c r="L4762" s="112">
        <v>8</v>
      </c>
      <c r="M4762" s="112">
        <v>7</v>
      </c>
      <c r="N4762" s="112">
        <v>3</v>
      </c>
      <c r="O4762" s="112">
        <v>6</v>
      </c>
    </row>
    <row r="4763" spans="1:15" x14ac:dyDescent="0.2">
      <c r="A4763" s="111">
        <v>4890</v>
      </c>
      <c r="B4763" s="421" t="s">
        <v>1407</v>
      </c>
      <c r="C4763" s="421" t="s">
        <v>506</v>
      </c>
      <c r="D4763" s="422" t="s">
        <v>666</v>
      </c>
      <c r="F4763" s="421" t="s">
        <v>8665</v>
      </c>
      <c r="G4763" s="112">
        <v>1</v>
      </c>
      <c r="H4763" s="112">
        <v>1</v>
      </c>
      <c r="I4763" s="112">
        <v>1</v>
      </c>
    </row>
    <row r="4764" spans="1:15" x14ac:dyDescent="0.2">
      <c r="A4764" s="111">
        <v>4891</v>
      </c>
      <c r="B4764" s="421" t="s">
        <v>8645</v>
      </c>
      <c r="C4764" s="421" t="s">
        <v>580</v>
      </c>
      <c r="D4764" s="422" t="s">
        <v>663</v>
      </c>
      <c r="F4764" s="421" t="s">
        <v>8666</v>
      </c>
      <c r="G4764" s="112">
        <v>1</v>
      </c>
      <c r="H4764" s="112">
        <v>1</v>
      </c>
      <c r="I4764" s="112">
        <v>1</v>
      </c>
    </row>
    <row r="4765" spans="1:15" x14ac:dyDescent="0.2">
      <c r="A4765" s="111">
        <v>4892</v>
      </c>
      <c r="B4765" s="421" t="s">
        <v>5062</v>
      </c>
      <c r="C4765" s="421" t="s">
        <v>501</v>
      </c>
      <c r="D4765" s="422" t="s">
        <v>666</v>
      </c>
      <c r="E4765" s="111">
        <v>16866</v>
      </c>
      <c r="F4765" s="421" t="s">
        <v>8656</v>
      </c>
      <c r="G4765" s="112">
        <v>2</v>
      </c>
      <c r="H4765" s="112">
        <v>2</v>
      </c>
      <c r="I4765" s="112">
        <v>1</v>
      </c>
    </row>
    <row r="4766" spans="1:15" x14ac:dyDescent="0.2">
      <c r="A4766" s="111">
        <v>4893</v>
      </c>
      <c r="B4766" s="421" t="s">
        <v>39</v>
      </c>
      <c r="C4766" s="421" t="s">
        <v>509</v>
      </c>
      <c r="D4766" s="422" t="s">
        <v>663</v>
      </c>
      <c r="E4766" s="111">
        <v>17163</v>
      </c>
      <c r="F4766" s="421" t="s">
        <v>8658</v>
      </c>
      <c r="G4766" s="112">
        <v>2</v>
      </c>
      <c r="H4766" s="112">
        <v>2</v>
      </c>
      <c r="I4766" s="112">
        <v>1</v>
      </c>
      <c r="J4766" s="112">
        <v>11</v>
      </c>
      <c r="K4766" s="112">
        <v>7</v>
      </c>
      <c r="L4766" s="112">
        <v>12</v>
      </c>
      <c r="M4766" s="112">
        <v>6</v>
      </c>
      <c r="N4766" s="112">
        <v>1</v>
      </c>
    </row>
    <row r="4767" spans="1:15" x14ac:dyDescent="0.2">
      <c r="A4767" s="111">
        <v>4894</v>
      </c>
      <c r="B4767" s="421" t="s">
        <v>8644</v>
      </c>
      <c r="C4767" s="421" t="s">
        <v>530</v>
      </c>
      <c r="D4767" s="422" t="s">
        <v>666</v>
      </c>
      <c r="E4767" s="111">
        <v>16754</v>
      </c>
      <c r="F4767" s="421" t="s">
        <v>8662</v>
      </c>
    </row>
    <row r="4768" spans="1:15" x14ac:dyDescent="0.2">
      <c r="A4768" s="111">
        <v>4895</v>
      </c>
      <c r="B4768" s="421" t="s">
        <v>1798</v>
      </c>
      <c r="C4768" s="421" t="s">
        <v>509</v>
      </c>
      <c r="D4768" s="422" t="s">
        <v>666</v>
      </c>
      <c r="E4768" s="111">
        <v>15267</v>
      </c>
      <c r="F4768" s="421" t="s">
        <v>8942</v>
      </c>
      <c r="G4768" s="112">
        <v>1</v>
      </c>
      <c r="H4768" s="112">
        <v>1</v>
      </c>
      <c r="I4768" s="112">
        <v>1</v>
      </c>
      <c r="J4768" s="112">
        <v>2</v>
      </c>
      <c r="L4768" s="112">
        <v>1</v>
      </c>
    </row>
    <row r="4769" spans="1:15" x14ac:dyDescent="0.2">
      <c r="A4769" s="111">
        <v>4896</v>
      </c>
      <c r="B4769" s="421" t="s">
        <v>1273</v>
      </c>
      <c r="C4769" s="421" t="s">
        <v>506</v>
      </c>
      <c r="D4769" s="422" t="s">
        <v>663</v>
      </c>
      <c r="E4769" s="111">
        <v>16755</v>
      </c>
      <c r="F4769" s="421" t="s">
        <v>8663</v>
      </c>
      <c r="G4769" s="112">
        <v>1</v>
      </c>
      <c r="H4769" s="112">
        <v>1</v>
      </c>
      <c r="I4769" s="112">
        <v>1</v>
      </c>
      <c r="J4769" s="112">
        <v>4</v>
      </c>
      <c r="K4769" s="112">
        <v>4</v>
      </c>
      <c r="L4769" s="112">
        <v>4</v>
      </c>
      <c r="M4769" s="112">
        <v>2</v>
      </c>
      <c r="N4769" s="112">
        <v>1</v>
      </c>
      <c r="O4769" s="112">
        <v>3</v>
      </c>
    </row>
    <row r="4770" spans="1:15" x14ac:dyDescent="0.2">
      <c r="A4770" s="111">
        <v>4897</v>
      </c>
      <c r="B4770" s="421" t="s">
        <v>8646</v>
      </c>
      <c r="C4770" s="421" t="s">
        <v>537</v>
      </c>
      <c r="D4770" s="422" t="s">
        <v>663</v>
      </c>
      <c r="E4770" s="111">
        <v>16919</v>
      </c>
      <c r="F4770" s="421" t="s">
        <v>8669</v>
      </c>
      <c r="G4770" s="112">
        <v>1</v>
      </c>
      <c r="H4770" s="112">
        <v>1</v>
      </c>
      <c r="I4770" s="112">
        <v>1</v>
      </c>
      <c r="J4770" s="112">
        <v>4</v>
      </c>
      <c r="K4770" s="112">
        <v>2</v>
      </c>
      <c r="L4770" s="112">
        <v>2</v>
      </c>
    </row>
    <row r="4771" spans="1:15" x14ac:dyDescent="0.2">
      <c r="A4771" s="111">
        <v>4898</v>
      </c>
      <c r="B4771" s="421" t="s">
        <v>8643</v>
      </c>
      <c r="C4771" s="421" t="s">
        <v>553</v>
      </c>
      <c r="D4771" s="422" t="s">
        <v>666</v>
      </c>
      <c r="E4771" s="111">
        <v>15554</v>
      </c>
      <c r="F4771" s="421" t="s">
        <v>4734</v>
      </c>
      <c r="G4771" s="112">
        <v>2</v>
      </c>
      <c r="H4771" s="112">
        <v>2</v>
      </c>
      <c r="I4771" s="112">
        <v>2</v>
      </c>
      <c r="J4771" s="112">
        <v>1</v>
      </c>
      <c r="L4771" s="112">
        <v>1</v>
      </c>
    </row>
    <row r="4772" spans="1:15" x14ac:dyDescent="0.2">
      <c r="A4772" s="111">
        <v>4899</v>
      </c>
      <c r="B4772" s="421" t="s">
        <v>437</v>
      </c>
      <c r="C4772" s="421" t="s">
        <v>3555</v>
      </c>
      <c r="D4772" s="422" t="s">
        <v>663</v>
      </c>
      <c r="E4772" s="111">
        <v>16757</v>
      </c>
      <c r="F4772" s="421" t="s">
        <v>8657</v>
      </c>
      <c r="G4772" s="112">
        <v>1</v>
      </c>
      <c r="H4772" s="112">
        <v>1</v>
      </c>
      <c r="I4772" s="112">
        <v>1</v>
      </c>
    </row>
    <row r="4773" spans="1:15" x14ac:dyDescent="0.2">
      <c r="A4773" s="111">
        <v>4900</v>
      </c>
      <c r="B4773" s="421" t="s">
        <v>2759</v>
      </c>
      <c r="C4773" s="421" t="s">
        <v>551</v>
      </c>
      <c r="D4773" s="422" t="s">
        <v>666</v>
      </c>
      <c r="E4773" s="111">
        <v>16759</v>
      </c>
      <c r="F4773" s="421" t="s">
        <v>8654</v>
      </c>
      <c r="G4773" s="112">
        <v>1</v>
      </c>
      <c r="H4773" s="112">
        <v>1</v>
      </c>
      <c r="I4773" s="112">
        <v>1</v>
      </c>
      <c r="J4773" s="112">
        <v>1</v>
      </c>
      <c r="L4773" s="112">
        <v>1</v>
      </c>
    </row>
    <row r="4774" spans="1:15" x14ac:dyDescent="0.2">
      <c r="A4774" s="111">
        <v>4901</v>
      </c>
      <c r="B4774" s="421" t="s">
        <v>8639</v>
      </c>
      <c r="C4774" s="421" t="s">
        <v>506</v>
      </c>
      <c r="D4774" s="422" t="s">
        <v>663</v>
      </c>
      <c r="E4774" s="111">
        <v>16758</v>
      </c>
      <c r="F4774" s="421" t="s">
        <v>8649</v>
      </c>
      <c r="G4774" s="112">
        <v>1</v>
      </c>
      <c r="H4774" s="112">
        <v>1</v>
      </c>
      <c r="I4774" s="112">
        <v>1</v>
      </c>
      <c r="J4774" s="112">
        <v>5</v>
      </c>
      <c r="K4774" s="112">
        <v>5</v>
      </c>
      <c r="L4774" s="112">
        <v>5</v>
      </c>
      <c r="M4774" s="112">
        <v>6</v>
      </c>
      <c r="N4774" s="112">
        <v>4</v>
      </c>
      <c r="O4774" s="112">
        <v>2</v>
      </c>
    </row>
    <row r="4775" spans="1:15" x14ac:dyDescent="0.2">
      <c r="A4775" s="111">
        <v>4902</v>
      </c>
      <c r="B4775" s="421" t="s">
        <v>40</v>
      </c>
      <c r="C4775" s="421" t="s">
        <v>4162</v>
      </c>
      <c r="D4775" s="422" t="s">
        <v>666</v>
      </c>
      <c r="E4775" s="111">
        <v>16760</v>
      </c>
      <c r="F4775" s="421" t="s">
        <v>8670</v>
      </c>
    </row>
    <row r="4776" spans="1:15" x14ac:dyDescent="0.2">
      <c r="A4776" s="111">
        <v>4903</v>
      </c>
      <c r="B4776" s="421" t="s">
        <v>8641</v>
      </c>
      <c r="C4776" s="421" t="s">
        <v>516</v>
      </c>
      <c r="D4776" s="422" t="s">
        <v>666</v>
      </c>
      <c r="E4776" s="111">
        <v>16761</v>
      </c>
      <c r="F4776" s="421" t="s">
        <v>8651</v>
      </c>
      <c r="G4776" s="112">
        <v>1</v>
      </c>
      <c r="H4776" s="112">
        <v>1</v>
      </c>
      <c r="I4776" s="112">
        <v>1</v>
      </c>
    </row>
    <row r="4777" spans="1:15" x14ac:dyDescent="0.2">
      <c r="A4777" s="111">
        <v>4904</v>
      </c>
      <c r="B4777" s="421" t="s">
        <v>8642</v>
      </c>
      <c r="C4777" s="421" t="s">
        <v>516</v>
      </c>
      <c r="D4777" s="422" t="s">
        <v>666</v>
      </c>
      <c r="E4777" s="111">
        <v>16761</v>
      </c>
      <c r="F4777" s="421" t="s">
        <v>8651</v>
      </c>
      <c r="G4777" s="112">
        <v>2</v>
      </c>
      <c r="H4777" s="112">
        <v>2</v>
      </c>
      <c r="I4777" s="112">
        <v>1</v>
      </c>
      <c r="J4777" s="112">
        <v>1</v>
      </c>
      <c r="K4777" s="112">
        <v>1</v>
      </c>
      <c r="L4777" s="112">
        <v>1</v>
      </c>
    </row>
    <row r="4778" spans="1:15" x14ac:dyDescent="0.2">
      <c r="A4778" s="111">
        <v>4905</v>
      </c>
      <c r="B4778" s="421" t="s">
        <v>2792</v>
      </c>
      <c r="C4778" s="421" t="s">
        <v>506</v>
      </c>
      <c r="D4778" s="422" t="s">
        <v>666</v>
      </c>
      <c r="E4778" s="111">
        <v>14456</v>
      </c>
      <c r="F4778" s="421" t="s">
        <v>1433</v>
      </c>
      <c r="G4778" s="112">
        <v>1</v>
      </c>
      <c r="H4778" s="112">
        <v>1</v>
      </c>
      <c r="I4778" s="112">
        <v>1</v>
      </c>
      <c r="J4778" s="112">
        <v>4</v>
      </c>
      <c r="K4778" s="112">
        <v>4</v>
      </c>
      <c r="L4778" s="112">
        <v>4</v>
      </c>
      <c r="M4778" s="112">
        <v>2</v>
      </c>
      <c r="N4778" s="112">
        <v>1</v>
      </c>
      <c r="O4778" s="112">
        <v>2</v>
      </c>
    </row>
    <row r="4779" spans="1:15" x14ac:dyDescent="0.2">
      <c r="A4779" s="111">
        <v>4906</v>
      </c>
      <c r="B4779" s="421" t="s">
        <v>1490</v>
      </c>
      <c r="C4779" s="421" t="s">
        <v>503</v>
      </c>
      <c r="D4779" s="422" t="s">
        <v>666</v>
      </c>
      <c r="E4779" s="111">
        <v>16762</v>
      </c>
      <c r="F4779" s="421" t="s">
        <v>8648</v>
      </c>
      <c r="G4779" s="112">
        <v>2</v>
      </c>
      <c r="H4779" s="112">
        <v>2</v>
      </c>
      <c r="I4779" s="112">
        <v>1</v>
      </c>
      <c r="J4779" s="112">
        <v>1</v>
      </c>
      <c r="K4779" s="112">
        <v>2</v>
      </c>
      <c r="L4779" s="112">
        <v>2</v>
      </c>
    </row>
    <row r="4780" spans="1:15" x14ac:dyDescent="0.2">
      <c r="A4780" s="111">
        <v>4907</v>
      </c>
      <c r="B4780" s="421" t="s">
        <v>282</v>
      </c>
      <c r="C4780" s="421" t="s">
        <v>577</v>
      </c>
      <c r="D4780" s="422" t="s">
        <v>663</v>
      </c>
      <c r="E4780" s="111">
        <v>14245</v>
      </c>
      <c r="F4780" s="421" t="s">
        <v>970</v>
      </c>
    </row>
    <row r="4781" spans="1:15" x14ac:dyDescent="0.2">
      <c r="A4781" s="111">
        <v>4908</v>
      </c>
      <c r="B4781" s="421" t="s">
        <v>270</v>
      </c>
      <c r="C4781" s="421" t="s">
        <v>550</v>
      </c>
      <c r="D4781" s="422" t="s">
        <v>663</v>
      </c>
      <c r="E4781" s="111">
        <v>15981</v>
      </c>
      <c r="F4781" s="421" t="s">
        <v>2706</v>
      </c>
      <c r="G4781" s="112">
        <v>1</v>
      </c>
      <c r="H4781" s="112">
        <v>1</v>
      </c>
      <c r="I4781" s="112">
        <v>1</v>
      </c>
      <c r="J4781" s="112">
        <v>6</v>
      </c>
      <c r="K4781" s="112">
        <v>8</v>
      </c>
      <c r="L4781" s="112">
        <v>6</v>
      </c>
      <c r="M4781" s="112">
        <v>5</v>
      </c>
      <c r="N4781" s="112">
        <v>1</v>
      </c>
      <c r="O4781" s="112">
        <v>1</v>
      </c>
    </row>
    <row r="4782" spans="1:15" x14ac:dyDescent="0.2">
      <c r="A4782" s="111">
        <v>4909</v>
      </c>
      <c r="B4782" s="421" t="s">
        <v>2354</v>
      </c>
      <c r="C4782" s="421" t="s">
        <v>506</v>
      </c>
      <c r="D4782" s="422" t="s">
        <v>666</v>
      </c>
      <c r="E4782" s="111">
        <v>16302</v>
      </c>
      <c r="F4782" s="421" t="s">
        <v>7001</v>
      </c>
      <c r="G4782" s="112">
        <v>1</v>
      </c>
      <c r="H4782" s="112">
        <v>1</v>
      </c>
      <c r="I4782" s="112">
        <v>1</v>
      </c>
      <c r="J4782" s="112">
        <v>6</v>
      </c>
      <c r="K4782" s="112">
        <v>5</v>
      </c>
      <c r="L4782" s="112">
        <v>5</v>
      </c>
    </row>
    <row r="4783" spans="1:15" x14ac:dyDescent="0.2">
      <c r="A4783" s="111">
        <v>4910</v>
      </c>
      <c r="B4783" s="421" t="s">
        <v>4895</v>
      </c>
      <c r="C4783" s="421" t="s">
        <v>551</v>
      </c>
      <c r="D4783" s="422" t="s">
        <v>663</v>
      </c>
      <c r="E4783" s="111">
        <v>15333</v>
      </c>
      <c r="F4783" s="421" t="s">
        <v>3849</v>
      </c>
      <c r="G4783" s="112">
        <v>1</v>
      </c>
      <c r="H4783" s="112">
        <v>1</v>
      </c>
      <c r="I4783" s="112">
        <v>1</v>
      </c>
      <c r="J4783" s="112">
        <v>3</v>
      </c>
      <c r="K4783" s="112">
        <v>3</v>
      </c>
      <c r="L4783" s="112">
        <v>2</v>
      </c>
      <c r="M4783" s="112">
        <v>3</v>
      </c>
      <c r="N4783" s="112">
        <v>1</v>
      </c>
      <c r="O4783" s="112">
        <v>2</v>
      </c>
    </row>
    <row r="4784" spans="1:15" x14ac:dyDescent="0.2">
      <c r="A4784" s="111">
        <v>4911</v>
      </c>
      <c r="B4784" s="421" t="s">
        <v>3055</v>
      </c>
      <c r="C4784" s="421" t="s">
        <v>506</v>
      </c>
      <c r="D4784" s="422" t="s">
        <v>663</v>
      </c>
      <c r="E4784" s="111">
        <v>16763</v>
      </c>
      <c r="F4784" s="421" t="s">
        <v>8660</v>
      </c>
      <c r="G4784" s="112">
        <v>1</v>
      </c>
      <c r="H4784" s="112">
        <v>1</v>
      </c>
      <c r="I4784" s="112">
        <v>1</v>
      </c>
      <c r="J4784" s="112">
        <v>1</v>
      </c>
      <c r="K4784" s="112">
        <v>2</v>
      </c>
      <c r="L4784" s="112">
        <v>2</v>
      </c>
    </row>
    <row r="4785" spans="1:15" x14ac:dyDescent="0.2">
      <c r="A4785" s="111">
        <v>4912</v>
      </c>
      <c r="B4785" s="421" t="s">
        <v>8638</v>
      </c>
      <c r="C4785" s="421" t="s">
        <v>555</v>
      </c>
      <c r="D4785" s="422" t="s">
        <v>666</v>
      </c>
      <c r="E4785" s="111">
        <v>16764</v>
      </c>
      <c r="F4785" s="421" t="s">
        <v>8647</v>
      </c>
      <c r="G4785" s="112">
        <v>1</v>
      </c>
      <c r="H4785" s="112">
        <v>1</v>
      </c>
      <c r="I4785" s="112">
        <v>1</v>
      </c>
      <c r="K4785" s="112">
        <v>1</v>
      </c>
      <c r="L4785" s="112">
        <v>1</v>
      </c>
    </row>
    <row r="4786" spans="1:15" x14ac:dyDescent="0.2">
      <c r="A4786" s="111">
        <v>4913</v>
      </c>
      <c r="B4786" s="421" t="s">
        <v>210</v>
      </c>
      <c r="C4786" s="421" t="s">
        <v>555</v>
      </c>
      <c r="D4786" s="422" t="s">
        <v>663</v>
      </c>
      <c r="E4786" s="111">
        <v>16764</v>
      </c>
      <c r="F4786" s="421" t="s">
        <v>8647</v>
      </c>
      <c r="G4786" s="112">
        <v>1</v>
      </c>
      <c r="H4786" s="112">
        <v>1</v>
      </c>
      <c r="I4786" s="112">
        <v>1</v>
      </c>
      <c r="J4786" s="112">
        <v>1</v>
      </c>
      <c r="K4786" s="112">
        <v>4</v>
      </c>
      <c r="L4786" s="112">
        <v>2</v>
      </c>
    </row>
    <row r="4787" spans="1:15" x14ac:dyDescent="0.2">
      <c r="A4787" s="111">
        <v>4914</v>
      </c>
      <c r="B4787" s="421" t="s">
        <v>309</v>
      </c>
      <c r="C4787" s="421" t="s">
        <v>503</v>
      </c>
      <c r="D4787" s="422" t="s">
        <v>666</v>
      </c>
      <c r="E4787" s="111">
        <v>16743</v>
      </c>
      <c r="F4787" s="421" t="s">
        <v>7580</v>
      </c>
    </row>
    <row r="4788" spans="1:15" x14ac:dyDescent="0.2">
      <c r="A4788" s="111">
        <v>4915</v>
      </c>
      <c r="B4788" s="421" t="s">
        <v>381</v>
      </c>
      <c r="C4788" s="421" t="s">
        <v>530</v>
      </c>
      <c r="D4788" s="422" t="s">
        <v>663</v>
      </c>
      <c r="F4788" s="421" t="s">
        <v>8659</v>
      </c>
    </row>
    <row r="4789" spans="1:15" x14ac:dyDescent="0.2">
      <c r="A4789" s="111">
        <v>4916</v>
      </c>
      <c r="B4789" s="421" t="s">
        <v>8019</v>
      </c>
      <c r="C4789" s="421" t="s">
        <v>550</v>
      </c>
      <c r="D4789" s="422" t="s">
        <v>663</v>
      </c>
      <c r="F4789" s="421" t="s">
        <v>8659</v>
      </c>
    </row>
    <row r="4790" spans="1:15" x14ac:dyDescent="0.2">
      <c r="A4790" s="111">
        <v>4917</v>
      </c>
      <c r="B4790" s="421" t="s">
        <v>221</v>
      </c>
      <c r="C4790" s="421" t="s">
        <v>503</v>
      </c>
      <c r="D4790" s="422" t="s">
        <v>666</v>
      </c>
      <c r="E4790" s="111">
        <v>16779</v>
      </c>
      <c r="F4790" s="421" t="s">
        <v>8652</v>
      </c>
      <c r="G4790" s="112">
        <v>1</v>
      </c>
      <c r="H4790" s="112">
        <v>1</v>
      </c>
      <c r="I4790" s="112">
        <v>1</v>
      </c>
      <c r="K4790" s="112">
        <v>2</v>
      </c>
      <c r="L4790" s="112">
        <v>2</v>
      </c>
    </row>
    <row r="4791" spans="1:15" x14ac:dyDescent="0.2">
      <c r="A4791" s="111">
        <v>4918</v>
      </c>
      <c r="B4791" s="421" t="s">
        <v>159</v>
      </c>
      <c r="C4791" s="421" t="s">
        <v>6687</v>
      </c>
      <c r="D4791" s="422" t="s">
        <v>663</v>
      </c>
      <c r="E4791" s="111">
        <v>16767</v>
      </c>
      <c r="F4791" s="421" t="s">
        <v>8664</v>
      </c>
      <c r="G4791" s="112">
        <v>1</v>
      </c>
      <c r="H4791" s="112">
        <v>2</v>
      </c>
      <c r="I4791" s="112">
        <v>1</v>
      </c>
      <c r="J4791" s="112">
        <v>7</v>
      </c>
      <c r="K4791" s="112">
        <v>3</v>
      </c>
      <c r="L4791" s="112">
        <v>1</v>
      </c>
      <c r="M4791" s="112">
        <v>2</v>
      </c>
    </row>
    <row r="4792" spans="1:15" x14ac:dyDescent="0.2">
      <c r="A4792" s="111">
        <v>4919</v>
      </c>
      <c r="B4792" s="421" t="s">
        <v>1273</v>
      </c>
      <c r="C4792" s="421" t="s">
        <v>503</v>
      </c>
      <c r="D4792" s="422" t="s">
        <v>663</v>
      </c>
      <c r="E4792" s="111">
        <v>16766</v>
      </c>
      <c r="F4792" s="421" t="s">
        <v>8661</v>
      </c>
      <c r="G4792" s="112">
        <v>1</v>
      </c>
      <c r="H4792" s="112">
        <v>1</v>
      </c>
      <c r="I4792" s="112">
        <v>1</v>
      </c>
    </row>
    <row r="4793" spans="1:15" x14ac:dyDescent="0.2">
      <c r="A4793" s="111">
        <v>4920</v>
      </c>
      <c r="B4793" s="421" t="s">
        <v>3577</v>
      </c>
      <c r="C4793" s="421" t="s">
        <v>506</v>
      </c>
      <c r="D4793" s="422" t="s">
        <v>663</v>
      </c>
      <c r="F4793" s="421" t="s">
        <v>8653</v>
      </c>
      <c r="G4793" s="112">
        <v>1</v>
      </c>
      <c r="H4793" s="112">
        <v>1</v>
      </c>
      <c r="I4793" s="112">
        <v>1</v>
      </c>
    </row>
    <row r="4794" spans="1:15" x14ac:dyDescent="0.2">
      <c r="A4794" s="111">
        <v>4921</v>
      </c>
      <c r="B4794" s="421" t="s">
        <v>1204</v>
      </c>
      <c r="C4794" s="421" t="s">
        <v>577</v>
      </c>
      <c r="D4794" s="422" t="s">
        <v>663</v>
      </c>
      <c r="F4794" s="421" t="s">
        <v>4125</v>
      </c>
    </row>
    <row r="4795" spans="1:15" x14ac:dyDescent="0.2">
      <c r="A4795" s="111">
        <v>4922</v>
      </c>
      <c r="B4795" s="421" t="s">
        <v>262</v>
      </c>
      <c r="C4795" s="421" t="s">
        <v>510</v>
      </c>
      <c r="D4795" s="422" t="s">
        <v>663</v>
      </c>
      <c r="E4795" s="111">
        <v>16885</v>
      </c>
      <c r="F4795" s="421" t="s">
        <v>8667</v>
      </c>
      <c r="G4795" s="112">
        <v>1</v>
      </c>
      <c r="H4795" s="112">
        <v>1</v>
      </c>
      <c r="I4795" s="112">
        <v>1</v>
      </c>
      <c r="J4795" s="112">
        <v>8</v>
      </c>
      <c r="K4795" s="112">
        <v>8</v>
      </c>
      <c r="L4795" s="112">
        <v>8</v>
      </c>
      <c r="M4795" s="112">
        <v>7</v>
      </c>
      <c r="N4795" s="112">
        <v>4</v>
      </c>
      <c r="O4795" s="112">
        <v>4</v>
      </c>
    </row>
    <row r="4796" spans="1:15" x14ac:dyDescent="0.2">
      <c r="A4796" s="111">
        <v>4923</v>
      </c>
      <c r="B4796" s="421" t="s">
        <v>1583</v>
      </c>
      <c r="C4796" s="421" t="s">
        <v>516</v>
      </c>
      <c r="D4796" s="422" t="s">
        <v>666</v>
      </c>
      <c r="E4796" s="111">
        <v>16777</v>
      </c>
      <c r="F4796" s="421" t="s">
        <v>12159</v>
      </c>
      <c r="G4796" s="112">
        <v>1</v>
      </c>
      <c r="H4796" s="112">
        <v>1</v>
      </c>
      <c r="I4796" s="112">
        <v>2</v>
      </c>
      <c r="J4796" s="112">
        <v>6</v>
      </c>
      <c r="K4796" s="112">
        <v>3</v>
      </c>
      <c r="L4796" s="112">
        <v>4</v>
      </c>
    </row>
    <row r="4797" spans="1:15" x14ac:dyDescent="0.2">
      <c r="A4797" s="111">
        <v>4924</v>
      </c>
      <c r="B4797" s="421" t="s">
        <v>43</v>
      </c>
      <c r="C4797" s="421" t="s">
        <v>516</v>
      </c>
      <c r="D4797" s="422" t="s">
        <v>666</v>
      </c>
      <c r="E4797" s="111">
        <v>16267</v>
      </c>
      <c r="F4797" s="421" t="s">
        <v>6814</v>
      </c>
      <c r="H4797" s="112">
        <v>1</v>
      </c>
      <c r="I4797" s="112">
        <v>1</v>
      </c>
    </row>
    <row r="4798" spans="1:15" x14ac:dyDescent="0.2">
      <c r="A4798" s="111">
        <v>4925</v>
      </c>
      <c r="B4798" s="421" t="s">
        <v>78</v>
      </c>
      <c r="C4798" s="421" t="s">
        <v>551</v>
      </c>
      <c r="D4798" s="422" t="s">
        <v>663</v>
      </c>
      <c r="E4798" s="111">
        <v>16769</v>
      </c>
      <c r="F4798" s="421" t="s">
        <v>8668</v>
      </c>
    </row>
    <row r="4799" spans="1:15" x14ac:dyDescent="0.2">
      <c r="A4799" s="111">
        <v>4926</v>
      </c>
      <c r="B4799" s="421" t="s">
        <v>1869</v>
      </c>
      <c r="C4799" s="421" t="s">
        <v>551</v>
      </c>
      <c r="D4799" s="422" t="s">
        <v>666</v>
      </c>
      <c r="E4799" s="111">
        <v>15502</v>
      </c>
      <c r="F4799" s="421" t="s">
        <v>4521</v>
      </c>
      <c r="G4799" s="112">
        <v>2</v>
      </c>
      <c r="H4799" s="112">
        <v>2</v>
      </c>
      <c r="I4799" s="112">
        <v>2</v>
      </c>
      <c r="J4799" s="112">
        <v>1</v>
      </c>
      <c r="K4799" s="112">
        <v>1</v>
      </c>
      <c r="L4799" s="112">
        <v>2</v>
      </c>
    </row>
    <row r="4800" spans="1:15" x14ac:dyDescent="0.2">
      <c r="A4800" s="111">
        <v>4927</v>
      </c>
      <c r="B4800" s="421" t="s">
        <v>3265</v>
      </c>
      <c r="C4800" s="421" t="s">
        <v>1898</v>
      </c>
      <c r="D4800" s="422" t="s">
        <v>666</v>
      </c>
      <c r="E4800" s="111">
        <v>14489</v>
      </c>
      <c r="F4800" s="421" t="s">
        <v>1475</v>
      </c>
      <c r="G4800" s="112">
        <v>2</v>
      </c>
      <c r="H4800" s="112">
        <v>2</v>
      </c>
      <c r="I4800" s="112">
        <v>1</v>
      </c>
    </row>
    <row r="4801" spans="1:15" x14ac:dyDescent="0.2">
      <c r="A4801" s="111">
        <v>4928</v>
      </c>
      <c r="B4801" s="421" t="s">
        <v>335</v>
      </c>
      <c r="C4801" s="421" t="s">
        <v>6287</v>
      </c>
      <c r="D4801" s="422" t="s">
        <v>666</v>
      </c>
      <c r="E4801" s="111">
        <v>16771</v>
      </c>
      <c r="F4801" s="421" t="s">
        <v>8744</v>
      </c>
    </row>
    <row r="4802" spans="1:15" x14ac:dyDescent="0.2">
      <c r="A4802" s="111">
        <v>4929</v>
      </c>
      <c r="B4802" s="421" t="s">
        <v>8709</v>
      </c>
      <c r="C4802" s="421" t="s">
        <v>7696</v>
      </c>
      <c r="D4802" s="422" t="s">
        <v>666</v>
      </c>
      <c r="E4802" s="111">
        <v>16745</v>
      </c>
      <c r="F4802" s="421" t="s">
        <v>8725</v>
      </c>
      <c r="G4802" s="112">
        <v>1</v>
      </c>
      <c r="H4802" s="112">
        <v>1</v>
      </c>
      <c r="I4802" s="112">
        <v>1</v>
      </c>
      <c r="J4802" s="112">
        <v>2</v>
      </c>
      <c r="K4802" s="112">
        <v>2</v>
      </c>
      <c r="L4802" s="112">
        <v>1</v>
      </c>
    </row>
    <row r="4803" spans="1:15" x14ac:dyDescent="0.2">
      <c r="A4803" s="111">
        <v>4930</v>
      </c>
      <c r="B4803" s="421" t="s">
        <v>2109</v>
      </c>
      <c r="C4803" s="421" t="s">
        <v>1450</v>
      </c>
      <c r="D4803" s="422" t="s">
        <v>666</v>
      </c>
      <c r="E4803" s="111">
        <v>16946</v>
      </c>
      <c r="F4803" s="421" t="s">
        <v>8730</v>
      </c>
      <c r="G4803" s="112">
        <v>1</v>
      </c>
      <c r="H4803" s="112">
        <v>1</v>
      </c>
    </row>
    <row r="4804" spans="1:15" x14ac:dyDescent="0.2">
      <c r="A4804" s="111">
        <v>4931</v>
      </c>
      <c r="B4804" s="421" t="s">
        <v>397</v>
      </c>
      <c r="C4804" s="421" t="s">
        <v>513</v>
      </c>
      <c r="D4804" s="422" t="s">
        <v>666</v>
      </c>
      <c r="E4804" s="111">
        <v>16772</v>
      </c>
      <c r="F4804" s="421" t="s">
        <v>8742</v>
      </c>
      <c r="G4804" s="112">
        <v>1</v>
      </c>
      <c r="H4804" s="112">
        <v>1</v>
      </c>
      <c r="I4804" s="112">
        <v>1</v>
      </c>
      <c r="J4804" s="112">
        <v>3</v>
      </c>
      <c r="K4804" s="112">
        <v>1</v>
      </c>
      <c r="L4804" s="112">
        <v>3</v>
      </c>
      <c r="M4804" s="112">
        <v>1</v>
      </c>
    </row>
    <row r="4805" spans="1:15" x14ac:dyDescent="0.2">
      <c r="A4805" s="111">
        <v>4932</v>
      </c>
      <c r="B4805" s="421" t="s">
        <v>8707</v>
      </c>
      <c r="C4805" s="421" t="s">
        <v>516</v>
      </c>
      <c r="D4805" s="422" t="s">
        <v>666</v>
      </c>
      <c r="E4805" s="111">
        <v>16850</v>
      </c>
      <c r="F4805" s="421" t="s">
        <v>8723</v>
      </c>
      <c r="G4805" s="112">
        <v>1</v>
      </c>
      <c r="H4805" s="112">
        <v>1</v>
      </c>
    </row>
    <row r="4806" spans="1:15" x14ac:dyDescent="0.2">
      <c r="A4806" s="111">
        <v>4933</v>
      </c>
      <c r="B4806" s="421" t="s">
        <v>8714</v>
      </c>
      <c r="C4806" s="421" t="s">
        <v>501</v>
      </c>
      <c r="D4806" s="422" t="s">
        <v>666</v>
      </c>
      <c r="E4806" s="111">
        <v>16773</v>
      </c>
      <c r="F4806" s="421" t="s">
        <v>8735</v>
      </c>
      <c r="G4806" s="112">
        <v>2</v>
      </c>
      <c r="H4806" s="112">
        <v>2</v>
      </c>
      <c r="I4806" s="112">
        <v>1</v>
      </c>
      <c r="J4806" s="112">
        <v>4</v>
      </c>
      <c r="K4806" s="112">
        <v>3</v>
      </c>
      <c r="L4806" s="112">
        <v>3</v>
      </c>
      <c r="M4806" s="112">
        <v>2</v>
      </c>
      <c r="N4806" s="112">
        <v>3</v>
      </c>
      <c r="O4806" s="112">
        <v>3</v>
      </c>
    </row>
    <row r="4807" spans="1:15" x14ac:dyDescent="0.2">
      <c r="A4807" s="111">
        <v>4934</v>
      </c>
      <c r="B4807" s="421" t="s">
        <v>1240</v>
      </c>
      <c r="C4807" s="421" t="s">
        <v>567</v>
      </c>
      <c r="D4807" s="422" t="s">
        <v>666</v>
      </c>
      <c r="E4807" s="111">
        <v>16818</v>
      </c>
      <c r="F4807" s="421" t="s">
        <v>8732</v>
      </c>
    </row>
    <row r="4808" spans="1:15" x14ac:dyDescent="0.2">
      <c r="A4808" s="111">
        <v>4935</v>
      </c>
      <c r="B4808" s="421" t="s">
        <v>8719</v>
      </c>
      <c r="C4808" s="421" t="s">
        <v>501</v>
      </c>
      <c r="D4808" s="422" t="s">
        <v>663</v>
      </c>
      <c r="E4808" s="111">
        <v>16774</v>
      </c>
      <c r="F4808" s="421" t="s">
        <v>8743</v>
      </c>
      <c r="G4808" s="112">
        <v>3</v>
      </c>
      <c r="H4808" s="112">
        <v>3</v>
      </c>
      <c r="I4808" s="112">
        <v>1</v>
      </c>
      <c r="J4808" s="112">
        <v>3</v>
      </c>
      <c r="K4808" s="112">
        <v>2</v>
      </c>
      <c r="L4808" s="112">
        <v>3</v>
      </c>
    </row>
    <row r="4809" spans="1:15" x14ac:dyDescent="0.2">
      <c r="A4809" s="111">
        <v>4936</v>
      </c>
      <c r="B4809" s="421" t="s">
        <v>7790</v>
      </c>
      <c r="C4809" s="421" t="s">
        <v>521</v>
      </c>
      <c r="D4809" s="422" t="s">
        <v>666</v>
      </c>
      <c r="E4809" s="111">
        <v>16775</v>
      </c>
      <c r="F4809" s="421" t="s">
        <v>8738</v>
      </c>
      <c r="G4809" s="112">
        <v>1</v>
      </c>
      <c r="H4809" s="112">
        <v>1</v>
      </c>
      <c r="I4809" s="112">
        <v>1</v>
      </c>
      <c r="J4809" s="112">
        <v>3</v>
      </c>
      <c r="K4809" s="112">
        <v>4</v>
      </c>
      <c r="L4809" s="112">
        <v>4</v>
      </c>
      <c r="M4809" s="112">
        <v>3</v>
      </c>
      <c r="N4809" s="112">
        <v>2</v>
      </c>
      <c r="O4809" s="112">
        <v>3</v>
      </c>
    </row>
    <row r="4810" spans="1:15" x14ac:dyDescent="0.2">
      <c r="A4810" s="111">
        <v>4937</v>
      </c>
      <c r="B4810" s="421" t="s">
        <v>485</v>
      </c>
      <c r="C4810" s="421" t="s">
        <v>510</v>
      </c>
      <c r="D4810" s="422" t="s">
        <v>666</v>
      </c>
      <c r="E4810" s="111">
        <v>16776</v>
      </c>
      <c r="F4810" s="421" t="s">
        <v>8720</v>
      </c>
      <c r="G4810" s="112">
        <v>1</v>
      </c>
      <c r="H4810" s="112">
        <v>1</v>
      </c>
      <c r="I4810" s="112">
        <v>1</v>
      </c>
      <c r="J4810" s="112">
        <v>1</v>
      </c>
      <c r="K4810" s="112">
        <v>1</v>
      </c>
      <c r="L4810" s="112">
        <v>1</v>
      </c>
      <c r="M4810" s="112">
        <v>1</v>
      </c>
    </row>
    <row r="4811" spans="1:15" x14ac:dyDescent="0.2">
      <c r="A4811" s="111">
        <v>4938</v>
      </c>
      <c r="B4811" s="421" t="s">
        <v>8705</v>
      </c>
      <c r="C4811" s="421" t="s">
        <v>510</v>
      </c>
      <c r="D4811" s="422" t="s">
        <v>666</v>
      </c>
      <c r="E4811" s="111">
        <v>16776</v>
      </c>
      <c r="F4811" s="421" t="s">
        <v>8720</v>
      </c>
      <c r="G4811" s="112">
        <v>1</v>
      </c>
      <c r="H4811" s="112">
        <v>1</v>
      </c>
    </row>
    <row r="4812" spans="1:15" x14ac:dyDescent="0.2">
      <c r="A4812" s="111">
        <v>4939</v>
      </c>
      <c r="B4812" s="421" t="s">
        <v>485</v>
      </c>
      <c r="C4812" s="421" t="s">
        <v>501</v>
      </c>
      <c r="D4812" s="422" t="s">
        <v>666</v>
      </c>
      <c r="F4812" s="421" t="s">
        <v>8726</v>
      </c>
    </row>
    <row r="4813" spans="1:15" x14ac:dyDescent="0.2">
      <c r="A4813" s="111">
        <v>4940</v>
      </c>
      <c r="B4813" s="421" t="s">
        <v>6008</v>
      </c>
      <c r="C4813" s="421" t="s">
        <v>503</v>
      </c>
      <c r="D4813" s="422" t="s">
        <v>663</v>
      </c>
      <c r="E4813" s="111">
        <v>15658</v>
      </c>
      <c r="F4813" s="421" t="s">
        <v>5001</v>
      </c>
      <c r="G4813" s="112">
        <v>1</v>
      </c>
      <c r="H4813" s="112">
        <v>1</v>
      </c>
      <c r="I4813" s="112">
        <v>1</v>
      </c>
      <c r="L4813" s="112">
        <v>1</v>
      </c>
    </row>
    <row r="4814" spans="1:15" x14ac:dyDescent="0.2">
      <c r="A4814" s="111">
        <v>4941</v>
      </c>
      <c r="B4814" s="421" t="s">
        <v>1248</v>
      </c>
      <c r="C4814" s="421" t="s">
        <v>503</v>
      </c>
      <c r="D4814" s="422" t="s">
        <v>663</v>
      </c>
      <c r="E4814" s="111">
        <v>15659</v>
      </c>
      <c r="F4814" s="421" t="s">
        <v>5079</v>
      </c>
      <c r="G4814" s="112">
        <v>1</v>
      </c>
      <c r="H4814" s="112">
        <v>1</v>
      </c>
      <c r="I4814" s="112">
        <v>1</v>
      </c>
      <c r="J4814" s="112">
        <v>1</v>
      </c>
      <c r="K4814" s="112">
        <v>1</v>
      </c>
      <c r="L4814" s="112">
        <v>1</v>
      </c>
    </row>
    <row r="4815" spans="1:15" x14ac:dyDescent="0.2">
      <c r="A4815" s="111">
        <v>4942</v>
      </c>
      <c r="B4815" s="421" t="s">
        <v>1359</v>
      </c>
      <c r="C4815" s="421" t="s">
        <v>551</v>
      </c>
      <c r="D4815" s="422" t="s">
        <v>663</v>
      </c>
      <c r="E4815" s="111">
        <v>16778</v>
      </c>
      <c r="F4815" s="421" t="s">
        <v>8729</v>
      </c>
    </row>
    <row r="4816" spans="1:15" x14ac:dyDescent="0.2">
      <c r="A4816" s="111">
        <v>4943</v>
      </c>
      <c r="B4816" s="421" t="s">
        <v>8710</v>
      </c>
      <c r="C4816" s="421" t="s">
        <v>1625</v>
      </c>
      <c r="D4816" s="422" t="s">
        <v>663</v>
      </c>
      <c r="E4816" s="111">
        <v>16780</v>
      </c>
      <c r="F4816" s="421" t="s">
        <v>8727</v>
      </c>
    </row>
    <row r="4817" spans="1:15" x14ac:dyDescent="0.2">
      <c r="A4817" s="111">
        <v>4944</v>
      </c>
      <c r="B4817" s="421" t="s">
        <v>2501</v>
      </c>
      <c r="C4817" s="421" t="s">
        <v>1748</v>
      </c>
      <c r="D4817" s="422" t="s">
        <v>663</v>
      </c>
      <c r="E4817" s="111">
        <v>16437</v>
      </c>
      <c r="F4817" s="421" t="s">
        <v>7570</v>
      </c>
      <c r="G4817" s="112">
        <v>1</v>
      </c>
      <c r="H4817" s="112">
        <v>1</v>
      </c>
      <c r="I4817" s="112">
        <v>1</v>
      </c>
      <c r="J4817" s="112">
        <v>5</v>
      </c>
      <c r="K4817" s="112">
        <v>3</v>
      </c>
      <c r="L4817" s="112">
        <v>3</v>
      </c>
      <c r="M4817" s="112">
        <v>1</v>
      </c>
      <c r="N4817" s="112">
        <v>1</v>
      </c>
      <c r="O4817" s="112">
        <v>2</v>
      </c>
    </row>
    <row r="4818" spans="1:15" x14ac:dyDescent="0.2">
      <c r="A4818" s="111">
        <v>4945</v>
      </c>
      <c r="B4818" s="421" t="s">
        <v>1973</v>
      </c>
      <c r="C4818" s="421" t="s">
        <v>502</v>
      </c>
      <c r="D4818" s="422" t="s">
        <v>663</v>
      </c>
      <c r="E4818" s="111">
        <v>15659</v>
      </c>
      <c r="F4818" s="421" t="s">
        <v>5079</v>
      </c>
      <c r="G4818" s="112">
        <v>1</v>
      </c>
      <c r="H4818" s="112">
        <v>1</v>
      </c>
      <c r="I4818" s="112">
        <v>1</v>
      </c>
    </row>
    <row r="4819" spans="1:15" x14ac:dyDescent="0.2">
      <c r="A4819" s="111">
        <v>4946</v>
      </c>
      <c r="B4819" s="421" t="s">
        <v>48</v>
      </c>
      <c r="C4819" s="421" t="s">
        <v>503</v>
      </c>
      <c r="D4819" s="422" t="s">
        <v>663</v>
      </c>
      <c r="E4819" s="111">
        <v>16782</v>
      </c>
      <c r="F4819" s="421" t="s">
        <v>8739</v>
      </c>
      <c r="G4819" s="112">
        <v>1</v>
      </c>
      <c r="H4819" s="112">
        <v>1</v>
      </c>
      <c r="I4819" s="112">
        <v>1</v>
      </c>
    </row>
    <row r="4820" spans="1:15" x14ac:dyDescent="0.2">
      <c r="A4820" s="111">
        <v>4947</v>
      </c>
      <c r="B4820" s="421" t="s">
        <v>3745</v>
      </c>
      <c r="C4820" s="421" t="s">
        <v>533</v>
      </c>
      <c r="D4820" s="422" t="s">
        <v>663</v>
      </c>
      <c r="E4820" s="111">
        <v>15866</v>
      </c>
      <c r="F4820" s="421" t="s">
        <v>5575</v>
      </c>
    </row>
    <row r="4821" spans="1:15" x14ac:dyDescent="0.2">
      <c r="A4821" s="111">
        <v>4948</v>
      </c>
      <c r="B4821" s="421" t="s">
        <v>5394</v>
      </c>
      <c r="C4821" s="421" t="s">
        <v>560</v>
      </c>
      <c r="D4821" s="422" t="s">
        <v>663</v>
      </c>
      <c r="E4821" s="111">
        <v>14129</v>
      </c>
      <c r="F4821" s="421" t="s">
        <v>823</v>
      </c>
      <c r="G4821" s="112">
        <v>1</v>
      </c>
      <c r="H4821" s="112">
        <v>1</v>
      </c>
      <c r="I4821" s="112">
        <v>1</v>
      </c>
    </row>
    <row r="4822" spans="1:15" x14ac:dyDescent="0.2">
      <c r="A4822" s="111">
        <v>4949</v>
      </c>
      <c r="B4822" s="421" t="s">
        <v>2012</v>
      </c>
      <c r="C4822" s="421" t="s">
        <v>560</v>
      </c>
      <c r="D4822" s="422" t="s">
        <v>663</v>
      </c>
      <c r="E4822" s="111">
        <v>14129</v>
      </c>
      <c r="F4822" s="421" t="s">
        <v>823</v>
      </c>
    </row>
    <row r="4823" spans="1:15" x14ac:dyDescent="0.2">
      <c r="A4823" s="111">
        <v>4950</v>
      </c>
      <c r="B4823" s="421" t="s">
        <v>3242</v>
      </c>
      <c r="C4823" s="421" t="s">
        <v>513</v>
      </c>
      <c r="D4823" s="422" t="s">
        <v>663</v>
      </c>
      <c r="E4823" s="111">
        <v>14129</v>
      </c>
      <c r="F4823" s="421" t="s">
        <v>823</v>
      </c>
      <c r="G4823" s="112">
        <v>1</v>
      </c>
      <c r="H4823" s="112">
        <v>1</v>
      </c>
      <c r="I4823" s="112">
        <v>2</v>
      </c>
      <c r="J4823" s="112">
        <v>4</v>
      </c>
      <c r="K4823" s="112">
        <v>3</v>
      </c>
      <c r="L4823" s="112">
        <v>5</v>
      </c>
      <c r="M4823" s="112">
        <v>8</v>
      </c>
      <c r="N4823" s="112">
        <v>2</v>
      </c>
      <c r="O4823" s="112">
        <v>5</v>
      </c>
    </row>
    <row r="4824" spans="1:15" x14ac:dyDescent="0.2">
      <c r="A4824" s="111">
        <v>4951</v>
      </c>
      <c r="B4824" s="421" t="s">
        <v>8708</v>
      </c>
      <c r="C4824" s="421" t="s">
        <v>510</v>
      </c>
      <c r="D4824" s="422" t="s">
        <v>663</v>
      </c>
      <c r="E4824" s="111">
        <v>16784</v>
      </c>
      <c r="F4824" s="421" t="s">
        <v>8724</v>
      </c>
      <c r="G4824" s="112">
        <v>1</v>
      </c>
    </row>
    <row r="4825" spans="1:15" x14ac:dyDescent="0.2">
      <c r="A4825" s="111">
        <v>4952</v>
      </c>
      <c r="B4825" s="421" t="s">
        <v>8715</v>
      </c>
      <c r="C4825" s="421" t="s">
        <v>501</v>
      </c>
      <c r="D4825" s="422" t="s">
        <v>663</v>
      </c>
      <c r="E4825" s="111">
        <v>16843</v>
      </c>
      <c r="F4825" s="421" t="s">
        <v>8736</v>
      </c>
      <c r="G4825" s="112">
        <v>1</v>
      </c>
      <c r="H4825" s="112">
        <v>1</v>
      </c>
      <c r="I4825" s="112">
        <v>1</v>
      </c>
      <c r="K4825" s="112">
        <v>1</v>
      </c>
      <c r="L4825" s="112">
        <v>1</v>
      </c>
    </row>
    <row r="4826" spans="1:15" x14ac:dyDescent="0.2">
      <c r="A4826" s="111">
        <v>4953</v>
      </c>
      <c r="B4826" s="421" t="s">
        <v>8718</v>
      </c>
      <c r="C4826" s="421" t="s">
        <v>551</v>
      </c>
      <c r="D4826" s="422" t="s">
        <v>666</v>
      </c>
      <c r="E4826" s="111">
        <v>15364</v>
      </c>
      <c r="F4826" s="421" t="s">
        <v>3910</v>
      </c>
      <c r="G4826" s="112">
        <v>1</v>
      </c>
      <c r="H4826" s="112">
        <v>1</v>
      </c>
      <c r="I4826" s="112">
        <v>1</v>
      </c>
      <c r="K4826" s="112">
        <v>1</v>
      </c>
    </row>
    <row r="4827" spans="1:15" x14ac:dyDescent="0.2">
      <c r="A4827" s="111">
        <v>4954</v>
      </c>
      <c r="B4827" s="421" t="s">
        <v>8712</v>
      </c>
      <c r="C4827" s="421" t="s">
        <v>526</v>
      </c>
      <c r="D4827" s="422" t="s">
        <v>663</v>
      </c>
      <c r="E4827" s="111">
        <v>16785</v>
      </c>
      <c r="F4827" s="421" t="s">
        <v>8733</v>
      </c>
      <c r="G4827" s="112">
        <v>1</v>
      </c>
      <c r="H4827" s="112">
        <v>1</v>
      </c>
      <c r="I4827" s="112">
        <v>1</v>
      </c>
      <c r="J4827" s="112">
        <v>10</v>
      </c>
      <c r="K4827" s="112">
        <v>10</v>
      </c>
      <c r="L4827" s="112">
        <v>10</v>
      </c>
      <c r="M4827" s="112">
        <v>12</v>
      </c>
      <c r="N4827" s="112">
        <v>5</v>
      </c>
      <c r="O4827" s="112">
        <v>5</v>
      </c>
    </row>
    <row r="4828" spans="1:15" x14ac:dyDescent="0.2">
      <c r="A4828" s="111">
        <v>4955</v>
      </c>
      <c r="B4828" s="421" t="s">
        <v>8706</v>
      </c>
      <c r="C4828" s="421" t="s">
        <v>503</v>
      </c>
      <c r="D4828" s="422" t="s">
        <v>663</v>
      </c>
      <c r="E4828" s="111">
        <v>15001</v>
      </c>
      <c r="F4828" s="421" t="s">
        <v>17460</v>
      </c>
      <c r="G4828" s="112">
        <v>1</v>
      </c>
      <c r="H4828" s="112">
        <v>1</v>
      </c>
      <c r="I4828" s="112">
        <v>1</v>
      </c>
      <c r="J4828" s="112">
        <v>1</v>
      </c>
      <c r="K4828" s="112">
        <v>3</v>
      </c>
      <c r="L4828" s="112">
        <v>2</v>
      </c>
      <c r="M4828" s="112">
        <v>1</v>
      </c>
      <c r="N4828" s="112">
        <v>1</v>
      </c>
      <c r="O4828" s="112">
        <v>3</v>
      </c>
    </row>
    <row r="4829" spans="1:15" x14ac:dyDescent="0.2">
      <c r="A4829" s="111">
        <v>4956</v>
      </c>
      <c r="B4829" s="421" t="s">
        <v>8716</v>
      </c>
      <c r="C4829" s="421" t="s">
        <v>502</v>
      </c>
      <c r="D4829" s="422" t="s">
        <v>666</v>
      </c>
      <c r="E4829" s="111">
        <v>14978</v>
      </c>
      <c r="F4829" s="421" t="s">
        <v>2857</v>
      </c>
      <c r="G4829" s="112">
        <v>1</v>
      </c>
      <c r="H4829" s="112">
        <v>1</v>
      </c>
      <c r="I4829" s="112">
        <v>2</v>
      </c>
    </row>
    <row r="4830" spans="1:15" x14ac:dyDescent="0.2">
      <c r="A4830" s="111">
        <v>4957</v>
      </c>
      <c r="B4830" s="421" t="s">
        <v>1480</v>
      </c>
      <c r="C4830" s="421" t="s">
        <v>2274</v>
      </c>
      <c r="D4830" s="422" t="s">
        <v>666</v>
      </c>
      <c r="E4830" s="111">
        <v>16787</v>
      </c>
      <c r="F4830" s="421" t="s">
        <v>8722</v>
      </c>
      <c r="G4830" s="112">
        <v>1</v>
      </c>
      <c r="H4830" s="112">
        <v>1</v>
      </c>
      <c r="I4830" s="112">
        <v>1</v>
      </c>
    </row>
    <row r="4831" spans="1:15" x14ac:dyDescent="0.2">
      <c r="A4831" s="111">
        <v>4958</v>
      </c>
      <c r="B4831" s="421" t="s">
        <v>252</v>
      </c>
      <c r="C4831" s="421" t="s">
        <v>531</v>
      </c>
      <c r="D4831" s="422" t="s">
        <v>666</v>
      </c>
      <c r="E4831" s="111">
        <v>16788</v>
      </c>
      <c r="F4831" s="421" t="s">
        <v>8740</v>
      </c>
      <c r="G4831" s="112">
        <v>2</v>
      </c>
      <c r="H4831" s="112">
        <v>1</v>
      </c>
      <c r="I4831" s="112">
        <v>2</v>
      </c>
      <c r="J4831" s="112">
        <v>11</v>
      </c>
      <c r="K4831" s="112">
        <v>10</v>
      </c>
      <c r="L4831" s="112">
        <v>11</v>
      </c>
      <c r="M4831" s="112">
        <v>13</v>
      </c>
      <c r="N4831" s="112">
        <v>9</v>
      </c>
      <c r="O4831" s="112">
        <v>10</v>
      </c>
    </row>
    <row r="4832" spans="1:15" x14ac:dyDescent="0.2">
      <c r="A4832" s="111">
        <v>4959</v>
      </c>
      <c r="B4832" s="421" t="s">
        <v>193</v>
      </c>
      <c r="C4832" s="421" t="s">
        <v>551</v>
      </c>
      <c r="D4832" s="422" t="s">
        <v>663</v>
      </c>
      <c r="E4832" s="111">
        <v>16770</v>
      </c>
      <c r="F4832" s="421" t="s">
        <v>17462</v>
      </c>
      <c r="G4832" s="112">
        <v>1</v>
      </c>
      <c r="H4832" s="112">
        <v>1</v>
      </c>
      <c r="I4832" s="112">
        <v>1</v>
      </c>
      <c r="J4832" s="112">
        <v>2</v>
      </c>
      <c r="K4832" s="112">
        <v>1</v>
      </c>
      <c r="L4832" s="112">
        <v>1</v>
      </c>
    </row>
    <row r="4833" spans="1:15" x14ac:dyDescent="0.2">
      <c r="A4833" s="111">
        <v>4960</v>
      </c>
      <c r="B4833" s="421" t="s">
        <v>443</v>
      </c>
      <c r="C4833" s="421" t="s">
        <v>551</v>
      </c>
      <c r="D4833" s="422" t="s">
        <v>666</v>
      </c>
      <c r="E4833" s="111">
        <v>16770</v>
      </c>
      <c r="F4833" s="421" t="s">
        <v>17462</v>
      </c>
      <c r="G4833" s="112">
        <v>1</v>
      </c>
      <c r="H4833" s="112">
        <v>1</v>
      </c>
      <c r="I4833" s="112">
        <v>1</v>
      </c>
      <c r="J4833" s="112">
        <v>1</v>
      </c>
    </row>
    <row r="4834" spans="1:15" x14ac:dyDescent="0.2">
      <c r="A4834" s="111">
        <v>4961</v>
      </c>
      <c r="B4834" s="421" t="s">
        <v>3911</v>
      </c>
      <c r="C4834" s="421" t="s">
        <v>501</v>
      </c>
      <c r="D4834" s="422" t="s">
        <v>663</v>
      </c>
      <c r="E4834" s="111">
        <v>14799</v>
      </c>
      <c r="F4834" s="421" t="s">
        <v>1990</v>
      </c>
      <c r="G4834" s="112">
        <v>2</v>
      </c>
      <c r="H4834" s="112">
        <v>1</v>
      </c>
      <c r="I4834" s="112">
        <v>2</v>
      </c>
      <c r="J4834" s="112">
        <v>3</v>
      </c>
      <c r="K4834" s="112">
        <v>2</v>
      </c>
      <c r="L4834" s="112">
        <v>1</v>
      </c>
    </row>
    <row r="4835" spans="1:15" x14ac:dyDescent="0.2">
      <c r="A4835" s="111">
        <v>4962</v>
      </c>
      <c r="B4835" s="421" t="s">
        <v>8713</v>
      </c>
      <c r="C4835" s="421" t="s">
        <v>506</v>
      </c>
      <c r="D4835" s="422" t="s">
        <v>666</v>
      </c>
      <c r="E4835" s="111">
        <v>16789</v>
      </c>
      <c r="F4835" s="421" t="s">
        <v>8734</v>
      </c>
      <c r="G4835" s="112">
        <v>3</v>
      </c>
      <c r="H4835" s="112">
        <v>3</v>
      </c>
      <c r="I4835" s="112">
        <v>2</v>
      </c>
      <c r="J4835" s="112">
        <v>6</v>
      </c>
      <c r="K4835" s="112">
        <v>7</v>
      </c>
      <c r="L4835" s="112">
        <v>5</v>
      </c>
    </row>
    <row r="4836" spans="1:15" x14ac:dyDescent="0.2">
      <c r="A4836" s="111">
        <v>4963</v>
      </c>
      <c r="B4836" s="421" t="s">
        <v>2671</v>
      </c>
      <c r="C4836" s="421" t="s">
        <v>513</v>
      </c>
      <c r="D4836" s="422" t="s">
        <v>663</v>
      </c>
      <c r="E4836" s="111">
        <v>1471</v>
      </c>
      <c r="F4836" s="421" t="s">
        <v>685</v>
      </c>
      <c r="G4836" s="112">
        <v>1</v>
      </c>
      <c r="H4836" s="112">
        <v>1</v>
      </c>
      <c r="I4836" s="112">
        <v>1</v>
      </c>
    </row>
    <row r="4837" spans="1:15" x14ac:dyDescent="0.2">
      <c r="A4837" s="111">
        <v>4964</v>
      </c>
      <c r="B4837" s="421" t="s">
        <v>8711</v>
      </c>
      <c r="C4837" s="421" t="s">
        <v>516</v>
      </c>
      <c r="D4837" s="422" t="s">
        <v>663</v>
      </c>
      <c r="E4837" s="111">
        <v>16790</v>
      </c>
      <c r="F4837" s="421" t="s">
        <v>8728</v>
      </c>
      <c r="G4837" s="112">
        <v>1</v>
      </c>
      <c r="I4837" s="112">
        <v>1</v>
      </c>
    </row>
    <row r="4838" spans="1:15" x14ac:dyDescent="0.2">
      <c r="A4838" s="111">
        <v>4965</v>
      </c>
      <c r="B4838" s="421" t="s">
        <v>7884</v>
      </c>
      <c r="C4838" s="421" t="s">
        <v>501</v>
      </c>
      <c r="D4838" s="422" t="s">
        <v>666</v>
      </c>
      <c r="E4838" s="111">
        <v>16791</v>
      </c>
      <c r="F4838" s="421" t="s">
        <v>8721</v>
      </c>
      <c r="G4838" s="112">
        <v>1</v>
      </c>
      <c r="H4838" s="112">
        <v>1</v>
      </c>
      <c r="I4838" s="112">
        <v>1</v>
      </c>
      <c r="J4838" s="112">
        <v>3</v>
      </c>
      <c r="K4838" s="112">
        <v>2</v>
      </c>
      <c r="L4838" s="112">
        <v>2</v>
      </c>
    </row>
    <row r="4839" spans="1:15" x14ac:dyDescent="0.2">
      <c r="A4839" s="111">
        <v>4966</v>
      </c>
      <c r="B4839" s="421" t="s">
        <v>5175</v>
      </c>
      <c r="C4839" s="421" t="s">
        <v>513</v>
      </c>
      <c r="D4839" s="422" t="s">
        <v>663</v>
      </c>
      <c r="E4839" s="111">
        <v>16792</v>
      </c>
      <c r="F4839" s="421" t="s">
        <v>8741</v>
      </c>
      <c r="G4839" s="112">
        <v>1</v>
      </c>
      <c r="H4839" s="112">
        <v>1</v>
      </c>
      <c r="I4839" s="112">
        <v>1</v>
      </c>
    </row>
    <row r="4840" spans="1:15" x14ac:dyDescent="0.2">
      <c r="A4840" s="111">
        <v>4967</v>
      </c>
      <c r="B4840" s="421" t="s">
        <v>382</v>
      </c>
      <c r="C4840" s="421" t="s">
        <v>2412</v>
      </c>
      <c r="D4840" s="422" t="s">
        <v>663</v>
      </c>
      <c r="E4840" s="111">
        <v>15729</v>
      </c>
      <c r="F4840" s="421" t="s">
        <v>5222</v>
      </c>
      <c r="G4840" s="112">
        <v>1</v>
      </c>
      <c r="H4840" s="112">
        <v>1</v>
      </c>
      <c r="I4840" s="112">
        <v>1</v>
      </c>
      <c r="J4840" s="112">
        <v>5</v>
      </c>
      <c r="K4840" s="112">
        <v>3</v>
      </c>
      <c r="L4840" s="112">
        <v>3</v>
      </c>
      <c r="M4840" s="112">
        <v>4</v>
      </c>
      <c r="N4840" s="112">
        <v>1</v>
      </c>
    </row>
    <row r="4841" spans="1:15" x14ac:dyDescent="0.2">
      <c r="A4841" s="111">
        <v>4968</v>
      </c>
      <c r="B4841" s="421" t="s">
        <v>101</v>
      </c>
      <c r="C4841" s="421" t="s">
        <v>1201</v>
      </c>
      <c r="D4841" s="422" t="s">
        <v>663</v>
      </c>
      <c r="E4841" s="111">
        <v>17008</v>
      </c>
      <c r="F4841" s="421" t="s">
        <v>8731</v>
      </c>
      <c r="G4841" s="112">
        <v>1</v>
      </c>
      <c r="H4841" s="112">
        <v>1</v>
      </c>
      <c r="I4841" s="112">
        <v>1</v>
      </c>
      <c r="J4841" s="112">
        <v>7</v>
      </c>
      <c r="K4841" s="112">
        <v>9</v>
      </c>
      <c r="L4841" s="112">
        <v>7</v>
      </c>
      <c r="M4841" s="112">
        <v>4</v>
      </c>
      <c r="N4841" s="112">
        <v>2</v>
      </c>
      <c r="O4841" s="112">
        <v>2</v>
      </c>
    </row>
    <row r="4842" spans="1:15" x14ac:dyDescent="0.2">
      <c r="A4842" s="111">
        <v>4969</v>
      </c>
      <c r="B4842" s="421" t="s">
        <v>8717</v>
      </c>
      <c r="C4842" s="421" t="s">
        <v>501</v>
      </c>
      <c r="D4842" s="422" t="s">
        <v>663</v>
      </c>
      <c r="F4842" s="421" t="s">
        <v>8737</v>
      </c>
      <c r="G4842" s="112">
        <v>1</v>
      </c>
      <c r="H4842" s="112">
        <v>1</v>
      </c>
      <c r="I4842" s="112">
        <v>1</v>
      </c>
    </row>
    <row r="4843" spans="1:15" x14ac:dyDescent="0.2">
      <c r="A4843" s="111">
        <v>4970</v>
      </c>
      <c r="B4843" s="421" t="s">
        <v>8818</v>
      </c>
      <c r="C4843" s="421" t="s">
        <v>501</v>
      </c>
      <c r="D4843" s="422" t="s">
        <v>663</v>
      </c>
      <c r="E4843" s="111">
        <v>16601</v>
      </c>
      <c r="F4843" s="421" t="s">
        <v>7970</v>
      </c>
      <c r="G4843" s="112">
        <v>1</v>
      </c>
      <c r="H4843" s="112">
        <v>2</v>
      </c>
      <c r="I4843" s="112">
        <v>2</v>
      </c>
      <c r="J4843" s="112">
        <v>6</v>
      </c>
      <c r="K4843" s="112">
        <v>5</v>
      </c>
      <c r="L4843" s="112">
        <v>8</v>
      </c>
    </row>
    <row r="4844" spans="1:15" x14ac:dyDescent="0.2">
      <c r="A4844" s="111">
        <v>4971</v>
      </c>
      <c r="B4844" s="421" t="s">
        <v>8819</v>
      </c>
      <c r="C4844" s="421" t="s">
        <v>551</v>
      </c>
      <c r="D4844" s="422" t="s">
        <v>666</v>
      </c>
      <c r="E4844" s="111">
        <v>14906</v>
      </c>
      <c r="F4844" s="421" t="s">
        <v>2670</v>
      </c>
      <c r="G4844" s="112">
        <v>1</v>
      </c>
      <c r="H4844" s="112">
        <v>1</v>
      </c>
      <c r="I4844" s="112">
        <v>1</v>
      </c>
      <c r="J4844" s="112">
        <v>8</v>
      </c>
      <c r="K4844" s="112">
        <v>7</v>
      </c>
      <c r="L4844" s="112">
        <v>7</v>
      </c>
      <c r="M4844" s="112">
        <v>1</v>
      </c>
      <c r="O4844" s="112">
        <v>1</v>
      </c>
    </row>
    <row r="4845" spans="1:15" x14ac:dyDescent="0.2">
      <c r="A4845" s="111">
        <v>4972</v>
      </c>
      <c r="B4845" s="421" t="s">
        <v>53</v>
      </c>
      <c r="C4845" s="421" t="s">
        <v>510</v>
      </c>
      <c r="D4845" s="422" t="s">
        <v>663</v>
      </c>
      <c r="E4845" s="111">
        <v>16891</v>
      </c>
      <c r="F4845" s="421" t="s">
        <v>8829</v>
      </c>
      <c r="G4845" s="112">
        <v>1</v>
      </c>
      <c r="H4845" s="112">
        <v>1</v>
      </c>
      <c r="I4845" s="112">
        <v>1</v>
      </c>
      <c r="J4845" s="112">
        <v>3</v>
      </c>
      <c r="K4845" s="112">
        <v>3</v>
      </c>
      <c r="L4845" s="112">
        <v>3</v>
      </c>
      <c r="M4845" s="112">
        <v>2</v>
      </c>
      <c r="N4845" s="112">
        <v>2</v>
      </c>
    </row>
    <row r="4846" spans="1:15" x14ac:dyDescent="0.2">
      <c r="A4846" s="111">
        <v>4973</v>
      </c>
      <c r="B4846" s="421" t="s">
        <v>2809</v>
      </c>
      <c r="C4846" s="421" t="s">
        <v>555</v>
      </c>
      <c r="D4846" s="422" t="s">
        <v>666</v>
      </c>
      <c r="E4846" s="111">
        <v>15840</v>
      </c>
      <c r="F4846" s="421" t="s">
        <v>5533</v>
      </c>
      <c r="G4846" s="112">
        <v>1</v>
      </c>
      <c r="H4846" s="112">
        <v>1</v>
      </c>
      <c r="I4846" s="112">
        <v>1</v>
      </c>
      <c r="J4846" s="112">
        <v>1</v>
      </c>
      <c r="K4846" s="112">
        <v>3</v>
      </c>
      <c r="L4846" s="112">
        <v>2</v>
      </c>
    </row>
    <row r="4847" spans="1:15" x14ac:dyDescent="0.2">
      <c r="A4847" s="111">
        <v>4974</v>
      </c>
      <c r="B4847" s="421" t="s">
        <v>1387</v>
      </c>
      <c r="C4847" s="421" t="s">
        <v>502</v>
      </c>
      <c r="D4847" s="422" t="s">
        <v>666</v>
      </c>
      <c r="E4847" s="111">
        <v>16793</v>
      </c>
      <c r="F4847" s="421" t="s">
        <v>8830</v>
      </c>
      <c r="G4847" s="112">
        <v>1</v>
      </c>
      <c r="H4847" s="112">
        <v>1</v>
      </c>
      <c r="I4847" s="112">
        <v>1</v>
      </c>
      <c r="J4847" s="112">
        <v>5</v>
      </c>
      <c r="K4847" s="112">
        <v>3</v>
      </c>
      <c r="L4847" s="112">
        <v>3</v>
      </c>
      <c r="M4847" s="112">
        <v>4</v>
      </c>
      <c r="N4847" s="112">
        <v>2</v>
      </c>
      <c r="O4847" s="112">
        <v>2</v>
      </c>
    </row>
    <row r="4848" spans="1:15" x14ac:dyDescent="0.2">
      <c r="A4848" s="111">
        <v>4975</v>
      </c>
      <c r="B4848" s="421" t="s">
        <v>8820</v>
      </c>
      <c r="C4848" s="421" t="s">
        <v>525</v>
      </c>
      <c r="D4848" s="422" t="s">
        <v>666</v>
      </c>
      <c r="E4848" s="111">
        <v>14632</v>
      </c>
      <c r="F4848" s="421" t="s">
        <v>2053</v>
      </c>
      <c r="G4848" s="112">
        <v>1</v>
      </c>
      <c r="H4848" s="112">
        <v>1</v>
      </c>
      <c r="I4848" s="112">
        <v>1</v>
      </c>
      <c r="J4848" s="112">
        <v>7</v>
      </c>
      <c r="K4848" s="112">
        <v>5</v>
      </c>
      <c r="L4848" s="112">
        <v>6</v>
      </c>
      <c r="M4848" s="112">
        <v>1</v>
      </c>
      <c r="N4848" s="112">
        <v>1</v>
      </c>
      <c r="O4848" s="112">
        <v>1</v>
      </c>
    </row>
    <row r="4849" spans="1:15" x14ac:dyDescent="0.2">
      <c r="A4849" s="111">
        <v>4976</v>
      </c>
      <c r="B4849" s="421" t="s">
        <v>8821</v>
      </c>
      <c r="C4849" s="421" t="s">
        <v>1625</v>
      </c>
      <c r="D4849" s="422" t="s">
        <v>666</v>
      </c>
      <c r="E4849" s="111">
        <v>16795</v>
      </c>
      <c r="F4849" s="421" t="s">
        <v>8831</v>
      </c>
    </row>
    <row r="4850" spans="1:15" x14ac:dyDescent="0.2">
      <c r="A4850" s="111">
        <v>4977</v>
      </c>
      <c r="B4850" s="421" t="s">
        <v>8822</v>
      </c>
      <c r="C4850" s="421" t="s">
        <v>532</v>
      </c>
      <c r="D4850" s="422" t="s">
        <v>663</v>
      </c>
      <c r="E4850" s="111">
        <v>15309</v>
      </c>
      <c r="F4850" s="421" t="s">
        <v>4750</v>
      </c>
      <c r="G4850" s="112">
        <v>2</v>
      </c>
      <c r="H4850" s="112">
        <v>2</v>
      </c>
      <c r="I4850" s="112">
        <v>1</v>
      </c>
      <c r="J4850" s="112">
        <v>2</v>
      </c>
      <c r="K4850" s="112">
        <v>2</v>
      </c>
      <c r="L4850" s="112">
        <v>2</v>
      </c>
    </row>
    <row r="4851" spans="1:15" x14ac:dyDescent="0.2">
      <c r="A4851" s="111">
        <v>4978</v>
      </c>
      <c r="B4851" s="421" t="s">
        <v>2806</v>
      </c>
      <c r="C4851" s="421" t="s">
        <v>532</v>
      </c>
      <c r="D4851" s="422" t="s">
        <v>663</v>
      </c>
      <c r="E4851" s="111">
        <v>15371</v>
      </c>
      <c r="F4851" s="421" t="s">
        <v>3925</v>
      </c>
      <c r="G4851" s="112">
        <v>1</v>
      </c>
      <c r="H4851" s="112">
        <v>1</v>
      </c>
      <c r="I4851" s="112">
        <v>1</v>
      </c>
      <c r="J4851" s="112">
        <v>3</v>
      </c>
      <c r="K4851" s="112">
        <v>3</v>
      </c>
      <c r="L4851" s="112">
        <v>2</v>
      </c>
      <c r="M4851" s="112">
        <v>1</v>
      </c>
      <c r="O4851" s="112">
        <v>1</v>
      </c>
    </row>
    <row r="4852" spans="1:15" x14ac:dyDescent="0.2">
      <c r="A4852" s="111">
        <v>4979</v>
      </c>
      <c r="B4852" s="421" t="s">
        <v>8823</v>
      </c>
      <c r="C4852" s="421" t="s">
        <v>525</v>
      </c>
      <c r="D4852" s="422" t="s">
        <v>666</v>
      </c>
      <c r="E4852" s="111">
        <v>16796</v>
      </c>
      <c r="F4852" s="421" t="s">
        <v>8832</v>
      </c>
    </row>
    <row r="4853" spans="1:15" x14ac:dyDescent="0.2">
      <c r="A4853" s="111">
        <v>4980</v>
      </c>
      <c r="B4853" s="421" t="s">
        <v>8824</v>
      </c>
      <c r="C4853" s="421" t="s">
        <v>551</v>
      </c>
      <c r="D4853" s="422" t="s">
        <v>666</v>
      </c>
      <c r="F4853" s="421" t="s">
        <v>8833</v>
      </c>
      <c r="G4853" s="112">
        <v>1</v>
      </c>
      <c r="H4853" s="112">
        <v>1</v>
      </c>
      <c r="I4853" s="112">
        <v>1</v>
      </c>
    </row>
    <row r="4854" spans="1:15" x14ac:dyDescent="0.2">
      <c r="A4854" s="111">
        <v>4981</v>
      </c>
      <c r="B4854" s="421" t="s">
        <v>53</v>
      </c>
      <c r="C4854" s="421" t="s">
        <v>1908</v>
      </c>
      <c r="D4854" s="422" t="s">
        <v>663</v>
      </c>
      <c r="E4854" s="111">
        <v>16798</v>
      </c>
      <c r="F4854" s="421" t="s">
        <v>9221</v>
      </c>
      <c r="G4854" s="112">
        <v>1</v>
      </c>
      <c r="H4854" s="112">
        <v>1</v>
      </c>
      <c r="I4854" s="112">
        <v>1</v>
      </c>
      <c r="J4854" s="112">
        <v>7</v>
      </c>
      <c r="K4854" s="112">
        <v>10</v>
      </c>
      <c r="L4854" s="112">
        <v>7</v>
      </c>
      <c r="M4854" s="112">
        <v>11</v>
      </c>
      <c r="N4854" s="112">
        <v>3</v>
      </c>
      <c r="O4854" s="112">
        <v>6</v>
      </c>
    </row>
    <row r="4855" spans="1:15" x14ac:dyDescent="0.2">
      <c r="A4855" s="111">
        <v>4982</v>
      </c>
      <c r="B4855" s="421" t="s">
        <v>1711</v>
      </c>
      <c r="C4855" s="421" t="s">
        <v>504</v>
      </c>
      <c r="D4855" s="422" t="s">
        <v>663</v>
      </c>
      <c r="E4855" s="111">
        <v>14236</v>
      </c>
      <c r="F4855" s="421" t="s">
        <v>962</v>
      </c>
      <c r="G4855" s="112">
        <v>2</v>
      </c>
      <c r="H4855" s="112">
        <v>2</v>
      </c>
      <c r="I4855" s="112">
        <v>1</v>
      </c>
      <c r="J4855" s="112">
        <v>1</v>
      </c>
    </row>
    <row r="4856" spans="1:15" x14ac:dyDescent="0.2">
      <c r="A4856" s="111">
        <v>4983</v>
      </c>
      <c r="B4856" s="421" t="s">
        <v>339</v>
      </c>
      <c r="C4856" s="421" t="s">
        <v>516</v>
      </c>
      <c r="D4856" s="422" t="s">
        <v>663</v>
      </c>
      <c r="E4856" s="111">
        <v>16236</v>
      </c>
      <c r="F4856" s="421" t="s">
        <v>6811</v>
      </c>
      <c r="G4856" s="112">
        <v>2</v>
      </c>
      <c r="H4856" s="112">
        <v>1</v>
      </c>
      <c r="I4856" s="112">
        <v>1</v>
      </c>
      <c r="J4856" s="112">
        <v>4</v>
      </c>
      <c r="K4856" s="112">
        <v>3</v>
      </c>
      <c r="L4856" s="112">
        <v>5</v>
      </c>
      <c r="M4856" s="112">
        <v>2</v>
      </c>
    </row>
    <row r="4857" spans="1:15" x14ac:dyDescent="0.2">
      <c r="A4857" s="111">
        <v>4984</v>
      </c>
      <c r="B4857" s="421" t="s">
        <v>8825</v>
      </c>
      <c r="C4857" s="421" t="s">
        <v>516</v>
      </c>
      <c r="D4857" s="422" t="s">
        <v>663</v>
      </c>
      <c r="E4857" s="111">
        <v>15960</v>
      </c>
      <c r="F4857" s="421" t="s">
        <v>5156</v>
      </c>
      <c r="G4857" s="112">
        <v>1</v>
      </c>
      <c r="H4857" s="112">
        <v>1</v>
      </c>
      <c r="I4857" s="112">
        <v>1</v>
      </c>
      <c r="J4857" s="112">
        <v>3</v>
      </c>
      <c r="K4857" s="112">
        <v>3</v>
      </c>
      <c r="L4857" s="112">
        <v>3</v>
      </c>
      <c r="M4857" s="112">
        <v>2</v>
      </c>
      <c r="N4857" s="112">
        <v>2</v>
      </c>
      <c r="O4857" s="112">
        <v>2</v>
      </c>
    </row>
    <row r="4858" spans="1:15" x14ac:dyDescent="0.2">
      <c r="A4858" s="111">
        <v>4985</v>
      </c>
      <c r="B4858" s="421" t="s">
        <v>7893</v>
      </c>
      <c r="C4858" s="421" t="s">
        <v>520</v>
      </c>
      <c r="D4858" s="422" t="s">
        <v>666</v>
      </c>
      <c r="F4858" s="421" t="s">
        <v>8834</v>
      </c>
    </row>
    <row r="4859" spans="1:15" x14ac:dyDescent="0.2">
      <c r="A4859" s="111">
        <v>4986</v>
      </c>
      <c r="B4859" s="421" t="s">
        <v>6853</v>
      </c>
      <c r="C4859" s="421" t="s">
        <v>520</v>
      </c>
      <c r="D4859" s="422" t="s">
        <v>663</v>
      </c>
      <c r="F4859" s="421" t="s">
        <v>8834</v>
      </c>
    </row>
    <row r="4860" spans="1:15" x14ac:dyDescent="0.2">
      <c r="A4860" s="111">
        <v>4987</v>
      </c>
      <c r="B4860" s="421" t="s">
        <v>6351</v>
      </c>
      <c r="C4860" s="421" t="s">
        <v>572</v>
      </c>
      <c r="D4860" s="422" t="s">
        <v>663</v>
      </c>
      <c r="E4860" s="111">
        <v>16800</v>
      </c>
      <c r="F4860" s="421" t="s">
        <v>8835</v>
      </c>
      <c r="G4860" s="112">
        <v>1</v>
      </c>
      <c r="H4860" s="112">
        <v>1</v>
      </c>
      <c r="I4860" s="112">
        <v>1</v>
      </c>
    </row>
    <row r="4861" spans="1:15" x14ac:dyDescent="0.2">
      <c r="A4861" s="111">
        <v>4988</v>
      </c>
      <c r="B4861" s="421" t="s">
        <v>2988</v>
      </c>
      <c r="C4861" s="421" t="s">
        <v>572</v>
      </c>
      <c r="D4861" s="422" t="s">
        <v>663</v>
      </c>
      <c r="E4861" s="111">
        <v>16800</v>
      </c>
      <c r="F4861" s="421" t="s">
        <v>8835</v>
      </c>
      <c r="G4861" s="112">
        <v>1</v>
      </c>
      <c r="H4861" s="112">
        <v>1</v>
      </c>
      <c r="I4861" s="112">
        <v>1</v>
      </c>
      <c r="J4861" s="112">
        <v>1</v>
      </c>
      <c r="K4861" s="112">
        <v>1</v>
      </c>
    </row>
    <row r="4862" spans="1:15" x14ac:dyDescent="0.2">
      <c r="A4862" s="111">
        <v>4989</v>
      </c>
      <c r="B4862" s="421" t="s">
        <v>4029</v>
      </c>
      <c r="C4862" s="421" t="s">
        <v>550</v>
      </c>
      <c r="D4862" s="422" t="s">
        <v>663</v>
      </c>
      <c r="E4862" s="111">
        <v>16802</v>
      </c>
      <c r="F4862" s="421" t="s">
        <v>8836</v>
      </c>
    </row>
    <row r="4863" spans="1:15" x14ac:dyDescent="0.2">
      <c r="A4863" s="111">
        <v>4990</v>
      </c>
      <c r="B4863" s="421" t="s">
        <v>209</v>
      </c>
      <c r="C4863" s="421" t="s">
        <v>503</v>
      </c>
      <c r="D4863" s="422" t="s">
        <v>663</v>
      </c>
      <c r="E4863" s="111">
        <v>16801</v>
      </c>
      <c r="F4863" s="421" t="s">
        <v>8524</v>
      </c>
      <c r="G4863" s="112">
        <v>1</v>
      </c>
      <c r="H4863" s="112">
        <v>1</v>
      </c>
      <c r="I4863" s="112">
        <v>1</v>
      </c>
      <c r="J4863" s="112">
        <v>1</v>
      </c>
      <c r="K4863" s="112">
        <v>1</v>
      </c>
      <c r="L4863" s="112">
        <v>1</v>
      </c>
      <c r="M4863" s="112">
        <v>2</v>
      </c>
      <c r="N4863" s="112">
        <v>1</v>
      </c>
      <c r="O4863" s="112">
        <v>2</v>
      </c>
    </row>
    <row r="4864" spans="1:15" x14ac:dyDescent="0.2">
      <c r="A4864" s="111">
        <v>4991</v>
      </c>
      <c r="B4864" s="421" t="s">
        <v>8826</v>
      </c>
      <c r="C4864" s="421" t="s">
        <v>559</v>
      </c>
      <c r="D4864" s="422" t="s">
        <v>666</v>
      </c>
      <c r="F4864" s="421" t="s">
        <v>8837</v>
      </c>
    </row>
    <row r="4865" spans="1:15" x14ac:dyDescent="0.2">
      <c r="A4865" s="111">
        <v>4992</v>
      </c>
      <c r="B4865" s="421" t="s">
        <v>8827</v>
      </c>
      <c r="C4865" s="421" t="s">
        <v>527</v>
      </c>
      <c r="D4865" s="422" t="s">
        <v>663</v>
      </c>
      <c r="E4865" s="111">
        <v>14602</v>
      </c>
      <c r="F4865" s="421" t="s">
        <v>1821</v>
      </c>
      <c r="G4865" s="112">
        <v>1</v>
      </c>
      <c r="H4865" s="112">
        <v>1</v>
      </c>
      <c r="I4865" s="112">
        <v>1</v>
      </c>
      <c r="J4865" s="112">
        <v>7</v>
      </c>
      <c r="K4865" s="112">
        <v>5</v>
      </c>
      <c r="L4865" s="112">
        <v>7</v>
      </c>
      <c r="M4865" s="112">
        <v>3</v>
      </c>
      <c r="O4865" s="112">
        <v>2</v>
      </c>
    </row>
    <row r="4866" spans="1:15" x14ac:dyDescent="0.2">
      <c r="A4866" s="111">
        <v>4993</v>
      </c>
      <c r="B4866" s="421" t="s">
        <v>8828</v>
      </c>
      <c r="C4866" s="421" t="s">
        <v>530</v>
      </c>
      <c r="D4866" s="422" t="s">
        <v>666</v>
      </c>
      <c r="E4866" s="111">
        <v>14514</v>
      </c>
      <c r="F4866" s="421" t="s">
        <v>736</v>
      </c>
      <c r="G4866" s="112">
        <v>1</v>
      </c>
      <c r="H4866" s="112">
        <v>1</v>
      </c>
      <c r="I4866" s="112">
        <v>1</v>
      </c>
      <c r="J4866" s="112">
        <v>1</v>
      </c>
      <c r="K4866" s="112">
        <v>1</v>
      </c>
      <c r="L4866" s="112">
        <v>1</v>
      </c>
    </row>
    <row r="4867" spans="1:15" x14ac:dyDescent="0.2">
      <c r="A4867" s="111">
        <v>4994</v>
      </c>
      <c r="B4867" s="421" t="s">
        <v>5124</v>
      </c>
      <c r="C4867" s="421" t="s">
        <v>510</v>
      </c>
      <c r="D4867" s="422" t="s">
        <v>663</v>
      </c>
      <c r="E4867" s="111">
        <v>16548</v>
      </c>
      <c r="F4867" s="421" t="s">
        <v>7925</v>
      </c>
      <c r="G4867" s="112">
        <v>1</v>
      </c>
      <c r="H4867" s="112">
        <v>1</v>
      </c>
      <c r="I4867" s="112">
        <v>2</v>
      </c>
    </row>
    <row r="4868" spans="1:15" x14ac:dyDescent="0.2">
      <c r="A4868" s="111">
        <v>4995</v>
      </c>
      <c r="B4868" s="421" t="s">
        <v>440</v>
      </c>
      <c r="C4868" s="421" t="s">
        <v>510</v>
      </c>
      <c r="D4868" s="422" t="s">
        <v>663</v>
      </c>
      <c r="E4868" s="111">
        <v>14309</v>
      </c>
      <c r="F4868" s="421" t="s">
        <v>1353</v>
      </c>
      <c r="G4868" s="112">
        <v>2</v>
      </c>
      <c r="H4868" s="112">
        <v>3</v>
      </c>
      <c r="I4868" s="112">
        <v>1</v>
      </c>
      <c r="J4868" s="112">
        <v>3</v>
      </c>
      <c r="K4868" s="112">
        <v>3</v>
      </c>
      <c r="L4868" s="112">
        <v>2</v>
      </c>
      <c r="M4868" s="112">
        <v>2</v>
      </c>
      <c r="N4868" s="112">
        <v>1</v>
      </c>
      <c r="O4868" s="112">
        <v>1</v>
      </c>
    </row>
    <row r="4869" spans="1:15" x14ac:dyDescent="0.2">
      <c r="A4869" s="111">
        <v>4996</v>
      </c>
      <c r="B4869" s="421" t="s">
        <v>443</v>
      </c>
      <c r="C4869" s="421" t="s">
        <v>1201</v>
      </c>
      <c r="D4869" s="422" t="s">
        <v>663</v>
      </c>
      <c r="E4869" s="111">
        <v>16085</v>
      </c>
      <c r="F4869" s="421" t="s">
        <v>6315</v>
      </c>
      <c r="G4869" s="112">
        <v>2</v>
      </c>
      <c r="H4869" s="112">
        <v>2</v>
      </c>
      <c r="I4869" s="112">
        <v>1</v>
      </c>
      <c r="J4869" s="112">
        <v>11</v>
      </c>
      <c r="K4869" s="112">
        <v>8</v>
      </c>
      <c r="L4869" s="112">
        <v>9</v>
      </c>
      <c r="M4869" s="112">
        <v>9</v>
      </c>
      <c r="N4869" s="112">
        <v>5</v>
      </c>
      <c r="O4869" s="112">
        <v>7</v>
      </c>
    </row>
    <row r="4870" spans="1:15" x14ac:dyDescent="0.2">
      <c r="A4870" s="111">
        <v>4997</v>
      </c>
      <c r="B4870" s="421" t="s">
        <v>237</v>
      </c>
      <c r="C4870" s="421" t="s">
        <v>537</v>
      </c>
      <c r="D4870" s="422" t="s">
        <v>663</v>
      </c>
      <c r="F4870" s="421" t="s">
        <v>8960</v>
      </c>
    </row>
    <row r="4871" spans="1:15" x14ac:dyDescent="0.2">
      <c r="A4871" s="111">
        <v>4998</v>
      </c>
      <c r="B4871" s="421" t="s">
        <v>8917</v>
      </c>
      <c r="C4871" s="421" t="s">
        <v>516</v>
      </c>
      <c r="D4871" s="422" t="s">
        <v>663</v>
      </c>
      <c r="E4871" s="111">
        <v>15205</v>
      </c>
      <c r="F4871" s="421" t="s">
        <v>3414</v>
      </c>
      <c r="G4871" s="112">
        <v>1</v>
      </c>
      <c r="H4871" s="112">
        <v>1</v>
      </c>
      <c r="I4871" s="112">
        <v>1</v>
      </c>
      <c r="J4871" s="112">
        <v>7</v>
      </c>
      <c r="K4871" s="112">
        <v>7</v>
      </c>
      <c r="L4871" s="112">
        <v>7</v>
      </c>
      <c r="M4871" s="112">
        <v>10</v>
      </c>
      <c r="N4871" s="112">
        <v>7</v>
      </c>
      <c r="O4871" s="112">
        <v>8</v>
      </c>
    </row>
    <row r="4872" spans="1:15" x14ac:dyDescent="0.2">
      <c r="A4872" s="111">
        <v>4999</v>
      </c>
      <c r="B4872" s="421" t="s">
        <v>8934</v>
      </c>
      <c r="C4872" s="421" t="s">
        <v>516</v>
      </c>
      <c r="D4872" s="422" t="s">
        <v>663</v>
      </c>
      <c r="E4872" s="111">
        <v>16804</v>
      </c>
      <c r="F4872" s="421" t="s">
        <v>8957</v>
      </c>
      <c r="G4872" s="112">
        <v>1</v>
      </c>
      <c r="H4872" s="112">
        <v>1</v>
      </c>
      <c r="I4872" s="112">
        <v>1</v>
      </c>
    </row>
    <row r="4873" spans="1:15" x14ac:dyDescent="0.2">
      <c r="A4873" s="111">
        <v>5000</v>
      </c>
      <c r="B4873" s="421" t="s">
        <v>8918</v>
      </c>
      <c r="C4873" s="421" t="s">
        <v>567</v>
      </c>
      <c r="D4873" s="422" t="s">
        <v>663</v>
      </c>
      <c r="E4873" s="111">
        <v>16805</v>
      </c>
      <c r="F4873" s="421" t="s">
        <v>8947</v>
      </c>
      <c r="G4873" s="112">
        <v>1</v>
      </c>
      <c r="H4873" s="112">
        <v>1</v>
      </c>
      <c r="I4873" s="112">
        <v>1</v>
      </c>
      <c r="J4873" s="112">
        <v>8</v>
      </c>
      <c r="K4873" s="112">
        <v>7</v>
      </c>
      <c r="L4873" s="112">
        <v>9</v>
      </c>
      <c r="M4873" s="112">
        <v>9</v>
      </c>
      <c r="N4873" s="112">
        <v>11</v>
      </c>
      <c r="O4873" s="112">
        <v>12</v>
      </c>
    </row>
    <row r="4874" spans="1:15" x14ac:dyDescent="0.2">
      <c r="A4874" s="111">
        <v>5001</v>
      </c>
      <c r="B4874" s="421" t="s">
        <v>8937</v>
      </c>
      <c r="C4874" s="421" t="s">
        <v>506</v>
      </c>
      <c r="D4874" s="422" t="s">
        <v>663</v>
      </c>
      <c r="E4874" s="111">
        <v>16806</v>
      </c>
      <c r="F4874" s="421" t="s">
        <v>8961</v>
      </c>
    </row>
    <row r="4875" spans="1:15" x14ac:dyDescent="0.2">
      <c r="A4875" s="111">
        <v>5002</v>
      </c>
      <c r="B4875" s="421" t="s">
        <v>8926</v>
      </c>
      <c r="C4875" s="421" t="s">
        <v>572</v>
      </c>
      <c r="D4875" s="422" t="s">
        <v>666</v>
      </c>
      <c r="E4875" s="111">
        <v>16945</v>
      </c>
      <c r="F4875" s="421" t="s">
        <v>8952</v>
      </c>
      <c r="G4875" s="112">
        <v>1</v>
      </c>
      <c r="H4875" s="112">
        <v>1</v>
      </c>
      <c r="K4875" s="112">
        <v>1</v>
      </c>
    </row>
    <row r="4876" spans="1:15" x14ac:dyDescent="0.2">
      <c r="A4876" s="111">
        <v>5003</v>
      </c>
      <c r="B4876" s="421" t="s">
        <v>1460</v>
      </c>
      <c r="C4876" s="421" t="s">
        <v>572</v>
      </c>
      <c r="D4876" s="422" t="s">
        <v>663</v>
      </c>
      <c r="E4876" s="111">
        <v>16945</v>
      </c>
      <c r="F4876" s="421" t="s">
        <v>8952</v>
      </c>
      <c r="G4876" s="112">
        <v>1</v>
      </c>
      <c r="H4876" s="112">
        <v>1</v>
      </c>
      <c r="I4876" s="112">
        <v>1</v>
      </c>
      <c r="J4876" s="112">
        <v>1</v>
      </c>
    </row>
    <row r="4877" spans="1:15" x14ac:dyDescent="0.2">
      <c r="A4877" s="111">
        <v>5004</v>
      </c>
      <c r="B4877" s="421" t="s">
        <v>8915</v>
      </c>
      <c r="C4877" s="421" t="s">
        <v>574</v>
      </c>
      <c r="D4877" s="422" t="s">
        <v>666</v>
      </c>
      <c r="E4877" s="111">
        <v>16067</v>
      </c>
      <c r="F4877" s="421" t="s">
        <v>6295</v>
      </c>
      <c r="G4877" s="112">
        <v>1</v>
      </c>
      <c r="H4877" s="112">
        <v>1</v>
      </c>
      <c r="I4877" s="112">
        <v>1</v>
      </c>
      <c r="J4877" s="112">
        <v>1</v>
      </c>
      <c r="K4877" s="112">
        <v>1</v>
      </c>
      <c r="L4877" s="112">
        <v>1</v>
      </c>
      <c r="M4877" s="112">
        <v>1</v>
      </c>
      <c r="N4877" s="112">
        <v>2</v>
      </c>
      <c r="O4877" s="112">
        <v>2</v>
      </c>
    </row>
    <row r="4878" spans="1:15" x14ac:dyDescent="0.2">
      <c r="A4878" s="111">
        <v>5005</v>
      </c>
      <c r="B4878" s="421" t="s">
        <v>215</v>
      </c>
      <c r="C4878" s="421" t="s">
        <v>510</v>
      </c>
      <c r="D4878" s="422" t="s">
        <v>666</v>
      </c>
      <c r="E4878" s="111">
        <v>16807</v>
      </c>
      <c r="F4878" s="421" t="s">
        <v>8963</v>
      </c>
    </row>
    <row r="4879" spans="1:15" x14ac:dyDescent="0.2">
      <c r="A4879" s="111">
        <v>5006</v>
      </c>
      <c r="B4879" s="421" t="s">
        <v>8930</v>
      </c>
      <c r="C4879" s="421" t="s">
        <v>5825</v>
      </c>
      <c r="D4879" s="422" t="s">
        <v>663</v>
      </c>
      <c r="E4879" s="111">
        <v>16830</v>
      </c>
      <c r="F4879" s="421" t="s">
        <v>8954</v>
      </c>
      <c r="G4879" s="112">
        <v>1</v>
      </c>
      <c r="H4879" s="112">
        <v>1</v>
      </c>
      <c r="I4879" s="112">
        <v>1</v>
      </c>
      <c r="J4879" s="112">
        <v>1</v>
      </c>
      <c r="K4879" s="112">
        <v>1</v>
      </c>
      <c r="L4879" s="112">
        <v>1</v>
      </c>
    </row>
    <row r="4880" spans="1:15" x14ac:dyDescent="0.2">
      <c r="A4880" s="111">
        <v>5007</v>
      </c>
      <c r="B4880" s="421" t="s">
        <v>238</v>
      </c>
      <c r="C4880" s="421" t="s">
        <v>534</v>
      </c>
      <c r="D4880" s="422" t="s">
        <v>663</v>
      </c>
      <c r="E4880" s="111">
        <v>16403</v>
      </c>
      <c r="F4880" s="421" t="s">
        <v>7429</v>
      </c>
      <c r="G4880" s="112">
        <v>3</v>
      </c>
      <c r="H4880" s="112">
        <v>3</v>
      </c>
      <c r="I4880" s="112">
        <v>3</v>
      </c>
    </row>
    <row r="4881" spans="1:13" x14ac:dyDescent="0.2">
      <c r="A4881" s="111">
        <v>5008</v>
      </c>
      <c r="B4881" s="421" t="s">
        <v>8928</v>
      </c>
      <c r="C4881" s="421" t="s">
        <v>551</v>
      </c>
      <c r="D4881" s="422" t="s">
        <v>663</v>
      </c>
      <c r="E4881" s="111">
        <v>15651</v>
      </c>
      <c r="F4881" s="421" t="s">
        <v>4924</v>
      </c>
      <c r="G4881" s="112">
        <v>2</v>
      </c>
      <c r="H4881" s="112">
        <v>1</v>
      </c>
      <c r="I4881" s="112">
        <v>1</v>
      </c>
    </row>
    <row r="4882" spans="1:13" x14ac:dyDescent="0.2">
      <c r="A4882" s="111">
        <v>5009</v>
      </c>
      <c r="B4882" s="421" t="s">
        <v>43</v>
      </c>
      <c r="C4882" s="421" t="s">
        <v>532</v>
      </c>
      <c r="D4882" s="422" t="s">
        <v>666</v>
      </c>
      <c r="E4882" s="111">
        <v>16140</v>
      </c>
      <c r="F4882" s="421" t="s">
        <v>7235</v>
      </c>
    </row>
    <row r="4883" spans="1:13" x14ac:dyDescent="0.2">
      <c r="A4883" s="111">
        <v>5010</v>
      </c>
      <c r="B4883" s="421" t="s">
        <v>8921</v>
      </c>
      <c r="C4883" s="421" t="s">
        <v>1908</v>
      </c>
      <c r="D4883" s="422" t="s">
        <v>666</v>
      </c>
      <c r="E4883" s="111">
        <v>16808</v>
      </c>
      <c r="F4883" s="421" t="s">
        <v>8949</v>
      </c>
      <c r="G4883" s="112">
        <v>1</v>
      </c>
      <c r="H4883" s="112">
        <v>1</v>
      </c>
    </row>
    <row r="4884" spans="1:13" x14ac:dyDescent="0.2">
      <c r="A4884" s="111">
        <v>5011</v>
      </c>
      <c r="B4884" s="421" t="s">
        <v>8922</v>
      </c>
      <c r="C4884" s="421" t="s">
        <v>551</v>
      </c>
      <c r="D4884" s="422" t="s">
        <v>666</v>
      </c>
      <c r="E4884" s="111">
        <v>16808</v>
      </c>
      <c r="F4884" s="421" t="s">
        <v>8949</v>
      </c>
      <c r="G4884" s="112">
        <v>1</v>
      </c>
      <c r="H4884" s="112">
        <v>1</v>
      </c>
      <c r="I4884" s="112">
        <v>1</v>
      </c>
    </row>
    <row r="4885" spans="1:13" x14ac:dyDescent="0.2">
      <c r="A4885" s="111">
        <v>5012</v>
      </c>
      <c r="B4885" s="421" t="s">
        <v>8923</v>
      </c>
      <c r="C4885" s="421" t="s">
        <v>551</v>
      </c>
      <c r="D4885" s="422" t="s">
        <v>663</v>
      </c>
      <c r="E4885" s="111">
        <v>16808</v>
      </c>
      <c r="F4885" s="421" t="s">
        <v>8949</v>
      </c>
      <c r="G4885" s="112">
        <v>1</v>
      </c>
    </row>
    <row r="4886" spans="1:13" x14ac:dyDescent="0.2">
      <c r="A4886" s="111">
        <v>5013</v>
      </c>
      <c r="B4886" s="421" t="s">
        <v>8919</v>
      </c>
      <c r="C4886" s="421" t="s">
        <v>551</v>
      </c>
      <c r="D4886" s="422" t="s">
        <v>663</v>
      </c>
      <c r="E4886" s="111">
        <v>14810</v>
      </c>
      <c r="F4886" s="421" t="s">
        <v>2323</v>
      </c>
    </row>
    <row r="4887" spans="1:13" x14ac:dyDescent="0.2">
      <c r="A4887" s="111">
        <v>5014</v>
      </c>
      <c r="B4887" s="421" t="s">
        <v>8939</v>
      </c>
      <c r="C4887" s="421" t="s">
        <v>8941</v>
      </c>
      <c r="D4887" s="422" t="s">
        <v>666</v>
      </c>
      <c r="E4887" s="111">
        <v>14313</v>
      </c>
      <c r="F4887" s="421" t="s">
        <v>1098</v>
      </c>
    </row>
    <row r="4888" spans="1:13" x14ac:dyDescent="0.2">
      <c r="A4888" s="111">
        <v>5015</v>
      </c>
      <c r="B4888" s="421" t="s">
        <v>8924</v>
      </c>
      <c r="C4888" s="421" t="s">
        <v>580</v>
      </c>
      <c r="D4888" s="422" t="s">
        <v>663</v>
      </c>
      <c r="E4888" s="111">
        <v>16809</v>
      </c>
      <c r="F4888" s="421" t="s">
        <v>8950</v>
      </c>
    </row>
    <row r="4889" spans="1:13" x14ac:dyDescent="0.2">
      <c r="A4889" s="111">
        <v>5016</v>
      </c>
      <c r="B4889" s="421" t="s">
        <v>5726</v>
      </c>
      <c r="C4889" s="421" t="s">
        <v>502</v>
      </c>
      <c r="D4889" s="422" t="s">
        <v>663</v>
      </c>
      <c r="E4889" s="111">
        <v>15725</v>
      </c>
      <c r="F4889" s="421" t="s">
        <v>5157</v>
      </c>
      <c r="G4889" s="112">
        <v>1</v>
      </c>
      <c r="H4889" s="112">
        <v>2</v>
      </c>
      <c r="I4889" s="112">
        <v>1</v>
      </c>
    </row>
    <row r="4890" spans="1:13" x14ac:dyDescent="0.2">
      <c r="A4890" s="111">
        <v>5017</v>
      </c>
      <c r="B4890" s="421" t="s">
        <v>52</v>
      </c>
      <c r="C4890" s="421" t="s">
        <v>17459</v>
      </c>
      <c r="D4890" s="422" t="s">
        <v>663</v>
      </c>
      <c r="E4890" s="111">
        <v>16810</v>
      </c>
      <c r="F4890" s="421" t="s">
        <v>8965</v>
      </c>
      <c r="G4890" s="112">
        <v>2</v>
      </c>
      <c r="H4890" s="112">
        <v>2</v>
      </c>
      <c r="I4890" s="112">
        <v>1</v>
      </c>
    </row>
    <row r="4891" spans="1:13" x14ac:dyDescent="0.2">
      <c r="A4891" s="111">
        <v>5018</v>
      </c>
      <c r="B4891" s="421" t="s">
        <v>1333</v>
      </c>
      <c r="C4891" s="421" t="s">
        <v>7405</v>
      </c>
      <c r="D4891" s="422" t="s">
        <v>666</v>
      </c>
      <c r="E4891" s="111">
        <v>16811</v>
      </c>
      <c r="F4891" s="421" t="s">
        <v>8946</v>
      </c>
    </row>
    <row r="4892" spans="1:13" x14ac:dyDescent="0.2">
      <c r="A4892" s="111">
        <v>5019</v>
      </c>
      <c r="B4892" s="421" t="s">
        <v>8936</v>
      </c>
      <c r="C4892" s="421" t="s">
        <v>542</v>
      </c>
      <c r="D4892" s="422" t="s">
        <v>666</v>
      </c>
      <c r="E4892" s="111">
        <v>15889</v>
      </c>
      <c r="F4892" s="421" t="s">
        <v>2459</v>
      </c>
      <c r="G4892" s="112">
        <v>1</v>
      </c>
      <c r="H4892" s="112">
        <v>1</v>
      </c>
      <c r="I4892" s="112">
        <v>1</v>
      </c>
      <c r="J4892" s="112">
        <v>2</v>
      </c>
      <c r="K4892" s="112">
        <v>2</v>
      </c>
    </row>
    <row r="4893" spans="1:13" x14ac:dyDescent="0.2">
      <c r="A4893" s="111">
        <v>5020</v>
      </c>
      <c r="B4893" s="421" t="s">
        <v>8931</v>
      </c>
      <c r="C4893" s="421" t="s">
        <v>1625</v>
      </c>
      <c r="D4893" s="422" t="s">
        <v>663</v>
      </c>
      <c r="E4893" s="111">
        <v>16947</v>
      </c>
      <c r="F4893" s="421" t="s">
        <v>8955</v>
      </c>
      <c r="G4893" s="112">
        <v>1</v>
      </c>
      <c r="H4893" s="112">
        <v>1</v>
      </c>
    </row>
    <row r="4894" spans="1:13" x14ac:dyDescent="0.2">
      <c r="A4894" s="111">
        <v>5021</v>
      </c>
      <c r="B4894" s="421" t="s">
        <v>8929</v>
      </c>
      <c r="C4894" s="421" t="s">
        <v>518</v>
      </c>
      <c r="D4894" s="422" t="s">
        <v>663</v>
      </c>
      <c r="E4894" s="111">
        <v>16812</v>
      </c>
      <c r="F4894" s="421" t="s">
        <v>8953</v>
      </c>
      <c r="G4894" s="112">
        <v>1</v>
      </c>
      <c r="H4894" s="112">
        <v>1</v>
      </c>
      <c r="I4894" s="112">
        <v>1</v>
      </c>
      <c r="J4894" s="112">
        <v>2</v>
      </c>
      <c r="K4894" s="112">
        <v>2</v>
      </c>
      <c r="L4894" s="112">
        <v>2</v>
      </c>
    </row>
    <row r="4895" spans="1:13" x14ac:dyDescent="0.2">
      <c r="A4895" s="111">
        <v>5022</v>
      </c>
      <c r="B4895" s="421" t="s">
        <v>8932</v>
      </c>
      <c r="C4895" s="421" t="s">
        <v>502</v>
      </c>
      <c r="D4895" s="422" t="s">
        <v>663</v>
      </c>
      <c r="E4895" s="111">
        <v>1438</v>
      </c>
      <c r="F4895" s="421" t="s">
        <v>757</v>
      </c>
      <c r="G4895" s="112">
        <v>1</v>
      </c>
      <c r="H4895" s="112">
        <v>1</v>
      </c>
      <c r="I4895" s="112">
        <v>1</v>
      </c>
      <c r="J4895" s="112">
        <v>1</v>
      </c>
      <c r="K4895" s="112">
        <v>2</v>
      </c>
      <c r="L4895" s="112">
        <v>1</v>
      </c>
    </row>
    <row r="4896" spans="1:13" x14ac:dyDescent="0.2">
      <c r="A4896" s="111">
        <v>5023</v>
      </c>
      <c r="B4896" s="421" t="s">
        <v>8914</v>
      </c>
      <c r="C4896" s="421" t="s">
        <v>1934</v>
      </c>
      <c r="D4896" s="422" t="s">
        <v>666</v>
      </c>
      <c r="E4896" s="111">
        <v>16813</v>
      </c>
      <c r="F4896" s="421" t="s">
        <v>8944</v>
      </c>
      <c r="G4896" s="112">
        <v>1</v>
      </c>
      <c r="H4896" s="112">
        <v>1</v>
      </c>
      <c r="I4896" s="112">
        <v>1</v>
      </c>
      <c r="J4896" s="112">
        <v>1</v>
      </c>
      <c r="K4896" s="112">
        <v>1</v>
      </c>
      <c r="L4896" s="112">
        <v>1</v>
      </c>
      <c r="M4896" s="112">
        <v>1</v>
      </c>
    </row>
    <row r="4897" spans="1:15" x14ac:dyDescent="0.2">
      <c r="A4897" s="111">
        <v>5024</v>
      </c>
      <c r="B4897" s="421" t="s">
        <v>4588</v>
      </c>
      <c r="C4897" s="421" t="s">
        <v>506</v>
      </c>
      <c r="D4897" s="422" t="s">
        <v>663</v>
      </c>
      <c r="E4897" s="111">
        <v>16814</v>
      </c>
      <c r="F4897" s="421" t="s">
        <v>8958</v>
      </c>
      <c r="G4897" s="112">
        <v>1</v>
      </c>
      <c r="H4897" s="112">
        <v>1</v>
      </c>
      <c r="I4897" s="112">
        <v>1</v>
      </c>
      <c r="J4897" s="112">
        <v>2</v>
      </c>
      <c r="K4897" s="112">
        <v>1</v>
      </c>
      <c r="L4897" s="112">
        <v>2</v>
      </c>
    </row>
    <row r="4898" spans="1:15" x14ac:dyDescent="0.2">
      <c r="A4898" s="111">
        <v>5025</v>
      </c>
      <c r="B4898" s="421" t="s">
        <v>8920</v>
      </c>
      <c r="C4898" s="421" t="s">
        <v>542</v>
      </c>
      <c r="D4898" s="422" t="s">
        <v>663</v>
      </c>
      <c r="E4898" s="111">
        <v>16815</v>
      </c>
      <c r="F4898" s="421" t="s">
        <v>8948</v>
      </c>
      <c r="G4898" s="112">
        <v>2</v>
      </c>
      <c r="H4898" s="112">
        <v>2</v>
      </c>
      <c r="I4898" s="112">
        <v>1</v>
      </c>
    </row>
    <row r="4899" spans="1:15" x14ac:dyDescent="0.2">
      <c r="A4899" s="111">
        <v>5026</v>
      </c>
      <c r="B4899" s="421" t="s">
        <v>46</v>
      </c>
      <c r="C4899" s="421" t="s">
        <v>580</v>
      </c>
      <c r="D4899" s="422" t="s">
        <v>663</v>
      </c>
      <c r="E4899" s="111">
        <v>14719</v>
      </c>
      <c r="F4899" s="421" t="s">
        <v>2095</v>
      </c>
      <c r="G4899" s="112">
        <v>1</v>
      </c>
      <c r="H4899" s="112">
        <v>1</v>
      </c>
      <c r="I4899" s="112">
        <v>1</v>
      </c>
      <c r="J4899" s="112">
        <v>7</v>
      </c>
      <c r="K4899" s="112">
        <v>8</v>
      </c>
      <c r="L4899" s="112">
        <v>8</v>
      </c>
      <c r="M4899" s="112">
        <v>4</v>
      </c>
      <c r="N4899" s="112">
        <v>3</v>
      </c>
      <c r="O4899" s="112">
        <v>3</v>
      </c>
    </row>
    <row r="4900" spans="1:15" x14ac:dyDescent="0.2">
      <c r="A4900" s="111">
        <v>5027</v>
      </c>
      <c r="B4900" s="421" t="s">
        <v>8938</v>
      </c>
      <c r="C4900" s="421" t="s">
        <v>628</v>
      </c>
      <c r="D4900" s="422" t="s">
        <v>666</v>
      </c>
      <c r="F4900" s="421" t="s">
        <v>8962</v>
      </c>
    </row>
    <row r="4901" spans="1:15" x14ac:dyDescent="0.2">
      <c r="A4901" s="111">
        <v>5028</v>
      </c>
      <c r="B4901" s="421" t="s">
        <v>8927</v>
      </c>
      <c r="C4901" s="421" t="s">
        <v>507</v>
      </c>
      <c r="D4901" s="422" t="s">
        <v>663</v>
      </c>
      <c r="E4901" s="111">
        <v>14317</v>
      </c>
      <c r="F4901" s="421" t="s">
        <v>1024</v>
      </c>
      <c r="G4901" s="112">
        <v>1</v>
      </c>
    </row>
    <row r="4902" spans="1:15" x14ac:dyDescent="0.2">
      <c r="A4902" s="111">
        <v>5029</v>
      </c>
      <c r="B4902" s="421" t="s">
        <v>8935</v>
      </c>
      <c r="C4902" s="421" t="s">
        <v>503</v>
      </c>
      <c r="D4902" s="422" t="s">
        <v>663</v>
      </c>
      <c r="E4902" s="111">
        <v>16816</v>
      </c>
      <c r="F4902" s="421" t="s">
        <v>8959</v>
      </c>
      <c r="G4902" s="112">
        <v>1</v>
      </c>
      <c r="H4902" s="112">
        <v>1</v>
      </c>
      <c r="I4902" s="112">
        <v>1</v>
      </c>
      <c r="J4902" s="112">
        <v>3</v>
      </c>
      <c r="K4902" s="112">
        <v>2</v>
      </c>
      <c r="L4902" s="112">
        <v>3</v>
      </c>
      <c r="M4902" s="112">
        <v>3</v>
      </c>
      <c r="O4902" s="112">
        <v>2</v>
      </c>
    </row>
    <row r="4903" spans="1:15" x14ac:dyDescent="0.2">
      <c r="A4903" s="111">
        <v>5030</v>
      </c>
      <c r="B4903" s="421" t="s">
        <v>8933</v>
      </c>
      <c r="C4903" s="421" t="s">
        <v>540</v>
      </c>
      <c r="D4903" s="422" t="s">
        <v>663</v>
      </c>
      <c r="E4903" s="111">
        <v>16817</v>
      </c>
      <c r="F4903" s="421" t="s">
        <v>8956</v>
      </c>
    </row>
    <row r="4904" spans="1:15" x14ac:dyDescent="0.2">
      <c r="A4904" s="111">
        <v>5031</v>
      </c>
      <c r="B4904" s="421" t="s">
        <v>179</v>
      </c>
      <c r="C4904" s="421" t="s">
        <v>521</v>
      </c>
      <c r="D4904" s="422" t="s">
        <v>666</v>
      </c>
      <c r="E4904" s="111">
        <v>16819</v>
      </c>
      <c r="F4904" s="421" t="s">
        <v>8966</v>
      </c>
      <c r="G4904" s="112">
        <v>1</v>
      </c>
      <c r="H4904" s="112">
        <v>1</v>
      </c>
      <c r="I4904" s="112">
        <v>1</v>
      </c>
      <c r="J4904" s="112">
        <v>4</v>
      </c>
      <c r="K4904" s="112">
        <v>5</v>
      </c>
      <c r="L4904" s="112">
        <v>3</v>
      </c>
      <c r="M4904" s="112">
        <v>4</v>
      </c>
      <c r="N4904" s="112">
        <v>4</v>
      </c>
      <c r="O4904" s="112">
        <v>4</v>
      </c>
    </row>
    <row r="4905" spans="1:15" x14ac:dyDescent="0.2">
      <c r="A4905" s="111">
        <v>5032</v>
      </c>
      <c r="B4905" s="421" t="s">
        <v>8940</v>
      </c>
      <c r="C4905" s="421" t="s">
        <v>567</v>
      </c>
      <c r="D4905" s="422" t="s">
        <v>666</v>
      </c>
      <c r="E4905" s="111">
        <v>16819</v>
      </c>
      <c r="F4905" s="421" t="s">
        <v>8966</v>
      </c>
      <c r="G4905" s="112">
        <v>1</v>
      </c>
      <c r="H4905" s="112">
        <v>1</v>
      </c>
      <c r="I4905" s="112">
        <v>1</v>
      </c>
    </row>
    <row r="4906" spans="1:15" x14ac:dyDescent="0.2">
      <c r="A4906" s="111">
        <v>5033</v>
      </c>
      <c r="B4906" s="421" t="s">
        <v>8600</v>
      </c>
      <c r="C4906" s="421" t="s">
        <v>2335</v>
      </c>
      <c r="D4906" s="422" t="s">
        <v>663</v>
      </c>
      <c r="E4906" s="111">
        <v>16820</v>
      </c>
      <c r="F4906" s="421" t="s">
        <v>8943</v>
      </c>
      <c r="G4906" s="112">
        <v>1</v>
      </c>
      <c r="H4906" s="112">
        <v>1</v>
      </c>
      <c r="I4906" s="112">
        <v>1</v>
      </c>
      <c r="J4906" s="112">
        <v>10</v>
      </c>
      <c r="K4906" s="112">
        <v>4</v>
      </c>
      <c r="L4906" s="112">
        <v>3</v>
      </c>
      <c r="M4906" s="112">
        <v>9</v>
      </c>
      <c r="N4906" s="112">
        <v>1</v>
      </c>
      <c r="O4906" s="112">
        <v>1</v>
      </c>
    </row>
    <row r="4907" spans="1:15" x14ac:dyDescent="0.2">
      <c r="A4907" s="111">
        <v>5034</v>
      </c>
      <c r="B4907" s="421" t="s">
        <v>8925</v>
      </c>
      <c r="C4907" s="421" t="s">
        <v>501</v>
      </c>
      <c r="D4907" s="422" t="s">
        <v>666</v>
      </c>
      <c r="E4907" s="111">
        <v>16821</v>
      </c>
      <c r="F4907" s="421" t="s">
        <v>8951</v>
      </c>
      <c r="G4907" s="112">
        <v>1</v>
      </c>
      <c r="H4907" s="112">
        <v>1</v>
      </c>
      <c r="I4907" s="112">
        <v>1</v>
      </c>
    </row>
    <row r="4908" spans="1:15" x14ac:dyDescent="0.2">
      <c r="A4908" s="111">
        <v>5035</v>
      </c>
      <c r="B4908" s="421" t="s">
        <v>4888</v>
      </c>
      <c r="C4908" s="421" t="s">
        <v>1625</v>
      </c>
      <c r="D4908" s="422" t="s">
        <v>663</v>
      </c>
      <c r="E4908" s="111">
        <v>16822</v>
      </c>
      <c r="F4908" s="421" t="s">
        <v>8964</v>
      </c>
    </row>
    <row r="4909" spans="1:15" x14ac:dyDescent="0.2">
      <c r="A4909" s="111">
        <v>5036</v>
      </c>
      <c r="B4909" s="421" t="s">
        <v>8916</v>
      </c>
      <c r="C4909" s="421" t="s">
        <v>1447</v>
      </c>
      <c r="D4909" s="422" t="s">
        <v>666</v>
      </c>
      <c r="E4909" s="111">
        <v>16823</v>
      </c>
      <c r="F4909" s="421" t="s">
        <v>8945</v>
      </c>
    </row>
    <row r="4910" spans="1:15" x14ac:dyDescent="0.2">
      <c r="A4910" s="111">
        <v>5037</v>
      </c>
      <c r="B4910" s="421" t="s">
        <v>8990</v>
      </c>
      <c r="C4910" s="421" t="s">
        <v>502</v>
      </c>
      <c r="D4910" s="422" t="s">
        <v>663</v>
      </c>
      <c r="E4910" s="111">
        <v>16849</v>
      </c>
      <c r="F4910" s="421" t="s">
        <v>8996</v>
      </c>
      <c r="G4910" s="112">
        <v>1</v>
      </c>
      <c r="H4910" s="112">
        <v>1</v>
      </c>
      <c r="I4910" s="112">
        <v>1</v>
      </c>
      <c r="J4910" s="112">
        <v>2</v>
      </c>
      <c r="K4910" s="112">
        <v>2</v>
      </c>
      <c r="L4910" s="112">
        <v>2</v>
      </c>
      <c r="M4910" s="112">
        <v>3</v>
      </c>
      <c r="N4910" s="112">
        <v>2</v>
      </c>
      <c r="O4910" s="112">
        <v>2</v>
      </c>
    </row>
    <row r="4911" spans="1:15" x14ac:dyDescent="0.2">
      <c r="A4911" s="111">
        <v>5038</v>
      </c>
      <c r="B4911" s="421" t="s">
        <v>437</v>
      </c>
      <c r="C4911" s="421" t="s">
        <v>1523</v>
      </c>
      <c r="D4911" s="422" t="s">
        <v>663</v>
      </c>
      <c r="E4911" s="111">
        <v>17259</v>
      </c>
      <c r="F4911" s="421" t="s">
        <v>8991</v>
      </c>
      <c r="G4911" s="112">
        <v>1</v>
      </c>
      <c r="H4911" s="112">
        <v>1</v>
      </c>
      <c r="I4911" s="112">
        <v>1</v>
      </c>
      <c r="J4911" s="112">
        <v>2</v>
      </c>
      <c r="K4911" s="112">
        <v>1</v>
      </c>
      <c r="L4911" s="112">
        <v>2</v>
      </c>
      <c r="M4911" s="112">
        <v>1</v>
      </c>
    </row>
    <row r="4912" spans="1:15" x14ac:dyDescent="0.2">
      <c r="A4912" s="111">
        <v>5039</v>
      </c>
      <c r="B4912" s="421" t="s">
        <v>8985</v>
      </c>
      <c r="C4912" s="421" t="s">
        <v>1201</v>
      </c>
      <c r="D4912" s="422" t="s">
        <v>666</v>
      </c>
      <c r="E4912" s="111">
        <v>16315</v>
      </c>
      <c r="F4912" s="421" t="s">
        <v>7161</v>
      </c>
      <c r="G4912" s="112">
        <v>1</v>
      </c>
      <c r="H4912" s="112">
        <v>1</v>
      </c>
      <c r="I4912" s="112">
        <v>1</v>
      </c>
      <c r="J4912" s="112">
        <v>1</v>
      </c>
      <c r="K4912" s="112">
        <v>1</v>
      </c>
      <c r="L4912" s="112">
        <v>2</v>
      </c>
    </row>
    <row r="4913" spans="1:15" x14ac:dyDescent="0.2">
      <c r="A4913" s="111">
        <v>5040</v>
      </c>
      <c r="B4913" s="421" t="s">
        <v>8987</v>
      </c>
      <c r="C4913" s="421" t="s">
        <v>1908</v>
      </c>
      <c r="D4913" s="422" t="s">
        <v>666</v>
      </c>
      <c r="E4913" s="111">
        <v>16025</v>
      </c>
      <c r="F4913" s="421" t="s">
        <v>2239</v>
      </c>
    </row>
    <row r="4914" spans="1:15" x14ac:dyDescent="0.2">
      <c r="A4914" s="111">
        <v>5041</v>
      </c>
      <c r="B4914" s="421" t="s">
        <v>8989</v>
      </c>
      <c r="C4914" s="421" t="s">
        <v>516</v>
      </c>
      <c r="D4914" s="422" t="s">
        <v>663</v>
      </c>
      <c r="E4914" s="111">
        <v>16044</v>
      </c>
      <c r="F4914" s="421" t="s">
        <v>6235</v>
      </c>
    </row>
    <row r="4915" spans="1:15" x14ac:dyDescent="0.2">
      <c r="A4915" s="111">
        <v>5042</v>
      </c>
      <c r="B4915" s="421" t="s">
        <v>8438</v>
      </c>
      <c r="C4915" s="421" t="s">
        <v>2394</v>
      </c>
      <c r="D4915" s="422" t="s">
        <v>666</v>
      </c>
      <c r="E4915" s="111">
        <v>16824</v>
      </c>
      <c r="F4915" s="421" t="s">
        <v>8992</v>
      </c>
      <c r="G4915" s="112">
        <v>1</v>
      </c>
      <c r="H4915" s="112">
        <v>1</v>
      </c>
      <c r="I4915" s="112">
        <v>1</v>
      </c>
      <c r="J4915" s="112">
        <v>5</v>
      </c>
      <c r="K4915" s="112">
        <v>3</v>
      </c>
      <c r="L4915" s="112">
        <v>3</v>
      </c>
    </row>
    <row r="4916" spans="1:15" x14ac:dyDescent="0.2">
      <c r="A4916" s="111">
        <v>5043</v>
      </c>
      <c r="B4916" s="421" t="s">
        <v>8986</v>
      </c>
      <c r="C4916" s="421" t="s">
        <v>503</v>
      </c>
      <c r="D4916" s="422" t="s">
        <v>663</v>
      </c>
      <c r="E4916" s="111">
        <v>16824</v>
      </c>
      <c r="F4916" s="421" t="s">
        <v>8992</v>
      </c>
      <c r="G4916" s="112">
        <v>1</v>
      </c>
      <c r="H4916" s="112">
        <v>1</v>
      </c>
      <c r="I4916" s="112">
        <v>1</v>
      </c>
    </row>
    <row r="4917" spans="1:15" x14ac:dyDescent="0.2">
      <c r="A4917" s="111">
        <v>5044</v>
      </c>
      <c r="B4917" s="421" t="s">
        <v>10616</v>
      </c>
      <c r="C4917" s="421" t="s">
        <v>581</v>
      </c>
      <c r="D4917" s="422" t="s">
        <v>666</v>
      </c>
      <c r="E4917" s="111">
        <v>16259</v>
      </c>
      <c r="F4917" s="421" t="s">
        <v>6595</v>
      </c>
      <c r="G4917" s="112">
        <v>1</v>
      </c>
      <c r="I4917" s="112">
        <v>1</v>
      </c>
      <c r="J4917" s="112">
        <v>1</v>
      </c>
    </row>
    <row r="4918" spans="1:15" x14ac:dyDescent="0.2">
      <c r="A4918" s="111">
        <v>5045</v>
      </c>
      <c r="B4918" s="421" t="s">
        <v>4883</v>
      </c>
      <c r="C4918" s="421" t="s">
        <v>503</v>
      </c>
      <c r="D4918" s="422" t="s">
        <v>663</v>
      </c>
      <c r="F4918" s="421" t="s">
        <v>8994</v>
      </c>
      <c r="G4918" s="112">
        <v>1</v>
      </c>
      <c r="H4918" s="112">
        <v>1</v>
      </c>
    </row>
    <row r="4919" spans="1:15" x14ac:dyDescent="0.2">
      <c r="A4919" s="111">
        <v>5046</v>
      </c>
      <c r="B4919" s="421" t="s">
        <v>8988</v>
      </c>
      <c r="C4919" s="421" t="s">
        <v>530</v>
      </c>
      <c r="D4919" s="422" t="s">
        <v>666</v>
      </c>
      <c r="E4919" s="111">
        <v>16825</v>
      </c>
      <c r="F4919" s="421" t="s">
        <v>8993</v>
      </c>
      <c r="G4919" s="112">
        <v>1</v>
      </c>
      <c r="H4919" s="112">
        <v>2</v>
      </c>
      <c r="I4919" s="112">
        <v>2</v>
      </c>
      <c r="J4919" s="112">
        <v>4</v>
      </c>
      <c r="K4919" s="112">
        <v>5</v>
      </c>
      <c r="L4919" s="112">
        <v>4</v>
      </c>
      <c r="M4919" s="112">
        <v>1</v>
      </c>
      <c r="O4919" s="112">
        <v>1</v>
      </c>
    </row>
    <row r="4920" spans="1:15" x14ac:dyDescent="0.2">
      <c r="A4920" s="111">
        <v>5047</v>
      </c>
      <c r="B4920" s="421" t="s">
        <v>1780</v>
      </c>
      <c r="C4920" s="421" t="s">
        <v>503</v>
      </c>
      <c r="D4920" s="422" t="s">
        <v>663</v>
      </c>
      <c r="E4920" s="111">
        <v>44095</v>
      </c>
      <c r="F4920" s="421" t="s">
        <v>8995</v>
      </c>
      <c r="G4920" s="112">
        <v>2</v>
      </c>
      <c r="H4920" s="112">
        <v>2</v>
      </c>
      <c r="I4920" s="112">
        <v>1</v>
      </c>
      <c r="J4920" s="112">
        <v>2</v>
      </c>
      <c r="K4920" s="112">
        <v>1</v>
      </c>
      <c r="L4920" s="112">
        <v>1</v>
      </c>
    </row>
    <row r="4921" spans="1:15" x14ac:dyDescent="0.2">
      <c r="A4921" s="111">
        <v>5048</v>
      </c>
      <c r="B4921" s="421" t="s">
        <v>1771</v>
      </c>
      <c r="C4921" s="421" t="s">
        <v>572</v>
      </c>
      <c r="D4921" s="422" t="s">
        <v>663</v>
      </c>
      <c r="E4921" s="111">
        <v>16384</v>
      </c>
      <c r="F4921" s="421" t="s">
        <v>7418</v>
      </c>
      <c r="G4921" s="112">
        <v>2</v>
      </c>
      <c r="H4921" s="112">
        <v>1</v>
      </c>
      <c r="I4921" s="112">
        <v>2</v>
      </c>
      <c r="J4921" s="112">
        <v>6</v>
      </c>
      <c r="K4921" s="112">
        <v>4</v>
      </c>
      <c r="L4921" s="112">
        <v>5</v>
      </c>
    </row>
    <row r="4922" spans="1:15" x14ac:dyDescent="0.2">
      <c r="A4922" s="111">
        <v>5049</v>
      </c>
      <c r="B4922" s="421" t="s">
        <v>9024</v>
      </c>
      <c r="C4922" s="421" t="s">
        <v>2470</v>
      </c>
      <c r="D4922" s="422" t="s">
        <v>666</v>
      </c>
      <c r="E4922" s="111">
        <v>16826</v>
      </c>
      <c r="F4922" s="421" t="s">
        <v>9032</v>
      </c>
      <c r="G4922" s="112">
        <v>1</v>
      </c>
      <c r="H4922" s="112">
        <v>1</v>
      </c>
      <c r="I4922" s="112">
        <v>1</v>
      </c>
      <c r="J4922" s="112">
        <v>1</v>
      </c>
      <c r="K4922" s="112">
        <v>1</v>
      </c>
      <c r="L4922" s="112">
        <v>1</v>
      </c>
    </row>
    <row r="4923" spans="1:15" x14ac:dyDescent="0.2">
      <c r="A4923" s="111">
        <v>5050</v>
      </c>
      <c r="B4923" s="421" t="s">
        <v>9027</v>
      </c>
      <c r="C4923" s="421" t="s">
        <v>503</v>
      </c>
      <c r="D4923" s="422" t="s">
        <v>666</v>
      </c>
      <c r="E4923" s="111">
        <v>16827</v>
      </c>
      <c r="F4923" s="421" t="s">
        <v>9039</v>
      </c>
      <c r="G4923" s="112">
        <v>1</v>
      </c>
      <c r="H4923" s="112">
        <v>1</v>
      </c>
      <c r="I4923" s="112">
        <v>1</v>
      </c>
      <c r="J4923" s="112">
        <v>4</v>
      </c>
      <c r="K4923" s="112">
        <v>5</v>
      </c>
      <c r="L4923" s="112">
        <v>1</v>
      </c>
    </row>
    <row r="4924" spans="1:15" x14ac:dyDescent="0.2">
      <c r="A4924" s="111">
        <v>5051</v>
      </c>
      <c r="B4924" s="421" t="s">
        <v>2927</v>
      </c>
      <c r="C4924" s="421" t="s">
        <v>1870</v>
      </c>
      <c r="D4924" s="422" t="s">
        <v>663</v>
      </c>
      <c r="E4924" s="111">
        <v>16829</v>
      </c>
      <c r="F4924" s="421" t="s">
        <v>9035</v>
      </c>
      <c r="G4924" s="112">
        <v>7</v>
      </c>
      <c r="H4924" s="112">
        <v>5</v>
      </c>
      <c r="I4924" s="112">
        <v>2</v>
      </c>
      <c r="J4924" s="112">
        <v>6</v>
      </c>
      <c r="K4924" s="112">
        <v>5</v>
      </c>
      <c r="L4924" s="112">
        <v>4</v>
      </c>
      <c r="M4924" s="112">
        <v>4</v>
      </c>
      <c r="N4924" s="112">
        <v>2</v>
      </c>
      <c r="O4924" s="112">
        <v>2</v>
      </c>
    </row>
    <row r="4925" spans="1:15" x14ac:dyDescent="0.2">
      <c r="A4925" s="111">
        <v>5052</v>
      </c>
      <c r="B4925" s="421" t="s">
        <v>5747</v>
      </c>
      <c r="C4925" s="421" t="s">
        <v>525</v>
      </c>
      <c r="D4925" s="422" t="s">
        <v>666</v>
      </c>
      <c r="E4925" s="111">
        <v>15737</v>
      </c>
      <c r="F4925" s="421" t="s">
        <v>5243</v>
      </c>
      <c r="G4925" s="112">
        <v>1</v>
      </c>
      <c r="H4925" s="112">
        <v>2</v>
      </c>
      <c r="I4925" s="112">
        <v>2</v>
      </c>
      <c r="J4925" s="112">
        <v>1</v>
      </c>
      <c r="K4925" s="112">
        <v>3</v>
      </c>
      <c r="L4925" s="112">
        <v>1</v>
      </c>
    </row>
    <row r="4926" spans="1:15" x14ac:dyDescent="0.2">
      <c r="A4926" s="111">
        <v>5053</v>
      </c>
      <c r="B4926" s="421" t="s">
        <v>353</v>
      </c>
      <c r="C4926" s="421" t="s">
        <v>533</v>
      </c>
      <c r="D4926" s="422" t="s">
        <v>666</v>
      </c>
      <c r="E4926" s="111">
        <v>15586</v>
      </c>
      <c r="F4926" s="421" t="s">
        <v>9031</v>
      </c>
      <c r="H4926" s="112">
        <v>1</v>
      </c>
    </row>
    <row r="4927" spans="1:15" x14ac:dyDescent="0.2">
      <c r="A4927" s="111">
        <v>5054</v>
      </c>
      <c r="B4927" s="421" t="s">
        <v>3170</v>
      </c>
      <c r="C4927" s="421" t="s">
        <v>533</v>
      </c>
      <c r="D4927" s="422" t="s">
        <v>666</v>
      </c>
      <c r="E4927" s="111">
        <v>15586</v>
      </c>
      <c r="F4927" s="421" t="s">
        <v>9031</v>
      </c>
      <c r="G4927" s="112">
        <v>1</v>
      </c>
      <c r="H4927" s="112">
        <v>1</v>
      </c>
      <c r="I4927" s="112">
        <v>1</v>
      </c>
      <c r="J4927" s="112">
        <v>2</v>
      </c>
      <c r="K4927" s="112">
        <v>2</v>
      </c>
      <c r="L4927" s="112">
        <v>2</v>
      </c>
      <c r="M4927" s="112">
        <v>1</v>
      </c>
      <c r="O4927" s="112">
        <v>1</v>
      </c>
    </row>
    <row r="4928" spans="1:15" x14ac:dyDescent="0.2">
      <c r="A4928" s="111">
        <v>5055</v>
      </c>
      <c r="B4928" s="421" t="s">
        <v>3563</v>
      </c>
      <c r="C4928" s="421" t="s">
        <v>577</v>
      </c>
      <c r="D4928" s="422" t="s">
        <v>666</v>
      </c>
      <c r="E4928" s="111">
        <v>16831</v>
      </c>
      <c r="F4928" s="421" t="s">
        <v>9030</v>
      </c>
      <c r="G4928" s="112">
        <v>1</v>
      </c>
      <c r="H4928" s="112">
        <v>1</v>
      </c>
      <c r="I4928" s="112">
        <v>1</v>
      </c>
    </row>
    <row r="4929" spans="1:15" x14ac:dyDescent="0.2">
      <c r="A4929" s="111">
        <v>5056</v>
      </c>
      <c r="B4929" s="421" t="s">
        <v>9028</v>
      </c>
      <c r="C4929" s="421" t="s">
        <v>526</v>
      </c>
      <c r="D4929" s="422" t="s">
        <v>663</v>
      </c>
      <c r="E4929" s="111">
        <v>16832</v>
      </c>
      <c r="F4929" s="421" t="s">
        <v>9040</v>
      </c>
      <c r="G4929" s="112">
        <v>1</v>
      </c>
      <c r="H4929" s="112">
        <v>1</v>
      </c>
      <c r="I4929" s="112">
        <v>1</v>
      </c>
      <c r="K4929" s="112">
        <v>1</v>
      </c>
    </row>
    <row r="4930" spans="1:15" x14ac:dyDescent="0.2">
      <c r="A4930" s="111">
        <v>5057</v>
      </c>
      <c r="B4930" s="421" t="s">
        <v>8012</v>
      </c>
      <c r="C4930" s="421" t="s">
        <v>6857</v>
      </c>
      <c r="D4930" s="422" t="s">
        <v>663</v>
      </c>
      <c r="E4930" s="111">
        <v>16038</v>
      </c>
      <c r="F4930" s="421" t="s">
        <v>6150</v>
      </c>
      <c r="G4930" s="112">
        <v>1</v>
      </c>
      <c r="H4930" s="112">
        <v>1</v>
      </c>
      <c r="I4930" s="112">
        <v>1</v>
      </c>
      <c r="J4930" s="112">
        <v>1</v>
      </c>
      <c r="K4930" s="112">
        <v>1</v>
      </c>
      <c r="L4930" s="112">
        <v>1</v>
      </c>
      <c r="M4930" s="112">
        <v>1</v>
      </c>
    </row>
    <row r="4931" spans="1:15" x14ac:dyDescent="0.2">
      <c r="A4931" s="111">
        <v>5058</v>
      </c>
      <c r="B4931" s="421" t="s">
        <v>9025</v>
      </c>
      <c r="C4931" s="421" t="s">
        <v>513</v>
      </c>
      <c r="D4931" s="422" t="s">
        <v>663</v>
      </c>
      <c r="E4931" s="111">
        <v>15017</v>
      </c>
      <c r="F4931" s="421" t="s">
        <v>2908</v>
      </c>
      <c r="G4931" s="112">
        <v>1</v>
      </c>
      <c r="H4931" s="112">
        <v>1</v>
      </c>
      <c r="I4931" s="112">
        <v>1</v>
      </c>
      <c r="K4931" s="112">
        <v>3</v>
      </c>
      <c r="L4931" s="112">
        <v>1</v>
      </c>
    </row>
    <row r="4932" spans="1:15" x14ac:dyDescent="0.2">
      <c r="A4932" s="111">
        <v>5059</v>
      </c>
      <c r="B4932" s="421" t="s">
        <v>3900</v>
      </c>
      <c r="C4932" s="421" t="s">
        <v>506</v>
      </c>
      <c r="D4932" s="422" t="s">
        <v>663</v>
      </c>
      <c r="E4932" s="111">
        <v>16833</v>
      </c>
      <c r="F4932" s="421" t="s">
        <v>9036</v>
      </c>
      <c r="G4932" s="112">
        <v>1</v>
      </c>
      <c r="H4932" s="112">
        <v>1</v>
      </c>
      <c r="I4932" s="112">
        <v>1</v>
      </c>
      <c r="J4932" s="112">
        <v>9</v>
      </c>
      <c r="K4932" s="112">
        <v>7</v>
      </c>
      <c r="L4932" s="112">
        <v>8</v>
      </c>
      <c r="M4932" s="112">
        <v>4</v>
      </c>
      <c r="N4932" s="112">
        <v>3</v>
      </c>
      <c r="O4932" s="112">
        <v>3</v>
      </c>
    </row>
    <row r="4933" spans="1:15" x14ac:dyDescent="0.2">
      <c r="A4933" s="111">
        <v>5060</v>
      </c>
      <c r="B4933" s="421" t="s">
        <v>291</v>
      </c>
      <c r="C4933" s="421" t="s">
        <v>516</v>
      </c>
      <c r="D4933" s="422" t="s">
        <v>666</v>
      </c>
      <c r="E4933" s="111">
        <v>16834</v>
      </c>
      <c r="F4933" s="421" t="s">
        <v>9033</v>
      </c>
    </row>
    <row r="4934" spans="1:15" x14ac:dyDescent="0.2">
      <c r="A4934" s="111">
        <v>5061</v>
      </c>
      <c r="B4934" s="421" t="s">
        <v>3780</v>
      </c>
      <c r="C4934" s="421" t="s">
        <v>1284</v>
      </c>
      <c r="D4934" s="422" t="s">
        <v>666</v>
      </c>
      <c r="E4934" s="111">
        <v>16835</v>
      </c>
      <c r="F4934" s="421" t="s">
        <v>9037</v>
      </c>
    </row>
    <row r="4935" spans="1:15" x14ac:dyDescent="0.2">
      <c r="A4935" s="111">
        <v>5062</v>
      </c>
      <c r="B4935" s="421" t="s">
        <v>9115</v>
      </c>
      <c r="C4935" s="421" t="s">
        <v>1625</v>
      </c>
      <c r="D4935" s="422" t="s">
        <v>666</v>
      </c>
      <c r="E4935" s="111">
        <v>16836</v>
      </c>
      <c r="F4935" s="421" t="s">
        <v>9116</v>
      </c>
      <c r="G4935" s="112">
        <v>1</v>
      </c>
      <c r="H4935" s="112">
        <v>1</v>
      </c>
      <c r="I4935" s="112">
        <v>1</v>
      </c>
    </row>
    <row r="4936" spans="1:15" x14ac:dyDescent="0.2">
      <c r="A4936" s="111">
        <v>5063</v>
      </c>
      <c r="B4936" s="421" t="s">
        <v>9026</v>
      </c>
      <c r="C4936" s="421" t="s">
        <v>513</v>
      </c>
      <c r="D4936" s="422" t="s">
        <v>663</v>
      </c>
      <c r="F4936" s="421" t="s">
        <v>9038</v>
      </c>
      <c r="G4936" s="112">
        <v>1</v>
      </c>
      <c r="H4936" s="112">
        <v>1</v>
      </c>
      <c r="I4936" s="112">
        <v>1</v>
      </c>
    </row>
    <row r="4937" spans="1:15" x14ac:dyDescent="0.2">
      <c r="A4937" s="111">
        <v>5064</v>
      </c>
      <c r="B4937" s="421" t="s">
        <v>9023</v>
      </c>
      <c r="C4937" s="421" t="s">
        <v>530</v>
      </c>
      <c r="D4937" s="422"/>
      <c r="E4937" s="111">
        <v>14217</v>
      </c>
      <c r="F4937" s="421" t="s">
        <v>3728</v>
      </c>
    </row>
    <row r="4938" spans="1:15" x14ac:dyDescent="0.2">
      <c r="A4938" s="111">
        <v>5065</v>
      </c>
      <c r="B4938" s="421" t="s">
        <v>1959</v>
      </c>
      <c r="C4938" s="421" t="s">
        <v>1994</v>
      </c>
      <c r="D4938" s="422" t="s">
        <v>666</v>
      </c>
      <c r="E4938" s="111">
        <v>44074</v>
      </c>
      <c r="F4938" s="421" t="s">
        <v>9034</v>
      </c>
      <c r="G4938" s="112">
        <v>2</v>
      </c>
      <c r="H4938" s="112">
        <v>3</v>
      </c>
    </row>
    <row r="4939" spans="1:15" x14ac:dyDescent="0.2">
      <c r="A4939" s="111">
        <v>5066</v>
      </c>
      <c r="B4939" s="421" t="s">
        <v>2024</v>
      </c>
      <c r="C4939" s="421" t="s">
        <v>551</v>
      </c>
      <c r="D4939" s="422" t="s">
        <v>666</v>
      </c>
      <c r="E4939" s="111">
        <v>14353</v>
      </c>
      <c r="F4939" s="421" t="s">
        <v>1122</v>
      </c>
    </row>
    <row r="4940" spans="1:15" x14ac:dyDescent="0.2">
      <c r="A4940" s="111">
        <v>5067</v>
      </c>
      <c r="B4940" s="421" t="s">
        <v>9117</v>
      </c>
      <c r="C4940" s="421" t="s">
        <v>534</v>
      </c>
      <c r="D4940" s="422" t="s">
        <v>666</v>
      </c>
      <c r="E4940" s="111">
        <v>1498</v>
      </c>
      <c r="F4940" s="421" t="s">
        <v>953</v>
      </c>
    </row>
    <row r="4941" spans="1:15" x14ac:dyDescent="0.2">
      <c r="A4941" s="111">
        <v>5068</v>
      </c>
      <c r="B4941" s="421" t="s">
        <v>5172</v>
      </c>
      <c r="C4941" s="421" t="s">
        <v>506</v>
      </c>
      <c r="D4941" s="422" t="s">
        <v>666</v>
      </c>
      <c r="E4941" s="111">
        <v>16837</v>
      </c>
      <c r="F4941" s="421" t="s">
        <v>9118</v>
      </c>
      <c r="G4941" s="112">
        <v>2</v>
      </c>
      <c r="H4941" s="112">
        <v>1</v>
      </c>
      <c r="I4941" s="112">
        <v>2</v>
      </c>
      <c r="J4941" s="112">
        <v>6</v>
      </c>
      <c r="K4941" s="112">
        <v>7</v>
      </c>
      <c r="L4941" s="112">
        <v>7</v>
      </c>
      <c r="M4941" s="112">
        <v>4</v>
      </c>
      <c r="N4941" s="112">
        <v>3</v>
      </c>
      <c r="O4941" s="112">
        <v>4</v>
      </c>
    </row>
    <row r="4942" spans="1:15" x14ac:dyDescent="0.2">
      <c r="A4942" s="111">
        <v>5069</v>
      </c>
      <c r="B4942" s="421" t="s">
        <v>9119</v>
      </c>
      <c r="C4942" s="421" t="s">
        <v>519</v>
      </c>
      <c r="D4942" s="422" t="s">
        <v>666</v>
      </c>
      <c r="E4942" s="111">
        <v>17275</v>
      </c>
      <c r="F4942" s="421" t="s">
        <v>9120</v>
      </c>
    </row>
    <row r="4943" spans="1:15" x14ac:dyDescent="0.2">
      <c r="A4943" s="111">
        <v>5070</v>
      </c>
      <c r="B4943" s="421" t="s">
        <v>3170</v>
      </c>
      <c r="C4943" s="421" t="s">
        <v>17458</v>
      </c>
      <c r="D4943" s="422" t="s">
        <v>663</v>
      </c>
      <c r="E4943" s="111">
        <v>17274</v>
      </c>
      <c r="F4943" s="421" t="s">
        <v>9121</v>
      </c>
    </row>
    <row r="4944" spans="1:15" x14ac:dyDescent="0.2">
      <c r="A4944" s="111">
        <v>5071</v>
      </c>
      <c r="B4944" s="421" t="s">
        <v>9122</v>
      </c>
      <c r="C4944" s="421" t="s">
        <v>501</v>
      </c>
      <c r="D4944" s="422" t="s">
        <v>666</v>
      </c>
      <c r="E4944" s="111">
        <v>15284</v>
      </c>
      <c r="F4944" s="421" t="s">
        <v>1951</v>
      </c>
      <c r="G4944" s="112">
        <v>1</v>
      </c>
      <c r="H4944" s="112">
        <v>1</v>
      </c>
      <c r="I4944" s="112">
        <v>2</v>
      </c>
      <c r="J4944" s="112">
        <v>5</v>
      </c>
      <c r="K4944" s="112">
        <v>3</v>
      </c>
      <c r="L4944" s="112">
        <v>4</v>
      </c>
      <c r="M4944" s="112">
        <v>1</v>
      </c>
      <c r="O4944" s="112">
        <v>1</v>
      </c>
    </row>
    <row r="4945" spans="1:15" x14ac:dyDescent="0.2">
      <c r="A4945" s="111">
        <v>5072</v>
      </c>
      <c r="B4945" s="421" t="s">
        <v>9123</v>
      </c>
      <c r="C4945" s="421" t="s">
        <v>628</v>
      </c>
      <c r="D4945" s="422" t="s">
        <v>663</v>
      </c>
      <c r="E4945" s="111">
        <v>15788</v>
      </c>
      <c r="F4945" s="421" t="s">
        <v>7811</v>
      </c>
      <c r="G4945" s="112">
        <v>1</v>
      </c>
      <c r="H4945" s="112">
        <v>1</v>
      </c>
      <c r="I4945" s="112">
        <v>1</v>
      </c>
      <c r="J4945" s="112">
        <v>7</v>
      </c>
      <c r="K4945" s="112">
        <v>5</v>
      </c>
      <c r="L4945" s="112">
        <v>6</v>
      </c>
      <c r="M4945" s="112">
        <v>2</v>
      </c>
      <c r="N4945" s="112">
        <v>1</v>
      </c>
      <c r="O4945" s="112">
        <v>1</v>
      </c>
    </row>
    <row r="4946" spans="1:15" x14ac:dyDescent="0.2">
      <c r="A4946" s="111">
        <v>5073</v>
      </c>
      <c r="B4946" s="421" t="s">
        <v>9124</v>
      </c>
      <c r="C4946" s="421" t="s">
        <v>503</v>
      </c>
      <c r="D4946" s="422" t="s">
        <v>663</v>
      </c>
      <c r="E4946" s="111">
        <v>16838</v>
      </c>
      <c r="F4946" s="421" t="s">
        <v>9125</v>
      </c>
      <c r="G4946" s="112">
        <v>1</v>
      </c>
      <c r="H4946" s="112">
        <v>1</v>
      </c>
      <c r="I4946" s="112">
        <v>1</v>
      </c>
      <c r="J4946" s="112">
        <v>2</v>
      </c>
      <c r="K4946" s="112">
        <v>1</v>
      </c>
      <c r="L4946" s="112">
        <v>2</v>
      </c>
    </row>
    <row r="4947" spans="1:15" x14ac:dyDescent="0.2">
      <c r="A4947" s="111">
        <v>5074</v>
      </c>
      <c r="B4947" s="421" t="s">
        <v>6360</v>
      </c>
      <c r="C4947" s="421" t="s">
        <v>542</v>
      </c>
      <c r="D4947" s="422" t="s">
        <v>666</v>
      </c>
      <c r="E4947" s="111">
        <v>16839</v>
      </c>
      <c r="F4947" s="421" t="s">
        <v>9126</v>
      </c>
      <c r="G4947" s="112">
        <v>1</v>
      </c>
      <c r="H4947" s="112">
        <v>1</v>
      </c>
      <c r="I4947" s="112">
        <v>1</v>
      </c>
      <c r="J4947" s="112">
        <v>3</v>
      </c>
      <c r="K4947" s="112">
        <v>3</v>
      </c>
      <c r="L4947" s="112">
        <v>3</v>
      </c>
      <c r="M4947" s="112">
        <v>2</v>
      </c>
      <c r="N4947" s="112">
        <v>1</v>
      </c>
      <c r="O4947" s="112">
        <v>1</v>
      </c>
    </row>
    <row r="4948" spans="1:15" x14ac:dyDescent="0.2">
      <c r="A4948" s="111">
        <v>5075</v>
      </c>
      <c r="B4948" s="421" t="s">
        <v>9127</v>
      </c>
      <c r="C4948" s="421" t="s">
        <v>520</v>
      </c>
      <c r="D4948" s="422" t="s">
        <v>666</v>
      </c>
      <c r="E4948" s="111">
        <v>16840</v>
      </c>
      <c r="F4948" s="421" t="s">
        <v>9128</v>
      </c>
    </row>
    <row r="4949" spans="1:15" x14ac:dyDescent="0.2">
      <c r="A4949" s="111">
        <v>5076</v>
      </c>
      <c r="B4949" s="421" t="s">
        <v>9129</v>
      </c>
      <c r="C4949" s="421" t="s">
        <v>516</v>
      </c>
      <c r="D4949" s="422" t="s">
        <v>666</v>
      </c>
      <c r="E4949" s="111">
        <v>14805</v>
      </c>
      <c r="F4949" s="421" t="s">
        <v>2428</v>
      </c>
      <c r="G4949" s="112">
        <v>1</v>
      </c>
      <c r="H4949" s="112">
        <v>1</v>
      </c>
      <c r="I4949" s="112">
        <v>1</v>
      </c>
      <c r="J4949" s="112">
        <v>6</v>
      </c>
      <c r="K4949" s="112">
        <v>6</v>
      </c>
      <c r="L4949" s="112">
        <v>7</v>
      </c>
      <c r="M4949" s="112">
        <v>4</v>
      </c>
      <c r="N4949" s="112">
        <v>4</v>
      </c>
      <c r="O4949" s="112">
        <v>4</v>
      </c>
    </row>
    <row r="4950" spans="1:15" x14ac:dyDescent="0.2">
      <c r="A4950" s="111">
        <v>5077</v>
      </c>
      <c r="B4950" s="421" t="s">
        <v>9130</v>
      </c>
      <c r="C4950" s="421" t="s">
        <v>550</v>
      </c>
      <c r="D4950" s="422" t="s">
        <v>663</v>
      </c>
      <c r="E4950" s="111">
        <v>16841</v>
      </c>
      <c r="F4950" s="421" t="s">
        <v>9131</v>
      </c>
      <c r="G4950" s="112">
        <v>1</v>
      </c>
      <c r="H4950" s="112">
        <v>1</v>
      </c>
      <c r="I4950" s="112">
        <v>1</v>
      </c>
      <c r="J4950" s="112">
        <v>4</v>
      </c>
      <c r="K4950" s="112">
        <v>3</v>
      </c>
      <c r="L4950" s="112">
        <v>5</v>
      </c>
      <c r="M4950" s="112">
        <v>3</v>
      </c>
      <c r="N4950" s="112">
        <v>1</v>
      </c>
      <c r="O4950" s="112">
        <v>1</v>
      </c>
    </row>
    <row r="4951" spans="1:15" x14ac:dyDescent="0.2">
      <c r="A4951" s="111">
        <v>5078</v>
      </c>
      <c r="B4951" s="421" t="s">
        <v>9132</v>
      </c>
      <c r="C4951" s="421" t="s">
        <v>550</v>
      </c>
      <c r="D4951" s="422" t="s">
        <v>666</v>
      </c>
      <c r="E4951" s="111">
        <v>16841</v>
      </c>
      <c r="F4951" s="421" t="s">
        <v>9131</v>
      </c>
      <c r="G4951" s="112">
        <v>1</v>
      </c>
      <c r="H4951" s="112">
        <v>1</v>
      </c>
      <c r="I4951" s="112">
        <v>1</v>
      </c>
      <c r="J4951" s="112">
        <v>7</v>
      </c>
      <c r="K4951" s="112">
        <v>7</v>
      </c>
      <c r="L4951" s="112">
        <v>7</v>
      </c>
      <c r="M4951" s="112">
        <v>5</v>
      </c>
      <c r="N4951" s="112">
        <v>3</v>
      </c>
      <c r="O4951" s="112">
        <v>3</v>
      </c>
    </row>
    <row r="4952" spans="1:15" x14ac:dyDescent="0.2">
      <c r="A4952" s="111">
        <v>5079</v>
      </c>
      <c r="B4952" s="421" t="s">
        <v>3956</v>
      </c>
      <c r="C4952" s="421" t="s">
        <v>506</v>
      </c>
      <c r="D4952" s="422" t="s">
        <v>663</v>
      </c>
      <c r="F4952" s="421" t="s">
        <v>933</v>
      </c>
      <c r="G4952" s="112">
        <v>1</v>
      </c>
      <c r="H4952" s="112">
        <v>1</v>
      </c>
      <c r="I4952" s="112">
        <v>1</v>
      </c>
    </row>
    <row r="4953" spans="1:15" x14ac:dyDescent="0.2">
      <c r="A4953" s="111">
        <v>5080</v>
      </c>
      <c r="B4953" s="421" t="s">
        <v>3776</v>
      </c>
      <c r="C4953" s="421" t="s">
        <v>501</v>
      </c>
      <c r="D4953" s="422" t="s">
        <v>663</v>
      </c>
      <c r="E4953" s="111">
        <v>16842</v>
      </c>
      <c r="F4953" s="421" t="s">
        <v>9133</v>
      </c>
      <c r="G4953" s="112">
        <v>1</v>
      </c>
      <c r="H4953" s="112">
        <v>1</v>
      </c>
      <c r="I4953" s="112">
        <v>1</v>
      </c>
      <c r="J4953" s="112">
        <v>10</v>
      </c>
      <c r="K4953" s="112">
        <v>10</v>
      </c>
      <c r="L4953" s="112">
        <v>10</v>
      </c>
      <c r="M4953" s="112">
        <v>6</v>
      </c>
      <c r="N4953" s="112">
        <v>4</v>
      </c>
      <c r="O4953" s="112">
        <v>4</v>
      </c>
    </row>
    <row r="4954" spans="1:15" x14ac:dyDescent="0.2">
      <c r="A4954" s="111">
        <v>5081</v>
      </c>
      <c r="B4954" s="421" t="s">
        <v>7885</v>
      </c>
      <c r="C4954" s="421" t="s">
        <v>506</v>
      </c>
      <c r="D4954" s="422" t="s">
        <v>663</v>
      </c>
      <c r="E4954" s="111">
        <v>16860</v>
      </c>
      <c r="F4954" s="421" t="s">
        <v>9134</v>
      </c>
      <c r="G4954" s="112">
        <v>1</v>
      </c>
      <c r="H4954" s="112">
        <v>1</v>
      </c>
      <c r="I4954" s="112">
        <v>1</v>
      </c>
    </row>
    <row r="4955" spans="1:15" x14ac:dyDescent="0.2">
      <c r="A4955" s="111">
        <v>5082</v>
      </c>
      <c r="B4955" s="421" t="s">
        <v>9135</v>
      </c>
      <c r="C4955" s="421" t="s">
        <v>547</v>
      </c>
      <c r="D4955" s="422" t="s">
        <v>663</v>
      </c>
      <c r="E4955" s="111">
        <v>14553</v>
      </c>
      <c r="F4955" s="421" t="s">
        <v>1669</v>
      </c>
      <c r="G4955" s="112">
        <v>1</v>
      </c>
      <c r="H4955" s="112">
        <v>1</v>
      </c>
      <c r="I4955" s="112">
        <v>1</v>
      </c>
      <c r="J4955" s="112">
        <v>7</v>
      </c>
      <c r="K4955" s="112">
        <v>8</v>
      </c>
      <c r="L4955" s="112">
        <v>7</v>
      </c>
      <c r="M4955" s="112">
        <v>7</v>
      </c>
      <c r="N4955" s="112">
        <v>3</v>
      </c>
      <c r="O4955" s="112">
        <v>8</v>
      </c>
    </row>
    <row r="4956" spans="1:15" x14ac:dyDescent="0.2">
      <c r="A4956" s="111">
        <v>5083</v>
      </c>
      <c r="B4956" s="421" t="s">
        <v>5505</v>
      </c>
      <c r="C4956" s="421" t="s">
        <v>570</v>
      </c>
      <c r="D4956" s="422" t="s">
        <v>663</v>
      </c>
      <c r="E4956" s="111">
        <v>14979</v>
      </c>
      <c r="F4956" s="421" t="s">
        <v>2701</v>
      </c>
      <c r="G4956" s="112">
        <v>2</v>
      </c>
      <c r="H4956" s="112">
        <v>2</v>
      </c>
      <c r="I4956" s="112">
        <v>2</v>
      </c>
    </row>
    <row r="4957" spans="1:15" x14ac:dyDescent="0.2">
      <c r="A4957" s="111">
        <v>5084</v>
      </c>
      <c r="B4957" s="421" t="s">
        <v>9136</v>
      </c>
      <c r="C4957" s="421" t="s">
        <v>533</v>
      </c>
      <c r="D4957" s="422" t="s">
        <v>663</v>
      </c>
      <c r="E4957" s="111">
        <v>16055</v>
      </c>
      <c r="F4957" s="421" t="s">
        <v>6253</v>
      </c>
      <c r="G4957" s="112">
        <v>2</v>
      </c>
      <c r="H4957" s="112">
        <v>3</v>
      </c>
      <c r="I4957" s="112">
        <v>2</v>
      </c>
      <c r="J4957" s="112">
        <v>4</v>
      </c>
      <c r="K4957" s="112">
        <v>4</v>
      </c>
      <c r="L4957" s="112">
        <v>1</v>
      </c>
    </row>
    <row r="4958" spans="1:15" x14ac:dyDescent="0.2">
      <c r="A4958" s="111">
        <v>5085</v>
      </c>
      <c r="B4958" s="421" t="s">
        <v>4611</v>
      </c>
      <c r="C4958" s="421" t="s">
        <v>3443</v>
      </c>
      <c r="D4958" s="422" t="s">
        <v>666</v>
      </c>
      <c r="E4958" s="111">
        <v>16905</v>
      </c>
      <c r="F4958" s="421" t="s">
        <v>9137</v>
      </c>
      <c r="G4958" s="112">
        <v>2</v>
      </c>
      <c r="H4958" s="112">
        <v>3</v>
      </c>
      <c r="I4958" s="112">
        <v>1</v>
      </c>
      <c r="J4958" s="112">
        <v>4</v>
      </c>
      <c r="K4958" s="112">
        <v>2</v>
      </c>
      <c r="L4958" s="112">
        <v>3</v>
      </c>
    </row>
    <row r="4959" spans="1:15" x14ac:dyDescent="0.2">
      <c r="A4959" s="111">
        <v>5086</v>
      </c>
      <c r="B4959" s="421" t="s">
        <v>1254</v>
      </c>
      <c r="C4959" s="421" t="s">
        <v>506</v>
      </c>
      <c r="D4959" s="422" t="s">
        <v>663</v>
      </c>
      <c r="E4959" s="111">
        <v>16844</v>
      </c>
      <c r="F4959" s="421" t="s">
        <v>9138</v>
      </c>
      <c r="G4959" s="112">
        <v>1</v>
      </c>
      <c r="H4959" s="112">
        <v>1</v>
      </c>
      <c r="I4959" s="112">
        <v>1</v>
      </c>
      <c r="J4959" s="112">
        <v>3</v>
      </c>
      <c r="K4959" s="112">
        <v>3</v>
      </c>
      <c r="L4959" s="112">
        <v>4</v>
      </c>
      <c r="O4959" s="112">
        <v>1</v>
      </c>
    </row>
    <row r="4960" spans="1:15" x14ac:dyDescent="0.2">
      <c r="A4960" s="111">
        <v>5087</v>
      </c>
      <c r="B4960" s="421" t="s">
        <v>1609</v>
      </c>
      <c r="C4960" s="421" t="s">
        <v>570</v>
      </c>
      <c r="D4960" s="422" t="s">
        <v>663</v>
      </c>
      <c r="E4960" s="111">
        <v>16845</v>
      </c>
      <c r="F4960" s="421" t="s">
        <v>9139</v>
      </c>
      <c r="G4960" s="112">
        <v>1</v>
      </c>
      <c r="H4960" s="112">
        <v>1</v>
      </c>
      <c r="I4960" s="112">
        <v>1</v>
      </c>
    </row>
    <row r="4961" spans="1:15" x14ac:dyDescent="0.2">
      <c r="A4961" s="111">
        <v>5088</v>
      </c>
      <c r="B4961" s="421" t="s">
        <v>9140</v>
      </c>
      <c r="C4961" s="421" t="s">
        <v>502</v>
      </c>
      <c r="D4961" s="422" t="s">
        <v>666</v>
      </c>
      <c r="E4961" s="111">
        <v>16846</v>
      </c>
      <c r="F4961" s="421" t="s">
        <v>9141</v>
      </c>
      <c r="G4961" s="112">
        <v>1</v>
      </c>
      <c r="H4961" s="112">
        <v>1</v>
      </c>
      <c r="I4961" s="112">
        <v>1</v>
      </c>
      <c r="J4961" s="112">
        <v>1</v>
      </c>
      <c r="K4961" s="112">
        <v>1</v>
      </c>
      <c r="L4961" s="112">
        <v>1</v>
      </c>
      <c r="N4961" s="112">
        <v>3</v>
      </c>
      <c r="O4961" s="112">
        <v>1</v>
      </c>
    </row>
    <row r="4962" spans="1:15" x14ac:dyDescent="0.2">
      <c r="A4962" s="111">
        <v>5089</v>
      </c>
      <c r="B4962" s="421" t="s">
        <v>2806</v>
      </c>
      <c r="C4962" s="421" t="s">
        <v>577</v>
      </c>
      <c r="D4962" s="422" t="s">
        <v>666</v>
      </c>
      <c r="E4962" s="111">
        <v>16847</v>
      </c>
      <c r="F4962" s="421" t="s">
        <v>9142</v>
      </c>
      <c r="G4962" s="112">
        <v>1</v>
      </c>
      <c r="H4962" s="112">
        <v>1</v>
      </c>
      <c r="I4962" s="112">
        <v>1</v>
      </c>
      <c r="J4962" s="112">
        <v>3</v>
      </c>
      <c r="K4962" s="112">
        <v>1</v>
      </c>
      <c r="L4962" s="112">
        <v>1</v>
      </c>
    </row>
    <row r="4963" spans="1:15" x14ac:dyDescent="0.2">
      <c r="A4963" s="111">
        <v>5090</v>
      </c>
      <c r="B4963" s="421" t="s">
        <v>2145</v>
      </c>
      <c r="C4963" s="421" t="s">
        <v>513</v>
      </c>
      <c r="D4963" s="422" t="s">
        <v>666</v>
      </c>
      <c r="F4963" s="421" t="s">
        <v>9143</v>
      </c>
    </row>
    <row r="4964" spans="1:15" x14ac:dyDescent="0.2">
      <c r="A4964" s="111">
        <v>5091</v>
      </c>
      <c r="B4964" s="421" t="s">
        <v>9144</v>
      </c>
      <c r="C4964" s="421" t="s">
        <v>1758</v>
      </c>
      <c r="D4964" s="422" t="s">
        <v>663</v>
      </c>
      <c r="E4964" s="111">
        <v>16848</v>
      </c>
      <c r="F4964" s="421" t="s">
        <v>9145</v>
      </c>
    </row>
    <row r="4965" spans="1:15" x14ac:dyDescent="0.2">
      <c r="A4965" s="111">
        <v>5092</v>
      </c>
      <c r="B4965" s="421" t="s">
        <v>9146</v>
      </c>
      <c r="C4965" s="421" t="s">
        <v>1758</v>
      </c>
      <c r="D4965" s="422" t="s">
        <v>666</v>
      </c>
      <c r="E4965" s="111">
        <v>16848</v>
      </c>
      <c r="F4965" s="421" t="s">
        <v>9145</v>
      </c>
    </row>
    <row r="4966" spans="1:15" x14ac:dyDescent="0.2">
      <c r="A4966" s="111">
        <v>5093</v>
      </c>
      <c r="B4966" s="421" t="s">
        <v>9147</v>
      </c>
      <c r="C4966" s="421" t="s">
        <v>1758</v>
      </c>
      <c r="D4966" s="422" t="s">
        <v>663</v>
      </c>
      <c r="E4966" s="111">
        <v>16848</v>
      </c>
      <c r="F4966" s="421" t="s">
        <v>9145</v>
      </c>
    </row>
    <row r="4967" spans="1:15" x14ac:dyDescent="0.2">
      <c r="A4967" s="111">
        <v>5094</v>
      </c>
      <c r="B4967" s="421" t="s">
        <v>339</v>
      </c>
      <c r="C4967" s="421" t="s">
        <v>516</v>
      </c>
      <c r="D4967" s="422" t="s">
        <v>666</v>
      </c>
      <c r="E4967" s="111">
        <v>16850</v>
      </c>
      <c r="F4967" s="421" t="s">
        <v>8723</v>
      </c>
    </row>
    <row r="4968" spans="1:15" x14ac:dyDescent="0.2">
      <c r="A4968" s="111">
        <v>5095</v>
      </c>
      <c r="B4968" s="421" t="s">
        <v>9148</v>
      </c>
      <c r="C4968" s="421" t="s">
        <v>503</v>
      </c>
      <c r="D4968" s="422" t="s">
        <v>666</v>
      </c>
      <c r="E4968" s="111">
        <v>16851</v>
      </c>
      <c r="F4968" s="421" t="s">
        <v>9149</v>
      </c>
      <c r="G4968" s="112">
        <v>1</v>
      </c>
      <c r="H4968" s="112">
        <v>1</v>
      </c>
      <c r="I4968" s="112">
        <v>1</v>
      </c>
      <c r="J4968" s="112">
        <v>8</v>
      </c>
      <c r="K4968" s="112">
        <v>7</v>
      </c>
      <c r="L4968" s="112">
        <v>6</v>
      </c>
      <c r="M4968" s="112">
        <v>8</v>
      </c>
      <c r="N4968" s="112">
        <v>3</v>
      </c>
      <c r="O4968" s="112">
        <v>8</v>
      </c>
    </row>
    <row r="4969" spans="1:15" x14ac:dyDescent="0.2">
      <c r="A4969" s="111">
        <v>5096</v>
      </c>
      <c r="B4969" s="421" t="s">
        <v>1462</v>
      </c>
      <c r="C4969" s="421" t="s">
        <v>513</v>
      </c>
      <c r="D4969" s="422" t="s">
        <v>666</v>
      </c>
      <c r="E4969" s="111">
        <v>16472</v>
      </c>
      <c r="F4969" s="421" t="s">
        <v>2762</v>
      </c>
      <c r="G4969" s="112">
        <v>1</v>
      </c>
      <c r="H4969" s="112">
        <v>1</v>
      </c>
      <c r="I4969" s="112">
        <v>1</v>
      </c>
      <c r="J4969" s="112">
        <v>6</v>
      </c>
      <c r="K4969" s="112">
        <v>7</v>
      </c>
      <c r="L4969" s="112">
        <v>7</v>
      </c>
      <c r="M4969" s="112">
        <v>1</v>
      </c>
    </row>
    <row r="4970" spans="1:15" x14ac:dyDescent="0.2">
      <c r="A4970" s="111">
        <v>5097</v>
      </c>
      <c r="B4970" s="421" t="s">
        <v>4630</v>
      </c>
      <c r="C4970" s="421" t="s">
        <v>503</v>
      </c>
      <c r="D4970" s="422" t="s">
        <v>663</v>
      </c>
      <c r="E4970" s="111">
        <v>16482</v>
      </c>
      <c r="F4970" s="421" t="s">
        <v>7725</v>
      </c>
      <c r="G4970" s="112">
        <v>1</v>
      </c>
      <c r="H4970" s="112">
        <v>1</v>
      </c>
      <c r="I4970" s="112">
        <v>1</v>
      </c>
      <c r="J4970" s="112">
        <v>5</v>
      </c>
      <c r="K4970" s="112">
        <v>4</v>
      </c>
      <c r="L4970" s="112">
        <v>6</v>
      </c>
      <c r="M4970" s="112">
        <v>3</v>
      </c>
      <c r="N4970" s="112">
        <v>2</v>
      </c>
      <c r="O4970" s="112">
        <v>3</v>
      </c>
    </row>
    <row r="4971" spans="1:15" x14ac:dyDescent="0.2">
      <c r="A4971" s="111">
        <v>5098</v>
      </c>
      <c r="B4971" s="421" t="s">
        <v>9150</v>
      </c>
      <c r="C4971" s="421" t="s">
        <v>1908</v>
      </c>
      <c r="D4971" s="422" t="s">
        <v>663</v>
      </c>
      <c r="E4971" s="111">
        <v>16569</v>
      </c>
      <c r="F4971" s="421" t="s">
        <v>7919</v>
      </c>
    </row>
    <row r="4972" spans="1:15" x14ac:dyDescent="0.2">
      <c r="A4972" s="111">
        <v>5099</v>
      </c>
      <c r="B4972" s="421" t="s">
        <v>9151</v>
      </c>
      <c r="C4972" s="421" t="s">
        <v>551</v>
      </c>
      <c r="D4972" s="422" t="s">
        <v>663</v>
      </c>
      <c r="E4972" s="111">
        <v>16852</v>
      </c>
      <c r="F4972" s="421" t="s">
        <v>9152</v>
      </c>
      <c r="G4972" s="112">
        <v>1</v>
      </c>
      <c r="H4972" s="112">
        <v>1</v>
      </c>
      <c r="I4972" s="112">
        <v>1</v>
      </c>
      <c r="J4972" s="112">
        <v>2</v>
      </c>
      <c r="K4972" s="112">
        <v>3</v>
      </c>
      <c r="L4972" s="112">
        <v>2</v>
      </c>
    </row>
    <row r="4973" spans="1:15" x14ac:dyDescent="0.2">
      <c r="A4973" s="111">
        <v>5100</v>
      </c>
      <c r="B4973" s="421" t="s">
        <v>7872</v>
      </c>
      <c r="C4973" s="421" t="s">
        <v>502</v>
      </c>
      <c r="D4973" s="422" t="s">
        <v>663</v>
      </c>
      <c r="F4973" s="421" t="s">
        <v>9153</v>
      </c>
      <c r="G4973" s="112">
        <v>1</v>
      </c>
      <c r="H4973" s="112">
        <v>1</v>
      </c>
      <c r="I4973" s="112">
        <v>1</v>
      </c>
    </row>
    <row r="4974" spans="1:15" x14ac:dyDescent="0.2">
      <c r="A4974" s="111">
        <v>5101</v>
      </c>
      <c r="B4974" s="421" t="s">
        <v>3185</v>
      </c>
      <c r="C4974" s="421" t="s">
        <v>533</v>
      </c>
      <c r="D4974" s="422" t="s">
        <v>663</v>
      </c>
      <c r="E4974" s="111">
        <v>16853</v>
      </c>
      <c r="F4974" s="421" t="s">
        <v>9154</v>
      </c>
      <c r="G4974" s="112">
        <v>1</v>
      </c>
      <c r="H4974" s="112">
        <v>1</v>
      </c>
      <c r="I4974" s="112">
        <v>1</v>
      </c>
      <c r="J4974" s="112">
        <v>6</v>
      </c>
      <c r="K4974" s="112">
        <v>6</v>
      </c>
      <c r="L4974" s="112">
        <v>7</v>
      </c>
      <c r="M4974" s="112">
        <v>4</v>
      </c>
      <c r="O4974" s="112">
        <v>2</v>
      </c>
    </row>
    <row r="4975" spans="1:15" x14ac:dyDescent="0.2">
      <c r="A4975" s="111">
        <v>5102</v>
      </c>
      <c r="B4975" s="421" t="s">
        <v>9155</v>
      </c>
      <c r="C4975" s="421" t="s">
        <v>4900</v>
      </c>
      <c r="D4975" s="422" t="s">
        <v>666</v>
      </c>
      <c r="E4975" s="111">
        <v>16967</v>
      </c>
      <c r="F4975" s="421" t="s">
        <v>696</v>
      </c>
      <c r="G4975" s="112">
        <v>1</v>
      </c>
      <c r="H4975" s="112">
        <v>1</v>
      </c>
      <c r="I4975" s="112">
        <v>1</v>
      </c>
      <c r="L4975" s="112">
        <v>1</v>
      </c>
    </row>
    <row r="4976" spans="1:15" x14ac:dyDescent="0.2">
      <c r="A4976" s="111">
        <v>5103</v>
      </c>
      <c r="B4976" s="421" t="s">
        <v>9156</v>
      </c>
      <c r="C4976" s="421" t="s">
        <v>5195</v>
      </c>
      <c r="D4976" s="422" t="s">
        <v>663</v>
      </c>
      <c r="E4976" s="111">
        <v>15726</v>
      </c>
      <c r="F4976" s="421" t="s">
        <v>5196</v>
      </c>
      <c r="G4976" s="112">
        <v>1</v>
      </c>
      <c r="H4976" s="112">
        <v>1</v>
      </c>
      <c r="I4976" s="112">
        <v>1</v>
      </c>
      <c r="J4976" s="112">
        <v>6</v>
      </c>
      <c r="K4976" s="112">
        <v>5</v>
      </c>
      <c r="L4976" s="112">
        <v>5</v>
      </c>
    </row>
    <row r="4977" spans="1:15" x14ac:dyDescent="0.2">
      <c r="A4977" s="111">
        <v>5104</v>
      </c>
      <c r="B4977" s="421" t="s">
        <v>9157</v>
      </c>
      <c r="C4977" s="421" t="s">
        <v>1378</v>
      </c>
      <c r="D4977" s="422" t="s">
        <v>663</v>
      </c>
      <c r="E4977" s="111">
        <v>16854</v>
      </c>
      <c r="F4977" s="421" t="s">
        <v>9158</v>
      </c>
    </row>
    <row r="4978" spans="1:15" x14ac:dyDescent="0.2">
      <c r="A4978" s="111">
        <v>5105</v>
      </c>
      <c r="B4978" s="421" t="s">
        <v>5540</v>
      </c>
      <c r="C4978" s="421" t="s">
        <v>561</v>
      </c>
      <c r="D4978" s="422" t="s">
        <v>666</v>
      </c>
      <c r="E4978" s="111">
        <v>16854</v>
      </c>
      <c r="F4978" s="421" t="s">
        <v>9158</v>
      </c>
    </row>
    <row r="4979" spans="1:15" x14ac:dyDescent="0.2">
      <c r="A4979" s="111">
        <v>5106</v>
      </c>
      <c r="B4979" s="421" t="s">
        <v>468</v>
      </c>
      <c r="C4979" s="421" t="s">
        <v>501</v>
      </c>
      <c r="D4979" s="422" t="s">
        <v>666</v>
      </c>
      <c r="E4979" s="111">
        <v>16855</v>
      </c>
      <c r="F4979" s="421" t="s">
        <v>9159</v>
      </c>
      <c r="G4979" s="112">
        <v>1</v>
      </c>
      <c r="H4979" s="112">
        <v>1</v>
      </c>
      <c r="I4979" s="112">
        <v>1</v>
      </c>
      <c r="J4979" s="112">
        <v>1</v>
      </c>
      <c r="K4979" s="112">
        <v>1</v>
      </c>
      <c r="L4979" s="112">
        <v>1</v>
      </c>
    </row>
    <row r="4980" spans="1:15" x14ac:dyDescent="0.2">
      <c r="A4980" s="111">
        <v>5107</v>
      </c>
      <c r="B4980" s="421" t="s">
        <v>1296</v>
      </c>
      <c r="C4980" s="421" t="s">
        <v>553</v>
      </c>
      <c r="D4980" s="422" t="s">
        <v>663</v>
      </c>
      <c r="E4980" s="111">
        <v>16856</v>
      </c>
      <c r="F4980" s="421" t="s">
        <v>9160</v>
      </c>
    </row>
    <row r="4981" spans="1:15" x14ac:dyDescent="0.2">
      <c r="A4981" s="111">
        <v>5108</v>
      </c>
      <c r="B4981" s="421" t="s">
        <v>9161</v>
      </c>
      <c r="C4981" s="421" t="s">
        <v>553</v>
      </c>
      <c r="D4981" s="422" t="s">
        <v>663</v>
      </c>
      <c r="E4981" s="111">
        <v>16856</v>
      </c>
      <c r="F4981" s="421" t="s">
        <v>9160</v>
      </c>
      <c r="H4981" s="112">
        <v>1</v>
      </c>
      <c r="I4981" s="112">
        <v>1</v>
      </c>
    </row>
    <row r="4982" spans="1:15" x14ac:dyDescent="0.2">
      <c r="A4982" s="111">
        <v>5109</v>
      </c>
      <c r="B4982" s="421" t="s">
        <v>2508</v>
      </c>
      <c r="C4982" s="421" t="s">
        <v>1994</v>
      </c>
      <c r="D4982" s="422" t="s">
        <v>663</v>
      </c>
      <c r="E4982" s="111">
        <v>16857</v>
      </c>
      <c r="F4982" s="421" t="s">
        <v>9162</v>
      </c>
      <c r="G4982" s="112">
        <v>1</v>
      </c>
      <c r="H4982" s="112">
        <v>3</v>
      </c>
      <c r="I4982" s="112">
        <v>3</v>
      </c>
    </row>
    <row r="4983" spans="1:15" x14ac:dyDescent="0.2">
      <c r="A4983" s="111">
        <v>5110</v>
      </c>
      <c r="B4983" s="421" t="s">
        <v>9163</v>
      </c>
      <c r="C4983" s="421" t="s">
        <v>531</v>
      </c>
      <c r="D4983" s="422" t="s">
        <v>663</v>
      </c>
      <c r="E4983" s="111">
        <v>16858</v>
      </c>
      <c r="F4983" s="421" t="s">
        <v>9164</v>
      </c>
    </row>
    <row r="4984" spans="1:15" x14ac:dyDescent="0.2">
      <c r="A4984" s="111">
        <v>5111</v>
      </c>
      <c r="B4984" s="421" t="s">
        <v>9165</v>
      </c>
      <c r="C4984" s="421" t="s">
        <v>570</v>
      </c>
      <c r="D4984" s="422" t="s">
        <v>666</v>
      </c>
      <c r="E4984" s="111">
        <v>16859</v>
      </c>
      <c r="F4984" s="421" t="s">
        <v>9166</v>
      </c>
      <c r="G4984" s="112">
        <v>2</v>
      </c>
      <c r="H4984" s="112">
        <v>1</v>
      </c>
      <c r="I4984" s="112">
        <v>1</v>
      </c>
      <c r="J4984" s="112">
        <v>1</v>
      </c>
      <c r="K4984" s="112">
        <v>2</v>
      </c>
      <c r="L4984" s="112">
        <v>2</v>
      </c>
    </row>
    <row r="4985" spans="1:15" x14ac:dyDescent="0.2">
      <c r="A4985" s="111">
        <v>5112</v>
      </c>
      <c r="B4985" s="421" t="s">
        <v>2547</v>
      </c>
      <c r="C4985" s="421" t="s">
        <v>2872</v>
      </c>
      <c r="D4985" s="422" t="s">
        <v>666</v>
      </c>
      <c r="E4985" s="111">
        <v>15025</v>
      </c>
      <c r="F4985" s="421" t="s">
        <v>2926</v>
      </c>
      <c r="G4985" s="112">
        <v>1</v>
      </c>
      <c r="H4985" s="112">
        <v>1</v>
      </c>
      <c r="I4985" s="112">
        <v>1</v>
      </c>
    </row>
    <row r="4986" spans="1:15" x14ac:dyDescent="0.2">
      <c r="A4986" s="111">
        <v>5113</v>
      </c>
      <c r="B4986" s="421" t="s">
        <v>9167</v>
      </c>
      <c r="C4986" s="421" t="s">
        <v>534</v>
      </c>
      <c r="D4986" s="422" t="s">
        <v>666</v>
      </c>
      <c r="E4986" s="111">
        <v>15301</v>
      </c>
      <c r="F4986" s="421" t="s">
        <v>3768</v>
      </c>
      <c r="G4986" s="112">
        <v>1</v>
      </c>
      <c r="H4986" s="112">
        <v>1</v>
      </c>
      <c r="I4986" s="112">
        <v>1</v>
      </c>
      <c r="J4986" s="112">
        <v>5</v>
      </c>
      <c r="K4986" s="112">
        <v>4</v>
      </c>
      <c r="L4986" s="112">
        <v>5</v>
      </c>
      <c r="M4986" s="112">
        <v>3</v>
      </c>
      <c r="N4986" s="112">
        <v>1</v>
      </c>
      <c r="O4986" s="112">
        <v>4</v>
      </c>
    </row>
    <row r="4987" spans="1:15" x14ac:dyDescent="0.2">
      <c r="A4987" s="111">
        <v>5114</v>
      </c>
      <c r="B4987" s="421" t="s">
        <v>6043</v>
      </c>
      <c r="C4987" s="421" t="s">
        <v>533</v>
      </c>
      <c r="D4987" s="422" t="s">
        <v>666</v>
      </c>
      <c r="F4987" s="421" t="s">
        <v>5811</v>
      </c>
      <c r="G4987" s="112">
        <v>2</v>
      </c>
      <c r="H4987" s="112">
        <v>2</v>
      </c>
      <c r="I4987" s="112">
        <v>1</v>
      </c>
      <c r="J4987" s="112">
        <v>8</v>
      </c>
      <c r="K4987" s="112">
        <v>7</v>
      </c>
      <c r="L4987" s="112">
        <v>7</v>
      </c>
      <c r="M4987" s="112">
        <v>3</v>
      </c>
      <c r="N4987" s="112">
        <v>3</v>
      </c>
      <c r="O4987" s="112">
        <v>3</v>
      </c>
    </row>
    <row r="4988" spans="1:15" x14ac:dyDescent="0.2">
      <c r="A4988" s="111">
        <v>5115</v>
      </c>
      <c r="B4988" s="421" t="s">
        <v>238</v>
      </c>
      <c r="C4988" s="421" t="s">
        <v>1201</v>
      </c>
      <c r="D4988" s="422" t="s">
        <v>666</v>
      </c>
      <c r="E4988" s="111">
        <v>16862</v>
      </c>
      <c r="F4988" s="421" t="s">
        <v>9168</v>
      </c>
      <c r="G4988" s="112">
        <v>2</v>
      </c>
      <c r="H4988" s="112">
        <v>1</v>
      </c>
      <c r="I4988" s="112">
        <v>2</v>
      </c>
      <c r="J4988" s="112">
        <v>4</v>
      </c>
      <c r="K4988" s="112">
        <v>4</v>
      </c>
      <c r="L4988" s="112">
        <v>4</v>
      </c>
      <c r="M4988" s="112">
        <v>4</v>
      </c>
      <c r="O4988" s="112">
        <v>2</v>
      </c>
    </row>
    <row r="4989" spans="1:15" x14ac:dyDescent="0.2">
      <c r="A4989" s="111">
        <v>5116</v>
      </c>
      <c r="B4989" s="421" t="s">
        <v>4607</v>
      </c>
      <c r="C4989" s="421" t="s">
        <v>503</v>
      </c>
      <c r="D4989" s="422" t="s">
        <v>663</v>
      </c>
      <c r="E4989" s="111">
        <v>16861</v>
      </c>
      <c r="F4989" s="421" t="s">
        <v>9169</v>
      </c>
      <c r="G4989" s="112">
        <v>1</v>
      </c>
      <c r="H4989" s="112">
        <v>1</v>
      </c>
      <c r="I4989" s="112">
        <v>1</v>
      </c>
      <c r="J4989" s="112">
        <v>3</v>
      </c>
      <c r="K4989" s="112">
        <v>2</v>
      </c>
      <c r="L4989" s="112">
        <v>2</v>
      </c>
      <c r="M4989" s="112">
        <v>3</v>
      </c>
      <c r="N4989" s="112">
        <v>1</v>
      </c>
      <c r="O4989" s="112">
        <v>1</v>
      </c>
    </row>
    <row r="4990" spans="1:15" x14ac:dyDescent="0.2">
      <c r="A4990" s="111">
        <v>5117</v>
      </c>
      <c r="B4990" s="421" t="s">
        <v>155</v>
      </c>
      <c r="C4990" s="421" t="s">
        <v>503</v>
      </c>
      <c r="D4990" s="422" t="s">
        <v>663</v>
      </c>
      <c r="E4990" s="111">
        <v>16861</v>
      </c>
      <c r="F4990" s="421" t="s">
        <v>9169</v>
      </c>
      <c r="G4990" s="112">
        <v>1</v>
      </c>
      <c r="H4990" s="112">
        <v>1</v>
      </c>
      <c r="I4990" s="112">
        <v>1</v>
      </c>
      <c r="J4990" s="112">
        <v>3</v>
      </c>
      <c r="K4990" s="112">
        <v>1</v>
      </c>
      <c r="L4990" s="112">
        <v>3</v>
      </c>
      <c r="M4990" s="112">
        <v>1</v>
      </c>
    </row>
    <row r="4991" spans="1:15" x14ac:dyDescent="0.2">
      <c r="A4991" s="111">
        <v>5118</v>
      </c>
      <c r="B4991" s="421" t="s">
        <v>9170</v>
      </c>
      <c r="C4991" s="421" t="s">
        <v>551</v>
      </c>
      <c r="D4991" s="422" t="s">
        <v>663</v>
      </c>
      <c r="E4991" s="111">
        <v>14389</v>
      </c>
      <c r="F4991" s="421" t="s">
        <v>1256</v>
      </c>
      <c r="G4991" s="112">
        <v>1</v>
      </c>
      <c r="H4991" s="112">
        <v>2</v>
      </c>
      <c r="I4991" s="112">
        <v>1</v>
      </c>
      <c r="J4991" s="112">
        <v>1</v>
      </c>
      <c r="L4991" s="112">
        <v>1</v>
      </c>
    </row>
    <row r="4992" spans="1:15" x14ac:dyDescent="0.2">
      <c r="A4992" s="111">
        <v>5119</v>
      </c>
      <c r="B4992" s="421" t="s">
        <v>3169</v>
      </c>
      <c r="C4992" s="421" t="s">
        <v>1447</v>
      </c>
      <c r="D4992" s="422" t="s">
        <v>666</v>
      </c>
      <c r="E4992" s="111">
        <v>16863</v>
      </c>
      <c r="F4992" s="421" t="s">
        <v>9171</v>
      </c>
      <c r="G4992" s="112">
        <v>1</v>
      </c>
      <c r="H4992" s="112">
        <v>1</v>
      </c>
      <c r="I4992" s="112">
        <v>1</v>
      </c>
      <c r="J4992" s="112">
        <v>3</v>
      </c>
      <c r="K4992" s="112">
        <v>3</v>
      </c>
      <c r="L4992" s="112">
        <v>2</v>
      </c>
    </row>
    <row r="4993" spans="1:15" x14ac:dyDescent="0.2">
      <c r="A4993" s="111">
        <v>5120</v>
      </c>
      <c r="B4993" s="421" t="s">
        <v>9172</v>
      </c>
      <c r="C4993" s="421" t="s">
        <v>506</v>
      </c>
      <c r="D4993" s="422" t="s">
        <v>663</v>
      </c>
      <c r="E4993" s="111">
        <v>16863</v>
      </c>
      <c r="F4993" s="421" t="s">
        <v>9171</v>
      </c>
      <c r="G4993" s="112">
        <v>1</v>
      </c>
      <c r="H4993" s="112">
        <v>1</v>
      </c>
      <c r="I4993" s="112">
        <v>1</v>
      </c>
      <c r="J4993" s="112">
        <v>3</v>
      </c>
      <c r="K4993" s="112">
        <v>3</v>
      </c>
      <c r="L4993" s="112">
        <v>3</v>
      </c>
      <c r="M4993" s="112">
        <v>2</v>
      </c>
      <c r="N4993" s="112">
        <v>2</v>
      </c>
      <c r="O4993" s="112">
        <v>2</v>
      </c>
    </row>
    <row r="4994" spans="1:15" x14ac:dyDescent="0.2">
      <c r="A4994" s="111">
        <v>5121</v>
      </c>
      <c r="B4994" s="421" t="s">
        <v>266</v>
      </c>
      <c r="C4994" s="421" t="s">
        <v>510</v>
      </c>
      <c r="D4994" s="422" t="s">
        <v>663</v>
      </c>
      <c r="E4994" s="111">
        <v>16864</v>
      </c>
      <c r="F4994" s="421" t="s">
        <v>9173</v>
      </c>
    </row>
    <row r="4995" spans="1:15" x14ac:dyDescent="0.2">
      <c r="A4995" s="111">
        <v>5122</v>
      </c>
      <c r="B4995" s="421" t="s">
        <v>3014</v>
      </c>
      <c r="C4995" s="421" t="s">
        <v>2581</v>
      </c>
      <c r="D4995" s="422" t="s">
        <v>663</v>
      </c>
      <c r="E4995" s="111">
        <v>15794</v>
      </c>
      <c r="F4995" s="421" t="s">
        <v>5434</v>
      </c>
    </row>
    <row r="4996" spans="1:15" x14ac:dyDescent="0.2">
      <c r="A4996" s="111">
        <v>5123</v>
      </c>
      <c r="B4996" s="421" t="s">
        <v>9174</v>
      </c>
      <c r="C4996" s="421" t="s">
        <v>503</v>
      </c>
      <c r="D4996" s="422" t="s">
        <v>666</v>
      </c>
      <c r="E4996" s="111">
        <v>16865</v>
      </c>
      <c r="F4996" s="421" t="s">
        <v>9175</v>
      </c>
      <c r="G4996" s="112">
        <v>1</v>
      </c>
      <c r="H4996" s="112">
        <v>1</v>
      </c>
      <c r="I4996" s="112">
        <v>1</v>
      </c>
      <c r="J4996" s="112">
        <v>3</v>
      </c>
      <c r="K4996" s="112">
        <v>2</v>
      </c>
      <c r="L4996" s="112">
        <v>2</v>
      </c>
    </row>
    <row r="4997" spans="1:15" x14ac:dyDescent="0.2">
      <c r="A4997" s="111">
        <v>5124</v>
      </c>
      <c r="B4997" s="421" t="s">
        <v>4023</v>
      </c>
      <c r="C4997" s="421" t="s">
        <v>506</v>
      </c>
      <c r="D4997" s="422" t="s">
        <v>663</v>
      </c>
      <c r="E4997" s="111">
        <v>14640</v>
      </c>
      <c r="F4997" s="421" t="s">
        <v>1941</v>
      </c>
      <c r="G4997" s="112">
        <v>1</v>
      </c>
      <c r="H4997" s="112">
        <v>2</v>
      </c>
      <c r="I4997" s="112">
        <v>2</v>
      </c>
      <c r="J4997" s="112">
        <v>8</v>
      </c>
      <c r="K4997" s="112">
        <v>6</v>
      </c>
      <c r="L4997" s="112">
        <v>6</v>
      </c>
      <c r="O4997" s="112">
        <v>1</v>
      </c>
    </row>
    <row r="4998" spans="1:15" x14ac:dyDescent="0.2">
      <c r="A4998" s="111">
        <v>5125</v>
      </c>
      <c r="B4998" s="421" t="s">
        <v>365</v>
      </c>
      <c r="C4998" s="421" t="s">
        <v>502</v>
      </c>
      <c r="D4998" s="422" t="s">
        <v>666</v>
      </c>
      <c r="F4998" s="421" t="s">
        <v>9176</v>
      </c>
      <c r="G4998" s="112">
        <v>1</v>
      </c>
      <c r="H4998" s="112">
        <v>1</v>
      </c>
      <c r="I4998" s="112">
        <v>1</v>
      </c>
    </row>
    <row r="4999" spans="1:15" x14ac:dyDescent="0.2">
      <c r="A4999" s="111">
        <v>5126</v>
      </c>
      <c r="B4999" s="421" t="s">
        <v>9215</v>
      </c>
      <c r="C4999" s="421" t="s">
        <v>1523</v>
      </c>
      <c r="D4999" s="422" t="s">
        <v>663</v>
      </c>
      <c r="E4999" s="111">
        <v>14517</v>
      </c>
      <c r="F4999" s="421" t="s">
        <v>1575</v>
      </c>
      <c r="G4999" s="112">
        <v>1</v>
      </c>
      <c r="H4999" s="112">
        <v>1</v>
      </c>
      <c r="I4999" s="112">
        <v>1</v>
      </c>
      <c r="J4999" s="112">
        <v>3</v>
      </c>
      <c r="K4999" s="112">
        <v>3</v>
      </c>
      <c r="L4999" s="112">
        <v>3</v>
      </c>
    </row>
    <row r="5000" spans="1:15" x14ac:dyDescent="0.2">
      <c r="A5000" s="111">
        <v>5127</v>
      </c>
      <c r="B5000" s="421" t="s">
        <v>6462</v>
      </c>
      <c r="C5000" s="421" t="s">
        <v>7405</v>
      </c>
      <c r="D5000" s="422" t="s">
        <v>666</v>
      </c>
      <c r="E5000" s="111">
        <v>16869</v>
      </c>
      <c r="F5000" s="421" t="s">
        <v>9225</v>
      </c>
      <c r="G5000" s="112">
        <v>1</v>
      </c>
      <c r="H5000" s="112">
        <v>1</v>
      </c>
    </row>
    <row r="5001" spans="1:15" x14ac:dyDescent="0.2">
      <c r="A5001" s="111">
        <v>5128</v>
      </c>
      <c r="B5001" s="421" t="s">
        <v>4099</v>
      </c>
      <c r="C5001" s="421" t="s">
        <v>506</v>
      </c>
      <c r="D5001" s="422" t="s">
        <v>666</v>
      </c>
      <c r="E5001" s="111">
        <v>16868</v>
      </c>
      <c r="F5001" s="421" t="s">
        <v>9235</v>
      </c>
      <c r="G5001" s="112">
        <v>1</v>
      </c>
      <c r="H5001" s="112">
        <v>1</v>
      </c>
      <c r="I5001" s="112">
        <v>1</v>
      </c>
      <c r="K5001" s="112">
        <v>1</v>
      </c>
      <c r="L5001" s="112">
        <v>1</v>
      </c>
    </row>
    <row r="5002" spans="1:15" x14ac:dyDescent="0.2">
      <c r="A5002" s="111">
        <v>5129</v>
      </c>
      <c r="B5002" s="421" t="s">
        <v>9213</v>
      </c>
      <c r="C5002" s="421" t="s">
        <v>510</v>
      </c>
      <c r="D5002" s="422" t="s">
        <v>663</v>
      </c>
      <c r="E5002" s="111">
        <v>16870</v>
      </c>
      <c r="F5002" s="421" t="s">
        <v>9223</v>
      </c>
    </row>
    <row r="5003" spans="1:15" x14ac:dyDescent="0.2">
      <c r="A5003" s="111">
        <v>5130</v>
      </c>
      <c r="B5003" s="421" t="s">
        <v>9220</v>
      </c>
      <c r="C5003" s="421" t="s">
        <v>3386</v>
      </c>
      <c r="D5003" s="422" t="s">
        <v>666</v>
      </c>
      <c r="E5003" s="111">
        <v>16871</v>
      </c>
      <c r="F5003" s="421" t="s">
        <v>9233</v>
      </c>
      <c r="G5003" s="112">
        <v>2</v>
      </c>
      <c r="H5003" s="112">
        <v>1</v>
      </c>
      <c r="I5003" s="112">
        <v>2</v>
      </c>
      <c r="J5003" s="112">
        <v>1</v>
      </c>
      <c r="K5003" s="112">
        <v>3</v>
      </c>
      <c r="L5003" s="112">
        <v>1</v>
      </c>
    </row>
    <row r="5004" spans="1:15" x14ac:dyDescent="0.2">
      <c r="A5004" s="111">
        <v>5131</v>
      </c>
      <c r="B5004" s="421" t="s">
        <v>468</v>
      </c>
      <c r="C5004" s="421" t="s">
        <v>3386</v>
      </c>
      <c r="D5004" s="422" t="s">
        <v>666</v>
      </c>
      <c r="E5004" s="111">
        <v>16871</v>
      </c>
      <c r="F5004" s="421" t="s">
        <v>9233</v>
      </c>
      <c r="G5004" s="112">
        <v>1</v>
      </c>
      <c r="H5004" s="112">
        <v>1</v>
      </c>
      <c r="I5004" s="112">
        <v>1</v>
      </c>
    </row>
    <row r="5005" spans="1:15" x14ac:dyDescent="0.2">
      <c r="A5005" s="111">
        <v>5132</v>
      </c>
      <c r="B5005" s="421" t="s">
        <v>131</v>
      </c>
      <c r="C5005" s="421" t="s">
        <v>513</v>
      </c>
      <c r="D5005" s="422" t="s">
        <v>663</v>
      </c>
      <c r="E5005" s="111">
        <v>16872</v>
      </c>
      <c r="F5005" s="421" t="s">
        <v>9226</v>
      </c>
      <c r="G5005" s="112">
        <v>2</v>
      </c>
      <c r="H5005" s="112">
        <v>1</v>
      </c>
      <c r="I5005" s="112">
        <v>2</v>
      </c>
    </row>
    <row r="5006" spans="1:15" x14ac:dyDescent="0.2">
      <c r="A5006" s="111">
        <v>5133</v>
      </c>
      <c r="B5006" s="421" t="s">
        <v>7676</v>
      </c>
      <c r="C5006" s="421" t="s">
        <v>518</v>
      </c>
      <c r="D5006" s="422" t="s">
        <v>663</v>
      </c>
      <c r="E5006" s="111">
        <v>16867</v>
      </c>
      <c r="F5006" s="421" t="s">
        <v>9230</v>
      </c>
    </row>
    <row r="5007" spans="1:15" x14ac:dyDescent="0.2">
      <c r="A5007" s="111">
        <v>5134</v>
      </c>
      <c r="B5007" s="421" t="s">
        <v>9216</v>
      </c>
      <c r="C5007" s="421" t="s">
        <v>550</v>
      </c>
      <c r="D5007" s="422" t="s">
        <v>663</v>
      </c>
      <c r="E5007" s="111">
        <v>16873</v>
      </c>
      <c r="F5007" s="421" t="s">
        <v>4679</v>
      </c>
      <c r="G5007" s="112">
        <v>1</v>
      </c>
      <c r="H5007" s="112">
        <v>1</v>
      </c>
      <c r="I5007" s="112">
        <v>1</v>
      </c>
      <c r="J5007" s="112">
        <v>1</v>
      </c>
      <c r="K5007" s="112">
        <v>1</v>
      </c>
      <c r="L5007" s="112">
        <v>1</v>
      </c>
      <c r="M5007" s="112">
        <v>1</v>
      </c>
      <c r="O5007" s="112">
        <v>1</v>
      </c>
    </row>
    <row r="5008" spans="1:15" x14ac:dyDescent="0.2">
      <c r="A5008" s="111">
        <v>5135</v>
      </c>
      <c r="B5008" s="421" t="s">
        <v>266</v>
      </c>
      <c r="C5008" s="421" t="s">
        <v>527</v>
      </c>
      <c r="D5008" s="422" t="s">
        <v>663</v>
      </c>
      <c r="E5008" s="111">
        <v>16874</v>
      </c>
      <c r="F5008" s="421" t="s">
        <v>9222</v>
      </c>
      <c r="G5008" s="112">
        <v>1</v>
      </c>
      <c r="I5008" s="112">
        <v>2</v>
      </c>
    </row>
    <row r="5009" spans="1:15" x14ac:dyDescent="0.2">
      <c r="A5009" s="111">
        <v>5136</v>
      </c>
      <c r="B5009" s="421" t="s">
        <v>224</v>
      </c>
      <c r="C5009" s="421" t="s">
        <v>516</v>
      </c>
      <c r="D5009" s="422" t="s">
        <v>663</v>
      </c>
      <c r="E5009" s="111">
        <v>16894</v>
      </c>
      <c r="F5009" s="421" t="s">
        <v>9234</v>
      </c>
      <c r="G5009" s="112">
        <v>1</v>
      </c>
      <c r="H5009" s="112">
        <v>1</v>
      </c>
      <c r="I5009" s="112">
        <v>1</v>
      </c>
      <c r="J5009" s="112">
        <v>4</v>
      </c>
      <c r="K5009" s="112">
        <v>5</v>
      </c>
      <c r="L5009" s="112">
        <v>5</v>
      </c>
    </row>
    <row r="5010" spans="1:15" x14ac:dyDescent="0.2">
      <c r="A5010" s="111">
        <v>5137</v>
      </c>
      <c r="B5010" s="421" t="s">
        <v>291</v>
      </c>
      <c r="C5010" s="421" t="s">
        <v>2003</v>
      </c>
      <c r="D5010" s="422" t="s">
        <v>666</v>
      </c>
      <c r="E5010" s="111">
        <v>16875</v>
      </c>
      <c r="F5010" s="421" t="s">
        <v>9229</v>
      </c>
      <c r="G5010" s="112">
        <v>1</v>
      </c>
      <c r="H5010" s="112">
        <v>1</v>
      </c>
      <c r="I5010" s="112">
        <v>1</v>
      </c>
      <c r="J5010" s="112">
        <v>1</v>
      </c>
    </row>
    <row r="5011" spans="1:15" x14ac:dyDescent="0.2">
      <c r="A5011" s="111">
        <v>5138</v>
      </c>
      <c r="B5011" s="421" t="s">
        <v>404</v>
      </c>
      <c r="C5011" s="421" t="s">
        <v>2872</v>
      </c>
      <c r="D5011" s="422" t="s">
        <v>663</v>
      </c>
      <c r="E5011" s="111">
        <v>16628</v>
      </c>
      <c r="F5011" s="421" t="s">
        <v>8049</v>
      </c>
      <c r="G5011" s="112">
        <v>2</v>
      </c>
      <c r="H5011" s="112">
        <v>2</v>
      </c>
      <c r="I5011" s="112">
        <v>1</v>
      </c>
      <c r="J5011" s="112">
        <v>9</v>
      </c>
      <c r="K5011" s="112">
        <v>7</v>
      </c>
      <c r="L5011" s="112">
        <v>9</v>
      </c>
      <c r="M5011" s="112">
        <v>4</v>
      </c>
      <c r="N5011" s="112">
        <v>3</v>
      </c>
      <c r="O5011" s="112">
        <v>4</v>
      </c>
    </row>
    <row r="5012" spans="1:15" x14ac:dyDescent="0.2">
      <c r="A5012" s="111">
        <v>5139</v>
      </c>
      <c r="B5012" s="421" t="s">
        <v>7530</v>
      </c>
      <c r="C5012" s="421" t="s">
        <v>504</v>
      </c>
      <c r="D5012" s="422" t="s">
        <v>666</v>
      </c>
      <c r="E5012" s="111">
        <v>16876</v>
      </c>
      <c r="F5012" s="421" t="s">
        <v>9236</v>
      </c>
      <c r="G5012" s="112">
        <v>2</v>
      </c>
      <c r="H5012" s="112">
        <v>2</v>
      </c>
      <c r="I5012" s="112">
        <v>1</v>
      </c>
      <c r="J5012" s="112">
        <v>1</v>
      </c>
      <c r="L5012" s="112">
        <v>1</v>
      </c>
    </row>
    <row r="5013" spans="1:15" x14ac:dyDescent="0.2">
      <c r="A5013" s="111">
        <v>5140</v>
      </c>
      <c r="B5013" s="421" t="s">
        <v>9214</v>
      </c>
      <c r="C5013" s="421" t="s">
        <v>5509</v>
      </c>
      <c r="D5013" s="422" t="s">
        <v>663</v>
      </c>
      <c r="E5013" s="111">
        <v>16877</v>
      </c>
      <c r="F5013" s="421" t="s">
        <v>9224</v>
      </c>
      <c r="G5013" s="112">
        <v>2</v>
      </c>
      <c r="H5013" s="112">
        <v>1</v>
      </c>
      <c r="I5013" s="112">
        <v>3</v>
      </c>
      <c r="J5013" s="112">
        <v>6</v>
      </c>
      <c r="K5013" s="112">
        <v>6</v>
      </c>
      <c r="L5013" s="112">
        <v>7</v>
      </c>
      <c r="M5013" s="112">
        <v>4</v>
      </c>
      <c r="N5013" s="112">
        <v>3</v>
      </c>
      <c r="O5013" s="112">
        <v>4</v>
      </c>
    </row>
    <row r="5014" spans="1:15" x14ac:dyDescent="0.2">
      <c r="A5014" s="111">
        <v>5141</v>
      </c>
      <c r="B5014" s="421" t="s">
        <v>7805</v>
      </c>
      <c r="C5014" s="421" t="s">
        <v>502</v>
      </c>
      <c r="D5014" s="422" t="s">
        <v>663</v>
      </c>
      <c r="E5014" s="111">
        <v>16878</v>
      </c>
      <c r="F5014" s="421" t="s">
        <v>9227</v>
      </c>
      <c r="G5014" s="112">
        <v>1</v>
      </c>
      <c r="H5014" s="112">
        <v>1</v>
      </c>
      <c r="I5014" s="112">
        <v>1</v>
      </c>
      <c r="J5014" s="112">
        <v>9</v>
      </c>
      <c r="K5014" s="112">
        <v>7</v>
      </c>
      <c r="L5014" s="112">
        <v>7</v>
      </c>
      <c r="M5014" s="112">
        <v>3</v>
      </c>
      <c r="N5014" s="112">
        <v>3</v>
      </c>
      <c r="O5014" s="112">
        <v>4</v>
      </c>
    </row>
    <row r="5015" spans="1:15" x14ac:dyDescent="0.2">
      <c r="A5015" s="111">
        <v>5142</v>
      </c>
      <c r="B5015" s="421" t="s">
        <v>9217</v>
      </c>
      <c r="C5015" s="421" t="s">
        <v>1378</v>
      </c>
      <c r="D5015" s="422" t="s">
        <v>666</v>
      </c>
      <c r="E5015" s="111">
        <v>16878</v>
      </c>
      <c r="F5015" s="421" t="s">
        <v>9227</v>
      </c>
      <c r="G5015" s="112">
        <v>1</v>
      </c>
      <c r="H5015" s="112">
        <v>1</v>
      </c>
      <c r="I5015" s="112">
        <v>1</v>
      </c>
    </row>
    <row r="5016" spans="1:15" x14ac:dyDescent="0.2">
      <c r="A5016" s="111">
        <v>5143</v>
      </c>
      <c r="B5016" s="421" t="s">
        <v>48</v>
      </c>
      <c r="C5016" s="421" t="s">
        <v>506</v>
      </c>
      <c r="D5016" s="422" t="s">
        <v>663</v>
      </c>
      <c r="E5016" s="111">
        <v>16685</v>
      </c>
      <c r="F5016" s="421" t="s">
        <v>8390</v>
      </c>
      <c r="G5016" s="112">
        <v>2</v>
      </c>
      <c r="H5016" s="112">
        <v>1</v>
      </c>
      <c r="I5016" s="112">
        <v>2</v>
      </c>
      <c r="J5016" s="112">
        <v>1</v>
      </c>
      <c r="K5016" s="112">
        <v>1</v>
      </c>
      <c r="L5016" s="112">
        <v>1</v>
      </c>
    </row>
    <row r="5017" spans="1:15" x14ac:dyDescent="0.2">
      <c r="A5017" s="111">
        <v>5144</v>
      </c>
      <c r="B5017" s="421" t="s">
        <v>36</v>
      </c>
      <c r="C5017" s="421" t="s">
        <v>506</v>
      </c>
      <c r="D5017" s="422" t="s">
        <v>663</v>
      </c>
      <c r="E5017" s="111">
        <v>16879</v>
      </c>
      <c r="F5017" s="421" t="s">
        <v>9231</v>
      </c>
      <c r="G5017" s="112">
        <v>1</v>
      </c>
      <c r="H5017" s="112">
        <v>1</v>
      </c>
      <c r="I5017" s="112">
        <v>1</v>
      </c>
    </row>
    <row r="5018" spans="1:15" x14ac:dyDescent="0.2">
      <c r="A5018" s="111">
        <v>5145</v>
      </c>
      <c r="B5018" s="421" t="s">
        <v>320</v>
      </c>
      <c r="C5018" s="421" t="s">
        <v>555</v>
      </c>
      <c r="D5018" s="422" t="s">
        <v>666</v>
      </c>
      <c r="E5018" s="111">
        <v>16880</v>
      </c>
      <c r="F5018" s="421" t="s">
        <v>9232</v>
      </c>
      <c r="G5018" s="112">
        <v>1</v>
      </c>
      <c r="H5018" s="112">
        <v>1</v>
      </c>
    </row>
    <row r="5019" spans="1:15" x14ac:dyDescent="0.2">
      <c r="A5019" s="111">
        <v>5146</v>
      </c>
      <c r="B5019" s="421" t="s">
        <v>9218</v>
      </c>
      <c r="C5019" s="421" t="s">
        <v>545</v>
      </c>
      <c r="D5019" s="422" t="s">
        <v>666</v>
      </c>
      <c r="E5019" s="111">
        <v>16881</v>
      </c>
      <c r="F5019" s="421" t="s">
        <v>9228</v>
      </c>
      <c r="G5019" s="112">
        <v>1</v>
      </c>
      <c r="H5019" s="112">
        <v>1</v>
      </c>
      <c r="I5019" s="112">
        <v>1</v>
      </c>
      <c r="J5019" s="112">
        <v>4</v>
      </c>
      <c r="K5019" s="112">
        <v>5</v>
      </c>
      <c r="L5019" s="112">
        <v>5</v>
      </c>
    </row>
    <row r="5020" spans="1:15" x14ac:dyDescent="0.2">
      <c r="A5020" s="111">
        <v>5147</v>
      </c>
      <c r="B5020" s="421" t="s">
        <v>1903</v>
      </c>
      <c r="C5020" s="421" t="s">
        <v>501</v>
      </c>
      <c r="D5020" s="422" t="s">
        <v>663</v>
      </c>
      <c r="E5020" s="111">
        <v>15567</v>
      </c>
      <c r="F5020" s="421" t="s">
        <v>5073</v>
      </c>
    </row>
    <row r="5021" spans="1:15" x14ac:dyDescent="0.2">
      <c r="A5021" s="111">
        <v>5148</v>
      </c>
      <c r="B5021" s="421" t="s">
        <v>9219</v>
      </c>
      <c r="C5021" s="421" t="s">
        <v>549</v>
      </c>
      <c r="D5021" s="422" t="s">
        <v>666</v>
      </c>
      <c r="E5021" s="111">
        <v>15567</v>
      </c>
      <c r="F5021" s="421" t="s">
        <v>5073</v>
      </c>
    </row>
    <row r="5022" spans="1:15" x14ac:dyDescent="0.2">
      <c r="A5022" s="111">
        <v>5149</v>
      </c>
      <c r="B5022" s="421" t="s">
        <v>9275</v>
      </c>
      <c r="C5022" s="421" t="s">
        <v>7405</v>
      </c>
      <c r="D5022" s="422" t="s">
        <v>666</v>
      </c>
      <c r="E5022" s="111">
        <v>16268</v>
      </c>
      <c r="F5022" s="421" t="s">
        <v>6806</v>
      </c>
      <c r="G5022" s="112">
        <v>3</v>
      </c>
      <c r="H5022" s="112">
        <v>3</v>
      </c>
      <c r="I5022" s="112">
        <v>1</v>
      </c>
      <c r="J5022" s="112">
        <v>5</v>
      </c>
      <c r="K5022" s="112">
        <v>7</v>
      </c>
      <c r="L5022" s="112">
        <v>5</v>
      </c>
    </row>
    <row r="5023" spans="1:15" x14ac:dyDescent="0.2">
      <c r="A5023" s="111">
        <v>5150</v>
      </c>
      <c r="B5023" s="421" t="s">
        <v>9288</v>
      </c>
      <c r="C5023" s="421" t="s">
        <v>533</v>
      </c>
      <c r="D5023" s="422" t="s">
        <v>663</v>
      </c>
      <c r="E5023" s="111">
        <v>16882</v>
      </c>
      <c r="F5023" s="421" t="s">
        <v>9338</v>
      </c>
      <c r="G5023" s="112">
        <v>1</v>
      </c>
      <c r="H5023" s="112">
        <v>1</v>
      </c>
      <c r="I5023" s="112">
        <v>1</v>
      </c>
      <c r="L5023" s="112">
        <v>1</v>
      </c>
    </row>
    <row r="5024" spans="1:15" x14ac:dyDescent="0.2">
      <c r="A5024" s="111">
        <v>5151</v>
      </c>
      <c r="B5024" s="421" t="s">
        <v>1423</v>
      </c>
      <c r="C5024" s="421" t="s">
        <v>530</v>
      </c>
      <c r="D5024" s="422" t="s">
        <v>663</v>
      </c>
      <c r="E5024" s="111">
        <v>16884</v>
      </c>
      <c r="F5024" s="421" t="s">
        <v>9325</v>
      </c>
      <c r="G5024" s="112">
        <v>1</v>
      </c>
      <c r="H5024" s="112">
        <v>1</v>
      </c>
    </row>
    <row r="5025" spans="1:15" x14ac:dyDescent="0.2">
      <c r="A5025" s="111">
        <v>5152</v>
      </c>
      <c r="B5025" s="421" t="s">
        <v>1911</v>
      </c>
      <c r="C5025" s="421" t="s">
        <v>580</v>
      </c>
      <c r="D5025" s="422" t="s">
        <v>663</v>
      </c>
      <c r="E5025" s="111">
        <v>15066</v>
      </c>
      <c r="F5025" s="421" t="s">
        <v>3040</v>
      </c>
      <c r="G5025" s="112">
        <v>1</v>
      </c>
      <c r="H5025" s="112">
        <v>1</v>
      </c>
      <c r="I5025" s="112">
        <v>1</v>
      </c>
      <c r="J5025" s="112">
        <v>1</v>
      </c>
      <c r="K5025" s="112">
        <v>1</v>
      </c>
      <c r="L5025" s="112">
        <v>1</v>
      </c>
    </row>
    <row r="5026" spans="1:15" x14ac:dyDescent="0.2">
      <c r="A5026" s="111">
        <v>5153</v>
      </c>
      <c r="B5026" s="421" t="s">
        <v>365</v>
      </c>
      <c r="C5026" s="421" t="s">
        <v>501</v>
      </c>
      <c r="D5026" s="422" t="s">
        <v>666</v>
      </c>
      <c r="E5026" s="111">
        <v>15277</v>
      </c>
      <c r="F5026" s="421" t="s">
        <v>3493</v>
      </c>
      <c r="G5026" s="112">
        <v>1</v>
      </c>
      <c r="H5026" s="112">
        <v>1</v>
      </c>
      <c r="I5026" s="112">
        <v>1</v>
      </c>
      <c r="J5026" s="112">
        <v>7</v>
      </c>
      <c r="K5026" s="112">
        <v>10</v>
      </c>
      <c r="L5026" s="112">
        <v>6</v>
      </c>
      <c r="M5026" s="112">
        <v>3</v>
      </c>
      <c r="N5026" s="112">
        <v>4</v>
      </c>
      <c r="O5026" s="112">
        <v>3</v>
      </c>
    </row>
    <row r="5027" spans="1:15" x14ac:dyDescent="0.2">
      <c r="A5027" s="111">
        <v>5154</v>
      </c>
      <c r="B5027" s="421" t="s">
        <v>1600</v>
      </c>
      <c r="C5027" s="421" t="s">
        <v>501</v>
      </c>
      <c r="D5027" s="422" t="s">
        <v>663</v>
      </c>
      <c r="E5027" s="111">
        <v>15277</v>
      </c>
      <c r="F5027" s="421" t="s">
        <v>3493</v>
      </c>
      <c r="G5027" s="112">
        <v>1</v>
      </c>
      <c r="H5027" s="112">
        <v>1</v>
      </c>
      <c r="I5027" s="112">
        <v>1</v>
      </c>
      <c r="J5027" s="112">
        <v>5</v>
      </c>
      <c r="K5027" s="112">
        <v>6</v>
      </c>
      <c r="L5027" s="112">
        <v>7</v>
      </c>
      <c r="M5027" s="112">
        <v>5</v>
      </c>
      <c r="N5027" s="112">
        <v>2</v>
      </c>
      <c r="O5027" s="112">
        <v>2</v>
      </c>
    </row>
    <row r="5028" spans="1:15" x14ac:dyDescent="0.2">
      <c r="A5028" s="111">
        <v>5155</v>
      </c>
      <c r="B5028" s="421" t="s">
        <v>381</v>
      </c>
      <c r="C5028" s="421" t="s">
        <v>501</v>
      </c>
      <c r="D5028" s="422" t="s">
        <v>663</v>
      </c>
      <c r="E5028" s="111">
        <v>16883</v>
      </c>
      <c r="F5028" s="421" t="s">
        <v>9366</v>
      </c>
      <c r="G5028" s="112">
        <v>2</v>
      </c>
      <c r="H5028" s="112">
        <v>2</v>
      </c>
      <c r="I5028" s="112">
        <v>2</v>
      </c>
      <c r="J5028" s="112">
        <v>5</v>
      </c>
      <c r="K5028" s="112">
        <v>1</v>
      </c>
      <c r="L5028" s="112">
        <v>3</v>
      </c>
    </row>
    <row r="5029" spans="1:15" x14ac:dyDescent="0.2">
      <c r="A5029" s="111">
        <v>5156</v>
      </c>
      <c r="B5029" s="421" t="s">
        <v>301</v>
      </c>
      <c r="C5029" s="421" t="s">
        <v>577</v>
      </c>
      <c r="D5029" s="422" t="s">
        <v>666</v>
      </c>
      <c r="F5029" s="421" t="s">
        <v>9345</v>
      </c>
      <c r="G5029" s="112">
        <v>1</v>
      </c>
      <c r="H5029" s="112">
        <v>1</v>
      </c>
      <c r="I5029" s="112">
        <v>1</v>
      </c>
    </row>
    <row r="5030" spans="1:15" x14ac:dyDescent="0.2">
      <c r="A5030" s="111">
        <v>5157</v>
      </c>
      <c r="B5030" s="421" t="s">
        <v>382</v>
      </c>
      <c r="C5030" s="421" t="s">
        <v>1201</v>
      </c>
      <c r="D5030" s="422" t="s">
        <v>663</v>
      </c>
      <c r="E5030" s="111">
        <v>16473</v>
      </c>
      <c r="F5030" s="421" t="s">
        <v>7744</v>
      </c>
    </row>
    <row r="5031" spans="1:15" x14ac:dyDescent="0.2">
      <c r="A5031" s="111">
        <v>5159</v>
      </c>
      <c r="B5031" s="421" t="s">
        <v>9289</v>
      </c>
      <c r="C5031" s="421" t="s">
        <v>501</v>
      </c>
      <c r="D5031" s="422" t="s">
        <v>666</v>
      </c>
      <c r="E5031" s="111">
        <v>17211</v>
      </c>
      <c r="F5031" s="421" t="s">
        <v>9339</v>
      </c>
      <c r="G5031" s="112">
        <v>1</v>
      </c>
      <c r="H5031" s="112">
        <v>1</v>
      </c>
      <c r="I5031" s="112">
        <v>1</v>
      </c>
    </row>
    <row r="5032" spans="1:15" x14ac:dyDescent="0.2">
      <c r="A5032" s="111">
        <v>5160</v>
      </c>
      <c r="B5032" s="421" t="s">
        <v>9303</v>
      </c>
      <c r="C5032" s="421" t="s">
        <v>551</v>
      </c>
      <c r="D5032" s="422" t="s">
        <v>666</v>
      </c>
      <c r="E5032" s="111">
        <v>17031</v>
      </c>
      <c r="F5032" s="421" t="s">
        <v>9356</v>
      </c>
      <c r="G5032" s="112">
        <v>1</v>
      </c>
      <c r="H5032" s="112">
        <v>1</v>
      </c>
      <c r="I5032" s="112">
        <v>1</v>
      </c>
      <c r="J5032" s="112">
        <v>1</v>
      </c>
    </row>
    <row r="5033" spans="1:15" x14ac:dyDescent="0.2">
      <c r="A5033" s="111">
        <v>5161</v>
      </c>
      <c r="B5033" s="421" t="s">
        <v>3841</v>
      </c>
      <c r="C5033" s="421" t="s">
        <v>551</v>
      </c>
      <c r="D5033" s="422" t="s">
        <v>666</v>
      </c>
      <c r="E5033" s="111">
        <v>16886</v>
      </c>
      <c r="F5033" s="421" t="s">
        <v>9361</v>
      </c>
      <c r="G5033" s="112">
        <v>1</v>
      </c>
      <c r="H5033" s="112">
        <v>1</v>
      </c>
      <c r="I5033" s="112">
        <v>1</v>
      </c>
    </row>
    <row r="5034" spans="1:15" x14ac:dyDescent="0.2">
      <c r="A5034" s="111">
        <v>5162</v>
      </c>
      <c r="B5034" s="421" t="s">
        <v>9315</v>
      </c>
      <c r="C5034" s="421" t="s">
        <v>1201</v>
      </c>
      <c r="D5034" s="422" t="s">
        <v>666</v>
      </c>
      <c r="E5034" s="111">
        <v>16887</v>
      </c>
      <c r="F5034" s="421" t="s">
        <v>9373</v>
      </c>
      <c r="G5034" s="112">
        <v>1</v>
      </c>
      <c r="H5034" s="112">
        <v>1</v>
      </c>
    </row>
    <row r="5035" spans="1:15" x14ac:dyDescent="0.2">
      <c r="A5035" s="111">
        <v>5163</v>
      </c>
      <c r="B5035" s="421" t="s">
        <v>4646</v>
      </c>
      <c r="C5035" s="421" t="s">
        <v>571</v>
      </c>
      <c r="D5035" s="422" t="s">
        <v>663</v>
      </c>
      <c r="E5035" s="111">
        <v>16888</v>
      </c>
      <c r="F5035" s="421" t="s">
        <v>9318</v>
      </c>
      <c r="G5035" s="112">
        <v>1</v>
      </c>
      <c r="H5035" s="112">
        <v>1</v>
      </c>
      <c r="I5035" s="112">
        <v>1</v>
      </c>
      <c r="J5035" s="112">
        <v>8</v>
      </c>
      <c r="K5035" s="112">
        <v>7</v>
      </c>
      <c r="L5035" s="112">
        <v>7</v>
      </c>
      <c r="M5035" s="112">
        <v>3</v>
      </c>
      <c r="N5035" s="112">
        <v>2</v>
      </c>
      <c r="O5035" s="112">
        <v>3</v>
      </c>
    </row>
    <row r="5036" spans="1:15" x14ac:dyDescent="0.2">
      <c r="A5036" s="111">
        <v>5164</v>
      </c>
      <c r="B5036" s="421" t="s">
        <v>3563</v>
      </c>
      <c r="C5036" s="421" t="s">
        <v>521</v>
      </c>
      <c r="D5036" s="422" t="s">
        <v>663</v>
      </c>
      <c r="E5036" s="111">
        <v>16889</v>
      </c>
      <c r="F5036" s="421" t="s">
        <v>9329</v>
      </c>
    </row>
    <row r="5037" spans="1:15" x14ac:dyDescent="0.2">
      <c r="A5037" s="111">
        <v>5165</v>
      </c>
      <c r="B5037" s="421" t="s">
        <v>1240</v>
      </c>
      <c r="C5037" s="421" t="s">
        <v>516</v>
      </c>
      <c r="D5037" s="422" t="s">
        <v>666</v>
      </c>
      <c r="E5037" s="111">
        <v>16890</v>
      </c>
      <c r="F5037" s="421" t="s">
        <v>9322</v>
      </c>
      <c r="G5037" s="112">
        <v>1</v>
      </c>
      <c r="H5037" s="112">
        <v>1</v>
      </c>
      <c r="I5037" s="112">
        <v>1</v>
      </c>
      <c r="J5037" s="112">
        <v>5</v>
      </c>
      <c r="K5037" s="112">
        <v>5</v>
      </c>
      <c r="L5037" s="112">
        <v>4</v>
      </c>
      <c r="M5037" s="112">
        <v>5</v>
      </c>
      <c r="N5037" s="112">
        <v>3</v>
      </c>
      <c r="O5037" s="112">
        <v>2</v>
      </c>
    </row>
    <row r="5038" spans="1:15" x14ac:dyDescent="0.2">
      <c r="A5038" s="111">
        <v>5166</v>
      </c>
      <c r="B5038" s="421" t="s">
        <v>8011</v>
      </c>
      <c r="C5038" s="421" t="s">
        <v>518</v>
      </c>
      <c r="D5038" s="422" t="s">
        <v>666</v>
      </c>
      <c r="E5038" s="111">
        <v>16975</v>
      </c>
      <c r="F5038" s="421" t="s">
        <v>9351</v>
      </c>
      <c r="G5038" s="112">
        <v>1</v>
      </c>
      <c r="H5038" s="112">
        <v>1</v>
      </c>
      <c r="I5038" s="112">
        <v>1</v>
      </c>
      <c r="J5038" s="112">
        <v>6</v>
      </c>
      <c r="K5038" s="112">
        <v>6</v>
      </c>
      <c r="L5038" s="112">
        <v>8</v>
      </c>
      <c r="O5038" s="112">
        <v>1</v>
      </c>
    </row>
    <row r="5039" spans="1:15" x14ac:dyDescent="0.2">
      <c r="A5039" s="111">
        <v>5167</v>
      </c>
      <c r="B5039" s="421" t="s">
        <v>9292</v>
      </c>
      <c r="C5039" s="421" t="s">
        <v>506</v>
      </c>
      <c r="D5039" s="422" t="s">
        <v>666</v>
      </c>
      <c r="E5039" s="111">
        <v>16652</v>
      </c>
      <c r="F5039" s="421" t="s">
        <v>8171</v>
      </c>
      <c r="G5039" s="112">
        <v>1</v>
      </c>
      <c r="H5039" s="112">
        <v>1</v>
      </c>
      <c r="I5039" s="112">
        <v>1</v>
      </c>
    </row>
    <row r="5040" spans="1:15" x14ac:dyDescent="0.2">
      <c r="A5040" s="111">
        <v>5168</v>
      </c>
      <c r="B5040" s="421" t="s">
        <v>381</v>
      </c>
      <c r="C5040" s="421" t="s">
        <v>502</v>
      </c>
      <c r="D5040" s="422" t="s">
        <v>663</v>
      </c>
      <c r="E5040" s="111">
        <v>16892</v>
      </c>
      <c r="F5040" s="421" t="s">
        <v>9323</v>
      </c>
    </row>
    <row r="5041" spans="1:15" x14ac:dyDescent="0.2">
      <c r="A5041" s="111">
        <v>5169</v>
      </c>
      <c r="B5041" s="421" t="s">
        <v>9305</v>
      </c>
      <c r="C5041" s="421" t="s">
        <v>532</v>
      </c>
      <c r="D5041" s="422" t="s">
        <v>666</v>
      </c>
      <c r="E5041" s="111">
        <v>17306</v>
      </c>
      <c r="F5041" s="421" t="s">
        <v>9362</v>
      </c>
    </row>
    <row r="5042" spans="1:15" x14ac:dyDescent="0.2">
      <c r="A5042" s="111">
        <v>5170</v>
      </c>
      <c r="B5042" s="421" t="s">
        <v>332</v>
      </c>
      <c r="C5042" s="421" t="s">
        <v>516</v>
      </c>
      <c r="D5042" s="422" t="s">
        <v>666</v>
      </c>
      <c r="E5042" s="111">
        <v>16893</v>
      </c>
      <c r="F5042" s="421" t="s">
        <v>6575</v>
      </c>
      <c r="G5042" s="112">
        <v>1</v>
      </c>
      <c r="H5042" s="112">
        <v>1</v>
      </c>
      <c r="I5042" s="112">
        <v>1</v>
      </c>
      <c r="J5042" s="112">
        <v>1</v>
      </c>
      <c r="K5042" s="112">
        <v>1</v>
      </c>
    </row>
    <row r="5043" spans="1:15" x14ac:dyDescent="0.2">
      <c r="A5043" s="111">
        <v>5171</v>
      </c>
      <c r="B5043" s="421" t="s">
        <v>2685</v>
      </c>
      <c r="C5043" s="421" t="s">
        <v>516</v>
      </c>
      <c r="D5043" s="422" t="s">
        <v>666</v>
      </c>
      <c r="E5043" s="111">
        <v>16895</v>
      </c>
      <c r="F5043" s="421" t="s">
        <v>9326</v>
      </c>
      <c r="G5043" s="112">
        <v>1</v>
      </c>
      <c r="H5043" s="112">
        <v>1</v>
      </c>
      <c r="I5043" s="112">
        <v>1</v>
      </c>
      <c r="J5043" s="112">
        <v>1</v>
      </c>
      <c r="K5043" s="112">
        <v>1</v>
      </c>
      <c r="L5043" s="112">
        <v>1</v>
      </c>
    </row>
    <row r="5044" spans="1:15" x14ac:dyDescent="0.2">
      <c r="A5044" s="111">
        <v>5172</v>
      </c>
      <c r="B5044" s="421" t="s">
        <v>110</v>
      </c>
      <c r="C5044" s="421" t="s">
        <v>1523</v>
      </c>
      <c r="D5044" s="422" t="s">
        <v>666</v>
      </c>
      <c r="E5044" s="111">
        <v>16896</v>
      </c>
      <c r="F5044" s="421" t="s">
        <v>9359</v>
      </c>
    </row>
    <row r="5045" spans="1:15" x14ac:dyDescent="0.2">
      <c r="A5045" s="111">
        <v>5173</v>
      </c>
      <c r="B5045" s="421" t="s">
        <v>9282</v>
      </c>
      <c r="C5045" s="421" t="s">
        <v>505</v>
      </c>
      <c r="D5045" s="422" t="s">
        <v>666</v>
      </c>
      <c r="E5045" s="111">
        <v>15782</v>
      </c>
      <c r="F5045" s="421" t="s">
        <v>2421</v>
      </c>
    </row>
    <row r="5046" spans="1:15" x14ac:dyDescent="0.2">
      <c r="A5046" s="111">
        <v>5174</v>
      </c>
      <c r="B5046" s="421" t="s">
        <v>9290</v>
      </c>
      <c r="C5046" s="421" t="s">
        <v>519</v>
      </c>
      <c r="D5046" s="422" t="s">
        <v>663</v>
      </c>
      <c r="E5046" s="111">
        <v>1470</v>
      </c>
      <c r="F5046" s="421" t="s">
        <v>694</v>
      </c>
      <c r="G5046" s="112">
        <v>2</v>
      </c>
      <c r="H5046" s="112">
        <v>2</v>
      </c>
      <c r="I5046" s="112">
        <v>2</v>
      </c>
      <c r="J5046" s="112">
        <v>7</v>
      </c>
      <c r="K5046" s="112">
        <v>7</v>
      </c>
      <c r="L5046" s="112">
        <v>7</v>
      </c>
      <c r="M5046" s="112">
        <v>4</v>
      </c>
      <c r="N5046" s="112">
        <v>1</v>
      </c>
      <c r="O5046" s="112">
        <v>3</v>
      </c>
    </row>
    <row r="5047" spans="1:15" x14ac:dyDescent="0.2">
      <c r="A5047" s="111">
        <v>5175</v>
      </c>
      <c r="B5047" s="421" t="s">
        <v>1931</v>
      </c>
      <c r="C5047" s="421" t="s">
        <v>1748</v>
      </c>
      <c r="D5047" s="422" t="s">
        <v>666</v>
      </c>
      <c r="E5047" s="111">
        <v>16929</v>
      </c>
      <c r="F5047" s="421" t="s">
        <v>9341</v>
      </c>
      <c r="G5047" s="112">
        <v>1</v>
      </c>
      <c r="H5047" s="112">
        <v>1</v>
      </c>
      <c r="I5047" s="112">
        <v>1</v>
      </c>
      <c r="J5047" s="112">
        <v>4</v>
      </c>
      <c r="K5047" s="112">
        <v>4</v>
      </c>
      <c r="L5047" s="112">
        <v>4</v>
      </c>
      <c r="M5047" s="112">
        <v>3</v>
      </c>
      <c r="N5047" s="112">
        <v>1</v>
      </c>
      <c r="O5047" s="112">
        <v>1</v>
      </c>
    </row>
    <row r="5048" spans="1:15" x14ac:dyDescent="0.2">
      <c r="A5048" s="111">
        <v>5176</v>
      </c>
      <c r="B5048" s="421" t="s">
        <v>1302</v>
      </c>
      <c r="C5048" s="421" t="s">
        <v>501</v>
      </c>
      <c r="D5048" s="422" t="s">
        <v>663</v>
      </c>
      <c r="E5048" s="111">
        <v>16897</v>
      </c>
      <c r="F5048" s="421" t="s">
        <v>9320</v>
      </c>
      <c r="G5048" s="112">
        <v>1</v>
      </c>
      <c r="H5048" s="112">
        <v>1</v>
      </c>
      <c r="I5048" s="112">
        <v>1</v>
      </c>
      <c r="J5048" s="112">
        <v>2</v>
      </c>
      <c r="K5048" s="112">
        <v>1</v>
      </c>
      <c r="L5048" s="112">
        <v>1</v>
      </c>
    </row>
    <row r="5049" spans="1:15" x14ac:dyDescent="0.2">
      <c r="A5049" s="111">
        <v>5177</v>
      </c>
      <c r="B5049" s="421" t="s">
        <v>9309</v>
      </c>
      <c r="C5049" s="421" t="s">
        <v>577</v>
      </c>
      <c r="D5049" s="422" t="s">
        <v>663</v>
      </c>
      <c r="E5049" s="111">
        <v>16899</v>
      </c>
      <c r="F5049" s="421" t="s">
        <v>9368</v>
      </c>
      <c r="G5049" s="112">
        <v>1</v>
      </c>
      <c r="H5049" s="112">
        <v>1</v>
      </c>
      <c r="I5049" s="112">
        <v>1</v>
      </c>
    </row>
    <row r="5050" spans="1:15" x14ac:dyDescent="0.2">
      <c r="A5050" s="111">
        <v>5178</v>
      </c>
      <c r="B5050" s="421" t="s">
        <v>9310</v>
      </c>
      <c r="C5050" s="421" t="s">
        <v>577</v>
      </c>
      <c r="D5050" s="422" t="s">
        <v>663</v>
      </c>
      <c r="E5050" s="111">
        <v>16899</v>
      </c>
      <c r="F5050" s="421" t="s">
        <v>9368</v>
      </c>
      <c r="G5050" s="112">
        <v>2</v>
      </c>
    </row>
    <row r="5051" spans="1:15" x14ac:dyDescent="0.2">
      <c r="A5051" s="111">
        <v>5179</v>
      </c>
      <c r="B5051" s="421" t="s">
        <v>9291</v>
      </c>
      <c r="C5051" s="421" t="s">
        <v>544</v>
      </c>
      <c r="D5051" s="422" t="s">
        <v>663</v>
      </c>
      <c r="E5051" s="111">
        <v>16900</v>
      </c>
      <c r="F5051" s="421" t="s">
        <v>9346</v>
      </c>
      <c r="G5051" s="112">
        <v>1</v>
      </c>
      <c r="H5051" s="112">
        <v>1</v>
      </c>
      <c r="I5051" s="112">
        <v>1</v>
      </c>
    </row>
    <row r="5052" spans="1:15" x14ac:dyDescent="0.2">
      <c r="A5052" s="111">
        <v>5180</v>
      </c>
      <c r="B5052" s="421" t="s">
        <v>455</v>
      </c>
      <c r="C5052" s="421" t="s">
        <v>502</v>
      </c>
      <c r="D5052" s="422" t="s">
        <v>663</v>
      </c>
      <c r="E5052" s="111">
        <v>16901</v>
      </c>
      <c r="F5052" s="421" t="s">
        <v>9371</v>
      </c>
      <c r="G5052" s="112">
        <v>1</v>
      </c>
      <c r="H5052" s="112">
        <v>1</v>
      </c>
      <c r="I5052" s="112">
        <v>1</v>
      </c>
    </row>
    <row r="5053" spans="1:15" x14ac:dyDescent="0.2">
      <c r="A5053" s="111">
        <v>5181</v>
      </c>
      <c r="B5053" s="421" t="s">
        <v>5512</v>
      </c>
      <c r="C5053" s="421" t="s">
        <v>529</v>
      </c>
      <c r="D5053" s="422" t="s">
        <v>666</v>
      </c>
      <c r="E5053" s="111">
        <v>16948</v>
      </c>
      <c r="F5053" s="421" t="s">
        <v>10255</v>
      </c>
      <c r="G5053" s="112">
        <v>1</v>
      </c>
      <c r="H5053" s="112">
        <v>1</v>
      </c>
      <c r="I5053" s="112">
        <v>1</v>
      </c>
      <c r="J5053" s="112">
        <v>5</v>
      </c>
      <c r="K5053" s="112">
        <v>2</v>
      </c>
      <c r="L5053" s="112">
        <v>4</v>
      </c>
      <c r="M5053" s="112">
        <v>4</v>
      </c>
      <c r="O5053" s="112">
        <v>2</v>
      </c>
    </row>
    <row r="5054" spans="1:15" x14ac:dyDescent="0.2">
      <c r="A5054" s="111">
        <v>5182</v>
      </c>
      <c r="B5054" s="421" t="s">
        <v>9284</v>
      </c>
      <c r="C5054" s="421" t="s">
        <v>507</v>
      </c>
      <c r="D5054" s="422" t="s">
        <v>666</v>
      </c>
      <c r="E5054" s="111">
        <v>16903</v>
      </c>
      <c r="F5054" s="421" t="s">
        <v>9331</v>
      </c>
    </row>
    <row r="5055" spans="1:15" x14ac:dyDescent="0.2">
      <c r="A5055" s="111">
        <v>5183</v>
      </c>
      <c r="B5055" s="421" t="s">
        <v>9301</v>
      </c>
      <c r="C5055" s="421" t="s">
        <v>1908</v>
      </c>
      <c r="D5055" s="422" t="s">
        <v>666</v>
      </c>
      <c r="E5055" s="111">
        <v>16904</v>
      </c>
      <c r="F5055" s="421" t="s">
        <v>9354</v>
      </c>
    </row>
    <row r="5056" spans="1:15" x14ac:dyDescent="0.2">
      <c r="A5056" s="111">
        <v>5184</v>
      </c>
      <c r="B5056" s="421" t="s">
        <v>9306</v>
      </c>
      <c r="C5056" s="421" t="s">
        <v>580</v>
      </c>
      <c r="D5056" s="422" t="s">
        <v>663</v>
      </c>
      <c r="E5056" s="111">
        <v>14678</v>
      </c>
      <c r="F5056" s="421" t="s">
        <v>2029</v>
      </c>
      <c r="G5056" s="112">
        <v>1</v>
      </c>
      <c r="H5056" s="112">
        <v>1</v>
      </c>
      <c r="I5056" s="112">
        <v>2</v>
      </c>
      <c r="J5056" s="112">
        <v>1</v>
      </c>
      <c r="K5056" s="112">
        <v>1</v>
      </c>
      <c r="L5056" s="112">
        <v>1</v>
      </c>
      <c r="O5056" s="112">
        <v>1</v>
      </c>
    </row>
    <row r="5057" spans="1:15" x14ac:dyDescent="0.2">
      <c r="A5057" s="111">
        <v>5185</v>
      </c>
      <c r="B5057" s="421" t="s">
        <v>9311</v>
      </c>
      <c r="C5057" s="421" t="s">
        <v>577</v>
      </c>
      <c r="D5057" s="422" t="s">
        <v>663</v>
      </c>
      <c r="E5057" s="111">
        <v>16444</v>
      </c>
      <c r="F5057" s="421" t="s">
        <v>7750</v>
      </c>
      <c r="G5057" s="112">
        <v>1</v>
      </c>
      <c r="H5057" s="112">
        <v>1</v>
      </c>
      <c r="I5057" s="112">
        <v>1</v>
      </c>
      <c r="J5057" s="112">
        <v>1</v>
      </c>
    </row>
    <row r="5058" spans="1:15" x14ac:dyDescent="0.2">
      <c r="A5058" s="111">
        <v>5186</v>
      </c>
      <c r="B5058" s="421" t="s">
        <v>1864</v>
      </c>
      <c r="C5058" s="421" t="s">
        <v>587</v>
      </c>
      <c r="D5058" s="422" t="s">
        <v>666</v>
      </c>
      <c r="E5058" s="111">
        <v>16920</v>
      </c>
      <c r="F5058" s="421" t="s">
        <v>9344</v>
      </c>
      <c r="G5058" s="112">
        <v>2</v>
      </c>
      <c r="H5058" s="112">
        <v>1</v>
      </c>
      <c r="I5058" s="112">
        <v>1</v>
      </c>
      <c r="J5058" s="112">
        <v>5</v>
      </c>
      <c r="K5058" s="112">
        <v>4</v>
      </c>
      <c r="L5058" s="112">
        <v>4</v>
      </c>
      <c r="M5058" s="112">
        <v>1</v>
      </c>
      <c r="N5058" s="112">
        <v>1</v>
      </c>
      <c r="O5058" s="112">
        <v>1</v>
      </c>
    </row>
    <row r="5059" spans="1:15" x14ac:dyDescent="0.2">
      <c r="A5059" s="111">
        <v>5187</v>
      </c>
      <c r="B5059" s="421" t="s">
        <v>9277</v>
      </c>
      <c r="C5059" s="421" t="s">
        <v>2470</v>
      </c>
      <c r="D5059" s="422" t="s">
        <v>663</v>
      </c>
      <c r="E5059" s="111">
        <v>15000</v>
      </c>
      <c r="F5059" s="421" t="s">
        <v>2907</v>
      </c>
      <c r="G5059" s="112">
        <v>1</v>
      </c>
      <c r="H5059" s="112">
        <v>1</v>
      </c>
      <c r="I5059" s="112">
        <v>1</v>
      </c>
      <c r="J5059" s="112">
        <v>2</v>
      </c>
      <c r="K5059" s="112">
        <v>1</v>
      </c>
      <c r="L5059" s="112">
        <v>2</v>
      </c>
      <c r="M5059" s="112">
        <v>1</v>
      </c>
      <c r="N5059" s="112">
        <v>1</v>
      </c>
    </row>
    <row r="5060" spans="1:15" x14ac:dyDescent="0.2">
      <c r="A5060" s="111">
        <v>5188</v>
      </c>
      <c r="B5060" s="421" t="s">
        <v>5700</v>
      </c>
      <c r="C5060" s="421" t="s">
        <v>1748</v>
      </c>
      <c r="D5060" s="422" t="s">
        <v>666</v>
      </c>
      <c r="E5060" s="111">
        <v>16906</v>
      </c>
      <c r="F5060" s="421" t="s">
        <v>9365</v>
      </c>
      <c r="G5060" s="112">
        <v>1</v>
      </c>
      <c r="H5060" s="112">
        <v>1</v>
      </c>
      <c r="I5060" s="112">
        <v>1</v>
      </c>
      <c r="J5060" s="112">
        <v>5</v>
      </c>
      <c r="K5060" s="112">
        <v>4</v>
      </c>
      <c r="L5060" s="112">
        <v>4</v>
      </c>
    </row>
    <row r="5061" spans="1:15" x14ac:dyDescent="0.2">
      <c r="A5061" s="111">
        <v>5189</v>
      </c>
      <c r="B5061" s="421" t="s">
        <v>9298</v>
      </c>
      <c r="C5061" s="421" t="s">
        <v>1066</v>
      </c>
      <c r="D5061" s="422" t="s">
        <v>663</v>
      </c>
      <c r="F5061" s="421" t="s">
        <v>9352</v>
      </c>
    </row>
    <row r="5062" spans="1:15" x14ac:dyDescent="0.2">
      <c r="A5062" s="111">
        <v>5190</v>
      </c>
      <c r="B5062" s="421" t="s">
        <v>632</v>
      </c>
      <c r="C5062" s="421" t="s">
        <v>565</v>
      </c>
      <c r="D5062" s="422" t="s">
        <v>663</v>
      </c>
      <c r="E5062" s="111">
        <v>14157</v>
      </c>
      <c r="F5062" s="421" t="s">
        <v>851</v>
      </c>
      <c r="G5062" s="112">
        <v>3</v>
      </c>
      <c r="H5062" s="112">
        <v>3</v>
      </c>
      <c r="I5062" s="112">
        <v>3</v>
      </c>
      <c r="J5062" s="112">
        <v>1</v>
      </c>
    </row>
    <row r="5063" spans="1:15" x14ac:dyDescent="0.2">
      <c r="A5063" s="111">
        <v>5191</v>
      </c>
      <c r="B5063" s="421" t="s">
        <v>3985</v>
      </c>
      <c r="C5063" s="421" t="s">
        <v>530</v>
      </c>
      <c r="D5063" s="422" t="s">
        <v>666</v>
      </c>
      <c r="E5063" s="111">
        <v>16907</v>
      </c>
      <c r="F5063" s="421" t="s">
        <v>9334</v>
      </c>
      <c r="G5063" s="112">
        <v>1</v>
      </c>
      <c r="H5063" s="112">
        <v>1</v>
      </c>
      <c r="I5063" s="112">
        <v>1</v>
      </c>
      <c r="J5063" s="112">
        <v>1</v>
      </c>
      <c r="K5063" s="112">
        <v>2</v>
      </c>
      <c r="L5063" s="112">
        <v>2</v>
      </c>
      <c r="M5063" s="112">
        <v>2</v>
      </c>
      <c r="N5063" s="112">
        <v>1</v>
      </c>
      <c r="O5063" s="112">
        <v>1</v>
      </c>
    </row>
    <row r="5064" spans="1:15" x14ac:dyDescent="0.2">
      <c r="A5064" s="111">
        <v>5192</v>
      </c>
      <c r="B5064" s="421" t="s">
        <v>465</v>
      </c>
      <c r="C5064" s="421" t="s">
        <v>506</v>
      </c>
      <c r="D5064" s="422" t="s">
        <v>666</v>
      </c>
      <c r="E5064" s="111">
        <v>16908</v>
      </c>
      <c r="F5064" s="421" t="s">
        <v>9347</v>
      </c>
      <c r="G5064" s="112">
        <v>2</v>
      </c>
      <c r="H5064" s="112">
        <v>1</v>
      </c>
    </row>
    <row r="5065" spans="1:15" x14ac:dyDescent="0.2">
      <c r="A5065" s="111">
        <v>5193</v>
      </c>
      <c r="B5065" s="421" t="s">
        <v>9276</v>
      </c>
      <c r="C5065" s="421" t="s">
        <v>551</v>
      </c>
      <c r="D5065" s="422" t="s">
        <v>666</v>
      </c>
      <c r="E5065" s="111">
        <v>16909</v>
      </c>
      <c r="F5065" s="421" t="s">
        <v>9319</v>
      </c>
      <c r="G5065" s="112">
        <v>3</v>
      </c>
      <c r="H5065" s="112">
        <v>1</v>
      </c>
      <c r="I5065" s="112">
        <v>1</v>
      </c>
      <c r="J5065" s="112">
        <v>2</v>
      </c>
      <c r="K5065" s="112">
        <v>2</v>
      </c>
      <c r="L5065" s="112">
        <v>2</v>
      </c>
      <c r="M5065" s="112">
        <v>1</v>
      </c>
      <c r="O5065" s="112">
        <v>1</v>
      </c>
    </row>
    <row r="5066" spans="1:15" x14ac:dyDescent="0.2">
      <c r="A5066" s="111">
        <v>5194</v>
      </c>
      <c r="B5066" s="421" t="s">
        <v>9293</v>
      </c>
      <c r="C5066" s="421" t="s">
        <v>501</v>
      </c>
      <c r="D5066" s="422" t="s">
        <v>663</v>
      </c>
      <c r="E5066" s="111">
        <v>16207</v>
      </c>
      <c r="F5066" s="421" t="s">
        <v>6597</v>
      </c>
      <c r="G5066" s="112">
        <v>1</v>
      </c>
      <c r="H5066" s="112">
        <v>1</v>
      </c>
      <c r="I5066" s="112">
        <v>1</v>
      </c>
      <c r="J5066" s="112">
        <v>6</v>
      </c>
      <c r="K5066" s="112">
        <v>5</v>
      </c>
      <c r="L5066" s="112">
        <v>3</v>
      </c>
      <c r="M5066" s="112">
        <v>4</v>
      </c>
      <c r="N5066" s="112">
        <v>1</v>
      </c>
      <c r="O5066" s="112">
        <v>3</v>
      </c>
    </row>
    <row r="5067" spans="1:15" x14ac:dyDescent="0.2">
      <c r="A5067" s="111">
        <v>5195</v>
      </c>
      <c r="B5067" s="421" t="s">
        <v>392</v>
      </c>
      <c r="C5067" s="421" t="s">
        <v>563</v>
      </c>
      <c r="D5067" s="422" t="s">
        <v>666</v>
      </c>
      <c r="E5067" s="111">
        <v>16644</v>
      </c>
      <c r="F5067" s="421" t="s">
        <v>3407</v>
      </c>
      <c r="G5067" s="112">
        <v>1</v>
      </c>
      <c r="H5067" s="112">
        <v>1</v>
      </c>
      <c r="I5067" s="112">
        <v>1</v>
      </c>
      <c r="J5067" s="112">
        <v>1</v>
      </c>
      <c r="K5067" s="112">
        <v>1</v>
      </c>
    </row>
    <row r="5068" spans="1:15" x14ac:dyDescent="0.2">
      <c r="A5068" s="111">
        <v>5196</v>
      </c>
      <c r="B5068" s="421" t="s">
        <v>2792</v>
      </c>
      <c r="C5068" s="421" t="s">
        <v>537</v>
      </c>
      <c r="D5068" s="422" t="s">
        <v>666</v>
      </c>
      <c r="E5068" s="111">
        <v>16254</v>
      </c>
      <c r="F5068" s="421" t="s">
        <v>6807</v>
      </c>
      <c r="G5068" s="112">
        <v>1</v>
      </c>
      <c r="H5068" s="112">
        <v>1</v>
      </c>
      <c r="J5068" s="112">
        <v>1</v>
      </c>
    </row>
    <row r="5069" spans="1:15" x14ac:dyDescent="0.2">
      <c r="A5069" s="111">
        <v>5197</v>
      </c>
      <c r="B5069" s="421" t="s">
        <v>9286</v>
      </c>
      <c r="C5069" s="421" t="s">
        <v>516</v>
      </c>
      <c r="D5069" s="422" t="s">
        <v>666</v>
      </c>
      <c r="E5069" s="111">
        <v>16910</v>
      </c>
      <c r="F5069" s="421" t="s">
        <v>9336</v>
      </c>
      <c r="H5069" s="112">
        <v>1</v>
      </c>
    </row>
    <row r="5070" spans="1:15" x14ac:dyDescent="0.2">
      <c r="A5070" s="111">
        <v>5198</v>
      </c>
      <c r="B5070" s="421" t="s">
        <v>9287</v>
      </c>
      <c r="C5070" s="421" t="s">
        <v>516</v>
      </c>
      <c r="D5070" s="422" t="s">
        <v>663</v>
      </c>
      <c r="E5070" s="111">
        <v>16910</v>
      </c>
      <c r="F5070" s="421" t="s">
        <v>9336</v>
      </c>
      <c r="G5070" s="112">
        <v>1</v>
      </c>
      <c r="H5070" s="112">
        <v>1</v>
      </c>
      <c r="I5070" s="112">
        <v>1</v>
      </c>
      <c r="J5070" s="112">
        <v>1</v>
      </c>
    </row>
    <row r="5071" spans="1:15" x14ac:dyDescent="0.2">
      <c r="A5071" s="111">
        <v>5199</v>
      </c>
      <c r="B5071" s="421" t="s">
        <v>4628</v>
      </c>
      <c r="C5071" s="421" t="s">
        <v>5370</v>
      </c>
      <c r="D5071" s="422" t="s">
        <v>666</v>
      </c>
      <c r="E5071" s="111">
        <v>16209</v>
      </c>
      <c r="F5071" s="421" t="s">
        <v>6088</v>
      </c>
      <c r="G5071" s="112">
        <v>1</v>
      </c>
      <c r="H5071" s="112">
        <v>1</v>
      </c>
      <c r="I5071" s="112">
        <v>1</v>
      </c>
      <c r="J5071" s="112">
        <v>7</v>
      </c>
      <c r="K5071" s="112">
        <v>7</v>
      </c>
      <c r="L5071" s="112">
        <v>7</v>
      </c>
      <c r="M5071" s="112">
        <v>7</v>
      </c>
      <c r="N5071" s="112">
        <v>4</v>
      </c>
      <c r="O5071" s="112">
        <v>3</v>
      </c>
    </row>
    <row r="5072" spans="1:15" x14ac:dyDescent="0.2">
      <c r="A5072" s="111">
        <v>5200</v>
      </c>
      <c r="B5072" s="421" t="s">
        <v>9278</v>
      </c>
      <c r="C5072" s="421" t="s">
        <v>514</v>
      </c>
      <c r="D5072" s="422" t="s">
        <v>666</v>
      </c>
      <c r="F5072" s="421" t="s">
        <v>6269</v>
      </c>
    </row>
    <row r="5073" spans="1:15" x14ac:dyDescent="0.2">
      <c r="A5073" s="111">
        <v>5201</v>
      </c>
      <c r="B5073" s="421" t="s">
        <v>9279</v>
      </c>
      <c r="C5073" s="421" t="s">
        <v>514</v>
      </c>
      <c r="D5073" s="422" t="s">
        <v>663</v>
      </c>
      <c r="F5073" s="421" t="s">
        <v>6269</v>
      </c>
    </row>
    <row r="5074" spans="1:15" x14ac:dyDescent="0.2">
      <c r="A5074" s="111">
        <v>5202</v>
      </c>
      <c r="B5074" s="421" t="s">
        <v>9299</v>
      </c>
      <c r="C5074" s="421" t="s">
        <v>3578</v>
      </c>
      <c r="D5074" s="422" t="s">
        <v>663</v>
      </c>
      <c r="E5074" s="111">
        <v>16912</v>
      </c>
      <c r="F5074" s="421" t="s">
        <v>9353</v>
      </c>
      <c r="G5074" s="112">
        <v>1</v>
      </c>
      <c r="H5074" s="112">
        <v>1</v>
      </c>
      <c r="I5074" s="112">
        <v>1</v>
      </c>
      <c r="J5074" s="112">
        <v>2</v>
      </c>
      <c r="K5074" s="112">
        <v>2</v>
      </c>
      <c r="L5074" s="112">
        <v>1</v>
      </c>
      <c r="M5074" s="112">
        <v>1</v>
      </c>
      <c r="N5074" s="112">
        <v>1</v>
      </c>
      <c r="O5074" s="112">
        <v>1</v>
      </c>
    </row>
    <row r="5075" spans="1:15" x14ac:dyDescent="0.2">
      <c r="A5075" s="111">
        <v>5203</v>
      </c>
      <c r="B5075" s="421" t="s">
        <v>9312</v>
      </c>
      <c r="C5075" s="421" t="s">
        <v>530</v>
      </c>
      <c r="D5075" s="422" t="s">
        <v>666</v>
      </c>
      <c r="E5075" s="111">
        <v>16913</v>
      </c>
      <c r="F5075" s="421" t="s">
        <v>9369</v>
      </c>
      <c r="G5075" s="112">
        <v>2</v>
      </c>
      <c r="H5075" s="112">
        <v>3</v>
      </c>
      <c r="I5075" s="112">
        <v>1</v>
      </c>
      <c r="J5075" s="112">
        <v>2</v>
      </c>
      <c r="K5075" s="112">
        <v>1</v>
      </c>
      <c r="L5075" s="112">
        <v>1</v>
      </c>
    </row>
    <row r="5076" spans="1:15" x14ac:dyDescent="0.2">
      <c r="A5076" s="111">
        <v>5204</v>
      </c>
      <c r="B5076" s="421" t="s">
        <v>9313</v>
      </c>
      <c r="C5076" s="421" t="s">
        <v>530</v>
      </c>
      <c r="D5076" s="422" t="s">
        <v>663</v>
      </c>
      <c r="E5076" s="111">
        <v>16913</v>
      </c>
      <c r="F5076" s="421" t="s">
        <v>9369</v>
      </c>
      <c r="G5076" s="112">
        <v>1</v>
      </c>
      <c r="H5076" s="112">
        <v>1</v>
      </c>
      <c r="I5076" s="112">
        <v>1</v>
      </c>
      <c r="J5076" s="112">
        <v>6</v>
      </c>
      <c r="K5076" s="112">
        <v>6</v>
      </c>
      <c r="L5076" s="112">
        <v>6</v>
      </c>
      <c r="M5076" s="112">
        <v>2</v>
      </c>
      <c r="N5076" s="112">
        <v>1</v>
      </c>
      <c r="O5076" s="112">
        <v>3</v>
      </c>
    </row>
    <row r="5077" spans="1:15" x14ac:dyDescent="0.2">
      <c r="A5077" s="111">
        <v>5205</v>
      </c>
      <c r="B5077" s="421" t="s">
        <v>3909</v>
      </c>
      <c r="C5077" s="421" t="s">
        <v>2362</v>
      </c>
      <c r="D5077" s="422" t="s">
        <v>666</v>
      </c>
      <c r="E5077" s="111">
        <v>16127</v>
      </c>
      <c r="F5077" s="421" t="s">
        <v>6493</v>
      </c>
      <c r="G5077" s="112">
        <v>2</v>
      </c>
      <c r="H5077" s="112">
        <v>1</v>
      </c>
      <c r="I5077" s="112">
        <v>1</v>
      </c>
      <c r="J5077" s="112">
        <v>2</v>
      </c>
      <c r="K5077" s="112">
        <v>2</v>
      </c>
      <c r="L5077" s="112">
        <v>2</v>
      </c>
    </row>
    <row r="5078" spans="1:15" x14ac:dyDescent="0.2">
      <c r="A5078" s="111">
        <v>5206</v>
      </c>
      <c r="B5078" s="421" t="s">
        <v>252</v>
      </c>
      <c r="C5078" s="421" t="s">
        <v>521</v>
      </c>
      <c r="D5078" s="422" t="s">
        <v>666</v>
      </c>
      <c r="E5078" s="111">
        <v>16914</v>
      </c>
      <c r="F5078" s="421" t="s">
        <v>9357</v>
      </c>
      <c r="G5078" s="112">
        <v>1</v>
      </c>
    </row>
    <row r="5079" spans="1:15" x14ac:dyDescent="0.2">
      <c r="A5079" s="111">
        <v>5207</v>
      </c>
      <c r="B5079" s="421" t="s">
        <v>112</v>
      </c>
      <c r="C5079" s="421" t="s">
        <v>536</v>
      </c>
      <c r="D5079" s="422" t="s">
        <v>663</v>
      </c>
      <c r="E5079" s="111">
        <v>16915</v>
      </c>
      <c r="F5079" s="421" t="s">
        <v>9342</v>
      </c>
      <c r="H5079" s="112">
        <v>1</v>
      </c>
    </row>
    <row r="5080" spans="1:15" x14ac:dyDescent="0.2">
      <c r="A5080" s="111">
        <v>5208</v>
      </c>
      <c r="B5080" s="421" t="s">
        <v>9285</v>
      </c>
      <c r="C5080" s="421" t="s">
        <v>540</v>
      </c>
      <c r="D5080" s="422" t="s">
        <v>663</v>
      </c>
      <c r="F5080" s="421" t="s">
        <v>9332</v>
      </c>
    </row>
    <row r="5081" spans="1:15" x14ac:dyDescent="0.2">
      <c r="A5081" s="111">
        <v>5209</v>
      </c>
      <c r="B5081" s="421" t="s">
        <v>9294</v>
      </c>
      <c r="C5081" s="421" t="s">
        <v>533</v>
      </c>
      <c r="D5081" s="422" t="s">
        <v>666</v>
      </c>
      <c r="E5081" s="111">
        <v>16916</v>
      </c>
      <c r="F5081" s="421" t="s">
        <v>9348</v>
      </c>
      <c r="G5081" s="112">
        <v>1</v>
      </c>
      <c r="H5081" s="112">
        <v>1</v>
      </c>
      <c r="I5081" s="112">
        <v>1</v>
      </c>
      <c r="J5081" s="112">
        <v>5</v>
      </c>
      <c r="K5081" s="112">
        <v>6</v>
      </c>
      <c r="L5081" s="112">
        <v>5</v>
      </c>
      <c r="M5081" s="112">
        <v>5</v>
      </c>
      <c r="N5081" s="112">
        <v>3</v>
      </c>
      <c r="O5081" s="112">
        <v>5</v>
      </c>
    </row>
    <row r="5082" spans="1:15" x14ac:dyDescent="0.2">
      <c r="A5082" s="111">
        <v>5210</v>
      </c>
      <c r="B5082" s="421" t="s">
        <v>8327</v>
      </c>
      <c r="C5082" s="421" t="s">
        <v>566</v>
      </c>
      <c r="D5082" s="422" t="s">
        <v>663</v>
      </c>
      <c r="F5082" s="421" t="s">
        <v>9372</v>
      </c>
    </row>
    <row r="5083" spans="1:15" x14ac:dyDescent="0.2">
      <c r="A5083" s="111">
        <v>5211</v>
      </c>
      <c r="B5083" s="421" t="s">
        <v>9304</v>
      </c>
      <c r="C5083" s="421" t="s">
        <v>514</v>
      </c>
      <c r="D5083" s="422" t="s">
        <v>663</v>
      </c>
      <c r="E5083" s="111">
        <v>17005</v>
      </c>
      <c r="F5083" s="421" t="s">
        <v>9360</v>
      </c>
      <c r="G5083" s="112">
        <v>2</v>
      </c>
      <c r="H5083" s="112">
        <v>1</v>
      </c>
      <c r="I5083" s="112">
        <v>1</v>
      </c>
      <c r="J5083" s="112">
        <v>8</v>
      </c>
      <c r="K5083" s="112">
        <v>8</v>
      </c>
      <c r="L5083" s="112">
        <v>8</v>
      </c>
      <c r="M5083" s="112">
        <v>5</v>
      </c>
      <c r="N5083" s="112">
        <v>3</v>
      </c>
      <c r="O5083" s="112">
        <v>3</v>
      </c>
    </row>
    <row r="5084" spans="1:15" x14ac:dyDescent="0.2">
      <c r="A5084" s="111">
        <v>5214</v>
      </c>
      <c r="B5084" s="421" t="s">
        <v>2202</v>
      </c>
      <c r="C5084" s="421" t="s">
        <v>628</v>
      </c>
      <c r="D5084" s="422" t="s">
        <v>663</v>
      </c>
      <c r="E5084" s="111">
        <v>16298</v>
      </c>
      <c r="F5084" s="421" t="s">
        <v>7029</v>
      </c>
      <c r="G5084" s="112">
        <v>3</v>
      </c>
      <c r="H5084" s="112">
        <v>1</v>
      </c>
      <c r="I5084" s="112">
        <v>1</v>
      </c>
    </row>
    <row r="5085" spans="1:15" x14ac:dyDescent="0.2">
      <c r="A5085" s="111">
        <v>5215</v>
      </c>
      <c r="B5085" s="421" t="s">
        <v>9314</v>
      </c>
      <c r="C5085" s="421" t="s">
        <v>542</v>
      </c>
      <c r="D5085" s="422" t="s">
        <v>663</v>
      </c>
      <c r="E5085" s="111">
        <v>15392</v>
      </c>
      <c r="F5085" s="421" t="s">
        <v>3967</v>
      </c>
      <c r="H5085" s="112">
        <v>2</v>
      </c>
      <c r="I5085" s="112">
        <v>2</v>
      </c>
    </row>
    <row r="5086" spans="1:15" x14ac:dyDescent="0.2">
      <c r="A5086" s="111">
        <v>5216</v>
      </c>
      <c r="B5086" s="421" t="s">
        <v>9281</v>
      </c>
      <c r="C5086" s="421" t="s">
        <v>532</v>
      </c>
      <c r="D5086" s="422" t="s">
        <v>663</v>
      </c>
      <c r="E5086" s="111">
        <v>16944</v>
      </c>
      <c r="F5086" s="421" t="s">
        <v>9328</v>
      </c>
      <c r="G5086" s="112">
        <v>1</v>
      </c>
      <c r="H5086" s="112">
        <v>1</v>
      </c>
      <c r="I5086" s="112">
        <v>1</v>
      </c>
      <c r="J5086" s="112">
        <v>3</v>
      </c>
      <c r="K5086" s="112">
        <v>3</v>
      </c>
      <c r="L5086" s="112">
        <v>3</v>
      </c>
      <c r="M5086" s="112">
        <v>3</v>
      </c>
      <c r="N5086" s="112">
        <v>3</v>
      </c>
      <c r="O5086" s="112">
        <v>5</v>
      </c>
    </row>
    <row r="5087" spans="1:15" x14ac:dyDescent="0.2">
      <c r="A5087" s="111">
        <v>5217</v>
      </c>
      <c r="B5087" s="421" t="s">
        <v>9295</v>
      </c>
      <c r="C5087" s="421" t="s">
        <v>567</v>
      </c>
      <c r="D5087" s="422" t="s">
        <v>666</v>
      </c>
      <c r="E5087" s="111">
        <v>16921</v>
      </c>
      <c r="F5087" s="421" t="s">
        <v>9349</v>
      </c>
      <c r="G5087" s="112">
        <v>1</v>
      </c>
      <c r="H5087" s="112">
        <v>1</v>
      </c>
      <c r="I5087" s="112">
        <v>1</v>
      </c>
      <c r="J5087" s="112">
        <v>3</v>
      </c>
      <c r="K5087" s="112">
        <v>1</v>
      </c>
      <c r="L5087" s="112">
        <v>3</v>
      </c>
      <c r="M5087" s="112">
        <v>3</v>
      </c>
      <c r="N5087" s="112">
        <v>1</v>
      </c>
      <c r="O5087" s="112">
        <v>2</v>
      </c>
    </row>
    <row r="5088" spans="1:15" x14ac:dyDescent="0.2">
      <c r="A5088" s="111">
        <v>5218</v>
      </c>
      <c r="B5088" s="421" t="s">
        <v>1085</v>
      </c>
      <c r="C5088" s="421" t="s">
        <v>518</v>
      </c>
      <c r="D5088" s="422" t="s">
        <v>663</v>
      </c>
      <c r="E5088" s="111">
        <v>16922</v>
      </c>
      <c r="F5088" s="421" t="s">
        <v>9343</v>
      </c>
      <c r="G5088" s="112">
        <v>1</v>
      </c>
      <c r="H5088" s="112">
        <v>1</v>
      </c>
      <c r="I5088" s="112">
        <v>1</v>
      </c>
      <c r="J5088" s="112">
        <v>9</v>
      </c>
      <c r="K5088" s="112">
        <v>8</v>
      </c>
      <c r="L5088" s="112">
        <v>8</v>
      </c>
      <c r="M5088" s="112">
        <v>6</v>
      </c>
      <c r="N5088" s="112">
        <v>4</v>
      </c>
      <c r="O5088" s="112">
        <v>4</v>
      </c>
    </row>
    <row r="5089" spans="1:15" x14ac:dyDescent="0.2">
      <c r="A5089" s="111">
        <v>5219</v>
      </c>
      <c r="B5089" s="421" t="s">
        <v>379</v>
      </c>
      <c r="C5089" s="421" t="s">
        <v>572</v>
      </c>
      <c r="D5089" s="422" t="s">
        <v>663</v>
      </c>
      <c r="E5089" s="111">
        <v>16923</v>
      </c>
      <c r="F5089" s="421" t="s">
        <v>9333</v>
      </c>
    </row>
    <row r="5090" spans="1:15" x14ac:dyDescent="0.2">
      <c r="A5090" s="111">
        <v>5220</v>
      </c>
      <c r="B5090" s="421" t="s">
        <v>9308</v>
      </c>
      <c r="C5090" s="421" t="s">
        <v>503</v>
      </c>
      <c r="D5090" s="422" t="s">
        <v>663</v>
      </c>
      <c r="E5090" s="111">
        <v>16924</v>
      </c>
      <c r="F5090" s="421" t="s">
        <v>9367</v>
      </c>
    </row>
    <row r="5091" spans="1:15" x14ac:dyDescent="0.2">
      <c r="A5091" s="111">
        <v>5221</v>
      </c>
      <c r="B5091" s="421" t="s">
        <v>9280</v>
      </c>
      <c r="C5091" s="421" t="s">
        <v>587</v>
      </c>
      <c r="D5091" s="422" t="s">
        <v>666</v>
      </c>
      <c r="E5091" s="111">
        <v>16925</v>
      </c>
      <c r="F5091" s="421" t="s">
        <v>9321</v>
      </c>
      <c r="G5091" s="112">
        <v>1</v>
      </c>
      <c r="H5091" s="112">
        <v>1</v>
      </c>
      <c r="K5091" s="112">
        <v>1</v>
      </c>
    </row>
    <row r="5092" spans="1:15" x14ac:dyDescent="0.2">
      <c r="A5092" s="111">
        <v>5222</v>
      </c>
      <c r="B5092" s="421" t="s">
        <v>8325</v>
      </c>
      <c r="C5092" s="421" t="s">
        <v>501</v>
      </c>
      <c r="D5092" s="422" t="s">
        <v>666</v>
      </c>
      <c r="E5092" s="111">
        <v>16926</v>
      </c>
      <c r="F5092" s="421" t="s">
        <v>9340</v>
      </c>
      <c r="G5092" s="112">
        <v>2</v>
      </c>
      <c r="H5092" s="112">
        <v>3</v>
      </c>
      <c r="I5092" s="112">
        <v>1</v>
      </c>
      <c r="J5092" s="112">
        <v>2</v>
      </c>
      <c r="K5092" s="112">
        <v>3</v>
      </c>
      <c r="L5092" s="112">
        <v>2</v>
      </c>
      <c r="M5092" s="112">
        <v>1</v>
      </c>
      <c r="N5092" s="112">
        <v>2</v>
      </c>
    </row>
    <row r="5093" spans="1:15" x14ac:dyDescent="0.2">
      <c r="A5093" s="111">
        <v>5223</v>
      </c>
      <c r="B5093" s="421" t="s">
        <v>9296</v>
      </c>
      <c r="C5093" s="421" t="s">
        <v>516</v>
      </c>
      <c r="D5093" s="422" t="s">
        <v>666</v>
      </c>
      <c r="E5093" s="111">
        <v>17049</v>
      </c>
      <c r="F5093" s="421" t="s">
        <v>9350</v>
      </c>
      <c r="G5093" s="112">
        <v>1</v>
      </c>
      <c r="H5093" s="112">
        <v>1</v>
      </c>
      <c r="I5093" s="112">
        <v>1</v>
      </c>
      <c r="L5093" s="112">
        <v>1</v>
      </c>
    </row>
    <row r="5094" spans="1:15" x14ac:dyDescent="0.2">
      <c r="A5094" s="111">
        <v>5224</v>
      </c>
      <c r="B5094" s="421" t="s">
        <v>9297</v>
      </c>
      <c r="C5094" s="421" t="s">
        <v>516</v>
      </c>
      <c r="D5094" s="422" t="s">
        <v>666</v>
      </c>
      <c r="E5094" s="111">
        <v>17049</v>
      </c>
      <c r="F5094" s="421" t="s">
        <v>9350</v>
      </c>
    </row>
    <row r="5095" spans="1:15" x14ac:dyDescent="0.2">
      <c r="A5095" s="111">
        <v>5225</v>
      </c>
      <c r="B5095" s="421" t="s">
        <v>430</v>
      </c>
      <c r="C5095" s="421" t="s">
        <v>516</v>
      </c>
      <c r="D5095" s="422" t="s">
        <v>666</v>
      </c>
      <c r="E5095" s="111">
        <v>16930</v>
      </c>
      <c r="F5095" s="421" t="s">
        <v>9324</v>
      </c>
      <c r="G5095" s="112">
        <v>1</v>
      </c>
      <c r="H5095" s="112">
        <v>1</v>
      </c>
      <c r="I5095" s="112">
        <v>1</v>
      </c>
      <c r="J5095" s="112">
        <v>3</v>
      </c>
      <c r="K5095" s="112">
        <v>4</v>
      </c>
      <c r="L5095" s="112">
        <v>2</v>
      </c>
    </row>
    <row r="5096" spans="1:15" x14ac:dyDescent="0.2">
      <c r="A5096" s="111">
        <v>5226</v>
      </c>
      <c r="B5096" s="421" t="s">
        <v>9307</v>
      </c>
      <c r="C5096" s="421" t="s">
        <v>501</v>
      </c>
      <c r="D5096" s="422" t="s">
        <v>663</v>
      </c>
      <c r="E5096" s="111">
        <v>16991</v>
      </c>
      <c r="F5096" s="421" t="s">
        <v>9363</v>
      </c>
      <c r="G5096" s="112">
        <v>2</v>
      </c>
      <c r="H5096" s="112">
        <v>1</v>
      </c>
      <c r="I5096" s="112">
        <v>1</v>
      </c>
      <c r="J5096" s="112">
        <v>1</v>
      </c>
      <c r="K5096" s="112">
        <v>1</v>
      </c>
      <c r="L5096" s="112">
        <v>2</v>
      </c>
    </row>
    <row r="5097" spans="1:15" x14ac:dyDescent="0.2">
      <c r="A5097" s="111">
        <v>5227</v>
      </c>
      <c r="B5097" s="421" t="s">
        <v>1543</v>
      </c>
      <c r="C5097" s="421" t="s">
        <v>503</v>
      </c>
      <c r="D5097" s="422" t="s">
        <v>663</v>
      </c>
      <c r="E5097" s="111">
        <v>15243</v>
      </c>
      <c r="F5097" s="421" t="s">
        <v>3478</v>
      </c>
      <c r="G5097" s="112">
        <v>1</v>
      </c>
      <c r="H5097" s="112">
        <v>1</v>
      </c>
      <c r="I5097" s="112">
        <v>1</v>
      </c>
      <c r="K5097" s="112">
        <v>2</v>
      </c>
    </row>
    <row r="5098" spans="1:15" x14ac:dyDescent="0.2">
      <c r="A5098" s="111">
        <v>5228</v>
      </c>
      <c r="B5098" s="421" t="s">
        <v>112</v>
      </c>
      <c r="C5098" s="421" t="s">
        <v>501</v>
      </c>
      <c r="D5098" s="422" t="s">
        <v>663</v>
      </c>
      <c r="E5098" s="111">
        <v>17096</v>
      </c>
      <c r="F5098" s="421" t="s">
        <v>9335</v>
      </c>
      <c r="G5098" s="112">
        <v>1</v>
      </c>
      <c r="H5098" s="112">
        <v>1</v>
      </c>
      <c r="I5098" s="112">
        <v>1</v>
      </c>
      <c r="J5098" s="112">
        <v>3</v>
      </c>
      <c r="K5098" s="112">
        <v>3</v>
      </c>
      <c r="L5098" s="112">
        <v>3</v>
      </c>
      <c r="M5098" s="112">
        <v>3</v>
      </c>
      <c r="N5098" s="112">
        <v>4</v>
      </c>
      <c r="O5098" s="112">
        <v>3</v>
      </c>
    </row>
    <row r="5099" spans="1:15" x14ac:dyDescent="0.2">
      <c r="A5099" s="111">
        <v>5229</v>
      </c>
      <c r="B5099" s="421" t="s">
        <v>9283</v>
      </c>
      <c r="C5099" s="421" t="s">
        <v>1934</v>
      </c>
      <c r="D5099" s="422" t="s">
        <v>663</v>
      </c>
      <c r="E5099" s="111">
        <v>16952</v>
      </c>
      <c r="F5099" s="421" t="s">
        <v>9330</v>
      </c>
      <c r="G5099" s="112">
        <v>1</v>
      </c>
      <c r="H5099" s="112">
        <v>1</v>
      </c>
      <c r="I5099" s="112">
        <v>1</v>
      </c>
      <c r="K5099" s="112">
        <v>1</v>
      </c>
    </row>
    <row r="5100" spans="1:15" x14ac:dyDescent="0.2">
      <c r="A5100" s="111">
        <v>5230</v>
      </c>
      <c r="B5100" s="421" t="s">
        <v>381</v>
      </c>
      <c r="C5100" s="421" t="s">
        <v>506</v>
      </c>
      <c r="D5100" s="422" t="s">
        <v>663</v>
      </c>
      <c r="E5100" s="111">
        <v>16931</v>
      </c>
      <c r="F5100" s="421" t="s">
        <v>4139</v>
      </c>
      <c r="G5100" s="112">
        <v>1</v>
      </c>
      <c r="H5100" s="112">
        <v>1</v>
      </c>
      <c r="I5100" s="112">
        <v>1</v>
      </c>
    </row>
    <row r="5101" spans="1:15" x14ac:dyDescent="0.2">
      <c r="A5101" s="111">
        <v>5231</v>
      </c>
      <c r="B5101" s="421" t="s">
        <v>9316</v>
      </c>
      <c r="C5101" s="421" t="s">
        <v>506</v>
      </c>
      <c r="D5101" s="422" t="s">
        <v>666</v>
      </c>
      <c r="E5101" s="111">
        <v>16932</v>
      </c>
      <c r="F5101" s="421" t="s">
        <v>9374</v>
      </c>
    </row>
    <row r="5102" spans="1:15" x14ac:dyDescent="0.2">
      <c r="A5102" s="111">
        <v>5232</v>
      </c>
      <c r="B5102" s="421" t="s">
        <v>9302</v>
      </c>
      <c r="C5102" s="421" t="s">
        <v>503</v>
      </c>
      <c r="D5102" s="422" t="s">
        <v>663</v>
      </c>
      <c r="E5102" s="111">
        <v>16529</v>
      </c>
      <c r="F5102" s="421" t="s">
        <v>9355</v>
      </c>
      <c r="G5102" s="112">
        <v>2</v>
      </c>
      <c r="H5102" s="112">
        <v>1</v>
      </c>
      <c r="I5102" s="112">
        <v>1</v>
      </c>
      <c r="J5102" s="112">
        <v>1</v>
      </c>
    </row>
    <row r="5103" spans="1:15" x14ac:dyDescent="0.2">
      <c r="A5103" s="111">
        <v>5233</v>
      </c>
      <c r="B5103" s="421" t="s">
        <v>8016</v>
      </c>
      <c r="C5103" s="421" t="s">
        <v>1378</v>
      </c>
      <c r="D5103" s="422" t="s">
        <v>663</v>
      </c>
      <c r="E5103" s="111">
        <v>16933</v>
      </c>
      <c r="F5103" s="421" t="s">
        <v>9375</v>
      </c>
    </row>
    <row r="5104" spans="1:15" x14ac:dyDescent="0.2">
      <c r="A5104" s="111">
        <v>5234</v>
      </c>
      <c r="B5104" s="421" t="s">
        <v>9300</v>
      </c>
      <c r="C5104" s="421" t="s">
        <v>572</v>
      </c>
      <c r="D5104" s="422" t="s">
        <v>663</v>
      </c>
      <c r="E5104" s="111">
        <v>16470</v>
      </c>
      <c r="F5104" s="421" t="s">
        <v>7736</v>
      </c>
      <c r="G5104" s="112">
        <v>1</v>
      </c>
      <c r="H5104" s="112">
        <v>2</v>
      </c>
      <c r="I5104" s="112">
        <v>2</v>
      </c>
      <c r="J5104" s="112">
        <v>7</v>
      </c>
      <c r="K5104" s="112">
        <v>7</v>
      </c>
      <c r="L5104" s="112">
        <v>4</v>
      </c>
      <c r="M5104" s="112">
        <v>5</v>
      </c>
      <c r="N5104" s="112">
        <v>3</v>
      </c>
      <c r="O5104" s="112">
        <v>2</v>
      </c>
    </row>
    <row r="5105" spans="1:15" x14ac:dyDescent="0.2">
      <c r="A5105" s="111">
        <v>5235</v>
      </c>
      <c r="B5105" s="421" t="s">
        <v>6316</v>
      </c>
      <c r="C5105" s="421" t="s">
        <v>510</v>
      </c>
      <c r="D5105" s="422" t="s">
        <v>666</v>
      </c>
      <c r="E5105" s="111">
        <v>16934</v>
      </c>
      <c r="F5105" s="421" t="s">
        <v>9370</v>
      </c>
      <c r="G5105" s="112">
        <v>2</v>
      </c>
      <c r="H5105" s="112">
        <v>2</v>
      </c>
      <c r="I5105" s="112">
        <v>1</v>
      </c>
      <c r="J5105" s="112">
        <v>3</v>
      </c>
      <c r="K5105" s="112">
        <v>3</v>
      </c>
      <c r="L5105" s="112">
        <v>4</v>
      </c>
      <c r="M5105" s="112">
        <v>1</v>
      </c>
      <c r="N5105" s="112">
        <v>2</v>
      </c>
      <c r="O5105" s="112">
        <v>2</v>
      </c>
    </row>
    <row r="5106" spans="1:15" x14ac:dyDescent="0.2">
      <c r="A5106" s="111">
        <v>5236</v>
      </c>
      <c r="B5106" s="421" t="s">
        <v>2218</v>
      </c>
      <c r="C5106" s="421" t="s">
        <v>510</v>
      </c>
      <c r="D5106" s="422" t="s">
        <v>663</v>
      </c>
      <c r="E5106" s="111">
        <v>16935</v>
      </c>
      <c r="F5106" s="421" t="s">
        <v>9327</v>
      </c>
      <c r="G5106" s="112">
        <v>2</v>
      </c>
      <c r="H5106" s="112">
        <v>2</v>
      </c>
      <c r="I5106" s="112">
        <v>1</v>
      </c>
      <c r="J5106" s="112">
        <v>4</v>
      </c>
      <c r="K5106" s="112">
        <v>5</v>
      </c>
      <c r="L5106" s="112">
        <v>4</v>
      </c>
    </row>
    <row r="5107" spans="1:15" x14ac:dyDescent="0.2">
      <c r="A5107" s="111">
        <v>5237</v>
      </c>
      <c r="B5107" s="421" t="s">
        <v>1243</v>
      </c>
      <c r="C5107" s="421" t="s">
        <v>1419</v>
      </c>
      <c r="D5107" s="422" t="s">
        <v>663</v>
      </c>
      <c r="E5107" s="111">
        <v>16936</v>
      </c>
      <c r="F5107" s="421" t="s">
        <v>9358</v>
      </c>
      <c r="G5107" s="112">
        <v>2</v>
      </c>
      <c r="H5107" s="112">
        <v>2</v>
      </c>
      <c r="I5107" s="112">
        <v>2</v>
      </c>
      <c r="J5107" s="112">
        <v>2</v>
      </c>
      <c r="L5107" s="112">
        <v>1</v>
      </c>
    </row>
    <row r="5108" spans="1:15" x14ac:dyDescent="0.2">
      <c r="A5108" s="111">
        <v>5238</v>
      </c>
      <c r="B5108" s="421" t="s">
        <v>1604</v>
      </c>
      <c r="C5108" s="421" t="s">
        <v>523</v>
      </c>
      <c r="D5108" s="422" t="s">
        <v>666</v>
      </c>
      <c r="E5108" s="111">
        <v>16937</v>
      </c>
      <c r="F5108" s="421" t="s">
        <v>9364</v>
      </c>
    </row>
    <row r="5109" spans="1:15" x14ac:dyDescent="0.2">
      <c r="A5109" s="111">
        <v>5239</v>
      </c>
      <c r="B5109" s="421" t="s">
        <v>115</v>
      </c>
      <c r="C5109" s="421" t="s">
        <v>503</v>
      </c>
      <c r="D5109" s="422" t="s">
        <v>663</v>
      </c>
      <c r="E5109" s="111">
        <v>16938</v>
      </c>
      <c r="F5109" s="421" t="s">
        <v>9337</v>
      </c>
      <c r="G5109" s="112">
        <v>1</v>
      </c>
      <c r="H5109" s="112">
        <v>1</v>
      </c>
    </row>
    <row r="5110" spans="1:15" x14ac:dyDescent="0.2">
      <c r="A5110" s="111">
        <v>5240</v>
      </c>
      <c r="B5110" s="421" t="s">
        <v>9380</v>
      </c>
      <c r="C5110" s="421" t="s">
        <v>1500</v>
      </c>
      <c r="D5110" s="422" t="s">
        <v>666</v>
      </c>
      <c r="E5110" s="111">
        <v>17012</v>
      </c>
      <c r="F5110" s="421" t="s">
        <v>9396</v>
      </c>
      <c r="G5110" s="112">
        <v>1</v>
      </c>
      <c r="H5110" s="112">
        <v>1</v>
      </c>
      <c r="I5110" s="112">
        <v>1</v>
      </c>
      <c r="J5110" s="112">
        <v>2</v>
      </c>
      <c r="K5110" s="112">
        <v>2</v>
      </c>
      <c r="L5110" s="112">
        <v>2</v>
      </c>
    </row>
    <row r="5111" spans="1:15" x14ac:dyDescent="0.2">
      <c r="A5111" s="111">
        <v>5241</v>
      </c>
      <c r="B5111" s="421" t="s">
        <v>9379</v>
      </c>
      <c r="C5111" s="421" t="s">
        <v>507</v>
      </c>
      <c r="D5111" s="422" t="s">
        <v>663</v>
      </c>
      <c r="E5111" s="111">
        <v>16130</v>
      </c>
      <c r="F5111" s="421" t="s">
        <v>6497</v>
      </c>
      <c r="G5111" s="112">
        <v>1</v>
      </c>
      <c r="H5111" s="112">
        <v>1</v>
      </c>
      <c r="I5111" s="112">
        <v>1</v>
      </c>
      <c r="J5111" s="112">
        <v>8</v>
      </c>
      <c r="K5111" s="112">
        <v>8</v>
      </c>
      <c r="L5111" s="112">
        <v>6</v>
      </c>
    </row>
    <row r="5112" spans="1:15" x14ac:dyDescent="0.2">
      <c r="A5112" s="111">
        <v>5242</v>
      </c>
      <c r="B5112" s="421" t="s">
        <v>9386</v>
      </c>
      <c r="C5112" s="421" t="s">
        <v>503</v>
      </c>
      <c r="D5112" s="422" t="s">
        <v>666</v>
      </c>
      <c r="E5112" s="111">
        <v>16939</v>
      </c>
      <c r="F5112" s="421" t="s">
        <v>9402</v>
      </c>
      <c r="G5112" s="112">
        <v>1</v>
      </c>
      <c r="H5112" s="112">
        <v>1</v>
      </c>
      <c r="I5112" s="112">
        <v>1</v>
      </c>
      <c r="J5112" s="112">
        <v>1</v>
      </c>
      <c r="K5112" s="112">
        <v>1</v>
      </c>
      <c r="L5112" s="112">
        <v>2</v>
      </c>
    </row>
    <row r="5113" spans="1:15" x14ac:dyDescent="0.2">
      <c r="A5113" s="111">
        <v>5243</v>
      </c>
      <c r="B5113" s="421" t="s">
        <v>9387</v>
      </c>
      <c r="C5113" s="421" t="s">
        <v>503</v>
      </c>
      <c r="D5113" s="422" t="s">
        <v>663</v>
      </c>
      <c r="E5113" s="111">
        <v>16939</v>
      </c>
      <c r="F5113" s="421" t="s">
        <v>9402</v>
      </c>
    </row>
    <row r="5114" spans="1:15" x14ac:dyDescent="0.2">
      <c r="A5114" s="111">
        <v>5244</v>
      </c>
      <c r="B5114" s="421" t="s">
        <v>9388</v>
      </c>
      <c r="C5114" s="421" t="s">
        <v>6802</v>
      </c>
      <c r="D5114" s="422" t="s">
        <v>663</v>
      </c>
      <c r="E5114" s="111">
        <v>16940</v>
      </c>
      <c r="F5114" s="421" t="s">
        <v>9403</v>
      </c>
      <c r="G5114" s="112">
        <v>1</v>
      </c>
      <c r="H5114" s="112">
        <v>1</v>
      </c>
      <c r="I5114" s="112">
        <v>1</v>
      </c>
      <c r="J5114" s="112">
        <v>4</v>
      </c>
      <c r="K5114" s="112">
        <v>7</v>
      </c>
      <c r="L5114" s="112">
        <v>4</v>
      </c>
    </row>
    <row r="5115" spans="1:15" x14ac:dyDescent="0.2">
      <c r="A5115" s="111">
        <v>5245</v>
      </c>
      <c r="B5115" s="421" t="s">
        <v>4191</v>
      </c>
      <c r="C5115" s="421" t="s">
        <v>516</v>
      </c>
      <c r="D5115" s="422" t="s">
        <v>666</v>
      </c>
      <c r="E5115" s="111">
        <v>16890</v>
      </c>
      <c r="F5115" s="421" t="s">
        <v>9322</v>
      </c>
      <c r="G5115" s="112">
        <v>1</v>
      </c>
      <c r="H5115" s="112">
        <v>1</v>
      </c>
      <c r="I5115" s="112">
        <v>1</v>
      </c>
      <c r="J5115" s="112">
        <v>1</v>
      </c>
      <c r="K5115" s="112">
        <v>2</v>
      </c>
    </row>
    <row r="5116" spans="1:15" x14ac:dyDescent="0.2">
      <c r="A5116" s="111">
        <v>5246</v>
      </c>
      <c r="B5116" s="421" t="s">
        <v>455</v>
      </c>
      <c r="C5116" s="421" t="s">
        <v>503</v>
      </c>
      <c r="D5116" s="422" t="s">
        <v>663</v>
      </c>
      <c r="E5116" s="111">
        <v>16941</v>
      </c>
      <c r="F5116" s="421" t="s">
        <v>6030</v>
      </c>
    </row>
    <row r="5117" spans="1:15" x14ac:dyDescent="0.2">
      <c r="A5117" s="111">
        <v>5247</v>
      </c>
      <c r="B5117" s="421" t="s">
        <v>131</v>
      </c>
      <c r="C5117" s="421" t="s">
        <v>516</v>
      </c>
      <c r="D5117" s="422" t="s">
        <v>663</v>
      </c>
      <c r="E5117" s="111">
        <v>16942</v>
      </c>
      <c r="F5117" s="421" t="s">
        <v>10144</v>
      </c>
      <c r="G5117" s="112">
        <v>1</v>
      </c>
      <c r="H5117" s="112">
        <v>1</v>
      </c>
      <c r="I5117" s="112">
        <v>1</v>
      </c>
      <c r="J5117" s="112">
        <v>2</v>
      </c>
      <c r="K5117" s="112">
        <v>4</v>
      </c>
      <c r="L5117" s="112">
        <v>4</v>
      </c>
      <c r="M5117" s="112">
        <v>3</v>
      </c>
      <c r="O5117" s="112">
        <v>2</v>
      </c>
    </row>
    <row r="5118" spans="1:15" x14ac:dyDescent="0.2">
      <c r="A5118" s="111">
        <v>5248</v>
      </c>
      <c r="B5118" s="421" t="s">
        <v>9378</v>
      </c>
      <c r="C5118" s="421" t="s">
        <v>551</v>
      </c>
      <c r="D5118" s="422" t="s">
        <v>666</v>
      </c>
      <c r="E5118" s="111">
        <v>14252</v>
      </c>
      <c r="F5118" s="421" t="s">
        <v>4673</v>
      </c>
      <c r="G5118" s="112">
        <v>1</v>
      </c>
      <c r="H5118" s="112">
        <v>1</v>
      </c>
      <c r="I5118" s="112">
        <v>1</v>
      </c>
      <c r="J5118" s="112">
        <v>5</v>
      </c>
      <c r="K5118" s="112">
        <v>4</v>
      </c>
      <c r="L5118" s="112">
        <v>4</v>
      </c>
      <c r="M5118" s="112">
        <v>3</v>
      </c>
      <c r="N5118" s="112">
        <v>4</v>
      </c>
      <c r="O5118" s="112">
        <v>3</v>
      </c>
    </row>
    <row r="5119" spans="1:15" x14ac:dyDescent="0.2">
      <c r="A5119" s="111">
        <v>5249</v>
      </c>
      <c r="B5119" s="421" t="s">
        <v>208</v>
      </c>
      <c r="C5119" s="421" t="s">
        <v>551</v>
      </c>
      <c r="D5119" s="422" t="s">
        <v>666</v>
      </c>
      <c r="E5119" s="111">
        <v>16943</v>
      </c>
      <c r="F5119" s="421" t="s">
        <v>9410</v>
      </c>
      <c r="G5119" s="112">
        <v>1</v>
      </c>
      <c r="H5119" s="112">
        <v>1</v>
      </c>
      <c r="I5119" s="112">
        <v>1</v>
      </c>
      <c r="K5119" s="112">
        <v>1</v>
      </c>
    </row>
    <row r="5120" spans="1:15" x14ac:dyDescent="0.2">
      <c r="A5120" s="111">
        <v>5250</v>
      </c>
      <c r="B5120" s="421" t="s">
        <v>481</v>
      </c>
      <c r="C5120" s="421" t="s">
        <v>502</v>
      </c>
      <c r="D5120" s="422" t="s">
        <v>663</v>
      </c>
      <c r="E5120" s="111">
        <v>15037</v>
      </c>
      <c r="F5120" s="421" t="s">
        <v>7899</v>
      </c>
    </row>
    <row r="5121" spans="1:15" x14ac:dyDescent="0.2">
      <c r="A5121" s="111">
        <v>5251</v>
      </c>
      <c r="B5121" s="421" t="s">
        <v>4878</v>
      </c>
      <c r="C5121" s="421" t="s">
        <v>1112</v>
      </c>
      <c r="D5121" s="422" t="s">
        <v>666</v>
      </c>
      <c r="E5121" s="111">
        <v>15037</v>
      </c>
      <c r="F5121" s="421" t="s">
        <v>7899</v>
      </c>
    </row>
    <row r="5122" spans="1:15" x14ac:dyDescent="0.2">
      <c r="A5122" s="111">
        <v>5252</v>
      </c>
      <c r="B5122" s="421" t="s">
        <v>9384</v>
      </c>
      <c r="C5122" s="421" t="s">
        <v>536</v>
      </c>
      <c r="D5122" s="422" t="s">
        <v>666</v>
      </c>
      <c r="E5122" s="111">
        <v>17152</v>
      </c>
      <c r="F5122" s="421" t="s">
        <v>9400</v>
      </c>
      <c r="G5122" s="112">
        <v>1</v>
      </c>
      <c r="H5122" s="112">
        <v>1</v>
      </c>
      <c r="I5122" s="112">
        <v>1</v>
      </c>
      <c r="J5122" s="112">
        <v>7</v>
      </c>
      <c r="K5122" s="112">
        <v>7</v>
      </c>
      <c r="L5122" s="112">
        <v>3</v>
      </c>
      <c r="M5122" s="112">
        <v>4</v>
      </c>
      <c r="N5122" s="112">
        <v>3</v>
      </c>
      <c r="O5122" s="112">
        <v>3</v>
      </c>
    </row>
    <row r="5123" spans="1:15" x14ac:dyDescent="0.2">
      <c r="A5123" s="111">
        <v>5254</v>
      </c>
      <c r="B5123" s="421" t="s">
        <v>430</v>
      </c>
      <c r="C5123" s="421" t="s">
        <v>2362</v>
      </c>
      <c r="D5123" s="422" t="s">
        <v>666</v>
      </c>
      <c r="E5123" s="111">
        <v>16949</v>
      </c>
      <c r="F5123" s="421" t="s">
        <v>9406</v>
      </c>
      <c r="G5123" s="112">
        <v>2</v>
      </c>
      <c r="H5123" s="112">
        <v>1</v>
      </c>
      <c r="I5123" s="112">
        <v>2</v>
      </c>
      <c r="J5123" s="112">
        <v>1</v>
      </c>
      <c r="K5123" s="112">
        <v>1</v>
      </c>
    </row>
    <row r="5124" spans="1:15" x14ac:dyDescent="0.2">
      <c r="A5124" s="111">
        <v>5255</v>
      </c>
      <c r="B5124" s="421" t="s">
        <v>2285</v>
      </c>
      <c r="C5124" s="421" t="s">
        <v>572</v>
      </c>
      <c r="D5124" s="422" t="s">
        <v>666</v>
      </c>
      <c r="E5124" s="111">
        <v>16951</v>
      </c>
      <c r="F5124" s="421" t="s">
        <v>9408</v>
      </c>
      <c r="G5124" s="112">
        <v>1</v>
      </c>
      <c r="H5124" s="112">
        <v>1</v>
      </c>
      <c r="I5124" s="112">
        <v>1</v>
      </c>
      <c r="J5124" s="112">
        <v>1</v>
      </c>
      <c r="K5124" s="112">
        <v>1</v>
      </c>
      <c r="L5124" s="112">
        <v>1</v>
      </c>
      <c r="M5124" s="112">
        <v>1</v>
      </c>
      <c r="O5124" s="112">
        <v>1</v>
      </c>
    </row>
    <row r="5125" spans="1:15" x14ac:dyDescent="0.2">
      <c r="A5125" s="111">
        <v>5256</v>
      </c>
      <c r="B5125" s="421" t="s">
        <v>9381</v>
      </c>
      <c r="C5125" s="421" t="s">
        <v>516</v>
      </c>
      <c r="D5125" s="422" t="s">
        <v>666</v>
      </c>
      <c r="E5125" s="111">
        <v>16950</v>
      </c>
      <c r="F5125" s="421" t="s">
        <v>9397</v>
      </c>
      <c r="G5125" s="112">
        <v>1</v>
      </c>
      <c r="H5125" s="112">
        <v>1</v>
      </c>
      <c r="I5125" s="112">
        <v>1</v>
      </c>
      <c r="J5125" s="112">
        <v>1</v>
      </c>
      <c r="K5125" s="112">
        <v>1</v>
      </c>
      <c r="L5125" s="112">
        <v>1</v>
      </c>
      <c r="M5125" s="112">
        <v>1</v>
      </c>
      <c r="O5125" s="112">
        <v>2</v>
      </c>
    </row>
    <row r="5126" spans="1:15" x14ac:dyDescent="0.2">
      <c r="A5126" s="111">
        <v>5257</v>
      </c>
      <c r="B5126" s="421" t="s">
        <v>9376</v>
      </c>
      <c r="C5126" s="421" t="s">
        <v>514</v>
      </c>
      <c r="D5126" s="422" t="s">
        <v>663</v>
      </c>
      <c r="E5126" s="111">
        <v>16953</v>
      </c>
      <c r="F5126" s="421" t="s">
        <v>9390</v>
      </c>
      <c r="G5126" s="112">
        <v>1</v>
      </c>
      <c r="H5126" s="112">
        <v>1</v>
      </c>
      <c r="I5126" s="112">
        <v>1</v>
      </c>
      <c r="J5126" s="112">
        <v>1</v>
      </c>
      <c r="K5126" s="112">
        <v>1</v>
      </c>
      <c r="L5126" s="112">
        <v>2</v>
      </c>
    </row>
    <row r="5127" spans="1:15" x14ac:dyDescent="0.2">
      <c r="A5127" s="111">
        <v>5258</v>
      </c>
      <c r="B5127" s="421" t="s">
        <v>379</v>
      </c>
      <c r="C5127" s="421" t="s">
        <v>1112</v>
      </c>
      <c r="D5127" s="422" t="s">
        <v>663</v>
      </c>
      <c r="F5127" s="421" t="s">
        <v>9392</v>
      </c>
      <c r="G5127" s="112">
        <v>1</v>
      </c>
      <c r="H5127" s="112">
        <v>1</v>
      </c>
      <c r="I5127" s="112">
        <v>1</v>
      </c>
      <c r="J5127" s="112">
        <v>4</v>
      </c>
      <c r="K5127" s="112">
        <v>1</v>
      </c>
      <c r="L5127" s="112">
        <v>4</v>
      </c>
      <c r="M5127" s="112">
        <v>4</v>
      </c>
      <c r="N5127" s="112">
        <v>2</v>
      </c>
      <c r="O5127" s="112">
        <v>2</v>
      </c>
    </row>
    <row r="5128" spans="1:15" x14ac:dyDescent="0.2">
      <c r="A5128" s="111">
        <v>5259</v>
      </c>
      <c r="B5128" s="421" t="s">
        <v>2100</v>
      </c>
      <c r="C5128" s="421" t="s">
        <v>1284</v>
      </c>
      <c r="D5128" s="422" t="s">
        <v>663</v>
      </c>
      <c r="E5128" s="111">
        <v>16954</v>
      </c>
      <c r="F5128" s="421" t="s">
        <v>9407</v>
      </c>
      <c r="G5128" s="112">
        <v>1</v>
      </c>
      <c r="H5128" s="112">
        <v>1</v>
      </c>
      <c r="I5128" s="112">
        <v>1</v>
      </c>
      <c r="J5128" s="112">
        <v>10</v>
      </c>
      <c r="K5128" s="112">
        <v>10</v>
      </c>
      <c r="L5128" s="112">
        <v>10</v>
      </c>
      <c r="M5128" s="112">
        <v>26</v>
      </c>
      <c r="N5128" s="112">
        <v>23</v>
      </c>
      <c r="O5128" s="112">
        <v>24</v>
      </c>
    </row>
    <row r="5129" spans="1:15" x14ac:dyDescent="0.2">
      <c r="A5129" s="111">
        <v>5260</v>
      </c>
      <c r="B5129" s="421" t="s">
        <v>9377</v>
      </c>
      <c r="C5129" s="421" t="s">
        <v>532</v>
      </c>
      <c r="D5129" s="422" t="s">
        <v>666</v>
      </c>
      <c r="F5129" s="421" t="s">
        <v>9391</v>
      </c>
      <c r="G5129" s="112">
        <v>1</v>
      </c>
      <c r="H5129" s="112">
        <v>1</v>
      </c>
      <c r="I5129" s="112">
        <v>1</v>
      </c>
      <c r="J5129" s="112">
        <v>1</v>
      </c>
      <c r="K5129" s="112">
        <v>2</v>
      </c>
      <c r="L5129" s="112">
        <v>2</v>
      </c>
    </row>
    <row r="5130" spans="1:15" x14ac:dyDescent="0.2">
      <c r="A5130" s="111">
        <v>5261</v>
      </c>
      <c r="B5130" s="421" t="s">
        <v>4198</v>
      </c>
      <c r="C5130" s="421" t="s">
        <v>509</v>
      </c>
      <c r="D5130" s="422" t="s">
        <v>663</v>
      </c>
      <c r="E5130" s="111">
        <v>16955</v>
      </c>
      <c r="F5130" s="421" t="s">
        <v>9395</v>
      </c>
      <c r="G5130" s="112">
        <v>1</v>
      </c>
      <c r="H5130" s="112">
        <v>1</v>
      </c>
      <c r="I5130" s="112">
        <v>1</v>
      </c>
    </row>
    <row r="5131" spans="1:15" x14ac:dyDescent="0.2">
      <c r="A5131" s="111">
        <v>5262</v>
      </c>
      <c r="B5131" s="421" t="s">
        <v>1292</v>
      </c>
      <c r="C5131" s="421" t="s">
        <v>503</v>
      </c>
      <c r="D5131" s="422" t="s">
        <v>663</v>
      </c>
      <c r="E5131" s="111">
        <v>16956</v>
      </c>
      <c r="F5131" s="421" t="s">
        <v>9394</v>
      </c>
      <c r="G5131" s="112">
        <v>1</v>
      </c>
      <c r="H5131" s="112">
        <v>1</v>
      </c>
      <c r="I5131" s="112">
        <v>1</v>
      </c>
      <c r="J5131" s="112">
        <v>4</v>
      </c>
      <c r="K5131" s="112">
        <v>4</v>
      </c>
      <c r="L5131" s="112">
        <v>6</v>
      </c>
    </row>
    <row r="5132" spans="1:15" x14ac:dyDescent="0.2">
      <c r="A5132" s="111">
        <v>5263</v>
      </c>
      <c r="B5132" s="421" t="s">
        <v>6785</v>
      </c>
      <c r="C5132" s="421" t="s">
        <v>501</v>
      </c>
      <c r="D5132" s="422" t="s">
        <v>666</v>
      </c>
      <c r="E5132" s="111">
        <v>16957</v>
      </c>
      <c r="F5132" s="421" t="s">
        <v>9404</v>
      </c>
      <c r="G5132" s="112">
        <v>1</v>
      </c>
      <c r="H5132" s="112">
        <v>1</v>
      </c>
    </row>
    <row r="5133" spans="1:15" x14ac:dyDescent="0.2">
      <c r="A5133" s="111">
        <v>5264</v>
      </c>
      <c r="B5133" s="421" t="s">
        <v>9389</v>
      </c>
      <c r="C5133" s="421" t="s">
        <v>526</v>
      </c>
      <c r="D5133" s="422" t="s">
        <v>663</v>
      </c>
      <c r="E5133" s="111">
        <v>44491</v>
      </c>
      <c r="F5133" s="421" t="s">
        <v>9405</v>
      </c>
      <c r="G5133" s="112">
        <v>1</v>
      </c>
      <c r="H5133" s="112">
        <v>1</v>
      </c>
      <c r="I5133" s="112">
        <v>1</v>
      </c>
      <c r="J5133" s="112">
        <v>1</v>
      </c>
    </row>
    <row r="5134" spans="1:15" x14ac:dyDescent="0.2">
      <c r="A5134" s="111">
        <v>5265</v>
      </c>
      <c r="B5134" s="421" t="s">
        <v>9383</v>
      </c>
      <c r="C5134" s="421" t="s">
        <v>506</v>
      </c>
      <c r="D5134" s="422" t="s">
        <v>663</v>
      </c>
      <c r="E5134" s="111">
        <v>16959</v>
      </c>
      <c r="F5134" s="421" t="s">
        <v>9399</v>
      </c>
      <c r="G5134" s="112">
        <v>1</v>
      </c>
      <c r="H5134" s="112">
        <v>1</v>
      </c>
      <c r="I5134" s="112">
        <v>1</v>
      </c>
      <c r="J5134" s="112">
        <v>11</v>
      </c>
      <c r="K5134" s="112">
        <v>12</v>
      </c>
      <c r="L5134" s="112">
        <v>9</v>
      </c>
      <c r="M5134" s="112">
        <v>27</v>
      </c>
      <c r="N5134" s="112">
        <v>22</v>
      </c>
      <c r="O5134" s="112">
        <v>23</v>
      </c>
    </row>
    <row r="5135" spans="1:15" x14ac:dyDescent="0.2">
      <c r="A5135" s="111">
        <v>5266</v>
      </c>
      <c r="B5135" s="421" t="s">
        <v>9382</v>
      </c>
      <c r="C5135" s="421" t="s">
        <v>514</v>
      </c>
      <c r="D5135" s="422" t="s">
        <v>663</v>
      </c>
      <c r="E5135" s="111">
        <v>16960</v>
      </c>
      <c r="F5135" s="421" t="s">
        <v>9398</v>
      </c>
      <c r="G5135" s="112">
        <v>1</v>
      </c>
      <c r="H5135" s="112">
        <v>1</v>
      </c>
      <c r="I5135" s="112">
        <v>1</v>
      </c>
      <c r="J5135" s="112">
        <v>5</v>
      </c>
      <c r="K5135" s="112">
        <v>5</v>
      </c>
      <c r="L5135" s="112">
        <v>4</v>
      </c>
      <c r="M5135" s="112">
        <v>3</v>
      </c>
      <c r="N5135" s="112">
        <v>1</v>
      </c>
      <c r="O5135" s="112">
        <v>1</v>
      </c>
    </row>
    <row r="5136" spans="1:15" x14ac:dyDescent="0.2">
      <c r="A5136" s="111">
        <v>5267</v>
      </c>
      <c r="B5136" s="421" t="s">
        <v>9385</v>
      </c>
      <c r="C5136" s="421" t="s">
        <v>551</v>
      </c>
      <c r="D5136" s="422" t="s">
        <v>663</v>
      </c>
      <c r="E5136" s="111">
        <v>16961</v>
      </c>
      <c r="F5136" s="421" t="s">
        <v>9401</v>
      </c>
      <c r="G5136" s="112">
        <v>1</v>
      </c>
      <c r="H5136" s="112">
        <v>2</v>
      </c>
      <c r="I5136" s="112">
        <v>1</v>
      </c>
    </row>
    <row r="5137" spans="1:15" x14ac:dyDescent="0.2">
      <c r="A5137" s="111">
        <v>5268</v>
      </c>
      <c r="B5137" s="421" t="s">
        <v>3292</v>
      </c>
      <c r="C5137" s="421" t="s">
        <v>501</v>
      </c>
      <c r="D5137" s="422" t="s">
        <v>663</v>
      </c>
      <c r="E5137" s="111">
        <v>16962</v>
      </c>
      <c r="F5137" s="421" t="s">
        <v>9409</v>
      </c>
      <c r="H5137" s="112">
        <v>2</v>
      </c>
    </row>
    <row r="5138" spans="1:15" x14ac:dyDescent="0.2">
      <c r="A5138" s="111">
        <v>5269</v>
      </c>
      <c r="B5138" s="421" t="s">
        <v>80</v>
      </c>
      <c r="C5138" s="421" t="s">
        <v>506</v>
      </c>
      <c r="D5138" s="422" t="s">
        <v>663</v>
      </c>
      <c r="E5138" s="111">
        <v>16345</v>
      </c>
      <c r="F5138" s="421" t="s">
        <v>7234</v>
      </c>
      <c r="G5138" s="112">
        <v>1</v>
      </c>
      <c r="H5138" s="112">
        <v>1</v>
      </c>
      <c r="I5138" s="112">
        <v>1</v>
      </c>
      <c r="J5138" s="112">
        <v>1</v>
      </c>
      <c r="K5138" s="112">
        <v>1</v>
      </c>
      <c r="L5138" s="112">
        <v>1</v>
      </c>
    </row>
    <row r="5139" spans="1:15" x14ac:dyDescent="0.2">
      <c r="A5139" s="111">
        <v>5270</v>
      </c>
      <c r="B5139" s="421" t="s">
        <v>172</v>
      </c>
      <c r="C5139" s="421" t="s">
        <v>501</v>
      </c>
      <c r="D5139" s="422" t="s">
        <v>663</v>
      </c>
      <c r="E5139" s="111">
        <v>16966</v>
      </c>
      <c r="F5139" s="421" t="s">
        <v>9393</v>
      </c>
      <c r="G5139" s="112">
        <v>1</v>
      </c>
      <c r="H5139" s="112">
        <v>1</v>
      </c>
      <c r="I5139" s="112">
        <v>1</v>
      </c>
      <c r="J5139" s="112">
        <v>1</v>
      </c>
      <c r="K5139" s="112">
        <v>2</v>
      </c>
      <c r="L5139" s="112">
        <v>2</v>
      </c>
      <c r="N5139" s="112">
        <v>1</v>
      </c>
    </row>
    <row r="5140" spans="1:15" x14ac:dyDescent="0.2">
      <c r="A5140" s="111">
        <v>5271</v>
      </c>
      <c r="B5140" s="421" t="s">
        <v>2266</v>
      </c>
      <c r="C5140" s="421" t="s">
        <v>523</v>
      </c>
      <c r="D5140" s="422" t="s">
        <v>666</v>
      </c>
      <c r="E5140" s="111">
        <v>16516</v>
      </c>
      <c r="F5140" s="421" t="s">
        <v>7853</v>
      </c>
      <c r="G5140" s="112">
        <v>1</v>
      </c>
      <c r="H5140" s="112">
        <v>1</v>
      </c>
      <c r="I5140" s="112">
        <v>1</v>
      </c>
      <c r="K5140" s="112">
        <v>2</v>
      </c>
      <c r="L5140" s="112">
        <v>1</v>
      </c>
    </row>
    <row r="5141" spans="1:15" x14ac:dyDescent="0.2">
      <c r="A5141" s="111">
        <v>5272</v>
      </c>
      <c r="B5141" s="421" t="s">
        <v>2354</v>
      </c>
      <c r="C5141" s="421" t="s">
        <v>3323</v>
      </c>
      <c r="D5141" s="422" t="s">
        <v>666</v>
      </c>
      <c r="E5141" s="111">
        <v>16963</v>
      </c>
      <c r="F5141" s="421" t="s">
        <v>9491</v>
      </c>
      <c r="G5141" s="112">
        <v>1</v>
      </c>
      <c r="H5141" s="112">
        <v>1</v>
      </c>
      <c r="I5141" s="112">
        <v>1</v>
      </c>
    </row>
    <row r="5142" spans="1:15" x14ac:dyDescent="0.2">
      <c r="A5142" s="111">
        <v>5273</v>
      </c>
      <c r="B5142" s="421" t="s">
        <v>381</v>
      </c>
      <c r="C5142" s="421" t="s">
        <v>501</v>
      </c>
      <c r="D5142" s="422" t="s">
        <v>663</v>
      </c>
      <c r="E5142" s="111">
        <v>16370</v>
      </c>
      <c r="F5142" s="421" t="s">
        <v>7369</v>
      </c>
      <c r="G5142" s="112">
        <v>1</v>
      </c>
      <c r="H5142" s="112">
        <v>1</v>
      </c>
      <c r="I5142" s="112">
        <v>1</v>
      </c>
      <c r="J5142" s="112">
        <v>12</v>
      </c>
      <c r="K5142" s="112">
        <v>14</v>
      </c>
      <c r="L5142" s="112">
        <v>13</v>
      </c>
      <c r="M5142" s="112">
        <v>11</v>
      </c>
      <c r="N5142" s="112">
        <v>8</v>
      </c>
      <c r="O5142" s="112">
        <v>8</v>
      </c>
    </row>
    <row r="5143" spans="1:15" x14ac:dyDescent="0.2">
      <c r="A5143" s="111">
        <v>5274</v>
      </c>
      <c r="B5143" s="421" t="s">
        <v>9473</v>
      </c>
      <c r="C5143" s="421" t="s">
        <v>510</v>
      </c>
      <c r="D5143" s="422" t="s">
        <v>666</v>
      </c>
      <c r="E5143" s="111">
        <v>15806</v>
      </c>
      <c r="F5143" s="421" t="s">
        <v>3247</v>
      </c>
    </row>
    <row r="5144" spans="1:15" x14ac:dyDescent="0.2">
      <c r="A5144" s="111">
        <v>5275</v>
      </c>
      <c r="B5144" s="421" t="s">
        <v>110</v>
      </c>
      <c r="C5144" s="421" t="s">
        <v>572</v>
      </c>
      <c r="D5144" s="422" t="s">
        <v>666</v>
      </c>
      <c r="E5144" s="111">
        <v>16965</v>
      </c>
      <c r="F5144" s="421" t="s">
        <v>9501</v>
      </c>
    </row>
    <row r="5145" spans="1:15" x14ac:dyDescent="0.2">
      <c r="A5145" s="111">
        <v>5276</v>
      </c>
      <c r="B5145" s="421" t="s">
        <v>9479</v>
      </c>
      <c r="C5145" s="421" t="s">
        <v>577</v>
      </c>
      <c r="D5145" s="422" t="s">
        <v>663</v>
      </c>
      <c r="F5145" s="421" t="s">
        <v>9504</v>
      </c>
    </row>
    <row r="5146" spans="1:15" x14ac:dyDescent="0.2">
      <c r="A5146" s="111">
        <v>5277</v>
      </c>
      <c r="B5146" s="421" t="s">
        <v>9484</v>
      </c>
      <c r="C5146" s="421" t="s">
        <v>3196</v>
      </c>
      <c r="D5146" s="422" t="s">
        <v>666</v>
      </c>
      <c r="E5146" s="111">
        <v>14179</v>
      </c>
      <c r="F5146" s="421" t="s">
        <v>883</v>
      </c>
    </row>
    <row r="5147" spans="1:15" x14ac:dyDescent="0.2">
      <c r="A5147" s="111">
        <v>5278</v>
      </c>
      <c r="B5147" s="421" t="s">
        <v>4029</v>
      </c>
      <c r="C5147" s="421" t="s">
        <v>513</v>
      </c>
      <c r="D5147" s="422" t="s">
        <v>663</v>
      </c>
      <c r="E5147" s="111">
        <v>16552</v>
      </c>
      <c r="F5147" s="421" t="s">
        <v>7843</v>
      </c>
      <c r="G5147" s="112">
        <v>1</v>
      </c>
      <c r="H5147" s="112">
        <v>1</v>
      </c>
      <c r="I5147" s="112">
        <v>1</v>
      </c>
      <c r="J5147" s="112">
        <v>3</v>
      </c>
      <c r="K5147" s="112">
        <v>3</v>
      </c>
      <c r="L5147" s="112">
        <v>4</v>
      </c>
      <c r="M5147" s="112">
        <v>2</v>
      </c>
      <c r="O5147" s="112">
        <v>3</v>
      </c>
    </row>
    <row r="5148" spans="1:15" x14ac:dyDescent="0.2">
      <c r="A5148" s="111">
        <v>5279</v>
      </c>
      <c r="B5148" s="421" t="s">
        <v>2052</v>
      </c>
      <c r="C5148" s="421" t="s">
        <v>506</v>
      </c>
      <c r="D5148" s="422" t="s">
        <v>663</v>
      </c>
      <c r="E5148" s="111">
        <v>16982</v>
      </c>
      <c r="F5148" s="421" t="s">
        <v>9499</v>
      </c>
      <c r="G5148" s="112">
        <v>1</v>
      </c>
      <c r="H5148" s="112">
        <v>1</v>
      </c>
      <c r="I5148" s="112">
        <v>1</v>
      </c>
      <c r="J5148" s="112">
        <v>1</v>
      </c>
      <c r="K5148" s="112">
        <v>1</v>
      </c>
      <c r="L5148" s="112">
        <v>1</v>
      </c>
    </row>
    <row r="5149" spans="1:15" x14ac:dyDescent="0.2">
      <c r="A5149" s="111">
        <v>5280</v>
      </c>
      <c r="B5149" s="421" t="s">
        <v>116</v>
      </c>
      <c r="C5149" s="421" t="s">
        <v>7405</v>
      </c>
      <c r="D5149" s="422" t="s">
        <v>663</v>
      </c>
      <c r="E5149" s="111">
        <v>16968</v>
      </c>
      <c r="F5149" s="421" t="s">
        <v>9494</v>
      </c>
      <c r="G5149" s="112">
        <v>1</v>
      </c>
      <c r="H5149" s="112">
        <v>1</v>
      </c>
      <c r="I5149" s="112">
        <v>1</v>
      </c>
      <c r="J5149" s="112">
        <v>5</v>
      </c>
      <c r="K5149" s="112">
        <v>3</v>
      </c>
      <c r="L5149" s="112">
        <v>2</v>
      </c>
    </row>
    <row r="5150" spans="1:15" x14ac:dyDescent="0.2">
      <c r="A5150" s="111">
        <v>5281</v>
      </c>
      <c r="B5150" s="421" t="s">
        <v>410</v>
      </c>
      <c r="C5150" s="421" t="s">
        <v>501</v>
      </c>
      <c r="D5150" s="422" t="s">
        <v>666</v>
      </c>
      <c r="E5150" s="111">
        <v>16459</v>
      </c>
      <c r="F5150" s="421" t="s">
        <v>7731</v>
      </c>
      <c r="G5150" s="112">
        <v>1</v>
      </c>
      <c r="H5150" s="112">
        <v>1</v>
      </c>
      <c r="I5150" s="112">
        <v>1</v>
      </c>
      <c r="J5150" s="112">
        <v>8</v>
      </c>
      <c r="K5150" s="112">
        <v>9</v>
      </c>
      <c r="L5150" s="112">
        <v>6</v>
      </c>
    </row>
    <row r="5151" spans="1:15" x14ac:dyDescent="0.2">
      <c r="A5151" s="111">
        <v>5282</v>
      </c>
      <c r="B5151" s="421" t="s">
        <v>435</v>
      </c>
      <c r="C5151" s="421" t="s">
        <v>628</v>
      </c>
      <c r="D5151" s="422" t="s">
        <v>663</v>
      </c>
      <c r="E5151" s="111">
        <v>14142</v>
      </c>
      <c r="F5151" s="421" t="s">
        <v>848</v>
      </c>
      <c r="G5151" s="112">
        <v>2</v>
      </c>
      <c r="H5151" s="112">
        <v>1</v>
      </c>
      <c r="I5151" s="112">
        <v>1</v>
      </c>
    </row>
    <row r="5152" spans="1:15" x14ac:dyDescent="0.2">
      <c r="A5152" s="111">
        <v>5283</v>
      </c>
      <c r="B5152" s="421" t="s">
        <v>5520</v>
      </c>
      <c r="C5152" s="421" t="s">
        <v>530</v>
      </c>
      <c r="D5152" s="422" t="s">
        <v>666</v>
      </c>
      <c r="F5152" s="421" t="s">
        <v>9508</v>
      </c>
      <c r="G5152" s="112">
        <v>2</v>
      </c>
      <c r="H5152" s="112">
        <v>2</v>
      </c>
      <c r="I5152" s="112">
        <v>1</v>
      </c>
      <c r="J5152" s="112">
        <v>1</v>
      </c>
      <c r="K5152" s="112">
        <v>2</v>
      </c>
      <c r="L5152" s="112">
        <v>2</v>
      </c>
    </row>
    <row r="5153" spans="1:15" x14ac:dyDescent="0.2">
      <c r="A5153" s="111">
        <v>5284</v>
      </c>
      <c r="B5153" s="421" t="s">
        <v>4646</v>
      </c>
      <c r="C5153" s="421" t="s">
        <v>1870</v>
      </c>
      <c r="D5153" s="422" t="s">
        <v>663</v>
      </c>
      <c r="E5153" s="111">
        <v>16969</v>
      </c>
      <c r="F5153" s="421" t="s">
        <v>9486</v>
      </c>
    </row>
    <row r="5154" spans="1:15" x14ac:dyDescent="0.2">
      <c r="A5154" s="111">
        <v>5285</v>
      </c>
      <c r="B5154" s="421" t="s">
        <v>9475</v>
      </c>
      <c r="C5154" s="421" t="s">
        <v>549</v>
      </c>
      <c r="D5154" s="422" t="s">
        <v>666</v>
      </c>
      <c r="E5154" s="111">
        <v>16971</v>
      </c>
      <c r="F5154" s="421" t="s">
        <v>9493</v>
      </c>
      <c r="G5154" s="112">
        <v>1</v>
      </c>
      <c r="H5154" s="112">
        <v>2</v>
      </c>
      <c r="I5154" s="112">
        <v>1</v>
      </c>
      <c r="K5154" s="112">
        <v>3</v>
      </c>
      <c r="L5154" s="112">
        <v>1</v>
      </c>
    </row>
    <row r="5155" spans="1:15" x14ac:dyDescent="0.2">
      <c r="A5155" s="111">
        <v>5286</v>
      </c>
      <c r="B5155" s="421" t="s">
        <v>9471</v>
      </c>
      <c r="C5155" s="421" t="s">
        <v>534</v>
      </c>
      <c r="D5155" s="422" t="s">
        <v>663</v>
      </c>
      <c r="E5155" s="111">
        <v>16970</v>
      </c>
      <c r="F5155" s="421" t="s">
        <v>9487</v>
      </c>
      <c r="G5155" s="112">
        <v>2</v>
      </c>
      <c r="H5155" s="112">
        <v>1</v>
      </c>
      <c r="I5155" s="112">
        <v>1</v>
      </c>
      <c r="J5155" s="112">
        <v>6</v>
      </c>
      <c r="K5155" s="112">
        <v>2</v>
      </c>
      <c r="L5155" s="112">
        <v>4</v>
      </c>
    </row>
    <row r="5156" spans="1:15" x14ac:dyDescent="0.2">
      <c r="A5156" s="111">
        <v>5287</v>
      </c>
      <c r="B5156" s="421" t="s">
        <v>448</v>
      </c>
      <c r="C5156" s="421" t="s">
        <v>503</v>
      </c>
      <c r="D5156" s="422" t="s">
        <v>666</v>
      </c>
      <c r="F5156" s="421" t="s">
        <v>9498</v>
      </c>
    </row>
    <row r="5157" spans="1:15" x14ac:dyDescent="0.2">
      <c r="A5157" s="111">
        <v>5288</v>
      </c>
      <c r="B5157" s="421" t="s">
        <v>5512</v>
      </c>
      <c r="C5157" s="421" t="s">
        <v>551</v>
      </c>
      <c r="D5157" s="422" t="s">
        <v>666</v>
      </c>
      <c r="E5157" s="111">
        <v>16824</v>
      </c>
      <c r="F5157" s="421" t="s">
        <v>8992</v>
      </c>
      <c r="G5157" s="112">
        <v>1</v>
      </c>
      <c r="H5157" s="112">
        <v>1</v>
      </c>
      <c r="I5157" s="112">
        <v>1</v>
      </c>
      <c r="J5157" s="112">
        <v>2</v>
      </c>
      <c r="K5157" s="112">
        <v>2</v>
      </c>
      <c r="L5157" s="112">
        <v>1</v>
      </c>
    </row>
    <row r="5158" spans="1:15" x14ac:dyDescent="0.2">
      <c r="A5158" s="111">
        <v>5289</v>
      </c>
      <c r="B5158" s="421" t="s">
        <v>9474</v>
      </c>
      <c r="C5158" s="421" t="s">
        <v>7696</v>
      </c>
      <c r="D5158" s="422" t="s">
        <v>663</v>
      </c>
      <c r="E5158" s="111">
        <v>16824</v>
      </c>
      <c r="F5158" s="421" t="s">
        <v>8992</v>
      </c>
      <c r="G5158" s="112">
        <v>1</v>
      </c>
      <c r="H5158" s="112">
        <v>1</v>
      </c>
      <c r="I5158" s="112">
        <v>1</v>
      </c>
    </row>
    <row r="5159" spans="1:15" x14ac:dyDescent="0.2">
      <c r="A5159" s="111">
        <v>5290</v>
      </c>
      <c r="B5159" s="421" t="s">
        <v>347</v>
      </c>
      <c r="C5159" s="421" t="s">
        <v>527</v>
      </c>
      <c r="D5159" s="422" t="s">
        <v>663</v>
      </c>
      <c r="E5159" s="111">
        <v>16017</v>
      </c>
      <c r="F5159" s="421" t="s">
        <v>6160</v>
      </c>
      <c r="H5159" s="112">
        <v>1</v>
      </c>
      <c r="I5159" s="112">
        <v>1</v>
      </c>
    </row>
    <row r="5160" spans="1:15" x14ac:dyDescent="0.2">
      <c r="A5160" s="111">
        <v>5291</v>
      </c>
      <c r="B5160" s="421" t="s">
        <v>2291</v>
      </c>
      <c r="C5160" s="421" t="s">
        <v>516</v>
      </c>
      <c r="D5160" s="422" t="s">
        <v>663</v>
      </c>
      <c r="E5160" s="111">
        <v>16942</v>
      </c>
      <c r="F5160" s="421" t="s">
        <v>10144</v>
      </c>
      <c r="G5160" s="112">
        <v>1</v>
      </c>
      <c r="H5160" s="112">
        <v>1</v>
      </c>
      <c r="I5160" s="112">
        <v>1</v>
      </c>
      <c r="K5160" s="112">
        <v>2</v>
      </c>
    </row>
    <row r="5161" spans="1:15" x14ac:dyDescent="0.2">
      <c r="A5161" s="111">
        <v>5292</v>
      </c>
      <c r="B5161" s="421" t="s">
        <v>185</v>
      </c>
      <c r="C5161" s="421" t="s">
        <v>503</v>
      </c>
      <c r="D5161" s="422" t="s">
        <v>663</v>
      </c>
      <c r="E5161" s="111">
        <v>16972</v>
      </c>
      <c r="F5161" s="421" t="s">
        <v>9492</v>
      </c>
      <c r="G5161" s="112">
        <v>1</v>
      </c>
      <c r="H5161" s="112">
        <v>1</v>
      </c>
      <c r="I5161" s="112">
        <v>1</v>
      </c>
      <c r="J5161" s="112">
        <v>1</v>
      </c>
      <c r="K5161" s="112">
        <v>1</v>
      </c>
      <c r="L5161" s="112">
        <v>1</v>
      </c>
    </row>
    <row r="5162" spans="1:15" x14ac:dyDescent="0.2">
      <c r="A5162" s="111">
        <v>5293</v>
      </c>
      <c r="B5162" s="421" t="s">
        <v>1957</v>
      </c>
      <c r="C5162" s="421" t="s">
        <v>528</v>
      </c>
      <c r="D5162" s="422" t="s">
        <v>663</v>
      </c>
      <c r="E5162" s="111">
        <v>15792</v>
      </c>
      <c r="F5162" s="421" t="s">
        <v>2509</v>
      </c>
      <c r="G5162" s="112">
        <v>1</v>
      </c>
      <c r="H5162" s="112">
        <v>1</v>
      </c>
      <c r="I5162" s="112">
        <v>1</v>
      </c>
      <c r="J5162" s="112">
        <v>2</v>
      </c>
      <c r="K5162" s="112">
        <v>1</v>
      </c>
      <c r="L5162" s="112">
        <v>2</v>
      </c>
      <c r="M5162" s="112">
        <v>1</v>
      </c>
      <c r="N5162" s="112">
        <v>3</v>
      </c>
      <c r="O5162" s="112">
        <v>2</v>
      </c>
    </row>
    <row r="5163" spans="1:15" x14ac:dyDescent="0.2">
      <c r="A5163" s="111">
        <v>5294</v>
      </c>
      <c r="B5163" s="421" t="s">
        <v>38</v>
      </c>
      <c r="C5163" s="421" t="s">
        <v>503</v>
      </c>
      <c r="D5163" s="422" t="s">
        <v>663</v>
      </c>
      <c r="F5163" s="421" t="s">
        <v>9488</v>
      </c>
    </row>
    <row r="5164" spans="1:15" x14ac:dyDescent="0.2">
      <c r="A5164" s="111">
        <v>5295</v>
      </c>
      <c r="B5164" s="421" t="s">
        <v>1327</v>
      </c>
      <c r="C5164" s="421" t="s">
        <v>575</v>
      </c>
      <c r="D5164" s="422" t="s">
        <v>666</v>
      </c>
      <c r="F5164" s="421" t="s">
        <v>9511</v>
      </c>
      <c r="G5164" s="112">
        <v>1</v>
      </c>
      <c r="H5164" s="112">
        <v>1</v>
      </c>
      <c r="I5164" s="112">
        <v>1</v>
      </c>
      <c r="J5164" s="112">
        <v>1</v>
      </c>
      <c r="K5164" s="112">
        <v>1</v>
      </c>
    </row>
    <row r="5165" spans="1:15" x14ac:dyDescent="0.2">
      <c r="A5165" s="111">
        <v>5296</v>
      </c>
      <c r="B5165" s="421" t="s">
        <v>5698</v>
      </c>
      <c r="C5165" s="421" t="s">
        <v>503</v>
      </c>
      <c r="D5165" s="422" t="s">
        <v>663</v>
      </c>
      <c r="E5165" s="111">
        <v>16838</v>
      </c>
      <c r="F5165" s="421" t="s">
        <v>9125</v>
      </c>
      <c r="G5165" s="112">
        <v>2</v>
      </c>
      <c r="H5165" s="112">
        <v>1</v>
      </c>
      <c r="I5165" s="112">
        <v>1</v>
      </c>
      <c r="J5165" s="112">
        <v>3</v>
      </c>
      <c r="K5165" s="112">
        <v>3</v>
      </c>
      <c r="L5165" s="112">
        <v>3</v>
      </c>
      <c r="M5165" s="112">
        <v>1</v>
      </c>
    </row>
    <row r="5166" spans="1:15" x14ac:dyDescent="0.2">
      <c r="A5166" s="111">
        <v>5297</v>
      </c>
      <c r="B5166" s="421" t="s">
        <v>45</v>
      </c>
      <c r="C5166" s="421" t="s">
        <v>532</v>
      </c>
      <c r="D5166" s="422" t="s">
        <v>666</v>
      </c>
      <c r="E5166" s="111">
        <v>16611</v>
      </c>
      <c r="F5166" s="421" t="s">
        <v>8050</v>
      </c>
    </row>
    <row r="5167" spans="1:15" x14ac:dyDescent="0.2">
      <c r="A5167" s="111">
        <v>5298</v>
      </c>
      <c r="B5167" s="421" t="s">
        <v>9482</v>
      </c>
      <c r="C5167" s="421" t="s">
        <v>1419</v>
      </c>
      <c r="D5167" s="422" t="s">
        <v>666</v>
      </c>
      <c r="E5167" s="111">
        <v>44092</v>
      </c>
      <c r="F5167" s="421" t="s">
        <v>9509</v>
      </c>
      <c r="G5167" s="112">
        <v>1</v>
      </c>
      <c r="I5167" s="112">
        <v>1</v>
      </c>
      <c r="L5167" s="112">
        <v>1</v>
      </c>
    </row>
    <row r="5168" spans="1:15" x14ac:dyDescent="0.2">
      <c r="A5168" s="111">
        <v>5299</v>
      </c>
      <c r="B5168" s="421" t="s">
        <v>46</v>
      </c>
      <c r="C5168" s="421" t="s">
        <v>506</v>
      </c>
      <c r="D5168" s="422" t="s">
        <v>663</v>
      </c>
      <c r="E5168" s="111">
        <v>16973</v>
      </c>
      <c r="F5168" s="421" t="s">
        <v>9513</v>
      </c>
      <c r="G5168" s="112">
        <v>1</v>
      </c>
      <c r="I5168" s="112">
        <v>1</v>
      </c>
    </row>
    <row r="5169" spans="1:15" x14ac:dyDescent="0.2">
      <c r="A5169" s="111">
        <v>5300</v>
      </c>
      <c r="B5169" s="421" t="s">
        <v>1761</v>
      </c>
      <c r="C5169" s="421" t="s">
        <v>506</v>
      </c>
      <c r="D5169" s="422" t="s">
        <v>666</v>
      </c>
      <c r="E5169" s="111">
        <v>16974</v>
      </c>
      <c r="F5169" s="421" t="s">
        <v>9490</v>
      </c>
      <c r="G5169" s="112">
        <v>1</v>
      </c>
      <c r="H5169" s="112">
        <v>1</v>
      </c>
      <c r="I5169" s="112">
        <v>1</v>
      </c>
      <c r="J5169" s="112">
        <v>4</v>
      </c>
      <c r="K5169" s="112">
        <v>5</v>
      </c>
      <c r="L5169" s="112">
        <v>6</v>
      </c>
      <c r="M5169" s="112">
        <v>2</v>
      </c>
      <c r="N5169" s="112">
        <v>2</v>
      </c>
      <c r="O5169" s="112">
        <v>3</v>
      </c>
    </row>
    <row r="5170" spans="1:15" x14ac:dyDescent="0.2">
      <c r="A5170" s="111">
        <v>5301</v>
      </c>
      <c r="B5170" s="421" t="s">
        <v>7794</v>
      </c>
      <c r="C5170" s="421" t="s">
        <v>513</v>
      </c>
      <c r="D5170" s="422" t="s">
        <v>663</v>
      </c>
      <c r="E5170" s="111">
        <v>15214</v>
      </c>
      <c r="F5170" s="421" t="s">
        <v>2653</v>
      </c>
      <c r="G5170" s="112">
        <v>1</v>
      </c>
      <c r="H5170" s="112">
        <v>1</v>
      </c>
      <c r="I5170" s="112">
        <v>1</v>
      </c>
      <c r="J5170" s="112">
        <v>8</v>
      </c>
      <c r="K5170" s="112">
        <v>7</v>
      </c>
      <c r="L5170" s="112">
        <v>6</v>
      </c>
      <c r="M5170" s="112">
        <v>5</v>
      </c>
      <c r="N5170" s="112">
        <v>1</v>
      </c>
      <c r="O5170" s="112">
        <v>2</v>
      </c>
    </row>
    <row r="5171" spans="1:15" x14ac:dyDescent="0.2">
      <c r="A5171" s="111">
        <v>5302</v>
      </c>
      <c r="B5171" s="421" t="s">
        <v>402</v>
      </c>
      <c r="C5171" s="421" t="s">
        <v>3022</v>
      </c>
      <c r="D5171" s="422" t="s">
        <v>663</v>
      </c>
      <c r="E5171" s="111">
        <v>16976</v>
      </c>
      <c r="F5171" s="421" t="s">
        <v>9495</v>
      </c>
      <c r="G5171" s="112">
        <v>1</v>
      </c>
      <c r="H5171" s="112">
        <v>1</v>
      </c>
      <c r="I5171" s="112">
        <v>1</v>
      </c>
      <c r="J5171" s="112">
        <v>1</v>
      </c>
      <c r="K5171" s="112">
        <v>1</v>
      </c>
      <c r="L5171" s="112">
        <v>1</v>
      </c>
      <c r="M5171" s="112">
        <v>2</v>
      </c>
    </row>
    <row r="5172" spans="1:15" x14ac:dyDescent="0.2">
      <c r="A5172" s="111">
        <v>5303</v>
      </c>
      <c r="B5172" s="421" t="s">
        <v>9478</v>
      </c>
      <c r="C5172" s="421" t="s">
        <v>530</v>
      </c>
      <c r="D5172" s="422" t="s">
        <v>663</v>
      </c>
      <c r="F5172" s="421" t="s">
        <v>9503</v>
      </c>
    </row>
    <row r="5173" spans="1:15" x14ac:dyDescent="0.2">
      <c r="A5173" s="111">
        <v>5304</v>
      </c>
      <c r="B5173" s="421" t="s">
        <v>9476</v>
      </c>
      <c r="C5173" s="421" t="s">
        <v>501</v>
      </c>
      <c r="D5173" s="422" t="s">
        <v>663</v>
      </c>
      <c r="E5173" s="111">
        <v>15350</v>
      </c>
      <c r="F5173" s="421" t="s">
        <v>3880</v>
      </c>
      <c r="G5173" s="112">
        <v>1</v>
      </c>
      <c r="H5173" s="112">
        <v>1</v>
      </c>
      <c r="I5173" s="112">
        <v>1</v>
      </c>
      <c r="J5173" s="112">
        <v>5</v>
      </c>
      <c r="K5173" s="112">
        <v>4</v>
      </c>
      <c r="L5173" s="112">
        <v>4</v>
      </c>
      <c r="M5173" s="112">
        <v>1</v>
      </c>
      <c r="N5173" s="112">
        <v>1</v>
      </c>
      <c r="O5173" s="112">
        <v>1</v>
      </c>
    </row>
    <row r="5174" spans="1:15" x14ac:dyDescent="0.2">
      <c r="A5174" s="111">
        <v>5305</v>
      </c>
      <c r="B5174" s="421" t="s">
        <v>9480</v>
      </c>
      <c r="C5174" s="421" t="s">
        <v>1284</v>
      </c>
      <c r="D5174" s="422" t="s">
        <v>666</v>
      </c>
      <c r="F5174" s="421" t="s">
        <v>9505</v>
      </c>
      <c r="G5174" s="112">
        <v>1</v>
      </c>
      <c r="H5174" s="112">
        <v>1</v>
      </c>
      <c r="I5174" s="112">
        <v>1</v>
      </c>
    </row>
    <row r="5175" spans="1:15" x14ac:dyDescent="0.2">
      <c r="A5175" s="111">
        <v>5306</v>
      </c>
      <c r="B5175" s="421" t="s">
        <v>9481</v>
      </c>
      <c r="C5175" s="421" t="s">
        <v>503</v>
      </c>
      <c r="D5175" s="422" t="s">
        <v>663</v>
      </c>
      <c r="E5175" s="111">
        <v>16978</v>
      </c>
      <c r="F5175" s="421" t="s">
        <v>9507</v>
      </c>
    </row>
    <row r="5176" spans="1:15" x14ac:dyDescent="0.2">
      <c r="A5176" s="111">
        <v>5307</v>
      </c>
      <c r="B5176" s="421" t="s">
        <v>1491</v>
      </c>
      <c r="C5176" s="421" t="s">
        <v>510</v>
      </c>
      <c r="D5176" s="422" t="s">
        <v>663</v>
      </c>
      <c r="E5176" s="111">
        <v>16979</v>
      </c>
      <c r="F5176" s="421" t="s">
        <v>9497</v>
      </c>
      <c r="G5176" s="112">
        <v>1</v>
      </c>
      <c r="H5176" s="112">
        <v>1</v>
      </c>
      <c r="I5176" s="112">
        <v>1</v>
      </c>
      <c r="J5176" s="112">
        <v>1</v>
      </c>
      <c r="K5176" s="112">
        <v>1</v>
      </c>
      <c r="L5176" s="112">
        <v>1</v>
      </c>
    </row>
    <row r="5177" spans="1:15" x14ac:dyDescent="0.2">
      <c r="A5177" s="111">
        <v>5308</v>
      </c>
      <c r="B5177" s="421" t="s">
        <v>5172</v>
      </c>
      <c r="C5177" s="421" t="s">
        <v>550</v>
      </c>
      <c r="D5177" s="422" t="s">
        <v>666</v>
      </c>
      <c r="E5177" s="111">
        <v>15111</v>
      </c>
      <c r="F5177" s="421" t="s">
        <v>3175</v>
      </c>
      <c r="G5177" s="112">
        <v>1</v>
      </c>
      <c r="H5177" s="112">
        <v>1</v>
      </c>
      <c r="I5177" s="112">
        <v>1</v>
      </c>
      <c r="J5177" s="112">
        <v>7</v>
      </c>
      <c r="K5177" s="112">
        <v>8</v>
      </c>
      <c r="L5177" s="112">
        <v>6</v>
      </c>
      <c r="M5177" s="112">
        <v>2</v>
      </c>
      <c r="O5177" s="112">
        <v>2</v>
      </c>
    </row>
    <row r="5178" spans="1:15" x14ac:dyDescent="0.2">
      <c r="A5178" s="111">
        <v>5309</v>
      </c>
      <c r="B5178" s="421" t="s">
        <v>218</v>
      </c>
      <c r="C5178" s="421" t="s">
        <v>551</v>
      </c>
      <c r="D5178" s="422" t="s">
        <v>666</v>
      </c>
      <c r="E5178" s="111">
        <v>44155</v>
      </c>
      <c r="F5178" s="421" t="s">
        <v>9514</v>
      </c>
      <c r="G5178" s="112">
        <v>1</v>
      </c>
      <c r="H5178" s="112">
        <v>1</v>
      </c>
      <c r="I5178" s="112">
        <v>1</v>
      </c>
      <c r="J5178" s="112">
        <v>1</v>
      </c>
      <c r="K5178" s="112">
        <v>1</v>
      </c>
      <c r="L5178" s="112">
        <v>1</v>
      </c>
    </row>
    <row r="5179" spans="1:15" x14ac:dyDescent="0.2">
      <c r="A5179" s="111">
        <v>5310</v>
      </c>
      <c r="B5179" s="421" t="s">
        <v>9483</v>
      </c>
      <c r="C5179" s="421" t="s">
        <v>560</v>
      </c>
      <c r="D5179" s="422" t="s">
        <v>663</v>
      </c>
      <c r="E5179" s="111">
        <v>16980</v>
      </c>
      <c r="F5179" s="421" t="s">
        <v>9510</v>
      </c>
      <c r="G5179" s="112">
        <v>1</v>
      </c>
      <c r="H5179" s="112">
        <v>1</v>
      </c>
    </row>
    <row r="5180" spans="1:15" x14ac:dyDescent="0.2">
      <c r="A5180" s="111">
        <v>5311</v>
      </c>
      <c r="B5180" s="421" t="s">
        <v>1538</v>
      </c>
      <c r="C5180" s="421" t="s">
        <v>510</v>
      </c>
      <c r="D5180" s="422" t="s">
        <v>663</v>
      </c>
      <c r="E5180" s="111">
        <v>16981</v>
      </c>
      <c r="F5180" s="421" t="s">
        <v>9502</v>
      </c>
      <c r="G5180" s="112">
        <v>1</v>
      </c>
      <c r="H5180" s="112">
        <v>1</v>
      </c>
      <c r="I5180" s="112">
        <v>1</v>
      </c>
      <c r="J5180" s="112">
        <v>13</v>
      </c>
      <c r="K5180" s="112">
        <v>10</v>
      </c>
      <c r="L5180" s="112">
        <v>13</v>
      </c>
      <c r="M5180" s="112">
        <v>17</v>
      </c>
      <c r="N5180" s="112">
        <v>9</v>
      </c>
      <c r="O5180" s="112">
        <v>11</v>
      </c>
    </row>
    <row r="5181" spans="1:15" x14ac:dyDescent="0.2">
      <c r="A5181" s="111">
        <v>5312</v>
      </c>
      <c r="B5181" s="421" t="s">
        <v>78</v>
      </c>
      <c r="C5181" s="421" t="s">
        <v>501</v>
      </c>
      <c r="D5181" s="422" t="s">
        <v>663</v>
      </c>
      <c r="F5181" s="421" t="s">
        <v>9496</v>
      </c>
      <c r="G5181" s="112">
        <v>1</v>
      </c>
    </row>
    <row r="5182" spans="1:15" x14ac:dyDescent="0.2">
      <c r="A5182" s="111">
        <v>5313</v>
      </c>
      <c r="B5182" s="421" t="s">
        <v>9472</v>
      </c>
      <c r="C5182" s="421" t="s">
        <v>1447</v>
      </c>
      <c r="D5182" s="422" t="s">
        <v>663</v>
      </c>
      <c r="E5182" s="111">
        <v>44028</v>
      </c>
      <c r="F5182" s="421" t="s">
        <v>9489</v>
      </c>
    </row>
    <row r="5183" spans="1:15" x14ac:dyDescent="0.2">
      <c r="A5183" s="111">
        <v>5314</v>
      </c>
      <c r="B5183" s="421" t="s">
        <v>80</v>
      </c>
      <c r="C5183" s="421" t="s">
        <v>516</v>
      </c>
      <c r="D5183" s="422" t="s">
        <v>666</v>
      </c>
      <c r="E5183" s="111">
        <v>16366</v>
      </c>
      <c r="F5183" s="421" t="s">
        <v>6695</v>
      </c>
    </row>
    <row r="5184" spans="1:15" x14ac:dyDescent="0.2">
      <c r="A5184" s="111">
        <v>5315</v>
      </c>
      <c r="B5184" s="421" t="s">
        <v>185</v>
      </c>
      <c r="C5184" s="421" t="s">
        <v>518</v>
      </c>
      <c r="D5184" s="422" t="s">
        <v>663</v>
      </c>
      <c r="E5184" s="111">
        <v>17300</v>
      </c>
      <c r="F5184" s="421" t="s">
        <v>9506</v>
      </c>
      <c r="G5184" s="112">
        <v>1</v>
      </c>
      <c r="H5184" s="112">
        <v>1</v>
      </c>
      <c r="I5184" s="112">
        <v>1</v>
      </c>
      <c r="J5184" s="112">
        <v>1</v>
      </c>
      <c r="K5184" s="112">
        <v>1</v>
      </c>
      <c r="M5184" s="112">
        <v>1</v>
      </c>
    </row>
    <row r="5185" spans="1:15" x14ac:dyDescent="0.2">
      <c r="A5185" s="111">
        <v>5316</v>
      </c>
      <c r="B5185" s="421" t="s">
        <v>9485</v>
      </c>
      <c r="C5185" s="421" t="s">
        <v>506</v>
      </c>
      <c r="D5185" s="422" t="s">
        <v>666</v>
      </c>
      <c r="E5185" s="111">
        <v>17106</v>
      </c>
      <c r="F5185" s="421" t="s">
        <v>9515</v>
      </c>
      <c r="G5185" s="112">
        <v>2</v>
      </c>
      <c r="H5185" s="112">
        <v>2</v>
      </c>
      <c r="I5185" s="112">
        <v>2</v>
      </c>
    </row>
    <row r="5186" spans="1:15" x14ac:dyDescent="0.2">
      <c r="A5186" s="111">
        <v>5317</v>
      </c>
      <c r="B5186" s="421" t="s">
        <v>9470</v>
      </c>
      <c r="C5186" s="421" t="s">
        <v>501</v>
      </c>
      <c r="D5186" s="422" t="s">
        <v>663</v>
      </c>
      <c r="E5186" s="111">
        <v>16297</v>
      </c>
      <c r="F5186" s="421" t="s">
        <v>6997</v>
      </c>
      <c r="G5186" s="112">
        <v>2</v>
      </c>
      <c r="H5186" s="112">
        <v>2</v>
      </c>
      <c r="I5186" s="112">
        <v>1</v>
      </c>
      <c r="J5186" s="112">
        <v>1</v>
      </c>
      <c r="K5186" s="112">
        <v>2</v>
      </c>
      <c r="L5186" s="112">
        <v>3</v>
      </c>
      <c r="M5186" s="112">
        <v>1</v>
      </c>
    </row>
    <row r="5187" spans="1:15" x14ac:dyDescent="0.2">
      <c r="A5187" s="111">
        <v>5318</v>
      </c>
      <c r="B5187" s="421" t="s">
        <v>97</v>
      </c>
      <c r="C5187" s="421" t="s">
        <v>551</v>
      </c>
      <c r="D5187" s="422" t="s">
        <v>663</v>
      </c>
      <c r="F5187" s="421" t="s">
        <v>9512</v>
      </c>
      <c r="I5187" s="112">
        <v>1</v>
      </c>
    </row>
    <row r="5188" spans="1:15" x14ac:dyDescent="0.2">
      <c r="A5188" s="111">
        <v>5319</v>
      </c>
      <c r="B5188" s="421" t="s">
        <v>9477</v>
      </c>
      <c r="C5188" s="421" t="s">
        <v>555</v>
      </c>
      <c r="D5188" s="422" t="s">
        <v>666</v>
      </c>
      <c r="E5188" s="111">
        <v>15162</v>
      </c>
      <c r="F5188" s="421" t="s">
        <v>2945</v>
      </c>
      <c r="G5188" s="112">
        <v>2</v>
      </c>
      <c r="H5188" s="112">
        <v>1</v>
      </c>
      <c r="I5188" s="112">
        <v>2</v>
      </c>
      <c r="J5188" s="112">
        <v>3</v>
      </c>
      <c r="K5188" s="112">
        <v>6</v>
      </c>
      <c r="L5188" s="112">
        <v>4</v>
      </c>
      <c r="M5188" s="112">
        <v>3</v>
      </c>
      <c r="N5188" s="112">
        <v>3</v>
      </c>
      <c r="O5188" s="112">
        <v>5</v>
      </c>
    </row>
    <row r="5189" spans="1:15" x14ac:dyDescent="0.2">
      <c r="A5189" s="111">
        <v>5320</v>
      </c>
      <c r="B5189" s="421" t="s">
        <v>365</v>
      </c>
      <c r="C5189" s="421" t="s">
        <v>501</v>
      </c>
      <c r="D5189" s="422" t="s">
        <v>666</v>
      </c>
      <c r="E5189" s="111">
        <v>44047</v>
      </c>
      <c r="F5189" s="421" t="s">
        <v>1812</v>
      </c>
      <c r="G5189" s="112">
        <v>1</v>
      </c>
      <c r="H5189" s="112">
        <v>1</v>
      </c>
      <c r="I5189" s="112">
        <v>1</v>
      </c>
      <c r="K5189" s="112">
        <v>1</v>
      </c>
    </row>
    <row r="5190" spans="1:15" x14ac:dyDescent="0.2">
      <c r="A5190" s="111">
        <v>5321</v>
      </c>
      <c r="B5190" s="421" t="s">
        <v>175</v>
      </c>
      <c r="C5190" s="421" t="s">
        <v>503</v>
      </c>
      <c r="D5190" s="422" t="s">
        <v>666</v>
      </c>
      <c r="E5190" s="111">
        <v>17069</v>
      </c>
      <c r="F5190" s="421" t="s">
        <v>9500</v>
      </c>
      <c r="G5190" s="112">
        <v>2</v>
      </c>
      <c r="H5190" s="112">
        <v>1</v>
      </c>
      <c r="I5190" s="112">
        <v>3</v>
      </c>
    </row>
    <row r="5191" spans="1:15" x14ac:dyDescent="0.2">
      <c r="A5191" s="111">
        <v>5322</v>
      </c>
      <c r="B5191" s="421" t="s">
        <v>7869</v>
      </c>
      <c r="C5191" s="421" t="s">
        <v>506</v>
      </c>
      <c r="D5191" s="422" t="s">
        <v>666</v>
      </c>
      <c r="E5191" s="111">
        <v>16593</v>
      </c>
      <c r="F5191" s="421" t="s">
        <v>7913</v>
      </c>
    </row>
    <row r="5192" spans="1:15" x14ac:dyDescent="0.2">
      <c r="A5192" s="111">
        <v>5323</v>
      </c>
      <c r="B5192" s="421" t="s">
        <v>2914</v>
      </c>
      <c r="C5192" s="421" t="s">
        <v>506</v>
      </c>
      <c r="D5192" s="422" t="s">
        <v>663</v>
      </c>
      <c r="E5192" s="111">
        <v>15386</v>
      </c>
      <c r="F5192" s="421" t="s">
        <v>3960</v>
      </c>
    </row>
    <row r="5193" spans="1:15" x14ac:dyDescent="0.2">
      <c r="A5193" s="111">
        <v>5324</v>
      </c>
      <c r="B5193" s="421" t="s">
        <v>3847</v>
      </c>
      <c r="C5193" s="421" t="s">
        <v>513</v>
      </c>
      <c r="D5193" s="422" t="s">
        <v>663</v>
      </c>
      <c r="E5193" s="111">
        <v>15131</v>
      </c>
      <c r="F5193" s="421" t="s">
        <v>3217</v>
      </c>
      <c r="G5193" s="112">
        <v>1</v>
      </c>
      <c r="H5193" s="112">
        <v>1</v>
      </c>
      <c r="I5193" s="112">
        <v>2</v>
      </c>
      <c r="J5193" s="112">
        <v>11</v>
      </c>
      <c r="K5193" s="112">
        <v>11</v>
      </c>
      <c r="L5193" s="112">
        <v>9</v>
      </c>
      <c r="M5193" s="112">
        <v>13</v>
      </c>
      <c r="N5193" s="112">
        <v>9</v>
      </c>
      <c r="O5193" s="112">
        <v>8</v>
      </c>
    </row>
    <row r="5194" spans="1:15" x14ac:dyDescent="0.2">
      <c r="A5194" s="111">
        <v>5325</v>
      </c>
      <c r="B5194" s="421" t="s">
        <v>7213</v>
      </c>
      <c r="C5194" s="421" t="s">
        <v>518</v>
      </c>
      <c r="D5194" s="422" t="s">
        <v>663</v>
      </c>
      <c r="E5194" s="111">
        <v>1439</v>
      </c>
      <c r="F5194" s="421" t="s">
        <v>2833</v>
      </c>
      <c r="G5194" s="112">
        <v>1</v>
      </c>
      <c r="H5194" s="112">
        <v>1</v>
      </c>
    </row>
    <row r="5195" spans="1:15" x14ac:dyDescent="0.2">
      <c r="A5195" s="111">
        <v>5326</v>
      </c>
      <c r="B5195" s="421" t="s">
        <v>9636</v>
      </c>
      <c r="C5195" s="421" t="s">
        <v>532</v>
      </c>
      <c r="D5195" s="422" t="s">
        <v>663</v>
      </c>
      <c r="E5195" s="111">
        <v>16983</v>
      </c>
      <c r="F5195" s="421" t="s">
        <v>9637</v>
      </c>
      <c r="G5195" s="112">
        <v>1</v>
      </c>
      <c r="H5195" s="112">
        <v>1</v>
      </c>
      <c r="I5195" s="112">
        <v>1</v>
      </c>
      <c r="J5195" s="112">
        <v>3</v>
      </c>
      <c r="K5195" s="112">
        <v>2</v>
      </c>
      <c r="L5195" s="112">
        <v>1</v>
      </c>
      <c r="M5195" s="112">
        <v>5</v>
      </c>
      <c r="N5195" s="112">
        <v>4</v>
      </c>
      <c r="O5195" s="112">
        <v>4</v>
      </c>
    </row>
    <row r="5196" spans="1:15" x14ac:dyDescent="0.2">
      <c r="A5196" s="111">
        <v>5327</v>
      </c>
      <c r="B5196" s="421" t="s">
        <v>159</v>
      </c>
      <c r="C5196" s="421" t="s">
        <v>551</v>
      </c>
      <c r="D5196" s="422" t="s">
        <v>663</v>
      </c>
      <c r="E5196" s="111">
        <v>16984</v>
      </c>
      <c r="F5196" s="421" t="s">
        <v>9638</v>
      </c>
      <c r="G5196" s="112">
        <v>2</v>
      </c>
      <c r="H5196" s="112">
        <v>1</v>
      </c>
      <c r="I5196" s="112">
        <v>2</v>
      </c>
      <c r="J5196" s="112">
        <v>3</v>
      </c>
      <c r="K5196" s="112">
        <v>4</v>
      </c>
      <c r="L5196" s="112">
        <v>4</v>
      </c>
      <c r="M5196" s="112">
        <v>1</v>
      </c>
      <c r="N5196" s="112">
        <v>2</v>
      </c>
      <c r="O5196" s="112">
        <v>1</v>
      </c>
    </row>
    <row r="5197" spans="1:15" x14ac:dyDescent="0.2">
      <c r="A5197" s="111">
        <v>5328</v>
      </c>
      <c r="B5197" s="421" t="s">
        <v>9639</v>
      </c>
      <c r="C5197" s="421" t="s">
        <v>516</v>
      </c>
      <c r="D5197" s="422" t="s">
        <v>663</v>
      </c>
      <c r="E5197" s="111">
        <v>16344</v>
      </c>
      <c r="F5197" s="421" t="s">
        <v>7226</v>
      </c>
      <c r="G5197" s="112">
        <v>1</v>
      </c>
      <c r="H5197" s="112">
        <v>1</v>
      </c>
      <c r="I5197" s="112">
        <v>1</v>
      </c>
      <c r="J5197" s="112">
        <v>1</v>
      </c>
      <c r="K5197" s="112">
        <v>2</v>
      </c>
      <c r="L5197" s="112">
        <v>2</v>
      </c>
    </row>
    <row r="5198" spans="1:15" x14ac:dyDescent="0.2">
      <c r="A5198" s="111">
        <v>5329</v>
      </c>
      <c r="B5198" s="421" t="s">
        <v>9640</v>
      </c>
      <c r="C5198" s="421" t="s">
        <v>526</v>
      </c>
      <c r="D5198" s="422" t="s">
        <v>666</v>
      </c>
      <c r="E5198" s="111">
        <v>16985</v>
      </c>
      <c r="F5198" s="421" t="s">
        <v>9641</v>
      </c>
      <c r="G5198" s="112">
        <v>1</v>
      </c>
      <c r="H5198" s="112">
        <v>1</v>
      </c>
      <c r="I5198" s="112">
        <v>1</v>
      </c>
      <c r="J5198" s="112">
        <v>3</v>
      </c>
      <c r="K5198" s="112">
        <v>3</v>
      </c>
      <c r="L5198" s="112">
        <v>4</v>
      </c>
    </row>
    <row r="5199" spans="1:15" x14ac:dyDescent="0.2">
      <c r="A5199" s="111">
        <v>5330</v>
      </c>
      <c r="B5199" s="421" t="s">
        <v>9642</v>
      </c>
      <c r="C5199" s="421" t="s">
        <v>2687</v>
      </c>
      <c r="D5199" s="422" t="s">
        <v>666</v>
      </c>
      <c r="E5199" s="111">
        <v>16986</v>
      </c>
      <c r="F5199" s="421" t="s">
        <v>9643</v>
      </c>
      <c r="G5199" s="112">
        <v>1</v>
      </c>
      <c r="H5199" s="112">
        <v>1</v>
      </c>
      <c r="I5199" s="112">
        <v>1</v>
      </c>
      <c r="J5199" s="112">
        <v>1</v>
      </c>
    </row>
    <row r="5200" spans="1:15" x14ac:dyDescent="0.2">
      <c r="A5200" s="111">
        <v>5331</v>
      </c>
      <c r="B5200" s="421" t="s">
        <v>9644</v>
      </c>
      <c r="C5200" s="421" t="s">
        <v>2687</v>
      </c>
      <c r="D5200" s="422" t="s">
        <v>663</v>
      </c>
      <c r="E5200" s="111">
        <v>16986</v>
      </c>
      <c r="F5200" s="421" t="s">
        <v>9643</v>
      </c>
      <c r="G5200" s="112">
        <v>1</v>
      </c>
      <c r="H5200" s="112">
        <v>1</v>
      </c>
      <c r="I5200" s="112">
        <v>1</v>
      </c>
    </row>
    <row r="5201" spans="1:15" x14ac:dyDescent="0.2">
      <c r="A5201" s="111">
        <v>5332</v>
      </c>
      <c r="B5201" s="421" t="s">
        <v>2393</v>
      </c>
      <c r="C5201" s="421" t="s">
        <v>563</v>
      </c>
      <c r="D5201" s="422" t="s">
        <v>663</v>
      </c>
      <c r="E5201" s="111">
        <v>17027</v>
      </c>
      <c r="F5201" s="421" t="s">
        <v>9645</v>
      </c>
      <c r="G5201" s="112">
        <v>1</v>
      </c>
      <c r="H5201" s="112">
        <v>1</v>
      </c>
      <c r="I5201" s="112">
        <v>1</v>
      </c>
    </row>
    <row r="5202" spans="1:15" x14ac:dyDescent="0.2">
      <c r="A5202" s="111">
        <v>5333</v>
      </c>
      <c r="B5202" s="421" t="s">
        <v>10121</v>
      </c>
      <c r="C5202" s="421" t="s">
        <v>3387</v>
      </c>
      <c r="D5202" s="422" t="s">
        <v>663</v>
      </c>
      <c r="E5202" s="111">
        <v>16851</v>
      </c>
      <c r="F5202" s="421" t="s">
        <v>9149</v>
      </c>
      <c r="G5202" s="112">
        <v>1</v>
      </c>
      <c r="H5202" s="112">
        <v>1</v>
      </c>
      <c r="I5202" s="112">
        <v>1</v>
      </c>
      <c r="J5202" s="112">
        <v>9</v>
      </c>
      <c r="K5202" s="112">
        <v>10</v>
      </c>
      <c r="L5202" s="112">
        <v>7</v>
      </c>
      <c r="M5202" s="112">
        <v>3</v>
      </c>
      <c r="N5202" s="112">
        <v>5</v>
      </c>
      <c r="O5202" s="112">
        <v>4</v>
      </c>
    </row>
    <row r="5203" spans="1:15" x14ac:dyDescent="0.2">
      <c r="A5203" s="111">
        <v>5334</v>
      </c>
      <c r="B5203" s="421" t="s">
        <v>390</v>
      </c>
      <c r="C5203" s="421" t="s">
        <v>506</v>
      </c>
      <c r="D5203" s="422" t="s">
        <v>666</v>
      </c>
      <c r="E5203" s="111">
        <v>16987</v>
      </c>
      <c r="F5203" s="421" t="s">
        <v>9646</v>
      </c>
      <c r="G5203" s="112">
        <v>1</v>
      </c>
      <c r="H5203" s="112">
        <v>1</v>
      </c>
      <c r="I5203" s="112">
        <v>1</v>
      </c>
      <c r="J5203" s="112">
        <v>7</v>
      </c>
      <c r="K5203" s="112">
        <v>7</v>
      </c>
      <c r="L5203" s="112">
        <v>8</v>
      </c>
      <c r="M5203" s="112">
        <v>8</v>
      </c>
      <c r="N5203" s="112">
        <v>3</v>
      </c>
      <c r="O5203" s="112">
        <v>3</v>
      </c>
    </row>
    <row r="5204" spans="1:15" x14ac:dyDescent="0.2">
      <c r="A5204" s="111">
        <v>5335</v>
      </c>
      <c r="B5204" s="421" t="s">
        <v>9647</v>
      </c>
      <c r="C5204" s="421" t="s">
        <v>501</v>
      </c>
      <c r="D5204" s="422" t="s">
        <v>666</v>
      </c>
      <c r="E5204" s="111">
        <v>16988</v>
      </c>
      <c r="F5204" s="421" t="s">
        <v>9648</v>
      </c>
      <c r="G5204" s="112">
        <v>1</v>
      </c>
      <c r="H5204" s="112">
        <v>1</v>
      </c>
      <c r="I5204" s="112">
        <v>1</v>
      </c>
    </row>
    <row r="5205" spans="1:15" x14ac:dyDescent="0.2">
      <c r="A5205" s="111">
        <v>5336</v>
      </c>
      <c r="B5205" s="421" t="s">
        <v>2501</v>
      </c>
      <c r="C5205" s="421" t="s">
        <v>510</v>
      </c>
      <c r="D5205" s="422" t="s">
        <v>663</v>
      </c>
      <c r="E5205" s="111">
        <v>16989</v>
      </c>
      <c r="F5205" s="421" t="s">
        <v>9649</v>
      </c>
      <c r="G5205" s="112">
        <v>1</v>
      </c>
    </row>
    <row r="5206" spans="1:15" x14ac:dyDescent="0.2">
      <c r="A5206" s="111">
        <v>5338</v>
      </c>
      <c r="B5206" s="421" t="s">
        <v>9650</v>
      </c>
      <c r="C5206" s="421" t="s">
        <v>1378</v>
      </c>
      <c r="D5206" s="422" t="s">
        <v>663</v>
      </c>
      <c r="F5206" s="421" t="s">
        <v>9651</v>
      </c>
    </row>
    <row r="5207" spans="1:15" x14ac:dyDescent="0.2">
      <c r="A5207" s="111">
        <v>5339</v>
      </c>
      <c r="B5207" s="421" t="s">
        <v>9652</v>
      </c>
      <c r="C5207" s="421" t="s">
        <v>506</v>
      </c>
      <c r="D5207" s="422" t="s">
        <v>663</v>
      </c>
      <c r="E5207" s="111">
        <v>16307</v>
      </c>
      <c r="F5207" s="421" t="s">
        <v>7066</v>
      </c>
      <c r="G5207" s="112">
        <v>1</v>
      </c>
      <c r="H5207" s="112">
        <v>1</v>
      </c>
      <c r="I5207" s="112">
        <v>1</v>
      </c>
    </row>
    <row r="5208" spans="1:15" x14ac:dyDescent="0.2">
      <c r="A5208" s="111">
        <v>5340</v>
      </c>
      <c r="B5208" s="421" t="s">
        <v>7798</v>
      </c>
      <c r="C5208" s="421" t="s">
        <v>1748</v>
      </c>
      <c r="D5208" s="422" t="s">
        <v>666</v>
      </c>
      <c r="E5208" s="111">
        <v>15790</v>
      </c>
      <c r="F5208" s="421" t="s">
        <v>5009</v>
      </c>
      <c r="G5208" s="112">
        <v>1</v>
      </c>
      <c r="H5208" s="112">
        <v>1</v>
      </c>
      <c r="I5208" s="112">
        <v>1</v>
      </c>
    </row>
    <row r="5209" spans="1:15" x14ac:dyDescent="0.2">
      <c r="A5209" s="111">
        <v>5341</v>
      </c>
      <c r="B5209" s="421" t="s">
        <v>9653</v>
      </c>
      <c r="C5209" s="421" t="s">
        <v>501</v>
      </c>
      <c r="D5209" s="422" t="s">
        <v>663</v>
      </c>
      <c r="E5209" s="111">
        <v>15790</v>
      </c>
      <c r="F5209" s="421" t="s">
        <v>5009</v>
      </c>
      <c r="G5209" s="112">
        <v>1</v>
      </c>
      <c r="H5209" s="112">
        <v>1</v>
      </c>
      <c r="I5209" s="112">
        <v>1</v>
      </c>
      <c r="J5209" s="112">
        <v>3</v>
      </c>
      <c r="K5209" s="112">
        <v>4</v>
      </c>
      <c r="L5209" s="112">
        <v>4</v>
      </c>
      <c r="M5209" s="112">
        <v>1</v>
      </c>
      <c r="O5209" s="112">
        <v>1</v>
      </c>
    </row>
    <row r="5210" spans="1:15" x14ac:dyDescent="0.2">
      <c r="A5210" s="111">
        <v>5342</v>
      </c>
      <c r="B5210" s="421" t="s">
        <v>1773</v>
      </c>
      <c r="C5210" s="421" t="s">
        <v>536</v>
      </c>
      <c r="D5210" s="422" t="s">
        <v>666</v>
      </c>
      <c r="E5210" s="111">
        <v>14312</v>
      </c>
      <c r="F5210" s="421" t="s">
        <v>1069</v>
      </c>
      <c r="G5210" s="112">
        <v>1</v>
      </c>
      <c r="H5210" s="112">
        <v>1</v>
      </c>
      <c r="I5210" s="112">
        <v>1</v>
      </c>
      <c r="J5210" s="112">
        <v>3</v>
      </c>
      <c r="K5210" s="112">
        <v>1</v>
      </c>
      <c r="L5210" s="112">
        <v>2</v>
      </c>
    </row>
    <row r="5211" spans="1:15" x14ac:dyDescent="0.2">
      <c r="A5211" s="111">
        <v>5343</v>
      </c>
      <c r="B5211" s="421" t="s">
        <v>9654</v>
      </c>
      <c r="C5211" s="421" t="s">
        <v>513</v>
      </c>
      <c r="D5211" s="422" t="s">
        <v>663</v>
      </c>
      <c r="E5211" s="111">
        <v>16992</v>
      </c>
      <c r="F5211" s="421" t="s">
        <v>9655</v>
      </c>
      <c r="G5211" s="112">
        <v>1</v>
      </c>
      <c r="H5211" s="112">
        <v>1</v>
      </c>
      <c r="I5211" s="112">
        <v>1</v>
      </c>
      <c r="J5211" s="112">
        <v>1</v>
      </c>
      <c r="K5211" s="112">
        <v>2</v>
      </c>
      <c r="L5211" s="112">
        <v>2</v>
      </c>
      <c r="N5211" s="112">
        <v>1</v>
      </c>
      <c r="O5211" s="112">
        <v>1</v>
      </c>
    </row>
    <row r="5212" spans="1:15" x14ac:dyDescent="0.2">
      <c r="A5212" s="111">
        <v>5344</v>
      </c>
      <c r="B5212" s="421" t="s">
        <v>3263</v>
      </c>
      <c r="C5212" s="421" t="s">
        <v>501</v>
      </c>
      <c r="D5212" s="422" t="s">
        <v>663</v>
      </c>
      <c r="E5212" s="111">
        <v>17007</v>
      </c>
      <c r="F5212" s="421" t="s">
        <v>9656</v>
      </c>
      <c r="G5212" s="112">
        <v>1</v>
      </c>
      <c r="H5212" s="112">
        <v>1</v>
      </c>
      <c r="I5212" s="112">
        <v>1</v>
      </c>
      <c r="J5212" s="112">
        <v>7</v>
      </c>
      <c r="K5212" s="112">
        <v>7</v>
      </c>
      <c r="L5212" s="112">
        <v>8</v>
      </c>
      <c r="M5212" s="112">
        <v>5</v>
      </c>
      <c r="N5212" s="112">
        <v>2</v>
      </c>
      <c r="O5212" s="112">
        <v>4</v>
      </c>
    </row>
    <row r="5213" spans="1:15" x14ac:dyDescent="0.2">
      <c r="A5213" s="111">
        <v>5345</v>
      </c>
      <c r="B5213" s="421" t="s">
        <v>1393</v>
      </c>
      <c r="C5213" s="421" t="s">
        <v>510</v>
      </c>
      <c r="D5213" s="422" t="s">
        <v>663</v>
      </c>
      <c r="E5213" s="111">
        <v>16994</v>
      </c>
      <c r="F5213" s="421" t="s">
        <v>9657</v>
      </c>
      <c r="G5213" s="112">
        <v>2</v>
      </c>
      <c r="H5213" s="112">
        <v>2</v>
      </c>
      <c r="I5213" s="112">
        <v>2</v>
      </c>
      <c r="J5213" s="112">
        <v>3</v>
      </c>
      <c r="K5213" s="112">
        <v>3</v>
      </c>
      <c r="L5213" s="112">
        <v>4</v>
      </c>
      <c r="O5213" s="112">
        <v>1</v>
      </c>
    </row>
    <row r="5214" spans="1:15" x14ac:dyDescent="0.2">
      <c r="A5214" s="111">
        <v>5346</v>
      </c>
      <c r="B5214" s="421" t="s">
        <v>45</v>
      </c>
      <c r="C5214" s="421" t="s">
        <v>516</v>
      </c>
      <c r="D5214" s="422" t="s">
        <v>663</v>
      </c>
      <c r="E5214" s="111">
        <v>16995</v>
      </c>
      <c r="F5214" s="421" t="s">
        <v>9658</v>
      </c>
      <c r="G5214" s="112">
        <v>1</v>
      </c>
      <c r="H5214" s="112">
        <v>1</v>
      </c>
      <c r="I5214" s="112">
        <v>1</v>
      </c>
      <c r="K5214" s="112">
        <v>1</v>
      </c>
      <c r="L5214" s="112">
        <v>1</v>
      </c>
    </row>
    <row r="5215" spans="1:15" x14ac:dyDescent="0.2">
      <c r="A5215" s="111">
        <v>5347</v>
      </c>
      <c r="B5215" s="421" t="s">
        <v>1931</v>
      </c>
      <c r="C5215" s="421" t="s">
        <v>503</v>
      </c>
      <c r="D5215" s="422" t="s">
        <v>663</v>
      </c>
      <c r="E5215" s="111">
        <v>16996</v>
      </c>
      <c r="F5215" s="421" t="s">
        <v>9659</v>
      </c>
      <c r="G5215" s="112">
        <v>1</v>
      </c>
      <c r="H5215" s="112">
        <v>1</v>
      </c>
      <c r="I5215" s="112">
        <v>1</v>
      </c>
      <c r="J5215" s="112">
        <v>8</v>
      </c>
      <c r="K5215" s="112">
        <v>8</v>
      </c>
      <c r="L5215" s="112">
        <v>8</v>
      </c>
      <c r="M5215" s="112">
        <v>3</v>
      </c>
      <c r="N5215" s="112">
        <v>3</v>
      </c>
      <c r="O5215" s="112">
        <v>4</v>
      </c>
    </row>
    <row r="5216" spans="1:15" x14ac:dyDescent="0.2">
      <c r="A5216" s="111">
        <v>5348</v>
      </c>
      <c r="B5216" s="421" t="s">
        <v>39</v>
      </c>
      <c r="C5216" s="421" t="s">
        <v>557</v>
      </c>
      <c r="D5216" s="422" t="s">
        <v>663</v>
      </c>
      <c r="F5216" s="421" t="s">
        <v>9660</v>
      </c>
    </row>
    <row r="5217" spans="1:15" x14ac:dyDescent="0.2">
      <c r="A5217" s="111">
        <v>5349</v>
      </c>
      <c r="B5217" s="421" t="s">
        <v>9661</v>
      </c>
      <c r="C5217" s="421" t="s">
        <v>534</v>
      </c>
      <c r="D5217" s="422" t="s">
        <v>663</v>
      </c>
      <c r="E5217" s="111">
        <v>16657</v>
      </c>
      <c r="F5217" s="421" t="s">
        <v>8202</v>
      </c>
      <c r="G5217" s="112">
        <v>1</v>
      </c>
      <c r="H5217" s="112">
        <v>1</v>
      </c>
      <c r="I5217" s="112">
        <v>1</v>
      </c>
      <c r="J5217" s="112">
        <v>1</v>
      </c>
      <c r="K5217" s="112">
        <v>1</v>
      </c>
      <c r="L5217" s="112">
        <v>1</v>
      </c>
    </row>
    <row r="5218" spans="1:15" x14ac:dyDescent="0.2">
      <c r="A5218" s="111">
        <v>5350</v>
      </c>
      <c r="B5218" s="421" t="s">
        <v>4194</v>
      </c>
      <c r="C5218" s="421" t="s">
        <v>503</v>
      </c>
      <c r="D5218" s="422" t="s">
        <v>663</v>
      </c>
      <c r="E5218" s="111">
        <v>15431</v>
      </c>
      <c r="F5218" s="421" t="s">
        <v>4151</v>
      </c>
      <c r="G5218" s="112">
        <v>1</v>
      </c>
      <c r="H5218" s="112">
        <v>1</v>
      </c>
      <c r="I5218" s="112">
        <v>1</v>
      </c>
      <c r="J5218" s="112">
        <v>8</v>
      </c>
      <c r="K5218" s="112">
        <v>7</v>
      </c>
      <c r="L5218" s="112">
        <v>7</v>
      </c>
      <c r="M5218" s="112">
        <v>4</v>
      </c>
      <c r="N5218" s="112">
        <v>3</v>
      </c>
      <c r="O5218" s="112">
        <v>4</v>
      </c>
    </row>
    <row r="5219" spans="1:15" x14ac:dyDescent="0.2">
      <c r="A5219" s="111">
        <v>5351</v>
      </c>
      <c r="B5219" s="421" t="s">
        <v>7276</v>
      </c>
      <c r="C5219" s="421" t="s">
        <v>503</v>
      </c>
      <c r="D5219" s="422" t="s">
        <v>663</v>
      </c>
      <c r="F5219" s="421" t="s">
        <v>9662</v>
      </c>
    </row>
    <row r="5220" spans="1:15" x14ac:dyDescent="0.2">
      <c r="A5220" s="111">
        <v>5352</v>
      </c>
      <c r="B5220" s="421" t="s">
        <v>1273</v>
      </c>
      <c r="C5220" s="421" t="s">
        <v>521</v>
      </c>
      <c r="D5220" s="422" t="s">
        <v>663</v>
      </c>
      <c r="E5220" s="111">
        <v>16997</v>
      </c>
      <c r="F5220" s="421" t="s">
        <v>9663</v>
      </c>
      <c r="G5220" s="112">
        <v>1</v>
      </c>
      <c r="H5220" s="112">
        <v>1</v>
      </c>
      <c r="I5220" s="112">
        <v>1</v>
      </c>
    </row>
    <row r="5221" spans="1:15" x14ac:dyDescent="0.2">
      <c r="A5221" s="111">
        <v>5354</v>
      </c>
      <c r="B5221" s="421" t="s">
        <v>9664</v>
      </c>
      <c r="C5221" s="421" t="s">
        <v>510</v>
      </c>
      <c r="D5221" s="422" t="s">
        <v>663</v>
      </c>
      <c r="E5221" s="111">
        <v>16999</v>
      </c>
      <c r="F5221" s="421" t="s">
        <v>9665</v>
      </c>
      <c r="G5221" s="112">
        <v>1</v>
      </c>
      <c r="H5221" s="112">
        <v>1</v>
      </c>
      <c r="I5221" s="112">
        <v>1</v>
      </c>
      <c r="J5221" s="112">
        <v>4</v>
      </c>
      <c r="K5221" s="112">
        <v>7</v>
      </c>
      <c r="L5221" s="112">
        <v>5</v>
      </c>
      <c r="M5221" s="112">
        <v>2</v>
      </c>
      <c r="N5221" s="112">
        <v>2</v>
      </c>
      <c r="O5221" s="112">
        <v>5</v>
      </c>
    </row>
    <row r="5222" spans="1:15" x14ac:dyDescent="0.2">
      <c r="A5222" s="111">
        <v>5355</v>
      </c>
      <c r="B5222" s="421" t="s">
        <v>481</v>
      </c>
      <c r="C5222" s="421" t="s">
        <v>501</v>
      </c>
      <c r="D5222" s="422" t="s">
        <v>663</v>
      </c>
      <c r="E5222" s="111">
        <v>17064</v>
      </c>
      <c r="F5222" s="421" t="s">
        <v>9666</v>
      </c>
      <c r="G5222" s="112">
        <v>2</v>
      </c>
      <c r="H5222" s="112">
        <v>2</v>
      </c>
      <c r="I5222" s="112">
        <v>2</v>
      </c>
      <c r="J5222" s="112">
        <v>7</v>
      </c>
      <c r="K5222" s="112">
        <v>7</v>
      </c>
      <c r="L5222" s="112">
        <v>7</v>
      </c>
      <c r="M5222" s="112">
        <v>6</v>
      </c>
      <c r="N5222" s="112">
        <v>3</v>
      </c>
      <c r="O5222" s="112">
        <v>3</v>
      </c>
    </row>
    <row r="5223" spans="1:15" x14ac:dyDescent="0.2">
      <c r="A5223" s="111">
        <v>5356</v>
      </c>
      <c r="B5223" s="421" t="s">
        <v>9667</v>
      </c>
      <c r="C5223" s="421" t="s">
        <v>520</v>
      </c>
      <c r="D5223" s="422" t="s">
        <v>666</v>
      </c>
      <c r="E5223" s="111">
        <v>16645</v>
      </c>
      <c r="F5223" s="421" t="s">
        <v>8121</v>
      </c>
      <c r="G5223" s="112">
        <v>1</v>
      </c>
      <c r="H5223" s="112">
        <v>1</v>
      </c>
      <c r="I5223" s="112">
        <v>1</v>
      </c>
      <c r="J5223" s="112">
        <v>1</v>
      </c>
      <c r="K5223" s="112">
        <v>2</v>
      </c>
    </row>
    <row r="5224" spans="1:15" x14ac:dyDescent="0.2">
      <c r="A5224" s="111">
        <v>5357</v>
      </c>
      <c r="B5224" s="421" t="s">
        <v>5540</v>
      </c>
      <c r="C5224" s="421" t="s">
        <v>521</v>
      </c>
      <c r="D5224" s="422" t="s">
        <v>666</v>
      </c>
      <c r="E5224" s="111">
        <v>17000</v>
      </c>
      <c r="F5224" s="421" t="s">
        <v>9668</v>
      </c>
      <c r="G5224" s="112">
        <v>1</v>
      </c>
      <c r="H5224" s="112">
        <v>1</v>
      </c>
      <c r="I5224" s="112">
        <v>1</v>
      </c>
    </row>
    <row r="5225" spans="1:15" x14ac:dyDescent="0.2">
      <c r="A5225" s="111">
        <v>5358</v>
      </c>
      <c r="B5225" s="421" t="s">
        <v>2234</v>
      </c>
      <c r="C5225" s="421" t="s">
        <v>516</v>
      </c>
      <c r="D5225" s="422" t="s">
        <v>663</v>
      </c>
      <c r="E5225" s="111">
        <v>15216</v>
      </c>
      <c r="F5225" s="421" t="s">
        <v>2327</v>
      </c>
      <c r="G5225" s="112">
        <v>1</v>
      </c>
      <c r="H5225" s="112">
        <v>1</v>
      </c>
      <c r="I5225" s="112">
        <v>1</v>
      </c>
      <c r="J5225" s="112">
        <v>1</v>
      </c>
      <c r="K5225" s="112">
        <v>1</v>
      </c>
      <c r="L5225" s="112">
        <v>1</v>
      </c>
    </row>
    <row r="5226" spans="1:15" x14ac:dyDescent="0.2">
      <c r="A5226" s="111">
        <v>5359</v>
      </c>
      <c r="B5226" s="421" t="s">
        <v>9669</v>
      </c>
      <c r="C5226" s="421" t="s">
        <v>551</v>
      </c>
      <c r="D5226" s="422" t="s">
        <v>663</v>
      </c>
      <c r="E5226" s="111">
        <v>17001</v>
      </c>
      <c r="F5226" s="421" t="s">
        <v>9670</v>
      </c>
      <c r="G5226" s="112">
        <v>1</v>
      </c>
      <c r="H5226" s="112">
        <v>1</v>
      </c>
    </row>
    <row r="5227" spans="1:15" x14ac:dyDescent="0.2">
      <c r="A5227" s="111">
        <v>5360</v>
      </c>
      <c r="B5227" s="421" t="s">
        <v>9671</v>
      </c>
      <c r="C5227" s="421" t="s">
        <v>5509</v>
      </c>
      <c r="D5227" s="422" t="s">
        <v>666</v>
      </c>
      <c r="E5227" s="111">
        <v>14944</v>
      </c>
      <c r="F5227" s="421" t="s">
        <v>2078</v>
      </c>
      <c r="G5227" s="112">
        <v>1</v>
      </c>
      <c r="H5227" s="112">
        <v>1</v>
      </c>
      <c r="I5227" s="112">
        <v>1</v>
      </c>
    </row>
    <row r="5228" spans="1:15" x14ac:dyDescent="0.2">
      <c r="A5228" s="111">
        <v>5361</v>
      </c>
      <c r="B5228" s="421" t="s">
        <v>2202</v>
      </c>
      <c r="C5228" s="421" t="s">
        <v>3855</v>
      </c>
      <c r="D5228" s="422" t="s">
        <v>663</v>
      </c>
      <c r="E5228" s="111">
        <v>17002</v>
      </c>
      <c r="F5228" s="421" t="s">
        <v>9672</v>
      </c>
      <c r="G5228" s="112">
        <v>1</v>
      </c>
      <c r="H5228" s="112">
        <v>1</v>
      </c>
      <c r="I5228" s="112">
        <v>1</v>
      </c>
      <c r="J5228" s="112">
        <v>1</v>
      </c>
    </row>
    <row r="5229" spans="1:15" x14ac:dyDescent="0.2">
      <c r="A5229" s="111">
        <v>5362</v>
      </c>
      <c r="B5229" s="421" t="s">
        <v>9673</v>
      </c>
      <c r="C5229" s="421" t="s">
        <v>518</v>
      </c>
      <c r="D5229" s="422" t="s">
        <v>666</v>
      </c>
      <c r="E5229" s="111">
        <v>16553</v>
      </c>
      <c r="F5229" s="421" t="s">
        <v>7920</v>
      </c>
      <c r="G5229" s="112">
        <v>1</v>
      </c>
      <c r="H5229" s="112">
        <v>1</v>
      </c>
      <c r="J5229" s="112">
        <v>1</v>
      </c>
      <c r="K5229" s="112">
        <v>3</v>
      </c>
    </row>
    <row r="5230" spans="1:15" x14ac:dyDescent="0.2">
      <c r="A5230" s="111">
        <v>5363</v>
      </c>
      <c r="B5230" s="421" t="s">
        <v>112</v>
      </c>
      <c r="C5230" s="421" t="s">
        <v>509</v>
      </c>
      <c r="D5230" s="422" t="s">
        <v>663</v>
      </c>
      <c r="E5230" s="111">
        <v>17003</v>
      </c>
      <c r="F5230" s="421" t="s">
        <v>9674</v>
      </c>
      <c r="G5230" s="112">
        <v>1</v>
      </c>
      <c r="H5230" s="112">
        <v>1</v>
      </c>
      <c r="I5230" s="112">
        <v>1</v>
      </c>
      <c r="J5230" s="112">
        <v>1</v>
      </c>
    </row>
    <row r="5231" spans="1:15" x14ac:dyDescent="0.2">
      <c r="A5231" s="111">
        <v>5364</v>
      </c>
      <c r="B5231" s="421" t="s">
        <v>6065</v>
      </c>
      <c r="C5231" s="421" t="s">
        <v>3855</v>
      </c>
      <c r="D5231" s="422" t="s">
        <v>666</v>
      </c>
      <c r="E5231" s="111">
        <v>17004</v>
      </c>
      <c r="F5231" s="421" t="s">
        <v>9675</v>
      </c>
      <c r="G5231" s="112">
        <v>1</v>
      </c>
      <c r="H5231" s="112">
        <v>1</v>
      </c>
      <c r="I5231" s="112">
        <v>1</v>
      </c>
      <c r="K5231" s="112">
        <v>1</v>
      </c>
    </row>
    <row r="5232" spans="1:15" x14ac:dyDescent="0.2">
      <c r="A5232" s="111">
        <v>5365</v>
      </c>
      <c r="B5232" s="421" t="s">
        <v>448</v>
      </c>
      <c r="C5232" s="421" t="s">
        <v>510</v>
      </c>
      <c r="D5232" s="422" t="s">
        <v>666</v>
      </c>
      <c r="E5232" s="111">
        <v>14762</v>
      </c>
      <c r="F5232" s="421" t="s">
        <v>2251</v>
      </c>
      <c r="G5232" s="112">
        <v>2</v>
      </c>
      <c r="H5232" s="112">
        <v>1</v>
      </c>
      <c r="I5232" s="112">
        <v>1</v>
      </c>
    </row>
    <row r="5233" spans="1:15" x14ac:dyDescent="0.2">
      <c r="A5233" s="111">
        <v>5366</v>
      </c>
      <c r="B5233" s="421" t="s">
        <v>43</v>
      </c>
      <c r="C5233" s="421" t="s">
        <v>574</v>
      </c>
      <c r="D5233" s="422" t="s">
        <v>663</v>
      </c>
      <c r="E5233" s="111">
        <v>16527</v>
      </c>
      <c r="F5233" s="421" t="s">
        <v>7825</v>
      </c>
      <c r="G5233" s="112">
        <v>1</v>
      </c>
      <c r="H5233" s="112">
        <v>3</v>
      </c>
      <c r="I5233" s="112">
        <v>1</v>
      </c>
      <c r="J5233" s="112">
        <v>1</v>
      </c>
      <c r="K5233" s="112">
        <v>1</v>
      </c>
    </row>
    <row r="5234" spans="1:15" x14ac:dyDescent="0.2">
      <c r="A5234" s="111">
        <v>5367</v>
      </c>
      <c r="B5234" s="421" t="s">
        <v>3226</v>
      </c>
      <c r="C5234" s="421" t="s">
        <v>510</v>
      </c>
      <c r="D5234" s="422" t="s">
        <v>663</v>
      </c>
      <c r="E5234" s="111">
        <v>16597</v>
      </c>
      <c r="F5234" s="421" t="s">
        <v>7928</v>
      </c>
      <c r="G5234" s="112">
        <v>1</v>
      </c>
      <c r="H5234" s="112">
        <v>1</v>
      </c>
      <c r="I5234" s="112">
        <v>1</v>
      </c>
      <c r="J5234" s="112">
        <v>1</v>
      </c>
      <c r="K5234" s="112">
        <v>1</v>
      </c>
      <c r="L5234" s="112">
        <v>1</v>
      </c>
    </row>
    <row r="5235" spans="1:15" x14ac:dyDescent="0.2">
      <c r="A5235" s="111">
        <v>5368</v>
      </c>
      <c r="B5235" s="421" t="s">
        <v>2711</v>
      </c>
      <c r="C5235" s="421" t="s">
        <v>513</v>
      </c>
      <c r="D5235" s="422" t="s">
        <v>663</v>
      </c>
      <c r="E5235" s="111">
        <v>16783</v>
      </c>
      <c r="F5235" s="421" t="s">
        <v>7948</v>
      </c>
      <c r="G5235" s="112">
        <v>1</v>
      </c>
      <c r="H5235" s="112">
        <v>1</v>
      </c>
      <c r="I5235" s="112">
        <v>1</v>
      </c>
      <c r="J5235" s="112">
        <v>1</v>
      </c>
      <c r="K5235" s="112">
        <v>1</v>
      </c>
    </row>
    <row r="5236" spans="1:15" x14ac:dyDescent="0.2">
      <c r="A5236" s="111">
        <v>5369</v>
      </c>
      <c r="B5236" s="421" t="s">
        <v>186</v>
      </c>
      <c r="C5236" s="421" t="s">
        <v>516</v>
      </c>
      <c r="D5236" s="422" t="s">
        <v>666</v>
      </c>
      <c r="E5236" s="111">
        <v>17014</v>
      </c>
      <c r="F5236" s="421" t="s">
        <v>17463</v>
      </c>
      <c r="G5236" s="112">
        <v>1</v>
      </c>
      <c r="H5236" s="112">
        <v>1</v>
      </c>
      <c r="I5236" s="112">
        <v>1</v>
      </c>
      <c r="J5236" s="112">
        <v>2</v>
      </c>
      <c r="K5236" s="112">
        <v>2</v>
      </c>
      <c r="L5236" s="112">
        <v>2</v>
      </c>
      <c r="M5236" s="112">
        <v>1</v>
      </c>
    </row>
    <row r="5237" spans="1:15" x14ac:dyDescent="0.2">
      <c r="A5237" s="111">
        <v>5370</v>
      </c>
      <c r="B5237" s="421" t="s">
        <v>2055</v>
      </c>
      <c r="C5237" s="421" t="s">
        <v>510</v>
      </c>
      <c r="D5237" s="422" t="s">
        <v>663</v>
      </c>
      <c r="E5237" s="111">
        <v>17011</v>
      </c>
      <c r="F5237" s="421" t="s">
        <v>9676</v>
      </c>
      <c r="G5237" s="112">
        <v>1</v>
      </c>
      <c r="H5237" s="112">
        <v>1</v>
      </c>
      <c r="I5237" s="112">
        <v>1</v>
      </c>
      <c r="J5237" s="112">
        <v>4</v>
      </c>
      <c r="K5237" s="112">
        <v>4</v>
      </c>
      <c r="L5237" s="112">
        <v>6</v>
      </c>
    </row>
    <row r="5238" spans="1:15" x14ac:dyDescent="0.2">
      <c r="A5238" s="111">
        <v>5371</v>
      </c>
      <c r="B5238" s="421" t="s">
        <v>1359</v>
      </c>
      <c r="C5238" s="421" t="s">
        <v>510</v>
      </c>
      <c r="D5238" s="422" t="s">
        <v>663</v>
      </c>
      <c r="E5238" s="111">
        <v>17013</v>
      </c>
      <c r="F5238" s="421" t="s">
        <v>9677</v>
      </c>
    </row>
    <row r="5239" spans="1:15" x14ac:dyDescent="0.2">
      <c r="A5239" s="111">
        <v>5372</v>
      </c>
      <c r="B5239" s="421" t="s">
        <v>9678</v>
      </c>
      <c r="C5239" s="421" t="s">
        <v>551</v>
      </c>
      <c r="D5239" s="422" t="s">
        <v>666</v>
      </c>
      <c r="E5239" s="111">
        <v>17006</v>
      </c>
      <c r="F5239" s="421" t="s">
        <v>9679</v>
      </c>
      <c r="G5239" s="112">
        <v>1</v>
      </c>
      <c r="H5239" s="112">
        <v>2</v>
      </c>
      <c r="I5239" s="112">
        <v>2</v>
      </c>
      <c r="J5239" s="112">
        <v>1</v>
      </c>
      <c r="K5239" s="112">
        <v>2</v>
      </c>
      <c r="L5239" s="112">
        <v>3</v>
      </c>
    </row>
    <row r="5240" spans="1:15" x14ac:dyDescent="0.2">
      <c r="A5240" s="111">
        <v>5373</v>
      </c>
      <c r="B5240" s="421" t="s">
        <v>9680</v>
      </c>
      <c r="C5240" s="421" t="s">
        <v>501</v>
      </c>
      <c r="D5240" s="422" t="s">
        <v>663</v>
      </c>
      <c r="E5240" s="111">
        <v>17006</v>
      </c>
      <c r="F5240" s="421" t="s">
        <v>9679</v>
      </c>
    </row>
    <row r="5241" spans="1:15" x14ac:dyDescent="0.2">
      <c r="A5241" s="111">
        <v>5374</v>
      </c>
      <c r="B5241" s="421" t="s">
        <v>2792</v>
      </c>
      <c r="C5241" s="421" t="s">
        <v>501</v>
      </c>
      <c r="D5241" s="422" t="s">
        <v>666</v>
      </c>
      <c r="E5241" s="111">
        <v>17006</v>
      </c>
      <c r="F5241" s="421" t="s">
        <v>9679</v>
      </c>
      <c r="G5241" s="112">
        <v>2</v>
      </c>
      <c r="H5241" s="112">
        <v>1</v>
      </c>
      <c r="I5241" s="112">
        <v>1</v>
      </c>
    </row>
    <row r="5242" spans="1:15" x14ac:dyDescent="0.2">
      <c r="A5242" s="111">
        <v>5375</v>
      </c>
      <c r="B5242" s="421" t="s">
        <v>9681</v>
      </c>
      <c r="C5242" s="421" t="s">
        <v>1284</v>
      </c>
      <c r="D5242" s="422" t="s">
        <v>663</v>
      </c>
      <c r="E5242" s="111">
        <v>17067</v>
      </c>
      <c r="F5242" s="421" t="s">
        <v>8221</v>
      </c>
      <c r="G5242" s="112">
        <v>1</v>
      </c>
      <c r="H5242" s="112">
        <v>1</v>
      </c>
      <c r="I5242" s="112">
        <v>1</v>
      </c>
      <c r="J5242" s="112">
        <v>2</v>
      </c>
      <c r="K5242" s="112">
        <v>1</v>
      </c>
      <c r="L5242" s="112">
        <v>2</v>
      </c>
      <c r="M5242" s="112">
        <v>1</v>
      </c>
    </row>
    <row r="5243" spans="1:15" x14ac:dyDescent="0.2">
      <c r="A5243" s="111">
        <v>5376</v>
      </c>
      <c r="B5243" s="421" t="s">
        <v>9682</v>
      </c>
      <c r="C5243" s="421" t="s">
        <v>1908</v>
      </c>
      <c r="D5243" s="422" t="s">
        <v>666</v>
      </c>
      <c r="E5243" s="111">
        <v>17016</v>
      </c>
      <c r="F5243" s="421" t="s">
        <v>9683</v>
      </c>
      <c r="G5243" s="112">
        <v>1</v>
      </c>
      <c r="H5243" s="112">
        <v>1</v>
      </c>
      <c r="I5243" s="112">
        <v>1</v>
      </c>
      <c r="J5243" s="112">
        <v>1</v>
      </c>
      <c r="K5243" s="112">
        <v>1</v>
      </c>
    </row>
    <row r="5244" spans="1:15" x14ac:dyDescent="0.2">
      <c r="A5244" s="111">
        <v>5377</v>
      </c>
      <c r="B5244" s="421" t="s">
        <v>6034</v>
      </c>
      <c r="C5244" s="421" t="s">
        <v>6802</v>
      </c>
      <c r="D5244" s="422" t="s">
        <v>666</v>
      </c>
      <c r="E5244" s="111">
        <v>16257</v>
      </c>
      <c r="F5244" s="421" t="s">
        <v>6833</v>
      </c>
      <c r="G5244" s="112">
        <v>1</v>
      </c>
      <c r="H5244" s="112">
        <v>1</v>
      </c>
      <c r="I5244" s="112">
        <v>1</v>
      </c>
    </row>
    <row r="5245" spans="1:15" x14ac:dyDescent="0.2">
      <c r="A5245" s="111">
        <v>5378</v>
      </c>
      <c r="B5245" s="421" t="s">
        <v>389</v>
      </c>
      <c r="C5245" s="421" t="s">
        <v>1994</v>
      </c>
      <c r="D5245" s="422" t="s">
        <v>663</v>
      </c>
      <c r="E5245" s="111">
        <v>17017</v>
      </c>
      <c r="F5245" s="421" t="s">
        <v>9684</v>
      </c>
      <c r="G5245" s="112">
        <v>1</v>
      </c>
      <c r="H5245" s="112">
        <v>1</v>
      </c>
      <c r="I5245" s="112">
        <v>1</v>
      </c>
      <c r="K5245" s="112">
        <v>1</v>
      </c>
      <c r="L5245" s="112">
        <v>1</v>
      </c>
    </row>
    <row r="5246" spans="1:15" x14ac:dyDescent="0.2">
      <c r="A5246" s="111">
        <v>5379</v>
      </c>
      <c r="B5246" s="421" t="s">
        <v>5472</v>
      </c>
      <c r="C5246" s="421" t="s">
        <v>551</v>
      </c>
      <c r="D5246" s="422" t="s">
        <v>666</v>
      </c>
      <c r="E5246" s="111">
        <v>17018</v>
      </c>
      <c r="F5246" s="421" t="s">
        <v>9685</v>
      </c>
      <c r="G5246" s="112">
        <v>1</v>
      </c>
      <c r="H5246" s="112">
        <v>2</v>
      </c>
      <c r="I5246" s="112">
        <v>1</v>
      </c>
      <c r="J5246" s="112">
        <v>7</v>
      </c>
      <c r="K5246" s="112">
        <v>8</v>
      </c>
      <c r="L5246" s="112">
        <v>8</v>
      </c>
      <c r="M5246" s="112">
        <v>6</v>
      </c>
      <c r="N5246" s="112">
        <v>5</v>
      </c>
      <c r="O5246" s="112">
        <v>3</v>
      </c>
    </row>
    <row r="5247" spans="1:15" x14ac:dyDescent="0.2">
      <c r="A5247" s="111">
        <v>5380</v>
      </c>
      <c r="B5247" s="421" t="s">
        <v>2902</v>
      </c>
      <c r="C5247" s="421" t="s">
        <v>580</v>
      </c>
      <c r="D5247" s="422" t="s">
        <v>666</v>
      </c>
      <c r="E5247" s="111">
        <v>17060</v>
      </c>
      <c r="F5247" s="421" t="s">
        <v>9686</v>
      </c>
      <c r="G5247" s="112">
        <v>1</v>
      </c>
      <c r="H5247" s="112">
        <v>1</v>
      </c>
      <c r="I5247" s="112">
        <v>1</v>
      </c>
    </row>
    <row r="5248" spans="1:15" x14ac:dyDescent="0.2">
      <c r="A5248" s="111">
        <v>5381</v>
      </c>
      <c r="B5248" s="421" t="s">
        <v>9687</v>
      </c>
      <c r="C5248" s="421" t="s">
        <v>506</v>
      </c>
      <c r="D5248" s="422" t="s">
        <v>666</v>
      </c>
      <c r="E5248" s="111">
        <v>17020</v>
      </c>
      <c r="F5248" s="421" t="s">
        <v>9688</v>
      </c>
      <c r="G5248" s="112">
        <v>1</v>
      </c>
      <c r="H5248" s="112">
        <v>1</v>
      </c>
      <c r="I5248" s="112">
        <v>1</v>
      </c>
      <c r="K5248" s="112">
        <v>1</v>
      </c>
    </row>
    <row r="5249" spans="1:15" x14ac:dyDescent="0.2">
      <c r="A5249" s="111">
        <v>5382</v>
      </c>
      <c r="B5249" s="421" t="s">
        <v>9689</v>
      </c>
      <c r="C5249" s="421" t="s">
        <v>506</v>
      </c>
      <c r="D5249" s="422" t="s">
        <v>663</v>
      </c>
      <c r="E5249" s="111">
        <v>17020</v>
      </c>
      <c r="F5249" s="421" t="s">
        <v>9688</v>
      </c>
      <c r="G5249" s="112">
        <v>1</v>
      </c>
      <c r="H5249" s="112">
        <v>1</v>
      </c>
      <c r="I5249" s="112">
        <v>1</v>
      </c>
      <c r="J5249" s="112">
        <v>1</v>
      </c>
      <c r="K5249" s="112">
        <v>1</v>
      </c>
      <c r="L5249" s="112">
        <v>1</v>
      </c>
    </row>
    <row r="5250" spans="1:15" x14ac:dyDescent="0.2">
      <c r="A5250" s="111">
        <v>5383</v>
      </c>
      <c r="B5250" s="421" t="s">
        <v>166</v>
      </c>
      <c r="C5250" s="421" t="s">
        <v>516</v>
      </c>
      <c r="D5250" s="422" t="s">
        <v>666</v>
      </c>
      <c r="E5250" s="111">
        <v>14379</v>
      </c>
      <c r="F5250" s="421" t="s">
        <v>1192</v>
      </c>
      <c r="G5250" s="112">
        <v>1</v>
      </c>
      <c r="H5250" s="112">
        <v>1</v>
      </c>
      <c r="I5250" s="112">
        <v>1</v>
      </c>
      <c r="K5250" s="112">
        <v>1</v>
      </c>
      <c r="L5250" s="112">
        <v>1</v>
      </c>
    </row>
    <row r="5251" spans="1:15" x14ac:dyDescent="0.2">
      <c r="A5251" s="111">
        <v>5384</v>
      </c>
      <c r="B5251" s="421" t="s">
        <v>339</v>
      </c>
      <c r="C5251" s="421" t="s">
        <v>503</v>
      </c>
      <c r="D5251" s="422" t="s">
        <v>663</v>
      </c>
      <c r="E5251" s="111">
        <v>14380</v>
      </c>
      <c r="F5251" s="421" t="s">
        <v>1244</v>
      </c>
      <c r="G5251" s="112">
        <v>1</v>
      </c>
      <c r="H5251" s="112">
        <v>1</v>
      </c>
      <c r="I5251" s="112">
        <v>1</v>
      </c>
      <c r="K5251" s="112">
        <v>1</v>
      </c>
    </row>
    <row r="5252" spans="1:15" x14ac:dyDescent="0.2">
      <c r="A5252" s="111">
        <v>5385</v>
      </c>
      <c r="B5252" s="421" t="s">
        <v>472</v>
      </c>
      <c r="C5252" s="421" t="s">
        <v>510</v>
      </c>
      <c r="D5252" s="422" t="s">
        <v>666</v>
      </c>
      <c r="E5252" s="111">
        <v>17021</v>
      </c>
      <c r="F5252" s="421" t="s">
        <v>9690</v>
      </c>
    </row>
    <row r="5253" spans="1:15" x14ac:dyDescent="0.2">
      <c r="A5253" s="111">
        <v>5386</v>
      </c>
      <c r="B5253" s="421" t="s">
        <v>131</v>
      </c>
      <c r="C5253" s="421" t="s">
        <v>516</v>
      </c>
      <c r="D5253" s="422" t="s">
        <v>663</v>
      </c>
      <c r="E5253" s="111">
        <v>17022</v>
      </c>
      <c r="F5253" s="421" t="s">
        <v>9691</v>
      </c>
      <c r="G5253" s="112">
        <v>1</v>
      </c>
      <c r="I5253" s="112">
        <v>1</v>
      </c>
    </row>
    <row r="5254" spans="1:15" x14ac:dyDescent="0.2">
      <c r="A5254" s="111">
        <v>5387</v>
      </c>
      <c r="B5254" s="421" t="s">
        <v>9692</v>
      </c>
      <c r="C5254" s="421" t="s">
        <v>532</v>
      </c>
      <c r="D5254" s="422" t="s">
        <v>663</v>
      </c>
      <c r="E5254" s="111">
        <v>17023</v>
      </c>
      <c r="F5254" s="421" t="s">
        <v>9693</v>
      </c>
      <c r="G5254" s="112">
        <v>1</v>
      </c>
      <c r="H5254" s="112">
        <v>1</v>
      </c>
      <c r="I5254" s="112">
        <v>1</v>
      </c>
      <c r="J5254" s="112">
        <v>1</v>
      </c>
      <c r="K5254" s="112">
        <v>1</v>
      </c>
      <c r="L5254" s="112">
        <v>1</v>
      </c>
    </row>
    <row r="5255" spans="1:15" x14ac:dyDescent="0.2">
      <c r="A5255" s="111">
        <v>5388</v>
      </c>
      <c r="B5255" s="421" t="s">
        <v>9694</v>
      </c>
      <c r="C5255" s="421" t="s">
        <v>510</v>
      </c>
      <c r="D5255" s="422" t="s">
        <v>666</v>
      </c>
      <c r="F5255" s="421" t="s">
        <v>9695</v>
      </c>
    </row>
    <row r="5256" spans="1:15" x14ac:dyDescent="0.2">
      <c r="A5256" s="111">
        <v>5389</v>
      </c>
      <c r="B5256" s="421" t="s">
        <v>9696</v>
      </c>
      <c r="C5256" s="421" t="s">
        <v>540</v>
      </c>
      <c r="D5256" s="422" t="s">
        <v>666</v>
      </c>
      <c r="F5256" s="421" t="s">
        <v>9697</v>
      </c>
    </row>
    <row r="5257" spans="1:15" x14ac:dyDescent="0.2">
      <c r="A5257" s="111">
        <v>5390</v>
      </c>
      <c r="B5257" s="421" t="s">
        <v>9698</v>
      </c>
      <c r="C5257" s="421" t="s">
        <v>574</v>
      </c>
      <c r="D5257" s="422" t="s">
        <v>666</v>
      </c>
      <c r="E5257" s="111">
        <v>17024</v>
      </c>
      <c r="F5257" s="421" t="s">
        <v>9699</v>
      </c>
    </row>
    <row r="5258" spans="1:15" x14ac:dyDescent="0.2">
      <c r="A5258" s="111">
        <v>5391</v>
      </c>
      <c r="B5258" s="421" t="s">
        <v>9700</v>
      </c>
      <c r="C5258" s="421" t="s">
        <v>501</v>
      </c>
      <c r="D5258" s="422" t="s">
        <v>666</v>
      </c>
      <c r="E5258" s="111">
        <v>16237</v>
      </c>
      <c r="F5258" s="421" t="s">
        <v>6840</v>
      </c>
      <c r="G5258" s="112">
        <v>1</v>
      </c>
      <c r="H5258" s="112">
        <v>1</v>
      </c>
      <c r="I5258" s="112">
        <v>1</v>
      </c>
    </row>
    <row r="5259" spans="1:15" x14ac:dyDescent="0.2">
      <c r="A5259" s="111">
        <v>5392</v>
      </c>
      <c r="B5259" s="421" t="s">
        <v>7210</v>
      </c>
      <c r="C5259" s="421" t="s">
        <v>501</v>
      </c>
      <c r="D5259" s="422" t="s">
        <v>666</v>
      </c>
      <c r="E5259" s="111">
        <v>17025</v>
      </c>
      <c r="F5259" s="421" t="s">
        <v>9701</v>
      </c>
      <c r="G5259" s="112">
        <v>1</v>
      </c>
      <c r="H5259" s="112">
        <v>1</v>
      </c>
      <c r="I5259" s="112">
        <v>1</v>
      </c>
      <c r="J5259" s="112">
        <v>1</v>
      </c>
      <c r="K5259" s="112">
        <v>1</v>
      </c>
      <c r="L5259" s="112">
        <v>1</v>
      </c>
    </row>
    <row r="5260" spans="1:15" x14ac:dyDescent="0.2">
      <c r="A5260" s="111">
        <v>5393</v>
      </c>
      <c r="B5260" s="421" t="s">
        <v>3235</v>
      </c>
      <c r="C5260" s="421" t="s">
        <v>506</v>
      </c>
      <c r="D5260" s="422" t="s">
        <v>663</v>
      </c>
      <c r="E5260" s="111">
        <v>17026</v>
      </c>
      <c r="F5260" s="421" t="s">
        <v>9702</v>
      </c>
      <c r="G5260" s="112">
        <v>1</v>
      </c>
      <c r="H5260" s="112">
        <v>2</v>
      </c>
      <c r="I5260" s="112">
        <v>1</v>
      </c>
      <c r="J5260" s="112">
        <v>5</v>
      </c>
      <c r="K5260" s="112">
        <v>5</v>
      </c>
      <c r="L5260" s="112">
        <v>4</v>
      </c>
      <c r="M5260" s="112">
        <v>1</v>
      </c>
    </row>
    <row r="5261" spans="1:15" x14ac:dyDescent="0.2">
      <c r="A5261" s="111">
        <v>5394</v>
      </c>
      <c r="B5261" s="421" t="s">
        <v>9740</v>
      </c>
      <c r="C5261" s="421" t="s">
        <v>510</v>
      </c>
      <c r="D5261" s="422" t="s">
        <v>666</v>
      </c>
      <c r="F5261" s="421" t="s">
        <v>9772</v>
      </c>
    </row>
    <row r="5262" spans="1:15" x14ac:dyDescent="0.2">
      <c r="A5262" s="111">
        <v>5395</v>
      </c>
      <c r="B5262" s="421" t="s">
        <v>9735</v>
      </c>
      <c r="C5262" s="421" t="s">
        <v>506</v>
      </c>
      <c r="D5262" s="422" t="s">
        <v>663</v>
      </c>
      <c r="E5262" s="111">
        <v>14784</v>
      </c>
      <c r="F5262" s="421" t="s">
        <v>2319</v>
      </c>
      <c r="G5262" s="112">
        <v>1</v>
      </c>
      <c r="H5262" s="112">
        <v>1</v>
      </c>
      <c r="I5262" s="112">
        <v>1</v>
      </c>
    </row>
    <row r="5263" spans="1:15" x14ac:dyDescent="0.2">
      <c r="A5263" s="111">
        <v>5396</v>
      </c>
      <c r="B5263" s="421" t="s">
        <v>44</v>
      </c>
      <c r="C5263" s="421" t="s">
        <v>516</v>
      </c>
      <c r="D5263" s="422" t="s">
        <v>663</v>
      </c>
      <c r="E5263" s="111">
        <v>17028</v>
      </c>
      <c r="F5263" s="421" t="s">
        <v>9770</v>
      </c>
      <c r="G5263" s="112">
        <v>1</v>
      </c>
      <c r="H5263" s="112">
        <v>1</v>
      </c>
      <c r="I5263" s="112">
        <v>1</v>
      </c>
      <c r="J5263" s="112">
        <v>7</v>
      </c>
      <c r="K5263" s="112">
        <v>7</v>
      </c>
      <c r="L5263" s="112">
        <v>7</v>
      </c>
      <c r="M5263" s="112">
        <v>4</v>
      </c>
      <c r="N5263" s="112">
        <v>5</v>
      </c>
      <c r="O5263" s="112">
        <v>3</v>
      </c>
    </row>
    <row r="5264" spans="1:15" x14ac:dyDescent="0.2">
      <c r="A5264" s="111">
        <v>5397</v>
      </c>
      <c r="B5264" s="421" t="s">
        <v>206</v>
      </c>
      <c r="C5264" s="421" t="s">
        <v>519</v>
      </c>
      <c r="D5264" s="422" t="s">
        <v>666</v>
      </c>
      <c r="E5264" s="111">
        <v>17048</v>
      </c>
      <c r="F5264" s="421" t="s">
        <v>3049</v>
      </c>
    </row>
    <row r="5265" spans="1:15" x14ac:dyDescent="0.2">
      <c r="A5265" s="111">
        <v>5398</v>
      </c>
      <c r="B5265" s="421" t="s">
        <v>9743</v>
      </c>
      <c r="C5265" s="421" t="s">
        <v>504</v>
      </c>
      <c r="D5265" s="422" t="s">
        <v>663</v>
      </c>
      <c r="E5265" s="111">
        <v>14549</v>
      </c>
      <c r="F5265" s="421" t="s">
        <v>1662</v>
      </c>
    </row>
    <row r="5266" spans="1:15" x14ac:dyDescent="0.2">
      <c r="A5266" s="111">
        <v>5399</v>
      </c>
      <c r="B5266" s="421" t="s">
        <v>1642</v>
      </c>
      <c r="C5266" s="421" t="s">
        <v>2003</v>
      </c>
      <c r="D5266" s="422" t="s">
        <v>663</v>
      </c>
      <c r="E5266" s="111">
        <v>15186</v>
      </c>
      <c r="F5266" s="421" t="s">
        <v>3370</v>
      </c>
      <c r="G5266" s="112">
        <v>1</v>
      </c>
      <c r="H5266" s="112">
        <v>1</v>
      </c>
      <c r="I5266" s="112">
        <v>1</v>
      </c>
      <c r="J5266" s="112">
        <v>2</v>
      </c>
      <c r="K5266" s="112">
        <v>2</v>
      </c>
      <c r="L5266" s="112">
        <v>2</v>
      </c>
    </row>
    <row r="5267" spans="1:15" x14ac:dyDescent="0.2">
      <c r="A5267" s="111">
        <v>5400</v>
      </c>
      <c r="B5267" s="421" t="s">
        <v>9731</v>
      </c>
      <c r="C5267" s="421" t="s">
        <v>517</v>
      </c>
      <c r="D5267" s="422" t="s">
        <v>663</v>
      </c>
      <c r="E5267" s="111">
        <v>15186</v>
      </c>
      <c r="F5267" s="421" t="s">
        <v>3370</v>
      </c>
      <c r="G5267" s="112">
        <v>1</v>
      </c>
      <c r="H5267" s="112">
        <v>1</v>
      </c>
      <c r="I5267" s="112">
        <v>1</v>
      </c>
      <c r="J5267" s="112">
        <v>1</v>
      </c>
      <c r="K5267" s="112">
        <v>1</v>
      </c>
      <c r="L5267" s="112">
        <v>1</v>
      </c>
    </row>
    <row r="5268" spans="1:15" x14ac:dyDescent="0.2">
      <c r="A5268" s="111">
        <v>5401</v>
      </c>
      <c r="B5268" s="421" t="s">
        <v>2409</v>
      </c>
      <c r="C5268" s="421" t="s">
        <v>1447</v>
      </c>
      <c r="D5268" s="422" t="s">
        <v>663</v>
      </c>
      <c r="E5268" s="111">
        <v>17029</v>
      </c>
      <c r="F5268" s="421" t="s">
        <v>9763</v>
      </c>
      <c r="G5268" s="112">
        <v>1</v>
      </c>
      <c r="H5268" s="112">
        <v>1</v>
      </c>
      <c r="I5268" s="112">
        <v>1</v>
      </c>
      <c r="J5268" s="112">
        <v>8</v>
      </c>
      <c r="K5268" s="112">
        <v>7</v>
      </c>
      <c r="L5268" s="112">
        <v>8</v>
      </c>
      <c r="M5268" s="112">
        <v>1</v>
      </c>
      <c r="O5268" s="112">
        <v>1</v>
      </c>
    </row>
    <row r="5269" spans="1:15" x14ac:dyDescent="0.2">
      <c r="A5269" s="111">
        <v>5402</v>
      </c>
      <c r="B5269" s="421" t="s">
        <v>9730</v>
      </c>
      <c r="C5269" s="421" t="s">
        <v>572</v>
      </c>
      <c r="D5269" s="422" t="s">
        <v>663</v>
      </c>
      <c r="E5269" s="111">
        <v>17030</v>
      </c>
      <c r="F5269" s="421" t="s">
        <v>9755</v>
      </c>
      <c r="G5269" s="112">
        <v>1</v>
      </c>
      <c r="H5269" s="112">
        <v>1</v>
      </c>
      <c r="I5269" s="112">
        <v>1</v>
      </c>
    </row>
    <row r="5270" spans="1:15" x14ac:dyDescent="0.2">
      <c r="A5270" s="111">
        <v>5403</v>
      </c>
      <c r="B5270" s="421" t="s">
        <v>353</v>
      </c>
      <c r="C5270" s="421" t="s">
        <v>516</v>
      </c>
      <c r="D5270" s="422" t="s">
        <v>663</v>
      </c>
      <c r="E5270" s="111">
        <v>16785</v>
      </c>
      <c r="F5270" s="421" t="s">
        <v>8733</v>
      </c>
      <c r="G5270" s="112">
        <v>1</v>
      </c>
      <c r="H5270" s="112">
        <v>2</v>
      </c>
      <c r="I5270" s="112">
        <v>1</v>
      </c>
      <c r="J5270" s="112">
        <v>6</v>
      </c>
      <c r="K5270" s="112">
        <v>5</v>
      </c>
      <c r="L5270" s="112">
        <v>6</v>
      </c>
    </row>
    <row r="5271" spans="1:15" x14ac:dyDescent="0.2">
      <c r="A5271" s="111">
        <v>5404</v>
      </c>
      <c r="B5271" s="421" t="s">
        <v>9747</v>
      </c>
      <c r="C5271" s="421" t="s">
        <v>518</v>
      </c>
      <c r="D5271" s="422" t="s">
        <v>666</v>
      </c>
      <c r="E5271" s="111">
        <v>17032</v>
      </c>
      <c r="F5271" s="421" t="s">
        <v>9783</v>
      </c>
      <c r="G5271" s="112">
        <v>1</v>
      </c>
      <c r="H5271" s="112">
        <v>1</v>
      </c>
      <c r="I5271" s="112">
        <v>1</v>
      </c>
      <c r="J5271" s="112">
        <v>2</v>
      </c>
      <c r="K5271" s="112">
        <v>2</v>
      </c>
      <c r="L5271" s="112">
        <v>2</v>
      </c>
      <c r="O5271" s="112">
        <v>1</v>
      </c>
    </row>
    <row r="5272" spans="1:15" x14ac:dyDescent="0.2">
      <c r="A5272" s="111">
        <v>5405</v>
      </c>
      <c r="B5272" s="421" t="s">
        <v>215</v>
      </c>
      <c r="C5272" s="421" t="s">
        <v>523</v>
      </c>
      <c r="D5272" s="422" t="s">
        <v>666</v>
      </c>
      <c r="E5272" s="111">
        <v>17040</v>
      </c>
      <c r="F5272" s="421" t="s">
        <v>9780</v>
      </c>
      <c r="G5272" s="112">
        <v>1</v>
      </c>
      <c r="H5272" s="112">
        <v>1</v>
      </c>
      <c r="I5272" s="112">
        <v>1</v>
      </c>
      <c r="J5272" s="112">
        <v>1</v>
      </c>
    </row>
    <row r="5273" spans="1:15" x14ac:dyDescent="0.2">
      <c r="A5273" s="111">
        <v>5406</v>
      </c>
      <c r="B5273" s="421" t="s">
        <v>9745</v>
      </c>
      <c r="C5273" s="421" t="s">
        <v>502</v>
      </c>
      <c r="D5273" s="422" t="s">
        <v>663</v>
      </c>
      <c r="E5273" s="111">
        <v>17040</v>
      </c>
      <c r="F5273" s="421" t="s">
        <v>9780</v>
      </c>
      <c r="H5273" s="112">
        <v>1</v>
      </c>
      <c r="I5273" s="112">
        <v>1</v>
      </c>
    </row>
    <row r="5274" spans="1:15" x14ac:dyDescent="0.2">
      <c r="A5274" s="111">
        <v>5407</v>
      </c>
      <c r="B5274" s="421" t="s">
        <v>9749</v>
      </c>
      <c r="C5274" s="421" t="s">
        <v>519</v>
      </c>
      <c r="D5274" s="422" t="s">
        <v>666</v>
      </c>
      <c r="E5274" s="111">
        <v>15688</v>
      </c>
      <c r="F5274" s="421" t="s">
        <v>5224</v>
      </c>
      <c r="G5274" s="112">
        <v>1</v>
      </c>
      <c r="H5274" s="112">
        <v>1</v>
      </c>
      <c r="I5274" s="112">
        <v>1</v>
      </c>
      <c r="J5274" s="112">
        <v>2</v>
      </c>
      <c r="K5274" s="112">
        <v>2</v>
      </c>
      <c r="L5274" s="112">
        <v>2</v>
      </c>
    </row>
    <row r="5275" spans="1:15" x14ac:dyDescent="0.2">
      <c r="A5275" s="111">
        <v>5408</v>
      </c>
      <c r="B5275" s="421" t="s">
        <v>386</v>
      </c>
      <c r="C5275" s="421" t="s">
        <v>528</v>
      </c>
      <c r="D5275" s="422" t="s">
        <v>663</v>
      </c>
      <c r="F5275" s="421" t="s">
        <v>9758</v>
      </c>
      <c r="G5275" s="112">
        <v>1</v>
      </c>
    </row>
    <row r="5276" spans="1:15" x14ac:dyDescent="0.2">
      <c r="A5276" s="111">
        <v>5409</v>
      </c>
      <c r="B5276" s="421" t="s">
        <v>9744</v>
      </c>
      <c r="C5276" s="421" t="s">
        <v>501</v>
      </c>
      <c r="D5276" s="422" t="s">
        <v>666</v>
      </c>
      <c r="E5276" s="111">
        <v>17033</v>
      </c>
      <c r="F5276" s="421" t="s">
        <v>9779</v>
      </c>
      <c r="G5276" s="112">
        <v>1</v>
      </c>
      <c r="H5276" s="112">
        <v>1</v>
      </c>
      <c r="I5276" s="112">
        <v>1</v>
      </c>
      <c r="J5276" s="112">
        <v>3</v>
      </c>
      <c r="K5276" s="112">
        <v>4</v>
      </c>
      <c r="L5276" s="112">
        <v>4</v>
      </c>
      <c r="M5276" s="112">
        <v>3</v>
      </c>
      <c r="N5276" s="112">
        <v>2</v>
      </c>
      <c r="O5276" s="112">
        <v>1</v>
      </c>
    </row>
    <row r="5277" spans="1:15" x14ac:dyDescent="0.2">
      <c r="A5277" s="111">
        <v>5410</v>
      </c>
      <c r="B5277" s="421" t="s">
        <v>9750</v>
      </c>
      <c r="C5277" s="421" t="s">
        <v>501</v>
      </c>
      <c r="D5277" s="422" t="s">
        <v>663</v>
      </c>
      <c r="F5277" s="421" t="s">
        <v>9786</v>
      </c>
      <c r="G5277" s="112">
        <v>3</v>
      </c>
      <c r="H5277" s="112">
        <v>3</v>
      </c>
      <c r="I5277" s="112">
        <v>3</v>
      </c>
      <c r="J5277" s="112">
        <v>2</v>
      </c>
      <c r="K5277" s="112">
        <v>1</v>
      </c>
      <c r="L5277" s="112">
        <v>1</v>
      </c>
    </row>
    <row r="5278" spans="1:15" x14ac:dyDescent="0.2">
      <c r="A5278" s="111">
        <v>5411</v>
      </c>
      <c r="B5278" s="421" t="s">
        <v>9748</v>
      </c>
      <c r="C5278" s="421" t="s">
        <v>589</v>
      </c>
      <c r="D5278" s="422" t="s">
        <v>666</v>
      </c>
      <c r="E5278" s="111">
        <v>16919</v>
      </c>
      <c r="F5278" s="421" t="s">
        <v>8669</v>
      </c>
      <c r="G5278" s="112">
        <v>2</v>
      </c>
      <c r="H5278" s="112">
        <v>2</v>
      </c>
      <c r="I5278" s="112">
        <v>1</v>
      </c>
      <c r="J5278" s="112">
        <v>4</v>
      </c>
      <c r="K5278" s="112">
        <v>2</v>
      </c>
      <c r="L5278" s="112">
        <v>2</v>
      </c>
      <c r="M5278" s="112">
        <v>1</v>
      </c>
      <c r="N5278" s="112">
        <v>1</v>
      </c>
    </row>
    <row r="5279" spans="1:15" x14ac:dyDescent="0.2">
      <c r="A5279" s="111">
        <v>5412</v>
      </c>
      <c r="B5279" s="421" t="s">
        <v>80</v>
      </c>
      <c r="C5279" s="421" t="s">
        <v>7551</v>
      </c>
      <c r="D5279" s="422" t="s">
        <v>663</v>
      </c>
      <c r="F5279" s="421" t="s">
        <v>9759</v>
      </c>
    </row>
    <row r="5280" spans="1:15" x14ac:dyDescent="0.2">
      <c r="A5280" s="111">
        <v>5413</v>
      </c>
      <c r="B5280" s="421" t="s">
        <v>45</v>
      </c>
      <c r="C5280" s="421" t="s">
        <v>2003</v>
      </c>
      <c r="D5280" s="422" t="s">
        <v>666</v>
      </c>
      <c r="E5280" s="111">
        <v>17035</v>
      </c>
      <c r="F5280" s="421" t="s">
        <v>9778</v>
      </c>
      <c r="G5280" s="112">
        <v>1</v>
      </c>
      <c r="H5280" s="112">
        <v>2</v>
      </c>
      <c r="I5280" s="112">
        <v>2</v>
      </c>
      <c r="J5280" s="112">
        <v>8</v>
      </c>
      <c r="K5280" s="112">
        <v>8</v>
      </c>
      <c r="L5280" s="112">
        <v>7</v>
      </c>
      <c r="M5280" s="112">
        <v>2</v>
      </c>
      <c r="N5280" s="112">
        <v>5</v>
      </c>
      <c r="O5280" s="112">
        <v>4</v>
      </c>
    </row>
    <row r="5281" spans="1:15" x14ac:dyDescent="0.2">
      <c r="A5281" s="111">
        <v>5414</v>
      </c>
      <c r="B5281" s="421" t="s">
        <v>6082</v>
      </c>
      <c r="C5281" s="421" t="s">
        <v>3387</v>
      </c>
      <c r="D5281" s="422" t="s">
        <v>663</v>
      </c>
      <c r="E5281" s="111">
        <v>17036</v>
      </c>
      <c r="F5281" s="421" t="s">
        <v>9775</v>
      </c>
      <c r="G5281" s="112">
        <v>1</v>
      </c>
      <c r="H5281" s="112">
        <v>1</v>
      </c>
      <c r="I5281" s="112">
        <v>1</v>
      </c>
      <c r="J5281" s="112">
        <v>3</v>
      </c>
      <c r="K5281" s="112">
        <v>4</v>
      </c>
      <c r="L5281" s="112">
        <v>4</v>
      </c>
      <c r="M5281" s="112">
        <v>6</v>
      </c>
      <c r="N5281" s="112">
        <v>5</v>
      </c>
      <c r="O5281" s="112">
        <v>3</v>
      </c>
    </row>
    <row r="5282" spans="1:15" x14ac:dyDescent="0.2">
      <c r="A5282" s="111">
        <v>5415</v>
      </c>
      <c r="B5282" s="421" t="s">
        <v>1406</v>
      </c>
      <c r="C5282" s="421" t="s">
        <v>521</v>
      </c>
      <c r="D5282" s="422" t="s">
        <v>663</v>
      </c>
      <c r="E5282" s="111">
        <v>17037</v>
      </c>
      <c r="F5282" s="421" t="s">
        <v>9769</v>
      </c>
      <c r="G5282" s="112">
        <v>1</v>
      </c>
      <c r="H5282" s="112">
        <v>1</v>
      </c>
      <c r="I5282" s="112">
        <v>1</v>
      </c>
      <c r="J5282" s="112">
        <v>1</v>
      </c>
      <c r="K5282" s="112">
        <v>1</v>
      </c>
      <c r="L5282" s="112">
        <v>1</v>
      </c>
    </row>
    <row r="5283" spans="1:15" x14ac:dyDescent="0.2">
      <c r="A5283" s="111">
        <v>5416</v>
      </c>
      <c r="B5283" s="421" t="s">
        <v>9739</v>
      </c>
      <c r="C5283" s="421" t="s">
        <v>506</v>
      </c>
      <c r="D5283" s="422" t="s">
        <v>663</v>
      </c>
      <c r="E5283" s="111">
        <v>16875</v>
      </c>
      <c r="F5283" s="421" t="s">
        <v>9229</v>
      </c>
      <c r="G5283" s="112">
        <v>1</v>
      </c>
      <c r="H5283" s="112">
        <v>1</v>
      </c>
      <c r="I5283" s="112">
        <v>1</v>
      </c>
      <c r="J5283" s="112">
        <v>2</v>
      </c>
      <c r="K5283" s="112">
        <v>1</v>
      </c>
      <c r="L5283" s="112">
        <v>1</v>
      </c>
    </row>
    <row r="5284" spans="1:15" x14ac:dyDescent="0.2">
      <c r="A5284" s="111">
        <v>5417</v>
      </c>
      <c r="B5284" s="421" t="s">
        <v>1933</v>
      </c>
      <c r="C5284" s="421" t="s">
        <v>501</v>
      </c>
      <c r="D5284" s="422" t="s">
        <v>663</v>
      </c>
      <c r="F5284" s="421" t="s">
        <v>9768</v>
      </c>
    </row>
    <row r="5285" spans="1:15" x14ac:dyDescent="0.2">
      <c r="A5285" s="111">
        <v>5418</v>
      </c>
      <c r="B5285" s="421" t="s">
        <v>253</v>
      </c>
      <c r="C5285" s="421" t="s">
        <v>514</v>
      </c>
      <c r="D5285" s="422" t="s">
        <v>666</v>
      </c>
      <c r="E5285" s="111">
        <v>17038</v>
      </c>
      <c r="F5285" s="421" t="s">
        <v>9776</v>
      </c>
      <c r="G5285" s="112">
        <v>1</v>
      </c>
      <c r="I5285" s="112">
        <v>1</v>
      </c>
    </row>
    <row r="5286" spans="1:15" x14ac:dyDescent="0.2">
      <c r="A5286" s="111">
        <v>5419</v>
      </c>
      <c r="B5286" s="421" t="s">
        <v>1240</v>
      </c>
      <c r="C5286" s="421" t="s">
        <v>501</v>
      </c>
      <c r="D5286" s="422" t="s">
        <v>666</v>
      </c>
      <c r="F5286" s="421" t="s">
        <v>9757</v>
      </c>
    </row>
    <row r="5287" spans="1:15" x14ac:dyDescent="0.2">
      <c r="A5287" s="111">
        <v>5420</v>
      </c>
      <c r="B5287" s="421" t="s">
        <v>1283</v>
      </c>
      <c r="C5287" s="421" t="s">
        <v>516</v>
      </c>
      <c r="D5287" s="422" t="s">
        <v>666</v>
      </c>
      <c r="E5287" s="111">
        <v>17039</v>
      </c>
      <c r="F5287" s="421" t="s">
        <v>9777</v>
      </c>
      <c r="G5287" s="112">
        <v>1</v>
      </c>
      <c r="H5287" s="112">
        <v>2</v>
      </c>
    </row>
    <row r="5288" spans="1:15" x14ac:dyDescent="0.2">
      <c r="A5288" s="111">
        <v>5421</v>
      </c>
      <c r="B5288" s="421" t="s">
        <v>8715</v>
      </c>
      <c r="C5288" s="421" t="s">
        <v>3070</v>
      </c>
      <c r="D5288" s="422" t="s">
        <v>663</v>
      </c>
      <c r="F5288" s="421" t="s">
        <v>9784</v>
      </c>
    </row>
    <row r="5289" spans="1:15" x14ac:dyDescent="0.2">
      <c r="A5289" s="111">
        <v>5422</v>
      </c>
      <c r="B5289" s="421" t="s">
        <v>9736</v>
      </c>
      <c r="C5289" s="421" t="s">
        <v>532</v>
      </c>
      <c r="D5289" s="422" t="s">
        <v>663</v>
      </c>
      <c r="E5289" s="111">
        <v>17041</v>
      </c>
      <c r="F5289" s="421" t="s">
        <v>9765</v>
      </c>
      <c r="G5289" s="112">
        <v>1</v>
      </c>
      <c r="H5289" s="112">
        <v>1</v>
      </c>
      <c r="I5289" s="112">
        <v>1</v>
      </c>
      <c r="K5289" s="112">
        <v>1</v>
      </c>
      <c r="L5289" s="112">
        <v>1</v>
      </c>
    </row>
    <row r="5290" spans="1:15" x14ac:dyDescent="0.2">
      <c r="A5290" s="111">
        <v>5423</v>
      </c>
      <c r="B5290" s="421" t="s">
        <v>368</v>
      </c>
      <c r="C5290" s="421" t="s">
        <v>537</v>
      </c>
      <c r="D5290" s="422" t="s">
        <v>663</v>
      </c>
      <c r="E5290" s="111">
        <v>17042</v>
      </c>
      <c r="F5290" s="421" t="s">
        <v>9764</v>
      </c>
      <c r="G5290" s="112">
        <v>1</v>
      </c>
      <c r="H5290" s="112">
        <v>1</v>
      </c>
      <c r="I5290" s="112">
        <v>1</v>
      </c>
      <c r="J5290" s="112">
        <v>3</v>
      </c>
      <c r="K5290" s="112">
        <v>3</v>
      </c>
      <c r="L5290" s="112">
        <v>4</v>
      </c>
    </row>
    <row r="5291" spans="1:15" x14ac:dyDescent="0.2">
      <c r="A5291" s="111">
        <v>5424</v>
      </c>
      <c r="B5291" s="421" t="s">
        <v>2096</v>
      </c>
      <c r="C5291" s="421" t="s">
        <v>530</v>
      </c>
      <c r="D5291" s="422" t="s">
        <v>666</v>
      </c>
      <c r="F5291" s="421" t="s">
        <v>9785</v>
      </c>
    </row>
    <row r="5292" spans="1:15" x14ac:dyDescent="0.2">
      <c r="A5292" s="111">
        <v>5425</v>
      </c>
      <c r="B5292" s="421" t="s">
        <v>9746</v>
      </c>
      <c r="C5292" s="421" t="s">
        <v>534</v>
      </c>
      <c r="D5292" s="422" t="s">
        <v>666</v>
      </c>
      <c r="E5292" s="111">
        <v>17043</v>
      </c>
      <c r="F5292" s="421" t="s">
        <v>9781</v>
      </c>
      <c r="G5292" s="112">
        <v>1</v>
      </c>
      <c r="H5292" s="112">
        <v>1</v>
      </c>
      <c r="I5292" s="112">
        <v>1</v>
      </c>
      <c r="J5292" s="112">
        <v>1</v>
      </c>
      <c r="K5292" s="112">
        <v>1</v>
      </c>
      <c r="L5292" s="112">
        <v>1</v>
      </c>
    </row>
    <row r="5293" spans="1:15" x14ac:dyDescent="0.2">
      <c r="A5293" s="111">
        <v>5426</v>
      </c>
      <c r="B5293" s="421" t="s">
        <v>3170</v>
      </c>
      <c r="C5293" s="421" t="s">
        <v>1378</v>
      </c>
      <c r="D5293" s="422" t="s">
        <v>666</v>
      </c>
      <c r="F5293" s="421" t="s">
        <v>9752</v>
      </c>
      <c r="G5293" s="112">
        <v>1</v>
      </c>
      <c r="H5293" s="112">
        <v>1</v>
      </c>
      <c r="I5293" s="112">
        <v>1</v>
      </c>
      <c r="K5293" s="112">
        <v>1</v>
      </c>
      <c r="L5293" s="112">
        <v>1</v>
      </c>
    </row>
    <row r="5294" spans="1:15" x14ac:dyDescent="0.2">
      <c r="A5294" s="111">
        <v>5427</v>
      </c>
      <c r="B5294" s="421" t="s">
        <v>494</v>
      </c>
      <c r="C5294" s="421" t="s">
        <v>506</v>
      </c>
      <c r="D5294" s="422" t="s">
        <v>666</v>
      </c>
      <c r="E5294" s="111">
        <v>14791</v>
      </c>
      <c r="F5294" s="421" t="s">
        <v>2355</v>
      </c>
      <c r="G5294" s="112">
        <v>1</v>
      </c>
      <c r="H5294" s="112">
        <v>1</v>
      </c>
      <c r="I5294" s="112">
        <v>1</v>
      </c>
      <c r="J5294" s="112">
        <v>1</v>
      </c>
      <c r="K5294" s="112">
        <v>1</v>
      </c>
      <c r="L5294" s="112">
        <v>1</v>
      </c>
      <c r="M5294" s="112">
        <v>1</v>
      </c>
    </row>
    <row r="5295" spans="1:15" x14ac:dyDescent="0.2">
      <c r="A5295" s="111">
        <v>5428</v>
      </c>
      <c r="B5295" s="421" t="s">
        <v>641</v>
      </c>
      <c r="C5295" s="421" t="s">
        <v>516</v>
      </c>
      <c r="D5295" s="422" t="s">
        <v>663</v>
      </c>
      <c r="E5295" s="111">
        <v>17278</v>
      </c>
      <c r="F5295" s="421" t="s">
        <v>9782</v>
      </c>
      <c r="H5295" s="112">
        <v>1</v>
      </c>
      <c r="I5295" s="112">
        <v>1</v>
      </c>
    </row>
    <row r="5296" spans="1:15" x14ac:dyDescent="0.2">
      <c r="A5296" s="111">
        <v>5429</v>
      </c>
      <c r="B5296" s="421" t="s">
        <v>9741</v>
      </c>
      <c r="C5296" s="421" t="s">
        <v>1908</v>
      </c>
      <c r="D5296" s="422" t="s">
        <v>666</v>
      </c>
      <c r="E5296" s="111">
        <v>17044</v>
      </c>
      <c r="F5296" s="421" t="s">
        <v>9773</v>
      </c>
      <c r="G5296" s="112">
        <v>1</v>
      </c>
      <c r="H5296" s="112">
        <v>1</v>
      </c>
      <c r="I5296" s="112">
        <v>1</v>
      </c>
      <c r="J5296" s="112">
        <v>7</v>
      </c>
      <c r="K5296" s="112">
        <v>7</v>
      </c>
      <c r="L5296" s="112">
        <v>7</v>
      </c>
      <c r="M5296" s="112">
        <v>6</v>
      </c>
      <c r="N5296" s="112">
        <v>3</v>
      </c>
      <c r="O5296" s="112">
        <v>5</v>
      </c>
    </row>
    <row r="5297" spans="1:15" x14ac:dyDescent="0.2">
      <c r="A5297" s="111">
        <v>5430</v>
      </c>
      <c r="B5297" s="421" t="s">
        <v>9742</v>
      </c>
      <c r="C5297" s="421" t="s">
        <v>503</v>
      </c>
      <c r="D5297" s="422" t="s">
        <v>666</v>
      </c>
      <c r="E5297" s="111">
        <v>17046</v>
      </c>
      <c r="F5297" s="421" t="s">
        <v>9774</v>
      </c>
      <c r="G5297" s="112">
        <v>1</v>
      </c>
      <c r="H5297" s="112">
        <v>1</v>
      </c>
      <c r="I5297" s="112">
        <v>1</v>
      </c>
    </row>
    <row r="5298" spans="1:15" x14ac:dyDescent="0.2">
      <c r="A5298" s="111">
        <v>5431</v>
      </c>
      <c r="B5298" s="421" t="s">
        <v>9732</v>
      </c>
      <c r="C5298" s="421" t="s">
        <v>523</v>
      </c>
      <c r="D5298" s="422" t="s">
        <v>663</v>
      </c>
      <c r="E5298" s="111">
        <v>17047</v>
      </c>
      <c r="F5298" s="421" t="s">
        <v>9760</v>
      </c>
      <c r="G5298" s="112">
        <v>1</v>
      </c>
      <c r="H5298" s="112">
        <v>1</v>
      </c>
      <c r="I5298" s="112">
        <v>1</v>
      </c>
      <c r="J5298" s="112">
        <v>1</v>
      </c>
      <c r="K5298" s="112">
        <v>2</v>
      </c>
      <c r="L5298" s="112">
        <v>1</v>
      </c>
      <c r="M5298" s="112">
        <v>1</v>
      </c>
    </row>
    <row r="5299" spans="1:15" x14ac:dyDescent="0.2">
      <c r="A5299" s="111">
        <v>5432</v>
      </c>
      <c r="B5299" s="421" t="s">
        <v>3890</v>
      </c>
      <c r="C5299" s="421" t="s">
        <v>5506</v>
      </c>
      <c r="D5299" s="422" t="s">
        <v>666</v>
      </c>
      <c r="E5299" s="111">
        <v>17047</v>
      </c>
      <c r="F5299" s="421" t="s">
        <v>9760</v>
      </c>
      <c r="G5299" s="112">
        <v>1</v>
      </c>
      <c r="H5299" s="112">
        <v>1</v>
      </c>
      <c r="I5299" s="112">
        <v>1</v>
      </c>
      <c r="J5299" s="112">
        <v>4</v>
      </c>
      <c r="K5299" s="112">
        <v>3</v>
      </c>
      <c r="L5299" s="112">
        <v>3</v>
      </c>
      <c r="M5299" s="112">
        <v>2</v>
      </c>
      <c r="N5299" s="112">
        <v>2</v>
      </c>
      <c r="O5299" s="112">
        <v>5</v>
      </c>
    </row>
    <row r="5300" spans="1:15" x14ac:dyDescent="0.2">
      <c r="A5300" s="111">
        <v>5433</v>
      </c>
      <c r="B5300" s="421" t="s">
        <v>9728</v>
      </c>
      <c r="C5300" s="421" t="s">
        <v>501</v>
      </c>
      <c r="D5300" s="422" t="s">
        <v>663</v>
      </c>
      <c r="E5300" s="111">
        <v>17019</v>
      </c>
      <c r="F5300" s="421" t="s">
        <v>9751</v>
      </c>
      <c r="G5300" s="112">
        <v>1</v>
      </c>
      <c r="H5300" s="112">
        <v>1</v>
      </c>
      <c r="I5300" s="112">
        <v>1</v>
      </c>
      <c r="J5300" s="112">
        <v>1</v>
      </c>
      <c r="K5300" s="112">
        <v>1</v>
      </c>
      <c r="L5300" s="112">
        <v>1</v>
      </c>
      <c r="M5300" s="112">
        <v>2</v>
      </c>
      <c r="N5300" s="112">
        <v>4</v>
      </c>
      <c r="O5300" s="112">
        <v>2</v>
      </c>
    </row>
    <row r="5301" spans="1:15" x14ac:dyDescent="0.2">
      <c r="A5301" s="111">
        <v>5434</v>
      </c>
      <c r="B5301" s="421" t="s">
        <v>301</v>
      </c>
      <c r="C5301" s="421" t="s">
        <v>520</v>
      </c>
      <c r="D5301" s="422" t="s">
        <v>666</v>
      </c>
      <c r="E5301" s="111">
        <v>17050</v>
      </c>
      <c r="F5301" s="421" t="s">
        <v>9761</v>
      </c>
      <c r="G5301" s="112">
        <v>1</v>
      </c>
      <c r="H5301" s="112">
        <v>1</v>
      </c>
      <c r="I5301" s="112">
        <v>1</v>
      </c>
      <c r="J5301" s="112">
        <v>3</v>
      </c>
      <c r="K5301" s="112">
        <v>1</v>
      </c>
      <c r="L5301" s="112">
        <v>1</v>
      </c>
      <c r="M5301" s="112">
        <v>1</v>
      </c>
    </row>
    <row r="5302" spans="1:15" x14ac:dyDescent="0.2">
      <c r="A5302" s="111">
        <v>5435</v>
      </c>
      <c r="B5302" s="421" t="s">
        <v>6539</v>
      </c>
      <c r="C5302" s="421" t="s">
        <v>550</v>
      </c>
      <c r="D5302" s="422" t="s">
        <v>663</v>
      </c>
      <c r="E5302" s="111">
        <v>17051</v>
      </c>
      <c r="F5302" s="421" t="s">
        <v>791</v>
      </c>
    </row>
    <row r="5303" spans="1:15" x14ac:dyDescent="0.2">
      <c r="A5303" s="111">
        <v>5436</v>
      </c>
      <c r="B5303" s="421" t="s">
        <v>37</v>
      </c>
      <c r="C5303" s="421" t="s">
        <v>501</v>
      </c>
      <c r="D5303" s="422" t="s">
        <v>663</v>
      </c>
      <c r="E5303" s="111">
        <v>17051</v>
      </c>
      <c r="F5303" s="421" t="s">
        <v>791</v>
      </c>
      <c r="G5303" s="112">
        <v>1</v>
      </c>
      <c r="H5303" s="112">
        <v>1</v>
      </c>
      <c r="I5303" s="112">
        <v>1</v>
      </c>
      <c r="J5303" s="112">
        <v>2</v>
      </c>
      <c r="K5303" s="112">
        <v>3</v>
      </c>
      <c r="L5303" s="112">
        <v>1</v>
      </c>
    </row>
    <row r="5304" spans="1:15" x14ac:dyDescent="0.2">
      <c r="A5304" s="111">
        <v>5437</v>
      </c>
      <c r="B5304" s="421" t="s">
        <v>215</v>
      </c>
      <c r="C5304" s="421" t="s">
        <v>521</v>
      </c>
      <c r="D5304" s="422" t="s">
        <v>666</v>
      </c>
      <c r="E5304" s="111">
        <v>16914</v>
      </c>
      <c r="F5304" s="421" t="s">
        <v>9357</v>
      </c>
    </row>
    <row r="5305" spans="1:15" x14ac:dyDescent="0.2">
      <c r="A5305" s="111">
        <v>5438</v>
      </c>
      <c r="B5305" s="421" t="s">
        <v>1439</v>
      </c>
      <c r="C5305" s="421" t="s">
        <v>512</v>
      </c>
      <c r="D5305" s="422" t="s">
        <v>666</v>
      </c>
      <c r="E5305" s="111">
        <v>17052</v>
      </c>
      <c r="F5305" s="421" t="s">
        <v>9754</v>
      </c>
      <c r="H5305" s="112">
        <v>1</v>
      </c>
      <c r="I5305" s="112">
        <v>1</v>
      </c>
    </row>
    <row r="5306" spans="1:15" x14ac:dyDescent="0.2">
      <c r="A5306" s="111">
        <v>5439</v>
      </c>
      <c r="B5306" s="421" t="s">
        <v>6540</v>
      </c>
      <c r="C5306" s="421" t="s">
        <v>537</v>
      </c>
      <c r="D5306" s="422" t="s">
        <v>666</v>
      </c>
      <c r="E5306" s="111">
        <v>17053</v>
      </c>
      <c r="F5306" s="421" t="s">
        <v>9767</v>
      </c>
      <c r="G5306" s="112">
        <v>1</v>
      </c>
      <c r="H5306" s="112">
        <v>1</v>
      </c>
      <c r="I5306" s="112">
        <v>1</v>
      </c>
      <c r="J5306" s="112">
        <v>1</v>
      </c>
      <c r="L5306" s="112">
        <v>1</v>
      </c>
    </row>
    <row r="5307" spans="1:15" x14ac:dyDescent="0.2">
      <c r="A5307" s="111">
        <v>5440</v>
      </c>
      <c r="B5307" s="421" t="s">
        <v>9738</v>
      </c>
      <c r="C5307" s="421" t="s">
        <v>518</v>
      </c>
      <c r="D5307" s="422" t="s">
        <v>663</v>
      </c>
      <c r="E5307" s="111">
        <v>17053</v>
      </c>
      <c r="F5307" s="421" t="s">
        <v>9767</v>
      </c>
      <c r="G5307" s="112">
        <v>1</v>
      </c>
      <c r="H5307" s="112">
        <v>1</v>
      </c>
      <c r="I5307" s="112">
        <v>1</v>
      </c>
      <c r="J5307" s="112">
        <v>1</v>
      </c>
      <c r="K5307" s="112">
        <v>3</v>
      </c>
      <c r="L5307" s="112">
        <v>2</v>
      </c>
    </row>
    <row r="5308" spans="1:15" x14ac:dyDescent="0.2">
      <c r="A5308" s="111">
        <v>5441</v>
      </c>
      <c r="B5308" s="421" t="s">
        <v>281</v>
      </c>
      <c r="C5308" s="421" t="s">
        <v>506</v>
      </c>
      <c r="D5308" s="422" t="s">
        <v>663</v>
      </c>
      <c r="E5308" s="111">
        <v>17055</v>
      </c>
      <c r="F5308" s="421" t="s">
        <v>9766</v>
      </c>
      <c r="G5308" s="112">
        <v>1</v>
      </c>
      <c r="H5308" s="112">
        <v>1</v>
      </c>
      <c r="I5308" s="112">
        <v>1</v>
      </c>
    </row>
    <row r="5309" spans="1:15" x14ac:dyDescent="0.2">
      <c r="A5309" s="111">
        <v>5442</v>
      </c>
      <c r="B5309" s="421" t="s">
        <v>2575</v>
      </c>
      <c r="C5309" s="421" t="s">
        <v>501</v>
      </c>
      <c r="D5309" s="422" t="s">
        <v>666</v>
      </c>
      <c r="E5309" s="111">
        <v>16662</v>
      </c>
      <c r="F5309" s="421" t="s">
        <v>8220</v>
      </c>
      <c r="G5309" s="112">
        <v>1</v>
      </c>
      <c r="H5309" s="112">
        <v>1</v>
      </c>
      <c r="I5309" s="112">
        <v>1</v>
      </c>
    </row>
    <row r="5310" spans="1:15" x14ac:dyDescent="0.2">
      <c r="A5310" s="111">
        <v>5443</v>
      </c>
      <c r="B5310" s="421" t="s">
        <v>401</v>
      </c>
      <c r="C5310" s="421" t="s">
        <v>501</v>
      </c>
      <c r="D5310" s="422" t="s">
        <v>666</v>
      </c>
      <c r="E5310" s="111">
        <v>17054</v>
      </c>
      <c r="F5310" s="421" t="s">
        <v>9756</v>
      </c>
    </row>
    <row r="5311" spans="1:15" x14ac:dyDescent="0.2">
      <c r="A5311" s="111">
        <v>5444</v>
      </c>
      <c r="B5311" s="421" t="s">
        <v>206</v>
      </c>
      <c r="C5311" s="421" t="s">
        <v>519</v>
      </c>
      <c r="D5311" s="422" t="s">
        <v>666</v>
      </c>
      <c r="E5311" s="111">
        <v>17048</v>
      </c>
      <c r="F5311" s="421" t="s">
        <v>3049</v>
      </c>
      <c r="G5311" s="112">
        <v>1</v>
      </c>
      <c r="H5311" s="112">
        <v>1</v>
      </c>
      <c r="I5311" s="112">
        <v>2</v>
      </c>
    </row>
    <row r="5312" spans="1:15" x14ac:dyDescent="0.2">
      <c r="A5312" s="111">
        <v>5445</v>
      </c>
      <c r="B5312" s="421" t="s">
        <v>9734</v>
      </c>
      <c r="C5312" s="421" t="s">
        <v>503</v>
      </c>
      <c r="D5312" s="422" t="s">
        <v>666</v>
      </c>
      <c r="E5312" s="111">
        <v>14356</v>
      </c>
      <c r="F5312" s="421" t="s">
        <v>1126</v>
      </c>
      <c r="G5312" s="112">
        <v>1</v>
      </c>
      <c r="H5312" s="112">
        <v>1</v>
      </c>
      <c r="I5312" s="112">
        <v>1</v>
      </c>
    </row>
    <row r="5313" spans="1:15" x14ac:dyDescent="0.2">
      <c r="A5313" s="111">
        <v>5446</v>
      </c>
      <c r="B5313" s="421" t="s">
        <v>6056</v>
      </c>
      <c r="C5313" s="421" t="s">
        <v>522</v>
      </c>
      <c r="D5313" s="422" t="s">
        <v>666</v>
      </c>
      <c r="E5313" s="111">
        <v>15400</v>
      </c>
      <c r="F5313" s="421" t="s">
        <v>3980</v>
      </c>
      <c r="G5313" s="112">
        <v>1</v>
      </c>
      <c r="H5313" s="112">
        <v>1</v>
      </c>
      <c r="I5313" s="112">
        <v>1</v>
      </c>
      <c r="J5313" s="112">
        <v>1</v>
      </c>
      <c r="K5313" s="112">
        <v>1</v>
      </c>
      <c r="L5313" s="112">
        <v>1</v>
      </c>
      <c r="M5313" s="112">
        <v>1</v>
      </c>
      <c r="O5313" s="112">
        <v>1</v>
      </c>
    </row>
    <row r="5314" spans="1:15" x14ac:dyDescent="0.2">
      <c r="A5314" s="111">
        <v>5447</v>
      </c>
      <c r="B5314" s="421" t="s">
        <v>9737</v>
      </c>
      <c r="C5314" s="421" t="s">
        <v>530</v>
      </c>
      <c r="D5314" s="422" t="s">
        <v>666</v>
      </c>
      <c r="E5314" s="111">
        <v>14392</v>
      </c>
      <c r="F5314" s="421" t="s">
        <v>1266</v>
      </c>
      <c r="G5314" s="112">
        <v>2</v>
      </c>
      <c r="H5314" s="112">
        <v>2</v>
      </c>
      <c r="I5314" s="112">
        <v>2</v>
      </c>
      <c r="J5314" s="112">
        <v>2</v>
      </c>
      <c r="K5314" s="112">
        <v>3</v>
      </c>
      <c r="L5314" s="112">
        <v>3</v>
      </c>
      <c r="N5314" s="112">
        <v>2</v>
      </c>
      <c r="O5314" s="112">
        <v>1</v>
      </c>
    </row>
    <row r="5315" spans="1:15" x14ac:dyDescent="0.2">
      <c r="A5315" s="111">
        <v>5448</v>
      </c>
      <c r="B5315" s="421" t="s">
        <v>9729</v>
      </c>
      <c r="C5315" s="421" t="s">
        <v>502</v>
      </c>
      <c r="D5315" s="422" t="s">
        <v>663</v>
      </c>
      <c r="E5315" s="111">
        <v>44159</v>
      </c>
      <c r="F5315" s="421" t="s">
        <v>9753</v>
      </c>
    </row>
    <row r="5316" spans="1:15" x14ac:dyDescent="0.2">
      <c r="A5316" s="111">
        <v>5449</v>
      </c>
      <c r="B5316" s="421" t="s">
        <v>106</v>
      </c>
      <c r="C5316" s="421" t="s">
        <v>522</v>
      </c>
      <c r="D5316" s="422" t="s">
        <v>666</v>
      </c>
      <c r="E5316" s="111">
        <v>15517</v>
      </c>
      <c r="F5316" s="421" t="s">
        <v>4690</v>
      </c>
      <c r="G5316" s="112">
        <v>1</v>
      </c>
      <c r="H5316" s="112">
        <v>1</v>
      </c>
      <c r="I5316" s="112">
        <v>1</v>
      </c>
      <c r="J5316" s="112">
        <v>8</v>
      </c>
      <c r="K5316" s="112">
        <v>7</v>
      </c>
      <c r="L5316" s="112">
        <v>7</v>
      </c>
      <c r="M5316" s="112">
        <v>3</v>
      </c>
      <c r="O5316" s="112">
        <v>2</v>
      </c>
    </row>
    <row r="5317" spans="1:15" x14ac:dyDescent="0.2">
      <c r="A5317" s="111">
        <v>5450</v>
      </c>
      <c r="B5317" s="421" t="s">
        <v>9727</v>
      </c>
      <c r="C5317" s="421" t="s">
        <v>501</v>
      </c>
      <c r="D5317" s="422" t="s">
        <v>663</v>
      </c>
      <c r="E5317" s="111">
        <v>15958</v>
      </c>
      <c r="F5317" s="421" t="s">
        <v>5891</v>
      </c>
    </row>
    <row r="5318" spans="1:15" x14ac:dyDescent="0.2">
      <c r="A5318" s="111">
        <v>5451</v>
      </c>
      <c r="B5318" s="421" t="s">
        <v>9733</v>
      </c>
      <c r="C5318" s="421" t="s">
        <v>501</v>
      </c>
      <c r="D5318" s="422" t="s">
        <v>666</v>
      </c>
      <c r="E5318" s="111">
        <v>17056</v>
      </c>
      <c r="F5318" s="421" t="s">
        <v>9762</v>
      </c>
      <c r="G5318" s="112">
        <v>1</v>
      </c>
      <c r="H5318" s="112">
        <v>1</v>
      </c>
      <c r="I5318" s="112">
        <v>1</v>
      </c>
    </row>
    <row r="5319" spans="1:15" x14ac:dyDescent="0.2">
      <c r="A5319" s="111">
        <v>5452</v>
      </c>
      <c r="B5319" s="421" t="s">
        <v>1782</v>
      </c>
      <c r="C5319" s="421" t="s">
        <v>530</v>
      </c>
      <c r="D5319" s="422" t="s">
        <v>663</v>
      </c>
      <c r="F5319" s="421" t="s">
        <v>9771</v>
      </c>
    </row>
    <row r="5320" spans="1:15" x14ac:dyDescent="0.2">
      <c r="A5320" s="111">
        <v>5453</v>
      </c>
      <c r="B5320" s="421" t="s">
        <v>9820</v>
      </c>
      <c r="C5320" s="421" t="s">
        <v>504</v>
      </c>
      <c r="D5320" s="422" t="s">
        <v>666</v>
      </c>
      <c r="E5320" s="111">
        <v>17090</v>
      </c>
      <c r="F5320" s="421" t="s">
        <v>9821</v>
      </c>
      <c r="G5320" s="112">
        <v>1</v>
      </c>
      <c r="H5320" s="112">
        <v>1</v>
      </c>
      <c r="I5320" s="112">
        <v>1</v>
      </c>
    </row>
    <row r="5321" spans="1:15" x14ac:dyDescent="0.2">
      <c r="A5321" s="111">
        <v>5454</v>
      </c>
      <c r="B5321" s="421" t="s">
        <v>9822</v>
      </c>
      <c r="C5321" s="421" t="s">
        <v>537</v>
      </c>
      <c r="D5321" s="422" t="s">
        <v>663</v>
      </c>
      <c r="E5321" s="111">
        <v>17057</v>
      </c>
      <c r="F5321" s="421" t="s">
        <v>9823</v>
      </c>
      <c r="G5321" s="112">
        <v>1</v>
      </c>
      <c r="H5321" s="112">
        <v>1</v>
      </c>
      <c r="I5321" s="112">
        <v>1</v>
      </c>
      <c r="J5321" s="112">
        <v>4</v>
      </c>
      <c r="K5321" s="112">
        <v>3</v>
      </c>
      <c r="L5321" s="112">
        <v>4</v>
      </c>
    </row>
    <row r="5322" spans="1:15" x14ac:dyDescent="0.2">
      <c r="A5322" s="111">
        <v>5455</v>
      </c>
      <c r="B5322" s="421" t="s">
        <v>5472</v>
      </c>
      <c r="C5322" s="421" t="s">
        <v>509</v>
      </c>
      <c r="D5322" s="422" t="s">
        <v>666</v>
      </c>
      <c r="E5322" s="111">
        <v>17058</v>
      </c>
      <c r="F5322" s="421" t="s">
        <v>9824</v>
      </c>
      <c r="G5322" s="112">
        <v>1</v>
      </c>
      <c r="H5322" s="112">
        <v>2</v>
      </c>
      <c r="I5322" s="112">
        <v>2</v>
      </c>
      <c r="J5322" s="112">
        <v>1</v>
      </c>
      <c r="K5322" s="112">
        <v>1</v>
      </c>
      <c r="L5322" s="112">
        <v>3</v>
      </c>
    </row>
    <row r="5323" spans="1:15" x14ac:dyDescent="0.2">
      <c r="A5323" s="111">
        <v>5456</v>
      </c>
      <c r="B5323" s="421" t="s">
        <v>9825</v>
      </c>
      <c r="C5323" s="421" t="s">
        <v>1112</v>
      </c>
      <c r="D5323" s="422" t="s">
        <v>663</v>
      </c>
      <c r="E5323" s="111">
        <v>17061</v>
      </c>
      <c r="F5323" s="421" t="s">
        <v>9826</v>
      </c>
      <c r="G5323" s="112">
        <v>1</v>
      </c>
      <c r="H5323" s="112">
        <v>1</v>
      </c>
      <c r="I5323" s="112">
        <v>1</v>
      </c>
    </row>
    <row r="5324" spans="1:15" x14ac:dyDescent="0.2">
      <c r="A5324" s="111">
        <v>5457</v>
      </c>
      <c r="B5324" s="421" t="s">
        <v>9827</v>
      </c>
      <c r="C5324" s="421" t="s">
        <v>574</v>
      </c>
      <c r="D5324" s="422" t="s">
        <v>663</v>
      </c>
      <c r="E5324" s="111">
        <v>17062</v>
      </c>
      <c r="F5324" s="421" t="s">
        <v>9828</v>
      </c>
      <c r="G5324" s="112">
        <v>1</v>
      </c>
      <c r="H5324" s="112">
        <v>2</v>
      </c>
      <c r="I5324" s="112">
        <v>2</v>
      </c>
    </row>
    <row r="5325" spans="1:15" x14ac:dyDescent="0.2">
      <c r="A5325" s="111">
        <v>5458</v>
      </c>
      <c r="B5325" s="421" t="s">
        <v>9829</v>
      </c>
      <c r="C5325" s="421" t="s">
        <v>503</v>
      </c>
      <c r="D5325" s="422" t="s">
        <v>663</v>
      </c>
      <c r="E5325" s="111">
        <v>17063</v>
      </c>
      <c r="F5325" s="421" t="s">
        <v>9830</v>
      </c>
      <c r="G5325" s="112">
        <v>1</v>
      </c>
      <c r="H5325" s="112">
        <v>1</v>
      </c>
      <c r="I5325" s="112">
        <v>1</v>
      </c>
      <c r="J5325" s="112">
        <v>4</v>
      </c>
      <c r="K5325" s="112">
        <v>4</v>
      </c>
      <c r="L5325" s="112">
        <v>4</v>
      </c>
      <c r="M5325" s="112">
        <v>4</v>
      </c>
      <c r="N5325" s="112">
        <v>1</v>
      </c>
      <c r="O5325" s="112">
        <v>2</v>
      </c>
    </row>
    <row r="5326" spans="1:15" x14ac:dyDescent="0.2">
      <c r="A5326" s="111">
        <v>5459</v>
      </c>
      <c r="B5326" s="421" t="s">
        <v>5747</v>
      </c>
      <c r="C5326" s="421" t="s">
        <v>519</v>
      </c>
      <c r="D5326" s="422" t="s">
        <v>666</v>
      </c>
      <c r="E5326" s="111">
        <v>17142</v>
      </c>
      <c r="F5326" s="421" t="s">
        <v>9831</v>
      </c>
      <c r="G5326" s="112">
        <v>1</v>
      </c>
      <c r="H5326" s="112">
        <v>1</v>
      </c>
      <c r="I5326" s="112">
        <v>1</v>
      </c>
      <c r="J5326" s="112">
        <v>4</v>
      </c>
      <c r="K5326" s="112">
        <v>4</v>
      </c>
      <c r="L5326" s="112">
        <v>3</v>
      </c>
      <c r="M5326" s="112">
        <v>3</v>
      </c>
      <c r="N5326" s="112">
        <v>2</v>
      </c>
      <c r="O5326" s="112">
        <v>4</v>
      </c>
    </row>
    <row r="5327" spans="1:15" x14ac:dyDescent="0.2">
      <c r="A5327" s="111">
        <v>5460</v>
      </c>
      <c r="B5327" s="421" t="s">
        <v>9832</v>
      </c>
      <c r="C5327" s="421" t="s">
        <v>540</v>
      </c>
      <c r="D5327" s="422" t="s">
        <v>663</v>
      </c>
      <c r="E5327" s="111">
        <v>17071</v>
      </c>
      <c r="F5327" s="421" t="s">
        <v>9833</v>
      </c>
    </row>
    <row r="5328" spans="1:15" x14ac:dyDescent="0.2">
      <c r="A5328" s="111">
        <v>5461</v>
      </c>
      <c r="B5328" s="421" t="s">
        <v>6476</v>
      </c>
      <c r="C5328" s="421" t="s">
        <v>502</v>
      </c>
      <c r="D5328" s="422" t="s">
        <v>666</v>
      </c>
      <c r="E5328" s="111">
        <v>17071</v>
      </c>
      <c r="F5328" s="421" t="s">
        <v>9833</v>
      </c>
      <c r="G5328" s="112">
        <v>1</v>
      </c>
      <c r="I5328" s="112">
        <v>1</v>
      </c>
    </row>
    <row r="5329" spans="1:12" x14ac:dyDescent="0.2">
      <c r="A5329" s="111">
        <v>5462</v>
      </c>
      <c r="B5329" s="421" t="s">
        <v>488</v>
      </c>
      <c r="C5329" s="421" t="s">
        <v>1112</v>
      </c>
      <c r="D5329" s="422" t="s">
        <v>666</v>
      </c>
      <c r="F5329" s="421" t="s">
        <v>9834</v>
      </c>
      <c r="G5329" s="112">
        <v>1</v>
      </c>
      <c r="H5329" s="112">
        <v>2</v>
      </c>
      <c r="I5329" s="112">
        <v>1</v>
      </c>
      <c r="L5329" s="112">
        <v>1</v>
      </c>
    </row>
    <row r="5330" spans="1:12" x14ac:dyDescent="0.2">
      <c r="A5330" s="111">
        <v>5463</v>
      </c>
      <c r="B5330" s="421" t="s">
        <v>3412</v>
      </c>
      <c r="C5330" s="421" t="s">
        <v>2165</v>
      </c>
      <c r="D5330" s="422" t="s">
        <v>666</v>
      </c>
      <c r="E5330" s="111">
        <v>44054</v>
      </c>
      <c r="F5330" s="421" t="s">
        <v>9835</v>
      </c>
    </row>
    <row r="5331" spans="1:12" x14ac:dyDescent="0.2">
      <c r="A5331" s="111">
        <v>5464</v>
      </c>
      <c r="B5331" s="421" t="s">
        <v>170</v>
      </c>
      <c r="C5331" s="421" t="s">
        <v>516</v>
      </c>
      <c r="D5331" s="422" t="s">
        <v>663</v>
      </c>
      <c r="E5331" s="111">
        <v>16661</v>
      </c>
      <c r="F5331" s="421" t="s">
        <v>8198</v>
      </c>
      <c r="H5331" s="112">
        <v>1</v>
      </c>
    </row>
    <row r="5332" spans="1:12" x14ac:dyDescent="0.2">
      <c r="A5332" s="111">
        <v>5465</v>
      </c>
      <c r="B5332" s="421" t="s">
        <v>9836</v>
      </c>
      <c r="C5332" s="421" t="s">
        <v>516</v>
      </c>
      <c r="D5332" s="422" t="s">
        <v>666</v>
      </c>
      <c r="E5332" s="111">
        <v>16661</v>
      </c>
      <c r="F5332" s="421" t="s">
        <v>8198</v>
      </c>
      <c r="G5332" s="112">
        <v>1</v>
      </c>
      <c r="H5332" s="112">
        <v>2</v>
      </c>
      <c r="I5332" s="112">
        <v>2</v>
      </c>
      <c r="J5332" s="112">
        <v>2</v>
      </c>
      <c r="K5332" s="112">
        <v>2</v>
      </c>
      <c r="L5332" s="112">
        <v>1</v>
      </c>
    </row>
    <row r="5333" spans="1:12" x14ac:dyDescent="0.2">
      <c r="A5333" s="111">
        <v>5466</v>
      </c>
      <c r="B5333" s="421" t="s">
        <v>289</v>
      </c>
      <c r="C5333" s="421" t="s">
        <v>503</v>
      </c>
      <c r="D5333" s="422" t="s">
        <v>663</v>
      </c>
      <c r="E5333" s="111">
        <v>17065</v>
      </c>
      <c r="F5333" s="421" t="s">
        <v>9954</v>
      </c>
    </row>
    <row r="5334" spans="1:12" x14ac:dyDescent="0.2">
      <c r="A5334" s="111">
        <v>5467</v>
      </c>
      <c r="B5334" s="421" t="s">
        <v>4198</v>
      </c>
      <c r="C5334" s="421" t="s">
        <v>506</v>
      </c>
      <c r="D5334" s="422" t="s">
        <v>666</v>
      </c>
      <c r="E5334" s="111">
        <v>17065</v>
      </c>
      <c r="F5334" s="421" t="s">
        <v>9954</v>
      </c>
    </row>
    <row r="5335" spans="1:12" x14ac:dyDescent="0.2">
      <c r="A5335" s="111">
        <v>5468</v>
      </c>
      <c r="B5335" s="421" t="s">
        <v>2740</v>
      </c>
      <c r="C5335" s="421" t="s">
        <v>502</v>
      </c>
      <c r="D5335" s="422" t="s">
        <v>666</v>
      </c>
      <c r="E5335" s="111">
        <v>17066</v>
      </c>
      <c r="F5335" s="421" t="s">
        <v>9955</v>
      </c>
      <c r="G5335" s="112">
        <v>1</v>
      </c>
      <c r="H5335" s="112">
        <v>1</v>
      </c>
      <c r="I5335" s="112">
        <v>1</v>
      </c>
      <c r="J5335" s="112">
        <v>2</v>
      </c>
      <c r="K5335" s="112">
        <v>1</v>
      </c>
      <c r="L5335" s="112">
        <v>2</v>
      </c>
    </row>
    <row r="5336" spans="1:12" x14ac:dyDescent="0.2">
      <c r="A5336" s="111">
        <v>5469</v>
      </c>
      <c r="B5336" s="421" t="s">
        <v>3170</v>
      </c>
      <c r="C5336" s="421" t="s">
        <v>501</v>
      </c>
      <c r="D5336" s="422" t="s">
        <v>666</v>
      </c>
      <c r="E5336" s="111">
        <v>17068</v>
      </c>
      <c r="F5336" s="421" t="s">
        <v>9956</v>
      </c>
      <c r="G5336" s="112">
        <v>1</v>
      </c>
      <c r="H5336" s="112">
        <v>1</v>
      </c>
      <c r="I5336" s="112">
        <v>1</v>
      </c>
      <c r="J5336" s="112">
        <v>1</v>
      </c>
      <c r="K5336" s="112">
        <v>2</v>
      </c>
      <c r="L5336" s="112">
        <v>1</v>
      </c>
    </row>
    <row r="5337" spans="1:12" x14ac:dyDescent="0.2">
      <c r="A5337" s="111">
        <v>5470</v>
      </c>
      <c r="B5337" s="421" t="s">
        <v>6668</v>
      </c>
      <c r="C5337" s="421" t="s">
        <v>2272</v>
      </c>
      <c r="D5337" s="422" t="s">
        <v>663</v>
      </c>
      <c r="E5337" s="111">
        <v>16757</v>
      </c>
      <c r="F5337" s="421" t="s">
        <v>8657</v>
      </c>
      <c r="G5337" s="112">
        <v>2</v>
      </c>
      <c r="H5337" s="112">
        <v>2</v>
      </c>
      <c r="I5337" s="112">
        <v>1</v>
      </c>
      <c r="J5337" s="112">
        <v>2</v>
      </c>
      <c r="K5337" s="112">
        <v>3</v>
      </c>
      <c r="L5337" s="112">
        <v>2</v>
      </c>
    </row>
    <row r="5338" spans="1:12" x14ac:dyDescent="0.2">
      <c r="A5338" s="111">
        <v>5471</v>
      </c>
      <c r="B5338" s="421" t="s">
        <v>9957</v>
      </c>
      <c r="C5338" s="421" t="s">
        <v>506</v>
      </c>
      <c r="D5338" s="422" t="s">
        <v>663</v>
      </c>
      <c r="E5338" s="111">
        <v>16931</v>
      </c>
      <c r="F5338" s="421" t="s">
        <v>4139</v>
      </c>
      <c r="G5338" s="112">
        <v>1</v>
      </c>
    </row>
    <row r="5339" spans="1:12" x14ac:dyDescent="0.2">
      <c r="A5339" s="111">
        <v>5472</v>
      </c>
      <c r="B5339" s="421" t="s">
        <v>9958</v>
      </c>
      <c r="C5339" s="421" t="s">
        <v>510</v>
      </c>
      <c r="D5339" s="422" t="s">
        <v>666</v>
      </c>
      <c r="E5339" s="111">
        <v>17070</v>
      </c>
      <c r="F5339" s="421" t="s">
        <v>9959</v>
      </c>
    </row>
    <row r="5340" spans="1:12" x14ac:dyDescent="0.2">
      <c r="A5340" s="111">
        <v>5474</v>
      </c>
      <c r="B5340" s="421" t="s">
        <v>48</v>
      </c>
      <c r="C5340" s="421" t="s">
        <v>510</v>
      </c>
      <c r="D5340" s="422" t="s">
        <v>663</v>
      </c>
      <c r="E5340" s="111">
        <v>17072</v>
      </c>
      <c r="F5340" s="421" t="s">
        <v>9960</v>
      </c>
      <c r="G5340" s="112">
        <v>1</v>
      </c>
      <c r="H5340" s="112">
        <v>1</v>
      </c>
      <c r="I5340" s="112">
        <v>1</v>
      </c>
    </row>
    <row r="5341" spans="1:12" x14ac:dyDescent="0.2">
      <c r="A5341" s="111">
        <v>5475</v>
      </c>
      <c r="B5341" s="421" t="s">
        <v>6669</v>
      </c>
      <c r="C5341" s="421" t="s">
        <v>1378</v>
      </c>
      <c r="D5341" s="422" t="s">
        <v>663</v>
      </c>
      <c r="E5341" s="111">
        <v>17143</v>
      </c>
      <c r="F5341" s="421" t="s">
        <v>9961</v>
      </c>
      <c r="G5341" s="112">
        <v>1</v>
      </c>
      <c r="H5341" s="112">
        <v>1</v>
      </c>
      <c r="I5341" s="112">
        <v>1</v>
      </c>
      <c r="J5341" s="112">
        <v>1</v>
      </c>
      <c r="K5341" s="112">
        <v>1</v>
      </c>
      <c r="L5341" s="112">
        <v>1</v>
      </c>
    </row>
    <row r="5342" spans="1:12" x14ac:dyDescent="0.2">
      <c r="A5342" s="111">
        <v>5476</v>
      </c>
      <c r="B5342" s="421" t="s">
        <v>5552</v>
      </c>
      <c r="C5342" s="421" t="s">
        <v>1817</v>
      </c>
      <c r="D5342" s="422" t="s">
        <v>666</v>
      </c>
      <c r="E5342" s="111">
        <v>17074</v>
      </c>
      <c r="F5342" s="421" t="s">
        <v>9962</v>
      </c>
    </row>
    <row r="5343" spans="1:12" x14ac:dyDescent="0.2">
      <c r="A5343" s="111">
        <v>5477</v>
      </c>
      <c r="B5343" s="421" t="s">
        <v>9963</v>
      </c>
      <c r="C5343" s="421" t="s">
        <v>572</v>
      </c>
      <c r="D5343" s="422" t="s">
        <v>663</v>
      </c>
      <c r="E5343" s="111">
        <v>14303</v>
      </c>
      <c r="F5343" s="421" t="s">
        <v>807</v>
      </c>
      <c r="G5343" s="112">
        <v>1</v>
      </c>
      <c r="H5343" s="112">
        <v>1</v>
      </c>
      <c r="I5343" s="112">
        <v>1</v>
      </c>
      <c r="J5343" s="112">
        <v>1</v>
      </c>
      <c r="K5343" s="112">
        <v>1</v>
      </c>
      <c r="L5343" s="112">
        <v>1</v>
      </c>
    </row>
    <row r="5344" spans="1:12" x14ac:dyDescent="0.2">
      <c r="A5344" s="111">
        <v>5478</v>
      </c>
      <c r="B5344" s="421" t="s">
        <v>9964</v>
      </c>
      <c r="C5344" s="421" t="s">
        <v>534</v>
      </c>
      <c r="D5344" s="422" t="s">
        <v>666</v>
      </c>
      <c r="E5344" s="111">
        <v>16418</v>
      </c>
      <c r="F5344" s="421" t="s">
        <v>7567</v>
      </c>
      <c r="G5344" s="112">
        <v>2</v>
      </c>
      <c r="H5344" s="112">
        <v>1</v>
      </c>
      <c r="I5344" s="112">
        <v>2</v>
      </c>
      <c r="J5344" s="112">
        <v>8</v>
      </c>
      <c r="K5344" s="112">
        <v>8</v>
      </c>
      <c r="L5344" s="112">
        <v>7</v>
      </c>
    </row>
    <row r="5345" spans="1:15" x14ac:dyDescent="0.2">
      <c r="A5345" s="111">
        <v>5479</v>
      </c>
      <c r="B5345" s="421" t="s">
        <v>1423</v>
      </c>
      <c r="C5345" s="421" t="s">
        <v>540</v>
      </c>
      <c r="D5345" s="422" t="s">
        <v>663</v>
      </c>
      <c r="E5345" s="111">
        <v>17076</v>
      </c>
      <c r="F5345" s="421" t="s">
        <v>9965</v>
      </c>
    </row>
    <row r="5346" spans="1:15" x14ac:dyDescent="0.2">
      <c r="A5346" s="111">
        <v>5480</v>
      </c>
      <c r="B5346" s="421" t="s">
        <v>9966</v>
      </c>
      <c r="C5346" s="421" t="s">
        <v>5370</v>
      </c>
      <c r="D5346" s="422" t="s">
        <v>666</v>
      </c>
      <c r="E5346" s="111">
        <v>17077</v>
      </c>
      <c r="F5346" s="421" t="s">
        <v>9967</v>
      </c>
      <c r="G5346" s="112">
        <v>1</v>
      </c>
      <c r="H5346" s="112">
        <v>1</v>
      </c>
      <c r="I5346" s="112">
        <v>1</v>
      </c>
      <c r="J5346" s="112">
        <v>10</v>
      </c>
      <c r="K5346" s="112">
        <v>13</v>
      </c>
      <c r="L5346" s="112">
        <v>10</v>
      </c>
      <c r="M5346" s="112">
        <v>9</v>
      </c>
      <c r="N5346" s="112">
        <v>9</v>
      </c>
      <c r="O5346" s="112">
        <v>6</v>
      </c>
    </row>
    <row r="5347" spans="1:15" x14ac:dyDescent="0.2">
      <c r="A5347" s="111">
        <v>5481</v>
      </c>
      <c r="B5347" s="421" t="s">
        <v>4628</v>
      </c>
      <c r="C5347" s="421" t="s">
        <v>503</v>
      </c>
      <c r="D5347" s="422" t="s">
        <v>663</v>
      </c>
      <c r="E5347" s="111">
        <v>17078</v>
      </c>
      <c r="F5347" s="421" t="s">
        <v>9968</v>
      </c>
      <c r="G5347" s="112">
        <v>1</v>
      </c>
      <c r="H5347" s="112">
        <v>1</v>
      </c>
      <c r="I5347" s="112">
        <v>1</v>
      </c>
      <c r="K5347" s="112">
        <v>1</v>
      </c>
      <c r="L5347" s="112">
        <v>1</v>
      </c>
    </row>
    <row r="5348" spans="1:15" x14ac:dyDescent="0.2">
      <c r="A5348" s="111">
        <v>5482</v>
      </c>
      <c r="B5348" s="421" t="s">
        <v>4646</v>
      </c>
      <c r="C5348" s="421" t="s">
        <v>501</v>
      </c>
      <c r="D5348" s="422" t="s">
        <v>663</v>
      </c>
      <c r="E5348" s="111">
        <v>17119</v>
      </c>
      <c r="F5348" s="421" t="s">
        <v>9969</v>
      </c>
      <c r="G5348" s="112">
        <v>2</v>
      </c>
      <c r="H5348" s="112">
        <v>2</v>
      </c>
      <c r="I5348" s="112">
        <v>1</v>
      </c>
      <c r="J5348" s="112">
        <v>7</v>
      </c>
      <c r="K5348" s="112">
        <v>8</v>
      </c>
      <c r="L5348" s="112">
        <v>8</v>
      </c>
      <c r="M5348" s="112">
        <v>3</v>
      </c>
      <c r="N5348" s="112">
        <v>3</v>
      </c>
      <c r="O5348" s="112">
        <v>3</v>
      </c>
    </row>
    <row r="5349" spans="1:15" x14ac:dyDescent="0.2">
      <c r="A5349" s="111">
        <v>5483</v>
      </c>
      <c r="B5349" s="421" t="s">
        <v>1224</v>
      </c>
      <c r="C5349" s="421" t="s">
        <v>1284</v>
      </c>
      <c r="D5349" s="422" t="s">
        <v>666</v>
      </c>
      <c r="E5349" s="111">
        <v>17079</v>
      </c>
      <c r="F5349" s="421" t="s">
        <v>9970</v>
      </c>
      <c r="G5349" s="112">
        <v>1</v>
      </c>
      <c r="H5349" s="112">
        <v>1</v>
      </c>
      <c r="I5349" s="112">
        <v>1</v>
      </c>
      <c r="J5349" s="112">
        <v>7</v>
      </c>
      <c r="K5349" s="112">
        <v>5</v>
      </c>
      <c r="L5349" s="112">
        <v>7</v>
      </c>
      <c r="M5349" s="112">
        <v>2</v>
      </c>
      <c r="N5349" s="112">
        <v>2</v>
      </c>
    </row>
    <row r="5350" spans="1:15" x14ac:dyDescent="0.2">
      <c r="A5350" s="111">
        <v>5484</v>
      </c>
      <c r="B5350" s="421" t="s">
        <v>3730</v>
      </c>
      <c r="C5350" s="421" t="s">
        <v>501</v>
      </c>
      <c r="D5350" s="422" t="s">
        <v>666</v>
      </c>
      <c r="F5350" s="421" t="s">
        <v>9971</v>
      </c>
    </row>
    <row r="5351" spans="1:15" x14ac:dyDescent="0.2">
      <c r="A5351" s="111">
        <v>5485</v>
      </c>
      <c r="B5351" s="421" t="s">
        <v>2920</v>
      </c>
      <c r="C5351" s="421" t="s">
        <v>501</v>
      </c>
      <c r="D5351" s="422" t="s">
        <v>666</v>
      </c>
      <c r="F5351" s="421" t="s">
        <v>9971</v>
      </c>
    </row>
    <row r="5352" spans="1:15" x14ac:dyDescent="0.2">
      <c r="A5352" s="111">
        <v>5486</v>
      </c>
      <c r="B5352" s="421" t="s">
        <v>46</v>
      </c>
      <c r="C5352" s="421" t="s">
        <v>519</v>
      </c>
      <c r="D5352" s="422" t="s">
        <v>663</v>
      </c>
      <c r="E5352" s="111">
        <v>17080</v>
      </c>
      <c r="F5352" s="421" t="s">
        <v>9972</v>
      </c>
      <c r="G5352" s="112">
        <v>1</v>
      </c>
      <c r="H5352" s="112">
        <v>1</v>
      </c>
      <c r="I5352" s="112">
        <v>1</v>
      </c>
      <c r="J5352" s="112">
        <v>3</v>
      </c>
      <c r="K5352" s="112">
        <v>2</v>
      </c>
      <c r="L5352" s="112">
        <v>2</v>
      </c>
    </row>
    <row r="5353" spans="1:15" x14ac:dyDescent="0.2">
      <c r="A5353" s="111">
        <v>5487</v>
      </c>
      <c r="B5353" s="421" t="s">
        <v>8329</v>
      </c>
      <c r="C5353" s="421" t="s">
        <v>503</v>
      </c>
      <c r="D5353" s="422" t="s">
        <v>663</v>
      </c>
      <c r="E5353" s="111">
        <v>17081</v>
      </c>
      <c r="F5353" s="421" t="s">
        <v>9973</v>
      </c>
      <c r="G5353" s="112">
        <v>1</v>
      </c>
      <c r="H5353" s="112">
        <v>1</v>
      </c>
      <c r="I5353" s="112">
        <v>1</v>
      </c>
      <c r="J5353" s="112">
        <v>1</v>
      </c>
      <c r="K5353" s="112">
        <v>2</v>
      </c>
      <c r="L5353" s="112">
        <v>1</v>
      </c>
    </row>
    <row r="5354" spans="1:15" x14ac:dyDescent="0.2">
      <c r="A5354" s="111">
        <v>5488</v>
      </c>
      <c r="B5354" s="421" t="s">
        <v>341</v>
      </c>
      <c r="C5354" s="421" t="s">
        <v>2272</v>
      </c>
      <c r="D5354" s="422" t="s">
        <v>666</v>
      </c>
      <c r="E5354" s="111">
        <v>17082</v>
      </c>
      <c r="F5354" s="421" t="s">
        <v>9974</v>
      </c>
      <c r="G5354" s="112">
        <v>1</v>
      </c>
      <c r="H5354" s="112">
        <v>1</v>
      </c>
      <c r="I5354" s="112">
        <v>1</v>
      </c>
      <c r="K5354" s="112">
        <v>1</v>
      </c>
    </row>
    <row r="5355" spans="1:15" x14ac:dyDescent="0.2">
      <c r="A5355" s="111">
        <v>5489</v>
      </c>
      <c r="B5355" s="421" t="s">
        <v>4601</v>
      </c>
      <c r="C5355" s="421" t="s">
        <v>555</v>
      </c>
      <c r="D5355" s="422" t="s">
        <v>666</v>
      </c>
      <c r="E5355" s="111">
        <v>15958</v>
      </c>
      <c r="F5355" s="421" t="s">
        <v>5891</v>
      </c>
      <c r="G5355" s="112">
        <v>1</v>
      </c>
      <c r="H5355" s="112">
        <v>1</v>
      </c>
    </row>
    <row r="5356" spans="1:15" x14ac:dyDescent="0.2">
      <c r="A5356" s="111">
        <v>5490</v>
      </c>
      <c r="B5356" s="421" t="s">
        <v>9975</v>
      </c>
      <c r="C5356" s="421" t="s">
        <v>506</v>
      </c>
      <c r="D5356" s="422" t="s">
        <v>663</v>
      </c>
      <c r="E5356" s="111">
        <v>17083</v>
      </c>
      <c r="F5356" s="421" t="s">
        <v>3988</v>
      </c>
      <c r="G5356" s="112">
        <v>1</v>
      </c>
      <c r="H5356" s="112">
        <v>1</v>
      </c>
    </row>
    <row r="5357" spans="1:15" x14ac:dyDescent="0.2">
      <c r="A5357" s="111">
        <v>5491</v>
      </c>
      <c r="B5357" s="421" t="s">
        <v>7673</v>
      </c>
      <c r="C5357" s="421" t="s">
        <v>506</v>
      </c>
      <c r="D5357" s="422" t="s">
        <v>663</v>
      </c>
      <c r="E5357" s="111">
        <v>17084</v>
      </c>
      <c r="F5357" s="421" t="s">
        <v>9976</v>
      </c>
      <c r="G5357" s="112">
        <v>1</v>
      </c>
      <c r="H5357" s="112">
        <v>1</v>
      </c>
      <c r="I5357" s="112">
        <v>1</v>
      </c>
      <c r="J5357" s="112">
        <v>1</v>
      </c>
      <c r="K5357" s="112">
        <v>2</v>
      </c>
      <c r="L5357" s="112">
        <v>2</v>
      </c>
    </row>
    <row r="5358" spans="1:15" x14ac:dyDescent="0.2">
      <c r="A5358" s="111">
        <v>5492</v>
      </c>
      <c r="B5358" s="421" t="s">
        <v>112</v>
      </c>
      <c r="C5358" s="421" t="s">
        <v>503</v>
      </c>
      <c r="D5358" s="422" t="s">
        <v>663</v>
      </c>
      <c r="E5358" s="111">
        <v>17085</v>
      </c>
      <c r="F5358" s="421" t="s">
        <v>9977</v>
      </c>
      <c r="G5358" s="112">
        <v>1</v>
      </c>
      <c r="H5358" s="112">
        <v>1</v>
      </c>
      <c r="I5358" s="112">
        <v>1</v>
      </c>
      <c r="J5358" s="112">
        <v>3</v>
      </c>
      <c r="K5358" s="112">
        <v>3</v>
      </c>
      <c r="L5358" s="112">
        <v>3</v>
      </c>
      <c r="N5358" s="112">
        <v>1</v>
      </c>
    </row>
    <row r="5359" spans="1:15" x14ac:dyDescent="0.2">
      <c r="A5359" s="111">
        <v>5493</v>
      </c>
      <c r="B5359" s="421" t="s">
        <v>455</v>
      </c>
      <c r="C5359" s="421" t="s">
        <v>501</v>
      </c>
      <c r="D5359" s="422" t="s">
        <v>663</v>
      </c>
      <c r="E5359" s="111">
        <v>17086</v>
      </c>
      <c r="F5359" s="421" t="s">
        <v>9978</v>
      </c>
      <c r="G5359" s="112">
        <v>1</v>
      </c>
      <c r="H5359" s="112">
        <v>1</v>
      </c>
      <c r="I5359" s="112">
        <v>1</v>
      </c>
      <c r="J5359" s="112">
        <v>1</v>
      </c>
      <c r="K5359" s="112">
        <v>1</v>
      </c>
      <c r="L5359" s="112">
        <v>1</v>
      </c>
    </row>
    <row r="5360" spans="1:15" x14ac:dyDescent="0.2">
      <c r="A5360" s="111">
        <v>5494</v>
      </c>
      <c r="B5360" s="421" t="s">
        <v>9979</v>
      </c>
      <c r="C5360" s="421" t="s">
        <v>513</v>
      </c>
      <c r="D5360" s="422" t="s">
        <v>663</v>
      </c>
      <c r="F5360" s="421" t="s">
        <v>9980</v>
      </c>
    </row>
    <row r="5361" spans="1:15" x14ac:dyDescent="0.2">
      <c r="A5361" s="111">
        <v>5495</v>
      </c>
      <c r="B5361" s="421" t="s">
        <v>1416</v>
      </c>
      <c r="C5361" s="421" t="s">
        <v>2872</v>
      </c>
      <c r="D5361" s="422" t="s">
        <v>663</v>
      </c>
      <c r="F5361" s="421" t="s">
        <v>9980</v>
      </c>
    </row>
    <row r="5362" spans="1:15" x14ac:dyDescent="0.2">
      <c r="A5362" s="111">
        <v>5496</v>
      </c>
      <c r="B5362" s="421" t="s">
        <v>9981</v>
      </c>
      <c r="C5362" s="421" t="s">
        <v>2146</v>
      </c>
      <c r="D5362" s="422" t="s">
        <v>663</v>
      </c>
      <c r="E5362" s="111">
        <v>17087</v>
      </c>
      <c r="F5362" s="421" t="s">
        <v>9982</v>
      </c>
      <c r="G5362" s="112">
        <v>1</v>
      </c>
      <c r="H5362" s="112">
        <v>1</v>
      </c>
      <c r="I5362" s="112">
        <v>1</v>
      </c>
      <c r="J5362" s="112">
        <v>3</v>
      </c>
      <c r="K5362" s="112">
        <v>4</v>
      </c>
      <c r="L5362" s="112">
        <v>3</v>
      </c>
      <c r="M5362" s="112">
        <v>3</v>
      </c>
      <c r="N5362" s="112">
        <v>1</v>
      </c>
      <c r="O5362" s="112">
        <v>2</v>
      </c>
    </row>
    <row r="5363" spans="1:15" x14ac:dyDescent="0.2">
      <c r="A5363" s="111">
        <v>5497</v>
      </c>
      <c r="B5363" s="421" t="s">
        <v>9983</v>
      </c>
      <c r="C5363" s="421" t="s">
        <v>519</v>
      </c>
      <c r="D5363" s="422" t="s">
        <v>666</v>
      </c>
      <c r="E5363" s="111">
        <v>17088</v>
      </c>
      <c r="F5363" s="421" t="s">
        <v>9984</v>
      </c>
      <c r="G5363" s="112">
        <v>2</v>
      </c>
      <c r="H5363" s="112">
        <v>2</v>
      </c>
      <c r="I5363" s="112">
        <v>2</v>
      </c>
      <c r="J5363" s="112">
        <v>5</v>
      </c>
      <c r="K5363" s="112">
        <v>4</v>
      </c>
      <c r="L5363" s="112">
        <v>3</v>
      </c>
      <c r="M5363" s="112">
        <v>1</v>
      </c>
    </row>
    <row r="5364" spans="1:15" x14ac:dyDescent="0.2">
      <c r="A5364" s="111">
        <v>5498</v>
      </c>
      <c r="B5364" s="421" t="s">
        <v>10023</v>
      </c>
      <c r="C5364" s="421" t="s">
        <v>510</v>
      </c>
      <c r="D5364" s="422" t="s">
        <v>666</v>
      </c>
      <c r="E5364" s="111">
        <v>17089</v>
      </c>
      <c r="F5364" s="421" t="s">
        <v>10024</v>
      </c>
      <c r="G5364" s="112">
        <v>1</v>
      </c>
      <c r="H5364" s="112">
        <v>2</v>
      </c>
      <c r="I5364" s="112">
        <v>2</v>
      </c>
      <c r="J5364" s="112">
        <v>3</v>
      </c>
      <c r="K5364" s="112">
        <v>1</v>
      </c>
      <c r="L5364" s="112">
        <v>2</v>
      </c>
    </row>
    <row r="5365" spans="1:15" x14ac:dyDescent="0.2">
      <c r="A5365" s="111">
        <v>5499</v>
      </c>
      <c r="B5365" s="421" t="s">
        <v>1434</v>
      </c>
      <c r="C5365" s="421" t="s">
        <v>510</v>
      </c>
      <c r="D5365" s="422" t="s">
        <v>666</v>
      </c>
      <c r="E5365" s="111">
        <v>17089</v>
      </c>
      <c r="F5365" s="421" t="s">
        <v>10024</v>
      </c>
      <c r="G5365" s="112">
        <v>1</v>
      </c>
      <c r="H5365" s="112">
        <v>1</v>
      </c>
      <c r="I5365" s="112">
        <v>1</v>
      </c>
      <c r="J5365" s="112">
        <v>3</v>
      </c>
      <c r="K5365" s="112">
        <v>3</v>
      </c>
      <c r="L5365" s="112">
        <v>3</v>
      </c>
    </row>
    <row r="5366" spans="1:15" x14ac:dyDescent="0.2">
      <c r="A5366" s="111">
        <v>5500</v>
      </c>
      <c r="B5366" s="421" t="s">
        <v>46</v>
      </c>
      <c r="C5366" s="421" t="s">
        <v>1500</v>
      </c>
      <c r="D5366" s="422" t="s">
        <v>663</v>
      </c>
      <c r="E5366" s="111">
        <v>17091</v>
      </c>
      <c r="F5366" s="421" t="s">
        <v>10025</v>
      </c>
      <c r="G5366" s="112">
        <v>1</v>
      </c>
      <c r="H5366" s="112">
        <v>1</v>
      </c>
    </row>
    <row r="5367" spans="1:15" x14ac:dyDescent="0.2">
      <c r="A5367" s="111">
        <v>5501</v>
      </c>
      <c r="B5367" s="421" t="s">
        <v>1240</v>
      </c>
      <c r="C5367" s="421" t="s">
        <v>516</v>
      </c>
      <c r="D5367" s="422" t="s">
        <v>666</v>
      </c>
      <c r="E5367" s="111">
        <v>17092</v>
      </c>
      <c r="F5367" s="421" t="s">
        <v>10026</v>
      </c>
      <c r="G5367" s="112">
        <v>2</v>
      </c>
      <c r="H5367" s="112">
        <v>1</v>
      </c>
      <c r="I5367" s="112">
        <v>1</v>
      </c>
      <c r="J5367" s="112">
        <v>1</v>
      </c>
      <c r="K5367" s="112">
        <v>1</v>
      </c>
      <c r="L5367" s="112">
        <v>2</v>
      </c>
    </row>
    <row r="5368" spans="1:15" x14ac:dyDescent="0.2">
      <c r="A5368" s="111">
        <v>5502</v>
      </c>
      <c r="B5368" s="421" t="s">
        <v>10027</v>
      </c>
      <c r="C5368" s="421" t="s">
        <v>506</v>
      </c>
      <c r="D5368" s="422" t="s">
        <v>666</v>
      </c>
      <c r="E5368" s="111">
        <v>17093</v>
      </c>
      <c r="F5368" s="421" t="s">
        <v>10028</v>
      </c>
      <c r="G5368" s="112">
        <v>1</v>
      </c>
      <c r="H5368" s="112">
        <v>1</v>
      </c>
      <c r="I5368" s="112">
        <v>1</v>
      </c>
      <c r="J5368" s="112">
        <v>8</v>
      </c>
      <c r="K5368" s="112">
        <v>7</v>
      </c>
      <c r="L5368" s="112">
        <v>7</v>
      </c>
      <c r="M5368" s="112">
        <v>7</v>
      </c>
      <c r="N5368" s="112">
        <v>1</v>
      </c>
      <c r="O5368" s="112">
        <v>4</v>
      </c>
    </row>
    <row r="5369" spans="1:15" x14ac:dyDescent="0.2">
      <c r="A5369" s="111">
        <v>5505</v>
      </c>
      <c r="B5369" s="421" t="s">
        <v>6539</v>
      </c>
      <c r="C5369" s="421" t="s">
        <v>501</v>
      </c>
      <c r="D5369" s="422" t="s">
        <v>663</v>
      </c>
      <c r="E5369" s="111">
        <v>17051</v>
      </c>
      <c r="F5369" s="421" t="s">
        <v>791</v>
      </c>
    </row>
    <row r="5370" spans="1:15" x14ac:dyDescent="0.2">
      <c r="A5370" s="111">
        <v>5506</v>
      </c>
      <c r="B5370" s="421" t="s">
        <v>37</v>
      </c>
      <c r="C5370" s="421" t="s">
        <v>501</v>
      </c>
      <c r="D5370" s="422" t="s">
        <v>663</v>
      </c>
      <c r="E5370" s="111">
        <v>17051</v>
      </c>
      <c r="F5370" s="421" t="s">
        <v>791</v>
      </c>
    </row>
    <row r="5371" spans="1:15" x14ac:dyDescent="0.2">
      <c r="A5371" s="111">
        <v>5507</v>
      </c>
      <c r="B5371" s="421" t="s">
        <v>3259</v>
      </c>
      <c r="C5371" s="421" t="s">
        <v>525</v>
      </c>
      <c r="D5371" s="422" t="s">
        <v>666</v>
      </c>
      <c r="E5371" s="111">
        <v>17094</v>
      </c>
      <c r="F5371" s="421" t="s">
        <v>10029</v>
      </c>
      <c r="G5371" s="112">
        <v>1</v>
      </c>
      <c r="H5371" s="112">
        <v>1</v>
      </c>
      <c r="I5371" s="112">
        <v>1</v>
      </c>
      <c r="J5371" s="112">
        <v>7</v>
      </c>
      <c r="K5371" s="112">
        <v>6</v>
      </c>
      <c r="L5371" s="112">
        <v>5</v>
      </c>
      <c r="M5371" s="112">
        <v>6</v>
      </c>
      <c r="O5371" s="112">
        <v>1</v>
      </c>
    </row>
    <row r="5372" spans="1:15" x14ac:dyDescent="0.2">
      <c r="A5372" s="111">
        <v>5508</v>
      </c>
      <c r="B5372" s="421" t="s">
        <v>10030</v>
      </c>
      <c r="C5372" s="421" t="s">
        <v>510</v>
      </c>
      <c r="D5372" s="422" t="s">
        <v>666</v>
      </c>
      <c r="E5372" s="111">
        <v>16197</v>
      </c>
      <c r="F5372" s="421" t="s">
        <v>6566</v>
      </c>
    </row>
    <row r="5373" spans="1:15" x14ac:dyDescent="0.2">
      <c r="A5373" s="111">
        <v>5509</v>
      </c>
      <c r="B5373" s="421" t="s">
        <v>7530</v>
      </c>
      <c r="C5373" s="421" t="s">
        <v>501</v>
      </c>
      <c r="D5373" s="422" t="s">
        <v>663</v>
      </c>
      <c r="E5373" s="111">
        <v>17095</v>
      </c>
      <c r="F5373" s="421" t="s">
        <v>10031</v>
      </c>
      <c r="G5373" s="112">
        <v>1</v>
      </c>
      <c r="H5373" s="112">
        <v>1</v>
      </c>
      <c r="I5373" s="112">
        <v>1</v>
      </c>
      <c r="J5373" s="112">
        <v>8</v>
      </c>
      <c r="K5373" s="112">
        <v>8</v>
      </c>
      <c r="L5373" s="112">
        <v>7</v>
      </c>
      <c r="M5373" s="112">
        <v>5</v>
      </c>
      <c r="N5373" s="112">
        <v>3</v>
      </c>
      <c r="O5373" s="112">
        <v>5</v>
      </c>
    </row>
    <row r="5374" spans="1:15" x14ac:dyDescent="0.2">
      <c r="A5374" s="111">
        <v>5510</v>
      </c>
      <c r="B5374" s="421" t="s">
        <v>10032</v>
      </c>
      <c r="C5374" s="421" t="s">
        <v>501</v>
      </c>
      <c r="D5374" s="422" t="s">
        <v>666</v>
      </c>
      <c r="E5374" s="111">
        <v>15832</v>
      </c>
      <c r="F5374" s="421" t="s">
        <v>2596</v>
      </c>
      <c r="G5374" s="112">
        <v>1</v>
      </c>
      <c r="H5374" s="112">
        <v>2</v>
      </c>
      <c r="I5374" s="112">
        <v>2</v>
      </c>
      <c r="J5374" s="112">
        <v>1</v>
      </c>
      <c r="L5374" s="112">
        <v>1</v>
      </c>
    </row>
    <row r="5375" spans="1:15" x14ac:dyDescent="0.2">
      <c r="A5375" s="111">
        <v>5511</v>
      </c>
      <c r="B5375" s="421" t="s">
        <v>6547</v>
      </c>
      <c r="C5375" s="421" t="s">
        <v>513</v>
      </c>
      <c r="D5375" s="422" t="s">
        <v>666</v>
      </c>
      <c r="E5375" s="111">
        <v>14962</v>
      </c>
      <c r="F5375" s="421" t="s">
        <v>2816</v>
      </c>
      <c r="G5375" s="112">
        <v>1</v>
      </c>
      <c r="H5375" s="112">
        <v>1</v>
      </c>
      <c r="I5375" s="112">
        <v>1</v>
      </c>
      <c r="J5375" s="112">
        <v>7</v>
      </c>
      <c r="K5375" s="112">
        <v>7</v>
      </c>
      <c r="L5375" s="112">
        <v>8</v>
      </c>
      <c r="M5375" s="112">
        <v>3</v>
      </c>
      <c r="N5375" s="112">
        <v>1</v>
      </c>
      <c r="O5375" s="112">
        <v>2</v>
      </c>
    </row>
    <row r="5376" spans="1:15" x14ac:dyDescent="0.2">
      <c r="A5376" s="111">
        <v>5512</v>
      </c>
      <c r="B5376" s="421" t="s">
        <v>10033</v>
      </c>
      <c r="C5376" s="421" t="s">
        <v>527</v>
      </c>
      <c r="D5376" s="422" t="s">
        <v>663</v>
      </c>
      <c r="E5376" s="111">
        <v>17099</v>
      </c>
      <c r="F5376" s="421" t="s">
        <v>10034</v>
      </c>
    </row>
    <row r="5377" spans="1:15" x14ac:dyDescent="0.2">
      <c r="A5377" s="111">
        <v>5513</v>
      </c>
      <c r="B5377" s="421" t="s">
        <v>110</v>
      </c>
      <c r="C5377" s="421" t="s">
        <v>503</v>
      </c>
      <c r="D5377" s="422" t="s">
        <v>663</v>
      </c>
      <c r="E5377" s="111">
        <v>15886</v>
      </c>
      <c r="F5377" s="421" t="s">
        <v>5615</v>
      </c>
      <c r="G5377" s="112">
        <v>1</v>
      </c>
      <c r="H5377" s="112">
        <v>1</v>
      </c>
      <c r="I5377" s="112">
        <v>1</v>
      </c>
      <c r="J5377" s="112">
        <v>3</v>
      </c>
      <c r="K5377" s="112">
        <v>7</v>
      </c>
      <c r="L5377" s="112">
        <v>7</v>
      </c>
    </row>
    <row r="5378" spans="1:15" x14ac:dyDescent="0.2">
      <c r="A5378" s="111">
        <v>5514</v>
      </c>
      <c r="B5378" s="421" t="s">
        <v>10035</v>
      </c>
      <c r="C5378" s="421" t="s">
        <v>583</v>
      </c>
      <c r="D5378" s="422" t="s">
        <v>666</v>
      </c>
      <c r="E5378" s="111">
        <v>14244</v>
      </c>
      <c r="F5378" s="421" t="s">
        <v>971</v>
      </c>
      <c r="G5378" s="112">
        <v>2</v>
      </c>
      <c r="H5378" s="112">
        <v>2</v>
      </c>
      <c r="I5378" s="112">
        <v>1</v>
      </c>
      <c r="J5378" s="112">
        <v>7</v>
      </c>
      <c r="K5378" s="112">
        <v>5</v>
      </c>
      <c r="L5378" s="112">
        <v>7</v>
      </c>
    </row>
    <row r="5379" spans="1:15" x14ac:dyDescent="0.2">
      <c r="A5379" s="111">
        <v>5515</v>
      </c>
      <c r="B5379" s="421" t="s">
        <v>2127</v>
      </c>
      <c r="C5379" s="421" t="s">
        <v>1112</v>
      </c>
      <c r="D5379" s="422" t="s">
        <v>666</v>
      </c>
      <c r="E5379" s="111">
        <v>17097</v>
      </c>
      <c r="F5379" s="421" t="s">
        <v>10036</v>
      </c>
      <c r="G5379" s="112">
        <v>1</v>
      </c>
    </row>
    <row r="5380" spans="1:15" x14ac:dyDescent="0.2">
      <c r="A5380" s="111">
        <v>5516</v>
      </c>
      <c r="B5380" s="421" t="s">
        <v>10037</v>
      </c>
      <c r="C5380" s="421" t="s">
        <v>501</v>
      </c>
      <c r="D5380" s="422" t="s">
        <v>666</v>
      </c>
      <c r="E5380" s="111">
        <v>44401</v>
      </c>
      <c r="F5380" s="421" t="s">
        <v>10038</v>
      </c>
      <c r="G5380" s="112">
        <v>1</v>
      </c>
      <c r="H5380" s="112">
        <v>1</v>
      </c>
      <c r="I5380" s="112">
        <v>1</v>
      </c>
      <c r="K5380" s="112">
        <v>1</v>
      </c>
      <c r="L5380" s="112">
        <v>1</v>
      </c>
      <c r="M5380" s="112">
        <v>2</v>
      </c>
      <c r="N5380" s="112">
        <v>1</v>
      </c>
    </row>
    <row r="5381" spans="1:15" x14ac:dyDescent="0.2">
      <c r="A5381" s="111">
        <v>5517</v>
      </c>
      <c r="B5381" s="421" t="s">
        <v>6476</v>
      </c>
      <c r="C5381" s="421" t="s">
        <v>509</v>
      </c>
      <c r="D5381" s="422" t="s">
        <v>666</v>
      </c>
      <c r="E5381" s="111">
        <v>17121</v>
      </c>
      <c r="F5381" s="421" t="s">
        <v>10039</v>
      </c>
      <c r="G5381" s="112">
        <v>1</v>
      </c>
      <c r="H5381" s="112">
        <v>1</v>
      </c>
      <c r="I5381" s="112">
        <v>1</v>
      </c>
      <c r="J5381" s="112">
        <v>7</v>
      </c>
      <c r="K5381" s="112">
        <v>6</v>
      </c>
      <c r="L5381" s="112">
        <v>7</v>
      </c>
      <c r="M5381" s="112">
        <v>4</v>
      </c>
      <c r="N5381" s="112">
        <v>5</v>
      </c>
      <c r="O5381" s="112">
        <v>4</v>
      </c>
    </row>
    <row r="5382" spans="1:15" x14ac:dyDescent="0.2">
      <c r="A5382" s="111">
        <v>5518</v>
      </c>
      <c r="B5382" s="421" t="s">
        <v>7210</v>
      </c>
      <c r="C5382" s="421" t="s">
        <v>628</v>
      </c>
      <c r="D5382" s="422" t="s">
        <v>666</v>
      </c>
      <c r="E5382" s="111">
        <v>17098</v>
      </c>
      <c r="F5382" s="421" t="s">
        <v>10040</v>
      </c>
      <c r="G5382" s="112">
        <v>3</v>
      </c>
      <c r="H5382" s="112">
        <v>3</v>
      </c>
      <c r="I5382" s="112">
        <v>2</v>
      </c>
      <c r="J5382" s="112">
        <v>6</v>
      </c>
      <c r="K5382" s="112">
        <v>6</v>
      </c>
      <c r="L5382" s="112">
        <v>6</v>
      </c>
      <c r="M5382" s="112">
        <v>6</v>
      </c>
      <c r="N5382" s="112">
        <v>1</v>
      </c>
      <c r="O5382" s="112">
        <v>6</v>
      </c>
    </row>
    <row r="5383" spans="1:15" x14ac:dyDescent="0.2">
      <c r="A5383" s="111">
        <v>5519</v>
      </c>
      <c r="B5383" s="421" t="s">
        <v>10041</v>
      </c>
      <c r="C5383" s="421" t="s">
        <v>1523</v>
      </c>
      <c r="D5383" s="422" t="s">
        <v>666</v>
      </c>
      <c r="E5383" s="111">
        <v>14581</v>
      </c>
      <c r="F5383" s="421" t="s">
        <v>1768</v>
      </c>
      <c r="G5383" s="112">
        <v>1</v>
      </c>
      <c r="H5383" s="112">
        <v>2</v>
      </c>
      <c r="I5383" s="112">
        <v>2</v>
      </c>
    </row>
    <row r="5384" spans="1:15" x14ac:dyDescent="0.2">
      <c r="A5384" s="111">
        <v>5520</v>
      </c>
      <c r="B5384" s="421" t="s">
        <v>2397</v>
      </c>
      <c r="C5384" s="421" t="s">
        <v>502</v>
      </c>
      <c r="D5384" s="422" t="s">
        <v>666</v>
      </c>
      <c r="E5384" s="111">
        <v>17149</v>
      </c>
      <c r="F5384" s="421" t="s">
        <v>10042</v>
      </c>
      <c r="G5384" s="112">
        <v>1</v>
      </c>
      <c r="H5384" s="112">
        <v>1</v>
      </c>
      <c r="I5384" s="112">
        <v>1</v>
      </c>
      <c r="J5384" s="112">
        <v>7</v>
      </c>
      <c r="K5384" s="112">
        <v>8</v>
      </c>
      <c r="L5384" s="112">
        <v>8</v>
      </c>
      <c r="M5384" s="112">
        <v>3</v>
      </c>
      <c r="N5384" s="112">
        <v>3</v>
      </c>
      <c r="O5384" s="112">
        <v>4</v>
      </c>
    </row>
    <row r="5385" spans="1:15" x14ac:dyDescent="0.2">
      <c r="A5385" s="111">
        <v>5521</v>
      </c>
      <c r="B5385" s="421" t="s">
        <v>3359</v>
      </c>
      <c r="C5385" s="421" t="s">
        <v>543</v>
      </c>
      <c r="D5385" s="422" t="s">
        <v>663</v>
      </c>
      <c r="E5385" s="111">
        <v>15434</v>
      </c>
      <c r="F5385" s="421" t="s">
        <v>3916</v>
      </c>
      <c r="G5385" s="112">
        <v>1</v>
      </c>
      <c r="H5385" s="112">
        <v>1</v>
      </c>
      <c r="I5385" s="112">
        <v>1</v>
      </c>
      <c r="J5385" s="112">
        <v>4</v>
      </c>
      <c r="K5385" s="112">
        <v>3</v>
      </c>
      <c r="L5385" s="112">
        <v>3</v>
      </c>
      <c r="M5385" s="112">
        <v>3</v>
      </c>
      <c r="N5385" s="112">
        <v>2</v>
      </c>
      <c r="O5385" s="112">
        <v>2</v>
      </c>
    </row>
    <row r="5386" spans="1:15" x14ac:dyDescent="0.2">
      <c r="A5386" s="111">
        <v>5522</v>
      </c>
      <c r="B5386" s="421" t="s">
        <v>10043</v>
      </c>
      <c r="C5386" s="421" t="s">
        <v>501</v>
      </c>
      <c r="D5386" s="422" t="s">
        <v>663</v>
      </c>
      <c r="E5386" s="111">
        <v>17100</v>
      </c>
      <c r="F5386" s="421" t="s">
        <v>10044</v>
      </c>
      <c r="G5386" s="112">
        <v>1</v>
      </c>
      <c r="H5386" s="112">
        <v>1</v>
      </c>
      <c r="I5386" s="112">
        <v>1</v>
      </c>
      <c r="K5386" s="112">
        <v>1</v>
      </c>
      <c r="L5386" s="112">
        <v>1</v>
      </c>
    </row>
    <row r="5387" spans="1:15" x14ac:dyDescent="0.2">
      <c r="A5387" s="111">
        <v>5523</v>
      </c>
      <c r="B5387" s="421" t="s">
        <v>2575</v>
      </c>
      <c r="C5387" s="421" t="s">
        <v>551</v>
      </c>
      <c r="D5387" s="422" t="s">
        <v>666</v>
      </c>
      <c r="E5387" s="111">
        <v>17101</v>
      </c>
      <c r="F5387" s="421" t="s">
        <v>10045</v>
      </c>
      <c r="G5387" s="112">
        <v>1</v>
      </c>
      <c r="H5387" s="112">
        <v>1</v>
      </c>
      <c r="I5387" s="112">
        <v>1</v>
      </c>
      <c r="J5387" s="112">
        <v>5</v>
      </c>
      <c r="K5387" s="112">
        <v>5</v>
      </c>
      <c r="L5387" s="112">
        <v>5</v>
      </c>
      <c r="M5387" s="112">
        <v>3</v>
      </c>
      <c r="N5387" s="112">
        <v>2</v>
      </c>
      <c r="O5387" s="112">
        <v>1</v>
      </c>
    </row>
    <row r="5388" spans="1:15" x14ac:dyDescent="0.2">
      <c r="A5388" s="111">
        <v>5524</v>
      </c>
      <c r="B5388" s="421" t="s">
        <v>34</v>
      </c>
      <c r="C5388" s="421" t="s">
        <v>516</v>
      </c>
      <c r="D5388" s="422" t="s">
        <v>666</v>
      </c>
      <c r="F5388" s="421" t="s">
        <v>10046</v>
      </c>
    </row>
    <row r="5389" spans="1:15" x14ac:dyDescent="0.2">
      <c r="A5389" s="111">
        <v>5525</v>
      </c>
      <c r="B5389" s="421" t="s">
        <v>10047</v>
      </c>
      <c r="C5389" s="421" t="s">
        <v>516</v>
      </c>
      <c r="D5389" s="422" t="s">
        <v>666</v>
      </c>
      <c r="F5389" s="421" t="s">
        <v>10046</v>
      </c>
    </row>
    <row r="5390" spans="1:15" x14ac:dyDescent="0.2">
      <c r="A5390" s="111">
        <v>5526</v>
      </c>
      <c r="B5390" s="421" t="s">
        <v>10048</v>
      </c>
      <c r="C5390" s="421" t="s">
        <v>572</v>
      </c>
      <c r="D5390" s="422" t="s">
        <v>663</v>
      </c>
      <c r="E5390" s="111">
        <v>16688</v>
      </c>
      <c r="F5390" s="421" t="s">
        <v>8399</v>
      </c>
      <c r="G5390" s="112">
        <v>1</v>
      </c>
      <c r="H5390" s="112">
        <v>1</v>
      </c>
      <c r="I5390" s="112">
        <v>1</v>
      </c>
      <c r="J5390" s="112">
        <v>9</v>
      </c>
      <c r="K5390" s="112">
        <v>7</v>
      </c>
      <c r="L5390" s="112">
        <v>3</v>
      </c>
      <c r="M5390" s="112">
        <v>5</v>
      </c>
    </row>
    <row r="5391" spans="1:15" x14ac:dyDescent="0.2">
      <c r="A5391" s="111">
        <v>5527</v>
      </c>
      <c r="B5391" s="421" t="s">
        <v>10049</v>
      </c>
      <c r="C5391" s="421" t="s">
        <v>572</v>
      </c>
      <c r="D5391" s="422" t="s">
        <v>663</v>
      </c>
      <c r="E5391" s="111">
        <v>16688</v>
      </c>
      <c r="F5391" s="421" t="s">
        <v>8399</v>
      </c>
      <c r="G5391" s="112">
        <v>1</v>
      </c>
      <c r="H5391" s="112">
        <v>1</v>
      </c>
      <c r="I5391" s="112">
        <v>1</v>
      </c>
      <c r="J5391" s="112">
        <v>3</v>
      </c>
      <c r="K5391" s="112">
        <v>3</v>
      </c>
      <c r="L5391" s="112">
        <v>2</v>
      </c>
      <c r="M5391" s="112">
        <v>4</v>
      </c>
      <c r="N5391" s="112">
        <v>3</v>
      </c>
      <c r="O5391" s="112">
        <v>3</v>
      </c>
    </row>
    <row r="5392" spans="1:15" x14ac:dyDescent="0.2">
      <c r="A5392" s="111">
        <v>5528</v>
      </c>
      <c r="B5392" s="421" t="s">
        <v>10050</v>
      </c>
      <c r="C5392" s="421" t="s">
        <v>512</v>
      </c>
      <c r="D5392" s="422" t="s">
        <v>663</v>
      </c>
      <c r="E5392" s="111">
        <v>44073</v>
      </c>
      <c r="F5392" s="421" t="s">
        <v>10051</v>
      </c>
      <c r="G5392" s="112">
        <v>1</v>
      </c>
      <c r="H5392" s="112">
        <v>1</v>
      </c>
      <c r="I5392" s="112">
        <v>1</v>
      </c>
    </row>
    <row r="5393" spans="1:15" x14ac:dyDescent="0.2">
      <c r="A5393" s="111">
        <v>5529</v>
      </c>
      <c r="B5393" s="421" t="s">
        <v>10052</v>
      </c>
      <c r="C5393" s="421" t="s">
        <v>501</v>
      </c>
      <c r="D5393" s="422" t="s">
        <v>663</v>
      </c>
      <c r="E5393" s="111">
        <v>15984</v>
      </c>
      <c r="F5393" s="421" t="s">
        <v>5393</v>
      </c>
      <c r="G5393" s="112">
        <v>1</v>
      </c>
      <c r="H5393" s="112">
        <v>1</v>
      </c>
      <c r="I5393" s="112">
        <v>1</v>
      </c>
      <c r="J5393" s="112">
        <v>8</v>
      </c>
      <c r="K5393" s="112">
        <v>7</v>
      </c>
      <c r="L5393" s="112">
        <v>9</v>
      </c>
      <c r="M5393" s="112">
        <v>6</v>
      </c>
      <c r="N5393" s="112">
        <v>3</v>
      </c>
      <c r="O5393" s="112">
        <v>4</v>
      </c>
    </row>
    <row r="5394" spans="1:15" x14ac:dyDescent="0.2">
      <c r="A5394" s="111">
        <v>5530</v>
      </c>
      <c r="B5394" s="421" t="s">
        <v>1204</v>
      </c>
      <c r="C5394" s="421" t="s">
        <v>501</v>
      </c>
      <c r="D5394" s="422" t="s">
        <v>663</v>
      </c>
      <c r="E5394" s="111">
        <v>17104</v>
      </c>
      <c r="F5394" s="421" t="s">
        <v>10053</v>
      </c>
      <c r="G5394" s="112">
        <v>1</v>
      </c>
      <c r="H5394" s="112">
        <v>1</v>
      </c>
      <c r="I5394" s="112">
        <v>1</v>
      </c>
      <c r="J5394" s="112">
        <v>11</v>
      </c>
      <c r="K5394" s="112">
        <v>10</v>
      </c>
      <c r="L5394" s="112">
        <v>10</v>
      </c>
      <c r="M5394" s="112">
        <v>9</v>
      </c>
      <c r="N5394" s="112">
        <v>5</v>
      </c>
      <c r="O5394" s="112">
        <v>9</v>
      </c>
    </row>
    <row r="5395" spans="1:15" x14ac:dyDescent="0.2">
      <c r="A5395" s="111">
        <v>5531</v>
      </c>
      <c r="B5395" s="421" t="s">
        <v>10054</v>
      </c>
      <c r="C5395" s="421" t="s">
        <v>551</v>
      </c>
      <c r="D5395" s="422" t="s">
        <v>663</v>
      </c>
      <c r="E5395" s="111">
        <v>17105</v>
      </c>
      <c r="F5395" s="421" t="s">
        <v>10055</v>
      </c>
      <c r="G5395" s="112">
        <v>1</v>
      </c>
      <c r="H5395" s="112">
        <v>1</v>
      </c>
      <c r="I5395" s="112">
        <v>1</v>
      </c>
      <c r="J5395" s="112">
        <v>5</v>
      </c>
      <c r="K5395" s="112">
        <v>5</v>
      </c>
      <c r="L5395" s="112">
        <v>5</v>
      </c>
      <c r="M5395" s="112">
        <v>2</v>
      </c>
    </row>
    <row r="5396" spans="1:15" x14ac:dyDescent="0.2">
      <c r="A5396" s="111">
        <v>5532</v>
      </c>
      <c r="B5396" s="421" t="s">
        <v>310</v>
      </c>
      <c r="C5396" s="421" t="s">
        <v>523</v>
      </c>
      <c r="D5396" s="422" t="s">
        <v>663</v>
      </c>
      <c r="E5396" s="111">
        <v>17107</v>
      </c>
      <c r="F5396" s="421" t="s">
        <v>10056</v>
      </c>
      <c r="G5396" s="112">
        <v>1</v>
      </c>
      <c r="H5396" s="112">
        <v>1</v>
      </c>
      <c r="I5396" s="112">
        <v>1</v>
      </c>
      <c r="J5396" s="112">
        <v>4</v>
      </c>
      <c r="K5396" s="112">
        <v>5</v>
      </c>
      <c r="L5396" s="112">
        <v>5</v>
      </c>
    </row>
    <row r="5397" spans="1:15" x14ac:dyDescent="0.2">
      <c r="A5397" s="111">
        <v>5533</v>
      </c>
      <c r="B5397" s="421" t="s">
        <v>1359</v>
      </c>
      <c r="C5397" s="421" t="s">
        <v>501</v>
      </c>
      <c r="D5397" s="422" t="s">
        <v>663</v>
      </c>
      <c r="E5397" s="111">
        <v>17108</v>
      </c>
      <c r="F5397" s="421" t="s">
        <v>10057</v>
      </c>
      <c r="G5397" s="112">
        <v>1</v>
      </c>
      <c r="H5397" s="112">
        <v>1</v>
      </c>
      <c r="I5397" s="112">
        <v>1</v>
      </c>
      <c r="J5397" s="112">
        <v>3</v>
      </c>
      <c r="K5397" s="112">
        <v>5</v>
      </c>
      <c r="L5397" s="112">
        <v>5</v>
      </c>
    </row>
    <row r="5398" spans="1:15" x14ac:dyDescent="0.2">
      <c r="A5398" s="111">
        <v>5534</v>
      </c>
      <c r="B5398" s="421" t="s">
        <v>10058</v>
      </c>
      <c r="C5398" s="421" t="s">
        <v>501</v>
      </c>
      <c r="D5398" s="422" t="s">
        <v>663</v>
      </c>
      <c r="E5398" s="111">
        <v>17109</v>
      </c>
      <c r="F5398" s="421" t="s">
        <v>10059</v>
      </c>
      <c r="G5398" s="112">
        <v>1</v>
      </c>
      <c r="H5398" s="112">
        <v>1</v>
      </c>
      <c r="I5398" s="112">
        <v>1</v>
      </c>
      <c r="J5398" s="112">
        <v>5</v>
      </c>
      <c r="K5398" s="112">
        <v>3</v>
      </c>
      <c r="L5398" s="112">
        <v>2</v>
      </c>
    </row>
    <row r="5399" spans="1:15" x14ac:dyDescent="0.2">
      <c r="A5399" s="111">
        <v>5535</v>
      </c>
      <c r="B5399" s="421" t="s">
        <v>10060</v>
      </c>
      <c r="C5399" s="421" t="s">
        <v>501</v>
      </c>
      <c r="D5399" s="422" t="s">
        <v>666</v>
      </c>
      <c r="E5399" s="111">
        <v>17110</v>
      </c>
      <c r="F5399" s="421" t="s">
        <v>10061</v>
      </c>
      <c r="G5399" s="112">
        <v>1</v>
      </c>
      <c r="H5399" s="112">
        <v>1</v>
      </c>
      <c r="I5399" s="112">
        <v>1</v>
      </c>
      <c r="K5399" s="112">
        <v>1</v>
      </c>
    </row>
    <row r="5400" spans="1:15" x14ac:dyDescent="0.2">
      <c r="A5400" s="111">
        <v>5536</v>
      </c>
      <c r="B5400" s="421" t="s">
        <v>1423</v>
      </c>
      <c r="C5400" s="421" t="s">
        <v>501</v>
      </c>
      <c r="D5400" s="422" t="s">
        <v>663</v>
      </c>
      <c r="E5400" s="111">
        <v>17111</v>
      </c>
      <c r="F5400" s="421" t="s">
        <v>10062</v>
      </c>
      <c r="G5400" s="112">
        <v>1</v>
      </c>
      <c r="H5400" s="112">
        <v>1</v>
      </c>
      <c r="I5400" s="112">
        <v>1</v>
      </c>
      <c r="J5400" s="112">
        <v>6</v>
      </c>
      <c r="K5400" s="112">
        <v>8</v>
      </c>
      <c r="L5400" s="112">
        <v>7</v>
      </c>
      <c r="M5400" s="112">
        <v>6</v>
      </c>
      <c r="N5400" s="112">
        <v>5</v>
      </c>
      <c r="O5400" s="112">
        <v>4</v>
      </c>
    </row>
    <row r="5401" spans="1:15" x14ac:dyDescent="0.2">
      <c r="A5401" s="111">
        <v>5537</v>
      </c>
      <c r="B5401" s="421" t="s">
        <v>1771</v>
      </c>
      <c r="C5401" s="421" t="s">
        <v>521</v>
      </c>
      <c r="D5401" s="422" t="s">
        <v>663</v>
      </c>
      <c r="E5401" s="111">
        <v>17112</v>
      </c>
      <c r="F5401" s="421" t="s">
        <v>10063</v>
      </c>
      <c r="G5401" s="112">
        <v>1</v>
      </c>
      <c r="H5401" s="112">
        <v>1</v>
      </c>
      <c r="I5401" s="112">
        <v>1</v>
      </c>
    </row>
    <row r="5402" spans="1:15" x14ac:dyDescent="0.2">
      <c r="A5402" s="111">
        <v>5538</v>
      </c>
      <c r="B5402" s="421" t="s">
        <v>5306</v>
      </c>
      <c r="C5402" s="421" t="s">
        <v>1687</v>
      </c>
      <c r="D5402" s="422" t="s">
        <v>666</v>
      </c>
      <c r="E5402" s="111">
        <v>17113</v>
      </c>
      <c r="F5402" s="421" t="s">
        <v>10064</v>
      </c>
    </row>
    <row r="5403" spans="1:15" x14ac:dyDescent="0.2">
      <c r="A5403" s="111">
        <v>5539</v>
      </c>
      <c r="B5403" s="421" t="s">
        <v>379</v>
      </c>
      <c r="C5403" s="421" t="s">
        <v>506</v>
      </c>
      <c r="D5403" s="422" t="s">
        <v>663</v>
      </c>
      <c r="E5403" s="111">
        <v>17114</v>
      </c>
      <c r="F5403" s="421" t="s">
        <v>10065</v>
      </c>
      <c r="G5403" s="112">
        <v>1</v>
      </c>
      <c r="H5403" s="112">
        <v>1</v>
      </c>
      <c r="I5403" s="112">
        <v>1</v>
      </c>
      <c r="J5403" s="112">
        <v>1</v>
      </c>
      <c r="K5403" s="112">
        <v>5</v>
      </c>
      <c r="L5403" s="112">
        <v>4</v>
      </c>
    </row>
    <row r="5404" spans="1:15" x14ac:dyDescent="0.2">
      <c r="A5404" s="111">
        <v>5540</v>
      </c>
      <c r="B5404" s="421" t="s">
        <v>5565</v>
      </c>
      <c r="C5404" s="421" t="s">
        <v>551</v>
      </c>
      <c r="D5404" s="422" t="s">
        <v>666</v>
      </c>
      <c r="E5404" s="111">
        <v>17115</v>
      </c>
      <c r="F5404" s="421" t="s">
        <v>10066</v>
      </c>
      <c r="G5404" s="112">
        <v>1</v>
      </c>
      <c r="H5404" s="112">
        <v>1</v>
      </c>
      <c r="I5404" s="112">
        <v>1</v>
      </c>
    </row>
    <row r="5405" spans="1:15" x14ac:dyDescent="0.2">
      <c r="A5405" s="111">
        <v>5541</v>
      </c>
      <c r="B5405" s="421" t="s">
        <v>3832</v>
      </c>
      <c r="C5405" s="421" t="s">
        <v>551</v>
      </c>
      <c r="D5405" s="422" t="s">
        <v>666</v>
      </c>
      <c r="E5405" s="111">
        <v>17115</v>
      </c>
      <c r="F5405" s="421" t="s">
        <v>10066</v>
      </c>
    </row>
    <row r="5406" spans="1:15" x14ac:dyDescent="0.2">
      <c r="A5406" s="111">
        <v>5542</v>
      </c>
      <c r="B5406" s="421" t="s">
        <v>10067</v>
      </c>
      <c r="C5406" s="421" t="s">
        <v>510</v>
      </c>
      <c r="D5406" s="422" t="s">
        <v>663</v>
      </c>
      <c r="E5406" s="111">
        <v>17116</v>
      </c>
      <c r="F5406" s="421" t="s">
        <v>10068</v>
      </c>
      <c r="G5406" s="112">
        <v>1</v>
      </c>
      <c r="H5406" s="112">
        <v>1</v>
      </c>
      <c r="I5406" s="112">
        <v>1</v>
      </c>
      <c r="J5406" s="112">
        <v>8</v>
      </c>
      <c r="K5406" s="112">
        <v>7</v>
      </c>
      <c r="L5406" s="112">
        <v>7</v>
      </c>
      <c r="M5406" s="112">
        <v>3</v>
      </c>
      <c r="N5406" s="112">
        <v>3</v>
      </c>
      <c r="O5406" s="112">
        <v>3</v>
      </c>
    </row>
    <row r="5407" spans="1:15" x14ac:dyDescent="0.2">
      <c r="A5407" s="111">
        <v>5543</v>
      </c>
      <c r="B5407" s="421" t="s">
        <v>3170</v>
      </c>
      <c r="C5407" s="421" t="s">
        <v>572</v>
      </c>
      <c r="D5407" s="422" t="s">
        <v>666</v>
      </c>
      <c r="E5407" s="111">
        <v>17156</v>
      </c>
      <c r="F5407" s="421" t="s">
        <v>10069</v>
      </c>
      <c r="G5407" s="112">
        <v>1</v>
      </c>
      <c r="H5407" s="112">
        <v>1</v>
      </c>
      <c r="I5407" s="112">
        <v>1</v>
      </c>
    </row>
    <row r="5408" spans="1:15" x14ac:dyDescent="0.2">
      <c r="A5408" s="111">
        <v>5544</v>
      </c>
      <c r="B5408" s="421" t="s">
        <v>1423</v>
      </c>
      <c r="C5408" s="421" t="s">
        <v>503</v>
      </c>
      <c r="D5408" s="422" t="s">
        <v>663</v>
      </c>
      <c r="E5408" s="111">
        <v>17118</v>
      </c>
      <c r="F5408" s="421" t="s">
        <v>10070</v>
      </c>
      <c r="G5408" s="112">
        <v>1</v>
      </c>
      <c r="H5408" s="112">
        <v>1</v>
      </c>
      <c r="I5408" s="112">
        <v>1</v>
      </c>
      <c r="J5408" s="112">
        <v>1</v>
      </c>
      <c r="K5408" s="112">
        <v>2</v>
      </c>
      <c r="L5408" s="112">
        <v>3</v>
      </c>
    </row>
    <row r="5409" spans="1:15" x14ac:dyDescent="0.2">
      <c r="A5409" s="111">
        <v>5545</v>
      </c>
      <c r="B5409" s="421" t="s">
        <v>133</v>
      </c>
      <c r="C5409" s="421" t="s">
        <v>2412</v>
      </c>
      <c r="D5409" s="422" t="s">
        <v>666</v>
      </c>
      <c r="E5409" s="111">
        <v>15729</v>
      </c>
      <c r="F5409" s="421" t="s">
        <v>5222</v>
      </c>
      <c r="G5409" s="112">
        <v>4</v>
      </c>
      <c r="H5409" s="112">
        <v>3</v>
      </c>
      <c r="I5409" s="112">
        <v>1</v>
      </c>
    </row>
    <row r="5410" spans="1:15" x14ac:dyDescent="0.2">
      <c r="A5410" s="111">
        <v>5546</v>
      </c>
      <c r="B5410" s="421" t="s">
        <v>3886</v>
      </c>
      <c r="C5410" s="421" t="s">
        <v>506</v>
      </c>
      <c r="D5410" s="422" t="s">
        <v>663</v>
      </c>
      <c r="E5410" s="111">
        <v>14288</v>
      </c>
      <c r="F5410" s="421" t="s">
        <v>3119</v>
      </c>
    </row>
    <row r="5411" spans="1:15" x14ac:dyDescent="0.2">
      <c r="A5411" s="111">
        <v>5547</v>
      </c>
      <c r="B5411" s="421" t="s">
        <v>381</v>
      </c>
      <c r="C5411" s="421" t="s">
        <v>532</v>
      </c>
      <c r="D5411" s="422" t="s">
        <v>663</v>
      </c>
      <c r="E5411" s="111">
        <v>17120</v>
      </c>
      <c r="F5411" s="421" t="s">
        <v>10071</v>
      </c>
      <c r="G5411" s="112">
        <v>1</v>
      </c>
      <c r="H5411" s="112">
        <v>1</v>
      </c>
      <c r="I5411" s="112">
        <v>1</v>
      </c>
      <c r="J5411" s="112">
        <v>2</v>
      </c>
      <c r="K5411" s="112">
        <v>1</v>
      </c>
      <c r="L5411" s="112">
        <v>1</v>
      </c>
    </row>
    <row r="5412" spans="1:15" x14ac:dyDescent="0.2">
      <c r="A5412" s="111">
        <v>5548</v>
      </c>
      <c r="B5412" s="421" t="s">
        <v>1349</v>
      </c>
      <c r="C5412" s="421" t="s">
        <v>519</v>
      </c>
      <c r="D5412" s="422" t="s">
        <v>663</v>
      </c>
      <c r="E5412" s="111">
        <v>17122</v>
      </c>
      <c r="F5412" s="421" t="s">
        <v>10072</v>
      </c>
      <c r="G5412" s="112">
        <v>1</v>
      </c>
      <c r="H5412" s="112">
        <v>1</v>
      </c>
      <c r="I5412" s="112">
        <v>1</v>
      </c>
      <c r="J5412" s="112">
        <v>2</v>
      </c>
      <c r="K5412" s="112">
        <v>2</v>
      </c>
      <c r="L5412" s="112">
        <v>2</v>
      </c>
    </row>
    <row r="5413" spans="1:15" x14ac:dyDescent="0.2">
      <c r="A5413" s="111">
        <v>5549</v>
      </c>
      <c r="B5413" s="421" t="s">
        <v>3771</v>
      </c>
      <c r="C5413" s="421" t="s">
        <v>501</v>
      </c>
      <c r="D5413" s="422" t="s">
        <v>663</v>
      </c>
      <c r="E5413" s="111">
        <v>17123</v>
      </c>
      <c r="F5413" s="421" t="s">
        <v>10073</v>
      </c>
    </row>
    <row r="5414" spans="1:15" x14ac:dyDescent="0.2">
      <c r="A5414" s="111">
        <v>5550</v>
      </c>
      <c r="B5414" s="421" t="s">
        <v>10074</v>
      </c>
      <c r="C5414" s="421" t="s">
        <v>557</v>
      </c>
      <c r="D5414" s="422" t="s">
        <v>663</v>
      </c>
      <c r="E5414" s="111">
        <v>17123</v>
      </c>
      <c r="F5414" s="421" t="s">
        <v>10073</v>
      </c>
      <c r="G5414" s="112">
        <v>2</v>
      </c>
      <c r="H5414" s="112">
        <v>2</v>
      </c>
      <c r="I5414" s="112">
        <v>2</v>
      </c>
      <c r="J5414" s="112">
        <v>1</v>
      </c>
    </row>
    <row r="5415" spans="1:15" x14ac:dyDescent="0.2">
      <c r="A5415" s="111">
        <v>5551</v>
      </c>
      <c r="B5415" s="421" t="s">
        <v>1393</v>
      </c>
      <c r="C5415" s="421" t="s">
        <v>3384</v>
      </c>
      <c r="D5415" s="422" t="s">
        <v>663</v>
      </c>
      <c r="E5415" s="111">
        <v>17124</v>
      </c>
      <c r="F5415" s="421" t="s">
        <v>10075</v>
      </c>
      <c r="H5415" s="112">
        <v>1</v>
      </c>
    </row>
    <row r="5416" spans="1:15" x14ac:dyDescent="0.2">
      <c r="A5416" s="111">
        <v>5552</v>
      </c>
      <c r="B5416" s="421" t="s">
        <v>10076</v>
      </c>
      <c r="C5416" s="421" t="s">
        <v>3384</v>
      </c>
      <c r="D5416" s="422" t="s">
        <v>666</v>
      </c>
      <c r="E5416" s="111">
        <v>17124</v>
      </c>
      <c r="F5416" s="421" t="s">
        <v>10075</v>
      </c>
    </row>
    <row r="5417" spans="1:15" x14ac:dyDescent="0.2">
      <c r="A5417" s="111">
        <v>5553</v>
      </c>
      <c r="B5417" s="421" t="s">
        <v>2173</v>
      </c>
      <c r="C5417" s="421" t="s">
        <v>528</v>
      </c>
      <c r="D5417" s="422" t="s">
        <v>666</v>
      </c>
      <c r="E5417" s="111">
        <v>16410</v>
      </c>
      <c r="F5417" s="421" t="s">
        <v>4678</v>
      </c>
      <c r="H5417" s="112">
        <v>1</v>
      </c>
    </row>
    <row r="5418" spans="1:15" x14ac:dyDescent="0.2">
      <c r="A5418" s="111">
        <v>5554</v>
      </c>
      <c r="B5418" s="421" t="s">
        <v>10077</v>
      </c>
      <c r="C5418" s="421" t="s">
        <v>516</v>
      </c>
      <c r="D5418" s="422" t="s">
        <v>663</v>
      </c>
      <c r="E5418" s="111">
        <v>17128</v>
      </c>
      <c r="F5418" s="421" t="s">
        <v>10078</v>
      </c>
      <c r="G5418" s="112">
        <v>2</v>
      </c>
      <c r="H5418" s="112">
        <v>3</v>
      </c>
      <c r="I5418" s="112">
        <v>3</v>
      </c>
      <c r="J5418" s="112">
        <v>2</v>
      </c>
      <c r="K5418" s="112">
        <v>2</v>
      </c>
      <c r="L5418" s="112">
        <v>2</v>
      </c>
    </row>
    <row r="5419" spans="1:15" x14ac:dyDescent="0.2">
      <c r="A5419" s="111">
        <v>5555</v>
      </c>
      <c r="B5419" s="421" t="s">
        <v>4029</v>
      </c>
      <c r="C5419" s="421" t="s">
        <v>501</v>
      </c>
      <c r="D5419" s="422" t="s">
        <v>663</v>
      </c>
      <c r="E5419" s="111">
        <v>44360</v>
      </c>
      <c r="F5419" s="421" t="s">
        <v>10079</v>
      </c>
      <c r="G5419" s="112">
        <v>1</v>
      </c>
      <c r="H5419" s="112">
        <v>1</v>
      </c>
      <c r="I5419" s="112">
        <v>1</v>
      </c>
      <c r="J5419" s="112">
        <v>4</v>
      </c>
      <c r="K5419" s="112">
        <v>4</v>
      </c>
      <c r="L5419" s="112">
        <v>4</v>
      </c>
      <c r="M5419" s="112">
        <v>3</v>
      </c>
      <c r="N5419" s="112">
        <v>2</v>
      </c>
      <c r="O5419" s="112">
        <v>4</v>
      </c>
    </row>
    <row r="5420" spans="1:15" x14ac:dyDescent="0.2">
      <c r="A5420" s="111">
        <v>5556</v>
      </c>
      <c r="B5420" s="421" t="s">
        <v>146</v>
      </c>
      <c r="C5420" s="421" t="s">
        <v>540</v>
      </c>
      <c r="D5420" s="422" t="s">
        <v>663</v>
      </c>
      <c r="E5420" s="111">
        <v>16797</v>
      </c>
      <c r="F5420" s="421" t="s">
        <v>2705</v>
      </c>
      <c r="G5420" s="112">
        <v>4</v>
      </c>
      <c r="H5420" s="112">
        <v>3</v>
      </c>
      <c r="I5420" s="112">
        <v>2</v>
      </c>
      <c r="J5420" s="112">
        <v>1</v>
      </c>
      <c r="K5420" s="112">
        <v>1</v>
      </c>
    </row>
    <row r="5421" spans="1:15" x14ac:dyDescent="0.2">
      <c r="A5421" s="111">
        <v>5557</v>
      </c>
      <c r="B5421" s="421" t="s">
        <v>3979</v>
      </c>
      <c r="C5421" s="421" t="s">
        <v>514</v>
      </c>
      <c r="D5421" s="422" t="s">
        <v>663</v>
      </c>
      <c r="E5421" s="111">
        <v>17126</v>
      </c>
      <c r="F5421" s="421" t="s">
        <v>10080</v>
      </c>
      <c r="G5421" s="112">
        <v>1</v>
      </c>
    </row>
    <row r="5422" spans="1:15" x14ac:dyDescent="0.2">
      <c r="A5422" s="111">
        <v>5558</v>
      </c>
      <c r="B5422" s="421" t="s">
        <v>2234</v>
      </c>
      <c r="C5422" s="421" t="s">
        <v>506</v>
      </c>
      <c r="D5422" s="422" t="s">
        <v>663</v>
      </c>
      <c r="F5422" s="421" t="s">
        <v>10081</v>
      </c>
    </row>
    <row r="5423" spans="1:15" x14ac:dyDescent="0.2">
      <c r="A5423" s="111">
        <v>5559</v>
      </c>
      <c r="B5423" s="421" t="s">
        <v>10082</v>
      </c>
      <c r="C5423" s="421" t="s">
        <v>501</v>
      </c>
      <c r="D5423" s="422" t="s">
        <v>663</v>
      </c>
      <c r="E5423" s="111">
        <v>17129</v>
      </c>
      <c r="F5423" s="421" t="s">
        <v>10083</v>
      </c>
      <c r="G5423" s="112">
        <v>1</v>
      </c>
      <c r="H5423" s="112">
        <v>1</v>
      </c>
      <c r="I5423" s="112">
        <v>1</v>
      </c>
      <c r="J5423" s="112">
        <v>3</v>
      </c>
      <c r="K5423" s="112">
        <v>7</v>
      </c>
      <c r="L5423" s="112">
        <v>2</v>
      </c>
    </row>
    <row r="5424" spans="1:15" x14ac:dyDescent="0.2">
      <c r="A5424" s="111">
        <v>5560</v>
      </c>
      <c r="B5424" s="421" t="s">
        <v>10084</v>
      </c>
      <c r="C5424" s="421" t="s">
        <v>533</v>
      </c>
      <c r="D5424" s="422" t="s">
        <v>666</v>
      </c>
      <c r="E5424" s="111">
        <v>17130</v>
      </c>
      <c r="F5424" s="421" t="s">
        <v>10085</v>
      </c>
    </row>
    <row r="5425" spans="1:15" x14ac:dyDescent="0.2">
      <c r="A5425" s="111">
        <v>5561</v>
      </c>
      <c r="B5425" s="421" t="s">
        <v>455</v>
      </c>
      <c r="C5425" s="421" t="s">
        <v>513</v>
      </c>
      <c r="D5425" s="422" t="s">
        <v>663</v>
      </c>
      <c r="E5425" s="111">
        <v>15578</v>
      </c>
      <c r="F5425" s="421" t="s">
        <v>4821</v>
      </c>
      <c r="G5425" s="112">
        <v>2</v>
      </c>
      <c r="H5425" s="112">
        <v>4</v>
      </c>
      <c r="I5425" s="112">
        <v>2</v>
      </c>
    </row>
    <row r="5426" spans="1:15" x14ac:dyDescent="0.2">
      <c r="A5426" s="111">
        <v>5562</v>
      </c>
      <c r="B5426" s="421" t="s">
        <v>365</v>
      </c>
      <c r="C5426" s="421" t="s">
        <v>533</v>
      </c>
      <c r="D5426" s="422" t="s">
        <v>666</v>
      </c>
      <c r="E5426" s="111">
        <v>15594</v>
      </c>
      <c r="F5426" s="421" t="s">
        <v>4727</v>
      </c>
    </row>
    <row r="5427" spans="1:15" x14ac:dyDescent="0.2">
      <c r="A5427" s="111">
        <v>5563</v>
      </c>
      <c r="B5427" s="421" t="s">
        <v>1966</v>
      </c>
      <c r="C5427" s="421" t="s">
        <v>536</v>
      </c>
      <c r="D5427" s="422" t="s">
        <v>666</v>
      </c>
      <c r="E5427" s="111">
        <v>17132</v>
      </c>
      <c r="F5427" s="421" t="s">
        <v>10086</v>
      </c>
      <c r="G5427" s="112">
        <v>1</v>
      </c>
      <c r="H5427" s="112">
        <v>1</v>
      </c>
      <c r="I5427" s="112">
        <v>1</v>
      </c>
      <c r="J5427" s="112">
        <v>2</v>
      </c>
      <c r="K5427" s="112">
        <v>2</v>
      </c>
      <c r="L5427" s="112">
        <v>2</v>
      </c>
    </row>
    <row r="5428" spans="1:15" x14ac:dyDescent="0.2">
      <c r="A5428" s="111">
        <v>5564</v>
      </c>
      <c r="B5428" s="421" t="s">
        <v>10087</v>
      </c>
      <c r="C5428" s="421" t="s">
        <v>570</v>
      </c>
      <c r="D5428" s="422" t="s">
        <v>663</v>
      </c>
      <c r="E5428" s="111">
        <v>17133</v>
      </c>
      <c r="F5428" s="421" t="s">
        <v>10088</v>
      </c>
      <c r="G5428" s="112">
        <v>1</v>
      </c>
      <c r="H5428" s="112">
        <v>1</v>
      </c>
      <c r="I5428" s="112">
        <v>1</v>
      </c>
      <c r="J5428" s="112">
        <v>1</v>
      </c>
      <c r="L5428" s="112">
        <v>1</v>
      </c>
    </row>
    <row r="5429" spans="1:15" x14ac:dyDescent="0.2">
      <c r="A5429" s="111">
        <v>5565</v>
      </c>
      <c r="B5429" s="421" t="s">
        <v>2792</v>
      </c>
      <c r="C5429" s="421" t="s">
        <v>17458</v>
      </c>
      <c r="D5429" s="422" t="s">
        <v>666</v>
      </c>
      <c r="F5429" s="421" t="s">
        <v>6369</v>
      </c>
      <c r="G5429" s="112">
        <v>1</v>
      </c>
      <c r="H5429" s="112">
        <v>1</v>
      </c>
      <c r="I5429" s="112">
        <v>1</v>
      </c>
    </row>
    <row r="5430" spans="1:15" x14ac:dyDescent="0.2">
      <c r="A5430" s="111">
        <v>5567</v>
      </c>
      <c r="B5430" s="421" t="s">
        <v>10089</v>
      </c>
      <c r="C5430" s="421" t="s">
        <v>506</v>
      </c>
      <c r="D5430" s="422" t="s">
        <v>666</v>
      </c>
      <c r="E5430" s="111">
        <v>17134</v>
      </c>
      <c r="F5430" s="421" t="s">
        <v>10090</v>
      </c>
      <c r="G5430" s="112">
        <v>2</v>
      </c>
      <c r="H5430" s="112">
        <v>2</v>
      </c>
      <c r="I5430" s="112">
        <v>1</v>
      </c>
      <c r="J5430" s="112">
        <v>1</v>
      </c>
      <c r="K5430" s="112">
        <v>1</v>
      </c>
      <c r="L5430" s="112">
        <v>2</v>
      </c>
    </row>
    <row r="5431" spans="1:15" x14ac:dyDescent="0.2">
      <c r="A5431" s="111">
        <v>5568</v>
      </c>
      <c r="B5431" s="421" t="s">
        <v>2008</v>
      </c>
      <c r="C5431" s="421" t="s">
        <v>1915</v>
      </c>
      <c r="D5431" s="422" t="s">
        <v>666</v>
      </c>
      <c r="F5431" s="421" t="s">
        <v>6231</v>
      </c>
    </row>
    <row r="5432" spans="1:15" x14ac:dyDescent="0.2">
      <c r="A5432" s="111">
        <v>5569</v>
      </c>
      <c r="B5432" s="421" t="s">
        <v>249</v>
      </c>
      <c r="C5432" s="421" t="s">
        <v>534</v>
      </c>
      <c r="D5432" s="422" t="s">
        <v>666</v>
      </c>
      <c r="E5432" s="111">
        <v>14444</v>
      </c>
      <c r="F5432" s="421" t="s">
        <v>1482</v>
      </c>
      <c r="G5432" s="112">
        <v>2</v>
      </c>
      <c r="H5432" s="112">
        <v>2</v>
      </c>
      <c r="I5432" s="112">
        <v>1</v>
      </c>
      <c r="J5432" s="112">
        <v>7</v>
      </c>
      <c r="K5432" s="112">
        <v>6</v>
      </c>
      <c r="L5432" s="112">
        <v>7</v>
      </c>
      <c r="M5432" s="112">
        <v>15</v>
      </c>
      <c r="N5432" s="112">
        <v>10</v>
      </c>
      <c r="O5432" s="112">
        <v>11</v>
      </c>
    </row>
    <row r="5433" spans="1:15" x14ac:dyDescent="0.2">
      <c r="A5433" s="111">
        <v>5570</v>
      </c>
      <c r="B5433" s="421" t="s">
        <v>6788</v>
      </c>
      <c r="C5433" s="421" t="s">
        <v>2114</v>
      </c>
      <c r="D5433" s="422" t="s">
        <v>666</v>
      </c>
      <c r="E5433" s="111">
        <v>14529</v>
      </c>
      <c r="F5433" s="421" t="s">
        <v>1611</v>
      </c>
      <c r="G5433" s="112">
        <v>2</v>
      </c>
      <c r="H5433" s="112">
        <v>1</v>
      </c>
      <c r="I5433" s="112">
        <v>2</v>
      </c>
      <c r="J5433" s="112">
        <v>1</v>
      </c>
      <c r="K5433" s="112">
        <v>1</v>
      </c>
      <c r="L5433" s="112">
        <v>3</v>
      </c>
    </row>
    <row r="5434" spans="1:15" x14ac:dyDescent="0.2">
      <c r="A5434" s="111">
        <v>5571</v>
      </c>
      <c r="B5434" s="421" t="s">
        <v>632</v>
      </c>
      <c r="C5434" s="421" t="s">
        <v>516</v>
      </c>
      <c r="D5434" s="422" t="s">
        <v>666</v>
      </c>
      <c r="E5434" s="111">
        <v>17135</v>
      </c>
      <c r="F5434" s="421" t="s">
        <v>10091</v>
      </c>
      <c r="G5434" s="112">
        <v>1</v>
      </c>
      <c r="H5434" s="112">
        <v>1</v>
      </c>
      <c r="I5434" s="112">
        <v>1</v>
      </c>
      <c r="L5434" s="112">
        <v>1</v>
      </c>
    </row>
    <row r="5435" spans="1:15" x14ac:dyDescent="0.2">
      <c r="A5435" s="111">
        <v>5572</v>
      </c>
      <c r="B5435" s="421" t="s">
        <v>10092</v>
      </c>
      <c r="C5435" s="421" t="s">
        <v>518</v>
      </c>
      <c r="D5435" s="422" t="s">
        <v>666</v>
      </c>
      <c r="E5435" s="111">
        <v>17159</v>
      </c>
      <c r="F5435" s="421" t="s">
        <v>10093</v>
      </c>
      <c r="G5435" s="112">
        <v>1</v>
      </c>
      <c r="H5435" s="112">
        <v>1</v>
      </c>
      <c r="I5435" s="112">
        <v>1</v>
      </c>
    </row>
    <row r="5436" spans="1:15" x14ac:dyDescent="0.2">
      <c r="A5436" s="111">
        <v>5573</v>
      </c>
      <c r="B5436" s="421" t="s">
        <v>1074</v>
      </c>
      <c r="C5436" s="421" t="s">
        <v>563</v>
      </c>
      <c r="D5436" s="422" t="s">
        <v>666</v>
      </c>
      <c r="E5436" s="111">
        <v>17136</v>
      </c>
      <c r="F5436" s="421" t="s">
        <v>10094</v>
      </c>
      <c r="G5436" s="112">
        <v>1</v>
      </c>
      <c r="H5436" s="112">
        <v>1</v>
      </c>
      <c r="I5436" s="112">
        <v>1</v>
      </c>
      <c r="K5436" s="112">
        <v>1</v>
      </c>
      <c r="L5436" s="112">
        <v>1</v>
      </c>
    </row>
    <row r="5437" spans="1:15" x14ac:dyDescent="0.2">
      <c r="A5437" s="111">
        <v>5574</v>
      </c>
      <c r="B5437" s="421" t="s">
        <v>1966</v>
      </c>
      <c r="C5437" s="421" t="s">
        <v>501</v>
      </c>
      <c r="D5437" s="422" t="s">
        <v>666</v>
      </c>
      <c r="E5437" s="111">
        <v>17138</v>
      </c>
      <c r="F5437" s="421" t="s">
        <v>10095</v>
      </c>
      <c r="G5437" s="112">
        <v>1</v>
      </c>
    </row>
    <row r="5438" spans="1:15" x14ac:dyDescent="0.2">
      <c r="A5438" s="111">
        <v>5575</v>
      </c>
      <c r="B5438" s="421" t="s">
        <v>10096</v>
      </c>
      <c r="C5438" s="421" t="s">
        <v>518</v>
      </c>
      <c r="D5438" s="422" t="s">
        <v>663</v>
      </c>
      <c r="E5438" s="111">
        <v>1480</v>
      </c>
      <c r="F5438" s="421" t="s">
        <v>692</v>
      </c>
      <c r="G5438" s="112">
        <v>1</v>
      </c>
      <c r="H5438" s="112">
        <v>1</v>
      </c>
      <c r="I5438" s="112">
        <v>1</v>
      </c>
      <c r="J5438" s="112">
        <v>1</v>
      </c>
      <c r="K5438" s="112">
        <v>1</v>
      </c>
      <c r="L5438" s="112">
        <v>1</v>
      </c>
      <c r="M5438" s="112">
        <v>2</v>
      </c>
    </row>
    <row r="5439" spans="1:15" x14ac:dyDescent="0.2">
      <c r="A5439" s="111">
        <v>5576</v>
      </c>
      <c r="B5439" s="421" t="s">
        <v>637</v>
      </c>
      <c r="C5439" s="421" t="s">
        <v>1284</v>
      </c>
      <c r="D5439" s="422" t="s">
        <v>663</v>
      </c>
      <c r="E5439" s="111">
        <v>17139</v>
      </c>
      <c r="F5439" s="421" t="s">
        <v>10097</v>
      </c>
      <c r="G5439" s="112">
        <v>1</v>
      </c>
      <c r="H5439" s="112">
        <v>1</v>
      </c>
      <c r="I5439" s="112">
        <v>1</v>
      </c>
      <c r="J5439" s="112">
        <v>6</v>
      </c>
      <c r="K5439" s="112">
        <v>5</v>
      </c>
      <c r="L5439" s="112">
        <v>7</v>
      </c>
    </row>
    <row r="5440" spans="1:15" x14ac:dyDescent="0.2">
      <c r="A5440" s="111">
        <v>5577</v>
      </c>
      <c r="B5440" s="421" t="s">
        <v>1678</v>
      </c>
      <c r="C5440" s="421" t="s">
        <v>501</v>
      </c>
      <c r="D5440" s="422" t="s">
        <v>666</v>
      </c>
      <c r="E5440" s="111">
        <v>44012</v>
      </c>
      <c r="F5440" s="421" t="s">
        <v>10098</v>
      </c>
      <c r="G5440" s="112">
        <v>1</v>
      </c>
      <c r="H5440" s="112">
        <v>1</v>
      </c>
      <c r="I5440" s="112">
        <v>1</v>
      </c>
      <c r="J5440" s="112">
        <v>4</v>
      </c>
      <c r="K5440" s="112">
        <v>4</v>
      </c>
      <c r="L5440" s="112">
        <v>4</v>
      </c>
      <c r="M5440" s="112">
        <v>1</v>
      </c>
      <c r="O5440" s="112">
        <v>1</v>
      </c>
    </row>
    <row r="5441" spans="1:15" x14ac:dyDescent="0.2">
      <c r="A5441" s="111">
        <v>5578</v>
      </c>
      <c r="B5441" s="421" t="s">
        <v>2657</v>
      </c>
      <c r="C5441" s="421" t="s">
        <v>519</v>
      </c>
      <c r="D5441" s="422" t="s">
        <v>666</v>
      </c>
      <c r="E5441" s="111">
        <v>15904</v>
      </c>
      <c r="F5441" s="421" t="s">
        <v>5699</v>
      </c>
      <c r="G5441" s="112">
        <v>1</v>
      </c>
      <c r="H5441" s="112">
        <v>1</v>
      </c>
      <c r="I5441" s="112">
        <v>1</v>
      </c>
      <c r="J5441" s="112">
        <v>1</v>
      </c>
      <c r="K5441" s="112">
        <v>3</v>
      </c>
      <c r="L5441" s="112">
        <v>1</v>
      </c>
    </row>
    <row r="5442" spans="1:15" x14ac:dyDescent="0.2">
      <c r="A5442" s="111">
        <v>5579</v>
      </c>
      <c r="B5442" s="421" t="s">
        <v>3790</v>
      </c>
      <c r="C5442" s="421" t="s">
        <v>551</v>
      </c>
      <c r="D5442" s="422" t="s">
        <v>666</v>
      </c>
      <c r="E5442" s="111">
        <v>17140</v>
      </c>
      <c r="F5442" s="421" t="s">
        <v>10099</v>
      </c>
      <c r="G5442" s="112">
        <v>1</v>
      </c>
      <c r="H5442" s="112">
        <v>1</v>
      </c>
      <c r="I5442" s="112">
        <v>1</v>
      </c>
    </row>
    <row r="5443" spans="1:15" x14ac:dyDescent="0.2">
      <c r="A5443" s="111">
        <v>5580</v>
      </c>
      <c r="B5443" s="421" t="s">
        <v>4180</v>
      </c>
      <c r="C5443" s="421" t="s">
        <v>501</v>
      </c>
      <c r="D5443" s="422" t="s">
        <v>663</v>
      </c>
      <c r="E5443" s="111">
        <v>17141</v>
      </c>
      <c r="F5443" s="421" t="s">
        <v>10100</v>
      </c>
      <c r="G5443" s="112">
        <v>1</v>
      </c>
      <c r="H5443" s="112">
        <v>1</v>
      </c>
      <c r="I5443" s="112">
        <v>1</v>
      </c>
    </row>
    <row r="5444" spans="1:15" x14ac:dyDescent="0.2">
      <c r="A5444" s="111">
        <v>5581</v>
      </c>
      <c r="B5444" s="421" t="s">
        <v>4620</v>
      </c>
      <c r="C5444" s="421" t="s">
        <v>5370</v>
      </c>
      <c r="D5444" s="422" t="s">
        <v>663</v>
      </c>
      <c r="E5444" s="111">
        <v>16721</v>
      </c>
      <c r="F5444" s="421" t="s">
        <v>8514</v>
      </c>
      <c r="G5444" s="112">
        <v>2</v>
      </c>
      <c r="H5444" s="112">
        <v>2</v>
      </c>
      <c r="I5444" s="112">
        <v>1</v>
      </c>
      <c r="J5444" s="112">
        <v>1</v>
      </c>
      <c r="K5444" s="112">
        <v>1</v>
      </c>
      <c r="L5444" s="112">
        <v>1</v>
      </c>
    </row>
    <row r="5445" spans="1:15" x14ac:dyDescent="0.2">
      <c r="A5445" s="111">
        <v>5582</v>
      </c>
      <c r="B5445" s="421" t="s">
        <v>109</v>
      </c>
      <c r="C5445" s="421" t="s">
        <v>501</v>
      </c>
      <c r="D5445" s="422" t="s">
        <v>666</v>
      </c>
      <c r="E5445" s="111">
        <v>17144</v>
      </c>
      <c r="F5445" s="421" t="s">
        <v>10101</v>
      </c>
      <c r="G5445" s="112">
        <v>1</v>
      </c>
      <c r="H5445" s="112">
        <v>1</v>
      </c>
      <c r="I5445" s="112">
        <v>1</v>
      </c>
      <c r="J5445" s="112">
        <v>3</v>
      </c>
      <c r="K5445" s="112">
        <v>3</v>
      </c>
      <c r="L5445" s="112">
        <v>2</v>
      </c>
      <c r="M5445" s="112">
        <v>4</v>
      </c>
    </row>
    <row r="5446" spans="1:15" x14ac:dyDescent="0.2">
      <c r="A5446" s="111">
        <v>5583</v>
      </c>
      <c r="B5446" s="421" t="s">
        <v>5512</v>
      </c>
      <c r="C5446" s="421" t="s">
        <v>1674</v>
      </c>
      <c r="D5446" s="422" t="s">
        <v>666</v>
      </c>
      <c r="E5446" s="111">
        <v>16144</v>
      </c>
      <c r="F5446" s="421" t="s">
        <v>6502</v>
      </c>
      <c r="G5446" s="112">
        <v>1</v>
      </c>
      <c r="H5446" s="112">
        <v>1</v>
      </c>
      <c r="I5446" s="112">
        <v>1</v>
      </c>
      <c r="K5446" s="112">
        <v>1</v>
      </c>
    </row>
    <row r="5447" spans="1:15" x14ac:dyDescent="0.2">
      <c r="A5447" s="111">
        <v>5584</v>
      </c>
      <c r="B5447" s="421" t="s">
        <v>4023</v>
      </c>
      <c r="C5447" s="421" t="s">
        <v>506</v>
      </c>
      <c r="D5447" s="422" t="s">
        <v>663</v>
      </c>
      <c r="E5447" s="111">
        <v>17145</v>
      </c>
      <c r="F5447" s="421" t="s">
        <v>10102</v>
      </c>
      <c r="G5447" s="112">
        <v>1</v>
      </c>
      <c r="H5447" s="112">
        <v>1</v>
      </c>
      <c r="I5447" s="112">
        <v>1</v>
      </c>
      <c r="J5447" s="112">
        <v>7</v>
      </c>
      <c r="K5447" s="112">
        <v>7</v>
      </c>
      <c r="L5447" s="112">
        <v>6</v>
      </c>
      <c r="M5447" s="112">
        <v>3</v>
      </c>
      <c r="N5447" s="112">
        <v>3</v>
      </c>
      <c r="O5447" s="112">
        <v>5</v>
      </c>
    </row>
    <row r="5448" spans="1:15" x14ac:dyDescent="0.2">
      <c r="A5448" s="111">
        <v>5585</v>
      </c>
      <c r="B5448" s="421" t="s">
        <v>10103</v>
      </c>
      <c r="C5448" s="421" t="s">
        <v>503</v>
      </c>
      <c r="D5448" s="422" t="s">
        <v>663</v>
      </c>
      <c r="E5448" s="111">
        <v>17146</v>
      </c>
      <c r="F5448" s="421" t="s">
        <v>10104</v>
      </c>
      <c r="G5448" s="112">
        <v>1</v>
      </c>
      <c r="H5448" s="112">
        <v>1</v>
      </c>
      <c r="I5448" s="112">
        <v>1</v>
      </c>
      <c r="J5448" s="112">
        <v>7</v>
      </c>
      <c r="K5448" s="112">
        <v>6</v>
      </c>
      <c r="L5448" s="112">
        <v>4</v>
      </c>
    </row>
    <row r="5449" spans="1:15" x14ac:dyDescent="0.2">
      <c r="A5449" s="111">
        <v>5586</v>
      </c>
      <c r="B5449" s="421" t="s">
        <v>419</v>
      </c>
      <c r="C5449" s="421" t="s">
        <v>501</v>
      </c>
      <c r="D5449" s="422" t="s">
        <v>663</v>
      </c>
      <c r="E5449" s="111">
        <v>17147</v>
      </c>
      <c r="F5449" s="421" t="s">
        <v>10105</v>
      </c>
      <c r="G5449" s="112">
        <v>1</v>
      </c>
      <c r="H5449" s="112">
        <v>1</v>
      </c>
      <c r="I5449" s="112">
        <v>2</v>
      </c>
      <c r="J5449" s="112">
        <v>7</v>
      </c>
      <c r="K5449" s="112">
        <v>7</v>
      </c>
      <c r="L5449" s="112">
        <v>7</v>
      </c>
      <c r="M5449" s="112">
        <v>8</v>
      </c>
      <c r="N5449" s="112">
        <v>8</v>
      </c>
      <c r="O5449" s="112">
        <v>9</v>
      </c>
    </row>
    <row r="5450" spans="1:15" x14ac:dyDescent="0.2">
      <c r="A5450" s="111">
        <v>5587</v>
      </c>
      <c r="B5450" s="421" t="s">
        <v>10106</v>
      </c>
      <c r="C5450" s="421" t="s">
        <v>503</v>
      </c>
      <c r="D5450" s="422" t="s">
        <v>666</v>
      </c>
      <c r="E5450" s="111">
        <v>17148</v>
      </c>
      <c r="F5450" s="421" t="s">
        <v>10107</v>
      </c>
      <c r="H5450" s="112">
        <v>1</v>
      </c>
      <c r="I5450" s="112">
        <v>1</v>
      </c>
    </row>
    <row r="5451" spans="1:15" x14ac:dyDescent="0.2">
      <c r="A5451" s="111">
        <v>5588</v>
      </c>
      <c r="B5451" s="421" t="s">
        <v>10108</v>
      </c>
      <c r="C5451" s="421" t="s">
        <v>526</v>
      </c>
      <c r="D5451" s="422" t="s">
        <v>666</v>
      </c>
      <c r="E5451" s="111">
        <v>16146</v>
      </c>
      <c r="F5451" s="421" t="s">
        <v>6507</v>
      </c>
      <c r="G5451" s="112">
        <v>1</v>
      </c>
      <c r="H5451" s="112">
        <v>2</v>
      </c>
      <c r="I5451" s="112">
        <v>1</v>
      </c>
      <c r="K5451" s="112">
        <v>1</v>
      </c>
      <c r="L5451" s="112">
        <v>1</v>
      </c>
    </row>
    <row r="5452" spans="1:15" x14ac:dyDescent="0.2">
      <c r="A5452" s="111">
        <v>5589</v>
      </c>
      <c r="B5452" s="421" t="s">
        <v>10109</v>
      </c>
      <c r="C5452" s="421" t="s">
        <v>510</v>
      </c>
      <c r="D5452" s="422" t="s">
        <v>663</v>
      </c>
      <c r="E5452" s="111">
        <v>16993</v>
      </c>
      <c r="F5452" s="421" t="s">
        <v>10110</v>
      </c>
      <c r="G5452" s="112">
        <v>2</v>
      </c>
      <c r="H5452" s="112">
        <v>2</v>
      </c>
      <c r="I5452" s="112">
        <v>1</v>
      </c>
      <c r="J5452" s="112">
        <v>1</v>
      </c>
      <c r="K5452" s="112">
        <v>1</v>
      </c>
      <c r="L5452" s="112">
        <v>3</v>
      </c>
    </row>
    <row r="5453" spans="1:15" x14ac:dyDescent="0.2">
      <c r="A5453" s="111">
        <v>5590</v>
      </c>
      <c r="B5453" s="421" t="s">
        <v>2809</v>
      </c>
      <c r="C5453" s="421" t="s">
        <v>518</v>
      </c>
      <c r="D5453" s="422" t="s">
        <v>666</v>
      </c>
      <c r="E5453" s="111">
        <v>14242</v>
      </c>
      <c r="F5453" s="421" t="s">
        <v>994</v>
      </c>
      <c r="G5453" s="112">
        <v>1</v>
      </c>
      <c r="H5453" s="112">
        <v>1</v>
      </c>
      <c r="I5453" s="112">
        <v>1</v>
      </c>
      <c r="J5453" s="112">
        <v>2</v>
      </c>
      <c r="K5453" s="112">
        <v>1</v>
      </c>
    </row>
    <row r="5454" spans="1:15" x14ac:dyDescent="0.2">
      <c r="A5454" s="111">
        <v>5591</v>
      </c>
      <c r="B5454" s="421" t="s">
        <v>109</v>
      </c>
      <c r="C5454" s="421" t="s">
        <v>501</v>
      </c>
      <c r="D5454" s="422" t="s">
        <v>666</v>
      </c>
      <c r="E5454" s="111">
        <v>17150</v>
      </c>
      <c r="F5454" s="421" t="s">
        <v>10111</v>
      </c>
      <c r="G5454" s="112">
        <v>1</v>
      </c>
      <c r="H5454" s="112">
        <v>1</v>
      </c>
      <c r="I5454" s="112">
        <v>1</v>
      </c>
      <c r="K5454" s="112">
        <v>1</v>
      </c>
    </row>
    <row r="5455" spans="1:15" x14ac:dyDescent="0.2">
      <c r="A5455" s="111">
        <v>5592</v>
      </c>
      <c r="B5455" s="421" t="s">
        <v>4194</v>
      </c>
      <c r="C5455" s="421" t="s">
        <v>551</v>
      </c>
      <c r="D5455" s="422" t="s">
        <v>663</v>
      </c>
      <c r="E5455" s="111">
        <v>17151</v>
      </c>
      <c r="F5455" s="421" t="s">
        <v>10112</v>
      </c>
      <c r="G5455" s="112">
        <v>1</v>
      </c>
      <c r="H5455" s="112">
        <v>1</v>
      </c>
      <c r="I5455" s="112">
        <v>1</v>
      </c>
      <c r="J5455" s="112">
        <v>6</v>
      </c>
      <c r="K5455" s="112">
        <v>1</v>
      </c>
      <c r="L5455" s="112">
        <v>2</v>
      </c>
      <c r="M5455" s="112">
        <v>3</v>
      </c>
    </row>
    <row r="5456" spans="1:15" x14ac:dyDescent="0.2">
      <c r="A5456" s="111">
        <v>5593</v>
      </c>
      <c r="B5456" s="421" t="s">
        <v>8444</v>
      </c>
      <c r="C5456" s="421" t="s">
        <v>501</v>
      </c>
      <c r="D5456" s="422" t="s">
        <v>666</v>
      </c>
      <c r="E5456" s="111">
        <v>17137</v>
      </c>
      <c r="F5456" s="421" t="s">
        <v>10113</v>
      </c>
      <c r="G5456" s="112">
        <v>1</v>
      </c>
      <c r="H5456" s="112">
        <v>2</v>
      </c>
      <c r="I5456" s="112">
        <v>1</v>
      </c>
      <c r="J5456" s="112">
        <v>8</v>
      </c>
      <c r="K5456" s="112">
        <v>7</v>
      </c>
      <c r="L5456" s="112">
        <v>7</v>
      </c>
    </row>
    <row r="5457" spans="1:15" x14ac:dyDescent="0.2">
      <c r="A5457" s="111">
        <v>5594</v>
      </c>
      <c r="B5457" s="421" t="s">
        <v>10114</v>
      </c>
      <c r="C5457" s="421" t="s">
        <v>550</v>
      </c>
      <c r="D5457" s="422" t="s">
        <v>663</v>
      </c>
      <c r="E5457" s="111">
        <v>17153</v>
      </c>
      <c r="F5457" s="421" t="s">
        <v>10115</v>
      </c>
      <c r="G5457" s="112">
        <v>1</v>
      </c>
      <c r="H5457" s="112">
        <v>1</v>
      </c>
    </row>
    <row r="5458" spans="1:15" x14ac:dyDescent="0.2">
      <c r="A5458" s="111">
        <v>5595</v>
      </c>
      <c r="B5458" s="421" t="s">
        <v>4439</v>
      </c>
      <c r="C5458" s="421" t="s">
        <v>534</v>
      </c>
      <c r="D5458" s="422" t="s">
        <v>666</v>
      </c>
      <c r="E5458" s="111">
        <v>15898</v>
      </c>
      <c r="F5458" s="421" t="s">
        <v>5556</v>
      </c>
      <c r="G5458" s="112">
        <v>2</v>
      </c>
      <c r="H5458" s="112">
        <v>3</v>
      </c>
      <c r="I5458" s="112">
        <v>3</v>
      </c>
      <c r="J5458" s="112">
        <v>5</v>
      </c>
      <c r="K5458" s="112">
        <v>5</v>
      </c>
      <c r="L5458" s="112">
        <v>7</v>
      </c>
    </row>
    <row r="5459" spans="1:15" x14ac:dyDescent="0.2">
      <c r="A5459" s="111">
        <v>5596</v>
      </c>
      <c r="B5459" s="421" t="s">
        <v>3354</v>
      </c>
      <c r="C5459" s="421" t="s">
        <v>530</v>
      </c>
      <c r="D5459" s="422" t="s">
        <v>663</v>
      </c>
      <c r="E5459" s="111">
        <v>15577</v>
      </c>
      <c r="F5459" s="421" t="s">
        <v>4757</v>
      </c>
      <c r="G5459" s="112">
        <v>1</v>
      </c>
      <c r="H5459" s="112">
        <v>1</v>
      </c>
      <c r="I5459" s="112">
        <v>1</v>
      </c>
      <c r="J5459" s="112">
        <v>2</v>
      </c>
      <c r="K5459" s="112">
        <v>2</v>
      </c>
      <c r="L5459" s="112">
        <v>2</v>
      </c>
    </row>
    <row r="5460" spans="1:15" x14ac:dyDescent="0.2">
      <c r="A5460" s="111">
        <v>5597</v>
      </c>
      <c r="B5460" s="421" t="s">
        <v>10116</v>
      </c>
      <c r="C5460" s="421" t="s">
        <v>1500</v>
      </c>
      <c r="D5460" s="422" t="s">
        <v>666</v>
      </c>
      <c r="E5460" s="111">
        <v>15101</v>
      </c>
      <c r="F5460" s="421" t="s">
        <v>3145</v>
      </c>
      <c r="G5460" s="112">
        <v>3</v>
      </c>
      <c r="H5460" s="112">
        <v>1</v>
      </c>
      <c r="I5460" s="112">
        <v>3</v>
      </c>
      <c r="J5460" s="112">
        <v>1</v>
      </c>
      <c r="K5460" s="112">
        <v>1</v>
      </c>
      <c r="L5460" s="112">
        <v>1</v>
      </c>
    </row>
    <row r="5461" spans="1:15" x14ac:dyDescent="0.2">
      <c r="A5461" s="111">
        <v>5598</v>
      </c>
      <c r="B5461" s="421" t="s">
        <v>10117</v>
      </c>
      <c r="C5461" s="421" t="s">
        <v>509</v>
      </c>
      <c r="D5461" s="422" t="s">
        <v>663</v>
      </c>
      <c r="E5461" s="111">
        <v>15931</v>
      </c>
      <c r="F5461" s="421" t="s">
        <v>5745</v>
      </c>
      <c r="G5461" s="112">
        <v>1</v>
      </c>
      <c r="H5461" s="112">
        <v>1</v>
      </c>
      <c r="I5461" s="112">
        <v>1</v>
      </c>
      <c r="J5461" s="112">
        <v>3</v>
      </c>
      <c r="K5461" s="112">
        <v>2</v>
      </c>
      <c r="L5461" s="112">
        <v>3</v>
      </c>
      <c r="M5461" s="112">
        <v>1</v>
      </c>
    </row>
    <row r="5462" spans="1:15" x14ac:dyDescent="0.2">
      <c r="A5462" s="111">
        <v>5599</v>
      </c>
      <c r="B5462" s="421" t="s">
        <v>7392</v>
      </c>
      <c r="C5462" s="421" t="s">
        <v>501</v>
      </c>
      <c r="D5462" s="422" t="s">
        <v>663</v>
      </c>
      <c r="E5462" s="111">
        <v>17154</v>
      </c>
      <c r="F5462" s="421" t="s">
        <v>10118</v>
      </c>
      <c r="G5462" s="112">
        <v>2</v>
      </c>
      <c r="H5462" s="112">
        <v>3</v>
      </c>
      <c r="I5462" s="112">
        <v>2</v>
      </c>
      <c r="J5462" s="112">
        <v>2</v>
      </c>
      <c r="L5462" s="112">
        <v>1</v>
      </c>
    </row>
    <row r="5463" spans="1:15" x14ac:dyDescent="0.2">
      <c r="A5463" s="111">
        <v>5600</v>
      </c>
      <c r="B5463" s="421" t="s">
        <v>10119</v>
      </c>
      <c r="C5463" s="421" t="s">
        <v>591</v>
      </c>
      <c r="D5463" s="422" t="s">
        <v>666</v>
      </c>
      <c r="E5463" s="111">
        <v>17155</v>
      </c>
      <c r="F5463" s="421" t="s">
        <v>10120</v>
      </c>
      <c r="G5463" s="112">
        <v>1</v>
      </c>
      <c r="H5463" s="112">
        <v>1</v>
      </c>
      <c r="I5463" s="112">
        <v>1</v>
      </c>
    </row>
    <row r="5464" spans="1:15" x14ac:dyDescent="0.2">
      <c r="A5464" s="111">
        <v>5601</v>
      </c>
      <c r="B5464" s="421" t="s">
        <v>3014</v>
      </c>
      <c r="C5464" s="421" t="s">
        <v>556</v>
      </c>
      <c r="D5464" s="422" t="s">
        <v>663</v>
      </c>
      <c r="E5464" s="111">
        <v>16793</v>
      </c>
      <c r="F5464" s="421" t="s">
        <v>8830</v>
      </c>
      <c r="G5464" s="112">
        <v>1</v>
      </c>
      <c r="H5464" s="112">
        <v>1</v>
      </c>
      <c r="I5464" s="112">
        <v>1</v>
      </c>
    </row>
    <row r="5465" spans="1:15" x14ac:dyDescent="0.2">
      <c r="A5465" s="111">
        <v>5602</v>
      </c>
      <c r="B5465" s="421" t="s">
        <v>10147</v>
      </c>
      <c r="C5465" s="421" t="s">
        <v>551</v>
      </c>
      <c r="D5465" s="422" t="s">
        <v>663</v>
      </c>
      <c r="E5465" s="111">
        <v>44099</v>
      </c>
      <c r="F5465" s="421" t="s">
        <v>10148</v>
      </c>
      <c r="G5465" s="112">
        <v>1</v>
      </c>
      <c r="H5465" s="112">
        <v>1</v>
      </c>
      <c r="I5465" s="112">
        <v>1</v>
      </c>
      <c r="J5465" s="112">
        <v>1</v>
      </c>
      <c r="K5465" s="112">
        <v>2</v>
      </c>
      <c r="L5465" s="112">
        <v>3</v>
      </c>
    </row>
    <row r="5466" spans="1:15" x14ac:dyDescent="0.2">
      <c r="A5466" s="111">
        <v>5603</v>
      </c>
      <c r="B5466" s="421" t="s">
        <v>10149</v>
      </c>
      <c r="C5466" s="421" t="s">
        <v>565</v>
      </c>
      <c r="D5466" s="422" t="s">
        <v>663</v>
      </c>
      <c r="E5466" s="111">
        <v>17157</v>
      </c>
      <c r="F5466" s="421" t="s">
        <v>10150</v>
      </c>
    </row>
    <row r="5467" spans="1:15" x14ac:dyDescent="0.2">
      <c r="A5467" s="111">
        <v>5604</v>
      </c>
      <c r="B5467" s="421" t="s">
        <v>2153</v>
      </c>
      <c r="C5467" s="421" t="s">
        <v>516</v>
      </c>
      <c r="D5467" s="422" t="s">
        <v>666</v>
      </c>
      <c r="E5467" s="111">
        <v>17158</v>
      </c>
      <c r="F5467" s="421" t="s">
        <v>10151</v>
      </c>
      <c r="G5467" s="112">
        <v>1</v>
      </c>
      <c r="H5467" s="112">
        <v>1</v>
      </c>
      <c r="I5467" s="112">
        <v>1</v>
      </c>
      <c r="J5467" s="112">
        <v>3</v>
      </c>
      <c r="K5467" s="112">
        <v>2</v>
      </c>
      <c r="L5467" s="112">
        <v>3</v>
      </c>
      <c r="M5467" s="112">
        <v>3</v>
      </c>
      <c r="N5467" s="112">
        <v>1</v>
      </c>
      <c r="O5467" s="112">
        <v>2</v>
      </c>
    </row>
    <row r="5468" spans="1:15" x14ac:dyDescent="0.2">
      <c r="A5468" s="111">
        <v>5605</v>
      </c>
      <c r="B5468" s="421" t="s">
        <v>10152</v>
      </c>
      <c r="C5468" s="421" t="s">
        <v>503</v>
      </c>
      <c r="D5468" s="422" t="s">
        <v>663</v>
      </c>
      <c r="E5468" s="111">
        <v>15914</v>
      </c>
      <c r="F5468" s="421" t="s">
        <v>5709</v>
      </c>
      <c r="G5468" s="112">
        <v>3</v>
      </c>
      <c r="H5468" s="112">
        <v>3</v>
      </c>
      <c r="I5468" s="112">
        <v>1</v>
      </c>
      <c r="J5468" s="112">
        <v>2</v>
      </c>
      <c r="K5468" s="112">
        <v>2</v>
      </c>
      <c r="L5468" s="112">
        <v>1</v>
      </c>
    </row>
    <row r="5469" spans="1:15" x14ac:dyDescent="0.2">
      <c r="A5469" s="111">
        <v>5606</v>
      </c>
      <c r="B5469" s="421" t="s">
        <v>257</v>
      </c>
      <c r="C5469" s="421" t="s">
        <v>503</v>
      </c>
      <c r="D5469" s="422" t="s">
        <v>663</v>
      </c>
      <c r="E5469" s="111">
        <v>44217</v>
      </c>
      <c r="F5469" s="421" t="s">
        <v>10145</v>
      </c>
      <c r="G5469" s="112">
        <v>1</v>
      </c>
      <c r="H5469" s="112">
        <v>1</v>
      </c>
      <c r="I5469" s="112">
        <v>1</v>
      </c>
      <c r="J5469" s="112">
        <v>1</v>
      </c>
      <c r="K5469" s="112">
        <v>1</v>
      </c>
    </row>
    <row r="5470" spans="1:15" x14ac:dyDescent="0.2">
      <c r="A5470" s="111">
        <v>5607</v>
      </c>
      <c r="B5470" s="421" t="s">
        <v>1254</v>
      </c>
      <c r="C5470" s="421" t="s">
        <v>506</v>
      </c>
      <c r="D5470" s="422" t="s">
        <v>663</v>
      </c>
      <c r="E5470" s="111">
        <v>44237</v>
      </c>
      <c r="F5470" s="421" t="s">
        <v>10146</v>
      </c>
      <c r="G5470" s="112">
        <v>2</v>
      </c>
      <c r="H5470" s="112">
        <v>1</v>
      </c>
      <c r="I5470" s="112">
        <v>2</v>
      </c>
    </row>
    <row r="5471" spans="1:15" x14ac:dyDescent="0.2">
      <c r="A5471" s="111">
        <v>5608</v>
      </c>
      <c r="B5471" s="421" t="s">
        <v>2927</v>
      </c>
      <c r="C5471" s="421" t="s">
        <v>509</v>
      </c>
      <c r="D5471" s="422" t="s">
        <v>663</v>
      </c>
      <c r="E5471" s="111">
        <v>17170</v>
      </c>
      <c r="F5471" s="421" t="s">
        <v>10153</v>
      </c>
      <c r="I5471" s="112">
        <v>1</v>
      </c>
    </row>
    <row r="5472" spans="1:15" x14ac:dyDescent="0.2">
      <c r="A5472" s="111">
        <v>5609</v>
      </c>
      <c r="B5472" s="421" t="s">
        <v>455</v>
      </c>
      <c r="C5472" s="421" t="s">
        <v>588</v>
      </c>
      <c r="D5472" s="422" t="s">
        <v>663</v>
      </c>
      <c r="E5472" s="111">
        <v>17160</v>
      </c>
      <c r="F5472" s="421" t="s">
        <v>10154</v>
      </c>
      <c r="G5472" s="112">
        <v>1</v>
      </c>
      <c r="H5472" s="112">
        <v>1</v>
      </c>
      <c r="I5472" s="112">
        <v>1</v>
      </c>
      <c r="J5472" s="112">
        <v>5</v>
      </c>
      <c r="K5472" s="112">
        <v>5</v>
      </c>
      <c r="L5472" s="112">
        <v>5</v>
      </c>
      <c r="M5472" s="112">
        <v>3</v>
      </c>
      <c r="N5472" s="112">
        <v>2</v>
      </c>
      <c r="O5472" s="112">
        <v>3</v>
      </c>
    </row>
    <row r="5473" spans="1:15" x14ac:dyDescent="0.2">
      <c r="A5473" s="111">
        <v>5610</v>
      </c>
      <c r="B5473" s="421" t="s">
        <v>5713</v>
      </c>
      <c r="C5473" s="421" t="s">
        <v>1817</v>
      </c>
      <c r="D5473" s="422" t="s">
        <v>666</v>
      </c>
      <c r="E5473" s="111">
        <v>17161</v>
      </c>
      <c r="F5473" s="421" t="s">
        <v>10155</v>
      </c>
      <c r="G5473" s="112">
        <v>1</v>
      </c>
      <c r="H5473" s="112">
        <v>1</v>
      </c>
      <c r="I5473" s="112">
        <v>1</v>
      </c>
      <c r="J5473" s="112">
        <v>5</v>
      </c>
      <c r="K5473" s="112">
        <v>5</v>
      </c>
      <c r="L5473" s="112">
        <v>2</v>
      </c>
      <c r="O5473" s="112">
        <v>1</v>
      </c>
    </row>
    <row r="5474" spans="1:15" x14ac:dyDescent="0.2">
      <c r="A5474" s="111">
        <v>5611</v>
      </c>
      <c r="B5474" s="421" t="s">
        <v>10156</v>
      </c>
      <c r="C5474" s="421" t="s">
        <v>501</v>
      </c>
      <c r="D5474" s="422" t="s">
        <v>666</v>
      </c>
      <c r="E5474" s="111">
        <v>17162</v>
      </c>
      <c r="F5474" s="421" t="s">
        <v>10157</v>
      </c>
      <c r="G5474" s="112">
        <v>1</v>
      </c>
      <c r="H5474" s="112">
        <v>1</v>
      </c>
      <c r="I5474" s="112">
        <v>1</v>
      </c>
      <c r="J5474" s="112">
        <v>2</v>
      </c>
      <c r="K5474" s="112">
        <v>1</v>
      </c>
      <c r="L5474" s="112">
        <v>2</v>
      </c>
    </row>
    <row r="5475" spans="1:15" x14ac:dyDescent="0.2">
      <c r="A5475" s="111">
        <v>5612</v>
      </c>
      <c r="B5475" s="421" t="s">
        <v>10158</v>
      </c>
      <c r="C5475" s="421" t="s">
        <v>521</v>
      </c>
      <c r="D5475" s="422" t="s">
        <v>666</v>
      </c>
      <c r="E5475" s="111">
        <v>17164</v>
      </c>
      <c r="F5475" s="421" t="s">
        <v>10159</v>
      </c>
    </row>
    <row r="5476" spans="1:15" x14ac:dyDescent="0.2">
      <c r="A5476" s="111">
        <v>5613</v>
      </c>
      <c r="B5476" s="421" t="s">
        <v>7213</v>
      </c>
      <c r="C5476" s="421" t="s">
        <v>506</v>
      </c>
      <c r="D5476" s="422" t="s">
        <v>663</v>
      </c>
      <c r="E5476" s="111">
        <v>17165</v>
      </c>
      <c r="F5476" s="421" t="s">
        <v>10160</v>
      </c>
      <c r="G5476" s="112">
        <v>1</v>
      </c>
      <c r="H5476" s="112">
        <v>2</v>
      </c>
      <c r="I5476" s="112">
        <v>1</v>
      </c>
      <c r="J5476" s="112">
        <v>2</v>
      </c>
      <c r="K5476" s="112">
        <v>1</v>
      </c>
      <c r="L5476" s="112">
        <v>2</v>
      </c>
      <c r="M5476" s="112">
        <v>1</v>
      </c>
      <c r="N5476" s="112">
        <v>2</v>
      </c>
      <c r="O5476" s="112">
        <v>1</v>
      </c>
    </row>
    <row r="5477" spans="1:15" x14ac:dyDescent="0.2">
      <c r="A5477" s="111">
        <v>5614</v>
      </c>
      <c r="B5477" s="421" t="s">
        <v>60</v>
      </c>
      <c r="C5477" s="421" t="s">
        <v>537</v>
      </c>
      <c r="D5477" s="422" t="s">
        <v>666</v>
      </c>
      <c r="E5477" s="111">
        <v>17166</v>
      </c>
      <c r="F5477" s="421" t="s">
        <v>5911</v>
      </c>
      <c r="G5477" s="112">
        <v>2</v>
      </c>
      <c r="H5477" s="112">
        <v>2</v>
      </c>
      <c r="I5477" s="112">
        <v>1</v>
      </c>
      <c r="J5477" s="112">
        <v>3</v>
      </c>
      <c r="K5477" s="112">
        <v>4</v>
      </c>
      <c r="L5477" s="112">
        <v>2</v>
      </c>
    </row>
    <row r="5478" spans="1:15" x14ac:dyDescent="0.2">
      <c r="A5478" s="111">
        <v>5615</v>
      </c>
      <c r="B5478" s="421" t="s">
        <v>1316</v>
      </c>
      <c r="C5478" s="421" t="s">
        <v>516</v>
      </c>
      <c r="D5478" s="422" t="s">
        <v>666</v>
      </c>
      <c r="E5478" s="111">
        <v>17167</v>
      </c>
      <c r="F5478" s="421" t="s">
        <v>10161</v>
      </c>
      <c r="G5478" s="112">
        <v>1</v>
      </c>
      <c r="H5478" s="112">
        <v>1</v>
      </c>
      <c r="I5478" s="112">
        <v>2</v>
      </c>
    </row>
    <row r="5479" spans="1:15" x14ac:dyDescent="0.2">
      <c r="A5479" s="111">
        <v>5616</v>
      </c>
      <c r="B5479" s="421" t="s">
        <v>10162</v>
      </c>
      <c r="C5479" s="421" t="s">
        <v>506</v>
      </c>
      <c r="D5479" s="422" t="s">
        <v>663</v>
      </c>
      <c r="E5479" s="111">
        <v>17168</v>
      </c>
      <c r="F5479" s="421" t="s">
        <v>10163</v>
      </c>
      <c r="G5479" s="112">
        <v>1</v>
      </c>
      <c r="H5479" s="112">
        <v>1</v>
      </c>
      <c r="I5479" s="112">
        <v>1</v>
      </c>
      <c r="J5479" s="112">
        <v>2</v>
      </c>
      <c r="K5479" s="112">
        <v>3</v>
      </c>
      <c r="L5479" s="112">
        <v>3</v>
      </c>
      <c r="M5479" s="112">
        <v>1</v>
      </c>
      <c r="O5479" s="112">
        <v>1</v>
      </c>
    </row>
    <row r="5480" spans="1:15" x14ac:dyDescent="0.2">
      <c r="A5480" s="111">
        <v>5617</v>
      </c>
      <c r="B5480" s="421" t="s">
        <v>9470</v>
      </c>
      <c r="C5480" s="421" t="s">
        <v>569</v>
      </c>
      <c r="D5480" s="422" t="s">
        <v>663</v>
      </c>
      <c r="E5480" s="111">
        <v>17169</v>
      </c>
      <c r="F5480" s="421" t="s">
        <v>10164</v>
      </c>
      <c r="G5480" s="112">
        <v>1</v>
      </c>
      <c r="I5480" s="112">
        <v>1</v>
      </c>
    </row>
    <row r="5481" spans="1:15" x14ac:dyDescent="0.2">
      <c r="A5481" s="111">
        <v>5618</v>
      </c>
      <c r="B5481" s="421" t="s">
        <v>10165</v>
      </c>
      <c r="C5481" s="421" t="s">
        <v>532</v>
      </c>
      <c r="D5481" s="422" t="s">
        <v>666</v>
      </c>
      <c r="E5481" s="111">
        <v>16611</v>
      </c>
      <c r="F5481" s="421" t="s">
        <v>8050</v>
      </c>
      <c r="G5481" s="112">
        <v>1</v>
      </c>
      <c r="H5481" s="112">
        <v>1</v>
      </c>
      <c r="I5481" s="112">
        <v>1</v>
      </c>
      <c r="J5481" s="112">
        <v>10</v>
      </c>
      <c r="K5481" s="112">
        <v>10</v>
      </c>
      <c r="L5481" s="112">
        <v>10</v>
      </c>
      <c r="M5481" s="112">
        <v>10</v>
      </c>
      <c r="N5481" s="112">
        <v>4</v>
      </c>
      <c r="O5481" s="112">
        <v>11</v>
      </c>
    </row>
    <row r="5482" spans="1:15" x14ac:dyDescent="0.2">
      <c r="A5482" s="111">
        <v>5619</v>
      </c>
      <c r="B5482" s="421" t="s">
        <v>288</v>
      </c>
      <c r="C5482" s="421" t="s">
        <v>503</v>
      </c>
      <c r="D5482" s="422" t="s">
        <v>666</v>
      </c>
      <c r="E5482" s="111">
        <v>44340</v>
      </c>
      <c r="F5482" s="421" t="s">
        <v>10166</v>
      </c>
      <c r="G5482" s="112">
        <v>1</v>
      </c>
      <c r="H5482" s="112">
        <v>1</v>
      </c>
      <c r="I5482" s="112">
        <v>1</v>
      </c>
      <c r="J5482" s="112">
        <v>1</v>
      </c>
      <c r="K5482" s="112">
        <v>2</v>
      </c>
      <c r="L5482" s="112">
        <v>1</v>
      </c>
    </row>
    <row r="5483" spans="1:15" x14ac:dyDescent="0.2">
      <c r="A5483" s="111">
        <v>5620</v>
      </c>
      <c r="B5483" s="421" t="s">
        <v>10167</v>
      </c>
      <c r="C5483" s="421" t="s">
        <v>510</v>
      </c>
      <c r="D5483" s="422" t="s">
        <v>663</v>
      </c>
      <c r="E5483" s="111">
        <v>44340</v>
      </c>
      <c r="F5483" s="421" t="s">
        <v>10166</v>
      </c>
      <c r="G5483" s="112">
        <v>1</v>
      </c>
      <c r="H5483" s="112">
        <v>1</v>
      </c>
      <c r="I5483" s="112">
        <v>1</v>
      </c>
      <c r="J5483" s="112">
        <v>1</v>
      </c>
      <c r="K5483" s="112">
        <v>1</v>
      </c>
      <c r="L5483" s="112">
        <v>2</v>
      </c>
    </row>
    <row r="5484" spans="1:15" x14ac:dyDescent="0.2">
      <c r="A5484" s="111">
        <v>5621</v>
      </c>
      <c r="B5484" s="421" t="s">
        <v>208</v>
      </c>
      <c r="C5484" s="421" t="s">
        <v>517</v>
      </c>
      <c r="D5484" s="422" t="s">
        <v>663</v>
      </c>
      <c r="E5484" s="111">
        <v>15208</v>
      </c>
      <c r="F5484" s="421" t="s">
        <v>3418</v>
      </c>
    </row>
    <row r="5485" spans="1:15" x14ac:dyDescent="0.2">
      <c r="A5485" s="111">
        <v>5622</v>
      </c>
      <c r="B5485" s="421" t="s">
        <v>10168</v>
      </c>
      <c r="C5485" s="421" t="s">
        <v>558</v>
      </c>
      <c r="D5485" s="422" t="s">
        <v>663</v>
      </c>
      <c r="E5485" s="111">
        <v>14348</v>
      </c>
      <c r="F5485" s="421" t="s">
        <v>1110</v>
      </c>
      <c r="G5485" s="112">
        <v>2</v>
      </c>
      <c r="H5485" s="112">
        <v>1</v>
      </c>
      <c r="I5485" s="112">
        <v>1</v>
      </c>
      <c r="J5485" s="112">
        <v>1</v>
      </c>
      <c r="K5485" s="112">
        <v>1</v>
      </c>
    </row>
    <row r="5486" spans="1:15" x14ac:dyDescent="0.2">
      <c r="A5486" s="111">
        <v>5623</v>
      </c>
      <c r="B5486" s="421" t="s">
        <v>5516</v>
      </c>
      <c r="C5486" s="421" t="s">
        <v>517</v>
      </c>
      <c r="D5486" s="422" t="s">
        <v>663</v>
      </c>
      <c r="E5486" s="111">
        <v>15006</v>
      </c>
      <c r="F5486" s="421" t="s">
        <v>922</v>
      </c>
      <c r="G5486" s="112">
        <v>3</v>
      </c>
      <c r="H5486" s="112">
        <v>3</v>
      </c>
      <c r="I5486" s="112">
        <v>2</v>
      </c>
      <c r="J5486" s="112">
        <v>3</v>
      </c>
      <c r="K5486" s="112">
        <v>3</v>
      </c>
      <c r="L5486" s="112">
        <v>4</v>
      </c>
    </row>
    <row r="5487" spans="1:15" x14ac:dyDescent="0.2">
      <c r="A5487" s="111">
        <v>5624</v>
      </c>
      <c r="B5487" s="421" t="s">
        <v>1254</v>
      </c>
      <c r="C5487" s="421" t="s">
        <v>533</v>
      </c>
      <c r="D5487" s="422" t="s">
        <v>663</v>
      </c>
      <c r="E5487" s="111">
        <v>16158</v>
      </c>
      <c r="F5487" s="421" t="s">
        <v>6488</v>
      </c>
      <c r="G5487" s="112">
        <v>2</v>
      </c>
      <c r="H5487" s="112">
        <v>2</v>
      </c>
      <c r="I5487" s="112">
        <v>1</v>
      </c>
      <c r="J5487" s="112">
        <v>3</v>
      </c>
      <c r="K5487" s="112">
        <v>3</v>
      </c>
      <c r="L5487" s="112">
        <v>4</v>
      </c>
    </row>
    <row r="5488" spans="1:15" x14ac:dyDescent="0.2">
      <c r="A5488" s="111">
        <v>5625</v>
      </c>
      <c r="B5488" s="421" t="s">
        <v>10169</v>
      </c>
      <c r="C5488" s="421" t="s">
        <v>517</v>
      </c>
      <c r="D5488" s="422" t="s">
        <v>663</v>
      </c>
      <c r="E5488" s="111">
        <v>16332</v>
      </c>
      <c r="F5488" s="421" t="s">
        <v>7163</v>
      </c>
      <c r="G5488" s="112">
        <v>2</v>
      </c>
      <c r="H5488" s="112">
        <v>2</v>
      </c>
      <c r="I5488" s="112">
        <v>2</v>
      </c>
      <c r="J5488" s="112">
        <v>3</v>
      </c>
      <c r="K5488" s="112">
        <v>3</v>
      </c>
      <c r="L5488" s="112">
        <v>3</v>
      </c>
      <c r="M5488" s="112">
        <v>3</v>
      </c>
      <c r="N5488" s="112">
        <v>1</v>
      </c>
      <c r="O5488" s="112">
        <v>4</v>
      </c>
    </row>
    <row r="5489" spans="1:15" x14ac:dyDescent="0.2">
      <c r="A5489" s="111">
        <v>5626</v>
      </c>
      <c r="B5489" s="421" t="s">
        <v>10170</v>
      </c>
      <c r="C5489" s="421" t="s">
        <v>523</v>
      </c>
      <c r="D5489" s="422" t="s">
        <v>663</v>
      </c>
      <c r="E5489" s="111">
        <v>14574</v>
      </c>
      <c r="F5489" s="421" t="s">
        <v>2214</v>
      </c>
      <c r="G5489" s="112">
        <v>1</v>
      </c>
      <c r="H5489" s="112">
        <v>4</v>
      </c>
      <c r="I5489" s="112">
        <v>3</v>
      </c>
      <c r="J5489" s="112">
        <v>8</v>
      </c>
      <c r="K5489" s="112">
        <v>7</v>
      </c>
      <c r="L5489" s="112">
        <v>8</v>
      </c>
      <c r="M5489" s="112">
        <v>4</v>
      </c>
      <c r="N5489" s="112">
        <v>4</v>
      </c>
      <c r="O5489" s="112">
        <v>5</v>
      </c>
    </row>
    <row r="5490" spans="1:15" x14ac:dyDescent="0.2">
      <c r="A5490" s="111">
        <v>5627</v>
      </c>
      <c r="B5490" s="421" t="s">
        <v>1377</v>
      </c>
      <c r="C5490" s="421" t="s">
        <v>502</v>
      </c>
      <c r="D5490" s="422" t="s">
        <v>666</v>
      </c>
      <c r="F5490" s="421" t="s">
        <v>10171</v>
      </c>
    </row>
    <row r="5491" spans="1:15" x14ac:dyDescent="0.2">
      <c r="A5491" s="111">
        <v>5628</v>
      </c>
      <c r="B5491" s="421" t="s">
        <v>4439</v>
      </c>
      <c r="C5491" s="421" t="s">
        <v>514</v>
      </c>
      <c r="D5491" s="422" t="s">
        <v>663</v>
      </c>
      <c r="E5491" s="111">
        <v>17175</v>
      </c>
      <c r="F5491" s="421" t="s">
        <v>10172</v>
      </c>
    </row>
    <row r="5492" spans="1:15" x14ac:dyDescent="0.2">
      <c r="A5492" s="111">
        <v>5629</v>
      </c>
      <c r="B5492" s="421" t="s">
        <v>1630</v>
      </c>
      <c r="C5492" s="421" t="s">
        <v>501</v>
      </c>
      <c r="D5492" s="422" t="s">
        <v>663</v>
      </c>
      <c r="E5492" s="111">
        <v>17179</v>
      </c>
      <c r="F5492" s="421" t="s">
        <v>10173</v>
      </c>
      <c r="G5492" s="112">
        <v>1</v>
      </c>
      <c r="H5492" s="112">
        <v>1</v>
      </c>
      <c r="I5492" s="112">
        <v>1</v>
      </c>
      <c r="J5492" s="112">
        <v>2</v>
      </c>
      <c r="K5492" s="112">
        <v>1</v>
      </c>
      <c r="L5492" s="112">
        <v>1</v>
      </c>
    </row>
    <row r="5493" spans="1:15" x14ac:dyDescent="0.2">
      <c r="A5493" s="111">
        <v>5630</v>
      </c>
      <c r="B5493" s="421" t="s">
        <v>1423</v>
      </c>
      <c r="C5493" s="421" t="s">
        <v>501</v>
      </c>
      <c r="D5493" s="422" t="s">
        <v>663</v>
      </c>
      <c r="E5493" s="111">
        <v>17179</v>
      </c>
      <c r="F5493" s="421" t="s">
        <v>10173</v>
      </c>
      <c r="G5493" s="112">
        <v>2</v>
      </c>
      <c r="H5493" s="112">
        <v>1</v>
      </c>
      <c r="I5493" s="112">
        <v>2</v>
      </c>
      <c r="J5493" s="112">
        <v>1</v>
      </c>
      <c r="K5493" s="112">
        <v>2</v>
      </c>
      <c r="L5493" s="112">
        <v>1</v>
      </c>
    </row>
    <row r="5494" spans="1:15" x14ac:dyDescent="0.2">
      <c r="A5494" s="111">
        <v>5631</v>
      </c>
      <c r="B5494" s="421" t="s">
        <v>9382</v>
      </c>
      <c r="C5494" s="421" t="s">
        <v>526</v>
      </c>
      <c r="D5494" s="422" t="s">
        <v>663</v>
      </c>
      <c r="E5494" s="111">
        <v>17172</v>
      </c>
      <c r="F5494" s="421" t="s">
        <v>10174</v>
      </c>
      <c r="G5494" s="112">
        <v>1</v>
      </c>
      <c r="H5494" s="112">
        <v>1</v>
      </c>
      <c r="I5494" s="112">
        <v>1</v>
      </c>
      <c r="J5494" s="112">
        <v>1</v>
      </c>
      <c r="K5494" s="112">
        <v>1</v>
      </c>
    </row>
    <row r="5495" spans="1:15" x14ac:dyDescent="0.2">
      <c r="A5495" s="111">
        <v>5632</v>
      </c>
      <c r="B5495" s="421" t="s">
        <v>316</v>
      </c>
      <c r="C5495" s="421" t="s">
        <v>533</v>
      </c>
      <c r="D5495" s="422" t="s">
        <v>666</v>
      </c>
      <c r="E5495" s="111">
        <v>17173</v>
      </c>
      <c r="F5495" s="421" t="s">
        <v>10175</v>
      </c>
      <c r="G5495" s="112">
        <v>1</v>
      </c>
      <c r="H5495" s="112">
        <v>1</v>
      </c>
      <c r="I5495" s="112">
        <v>1</v>
      </c>
      <c r="L5495" s="112">
        <v>1</v>
      </c>
    </row>
    <row r="5496" spans="1:15" x14ac:dyDescent="0.2">
      <c r="A5496" s="111">
        <v>5633</v>
      </c>
      <c r="B5496" s="421" t="s">
        <v>1434</v>
      </c>
      <c r="C5496" s="421" t="s">
        <v>1994</v>
      </c>
      <c r="D5496" s="422" t="s">
        <v>666</v>
      </c>
      <c r="E5496" s="111">
        <v>17252</v>
      </c>
      <c r="F5496" s="421" t="s">
        <v>10176</v>
      </c>
      <c r="G5496" s="112">
        <v>1</v>
      </c>
      <c r="H5496" s="112">
        <v>1</v>
      </c>
      <c r="I5496" s="112">
        <v>2</v>
      </c>
    </row>
    <row r="5497" spans="1:15" x14ac:dyDescent="0.2">
      <c r="A5497" s="111">
        <v>5634</v>
      </c>
      <c r="B5497" s="421" t="s">
        <v>10177</v>
      </c>
      <c r="C5497" s="421" t="s">
        <v>547</v>
      </c>
      <c r="D5497" s="422" t="s">
        <v>663</v>
      </c>
      <c r="E5497" s="111">
        <v>16090</v>
      </c>
      <c r="F5497" s="421" t="s">
        <v>6045</v>
      </c>
      <c r="G5497" s="112">
        <v>1</v>
      </c>
      <c r="H5497" s="112">
        <v>1</v>
      </c>
      <c r="I5497" s="112">
        <v>1</v>
      </c>
      <c r="J5497" s="112">
        <v>1</v>
      </c>
      <c r="K5497" s="112">
        <v>1</v>
      </c>
      <c r="L5497" s="112">
        <v>1</v>
      </c>
    </row>
    <row r="5498" spans="1:15" x14ac:dyDescent="0.2">
      <c r="A5498" s="111">
        <v>5635</v>
      </c>
      <c r="B5498" s="421" t="s">
        <v>10178</v>
      </c>
      <c r="C5498" s="421" t="s">
        <v>547</v>
      </c>
      <c r="D5498" s="422" t="s">
        <v>666</v>
      </c>
      <c r="E5498" s="111">
        <v>16090</v>
      </c>
      <c r="F5498" s="421" t="s">
        <v>6045</v>
      </c>
      <c r="G5498" s="112">
        <v>1</v>
      </c>
      <c r="H5498" s="112">
        <v>1</v>
      </c>
      <c r="I5498" s="112">
        <v>1</v>
      </c>
      <c r="J5498" s="112">
        <v>2</v>
      </c>
      <c r="K5498" s="112">
        <v>1</v>
      </c>
      <c r="L5498" s="112">
        <v>1</v>
      </c>
    </row>
    <row r="5499" spans="1:15" x14ac:dyDescent="0.2">
      <c r="A5499" s="111">
        <v>5636</v>
      </c>
      <c r="B5499" s="421" t="s">
        <v>1232</v>
      </c>
      <c r="C5499" s="421" t="s">
        <v>516</v>
      </c>
      <c r="D5499" s="422" t="s">
        <v>663</v>
      </c>
      <c r="E5499" s="111">
        <v>17176</v>
      </c>
      <c r="F5499" s="421" t="s">
        <v>10179</v>
      </c>
      <c r="G5499" s="112">
        <v>2</v>
      </c>
      <c r="H5499" s="112">
        <v>1</v>
      </c>
      <c r="I5499" s="112">
        <v>1</v>
      </c>
      <c r="J5499" s="112">
        <v>3</v>
      </c>
      <c r="K5499" s="112">
        <v>4</v>
      </c>
      <c r="L5499" s="112">
        <v>3</v>
      </c>
    </row>
    <row r="5500" spans="1:15" x14ac:dyDescent="0.2">
      <c r="A5500" s="111">
        <v>5637</v>
      </c>
      <c r="B5500" s="421" t="s">
        <v>2747</v>
      </c>
      <c r="C5500" s="421" t="s">
        <v>573</v>
      </c>
      <c r="D5500" s="422" t="s">
        <v>666</v>
      </c>
      <c r="E5500" s="111">
        <v>14772</v>
      </c>
      <c r="F5500" s="421" t="s">
        <v>2283</v>
      </c>
      <c r="G5500" s="112">
        <v>1</v>
      </c>
      <c r="H5500" s="112">
        <v>1</v>
      </c>
      <c r="I5500" s="112">
        <v>1</v>
      </c>
      <c r="J5500" s="112">
        <v>1</v>
      </c>
      <c r="K5500" s="112">
        <v>1</v>
      </c>
      <c r="L5500" s="112">
        <v>1</v>
      </c>
    </row>
    <row r="5501" spans="1:15" x14ac:dyDescent="0.2">
      <c r="A5501" s="111">
        <v>5638</v>
      </c>
      <c r="B5501" s="421" t="s">
        <v>263</v>
      </c>
      <c r="C5501" s="421" t="s">
        <v>509</v>
      </c>
      <c r="D5501" s="422" t="s">
        <v>663</v>
      </c>
      <c r="E5501" s="111">
        <v>17163</v>
      </c>
      <c r="F5501" s="421" t="s">
        <v>8658</v>
      </c>
      <c r="G5501" s="112">
        <v>2</v>
      </c>
      <c r="H5501" s="112">
        <v>1</v>
      </c>
      <c r="I5501" s="112">
        <v>1</v>
      </c>
      <c r="J5501" s="112">
        <v>2</v>
      </c>
      <c r="K5501" s="112">
        <v>2</v>
      </c>
      <c r="L5501" s="112">
        <v>2</v>
      </c>
    </row>
    <row r="5502" spans="1:15" x14ac:dyDescent="0.2">
      <c r="A5502" s="111">
        <v>5639</v>
      </c>
      <c r="B5502" s="421" t="s">
        <v>185</v>
      </c>
      <c r="C5502" s="421" t="s">
        <v>532</v>
      </c>
      <c r="D5502" s="422" t="s">
        <v>663</v>
      </c>
      <c r="E5502" s="111">
        <v>17174</v>
      </c>
      <c r="F5502" s="421" t="s">
        <v>10180</v>
      </c>
      <c r="G5502" s="112">
        <v>1</v>
      </c>
      <c r="H5502" s="112">
        <v>1</v>
      </c>
      <c r="I5502" s="112">
        <v>1</v>
      </c>
      <c r="J5502" s="112">
        <v>5</v>
      </c>
      <c r="K5502" s="112">
        <v>5</v>
      </c>
      <c r="L5502" s="112">
        <v>4</v>
      </c>
      <c r="M5502" s="112">
        <v>4</v>
      </c>
      <c r="N5502" s="112">
        <v>1</v>
      </c>
      <c r="O5502" s="112">
        <v>4</v>
      </c>
    </row>
    <row r="5503" spans="1:15" x14ac:dyDescent="0.2">
      <c r="A5503" s="111">
        <v>5640</v>
      </c>
      <c r="B5503" s="421" t="s">
        <v>1771</v>
      </c>
      <c r="C5503" s="421" t="s">
        <v>510</v>
      </c>
      <c r="D5503" s="422" t="s">
        <v>663</v>
      </c>
      <c r="F5503" s="421" t="s">
        <v>10181</v>
      </c>
      <c r="G5503" s="112">
        <v>2</v>
      </c>
      <c r="H5503" s="112">
        <v>1</v>
      </c>
      <c r="I5503" s="112">
        <v>1</v>
      </c>
      <c r="K5503" s="112">
        <v>1</v>
      </c>
      <c r="L5503" s="112">
        <v>1</v>
      </c>
    </row>
    <row r="5504" spans="1:15" x14ac:dyDescent="0.2">
      <c r="A5504" s="111">
        <v>5641</v>
      </c>
      <c r="B5504" s="421" t="s">
        <v>10182</v>
      </c>
      <c r="C5504" s="421" t="s">
        <v>506</v>
      </c>
      <c r="D5504" s="422" t="s">
        <v>663</v>
      </c>
      <c r="E5504" s="111">
        <v>17177</v>
      </c>
      <c r="F5504" s="421" t="s">
        <v>10183</v>
      </c>
      <c r="G5504" s="112">
        <v>1</v>
      </c>
      <c r="H5504" s="112">
        <v>2</v>
      </c>
      <c r="I5504" s="112">
        <v>1</v>
      </c>
    </row>
    <row r="5505" spans="1:15" x14ac:dyDescent="0.2">
      <c r="A5505" s="111">
        <v>5642</v>
      </c>
      <c r="B5505" s="421" t="s">
        <v>10184</v>
      </c>
      <c r="C5505" s="421" t="s">
        <v>516</v>
      </c>
      <c r="D5505" s="422" t="s">
        <v>663</v>
      </c>
      <c r="E5505" s="111">
        <v>17178</v>
      </c>
      <c r="F5505" s="421" t="s">
        <v>10185</v>
      </c>
      <c r="G5505" s="112">
        <v>3</v>
      </c>
      <c r="H5505" s="112">
        <v>3</v>
      </c>
      <c r="I5505" s="112">
        <v>1</v>
      </c>
      <c r="K5505" s="112">
        <v>1</v>
      </c>
    </row>
    <row r="5506" spans="1:15" x14ac:dyDescent="0.2">
      <c r="A5506" s="111">
        <v>5643</v>
      </c>
      <c r="B5506" s="421" t="s">
        <v>10186</v>
      </c>
      <c r="C5506" s="421" t="s">
        <v>3298</v>
      </c>
      <c r="D5506" s="422" t="s">
        <v>666</v>
      </c>
      <c r="F5506" s="421" t="s">
        <v>10187</v>
      </c>
      <c r="G5506" s="112">
        <v>1</v>
      </c>
      <c r="H5506" s="112">
        <v>1</v>
      </c>
    </row>
    <row r="5507" spans="1:15" x14ac:dyDescent="0.2">
      <c r="A5507" s="111">
        <v>5644</v>
      </c>
      <c r="B5507" s="421" t="s">
        <v>112</v>
      </c>
      <c r="C5507" s="421" t="s">
        <v>1817</v>
      </c>
      <c r="D5507" s="422" t="s">
        <v>663</v>
      </c>
      <c r="E5507" s="111">
        <v>17180</v>
      </c>
      <c r="F5507" s="421" t="s">
        <v>10188</v>
      </c>
    </row>
    <row r="5508" spans="1:15" x14ac:dyDescent="0.2">
      <c r="A5508" s="111">
        <v>5645</v>
      </c>
      <c r="B5508" s="421" t="s">
        <v>10210</v>
      </c>
      <c r="C5508" s="421" t="s">
        <v>516</v>
      </c>
      <c r="D5508" s="422" t="s">
        <v>666</v>
      </c>
      <c r="E5508" s="111">
        <v>17181</v>
      </c>
      <c r="F5508" s="421" t="s">
        <v>10211</v>
      </c>
      <c r="G5508" s="112">
        <v>1</v>
      </c>
      <c r="H5508" s="112">
        <v>1</v>
      </c>
      <c r="I5508" s="112">
        <v>1</v>
      </c>
      <c r="K5508" s="112">
        <v>1</v>
      </c>
      <c r="L5508" s="112">
        <v>1</v>
      </c>
    </row>
    <row r="5509" spans="1:15" x14ac:dyDescent="0.2">
      <c r="A5509" s="111">
        <v>5646</v>
      </c>
      <c r="B5509" s="421" t="s">
        <v>2389</v>
      </c>
      <c r="C5509" s="421" t="s">
        <v>551</v>
      </c>
      <c r="D5509" s="422" t="s">
        <v>666</v>
      </c>
      <c r="E5509" s="111">
        <v>17182</v>
      </c>
      <c r="F5509" s="421" t="s">
        <v>10212</v>
      </c>
      <c r="G5509" s="112">
        <v>1</v>
      </c>
      <c r="H5509" s="112">
        <v>1</v>
      </c>
      <c r="I5509" s="112">
        <v>1</v>
      </c>
      <c r="J5509" s="112">
        <v>1</v>
      </c>
      <c r="K5509" s="112">
        <v>1</v>
      </c>
    </row>
    <row r="5510" spans="1:15" x14ac:dyDescent="0.2">
      <c r="A5510" s="111">
        <v>5647</v>
      </c>
      <c r="B5510" s="421" t="s">
        <v>2888</v>
      </c>
      <c r="C5510" s="421" t="s">
        <v>545</v>
      </c>
      <c r="D5510" s="422" t="s">
        <v>663</v>
      </c>
      <c r="E5510" s="111">
        <v>17183</v>
      </c>
      <c r="F5510" s="421" t="s">
        <v>10213</v>
      </c>
    </row>
    <row r="5511" spans="1:15" x14ac:dyDescent="0.2">
      <c r="A5511" s="111">
        <v>5648</v>
      </c>
      <c r="B5511" s="421" t="s">
        <v>10214</v>
      </c>
      <c r="C5511" s="421" t="s">
        <v>506</v>
      </c>
      <c r="D5511" s="422" t="s">
        <v>663</v>
      </c>
      <c r="E5511" s="111">
        <v>17125</v>
      </c>
      <c r="F5511" s="421" t="s">
        <v>10215</v>
      </c>
      <c r="G5511" s="112">
        <v>1</v>
      </c>
      <c r="H5511" s="112">
        <v>1</v>
      </c>
      <c r="I5511" s="112">
        <v>1</v>
      </c>
      <c r="J5511" s="112">
        <v>1</v>
      </c>
      <c r="K5511" s="112">
        <v>1</v>
      </c>
      <c r="L5511" s="112">
        <v>1</v>
      </c>
    </row>
    <row r="5512" spans="1:15" x14ac:dyDescent="0.2">
      <c r="A5512" s="111">
        <v>5649</v>
      </c>
      <c r="B5512" s="421" t="s">
        <v>1127</v>
      </c>
      <c r="C5512" s="421" t="s">
        <v>544</v>
      </c>
      <c r="D5512" s="422" t="s">
        <v>666</v>
      </c>
      <c r="E5512" s="111">
        <v>15665</v>
      </c>
      <c r="F5512" s="421" t="s">
        <v>5007</v>
      </c>
      <c r="G5512" s="112">
        <v>1</v>
      </c>
      <c r="H5512" s="112">
        <v>1</v>
      </c>
      <c r="I5512" s="112">
        <v>1</v>
      </c>
      <c r="J5512" s="112">
        <v>1</v>
      </c>
      <c r="K5512" s="112">
        <v>1</v>
      </c>
      <c r="L5512" s="112">
        <v>1</v>
      </c>
    </row>
    <row r="5513" spans="1:15" x14ac:dyDescent="0.2">
      <c r="A5513" s="111">
        <v>5650</v>
      </c>
      <c r="B5513" s="421" t="s">
        <v>10216</v>
      </c>
      <c r="C5513" s="421" t="s">
        <v>501</v>
      </c>
      <c r="D5513" s="422" t="s">
        <v>663</v>
      </c>
      <c r="E5513" s="111">
        <v>17190</v>
      </c>
      <c r="F5513" s="421" t="s">
        <v>10217</v>
      </c>
      <c r="G5513" s="112">
        <v>1</v>
      </c>
      <c r="H5513" s="112">
        <v>1</v>
      </c>
      <c r="I5513" s="112">
        <v>1</v>
      </c>
      <c r="J5513" s="112">
        <v>12</v>
      </c>
      <c r="K5513" s="112">
        <v>11</v>
      </c>
      <c r="L5513" s="112">
        <v>11</v>
      </c>
      <c r="M5513" s="112">
        <v>5</v>
      </c>
      <c r="N5513" s="112">
        <v>5</v>
      </c>
      <c r="O5513" s="112">
        <v>5</v>
      </c>
    </row>
    <row r="5514" spans="1:15" x14ac:dyDescent="0.2">
      <c r="A5514" s="111">
        <v>5651</v>
      </c>
      <c r="B5514" s="421" t="s">
        <v>10218</v>
      </c>
      <c r="C5514" s="421" t="s">
        <v>509</v>
      </c>
      <c r="D5514" s="422" t="s">
        <v>663</v>
      </c>
      <c r="E5514" s="111">
        <v>14667</v>
      </c>
      <c r="F5514" s="421" t="s">
        <v>1880</v>
      </c>
      <c r="G5514" s="112">
        <v>2</v>
      </c>
      <c r="H5514" s="112">
        <v>2</v>
      </c>
      <c r="I5514" s="112">
        <v>1</v>
      </c>
    </row>
    <row r="5515" spans="1:15" x14ac:dyDescent="0.2">
      <c r="A5515" s="111">
        <v>5652</v>
      </c>
      <c r="B5515" s="421" t="s">
        <v>10200</v>
      </c>
      <c r="C5515" s="421" t="s">
        <v>520</v>
      </c>
      <c r="D5515" s="422" t="s">
        <v>663</v>
      </c>
      <c r="F5515" s="421" t="s">
        <v>10201</v>
      </c>
      <c r="G5515" s="112">
        <v>1</v>
      </c>
      <c r="H5515" s="112">
        <v>2</v>
      </c>
      <c r="I5515" s="112">
        <v>2</v>
      </c>
      <c r="J5515" s="112">
        <v>1</v>
      </c>
      <c r="L5515" s="112">
        <v>1</v>
      </c>
    </row>
    <row r="5516" spans="1:15" x14ac:dyDescent="0.2">
      <c r="A5516" s="111">
        <v>5653</v>
      </c>
      <c r="B5516" s="421" t="s">
        <v>98</v>
      </c>
      <c r="C5516" s="421" t="s">
        <v>577</v>
      </c>
      <c r="D5516" s="422" t="s">
        <v>666</v>
      </c>
      <c r="F5516" s="421" t="s">
        <v>10219</v>
      </c>
      <c r="G5516" s="112">
        <v>1</v>
      </c>
      <c r="H5516" s="112">
        <v>1</v>
      </c>
      <c r="I5516" s="112">
        <v>1</v>
      </c>
      <c r="J5516" s="112">
        <v>2</v>
      </c>
      <c r="K5516" s="112">
        <v>2</v>
      </c>
      <c r="L5516" s="112">
        <v>3</v>
      </c>
    </row>
    <row r="5517" spans="1:15" x14ac:dyDescent="0.2">
      <c r="A5517" s="111">
        <v>5654</v>
      </c>
      <c r="B5517" s="421" t="s">
        <v>10220</v>
      </c>
      <c r="C5517" s="421" t="s">
        <v>628</v>
      </c>
      <c r="D5517" s="422" t="s">
        <v>666</v>
      </c>
      <c r="F5517" s="421" t="s">
        <v>10221</v>
      </c>
      <c r="G5517" s="112">
        <v>1</v>
      </c>
      <c r="H5517" s="112">
        <v>1</v>
      </c>
      <c r="I5517" s="112">
        <v>1</v>
      </c>
    </row>
    <row r="5518" spans="1:15" x14ac:dyDescent="0.2">
      <c r="A5518" s="111">
        <v>5655</v>
      </c>
      <c r="B5518" s="421" t="s">
        <v>6089</v>
      </c>
      <c r="C5518" s="421" t="s">
        <v>516</v>
      </c>
      <c r="D5518" s="422" t="s">
        <v>666</v>
      </c>
      <c r="E5518" s="111">
        <v>16812</v>
      </c>
      <c r="F5518" s="421" t="s">
        <v>8953</v>
      </c>
      <c r="G5518" s="112">
        <v>2</v>
      </c>
      <c r="H5518" s="112">
        <v>2</v>
      </c>
      <c r="I5518" s="112">
        <v>1</v>
      </c>
      <c r="J5518" s="112">
        <v>3</v>
      </c>
      <c r="K5518" s="112">
        <v>3</v>
      </c>
      <c r="L5518" s="112">
        <v>3</v>
      </c>
      <c r="M5518" s="112">
        <v>2</v>
      </c>
      <c r="N5518" s="112">
        <v>1</v>
      </c>
    </row>
    <row r="5519" spans="1:15" x14ac:dyDescent="0.2">
      <c r="A5519" s="111">
        <v>5656</v>
      </c>
      <c r="B5519" s="421" t="s">
        <v>3841</v>
      </c>
      <c r="C5519" s="421" t="s">
        <v>503</v>
      </c>
      <c r="D5519" s="422" t="s">
        <v>663</v>
      </c>
      <c r="E5519" s="111">
        <v>14246</v>
      </c>
      <c r="F5519" s="421" t="s">
        <v>911</v>
      </c>
      <c r="G5519" s="112">
        <v>1</v>
      </c>
      <c r="H5519" s="112">
        <v>1</v>
      </c>
      <c r="I5519" s="112">
        <v>1</v>
      </c>
      <c r="K5519" s="112">
        <v>2</v>
      </c>
      <c r="L5519" s="112">
        <v>1</v>
      </c>
    </row>
    <row r="5520" spans="1:15" x14ac:dyDescent="0.2">
      <c r="A5520" s="111">
        <v>5657</v>
      </c>
      <c r="B5520" s="421" t="s">
        <v>10222</v>
      </c>
      <c r="C5520" s="421" t="s">
        <v>501</v>
      </c>
      <c r="D5520" s="422" t="s">
        <v>666</v>
      </c>
      <c r="E5520" s="111">
        <v>16183</v>
      </c>
      <c r="F5520" s="421" t="s">
        <v>6585</v>
      </c>
      <c r="G5520" s="112">
        <v>1</v>
      </c>
      <c r="H5520" s="112">
        <v>1</v>
      </c>
      <c r="I5520" s="112">
        <v>1</v>
      </c>
      <c r="J5520" s="112">
        <v>7</v>
      </c>
      <c r="K5520" s="112">
        <v>7</v>
      </c>
      <c r="L5520" s="112">
        <v>8</v>
      </c>
      <c r="M5520" s="112">
        <v>6</v>
      </c>
      <c r="N5520" s="112">
        <v>5</v>
      </c>
      <c r="O5520" s="112">
        <v>8</v>
      </c>
    </row>
    <row r="5521" spans="1:15" x14ac:dyDescent="0.2">
      <c r="A5521" s="111">
        <v>5658</v>
      </c>
      <c r="B5521" s="421" t="s">
        <v>10223</v>
      </c>
      <c r="C5521" s="421" t="s">
        <v>2412</v>
      </c>
      <c r="D5521" s="422" t="s">
        <v>663</v>
      </c>
      <c r="E5521" s="111">
        <v>15623</v>
      </c>
      <c r="F5521" s="421" t="s">
        <v>4902</v>
      </c>
    </row>
    <row r="5522" spans="1:15" x14ac:dyDescent="0.2">
      <c r="A5522" s="111">
        <v>5659</v>
      </c>
      <c r="B5522" s="421" t="s">
        <v>265</v>
      </c>
      <c r="C5522" s="421" t="s">
        <v>501</v>
      </c>
      <c r="D5522" s="422" t="s">
        <v>663</v>
      </c>
      <c r="F5522" s="421" t="s">
        <v>10224</v>
      </c>
      <c r="G5522" s="112">
        <v>1</v>
      </c>
      <c r="H5522" s="112">
        <v>1</v>
      </c>
      <c r="I5522" s="112">
        <v>1</v>
      </c>
      <c r="L5522" s="112">
        <v>1</v>
      </c>
    </row>
    <row r="5523" spans="1:15" x14ac:dyDescent="0.2">
      <c r="A5523" s="111">
        <v>5660</v>
      </c>
      <c r="B5523" s="421" t="s">
        <v>266</v>
      </c>
      <c r="C5523" s="421" t="s">
        <v>530</v>
      </c>
      <c r="D5523" s="422" t="s">
        <v>663</v>
      </c>
      <c r="E5523" s="111">
        <v>17185</v>
      </c>
      <c r="F5523" s="421" t="s">
        <v>10225</v>
      </c>
      <c r="G5523" s="112">
        <v>1</v>
      </c>
      <c r="H5523" s="112">
        <v>1</v>
      </c>
      <c r="I5523" s="112">
        <v>1</v>
      </c>
      <c r="J5523" s="112">
        <v>3</v>
      </c>
      <c r="K5523" s="112">
        <v>3</v>
      </c>
      <c r="L5523" s="112">
        <v>3</v>
      </c>
      <c r="M5523" s="112">
        <v>2</v>
      </c>
      <c r="N5523" s="112">
        <v>2</v>
      </c>
      <c r="O5523" s="112">
        <v>2</v>
      </c>
    </row>
    <row r="5524" spans="1:15" x14ac:dyDescent="0.2">
      <c r="A5524" s="111">
        <v>5661</v>
      </c>
      <c r="B5524" s="421" t="s">
        <v>1281</v>
      </c>
      <c r="C5524" s="421" t="s">
        <v>501</v>
      </c>
      <c r="D5524" s="422" t="s">
        <v>663</v>
      </c>
      <c r="E5524" s="111">
        <v>17200</v>
      </c>
      <c r="F5524" s="421" t="s">
        <v>10226</v>
      </c>
      <c r="G5524" s="112">
        <v>1</v>
      </c>
      <c r="H5524" s="112">
        <v>1</v>
      </c>
      <c r="I5524" s="112">
        <v>1</v>
      </c>
      <c r="J5524" s="112">
        <v>2</v>
      </c>
      <c r="K5524" s="112">
        <v>4</v>
      </c>
      <c r="L5524" s="112">
        <v>4</v>
      </c>
      <c r="M5524" s="112">
        <v>4</v>
      </c>
      <c r="N5524" s="112">
        <v>1</v>
      </c>
      <c r="O5524" s="112">
        <v>3</v>
      </c>
    </row>
    <row r="5525" spans="1:15" x14ac:dyDescent="0.2">
      <c r="A5525" s="111">
        <v>5662</v>
      </c>
      <c r="B5525" s="421" t="s">
        <v>1224</v>
      </c>
      <c r="C5525" s="421" t="s">
        <v>537</v>
      </c>
      <c r="D5525" s="422" t="s">
        <v>666</v>
      </c>
      <c r="E5525" s="111">
        <v>17186</v>
      </c>
      <c r="F5525" s="421" t="s">
        <v>10227</v>
      </c>
    </row>
    <row r="5526" spans="1:15" x14ac:dyDescent="0.2">
      <c r="A5526" s="111">
        <v>5663</v>
      </c>
      <c r="B5526" s="421" t="s">
        <v>10228</v>
      </c>
      <c r="C5526" s="421" t="s">
        <v>3070</v>
      </c>
      <c r="D5526" s="422" t="s">
        <v>666</v>
      </c>
      <c r="E5526" s="111">
        <v>15222</v>
      </c>
      <c r="F5526" s="421" t="s">
        <v>3442</v>
      </c>
    </row>
    <row r="5527" spans="1:15" x14ac:dyDescent="0.2">
      <c r="A5527" s="111">
        <v>5664</v>
      </c>
      <c r="B5527" s="421" t="s">
        <v>448</v>
      </c>
      <c r="C5527" s="421" t="s">
        <v>503</v>
      </c>
      <c r="D5527" s="422" t="s">
        <v>666</v>
      </c>
      <c r="E5527" s="111">
        <v>17187</v>
      </c>
      <c r="F5527" s="421" t="s">
        <v>10229</v>
      </c>
      <c r="G5527" s="112">
        <v>2</v>
      </c>
      <c r="H5527" s="112">
        <v>2</v>
      </c>
      <c r="I5527" s="112">
        <v>1</v>
      </c>
      <c r="J5527" s="112">
        <v>3</v>
      </c>
      <c r="K5527" s="112">
        <v>4</v>
      </c>
      <c r="L5527" s="112">
        <v>4</v>
      </c>
      <c r="M5527" s="112">
        <v>1</v>
      </c>
      <c r="N5527" s="112">
        <v>1</v>
      </c>
      <c r="O5527" s="112">
        <v>1</v>
      </c>
    </row>
    <row r="5528" spans="1:15" x14ac:dyDescent="0.2">
      <c r="A5528" s="111">
        <v>5665</v>
      </c>
      <c r="B5528" s="421" t="s">
        <v>2622</v>
      </c>
      <c r="C5528" s="421" t="s">
        <v>501</v>
      </c>
      <c r="D5528" s="422" t="s">
        <v>666</v>
      </c>
      <c r="F5528" s="421" t="s">
        <v>10230</v>
      </c>
    </row>
    <row r="5529" spans="1:15" x14ac:dyDescent="0.2">
      <c r="A5529" s="111">
        <v>5666</v>
      </c>
      <c r="B5529" s="421" t="s">
        <v>353</v>
      </c>
      <c r="C5529" s="421" t="s">
        <v>551</v>
      </c>
      <c r="D5529" s="422" t="s">
        <v>663</v>
      </c>
      <c r="F5529" s="421" t="s">
        <v>10231</v>
      </c>
      <c r="H5529" s="112">
        <v>1</v>
      </c>
      <c r="I5529" s="112">
        <v>1</v>
      </c>
    </row>
    <row r="5530" spans="1:15" x14ac:dyDescent="0.2">
      <c r="A5530" s="111">
        <v>5667</v>
      </c>
      <c r="B5530" s="421" t="s">
        <v>10202</v>
      </c>
      <c r="C5530" s="421" t="s">
        <v>503</v>
      </c>
      <c r="D5530" s="422" t="s">
        <v>663</v>
      </c>
      <c r="E5530" s="111">
        <v>16088</v>
      </c>
      <c r="F5530" s="421" t="s">
        <v>6317</v>
      </c>
      <c r="G5530" s="112">
        <v>1</v>
      </c>
      <c r="H5530" s="112">
        <v>1</v>
      </c>
    </row>
    <row r="5531" spans="1:15" x14ac:dyDescent="0.2">
      <c r="A5531" s="111">
        <v>5668</v>
      </c>
      <c r="B5531" s="421" t="s">
        <v>6260</v>
      </c>
      <c r="C5531" s="421" t="s">
        <v>1908</v>
      </c>
      <c r="D5531" s="422" t="s">
        <v>663</v>
      </c>
      <c r="E5531" s="111">
        <v>17212</v>
      </c>
      <c r="F5531" s="421" t="s">
        <v>10232</v>
      </c>
      <c r="G5531" s="112">
        <v>1</v>
      </c>
      <c r="H5531" s="112">
        <v>1</v>
      </c>
      <c r="I5531" s="112">
        <v>2</v>
      </c>
      <c r="J5531" s="112">
        <v>1</v>
      </c>
      <c r="K5531" s="112">
        <v>2</v>
      </c>
    </row>
    <row r="5532" spans="1:15" x14ac:dyDescent="0.2">
      <c r="A5532" s="111">
        <v>5669</v>
      </c>
      <c r="B5532" s="421" t="s">
        <v>310</v>
      </c>
      <c r="C5532" s="421" t="s">
        <v>551</v>
      </c>
      <c r="D5532" s="422" t="s">
        <v>663</v>
      </c>
      <c r="E5532" s="111">
        <v>17188</v>
      </c>
      <c r="F5532" s="421" t="s">
        <v>10233</v>
      </c>
      <c r="G5532" s="112">
        <v>1</v>
      </c>
      <c r="H5532" s="112">
        <v>1</v>
      </c>
      <c r="I5532" s="112">
        <v>1</v>
      </c>
      <c r="J5532" s="112">
        <v>7</v>
      </c>
      <c r="K5532" s="112">
        <v>10</v>
      </c>
      <c r="L5532" s="112">
        <v>8</v>
      </c>
      <c r="M5532" s="112">
        <v>7</v>
      </c>
      <c r="N5532" s="112">
        <v>2</v>
      </c>
      <c r="O5532" s="112">
        <v>4</v>
      </c>
    </row>
    <row r="5533" spans="1:15" x14ac:dyDescent="0.2">
      <c r="A5533" s="111">
        <v>5670</v>
      </c>
      <c r="B5533" s="421" t="s">
        <v>262</v>
      </c>
      <c r="C5533" s="421" t="s">
        <v>532</v>
      </c>
      <c r="D5533" s="422" t="s">
        <v>663</v>
      </c>
      <c r="E5533" s="111">
        <v>15271</v>
      </c>
      <c r="F5533" s="421" t="s">
        <v>3071</v>
      </c>
    </row>
    <row r="5534" spans="1:15" x14ac:dyDescent="0.2">
      <c r="A5534" s="111">
        <v>5671</v>
      </c>
      <c r="B5534" s="421" t="s">
        <v>10234</v>
      </c>
      <c r="C5534" s="421" t="s">
        <v>1447</v>
      </c>
      <c r="D5534" s="422" t="s">
        <v>666</v>
      </c>
      <c r="E5534" s="111">
        <v>16990</v>
      </c>
      <c r="F5534" s="421" t="s">
        <v>10235</v>
      </c>
    </row>
    <row r="5535" spans="1:15" x14ac:dyDescent="0.2">
      <c r="A5535" s="111">
        <v>5672</v>
      </c>
      <c r="B5535" s="421" t="s">
        <v>10236</v>
      </c>
      <c r="C5535" s="421" t="s">
        <v>506</v>
      </c>
      <c r="D5535" s="422" t="s">
        <v>666</v>
      </c>
      <c r="E5535" s="111">
        <v>16004</v>
      </c>
      <c r="F5535" s="421" t="s">
        <v>6090</v>
      </c>
      <c r="G5535" s="112">
        <v>1</v>
      </c>
      <c r="H5535" s="112">
        <v>1</v>
      </c>
      <c r="I5535" s="112">
        <v>2</v>
      </c>
      <c r="J5535" s="112">
        <v>2</v>
      </c>
      <c r="K5535" s="112">
        <v>2</v>
      </c>
      <c r="L5535" s="112">
        <v>3</v>
      </c>
    </row>
    <row r="5536" spans="1:15" x14ac:dyDescent="0.2">
      <c r="A5536" s="111">
        <v>5673</v>
      </c>
      <c r="B5536" s="421" t="s">
        <v>8914</v>
      </c>
      <c r="C5536" s="421" t="s">
        <v>532</v>
      </c>
      <c r="D5536" s="422" t="s">
        <v>666</v>
      </c>
      <c r="E5536" s="111">
        <v>15314</v>
      </c>
      <c r="F5536" s="421" t="s">
        <v>3792</v>
      </c>
      <c r="G5536" s="112">
        <v>1</v>
      </c>
      <c r="H5536" s="112">
        <v>1</v>
      </c>
      <c r="I5536" s="112">
        <v>1</v>
      </c>
      <c r="J5536" s="112">
        <v>1</v>
      </c>
      <c r="K5536" s="112">
        <v>1</v>
      </c>
      <c r="L5536" s="112">
        <v>1</v>
      </c>
    </row>
    <row r="5537" spans="1:15" x14ac:dyDescent="0.2">
      <c r="A5537" s="111">
        <v>5674</v>
      </c>
      <c r="B5537" s="421" t="s">
        <v>10257</v>
      </c>
      <c r="C5537" s="421" t="s">
        <v>503</v>
      </c>
      <c r="D5537" s="422" t="s">
        <v>663</v>
      </c>
      <c r="E5537" s="111">
        <v>17192</v>
      </c>
      <c r="F5537" s="421" t="s">
        <v>10258</v>
      </c>
      <c r="G5537" s="112">
        <v>1</v>
      </c>
      <c r="H5537" s="112">
        <v>1</v>
      </c>
      <c r="I5537" s="112">
        <v>1</v>
      </c>
      <c r="J5537" s="112">
        <v>9</v>
      </c>
      <c r="K5537" s="112">
        <v>10</v>
      </c>
      <c r="L5537" s="112">
        <v>9</v>
      </c>
      <c r="M5537" s="112">
        <v>7</v>
      </c>
      <c r="N5537" s="112">
        <v>6</v>
      </c>
      <c r="O5537" s="112">
        <v>7</v>
      </c>
    </row>
    <row r="5538" spans="1:15" x14ac:dyDescent="0.2">
      <c r="A5538" s="111">
        <v>5675</v>
      </c>
      <c r="B5538" s="421" t="s">
        <v>3343</v>
      </c>
      <c r="C5538" s="421" t="s">
        <v>518</v>
      </c>
      <c r="D5538" s="422" t="s">
        <v>663</v>
      </c>
      <c r="E5538" s="111">
        <v>17193</v>
      </c>
      <c r="F5538" s="421" t="s">
        <v>10259</v>
      </c>
    </row>
    <row r="5539" spans="1:15" x14ac:dyDescent="0.2">
      <c r="A5539" s="111">
        <v>5676</v>
      </c>
      <c r="B5539" s="421" t="s">
        <v>6791</v>
      </c>
      <c r="C5539" s="421" t="s">
        <v>570</v>
      </c>
      <c r="D5539" s="422" t="s">
        <v>666</v>
      </c>
      <c r="E5539" s="111">
        <v>17194</v>
      </c>
      <c r="F5539" s="421" t="s">
        <v>10260</v>
      </c>
      <c r="G5539" s="112">
        <v>2</v>
      </c>
      <c r="H5539" s="112">
        <v>1</v>
      </c>
      <c r="I5539" s="112">
        <v>1</v>
      </c>
    </row>
    <row r="5540" spans="1:15" x14ac:dyDescent="0.2">
      <c r="A5540" s="111">
        <v>5677</v>
      </c>
      <c r="B5540" s="421" t="s">
        <v>10261</v>
      </c>
      <c r="C5540" s="421" t="s">
        <v>501</v>
      </c>
      <c r="D5540" s="422" t="s">
        <v>666</v>
      </c>
      <c r="E5540" s="111">
        <v>44005</v>
      </c>
      <c r="F5540" s="421" t="s">
        <v>10262</v>
      </c>
      <c r="G5540" s="112">
        <v>1</v>
      </c>
      <c r="H5540" s="112">
        <v>1</v>
      </c>
      <c r="I5540" s="112">
        <v>1</v>
      </c>
      <c r="K5540" s="112">
        <v>2</v>
      </c>
      <c r="L5540" s="112">
        <v>1</v>
      </c>
    </row>
    <row r="5541" spans="1:15" x14ac:dyDescent="0.2">
      <c r="A5541" s="111">
        <v>5678</v>
      </c>
      <c r="B5541" s="421" t="s">
        <v>4443</v>
      </c>
      <c r="C5541" s="421" t="s">
        <v>536</v>
      </c>
      <c r="D5541" s="422" t="s">
        <v>663</v>
      </c>
      <c r="E5541" s="111">
        <v>17195</v>
      </c>
      <c r="F5541" s="421" t="s">
        <v>10263</v>
      </c>
      <c r="G5541" s="112">
        <v>1</v>
      </c>
      <c r="H5541" s="112">
        <v>1</v>
      </c>
      <c r="I5541" s="112">
        <v>1</v>
      </c>
      <c r="J5541" s="112">
        <v>4</v>
      </c>
      <c r="K5541" s="112">
        <v>4</v>
      </c>
      <c r="L5541" s="112">
        <v>4</v>
      </c>
    </row>
    <row r="5542" spans="1:15" x14ac:dyDescent="0.2">
      <c r="A5542" s="111">
        <v>5679</v>
      </c>
      <c r="B5542" s="421" t="s">
        <v>1954</v>
      </c>
      <c r="C5542" s="421" t="s">
        <v>516</v>
      </c>
      <c r="D5542" s="422" t="s">
        <v>663</v>
      </c>
      <c r="E5542" s="111">
        <v>17196</v>
      </c>
      <c r="F5542" s="421" t="s">
        <v>10264</v>
      </c>
      <c r="G5542" s="112">
        <v>1</v>
      </c>
      <c r="H5542" s="112">
        <v>1</v>
      </c>
      <c r="I5542" s="112">
        <v>1</v>
      </c>
      <c r="J5542" s="112">
        <v>3</v>
      </c>
      <c r="K5542" s="112">
        <v>2</v>
      </c>
      <c r="L5542" s="112">
        <v>2</v>
      </c>
      <c r="M5542" s="112">
        <v>4</v>
      </c>
      <c r="N5542" s="112">
        <v>2</v>
      </c>
      <c r="O5542" s="112">
        <v>3</v>
      </c>
    </row>
    <row r="5543" spans="1:15" x14ac:dyDescent="0.2">
      <c r="A5543" s="111">
        <v>5680</v>
      </c>
      <c r="B5543" s="421" t="s">
        <v>1911</v>
      </c>
      <c r="C5543" s="421" t="s">
        <v>530</v>
      </c>
      <c r="D5543" s="422" t="s">
        <v>663</v>
      </c>
      <c r="E5543" s="111">
        <v>17197</v>
      </c>
      <c r="F5543" s="421" t="s">
        <v>1403</v>
      </c>
      <c r="G5543" s="112">
        <v>1</v>
      </c>
      <c r="H5543" s="112">
        <v>1</v>
      </c>
      <c r="I5543" s="112">
        <v>1</v>
      </c>
    </row>
    <row r="5544" spans="1:15" x14ac:dyDescent="0.2">
      <c r="A5544" s="111">
        <v>5681</v>
      </c>
      <c r="B5544" s="421" t="s">
        <v>10265</v>
      </c>
      <c r="C5544" s="421" t="s">
        <v>509</v>
      </c>
      <c r="D5544" s="422" t="s">
        <v>663</v>
      </c>
      <c r="E5544" s="111">
        <v>16491</v>
      </c>
      <c r="F5544" s="421" t="s">
        <v>8123</v>
      </c>
    </row>
    <row r="5545" spans="1:15" x14ac:dyDescent="0.2">
      <c r="A5545" s="111">
        <v>5682</v>
      </c>
      <c r="B5545" s="421" t="s">
        <v>10266</v>
      </c>
      <c r="C5545" s="421" t="s">
        <v>572</v>
      </c>
      <c r="D5545" s="422" t="s">
        <v>663</v>
      </c>
      <c r="E5545" s="111">
        <v>17198</v>
      </c>
      <c r="F5545" s="421" t="s">
        <v>10267</v>
      </c>
      <c r="G5545" s="112">
        <v>3</v>
      </c>
      <c r="H5545" s="112">
        <v>2</v>
      </c>
      <c r="I5545" s="112">
        <v>1</v>
      </c>
      <c r="J5545" s="112">
        <v>6</v>
      </c>
      <c r="K5545" s="112">
        <v>7</v>
      </c>
      <c r="L5545" s="112">
        <v>8</v>
      </c>
      <c r="M5545" s="112">
        <v>6</v>
      </c>
      <c r="N5545" s="112">
        <v>4</v>
      </c>
      <c r="O5545" s="112">
        <v>4</v>
      </c>
    </row>
    <row r="5546" spans="1:15" x14ac:dyDescent="0.2">
      <c r="A5546" s="111">
        <v>5683</v>
      </c>
      <c r="B5546" s="421" t="s">
        <v>3233</v>
      </c>
      <c r="C5546" s="421" t="s">
        <v>506</v>
      </c>
      <c r="D5546" s="422" t="s">
        <v>666</v>
      </c>
      <c r="F5546" s="421" t="s">
        <v>10268</v>
      </c>
    </row>
    <row r="5547" spans="1:15" x14ac:dyDescent="0.2">
      <c r="A5547" s="111">
        <v>5684</v>
      </c>
      <c r="B5547" s="421" t="s">
        <v>5816</v>
      </c>
      <c r="C5547" s="421" t="s">
        <v>502</v>
      </c>
      <c r="D5547" s="422" t="s">
        <v>666</v>
      </c>
      <c r="E5547" s="111">
        <v>17199</v>
      </c>
      <c r="F5547" s="421" t="s">
        <v>10269</v>
      </c>
      <c r="G5547" s="112">
        <v>1</v>
      </c>
      <c r="H5547" s="112">
        <v>1</v>
      </c>
      <c r="I5547" s="112">
        <v>1</v>
      </c>
    </row>
    <row r="5548" spans="1:15" x14ac:dyDescent="0.2">
      <c r="A5548" s="111">
        <v>5685</v>
      </c>
      <c r="B5548" s="421" t="s">
        <v>10270</v>
      </c>
      <c r="C5548" s="421" t="s">
        <v>501</v>
      </c>
      <c r="D5548" s="422" t="s">
        <v>663</v>
      </c>
      <c r="E5548" s="111">
        <v>17201</v>
      </c>
      <c r="F5548" s="421" t="s">
        <v>10271</v>
      </c>
      <c r="G5548" s="112">
        <v>1</v>
      </c>
      <c r="H5548" s="112">
        <v>1</v>
      </c>
      <c r="I5548" s="112">
        <v>1</v>
      </c>
      <c r="J5548" s="112">
        <v>1</v>
      </c>
      <c r="K5548" s="112">
        <v>1</v>
      </c>
      <c r="L5548" s="112">
        <v>1</v>
      </c>
    </row>
    <row r="5549" spans="1:15" x14ac:dyDescent="0.2">
      <c r="A5549" s="111">
        <v>5686</v>
      </c>
      <c r="B5549" s="421" t="s">
        <v>7665</v>
      </c>
      <c r="C5549" s="421" t="s">
        <v>501</v>
      </c>
      <c r="D5549" s="422" t="s">
        <v>663</v>
      </c>
      <c r="E5549" s="111">
        <v>17202</v>
      </c>
      <c r="F5549" s="421" t="s">
        <v>10272</v>
      </c>
      <c r="G5549" s="112">
        <v>1</v>
      </c>
      <c r="H5549" s="112">
        <v>1</v>
      </c>
      <c r="I5549" s="112">
        <v>1</v>
      </c>
      <c r="J5549" s="112">
        <v>3</v>
      </c>
      <c r="K5549" s="112">
        <v>1</v>
      </c>
      <c r="L5549" s="112">
        <v>2</v>
      </c>
    </row>
    <row r="5550" spans="1:15" x14ac:dyDescent="0.2">
      <c r="A5550" s="111">
        <v>5687</v>
      </c>
      <c r="B5550" s="421" t="s">
        <v>1933</v>
      </c>
      <c r="C5550" s="421" t="s">
        <v>1994</v>
      </c>
      <c r="D5550" s="422" t="s">
        <v>663</v>
      </c>
      <c r="E5550" s="111">
        <v>16029</v>
      </c>
      <c r="F5550" s="421" t="s">
        <v>2582</v>
      </c>
      <c r="G5550" s="112">
        <v>1</v>
      </c>
      <c r="H5550" s="112">
        <v>1</v>
      </c>
      <c r="I5550" s="112">
        <v>1</v>
      </c>
      <c r="J5550" s="112">
        <v>3</v>
      </c>
      <c r="K5550" s="112">
        <v>5</v>
      </c>
      <c r="L5550" s="112">
        <v>7</v>
      </c>
      <c r="O5550" s="112">
        <v>1</v>
      </c>
    </row>
    <row r="5551" spans="1:15" x14ac:dyDescent="0.2">
      <c r="A5551" s="111">
        <v>5688</v>
      </c>
      <c r="B5551" s="421" t="s">
        <v>10273</v>
      </c>
      <c r="C5551" s="421" t="s">
        <v>554</v>
      </c>
      <c r="D5551" s="422" t="s">
        <v>663</v>
      </c>
      <c r="E5551" s="111">
        <v>15575</v>
      </c>
      <c r="F5551" s="421" t="s">
        <v>4731</v>
      </c>
      <c r="G5551" s="112">
        <v>1</v>
      </c>
      <c r="H5551" s="112">
        <v>1</v>
      </c>
      <c r="I5551" s="112">
        <v>1</v>
      </c>
      <c r="J5551" s="112">
        <v>8</v>
      </c>
      <c r="K5551" s="112">
        <v>6</v>
      </c>
      <c r="L5551" s="112">
        <v>7</v>
      </c>
      <c r="M5551" s="112">
        <v>5</v>
      </c>
      <c r="N5551" s="112">
        <v>2</v>
      </c>
      <c r="O5551" s="112">
        <v>1</v>
      </c>
    </row>
    <row r="5552" spans="1:15" x14ac:dyDescent="0.2">
      <c r="A5552" s="111">
        <v>5689</v>
      </c>
      <c r="B5552" s="421" t="s">
        <v>10274</v>
      </c>
      <c r="C5552" s="421" t="s">
        <v>592</v>
      </c>
      <c r="D5552" s="422" t="s">
        <v>666</v>
      </c>
      <c r="E5552" s="111">
        <v>17203</v>
      </c>
      <c r="F5552" s="421" t="s">
        <v>10275</v>
      </c>
    </row>
    <row r="5553" spans="1:15" x14ac:dyDescent="0.2">
      <c r="A5553" s="111">
        <v>5690</v>
      </c>
      <c r="B5553" s="421" t="s">
        <v>78</v>
      </c>
      <c r="C5553" s="421" t="s">
        <v>518</v>
      </c>
      <c r="D5553" s="422" t="s">
        <v>663</v>
      </c>
      <c r="E5553" s="111">
        <v>17032</v>
      </c>
      <c r="F5553" s="421" t="s">
        <v>9783</v>
      </c>
      <c r="G5553" s="112">
        <v>1</v>
      </c>
      <c r="H5553" s="112">
        <v>1</v>
      </c>
      <c r="I5553" s="112">
        <v>1</v>
      </c>
      <c r="J5553" s="112">
        <v>1</v>
      </c>
      <c r="K5553" s="112">
        <v>1</v>
      </c>
      <c r="L5553" s="112">
        <v>1</v>
      </c>
      <c r="O5553" s="112">
        <v>1</v>
      </c>
    </row>
    <row r="5554" spans="1:15" x14ac:dyDescent="0.2">
      <c r="A5554" s="111">
        <v>5691</v>
      </c>
      <c r="B5554" s="421" t="s">
        <v>10276</v>
      </c>
      <c r="C5554" s="421" t="s">
        <v>503</v>
      </c>
      <c r="D5554" s="422" t="s">
        <v>663</v>
      </c>
      <c r="E5554" s="111">
        <v>17204</v>
      </c>
      <c r="F5554" s="421" t="s">
        <v>10277</v>
      </c>
    </row>
    <row r="5555" spans="1:15" x14ac:dyDescent="0.2">
      <c r="A5555" s="111">
        <v>5692</v>
      </c>
      <c r="B5555" s="421" t="s">
        <v>10278</v>
      </c>
      <c r="C5555" s="421" t="s">
        <v>513</v>
      </c>
      <c r="D5555" s="422" t="s">
        <v>663</v>
      </c>
      <c r="F5555" s="421" t="s">
        <v>10279</v>
      </c>
    </row>
    <row r="5556" spans="1:15" x14ac:dyDescent="0.2">
      <c r="A5556" s="111">
        <v>5693</v>
      </c>
      <c r="B5556" s="421" t="s">
        <v>275</v>
      </c>
      <c r="C5556" s="421" t="s">
        <v>501</v>
      </c>
      <c r="D5556" s="422" t="s">
        <v>663</v>
      </c>
      <c r="E5556" s="111">
        <v>17205</v>
      </c>
      <c r="F5556" s="421" t="s">
        <v>10321</v>
      </c>
      <c r="G5556" s="112">
        <v>2</v>
      </c>
      <c r="H5556" s="112">
        <v>2</v>
      </c>
      <c r="I5556" s="112">
        <v>1</v>
      </c>
    </row>
    <row r="5557" spans="1:15" x14ac:dyDescent="0.2">
      <c r="A5557" s="111">
        <v>5694</v>
      </c>
      <c r="B5557" s="421" t="s">
        <v>3852</v>
      </c>
      <c r="C5557" s="421" t="s">
        <v>572</v>
      </c>
      <c r="D5557" s="422" t="s">
        <v>666</v>
      </c>
      <c r="E5557" s="111">
        <v>17206</v>
      </c>
      <c r="F5557" s="421" t="s">
        <v>10322</v>
      </c>
      <c r="G5557" s="112">
        <v>1</v>
      </c>
      <c r="H5557" s="112">
        <v>1</v>
      </c>
      <c r="I5557" s="112">
        <v>1</v>
      </c>
      <c r="K5557" s="112">
        <v>2</v>
      </c>
    </row>
    <row r="5558" spans="1:15" x14ac:dyDescent="0.2">
      <c r="A5558" s="111">
        <v>5695</v>
      </c>
      <c r="B5558" s="421" t="s">
        <v>3530</v>
      </c>
      <c r="C5558" s="421" t="s">
        <v>1674</v>
      </c>
      <c r="D5558" s="422" t="s">
        <v>663</v>
      </c>
      <c r="E5558" s="111">
        <v>17277</v>
      </c>
      <c r="F5558" s="421" t="s">
        <v>10323</v>
      </c>
      <c r="G5558" s="112">
        <v>1</v>
      </c>
      <c r="H5558" s="112">
        <v>1</v>
      </c>
      <c r="I5558" s="112">
        <v>1</v>
      </c>
      <c r="J5558" s="112">
        <v>2</v>
      </c>
      <c r="K5558" s="112">
        <v>1</v>
      </c>
      <c r="L5558" s="112">
        <v>2</v>
      </c>
    </row>
    <row r="5559" spans="1:15" x14ac:dyDescent="0.2">
      <c r="A5559" s="111">
        <v>5696</v>
      </c>
      <c r="B5559" s="421" t="s">
        <v>382</v>
      </c>
      <c r="C5559" s="421" t="s">
        <v>520</v>
      </c>
      <c r="D5559" s="422" t="s">
        <v>663</v>
      </c>
      <c r="E5559" s="111">
        <v>44066</v>
      </c>
      <c r="F5559" s="421" t="s">
        <v>10324</v>
      </c>
    </row>
    <row r="5560" spans="1:15" x14ac:dyDescent="0.2">
      <c r="A5560" s="111">
        <v>5697</v>
      </c>
      <c r="B5560" s="421" t="s">
        <v>307</v>
      </c>
      <c r="C5560" s="421" t="s">
        <v>1908</v>
      </c>
      <c r="D5560" s="422" t="s">
        <v>663</v>
      </c>
      <c r="E5560" s="111">
        <v>44066</v>
      </c>
      <c r="F5560" s="421" t="s">
        <v>10324</v>
      </c>
      <c r="G5560" s="112">
        <v>1</v>
      </c>
      <c r="H5560" s="112">
        <v>1</v>
      </c>
      <c r="I5560" s="112">
        <v>1</v>
      </c>
      <c r="J5560" s="112">
        <v>2</v>
      </c>
      <c r="K5560" s="112">
        <v>1</v>
      </c>
      <c r="L5560" s="112">
        <v>1</v>
      </c>
    </row>
    <row r="5561" spans="1:15" x14ac:dyDescent="0.2">
      <c r="A5561" s="111">
        <v>5698</v>
      </c>
      <c r="B5561" s="421" t="s">
        <v>1490</v>
      </c>
      <c r="C5561" s="421" t="s">
        <v>533</v>
      </c>
      <c r="D5561" s="422" t="s">
        <v>666</v>
      </c>
      <c r="F5561" s="421" t="s">
        <v>4332</v>
      </c>
      <c r="G5561" s="112">
        <v>1</v>
      </c>
      <c r="H5561" s="112">
        <v>1</v>
      </c>
      <c r="I5561" s="112">
        <v>1</v>
      </c>
      <c r="J5561" s="112">
        <v>1</v>
      </c>
      <c r="K5561" s="112">
        <v>1</v>
      </c>
      <c r="L5561" s="112">
        <v>1</v>
      </c>
    </row>
    <row r="5562" spans="1:15" x14ac:dyDescent="0.2">
      <c r="A5562" s="111">
        <v>5699</v>
      </c>
      <c r="B5562" s="421" t="s">
        <v>2096</v>
      </c>
      <c r="C5562" s="421" t="s">
        <v>506</v>
      </c>
      <c r="D5562" s="422" t="s">
        <v>663</v>
      </c>
      <c r="E5562" s="111">
        <v>17208</v>
      </c>
      <c r="F5562" s="421" t="s">
        <v>10325</v>
      </c>
      <c r="G5562" s="112">
        <v>1</v>
      </c>
      <c r="H5562" s="112">
        <v>1</v>
      </c>
      <c r="I5562" s="112">
        <v>1</v>
      </c>
      <c r="J5562" s="112">
        <v>2</v>
      </c>
      <c r="K5562" s="112">
        <v>2</v>
      </c>
      <c r="L5562" s="112">
        <v>1</v>
      </c>
    </row>
    <row r="5563" spans="1:15" x14ac:dyDescent="0.2">
      <c r="A5563" s="111">
        <v>5700</v>
      </c>
      <c r="B5563" s="421" t="s">
        <v>10326</v>
      </c>
      <c r="C5563" s="421" t="s">
        <v>518</v>
      </c>
      <c r="D5563" s="422" t="s">
        <v>666</v>
      </c>
      <c r="F5563" s="421" t="s">
        <v>10327</v>
      </c>
    </row>
    <row r="5564" spans="1:15" x14ac:dyDescent="0.2">
      <c r="A5564" s="111">
        <v>5701</v>
      </c>
      <c r="B5564" s="421" t="s">
        <v>5445</v>
      </c>
      <c r="C5564" s="421" t="s">
        <v>537</v>
      </c>
      <c r="D5564" s="422" t="s">
        <v>666</v>
      </c>
      <c r="E5564" s="111">
        <v>17209</v>
      </c>
      <c r="F5564" s="421" t="s">
        <v>10328</v>
      </c>
      <c r="G5564" s="112">
        <v>1</v>
      </c>
      <c r="H5564" s="112">
        <v>1</v>
      </c>
      <c r="I5564" s="112">
        <v>1</v>
      </c>
      <c r="J5564" s="112">
        <v>1</v>
      </c>
    </row>
    <row r="5565" spans="1:15" x14ac:dyDescent="0.2">
      <c r="A5565" s="111">
        <v>5702</v>
      </c>
      <c r="B5565" s="421" t="s">
        <v>166</v>
      </c>
      <c r="C5565" s="421" t="s">
        <v>1660</v>
      </c>
      <c r="D5565" s="422" t="s">
        <v>663</v>
      </c>
      <c r="E5565" s="111">
        <v>17210</v>
      </c>
      <c r="F5565" s="421" t="s">
        <v>10329</v>
      </c>
      <c r="G5565" s="112">
        <v>1</v>
      </c>
      <c r="H5565" s="112">
        <v>1</v>
      </c>
      <c r="I5565" s="112">
        <v>1</v>
      </c>
      <c r="J5565" s="112">
        <v>3</v>
      </c>
      <c r="K5565" s="112">
        <v>4</v>
      </c>
      <c r="L5565" s="112">
        <v>2</v>
      </c>
    </row>
    <row r="5566" spans="1:15" x14ac:dyDescent="0.2">
      <c r="A5566" s="111">
        <v>5703</v>
      </c>
      <c r="B5566" s="421" t="s">
        <v>1273</v>
      </c>
      <c r="C5566" s="421" t="s">
        <v>550</v>
      </c>
      <c r="D5566" s="422" t="s">
        <v>666</v>
      </c>
      <c r="E5566" s="111">
        <v>16133</v>
      </c>
      <c r="F5566" s="421" t="s">
        <v>6487</v>
      </c>
      <c r="G5566" s="112">
        <v>2</v>
      </c>
      <c r="H5566" s="112">
        <v>2</v>
      </c>
      <c r="I5566" s="112">
        <v>1</v>
      </c>
    </row>
    <row r="5567" spans="1:15" x14ac:dyDescent="0.2">
      <c r="A5567" s="111">
        <v>5704</v>
      </c>
      <c r="B5567" s="421" t="s">
        <v>10330</v>
      </c>
      <c r="C5567" s="421" t="s">
        <v>2932</v>
      </c>
      <c r="D5567" s="422" t="s">
        <v>663</v>
      </c>
      <c r="E5567" s="111">
        <v>17213</v>
      </c>
      <c r="F5567" s="421" t="s">
        <v>10331</v>
      </c>
      <c r="G5567" s="112">
        <v>1</v>
      </c>
      <c r="H5567" s="112">
        <v>1</v>
      </c>
      <c r="I5567" s="112">
        <v>1</v>
      </c>
      <c r="J5567" s="112">
        <v>2</v>
      </c>
      <c r="K5567" s="112">
        <v>2</v>
      </c>
      <c r="L5567" s="112">
        <v>1</v>
      </c>
    </row>
    <row r="5568" spans="1:15" x14ac:dyDescent="0.2">
      <c r="A5568" s="111">
        <v>5705</v>
      </c>
      <c r="B5568" s="421" t="s">
        <v>10332</v>
      </c>
      <c r="C5568" s="421" t="s">
        <v>503</v>
      </c>
      <c r="D5568" s="422" t="s">
        <v>663</v>
      </c>
      <c r="E5568" s="111">
        <v>17214</v>
      </c>
      <c r="F5568" s="421" t="s">
        <v>10333</v>
      </c>
      <c r="G5568" s="112">
        <v>1</v>
      </c>
      <c r="H5568" s="112">
        <v>1</v>
      </c>
    </row>
    <row r="5569" spans="1:15" x14ac:dyDescent="0.2">
      <c r="A5569" s="111">
        <v>5706</v>
      </c>
      <c r="B5569" s="421" t="s">
        <v>440</v>
      </c>
      <c r="C5569" s="421" t="s">
        <v>503</v>
      </c>
      <c r="D5569" s="422" t="s">
        <v>666</v>
      </c>
      <c r="E5569" s="111">
        <v>17081</v>
      </c>
      <c r="F5569" s="421" t="s">
        <v>9973</v>
      </c>
      <c r="G5569" s="112">
        <v>1</v>
      </c>
      <c r="H5569" s="112">
        <v>1</v>
      </c>
      <c r="I5569" s="112">
        <v>1</v>
      </c>
      <c r="J5569" s="112">
        <v>1</v>
      </c>
      <c r="K5569" s="112">
        <v>1</v>
      </c>
      <c r="L5569" s="112">
        <v>1</v>
      </c>
    </row>
    <row r="5570" spans="1:15" x14ac:dyDescent="0.2">
      <c r="A5570" s="111">
        <v>5707</v>
      </c>
      <c r="B5570" s="421" t="s">
        <v>6016</v>
      </c>
      <c r="C5570" s="421" t="s">
        <v>501</v>
      </c>
      <c r="D5570" s="422" t="s">
        <v>663</v>
      </c>
      <c r="E5570" s="111">
        <v>15462</v>
      </c>
      <c r="F5570" s="421" t="s">
        <v>4446</v>
      </c>
      <c r="H5570" s="112">
        <v>1</v>
      </c>
    </row>
    <row r="5571" spans="1:15" x14ac:dyDescent="0.2">
      <c r="A5571" s="111">
        <v>5708</v>
      </c>
      <c r="B5571" s="421" t="s">
        <v>266</v>
      </c>
      <c r="C5571" s="421" t="s">
        <v>518</v>
      </c>
      <c r="D5571" s="422" t="s">
        <v>663</v>
      </c>
      <c r="E5571" s="111">
        <v>17215</v>
      </c>
      <c r="F5571" s="421" t="s">
        <v>10334</v>
      </c>
      <c r="G5571" s="112">
        <v>1</v>
      </c>
      <c r="H5571" s="112">
        <v>1</v>
      </c>
      <c r="I5571" s="112">
        <v>1</v>
      </c>
    </row>
    <row r="5572" spans="1:15" x14ac:dyDescent="0.2">
      <c r="A5572" s="111">
        <v>5709</v>
      </c>
      <c r="B5572" s="421" t="s">
        <v>1214</v>
      </c>
      <c r="C5572" s="421" t="s">
        <v>1112</v>
      </c>
      <c r="D5572" s="422" t="s">
        <v>666</v>
      </c>
      <c r="F5572" s="421" t="s">
        <v>9392</v>
      </c>
      <c r="G5572" s="112">
        <v>1</v>
      </c>
      <c r="H5572" s="112">
        <v>1</v>
      </c>
      <c r="I5572" s="112">
        <v>1</v>
      </c>
      <c r="J5572" s="112">
        <v>3</v>
      </c>
      <c r="K5572" s="112">
        <v>1</v>
      </c>
      <c r="M5572" s="112">
        <v>1</v>
      </c>
    </row>
    <row r="5573" spans="1:15" x14ac:dyDescent="0.2">
      <c r="A5573" s="111">
        <v>5710</v>
      </c>
      <c r="B5573" s="421" t="s">
        <v>6236</v>
      </c>
      <c r="C5573" s="421" t="s">
        <v>501</v>
      </c>
      <c r="D5573" s="422" t="s">
        <v>663</v>
      </c>
      <c r="E5573" s="111">
        <v>16493</v>
      </c>
      <c r="F5573" s="421" t="s">
        <v>7717</v>
      </c>
      <c r="G5573" s="112">
        <v>1</v>
      </c>
      <c r="H5573" s="112">
        <v>1</v>
      </c>
      <c r="I5573" s="112">
        <v>1</v>
      </c>
    </row>
    <row r="5574" spans="1:15" x14ac:dyDescent="0.2">
      <c r="A5574" s="111">
        <v>5711</v>
      </c>
      <c r="B5574" s="421" t="s">
        <v>10335</v>
      </c>
      <c r="C5574" s="421" t="s">
        <v>506</v>
      </c>
      <c r="D5574" s="422" t="s">
        <v>663</v>
      </c>
      <c r="E5574" s="111">
        <v>17216</v>
      </c>
      <c r="F5574" s="421" t="s">
        <v>886</v>
      </c>
      <c r="G5574" s="112">
        <v>1</v>
      </c>
      <c r="H5574" s="112">
        <v>1</v>
      </c>
      <c r="I5574" s="112">
        <v>1</v>
      </c>
      <c r="J5574" s="112">
        <v>1</v>
      </c>
    </row>
    <row r="5575" spans="1:15" x14ac:dyDescent="0.2">
      <c r="A5575" s="111">
        <v>5712</v>
      </c>
      <c r="B5575" s="421" t="s">
        <v>4443</v>
      </c>
      <c r="C5575" s="421" t="s">
        <v>534</v>
      </c>
      <c r="D5575" s="422" t="s">
        <v>666</v>
      </c>
      <c r="E5575" s="111">
        <v>17131</v>
      </c>
      <c r="F5575" s="421" t="s">
        <v>10336</v>
      </c>
      <c r="G5575" s="112">
        <v>1</v>
      </c>
      <c r="H5575" s="112">
        <v>1</v>
      </c>
      <c r="I5575" s="112">
        <v>1</v>
      </c>
      <c r="J5575" s="112">
        <v>1</v>
      </c>
      <c r="K5575" s="112">
        <v>1</v>
      </c>
      <c r="L5575" s="112">
        <v>1</v>
      </c>
      <c r="M5575" s="112">
        <v>1</v>
      </c>
    </row>
    <row r="5576" spans="1:15" x14ac:dyDescent="0.2">
      <c r="A5576" s="111">
        <v>5713</v>
      </c>
      <c r="B5576" s="421" t="s">
        <v>10337</v>
      </c>
      <c r="C5576" s="421" t="s">
        <v>526</v>
      </c>
      <c r="D5576" s="422" t="s">
        <v>666</v>
      </c>
      <c r="F5576" s="421" t="s">
        <v>10338</v>
      </c>
      <c r="H5576" s="112">
        <v>1</v>
      </c>
    </row>
    <row r="5577" spans="1:15" x14ac:dyDescent="0.2">
      <c r="A5577" s="111">
        <v>5714</v>
      </c>
      <c r="B5577" s="421" t="s">
        <v>163</v>
      </c>
      <c r="C5577" s="421" t="s">
        <v>1201</v>
      </c>
      <c r="D5577" s="422" t="s">
        <v>663</v>
      </c>
      <c r="E5577" s="111">
        <v>17218</v>
      </c>
      <c r="F5577" s="421" t="s">
        <v>10339</v>
      </c>
      <c r="G5577" s="112">
        <v>1</v>
      </c>
      <c r="H5577" s="112">
        <v>1</v>
      </c>
      <c r="I5577" s="112">
        <v>1</v>
      </c>
      <c r="J5577" s="112">
        <v>2</v>
      </c>
      <c r="K5577" s="112">
        <v>2</v>
      </c>
      <c r="L5577" s="112">
        <v>2</v>
      </c>
    </row>
    <row r="5578" spans="1:15" x14ac:dyDescent="0.2">
      <c r="A5578" s="111">
        <v>5715</v>
      </c>
      <c r="B5578" s="421" t="s">
        <v>10340</v>
      </c>
      <c r="C5578" s="421" t="s">
        <v>506</v>
      </c>
      <c r="D5578" s="422" t="s">
        <v>663</v>
      </c>
      <c r="E5578" s="111">
        <v>17063</v>
      </c>
      <c r="F5578" s="421" t="s">
        <v>9830</v>
      </c>
      <c r="G5578" s="112">
        <v>1</v>
      </c>
      <c r="H5578" s="112">
        <v>1</v>
      </c>
      <c r="I5578" s="112">
        <v>1</v>
      </c>
      <c r="K5578" s="112">
        <v>1</v>
      </c>
      <c r="L5578" s="112">
        <v>3</v>
      </c>
    </row>
    <row r="5579" spans="1:15" x14ac:dyDescent="0.2">
      <c r="A5579" s="111">
        <v>5716</v>
      </c>
      <c r="B5579" s="421" t="s">
        <v>2329</v>
      </c>
      <c r="C5579" s="421" t="s">
        <v>506</v>
      </c>
      <c r="D5579" s="422" t="s">
        <v>663</v>
      </c>
      <c r="E5579" s="111">
        <v>44187</v>
      </c>
      <c r="F5579" s="421" t="s">
        <v>10341</v>
      </c>
      <c r="G5579" s="112">
        <v>1</v>
      </c>
      <c r="H5579" s="112">
        <v>1</v>
      </c>
      <c r="I5579" s="112">
        <v>1</v>
      </c>
      <c r="J5579" s="112">
        <v>3</v>
      </c>
      <c r="K5579" s="112">
        <v>3</v>
      </c>
      <c r="L5579" s="112">
        <v>3</v>
      </c>
      <c r="M5579" s="112">
        <v>6</v>
      </c>
      <c r="N5579" s="112">
        <v>2</v>
      </c>
      <c r="O5579" s="112">
        <v>6</v>
      </c>
    </row>
    <row r="5580" spans="1:15" x14ac:dyDescent="0.2">
      <c r="A5580" s="111">
        <v>5717</v>
      </c>
      <c r="B5580" s="421" t="s">
        <v>2916</v>
      </c>
      <c r="C5580" s="421" t="s">
        <v>550</v>
      </c>
      <c r="D5580" s="422" t="s">
        <v>663</v>
      </c>
      <c r="F5580" s="421" t="s">
        <v>10342</v>
      </c>
      <c r="G5580" s="112">
        <v>1</v>
      </c>
      <c r="H5580" s="112">
        <v>1</v>
      </c>
      <c r="I5580" s="112">
        <v>1</v>
      </c>
    </row>
    <row r="5581" spans="1:15" x14ac:dyDescent="0.2">
      <c r="A5581" s="111">
        <v>5718</v>
      </c>
      <c r="B5581" s="421" t="s">
        <v>356</v>
      </c>
      <c r="C5581" s="421" t="s">
        <v>502</v>
      </c>
      <c r="D5581" s="422" t="s">
        <v>663</v>
      </c>
      <c r="E5581" s="111">
        <v>17220</v>
      </c>
      <c r="F5581" s="421" t="s">
        <v>3334</v>
      </c>
    </row>
    <row r="5582" spans="1:15" x14ac:dyDescent="0.2">
      <c r="A5582" s="111">
        <v>5719</v>
      </c>
      <c r="B5582" s="421" t="s">
        <v>3239</v>
      </c>
      <c r="C5582" s="421" t="s">
        <v>502</v>
      </c>
      <c r="D5582" s="422" t="s">
        <v>663</v>
      </c>
      <c r="E5582" s="111">
        <v>17220</v>
      </c>
      <c r="F5582" s="421" t="s">
        <v>3334</v>
      </c>
    </row>
    <row r="5583" spans="1:15" x14ac:dyDescent="0.2">
      <c r="A5583" s="111">
        <v>5720</v>
      </c>
      <c r="B5583" s="421" t="s">
        <v>119</v>
      </c>
      <c r="C5583" s="421" t="s">
        <v>533</v>
      </c>
      <c r="D5583" s="422" t="s">
        <v>663</v>
      </c>
      <c r="E5583" s="111">
        <v>17221</v>
      </c>
      <c r="F5583" s="421" t="s">
        <v>10343</v>
      </c>
    </row>
    <row r="5584" spans="1:15" x14ac:dyDescent="0.2">
      <c r="A5584" s="111">
        <v>5721</v>
      </c>
      <c r="B5584" s="421" t="s">
        <v>10344</v>
      </c>
      <c r="C5584" s="421" t="s">
        <v>513</v>
      </c>
      <c r="D5584" s="422" t="s">
        <v>663</v>
      </c>
      <c r="E5584" s="111">
        <v>44057</v>
      </c>
      <c r="F5584" s="421" t="s">
        <v>10345</v>
      </c>
      <c r="G5584" s="112">
        <v>1</v>
      </c>
      <c r="H5584" s="112">
        <v>1</v>
      </c>
      <c r="I5584" s="112">
        <v>1</v>
      </c>
      <c r="J5584" s="112">
        <v>3</v>
      </c>
      <c r="K5584" s="112">
        <v>3</v>
      </c>
      <c r="L5584" s="112">
        <v>3</v>
      </c>
      <c r="M5584" s="112">
        <v>1</v>
      </c>
      <c r="N5584" s="112">
        <v>1</v>
      </c>
      <c r="O5584" s="112">
        <v>1</v>
      </c>
    </row>
    <row r="5585" spans="1:15" x14ac:dyDescent="0.2">
      <c r="A5585" s="111">
        <v>5722</v>
      </c>
      <c r="B5585" s="421" t="s">
        <v>186</v>
      </c>
      <c r="C5585" s="421" t="s">
        <v>526</v>
      </c>
      <c r="D5585" s="422" t="s">
        <v>666</v>
      </c>
      <c r="E5585" s="111">
        <v>16346</v>
      </c>
      <c r="F5585" s="421" t="s">
        <v>7232</v>
      </c>
    </row>
    <row r="5586" spans="1:15" x14ac:dyDescent="0.2">
      <c r="A5586" s="111">
        <v>5723</v>
      </c>
      <c r="B5586" s="421" t="s">
        <v>3316</v>
      </c>
      <c r="C5586" s="421" t="s">
        <v>5506</v>
      </c>
      <c r="D5586" s="422" t="s">
        <v>663</v>
      </c>
      <c r="E5586" s="111">
        <v>17222</v>
      </c>
      <c r="F5586" s="421" t="s">
        <v>10346</v>
      </c>
    </row>
    <row r="5587" spans="1:15" x14ac:dyDescent="0.2">
      <c r="A5587" s="111">
        <v>5724</v>
      </c>
      <c r="B5587" s="421" t="s">
        <v>216</v>
      </c>
      <c r="C5587" s="421" t="s">
        <v>501</v>
      </c>
      <c r="D5587" s="422" t="s">
        <v>663</v>
      </c>
      <c r="E5587" s="111">
        <v>17234</v>
      </c>
      <c r="F5587" s="421" t="s">
        <v>10347</v>
      </c>
      <c r="G5587" s="112">
        <v>1</v>
      </c>
      <c r="H5587" s="112">
        <v>1</v>
      </c>
      <c r="I5587" s="112">
        <v>2</v>
      </c>
      <c r="J5587" s="112">
        <v>2</v>
      </c>
      <c r="K5587" s="112">
        <v>2</v>
      </c>
      <c r="L5587" s="112">
        <v>2</v>
      </c>
      <c r="M5587" s="112">
        <v>2</v>
      </c>
      <c r="N5587" s="112">
        <v>1</v>
      </c>
      <c r="O5587" s="112">
        <v>4</v>
      </c>
    </row>
    <row r="5588" spans="1:15" x14ac:dyDescent="0.2">
      <c r="A5588" s="111">
        <v>5725</v>
      </c>
      <c r="B5588" s="421" t="s">
        <v>10348</v>
      </c>
      <c r="C5588" s="421" t="s">
        <v>570</v>
      </c>
      <c r="D5588" s="422" t="s">
        <v>666</v>
      </c>
      <c r="E5588" s="111">
        <v>17223</v>
      </c>
      <c r="F5588" s="421" t="s">
        <v>10349</v>
      </c>
      <c r="G5588" s="112">
        <v>1</v>
      </c>
      <c r="H5588" s="112">
        <v>1</v>
      </c>
      <c r="I5588" s="112">
        <v>1</v>
      </c>
      <c r="K5588" s="112">
        <v>1</v>
      </c>
      <c r="L5588" s="112">
        <v>2</v>
      </c>
    </row>
    <row r="5589" spans="1:15" x14ac:dyDescent="0.2">
      <c r="A5589" s="111">
        <v>5726</v>
      </c>
      <c r="B5589" s="421" t="s">
        <v>4194</v>
      </c>
      <c r="C5589" s="421" t="s">
        <v>511</v>
      </c>
      <c r="D5589" s="422" t="s">
        <v>663</v>
      </c>
      <c r="E5589" s="111">
        <v>17224</v>
      </c>
      <c r="F5589" s="421" t="s">
        <v>10350</v>
      </c>
      <c r="G5589" s="112">
        <v>1</v>
      </c>
      <c r="H5589" s="112">
        <v>1</v>
      </c>
      <c r="I5589" s="112">
        <v>1</v>
      </c>
      <c r="J5589" s="112">
        <v>1</v>
      </c>
      <c r="K5589" s="112">
        <v>1</v>
      </c>
      <c r="L5589" s="112">
        <v>1</v>
      </c>
    </row>
    <row r="5590" spans="1:15" x14ac:dyDescent="0.2">
      <c r="A5590" s="111">
        <v>5727</v>
      </c>
      <c r="B5590" s="421" t="s">
        <v>1933</v>
      </c>
      <c r="C5590" s="421" t="s">
        <v>501</v>
      </c>
      <c r="D5590" s="422" t="s">
        <v>666</v>
      </c>
      <c r="E5590" s="111">
        <v>14383</v>
      </c>
      <c r="F5590" s="421" t="s">
        <v>1242</v>
      </c>
      <c r="G5590" s="112">
        <v>1</v>
      </c>
      <c r="H5590" s="112">
        <v>1</v>
      </c>
      <c r="I5590" s="112">
        <v>1</v>
      </c>
      <c r="J5590" s="112">
        <v>13</v>
      </c>
      <c r="K5590" s="112">
        <v>14</v>
      </c>
      <c r="L5590" s="112">
        <v>11</v>
      </c>
      <c r="M5590" s="112">
        <v>16</v>
      </c>
      <c r="N5590" s="112">
        <v>8</v>
      </c>
      <c r="O5590" s="112">
        <v>11</v>
      </c>
    </row>
    <row r="5591" spans="1:15" x14ac:dyDescent="0.2">
      <c r="A5591" s="111">
        <v>5728</v>
      </c>
      <c r="B5591" s="421" t="s">
        <v>1428</v>
      </c>
      <c r="C5591" s="421" t="s">
        <v>545</v>
      </c>
      <c r="D5591" s="422" t="s">
        <v>663</v>
      </c>
      <c r="E5591" s="111">
        <v>17225</v>
      </c>
      <c r="F5591" s="421" t="s">
        <v>10351</v>
      </c>
      <c r="H5591" s="112">
        <v>1</v>
      </c>
      <c r="I5591" s="112">
        <v>1</v>
      </c>
    </row>
    <row r="5592" spans="1:15" x14ac:dyDescent="0.2">
      <c r="A5592" s="111">
        <v>5729</v>
      </c>
      <c r="B5592" s="421" t="s">
        <v>1543</v>
      </c>
      <c r="C5592" s="421" t="s">
        <v>550</v>
      </c>
      <c r="D5592" s="422" t="s">
        <v>663</v>
      </c>
      <c r="E5592" s="111">
        <v>17226</v>
      </c>
      <c r="F5592" s="421" t="s">
        <v>10352</v>
      </c>
      <c r="G5592" s="112">
        <v>1</v>
      </c>
      <c r="H5592" s="112">
        <v>1</v>
      </c>
      <c r="I5592" s="112">
        <v>1</v>
      </c>
      <c r="J5592" s="112">
        <v>2</v>
      </c>
      <c r="K5592" s="112">
        <v>2</v>
      </c>
    </row>
    <row r="5593" spans="1:15" x14ac:dyDescent="0.2">
      <c r="A5593" s="111">
        <v>5730</v>
      </c>
      <c r="B5593" s="421" t="s">
        <v>10353</v>
      </c>
      <c r="C5593" s="421" t="s">
        <v>501</v>
      </c>
      <c r="D5593" s="422" t="s">
        <v>663</v>
      </c>
      <c r="E5593" s="111">
        <v>17326</v>
      </c>
      <c r="F5593" s="421" t="s">
        <v>10354</v>
      </c>
      <c r="G5593" s="112">
        <v>2</v>
      </c>
      <c r="H5593" s="112">
        <v>1</v>
      </c>
      <c r="I5593" s="112">
        <v>2</v>
      </c>
      <c r="J5593" s="112">
        <v>1</v>
      </c>
      <c r="L5593" s="112">
        <v>1</v>
      </c>
    </row>
    <row r="5594" spans="1:15" x14ac:dyDescent="0.2">
      <c r="A5594" s="111">
        <v>5731</v>
      </c>
      <c r="B5594" s="421" t="s">
        <v>10355</v>
      </c>
      <c r="C5594" s="421" t="s">
        <v>509</v>
      </c>
      <c r="D5594" s="422" t="s">
        <v>663</v>
      </c>
      <c r="E5594" s="111">
        <v>17227</v>
      </c>
      <c r="F5594" s="421" t="s">
        <v>10356</v>
      </c>
      <c r="I5594" s="112">
        <v>1</v>
      </c>
    </row>
    <row r="5595" spans="1:15" x14ac:dyDescent="0.2">
      <c r="A5595" s="111">
        <v>5732</v>
      </c>
      <c r="B5595" s="421" t="s">
        <v>1254</v>
      </c>
      <c r="C5595" s="421" t="s">
        <v>10357</v>
      </c>
      <c r="D5595" s="422" t="s">
        <v>663</v>
      </c>
      <c r="E5595" s="111">
        <v>17228</v>
      </c>
      <c r="F5595" s="421" t="s">
        <v>10358</v>
      </c>
    </row>
    <row r="5596" spans="1:15" x14ac:dyDescent="0.2">
      <c r="A5596" s="111">
        <v>5733</v>
      </c>
      <c r="B5596" s="421" t="s">
        <v>10359</v>
      </c>
      <c r="C5596" s="421" t="s">
        <v>553</v>
      </c>
      <c r="D5596" s="422" t="s">
        <v>666</v>
      </c>
      <c r="E5596" s="111">
        <v>17229</v>
      </c>
      <c r="F5596" s="421" t="s">
        <v>10360</v>
      </c>
      <c r="G5596" s="112">
        <v>1</v>
      </c>
      <c r="H5596" s="112">
        <v>1</v>
      </c>
      <c r="I5596" s="112">
        <v>1</v>
      </c>
      <c r="J5596" s="112">
        <v>4</v>
      </c>
      <c r="K5596" s="112">
        <v>3</v>
      </c>
      <c r="L5596" s="112">
        <v>4</v>
      </c>
      <c r="M5596" s="112">
        <v>3</v>
      </c>
      <c r="N5596" s="112">
        <v>2</v>
      </c>
      <c r="O5596" s="112">
        <v>1</v>
      </c>
    </row>
    <row r="5597" spans="1:15" x14ac:dyDescent="0.2">
      <c r="A5597" s="111">
        <v>5734</v>
      </c>
      <c r="B5597" s="421" t="s">
        <v>10361</v>
      </c>
      <c r="C5597" s="421" t="s">
        <v>502</v>
      </c>
      <c r="D5597" s="422" t="s">
        <v>663</v>
      </c>
      <c r="E5597" s="111">
        <v>17230</v>
      </c>
      <c r="F5597" s="421" t="s">
        <v>10362</v>
      </c>
      <c r="G5597" s="112">
        <v>1</v>
      </c>
      <c r="H5597" s="112">
        <v>1</v>
      </c>
      <c r="I5597" s="112">
        <v>1</v>
      </c>
    </row>
    <row r="5598" spans="1:15" x14ac:dyDescent="0.2">
      <c r="A5598" s="111">
        <v>5735</v>
      </c>
      <c r="B5598" s="421" t="s">
        <v>8718</v>
      </c>
      <c r="C5598" s="421" t="s">
        <v>502</v>
      </c>
      <c r="D5598" s="422" t="s">
        <v>663</v>
      </c>
      <c r="E5598" s="111">
        <v>16259</v>
      </c>
      <c r="F5598" s="421" t="s">
        <v>6595</v>
      </c>
      <c r="G5598" s="112">
        <v>1</v>
      </c>
      <c r="H5598" s="112">
        <v>1</v>
      </c>
      <c r="I5598" s="112">
        <v>1</v>
      </c>
      <c r="J5598" s="112">
        <v>6</v>
      </c>
      <c r="K5598" s="112">
        <v>5</v>
      </c>
      <c r="L5598" s="112">
        <v>6</v>
      </c>
      <c r="M5598" s="112">
        <v>5</v>
      </c>
      <c r="N5598" s="112">
        <v>3</v>
      </c>
      <c r="O5598" s="112">
        <v>2</v>
      </c>
    </row>
    <row r="5599" spans="1:15" x14ac:dyDescent="0.2">
      <c r="A5599" s="111">
        <v>5736</v>
      </c>
      <c r="B5599" s="421" t="s">
        <v>10363</v>
      </c>
      <c r="C5599" s="421" t="s">
        <v>503</v>
      </c>
      <c r="D5599" s="422" t="s">
        <v>666</v>
      </c>
      <c r="E5599" s="111">
        <v>17231</v>
      </c>
      <c r="F5599" s="421" t="s">
        <v>10364</v>
      </c>
      <c r="G5599" s="112">
        <v>2</v>
      </c>
      <c r="H5599" s="112">
        <v>2</v>
      </c>
      <c r="I5599" s="112">
        <v>2</v>
      </c>
      <c r="J5599" s="112">
        <v>5</v>
      </c>
      <c r="K5599" s="112">
        <v>5</v>
      </c>
      <c r="L5599" s="112">
        <v>4</v>
      </c>
      <c r="M5599" s="112">
        <v>2</v>
      </c>
      <c r="O5599" s="112">
        <v>4</v>
      </c>
    </row>
    <row r="5600" spans="1:15" x14ac:dyDescent="0.2">
      <c r="A5600" s="111">
        <v>5737</v>
      </c>
      <c r="B5600" s="421" t="s">
        <v>1509</v>
      </c>
      <c r="C5600" s="421" t="s">
        <v>510</v>
      </c>
      <c r="D5600" s="422" t="s">
        <v>666</v>
      </c>
      <c r="E5600" s="111">
        <v>17232</v>
      </c>
      <c r="F5600" s="421" t="s">
        <v>10365</v>
      </c>
      <c r="G5600" s="112">
        <v>1</v>
      </c>
      <c r="H5600" s="112">
        <v>1</v>
      </c>
      <c r="I5600" s="112">
        <v>1</v>
      </c>
      <c r="J5600" s="112">
        <v>4</v>
      </c>
      <c r="K5600" s="112">
        <v>1</v>
      </c>
      <c r="L5600" s="112">
        <v>1</v>
      </c>
      <c r="M5600" s="112">
        <v>4</v>
      </c>
      <c r="O5600" s="112">
        <v>1</v>
      </c>
    </row>
    <row r="5601" spans="1:15" x14ac:dyDescent="0.2">
      <c r="A5601" s="111">
        <v>5738</v>
      </c>
      <c r="B5601" s="421" t="s">
        <v>6316</v>
      </c>
      <c r="C5601" s="421" t="s">
        <v>510</v>
      </c>
      <c r="D5601" s="422" t="s">
        <v>666</v>
      </c>
      <c r="E5601" s="111">
        <v>17233</v>
      </c>
      <c r="F5601" s="421" t="s">
        <v>10366</v>
      </c>
      <c r="G5601" s="112">
        <v>1</v>
      </c>
      <c r="H5601" s="112">
        <v>1</v>
      </c>
      <c r="I5601" s="112">
        <v>1</v>
      </c>
      <c r="J5601" s="112">
        <v>4</v>
      </c>
      <c r="K5601" s="112">
        <v>4</v>
      </c>
      <c r="L5601" s="112">
        <v>4</v>
      </c>
      <c r="M5601" s="112">
        <v>4</v>
      </c>
      <c r="N5601" s="112">
        <v>2</v>
      </c>
      <c r="O5601" s="112">
        <v>2</v>
      </c>
    </row>
    <row r="5602" spans="1:15" x14ac:dyDescent="0.2">
      <c r="A5602" s="111">
        <v>5739</v>
      </c>
      <c r="B5602" s="421" t="s">
        <v>10382</v>
      </c>
      <c r="C5602" s="421" t="s">
        <v>501</v>
      </c>
      <c r="D5602" s="422" t="s">
        <v>666</v>
      </c>
      <c r="F5602" s="421" t="s">
        <v>10383</v>
      </c>
      <c r="G5602" s="112">
        <v>2</v>
      </c>
      <c r="H5602" s="112">
        <v>1</v>
      </c>
      <c r="I5602" s="112">
        <v>1</v>
      </c>
      <c r="J5602" s="112">
        <v>1</v>
      </c>
      <c r="K5602" s="112">
        <v>2</v>
      </c>
      <c r="L5602" s="112">
        <v>2</v>
      </c>
    </row>
    <row r="5603" spans="1:15" x14ac:dyDescent="0.2">
      <c r="A5603" s="111">
        <v>5740</v>
      </c>
      <c r="B5603" s="421" t="s">
        <v>402</v>
      </c>
      <c r="C5603" s="421" t="s">
        <v>570</v>
      </c>
      <c r="D5603" s="422" t="s">
        <v>663</v>
      </c>
      <c r="E5603" s="111">
        <v>16999</v>
      </c>
      <c r="F5603" s="421" t="s">
        <v>9665</v>
      </c>
      <c r="G5603" s="112">
        <v>1</v>
      </c>
      <c r="H5603" s="112">
        <v>1</v>
      </c>
      <c r="I5603" s="112">
        <v>1</v>
      </c>
      <c r="J5603" s="112">
        <v>4</v>
      </c>
      <c r="K5603" s="112">
        <v>2</v>
      </c>
      <c r="L5603" s="112">
        <v>1</v>
      </c>
    </row>
    <row r="5604" spans="1:15" x14ac:dyDescent="0.2">
      <c r="A5604" s="111">
        <v>5741</v>
      </c>
      <c r="B5604" s="421" t="s">
        <v>439</v>
      </c>
      <c r="C5604" s="421" t="s">
        <v>533</v>
      </c>
      <c r="D5604" s="422" t="s">
        <v>663</v>
      </c>
      <c r="E5604" s="111">
        <v>17235</v>
      </c>
      <c r="F5604" s="421" t="s">
        <v>10384</v>
      </c>
    </row>
    <row r="5605" spans="1:15" x14ac:dyDescent="0.2">
      <c r="A5605" s="111">
        <v>5742</v>
      </c>
      <c r="B5605" s="421" t="s">
        <v>291</v>
      </c>
      <c r="C5605" s="421" t="s">
        <v>506</v>
      </c>
      <c r="D5605" s="422" t="s">
        <v>666</v>
      </c>
      <c r="E5605" s="111">
        <v>17235</v>
      </c>
      <c r="F5605" s="421" t="s">
        <v>10384</v>
      </c>
    </row>
    <row r="5606" spans="1:15" x14ac:dyDescent="0.2">
      <c r="A5606" s="111">
        <v>5743</v>
      </c>
      <c r="B5606" s="421" t="s">
        <v>2204</v>
      </c>
      <c r="C5606" s="421" t="s">
        <v>523</v>
      </c>
      <c r="D5606" s="422" t="s">
        <v>666</v>
      </c>
      <c r="E5606" s="111">
        <v>16476</v>
      </c>
      <c r="F5606" s="421" t="s">
        <v>5132</v>
      </c>
      <c r="G5606" s="112">
        <v>1</v>
      </c>
      <c r="H5606" s="112">
        <v>1</v>
      </c>
      <c r="I5606" s="112">
        <v>1</v>
      </c>
    </row>
    <row r="5607" spans="1:15" x14ac:dyDescent="0.2">
      <c r="A5607" s="111">
        <v>5744</v>
      </c>
      <c r="B5607" s="421" t="s">
        <v>10385</v>
      </c>
      <c r="C5607" s="421" t="s">
        <v>503</v>
      </c>
      <c r="D5607" s="422" t="s">
        <v>663</v>
      </c>
      <c r="E5607" s="111">
        <v>17236</v>
      </c>
      <c r="F5607" s="421" t="s">
        <v>10386</v>
      </c>
      <c r="G5607" s="112">
        <v>1</v>
      </c>
      <c r="H5607" s="112">
        <v>1</v>
      </c>
      <c r="I5607" s="112">
        <v>1</v>
      </c>
      <c r="J5607" s="112">
        <v>1</v>
      </c>
      <c r="K5607" s="112">
        <v>2</v>
      </c>
      <c r="L5607" s="112">
        <v>1</v>
      </c>
    </row>
    <row r="5608" spans="1:15" x14ac:dyDescent="0.2">
      <c r="A5608" s="111">
        <v>5745</v>
      </c>
      <c r="B5608" s="421" t="s">
        <v>10387</v>
      </c>
      <c r="C5608" s="421" t="s">
        <v>559</v>
      </c>
      <c r="D5608" s="422" t="s">
        <v>666</v>
      </c>
      <c r="E5608" s="111">
        <v>17237</v>
      </c>
      <c r="F5608" s="421" t="s">
        <v>10388</v>
      </c>
    </row>
    <row r="5609" spans="1:15" x14ac:dyDescent="0.2">
      <c r="A5609" s="111">
        <v>5746</v>
      </c>
      <c r="B5609" s="421" t="s">
        <v>10389</v>
      </c>
      <c r="C5609" s="421" t="s">
        <v>547</v>
      </c>
      <c r="D5609" s="422" t="s">
        <v>663</v>
      </c>
      <c r="E5609" s="111">
        <v>17238</v>
      </c>
      <c r="F5609" s="421" t="s">
        <v>10390</v>
      </c>
    </row>
    <row r="5610" spans="1:15" x14ac:dyDescent="0.2">
      <c r="A5610" s="111">
        <v>5747</v>
      </c>
      <c r="B5610" s="421" t="s">
        <v>265</v>
      </c>
      <c r="C5610" s="421" t="s">
        <v>501</v>
      </c>
      <c r="D5610" s="422" t="s">
        <v>663</v>
      </c>
      <c r="E5610" s="111">
        <v>17238</v>
      </c>
      <c r="F5610" s="421" t="s">
        <v>10390</v>
      </c>
      <c r="G5610" s="112">
        <v>1</v>
      </c>
      <c r="H5610" s="112">
        <v>1</v>
      </c>
      <c r="I5610" s="112">
        <v>1</v>
      </c>
    </row>
    <row r="5611" spans="1:15" x14ac:dyDescent="0.2">
      <c r="A5611" s="111">
        <v>5748</v>
      </c>
      <c r="B5611" s="421" t="s">
        <v>5332</v>
      </c>
      <c r="C5611" s="421" t="s">
        <v>510</v>
      </c>
      <c r="D5611" s="422" t="s">
        <v>663</v>
      </c>
      <c r="E5611" s="111">
        <v>17239</v>
      </c>
      <c r="F5611" s="421" t="s">
        <v>10391</v>
      </c>
      <c r="G5611" s="112">
        <v>1</v>
      </c>
      <c r="H5611" s="112">
        <v>1</v>
      </c>
      <c r="I5611" s="112">
        <v>1</v>
      </c>
      <c r="J5611" s="112">
        <v>1</v>
      </c>
      <c r="K5611" s="112">
        <v>1</v>
      </c>
      <c r="L5611" s="112">
        <v>1</v>
      </c>
    </row>
    <row r="5612" spans="1:15" x14ac:dyDescent="0.2">
      <c r="A5612" s="111">
        <v>5749</v>
      </c>
      <c r="B5612" s="421" t="s">
        <v>306</v>
      </c>
      <c r="C5612" s="421" t="s">
        <v>503</v>
      </c>
      <c r="D5612" s="422" t="s">
        <v>666</v>
      </c>
      <c r="F5612" s="421" t="s">
        <v>10392</v>
      </c>
    </row>
    <row r="5613" spans="1:15" x14ac:dyDescent="0.2">
      <c r="A5613" s="111">
        <v>5750</v>
      </c>
      <c r="B5613" s="421" t="s">
        <v>10393</v>
      </c>
      <c r="C5613" s="421" t="s">
        <v>588</v>
      </c>
      <c r="D5613" s="422" t="s">
        <v>666</v>
      </c>
      <c r="E5613" s="111">
        <v>17240</v>
      </c>
      <c r="F5613" s="421" t="s">
        <v>10394</v>
      </c>
      <c r="G5613" s="112">
        <v>1</v>
      </c>
      <c r="H5613" s="112">
        <v>1</v>
      </c>
      <c r="I5613" s="112">
        <v>1</v>
      </c>
      <c r="J5613" s="112">
        <v>4</v>
      </c>
      <c r="K5613" s="112">
        <v>6</v>
      </c>
      <c r="L5613" s="112">
        <v>5</v>
      </c>
      <c r="M5613" s="112">
        <v>2</v>
      </c>
      <c r="N5613" s="112">
        <v>2</v>
      </c>
      <c r="O5613" s="112">
        <v>3</v>
      </c>
    </row>
    <row r="5614" spans="1:15" x14ac:dyDescent="0.2">
      <c r="A5614" s="111">
        <v>5751</v>
      </c>
      <c r="B5614" s="421" t="s">
        <v>10395</v>
      </c>
      <c r="C5614" s="421" t="s">
        <v>628</v>
      </c>
      <c r="D5614" s="422" t="s">
        <v>663</v>
      </c>
      <c r="E5614" s="111">
        <v>17241</v>
      </c>
      <c r="F5614" s="421" t="s">
        <v>10396</v>
      </c>
      <c r="G5614" s="112">
        <v>1</v>
      </c>
      <c r="H5614" s="112">
        <v>1</v>
      </c>
      <c r="I5614" s="112">
        <v>1</v>
      </c>
      <c r="J5614" s="112">
        <v>3</v>
      </c>
      <c r="K5614" s="112">
        <v>2</v>
      </c>
      <c r="L5614" s="112">
        <v>2</v>
      </c>
      <c r="M5614" s="112">
        <v>2</v>
      </c>
      <c r="N5614" s="112">
        <v>1</v>
      </c>
      <c r="O5614" s="112">
        <v>1</v>
      </c>
    </row>
    <row r="5615" spans="1:15" x14ac:dyDescent="0.2">
      <c r="A5615" s="111">
        <v>5752</v>
      </c>
      <c r="B5615" s="421" t="s">
        <v>1528</v>
      </c>
      <c r="C5615" s="421" t="s">
        <v>501</v>
      </c>
      <c r="D5615" s="422" t="s">
        <v>666</v>
      </c>
      <c r="E5615" s="111">
        <v>17139</v>
      </c>
      <c r="F5615" s="421" t="s">
        <v>10097</v>
      </c>
      <c r="G5615" s="112">
        <v>1</v>
      </c>
      <c r="H5615" s="112">
        <v>1</v>
      </c>
      <c r="I5615" s="112">
        <v>1</v>
      </c>
      <c r="J5615" s="112">
        <v>7</v>
      </c>
      <c r="K5615" s="112">
        <v>6</v>
      </c>
      <c r="L5615" s="112">
        <v>7</v>
      </c>
      <c r="M5615" s="112">
        <v>4</v>
      </c>
      <c r="N5615" s="112">
        <v>4</v>
      </c>
      <c r="O5615" s="112">
        <v>4</v>
      </c>
    </row>
    <row r="5616" spans="1:15" x14ac:dyDescent="0.2">
      <c r="A5616" s="111">
        <v>5753</v>
      </c>
      <c r="B5616" s="421" t="s">
        <v>131</v>
      </c>
      <c r="C5616" s="421" t="s">
        <v>506</v>
      </c>
      <c r="D5616" s="422" t="s">
        <v>663</v>
      </c>
      <c r="E5616" s="111">
        <v>17242</v>
      </c>
      <c r="F5616" s="421" t="s">
        <v>10397</v>
      </c>
      <c r="G5616" s="112">
        <v>1</v>
      </c>
      <c r="H5616" s="112">
        <v>1</v>
      </c>
    </row>
    <row r="5617" spans="1:15" x14ac:dyDescent="0.2">
      <c r="A5617" s="111">
        <v>5754</v>
      </c>
      <c r="B5617" s="421" t="s">
        <v>10398</v>
      </c>
      <c r="C5617" s="421" t="s">
        <v>506</v>
      </c>
      <c r="D5617" s="422" t="s">
        <v>666</v>
      </c>
      <c r="E5617" s="111">
        <v>17242</v>
      </c>
      <c r="F5617" s="421" t="s">
        <v>10397</v>
      </c>
    </row>
    <row r="5618" spans="1:15" x14ac:dyDescent="0.2">
      <c r="A5618" s="111">
        <v>5755</v>
      </c>
      <c r="B5618" s="421" t="s">
        <v>2740</v>
      </c>
      <c r="C5618" s="421" t="s">
        <v>506</v>
      </c>
      <c r="D5618" s="422" t="s">
        <v>666</v>
      </c>
      <c r="E5618" s="111">
        <v>1497</v>
      </c>
      <c r="F5618" s="421" t="s">
        <v>950</v>
      </c>
      <c r="G5618" s="112">
        <v>1</v>
      </c>
      <c r="H5618" s="112">
        <v>1</v>
      </c>
      <c r="I5618" s="112">
        <v>1</v>
      </c>
      <c r="J5618" s="112">
        <v>2</v>
      </c>
      <c r="K5618" s="112">
        <v>2</v>
      </c>
      <c r="L5618" s="112">
        <v>2</v>
      </c>
    </row>
    <row r="5619" spans="1:15" x14ac:dyDescent="0.2">
      <c r="A5619" s="111">
        <v>5756</v>
      </c>
      <c r="B5619" s="421" t="s">
        <v>10399</v>
      </c>
      <c r="C5619" s="421" t="s">
        <v>510</v>
      </c>
      <c r="D5619" s="422" t="s">
        <v>663</v>
      </c>
      <c r="E5619" s="111">
        <v>17243</v>
      </c>
      <c r="F5619" s="421" t="s">
        <v>10400</v>
      </c>
    </row>
    <row r="5620" spans="1:15" x14ac:dyDescent="0.2">
      <c r="A5620" s="111">
        <v>5757</v>
      </c>
      <c r="B5620" s="421" t="s">
        <v>2061</v>
      </c>
      <c r="C5620" s="421" t="s">
        <v>516</v>
      </c>
      <c r="D5620" s="422" t="s">
        <v>663</v>
      </c>
      <c r="E5620" s="111">
        <v>17244</v>
      </c>
      <c r="F5620" s="421" t="s">
        <v>10401</v>
      </c>
      <c r="G5620" s="112">
        <v>1</v>
      </c>
      <c r="H5620" s="112">
        <v>1</v>
      </c>
      <c r="I5620" s="112">
        <v>1</v>
      </c>
      <c r="J5620" s="112">
        <v>2</v>
      </c>
      <c r="K5620" s="112">
        <v>5</v>
      </c>
      <c r="L5620" s="112">
        <v>5</v>
      </c>
      <c r="M5620" s="112">
        <v>1</v>
      </c>
    </row>
    <row r="5621" spans="1:15" x14ac:dyDescent="0.2">
      <c r="A5621" s="111">
        <v>5758</v>
      </c>
      <c r="B5621" s="421" t="s">
        <v>6539</v>
      </c>
      <c r="C5621" s="421" t="s">
        <v>506</v>
      </c>
      <c r="D5621" s="422" t="s">
        <v>663</v>
      </c>
      <c r="E5621" s="111">
        <v>17245</v>
      </c>
      <c r="F5621" s="421" t="s">
        <v>10402</v>
      </c>
      <c r="G5621" s="112">
        <v>1</v>
      </c>
      <c r="H5621" s="112">
        <v>1</v>
      </c>
      <c r="I5621" s="112">
        <v>1</v>
      </c>
      <c r="J5621" s="112">
        <v>7</v>
      </c>
      <c r="K5621" s="112">
        <v>7</v>
      </c>
      <c r="L5621" s="112">
        <v>7</v>
      </c>
      <c r="M5621" s="112">
        <v>2</v>
      </c>
      <c r="N5621" s="112">
        <v>3</v>
      </c>
      <c r="O5621" s="112">
        <v>3</v>
      </c>
    </row>
    <row r="5622" spans="1:15" x14ac:dyDescent="0.2">
      <c r="A5622" s="111">
        <v>5759</v>
      </c>
      <c r="B5622" s="421" t="s">
        <v>10403</v>
      </c>
      <c r="C5622" s="421" t="s">
        <v>1674</v>
      </c>
      <c r="D5622" s="422" t="s">
        <v>663</v>
      </c>
      <c r="E5622" s="111">
        <v>17247</v>
      </c>
      <c r="F5622" s="421" t="s">
        <v>10404</v>
      </c>
    </row>
    <row r="5623" spans="1:15" x14ac:dyDescent="0.2">
      <c r="A5623" s="111">
        <v>5760</v>
      </c>
      <c r="B5623" s="421" t="s">
        <v>10405</v>
      </c>
      <c r="C5623" s="421" t="s">
        <v>1674</v>
      </c>
      <c r="D5623" s="422" t="s">
        <v>663</v>
      </c>
      <c r="E5623" s="111">
        <v>17247</v>
      </c>
      <c r="F5623" s="421" t="s">
        <v>10404</v>
      </c>
      <c r="G5623" s="112">
        <v>2</v>
      </c>
      <c r="H5623" s="112">
        <v>2</v>
      </c>
      <c r="I5623" s="112">
        <v>1</v>
      </c>
      <c r="J5623" s="112">
        <v>3</v>
      </c>
      <c r="K5623" s="112">
        <v>2</v>
      </c>
      <c r="L5623" s="112">
        <v>4</v>
      </c>
      <c r="O5623" s="112">
        <v>1</v>
      </c>
    </row>
    <row r="5624" spans="1:15" x14ac:dyDescent="0.2">
      <c r="A5624" s="111">
        <v>5761</v>
      </c>
      <c r="B5624" s="421" t="s">
        <v>10406</v>
      </c>
      <c r="C5624" s="421" t="s">
        <v>1870</v>
      </c>
      <c r="D5624" s="422" t="s">
        <v>663</v>
      </c>
      <c r="E5624" s="111">
        <v>17246</v>
      </c>
      <c r="F5624" s="421" t="s">
        <v>10407</v>
      </c>
      <c r="G5624" s="112">
        <v>1</v>
      </c>
      <c r="H5624" s="112">
        <v>1</v>
      </c>
      <c r="I5624" s="112">
        <v>1</v>
      </c>
      <c r="J5624" s="112">
        <v>1</v>
      </c>
      <c r="K5624" s="112">
        <v>1</v>
      </c>
      <c r="L5624" s="112">
        <v>1</v>
      </c>
      <c r="M5624" s="112">
        <v>1</v>
      </c>
      <c r="N5624" s="112">
        <v>1</v>
      </c>
      <c r="O5624" s="112">
        <v>1</v>
      </c>
    </row>
    <row r="5625" spans="1:15" x14ac:dyDescent="0.2">
      <c r="A5625" s="111">
        <v>5762</v>
      </c>
      <c r="B5625" s="421" t="s">
        <v>1281</v>
      </c>
      <c r="C5625" s="421" t="s">
        <v>551</v>
      </c>
      <c r="D5625" s="422" t="s">
        <v>663</v>
      </c>
      <c r="E5625" s="111">
        <v>17248</v>
      </c>
      <c r="F5625" s="421" t="s">
        <v>10424</v>
      </c>
    </row>
    <row r="5626" spans="1:15" x14ac:dyDescent="0.2">
      <c r="A5626" s="111">
        <v>5763</v>
      </c>
      <c r="B5626" s="421" t="s">
        <v>10408</v>
      </c>
      <c r="C5626" s="421" t="s">
        <v>569</v>
      </c>
      <c r="D5626" s="422" t="s">
        <v>666</v>
      </c>
      <c r="E5626" s="111">
        <v>15846</v>
      </c>
      <c r="F5626" s="421" t="s">
        <v>5539</v>
      </c>
      <c r="G5626" s="112">
        <v>1</v>
      </c>
      <c r="H5626" s="112">
        <v>1</v>
      </c>
      <c r="I5626" s="112">
        <v>1</v>
      </c>
    </row>
    <row r="5627" spans="1:15" x14ac:dyDescent="0.2">
      <c r="A5627" s="111">
        <v>5764</v>
      </c>
      <c r="B5627" s="421" t="s">
        <v>10409</v>
      </c>
      <c r="C5627" s="421" t="s">
        <v>532</v>
      </c>
      <c r="D5627" s="422" t="s">
        <v>666</v>
      </c>
      <c r="E5627" s="111">
        <v>15246</v>
      </c>
      <c r="F5627" s="421" t="s">
        <v>3486</v>
      </c>
      <c r="G5627" s="112">
        <v>1</v>
      </c>
      <c r="H5627" s="112">
        <v>1</v>
      </c>
      <c r="I5627" s="112">
        <v>1</v>
      </c>
      <c r="J5627" s="112">
        <v>6</v>
      </c>
      <c r="K5627" s="112">
        <v>6</v>
      </c>
      <c r="L5627" s="112">
        <v>6</v>
      </c>
      <c r="M5627" s="112">
        <v>3</v>
      </c>
      <c r="N5627" s="112">
        <v>3</v>
      </c>
      <c r="O5627" s="112">
        <v>2</v>
      </c>
    </row>
    <row r="5628" spans="1:15" x14ac:dyDescent="0.2">
      <c r="A5628" s="111">
        <v>5765</v>
      </c>
      <c r="B5628" s="421" t="s">
        <v>3872</v>
      </c>
      <c r="C5628" s="421" t="s">
        <v>506</v>
      </c>
      <c r="D5628" s="422" t="s">
        <v>666</v>
      </c>
      <c r="E5628" s="111">
        <v>17249</v>
      </c>
      <c r="F5628" s="421" t="s">
        <v>10410</v>
      </c>
      <c r="G5628" s="112">
        <v>1</v>
      </c>
    </row>
    <row r="5629" spans="1:15" x14ac:dyDescent="0.2">
      <c r="A5629" s="111">
        <v>5766</v>
      </c>
      <c r="B5629" s="421" t="s">
        <v>1316</v>
      </c>
      <c r="C5629" s="421" t="s">
        <v>506</v>
      </c>
      <c r="D5629" s="422" t="s">
        <v>666</v>
      </c>
      <c r="E5629" s="111">
        <v>17251</v>
      </c>
      <c r="F5629" s="421" t="s">
        <v>10425</v>
      </c>
      <c r="H5629" s="112">
        <v>1</v>
      </c>
    </row>
    <row r="5630" spans="1:15" x14ac:dyDescent="0.2">
      <c r="A5630" s="111">
        <v>5767</v>
      </c>
      <c r="B5630" s="421" t="s">
        <v>10426</v>
      </c>
      <c r="C5630" s="421" t="s">
        <v>501</v>
      </c>
      <c r="D5630" s="422" t="s">
        <v>666</v>
      </c>
      <c r="E5630" s="111">
        <v>14132</v>
      </c>
      <c r="F5630" s="421" t="s">
        <v>1573</v>
      </c>
      <c r="G5630" s="112">
        <v>1</v>
      </c>
      <c r="H5630" s="112">
        <v>1</v>
      </c>
      <c r="I5630" s="112">
        <v>1</v>
      </c>
      <c r="K5630" s="112">
        <v>1</v>
      </c>
      <c r="L5630" s="112">
        <v>1</v>
      </c>
    </row>
    <row r="5631" spans="1:15" x14ac:dyDescent="0.2">
      <c r="A5631" s="111">
        <v>5768</v>
      </c>
      <c r="B5631" s="421" t="s">
        <v>1434</v>
      </c>
      <c r="C5631" s="421" t="s">
        <v>1994</v>
      </c>
      <c r="D5631" s="422" t="s">
        <v>666</v>
      </c>
      <c r="E5631" s="111">
        <v>17252</v>
      </c>
      <c r="F5631" s="421" t="s">
        <v>10176</v>
      </c>
    </row>
    <row r="5632" spans="1:15" x14ac:dyDescent="0.2">
      <c r="A5632" s="111">
        <v>5769</v>
      </c>
      <c r="B5632" s="421" t="s">
        <v>119</v>
      </c>
      <c r="C5632" s="421" t="s">
        <v>585</v>
      </c>
      <c r="D5632" s="422" t="s">
        <v>663</v>
      </c>
      <c r="E5632" s="111">
        <v>17253</v>
      </c>
      <c r="F5632" s="421" t="s">
        <v>10427</v>
      </c>
      <c r="G5632" s="112">
        <v>2</v>
      </c>
      <c r="H5632" s="112">
        <v>2</v>
      </c>
      <c r="I5632" s="112">
        <v>3</v>
      </c>
      <c r="J5632" s="112">
        <v>2</v>
      </c>
      <c r="K5632" s="112">
        <v>4</v>
      </c>
      <c r="L5632" s="112">
        <v>2</v>
      </c>
    </row>
    <row r="5633" spans="1:15" x14ac:dyDescent="0.2">
      <c r="A5633" s="111">
        <v>5770</v>
      </c>
      <c r="B5633" s="421" t="s">
        <v>1961</v>
      </c>
      <c r="C5633" s="421" t="s">
        <v>552</v>
      </c>
      <c r="D5633" s="422" t="s">
        <v>666</v>
      </c>
      <c r="E5633" s="111">
        <v>17297</v>
      </c>
      <c r="F5633" s="421" t="s">
        <v>10428</v>
      </c>
      <c r="G5633" s="112">
        <v>1</v>
      </c>
      <c r="H5633" s="112">
        <v>2</v>
      </c>
      <c r="I5633" s="112">
        <v>1</v>
      </c>
      <c r="J5633" s="112">
        <v>2</v>
      </c>
      <c r="K5633" s="112">
        <v>1</v>
      </c>
      <c r="L5633" s="112">
        <v>1</v>
      </c>
      <c r="M5633" s="112">
        <v>1</v>
      </c>
      <c r="O5633" s="112">
        <v>1</v>
      </c>
    </row>
    <row r="5634" spans="1:15" x14ac:dyDescent="0.2">
      <c r="A5634" s="111">
        <v>5771</v>
      </c>
      <c r="B5634" s="421" t="s">
        <v>10429</v>
      </c>
      <c r="C5634" s="421" t="s">
        <v>585</v>
      </c>
      <c r="D5634" s="422" t="s">
        <v>663</v>
      </c>
      <c r="E5634" s="111">
        <v>17254</v>
      </c>
      <c r="F5634" s="421" t="s">
        <v>10430</v>
      </c>
      <c r="G5634" s="112">
        <v>2</v>
      </c>
      <c r="H5634" s="112">
        <v>1</v>
      </c>
      <c r="I5634" s="112">
        <v>1</v>
      </c>
    </row>
    <row r="5635" spans="1:15" x14ac:dyDescent="0.2">
      <c r="A5635" s="111">
        <v>5772</v>
      </c>
      <c r="B5635" s="421" t="s">
        <v>83</v>
      </c>
      <c r="C5635" s="421" t="s">
        <v>503</v>
      </c>
      <c r="D5635" s="422" t="s">
        <v>666</v>
      </c>
      <c r="E5635" s="111">
        <v>17255</v>
      </c>
      <c r="F5635" s="421" t="s">
        <v>10431</v>
      </c>
      <c r="G5635" s="112">
        <v>1</v>
      </c>
      <c r="H5635" s="112">
        <v>1</v>
      </c>
      <c r="I5635" s="112">
        <v>1</v>
      </c>
      <c r="J5635" s="112">
        <v>1</v>
      </c>
      <c r="K5635" s="112">
        <v>2</v>
      </c>
    </row>
    <row r="5636" spans="1:15" x14ac:dyDescent="0.2">
      <c r="A5636" s="111">
        <v>5773</v>
      </c>
      <c r="B5636" s="421" t="s">
        <v>4614</v>
      </c>
      <c r="C5636" s="421" t="s">
        <v>501</v>
      </c>
      <c r="D5636" s="422" t="s">
        <v>666</v>
      </c>
      <c r="E5636" s="111">
        <v>17256</v>
      </c>
      <c r="F5636" s="421" t="s">
        <v>10432</v>
      </c>
    </row>
    <row r="5637" spans="1:15" x14ac:dyDescent="0.2">
      <c r="A5637" s="111">
        <v>5774</v>
      </c>
      <c r="B5637" s="421" t="s">
        <v>2133</v>
      </c>
      <c r="C5637" s="421" t="s">
        <v>1687</v>
      </c>
      <c r="D5637" s="422" t="s">
        <v>666</v>
      </c>
      <c r="E5637" s="111">
        <v>17256</v>
      </c>
      <c r="F5637" s="421" t="s">
        <v>10432</v>
      </c>
    </row>
    <row r="5638" spans="1:15" x14ac:dyDescent="0.2">
      <c r="A5638" s="111">
        <v>5775</v>
      </c>
      <c r="B5638" s="421" t="s">
        <v>10433</v>
      </c>
      <c r="C5638" s="421" t="s">
        <v>1994</v>
      </c>
      <c r="D5638" s="422" t="s">
        <v>663</v>
      </c>
      <c r="E5638" s="111">
        <v>17257</v>
      </c>
      <c r="F5638" s="421" t="s">
        <v>10434</v>
      </c>
      <c r="G5638" s="112">
        <v>1</v>
      </c>
      <c r="H5638" s="112">
        <v>1</v>
      </c>
      <c r="I5638" s="112">
        <v>1</v>
      </c>
    </row>
    <row r="5639" spans="1:15" x14ac:dyDescent="0.2">
      <c r="A5639" s="111">
        <v>5776</v>
      </c>
      <c r="B5639" s="421" t="s">
        <v>178</v>
      </c>
      <c r="C5639" s="421" t="s">
        <v>1625</v>
      </c>
      <c r="D5639" s="422" t="s">
        <v>663</v>
      </c>
      <c r="E5639" s="111">
        <v>17258</v>
      </c>
      <c r="F5639" s="421" t="s">
        <v>10435</v>
      </c>
      <c r="G5639" s="112">
        <v>1</v>
      </c>
      <c r="H5639" s="112">
        <v>1</v>
      </c>
      <c r="I5639" s="112">
        <v>1</v>
      </c>
      <c r="J5639" s="112">
        <v>3</v>
      </c>
      <c r="K5639" s="112">
        <v>2</v>
      </c>
      <c r="L5639" s="112">
        <v>2</v>
      </c>
      <c r="M5639" s="112">
        <v>1</v>
      </c>
      <c r="O5639" s="112">
        <v>1</v>
      </c>
    </row>
    <row r="5640" spans="1:15" x14ac:dyDescent="0.2">
      <c r="A5640" s="111">
        <v>5777</v>
      </c>
      <c r="B5640" s="421" t="s">
        <v>10423</v>
      </c>
      <c r="C5640" s="421" t="s">
        <v>530</v>
      </c>
      <c r="D5640" s="422" t="s">
        <v>663</v>
      </c>
      <c r="E5640" s="111">
        <v>16687</v>
      </c>
      <c r="F5640" s="421" t="s">
        <v>8389</v>
      </c>
      <c r="G5640" s="112">
        <v>1</v>
      </c>
      <c r="H5640" s="112">
        <v>1</v>
      </c>
      <c r="I5640" s="112">
        <v>1</v>
      </c>
      <c r="J5640" s="112">
        <v>5</v>
      </c>
      <c r="K5640" s="112">
        <v>4</v>
      </c>
      <c r="L5640" s="112">
        <v>4</v>
      </c>
      <c r="M5640" s="112">
        <v>3</v>
      </c>
      <c r="N5640" s="112">
        <v>3</v>
      </c>
      <c r="O5640" s="112">
        <v>2</v>
      </c>
    </row>
    <row r="5641" spans="1:15" x14ac:dyDescent="0.2">
      <c r="A5641" s="111">
        <v>5778</v>
      </c>
      <c r="B5641" s="421" t="s">
        <v>2927</v>
      </c>
      <c r="C5641" s="421" t="s">
        <v>518</v>
      </c>
      <c r="D5641" s="422" t="s">
        <v>663</v>
      </c>
      <c r="E5641" s="111">
        <v>16269</v>
      </c>
      <c r="F5641" s="421" t="s">
        <v>6815</v>
      </c>
      <c r="G5641" s="112">
        <v>2</v>
      </c>
      <c r="H5641" s="112">
        <v>2</v>
      </c>
      <c r="I5641" s="112">
        <v>2</v>
      </c>
      <c r="J5641" s="112">
        <v>2</v>
      </c>
      <c r="K5641" s="112">
        <v>2</v>
      </c>
      <c r="L5641" s="112">
        <v>2</v>
      </c>
    </row>
    <row r="5642" spans="1:15" x14ac:dyDescent="0.2">
      <c r="A5642" s="111">
        <v>5779</v>
      </c>
      <c r="B5642" s="421" t="s">
        <v>10436</v>
      </c>
      <c r="C5642" s="421" t="s">
        <v>3298</v>
      </c>
      <c r="D5642" s="422" t="s">
        <v>666</v>
      </c>
      <c r="F5642" s="421" t="s">
        <v>10437</v>
      </c>
      <c r="G5642" s="112">
        <v>1</v>
      </c>
      <c r="H5642" s="112">
        <v>1</v>
      </c>
      <c r="I5642" s="112">
        <v>1</v>
      </c>
      <c r="K5642" s="112">
        <v>1</v>
      </c>
      <c r="L5642" s="112">
        <v>1</v>
      </c>
    </row>
    <row r="5643" spans="1:15" x14ac:dyDescent="0.2">
      <c r="A5643" s="111">
        <v>5780</v>
      </c>
      <c r="B5643" s="421" t="s">
        <v>10438</v>
      </c>
      <c r="C5643" s="421" t="s">
        <v>512</v>
      </c>
      <c r="D5643" s="422" t="s">
        <v>663</v>
      </c>
      <c r="E5643" s="111">
        <v>15468</v>
      </c>
      <c r="F5643" s="421" t="s">
        <v>4333</v>
      </c>
    </row>
    <row r="5644" spans="1:15" x14ac:dyDescent="0.2">
      <c r="A5644" s="111">
        <v>5781</v>
      </c>
      <c r="B5644" s="421" t="s">
        <v>10439</v>
      </c>
      <c r="C5644" s="421" t="s">
        <v>501</v>
      </c>
      <c r="D5644" s="422" t="s">
        <v>663</v>
      </c>
      <c r="E5644" s="111">
        <v>14976</v>
      </c>
      <c r="F5644" s="421" t="s">
        <v>1572</v>
      </c>
      <c r="G5644" s="112">
        <v>1</v>
      </c>
      <c r="H5644" s="112">
        <v>1</v>
      </c>
      <c r="I5644" s="112">
        <v>1</v>
      </c>
      <c r="L5644" s="112">
        <v>1</v>
      </c>
    </row>
    <row r="5645" spans="1:15" x14ac:dyDescent="0.2">
      <c r="A5645" s="111">
        <v>5782</v>
      </c>
      <c r="B5645" s="421" t="s">
        <v>10440</v>
      </c>
      <c r="C5645" s="421" t="s">
        <v>516</v>
      </c>
      <c r="D5645" s="422" t="s">
        <v>666</v>
      </c>
      <c r="E5645" s="111">
        <v>17014</v>
      </c>
      <c r="F5645" s="421" t="s">
        <v>17463</v>
      </c>
      <c r="G5645" s="112">
        <v>1</v>
      </c>
      <c r="H5645" s="112">
        <v>1</v>
      </c>
      <c r="I5645" s="112">
        <v>1</v>
      </c>
      <c r="J5645" s="112">
        <v>2</v>
      </c>
      <c r="K5645" s="112">
        <v>2</v>
      </c>
      <c r="L5645" s="112">
        <v>2</v>
      </c>
    </row>
    <row r="5646" spans="1:15" x14ac:dyDescent="0.2">
      <c r="A5646" s="111">
        <v>5783</v>
      </c>
      <c r="B5646" s="421" t="s">
        <v>282</v>
      </c>
      <c r="C5646" s="421" t="s">
        <v>577</v>
      </c>
      <c r="D5646" s="422" t="s">
        <v>663</v>
      </c>
      <c r="E5646" s="111">
        <v>14245</v>
      </c>
      <c r="F5646" s="421" t="s">
        <v>970</v>
      </c>
    </row>
    <row r="5647" spans="1:15" x14ac:dyDescent="0.2">
      <c r="A5647" s="111">
        <v>5784</v>
      </c>
      <c r="B5647" s="421" t="s">
        <v>10441</v>
      </c>
      <c r="C5647" s="421" t="s">
        <v>510</v>
      </c>
      <c r="D5647" s="422" t="s">
        <v>666</v>
      </c>
      <c r="E5647" s="111">
        <v>16597</v>
      </c>
      <c r="F5647" s="421" t="s">
        <v>7928</v>
      </c>
      <c r="G5647" s="112">
        <v>1</v>
      </c>
      <c r="H5647" s="112">
        <v>1</v>
      </c>
      <c r="I5647" s="112">
        <v>1</v>
      </c>
      <c r="J5647" s="112">
        <v>2</v>
      </c>
      <c r="K5647" s="112">
        <v>2</v>
      </c>
      <c r="L5647" s="112">
        <v>1</v>
      </c>
    </row>
    <row r="5648" spans="1:15" x14ac:dyDescent="0.2">
      <c r="A5648" s="111">
        <v>5785</v>
      </c>
      <c r="B5648" s="421" t="s">
        <v>10542</v>
      </c>
      <c r="C5648" s="421" t="s">
        <v>503</v>
      </c>
      <c r="D5648" s="422" t="s">
        <v>663</v>
      </c>
      <c r="E5648" s="111">
        <v>17276</v>
      </c>
      <c r="F5648" s="421" t="s">
        <v>10543</v>
      </c>
      <c r="G5648" s="112">
        <v>1</v>
      </c>
      <c r="H5648" s="112">
        <v>1</v>
      </c>
      <c r="I5648" s="112">
        <v>1</v>
      </c>
      <c r="J5648" s="112">
        <v>6</v>
      </c>
      <c r="K5648" s="112">
        <v>7</v>
      </c>
      <c r="L5648" s="112">
        <v>5</v>
      </c>
      <c r="M5648" s="112">
        <v>1</v>
      </c>
      <c r="O5648" s="112">
        <v>1</v>
      </c>
    </row>
    <row r="5649" spans="1:13" x14ac:dyDescent="0.2">
      <c r="A5649" s="111">
        <v>5786</v>
      </c>
      <c r="B5649" s="421" t="s">
        <v>3157</v>
      </c>
      <c r="C5649" s="421" t="s">
        <v>585</v>
      </c>
      <c r="D5649" s="422" t="s">
        <v>663</v>
      </c>
      <c r="E5649" s="111">
        <v>17279</v>
      </c>
      <c r="F5649" s="421" t="s">
        <v>6819</v>
      </c>
      <c r="G5649" s="112">
        <v>1</v>
      </c>
      <c r="H5649" s="112">
        <v>2</v>
      </c>
      <c r="I5649" s="112">
        <v>1</v>
      </c>
    </row>
    <row r="5650" spans="1:13" x14ac:dyDescent="0.2">
      <c r="A5650" s="111">
        <v>5787</v>
      </c>
      <c r="B5650" s="421" t="s">
        <v>10544</v>
      </c>
      <c r="C5650" s="421" t="s">
        <v>501</v>
      </c>
      <c r="D5650" s="422" t="s">
        <v>663</v>
      </c>
      <c r="F5650" s="421" t="s">
        <v>10545</v>
      </c>
    </row>
    <row r="5651" spans="1:13" x14ac:dyDescent="0.2">
      <c r="A5651" s="111">
        <v>5788</v>
      </c>
      <c r="B5651" s="421" t="s">
        <v>281</v>
      </c>
      <c r="C5651" s="421" t="s">
        <v>516</v>
      </c>
      <c r="D5651" s="422" t="s">
        <v>663</v>
      </c>
      <c r="E5651" s="111">
        <v>17262</v>
      </c>
      <c r="F5651" s="421" t="s">
        <v>10539</v>
      </c>
    </row>
    <row r="5652" spans="1:13" x14ac:dyDescent="0.2">
      <c r="A5652" s="111">
        <v>5789</v>
      </c>
      <c r="B5652" s="421" t="s">
        <v>16780</v>
      </c>
      <c r="C5652" s="421" t="s">
        <v>509</v>
      </c>
      <c r="D5652" s="422" t="s">
        <v>663</v>
      </c>
      <c r="E5652" s="111">
        <v>17261</v>
      </c>
      <c r="F5652" s="421" t="s">
        <v>10546</v>
      </c>
      <c r="G5652" s="112">
        <v>1</v>
      </c>
      <c r="H5652" s="112">
        <v>1</v>
      </c>
      <c r="I5652" s="112">
        <v>1</v>
      </c>
      <c r="J5652" s="112">
        <v>4</v>
      </c>
      <c r="K5652" s="112">
        <v>3</v>
      </c>
      <c r="L5652" s="112">
        <v>3</v>
      </c>
      <c r="M5652" s="112">
        <v>2</v>
      </c>
    </row>
    <row r="5653" spans="1:13" x14ac:dyDescent="0.2">
      <c r="A5653" s="111">
        <v>5790</v>
      </c>
      <c r="B5653" s="421" t="s">
        <v>368</v>
      </c>
      <c r="C5653" s="421" t="s">
        <v>551</v>
      </c>
      <c r="D5653" s="422" t="s">
        <v>663</v>
      </c>
      <c r="E5653" s="111">
        <v>16377</v>
      </c>
      <c r="F5653" s="421" t="s">
        <v>7359</v>
      </c>
      <c r="G5653" s="112">
        <v>1</v>
      </c>
      <c r="H5653" s="112">
        <v>1</v>
      </c>
      <c r="I5653" s="112">
        <v>1</v>
      </c>
    </row>
    <row r="5654" spans="1:13" x14ac:dyDescent="0.2">
      <c r="A5654" s="111">
        <v>5791</v>
      </c>
      <c r="B5654" s="421" t="s">
        <v>1428</v>
      </c>
      <c r="C5654" s="421" t="s">
        <v>501</v>
      </c>
      <c r="D5654" s="422" t="s">
        <v>663</v>
      </c>
      <c r="E5654" s="111">
        <v>17263</v>
      </c>
      <c r="F5654" s="421" t="s">
        <v>10547</v>
      </c>
      <c r="G5654" s="112">
        <v>1</v>
      </c>
      <c r="H5654" s="112">
        <v>1</v>
      </c>
      <c r="I5654" s="112">
        <v>2</v>
      </c>
      <c r="J5654" s="112">
        <v>2</v>
      </c>
      <c r="K5654" s="112">
        <v>1</v>
      </c>
      <c r="L5654" s="112">
        <v>1</v>
      </c>
    </row>
    <row r="5655" spans="1:13" x14ac:dyDescent="0.2">
      <c r="A5655" s="111">
        <v>5792</v>
      </c>
      <c r="B5655" s="421" t="s">
        <v>10548</v>
      </c>
      <c r="C5655" s="421" t="s">
        <v>540</v>
      </c>
      <c r="D5655" s="422" t="s">
        <v>666</v>
      </c>
      <c r="E5655" s="111">
        <v>17264</v>
      </c>
      <c r="F5655" s="421" t="s">
        <v>10549</v>
      </c>
    </row>
    <row r="5656" spans="1:13" x14ac:dyDescent="0.2">
      <c r="A5656" s="111">
        <v>5793</v>
      </c>
      <c r="B5656" s="421" t="s">
        <v>7875</v>
      </c>
      <c r="C5656" s="421" t="s">
        <v>536</v>
      </c>
      <c r="D5656" s="422" t="s">
        <v>666</v>
      </c>
      <c r="E5656" s="111">
        <v>1449</v>
      </c>
      <c r="F5656" s="421" t="s">
        <v>1465</v>
      </c>
      <c r="H5656" s="112">
        <v>1</v>
      </c>
    </row>
    <row r="5657" spans="1:13" x14ac:dyDescent="0.2">
      <c r="A5657" s="111">
        <v>5794</v>
      </c>
      <c r="B5657" s="421" t="s">
        <v>2974</v>
      </c>
      <c r="C5657" s="421" t="s">
        <v>536</v>
      </c>
      <c r="D5657" s="422" t="s">
        <v>666</v>
      </c>
      <c r="E5657" s="111">
        <v>1479</v>
      </c>
      <c r="F5657" s="421" t="s">
        <v>808</v>
      </c>
      <c r="G5657" s="112">
        <v>1</v>
      </c>
      <c r="I5657" s="112">
        <v>1</v>
      </c>
    </row>
    <row r="5658" spans="1:13" x14ac:dyDescent="0.2">
      <c r="A5658" s="111">
        <v>5795</v>
      </c>
      <c r="B5658" s="421" t="s">
        <v>10540</v>
      </c>
      <c r="C5658" s="421" t="s">
        <v>559</v>
      </c>
      <c r="D5658" s="422" t="s">
        <v>666</v>
      </c>
      <c r="E5658" s="111">
        <v>17265</v>
      </c>
      <c r="F5658" s="421" t="s">
        <v>10541</v>
      </c>
      <c r="G5658" s="112">
        <v>1</v>
      </c>
      <c r="H5658" s="112">
        <v>1</v>
      </c>
      <c r="I5658" s="112">
        <v>1</v>
      </c>
      <c r="J5658" s="112">
        <v>5</v>
      </c>
      <c r="K5658" s="112">
        <v>3</v>
      </c>
      <c r="L5658" s="112">
        <v>4</v>
      </c>
    </row>
    <row r="5659" spans="1:13" x14ac:dyDescent="0.2">
      <c r="A5659" s="111">
        <v>5796</v>
      </c>
      <c r="B5659" s="421" t="s">
        <v>4654</v>
      </c>
      <c r="C5659" s="421" t="s">
        <v>2003</v>
      </c>
      <c r="D5659" s="422" t="s">
        <v>666</v>
      </c>
      <c r="E5659" s="111">
        <v>17266</v>
      </c>
      <c r="F5659" s="421" t="s">
        <v>10550</v>
      </c>
    </row>
    <row r="5660" spans="1:13" x14ac:dyDescent="0.2">
      <c r="A5660" s="111">
        <v>5797</v>
      </c>
      <c r="B5660" s="421" t="s">
        <v>10551</v>
      </c>
      <c r="C5660" s="421" t="s">
        <v>581</v>
      </c>
      <c r="D5660" s="422" t="s">
        <v>663</v>
      </c>
      <c r="E5660" s="111">
        <v>15231</v>
      </c>
      <c r="F5660" s="421" t="s">
        <v>3453</v>
      </c>
    </row>
    <row r="5661" spans="1:13" x14ac:dyDescent="0.2">
      <c r="A5661" s="111">
        <v>5798</v>
      </c>
      <c r="B5661" s="421" t="s">
        <v>10552</v>
      </c>
      <c r="C5661" s="421" t="s">
        <v>501</v>
      </c>
      <c r="D5661" s="422" t="s">
        <v>666</v>
      </c>
      <c r="F5661" s="421" t="s">
        <v>10553</v>
      </c>
    </row>
    <row r="5662" spans="1:13" x14ac:dyDescent="0.2">
      <c r="A5662" s="111">
        <v>5799</v>
      </c>
      <c r="B5662" s="421" t="s">
        <v>10398</v>
      </c>
      <c r="C5662" s="421" t="s">
        <v>507</v>
      </c>
      <c r="D5662" s="422" t="s">
        <v>666</v>
      </c>
      <c r="E5662" s="111">
        <v>17268</v>
      </c>
      <c r="F5662" s="421" t="s">
        <v>10554</v>
      </c>
      <c r="G5662" s="112">
        <v>1</v>
      </c>
      <c r="H5662" s="112">
        <v>1</v>
      </c>
    </row>
    <row r="5663" spans="1:13" x14ac:dyDescent="0.2">
      <c r="A5663" s="111">
        <v>5800</v>
      </c>
      <c r="B5663" s="421" t="s">
        <v>10555</v>
      </c>
      <c r="C5663" s="421" t="s">
        <v>509</v>
      </c>
      <c r="D5663" s="422" t="s">
        <v>663</v>
      </c>
      <c r="E5663" s="111">
        <v>17269</v>
      </c>
      <c r="F5663" s="421" t="s">
        <v>10556</v>
      </c>
      <c r="G5663" s="112">
        <v>1</v>
      </c>
      <c r="H5663" s="112">
        <v>2</v>
      </c>
      <c r="I5663" s="112">
        <v>1</v>
      </c>
      <c r="J5663" s="112">
        <v>1</v>
      </c>
      <c r="K5663" s="112">
        <v>2</v>
      </c>
      <c r="L5663" s="112">
        <v>2</v>
      </c>
    </row>
    <row r="5664" spans="1:13" x14ac:dyDescent="0.2">
      <c r="A5664" s="111">
        <v>5801</v>
      </c>
      <c r="B5664" s="421" t="s">
        <v>8717</v>
      </c>
      <c r="C5664" s="421" t="s">
        <v>1994</v>
      </c>
      <c r="D5664" s="422" t="s">
        <v>663</v>
      </c>
      <c r="F5664" s="421" t="s">
        <v>10557</v>
      </c>
      <c r="G5664" s="112">
        <v>1</v>
      </c>
      <c r="H5664" s="112">
        <v>2</v>
      </c>
      <c r="I5664" s="112">
        <v>1</v>
      </c>
    </row>
    <row r="5665" spans="1:15" x14ac:dyDescent="0.2">
      <c r="A5665" s="111">
        <v>5802</v>
      </c>
      <c r="B5665" s="421" t="s">
        <v>6089</v>
      </c>
      <c r="C5665" s="421" t="s">
        <v>1994</v>
      </c>
      <c r="D5665" s="422" t="s">
        <v>666</v>
      </c>
      <c r="F5665" s="421" t="s">
        <v>10557</v>
      </c>
      <c r="G5665" s="112">
        <v>1</v>
      </c>
      <c r="H5665" s="112">
        <v>1</v>
      </c>
      <c r="I5665" s="112">
        <v>1</v>
      </c>
    </row>
    <row r="5666" spans="1:15" x14ac:dyDescent="0.2">
      <c r="A5666" s="111">
        <v>5803</v>
      </c>
      <c r="B5666" s="421" t="s">
        <v>10558</v>
      </c>
      <c r="C5666" s="421" t="s">
        <v>587</v>
      </c>
      <c r="D5666" s="422" t="s">
        <v>663</v>
      </c>
      <c r="E5666" s="111">
        <v>44486</v>
      </c>
      <c r="F5666" s="421" t="s">
        <v>980</v>
      </c>
      <c r="G5666" s="112">
        <v>1</v>
      </c>
      <c r="H5666" s="112">
        <v>1</v>
      </c>
      <c r="I5666" s="112">
        <v>1</v>
      </c>
      <c r="J5666" s="112">
        <v>6</v>
      </c>
      <c r="K5666" s="112">
        <v>6</v>
      </c>
      <c r="L5666" s="112">
        <v>7</v>
      </c>
      <c r="M5666" s="112">
        <v>6</v>
      </c>
      <c r="N5666" s="112">
        <v>2</v>
      </c>
      <c r="O5666" s="112">
        <v>3</v>
      </c>
    </row>
    <row r="5667" spans="1:15" x14ac:dyDescent="0.2">
      <c r="A5667" s="111">
        <v>5804</v>
      </c>
      <c r="B5667" s="421" t="s">
        <v>10559</v>
      </c>
      <c r="C5667" s="421" t="s">
        <v>572</v>
      </c>
      <c r="D5667" s="422" t="s">
        <v>663</v>
      </c>
      <c r="E5667" s="111">
        <v>14669</v>
      </c>
      <c r="F5667" s="421" t="s">
        <v>1982</v>
      </c>
      <c r="G5667" s="112">
        <v>1</v>
      </c>
      <c r="H5667" s="112">
        <v>1</v>
      </c>
      <c r="I5667" s="112">
        <v>1</v>
      </c>
      <c r="K5667" s="112">
        <v>1</v>
      </c>
      <c r="L5667" s="112">
        <v>1</v>
      </c>
    </row>
    <row r="5668" spans="1:15" x14ac:dyDescent="0.2">
      <c r="A5668" s="111">
        <v>5805</v>
      </c>
      <c r="B5668" s="421" t="s">
        <v>10560</v>
      </c>
      <c r="C5668" s="421" t="s">
        <v>517</v>
      </c>
      <c r="D5668" s="422" t="s">
        <v>666</v>
      </c>
      <c r="E5668" s="111">
        <v>17270</v>
      </c>
      <c r="F5668" s="421" t="s">
        <v>10561</v>
      </c>
      <c r="G5668" s="112">
        <v>1</v>
      </c>
      <c r="H5668" s="112">
        <v>1</v>
      </c>
      <c r="I5668" s="112">
        <v>2</v>
      </c>
      <c r="J5668" s="112">
        <v>2</v>
      </c>
      <c r="K5668" s="112">
        <v>2</v>
      </c>
    </row>
    <row r="5669" spans="1:15" x14ac:dyDescent="0.2">
      <c r="A5669" s="111">
        <v>5806</v>
      </c>
      <c r="B5669" s="421" t="s">
        <v>10617</v>
      </c>
      <c r="C5669" s="421" t="s">
        <v>551</v>
      </c>
      <c r="D5669" s="422" t="s">
        <v>663</v>
      </c>
      <c r="E5669" s="111">
        <v>17271</v>
      </c>
      <c r="F5669" s="421" t="s">
        <v>10618</v>
      </c>
      <c r="G5669" s="112">
        <v>2</v>
      </c>
      <c r="H5669" s="112">
        <v>1</v>
      </c>
      <c r="I5669" s="112">
        <v>1</v>
      </c>
      <c r="J5669" s="112">
        <v>3</v>
      </c>
      <c r="K5669" s="112">
        <v>1</v>
      </c>
      <c r="L5669" s="112">
        <v>1</v>
      </c>
    </row>
    <row r="5670" spans="1:15" x14ac:dyDescent="0.2">
      <c r="A5670" s="111">
        <v>5807</v>
      </c>
      <c r="B5670" s="421" t="s">
        <v>10749</v>
      </c>
      <c r="C5670" s="421" t="s">
        <v>544</v>
      </c>
      <c r="D5670" s="422" t="s">
        <v>666</v>
      </c>
      <c r="F5670" s="421" t="s">
        <v>1582</v>
      </c>
    </row>
    <row r="5671" spans="1:15" x14ac:dyDescent="0.2">
      <c r="A5671" s="111">
        <v>5808</v>
      </c>
      <c r="B5671" s="421" t="s">
        <v>10619</v>
      </c>
      <c r="C5671" s="421" t="s">
        <v>3387</v>
      </c>
      <c r="D5671" s="422" t="s">
        <v>663</v>
      </c>
      <c r="E5671" s="111">
        <v>16074</v>
      </c>
      <c r="F5671" s="421" t="s">
        <v>4175</v>
      </c>
      <c r="G5671" s="112">
        <v>1</v>
      </c>
      <c r="H5671" s="112">
        <v>1</v>
      </c>
      <c r="I5671" s="112">
        <v>1</v>
      </c>
      <c r="J5671" s="112">
        <v>3</v>
      </c>
      <c r="K5671" s="112">
        <v>1</v>
      </c>
      <c r="L5671" s="112">
        <v>1</v>
      </c>
    </row>
    <row r="5672" spans="1:15" x14ac:dyDescent="0.2">
      <c r="A5672" s="111">
        <v>5809</v>
      </c>
      <c r="B5672" s="421" t="s">
        <v>10620</v>
      </c>
      <c r="C5672" s="421" t="s">
        <v>501</v>
      </c>
      <c r="D5672" s="422" t="s">
        <v>663</v>
      </c>
      <c r="E5672" s="111">
        <v>17100</v>
      </c>
      <c r="F5672" s="421" t="s">
        <v>10044</v>
      </c>
      <c r="G5672" s="112">
        <v>1</v>
      </c>
      <c r="H5672" s="112">
        <v>1</v>
      </c>
      <c r="I5672" s="112">
        <v>1</v>
      </c>
    </row>
    <row r="5673" spans="1:15" x14ac:dyDescent="0.2">
      <c r="A5673" s="111">
        <v>5810</v>
      </c>
      <c r="B5673" s="421" t="s">
        <v>7383</v>
      </c>
      <c r="C5673" s="421" t="s">
        <v>533</v>
      </c>
      <c r="D5673" s="422" t="s">
        <v>663</v>
      </c>
      <c r="E5673" s="111">
        <v>17273</v>
      </c>
      <c r="F5673" s="421" t="s">
        <v>10621</v>
      </c>
      <c r="G5673" s="112">
        <v>1</v>
      </c>
      <c r="H5673" s="112">
        <v>1</v>
      </c>
      <c r="I5673" s="112">
        <v>1</v>
      </c>
    </row>
    <row r="5674" spans="1:15" x14ac:dyDescent="0.2">
      <c r="A5674" s="111">
        <v>5811</v>
      </c>
      <c r="B5674" s="421" t="s">
        <v>8818</v>
      </c>
      <c r="C5674" s="421" t="s">
        <v>6561</v>
      </c>
      <c r="D5674" s="422" t="s">
        <v>663</v>
      </c>
      <c r="E5674" s="111">
        <v>16205</v>
      </c>
      <c r="F5674" s="421" t="s">
        <v>2995</v>
      </c>
      <c r="G5674" s="112">
        <v>3</v>
      </c>
      <c r="H5674" s="112">
        <v>1</v>
      </c>
      <c r="I5674" s="112">
        <v>2</v>
      </c>
      <c r="J5674" s="112">
        <v>1</v>
      </c>
      <c r="K5674" s="112">
        <v>2</v>
      </c>
      <c r="L5674" s="112">
        <v>2</v>
      </c>
    </row>
    <row r="5675" spans="1:15" x14ac:dyDescent="0.2">
      <c r="A5675" s="111">
        <v>5812</v>
      </c>
      <c r="B5675" s="421" t="s">
        <v>3798</v>
      </c>
      <c r="C5675" s="421" t="s">
        <v>534</v>
      </c>
      <c r="D5675" s="422" t="s">
        <v>663</v>
      </c>
      <c r="E5675" s="111">
        <v>16559</v>
      </c>
      <c r="F5675" s="421" t="s">
        <v>7941</v>
      </c>
    </row>
    <row r="5676" spans="1:15" x14ac:dyDescent="0.2">
      <c r="A5676" s="111">
        <v>5813</v>
      </c>
      <c r="B5676" s="421" t="s">
        <v>2081</v>
      </c>
      <c r="C5676" s="421" t="s">
        <v>506</v>
      </c>
      <c r="D5676" s="422" t="s">
        <v>666</v>
      </c>
      <c r="E5676" s="111">
        <v>15497</v>
      </c>
      <c r="F5676" s="421" t="s">
        <v>4490</v>
      </c>
      <c r="G5676" s="112">
        <v>3</v>
      </c>
      <c r="H5676" s="112">
        <v>2</v>
      </c>
      <c r="I5676" s="112">
        <v>3</v>
      </c>
    </row>
    <row r="5677" spans="1:15" x14ac:dyDescent="0.2">
      <c r="A5677" s="111">
        <v>5814</v>
      </c>
      <c r="B5677" s="421" t="s">
        <v>10750</v>
      </c>
      <c r="C5677" s="421" t="s">
        <v>516</v>
      </c>
      <c r="D5677" s="422" t="s">
        <v>666</v>
      </c>
      <c r="E5677" s="111">
        <v>17278</v>
      </c>
      <c r="F5677" s="421" t="s">
        <v>9782</v>
      </c>
      <c r="G5677" s="112">
        <v>2</v>
      </c>
      <c r="H5677" s="112">
        <v>2</v>
      </c>
    </row>
    <row r="5678" spans="1:15" x14ac:dyDescent="0.2">
      <c r="A5678" s="111">
        <v>5815</v>
      </c>
      <c r="B5678" s="421" t="s">
        <v>10622</v>
      </c>
      <c r="C5678" s="421" t="s">
        <v>516</v>
      </c>
      <c r="D5678" s="422" t="s">
        <v>666</v>
      </c>
      <c r="E5678" s="111">
        <v>17280</v>
      </c>
      <c r="F5678" s="421" t="s">
        <v>10623</v>
      </c>
      <c r="G5678" s="112">
        <v>1</v>
      </c>
      <c r="H5678" s="112">
        <v>1</v>
      </c>
      <c r="I5678" s="112">
        <v>1</v>
      </c>
      <c r="J5678" s="112">
        <v>1</v>
      </c>
    </row>
    <row r="5679" spans="1:15" x14ac:dyDescent="0.2">
      <c r="A5679" s="111">
        <v>5816</v>
      </c>
      <c r="B5679" s="421" t="s">
        <v>8502</v>
      </c>
      <c r="C5679" s="421" t="s">
        <v>516</v>
      </c>
      <c r="D5679" s="422" t="s">
        <v>663</v>
      </c>
      <c r="E5679" s="111">
        <v>17280</v>
      </c>
      <c r="F5679" s="421" t="s">
        <v>10623</v>
      </c>
      <c r="G5679" s="112">
        <v>1</v>
      </c>
      <c r="H5679" s="112">
        <v>1</v>
      </c>
      <c r="I5679" s="112">
        <v>1</v>
      </c>
      <c r="J5679" s="112">
        <v>3</v>
      </c>
      <c r="K5679" s="112">
        <v>4</v>
      </c>
      <c r="L5679" s="112">
        <v>3</v>
      </c>
      <c r="M5679" s="112">
        <v>1</v>
      </c>
      <c r="N5679" s="112">
        <v>3</v>
      </c>
      <c r="O5679" s="112">
        <v>2</v>
      </c>
    </row>
    <row r="5680" spans="1:15" x14ac:dyDescent="0.2">
      <c r="A5680" s="111">
        <v>5817</v>
      </c>
      <c r="B5680" s="421" t="s">
        <v>10624</v>
      </c>
      <c r="C5680" s="421" t="s">
        <v>516</v>
      </c>
      <c r="D5680" s="422" t="s">
        <v>663</v>
      </c>
      <c r="E5680" s="111">
        <v>17280</v>
      </c>
      <c r="F5680" s="421" t="s">
        <v>10623</v>
      </c>
      <c r="G5680" s="112">
        <v>1</v>
      </c>
      <c r="H5680" s="112">
        <v>1</v>
      </c>
      <c r="I5680" s="112">
        <v>1</v>
      </c>
      <c r="L5680" s="112">
        <v>1</v>
      </c>
    </row>
    <row r="5681" spans="1:15" x14ac:dyDescent="0.2">
      <c r="A5681" s="111">
        <v>5818</v>
      </c>
      <c r="B5681" s="421" t="s">
        <v>10751</v>
      </c>
      <c r="C5681" s="421" t="s">
        <v>503</v>
      </c>
      <c r="D5681" s="422" t="s">
        <v>663</v>
      </c>
      <c r="E5681" s="111">
        <v>16830</v>
      </c>
      <c r="F5681" s="421" t="s">
        <v>8954</v>
      </c>
      <c r="G5681" s="112">
        <v>1</v>
      </c>
      <c r="H5681" s="112">
        <v>1</v>
      </c>
      <c r="I5681" s="112">
        <v>1</v>
      </c>
      <c r="K5681" s="112">
        <v>1</v>
      </c>
    </row>
    <row r="5682" spans="1:15" x14ac:dyDescent="0.2">
      <c r="A5682" s="111">
        <v>5819</v>
      </c>
      <c r="B5682" s="421" t="s">
        <v>10625</v>
      </c>
      <c r="C5682" s="421" t="s">
        <v>510</v>
      </c>
      <c r="D5682" s="422" t="s">
        <v>663</v>
      </c>
      <c r="E5682" s="111">
        <v>17281</v>
      </c>
      <c r="F5682" s="421" t="s">
        <v>10626</v>
      </c>
      <c r="G5682" s="112">
        <v>3</v>
      </c>
      <c r="H5682" s="112">
        <v>1</v>
      </c>
      <c r="I5682" s="112">
        <v>1</v>
      </c>
      <c r="J5682" s="112">
        <v>1</v>
      </c>
      <c r="K5682" s="112">
        <v>1</v>
      </c>
    </row>
    <row r="5683" spans="1:15" x14ac:dyDescent="0.2">
      <c r="A5683" s="111">
        <v>5820</v>
      </c>
      <c r="B5683" s="421" t="s">
        <v>10752</v>
      </c>
      <c r="C5683" s="421" t="s">
        <v>516</v>
      </c>
      <c r="D5683" s="422" t="s">
        <v>663</v>
      </c>
      <c r="E5683" s="111">
        <v>17282</v>
      </c>
      <c r="F5683" s="421" t="s">
        <v>10628</v>
      </c>
    </row>
    <row r="5684" spans="1:15" x14ac:dyDescent="0.2">
      <c r="A5684" s="111">
        <v>5821</v>
      </c>
      <c r="B5684" s="421" t="s">
        <v>10627</v>
      </c>
      <c r="C5684" s="421" t="s">
        <v>1284</v>
      </c>
      <c r="D5684" s="422" t="s">
        <v>666</v>
      </c>
      <c r="E5684" s="111">
        <v>17282</v>
      </c>
      <c r="F5684" s="421" t="s">
        <v>10628</v>
      </c>
      <c r="H5684" s="112">
        <v>1</v>
      </c>
      <c r="I5684" s="112">
        <v>1</v>
      </c>
    </row>
    <row r="5685" spans="1:15" x14ac:dyDescent="0.2">
      <c r="A5685" s="111">
        <v>5822</v>
      </c>
      <c r="B5685" s="421" t="s">
        <v>376</v>
      </c>
      <c r="C5685" s="421" t="s">
        <v>506</v>
      </c>
      <c r="D5685" s="422" t="s">
        <v>666</v>
      </c>
      <c r="E5685" s="111">
        <v>17283</v>
      </c>
      <c r="F5685" s="421" t="s">
        <v>10629</v>
      </c>
      <c r="G5685" s="112">
        <v>1</v>
      </c>
    </row>
    <row r="5686" spans="1:15" x14ac:dyDescent="0.2">
      <c r="A5686" s="111">
        <v>5823</v>
      </c>
      <c r="B5686" s="421" t="s">
        <v>481</v>
      </c>
      <c r="C5686" s="421" t="s">
        <v>593</v>
      </c>
      <c r="D5686" s="422" t="s">
        <v>663</v>
      </c>
      <c r="E5686" s="111">
        <v>17284</v>
      </c>
      <c r="F5686" s="421" t="s">
        <v>1032</v>
      </c>
      <c r="G5686" s="112">
        <v>2</v>
      </c>
      <c r="H5686" s="112">
        <v>2</v>
      </c>
      <c r="I5686" s="112">
        <v>1</v>
      </c>
      <c r="J5686" s="112">
        <v>1</v>
      </c>
      <c r="K5686" s="112">
        <v>3</v>
      </c>
      <c r="L5686" s="112">
        <v>2</v>
      </c>
    </row>
    <row r="5687" spans="1:15" x14ac:dyDescent="0.2">
      <c r="A5687" s="111">
        <v>5824</v>
      </c>
      <c r="B5687" s="421" t="s">
        <v>10753</v>
      </c>
      <c r="C5687" s="421" t="s">
        <v>1817</v>
      </c>
      <c r="D5687" s="422" t="s">
        <v>666</v>
      </c>
      <c r="E5687" s="111">
        <v>17285</v>
      </c>
      <c r="F5687" s="421" t="s">
        <v>10754</v>
      </c>
      <c r="G5687" s="112">
        <v>1</v>
      </c>
      <c r="H5687" s="112">
        <v>1</v>
      </c>
      <c r="I5687" s="112">
        <v>1</v>
      </c>
      <c r="J5687" s="112">
        <v>1</v>
      </c>
      <c r="K5687" s="112">
        <v>1</v>
      </c>
      <c r="L5687" s="112">
        <v>1</v>
      </c>
    </row>
    <row r="5688" spans="1:15" x14ac:dyDescent="0.2">
      <c r="A5688" s="111">
        <v>5825</v>
      </c>
      <c r="B5688" s="421" t="s">
        <v>10630</v>
      </c>
      <c r="C5688" s="421" t="s">
        <v>1934</v>
      </c>
      <c r="D5688" s="422" t="s">
        <v>663</v>
      </c>
      <c r="E5688" s="111">
        <v>17291</v>
      </c>
      <c r="F5688" s="421" t="s">
        <v>10631</v>
      </c>
      <c r="G5688" s="112">
        <v>2</v>
      </c>
      <c r="H5688" s="112">
        <v>2</v>
      </c>
      <c r="I5688" s="112">
        <v>1</v>
      </c>
      <c r="J5688" s="112">
        <v>5</v>
      </c>
      <c r="K5688" s="112">
        <v>3</v>
      </c>
      <c r="L5688" s="112">
        <v>2</v>
      </c>
    </row>
    <row r="5689" spans="1:15" x14ac:dyDescent="0.2">
      <c r="A5689" s="111">
        <v>5826</v>
      </c>
      <c r="B5689" s="421" t="s">
        <v>10755</v>
      </c>
      <c r="C5689" s="421" t="s">
        <v>551</v>
      </c>
      <c r="D5689" s="422" t="s">
        <v>663</v>
      </c>
      <c r="E5689" s="111">
        <v>17286</v>
      </c>
      <c r="F5689" s="421" t="s">
        <v>10756</v>
      </c>
      <c r="G5689" s="112">
        <v>1</v>
      </c>
      <c r="H5689" s="112">
        <v>1</v>
      </c>
      <c r="I5689" s="112">
        <v>1</v>
      </c>
      <c r="J5689" s="112">
        <v>10</v>
      </c>
      <c r="K5689" s="112">
        <v>10</v>
      </c>
      <c r="L5689" s="112">
        <v>10</v>
      </c>
      <c r="M5689" s="112">
        <v>6</v>
      </c>
      <c r="N5689" s="112">
        <v>5</v>
      </c>
      <c r="O5689" s="112">
        <v>5</v>
      </c>
    </row>
    <row r="5690" spans="1:15" x14ac:dyDescent="0.2">
      <c r="A5690" s="111">
        <v>5827</v>
      </c>
      <c r="B5690" s="421" t="s">
        <v>10757</v>
      </c>
      <c r="C5690" s="421" t="s">
        <v>501</v>
      </c>
      <c r="D5690" s="422" t="s">
        <v>666</v>
      </c>
      <c r="F5690" s="421" t="s">
        <v>10758</v>
      </c>
    </row>
    <row r="5691" spans="1:15" x14ac:dyDescent="0.2">
      <c r="A5691" s="111">
        <v>5828</v>
      </c>
      <c r="B5691" s="421" t="s">
        <v>3780</v>
      </c>
      <c r="C5691" s="421" t="s">
        <v>502</v>
      </c>
      <c r="D5691" s="422" t="s">
        <v>666</v>
      </c>
      <c r="E5691" s="111">
        <v>17287</v>
      </c>
      <c r="F5691" s="421" t="s">
        <v>10759</v>
      </c>
      <c r="G5691" s="112">
        <v>2</v>
      </c>
      <c r="H5691" s="112">
        <v>1</v>
      </c>
      <c r="I5691" s="112">
        <v>2</v>
      </c>
      <c r="J5691" s="112">
        <v>1</v>
      </c>
      <c r="L5691" s="112">
        <v>1</v>
      </c>
    </row>
    <row r="5692" spans="1:15" x14ac:dyDescent="0.2">
      <c r="A5692" s="111">
        <v>5829</v>
      </c>
      <c r="B5692" s="421" t="s">
        <v>10760</v>
      </c>
      <c r="C5692" s="421" t="s">
        <v>501</v>
      </c>
      <c r="D5692" s="422" t="s">
        <v>663</v>
      </c>
      <c r="E5692" s="111">
        <v>17290</v>
      </c>
      <c r="F5692" s="421" t="s">
        <v>10761</v>
      </c>
      <c r="G5692" s="112">
        <v>1</v>
      </c>
      <c r="H5692" s="112">
        <v>1</v>
      </c>
      <c r="I5692" s="112">
        <v>1</v>
      </c>
    </row>
    <row r="5693" spans="1:15" x14ac:dyDescent="0.2">
      <c r="A5693" s="111">
        <v>5830</v>
      </c>
      <c r="B5693" s="421" t="s">
        <v>2270</v>
      </c>
      <c r="C5693" s="421" t="s">
        <v>501</v>
      </c>
      <c r="D5693" s="422" t="s">
        <v>663</v>
      </c>
      <c r="E5693" s="111">
        <v>17290</v>
      </c>
      <c r="F5693" s="421" t="s">
        <v>10761</v>
      </c>
      <c r="G5693" s="112">
        <v>1</v>
      </c>
      <c r="H5693" s="112">
        <v>1</v>
      </c>
      <c r="I5693" s="112">
        <v>1</v>
      </c>
    </row>
    <row r="5694" spans="1:15" x14ac:dyDescent="0.2">
      <c r="A5694" s="111">
        <v>5831</v>
      </c>
      <c r="B5694" s="421" t="s">
        <v>10762</v>
      </c>
      <c r="C5694" s="421" t="s">
        <v>1908</v>
      </c>
      <c r="D5694" s="422" t="s">
        <v>663</v>
      </c>
      <c r="E5694" s="111">
        <v>16824</v>
      </c>
      <c r="F5694" s="421" t="s">
        <v>8992</v>
      </c>
      <c r="G5694" s="112">
        <v>1</v>
      </c>
      <c r="H5694" s="112">
        <v>1</v>
      </c>
      <c r="I5694" s="112">
        <v>1</v>
      </c>
    </row>
    <row r="5695" spans="1:15" x14ac:dyDescent="0.2">
      <c r="A5695" s="111">
        <v>5832</v>
      </c>
      <c r="B5695" s="421" t="s">
        <v>6780</v>
      </c>
      <c r="C5695" s="421" t="s">
        <v>533</v>
      </c>
      <c r="D5695" s="422" t="s">
        <v>663</v>
      </c>
      <c r="E5695" s="111">
        <v>17292</v>
      </c>
      <c r="F5695" s="421" t="s">
        <v>10763</v>
      </c>
      <c r="G5695" s="112">
        <v>2</v>
      </c>
      <c r="H5695" s="112">
        <v>1</v>
      </c>
      <c r="I5695" s="112">
        <v>1</v>
      </c>
      <c r="K5695" s="112">
        <v>3</v>
      </c>
      <c r="L5695" s="112">
        <v>3</v>
      </c>
    </row>
    <row r="5696" spans="1:15" x14ac:dyDescent="0.2">
      <c r="A5696" s="111">
        <v>5833</v>
      </c>
      <c r="B5696" s="421" t="s">
        <v>10764</v>
      </c>
      <c r="C5696" s="421" t="s">
        <v>516</v>
      </c>
      <c r="D5696" s="422" t="s">
        <v>666</v>
      </c>
      <c r="E5696" s="111">
        <v>15005</v>
      </c>
      <c r="F5696" s="421" t="s">
        <v>2884</v>
      </c>
      <c r="G5696" s="112">
        <v>1</v>
      </c>
      <c r="H5696" s="112">
        <v>1</v>
      </c>
      <c r="I5696" s="112">
        <v>1</v>
      </c>
      <c r="J5696" s="112">
        <v>2</v>
      </c>
      <c r="K5696" s="112">
        <v>1</v>
      </c>
      <c r="L5696" s="112">
        <v>1</v>
      </c>
      <c r="O5696" s="112">
        <v>1</v>
      </c>
    </row>
    <row r="5697" spans="1:15" x14ac:dyDescent="0.2">
      <c r="A5697" s="111">
        <v>5834</v>
      </c>
      <c r="B5697" s="421" t="s">
        <v>284</v>
      </c>
      <c r="C5697" s="421" t="s">
        <v>1898</v>
      </c>
      <c r="D5697" s="422" t="s">
        <v>666</v>
      </c>
      <c r="E5697" s="111">
        <v>17293</v>
      </c>
      <c r="F5697" s="421" t="s">
        <v>10765</v>
      </c>
      <c r="G5697" s="112">
        <v>1</v>
      </c>
      <c r="H5697" s="112">
        <v>2</v>
      </c>
      <c r="I5697" s="112">
        <v>1</v>
      </c>
    </row>
    <row r="5698" spans="1:15" x14ac:dyDescent="0.2">
      <c r="A5698" s="111">
        <v>5835</v>
      </c>
      <c r="B5698" s="421" t="s">
        <v>10766</v>
      </c>
      <c r="C5698" s="421" t="s">
        <v>516</v>
      </c>
      <c r="D5698" s="422" t="s">
        <v>666</v>
      </c>
      <c r="E5698" s="111">
        <v>16666</v>
      </c>
      <c r="F5698" s="421" t="s">
        <v>7433</v>
      </c>
    </row>
    <row r="5699" spans="1:15" x14ac:dyDescent="0.2">
      <c r="A5699" s="111">
        <v>5836</v>
      </c>
      <c r="B5699" s="421" t="s">
        <v>10767</v>
      </c>
      <c r="C5699" s="421" t="s">
        <v>17458</v>
      </c>
      <c r="D5699" s="422" t="s">
        <v>666</v>
      </c>
      <c r="E5699" s="111">
        <v>16666</v>
      </c>
      <c r="F5699" s="421" t="s">
        <v>7433</v>
      </c>
    </row>
    <row r="5700" spans="1:15" x14ac:dyDescent="0.2">
      <c r="A5700" s="111">
        <v>5837</v>
      </c>
      <c r="B5700" s="421" t="s">
        <v>2943</v>
      </c>
      <c r="C5700" s="421" t="s">
        <v>503</v>
      </c>
      <c r="D5700" s="422" t="s">
        <v>663</v>
      </c>
      <c r="E5700" s="111">
        <v>17065</v>
      </c>
      <c r="F5700" s="421" t="s">
        <v>9954</v>
      </c>
    </row>
    <row r="5701" spans="1:15" x14ac:dyDescent="0.2">
      <c r="A5701" s="111">
        <v>5838</v>
      </c>
      <c r="B5701" s="421" t="s">
        <v>10768</v>
      </c>
      <c r="C5701" s="421" t="s">
        <v>516</v>
      </c>
      <c r="D5701" s="422" t="s">
        <v>666</v>
      </c>
      <c r="E5701" s="111">
        <v>17295</v>
      </c>
      <c r="F5701" s="421" t="s">
        <v>10769</v>
      </c>
      <c r="G5701" s="112">
        <v>1</v>
      </c>
      <c r="H5701" s="112">
        <v>2</v>
      </c>
      <c r="I5701" s="112">
        <v>1</v>
      </c>
    </row>
    <row r="5702" spans="1:15" x14ac:dyDescent="0.2">
      <c r="A5702" s="111">
        <v>5840</v>
      </c>
      <c r="B5702" s="421" t="s">
        <v>1701</v>
      </c>
      <c r="C5702" s="421" t="s">
        <v>551</v>
      </c>
      <c r="D5702" s="422" t="s">
        <v>663</v>
      </c>
      <c r="E5702" s="111">
        <v>15095</v>
      </c>
      <c r="F5702" s="421" t="s">
        <v>4761</v>
      </c>
      <c r="G5702" s="112">
        <v>1</v>
      </c>
      <c r="H5702" s="112">
        <v>1</v>
      </c>
      <c r="I5702" s="112">
        <v>1</v>
      </c>
      <c r="J5702" s="112">
        <v>1</v>
      </c>
      <c r="K5702" s="112">
        <v>1</v>
      </c>
      <c r="L5702" s="112">
        <v>1</v>
      </c>
      <c r="M5702" s="112">
        <v>1</v>
      </c>
      <c r="N5702" s="112">
        <v>1</v>
      </c>
    </row>
    <row r="5703" spans="1:15" x14ac:dyDescent="0.2">
      <c r="A5703" s="111">
        <v>5841</v>
      </c>
      <c r="B5703" s="421" t="s">
        <v>1254</v>
      </c>
      <c r="C5703" s="421" t="s">
        <v>503</v>
      </c>
      <c r="D5703" s="422" t="s">
        <v>663</v>
      </c>
      <c r="E5703" s="111">
        <v>17296</v>
      </c>
      <c r="F5703" s="421" t="s">
        <v>10632</v>
      </c>
      <c r="G5703" s="112">
        <v>1</v>
      </c>
      <c r="H5703" s="112">
        <v>1</v>
      </c>
      <c r="I5703" s="112">
        <v>1</v>
      </c>
      <c r="J5703" s="112">
        <v>6</v>
      </c>
      <c r="K5703" s="112">
        <v>6</v>
      </c>
      <c r="L5703" s="112">
        <v>3</v>
      </c>
      <c r="M5703" s="112">
        <v>3</v>
      </c>
      <c r="N5703" s="112">
        <v>2</v>
      </c>
      <c r="O5703" s="112">
        <v>1</v>
      </c>
    </row>
    <row r="5704" spans="1:15" x14ac:dyDescent="0.2">
      <c r="A5704" s="111">
        <v>5842</v>
      </c>
      <c r="B5704" s="421" t="s">
        <v>10633</v>
      </c>
      <c r="C5704" s="421" t="s">
        <v>540</v>
      </c>
      <c r="D5704" s="422" t="s">
        <v>663</v>
      </c>
      <c r="E5704" s="111">
        <v>17298</v>
      </c>
      <c r="F5704" s="421" t="s">
        <v>10634</v>
      </c>
      <c r="G5704" s="112">
        <v>1</v>
      </c>
      <c r="H5704" s="112">
        <v>1</v>
      </c>
      <c r="I5704" s="112">
        <v>1</v>
      </c>
      <c r="J5704" s="112">
        <v>3</v>
      </c>
      <c r="K5704" s="112">
        <v>3</v>
      </c>
      <c r="N5704" s="112">
        <v>1</v>
      </c>
    </row>
    <row r="5705" spans="1:15" x14ac:dyDescent="0.2">
      <c r="A5705" s="111">
        <v>5843</v>
      </c>
      <c r="B5705" s="421" t="s">
        <v>2927</v>
      </c>
      <c r="C5705" s="421" t="s">
        <v>2932</v>
      </c>
      <c r="D5705" s="422" t="s">
        <v>663</v>
      </c>
      <c r="F5705" s="421" t="s">
        <v>10770</v>
      </c>
    </row>
    <row r="5706" spans="1:15" x14ac:dyDescent="0.2">
      <c r="A5706" s="111">
        <v>5844</v>
      </c>
      <c r="B5706" s="421" t="s">
        <v>10771</v>
      </c>
      <c r="C5706" s="421" t="s">
        <v>3387</v>
      </c>
      <c r="D5706" s="422" t="s">
        <v>663</v>
      </c>
      <c r="F5706" s="421" t="s">
        <v>10770</v>
      </c>
    </row>
    <row r="5707" spans="1:15" x14ac:dyDescent="0.2">
      <c r="A5707" s="111">
        <v>5845</v>
      </c>
      <c r="B5707" s="421" t="s">
        <v>5552</v>
      </c>
      <c r="C5707" s="421" t="s">
        <v>520</v>
      </c>
      <c r="D5707" s="422" t="s">
        <v>666</v>
      </c>
      <c r="E5707" s="111">
        <v>17299</v>
      </c>
      <c r="F5707" s="421" t="s">
        <v>10772</v>
      </c>
      <c r="G5707" s="112">
        <v>1</v>
      </c>
      <c r="H5707" s="112">
        <v>1</v>
      </c>
      <c r="I5707" s="112">
        <v>1</v>
      </c>
    </row>
    <row r="5708" spans="1:15" x14ac:dyDescent="0.2">
      <c r="A5708" s="111">
        <v>5846</v>
      </c>
      <c r="B5708" s="421" t="s">
        <v>2005</v>
      </c>
      <c r="C5708" s="421" t="s">
        <v>517</v>
      </c>
      <c r="D5708" s="422" t="s">
        <v>663</v>
      </c>
      <c r="F5708" s="421" t="s">
        <v>10635</v>
      </c>
      <c r="G5708" s="112">
        <v>1</v>
      </c>
      <c r="H5708" s="112">
        <v>1</v>
      </c>
      <c r="I5708" s="112">
        <v>1</v>
      </c>
    </row>
    <row r="5709" spans="1:15" x14ac:dyDescent="0.2">
      <c r="A5709" s="111">
        <v>5847</v>
      </c>
      <c r="B5709" s="421" t="s">
        <v>10773</v>
      </c>
      <c r="C5709" s="421" t="s">
        <v>544</v>
      </c>
      <c r="D5709" s="422" t="s">
        <v>666</v>
      </c>
      <c r="E5709" s="111">
        <v>16204</v>
      </c>
      <c r="F5709" s="421" t="s">
        <v>7427</v>
      </c>
      <c r="G5709" s="112">
        <v>1</v>
      </c>
      <c r="H5709" s="112">
        <v>1</v>
      </c>
      <c r="I5709" s="112">
        <v>1</v>
      </c>
    </row>
    <row r="5710" spans="1:15" x14ac:dyDescent="0.2">
      <c r="A5710" s="111">
        <v>5848</v>
      </c>
      <c r="B5710" s="421" t="s">
        <v>379</v>
      </c>
      <c r="C5710" s="421" t="s">
        <v>534</v>
      </c>
      <c r="D5710" s="422" t="s">
        <v>663</v>
      </c>
      <c r="E5710" s="111">
        <v>16403</v>
      </c>
      <c r="F5710" s="421" t="s">
        <v>7429</v>
      </c>
      <c r="G5710" s="112">
        <v>3</v>
      </c>
      <c r="H5710" s="112">
        <v>3</v>
      </c>
      <c r="I5710" s="112">
        <v>3</v>
      </c>
      <c r="J5710" s="112">
        <v>8</v>
      </c>
      <c r="K5710" s="112">
        <v>7</v>
      </c>
      <c r="L5710" s="112">
        <v>7</v>
      </c>
      <c r="M5710" s="112">
        <v>1</v>
      </c>
    </row>
    <row r="5711" spans="1:15" x14ac:dyDescent="0.2">
      <c r="A5711" s="111">
        <v>5849</v>
      </c>
      <c r="B5711" s="421" t="s">
        <v>10774</v>
      </c>
      <c r="C5711" s="421" t="s">
        <v>502</v>
      </c>
      <c r="D5711" s="422" t="s">
        <v>666</v>
      </c>
      <c r="E5711" s="111">
        <v>16322</v>
      </c>
      <c r="F5711" s="421" t="s">
        <v>6483</v>
      </c>
    </row>
    <row r="5712" spans="1:15" x14ac:dyDescent="0.2">
      <c r="A5712" s="111">
        <v>5850</v>
      </c>
      <c r="B5712" s="421" t="s">
        <v>10775</v>
      </c>
      <c r="C5712" s="421" t="s">
        <v>537</v>
      </c>
      <c r="D5712" s="422" t="s">
        <v>666</v>
      </c>
      <c r="E5712" s="111">
        <v>44015</v>
      </c>
      <c r="F5712" s="421" t="s">
        <v>10776</v>
      </c>
      <c r="G5712" s="112">
        <v>1</v>
      </c>
      <c r="H5712" s="112">
        <v>1</v>
      </c>
      <c r="I5712" s="112">
        <v>2</v>
      </c>
      <c r="J5712" s="112">
        <v>3</v>
      </c>
      <c r="K5712" s="112">
        <v>1</v>
      </c>
      <c r="L5712" s="112">
        <v>3</v>
      </c>
    </row>
    <row r="5713" spans="1:15" x14ac:dyDescent="0.2">
      <c r="A5713" s="111">
        <v>5851</v>
      </c>
      <c r="B5713" s="421" t="s">
        <v>2992</v>
      </c>
      <c r="C5713" s="421" t="s">
        <v>501</v>
      </c>
      <c r="D5713" s="422" t="s">
        <v>663</v>
      </c>
      <c r="E5713" s="111">
        <v>44013</v>
      </c>
      <c r="F5713" s="421" t="s">
        <v>10777</v>
      </c>
      <c r="H5713" s="112">
        <v>1</v>
      </c>
      <c r="I5713" s="112">
        <v>1</v>
      </c>
    </row>
    <row r="5714" spans="1:15" x14ac:dyDescent="0.2">
      <c r="A5714" s="111">
        <v>5852</v>
      </c>
      <c r="B5714" s="421" t="s">
        <v>1423</v>
      </c>
      <c r="C5714" s="421" t="s">
        <v>7696</v>
      </c>
      <c r="D5714" s="422" t="s">
        <v>663</v>
      </c>
      <c r="E5714" s="111">
        <v>16330</v>
      </c>
      <c r="F5714" s="421" t="s">
        <v>7177</v>
      </c>
      <c r="G5714" s="112">
        <v>4</v>
      </c>
      <c r="H5714" s="112">
        <v>7</v>
      </c>
      <c r="I5714" s="112">
        <v>6</v>
      </c>
      <c r="J5714" s="112">
        <v>4</v>
      </c>
      <c r="K5714" s="112">
        <v>7</v>
      </c>
      <c r="L5714" s="112">
        <v>7</v>
      </c>
      <c r="O5714" s="112">
        <v>1</v>
      </c>
    </row>
    <row r="5715" spans="1:15" x14ac:dyDescent="0.2">
      <c r="A5715" s="111">
        <v>5853</v>
      </c>
      <c r="B5715" s="421" t="s">
        <v>5237</v>
      </c>
      <c r="C5715" s="421" t="s">
        <v>502</v>
      </c>
      <c r="D5715" s="422" t="s">
        <v>666</v>
      </c>
      <c r="E5715" s="111">
        <v>17302</v>
      </c>
      <c r="F5715" s="421" t="s">
        <v>10778</v>
      </c>
    </row>
    <row r="5716" spans="1:15" x14ac:dyDescent="0.2">
      <c r="A5716" s="111">
        <v>5854</v>
      </c>
      <c r="B5716" s="421" t="s">
        <v>2204</v>
      </c>
      <c r="C5716" s="421" t="s">
        <v>502</v>
      </c>
      <c r="D5716" s="422" t="s">
        <v>666</v>
      </c>
      <c r="E5716" s="111">
        <v>17302</v>
      </c>
      <c r="F5716" s="421" t="s">
        <v>10778</v>
      </c>
    </row>
    <row r="5717" spans="1:15" x14ac:dyDescent="0.2">
      <c r="A5717" s="111">
        <v>5855</v>
      </c>
      <c r="B5717" s="421" t="s">
        <v>10779</v>
      </c>
      <c r="C5717" s="421" t="s">
        <v>530</v>
      </c>
      <c r="D5717" s="422" t="s">
        <v>666</v>
      </c>
      <c r="E5717" s="111">
        <v>16825</v>
      </c>
      <c r="F5717" s="421" t="s">
        <v>8993</v>
      </c>
    </row>
    <row r="5718" spans="1:15" x14ac:dyDescent="0.2">
      <c r="A5718" s="111">
        <v>5856</v>
      </c>
      <c r="B5718" s="421" t="s">
        <v>10636</v>
      </c>
      <c r="C5718" s="421" t="s">
        <v>503</v>
      </c>
      <c r="D5718" s="422" t="s">
        <v>663</v>
      </c>
      <c r="E5718" s="111">
        <v>17304</v>
      </c>
      <c r="F5718" s="421" t="s">
        <v>10637</v>
      </c>
      <c r="G5718" s="112">
        <v>1</v>
      </c>
      <c r="H5718" s="112">
        <v>1</v>
      </c>
      <c r="I5718" s="112">
        <v>1</v>
      </c>
      <c r="J5718" s="112">
        <v>2</v>
      </c>
      <c r="K5718" s="112">
        <v>3</v>
      </c>
      <c r="L5718" s="112">
        <v>2</v>
      </c>
    </row>
    <row r="5719" spans="1:15" x14ac:dyDescent="0.2">
      <c r="A5719" s="111">
        <v>5857</v>
      </c>
      <c r="B5719" s="421" t="s">
        <v>10780</v>
      </c>
      <c r="C5719" s="421" t="s">
        <v>574</v>
      </c>
      <c r="D5719" s="422" t="s">
        <v>663</v>
      </c>
      <c r="E5719" s="111">
        <v>17303</v>
      </c>
      <c r="F5719" s="421" t="s">
        <v>10781</v>
      </c>
    </row>
    <row r="5720" spans="1:15" x14ac:dyDescent="0.2">
      <c r="A5720" s="111">
        <v>5858</v>
      </c>
      <c r="B5720" s="421" t="s">
        <v>10782</v>
      </c>
      <c r="C5720" s="421" t="s">
        <v>502</v>
      </c>
      <c r="D5720" s="422" t="s">
        <v>663</v>
      </c>
      <c r="E5720" s="111">
        <v>17287</v>
      </c>
      <c r="F5720" s="421" t="s">
        <v>10759</v>
      </c>
      <c r="G5720" s="112">
        <v>1</v>
      </c>
      <c r="H5720" s="112">
        <v>2</v>
      </c>
      <c r="I5720" s="112">
        <v>2</v>
      </c>
      <c r="J5720" s="112">
        <v>1</v>
      </c>
      <c r="K5720" s="112">
        <v>2</v>
      </c>
    </row>
    <row r="5721" spans="1:15" x14ac:dyDescent="0.2">
      <c r="A5721" s="111">
        <v>5859</v>
      </c>
      <c r="B5721" s="421" t="s">
        <v>174</v>
      </c>
      <c r="C5721" s="421" t="s">
        <v>516</v>
      </c>
      <c r="D5721" s="422" t="s">
        <v>666</v>
      </c>
      <c r="F5721" s="421" t="s">
        <v>10783</v>
      </c>
      <c r="G5721" s="112">
        <v>1</v>
      </c>
      <c r="H5721" s="112">
        <v>2</v>
      </c>
      <c r="I5721" s="112">
        <v>2</v>
      </c>
    </row>
    <row r="5722" spans="1:15" x14ac:dyDescent="0.2">
      <c r="A5722" s="111">
        <v>5860</v>
      </c>
      <c r="B5722" s="421" t="s">
        <v>1214</v>
      </c>
      <c r="C5722" s="421" t="s">
        <v>523</v>
      </c>
      <c r="D5722" s="422" t="s">
        <v>666</v>
      </c>
      <c r="E5722" s="111">
        <v>17305</v>
      </c>
      <c r="F5722" s="421" t="s">
        <v>10784</v>
      </c>
      <c r="G5722" s="112">
        <v>1</v>
      </c>
      <c r="H5722" s="112">
        <v>1</v>
      </c>
      <c r="I5722" s="112">
        <v>1</v>
      </c>
      <c r="J5722" s="112">
        <v>3</v>
      </c>
      <c r="K5722" s="112">
        <v>3</v>
      </c>
      <c r="L5722" s="112">
        <v>3</v>
      </c>
    </row>
    <row r="5723" spans="1:15" x14ac:dyDescent="0.2">
      <c r="A5723" s="111">
        <v>5861</v>
      </c>
      <c r="B5723" s="421" t="s">
        <v>9305</v>
      </c>
      <c r="C5723" s="421" t="s">
        <v>532</v>
      </c>
      <c r="D5723" s="422" t="s">
        <v>666</v>
      </c>
      <c r="E5723" s="111">
        <v>17306</v>
      </c>
      <c r="F5723" s="421" t="s">
        <v>9362</v>
      </c>
      <c r="G5723" s="112">
        <v>1</v>
      </c>
      <c r="H5723" s="112">
        <v>1</v>
      </c>
      <c r="I5723" s="112">
        <v>1</v>
      </c>
    </row>
    <row r="5724" spans="1:15" x14ac:dyDescent="0.2">
      <c r="A5724" s="111">
        <v>5862</v>
      </c>
      <c r="B5724" s="421" t="s">
        <v>10785</v>
      </c>
      <c r="C5724" s="421" t="s">
        <v>509</v>
      </c>
      <c r="D5724" s="422" t="s">
        <v>663</v>
      </c>
      <c r="E5724" s="111">
        <v>17307</v>
      </c>
      <c r="F5724" s="421" t="s">
        <v>10786</v>
      </c>
      <c r="G5724" s="112">
        <v>1</v>
      </c>
      <c r="H5724" s="112">
        <v>1</v>
      </c>
      <c r="I5724" s="112">
        <v>1</v>
      </c>
      <c r="J5724" s="112">
        <v>3</v>
      </c>
      <c r="K5724" s="112">
        <v>3</v>
      </c>
      <c r="L5724" s="112">
        <v>3</v>
      </c>
      <c r="M5724" s="112">
        <v>3</v>
      </c>
      <c r="N5724" s="112">
        <v>1</v>
      </c>
      <c r="O5724" s="112">
        <v>2</v>
      </c>
    </row>
    <row r="5725" spans="1:15" x14ac:dyDescent="0.2">
      <c r="A5725" s="111">
        <v>5863</v>
      </c>
      <c r="B5725" s="421" t="s">
        <v>10787</v>
      </c>
      <c r="C5725" s="421" t="s">
        <v>501</v>
      </c>
      <c r="D5725" s="422" t="s">
        <v>666</v>
      </c>
      <c r="E5725" s="111">
        <v>44419</v>
      </c>
      <c r="F5725" s="421" t="s">
        <v>10788</v>
      </c>
    </row>
    <row r="5726" spans="1:15" x14ac:dyDescent="0.2">
      <c r="A5726" s="111">
        <v>5864</v>
      </c>
      <c r="B5726" s="421" t="s">
        <v>10789</v>
      </c>
      <c r="C5726" s="421" t="s">
        <v>501</v>
      </c>
      <c r="D5726" s="422" t="s">
        <v>666</v>
      </c>
      <c r="E5726" s="111">
        <v>44419</v>
      </c>
      <c r="F5726" s="421" t="s">
        <v>10788</v>
      </c>
    </row>
    <row r="5727" spans="1:15" x14ac:dyDescent="0.2">
      <c r="A5727" s="111">
        <v>5865</v>
      </c>
      <c r="B5727" s="421" t="s">
        <v>10790</v>
      </c>
      <c r="C5727" s="421" t="s">
        <v>501</v>
      </c>
      <c r="D5727" s="422" t="s">
        <v>663</v>
      </c>
      <c r="E5727" s="111">
        <v>44129</v>
      </c>
      <c r="F5727" s="421" t="s">
        <v>10791</v>
      </c>
      <c r="G5727" s="112">
        <v>1</v>
      </c>
      <c r="H5727" s="112">
        <v>1</v>
      </c>
      <c r="I5727" s="112">
        <v>1</v>
      </c>
      <c r="J5727" s="112">
        <v>1</v>
      </c>
      <c r="K5727" s="112">
        <v>2</v>
      </c>
      <c r="L5727" s="112">
        <v>2</v>
      </c>
    </row>
    <row r="5728" spans="1:15" x14ac:dyDescent="0.2">
      <c r="A5728" s="111">
        <v>5866</v>
      </c>
      <c r="B5728" s="421" t="s">
        <v>10792</v>
      </c>
      <c r="C5728" s="421" t="s">
        <v>501</v>
      </c>
      <c r="D5728" s="422" t="s">
        <v>663</v>
      </c>
      <c r="F5728" s="421" t="s">
        <v>1890</v>
      </c>
    </row>
    <row r="5729" spans="1:15" x14ac:dyDescent="0.2">
      <c r="A5729" s="111">
        <v>5867</v>
      </c>
      <c r="B5729" s="421" t="s">
        <v>10793</v>
      </c>
      <c r="C5729" s="421" t="s">
        <v>17458</v>
      </c>
      <c r="D5729" s="422" t="s">
        <v>663</v>
      </c>
      <c r="E5729" s="111">
        <v>14218</v>
      </c>
      <c r="F5729" s="421" t="s">
        <v>939</v>
      </c>
      <c r="G5729" s="112">
        <v>1</v>
      </c>
      <c r="H5729" s="112">
        <v>1</v>
      </c>
      <c r="I5729" s="112">
        <v>1</v>
      </c>
    </row>
    <row r="5730" spans="1:15" x14ac:dyDescent="0.2">
      <c r="A5730" s="111">
        <v>5868</v>
      </c>
      <c r="B5730" s="421" t="s">
        <v>10794</v>
      </c>
      <c r="C5730" s="421" t="s">
        <v>506</v>
      </c>
      <c r="D5730" s="422" t="s">
        <v>663</v>
      </c>
      <c r="E5730" s="111">
        <v>14218</v>
      </c>
      <c r="F5730" s="421" t="s">
        <v>939</v>
      </c>
    </row>
    <row r="5731" spans="1:15" x14ac:dyDescent="0.2">
      <c r="A5731" s="111">
        <v>5869</v>
      </c>
      <c r="B5731" s="421" t="s">
        <v>10795</v>
      </c>
      <c r="C5731" s="421" t="s">
        <v>532</v>
      </c>
      <c r="D5731" s="422" t="s">
        <v>666</v>
      </c>
      <c r="E5731" s="111">
        <v>1493</v>
      </c>
      <c r="F5731" s="421" t="s">
        <v>2125</v>
      </c>
      <c r="G5731" s="112">
        <v>1</v>
      </c>
      <c r="H5731" s="112">
        <v>1</v>
      </c>
      <c r="I5731" s="112">
        <v>2</v>
      </c>
    </row>
    <row r="5732" spans="1:15" x14ac:dyDescent="0.2">
      <c r="A5732" s="111">
        <v>5870</v>
      </c>
      <c r="B5732" s="421" t="s">
        <v>344</v>
      </c>
      <c r="C5732" s="421" t="s">
        <v>1817</v>
      </c>
      <c r="D5732" s="422" t="s">
        <v>666</v>
      </c>
      <c r="E5732" s="111">
        <v>17308</v>
      </c>
      <c r="F5732" s="421" t="s">
        <v>10796</v>
      </c>
      <c r="G5732" s="112">
        <v>1</v>
      </c>
      <c r="H5732" s="112">
        <v>1</v>
      </c>
      <c r="I5732" s="112">
        <v>1</v>
      </c>
      <c r="J5732" s="112">
        <v>3</v>
      </c>
      <c r="K5732" s="112">
        <v>3</v>
      </c>
      <c r="L5732" s="112">
        <v>4</v>
      </c>
      <c r="M5732" s="112">
        <v>3</v>
      </c>
    </row>
    <row r="5733" spans="1:15" x14ac:dyDescent="0.2">
      <c r="A5733" s="111">
        <v>5871</v>
      </c>
      <c r="B5733" s="421" t="s">
        <v>5301</v>
      </c>
      <c r="C5733" s="421" t="s">
        <v>1201</v>
      </c>
      <c r="D5733" s="422" t="s">
        <v>663</v>
      </c>
      <c r="E5733" s="111">
        <v>44437</v>
      </c>
      <c r="F5733" s="421" t="s">
        <v>10797</v>
      </c>
      <c r="G5733" s="112">
        <v>1</v>
      </c>
      <c r="H5733" s="112">
        <v>1</v>
      </c>
    </row>
    <row r="5734" spans="1:15" x14ac:dyDescent="0.2">
      <c r="A5734" s="111">
        <v>5872</v>
      </c>
      <c r="B5734" s="421" t="s">
        <v>477</v>
      </c>
      <c r="C5734" s="421" t="s">
        <v>1447</v>
      </c>
      <c r="D5734" s="422" t="s">
        <v>666</v>
      </c>
      <c r="E5734" s="111">
        <v>17310</v>
      </c>
      <c r="F5734" s="421" t="s">
        <v>10798</v>
      </c>
      <c r="G5734" s="112">
        <v>1</v>
      </c>
      <c r="H5734" s="112">
        <v>1</v>
      </c>
      <c r="I5734" s="112">
        <v>1</v>
      </c>
      <c r="J5734" s="112">
        <v>7</v>
      </c>
      <c r="K5734" s="112">
        <v>7</v>
      </c>
      <c r="L5734" s="112">
        <v>7</v>
      </c>
      <c r="M5734" s="112">
        <v>6</v>
      </c>
      <c r="O5734" s="112">
        <v>3</v>
      </c>
    </row>
    <row r="5735" spans="1:15" x14ac:dyDescent="0.2">
      <c r="A5735" s="111">
        <v>5873</v>
      </c>
      <c r="B5735" s="421" t="s">
        <v>10799</v>
      </c>
      <c r="C5735" s="421" t="s">
        <v>628</v>
      </c>
      <c r="D5735" s="422" t="s">
        <v>666</v>
      </c>
      <c r="F5735" s="421" t="s">
        <v>10800</v>
      </c>
      <c r="G5735" s="112">
        <v>1</v>
      </c>
      <c r="H5735" s="112">
        <v>1</v>
      </c>
      <c r="I5735" s="112">
        <v>1</v>
      </c>
      <c r="J5735" s="112">
        <v>1</v>
      </c>
      <c r="K5735" s="112">
        <v>1</v>
      </c>
      <c r="L5735" s="112">
        <v>1</v>
      </c>
      <c r="M5735" s="112">
        <v>1</v>
      </c>
      <c r="N5735" s="112">
        <v>1</v>
      </c>
      <c r="O5735" s="112">
        <v>1</v>
      </c>
    </row>
    <row r="5736" spans="1:15" x14ac:dyDescent="0.2">
      <c r="A5736" s="111">
        <v>5874</v>
      </c>
      <c r="B5736" s="421" t="s">
        <v>93</v>
      </c>
      <c r="C5736" s="421" t="s">
        <v>503</v>
      </c>
      <c r="D5736" s="422" t="s">
        <v>663</v>
      </c>
      <c r="E5736" s="111">
        <v>17311</v>
      </c>
      <c r="F5736" s="421" t="s">
        <v>10801</v>
      </c>
      <c r="G5736" s="112">
        <v>1</v>
      </c>
      <c r="H5736" s="112">
        <v>1</v>
      </c>
      <c r="I5736" s="112">
        <v>1</v>
      </c>
      <c r="J5736" s="112">
        <v>4</v>
      </c>
      <c r="K5736" s="112">
        <v>4</v>
      </c>
      <c r="L5736" s="112">
        <v>3</v>
      </c>
    </row>
    <row r="5737" spans="1:15" x14ac:dyDescent="0.2">
      <c r="A5737" s="111">
        <v>5875</v>
      </c>
      <c r="B5737" s="421" t="s">
        <v>10802</v>
      </c>
      <c r="C5737" s="421" t="s">
        <v>537</v>
      </c>
      <c r="D5737" s="422" t="s">
        <v>663</v>
      </c>
      <c r="E5737" s="111">
        <v>17312</v>
      </c>
      <c r="F5737" s="421" t="s">
        <v>10803</v>
      </c>
      <c r="G5737" s="112">
        <v>1</v>
      </c>
      <c r="H5737" s="112">
        <v>1</v>
      </c>
      <c r="I5737" s="112">
        <v>1</v>
      </c>
      <c r="J5737" s="112">
        <v>2</v>
      </c>
      <c r="K5737" s="112">
        <v>1</v>
      </c>
      <c r="L5737" s="112">
        <v>3</v>
      </c>
    </row>
    <row r="5738" spans="1:15" x14ac:dyDescent="0.2">
      <c r="A5738" s="111">
        <v>5876</v>
      </c>
      <c r="B5738" s="421" t="s">
        <v>10804</v>
      </c>
      <c r="C5738" s="421" t="s">
        <v>530</v>
      </c>
      <c r="D5738" s="422" t="s">
        <v>666</v>
      </c>
      <c r="E5738" s="111">
        <v>17309</v>
      </c>
      <c r="F5738" s="421" t="s">
        <v>10805</v>
      </c>
      <c r="G5738" s="112">
        <v>1</v>
      </c>
      <c r="H5738" s="112">
        <v>1</v>
      </c>
      <c r="I5738" s="112">
        <v>1</v>
      </c>
      <c r="J5738" s="112">
        <v>4</v>
      </c>
      <c r="K5738" s="112">
        <v>4</v>
      </c>
      <c r="L5738" s="112">
        <v>4</v>
      </c>
    </row>
    <row r="5739" spans="1:15" x14ac:dyDescent="0.2">
      <c r="A5739" s="111">
        <v>5877</v>
      </c>
      <c r="B5739" s="421" t="s">
        <v>1600</v>
      </c>
      <c r="C5739" s="421" t="s">
        <v>502</v>
      </c>
      <c r="D5739" s="422" t="s">
        <v>666</v>
      </c>
      <c r="E5739" s="111">
        <v>15527</v>
      </c>
      <c r="F5739" s="421" t="s">
        <v>4684</v>
      </c>
    </row>
    <row r="5740" spans="1:15" x14ac:dyDescent="0.2">
      <c r="A5740" s="111">
        <v>5878</v>
      </c>
      <c r="B5740" s="421" t="s">
        <v>10853</v>
      </c>
      <c r="C5740" s="421" t="s">
        <v>5370</v>
      </c>
      <c r="D5740" s="422" t="s">
        <v>666</v>
      </c>
      <c r="E5740" s="111">
        <v>16721</v>
      </c>
      <c r="F5740" s="421" t="s">
        <v>8514</v>
      </c>
      <c r="G5740" s="112">
        <v>1</v>
      </c>
      <c r="H5740" s="112">
        <v>1</v>
      </c>
      <c r="I5740" s="112">
        <v>1</v>
      </c>
      <c r="J5740" s="112">
        <v>2</v>
      </c>
      <c r="K5740" s="112">
        <v>3</v>
      </c>
      <c r="L5740" s="112">
        <v>4</v>
      </c>
      <c r="M5740" s="112">
        <v>1</v>
      </c>
    </row>
    <row r="5741" spans="1:15" x14ac:dyDescent="0.2">
      <c r="A5741" s="111">
        <v>5879</v>
      </c>
      <c r="B5741" s="421" t="s">
        <v>10854</v>
      </c>
      <c r="C5741" s="421" t="s">
        <v>501</v>
      </c>
      <c r="D5741" s="422" t="s">
        <v>666</v>
      </c>
      <c r="E5741" s="111">
        <v>17314</v>
      </c>
      <c r="F5741" s="421" t="s">
        <v>10855</v>
      </c>
      <c r="G5741" s="112">
        <v>1</v>
      </c>
      <c r="H5741" s="112">
        <v>1</v>
      </c>
      <c r="I5741" s="112">
        <v>1</v>
      </c>
      <c r="J5741" s="112">
        <v>2</v>
      </c>
      <c r="K5741" s="112">
        <v>1</v>
      </c>
      <c r="L5741" s="112">
        <v>2</v>
      </c>
    </row>
    <row r="5742" spans="1:15" x14ac:dyDescent="0.2">
      <c r="A5742" s="111">
        <v>5880</v>
      </c>
      <c r="B5742" s="421" t="s">
        <v>10856</v>
      </c>
      <c r="C5742" s="421" t="s">
        <v>501</v>
      </c>
      <c r="D5742" s="422" t="s">
        <v>663</v>
      </c>
      <c r="E5742" s="111">
        <v>16331</v>
      </c>
      <c r="F5742" s="421" t="s">
        <v>7167</v>
      </c>
      <c r="G5742" s="112">
        <v>2</v>
      </c>
      <c r="H5742" s="112">
        <v>3</v>
      </c>
      <c r="I5742" s="112">
        <v>2</v>
      </c>
      <c r="J5742" s="112">
        <v>4</v>
      </c>
      <c r="K5742" s="112">
        <v>5</v>
      </c>
      <c r="L5742" s="112">
        <v>4</v>
      </c>
    </row>
    <row r="5743" spans="1:15" x14ac:dyDescent="0.2">
      <c r="A5743" s="111">
        <v>5881</v>
      </c>
      <c r="B5743" s="421" t="s">
        <v>10857</v>
      </c>
      <c r="C5743" s="421" t="s">
        <v>551</v>
      </c>
      <c r="D5743" s="422" t="s">
        <v>666</v>
      </c>
      <c r="E5743" s="111">
        <v>17315</v>
      </c>
      <c r="F5743" s="421" t="s">
        <v>10858</v>
      </c>
      <c r="G5743" s="112">
        <v>2</v>
      </c>
      <c r="I5743" s="112">
        <v>1</v>
      </c>
    </row>
    <row r="5744" spans="1:15" x14ac:dyDescent="0.2">
      <c r="A5744" s="111">
        <v>5882</v>
      </c>
      <c r="B5744" s="421" t="s">
        <v>376</v>
      </c>
      <c r="C5744" s="421" t="s">
        <v>516</v>
      </c>
      <c r="D5744" s="422" t="s">
        <v>666</v>
      </c>
      <c r="E5744" s="111">
        <v>17313</v>
      </c>
      <c r="F5744" s="421" t="s">
        <v>10859</v>
      </c>
      <c r="G5744" s="112">
        <v>1</v>
      </c>
      <c r="H5744" s="112">
        <v>1</v>
      </c>
      <c r="I5744" s="112">
        <v>1</v>
      </c>
      <c r="J5744" s="112">
        <v>1</v>
      </c>
      <c r="K5744" s="112">
        <v>1</v>
      </c>
      <c r="L5744" s="112">
        <v>2</v>
      </c>
    </row>
    <row r="5745" spans="1:15" x14ac:dyDescent="0.2">
      <c r="A5745" s="111">
        <v>5883</v>
      </c>
      <c r="B5745" s="421" t="s">
        <v>10860</v>
      </c>
      <c r="C5745" s="421" t="s">
        <v>503</v>
      </c>
      <c r="D5745" s="422" t="s">
        <v>663</v>
      </c>
      <c r="E5745" s="111">
        <v>17063</v>
      </c>
      <c r="F5745" s="421" t="s">
        <v>9830</v>
      </c>
      <c r="G5745" s="112">
        <v>1</v>
      </c>
      <c r="H5745" s="112">
        <v>1</v>
      </c>
      <c r="I5745" s="112">
        <v>1</v>
      </c>
      <c r="J5745" s="112">
        <v>3</v>
      </c>
      <c r="K5745" s="112">
        <v>5</v>
      </c>
      <c r="L5745" s="112">
        <v>3</v>
      </c>
      <c r="M5745" s="112">
        <v>3</v>
      </c>
      <c r="N5745" s="112">
        <v>2</v>
      </c>
      <c r="O5745" s="112">
        <v>3</v>
      </c>
    </row>
    <row r="5746" spans="1:15" x14ac:dyDescent="0.2">
      <c r="A5746" s="111">
        <v>5884</v>
      </c>
      <c r="B5746" s="421" t="s">
        <v>10861</v>
      </c>
      <c r="C5746" s="421" t="s">
        <v>557</v>
      </c>
      <c r="D5746" s="422" t="s">
        <v>663</v>
      </c>
      <c r="E5746" s="111">
        <v>17316</v>
      </c>
      <c r="F5746" s="421" t="s">
        <v>10862</v>
      </c>
      <c r="G5746" s="112">
        <v>1</v>
      </c>
      <c r="H5746" s="112">
        <v>2</v>
      </c>
    </row>
    <row r="5747" spans="1:15" x14ac:dyDescent="0.2">
      <c r="A5747" s="111">
        <v>5886</v>
      </c>
      <c r="B5747" s="421" t="s">
        <v>10863</v>
      </c>
      <c r="C5747" s="421" t="s">
        <v>574</v>
      </c>
      <c r="D5747" s="422" t="s">
        <v>666</v>
      </c>
      <c r="E5747" s="111">
        <v>14859</v>
      </c>
      <c r="F5747" s="421" t="s">
        <v>2514</v>
      </c>
      <c r="G5747" s="112">
        <v>1</v>
      </c>
      <c r="H5747" s="112">
        <v>1</v>
      </c>
      <c r="I5747" s="112">
        <v>1</v>
      </c>
      <c r="J5747" s="112">
        <v>4</v>
      </c>
      <c r="K5747" s="112">
        <v>3</v>
      </c>
      <c r="L5747" s="112">
        <v>2</v>
      </c>
    </row>
    <row r="5748" spans="1:15" x14ac:dyDescent="0.2">
      <c r="A5748" s="111">
        <v>5887</v>
      </c>
      <c r="B5748" s="421" t="s">
        <v>10864</v>
      </c>
      <c r="C5748" s="421" t="s">
        <v>574</v>
      </c>
      <c r="D5748" s="422" t="s">
        <v>663</v>
      </c>
      <c r="E5748" s="111">
        <v>16070</v>
      </c>
      <c r="F5748" s="421" t="s">
        <v>3042</v>
      </c>
      <c r="G5748" s="112">
        <v>1</v>
      </c>
      <c r="H5748" s="112">
        <v>1</v>
      </c>
      <c r="I5748" s="112">
        <v>1</v>
      </c>
      <c r="J5748" s="112">
        <v>1</v>
      </c>
      <c r="L5748" s="112">
        <v>1</v>
      </c>
    </row>
    <row r="5749" spans="1:15" x14ac:dyDescent="0.2">
      <c r="A5749" s="111">
        <v>5888</v>
      </c>
      <c r="B5749" s="421" t="s">
        <v>1377</v>
      </c>
      <c r="C5749" s="421" t="s">
        <v>510</v>
      </c>
      <c r="D5749" s="422" t="s">
        <v>666</v>
      </c>
      <c r="E5749" s="111">
        <v>17317</v>
      </c>
      <c r="F5749" s="421" t="s">
        <v>10865</v>
      </c>
      <c r="G5749" s="112">
        <v>1</v>
      </c>
      <c r="H5749" s="112">
        <v>1</v>
      </c>
      <c r="I5749" s="112">
        <v>1</v>
      </c>
      <c r="J5749" s="112">
        <v>1</v>
      </c>
      <c r="K5749" s="112">
        <v>1</v>
      </c>
      <c r="L5749" s="112">
        <v>1</v>
      </c>
    </row>
    <row r="5750" spans="1:15" x14ac:dyDescent="0.2">
      <c r="A5750" s="111">
        <v>5889</v>
      </c>
      <c r="B5750" s="421" t="s">
        <v>4503</v>
      </c>
      <c r="C5750" s="421" t="s">
        <v>510</v>
      </c>
      <c r="D5750" s="422" t="s">
        <v>666</v>
      </c>
      <c r="E5750" s="111">
        <v>17317</v>
      </c>
      <c r="F5750" s="421" t="s">
        <v>10865</v>
      </c>
      <c r="G5750" s="112">
        <v>1</v>
      </c>
      <c r="H5750" s="112">
        <v>1</v>
      </c>
      <c r="I5750" s="112">
        <v>1</v>
      </c>
      <c r="J5750" s="112">
        <v>1</v>
      </c>
      <c r="K5750" s="112">
        <v>1</v>
      </c>
      <c r="L5750" s="112">
        <v>1</v>
      </c>
    </row>
    <row r="5751" spans="1:15" x14ac:dyDescent="0.2">
      <c r="A5751" s="111">
        <v>5890</v>
      </c>
      <c r="B5751" s="421" t="s">
        <v>107</v>
      </c>
      <c r="C5751" s="421" t="s">
        <v>519</v>
      </c>
      <c r="D5751" s="422" t="s">
        <v>666</v>
      </c>
      <c r="F5751" s="421" t="s">
        <v>10866</v>
      </c>
      <c r="G5751" s="112">
        <v>1</v>
      </c>
      <c r="H5751" s="112">
        <v>1</v>
      </c>
      <c r="I5751" s="112">
        <v>1</v>
      </c>
      <c r="J5751" s="112">
        <v>1</v>
      </c>
      <c r="K5751" s="112">
        <v>1</v>
      </c>
      <c r="L5751" s="112">
        <v>1</v>
      </c>
      <c r="M5751" s="112">
        <v>2</v>
      </c>
      <c r="O5751" s="112">
        <v>1</v>
      </c>
    </row>
    <row r="5752" spans="1:15" x14ac:dyDescent="0.2">
      <c r="A5752" s="111">
        <v>5891</v>
      </c>
      <c r="B5752" s="421" t="s">
        <v>7146</v>
      </c>
      <c r="C5752" s="421" t="s">
        <v>521</v>
      </c>
      <c r="D5752" s="422" t="s">
        <v>663</v>
      </c>
      <c r="E5752" s="111">
        <v>17318</v>
      </c>
      <c r="F5752" s="421" t="s">
        <v>10867</v>
      </c>
      <c r="G5752" s="112">
        <v>1</v>
      </c>
      <c r="H5752" s="112">
        <v>1</v>
      </c>
      <c r="I5752" s="112">
        <v>1</v>
      </c>
      <c r="J5752" s="112">
        <v>5</v>
      </c>
      <c r="K5752" s="112">
        <v>6</v>
      </c>
      <c r="L5752" s="112">
        <v>4</v>
      </c>
      <c r="M5752" s="112">
        <v>3</v>
      </c>
      <c r="N5752" s="112">
        <v>2</v>
      </c>
      <c r="O5752" s="112">
        <v>1</v>
      </c>
    </row>
    <row r="5753" spans="1:15" x14ac:dyDescent="0.2">
      <c r="A5753" s="111">
        <v>5892</v>
      </c>
      <c r="B5753" s="421" t="s">
        <v>5021</v>
      </c>
      <c r="C5753" s="421" t="s">
        <v>514</v>
      </c>
      <c r="D5753" s="422" t="s">
        <v>666</v>
      </c>
      <c r="E5753" s="111">
        <v>15296</v>
      </c>
      <c r="F5753" s="421" t="s">
        <v>3761</v>
      </c>
      <c r="G5753" s="112">
        <v>1</v>
      </c>
      <c r="H5753" s="112">
        <v>2</v>
      </c>
      <c r="I5753" s="112">
        <v>1</v>
      </c>
    </row>
    <row r="5754" spans="1:15" x14ac:dyDescent="0.2">
      <c r="A5754" s="111">
        <v>5893</v>
      </c>
      <c r="B5754" s="421" t="s">
        <v>10868</v>
      </c>
      <c r="C5754" s="421" t="s">
        <v>551</v>
      </c>
      <c r="D5754" s="422" t="s">
        <v>663</v>
      </c>
      <c r="E5754" s="111">
        <v>17319</v>
      </c>
      <c r="F5754" s="421" t="s">
        <v>10869</v>
      </c>
    </row>
    <row r="5755" spans="1:15" x14ac:dyDescent="0.2">
      <c r="A5755" s="111">
        <v>5894</v>
      </c>
      <c r="B5755" s="421" t="s">
        <v>5898</v>
      </c>
      <c r="C5755" s="421" t="s">
        <v>571</v>
      </c>
      <c r="D5755" s="422" t="s">
        <v>666</v>
      </c>
      <c r="E5755" s="111">
        <v>16888</v>
      </c>
      <c r="F5755" s="421" t="s">
        <v>9318</v>
      </c>
    </row>
    <row r="5756" spans="1:15" x14ac:dyDescent="0.2">
      <c r="A5756" s="111">
        <v>5895</v>
      </c>
      <c r="B5756" s="421" t="s">
        <v>10870</v>
      </c>
      <c r="C5756" s="421" t="s">
        <v>532</v>
      </c>
      <c r="D5756" s="422" t="s">
        <v>663</v>
      </c>
      <c r="E5756" s="111">
        <v>44027</v>
      </c>
      <c r="F5756" s="421" t="s">
        <v>10871</v>
      </c>
      <c r="G5756" s="112">
        <v>1</v>
      </c>
      <c r="H5756" s="112">
        <v>1</v>
      </c>
      <c r="I5756" s="112">
        <v>1</v>
      </c>
      <c r="J5756" s="112">
        <v>4</v>
      </c>
      <c r="K5756" s="112">
        <v>3</v>
      </c>
      <c r="L5756" s="112">
        <v>3</v>
      </c>
      <c r="M5756" s="112">
        <v>1</v>
      </c>
    </row>
    <row r="5757" spans="1:15" x14ac:dyDescent="0.2">
      <c r="A5757" s="111">
        <v>5896</v>
      </c>
      <c r="B5757" s="421" t="s">
        <v>10872</v>
      </c>
      <c r="C5757" s="421" t="s">
        <v>1284</v>
      </c>
      <c r="D5757" s="422" t="s">
        <v>663</v>
      </c>
      <c r="E5757" s="111">
        <v>17322</v>
      </c>
      <c r="F5757" s="421" t="s">
        <v>10873</v>
      </c>
      <c r="G5757" s="112">
        <v>1</v>
      </c>
      <c r="H5757" s="112">
        <v>1</v>
      </c>
      <c r="I5757" s="112">
        <v>1</v>
      </c>
    </row>
    <row r="5758" spans="1:15" x14ac:dyDescent="0.2">
      <c r="A5758" s="111">
        <v>5897</v>
      </c>
      <c r="B5758" s="421" t="s">
        <v>2530</v>
      </c>
      <c r="C5758" s="421" t="s">
        <v>510</v>
      </c>
      <c r="D5758" s="422" t="s">
        <v>663</v>
      </c>
      <c r="E5758" s="111">
        <v>17320</v>
      </c>
      <c r="F5758" s="421" t="s">
        <v>10874</v>
      </c>
      <c r="G5758" s="112">
        <v>1</v>
      </c>
      <c r="H5758" s="112">
        <v>1</v>
      </c>
      <c r="I5758" s="112">
        <v>1</v>
      </c>
      <c r="J5758" s="112">
        <v>6</v>
      </c>
      <c r="K5758" s="112">
        <v>6</v>
      </c>
    </row>
    <row r="5759" spans="1:15" x14ac:dyDescent="0.2">
      <c r="A5759" s="111">
        <v>5898</v>
      </c>
      <c r="B5759" s="421" t="s">
        <v>8494</v>
      </c>
      <c r="C5759" s="421" t="s">
        <v>521</v>
      </c>
      <c r="D5759" s="422" t="s">
        <v>666</v>
      </c>
      <c r="E5759" s="111">
        <v>17037</v>
      </c>
      <c r="F5759" s="421" t="s">
        <v>9769</v>
      </c>
      <c r="G5759" s="112">
        <v>2</v>
      </c>
      <c r="H5759" s="112">
        <v>1</v>
      </c>
      <c r="I5759" s="112">
        <v>2</v>
      </c>
      <c r="K5759" s="112">
        <v>1</v>
      </c>
    </row>
    <row r="5760" spans="1:15" x14ac:dyDescent="0.2">
      <c r="A5760" s="111">
        <v>5899</v>
      </c>
      <c r="B5760" s="421" t="s">
        <v>3975</v>
      </c>
      <c r="C5760" s="421" t="s">
        <v>587</v>
      </c>
      <c r="D5760" s="422" t="s">
        <v>666</v>
      </c>
      <c r="E5760" s="111">
        <v>16432</v>
      </c>
      <c r="F5760" s="421" t="s">
        <v>7561</v>
      </c>
      <c r="G5760" s="112">
        <v>2</v>
      </c>
      <c r="I5760" s="112">
        <v>1</v>
      </c>
      <c r="J5760" s="112">
        <v>1</v>
      </c>
    </row>
    <row r="5761" spans="1:15" x14ac:dyDescent="0.2">
      <c r="A5761" s="111">
        <v>5900</v>
      </c>
      <c r="B5761" s="421" t="s">
        <v>5464</v>
      </c>
      <c r="C5761" s="421" t="s">
        <v>519</v>
      </c>
      <c r="D5761" s="422" t="s">
        <v>663</v>
      </c>
      <c r="E5761" s="111">
        <v>17323</v>
      </c>
      <c r="F5761" s="421" t="s">
        <v>10875</v>
      </c>
      <c r="G5761" s="112">
        <v>1</v>
      </c>
      <c r="H5761" s="112">
        <v>1</v>
      </c>
      <c r="I5761" s="112">
        <v>1</v>
      </c>
    </row>
    <row r="5762" spans="1:15" x14ac:dyDescent="0.2">
      <c r="A5762" s="111">
        <v>5901</v>
      </c>
      <c r="B5762" s="421" t="s">
        <v>10876</v>
      </c>
      <c r="C5762" s="421" t="s">
        <v>530</v>
      </c>
      <c r="D5762" s="422" t="s">
        <v>663</v>
      </c>
      <c r="E5762" s="111">
        <v>17324</v>
      </c>
      <c r="F5762" s="421" t="s">
        <v>10877</v>
      </c>
    </row>
    <row r="5763" spans="1:15" x14ac:dyDescent="0.2">
      <c r="A5763" s="111">
        <v>5902</v>
      </c>
      <c r="B5763" s="421" t="s">
        <v>55</v>
      </c>
      <c r="C5763" s="421" t="s">
        <v>519</v>
      </c>
      <c r="D5763" s="422" t="s">
        <v>666</v>
      </c>
      <c r="E5763" s="111">
        <v>17325</v>
      </c>
      <c r="F5763" s="421" t="s">
        <v>10878</v>
      </c>
      <c r="G5763" s="112">
        <v>1</v>
      </c>
      <c r="H5763" s="112">
        <v>1</v>
      </c>
      <c r="I5763" s="112">
        <v>1</v>
      </c>
    </row>
    <row r="5764" spans="1:15" x14ac:dyDescent="0.2">
      <c r="A5764" s="111">
        <v>5903</v>
      </c>
      <c r="B5764" s="421" t="s">
        <v>10879</v>
      </c>
      <c r="C5764" s="421" t="s">
        <v>586</v>
      </c>
      <c r="D5764" s="422" t="s">
        <v>663</v>
      </c>
      <c r="E5764" s="111">
        <v>44007</v>
      </c>
      <c r="F5764" s="421" t="s">
        <v>10880</v>
      </c>
      <c r="G5764" s="112">
        <v>1</v>
      </c>
      <c r="H5764" s="112">
        <v>2</v>
      </c>
      <c r="I5764" s="112">
        <v>1</v>
      </c>
      <c r="J5764" s="112">
        <v>4</v>
      </c>
      <c r="K5764" s="112">
        <v>3</v>
      </c>
      <c r="L5764" s="112">
        <v>1</v>
      </c>
    </row>
    <row r="5765" spans="1:15" x14ac:dyDescent="0.2">
      <c r="A5765" s="111">
        <v>5904</v>
      </c>
      <c r="B5765" s="421" t="s">
        <v>10881</v>
      </c>
      <c r="C5765" s="421" t="s">
        <v>510</v>
      </c>
      <c r="D5765" s="422" t="s">
        <v>663</v>
      </c>
      <c r="E5765" s="111">
        <v>14709</v>
      </c>
      <c r="F5765" s="421" t="s">
        <v>2152</v>
      </c>
      <c r="G5765" s="112">
        <v>1</v>
      </c>
      <c r="H5765" s="112">
        <v>1</v>
      </c>
      <c r="I5765" s="112">
        <v>1</v>
      </c>
      <c r="J5765" s="112">
        <v>4</v>
      </c>
      <c r="K5765" s="112">
        <v>2</v>
      </c>
      <c r="L5765" s="112">
        <v>3</v>
      </c>
      <c r="M5765" s="112">
        <v>1</v>
      </c>
    </row>
    <row r="5766" spans="1:15" x14ac:dyDescent="0.2">
      <c r="A5766" s="111">
        <v>5905</v>
      </c>
      <c r="B5766" s="421" t="s">
        <v>10882</v>
      </c>
      <c r="C5766" s="421" t="s">
        <v>516</v>
      </c>
      <c r="D5766" s="422" t="s">
        <v>663</v>
      </c>
      <c r="F5766" s="421" t="s">
        <v>10883</v>
      </c>
    </row>
    <row r="5767" spans="1:15" x14ac:dyDescent="0.2">
      <c r="A5767" s="111">
        <v>5906</v>
      </c>
      <c r="B5767" s="421" t="s">
        <v>2575</v>
      </c>
      <c r="C5767" s="421" t="s">
        <v>510</v>
      </c>
      <c r="D5767" s="422" t="s">
        <v>663</v>
      </c>
      <c r="E5767" s="111">
        <v>17301</v>
      </c>
      <c r="F5767" s="421" t="s">
        <v>10884</v>
      </c>
      <c r="G5767" s="112">
        <v>1</v>
      </c>
      <c r="I5767" s="112">
        <v>1</v>
      </c>
    </row>
    <row r="5768" spans="1:15" x14ac:dyDescent="0.2">
      <c r="A5768" s="111">
        <v>5907</v>
      </c>
      <c r="B5768" s="421" t="s">
        <v>237</v>
      </c>
      <c r="C5768" s="421" t="s">
        <v>501</v>
      </c>
      <c r="D5768" s="422" t="s">
        <v>663</v>
      </c>
      <c r="E5768" s="111">
        <v>17328</v>
      </c>
      <c r="F5768" s="421" t="s">
        <v>10885</v>
      </c>
      <c r="G5768" s="112">
        <v>1</v>
      </c>
      <c r="H5768" s="112">
        <v>1</v>
      </c>
      <c r="I5768" s="112">
        <v>1</v>
      </c>
      <c r="J5768" s="112">
        <v>4</v>
      </c>
      <c r="K5768" s="112">
        <v>5</v>
      </c>
      <c r="L5768" s="112">
        <v>6</v>
      </c>
    </row>
    <row r="5769" spans="1:15" x14ac:dyDescent="0.2">
      <c r="A5769" s="111">
        <v>5908</v>
      </c>
      <c r="B5769" s="421" t="s">
        <v>10886</v>
      </c>
      <c r="C5769" s="421" t="s">
        <v>536</v>
      </c>
      <c r="D5769" s="422" t="s">
        <v>666</v>
      </c>
      <c r="E5769" s="111">
        <v>15534</v>
      </c>
      <c r="F5769" s="421" t="s">
        <v>989</v>
      </c>
      <c r="G5769" s="112">
        <v>1</v>
      </c>
      <c r="H5769" s="112">
        <v>1</v>
      </c>
      <c r="I5769" s="112">
        <v>1</v>
      </c>
    </row>
    <row r="5770" spans="1:15" x14ac:dyDescent="0.2">
      <c r="A5770" s="111">
        <v>5909</v>
      </c>
      <c r="B5770" s="421" t="s">
        <v>437</v>
      </c>
      <c r="C5770" s="421" t="s">
        <v>557</v>
      </c>
      <c r="D5770" s="422" t="s">
        <v>663</v>
      </c>
      <c r="E5770" s="111">
        <v>17329</v>
      </c>
      <c r="F5770" s="421" t="s">
        <v>10887</v>
      </c>
    </row>
    <row r="5771" spans="1:15" x14ac:dyDescent="0.2">
      <c r="A5771" s="111">
        <v>5910</v>
      </c>
      <c r="B5771" s="421" t="s">
        <v>10888</v>
      </c>
      <c r="C5771" s="421" t="s">
        <v>501</v>
      </c>
      <c r="D5771" s="422" t="s">
        <v>663</v>
      </c>
      <c r="E5771" s="111">
        <v>16926</v>
      </c>
      <c r="F5771" s="421" t="s">
        <v>9340</v>
      </c>
    </row>
    <row r="5772" spans="1:15" x14ac:dyDescent="0.2">
      <c r="A5772" s="111">
        <v>5911</v>
      </c>
      <c r="B5772" s="421" t="s">
        <v>6082</v>
      </c>
      <c r="C5772" s="421" t="s">
        <v>514</v>
      </c>
      <c r="D5772" s="422" t="s">
        <v>663</v>
      </c>
      <c r="E5772" s="111">
        <v>44001</v>
      </c>
      <c r="F5772" s="421" t="s">
        <v>10889</v>
      </c>
      <c r="G5772" s="112">
        <v>2</v>
      </c>
      <c r="H5772" s="112">
        <v>3</v>
      </c>
      <c r="I5772" s="112">
        <v>3</v>
      </c>
      <c r="J5772" s="112">
        <v>10</v>
      </c>
      <c r="K5772" s="112">
        <v>10</v>
      </c>
      <c r="L5772" s="112">
        <v>9</v>
      </c>
      <c r="M5772" s="112">
        <v>3</v>
      </c>
      <c r="N5772" s="112">
        <v>1</v>
      </c>
      <c r="O5772" s="112">
        <v>2</v>
      </c>
    </row>
    <row r="5773" spans="1:15" x14ac:dyDescent="0.2">
      <c r="A5773" s="111">
        <v>5912</v>
      </c>
      <c r="B5773" s="421" t="s">
        <v>8024</v>
      </c>
      <c r="C5773" s="421" t="s">
        <v>551</v>
      </c>
      <c r="D5773" s="422" t="s">
        <v>666</v>
      </c>
      <c r="E5773" s="111">
        <v>44002</v>
      </c>
      <c r="F5773" s="421" t="s">
        <v>10890</v>
      </c>
      <c r="G5773" s="112">
        <v>1</v>
      </c>
      <c r="H5773" s="112">
        <v>1</v>
      </c>
      <c r="I5773" s="112">
        <v>1</v>
      </c>
      <c r="J5773" s="112">
        <v>6</v>
      </c>
      <c r="K5773" s="112">
        <v>5</v>
      </c>
      <c r="L5773" s="112">
        <v>8</v>
      </c>
      <c r="M5773" s="112">
        <v>1</v>
      </c>
    </row>
    <row r="5774" spans="1:15" x14ac:dyDescent="0.2">
      <c r="A5774" s="111">
        <v>5913</v>
      </c>
      <c r="B5774" s="421" t="s">
        <v>10891</v>
      </c>
      <c r="C5774" s="421" t="s">
        <v>516</v>
      </c>
      <c r="D5774" s="422" t="s">
        <v>663</v>
      </c>
      <c r="E5774" s="111">
        <v>15083</v>
      </c>
      <c r="F5774" s="421" t="s">
        <v>3106</v>
      </c>
      <c r="G5774" s="112">
        <v>1</v>
      </c>
      <c r="H5774" s="112">
        <v>1</v>
      </c>
      <c r="I5774" s="112">
        <v>1</v>
      </c>
      <c r="J5774" s="112">
        <v>7</v>
      </c>
      <c r="K5774" s="112">
        <v>7</v>
      </c>
      <c r="L5774" s="112">
        <v>7</v>
      </c>
      <c r="M5774" s="112">
        <v>7</v>
      </c>
      <c r="N5774" s="112">
        <v>6</v>
      </c>
      <c r="O5774" s="112">
        <v>10</v>
      </c>
    </row>
    <row r="5775" spans="1:15" x14ac:dyDescent="0.2">
      <c r="A5775" s="111">
        <v>5914</v>
      </c>
      <c r="B5775" s="421" t="s">
        <v>1294</v>
      </c>
      <c r="C5775" s="421" t="s">
        <v>506</v>
      </c>
      <c r="D5775" s="422" t="s">
        <v>666</v>
      </c>
      <c r="E5775" s="111">
        <v>44009</v>
      </c>
      <c r="F5775" s="421" t="s">
        <v>10892</v>
      </c>
      <c r="G5775" s="112">
        <v>1</v>
      </c>
      <c r="H5775" s="112">
        <v>1</v>
      </c>
      <c r="I5775" s="112">
        <v>1</v>
      </c>
      <c r="J5775" s="112">
        <v>6</v>
      </c>
      <c r="K5775" s="112">
        <v>7</v>
      </c>
      <c r="L5775" s="112">
        <v>7</v>
      </c>
      <c r="M5775" s="112">
        <v>1</v>
      </c>
      <c r="N5775" s="112">
        <v>1</v>
      </c>
    </row>
    <row r="5776" spans="1:15" x14ac:dyDescent="0.2">
      <c r="A5776" s="111">
        <v>5915</v>
      </c>
      <c r="B5776" s="421" t="s">
        <v>159</v>
      </c>
      <c r="C5776" s="421" t="s">
        <v>532</v>
      </c>
      <c r="D5776" s="422" t="s">
        <v>663</v>
      </c>
      <c r="E5776" s="111">
        <v>44003</v>
      </c>
      <c r="F5776" s="421" t="s">
        <v>10893</v>
      </c>
      <c r="G5776" s="112">
        <v>1</v>
      </c>
      <c r="H5776" s="112">
        <v>1</v>
      </c>
      <c r="I5776" s="112">
        <v>1</v>
      </c>
      <c r="J5776" s="112">
        <v>2</v>
      </c>
      <c r="K5776" s="112">
        <v>1</v>
      </c>
    </row>
    <row r="5777" spans="1:15" x14ac:dyDescent="0.2">
      <c r="A5777" s="111">
        <v>5916</v>
      </c>
      <c r="B5777" s="421" t="s">
        <v>458</v>
      </c>
      <c r="C5777" s="421" t="s">
        <v>516</v>
      </c>
      <c r="D5777" s="422" t="s">
        <v>666</v>
      </c>
      <c r="E5777" s="111">
        <v>44004</v>
      </c>
      <c r="F5777" s="421" t="s">
        <v>10894</v>
      </c>
      <c r="G5777" s="112">
        <v>1</v>
      </c>
      <c r="H5777" s="112">
        <v>2</v>
      </c>
      <c r="I5777" s="112">
        <v>1</v>
      </c>
    </row>
    <row r="5778" spans="1:15" x14ac:dyDescent="0.2">
      <c r="A5778" s="111">
        <v>5917</v>
      </c>
      <c r="B5778" s="421" t="s">
        <v>10895</v>
      </c>
      <c r="C5778" s="421" t="s">
        <v>551</v>
      </c>
      <c r="D5778" s="422" t="s">
        <v>663</v>
      </c>
      <c r="E5778" s="111">
        <v>44006</v>
      </c>
      <c r="F5778" s="421" t="s">
        <v>10896</v>
      </c>
      <c r="G5778" s="112">
        <v>1</v>
      </c>
      <c r="H5778" s="112">
        <v>1</v>
      </c>
      <c r="I5778" s="112">
        <v>1</v>
      </c>
    </row>
    <row r="5779" spans="1:15" x14ac:dyDescent="0.2">
      <c r="A5779" s="111">
        <v>5918</v>
      </c>
      <c r="B5779" s="421" t="s">
        <v>7800</v>
      </c>
      <c r="C5779" s="421" t="s">
        <v>551</v>
      </c>
      <c r="D5779" s="422" t="s">
        <v>666</v>
      </c>
      <c r="E5779" s="111">
        <v>44006</v>
      </c>
      <c r="F5779" s="421" t="s">
        <v>10896</v>
      </c>
      <c r="H5779" s="112">
        <v>1</v>
      </c>
      <c r="I5779" s="112">
        <v>1</v>
      </c>
    </row>
    <row r="5780" spans="1:15" x14ac:dyDescent="0.2">
      <c r="A5780" s="111">
        <v>5919</v>
      </c>
      <c r="B5780" s="421" t="s">
        <v>106</v>
      </c>
      <c r="C5780" s="421" t="s">
        <v>6857</v>
      </c>
      <c r="D5780" s="422" t="s">
        <v>666</v>
      </c>
      <c r="E5780" s="111">
        <v>16249</v>
      </c>
      <c r="F5780" s="421" t="s">
        <v>6837</v>
      </c>
      <c r="G5780" s="112">
        <v>1</v>
      </c>
      <c r="H5780" s="112">
        <v>1</v>
      </c>
      <c r="I5780" s="112">
        <v>1</v>
      </c>
      <c r="J5780" s="112">
        <v>4</v>
      </c>
      <c r="K5780" s="112">
        <v>5</v>
      </c>
      <c r="L5780" s="112">
        <v>5</v>
      </c>
      <c r="M5780" s="112">
        <v>4</v>
      </c>
      <c r="O5780" s="112">
        <v>1</v>
      </c>
    </row>
    <row r="5781" spans="1:15" x14ac:dyDescent="0.2">
      <c r="A5781" s="111">
        <v>5920</v>
      </c>
      <c r="B5781" s="421" t="s">
        <v>2770</v>
      </c>
      <c r="C5781" s="421" t="s">
        <v>532</v>
      </c>
      <c r="D5781" s="422" t="s">
        <v>666</v>
      </c>
      <c r="E5781" s="111">
        <v>44008</v>
      </c>
      <c r="F5781" s="421" t="s">
        <v>10897</v>
      </c>
      <c r="I5781" s="112">
        <v>1</v>
      </c>
    </row>
    <row r="5782" spans="1:15" x14ac:dyDescent="0.2">
      <c r="A5782" s="111">
        <v>5921</v>
      </c>
      <c r="B5782" s="421" t="s">
        <v>10898</v>
      </c>
      <c r="C5782" s="421" t="s">
        <v>525</v>
      </c>
      <c r="D5782" s="422" t="s">
        <v>663</v>
      </c>
      <c r="F5782" s="421" t="s">
        <v>10899</v>
      </c>
      <c r="G5782" s="112">
        <v>1</v>
      </c>
      <c r="H5782" s="112">
        <v>1</v>
      </c>
    </row>
    <row r="5783" spans="1:15" x14ac:dyDescent="0.2">
      <c r="A5783" s="111">
        <v>5922</v>
      </c>
      <c r="B5783" s="421" t="s">
        <v>10900</v>
      </c>
      <c r="C5783" s="421" t="s">
        <v>502</v>
      </c>
      <c r="D5783" s="422" t="s">
        <v>663</v>
      </c>
      <c r="E5783" s="111">
        <v>17321</v>
      </c>
      <c r="F5783" s="421" t="s">
        <v>10901</v>
      </c>
      <c r="G5783" s="112">
        <v>1</v>
      </c>
      <c r="H5783" s="112">
        <v>1</v>
      </c>
      <c r="I5783" s="112">
        <v>1</v>
      </c>
      <c r="J5783" s="112">
        <v>1</v>
      </c>
      <c r="K5783" s="112">
        <v>3</v>
      </c>
      <c r="L5783" s="112">
        <v>1</v>
      </c>
    </row>
    <row r="5784" spans="1:15" x14ac:dyDescent="0.2">
      <c r="A5784" s="111">
        <v>5923</v>
      </c>
      <c r="B5784" s="421" t="s">
        <v>218</v>
      </c>
      <c r="C5784" s="421" t="s">
        <v>506</v>
      </c>
      <c r="D5784" s="422" t="s">
        <v>666</v>
      </c>
      <c r="E5784" s="111">
        <v>44100</v>
      </c>
      <c r="F5784" s="421" t="s">
        <v>10902</v>
      </c>
      <c r="G5784" s="112">
        <v>3</v>
      </c>
      <c r="H5784" s="112">
        <v>4</v>
      </c>
      <c r="I5784" s="112">
        <v>3</v>
      </c>
    </row>
    <row r="5785" spans="1:15" x14ac:dyDescent="0.2">
      <c r="A5785" s="111">
        <v>5924</v>
      </c>
      <c r="B5785" s="421" t="s">
        <v>10903</v>
      </c>
      <c r="C5785" s="421" t="s">
        <v>533</v>
      </c>
      <c r="D5785" s="422" t="s">
        <v>666</v>
      </c>
      <c r="E5785" s="111">
        <v>16103</v>
      </c>
      <c r="F5785" s="421" t="s">
        <v>6388</v>
      </c>
    </row>
    <row r="5786" spans="1:15" x14ac:dyDescent="0.2">
      <c r="A5786" s="111">
        <v>5925</v>
      </c>
      <c r="B5786" s="421" t="s">
        <v>10904</v>
      </c>
      <c r="C5786" s="421" t="s">
        <v>506</v>
      </c>
      <c r="D5786" s="422" t="s">
        <v>663</v>
      </c>
      <c r="E5786" s="111">
        <v>44010</v>
      </c>
      <c r="F5786" s="421" t="s">
        <v>10905</v>
      </c>
      <c r="G5786" s="112">
        <v>1</v>
      </c>
      <c r="H5786" s="112">
        <v>1</v>
      </c>
      <c r="I5786" s="112">
        <v>1</v>
      </c>
      <c r="J5786" s="112">
        <v>1</v>
      </c>
      <c r="K5786" s="112">
        <v>3</v>
      </c>
      <c r="L5786" s="112">
        <v>2</v>
      </c>
      <c r="M5786" s="112">
        <v>1</v>
      </c>
    </row>
    <row r="5787" spans="1:15" x14ac:dyDescent="0.2">
      <c r="A5787" s="111">
        <v>5926</v>
      </c>
      <c r="B5787" s="421" t="s">
        <v>10906</v>
      </c>
      <c r="C5787" s="421" t="s">
        <v>551</v>
      </c>
      <c r="D5787" s="422" t="s">
        <v>666</v>
      </c>
      <c r="E5787" s="111">
        <v>44010</v>
      </c>
      <c r="F5787" s="421" t="s">
        <v>10905</v>
      </c>
      <c r="G5787" s="112">
        <v>2</v>
      </c>
      <c r="H5787" s="112">
        <v>2</v>
      </c>
      <c r="I5787" s="112">
        <v>1</v>
      </c>
      <c r="J5787" s="112">
        <v>1</v>
      </c>
      <c r="K5787" s="112">
        <v>1</v>
      </c>
      <c r="L5787" s="112">
        <v>1</v>
      </c>
    </row>
    <row r="5788" spans="1:15" x14ac:dyDescent="0.2">
      <c r="A5788" s="111">
        <v>5927</v>
      </c>
      <c r="B5788" s="421" t="s">
        <v>158</v>
      </c>
      <c r="C5788" s="421" t="s">
        <v>544</v>
      </c>
      <c r="D5788" s="422" t="s">
        <v>663</v>
      </c>
      <c r="E5788" s="111">
        <v>15978</v>
      </c>
      <c r="F5788" s="421" t="s">
        <v>5925</v>
      </c>
      <c r="G5788" s="112">
        <v>1</v>
      </c>
      <c r="H5788" s="112">
        <v>1</v>
      </c>
      <c r="I5788" s="112">
        <v>1</v>
      </c>
      <c r="J5788" s="112">
        <v>1</v>
      </c>
      <c r="K5788" s="112">
        <v>2</v>
      </c>
      <c r="L5788" s="112">
        <v>2</v>
      </c>
    </row>
    <row r="5789" spans="1:15" x14ac:dyDescent="0.2">
      <c r="A5789" s="111">
        <v>5928</v>
      </c>
      <c r="B5789" s="421" t="s">
        <v>10907</v>
      </c>
      <c r="C5789" s="421" t="s">
        <v>507</v>
      </c>
      <c r="D5789" s="422" t="s">
        <v>666</v>
      </c>
      <c r="E5789" s="111">
        <v>16430</v>
      </c>
      <c r="F5789" s="421" t="s">
        <v>7573</v>
      </c>
      <c r="G5789" s="112">
        <v>1</v>
      </c>
      <c r="H5789" s="112">
        <v>1</v>
      </c>
    </row>
    <row r="5790" spans="1:15" x14ac:dyDescent="0.2">
      <c r="A5790" s="111">
        <v>5929</v>
      </c>
      <c r="B5790" s="421" t="s">
        <v>10908</v>
      </c>
      <c r="C5790" s="421" t="s">
        <v>551</v>
      </c>
      <c r="D5790" s="422" t="s">
        <v>666</v>
      </c>
      <c r="E5790" s="111">
        <v>44011</v>
      </c>
      <c r="F5790" s="421" t="s">
        <v>10909</v>
      </c>
      <c r="G5790" s="112">
        <v>1</v>
      </c>
      <c r="H5790" s="112">
        <v>2</v>
      </c>
      <c r="I5790" s="112">
        <v>2</v>
      </c>
    </row>
    <row r="5791" spans="1:15" x14ac:dyDescent="0.2">
      <c r="A5791" s="111">
        <v>5930</v>
      </c>
      <c r="B5791" s="421" t="s">
        <v>5898</v>
      </c>
      <c r="C5791" s="421" t="s">
        <v>503</v>
      </c>
      <c r="D5791" s="422" t="s">
        <v>666</v>
      </c>
      <c r="E5791" s="111">
        <v>44012</v>
      </c>
      <c r="F5791" s="421" t="s">
        <v>10098</v>
      </c>
      <c r="G5791" s="112">
        <v>1</v>
      </c>
      <c r="H5791" s="112">
        <v>1</v>
      </c>
      <c r="I5791" s="112">
        <v>1</v>
      </c>
      <c r="J5791" s="112">
        <v>2</v>
      </c>
      <c r="K5791" s="112">
        <v>2</v>
      </c>
      <c r="L5791" s="112">
        <v>1</v>
      </c>
      <c r="O5791" s="112">
        <v>2</v>
      </c>
    </row>
    <row r="5792" spans="1:15" x14ac:dyDescent="0.2">
      <c r="A5792" s="111">
        <v>5931</v>
      </c>
      <c r="B5792" s="421" t="s">
        <v>416</v>
      </c>
      <c r="C5792" s="421" t="s">
        <v>551</v>
      </c>
      <c r="D5792" s="422" t="s">
        <v>663</v>
      </c>
      <c r="F5792" s="421" t="s">
        <v>10910</v>
      </c>
    </row>
    <row r="5793" spans="1:15" x14ac:dyDescent="0.2">
      <c r="A5793" s="111">
        <v>5932</v>
      </c>
      <c r="B5793" s="421" t="s">
        <v>5589</v>
      </c>
      <c r="C5793" s="421" t="s">
        <v>512</v>
      </c>
      <c r="D5793" s="422" t="s">
        <v>666</v>
      </c>
      <c r="E5793" s="111">
        <v>44014</v>
      </c>
      <c r="F5793" s="421" t="s">
        <v>10911</v>
      </c>
    </row>
    <row r="5794" spans="1:15" x14ac:dyDescent="0.2">
      <c r="A5794" s="111">
        <v>5933</v>
      </c>
      <c r="B5794" s="421" t="s">
        <v>78</v>
      </c>
      <c r="C5794" s="421" t="s">
        <v>1994</v>
      </c>
      <c r="D5794" s="422" t="s">
        <v>663</v>
      </c>
      <c r="E5794" s="111">
        <v>17121</v>
      </c>
      <c r="F5794" s="421" t="s">
        <v>10039</v>
      </c>
      <c r="G5794" s="112">
        <v>1</v>
      </c>
      <c r="H5794" s="112">
        <v>1</v>
      </c>
      <c r="I5794" s="112">
        <v>1</v>
      </c>
      <c r="J5794" s="112">
        <v>2</v>
      </c>
      <c r="K5794" s="112">
        <v>2</v>
      </c>
      <c r="L5794" s="112">
        <v>2</v>
      </c>
    </row>
    <row r="5795" spans="1:15" x14ac:dyDescent="0.2">
      <c r="A5795" s="111">
        <v>5934</v>
      </c>
      <c r="B5795" s="421" t="s">
        <v>381</v>
      </c>
      <c r="C5795" s="421" t="s">
        <v>1201</v>
      </c>
      <c r="D5795" s="422" t="s">
        <v>663</v>
      </c>
      <c r="E5795" s="111">
        <v>44152</v>
      </c>
      <c r="F5795" s="421" t="s">
        <v>10912</v>
      </c>
      <c r="G5795" s="112">
        <v>1</v>
      </c>
      <c r="H5795" s="112">
        <v>1</v>
      </c>
      <c r="I5795" s="112">
        <v>1</v>
      </c>
    </row>
    <row r="5796" spans="1:15" x14ac:dyDescent="0.2">
      <c r="A5796" s="111">
        <v>5935</v>
      </c>
      <c r="B5796" s="421" t="s">
        <v>1377</v>
      </c>
      <c r="C5796" s="421" t="s">
        <v>503</v>
      </c>
      <c r="D5796" s="422" t="s">
        <v>666</v>
      </c>
      <c r="E5796" s="111">
        <v>44016</v>
      </c>
      <c r="F5796" s="421" t="s">
        <v>10913</v>
      </c>
      <c r="G5796" s="112">
        <v>1</v>
      </c>
      <c r="H5796" s="112">
        <v>1</v>
      </c>
      <c r="I5796" s="112">
        <v>1</v>
      </c>
      <c r="J5796" s="112">
        <v>8</v>
      </c>
      <c r="K5796" s="112">
        <v>7</v>
      </c>
      <c r="L5796" s="112">
        <v>6</v>
      </c>
      <c r="M5796" s="112">
        <v>6</v>
      </c>
      <c r="N5796" s="112">
        <v>4</v>
      </c>
      <c r="O5796" s="112">
        <v>6</v>
      </c>
    </row>
    <row r="5797" spans="1:15" x14ac:dyDescent="0.2">
      <c r="A5797" s="111">
        <v>5936</v>
      </c>
      <c r="B5797" s="421" t="s">
        <v>2759</v>
      </c>
      <c r="C5797" s="421" t="s">
        <v>503</v>
      </c>
      <c r="D5797" s="422" t="s">
        <v>663</v>
      </c>
      <c r="E5797" s="111">
        <v>17236</v>
      </c>
      <c r="F5797" s="421" t="s">
        <v>10386</v>
      </c>
      <c r="G5797" s="112">
        <v>1</v>
      </c>
      <c r="H5797" s="112">
        <v>1</v>
      </c>
      <c r="I5797" s="112">
        <v>1</v>
      </c>
      <c r="J5797" s="112">
        <v>1</v>
      </c>
      <c r="L5797" s="112">
        <v>1</v>
      </c>
    </row>
    <row r="5798" spans="1:15" x14ac:dyDescent="0.2">
      <c r="A5798" s="111">
        <v>5937</v>
      </c>
      <c r="B5798" s="421" t="s">
        <v>448</v>
      </c>
      <c r="C5798" s="421" t="s">
        <v>5506</v>
      </c>
      <c r="D5798" s="422" t="s">
        <v>666</v>
      </c>
      <c r="F5798" s="421" t="s">
        <v>10922</v>
      </c>
    </row>
    <row r="5799" spans="1:15" x14ac:dyDescent="0.2">
      <c r="A5799" s="111">
        <v>5938</v>
      </c>
      <c r="B5799" s="421" t="s">
        <v>186</v>
      </c>
      <c r="C5799" s="421" t="s">
        <v>543</v>
      </c>
      <c r="D5799" s="422" t="s">
        <v>666</v>
      </c>
      <c r="E5799" s="111">
        <v>44017</v>
      </c>
      <c r="F5799" s="421" t="s">
        <v>10923</v>
      </c>
      <c r="G5799" s="112">
        <v>2</v>
      </c>
      <c r="H5799" s="112">
        <v>2</v>
      </c>
      <c r="I5799" s="112">
        <v>1</v>
      </c>
      <c r="J5799" s="112">
        <v>4</v>
      </c>
      <c r="K5799" s="112">
        <v>3</v>
      </c>
      <c r="L5799" s="112">
        <v>5</v>
      </c>
      <c r="M5799" s="112">
        <v>1</v>
      </c>
      <c r="N5799" s="112">
        <v>1</v>
      </c>
      <c r="O5799" s="112">
        <v>3</v>
      </c>
    </row>
    <row r="5800" spans="1:15" x14ac:dyDescent="0.2">
      <c r="A5800" s="111">
        <v>5939</v>
      </c>
      <c r="B5800" s="421" t="s">
        <v>347</v>
      </c>
      <c r="C5800" s="421" t="s">
        <v>509</v>
      </c>
      <c r="D5800" s="422" t="s">
        <v>663</v>
      </c>
      <c r="E5800" s="111">
        <v>44018</v>
      </c>
      <c r="F5800" s="421" t="s">
        <v>10924</v>
      </c>
      <c r="G5800" s="112">
        <v>1</v>
      </c>
      <c r="H5800" s="112">
        <v>1</v>
      </c>
    </row>
    <row r="5801" spans="1:15" x14ac:dyDescent="0.2">
      <c r="A5801" s="111">
        <v>5940</v>
      </c>
      <c r="B5801" s="421" t="s">
        <v>7272</v>
      </c>
      <c r="C5801" s="421" t="s">
        <v>503</v>
      </c>
      <c r="D5801" s="422" t="s">
        <v>663</v>
      </c>
      <c r="E5801" s="111">
        <v>44019</v>
      </c>
      <c r="F5801" s="421" t="s">
        <v>10925</v>
      </c>
      <c r="G5801" s="112">
        <v>1</v>
      </c>
      <c r="H5801" s="112">
        <v>1</v>
      </c>
      <c r="I5801" s="112">
        <v>1</v>
      </c>
      <c r="J5801" s="112">
        <v>5</v>
      </c>
      <c r="K5801" s="112">
        <v>4</v>
      </c>
      <c r="L5801" s="112">
        <v>4</v>
      </c>
      <c r="M5801" s="112">
        <v>3</v>
      </c>
      <c r="N5801" s="112">
        <v>2</v>
      </c>
      <c r="O5801" s="112">
        <v>2</v>
      </c>
    </row>
    <row r="5802" spans="1:15" x14ac:dyDescent="0.2">
      <c r="A5802" s="111">
        <v>5941</v>
      </c>
      <c r="B5802" s="421" t="s">
        <v>10926</v>
      </c>
      <c r="C5802" s="421" t="s">
        <v>513</v>
      </c>
      <c r="D5802" s="422" t="s">
        <v>663</v>
      </c>
      <c r="E5802" s="111">
        <v>44020</v>
      </c>
      <c r="F5802" s="421" t="s">
        <v>10927</v>
      </c>
      <c r="G5802" s="112">
        <v>1</v>
      </c>
      <c r="H5802" s="112">
        <v>1</v>
      </c>
      <c r="I5802" s="112">
        <v>1</v>
      </c>
      <c r="J5802" s="112">
        <v>4</v>
      </c>
      <c r="K5802" s="112">
        <v>4</v>
      </c>
      <c r="L5802" s="112">
        <v>3</v>
      </c>
      <c r="M5802" s="112">
        <v>3</v>
      </c>
      <c r="N5802" s="112">
        <v>1</v>
      </c>
      <c r="O5802" s="112">
        <v>2</v>
      </c>
    </row>
    <row r="5803" spans="1:15" x14ac:dyDescent="0.2">
      <c r="A5803" s="111">
        <v>5942</v>
      </c>
      <c r="B5803" s="421" t="s">
        <v>10928</v>
      </c>
      <c r="C5803" s="421" t="s">
        <v>562</v>
      </c>
      <c r="D5803" s="422" t="s">
        <v>663</v>
      </c>
      <c r="E5803" s="111">
        <v>44021</v>
      </c>
      <c r="F5803" s="421" t="s">
        <v>10929</v>
      </c>
      <c r="G5803" s="112">
        <v>1</v>
      </c>
      <c r="H5803" s="112">
        <v>1</v>
      </c>
      <c r="I5803" s="112">
        <v>1</v>
      </c>
      <c r="J5803" s="112">
        <v>1</v>
      </c>
    </row>
    <row r="5804" spans="1:15" x14ac:dyDescent="0.2">
      <c r="A5804" s="111">
        <v>5943</v>
      </c>
      <c r="B5804" s="421" t="s">
        <v>310</v>
      </c>
      <c r="C5804" s="421" t="s">
        <v>521</v>
      </c>
      <c r="D5804" s="422" t="s">
        <v>663</v>
      </c>
      <c r="E5804" s="111">
        <v>16832</v>
      </c>
      <c r="F5804" s="421" t="s">
        <v>9040</v>
      </c>
      <c r="G5804" s="112">
        <v>1</v>
      </c>
      <c r="H5804" s="112">
        <v>1</v>
      </c>
      <c r="I5804" s="112">
        <v>1</v>
      </c>
      <c r="J5804" s="112">
        <v>1</v>
      </c>
      <c r="K5804" s="112">
        <v>2</v>
      </c>
    </row>
    <row r="5805" spans="1:15" x14ac:dyDescent="0.2">
      <c r="A5805" s="111">
        <v>5944</v>
      </c>
      <c r="B5805" s="421" t="s">
        <v>6082</v>
      </c>
      <c r="C5805" s="421" t="s">
        <v>17458</v>
      </c>
      <c r="D5805" s="422" t="s">
        <v>663</v>
      </c>
      <c r="E5805" s="111">
        <v>44022</v>
      </c>
      <c r="F5805" s="421" t="s">
        <v>10930</v>
      </c>
      <c r="G5805" s="112">
        <v>1</v>
      </c>
      <c r="H5805" s="112">
        <v>1</v>
      </c>
      <c r="I5805" s="112">
        <v>1</v>
      </c>
      <c r="J5805" s="112">
        <v>5</v>
      </c>
      <c r="K5805" s="112">
        <v>5</v>
      </c>
    </row>
    <row r="5806" spans="1:15" x14ac:dyDescent="0.2">
      <c r="A5806" s="111">
        <v>5945</v>
      </c>
      <c r="B5806" s="421" t="s">
        <v>10931</v>
      </c>
      <c r="C5806" s="421" t="s">
        <v>581</v>
      </c>
      <c r="D5806" s="422" t="s">
        <v>666</v>
      </c>
      <c r="E5806" s="111">
        <v>44023</v>
      </c>
      <c r="F5806" s="421" t="s">
        <v>10932</v>
      </c>
    </row>
    <row r="5807" spans="1:15" x14ac:dyDescent="0.2">
      <c r="A5807" s="111">
        <v>5946</v>
      </c>
      <c r="B5807" s="421" t="s">
        <v>10933</v>
      </c>
      <c r="C5807" s="421" t="s">
        <v>581</v>
      </c>
      <c r="D5807" s="422" t="s">
        <v>666</v>
      </c>
      <c r="E5807" s="111">
        <v>44023</v>
      </c>
      <c r="F5807" s="421" t="s">
        <v>10932</v>
      </c>
    </row>
    <row r="5808" spans="1:15" x14ac:dyDescent="0.2">
      <c r="A5808" s="111">
        <v>5947</v>
      </c>
      <c r="B5808" s="421" t="s">
        <v>10934</v>
      </c>
      <c r="C5808" s="421" t="s">
        <v>1446</v>
      </c>
      <c r="D5808" s="422" t="s">
        <v>666</v>
      </c>
      <c r="E5808" s="111">
        <v>14832</v>
      </c>
      <c r="F5808" s="421" t="s">
        <v>2124</v>
      </c>
      <c r="G5808" s="112">
        <v>2</v>
      </c>
      <c r="H5808" s="112">
        <v>2</v>
      </c>
      <c r="I5808" s="112">
        <v>1</v>
      </c>
    </row>
    <row r="5809" spans="1:15" x14ac:dyDescent="0.2">
      <c r="A5809" s="111">
        <v>5948</v>
      </c>
      <c r="B5809" s="421" t="s">
        <v>6668</v>
      </c>
      <c r="C5809" s="421" t="s">
        <v>551</v>
      </c>
      <c r="D5809" s="422" t="s">
        <v>663</v>
      </c>
      <c r="E5809" s="111">
        <v>44024</v>
      </c>
      <c r="F5809" s="421" t="s">
        <v>10935</v>
      </c>
    </row>
    <row r="5810" spans="1:15" x14ac:dyDescent="0.2">
      <c r="A5810" s="111">
        <v>5949</v>
      </c>
      <c r="B5810" s="421" t="s">
        <v>10936</v>
      </c>
      <c r="C5810" s="421" t="s">
        <v>5370</v>
      </c>
      <c r="D5810" s="422" t="s">
        <v>666</v>
      </c>
      <c r="E5810" s="111">
        <v>44025</v>
      </c>
      <c r="F5810" s="421" t="s">
        <v>10937</v>
      </c>
    </row>
    <row r="5811" spans="1:15" x14ac:dyDescent="0.2">
      <c r="A5811" s="111">
        <v>5950</v>
      </c>
      <c r="B5811" s="421" t="s">
        <v>2916</v>
      </c>
      <c r="C5811" s="421" t="s">
        <v>510</v>
      </c>
      <c r="D5811" s="422" t="s">
        <v>666</v>
      </c>
      <c r="E5811" s="111">
        <v>17208</v>
      </c>
      <c r="F5811" s="421" t="s">
        <v>10325</v>
      </c>
      <c r="H5811" s="112">
        <v>1</v>
      </c>
    </row>
    <row r="5812" spans="1:15" x14ac:dyDescent="0.2">
      <c r="A5812" s="111">
        <v>5951</v>
      </c>
      <c r="B5812" s="421" t="s">
        <v>390</v>
      </c>
      <c r="C5812" s="421" t="s">
        <v>510</v>
      </c>
      <c r="D5812" s="422" t="s">
        <v>663</v>
      </c>
      <c r="E5812" s="111">
        <v>44028</v>
      </c>
      <c r="F5812" s="421" t="s">
        <v>9489</v>
      </c>
      <c r="G5812" s="112">
        <v>1</v>
      </c>
      <c r="H5812" s="112">
        <v>1</v>
      </c>
      <c r="I5812" s="112">
        <v>1</v>
      </c>
      <c r="J5812" s="112">
        <v>4</v>
      </c>
      <c r="K5812" s="112">
        <v>3</v>
      </c>
      <c r="L5812" s="112">
        <v>3</v>
      </c>
      <c r="M5812" s="112">
        <v>3</v>
      </c>
      <c r="N5812" s="112">
        <v>1</v>
      </c>
      <c r="O5812" s="112">
        <v>2</v>
      </c>
    </row>
    <row r="5813" spans="1:15" x14ac:dyDescent="0.2">
      <c r="A5813" s="111">
        <v>5952</v>
      </c>
      <c r="B5813" s="421" t="s">
        <v>10915</v>
      </c>
      <c r="C5813" s="421" t="s">
        <v>551</v>
      </c>
      <c r="D5813" s="422" t="s">
        <v>666</v>
      </c>
      <c r="E5813" s="111">
        <v>44030</v>
      </c>
      <c r="F5813" s="421" t="s">
        <v>10916</v>
      </c>
      <c r="G5813" s="112">
        <v>2</v>
      </c>
      <c r="H5813" s="112">
        <v>2</v>
      </c>
      <c r="I5813" s="112">
        <v>3</v>
      </c>
      <c r="J5813" s="112">
        <v>7</v>
      </c>
      <c r="K5813" s="112">
        <v>5</v>
      </c>
      <c r="L5813" s="112">
        <v>6</v>
      </c>
      <c r="M5813" s="112">
        <v>2</v>
      </c>
      <c r="O5813" s="112">
        <v>1</v>
      </c>
    </row>
    <row r="5814" spans="1:15" x14ac:dyDescent="0.2">
      <c r="A5814" s="111">
        <v>5953</v>
      </c>
      <c r="B5814" s="421" t="s">
        <v>4440</v>
      </c>
      <c r="C5814" s="421" t="s">
        <v>528</v>
      </c>
      <c r="D5814" s="422" t="s">
        <v>663</v>
      </c>
      <c r="E5814" s="111">
        <v>44031</v>
      </c>
      <c r="F5814" s="421" t="s">
        <v>10917</v>
      </c>
      <c r="G5814" s="112">
        <v>2</v>
      </c>
      <c r="H5814" s="112">
        <v>2</v>
      </c>
      <c r="I5814" s="112">
        <v>1</v>
      </c>
      <c r="J5814" s="112">
        <v>3</v>
      </c>
      <c r="K5814" s="112">
        <v>1</v>
      </c>
      <c r="L5814" s="112">
        <v>2</v>
      </c>
    </row>
    <row r="5815" spans="1:15" x14ac:dyDescent="0.2">
      <c r="A5815" s="111">
        <v>5954</v>
      </c>
      <c r="B5815" s="421" t="s">
        <v>10918</v>
      </c>
      <c r="C5815" s="421" t="s">
        <v>514</v>
      </c>
      <c r="D5815" s="422" t="s">
        <v>663</v>
      </c>
      <c r="E5815" s="111">
        <v>44032</v>
      </c>
      <c r="F5815" s="421" t="s">
        <v>10919</v>
      </c>
      <c r="G5815" s="112">
        <v>1</v>
      </c>
      <c r="H5815" s="112">
        <v>1</v>
      </c>
      <c r="I5815" s="112">
        <v>1</v>
      </c>
      <c r="J5815" s="112">
        <v>1</v>
      </c>
      <c r="K5815" s="112">
        <v>1</v>
      </c>
      <c r="L5815" s="112">
        <v>1</v>
      </c>
    </row>
    <row r="5816" spans="1:15" x14ac:dyDescent="0.2">
      <c r="A5816" s="111">
        <v>5955</v>
      </c>
      <c r="B5816" s="421" t="s">
        <v>7544</v>
      </c>
      <c r="C5816" s="421" t="s">
        <v>581</v>
      </c>
      <c r="D5816" s="422" t="s">
        <v>663</v>
      </c>
      <c r="E5816" s="111">
        <v>44032</v>
      </c>
      <c r="F5816" s="421" t="s">
        <v>10919</v>
      </c>
    </row>
    <row r="5817" spans="1:15" x14ac:dyDescent="0.2">
      <c r="A5817" s="111">
        <v>5956</v>
      </c>
      <c r="B5817" s="421" t="s">
        <v>10938</v>
      </c>
      <c r="C5817" s="421" t="s">
        <v>521</v>
      </c>
      <c r="D5817" s="422" t="s">
        <v>666</v>
      </c>
      <c r="E5817" s="111">
        <v>17230</v>
      </c>
      <c r="F5817" s="421" t="s">
        <v>10362</v>
      </c>
    </row>
    <row r="5818" spans="1:15" x14ac:dyDescent="0.2">
      <c r="A5818" s="111">
        <v>5957</v>
      </c>
      <c r="B5818" s="421" t="s">
        <v>10939</v>
      </c>
      <c r="C5818" s="421" t="s">
        <v>5195</v>
      </c>
      <c r="D5818" s="422" t="s">
        <v>666</v>
      </c>
      <c r="E5818" s="111">
        <v>44033</v>
      </c>
      <c r="F5818" s="421" t="s">
        <v>10940</v>
      </c>
      <c r="G5818" s="112">
        <v>1</v>
      </c>
      <c r="H5818" s="112">
        <v>1</v>
      </c>
      <c r="I5818" s="112">
        <v>1</v>
      </c>
      <c r="J5818" s="112">
        <v>1</v>
      </c>
      <c r="K5818" s="112">
        <v>1</v>
      </c>
      <c r="L5818" s="112">
        <v>1</v>
      </c>
      <c r="M5818" s="112">
        <v>1</v>
      </c>
      <c r="N5818" s="112">
        <v>1</v>
      </c>
      <c r="O5818" s="112">
        <v>1</v>
      </c>
    </row>
    <row r="5819" spans="1:15" x14ac:dyDescent="0.2">
      <c r="A5819" s="111">
        <v>5958</v>
      </c>
      <c r="B5819" s="421" t="s">
        <v>80</v>
      </c>
      <c r="C5819" s="421" t="s">
        <v>567</v>
      </c>
      <c r="D5819" s="422" t="s">
        <v>663</v>
      </c>
      <c r="E5819" s="111">
        <v>14595</v>
      </c>
      <c r="F5819" s="421" t="s">
        <v>1801</v>
      </c>
      <c r="G5819" s="112">
        <v>1</v>
      </c>
      <c r="H5819" s="112">
        <v>1</v>
      </c>
      <c r="I5819" s="112">
        <v>1</v>
      </c>
      <c r="J5819" s="112">
        <v>1</v>
      </c>
      <c r="K5819" s="112">
        <v>1</v>
      </c>
      <c r="L5819" s="112">
        <v>2</v>
      </c>
    </row>
    <row r="5820" spans="1:15" x14ac:dyDescent="0.2">
      <c r="A5820" s="111">
        <v>5959</v>
      </c>
      <c r="B5820" s="421" t="s">
        <v>7884</v>
      </c>
      <c r="C5820" s="421" t="s">
        <v>526</v>
      </c>
      <c r="D5820" s="422" t="s">
        <v>666</v>
      </c>
      <c r="E5820" s="111">
        <v>44034</v>
      </c>
      <c r="F5820" s="421" t="s">
        <v>10941</v>
      </c>
      <c r="G5820" s="112">
        <v>1</v>
      </c>
      <c r="H5820" s="112">
        <v>1</v>
      </c>
      <c r="I5820" s="112">
        <v>1</v>
      </c>
      <c r="J5820" s="112">
        <v>7</v>
      </c>
      <c r="K5820" s="112">
        <v>4</v>
      </c>
      <c r="L5820" s="112">
        <v>7</v>
      </c>
      <c r="M5820" s="112">
        <v>4</v>
      </c>
      <c r="N5820" s="112">
        <v>2</v>
      </c>
      <c r="O5820" s="112">
        <v>1</v>
      </c>
    </row>
    <row r="5821" spans="1:15" x14ac:dyDescent="0.2">
      <c r="A5821" s="111">
        <v>5960</v>
      </c>
      <c r="B5821" s="421" t="s">
        <v>5548</v>
      </c>
      <c r="C5821" s="421" t="s">
        <v>514</v>
      </c>
      <c r="D5821" s="422" t="s">
        <v>663</v>
      </c>
      <c r="E5821" s="111">
        <v>44035</v>
      </c>
      <c r="F5821" s="421" t="s">
        <v>10942</v>
      </c>
      <c r="G5821" s="112">
        <v>2</v>
      </c>
      <c r="H5821" s="112">
        <v>2</v>
      </c>
      <c r="I5821" s="112">
        <v>1</v>
      </c>
      <c r="J5821" s="112">
        <v>6</v>
      </c>
      <c r="K5821" s="112">
        <v>4</v>
      </c>
      <c r="L5821" s="112">
        <v>3</v>
      </c>
    </row>
    <row r="5822" spans="1:15" x14ac:dyDescent="0.2">
      <c r="A5822" s="111">
        <v>5961</v>
      </c>
      <c r="B5822" s="421" t="s">
        <v>4616</v>
      </c>
      <c r="C5822" s="421" t="s">
        <v>503</v>
      </c>
      <c r="D5822" s="422" t="s">
        <v>663</v>
      </c>
      <c r="E5822" s="111">
        <v>16512</v>
      </c>
      <c r="F5822" s="421" t="s">
        <v>7836</v>
      </c>
      <c r="G5822" s="112">
        <v>1</v>
      </c>
      <c r="H5822" s="112">
        <v>1</v>
      </c>
      <c r="I5822" s="112">
        <v>1</v>
      </c>
    </row>
    <row r="5823" spans="1:15" x14ac:dyDescent="0.2">
      <c r="A5823" s="111">
        <v>5962</v>
      </c>
      <c r="B5823" s="421" t="s">
        <v>1873</v>
      </c>
      <c r="C5823" s="421" t="s">
        <v>516</v>
      </c>
      <c r="D5823" s="422" t="s">
        <v>666</v>
      </c>
      <c r="E5823" s="111">
        <v>16267</v>
      </c>
      <c r="F5823" s="421" t="s">
        <v>6814</v>
      </c>
      <c r="G5823" s="112">
        <v>2</v>
      </c>
      <c r="H5823" s="112">
        <v>2</v>
      </c>
      <c r="I5823" s="112">
        <v>2</v>
      </c>
      <c r="J5823" s="112">
        <v>1</v>
      </c>
      <c r="K5823" s="112">
        <v>1</v>
      </c>
      <c r="L5823" s="112">
        <v>1</v>
      </c>
      <c r="M5823" s="112">
        <v>1</v>
      </c>
      <c r="O5823" s="112">
        <v>1</v>
      </c>
    </row>
    <row r="5824" spans="1:15" x14ac:dyDescent="0.2">
      <c r="A5824" s="111">
        <v>5963</v>
      </c>
      <c r="B5824" s="421" t="s">
        <v>3006</v>
      </c>
      <c r="C5824" s="421" t="s">
        <v>572</v>
      </c>
      <c r="D5824" s="422" t="s">
        <v>666</v>
      </c>
      <c r="F5824" s="421" t="s">
        <v>10943</v>
      </c>
    </row>
    <row r="5825" spans="1:15" x14ac:dyDescent="0.2">
      <c r="A5825" s="111">
        <v>5964</v>
      </c>
      <c r="B5825" s="421" t="s">
        <v>266</v>
      </c>
      <c r="C5825" s="421" t="s">
        <v>1201</v>
      </c>
      <c r="D5825" s="422" t="s">
        <v>663</v>
      </c>
      <c r="E5825" s="111">
        <v>44036</v>
      </c>
      <c r="F5825" s="421" t="s">
        <v>10944</v>
      </c>
      <c r="G5825" s="112">
        <v>1</v>
      </c>
      <c r="H5825" s="112">
        <v>1</v>
      </c>
      <c r="I5825" s="112">
        <v>1</v>
      </c>
      <c r="J5825" s="112">
        <v>2</v>
      </c>
      <c r="K5825" s="112">
        <v>2</v>
      </c>
      <c r="L5825" s="112">
        <v>1</v>
      </c>
    </row>
    <row r="5826" spans="1:15" x14ac:dyDescent="0.2">
      <c r="A5826" s="111">
        <v>5965</v>
      </c>
      <c r="B5826" s="421" t="s">
        <v>10945</v>
      </c>
      <c r="C5826" s="421" t="s">
        <v>518</v>
      </c>
      <c r="D5826" s="422" t="s">
        <v>663</v>
      </c>
      <c r="E5826" s="111">
        <v>44038</v>
      </c>
      <c r="F5826" s="421" t="s">
        <v>10946</v>
      </c>
      <c r="G5826" s="112">
        <v>1</v>
      </c>
      <c r="H5826" s="112">
        <v>3</v>
      </c>
      <c r="I5826" s="112">
        <v>2</v>
      </c>
      <c r="J5826" s="112">
        <v>1</v>
      </c>
      <c r="K5826" s="112">
        <v>3</v>
      </c>
      <c r="L5826" s="112">
        <v>3</v>
      </c>
    </row>
    <row r="5827" spans="1:15" x14ac:dyDescent="0.2">
      <c r="A5827" s="111">
        <v>5966</v>
      </c>
      <c r="B5827" s="421" t="s">
        <v>1247</v>
      </c>
      <c r="C5827" s="421" t="s">
        <v>518</v>
      </c>
      <c r="D5827" s="422" t="s">
        <v>663</v>
      </c>
      <c r="E5827" s="111">
        <v>44038</v>
      </c>
      <c r="F5827" s="421" t="s">
        <v>10946</v>
      </c>
      <c r="G5827" s="112">
        <v>2</v>
      </c>
      <c r="H5827" s="112">
        <v>1</v>
      </c>
      <c r="I5827" s="112">
        <v>2</v>
      </c>
      <c r="J5827" s="112">
        <v>4</v>
      </c>
      <c r="K5827" s="112">
        <v>4</v>
      </c>
      <c r="L5827" s="112">
        <v>3</v>
      </c>
    </row>
    <row r="5828" spans="1:15" x14ac:dyDescent="0.2">
      <c r="A5828" s="111">
        <v>5967</v>
      </c>
      <c r="B5828" s="421" t="s">
        <v>437</v>
      </c>
      <c r="C5828" s="421" t="s">
        <v>10357</v>
      </c>
      <c r="D5828" s="422" t="s">
        <v>663</v>
      </c>
      <c r="E5828" s="111">
        <v>44040</v>
      </c>
      <c r="F5828" s="421" t="s">
        <v>10947</v>
      </c>
      <c r="G5828" s="112">
        <v>1</v>
      </c>
      <c r="H5828" s="112">
        <v>1</v>
      </c>
      <c r="I5828" s="112">
        <v>1</v>
      </c>
      <c r="J5828" s="112">
        <v>1</v>
      </c>
      <c r="K5828" s="112">
        <v>1</v>
      </c>
      <c r="L5828" s="112">
        <v>2</v>
      </c>
    </row>
    <row r="5829" spans="1:15" x14ac:dyDescent="0.2">
      <c r="A5829" s="111">
        <v>5968</v>
      </c>
      <c r="B5829" s="421" t="s">
        <v>430</v>
      </c>
      <c r="C5829" s="421" t="s">
        <v>582</v>
      </c>
      <c r="D5829" s="422" t="s">
        <v>666</v>
      </c>
      <c r="E5829" s="111">
        <v>44040</v>
      </c>
      <c r="F5829" s="421" t="s">
        <v>10947</v>
      </c>
      <c r="G5829" s="112">
        <v>1</v>
      </c>
      <c r="H5829" s="112">
        <v>1</v>
      </c>
      <c r="I5829" s="112">
        <v>1</v>
      </c>
      <c r="J5829" s="112">
        <v>2</v>
      </c>
      <c r="K5829" s="112">
        <v>2</v>
      </c>
    </row>
    <row r="5830" spans="1:15" x14ac:dyDescent="0.2">
      <c r="A5830" s="111">
        <v>5969</v>
      </c>
      <c r="B5830" s="421" t="s">
        <v>10920</v>
      </c>
      <c r="C5830" s="421" t="s">
        <v>503</v>
      </c>
      <c r="D5830" s="422" t="s">
        <v>666</v>
      </c>
      <c r="E5830" s="111">
        <v>17294</v>
      </c>
      <c r="F5830" s="421" t="s">
        <v>10921</v>
      </c>
      <c r="G5830" s="112">
        <v>1</v>
      </c>
      <c r="H5830" s="112">
        <v>1</v>
      </c>
      <c r="I5830" s="112">
        <v>2</v>
      </c>
    </row>
    <row r="5831" spans="1:15" x14ac:dyDescent="0.2">
      <c r="A5831" s="111">
        <v>5970</v>
      </c>
      <c r="B5831" s="421" t="s">
        <v>446</v>
      </c>
      <c r="C5831" s="421" t="s">
        <v>510</v>
      </c>
      <c r="D5831" s="422" t="s">
        <v>666</v>
      </c>
      <c r="E5831" s="111">
        <v>44041</v>
      </c>
      <c r="F5831" s="421" t="s">
        <v>10948</v>
      </c>
    </row>
    <row r="5832" spans="1:15" x14ac:dyDescent="0.2">
      <c r="A5832" s="111">
        <v>5971</v>
      </c>
      <c r="B5832" s="421" t="s">
        <v>10949</v>
      </c>
      <c r="C5832" s="421" t="s">
        <v>2394</v>
      </c>
      <c r="D5832" s="422" t="s">
        <v>666</v>
      </c>
      <c r="E5832" s="111">
        <v>14798</v>
      </c>
      <c r="F5832" s="421" t="s">
        <v>2395</v>
      </c>
      <c r="G5832" s="112">
        <v>1</v>
      </c>
      <c r="I5832" s="112">
        <v>1</v>
      </c>
    </row>
    <row r="5833" spans="1:15" x14ac:dyDescent="0.2">
      <c r="A5833" s="111">
        <v>5972</v>
      </c>
      <c r="B5833" s="421" t="s">
        <v>2575</v>
      </c>
      <c r="C5833" s="421" t="s">
        <v>501</v>
      </c>
      <c r="D5833" s="422" t="s">
        <v>663</v>
      </c>
      <c r="E5833" s="111">
        <v>44042</v>
      </c>
      <c r="F5833" s="421" t="s">
        <v>7018</v>
      </c>
    </row>
    <row r="5834" spans="1:15" x14ac:dyDescent="0.2">
      <c r="A5834" s="111">
        <v>5973</v>
      </c>
      <c r="B5834" s="421" t="s">
        <v>10950</v>
      </c>
      <c r="C5834" s="421" t="s">
        <v>628</v>
      </c>
      <c r="D5834" s="422" t="s">
        <v>666</v>
      </c>
      <c r="E5834" s="111">
        <v>44090</v>
      </c>
      <c r="F5834" s="421" t="s">
        <v>11271</v>
      </c>
      <c r="G5834" s="112">
        <v>1</v>
      </c>
      <c r="H5834" s="112">
        <v>1</v>
      </c>
      <c r="I5834" s="112">
        <v>1</v>
      </c>
      <c r="J5834" s="112">
        <v>3</v>
      </c>
      <c r="K5834" s="112">
        <v>3</v>
      </c>
      <c r="L5834" s="112">
        <v>3</v>
      </c>
      <c r="M5834" s="112">
        <v>2</v>
      </c>
      <c r="O5834" s="112">
        <v>2</v>
      </c>
    </row>
    <row r="5835" spans="1:15" x14ac:dyDescent="0.2">
      <c r="A5835" s="111">
        <v>5974</v>
      </c>
      <c r="B5835" s="421" t="s">
        <v>10951</v>
      </c>
      <c r="C5835" s="421" t="s">
        <v>520</v>
      </c>
      <c r="D5835" s="422" t="s">
        <v>663</v>
      </c>
      <c r="E5835" s="111">
        <v>44043</v>
      </c>
      <c r="F5835" s="421" t="s">
        <v>10952</v>
      </c>
    </row>
    <row r="5836" spans="1:15" x14ac:dyDescent="0.2">
      <c r="A5836" s="111">
        <v>5975</v>
      </c>
      <c r="B5836" s="421" t="s">
        <v>10953</v>
      </c>
      <c r="C5836" s="421" t="s">
        <v>533</v>
      </c>
      <c r="D5836" s="422" t="s">
        <v>663</v>
      </c>
      <c r="E5836" s="111">
        <v>15031</v>
      </c>
      <c r="F5836" s="421" t="s">
        <v>2382</v>
      </c>
      <c r="G5836" s="112">
        <v>1</v>
      </c>
      <c r="H5836" s="112">
        <v>1</v>
      </c>
      <c r="I5836" s="112">
        <v>1</v>
      </c>
      <c r="J5836" s="112">
        <v>1</v>
      </c>
      <c r="K5836" s="112">
        <v>1</v>
      </c>
      <c r="L5836" s="112">
        <v>1</v>
      </c>
    </row>
    <row r="5837" spans="1:15" x14ac:dyDescent="0.2">
      <c r="A5837" s="111">
        <v>5976</v>
      </c>
      <c r="B5837" s="421" t="s">
        <v>3044</v>
      </c>
      <c r="C5837" s="421" t="s">
        <v>628</v>
      </c>
      <c r="D5837" s="422" t="s">
        <v>663</v>
      </c>
      <c r="E5837" s="111">
        <v>16457</v>
      </c>
      <c r="F5837" s="421" t="s">
        <v>7747</v>
      </c>
      <c r="G5837" s="112">
        <v>1</v>
      </c>
      <c r="H5837" s="112">
        <v>1</v>
      </c>
      <c r="I5837" s="112">
        <v>1</v>
      </c>
    </row>
    <row r="5838" spans="1:15" x14ac:dyDescent="0.2">
      <c r="A5838" s="111">
        <v>5977</v>
      </c>
      <c r="B5838" s="421" t="s">
        <v>10954</v>
      </c>
      <c r="C5838" s="421" t="s">
        <v>516</v>
      </c>
      <c r="D5838" s="422" t="s">
        <v>663</v>
      </c>
      <c r="E5838" s="111">
        <v>44044</v>
      </c>
      <c r="F5838" s="421" t="s">
        <v>10955</v>
      </c>
      <c r="G5838" s="112">
        <v>1</v>
      </c>
      <c r="H5838" s="112">
        <v>1</v>
      </c>
      <c r="I5838" s="112">
        <v>1</v>
      </c>
      <c r="L5838" s="112">
        <v>1</v>
      </c>
    </row>
    <row r="5839" spans="1:15" x14ac:dyDescent="0.2">
      <c r="A5839" s="111">
        <v>5978</v>
      </c>
      <c r="B5839" s="421" t="s">
        <v>10956</v>
      </c>
      <c r="C5839" s="421" t="s">
        <v>516</v>
      </c>
      <c r="D5839" s="422" t="s">
        <v>663</v>
      </c>
      <c r="E5839" s="111">
        <v>44044</v>
      </c>
      <c r="F5839" s="421" t="s">
        <v>10955</v>
      </c>
    </row>
    <row r="5840" spans="1:15" x14ac:dyDescent="0.2">
      <c r="A5840" s="111">
        <v>5979</v>
      </c>
      <c r="B5840" s="421" t="s">
        <v>2916</v>
      </c>
      <c r="C5840" s="421" t="s">
        <v>6996</v>
      </c>
      <c r="D5840" s="422" t="s">
        <v>663</v>
      </c>
      <c r="E5840" s="111">
        <v>44045</v>
      </c>
      <c r="F5840" s="421" t="s">
        <v>10957</v>
      </c>
    </row>
    <row r="5841" spans="1:15" x14ac:dyDescent="0.2">
      <c r="A5841" s="111">
        <v>5980</v>
      </c>
      <c r="B5841" s="421" t="s">
        <v>106</v>
      </c>
      <c r="C5841" s="421" t="s">
        <v>551</v>
      </c>
      <c r="D5841" s="422" t="s">
        <v>666</v>
      </c>
      <c r="F5841" s="421" t="s">
        <v>4753</v>
      </c>
    </row>
    <row r="5842" spans="1:15" x14ac:dyDescent="0.2">
      <c r="A5842" s="111">
        <v>5981</v>
      </c>
      <c r="B5842" s="421" t="s">
        <v>10958</v>
      </c>
      <c r="C5842" s="421" t="s">
        <v>501</v>
      </c>
      <c r="D5842" s="422" t="s">
        <v>666</v>
      </c>
      <c r="E5842" s="111">
        <v>44046</v>
      </c>
      <c r="F5842" s="421" t="s">
        <v>10959</v>
      </c>
      <c r="G5842" s="112">
        <v>3</v>
      </c>
      <c r="H5842" s="112">
        <v>3</v>
      </c>
      <c r="I5842" s="112">
        <v>1</v>
      </c>
      <c r="J5842" s="112">
        <v>6</v>
      </c>
      <c r="K5842" s="112">
        <v>7</v>
      </c>
      <c r="L5842" s="112">
        <v>5</v>
      </c>
      <c r="N5842" s="112">
        <v>1</v>
      </c>
    </row>
    <row r="5843" spans="1:15" x14ac:dyDescent="0.2">
      <c r="A5843" s="111">
        <v>5982</v>
      </c>
      <c r="B5843" s="421" t="s">
        <v>10960</v>
      </c>
      <c r="C5843" s="421" t="s">
        <v>570</v>
      </c>
      <c r="D5843" s="422" t="s">
        <v>663</v>
      </c>
      <c r="E5843" s="111">
        <v>15674</v>
      </c>
      <c r="F5843" s="421" t="s">
        <v>5036</v>
      </c>
      <c r="G5843" s="112">
        <v>1</v>
      </c>
      <c r="H5843" s="112">
        <v>1</v>
      </c>
      <c r="I5843" s="112">
        <v>1</v>
      </c>
      <c r="J5843" s="112">
        <v>3</v>
      </c>
      <c r="K5843" s="112">
        <v>4</v>
      </c>
      <c r="L5843" s="112">
        <v>3</v>
      </c>
    </row>
    <row r="5844" spans="1:15" x14ac:dyDescent="0.2">
      <c r="A5844" s="111">
        <v>5983</v>
      </c>
      <c r="B5844" s="421" t="s">
        <v>2444</v>
      </c>
      <c r="C5844" s="421" t="s">
        <v>510</v>
      </c>
      <c r="D5844" s="422" t="s">
        <v>663</v>
      </c>
      <c r="E5844" s="111">
        <v>44589</v>
      </c>
      <c r="F5844" s="421" t="s">
        <v>3077</v>
      </c>
      <c r="H5844" s="112">
        <v>1</v>
      </c>
      <c r="I5844" s="112">
        <v>1</v>
      </c>
    </row>
    <row r="5845" spans="1:15" x14ac:dyDescent="0.2">
      <c r="A5845" s="111">
        <v>5984</v>
      </c>
      <c r="B5845" s="421" t="s">
        <v>1689</v>
      </c>
      <c r="C5845" s="421" t="s">
        <v>503</v>
      </c>
      <c r="D5845" s="422" t="s">
        <v>666</v>
      </c>
      <c r="E5845" s="111">
        <v>44048</v>
      </c>
      <c r="F5845" s="421" t="s">
        <v>10961</v>
      </c>
    </row>
    <row r="5846" spans="1:15" x14ac:dyDescent="0.2">
      <c r="A5846" s="111">
        <v>5985</v>
      </c>
      <c r="B5846" s="421" t="s">
        <v>7272</v>
      </c>
      <c r="C5846" s="421" t="s">
        <v>2165</v>
      </c>
      <c r="D5846" s="422" t="s">
        <v>663</v>
      </c>
      <c r="E5846" s="111">
        <v>44054</v>
      </c>
      <c r="F5846" s="421" t="s">
        <v>9835</v>
      </c>
      <c r="H5846" s="112">
        <v>1</v>
      </c>
      <c r="I5846" s="112">
        <v>2</v>
      </c>
    </row>
    <row r="5847" spans="1:15" x14ac:dyDescent="0.2">
      <c r="A5847" s="111">
        <v>5986</v>
      </c>
      <c r="B5847" s="421" t="s">
        <v>10962</v>
      </c>
      <c r="C5847" s="421" t="s">
        <v>513</v>
      </c>
      <c r="D5847" s="422" t="s">
        <v>666</v>
      </c>
      <c r="F5847" s="421" t="s">
        <v>10963</v>
      </c>
      <c r="H5847" s="112">
        <v>1</v>
      </c>
      <c r="I5847" s="112">
        <v>2</v>
      </c>
    </row>
    <row r="5848" spans="1:15" x14ac:dyDescent="0.2">
      <c r="A5848" s="111">
        <v>5987</v>
      </c>
      <c r="B5848" s="421" t="s">
        <v>10964</v>
      </c>
      <c r="C5848" s="421" t="s">
        <v>547</v>
      </c>
      <c r="D5848" s="422" t="s">
        <v>663</v>
      </c>
      <c r="F5848" s="421" t="s">
        <v>10965</v>
      </c>
      <c r="G5848" s="112">
        <v>1</v>
      </c>
      <c r="H5848" s="112">
        <v>1</v>
      </c>
      <c r="I5848" s="112">
        <v>1</v>
      </c>
      <c r="K5848" s="112">
        <v>1</v>
      </c>
    </row>
    <row r="5849" spans="1:15" x14ac:dyDescent="0.2">
      <c r="A5849" s="111">
        <v>5988</v>
      </c>
      <c r="B5849" s="421" t="s">
        <v>10966</v>
      </c>
      <c r="C5849" s="421" t="s">
        <v>547</v>
      </c>
      <c r="D5849" s="422" t="s">
        <v>663</v>
      </c>
      <c r="F5849" s="421" t="s">
        <v>10965</v>
      </c>
      <c r="G5849" s="112">
        <v>1</v>
      </c>
      <c r="H5849" s="112">
        <v>1</v>
      </c>
      <c r="I5849" s="112">
        <v>1</v>
      </c>
      <c r="K5849" s="112">
        <v>1</v>
      </c>
      <c r="L5849" s="112">
        <v>1</v>
      </c>
    </row>
    <row r="5850" spans="1:15" x14ac:dyDescent="0.2">
      <c r="A5850" s="111">
        <v>5989</v>
      </c>
      <c r="B5850" s="421" t="s">
        <v>2530</v>
      </c>
      <c r="C5850" s="421" t="s">
        <v>588</v>
      </c>
      <c r="D5850" s="422" t="s">
        <v>663</v>
      </c>
      <c r="E5850" s="111">
        <v>17240</v>
      </c>
      <c r="F5850" s="421" t="s">
        <v>10394</v>
      </c>
      <c r="G5850" s="112">
        <v>1</v>
      </c>
      <c r="H5850" s="112">
        <v>1</v>
      </c>
      <c r="I5850" s="112">
        <v>1</v>
      </c>
    </row>
    <row r="5851" spans="1:15" x14ac:dyDescent="0.2">
      <c r="A5851" s="111">
        <v>5990</v>
      </c>
      <c r="B5851" s="421" t="s">
        <v>10967</v>
      </c>
      <c r="C5851" s="421" t="s">
        <v>503</v>
      </c>
      <c r="D5851" s="422" t="s">
        <v>663</v>
      </c>
      <c r="E5851" s="111">
        <v>44050</v>
      </c>
      <c r="F5851" s="421" t="s">
        <v>10968</v>
      </c>
      <c r="G5851" s="112">
        <v>3</v>
      </c>
      <c r="H5851" s="112">
        <v>3</v>
      </c>
      <c r="I5851" s="112">
        <v>1</v>
      </c>
      <c r="J5851" s="112">
        <v>2</v>
      </c>
      <c r="K5851" s="112">
        <v>4</v>
      </c>
      <c r="L5851" s="112">
        <v>2</v>
      </c>
    </row>
    <row r="5852" spans="1:15" x14ac:dyDescent="0.2">
      <c r="A5852" s="111">
        <v>5991</v>
      </c>
      <c r="B5852" s="421" t="s">
        <v>7666</v>
      </c>
      <c r="C5852" s="421" t="s">
        <v>519</v>
      </c>
      <c r="D5852" s="422" t="s">
        <v>666</v>
      </c>
      <c r="E5852" s="111">
        <v>14238</v>
      </c>
      <c r="F5852" s="421" t="s">
        <v>996</v>
      </c>
      <c r="G5852" s="112">
        <v>1</v>
      </c>
      <c r="H5852" s="112">
        <v>1</v>
      </c>
      <c r="I5852" s="112">
        <v>1</v>
      </c>
      <c r="J5852" s="112">
        <v>3</v>
      </c>
      <c r="K5852" s="112">
        <v>3</v>
      </c>
      <c r="L5852" s="112">
        <v>3</v>
      </c>
      <c r="M5852" s="112">
        <v>3</v>
      </c>
      <c r="N5852" s="112">
        <v>2</v>
      </c>
      <c r="O5852" s="112">
        <v>4</v>
      </c>
    </row>
    <row r="5853" spans="1:15" x14ac:dyDescent="0.2">
      <c r="A5853" s="111">
        <v>5992</v>
      </c>
      <c r="B5853" s="421" t="s">
        <v>6008</v>
      </c>
      <c r="C5853" s="421" t="s">
        <v>514</v>
      </c>
      <c r="D5853" s="422" t="s">
        <v>666</v>
      </c>
      <c r="E5853" s="111">
        <v>15066</v>
      </c>
      <c r="F5853" s="421" t="s">
        <v>3040</v>
      </c>
      <c r="G5853" s="112">
        <v>1</v>
      </c>
    </row>
    <row r="5854" spans="1:15" x14ac:dyDescent="0.2">
      <c r="A5854" s="111">
        <v>5993</v>
      </c>
      <c r="B5854" s="421" t="s">
        <v>10969</v>
      </c>
      <c r="C5854" s="421" t="s">
        <v>1419</v>
      </c>
      <c r="D5854" s="422" t="s">
        <v>666</v>
      </c>
      <c r="E5854" s="111">
        <v>44051</v>
      </c>
      <c r="F5854" s="421" t="s">
        <v>10970</v>
      </c>
      <c r="G5854" s="112">
        <v>3</v>
      </c>
      <c r="H5854" s="112">
        <v>4</v>
      </c>
      <c r="I5854" s="112">
        <v>2</v>
      </c>
    </row>
    <row r="5855" spans="1:15" x14ac:dyDescent="0.2">
      <c r="A5855" s="111">
        <v>5994</v>
      </c>
      <c r="B5855" s="421" t="s">
        <v>7802</v>
      </c>
      <c r="C5855" s="421" t="s">
        <v>551</v>
      </c>
      <c r="D5855" s="422" t="s">
        <v>666</v>
      </c>
      <c r="E5855" s="111">
        <v>44327</v>
      </c>
      <c r="F5855" s="421" t="s">
        <v>10971</v>
      </c>
      <c r="G5855" s="112">
        <v>1</v>
      </c>
      <c r="H5855" s="112">
        <v>1</v>
      </c>
      <c r="I5855" s="112">
        <v>1</v>
      </c>
      <c r="J5855" s="112">
        <v>1</v>
      </c>
      <c r="K5855" s="112">
        <v>1</v>
      </c>
      <c r="L5855" s="112">
        <v>1</v>
      </c>
    </row>
    <row r="5856" spans="1:15" x14ac:dyDescent="0.2">
      <c r="A5856" s="111">
        <v>5995</v>
      </c>
      <c r="B5856" s="421" t="s">
        <v>3947</v>
      </c>
      <c r="C5856" s="421" t="s">
        <v>516</v>
      </c>
      <c r="D5856" s="422" t="s">
        <v>663</v>
      </c>
      <c r="E5856" s="111">
        <v>16460</v>
      </c>
      <c r="F5856" s="421" t="s">
        <v>2336</v>
      </c>
      <c r="G5856" s="112">
        <v>1</v>
      </c>
      <c r="H5856" s="112">
        <v>1</v>
      </c>
      <c r="I5856" s="112">
        <v>1</v>
      </c>
      <c r="J5856" s="112">
        <v>2</v>
      </c>
      <c r="K5856" s="112">
        <v>2</v>
      </c>
      <c r="L5856" s="112">
        <v>1</v>
      </c>
    </row>
    <row r="5857" spans="1:12" x14ac:dyDescent="0.2">
      <c r="A5857" s="111">
        <v>5996</v>
      </c>
      <c r="B5857" s="421" t="s">
        <v>1248</v>
      </c>
      <c r="C5857" s="421" t="s">
        <v>628</v>
      </c>
      <c r="D5857" s="422" t="s">
        <v>663</v>
      </c>
      <c r="F5857" s="421" t="s">
        <v>10972</v>
      </c>
      <c r="G5857" s="112">
        <v>1</v>
      </c>
      <c r="H5857" s="112">
        <v>1</v>
      </c>
      <c r="I5857" s="112">
        <v>1</v>
      </c>
    </row>
    <row r="5858" spans="1:12" x14ac:dyDescent="0.2">
      <c r="A5858" s="111">
        <v>5997</v>
      </c>
      <c r="B5858" s="421" t="s">
        <v>10973</v>
      </c>
      <c r="C5858" s="421" t="s">
        <v>501</v>
      </c>
      <c r="D5858" s="422" t="s">
        <v>666</v>
      </c>
      <c r="E5858" s="111">
        <v>14730</v>
      </c>
      <c r="F5858" s="421" t="s">
        <v>2193</v>
      </c>
      <c r="G5858" s="112">
        <v>1</v>
      </c>
      <c r="H5858" s="112">
        <v>1</v>
      </c>
      <c r="I5858" s="112">
        <v>1</v>
      </c>
      <c r="J5858" s="112">
        <v>2</v>
      </c>
      <c r="K5858" s="112">
        <v>3</v>
      </c>
      <c r="L5858" s="112">
        <v>3</v>
      </c>
    </row>
    <row r="5859" spans="1:12" x14ac:dyDescent="0.2">
      <c r="A5859" s="111">
        <v>5998</v>
      </c>
      <c r="B5859" s="421" t="s">
        <v>10974</v>
      </c>
      <c r="C5859" s="421" t="s">
        <v>526</v>
      </c>
      <c r="D5859" s="422" t="s">
        <v>666</v>
      </c>
      <c r="E5859" s="111">
        <v>44053</v>
      </c>
      <c r="F5859" s="421" t="s">
        <v>10975</v>
      </c>
      <c r="G5859" s="112">
        <v>1</v>
      </c>
      <c r="H5859" s="112">
        <v>1</v>
      </c>
      <c r="I5859" s="112">
        <v>1</v>
      </c>
      <c r="J5859" s="112">
        <v>1</v>
      </c>
      <c r="K5859" s="112">
        <v>1</v>
      </c>
    </row>
    <row r="5860" spans="1:12" x14ac:dyDescent="0.2">
      <c r="A5860" s="111">
        <v>5999</v>
      </c>
      <c r="B5860" s="421" t="s">
        <v>7674</v>
      </c>
      <c r="C5860" s="421" t="s">
        <v>533</v>
      </c>
      <c r="D5860" s="422" t="s">
        <v>666</v>
      </c>
      <c r="F5860" s="421" t="s">
        <v>10976</v>
      </c>
      <c r="G5860" s="112">
        <v>1</v>
      </c>
      <c r="I5860" s="112">
        <v>1</v>
      </c>
    </row>
    <row r="5861" spans="1:12" x14ac:dyDescent="0.2">
      <c r="A5861" s="111">
        <v>6000</v>
      </c>
      <c r="B5861" s="421" t="s">
        <v>10977</v>
      </c>
      <c r="C5861" s="421" t="s">
        <v>514</v>
      </c>
      <c r="D5861" s="422" t="s">
        <v>666</v>
      </c>
      <c r="E5861" s="111">
        <v>44055</v>
      </c>
      <c r="F5861" s="421" t="s">
        <v>7566</v>
      </c>
    </row>
    <row r="5862" spans="1:12" x14ac:dyDescent="0.2">
      <c r="A5862" s="111">
        <v>6001</v>
      </c>
      <c r="B5862" s="421" t="s">
        <v>10978</v>
      </c>
      <c r="C5862" s="421" t="s">
        <v>529</v>
      </c>
      <c r="D5862" s="422" t="s">
        <v>663</v>
      </c>
      <c r="E5862" s="111">
        <v>15530</v>
      </c>
      <c r="F5862" s="421" t="s">
        <v>4707</v>
      </c>
      <c r="G5862" s="112">
        <v>1</v>
      </c>
      <c r="H5862" s="112">
        <v>1</v>
      </c>
      <c r="I5862" s="112">
        <v>1</v>
      </c>
      <c r="J5862" s="112">
        <v>1</v>
      </c>
      <c r="K5862" s="112">
        <v>1</v>
      </c>
      <c r="L5862" s="112">
        <v>1</v>
      </c>
    </row>
    <row r="5863" spans="1:12" x14ac:dyDescent="0.2">
      <c r="A5863" s="111">
        <v>6002</v>
      </c>
      <c r="B5863" s="421" t="s">
        <v>10979</v>
      </c>
      <c r="C5863" s="421" t="s">
        <v>501</v>
      </c>
      <c r="D5863" s="422" t="s">
        <v>666</v>
      </c>
      <c r="E5863" s="111">
        <v>44056</v>
      </c>
      <c r="F5863" s="421" t="s">
        <v>10980</v>
      </c>
      <c r="G5863" s="112">
        <v>1</v>
      </c>
      <c r="H5863" s="112">
        <v>2</v>
      </c>
      <c r="I5863" s="112">
        <v>1</v>
      </c>
    </row>
    <row r="5864" spans="1:12" x14ac:dyDescent="0.2">
      <c r="A5864" s="111">
        <v>6003</v>
      </c>
      <c r="B5864" s="421" t="s">
        <v>2218</v>
      </c>
      <c r="C5864" s="421" t="s">
        <v>516</v>
      </c>
      <c r="D5864" s="422" t="s">
        <v>666</v>
      </c>
      <c r="E5864" s="111">
        <v>16504</v>
      </c>
      <c r="F5864" s="421" t="s">
        <v>7719</v>
      </c>
      <c r="G5864" s="112">
        <v>2</v>
      </c>
      <c r="H5864" s="112">
        <v>1</v>
      </c>
      <c r="I5864" s="112">
        <v>1</v>
      </c>
      <c r="K5864" s="112">
        <v>1</v>
      </c>
    </row>
    <row r="5865" spans="1:12" x14ac:dyDescent="0.2">
      <c r="A5865" s="111">
        <v>6004</v>
      </c>
      <c r="B5865" s="421" t="s">
        <v>133</v>
      </c>
      <c r="C5865" s="421" t="s">
        <v>553</v>
      </c>
      <c r="D5865" s="422" t="s">
        <v>666</v>
      </c>
      <c r="E5865" s="111">
        <v>44039</v>
      </c>
      <c r="F5865" s="421" t="s">
        <v>10981</v>
      </c>
      <c r="G5865" s="112">
        <v>1</v>
      </c>
      <c r="H5865" s="112">
        <v>1</v>
      </c>
      <c r="I5865" s="112">
        <v>1</v>
      </c>
    </row>
    <row r="5866" spans="1:12" x14ac:dyDescent="0.2">
      <c r="A5866" s="111">
        <v>6005</v>
      </c>
      <c r="B5866" s="421" t="s">
        <v>4029</v>
      </c>
      <c r="C5866" s="421" t="s">
        <v>553</v>
      </c>
      <c r="D5866" s="422" t="s">
        <v>663</v>
      </c>
      <c r="E5866" s="111">
        <v>44039</v>
      </c>
      <c r="F5866" s="421" t="s">
        <v>10981</v>
      </c>
    </row>
    <row r="5867" spans="1:12" x14ac:dyDescent="0.2">
      <c r="A5867" s="111">
        <v>6006</v>
      </c>
      <c r="B5867" s="421" t="s">
        <v>3890</v>
      </c>
      <c r="C5867" s="421" t="s">
        <v>532</v>
      </c>
      <c r="D5867" s="422" t="s">
        <v>666</v>
      </c>
      <c r="E5867" s="111">
        <v>44105</v>
      </c>
      <c r="F5867" s="421" t="s">
        <v>10982</v>
      </c>
      <c r="G5867" s="112">
        <v>1</v>
      </c>
      <c r="H5867" s="112">
        <v>1</v>
      </c>
      <c r="I5867" s="112">
        <v>1</v>
      </c>
    </row>
    <row r="5868" spans="1:12" x14ac:dyDescent="0.2">
      <c r="A5868" s="111">
        <v>6007</v>
      </c>
      <c r="B5868" s="421" t="s">
        <v>3577</v>
      </c>
      <c r="C5868" s="421" t="s">
        <v>1674</v>
      </c>
      <c r="D5868" s="422" t="s">
        <v>663</v>
      </c>
      <c r="E5868" s="111">
        <v>16144</v>
      </c>
      <c r="F5868" s="421" t="s">
        <v>6502</v>
      </c>
      <c r="G5868" s="112">
        <v>1</v>
      </c>
      <c r="H5868" s="112">
        <v>1</v>
      </c>
      <c r="I5868" s="112">
        <v>1</v>
      </c>
      <c r="K5868" s="112">
        <v>1</v>
      </c>
      <c r="L5868" s="112">
        <v>2</v>
      </c>
    </row>
    <row r="5869" spans="1:12" x14ac:dyDescent="0.2">
      <c r="A5869" s="111">
        <v>6008</v>
      </c>
      <c r="B5869" s="421" t="s">
        <v>10983</v>
      </c>
      <c r="C5869" s="421" t="s">
        <v>501</v>
      </c>
      <c r="D5869" s="422" t="s">
        <v>663</v>
      </c>
      <c r="E5869" s="111">
        <v>15333</v>
      </c>
      <c r="F5869" s="421" t="s">
        <v>3849</v>
      </c>
      <c r="G5869" s="112">
        <v>2</v>
      </c>
      <c r="H5869" s="112">
        <v>2</v>
      </c>
      <c r="I5869" s="112">
        <v>2</v>
      </c>
    </row>
    <row r="5870" spans="1:12" x14ac:dyDescent="0.2">
      <c r="A5870" s="111">
        <v>6009</v>
      </c>
      <c r="B5870" s="421" t="s">
        <v>2545</v>
      </c>
      <c r="C5870" s="421" t="s">
        <v>518</v>
      </c>
      <c r="D5870" s="422" t="s">
        <v>663</v>
      </c>
      <c r="F5870" s="421" t="s">
        <v>10984</v>
      </c>
      <c r="G5870" s="112">
        <v>1</v>
      </c>
      <c r="H5870" s="112">
        <v>1</v>
      </c>
      <c r="I5870" s="112">
        <v>1</v>
      </c>
      <c r="J5870" s="112">
        <v>1</v>
      </c>
      <c r="K5870" s="112">
        <v>1</v>
      </c>
      <c r="L5870" s="112">
        <v>1</v>
      </c>
    </row>
    <row r="5871" spans="1:12" x14ac:dyDescent="0.2">
      <c r="A5871" s="111">
        <v>6010</v>
      </c>
      <c r="B5871" s="421" t="s">
        <v>10780</v>
      </c>
      <c r="C5871" s="421" t="s">
        <v>574</v>
      </c>
      <c r="D5871" s="422" t="s">
        <v>663</v>
      </c>
      <c r="E5871" s="111">
        <v>17303</v>
      </c>
      <c r="F5871" s="421" t="s">
        <v>10781</v>
      </c>
    </row>
    <row r="5872" spans="1:12" x14ac:dyDescent="0.2">
      <c r="A5872" s="111">
        <v>6011</v>
      </c>
      <c r="B5872" s="421" t="s">
        <v>3259</v>
      </c>
      <c r="C5872" s="421" t="s">
        <v>517</v>
      </c>
      <c r="D5872" s="422" t="s">
        <v>666</v>
      </c>
      <c r="E5872" s="111">
        <v>44058</v>
      </c>
      <c r="F5872" s="421" t="s">
        <v>11015</v>
      </c>
    </row>
    <row r="5873" spans="1:15" x14ac:dyDescent="0.2">
      <c r="A5873" s="111">
        <v>6012</v>
      </c>
      <c r="B5873" s="421" t="s">
        <v>10768</v>
      </c>
      <c r="C5873" s="421" t="s">
        <v>517</v>
      </c>
      <c r="D5873" s="422" t="s">
        <v>666</v>
      </c>
      <c r="E5873" s="111">
        <v>44058</v>
      </c>
      <c r="F5873" s="421" t="s">
        <v>11015</v>
      </c>
    </row>
    <row r="5874" spans="1:15" x14ac:dyDescent="0.2">
      <c r="A5874" s="111">
        <v>6013</v>
      </c>
      <c r="B5874" s="421" t="s">
        <v>11016</v>
      </c>
      <c r="C5874" s="421" t="s">
        <v>510</v>
      </c>
      <c r="D5874" s="422" t="s">
        <v>666</v>
      </c>
      <c r="E5874" s="111">
        <v>17207</v>
      </c>
      <c r="F5874" s="421" t="s">
        <v>11017</v>
      </c>
      <c r="G5874" s="112">
        <v>1</v>
      </c>
      <c r="H5874" s="112">
        <v>1</v>
      </c>
      <c r="I5874" s="112">
        <v>1</v>
      </c>
    </row>
    <row r="5875" spans="1:15" x14ac:dyDescent="0.2">
      <c r="A5875" s="111">
        <v>6014</v>
      </c>
      <c r="B5875" s="421" t="s">
        <v>11018</v>
      </c>
      <c r="C5875" s="421" t="s">
        <v>504</v>
      </c>
      <c r="D5875" s="422" t="s">
        <v>666</v>
      </c>
      <c r="E5875" s="111">
        <v>16876</v>
      </c>
      <c r="F5875" s="421" t="s">
        <v>9236</v>
      </c>
      <c r="G5875" s="112">
        <v>1</v>
      </c>
      <c r="H5875" s="112">
        <v>1</v>
      </c>
      <c r="I5875" s="112">
        <v>1</v>
      </c>
    </row>
    <row r="5876" spans="1:15" x14ac:dyDescent="0.2">
      <c r="A5876" s="111">
        <v>6015</v>
      </c>
      <c r="B5876" s="421" t="s">
        <v>1395</v>
      </c>
      <c r="C5876" s="421" t="s">
        <v>551</v>
      </c>
      <c r="D5876" s="422" t="s">
        <v>663</v>
      </c>
      <c r="E5876" s="111">
        <v>16560</v>
      </c>
      <c r="F5876" s="421" t="s">
        <v>7910</v>
      </c>
      <c r="G5876" s="112">
        <v>1</v>
      </c>
      <c r="H5876" s="112">
        <v>1</v>
      </c>
      <c r="I5876" s="112">
        <v>1</v>
      </c>
    </row>
    <row r="5877" spans="1:15" x14ac:dyDescent="0.2">
      <c r="A5877" s="111">
        <v>6016</v>
      </c>
      <c r="B5877" s="421" t="s">
        <v>3354</v>
      </c>
      <c r="C5877" s="421" t="s">
        <v>530</v>
      </c>
      <c r="D5877" s="422" t="s">
        <v>663</v>
      </c>
      <c r="E5877" s="111">
        <v>14392</v>
      </c>
      <c r="F5877" s="421" t="s">
        <v>1266</v>
      </c>
      <c r="G5877" s="112">
        <v>1</v>
      </c>
      <c r="H5877" s="112">
        <v>1</v>
      </c>
      <c r="I5877" s="112">
        <v>1</v>
      </c>
      <c r="J5877" s="112">
        <v>2</v>
      </c>
      <c r="K5877" s="112">
        <v>3</v>
      </c>
      <c r="L5877" s="112">
        <v>2</v>
      </c>
    </row>
    <row r="5878" spans="1:15" x14ac:dyDescent="0.2">
      <c r="A5878" s="111">
        <v>6017</v>
      </c>
      <c r="B5878" s="421" t="s">
        <v>11019</v>
      </c>
      <c r="C5878" s="421" t="s">
        <v>551</v>
      </c>
      <c r="D5878" s="422" t="s">
        <v>666</v>
      </c>
      <c r="F5878" s="421" t="s">
        <v>1656</v>
      </c>
    </row>
    <row r="5879" spans="1:15" x14ac:dyDescent="0.2">
      <c r="A5879" s="111">
        <v>6018</v>
      </c>
      <c r="B5879" s="421" t="s">
        <v>231</v>
      </c>
      <c r="C5879" s="421" t="s">
        <v>509</v>
      </c>
      <c r="D5879" s="422" t="s">
        <v>666</v>
      </c>
      <c r="E5879" s="111">
        <v>17163</v>
      </c>
      <c r="F5879" s="421" t="s">
        <v>8658</v>
      </c>
      <c r="G5879" s="112">
        <v>1</v>
      </c>
      <c r="H5879" s="112">
        <v>1</v>
      </c>
      <c r="I5879" s="112">
        <v>1</v>
      </c>
    </row>
    <row r="5880" spans="1:15" x14ac:dyDescent="0.2">
      <c r="A5880" s="111">
        <v>6019</v>
      </c>
      <c r="B5880" s="421" t="s">
        <v>46</v>
      </c>
      <c r="C5880" s="421" t="s">
        <v>503</v>
      </c>
      <c r="D5880" s="422" t="s">
        <v>663</v>
      </c>
      <c r="F5880" s="421" t="s">
        <v>11020</v>
      </c>
      <c r="G5880" s="112">
        <v>1</v>
      </c>
      <c r="H5880" s="112">
        <v>1</v>
      </c>
      <c r="I5880" s="112">
        <v>1</v>
      </c>
    </row>
    <row r="5881" spans="1:15" x14ac:dyDescent="0.2">
      <c r="A5881" s="111">
        <v>6020</v>
      </c>
      <c r="B5881" s="421" t="s">
        <v>11021</v>
      </c>
      <c r="C5881" s="421" t="s">
        <v>501</v>
      </c>
      <c r="D5881" s="422" t="s">
        <v>666</v>
      </c>
      <c r="E5881" s="111">
        <v>44059</v>
      </c>
      <c r="F5881" s="421" t="s">
        <v>11022</v>
      </c>
      <c r="G5881" s="112">
        <v>1</v>
      </c>
      <c r="H5881" s="112">
        <v>1</v>
      </c>
      <c r="I5881" s="112">
        <v>1</v>
      </c>
      <c r="J5881" s="112">
        <v>2</v>
      </c>
      <c r="K5881" s="112">
        <v>2</v>
      </c>
      <c r="L5881" s="112">
        <v>2</v>
      </c>
      <c r="M5881" s="112">
        <v>1</v>
      </c>
    </row>
    <row r="5882" spans="1:15" x14ac:dyDescent="0.2">
      <c r="A5882" s="111">
        <v>6021</v>
      </c>
      <c r="B5882" s="421" t="s">
        <v>1359</v>
      </c>
      <c r="C5882" s="421" t="s">
        <v>501</v>
      </c>
      <c r="D5882" s="422" t="s">
        <v>663</v>
      </c>
      <c r="E5882" s="111">
        <v>44059</v>
      </c>
      <c r="F5882" s="421" t="s">
        <v>11022</v>
      </c>
      <c r="G5882" s="112">
        <v>1</v>
      </c>
      <c r="H5882" s="112">
        <v>1</v>
      </c>
      <c r="I5882" s="112">
        <v>1</v>
      </c>
      <c r="K5882" s="112">
        <v>1</v>
      </c>
    </row>
    <row r="5883" spans="1:15" x14ac:dyDescent="0.2">
      <c r="A5883" s="111">
        <v>6022</v>
      </c>
      <c r="B5883" s="421" t="s">
        <v>1428</v>
      </c>
      <c r="C5883" s="421" t="s">
        <v>5825</v>
      </c>
      <c r="D5883" s="422" t="s">
        <v>663</v>
      </c>
      <c r="F5883" s="421" t="s">
        <v>11023</v>
      </c>
      <c r="G5883" s="112">
        <v>2</v>
      </c>
      <c r="H5883" s="112">
        <v>3</v>
      </c>
      <c r="I5883" s="112">
        <v>1</v>
      </c>
      <c r="J5883" s="112">
        <v>1</v>
      </c>
      <c r="K5883" s="112">
        <v>1</v>
      </c>
    </row>
    <row r="5884" spans="1:15" x14ac:dyDescent="0.2">
      <c r="A5884" s="111">
        <v>6023</v>
      </c>
      <c r="B5884" s="421" t="s">
        <v>11024</v>
      </c>
      <c r="C5884" s="421" t="s">
        <v>1908</v>
      </c>
      <c r="D5884" s="422" t="s">
        <v>663</v>
      </c>
      <c r="E5884" s="111">
        <v>15987</v>
      </c>
      <c r="F5884" s="421" t="s">
        <v>6027</v>
      </c>
      <c r="G5884" s="112">
        <v>1</v>
      </c>
      <c r="H5884" s="112">
        <v>1</v>
      </c>
      <c r="I5884" s="112">
        <v>1</v>
      </c>
      <c r="K5884" s="112">
        <v>1</v>
      </c>
      <c r="L5884" s="112">
        <v>1</v>
      </c>
    </row>
    <row r="5885" spans="1:15" x14ac:dyDescent="0.2">
      <c r="A5885" s="111">
        <v>6024</v>
      </c>
      <c r="B5885" s="421" t="s">
        <v>119</v>
      </c>
      <c r="C5885" s="421" t="s">
        <v>501</v>
      </c>
      <c r="D5885" s="422" t="s">
        <v>663</v>
      </c>
      <c r="E5885" s="111">
        <v>44060</v>
      </c>
      <c r="F5885" s="421" t="s">
        <v>11025</v>
      </c>
      <c r="G5885" s="112">
        <v>1</v>
      </c>
      <c r="H5885" s="112">
        <v>1</v>
      </c>
      <c r="I5885" s="112">
        <v>1</v>
      </c>
      <c r="J5885" s="112">
        <v>3</v>
      </c>
      <c r="K5885" s="112">
        <v>3</v>
      </c>
      <c r="L5885" s="112">
        <v>2</v>
      </c>
    </row>
    <row r="5886" spans="1:15" x14ac:dyDescent="0.2">
      <c r="A5886" s="111">
        <v>6025</v>
      </c>
      <c r="B5886" s="421" t="s">
        <v>11026</v>
      </c>
      <c r="C5886" s="421" t="s">
        <v>501</v>
      </c>
      <c r="D5886" s="422" t="s">
        <v>666</v>
      </c>
      <c r="E5886" s="111">
        <v>44248</v>
      </c>
      <c r="F5886" s="421" t="s">
        <v>11027</v>
      </c>
      <c r="G5886" s="112">
        <v>1</v>
      </c>
      <c r="H5886" s="112">
        <v>1</v>
      </c>
      <c r="I5886" s="112">
        <v>1</v>
      </c>
      <c r="K5886" s="112">
        <v>2</v>
      </c>
    </row>
    <row r="5887" spans="1:15" x14ac:dyDescent="0.2">
      <c r="A5887" s="111">
        <v>6026</v>
      </c>
      <c r="B5887" s="421" t="s">
        <v>11028</v>
      </c>
      <c r="C5887" s="421" t="s">
        <v>628</v>
      </c>
      <c r="D5887" s="422" t="s">
        <v>666</v>
      </c>
      <c r="E5887" s="111">
        <v>17064</v>
      </c>
      <c r="F5887" s="421" t="s">
        <v>9666</v>
      </c>
      <c r="G5887" s="112">
        <v>1</v>
      </c>
      <c r="H5887" s="112">
        <v>1</v>
      </c>
      <c r="I5887" s="112">
        <v>1</v>
      </c>
      <c r="J5887" s="112">
        <v>5</v>
      </c>
      <c r="K5887" s="112">
        <v>5</v>
      </c>
      <c r="L5887" s="112">
        <v>5</v>
      </c>
      <c r="O5887" s="112">
        <v>1</v>
      </c>
    </row>
    <row r="5888" spans="1:15" x14ac:dyDescent="0.2">
      <c r="A5888" s="111">
        <v>6027</v>
      </c>
      <c r="B5888" s="421" t="s">
        <v>11029</v>
      </c>
      <c r="C5888" s="421" t="s">
        <v>1318</v>
      </c>
      <c r="D5888" s="422" t="s">
        <v>663</v>
      </c>
      <c r="E5888" s="111">
        <v>44061</v>
      </c>
      <c r="F5888" s="421" t="s">
        <v>11030</v>
      </c>
      <c r="G5888" s="112">
        <v>1</v>
      </c>
      <c r="H5888" s="112">
        <v>1</v>
      </c>
      <c r="I5888" s="112">
        <v>1</v>
      </c>
      <c r="J5888" s="112">
        <v>5</v>
      </c>
      <c r="K5888" s="112">
        <v>5</v>
      </c>
      <c r="L5888" s="112">
        <v>5</v>
      </c>
      <c r="M5888" s="112">
        <v>1</v>
      </c>
      <c r="N5888" s="112">
        <v>1</v>
      </c>
      <c r="O5888" s="112">
        <v>3</v>
      </c>
    </row>
    <row r="5889" spans="1:15" x14ac:dyDescent="0.2">
      <c r="A5889" s="111">
        <v>6028</v>
      </c>
      <c r="B5889" s="421" t="s">
        <v>4655</v>
      </c>
      <c r="C5889" s="421" t="s">
        <v>501</v>
      </c>
      <c r="D5889" s="422" t="s">
        <v>666</v>
      </c>
      <c r="E5889" s="111">
        <v>44062</v>
      </c>
      <c r="F5889" s="421" t="s">
        <v>11031</v>
      </c>
      <c r="G5889" s="112">
        <v>1</v>
      </c>
      <c r="H5889" s="112">
        <v>1</v>
      </c>
      <c r="I5889" s="112">
        <v>1</v>
      </c>
      <c r="J5889" s="112">
        <v>3</v>
      </c>
      <c r="K5889" s="112">
        <v>4</v>
      </c>
      <c r="L5889" s="112">
        <v>4</v>
      </c>
      <c r="O5889" s="112">
        <v>1</v>
      </c>
    </row>
    <row r="5890" spans="1:15" x14ac:dyDescent="0.2">
      <c r="A5890" s="111">
        <v>6029</v>
      </c>
      <c r="B5890" s="421" t="s">
        <v>11032</v>
      </c>
      <c r="C5890" s="421" t="s">
        <v>522</v>
      </c>
      <c r="D5890" s="422" t="s">
        <v>663</v>
      </c>
      <c r="E5890" s="111">
        <v>16566</v>
      </c>
      <c r="F5890" s="421" t="s">
        <v>7904</v>
      </c>
      <c r="G5890" s="112">
        <v>1</v>
      </c>
      <c r="H5890" s="112">
        <v>1</v>
      </c>
      <c r="I5890" s="112">
        <v>1</v>
      </c>
    </row>
    <row r="5891" spans="1:15" x14ac:dyDescent="0.2">
      <c r="A5891" s="111">
        <v>6030</v>
      </c>
      <c r="B5891" s="421" t="s">
        <v>106</v>
      </c>
      <c r="C5891" s="421" t="s">
        <v>3110</v>
      </c>
      <c r="D5891" s="422" t="s">
        <v>666</v>
      </c>
      <c r="E5891" s="111">
        <v>44063</v>
      </c>
      <c r="F5891" s="421" t="s">
        <v>11033</v>
      </c>
    </row>
    <row r="5892" spans="1:15" x14ac:dyDescent="0.2">
      <c r="A5892" s="111">
        <v>6031</v>
      </c>
      <c r="B5892" s="421" t="s">
        <v>11034</v>
      </c>
      <c r="C5892" s="421" t="s">
        <v>532</v>
      </c>
      <c r="D5892" s="422" t="s">
        <v>663</v>
      </c>
      <c r="E5892" s="111">
        <v>44064</v>
      </c>
      <c r="F5892" s="421" t="s">
        <v>11035</v>
      </c>
      <c r="G5892" s="112">
        <v>1</v>
      </c>
      <c r="H5892" s="112">
        <v>1</v>
      </c>
      <c r="I5892" s="112">
        <v>1</v>
      </c>
      <c r="J5892" s="112">
        <v>3</v>
      </c>
      <c r="K5892" s="112">
        <v>2</v>
      </c>
      <c r="L5892" s="112">
        <v>3</v>
      </c>
      <c r="M5892" s="112">
        <v>7</v>
      </c>
      <c r="N5892" s="112">
        <v>3</v>
      </c>
      <c r="O5892" s="112">
        <v>3</v>
      </c>
    </row>
    <row r="5893" spans="1:15" x14ac:dyDescent="0.2">
      <c r="A5893" s="111">
        <v>6032</v>
      </c>
      <c r="B5893" s="421" t="s">
        <v>11036</v>
      </c>
      <c r="C5893" s="421" t="s">
        <v>1378</v>
      </c>
      <c r="D5893" s="422" t="s">
        <v>663</v>
      </c>
      <c r="E5893" s="111">
        <v>44065</v>
      </c>
      <c r="F5893" s="421" t="s">
        <v>11037</v>
      </c>
      <c r="G5893" s="112">
        <v>2</v>
      </c>
      <c r="H5893" s="112">
        <v>2</v>
      </c>
      <c r="I5893" s="112">
        <v>2</v>
      </c>
      <c r="J5893" s="112">
        <v>1</v>
      </c>
      <c r="K5893" s="112">
        <v>1</v>
      </c>
      <c r="L5893" s="112">
        <v>1</v>
      </c>
    </row>
    <row r="5894" spans="1:15" x14ac:dyDescent="0.2">
      <c r="A5894" s="111">
        <v>6033</v>
      </c>
      <c r="B5894" s="421" t="s">
        <v>11038</v>
      </c>
      <c r="C5894" s="421" t="s">
        <v>532</v>
      </c>
      <c r="D5894" s="422" t="s">
        <v>663</v>
      </c>
      <c r="E5894" s="111">
        <v>44037</v>
      </c>
      <c r="F5894" s="421" t="s">
        <v>11039</v>
      </c>
      <c r="G5894" s="112">
        <v>1</v>
      </c>
      <c r="H5894" s="112">
        <v>1</v>
      </c>
      <c r="I5894" s="112">
        <v>1</v>
      </c>
      <c r="J5894" s="112">
        <v>1</v>
      </c>
      <c r="K5894" s="112">
        <v>1</v>
      </c>
      <c r="L5894" s="112">
        <v>1</v>
      </c>
      <c r="O5894" s="112">
        <v>1</v>
      </c>
    </row>
    <row r="5895" spans="1:15" x14ac:dyDescent="0.2">
      <c r="A5895" s="111">
        <v>6034</v>
      </c>
      <c r="B5895" s="421" t="s">
        <v>11040</v>
      </c>
      <c r="C5895" s="421" t="s">
        <v>501</v>
      </c>
      <c r="D5895" s="422" t="s">
        <v>663</v>
      </c>
      <c r="E5895" s="111">
        <v>44136</v>
      </c>
      <c r="F5895" s="421" t="s">
        <v>11041</v>
      </c>
      <c r="G5895" s="112">
        <v>1</v>
      </c>
      <c r="H5895" s="112">
        <v>3</v>
      </c>
      <c r="I5895" s="112">
        <v>4</v>
      </c>
      <c r="J5895" s="112">
        <v>1</v>
      </c>
      <c r="K5895" s="112">
        <v>2</v>
      </c>
      <c r="L5895" s="112">
        <v>1</v>
      </c>
    </row>
    <row r="5896" spans="1:15" x14ac:dyDescent="0.2">
      <c r="A5896" s="111">
        <v>6035</v>
      </c>
      <c r="B5896" s="421" t="s">
        <v>2052</v>
      </c>
      <c r="C5896" s="421" t="s">
        <v>530</v>
      </c>
      <c r="D5896" s="422" t="s">
        <v>663</v>
      </c>
      <c r="E5896" s="111">
        <v>44066</v>
      </c>
      <c r="F5896" s="421" t="s">
        <v>10324</v>
      </c>
      <c r="G5896" s="112">
        <v>1</v>
      </c>
      <c r="H5896" s="112">
        <v>1</v>
      </c>
      <c r="I5896" s="112">
        <v>1</v>
      </c>
      <c r="J5896" s="112">
        <v>1</v>
      </c>
      <c r="K5896" s="112">
        <v>1</v>
      </c>
      <c r="L5896" s="112">
        <v>1</v>
      </c>
    </row>
    <row r="5897" spans="1:15" x14ac:dyDescent="0.2">
      <c r="A5897" s="111">
        <v>6036</v>
      </c>
      <c r="B5897" s="421" t="s">
        <v>131</v>
      </c>
      <c r="C5897" s="421" t="s">
        <v>1378</v>
      </c>
      <c r="D5897" s="422" t="s">
        <v>663</v>
      </c>
      <c r="E5897" s="111">
        <v>44067</v>
      </c>
      <c r="F5897" s="421" t="s">
        <v>11042</v>
      </c>
      <c r="G5897" s="112">
        <v>3</v>
      </c>
      <c r="H5897" s="112">
        <v>1</v>
      </c>
      <c r="I5897" s="112">
        <v>2</v>
      </c>
    </row>
    <row r="5898" spans="1:15" x14ac:dyDescent="0.2">
      <c r="A5898" s="111">
        <v>6037</v>
      </c>
      <c r="B5898" s="421" t="s">
        <v>11125</v>
      </c>
      <c r="C5898" s="421" t="s">
        <v>542</v>
      </c>
      <c r="D5898" s="422" t="s">
        <v>663</v>
      </c>
      <c r="E5898" s="111">
        <v>15392</v>
      </c>
      <c r="F5898" s="421" t="s">
        <v>3967</v>
      </c>
      <c r="G5898" s="112">
        <v>1</v>
      </c>
      <c r="H5898" s="112">
        <v>1</v>
      </c>
      <c r="I5898" s="112">
        <v>1</v>
      </c>
      <c r="K5898" s="112">
        <v>1</v>
      </c>
      <c r="L5898" s="112">
        <v>1</v>
      </c>
    </row>
    <row r="5899" spans="1:15" x14ac:dyDescent="0.2">
      <c r="A5899" s="111">
        <v>6038</v>
      </c>
      <c r="B5899" s="421" t="s">
        <v>9376</v>
      </c>
      <c r="C5899" s="421" t="s">
        <v>501</v>
      </c>
      <c r="D5899" s="422" t="s">
        <v>663</v>
      </c>
      <c r="E5899" s="111">
        <v>16953</v>
      </c>
      <c r="F5899" s="421" t="s">
        <v>9390</v>
      </c>
    </row>
    <row r="5900" spans="1:15" x14ac:dyDescent="0.2">
      <c r="A5900" s="111">
        <v>6039</v>
      </c>
      <c r="B5900" s="421" t="s">
        <v>11126</v>
      </c>
      <c r="C5900" s="421" t="s">
        <v>501</v>
      </c>
      <c r="D5900" s="422" t="s">
        <v>666</v>
      </c>
      <c r="E5900" s="111">
        <v>44068</v>
      </c>
      <c r="F5900" s="421" t="s">
        <v>11127</v>
      </c>
    </row>
    <row r="5901" spans="1:15" x14ac:dyDescent="0.2">
      <c r="A5901" s="111">
        <v>6040</v>
      </c>
      <c r="B5901" s="421" t="s">
        <v>4099</v>
      </c>
      <c r="C5901" s="421" t="s">
        <v>516</v>
      </c>
      <c r="D5901" s="422" t="s">
        <v>666</v>
      </c>
      <c r="E5901" s="111">
        <v>16093</v>
      </c>
      <c r="F5901" s="421" t="s">
        <v>6326</v>
      </c>
    </row>
    <row r="5902" spans="1:15" x14ac:dyDescent="0.2">
      <c r="A5902" s="111">
        <v>6041</v>
      </c>
      <c r="B5902" s="421" t="s">
        <v>11128</v>
      </c>
      <c r="C5902" s="421" t="s">
        <v>501</v>
      </c>
      <c r="D5902" s="422" t="s">
        <v>663</v>
      </c>
      <c r="E5902" s="111">
        <v>16147</v>
      </c>
      <c r="F5902" s="421" t="s">
        <v>6329</v>
      </c>
      <c r="G5902" s="112">
        <v>1</v>
      </c>
      <c r="H5902" s="112">
        <v>1</v>
      </c>
      <c r="I5902" s="112">
        <v>1</v>
      </c>
      <c r="J5902" s="112">
        <v>3</v>
      </c>
      <c r="K5902" s="112">
        <v>3</v>
      </c>
      <c r="L5902" s="112">
        <v>3</v>
      </c>
    </row>
    <row r="5903" spans="1:15" x14ac:dyDescent="0.2">
      <c r="A5903" s="111">
        <v>6042</v>
      </c>
      <c r="B5903" s="421" t="s">
        <v>1612</v>
      </c>
      <c r="C5903" s="421" t="s">
        <v>501</v>
      </c>
      <c r="D5903" s="422" t="s">
        <v>666</v>
      </c>
      <c r="E5903" s="111">
        <v>44069</v>
      </c>
      <c r="F5903" s="421" t="s">
        <v>11129</v>
      </c>
      <c r="G5903" s="112">
        <v>1</v>
      </c>
      <c r="H5903" s="112">
        <v>1</v>
      </c>
      <c r="I5903" s="112">
        <v>1</v>
      </c>
    </row>
    <row r="5904" spans="1:15" x14ac:dyDescent="0.2">
      <c r="A5904" s="111">
        <v>6043</v>
      </c>
      <c r="B5904" s="421" t="s">
        <v>3408</v>
      </c>
      <c r="C5904" s="421" t="s">
        <v>551</v>
      </c>
      <c r="D5904" s="422" t="s">
        <v>663</v>
      </c>
      <c r="E5904" s="111">
        <v>44070</v>
      </c>
      <c r="F5904" s="421" t="s">
        <v>11130</v>
      </c>
      <c r="G5904" s="112">
        <v>2</v>
      </c>
      <c r="H5904" s="112">
        <v>1</v>
      </c>
      <c r="I5904" s="112">
        <v>1</v>
      </c>
      <c r="J5904" s="112">
        <v>1</v>
      </c>
      <c r="K5904" s="112">
        <v>1</v>
      </c>
      <c r="L5904" s="112">
        <v>1</v>
      </c>
      <c r="M5904" s="112">
        <v>4</v>
      </c>
      <c r="N5904" s="112">
        <v>2</v>
      </c>
      <c r="O5904" s="112">
        <v>3</v>
      </c>
    </row>
    <row r="5905" spans="1:15" x14ac:dyDescent="0.2">
      <c r="A5905" s="111">
        <v>6044</v>
      </c>
      <c r="B5905" s="421" t="s">
        <v>3316</v>
      </c>
      <c r="C5905" s="421" t="s">
        <v>551</v>
      </c>
      <c r="D5905" s="422" t="s">
        <v>663</v>
      </c>
      <c r="E5905" s="111">
        <v>44070</v>
      </c>
      <c r="F5905" s="421" t="s">
        <v>11130</v>
      </c>
      <c r="G5905" s="112">
        <v>1</v>
      </c>
      <c r="H5905" s="112">
        <v>1</v>
      </c>
      <c r="I5905" s="112">
        <v>1</v>
      </c>
      <c r="J5905" s="112">
        <v>3</v>
      </c>
      <c r="K5905" s="112">
        <v>3</v>
      </c>
      <c r="L5905" s="112">
        <v>3</v>
      </c>
    </row>
    <row r="5906" spans="1:15" x14ac:dyDescent="0.2">
      <c r="A5906" s="111">
        <v>6045</v>
      </c>
      <c r="B5906" s="421" t="s">
        <v>11131</v>
      </c>
      <c r="C5906" s="421" t="s">
        <v>503</v>
      </c>
      <c r="D5906" s="422" t="s">
        <v>666</v>
      </c>
      <c r="E5906" s="111">
        <v>16091</v>
      </c>
      <c r="F5906" s="421" t="s">
        <v>6323</v>
      </c>
      <c r="G5906" s="112">
        <v>1</v>
      </c>
      <c r="H5906" s="112">
        <v>2</v>
      </c>
      <c r="I5906" s="112">
        <v>1</v>
      </c>
    </row>
    <row r="5907" spans="1:15" x14ac:dyDescent="0.2">
      <c r="A5907" s="111">
        <v>6046</v>
      </c>
      <c r="B5907" s="421" t="s">
        <v>11132</v>
      </c>
      <c r="C5907" s="421" t="s">
        <v>501</v>
      </c>
      <c r="D5907" s="422" t="s">
        <v>663</v>
      </c>
      <c r="E5907" s="111">
        <v>44071</v>
      </c>
      <c r="F5907" s="421" t="s">
        <v>11133</v>
      </c>
      <c r="G5907" s="112">
        <v>1</v>
      </c>
      <c r="H5907" s="112">
        <v>1</v>
      </c>
      <c r="I5907" s="112">
        <v>1</v>
      </c>
    </row>
    <row r="5908" spans="1:15" x14ac:dyDescent="0.2">
      <c r="A5908" s="111">
        <v>6047</v>
      </c>
      <c r="B5908" s="421" t="s">
        <v>11134</v>
      </c>
      <c r="C5908" s="421" t="s">
        <v>501</v>
      </c>
      <c r="D5908" s="422" t="s">
        <v>666</v>
      </c>
      <c r="E5908" s="111">
        <v>44071</v>
      </c>
      <c r="F5908" s="421" t="s">
        <v>11133</v>
      </c>
    </row>
    <row r="5909" spans="1:15" x14ac:dyDescent="0.2">
      <c r="A5909" s="111">
        <v>6048</v>
      </c>
      <c r="B5909" s="421" t="s">
        <v>1273</v>
      </c>
      <c r="C5909" s="421" t="s">
        <v>506</v>
      </c>
      <c r="D5909" s="422" t="s">
        <v>666</v>
      </c>
      <c r="E5909" s="111">
        <v>16523</v>
      </c>
      <c r="F5909" s="421" t="s">
        <v>7840</v>
      </c>
      <c r="G5909" s="112">
        <v>1</v>
      </c>
      <c r="H5909" s="112">
        <v>1</v>
      </c>
      <c r="I5909" s="112">
        <v>1</v>
      </c>
      <c r="K5909" s="112">
        <v>1</v>
      </c>
      <c r="L5909" s="112">
        <v>1</v>
      </c>
    </row>
    <row r="5910" spans="1:15" x14ac:dyDescent="0.2">
      <c r="A5910" s="111">
        <v>6049</v>
      </c>
      <c r="B5910" s="421" t="s">
        <v>11135</v>
      </c>
      <c r="C5910" s="421" t="s">
        <v>501</v>
      </c>
      <c r="D5910" s="422" t="s">
        <v>666</v>
      </c>
      <c r="E5910" s="111">
        <v>44072</v>
      </c>
      <c r="F5910" s="421" t="s">
        <v>11136</v>
      </c>
      <c r="G5910" s="112">
        <v>1</v>
      </c>
      <c r="H5910" s="112">
        <v>1</v>
      </c>
      <c r="I5910" s="112">
        <v>1</v>
      </c>
      <c r="J5910" s="112">
        <v>4</v>
      </c>
      <c r="K5910" s="112">
        <v>3</v>
      </c>
      <c r="L5910" s="112">
        <v>4</v>
      </c>
      <c r="M5910" s="112">
        <v>1</v>
      </c>
      <c r="N5910" s="112">
        <v>1</v>
      </c>
      <c r="O5910" s="112">
        <v>1</v>
      </c>
    </row>
    <row r="5911" spans="1:15" x14ac:dyDescent="0.2">
      <c r="A5911" s="111">
        <v>6050</v>
      </c>
      <c r="B5911" s="421" t="s">
        <v>1509</v>
      </c>
      <c r="C5911" s="421" t="s">
        <v>580</v>
      </c>
      <c r="D5911" s="422" t="s">
        <v>666</v>
      </c>
      <c r="E5911" s="111">
        <v>16075</v>
      </c>
      <c r="F5911" s="421" t="s">
        <v>6301</v>
      </c>
      <c r="G5911" s="112">
        <v>1</v>
      </c>
      <c r="H5911" s="112">
        <v>1</v>
      </c>
      <c r="I5911" s="112">
        <v>1</v>
      </c>
      <c r="J5911" s="112">
        <v>7</v>
      </c>
      <c r="K5911" s="112">
        <v>7</v>
      </c>
      <c r="L5911" s="112">
        <v>5</v>
      </c>
    </row>
    <row r="5912" spans="1:15" x14ac:dyDescent="0.2">
      <c r="A5912" s="111">
        <v>6051</v>
      </c>
      <c r="B5912" s="421" t="s">
        <v>11137</v>
      </c>
      <c r="C5912" s="421" t="s">
        <v>1201</v>
      </c>
      <c r="D5912" s="422" t="s">
        <v>666</v>
      </c>
      <c r="E5912" s="111">
        <v>14800</v>
      </c>
      <c r="F5912" s="421" t="s">
        <v>2229</v>
      </c>
      <c r="G5912" s="112">
        <v>1</v>
      </c>
      <c r="H5912" s="112">
        <v>1</v>
      </c>
      <c r="I5912" s="112">
        <v>1</v>
      </c>
      <c r="J5912" s="112">
        <v>5</v>
      </c>
      <c r="K5912" s="112">
        <v>6</v>
      </c>
      <c r="L5912" s="112">
        <v>5</v>
      </c>
      <c r="M5912" s="112">
        <v>1</v>
      </c>
      <c r="N5912" s="112">
        <v>2</v>
      </c>
      <c r="O5912" s="112">
        <v>1</v>
      </c>
    </row>
    <row r="5913" spans="1:15" x14ac:dyDescent="0.2">
      <c r="A5913" s="111">
        <v>6052</v>
      </c>
      <c r="B5913" s="421" t="s">
        <v>11138</v>
      </c>
      <c r="C5913" s="421" t="s">
        <v>522</v>
      </c>
      <c r="D5913" s="422" t="s">
        <v>663</v>
      </c>
      <c r="E5913" s="111">
        <v>14773</v>
      </c>
      <c r="F5913" s="421" t="s">
        <v>2286</v>
      </c>
      <c r="G5913" s="112">
        <v>1</v>
      </c>
      <c r="H5913" s="112">
        <v>1</v>
      </c>
      <c r="I5913" s="112">
        <v>1</v>
      </c>
      <c r="J5913" s="112">
        <v>5</v>
      </c>
      <c r="K5913" s="112">
        <v>6</v>
      </c>
      <c r="L5913" s="112">
        <v>4</v>
      </c>
      <c r="M5913" s="112">
        <v>2</v>
      </c>
      <c r="O5913" s="112">
        <v>1</v>
      </c>
    </row>
    <row r="5914" spans="1:15" x14ac:dyDescent="0.2">
      <c r="A5914" s="111">
        <v>6053</v>
      </c>
      <c r="B5914" s="421" t="s">
        <v>11139</v>
      </c>
      <c r="C5914" s="421" t="s">
        <v>501</v>
      </c>
      <c r="D5914" s="422" t="s">
        <v>666</v>
      </c>
      <c r="E5914" s="111">
        <v>44075</v>
      </c>
      <c r="F5914" s="421" t="s">
        <v>11140</v>
      </c>
      <c r="G5914" s="112">
        <v>1</v>
      </c>
      <c r="H5914" s="112">
        <v>1</v>
      </c>
      <c r="I5914" s="112">
        <v>1</v>
      </c>
      <c r="J5914" s="112">
        <v>8</v>
      </c>
      <c r="K5914" s="112">
        <v>8</v>
      </c>
      <c r="L5914" s="112">
        <v>8</v>
      </c>
      <c r="M5914" s="112">
        <v>4</v>
      </c>
      <c r="N5914" s="112">
        <v>3</v>
      </c>
      <c r="O5914" s="112">
        <v>4</v>
      </c>
    </row>
    <row r="5915" spans="1:15" x14ac:dyDescent="0.2">
      <c r="A5915" s="111">
        <v>6054</v>
      </c>
      <c r="B5915" s="421" t="s">
        <v>9689</v>
      </c>
      <c r="C5915" s="421" t="s">
        <v>501</v>
      </c>
      <c r="D5915" s="422" t="s">
        <v>663</v>
      </c>
      <c r="E5915" s="111">
        <v>44075</v>
      </c>
      <c r="F5915" s="421" t="s">
        <v>11140</v>
      </c>
      <c r="G5915" s="112">
        <v>1</v>
      </c>
      <c r="H5915" s="112">
        <v>1</v>
      </c>
      <c r="I5915" s="112">
        <v>1</v>
      </c>
      <c r="J5915" s="112">
        <v>9</v>
      </c>
      <c r="K5915" s="112">
        <v>9</v>
      </c>
      <c r="L5915" s="112">
        <v>10</v>
      </c>
      <c r="M5915" s="112">
        <v>4</v>
      </c>
      <c r="N5915" s="112">
        <v>5</v>
      </c>
      <c r="O5915" s="112">
        <v>5</v>
      </c>
    </row>
    <row r="5916" spans="1:15" x14ac:dyDescent="0.2">
      <c r="A5916" s="111">
        <v>6055</v>
      </c>
      <c r="B5916" s="421" t="s">
        <v>2118</v>
      </c>
      <c r="C5916" s="421" t="s">
        <v>513</v>
      </c>
      <c r="D5916" s="422" t="s">
        <v>666</v>
      </c>
      <c r="E5916" s="111">
        <v>14587</v>
      </c>
      <c r="F5916" s="421" t="s">
        <v>1787</v>
      </c>
      <c r="G5916" s="112">
        <v>1</v>
      </c>
      <c r="H5916" s="112">
        <v>1</v>
      </c>
      <c r="I5916" s="112">
        <v>1</v>
      </c>
      <c r="J5916" s="112">
        <v>4</v>
      </c>
      <c r="K5916" s="112">
        <v>5</v>
      </c>
      <c r="L5916" s="112">
        <v>4</v>
      </c>
      <c r="M5916" s="112">
        <v>2</v>
      </c>
    </row>
    <row r="5917" spans="1:15" x14ac:dyDescent="0.2">
      <c r="A5917" s="111">
        <v>6056</v>
      </c>
      <c r="B5917" s="421" t="s">
        <v>11141</v>
      </c>
      <c r="C5917" s="421" t="s">
        <v>501</v>
      </c>
      <c r="D5917" s="422" t="s">
        <v>663</v>
      </c>
      <c r="E5917" s="111">
        <v>44076</v>
      </c>
      <c r="F5917" s="421" t="s">
        <v>2997</v>
      </c>
      <c r="G5917" s="112">
        <v>1</v>
      </c>
      <c r="H5917" s="112">
        <v>1</v>
      </c>
    </row>
    <row r="5918" spans="1:15" x14ac:dyDescent="0.2">
      <c r="A5918" s="111">
        <v>6057</v>
      </c>
      <c r="B5918" s="421" t="s">
        <v>178</v>
      </c>
      <c r="C5918" s="421" t="s">
        <v>501</v>
      </c>
      <c r="D5918" s="422" t="s">
        <v>663</v>
      </c>
      <c r="E5918" s="111">
        <v>44077</v>
      </c>
      <c r="F5918" s="421" t="s">
        <v>11142</v>
      </c>
      <c r="G5918" s="112">
        <v>1</v>
      </c>
      <c r="H5918" s="112">
        <v>1</v>
      </c>
      <c r="I5918" s="112">
        <v>1</v>
      </c>
    </row>
    <row r="5919" spans="1:15" x14ac:dyDescent="0.2">
      <c r="A5919" s="111">
        <v>6058</v>
      </c>
      <c r="B5919" s="421" t="s">
        <v>11143</v>
      </c>
      <c r="C5919" s="421" t="s">
        <v>501</v>
      </c>
      <c r="D5919" s="422" t="s">
        <v>663</v>
      </c>
      <c r="E5919" s="111">
        <v>15061</v>
      </c>
      <c r="F5919" s="421" t="s">
        <v>3045</v>
      </c>
    </row>
    <row r="5920" spans="1:15" x14ac:dyDescent="0.2">
      <c r="A5920" s="111">
        <v>6059</v>
      </c>
      <c r="B5920" s="421" t="s">
        <v>131</v>
      </c>
      <c r="C5920" s="421" t="s">
        <v>501</v>
      </c>
      <c r="D5920" s="422" t="s">
        <v>663</v>
      </c>
      <c r="E5920" s="111">
        <v>44078</v>
      </c>
      <c r="F5920" s="421" t="s">
        <v>11144</v>
      </c>
      <c r="G5920" s="112">
        <v>1</v>
      </c>
      <c r="H5920" s="112">
        <v>1</v>
      </c>
      <c r="I5920" s="112">
        <v>1</v>
      </c>
      <c r="J5920" s="112">
        <v>4</v>
      </c>
      <c r="K5920" s="112">
        <v>2</v>
      </c>
      <c r="L5920" s="112">
        <v>4</v>
      </c>
      <c r="M5920" s="112">
        <v>1</v>
      </c>
      <c r="N5920" s="112">
        <v>1</v>
      </c>
    </row>
    <row r="5921" spans="1:15" x14ac:dyDescent="0.2">
      <c r="A5921" s="111">
        <v>6060</v>
      </c>
      <c r="B5921" s="421" t="s">
        <v>397</v>
      </c>
      <c r="C5921" s="421" t="s">
        <v>501</v>
      </c>
      <c r="D5921" s="422" t="s">
        <v>666</v>
      </c>
      <c r="E5921" s="111">
        <v>44079</v>
      </c>
      <c r="F5921" s="421" t="s">
        <v>11145</v>
      </c>
    </row>
    <row r="5922" spans="1:15" x14ac:dyDescent="0.2">
      <c r="A5922" s="111">
        <v>6061</v>
      </c>
      <c r="B5922" s="421" t="s">
        <v>11146</v>
      </c>
      <c r="C5922" s="421" t="s">
        <v>501</v>
      </c>
      <c r="D5922" s="422" t="s">
        <v>663</v>
      </c>
      <c r="E5922" s="111">
        <v>16842</v>
      </c>
      <c r="F5922" s="421" t="s">
        <v>9133</v>
      </c>
      <c r="H5922" s="112">
        <v>1</v>
      </c>
      <c r="I5922" s="112">
        <v>1</v>
      </c>
    </row>
    <row r="5923" spans="1:15" x14ac:dyDescent="0.2">
      <c r="A5923" s="111">
        <v>6062</v>
      </c>
      <c r="B5923" s="421" t="s">
        <v>266</v>
      </c>
      <c r="C5923" s="421" t="s">
        <v>501</v>
      </c>
      <c r="D5923" s="422" t="s">
        <v>663</v>
      </c>
      <c r="E5923" s="111">
        <v>44081</v>
      </c>
      <c r="F5923" s="421" t="s">
        <v>11147</v>
      </c>
      <c r="G5923" s="112">
        <v>1</v>
      </c>
      <c r="H5923" s="112">
        <v>1</v>
      </c>
      <c r="I5923" s="112">
        <v>1</v>
      </c>
      <c r="J5923" s="112">
        <v>7</v>
      </c>
      <c r="K5923" s="112">
        <v>7</v>
      </c>
      <c r="L5923" s="112">
        <v>7</v>
      </c>
      <c r="M5923" s="112">
        <v>3</v>
      </c>
      <c r="N5923" s="112">
        <v>3</v>
      </c>
      <c r="O5923" s="112">
        <v>3</v>
      </c>
    </row>
    <row r="5924" spans="1:15" x14ac:dyDescent="0.2">
      <c r="A5924" s="111">
        <v>6063</v>
      </c>
      <c r="B5924" s="421" t="s">
        <v>632</v>
      </c>
      <c r="C5924" s="421" t="s">
        <v>501</v>
      </c>
      <c r="D5924" s="422" t="s">
        <v>663</v>
      </c>
      <c r="E5924" s="111">
        <v>16672</v>
      </c>
      <c r="F5924" s="421" t="s">
        <v>8340</v>
      </c>
      <c r="G5924" s="112">
        <v>1</v>
      </c>
      <c r="H5924" s="112">
        <v>1</v>
      </c>
      <c r="I5924" s="112">
        <v>1</v>
      </c>
      <c r="J5924" s="112">
        <v>1</v>
      </c>
      <c r="K5924" s="112">
        <v>1</v>
      </c>
      <c r="L5924" s="112">
        <v>1</v>
      </c>
    </row>
    <row r="5925" spans="1:15" x14ac:dyDescent="0.2">
      <c r="A5925" s="111">
        <v>6064</v>
      </c>
      <c r="B5925" s="421" t="s">
        <v>1630</v>
      </c>
      <c r="C5925" s="421" t="s">
        <v>503</v>
      </c>
      <c r="D5925" s="422" t="s">
        <v>663</v>
      </c>
      <c r="E5925" s="111">
        <v>16909</v>
      </c>
      <c r="F5925" s="421" t="s">
        <v>9319</v>
      </c>
      <c r="G5925" s="112">
        <v>1</v>
      </c>
    </row>
    <row r="5926" spans="1:15" x14ac:dyDescent="0.2">
      <c r="A5926" s="111">
        <v>6065</v>
      </c>
      <c r="B5926" s="421" t="s">
        <v>6364</v>
      </c>
      <c r="C5926" s="421" t="s">
        <v>501</v>
      </c>
      <c r="D5926" s="422" t="s">
        <v>666</v>
      </c>
      <c r="E5926" s="111">
        <v>44082</v>
      </c>
      <c r="F5926" s="421" t="s">
        <v>11148</v>
      </c>
      <c r="G5926" s="112">
        <v>1</v>
      </c>
      <c r="H5926" s="112">
        <v>1</v>
      </c>
      <c r="I5926" s="112">
        <v>1</v>
      </c>
      <c r="J5926" s="112">
        <v>1</v>
      </c>
    </row>
    <row r="5927" spans="1:15" x14ac:dyDescent="0.2">
      <c r="A5927" s="111">
        <v>6066</v>
      </c>
      <c r="B5927" s="421" t="s">
        <v>11149</v>
      </c>
      <c r="C5927" s="421" t="s">
        <v>501</v>
      </c>
      <c r="D5927" s="422" t="s">
        <v>666</v>
      </c>
      <c r="E5927" s="111">
        <v>44083</v>
      </c>
      <c r="F5927" s="421" t="s">
        <v>11150</v>
      </c>
    </row>
    <row r="5928" spans="1:15" x14ac:dyDescent="0.2">
      <c r="A5928" s="111">
        <v>6067</v>
      </c>
      <c r="B5928" s="421" t="s">
        <v>7272</v>
      </c>
      <c r="C5928" s="421" t="s">
        <v>506</v>
      </c>
      <c r="D5928" s="422" t="s">
        <v>663</v>
      </c>
      <c r="E5928" s="111">
        <v>44084</v>
      </c>
      <c r="F5928" s="421" t="s">
        <v>11151</v>
      </c>
      <c r="H5928" s="112">
        <v>1</v>
      </c>
    </row>
    <row r="5929" spans="1:15" x14ac:dyDescent="0.2">
      <c r="A5929" s="111">
        <v>6068</v>
      </c>
      <c r="B5929" s="421" t="s">
        <v>6553</v>
      </c>
      <c r="C5929" s="421" t="s">
        <v>570</v>
      </c>
      <c r="D5929" s="422" t="s">
        <v>663</v>
      </c>
      <c r="E5929" s="111">
        <v>44085</v>
      </c>
      <c r="F5929" s="421" t="s">
        <v>11152</v>
      </c>
      <c r="G5929" s="112">
        <v>1</v>
      </c>
      <c r="H5929" s="112">
        <v>1</v>
      </c>
      <c r="I5929" s="112">
        <v>1</v>
      </c>
      <c r="J5929" s="112">
        <v>6</v>
      </c>
      <c r="K5929" s="112">
        <v>5</v>
      </c>
      <c r="L5929" s="112">
        <v>6</v>
      </c>
      <c r="M5929" s="112">
        <v>1</v>
      </c>
    </row>
    <row r="5930" spans="1:15" x14ac:dyDescent="0.2">
      <c r="A5930" s="111">
        <v>6069</v>
      </c>
      <c r="B5930" s="421" t="s">
        <v>2091</v>
      </c>
      <c r="C5930" s="421" t="s">
        <v>506</v>
      </c>
      <c r="D5930" s="422" t="s">
        <v>666</v>
      </c>
      <c r="E5930" s="111">
        <v>16758</v>
      </c>
      <c r="F5930" s="421" t="s">
        <v>8649</v>
      </c>
      <c r="G5930" s="112">
        <v>1</v>
      </c>
      <c r="H5930" s="112">
        <v>1</v>
      </c>
      <c r="I5930" s="112">
        <v>1</v>
      </c>
      <c r="J5930" s="112">
        <v>3</v>
      </c>
      <c r="K5930" s="112">
        <v>1</v>
      </c>
      <c r="L5930" s="112">
        <v>3</v>
      </c>
    </row>
    <row r="5931" spans="1:15" x14ac:dyDescent="0.2">
      <c r="A5931" s="111">
        <v>6070</v>
      </c>
      <c r="B5931" s="421" t="s">
        <v>11153</v>
      </c>
      <c r="C5931" s="421" t="s">
        <v>534</v>
      </c>
      <c r="D5931" s="422" t="s">
        <v>663</v>
      </c>
      <c r="E5931" s="111">
        <v>16522</v>
      </c>
      <c r="F5931" s="421" t="s">
        <v>5740</v>
      </c>
      <c r="G5931" s="112">
        <v>1</v>
      </c>
      <c r="H5931" s="112">
        <v>1</v>
      </c>
      <c r="I5931" s="112">
        <v>1</v>
      </c>
      <c r="J5931" s="112">
        <v>7</v>
      </c>
      <c r="K5931" s="112">
        <v>7</v>
      </c>
      <c r="L5931" s="112">
        <v>7</v>
      </c>
      <c r="M5931" s="112">
        <v>4</v>
      </c>
      <c r="N5931" s="112">
        <v>4</v>
      </c>
      <c r="O5931" s="112">
        <v>4</v>
      </c>
    </row>
    <row r="5932" spans="1:15" x14ac:dyDescent="0.2">
      <c r="A5932" s="111">
        <v>6071</v>
      </c>
      <c r="B5932" s="421" t="s">
        <v>1406</v>
      </c>
      <c r="C5932" s="421" t="s">
        <v>501</v>
      </c>
      <c r="D5932" s="422" t="s">
        <v>666</v>
      </c>
      <c r="E5932" s="111">
        <v>44086</v>
      </c>
      <c r="F5932" s="421" t="s">
        <v>11154</v>
      </c>
    </row>
    <row r="5933" spans="1:15" x14ac:dyDescent="0.2">
      <c r="A5933" s="111">
        <v>6072</v>
      </c>
      <c r="B5933" s="421" t="s">
        <v>1423</v>
      </c>
      <c r="C5933" s="421" t="s">
        <v>577</v>
      </c>
      <c r="D5933" s="422" t="s">
        <v>663</v>
      </c>
      <c r="E5933" s="111">
        <v>44087</v>
      </c>
      <c r="F5933" s="421" t="s">
        <v>11155</v>
      </c>
      <c r="G5933" s="112">
        <v>1</v>
      </c>
      <c r="H5933" s="112">
        <v>1</v>
      </c>
      <c r="I5933" s="112">
        <v>1</v>
      </c>
      <c r="J5933" s="112">
        <v>4</v>
      </c>
      <c r="K5933" s="112">
        <v>5</v>
      </c>
      <c r="L5933" s="112">
        <v>3</v>
      </c>
      <c r="M5933" s="112">
        <v>2</v>
      </c>
      <c r="N5933" s="112">
        <v>3</v>
      </c>
    </row>
    <row r="5934" spans="1:15" x14ac:dyDescent="0.2">
      <c r="A5934" s="111">
        <v>6073</v>
      </c>
      <c r="B5934" s="421" t="s">
        <v>11156</v>
      </c>
      <c r="C5934" s="421" t="s">
        <v>534</v>
      </c>
      <c r="D5934" s="422" t="s">
        <v>666</v>
      </c>
      <c r="E5934" s="111">
        <v>1470</v>
      </c>
      <c r="F5934" s="421" t="s">
        <v>694</v>
      </c>
      <c r="G5934" s="112">
        <v>2</v>
      </c>
      <c r="H5934" s="112">
        <v>2</v>
      </c>
      <c r="I5934" s="112">
        <v>2</v>
      </c>
      <c r="J5934" s="112">
        <v>1</v>
      </c>
      <c r="K5934" s="112">
        <v>3</v>
      </c>
      <c r="L5934" s="112">
        <v>2</v>
      </c>
    </row>
    <row r="5935" spans="1:15" x14ac:dyDescent="0.2">
      <c r="A5935" s="111">
        <v>6074</v>
      </c>
      <c r="B5935" s="421" t="s">
        <v>11157</v>
      </c>
      <c r="C5935" s="421" t="s">
        <v>523</v>
      </c>
      <c r="D5935" s="422" t="s">
        <v>666</v>
      </c>
      <c r="E5935" s="111">
        <v>44089</v>
      </c>
      <c r="F5935" s="421" t="s">
        <v>11158</v>
      </c>
      <c r="G5935" s="112">
        <v>1</v>
      </c>
      <c r="H5935" s="112">
        <v>1</v>
      </c>
      <c r="I5935" s="112">
        <v>1</v>
      </c>
      <c r="J5935" s="112">
        <v>1</v>
      </c>
      <c r="K5935" s="112">
        <v>1</v>
      </c>
      <c r="L5935" s="112">
        <v>1</v>
      </c>
      <c r="M5935" s="112">
        <v>1</v>
      </c>
      <c r="N5935" s="112">
        <v>1</v>
      </c>
      <c r="O5935" s="112">
        <v>1</v>
      </c>
    </row>
    <row r="5936" spans="1:15" x14ac:dyDescent="0.2">
      <c r="A5936" s="111">
        <v>6075</v>
      </c>
      <c r="B5936" s="421" t="s">
        <v>5332</v>
      </c>
      <c r="C5936" s="421" t="s">
        <v>501</v>
      </c>
      <c r="D5936" s="422" t="s">
        <v>663</v>
      </c>
      <c r="E5936" s="111">
        <v>44091</v>
      </c>
      <c r="F5936" s="421" t="s">
        <v>11159</v>
      </c>
      <c r="G5936" s="112">
        <v>1</v>
      </c>
      <c r="H5936" s="112">
        <v>1</v>
      </c>
      <c r="I5936" s="112">
        <v>1</v>
      </c>
      <c r="J5936" s="112">
        <v>3</v>
      </c>
      <c r="K5936" s="112">
        <v>3</v>
      </c>
      <c r="L5936" s="112">
        <v>3</v>
      </c>
      <c r="M5936" s="112">
        <v>2</v>
      </c>
      <c r="N5936" s="112">
        <v>1</v>
      </c>
      <c r="O5936" s="112">
        <v>2</v>
      </c>
    </row>
    <row r="5937" spans="1:15" x14ac:dyDescent="0.2">
      <c r="A5937" s="111">
        <v>6076</v>
      </c>
      <c r="B5937" s="421" t="s">
        <v>472</v>
      </c>
      <c r="C5937" s="421" t="s">
        <v>507</v>
      </c>
      <c r="D5937" s="422" t="s">
        <v>666</v>
      </c>
      <c r="E5937" s="111">
        <v>44116</v>
      </c>
      <c r="F5937" s="421" t="s">
        <v>11160</v>
      </c>
      <c r="G5937" s="112">
        <v>1</v>
      </c>
      <c r="H5937" s="112">
        <v>1</v>
      </c>
      <c r="I5937" s="112">
        <v>1</v>
      </c>
      <c r="J5937" s="112">
        <v>4</v>
      </c>
      <c r="K5937" s="112">
        <v>4</v>
      </c>
      <c r="L5937" s="112">
        <v>3</v>
      </c>
      <c r="M5937" s="112">
        <v>1</v>
      </c>
      <c r="N5937" s="112">
        <v>2</v>
      </c>
      <c r="O5937" s="112">
        <v>2</v>
      </c>
    </row>
    <row r="5938" spans="1:15" x14ac:dyDescent="0.2">
      <c r="A5938" s="111">
        <v>6077</v>
      </c>
      <c r="B5938" s="421" t="s">
        <v>216</v>
      </c>
      <c r="C5938" s="421" t="s">
        <v>507</v>
      </c>
      <c r="D5938" s="422" t="s">
        <v>663</v>
      </c>
      <c r="E5938" s="111">
        <v>44116</v>
      </c>
      <c r="F5938" s="421" t="s">
        <v>11160</v>
      </c>
      <c r="G5938" s="112">
        <v>2</v>
      </c>
      <c r="H5938" s="112">
        <v>1</v>
      </c>
      <c r="I5938" s="112">
        <v>2</v>
      </c>
      <c r="J5938" s="112">
        <v>6</v>
      </c>
      <c r="K5938" s="112">
        <v>5</v>
      </c>
      <c r="L5938" s="112">
        <v>3</v>
      </c>
    </row>
    <row r="5939" spans="1:15" x14ac:dyDescent="0.2">
      <c r="A5939" s="111">
        <v>6078</v>
      </c>
      <c r="B5939" s="421" t="s">
        <v>2468</v>
      </c>
      <c r="C5939" s="421" t="s">
        <v>501</v>
      </c>
      <c r="D5939" s="422" t="s">
        <v>666</v>
      </c>
      <c r="E5939" s="111">
        <v>15889</v>
      </c>
      <c r="F5939" s="421" t="s">
        <v>2459</v>
      </c>
      <c r="G5939" s="112">
        <v>1</v>
      </c>
    </row>
    <row r="5940" spans="1:15" x14ac:dyDescent="0.2">
      <c r="A5940" s="111">
        <v>6079</v>
      </c>
      <c r="B5940" s="421" t="s">
        <v>349</v>
      </c>
      <c r="C5940" s="421" t="s">
        <v>503</v>
      </c>
      <c r="D5940" s="422" t="s">
        <v>666</v>
      </c>
      <c r="E5940" s="111">
        <v>44093</v>
      </c>
      <c r="F5940" s="421" t="s">
        <v>11161</v>
      </c>
      <c r="G5940" s="112">
        <v>1</v>
      </c>
      <c r="H5940" s="112">
        <v>1</v>
      </c>
      <c r="I5940" s="112">
        <v>1</v>
      </c>
      <c r="J5940" s="112">
        <v>1</v>
      </c>
      <c r="K5940" s="112">
        <v>1</v>
      </c>
      <c r="L5940" s="112">
        <v>1</v>
      </c>
      <c r="O5940" s="112">
        <v>2</v>
      </c>
    </row>
    <row r="5941" spans="1:15" x14ac:dyDescent="0.2">
      <c r="A5941" s="111">
        <v>6080</v>
      </c>
      <c r="B5941" s="421" t="s">
        <v>11162</v>
      </c>
      <c r="C5941" s="421" t="s">
        <v>501</v>
      </c>
      <c r="D5941" s="422" t="s">
        <v>666</v>
      </c>
      <c r="E5941" s="111">
        <v>14905</v>
      </c>
      <c r="F5941" s="421" t="s">
        <v>2668</v>
      </c>
      <c r="G5941" s="112">
        <v>1</v>
      </c>
      <c r="H5941" s="112">
        <v>1</v>
      </c>
      <c r="I5941" s="112">
        <v>1</v>
      </c>
      <c r="L5941" s="112">
        <v>1</v>
      </c>
    </row>
    <row r="5942" spans="1:15" x14ac:dyDescent="0.2">
      <c r="A5942" s="111">
        <v>6081</v>
      </c>
      <c r="B5942" s="421" t="s">
        <v>11163</v>
      </c>
      <c r="C5942" s="421" t="s">
        <v>501</v>
      </c>
      <c r="D5942" s="422" t="s">
        <v>663</v>
      </c>
      <c r="E5942" s="111">
        <v>44094</v>
      </c>
      <c r="F5942" s="421" t="s">
        <v>11164</v>
      </c>
      <c r="G5942" s="112">
        <v>1</v>
      </c>
      <c r="H5942" s="112">
        <v>1</v>
      </c>
      <c r="I5942" s="112">
        <v>1</v>
      </c>
      <c r="J5942" s="112">
        <v>2</v>
      </c>
      <c r="K5942" s="112">
        <v>3</v>
      </c>
      <c r="L5942" s="112">
        <v>3</v>
      </c>
      <c r="M5942" s="112">
        <v>2</v>
      </c>
    </row>
    <row r="5943" spans="1:15" x14ac:dyDescent="0.2">
      <c r="A5943" s="111">
        <v>6082</v>
      </c>
      <c r="B5943" s="421" t="s">
        <v>11165</v>
      </c>
      <c r="C5943" s="421" t="s">
        <v>501</v>
      </c>
      <c r="D5943" s="422" t="s">
        <v>663</v>
      </c>
      <c r="E5943" s="111">
        <v>16679</v>
      </c>
      <c r="F5943" s="421" t="s">
        <v>2277</v>
      </c>
      <c r="G5943" s="112">
        <v>1</v>
      </c>
      <c r="H5943" s="112">
        <v>1</v>
      </c>
      <c r="I5943" s="112">
        <v>1</v>
      </c>
    </row>
    <row r="5944" spans="1:15" x14ac:dyDescent="0.2">
      <c r="A5944" s="111">
        <v>6083</v>
      </c>
      <c r="B5944" s="421" t="s">
        <v>11166</v>
      </c>
      <c r="C5944" s="421" t="s">
        <v>501</v>
      </c>
      <c r="D5944" s="422" t="s">
        <v>666</v>
      </c>
      <c r="E5944" s="111">
        <v>44096</v>
      </c>
      <c r="F5944" s="421" t="s">
        <v>11167</v>
      </c>
    </row>
    <row r="5945" spans="1:15" x14ac:dyDescent="0.2">
      <c r="A5945" s="111">
        <v>6084</v>
      </c>
      <c r="B5945" s="421" t="s">
        <v>11168</v>
      </c>
      <c r="C5945" s="421" t="s">
        <v>501</v>
      </c>
      <c r="D5945" s="422" t="s">
        <v>666</v>
      </c>
      <c r="E5945" s="111">
        <v>44097</v>
      </c>
      <c r="F5945" s="421" t="s">
        <v>11169</v>
      </c>
      <c r="G5945" s="112">
        <v>1</v>
      </c>
      <c r="J5945" s="112">
        <v>1</v>
      </c>
    </row>
    <row r="5946" spans="1:15" x14ac:dyDescent="0.2">
      <c r="A5946" s="111">
        <v>6085</v>
      </c>
      <c r="B5946" s="421" t="s">
        <v>94</v>
      </c>
      <c r="C5946" s="421" t="s">
        <v>501</v>
      </c>
      <c r="D5946" s="422" t="s">
        <v>666</v>
      </c>
      <c r="E5946" s="111">
        <v>44098</v>
      </c>
      <c r="F5946" s="421" t="s">
        <v>11170</v>
      </c>
      <c r="G5946" s="112">
        <v>1</v>
      </c>
      <c r="H5946" s="112">
        <v>1</v>
      </c>
      <c r="I5946" s="112">
        <v>1</v>
      </c>
    </row>
    <row r="5947" spans="1:15" x14ac:dyDescent="0.2">
      <c r="A5947" s="111">
        <v>6086</v>
      </c>
      <c r="B5947" s="421" t="s">
        <v>6034</v>
      </c>
      <c r="C5947" s="421" t="s">
        <v>501</v>
      </c>
      <c r="D5947" s="422" t="s">
        <v>666</v>
      </c>
      <c r="E5947" s="111">
        <v>16252</v>
      </c>
      <c r="F5947" s="421" t="s">
        <v>6820</v>
      </c>
      <c r="G5947" s="112">
        <v>1</v>
      </c>
      <c r="J5947" s="112">
        <v>1</v>
      </c>
    </row>
    <row r="5948" spans="1:15" x14ac:dyDescent="0.2">
      <c r="A5948" s="111">
        <v>6087</v>
      </c>
      <c r="B5948" s="421" t="s">
        <v>2270</v>
      </c>
      <c r="C5948" s="421" t="s">
        <v>1211</v>
      </c>
      <c r="D5948" s="422" t="s">
        <v>663</v>
      </c>
      <c r="E5948" s="111">
        <v>44102</v>
      </c>
      <c r="F5948" s="421" t="s">
        <v>11171</v>
      </c>
      <c r="G5948" s="112">
        <v>1</v>
      </c>
      <c r="H5948" s="112">
        <v>1</v>
      </c>
      <c r="I5948" s="112">
        <v>1</v>
      </c>
      <c r="J5948" s="112">
        <v>4</v>
      </c>
      <c r="K5948" s="112">
        <v>5</v>
      </c>
      <c r="L5948" s="112">
        <v>4</v>
      </c>
    </row>
    <row r="5949" spans="1:15" x14ac:dyDescent="0.2">
      <c r="A5949" s="111">
        <v>6088</v>
      </c>
      <c r="B5949" s="421" t="s">
        <v>395</v>
      </c>
      <c r="C5949" s="421" t="s">
        <v>1211</v>
      </c>
      <c r="D5949" s="422" t="s">
        <v>663</v>
      </c>
      <c r="E5949" s="111">
        <v>44102</v>
      </c>
      <c r="F5949" s="421" t="s">
        <v>11171</v>
      </c>
    </row>
    <row r="5950" spans="1:15" x14ac:dyDescent="0.2">
      <c r="A5950" s="111">
        <v>6089</v>
      </c>
      <c r="B5950" s="421" t="s">
        <v>11172</v>
      </c>
      <c r="C5950" s="421" t="s">
        <v>558</v>
      </c>
      <c r="D5950" s="422" t="s">
        <v>666</v>
      </c>
      <c r="E5950" s="111">
        <v>14324</v>
      </c>
      <c r="F5950" s="421" t="s">
        <v>1485</v>
      </c>
      <c r="G5950" s="112">
        <v>1</v>
      </c>
      <c r="H5950" s="112">
        <v>2</v>
      </c>
      <c r="I5950" s="112">
        <v>1</v>
      </c>
    </row>
    <row r="5951" spans="1:15" x14ac:dyDescent="0.2">
      <c r="A5951" s="111">
        <v>6090</v>
      </c>
      <c r="B5951" s="421" t="s">
        <v>11173</v>
      </c>
      <c r="C5951" s="421" t="s">
        <v>7698</v>
      </c>
      <c r="D5951" s="422" t="s">
        <v>663</v>
      </c>
      <c r="E5951" s="111">
        <v>15158</v>
      </c>
      <c r="F5951" s="421" t="s">
        <v>3187</v>
      </c>
      <c r="G5951" s="112">
        <v>1</v>
      </c>
      <c r="H5951" s="112">
        <v>1</v>
      </c>
      <c r="I5951" s="112">
        <v>1</v>
      </c>
      <c r="K5951" s="112">
        <v>1</v>
      </c>
      <c r="L5951" s="112">
        <v>2</v>
      </c>
      <c r="N5951" s="112">
        <v>1</v>
      </c>
      <c r="O5951" s="112">
        <v>1</v>
      </c>
    </row>
    <row r="5952" spans="1:15" x14ac:dyDescent="0.2">
      <c r="A5952" s="111">
        <v>6091</v>
      </c>
      <c r="B5952" s="421" t="s">
        <v>5738</v>
      </c>
      <c r="C5952" s="421" t="s">
        <v>501</v>
      </c>
      <c r="D5952" s="422" t="s">
        <v>666</v>
      </c>
      <c r="E5952" s="111">
        <v>44104</v>
      </c>
      <c r="F5952" s="421" t="s">
        <v>11174</v>
      </c>
      <c r="H5952" s="112">
        <v>1</v>
      </c>
    </row>
    <row r="5953" spans="1:15" x14ac:dyDescent="0.2">
      <c r="A5953" s="111">
        <v>6092</v>
      </c>
      <c r="B5953" s="421" t="s">
        <v>643</v>
      </c>
      <c r="C5953" s="421" t="s">
        <v>628</v>
      </c>
      <c r="D5953" s="422" t="s">
        <v>663</v>
      </c>
      <c r="F5953" s="421" t="s">
        <v>11175</v>
      </c>
      <c r="G5953" s="112">
        <v>2</v>
      </c>
    </row>
    <row r="5954" spans="1:15" x14ac:dyDescent="0.2">
      <c r="A5954" s="111">
        <v>6093</v>
      </c>
      <c r="B5954" s="421" t="s">
        <v>1354</v>
      </c>
      <c r="C5954" s="421" t="s">
        <v>507</v>
      </c>
      <c r="D5954" s="422" t="s">
        <v>663</v>
      </c>
      <c r="E5954" s="111">
        <v>44176</v>
      </c>
      <c r="F5954" s="421" t="s">
        <v>11176</v>
      </c>
      <c r="G5954" s="112">
        <v>1</v>
      </c>
      <c r="H5954" s="112">
        <v>2</v>
      </c>
      <c r="I5954" s="112">
        <v>1</v>
      </c>
    </row>
    <row r="5955" spans="1:15" x14ac:dyDescent="0.2">
      <c r="A5955" s="111">
        <v>6094</v>
      </c>
      <c r="B5955" s="421" t="s">
        <v>11177</v>
      </c>
      <c r="C5955" s="421" t="s">
        <v>558</v>
      </c>
      <c r="D5955" s="422" t="s">
        <v>663</v>
      </c>
      <c r="E5955" s="111">
        <v>16534</v>
      </c>
      <c r="F5955" s="421" t="s">
        <v>7826</v>
      </c>
      <c r="G5955" s="112">
        <v>1</v>
      </c>
      <c r="J5955" s="112">
        <v>1</v>
      </c>
    </row>
    <row r="5956" spans="1:15" x14ac:dyDescent="0.2">
      <c r="A5956" s="111">
        <v>6095</v>
      </c>
      <c r="B5956" s="421" t="s">
        <v>11178</v>
      </c>
      <c r="C5956" s="421" t="s">
        <v>1447</v>
      </c>
      <c r="D5956" s="422" t="s">
        <v>663</v>
      </c>
      <c r="F5956" s="421" t="s">
        <v>11179</v>
      </c>
      <c r="G5956" s="112">
        <v>1</v>
      </c>
      <c r="H5956" s="112">
        <v>1</v>
      </c>
      <c r="I5956" s="112">
        <v>1</v>
      </c>
      <c r="J5956" s="112">
        <v>1</v>
      </c>
      <c r="K5956" s="112">
        <v>1</v>
      </c>
      <c r="L5956" s="112">
        <v>1</v>
      </c>
    </row>
    <row r="5957" spans="1:15" x14ac:dyDescent="0.2">
      <c r="A5957" s="111">
        <v>6096</v>
      </c>
      <c r="B5957" s="421" t="s">
        <v>11180</v>
      </c>
      <c r="C5957" s="421" t="s">
        <v>501</v>
      </c>
      <c r="D5957" s="422" t="s">
        <v>663</v>
      </c>
      <c r="E5957" s="111">
        <v>44106</v>
      </c>
      <c r="F5957" s="421" t="s">
        <v>11181</v>
      </c>
      <c r="G5957" s="112">
        <v>1</v>
      </c>
      <c r="H5957" s="112">
        <v>1</v>
      </c>
    </row>
    <row r="5958" spans="1:15" x14ac:dyDescent="0.2">
      <c r="A5958" s="111">
        <v>6097</v>
      </c>
      <c r="B5958" s="421" t="s">
        <v>257</v>
      </c>
      <c r="C5958" s="421" t="s">
        <v>501</v>
      </c>
      <c r="D5958" s="422" t="s">
        <v>663</v>
      </c>
      <c r="E5958" s="111">
        <v>44107</v>
      </c>
      <c r="F5958" s="421" t="s">
        <v>11182</v>
      </c>
      <c r="H5958" s="112">
        <v>1</v>
      </c>
      <c r="I5958" s="112">
        <v>2</v>
      </c>
    </row>
    <row r="5959" spans="1:15" x14ac:dyDescent="0.2">
      <c r="A5959" s="111">
        <v>6098</v>
      </c>
      <c r="B5959" s="421" t="s">
        <v>4635</v>
      </c>
      <c r="C5959" s="421" t="s">
        <v>501</v>
      </c>
      <c r="D5959" s="422" t="s">
        <v>663</v>
      </c>
      <c r="E5959" s="111">
        <v>44108</v>
      </c>
      <c r="F5959" s="421" t="s">
        <v>11183</v>
      </c>
      <c r="G5959" s="112">
        <v>2</v>
      </c>
      <c r="H5959" s="112">
        <v>1</v>
      </c>
      <c r="I5959" s="112">
        <v>1</v>
      </c>
      <c r="J5959" s="112">
        <v>6</v>
      </c>
      <c r="K5959" s="112">
        <v>2</v>
      </c>
      <c r="L5959" s="112">
        <v>1</v>
      </c>
      <c r="M5959" s="112">
        <v>1</v>
      </c>
    </row>
    <row r="5960" spans="1:15" x14ac:dyDescent="0.2">
      <c r="A5960" s="111">
        <v>6099</v>
      </c>
      <c r="B5960" s="421" t="s">
        <v>4604</v>
      </c>
      <c r="C5960" s="421" t="s">
        <v>1523</v>
      </c>
      <c r="D5960" s="422" t="s">
        <v>663</v>
      </c>
      <c r="E5960" s="111">
        <v>44197</v>
      </c>
      <c r="F5960" s="421" t="s">
        <v>11184</v>
      </c>
      <c r="G5960" s="112">
        <v>1</v>
      </c>
      <c r="H5960" s="112">
        <v>1</v>
      </c>
      <c r="I5960" s="112">
        <v>1</v>
      </c>
      <c r="J5960" s="112">
        <v>3</v>
      </c>
      <c r="K5960" s="112">
        <v>4</v>
      </c>
      <c r="L5960" s="112">
        <v>4</v>
      </c>
      <c r="N5960" s="112">
        <v>1</v>
      </c>
      <c r="O5960" s="112">
        <v>2</v>
      </c>
    </row>
    <row r="5961" spans="1:15" x14ac:dyDescent="0.2">
      <c r="A5961" s="111">
        <v>6100</v>
      </c>
      <c r="B5961" s="421" t="s">
        <v>11185</v>
      </c>
      <c r="C5961" s="421" t="s">
        <v>572</v>
      </c>
      <c r="D5961" s="422" t="s">
        <v>666</v>
      </c>
      <c r="E5961" s="111">
        <v>44320</v>
      </c>
      <c r="F5961" s="421" t="s">
        <v>11186</v>
      </c>
      <c r="G5961" s="112">
        <v>1</v>
      </c>
      <c r="H5961" s="112">
        <v>1</v>
      </c>
      <c r="I5961" s="112">
        <v>1</v>
      </c>
      <c r="K5961" s="112">
        <v>2</v>
      </c>
      <c r="L5961" s="112">
        <v>1</v>
      </c>
    </row>
    <row r="5962" spans="1:15" x14ac:dyDescent="0.2">
      <c r="A5962" s="111">
        <v>6101</v>
      </c>
      <c r="B5962" s="421" t="s">
        <v>11187</v>
      </c>
      <c r="C5962" s="421" t="s">
        <v>516</v>
      </c>
      <c r="D5962" s="422" t="s">
        <v>663</v>
      </c>
      <c r="E5962" s="111">
        <v>44109</v>
      </c>
      <c r="F5962" s="421" t="s">
        <v>11188</v>
      </c>
      <c r="G5962" s="112">
        <v>1</v>
      </c>
      <c r="H5962" s="112">
        <v>1</v>
      </c>
      <c r="I5962" s="112">
        <v>1</v>
      </c>
      <c r="J5962" s="112">
        <v>1</v>
      </c>
      <c r="K5962" s="112">
        <v>1</v>
      </c>
      <c r="L5962" s="112">
        <v>1</v>
      </c>
    </row>
    <row r="5963" spans="1:15" x14ac:dyDescent="0.2">
      <c r="A5963" s="111">
        <v>6102</v>
      </c>
      <c r="B5963" s="421" t="s">
        <v>11189</v>
      </c>
      <c r="C5963" s="421" t="s">
        <v>501</v>
      </c>
      <c r="D5963" s="422" t="s">
        <v>666</v>
      </c>
      <c r="E5963" s="111">
        <v>44110</v>
      </c>
      <c r="F5963" s="421" t="s">
        <v>11190</v>
      </c>
    </row>
    <row r="5964" spans="1:15" x14ac:dyDescent="0.2">
      <c r="A5964" s="111">
        <v>6103</v>
      </c>
      <c r="B5964" s="421" t="s">
        <v>2145</v>
      </c>
      <c r="C5964" s="421" t="s">
        <v>501</v>
      </c>
      <c r="D5964" s="422" t="s">
        <v>666</v>
      </c>
      <c r="E5964" s="111">
        <v>44111</v>
      </c>
      <c r="F5964" s="421" t="s">
        <v>11191</v>
      </c>
      <c r="G5964" s="112">
        <v>1</v>
      </c>
      <c r="H5964" s="112">
        <v>1</v>
      </c>
      <c r="I5964" s="112">
        <v>1</v>
      </c>
    </row>
    <row r="5965" spans="1:15" x14ac:dyDescent="0.2">
      <c r="A5965" s="111">
        <v>6104</v>
      </c>
      <c r="B5965" s="421" t="s">
        <v>11192</v>
      </c>
      <c r="C5965" s="421" t="s">
        <v>543</v>
      </c>
      <c r="D5965" s="422" t="s">
        <v>666</v>
      </c>
      <c r="E5965" s="111">
        <v>44442</v>
      </c>
      <c r="F5965" s="421" t="s">
        <v>11193</v>
      </c>
      <c r="G5965" s="112">
        <v>1</v>
      </c>
    </row>
    <row r="5966" spans="1:15" x14ac:dyDescent="0.2">
      <c r="A5966" s="111">
        <v>6105</v>
      </c>
      <c r="B5966" s="421" t="s">
        <v>3170</v>
      </c>
      <c r="C5966" s="421" t="s">
        <v>501</v>
      </c>
      <c r="D5966" s="422" t="s">
        <v>666</v>
      </c>
      <c r="E5966" s="111">
        <v>44112</v>
      </c>
      <c r="F5966" s="421" t="s">
        <v>11194</v>
      </c>
      <c r="G5966" s="112">
        <v>1</v>
      </c>
      <c r="H5966" s="112">
        <v>1</v>
      </c>
      <c r="I5966" s="112">
        <v>1</v>
      </c>
      <c r="K5966" s="112">
        <v>1</v>
      </c>
      <c r="L5966" s="112">
        <v>1</v>
      </c>
    </row>
    <row r="5967" spans="1:15" x14ac:dyDescent="0.2">
      <c r="A5967" s="111">
        <v>6106</v>
      </c>
      <c r="B5967" s="421" t="s">
        <v>1224</v>
      </c>
      <c r="C5967" s="421" t="s">
        <v>628</v>
      </c>
      <c r="D5967" s="422" t="s">
        <v>666</v>
      </c>
      <c r="E5967" s="111">
        <v>44113</v>
      </c>
      <c r="F5967" s="421" t="s">
        <v>11195</v>
      </c>
      <c r="G5967" s="112">
        <v>1</v>
      </c>
      <c r="H5967" s="112">
        <v>1</v>
      </c>
      <c r="I5967" s="112">
        <v>1</v>
      </c>
      <c r="J5967" s="112">
        <v>3</v>
      </c>
      <c r="K5967" s="112">
        <v>2</v>
      </c>
      <c r="L5967" s="112">
        <v>2</v>
      </c>
    </row>
    <row r="5968" spans="1:15" x14ac:dyDescent="0.2">
      <c r="A5968" s="111">
        <v>6107</v>
      </c>
      <c r="B5968" s="421" t="s">
        <v>6991</v>
      </c>
      <c r="C5968" s="421" t="s">
        <v>1523</v>
      </c>
      <c r="D5968" s="422" t="s">
        <v>666</v>
      </c>
      <c r="E5968" s="111">
        <v>44114</v>
      </c>
      <c r="F5968" s="421" t="s">
        <v>11196</v>
      </c>
      <c r="G5968" s="112">
        <v>1</v>
      </c>
      <c r="H5968" s="112">
        <v>1</v>
      </c>
      <c r="I5968" s="112">
        <v>1</v>
      </c>
      <c r="J5968" s="112">
        <v>1</v>
      </c>
      <c r="K5968" s="112">
        <v>3</v>
      </c>
      <c r="L5968" s="112">
        <v>3</v>
      </c>
      <c r="M5968" s="112">
        <v>1</v>
      </c>
    </row>
    <row r="5969" spans="1:13" x14ac:dyDescent="0.2">
      <c r="A5969" s="111">
        <v>6108</v>
      </c>
      <c r="B5969" s="421" t="s">
        <v>341</v>
      </c>
      <c r="C5969" s="421" t="s">
        <v>501</v>
      </c>
      <c r="D5969" s="422" t="s">
        <v>666</v>
      </c>
      <c r="E5969" s="111">
        <v>44103</v>
      </c>
      <c r="F5969" s="421" t="s">
        <v>11197</v>
      </c>
      <c r="G5969" s="112">
        <v>1</v>
      </c>
      <c r="H5969" s="112">
        <v>1</v>
      </c>
      <c r="I5969" s="112">
        <v>1</v>
      </c>
      <c r="J5969" s="112">
        <v>1</v>
      </c>
      <c r="K5969" s="112">
        <v>1</v>
      </c>
      <c r="L5969" s="112">
        <v>1</v>
      </c>
    </row>
    <row r="5970" spans="1:13" x14ac:dyDescent="0.2">
      <c r="A5970" s="111">
        <v>6109</v>
      </c>
      <c r="B5970" s="421" t="s">
        <v>3785</v>
      </c>
      <c r="C5970" s="421" t="s">
        <v>501</v>
      </c>
      <c r="D5970" s="422" t="s">
        <v>666</v>
      </c>
      <c r="E5970" s="111">
        <v>44080</v>
      </c>
      <c r="F5970" s="421" t="s">
        <v>11198</v>
      </c>
      <c r="G5970" s="112">
        <v>1</v>
      </c>
      <c r="H5970" s="112">
        <v>1</v>
      </c>
      <c r="I5970" s="112">
        <v>1</v>
      </c>
      <c r="J5970" s="112">
        <v>1</v>
      </c>
    </row>
    <row r="5971" spans="1:13" x14ac:dyDescent="0.2">
      <c r="A5971" s="111">
        <v>6110</v>
      </c>
      <c r="B5971" s="421" t="s">
        <v>11199</v>
      </c>
      <c r="C5971" s="421" t="s">
        <v>513</v>
      </c>
      <c r="D5971" s="422" t="s">
        <v>663</v>
      </c>
      <c r="E5971" s="111">
        <v>44115</v>
      </c>
      <c r="F5971" s="421" t="s">
        <v>11200</v>
      </c>
      <c r="G5971" s="112">
        <v>2</v>
      </c>
      <c r="H5971" s="112">
        <v>2</v>
      </c>
      <c r="I5971" s="112">
        <v>1</v>
      </c>
      <c r="J5971" s="112">
        <v>1</v>
      </c>
      <c r="K5971" s="112">
        <v>1</v>
      </c>
      <c r="L5971" s="112">
        <v>1</v>
      </c>
    </row>
    <row r="5972" spans="1:13" x14ac:dyDescent="0.2">
      <c r="A5972" s="111">
        <v>6111</v>
      </c>
      <c r="B5972" s="421" t="s">
        <v>1610</v>
      </c>
      <c r="C5972" s="421" t="s">
        <v>551</v>
      </c>
      <c r="D5972" s="422" t="s">
        <v>666</v>
      </c>
      <c r="E5972" s="111">
        <v>15302</v>
      </c>
      <c r="F5972" s="421" t="s">
        <v>3770</v>
      </c>
      <c r="G5972" s="112">
        <v>1</v>
      </c>
      <c r="H5972" s="112">
        <v>1</v>
      </c>
      <c r="I5972" s="112">
        <v>1</v>
      </c>
      <c r="J5972" s="112">
        <v>1</v>
      </c>
      <c r="K5972" s="112">
        <v>1</v>
      </c>
      <c r="L5972" s="112">
        <v>1</v>
      </c>
    </row>
    <row r="5973" spans="1:13" x14ac:dyDescent="0.2">
      <c r="A5973" s="111">
        <v>6112</v>
      </c>
      <c r="B5973" s="421" t="s">
        <v>11201</v>
      </c>
      <c r="C5973" s="421" t="s">
        <v>501</v>
      </c>
      <c r="D5973" s="422" t="s">
        <v>666</v>
      </c>
      <c r="E5973" s="111">
        <v>16645</v>
      </c>
      <c r="F5973" s="421" t="s">
        <v>8121</v>
      </c>
      <c r="G5973" s="112">
        <v>2</v>
      </c>
      <c r="H5973" s="112">
        <v>1</v>
      </c>
      <c r="I5973" s="112">
        <v>1</v>
      </c>
      <c r="J5973" s="112">
        <v>6</v>
      </c>
      <c r="K5973" s="112">
        <v>4</v>
      </c>
      <c r="L5973" s="112">
        <v>1</v>
      </c>
    </row>
    <row r="5974" spans="1:13" x14ac:dyDescent="0.2">
      <c r="A5974" s="111">
        <v>6113</v>
      </c>
      <c r="B5974" s="421" t="s">
        <v>7347</v>
      </c>
      <c r="C5974" s="421" t="s">
        <v>503</v>
      </c>
      <c r="D5974" s="422" t="s">
        <v>663</v>
      </c>
      <c r="E5974" s="111">
        <v>44117</v>
      </c>
      <c r="F5974" s="421" t="s">
        <v>11217</v>
      </c>
      <c r="G5974" s="112">
        <v>1</v>
      </c>
      <c r="H5974" s="112">
        <v>1</v>
      </c>
      <c r="I5974" s="112">
        <v>1</v>
      </c>
      <c r="J5974" s="112">
        <v>1</v>
      </c>
      <c r="L5974" s="112">
        <v>1</v>
      </c>
    </row>
    <row r="5975" spans="1:13" x14ac:dyDescent="0.2">
      <c r="A5975" s="111">
        <v>6114</v>
      </c>
      <c r="B5975" s="421" t="s">
        <v>10084</v>
      </c>
      <c r="C5975" s="421" t="s">
        <v>503</v>
      </c>
      <c r="D5975" s="422" t="s">
        <v>666</v>
      </c>
      <c r="E5975" s="111">
        <v>44117</v>
      </c>
      <c r="F5975" s="421" t="s">
        <v>11217</v>
      </c>
      <c r="G5975" s="112">
        <v>1</v>
      </c>
      <c r="H5975" s="112">
        <v>1</v>
      </c>
      <c r="I5975" s="112">
        <v>1</v>
      </c>
      <c r="J5975" s="112">
        <v>1</v>
      </c>
      <c r="K5975" s="112">
        <v>1</v>
      </c>
      <c r="L5975" s="112">
        <v>1</v>
      </c>
    </row>
    <row r="5976" spans="1:13" x14ac:dyDescent="0.2">
      <c r="A5976" s="111">
        <v>6115</v>
      </c>
      <c r="B5976" s="421" t="s">
        <v>5440</v>
      </c>
      <c r="C5976" s="421" t="s">
        <v>526</v>
      </c>
      <c r="D5976" s="422" t="s">
        <v>666</v>
      </c>
      <c r="E5976" s="111">
        <v>16785</v>
      </c>
      <c r="F5976" s="421" t="s">
        <v>8733</v>
      </c>
      <c r="G5976" s="112">
        <v>2</v>
      </c>
      <c r="H5976" s="112">
        <v>2</v>
      </c>
      <c r="I5976" s="112">
        <v>1</v>
      </c>
    </row>
    <row r="5977" spans="1:13" x14ac:dyDescent="0.2">
      <c r="A5977" s="111">
        <v>6116</v>
      </c>
      <c r="B5977" s="421" t="s">
        <v>11218</v>
      </c>
      <c r="C5977" s="421" t="s">
        <v>533</v>
      </c>
      <c r="D5977" s="422" t="s">
        <v>663</v>
      </c>
      <c r="E5977" s="111">
        <v>17289</v>
      </c>
      <c r="F5977" s="421" t="s">
        <v>7850</v>
      </c>
      <c r="G5977" s="112">
        <v>1</v>
      </c>
      <c r="H5977" s="112">
        <v>1</v>
      </c>
      <c r="J5977" s="112">
        <v>1</v>
      </c>
      <c r="M5977" s="112">
        <v>1</v>
      </c>
    </row>
    <row r="5978" spans="1:13" x14ac:dyDescent="0.2">
      <c r="A5978" s="111">
        <v>6117</v>
      </c>
      <c r="B5978" s="421" t="s">
        <v>11219</v>
      </c>
      <c r="C5978" s="421" t="s">
        <v>563</v>
      </c>
      <c r="D5978" s="422" t="s">
        <v>666</v>
      </c>
      <c r="E5978" s="111">
        <v>14977</v>
      </c>
      <c r="F5978" s="421" t="s">
        <v>2855</v>
      </c>
      <c r="G5978" s="112">
        <v>1</v>
      </c>
      <c r="H5978" s="112">
        <v>1</v>
      </c>
      <c r="J5978" s="112">
        <v>1</v>
      </c>
    </row>
    <row r="5979" spans="1:13" x14ac:dyDescent="0.2">
      <c r="A5979" s="111">
        <v>6118</v>
      </c>
      <c r="B5979" s="421" t="s">
        <v>379</v>
      </c>
      <c r="C5979" s="421" t="s">
        <v>585</v>
      </c>
      <c r="D5979" s="422" t="s">
        <v>663</v>
      </c>
      <c r="E5979" s="111">
        <v>44118</v>
      </c>
      <c r="F5979" s="421" t="s">
        <v>11220</v>
      </c>
      <c r="G5979" s="112">
        <v>1</v>
      </c>
      <c r="H5979" s="112">
        <v>1</v>
      </c>
      <c r="I5979" s="112">
        <v>1</v>
      </c>
    </row>
    <row r="5980" spans="1:13" x14ac:dyDescent="0.2">
      <c r="A5980" s="111">
        <v>6119</v>
      </c>
      <c r="B5980" s="421" t="s">
        <v>11221</v>
      </c>
      <c r="C5980" s="421" t="s">
        <v>1994</v>
      </c>
      <c r="D5980" s="422" t="s">
        <v>666</v>
      </c>
      <c r="E5980" s="111">
        <v>15415</v>
      </c>
      <c r="F5980" s="421" t="s">
        <v>2774</v>
      </c>
      <c r="G5980" s="112">
        <v>1</v>
      </c>
      <c r="H5980" s="112">
        <v>2</v>
      </c>
      <c r="I5980" s="112">
        <v>1</v>
      </c>
    </row>
    <row r="5981" spans="1:13" x14ac:dyDescent="0.2">
      <c r="A5981" s="111">
        <v>6120</v>
      </c>
      <c r="B5981" s="421" t="s">
        <v>1919</v>
      </c>
      <c r="C5981" s="421" t="s">
        <v>501</v>
      </c>
      <c r="D5981" s="422" t="s">
        <v>666</v>
      </c>
      <c r="E5981" s="111">
        <v>44119</v>
      </c>
      <c r="F5981" s="421" t="s">
        <v>11222</v>
      </c>
    </row>
    <row r="5982" spans="1:13" x14ac:dyDescent="0.2">
      <c r="A5982" s="111">
        <v>6121</v>
      </c>
      <c r="B5982" s="421" t="s">
        <v>3235</v>
      </c>
      <c r="C5982" s="421" t="s">
        <v>501</v>
      </c>
      <c r="D5982" s="422" t="s">
        <v>663</v>
      </c>
      <c r="E5982" s="111">
        <v>44120</v>
      </c>
      <c r="F5982" s="421" t="s">
        <v>11223</v>
      </c>
    </row>
    <row r="5983" spans="1:13" x14ac:dyDescent="0.2">
      <c r="A5983" s="111">
        <v>6122</v>
      </c>
      <c r="B5983" s="421" t="s">
        <v>11224</v>
      </c>
      <c r="C5983" s="421" t="s">
        <v>501</v>
      </c>
      <c r="D5983" s="422" t="s">
        <v>663</v>
      </c>
      <c r="E5983" s="111">
        <v>44120</v>
      </c>
      <c r="F5983" s="421" t="s">
        <v>11223</v>
      </c>
      <c r="I5983" s="112">
        <v>1</v>
      </c>
    </row>
    <row r="5984" spans="1:13" x14ac:dyDescent="0.2">
      <c r="A5984" s="111">
        <v>6123</v>
      </c>
      <c r="B5984" s="421" t="s">
        <v>123</v>
      </c>
      <c r="C5984" s="421" t="s">
        <v>502</v>
      </c>
      <c r="D5984" s="422" t="s">
        <v>666</v>
      </c>
      <c r="E5984" s="111">
        <v>44203</v>
      </c>
      <c r="F5984" s="421" t="s">
        <v>11225</v>
      </c>
      <c r="G5984" s="112">
        <v>1</v>
      </c>
      <c r="H5984" s="112">
        <v>1</v>
      </c>
      <c r="I5984" s="112">
        <v>1</v>
      </c>
    </row>
    <row r="5985" spans="1:15" x14ac:dyDescent="0.2">
      <c r="A5985" s="111">
        <v>6124</v>
      </c>
      <c r="B5985" s="421" t="s">
        <v>119</v>
      </c>
      <c r="C5985" s="421" t="s">
        <v>501</v>
      </c>
      <c r="D5985" s="422" t="s">
        <v>663</v>
      </c>
      <c r="E5985" s="111">
        <v>44121</v>
      </c>
      <c r="F5985" s="421" t="s">
        <v>11226</v>
      </c>
      <c r="G5985" s="112">
        <v>1</v>
      </c>
      <c r="J5985" s="112">
        <v>1</v>
      </c>
    </row>
    <row r="5986" spans="1:15" x14ac:dyDescent="0.2">
      <c r="A5986" s="111">
        <v>6125</v>
      </c>
      <c r="B5986" s="421" t="s">
        <v>11227</v>
      </c>
      <c r="C5986" s="421" t="s">
        <v>501</v>
      </c>
      <c r="D5986" s="422" t="s">
        <v>663</v>
      </c>
      <c r="F5986" s="421" t="s">
        <v>11228</v>
      </c>
    </row>
    <row r="5987" spans="1:15" x14ac:dyDescent="0.2">
      <c r="A5987" s="111">
        <v>6132</v>
      </c>
      <c r="B5987" s="421" t="s">
        <v>112</v>
      </c>
      <c r="C5987" s="421" t="s">
        <v>628</v>
      </c>
      <c r="D5987" s="422" t="s">
        <v>663</v>
      </c>
      <c r="E5987" s="111">
        <v>44125</v>
      </c>
      <c r="F5987" s="421" t="s">
        <v>11229</v>
      </c>
      <c r="G5987" s="112">
        <v>2</v>
      </c>
      <c r="H5987" s="112">
        <v>2</v>
      </c>
      <c r="I5987" s="112">
        <v>2</v>
      </c>
      <c r="J5987" s="112">
        <v>3</v>
      </c>
      <c r="K5987" s="112">
        <v>4</v>
      </c>
      <c r="L5987" s="112">
        <v>2</v>
      </c>
      <c r="M5987" s="112">
        <v>3</v>
      </c>
    </row>
    <row r="5988" spans="1:15" x14ac:dyDescent="0.2">
      <c r="A5988" s="111">
        <v>6133</v>
      </c>
      <c r="B5988" s="421" t="s">
        <v>11230</v>
      </c>
      <c r="C5988" s="421" t="s">
        <v>503</v>
      </c>
      <c r="D5988" s="422" t="s">
        <v>663</v>
      </c>
      <c r="E5988" s="111">
        <v>15715</v>
      </c>
      <c r="F5988" s="421" t="s">
        <v>5174</v>
      </c>
      <c r="G5988" s="112">
        <v>1</v>
      </c>
      <c r="H5988" s="112">
        <v>1</v>
      </c>
      <c r="I5988" s="112">
        <v>1</v>
      </c>
      <c r="J5988" s="112">
        <v>7</v>
      </c>
      <c r="K5988" s="112">
        <v>7</v>
      </c>
      <c r="L5988" s="112">
        <v>7</v>
      </c>
      <c r="M5988" s="112">
        <v>3</v>
      </c>
      <c r="N5988" s="112">
        <v>3</v>
      </c>
      <c r="O5988" s="112">
        <v>3</v>
      </c>
    </row>
    <row r="5989" spans="1:15" x14ac:dyDescent="0.2">
      <c r="A5989" s="111">
        <v>6135</v>
      </c>
      <c r="B5989" s="421" t="s">
        <v>11231</v>
      </c>
      <c r="C5989" s="421" t="s">
        <v>501</v>
      </c>
      <c r="D5989" s="422" t="s">
        <v>663</v>
      </c>
      <c r="E5989" s="111">
        <v>15865</v>
      </c>
      <c r="F5989" s="421" t="s">
        <v>3556</v>
      </c>
    </row>
    <row r="5990" spans="1:15" x14ac:dyDescent="0.2">
      <c r="A5990" s="111">
        <v>6136</v>
      </c>
      <c r="B5990" s="421" t="s">
        <v>11232</v>
      </c>
      <c r="C5990" s="421" t="s">
        <v>1284</v>
      </c>
      <c r="D5990" s="422" t="s">
        <v>666</v>
      </c>
      <c r="E5990" s="111">
        <v>1465</v>
      </c>
      <c r="F5990" s="421" t="s">
        <v>708</v>
      </c>
    </row>
    <row r="5991" spans="1:15" x14ac:dyDescent="0.2">
      <c r="A5991" s="111">
        <v>6137</v>
      </c>
      <c r="B5991" s="421" t="s">
        <v>11233</v>
      </c>
      <c r="C5991" s="421" t="s">
        <v>501</v>
      </c>
      <c r="D5991" s="422" t="s">
        <v>663</v>
      </c>
      <c r="E5991" s="111">
        <v>15865</v>
      </c>
      <c r="F5991" s="421" t="s">
        <v>3556</v>
      </c>
    </row>
    <row r="5992" spans="1:15" x14ac:dyDescent="0.2">
      <c r="A5992" s="111">
        <v>6138</v>
      </c>
      <c r="B5992" s="421" t="s">
        <v>11234</v>
      </c>
      <c r="C5992" s="421" t="s">
        <v>521</v>
      </c>
      <c r="D5992" s="422" t="s">
        <v>666</v>
      </c>
      <c r="E5992" s="111">
        <v>44127</v>
      </c>
      <c r="F5992" s="421" t="s">
        <v>11235</v>
      </c>
      <c r="H5992" s="112">
        <v>1</v>
      </c>
      <c r="I5992" s="112">
        <v>1</v>
      </c>
      <c r="K5992" s="112">
        <v>1</v>
      </c>
    </row>
    <row r="5993" spans="1:15" x14ac:dyDescent="0.2">
      <c r="A5993" s="111">
        <v>6139</v>
      </c>
      <c r="B5993" s="421" t="s">
        <v>7142</v>
      </c>
      <c r="C5993" s="421" t="s">
        <v>532</v>
      </c>
      <c r="D5993" s="422" t="s">
        <v>663</v>
      </c>
      <c r="E5993" s="111">
        <v>15604</v>
      </c>
      <c r="F5993" s="421" t="s">
        <v>3079</v>
      </c>
      <c r="G5993" s="112">
        <v>1</v>
      </c>
      <c r="H5993" s="112">
        <v>1</v>
      </c>
      <c r="I5993" s="112">
        <v>2</v>
      </c>
      <c r="J5993" s="112">
        <v>1</v>
      </c>
      <c r="K5993" s="112">
        <v>4</v>
      </c>
      <c r="L5993" s="112">
        <v>3</v>
      </c>
      <c r="N5993" s="112">
        <v>2</v>
      </c>
      <c r="O5993" s="112">
        <v>1</v>
      </c>
    </row>
    <row r="5994" spans="1:15" x14ac:dyDescent="0.2">
      <c r="A5994" s="111">
        <v>6140</v>
      </c>
      <c r="B5994" s="421" t="s">
        <v>1079</v>
      </c>
      <c r="C5994" s="421" t="s">
        <v>1625</v>
      </c>
      <c r="D5994" s="422" t="s">
        <v>666</v>
      </c>
      <c r="E5994" s="111">
        <v>44128</v>
      </c>
      <c r="F5994" s="421" t="s">
        <v>11236</v>
      </c>
      <c r="G5994" s="112">
        <v>1</v>
      </c>
      <c r="H5994" s="112">
        <v>1</v>
      </c>
      <c r="I5994" s="112">
        <v>1</v>
      </c>
    </row>
    <row r="5995" spans="1:15" x14ac:dyDescent="0.2">
      <c r="A5995" s="111">
        <v>6141</v>
      </c>
      <c r="B5995" s="421" t="s">
        <v>1678</v>
      </c>
      <c r="C5995" s="421" t="s">
        <v>1284</v>
      </c>
      <c r="D5995" s="422" t="s">
        <v>666</v>
      </c>
      <c r="E5995" s="111">
        <v>15865</v>
      </c>
      <c r="F5995" s="421" t="s">
        <v>3556</v>
      </c>
    </row>
    <row r="5996" spans="1:15" x14ac:dyDescent="0.2">
      <c r="A5996" s="111">
        <v>6142</v>
      </c>
      <c r="B5996" s="421" t="s">
        <v>3276</v>
      </c>
      <c r="C5996" s="421" t="s">
        <v>510</v>
      </c>
      <c r="D5996" s="422" t="s">
        <v>663</v>
      </c>
      <c r="E5996" s="111">
        <v>15063</v>
      </c>
      <c r="F5996" s="421" t="s">
        <v>3059</v>
      </c>
    </row>
    <row r="5997" spans="1:15" x14ac:dyDescent="0.2">
      <c r="A5997" s="111">
        <v>6143</v>
      </c>
      <c r="B5997" s="421" t="s">
        <v>11237</v>
      </c>
      <c r="C5997" s="421" t="s">
        <v>503</v>
      </c>
      <c r="D5997" s="422" t="s">
        <v>666</v>
      </c>
      <c r="E5997" s="111">
        <v>16105</v>
      </c>
      <c r="F5997" s="421" t="s">
        <v>6375</v>
      </c>
      <c r="G5997" s="112">
        <v>1</v>
      </c>
      <c r="H5997" s="112">
        <v>1</v>
      </c>
      <c r="I5997" s="112">
        <v>1</v>
      </c>
      <c r="J5997" s="112">
        <v>2</v>
      </c>
      <c r="K5997" s="112">
        <v>2</v>
      </c>
      <c r="L5997" s="112">
        <v>2</v>
      </c>
      <c r="M5997" s="112">
        <v>3</v>
      </c>
      <c r="N5997" s="112">
        <v>3</v>
      </c>
      <c r="O5997" s="112">
        <v>2</v>
      </c>
    </row>
    <row r="5998" spans="1:15" x14ac:dyDescent="0.2">
      <c r="A5998" s="111">
        <v>6144</v>
      </c>
      <c r="B5998" s="421" t="s">
        <v>3553</v>
      </c>
      <c r="C5998" s="421" t="s">
        <v>1284</v>
      </c>
      <c r="D5998" s="422" t="s">
        <v>666</v>
      </c>
      <c r="E5998" s="111">
        <v>44355</v>
      </c>
      <c r="F5998" s="421" t="s">
        <v>11238</v>
      </c>
      <c r="G5998" s="112">
        <v>1</v>
      </c>
      <c r="H5998" s="112">
        <v>1</v>
      </c>
      <c r="I5998" s="112">
        <v>1</v>
      </c>
      <c r="K5998" s="112">
        <v>1</v>
      </c>
      <c r="L5998" s="112">
        <v>1</v>
      </c>
    </row>
    <row r="5999" spans="1:15" x14ac:dyDescent="0.2">
      <c r="A5999" s="111">
        <v>6145</v>
      </c>
      <c r="B5999" s="421" t="s">
        <v>11239</v>
      </c>
      <c r="C5999" s="421" t="s">
        <v>502</v>
      </c>
      <c r="D5999" s="422" t="s">
        <v>666</v>
      </c>
      <c r="E5999" s="111">
        <v>44130</v>
      </c>
      <c r="F5999" s="421" t="s">
        <v>11240</v>
      </c>
      <c r="G5999" s="112">
        <v>1</v>
      </c>
      <c r="H5999" s="112">
        <v>1</v>
      </c>
      <c r="I5999" s="112">
        <v>1</v>
      </c>
      <c r="J5999" s="112">
        <v>1</v>
      </c>
      <c r="K5999" s="112">
        <v>1</v>
      </c>
    </row>
    <row r="6000" spans="1:15" x14ac:dyDescent="0.2">
      <c r="A6000" s="111">
        <v>6146</v>
      </c>
      <c r="B6000" s="421" t="s">
        <v>220</v>
      </c>
      <c r="C6000" s="421" t="s">
        <v>561</v>
      </c>
      <c r="D6000" s="422" t="s">
        <v>666</v>
      </c>
      <c r="E6000" s="111">
        <v>15780</v>
      </c>
      <c r="F6000" s="421" t="s">
        <v>4728</v>
      </c>
      <c r="G6000" s="112">
        <v>2</v>
      </c>
      <c r="H6000" s="112">
        <v>2</v>
      </c>
    </row>
    <row r="6001" spans="1:15" x14ac:dyDescent="0.2">
      <c r="A6001" s="111">
        <v>6147</v>
      </c>
      <c r="B6001" s="421" t="s">
        <v>54</v>
      </c>
      <c r="C6001" s="421" t="s">
        <v>536</v>
      </c>
      <c r="D6001" s="422" t="s">
        <v>666</v>
      </c>
      <c r="F6001" s="421" t="s">
        <v>11272</v>
      </c>
      <c r="G6001" s="112">
        <v>2</v>
      </c>
      <c r="I6001" s="112">
        <v>1</v>
      </c>
    </row>
    <row r="6002" spans="1:15" x14ac:dyDescent="0.2">
      <c r="A6002" s="111">
        <v>6148</v>
      </c>
      <c r="B6002" s="421" t="s">
        <v>11376</v>
      </c>
      <c r="C6002" s="421" t="s">
        <v>501</v>
      </c>
      <c r="D6002" s="422" t="s">
        <v>663</v>
      </c>
      <c r="F6002" s="421" t="s">
        <v>11377</v>
      </c>
      <c r="G6002" s="112">
        <v>1</v>
      </c>
      <c r="H6002" s="112">
        <v>1</v>
      </c>
      <c r="I6002" s="112">
        <v>1</v>
      </c>
      <c r="J6002" s="112">
        <v>2</v>
      </c>
      <c r="K6002" s="112">
        <v>2</v>
      </c>
      <c r="L6002" s="112">
        <v>1</v>
      </c>
      <c r="M6002" s="112">
        <v>2</v>
      </c>
    </row>
    <row r="6003" spans="1:15" x14ac:dyDescent="0.2">
      <c r="A6003" s="111">
        <v>6150</v>
      </c>
      <c r="B6003" s="421" t="s">
        <v>2285</v>
      </c>
      <c r="C6003" s="421" t="s">
        <v>513</v>
      </c>
      <c r="D6003" s="422" t="s">
        <v>666</v>
      </c>
      <c r="E6003" s="111">
        <v>44131</v>
      </c>
      <c r="F6003" s="421" t="s">
        <v>11273</v>
      </c>
      <c r="G6003" s="112">
        <v>2</v>
      </c>
      <c r="H6003" s="112">
        <v>2</v>
      </c>
      <c r="I6003" s="112">
        <v>1</v>
      </c>
      <c r="J6003" s="112">
        <v>1</v>
      </c>
      <c r="K6003" s="112">
        <v>2</v>
      </c>
      <c r="L6003" s="112">
        <v>1</v>
      </c>
    </row>
    <row r="6004" spans="1:15" x14ac:dyDescent="0.2">
      <c r="A6004" s="111">
        <v>6151</v>
      </c>
      <c r="B6004" s="421" t="s">
        <v>4604</v>
      </c>
      <c r="C6004" s="421" t="s">
        <v>510</v>
      </c>
      <c r="D6004" s="422" t="s">
        <v>663</v>
      </c>
      <c r="E6004" s="111">
        <v>44052</v>
      </c>
      <c r="F6004" s="421" t="s">
        <v>11274</v>
      </c>
      <c r="G6004" s="112">
        <v>1</v>
      </c>
      <c r="H6004" s="112">
        <v>2</v>
      </c>
      <c r="I6004" s="112">
        <v>1</v>
      </c>
      <c r="J6004" s="112">
        <v>2</v>
      </c>
      <c r="L6004" s="112">
        <v>1</v>
      </c>
      <c r="M6004" s="112">
        <v>1</v>
      </c>
    </row>
    <row r="6005" spans="1:15" x14ac:dyDescent="0.2">
      <c r="A6005" s="111">
        <v>6152</v>
      </c>
      <c r="B6005" s="421" t="s">
        <v>11275</v>
      </c>
      <c r="C6005" s="421" t="s">
        <v>551</v>
      </c>
      <c r="D6005" s="422" t="s">
        <v>666</v>
      </c>
      <c r="E6005" s="111">
        <v>44132</v>
      </c>
      <c r="F6005" s="421" t="s">
        <v>11276</v>
      </c>
      <c r="G6005" s="112">
        <v>2</v>
      </c>
      <c r="H6005" s="112">
        <v>2</v>
      </c>
      <c r="I6005" s="112">
        <v>2</v>
      </c>
      <c r="J6005" s="112">
        <v>4</v>
      </c>
      <c r="K6005" s="112">
        <v>4</v>
      </c>
      <c r="L6005" s="112">
        <v>4</v>
      </c>
      <c r="M6005" s="112">
        <v>5</v>
      </c>
      <c r="N6005" s="112">
        <v>3</v>
      </c>
      <c r="O6005" s="112">
        <v>4</v>
      </c>
    </row>
    <row r="6006" spans="1:15" x14ac:dyDescent="0.2">
      <c r="A6006" s="111">
        <v>6153</v>
      </c>
      <c r="B6006" s="421" t="s">
        <v>443</v>
      </c>
      <c r="C6006" s="421" t="s">
        <v>513</v>
      </c>
      <c r="D6006" s="422" t="s">
        <v>666</v>
      </c>
      <c r="E6006" s="111">
        <v>16141</v>
      </c>
      <c r="F6006" s="421" t="s">
        <v>6491</v>
      </c>
      <c r="G6006" s="112">
        <v>2</v>
      </c>
      <c r="H6006" s="112">
        <v>1</v>
      </c>
      <c r="I6006" s="112">
        <v>1</v>
      </c>
    </row>
    <row r="6007" spans="1:15" x14ac:dyDescent="0.2">
      <c r="A6007" s="111">
        <v>6154</v>
      </c>
      <c r="B6007" s="421" t="s">
        <v>11277</v>
      </c>
      <c r="C6007" s="421" t="s">
        <v>551</v>
      </c>
      <c r="D6007" s="422" t="s">
        <v>663</v>
      </c>
      <c r="F6007" s="421" t="s">
        <v>11278</v>
      </c>
      <c r="G6007" s="112">
        <v>1</v>
      </c>
      <c r="H6007" s="112">
        <v>1</v>
      </c>
      <c r="I6007" s="112">
        <v>1</v>
      </c>
      <c r="J6007" s="112">
        <v>1</v>
      </c>
      <c r="L6007" s="112">
        <v>1</v>
      </c>
    </row>
    <row r="6008" spans="1:15" x14ac:dyDescent="0.2">
      <c r="A6008" s="111">
        <v>6155</v>
      </c>
      <c r="B6008" s="421" t="s">
        <v>11279</v>
      </c>
      <c r="C6008" s="421" t="s">
        <v>530</v>
      </c>
      <c r="D6008" s="422" t="s">
        <v>666</v>
      </c>
      <c r="E6008" s="111">
        <v>44133</v>
      </c>
      <c r="F6008" s="421" t="s">
        <v>11280</v>
      </c>
      <c r="G6008" s="112">
        <v>1</v>
      </c>
      <c r="H6008" s="112">
        <v>1</v>
      </c>
      <c r="I6008" s="112">
        <v>1</v>
      </c>
      <c r="J6008" s="112">
        <v>2</v>
      </c>
      <c r="K6008" s="112">
        <v>4</v>
      </c>
      <c r="L6008" s="112">
        <v>3</v>
      </c>
    </row>
    <row r="6009" spans="1:15" x14ac:dyDescent="0.2">
      <c r="A6009" s="111">
        <v>6156</v>
      </c>
      <c r="B6009" s="421" t="s">
        <v>6082</v>
      </c>
      <c r="C6009" s="421" t="s">
        <v>501</v>
      </c>
      <c r="D6009" s="422" t="s">
        <v>663</v>
      </c>
      <c r="E6009" s="111">
        <v>44134</v>
      </c>
      <c r="F6009" s="421" t="s">
        <v>11281</v>
      </c>
      <c r="G6009" s="112">
        <v>1</v>
      </c>
      <c r="H6009" s="112">
        <v>1</v>
      </c>
      <c r="I6009" s="112">
        <v>1</v>
      </c>
      <c r="K6009" s="112">
        <v>1</v>
      </c>
      <c r="L6009" s="112">
        <v>2</v>
      </c>
    </row>
    <row r="6010" spans="1:15" x14ac:dyDescent="0.2">
      <c r="A6010" s="111">
        <v>6157</v>
      </c>
      <c r="B6010" s="421" t="s">
        <v>11282</v>
      </c>
      <c r="C6010" s="421" t="s">
        <v>506</v>
      </c>
      <c r="D6010" s="422" t="s">
        <v>663</v>
      </c>
      <c r="E6010" s="111">
        <v>44134</v>
      </c>
      <c r="F6010" s="421" t="s">
        <v>11281</v>
      </c>
    </row>
    <row r="6011" spans="1:15" x14ac:dyDescent="0.2">
      <c r="A6011" s="111">
        <v>6158</v>
      </c>
      <c r="B6011" s="421" t="s">
        <v>15204</v>
      </c>
      <c r="C6011" s="421" t="s">
        <v>501</v>
      </c>
      <c r="D6011" s="422" t="s">
        <v>666</v>
      </c>
      <c r="E6011" s="111">
        <v>44135</v>
      </c>
      <c r="F6011" s="421" t="s">
        <v>11283</v>
      </c>
      <c r="G6011" s="112">
        <v>2</v>
      </c>
      <c r="H6011" s="112">
        <v>1</v>
      </c>
      <c r="I6011" s="112">
        <v>2</v>
      </c>
      <c r="J6011" s="112">
        <v>7</v>
      </c>
      <c r="K6011" s="112">
        <v>8</v>
      </c>
      <c r="L6011" s="112">
        <v>8</v>
      </c>
      <c r="M6011" s="112">
        <v>7</v>
      </c>
      <c r="N6011" s="112">
        <v>3</v>
      </c>
      <c r="O6011" s="112">
        <v>8</v>
      </c>
    </row>
    <row r="6012" spans="1:15" x14ac:dyDescent="0.2">
      <c r="A6012" s="111">
        <v>6159</v>
      </c>
      <c r="B6012" s="421" t="s">
        <v>11284</v>
      </c>
      <c r="C6012" s="421" t="s">
        <v>1211</v>
      </c>
      <c r="D6012" s="422" t="s">
        <v>666</v>
      </c>
      <c r="E6012" s="111">
        <v>44135</v>
      </c>
      <c r="F6012" s="421" t="s">
        <v>11283</v>
      </c>
    </row>
    <row r="6013" spans="1:15" x14ac:dyDescent="0.2">
      <c r="A6013" s="111">
        <v>6160</v>
      </c>
      <c r="B6013" s="421" t="s">
        <v>11285</v>
      </c>
      <c r="C6013" s="421" t="s">
        <v>506</v>
      </c>
      <c r="D6013" s="422" t="s">
        <v>663</v>
      </c>
      <c r="E6013" s="111">
        <v>16088</v>
      </c>
      <c r="F6013" s="421" t="s">
        <v>6317</v>
      </c>
      <c r="G6013" s="112">
        <v>1</v>
      </c>
      <c r="H6013" s="112">
        <v>1</v>
      </c>
    </row>
    <row r="6014" spans="1:15" x14ac:dyDescent="0.2">
      <c r="A6014" s="111">
        <v>6161</v>
      </c>
      <c r="B6014" s="421" t="s">
        <v>11286</v>
      </c>
      <c r="C6014" s="421" t="s">
        <v>510</v>
      </c>
      <c r="D6014" s="422" t="s">
        <v>666</v>
      </c>
      <c r="F6014" s="421" t="s">
        <v>11287</v>
      </c>
      <c r="G6014" s="112">
        <v>1</v>
      </c>
      <c r="H6014" s="112">
        <v>1</v>
      </c>
      <c r="I6014" s="112">
        <v>1</v>
      </c>
      <c r="J6014" s="112">
        <v>3</v>
      </c>
      <c r="K6014" s="112">
        <v>2</v>
      </c>
      <c r="L6014" s="112">
        <v>3</v>
      </c>
      <c r="O6014" s="112">
        <v>1</v>
      </c>
    </row>
    <row r="6015" spans="1:15" x14ac:dyDescent="0.2">
      <c r="A6015" s="111">
        <v>6162</v>
      </c>
      <c r="B6015" s="421" t="s">
        <v>5833</v>
      </c>
      <c r="C6015" s="421" t="s">
        <v>551</v>
      </c>
      <c r="D6015" s="422" t="s">
        <v>663</v>
      </c>
      <c r="E6015" s="111">
        <v>44138</v>
      </c>
      <c r="F6015" s="421" t="s">
        <v>11288</v>
      </c>
      <c r="G6015" s="112">
        <v>1</v>
      </c>
      <c r="H6015" s="112">
        <v>1</v>
      </c>
      <c r="I6015" s="112">
        <v>1</v>
      </c>
    </row>
    <row r="6016" spans="1:15" x14ac:dyDescent="0.2">
      <c r="A6016" s="111">
        <v>6163</v>
      </c>
      <c r="B6016" s="421" t="s">
        <v>11289</v>
      </c>
      <c r="C6016" s="421" t="s">
        <v>501</v>
      </c>
      <c r="D6016" s="422" t="s">
        <v>663</v>
      </c>
      <c r="E6016" s="111">
        <v>44305</v>
      </c>
      <c r="F6016" s="421" t="s">
        <v>11290</v>
      </c>
      <c r="G6016" s="112">
        <v>1</v>
      </c>
      <c r="H6016" s="112">
        <v>1</v>
      </c>
      <c r="I6016" s="112">
        <v>1</v>
      </c>
      <c r="J6016" s="112">
        <v>3</v>
      </c>
      <c r="K6016" s="112">
        <v>3</v>
      </c>
      <c r="L6016" s="112">
        <v>2</v>
      </c>
      <c r="M6016" s="112">
        <v>2</v>
      </c>
      <c r="N6016" s="112">
        <v>1</v>
      </c>
      <c r="O6016" s="112">
        <v>1</v>
      </c>
    </row>
    <row r="6017" spans="1:15" x14ac:dyDescent="0.2">
      <c r="A6017" s="111">
        <v>6165</v>
      </c>
      <c r="B6017" s="421" t="s">
        <v>11291</v>
      </c>
      <c r="C6017" s="421" t="s">
        <v>506</v>
      </c>
      <c r="D6017" s="422" t="s">
        <v>666</v>
      </c>
      <c r="E6017" s="111">
        <v>16982</v>
      </c>
      <c r="F6017" s="421" t="s">
        <v>9499</v>
      </c>
      <c r="G6017" s="112">
        <v>2</v>
      </c>
      <c r="H6017" s="112">
        <v>2</v>
      </c>
      <c r="I6017" s="112">
        <v>1</v>
      </c>
    </row>
    <row r="6018" spans="1:15" x14ac:dyDescent="0.2">
      <c r="A6018" s="111">
        <v>6166</v>
      </c>
      <c r="B6018" s="421" t="s">
        <v>288</v>
      </c>
      <c r="C6018" s="421" t="s">
        <v>501</v>
      </c>
      <c r="D6018" s="422" t="s">
        <v>663</v>
      </c>
      <c r="E6018" s="111">
        <v>44139</v>
      </c>
      <c r="F6018" s="421" t="s">
        <v>11292</v>
      </c>
      <c r="G6018" s="112">
        <v>2</v>
      </c>
      <c r="H6018" s="112">
        <v>4</v>
      </c>
      <c r="I6018" s="112">
        <v>2</v>
      </c>
      <c r="J6018" s="112">
        <v>7</v>
      </c>
      <c r="K6018" s="112">
        <v>11</v>
      </c>
      <c r="L6018" s="112">
        <v>5</v>
      </c>
      <c r="M6018" s="112">
        <v>4</v>
      </c>
      <c r="N6018" s="112">
        <v>2</v>
      </c>
      <c r="O6018" s="112">
        <v>2</v>
      </c>
    </row>
    <row r="6019" spans="1:15" x14ac:dyDescent="0.2">
      <c r="A6019" s="111">
        <v>6167</v>
      </c>
      <c r="B6019" s="421" t="s">
        <v>11293</v>
      </c>
      <c r="C6019" s="421" t="s">
        <v>518</v>
      </c>
      <c r="D6019" s="422" t="s">
        <v>666</v>
      </c>
      <c r="E6019" s="111">
        <v>44140</v>
      </c>
      <c r="F6019" s="421" t="s">
        <v>11294</v>
      </c>
      <c r="I6019" s="112">
        <v>1</v>
      </c>
    </row>
    <row r="6020" spans="1:15" x14ac:dyDescent="0.2">
      <c r="A6020" s="111">
        <v>6168</v>
      </c>
      <c r="B6020" s="421" t="s">
        <v>9983</v>
      </c>
      <c r="C6020" s="421" t="s">
        <v>516</v>
      </c>
      <c r="D6020" s="422" t="s">
        <v>666</v>
      </c>
      <c r="F6020" s="421" t="s">
        <v>11295</v>
      </c>
      <c r="H6020" s="112">
        <v>1</v>
      </c>
      <c r="I6020" s="112">
        <v>1</v>
      </c>
    </row>
    <row r="6021" spans="1:15" x14ac:dyDescent="0.2">
      <c r="A6021" s="111">
        <v>6169</v>
      </c>
      <c r="B6021" s="421" t="s">
        <v>1109</v>
      </c>
      <c r="C6021" s="421" t="s">
        <v>501</v>
      </c>
      <c r="D6021" s="422" t="s">
        <v>666</v>
      </c>
      <c r="E6021" s="111">
        <v>16518</v>
      </c>
      <c r="F6021" s="421" t="s">
        <v>7818</v>
      </c>
    </row>
    <row r="6022" spans="1:15" x14ac:dyDescent="0.2">
      <c r="A6022" s="111">
        <v>6170</v>
      </c>
      <c r="B6022" s="421" t="s">
        <v>11296</v>
      </c>
      <c r="C6022" s="421" t="s">
        <v>1201</v>
      </c>
      <c r="D6022" s="422" t="s">
        <v>663</v>
      </c>
      <c r="E6022" s="111">
        <v>16175</v>
      </c>
      <c r="F6022" s="421" t="s">
        <v>6582</v>
      </c>
    </row>
    <row r="6023" spans="1:15" x14ac:dyDescent="0.2">
      <c r="A6023" s="111">
        <v>6171</v>
      </c>
      <c r="B6023" s="421" t="s">
        <v>353</v>
      </c>
      <c r="C6023" s="421" t="s">
        <v>501</v>
      </c>
      <c r="D6023" s="422" t="s">
        <v>663</v>
      </c>
      <c r="F6023" s="421" t="s">
        <v>11297</v>
      </c>
      <c r="G6023" s="112">
        <v>1</v>
      </c>
      <c r="I6023" s="112">
        <v>1</v>
      </c>
    </row>
    <row r="6024" spans="1:15" x14ac:dyDescent="0.2">
      <c r="A6024" s="111">
        <v>6172</v>
      </c>
      <c r="B6024" s="421" t="s">
        <v>193</v>
      </c>
      <c r="C6024" s="421" t="s">
        <v>570</v>
      </c>
      <c r="D6024" s="422" t="s">
        <v>663</v>
      </c>
      <c r="E6024" s="111">
        <v>44141</v>
      </c>
      <c r="F6024" s="421" t="s">
        <v>11298</v>
      </c>
      <c r="G6024" s="112">
        <v>1</v>
      </c>
      <c r="H6024" s="112">
        <v>1</v>
      </c>
      <c r="I6024" s="112">
        <v>1</v>
      </c>
      <c r="J6024" s="112">
        <v>1</v>
      </c>
      <c r="K6024" s="112">
        <v>1</v>
      </c>
      <c r="L6024" s="112">
        <v>1</v>
      </c>
    </row>
    <row r="6025" spans="1:15" x14ac:dyDescent="0.2">
      <c r="A6025" s="111">
        <v>6174</v>
      </c>
      <c r="B6025" s="421" t="s">
        <v>10067</v>
      </c>
      <c r="C6025" s="421" t="s">
        <v>518</v>
      </c>
      <c r="D6025" s="422" t="s">
        <v>663</v>
      </c>
      <c r="E6025" s="111">
        <v>17016</v>
      </c>
      <c r="F6025" s="421" t="s">
        <v>9683</v>
      </c>
      <c r="G6025" s="112">
        <v>2</v>
      </c>
      <c r="H6025" s="112">
        <v>1</v>
      </c>
    </row>
    <row r="6026" spans="1:15" x14ac:dyDescent="0.2">
      <c r="A6026" s="111">
        <v>6175</v>
      </c>
      <c r="B6026" s="421" t="s">
        <v>11299</v>
      </c>
      <c r="C6026" s="421" t="s">
        <v>555</v>
      </c>
      <c r="D6026" s="422" t="s">
        <v>666</v>
      </c>
      <c r="E6026" s="111">
        <v>16880</v>
      </c>
      <c r="F6026" s="421" t="s">
        <v>9232</v>
      </c>
      <c r="H6026" s="112">
        <v>2</v>
      </c>
    </row>
    <row r="6027" spans="1:15" x14ac:dyDescent="0.2">
      <c r="A6027" s="111">
        <v>6176</v>
      </c>
      <c r="B6027" s="421" t="s">
        <v>1423</v>
      </c>
      <c r="C6027" s="421" t="s">
        <v>1625</v>
      </c>
      <c r="D6027" s="422" t="s">
        <v>663</v>
      </c>
      <c r="E6027" s="111">
        <v>44142</v>
      </c>
      <c r="F6027" s="421" t="s">
        <v>11300</v>
      </c>
      <c r="G6027" s="112">
        <v>1</v>
      </c>
      <c r="H6027" s="112">
        <v>1</v>
      </c>
      <c r="I6027" s="112">
        <v>1</v>
      </c>
      <c r="J6027" s="112">
        <v>2</v>
      </c>
      <c r="K6027" s="112">
        <v>2</v>
      </c>
      <c r="L6027" s="112">
        <v>3</v>
      </c>
    </row>
    <row r="6028" spans="1:15" x14ac:dyDescent="0.2">
      <c r="A6028" s="111">
        <v>6177</v>
      </c>
      <c r="B6028" s="421" t="s">
        <v>2759</v>
      </c>
      <c r="C6028" s="421" t="s">
        <v>501</v>
      </c>
      <c r="D6028" s="422" t="s">
        <v>666</v>
      </c>
      <c r="E6028" s="111">
        <v>44143</v>
      </c>
      <c r="F6028" s="421" t="s">
        <v>11301</v>
      </c>
      <c r="G6028" s="112">
        <v>1</v>
      </c>
      <c r="H6028" s="112">
        <v>2</v>
      </c>
      <c r="I6028" s="112">
        <v>2</v>
      </c>
    </row>
    <row r="6029" spans="1:15" x14ac:dyDescent="0.2">
      <c r="A6029" s="111">
        <v>6178</v>
      </c>
      <c r="B6029" s="421" t="s">
        <v>2061</v>
      </c>
      <c r="C6029" s="421" t="s">
        <v>501</v>
      </c>
      <c r="D6029" s="422" t="s">
        <v>663</v>
      </c>
      <c r="E6029" s="111">
        <v>44144</v>
      </c>
      <c r="F6029" s="421" t="s">
        <v>11378</v>
      </c>
      <c r="G6029" s="112">
        <v>2</v>
      </c>
      <c r="H6029" s="112">
        <v>2</v>
      </c>
      <c r="I6029" s="112">
        <v>1</v>
      </c>
    </row>
    <row r="6030" spans="1:15" x14ac:dyDescent="0.2">
      <c r="A6030" s="111">
        <v>6179</v>
      </c>
      <c r="B6030" s="421" t="s">
        <v>5377</v>
      </c>
      <c r="C6030" s="421" t="s">
        <v>516</v>
      </c>
      <c r="D6030" s="422" t="s">
        <v>663</v>
      </c>
      <c r="E6030" s="111">
        <v>44145</v>
      </c>
      <c r="F6030" s="421" t="s">
        <v>11302</v>
      </c>
      <c r="G6030" s="112">
        <v>1</v>
      </c>
    </row>
    <row r="6031" spans="1:15" x14ac:dyDescent="0.2">
      <c r="A6031" s="111">
        <v>6180</v>
      </c>
      <c r="B6031" s="421" t="s">
        <v>390</v>
      </c>
      <c r="C6031" s="421" t="s">
        <v>516</v>
      </c>
      <c r="D6031" s="422" t="s">
        <v>666</v>
      </c>
      <c r="E6031" s="111">
        <v>17244</v>
      </c>
      <c r="F6031" s="421" t="s">
        <v>10401</v>
      </c>
      <c r="G6031" s="112">
        <v>1</v>
      </c>
      <c r="H6031" s="112">
        <v>1</v>
      </c>
      <c r="I6031" s="112">
        <v>1</v>
      </c>
      <c r="J6031" s="112">
        <v>1</v>
      </c>
      <c r="K6031" s="112">
        <v>1</v>
      </c>
      <c r="L6031" s="112">
        <v>2</v>
      </c>
    </row>
    <row r="6032" spans="1:15" x14ac:dyDescent="0.2">
      <c r="A6032" s="111">
        <v>6182</v>
      </c>
      <c r="B6032" s="421" t="s">
        <v>11303</v>
      </c>
      <c r="C6032" s="421" t="s">
        <v>3443</v>
      </c>
      <c r="D6032" s="422" t="s">
        <v>663</v>
      </c>
      <c r="E6032" s="111">
        <v>44147</v>
      </c>
      <c r="F6032" s="421" t="s">
        <v>789</v>
      </c>
      <c r="G6032" s="112">
        <v>1</v>
      </c>
      <c r="H6032" s="112">
        <v>1</v>
      </c>
      <c r="I6032" s="112">
        <v>1</v>
      </c>
    </row>
    <row r="6033" spans="1:13" x14ac:dyDescent="0.2">
      <c r="A6033" s="111">
        <v>6183</v>
      </c>
      <c r="B6033" s="421" t="s">
        <v>1348</v>
      </c>
      <c r="C6033" s="421" t="s">
        <v>506</v>
      </c>
      <c r="D6033" s="422" t="s">
        <v>663</v>
      </c>
      <c r="E6033" s="111">
        <v>44148</v>
      </c>
      <c r="F6033" s="421" t="s">
        <v>11304</v>
      </c>
      <c r="G6033" s="112">
        <v>1</v>
      </c>
      <c r="H6033" s="112">
        <v>1</v>
      </c>
      <c r="I6033" s="112">
        <v>1</v>
      </c>
      <c r="J6033" s="112">
        <v>1</v>
      </c>
    </row>
    <row r="6034" spans="1:13" x14ac:dyDescent="0.2">
      <c r="A6034" s="111">
        <v>6184</v>
      </c>
      <c r="B6034" s="421" t="s">
        <v>1678</v>
      </c>
      <c r="C6034" s="421" t="s">
        <v>516</v>
      </c>
      <c r="D6034" s="422" t="s">
        <v>666</v>
      </c>
      <c r="E6034" s="111">
        <v>17207</v>
      </c>
      <c r="F6034" s="421" t="s">
        <v>11017</v>
      </c>
      <c r="G6034" s="112">
        <v>1</v>
      </c>
      <c r="H6034" s="112">
        <v>1</v>
      </c>
      <c r="I6034" s="112">
        <v>1</v>
      </c>
    </row>
    <row r="6035" spans="1:13" x14ac:dyDescent="0.2">
      <c r="A6035" s="111">
        <v>6185</v>
      </c>
      <c r="B6035" s="421" t="s">
        <v>11313</v>
      </c>
      <c r="C6035" s="421" t="s">
        <v>506</v>
      </c>
      <c r="D6035" s="422" t="s">
        <v>663</v>
      </c>
      <c r="E6035" s="111">
        <v>16088</v>
      </c>
      <c r="F6035" s="421" t="s">
        <v>6317</v>
      </c>
    </row>
    <row r="6036" spans="1:13" x14ac:dyDescent="0.2">
      <c r="A6036" s="111">
        <v>6186</v>
      </c>
      <c r="B6036" s="421" t="s">
        <v>5448</v>
      </c>
      <c r="C6036" s="421" t="s">
        <v>2003</v>
      </c>
      <c r="D6036" s="422" t="s">
        <v>666</v>
      </c>
      <c r="E6036" s="111">
        <v>17103</v>
      </c>
      <c r="F6036" s="421" t="s">
        <v>8613</v>
      </c>
      <c r="G6036" s="112">
        <v>2</v>
      </c>
      <c r="H6036" s="112">
        <v>1</v>
      </c>
      <c r="I6036" s="112">
        <v>1</v>
      </c>
      <c r="J6036" s="112">
        <v>1</v>
      </c>
      <c r="K6036" s="112">
        <v>1</v>
      </c>
    </row>
    <row r="6037" spans="1:13" x14ac:dyDescent="0.2">
      <c r="A6037" s="111">
        <v>6187</v>
      </c>
      <c r="B6037" s="421" t="s">
        <v>11314</v>
      </c>
      <c r="C6037" s="421" t="s">
        <v>528</v>
      </c>
      <c r="D6037" s="422" t="s">
        <v>666</v>
      </c>
      <c r="E6037" s="111">
        <v>44124</v>
      </c>
      <c r="F6037" s="421" t="s">
        <v>11315</v>
      </c>
      <c r="G6037" s="112">
        <v>2</v>
      </c>
      <c r="H6037" s="112">
        <v>1</v>
      </c>
      <c r="I6037" s="112">
        <v>1</v>
      </c>
      <c r="J6037" s="112">
        <v>1</v>
      </c>
      <c r="K6037" s="112">
        <v>3</v>
      </c>
      <c r="L6037" s="112">
        <v>2</v>
      </c>
    </row>
    <row r="6038" spans="1:13" x14ac:dyDescent="0.2">
      <c r="A6038" s="111">
        <v>6188</v>
      </c>
      <c r="B6038" s="421" t="s">
        <v>353</v>
      </c>
      <c r="C6038" s="421" t="s">
        <v>503</v>
      </c>
      <c r="D6038" s="422" t="s">
        <v>663</v>
      </c>
      <c r="E6038" s="111">
        <v>44149</v>
      </c>
      <c r="F6038" s="421" t="s">
        <v>11316</v>
      </c>
      <c r="G6038" s="112">
        <v>2</v>
      </c>
      <c r="H6038" s="112">
        <v>1</v>
      </c>
      <c r="I6038" s="112">
        <v>1</v>
      </c>
      <c r="J6038" s="112">
        <v>1</v>
      </c>
      <c r="K6038" s="112">
        <v>2</v>
      </c>
      <c r="L6038" s="112">
        <v>1</v>
      </c>
    </row>
    <row r="6039" spans="1:13" x14ac:dyDescent="0.2">
      <c r="A6039" s="111">
        <v>6189</v>
      </c>
      <c r="B6039" s="421" t="s">
        <v>262</v>
      </c>
      <c r="C6039" s="421" t="s">
        <v>4162</v>
      </c>
      <c r="D6039" s="422" t="s">
        <v>663</v>
      </c>
      <c r="E6039" s="111">
        <v>44150</v>
      </c>
      <c r="F6039" s="421" t="s">
        <v>11317</v>
      </c>
      <c r="G6039" s="112">
        <v>1</v>
      </c>
      <c r="H6039" s="112">
        <v>1</v>
      </c>
      <c r="I6039" s="112">
        <v>1</v>
      </c>
      <c r="J6039" s="112">
        <v>2</v>
      </c>
      <c r="K6039" s="112">
        <v>1</v>
      </c>
      <c r="L6039" s="112">
        <v>1</v>
      </c>
      <c r="M6039" s="112">
        <v>1</v>
      </c>
    </row>
    <row r="6040" spans="1:13" x14ac:dyDescent="0.2">
      <c r="A6040" s="111">
        <v>6190</v>
      </c>
      <c r="B6040" s="421" t="s">
        <v>231</v>
      </c>
      <c r="C6040" s="421" t="s">
        <v>503</v>
      </c>
      <c r="D6040" s="422" t="s">
        <v>666</v>
      </c>
      <c r="E6040" s="111">
        <v>44151</v>
      </c>
      <c r="F6040" s="421" t="s">
        <v>11318</v>
      </c>
      <c r="G6040" s="112">
        <v>1</v>
      </c>
      <c r="H6040" s="112">
        <v>2</v>
      </c>
      <c r="I6040" s="112">
        <v>2</v>
      </c>
    </row>
    <row r="6041" spans="1:13" x14ac:dyDescent="0.2">
      <c r="A6041" s="111">
        <v>6191</v>
      </c>
      <c r="B6041" s="421" t="s">
        <v>11319</v>
      </c>
      <c r="C6041" s="421" t="s">
        <v>551</v>
      </c>
      <c r="D6041" s="422" t="s">
        <v>666</v>
      </c>
      <c r="E6041" s="111">
        <v>15208</v>
      </c>
      <c r="F6041" s="421" t="s">
        <v>3418</v>
      </c>
    </row>
    <row r="6042" spans="1:13" x14ac:dyDescent="0.2">
      <c r="A6042" s="111">
        <v>6192</v>
      </c>
      <c r="B6042" s="421" t="s">
        <v>376</v>
      </c>
      <c r="C6042" s="421" t="s">
        <v>525</v>
      </c>
      <c r="D6042" s="422" t="s">
        <v>666</v>
      </c>
      <c r="E6042" s="111">
        <v>44153</v>
      </c>
      <c r="F6042" s="421" t="s">
        <v>11320</v>
      </c>
    </row>
    <row r="6043" spans="1:13" x14ac:dyDescent="0.2">
      <c r="A6043" s="111">
        <v>6193</v>
      </c>
      <c r="B6043" s="421" t="s">
        <v>11379</v>
      </c>
      <c r="C6043" s="421" t="s">
        <v>1817</v>
      </c>
      <c r="D6043" s="422" t="s">
        <v>666</v>
      </c>
      <c r="E6043" s="111">
        <v>44352</v>
      </c>
      <c r="F6043" s="421" t="s">
        <v>11380</v>
      </c>
    </row>
    <row r="6044" spans="1:13" x14ac:dyDescent="0.2">
      <c r="A6044" s="111">
        <v>6194</v>
      </c>
      <c r="B6044" s="421" t="s">
        <v>7802</v>
      </c>
      <c r="C6044" s="421" t="s">
        <v>10198</v>
      </c>
      <c r="D6044" s="422" t="s">
        <v>666</v>
      </c>
      <c r="E6044" s="111">
        <v>44352</v>
      </c>
      <c r="F6044" s="421" t="s">
        <v>11380</v>
      </c>
      <c r="G6044" s="112">
        <v>1</v>
      </c>
      <c r="H6044" s="112">
        <v>1</v>
      </c>
      <c r="I6044" s="112">
        <v>1</v>
      </c>
    </row>
    <row r="6045" spans="1:13" x14ac:dyDescent="0.2">
      <c r="A6045" s="111">
        <v>6195</v>
      </c>
      <c r="B6045" s="421" t="s">
        <v>11381</v>
      </c>
      <c r="C6045" s="421" t="s">
        <v>551</v>
      </c>
      <c r="D6045" s="422" t="s">
        <v>663</v>
      </c>
      <c r="E6045" s="111">
        <v>16465</v>
      </c>
      <c r="F6045" s="421" t="s">
        <v>7720</v>
      </c>
      <c r="G6045" s="112">
        <v>1</v>
      </c>
      <c r="H6045" s="112">
        <v>1</v>
      </c>
      <c r="I6045" s="112">
        <v>1</v>
      </c>
      <c r="K6045" s="112">
        <v>1</v>
      </c>
      <c r="L6045" s="112">
        <v>1</v>
      </c>
    </row>
    <row r="6046" spans="1:13" x14ac:dyDescent="0.2">
      <c r="A6046" s="111">
        <v>6196</v>
      </c>
      <c r="B6046" s="421" t="s">
        <v>11382</v>
      </c>
      <c r="C6046" s="421" t="s">
        <v>507</v>
      </c>
      <c r="D6046" s="422" t="s">
        <v>663</v>
      </c>
      <c r="E6046" s="111">
        <v>44156</v>
      </c>
      <c r="F6046" s="421" t="s">
        <v>11383</v>
      </c>
      <c r="H6046" s="112">
        <v>1</v>
      </c>
    </row>
    <row r="6047" spans="1:13" x14ac:dyDescent="0.2">
      <c r="A6047" s="111">
        <v>6197</v>
      </c>
      <c r="B6047" s="421" t="s">
        <v>11384</v>
      </c>
      <c r="C6047" s="421" t="s">
        <v>551</v>
      </c>
      <c r="D6047" s="422" t="s">
        <v>663</v>
      </c>
      <c r="E6047" s="111">
        <v>17201</v>
      </c>
      <c r="F6047" s="421" t="s">
        <v>10271</v>
      </c>
      <c r="G6047" s="112">
        <v>1</v>
      </c>
      <c r="I6047" s="112">
        <v>1</v>
      </c>
    </row>
    <row r="6048" spans="1:13" x14ac:dyDescent="0.2">
      <c r="A6048" s="111">
        <v>6198</v>
      </c>
      <c r="B6048" s="421" t="s">
        <v>1678</v>
      </c>
      <c r="C6048" s="421" t="s">
        <v>510</v>
      </c>
      <c r="D6048" s="422" t="s">
        <v>666</v>
      </c>
      <c r="E6048" s="111">
        <v>15726</v>
      </c>
      <c r="F6048" s="421" t="s">
        <v>5196</v>
      </c>
      <c r="G6048" s="112">
        <v>1</v>
      </c>
      <c r="H6048" s="112">
        <v>1</v>
      </c>
      <c r="I6048" s="112">
        <v>1</v>
      </c>
    </row>
    <row r="6049" spans="1:15" x14ac:dyDescent="0.2">
      <c r="A6049" s="111">
        <v>6199</v>
      </c>
      <c r="B6049" s="421" t="s">
        <v>6680</v>
      </c>
      <c r="C6049" s="421" t="s">
        <v>502</v>
      </c>
      <c r="D6049" s="422" t="s">
        <v>666</v>
      </c>
      <c r="E6049" s="111">
        <v>44158</v>
      </c>
      <c r="F6049" s="421" t="s">
        <v>11385</v>
      </c>
    </row>
    <row r="6050" spans="1:15" x14ac:dyDescent="0.2">
      <c r="A6050" s="111">
        <v>6200</v>
      </c>
      <c r="B6050" s="421" t="s">
        <v>3239</v>
      </c>
      <c r="C6050" s="421" t="s">
        <v>502</v>
      </c>
      <c r="D6050" s="422" t="s">
        <v>663</v>
      </c>
      <c r="E6050" s="111">
        <v>17282</v>
      </c>
      <c r="F6050" s="421" t="s">
        <v>10628</v>
      </c>
    </row>
    <row r="6051" spans="1:15" x14ac:dyDescent="0.2">
      <c r="A6051" s="111">
        <v>6201</v>
      </c>
      <c r="B6051" s="421" t="s">
        <v>11386</v>
      </c>
      <c r="C6051" s="421" t="s">
        <v>516</v>
      </c>
      <c r="D6051" s="422" t="s">
        <v>663</v>
      </c>
      <c r="E6051" s="111">
        <v>17280</v>
      </c>
      <c r="F6051" s="421" t="s">
        <v>10623</v>
      </c>
      <c r="G6051" s="112">
        <v>1</v>
      </c>
      <c r="H6051" s="112">
        <v>1</v>
      </c>
      <c r="I6051" s="112">
        <v>1</v>
      </c>
      <c r="J6051" s="112">
        <v>1</v>
      </c>
      <c r="K6051" s="112">
        <v>1</v>
      </c>
      <c r="L6051" s="112">
        <v>1</v>
      </c>
    </row>
    <row r="6052" spans="1:15" x14ac:dyDescent="0.2">
      <c r="A6052" s="111">
        <v>6202</v>
      </c>
      <c r="B6052" s="421" t="s">
        <v>11387</v>
      </c>
      <c r="C6052" s="421" t="s">
        <v>523</v>
      </c>
      <c r="D6052" s="422" t="s">
        <v>666</v>
      </c>
      <c r="E6052" s="111">
        <v>44241</v>
      </c>
      <c r="F6052" s="421" t="s">
        <v>11388</v>
      </c>
      <c r="G6052" s="112">
        <v>1</v>
      </c>
      <c r="H6052" s="112">
        <v>1</v>
      </c>
      <c r="I6052" s="112">
        <v>1</v>
      </c>
      <c r="J6052" s="112">
        <v>1</v>
      </c>
      <c r="K6052" s="112">
        <v>1</v>
      </c>
      <c r="L6052" s="112">
        <v>1</v>
      </c>
      <c r="M6052" s="112">
        <v>1</v>
      </c>
      <c r="O6052" s="112">
        <v>1</v>
      </c>
    </row>
    <row r="6053" spans="1:15" x14ac:dyDescent="0.2">
      <c r="A6053" s="111">
        <v>6203</v>
      </c>
      <c r="B6053" s="421" t="s">
        <v>186</v>
      </c>
      <c r="C6053" s="421" t="s">
        <v>512</v>
      </c>
      <c r="D6053" s="422" t="s">
        <v>666</v>
      </c>
      <c r="E6053" s="111">
        <v>44328</v>
      </c>
      <c r="F6053" s="421" t="s">
        <v>11389</v>
      </c>
      <c r="G6053" s="112">
        <v>2</v>
      </c>
      <c r="H6053" s="112">
        <v>2</v>
      </c>
      <c r="I6053" s="112">
        <v>2</v>
      </c>
      <c r="J6053" s="112">
        <v>6</v>
      </c>
      <c r="K6053" s="112">
        <v>7</v>
      </c>
      <c r="L6053" s="112">
        <v>6</v>
      </c>
      <c r="M6053" s="112">
        <v>1</v>
      </c>
      <c r="N6053" s="112">
        <v>2</v>
      </c>
      <c r="O6053" s="112">
        <v>1</v>
      </c>
    </row>
    <row r="6054" spans="1:15" x14ac:dyDescent="0.2">
      <c r="A6054" s="111">
        <v>6204</v>
      </c>
      <c r="B6054" s="421" t="s">
        <v>6850</v>
      </c>
      <c r="C6054" s="421" t="s">
        <v>516</v>
      </c>
      <c r="D6054" s="422" t="s">
        <v>666</v>
      </c>
      <c r="F6054" s="421" t="s">
        <v>11390</v>
      </c>
      <c r="G6054" s="112">
        <v>1</v>
      </c>
      <c r="H6054" s="112">
        <v>1</v>
      </c>
      <c r="I6054" s="112">
        <v>1</v>
      </c>
    </row>
    <row r="6055" spans="1:15" x14ac:dyDescent="0.2">
      <c r="A6055" s="111">
        <v>6205</v>
      </c>
      <c r="B6055" s="421" t="s">
        <v>11391</v>
      </c>
      <c r="C6055" s="421" t="s">
        <v>501</v>
      </c>
      <c r="D6055" s="422" t="s">
        <v>663</v>
      </c>
      <c r="E6055" s="111">
        <v>16981</v>
      </c>
      <c r="F6055" s="421" t="s">
        <v>9502</v>
      </c>
      <c r="G6055" s="112">
        <v>1</v>
      </c>
      <c r="H6055" s="112">
        <v>1</v>
      </c>
      <c r="I6055" s="112">
        <v>1</v>
      </c>
      <c r="J6055" s="112">
        <v>1</v>
      </c>
      <c r="K6055" s="112">
        <v>2</v>
      </c>
      <c r="L6055" s="112">
        <v>3</v>
      </c>
    </row>
    <row r="6056" spans="1:15" x14ac:dyDescent="0.2">
      <c r="A6056" s="111">
        <v>6207</v>
      </c>
      <c r="B6056" s="421" t="s">
        <v>1954</v>
      </c>
      <c r="C6056" s="421" t="s">
        <v>530</v>
      </c>
      <c r="D6056" s="422" t="s">
        <v>663</v>
      </c>
      <c r="E6056" s="111">
        <v>44161</v>
      </c>
      <c r="F6056" s="421" t="s">
        <v>11392</v>
      </c>
      <c r="G6056" s="112">
        <v>1</v>
      </c>
      <c r="H6056" s="112">
        <v>1</v>
      </c>
      <c r="I6056" s="112">
        <v>1</v>
      </c>
      <c r="J6056" s="112">
        <v>1</v>
      </c>
      <c r="K6056" s="112">
        <v>1</v>
      </c>
      <c r="L6056" s="112">
        <v>1</v>
      </c>
      <c r="M6056" s="112">
        <v>1</v>
      </c>
    </row>
    <row r="6057" spans="1:15" x14ac:dyDescent="0.2">
      <c r="A6057" s="111">
        <v>6208</v>
      </c>
      <c r="B6057" s="421" t="s">
        <v>10276</v>
      </c>
      <c r="C6057" s="421" t="s">
        <v>501</v>
      </c>
      <c r="D6057" s="422" t="s">
        <v>663</v>
      </c>
      <c r="E6057" s="111">
        <v>15394</v>
      </c>
      <c r="F6057" s="421" t="s">
        <v>3413</v>
      </c>
      <c r="G6057" s="112">
        <v>3</v>
      </c>
      <c r="H6057" s="112">
        <v>4</v>
      </c>
      <c r="I6057" s="112">
        <v>2</v>
      </c>
      <c r="J6057" s="112">
        <v>2</v>
      </c>
      <c r="K6057" s="112">
        <v>2</v>
      </c>
    </row>
    <row r="6058" spans="1:15" x14ac:dyDescent="0.2">
      <c r="A6058" s="111">
        <v>6209</v>
      </c>
      <c r="B6058" s="421" t="s">
        <v>2219</v>
      </c>
      <c r="C6058" s="421" t="s">
        <v>503</v>
      </c>
      <c r="D6058" s="422" t="s">
        <v>663</v>
      </c>
      <c r="E6058" s="111">
        <v>16143</v>
      </c>
      <c r="F6058" s="421" t="s">
        <v>6516</v>
      </c>
      <c r="G6058" s="112">
        <v>1</v>
      </c>
      <c r="H6058" s="112">
        <v>1</v>
      </c>
      <c r="I6058" s="112">
        <v>1</v>
      </c>
      <c r="J6058" s="112">
        <v>2</v>
      </c>
      <c r="K6058" s="112">
        <v>5</v>
      </c>
      <c r="L6058" s="112">
        <v>3</v>
      </c>
    </row>
    <row r="6059" spans="1:15" x14ac:dyDescent="0.2">
      <c r="A6059" s="111">
        <v>6211</v>
      </c>
      <c r="B6059" s="421" t="s">
        <v>11149</v>
      </c>
      <c r="C6059" s="421" t="s">
        <v>501</v>
      </c>
      <c r="D6059" s="422" t="s">
        <v>666</v>
      </c>
      <c r="E6059" s="111">
        <v>14829</v>
      </c>
      <c r="F6059" s="421" t="s">
        <v>8395</v>
      </c>
    </row>
    <row r="6060" spans="1:15" x14ac:dyDescent="0.2">
      <c r="A6060" s="111">
        <v>6212</v>
      </c>
      <c r="B6060" s="421" t="s">
        <v>34</v>
      </c>
      <c r="C6060" s="421" t="s">
        <v>518</v>
      </c>
      <c r="D6060" s="422" t="s">
        <v>663</v>
      </c>
      <c r="F6060" s="421" t="s">
        <v>11393</v>
      </c>
      <c r="G6060" s="112">
        <v>1</v>
      </c>
      <c r="H6060" s="112">
        <v>1</v>
      </c>
    </row>
    <row r="6061" spans="1:15" x14ac:dyDescent="0.2">
      <c r="A6061" s="111">
        <v>6213</v>
      </c>
      <c r="B6061" s="421" t="s">
        <v>11394</v>
      </c>
      <c r="C6061" s="421" t="s">
        <v>509</v>
      </c>
      <c r="D6061" s="422" t="s">
        <v>663</v>
      </c>
      <c r="E6061" s="111">
        <v>16599</v>
      </c>
      <c r="F6061" s="421" t="s">
        <v>7947</v>
      </c>
      <c r="G6061" s="112">
        <v>4</v>
      </c>
      <c r="H6061" s="112">
        <v>3</v>
      </c>
      <c r="I6061" s="112">
        <v>2</v>
      </c>
      <c r="J6061" s="112">
        <v>1</v>
      </c>
      <c r="K6061" s="112">
        <v>3</v>
      </c>
      <c r="L6061" s="112">
        <v>2</v>
      </c>
    </row>
    <row r="6062" spans="1:15" x14ac:dyDescent="0.2">
      <c r="A6062" s="111">
        <v>6214</v>
      </c>
      <c r="B6062" s="421" t="s">
        <v>284</v>
      </c>
      <c r="C6062" s="421" t="s">
        <v>521</v>
      </c>
      <c r="D6062" s="422" t="s">
        <v>663</v>
      </c>
      <c r="E6062" s="111">
        <v>44163</v>
      </c>
      <c r="F6062" s="421" t="s">
        <v>2544</v>
      </c>
      <c r="G6062" s="112">
        <v>1</v>
      </c>
      <c r="H6062" s="112">
        <v>1</v>
      </c>
      <c r="I6062" s="112">
        <v>1</v>
      </c>
      <c r="J6062" s="112">
        <v>1</v>
      </c>
      <c r="K6062" s="112">
        <v>1</v>
      </c>
      <c r="L6062" s="112">
        <v>1</v>
      </c>
    </row>
    <row r="6063" spans="1:15" x14ac:dyDescent="0.2">
      <c r="A6063" s="111">
        <v>6215</v>
      </c>
      <c r="B6063" s="421" t="s">
        <v>465</v>
      </c>
      <c r="C6063" s="421" t="s">
        <v>504</v>
      </c>
      <c r="D6063" s="422" t="s">
        <v>663</v>
      </c>
      <c r="E6063" s="111">
        <v>44362</v>
      </c>
      <c r="F6063" s="421" t="s">
        <v>11395</v>
      </c>
      <c r="G6063" s="112">
        <v>1</v>
      </c>
      <c r="H6063" s="112">
        <v>1</v>
      </c>
      <c r="I6063" s="112">
        <v>1</v>
      </c>
      <c r="J6063" s="112">
        <v>1</v>
      </c>
      <c r="K6063" s="112">
        <v>4</v>
      </c>
      <c r="L6063" s="112">
        <v>3</v>
      </c>
    </row>
    <row r="6064" spans="1:15" x14ac:dyDescent="0.2">
      <c r="A6064" s="111">
        <v>6216</v>
      </c>
      <c r="B6064" s="421" t="s">
        <v>11396</v>
      </c>
      <c r="C6064" s="421" t="s">
        <v>518</v>
      </c>
      <c r="D6064" s="422" t="s">
        <v>663</v>
      </c>
      <c r="E6064" s="111">
        <v>44164</v>
      </c>
      <c r="F6064" s="421" t="s">
        <v>11397</v>
      </c>
      <c r="G6064" s="112">
        <v>1</v>
      </c>
      <c r="H6064" s="112">
        <v>1</v>
      </c>
      <c r="I6064" s="112">
        <v>1</v>
      </c>
    </row>
    <row r="6065" spans="1:14" x14ac:dyDescent="0.2">
      <c r="A6065" s="111">
        <v>6217</v>
      </c>
      <c r="B6065" s="421" t="s">
        <v>246</v>
      </c>
      <c r="C6065" s="421" t="s">
        <v>516</v>
      </c>
      <c r="D6065" s="422" t="s">
        <v>663</v>
      </c>
      <c r="E6065" s="111">
        <v>44165</v>
      </c>
      <c r="F6065" s="421" t="s">
        <v>11398</v>
      </c>
      <c r="G6065" s="112">
        <v>1</v>
      </c>
      <c r="H6065" s="112">
        <v>1</v>
      </c>
      <c r="I6065" s="112">
        <v>1</v>
      </c>
      <c r="J6065" s="112">
        <v>2</v>
      </c>
      <c r="K6065" s="112">
        <v>1</v>
      </c>
      <c r="L6065" s="112">
        <v>2</v>
      </c>
    </row>
    <row r="6066" spans="1:14" x14ac:dyDescent="0.2">
      <c r="A6066" s="111">
        <v>6219</v>
      </c>
      <c r="B6066" s="421" t="s">
        <v>11399</v>
      </c>
      <c r="C6066" s="421" t="s">
        <v>1201</v>
      </c>
      <c r="D6066" s="422" t="s">
        <v>663</v>
      </c>
      <c r="E6066" s="111">
        <v>16624</v>
      </c>
      <c r="F6066" s="421" t="s">
        <v>8032</v>
      </c>
      <c r="G6066" s="112">
        <v>1</v>
      </c>
      <c r="H6066" s="112">
        <v>1</v>
      </c>
      <c r="I6066" s="112">
        <v>1</v>
      </c>
    </row>
    <row r="6067" spans="1:14" x14ac:dyDescent="0.2">
      <c r="A6067" s="111">
        <v>6220</v>
      </c>
      <c r="B6067" s="421" t="s">
        <v>11400</v>
      </c>
      <c r="C6067" s="421" t="s">
        <v>551</v>
      </c>
      <c r="D6067" s="422" t="s">
        <v>663</v>
      </c>
      <c r="F6067" s="421" t="s">
        <v>5710</v>
      </c>
    </row>
    <row r="6068" spans="1:14" x14ac:dyDescent="0.2">
      <c r="A6068" s="111">
        <v>6221</v>
      </c>
      <c r="B6068" s="421" t="s">
        <v>131</v>
      </c>
      <c r="C6068" s="421" t="s">
        <v>533</v>
      </c>
      <c r="D6068" s="422" t="s">
        <v>663</v>
      </c>
      <c r="E6068" s="111">
        <v>44166</v>
      </c>
      <c r="F6068" s="421" t="s">
        <v>11401</v>
      </c>
    </row>
    <row r="6069" spans="1:14" x14ac:dyDescent="0.2">
      <c r="A6069" s="111">
        <v>6222</v>
      </c>
      <c r="B6069" s="421" t="s">
        <v>2575</v>
      </c>
      <c r="C6069" s="421" t="s">
        <v>506</v>
      </c>
      <c r="D6069" s="422" t="s">
        <v>663</v>
      </c>
      <c r="E6069" s="111">
        <v>44167</v>
      </c>
      <c r="F6069" s="421" t="s">
        <v>11452</v>
      </c>
      <c r="G6069" s="112">
        <v>1</v>
      </c>
      <c r="H6069" s="112">
        <v>1</v>
      </c>
      <c r="I6069" s="112">
        <v>1</v>
      </c>
      <c r="L6069" s="112">
        <v>1</v>
      </c>
    </row>
    <row r="6070" spans="1:14" x14ac:dyDescent="0.2">
      <c r="A6070" s="111">
        <v>6223</v>
      </c>
      <c r="B6070" s="421" t="s">
        <v>11453</v>
      </c>
      <c r="C6070" s="421" t="s">
        <v>516</v>
      </c>
      <c r="D6070" s="422" t="s">
        <v>663</v>
      </c>
      <c r="E6070" s="111">
        <v>16661</v>
      </c>
      <c r="F6070" s="421" t="s">
        <v>8198</v>
      </c>
      <c r="G6070" s="112">
        <v>1</v>
      </c>
      <c r="H6070" s="112">
        <v>2</v>
      </c>
    </row>
    <row r="6071" spans="1:14" x14ac:dyDescent="0.2">
      <c r="A6071" s="111">
        <v>6224</v>
      </c>
      <c r="B6071" s="421" t="s">
        <v>5360</v>
      </c>
      <c r="C6071" s="421" t="s">
        <v>1817</v>
      </c>
      <c r="D6071" s="422" t="s">
        <v>666</v>
      </c>
      <c r="F6071" s="421" t="s">
        <v>6598</v>
      </c>
      <c r="G6071" s="112">
        <v>1</v>
      </c>
      <c r="H6071" s="112">
        <v>1</v>
      </c>
    </row>
    <row r="6072" spans="1:14" x14ac:dyDescent="0.2">
      <c r="A6072" s="111">
        <v>6225</v>
      </c>
      <c r="B6072" s="421" t="s">
        <v>11454</v>
      </c>
      <c r="C6072" s="421" t="s">
        <v>511</v>
      </c>
      <c r="D6072" s="422" t="s">
        <v>663</v>
      </c>
      <c r="E6072" s="111">
        <v>44168</v>
      </c>
      <c r="F6072" s="421" t="s">
        <v>11455</v>
      </c>
      <c r="G6072" s="112">
        <v>1</v>
      </c>
      <c r="H6072" s="112">
        <v>1</v>
      </c>
      <c r="I6072" s="112">
        <v>1</v>
      </c>
      <c r="J6072" s="112">
        <v>1</v>
      </c>
    </row>
    <row r="6073" spans="1:14" x14ac:dyDescent="0.2">
      <c r="A6073" s="111">
        <v>6226</v>
      </c>
      <c r="B6073" s="421" t="s">
        <v>6472</v>
      </c>
      <c r="C6073" s="421" t="s">
        <v>534</v>
      </c>
      <c r="D6073" s="422" t="s">
        <v>666</v>
      </c>
      <c r="E6073" s="111">
        <v>44169</v>
      </c>
      <c r="F6073" s="421" t="s">
        <v>11456</v>
      </c>
      <c r="G6073" s="112">
        <v>5</v>
      </c>
      <c r="H6073" s="112">
        <v>4</v>
      </c>
      <c r="I6073" s="112">
        <v>4</v>
      </c>
      <c r="J6073" s="112">
        <v>2</v>
      </c>
      <c r="K6073" s="112">
        <v>1</v>
      </c>
      <c r="L6073" s="112">
        <v>1</v>
      </c>
    </row>
    <row r="6074" spans="1:14" x14ac:dyDescent="0.2">
      <c r="A6074" s="111">
        <v>6227</v>
      </c>
      <c r="B6074" s="421" t="s">
        <v>430</v>
      </c>
      <c r="C6074" s="421" t="s">
        <v>514</v>
      </c>
      <c r="D6074" s="422" t="s">
        <v>666</v>
      </c>
      <c r="E6074" s="111">
        <v>44170</v>
      </c>
      <c r="F6074" s="421" t="s">
        <v>11457</v>
      </c>
      <c r="G6074" s="112">
        <v>1</v>
      </c>
      <c r="H6074" s="112">
        <v>2</v>
      </c>
      <c r="I6074" s="112">
        <v>2</v>
      </c>
    </row>
    <row r="6075" spans="1:14" x14ac:dyDescent="0.2">
      <c r="A6075" s="111">
        <v>6228</v>
      </c>
      <c r="B6075" s="421" t="s">
        <v>11458</v>
      </c>
      <c r="C6075" s="421" t="s">
        <v>502</v>
      </c>
      <c r="D6075" s="422" t="s">
        <v>663</v>
      </c>
      <c r="E6075" s="111">
        <v>14189</v>
      </c>
      <c r="F6075" s="421" t="s">
        <v>672</v>
      </c>
      <c r="G6075" s="112">
        <v>1</v>
      </c>
      <c r="H6075" s="112">
        <v>1</v>
      </c>
      <c r="I6075" s="112">
        <v>1</v>
      </c>
      <c r="J6075" s="112">
        <v>5</v>
      </c>
      <c r="K6075" s="112">
        <v>1</v>
      </c>
      <c r="L6075" s="112">
        <v>4</v>
      </c>
    </row>
    <row r="6076" spans="1:14" x14ac:dyDescent="0.2">
      <c r="A6076" s="111">
        <v>6229</v>
      </c>
      <c r="B6076" s="421" t="s">
        <v>1206</v>
      </c>
      <c r="C6076" s="421" t="s">
        <v>530</v>
      </c>
      <c r="D6076" s="422" t="s">
        <v>663</v>
      </c>
      <c r="E6076" s="111">
        <v>44171</v>
      </c>
      <c r="F6076" s="421" t="s">
        <v>11459</v>
      </c>
      <c r="G6076" s="112">
        <v>1</v>
      </c>
      <c r="H6076" s="112">
        <v>1</v>
      </c>
      <c r="I6076" s="112">
        <v>1</v>
      </c>
      <c r="J6076" s="112">
        <v>1</v>
      </c>
      <c r="K6076" s="112">
        <v>2</v>
      </c>
      <c r="L6076" s="112">
        <v>1</v>
      </c>
      <c r="M6076" s="112">
        <v>1</v>
      </c>
      <c r="N6076" s="112">
        <v>1</v>
      </c>
    </row>
    <row r="6077" spans="1:14" x14ac:dyDescent="0.2">
      <c r="A6077" s="111">
        <v>6230</v>
      </c>
      <c r="B6077" s="421" t="s">
        <v>1530</v>
      </c>
      <c r="C6077" s="421" t="s">
        <v>501</v>
      </c>
      <c r="D6077" s="422" t="s">
        <v>666</v>
      </c>
      <c r="E6077" s="111">
        <v>44172</v>
      </c>
      <c r="F6077" s="421" t="s">
        <v>11460</v>
      </c>
      <c r="G6077" s="112">
        <v>1</v>
      </c>
      <c r="H6077" s="112">
        <v>1</v>
      </c>
      <c r="I6077" s="112">
        <v>1</v>
      </c>
      <c r="J6077" s="112">
        <v>2</v>
      </c>
      <c r="K6077" s="112">
        <v>1</v>
      </c>
      <c r="L6077" s="112">
        <v>1</v>
      </c>
    </row>
    <row r="6078" spans="1:14" x14ac:dyDescent="0.2">
      <c r="A6078" s="111">
        <v>6231</v>
      </c>
      <c r="B6078" s="421" t="s">
        <v>11461</v>
      </c>
      <c r="C6078" s="421" t="s">
        <v>530</v>
      </c>
      <c r="D6078" s="422" t="s">
        <v>666</v>
      </c>
      <c r="E6078" s="111">
        <v>17185</v>
      </c>
      <c r="F6078" s="421" t="s">
        <v>10225</v>
      </c>
    </row>
    <row r="6079" spans="1:14" x14ac:dyDescent="0.2">
      <c r="A6079" s="111">
        <v>6232</v>
      </c>
      <c r="B6079" s="421" t="s">
        <v>11462</v>
      </c>
      <c r="C6079" s="421" t="s">
        <v>513</v>
      </c>
      <c r="D6079" s="422" t="s">
        <v>663</v>
      </c>
      <c r="E6079" s="111">
        <v>44173</v>
      </c>
      <c r="F6079" s="421" t="s">
        <v>11463</v>
      </c>
    </row>
    <row r="6080" spans="1:14" x14ac:dyDescent="0.2">
      <c r="A6080" s="111">
        <v>6233</v>
      </c>
      <c r="B6080" s="421" t="s">
        <v>397</v>
      </c>
      <c r="C6080" s="421" t="s">
        <v>510</v>
      </c>
      <c r="D6080" s="422" t="s">
        <v>666</v>
      </c>
      <c r="E6080" s="111">
        <v>16845</v>
      </c>
      <c r="F6080" s="421" t="s">
        <v>9139</v>
      </c>
      <c r="G6080" s="112">
        <v>1</v>
      </c>
      <c r="H6080" s="112">
        <v>1</v>
      </c>
      <c r="I6080" s="112">
        <v>1</v>
      </c>
    </row>
    <row r="6081" spans="1:15" x14ac:dyDescent="0.2">
      <c r="A6081" s="111">
        <v>6234</v>
      </c>
      <c r="B6081" s="421" t="s">
        <v>6553</v>
      </c>
      <c r="C6081" s="421" t="s">
        <v>533</v>
      </c>
      <c r="D6081" s="422" t="s">
        <v>663</v>
      </c>
      <c r="E6081" s="111">
        <v>44174</v>
      </c>
      <c r="F6081" s="421" t="s">
        <v>11464</v>
      </c>
      <c r="G6081" s="112">
        <v>1</v>
      </c>
      <c r="H6081" s="112">
        <v>1</v>
      </c>
      <c r="I6081" s="112">
        <v>1</v>
      </c>
    </row>
    <row r="6082" spans="1:15" x14ac:dyDescent="0.2">
      <c r="A6082" s="111">
        <v>6235</v>
      </c>
      <c r="B6082" s="421" t="s">
        <v>241</v>
      </c>
      <c r="C6082" s="421" t="s">
        <v>6996</v>
      </c>
      <c r="D6082" s="422" t="s">
        <v>666</v>
      </c>
      <c r="E6082" s="111">
        <v>44175</v>
      </c>
      <c r="F6082" s="421" t="s">
        <v>11465</v>
      </c>
    </row>
    <row r="6083" spans="1:15" x14ac:dyDescent="0.2">
      <c r="A6083" s="111">
        <v>6236</v>
      </c>
      <c r="B6083" s="421" t="s">
        <v>11466</v>
      </c>
      <c r="C6083" s="421" t="s">
        <v>591</v>
      </c>
      <c r="D6083" s="422" t="s">
        <v>663</v>
      </c>
      <c r="E6083" s="111">
        <v>16352</v>
      </c>
      <c r="F6083" s="421" t="s">
        <v>7231</v>
      </c>
      <c r="G6083" s="112">
        <v>1</v>
      </c>
      <c r="H6083" s="112">
        <v>1</v>
      </c>
    </row>
    <row r="6084" spans="1:15" x14ac:dyDescent="0.2">
      <c r="A6084" s="111">
        <v>6237</v>
      </c>
      <c r="B6084" s="421" t="s">
        <v>1431</v>
      </c>
      <c r="C6084" s="421" t="s">
        <v>544</v>
      </c>
      <c r="D6084" s="422" t="s">
        <v>663</v>
      </c>
      <c r="E6084" s="111">
        <v>14344</v>
      </c>
      <c r="F6084" s="421" t="s">
        <v>1807</v>
      </c>
    </row>
    <row r="6085" spans="1:15" x14ac:dyDescent="0.2">
      <c r="A6085" s="111">
        <v>6238</v>
      </c>
      <c r="B6085" s="421" t="s">
        <v>8019</v>
      </c>
      <c r="C6085" s="421" t="s">
        <v>503</v>
      </c>
      <c r="D6085" s="422" t="s">
        <v>663</v>
      </c>
      <c r="E6085" s="111">
        <v>44137</v>
      </c>
      <c r="F6085" s="421" t="s">
        <v>11467</v>
      </c>
      <c r="G6085" s="112">
        <v>2</v>
      </c>
      <c r="H6085" s="112">
        <v>1</v>
      </c>
      <c r="I6085" s="112">
        <v>1</v>
      </c>
    </row>
    <row r="6086" spans="1:15" x14ac:dyDescent="0.2">
      <c r="A6086" s="111">
        <v>6239</v>
      </c>
      <c r="B6086" s="421" t="s">
        <v>9736</v>
      </c>
      <c r="C6086" s="421" t="s">
        <v>506</v>
      </c>
      <c r="D6086" s="422" t="s">
        <v>663</v>
      </c>
      <c r="F6086" s="421" t="s">
        <v>8649</v>
      </c>
      <c r="G6086" s="112">
        <v>1</v>
      </c>
      <c r="H6086" s="112">
        <v>1</v>
      </c>
      <c r="I6086" s="112">
        <v>1</v>
      </c>
      <c r="J6086" s="112">
        <v>1</v>
      </c>
    </row>
    <row r="6087" spans="1:15" x14ac:dyDescent="0.2">
      <c r="A6087" s="111">
        <v>6240</v>
      </c>
      <c r="B6087" s="421" t="s">
        <v>468</v>
      </c>
      <c r="C6087" s="421" t="s">
        <v>513</v>
      </c>
      <c r="D6087" s="422" t="s">
        <v>663</v>
      </c>
      <c r="E6087" s="111">
        <v>44173</v>
      </c>
      <c r="F6087" s="421" t="s">
        <v>11463</v>
      </c>
      <c r="G6087" s="112">
        <v>1</v>
      </c>
      <c r="H6087" s="112">
        <v>1</v>
      </c>
      <c r="I6087" s="112">
        <v>1</v>
      </c>
      <c r="J6087" s="112">
        <v>5</v>
      </c>
      <c r="K6087" s="112">
        <v>3</v>
      </c>
      <c r="L6087" s="112">
        <v>1</v>
      </c>
    </row>
    <row r="6088" spans="1:15" x14ac:dyDescent="0.2">
      <c r="A6088" s="111">
        <v>6241</v>
      </c>
      <c r="B6088" s="421" t="s">
        <v>5035</v>
      </c>
      <c r="C6088" s="421" t="s">
        <v>628</v>
      </c>
      <c r="D6088" s="422" t="s">
        <v>666</v>
      </c>
      <c r="F6088" s="421" t="s">
        <v>11468</v>
      </c>
    </row>
    <row r="6089" spans="1:15" x14ac:dyDescent="0.2">
      <c r="A6089" s="111">
        <v>6242</v>
      </c>
      <c r="B6089" s="421" t="s">
        <v>301</v>
      </c>
      <c r="C6089" s="421" t="s">
        <v>628</v>
      </c>
      <c r="D6089" s="422" t="s">
        <v>666</v>
      </c>
      <c r="F6089" s="421" t="s">
        <v>11468</v>
      </c>
    </row>
    <row r="6090" spans="1:15" x14ac:dyDescent="0.2">
      <c r="A6090" s="111">
        <v>6243</v>
      </c>
      <c r="B6090" s="421" t="s">
        <v>4518</v>
      </c>
      <c r="C6090" s="421" t="s">
        <v>4162</v>
      </c>
      <c r="D6090" s="422" t="s">
        <v>663</v>
      </c>
      <c r="E6090" s="111">
        <v>14616</v>
      </c>
      <c r="F6090" s="421" t="s">
        <v>1902</v>
      </c>
      <c r="G6090" s="112">
        <v>1</v>
      </c>
      <c r="H6090" s="112">
        <v>1</v>
      </c>
      <c r="I6090" s="112">
        <v>1</v>
      </c>
      <c r="J6090" s="112">
        <v>5</v>
      </c>
      <c r="K6090" s="112">
        <v>5</v>
      </c>
      <c r="L6090" s="112">
        <v>4</v>
      </c>
      <c r="M6090" s="112">
        <v>1</v>
      </c>
      <c r="N6090" s="112">
        <v>1</v>
      </c>
      <c r="O6090" s="112">
        <v>1</v>
      </c>
    </row>
    <row r="6091" spans="1:15" x14ac:dyDescent="0.2">
      <c r="A6091" s="111">
        <v>6244</v>
      </c>
      <c r="B6091" s="421" t="s">
        <v>10625</v>
      </c>
      <c r="C6091" s="421" t="s">
        <v>509</v>
      </c>
      <c r="D6091" s="422" t="s">
        <v>663</v>
      </c>
      <c r="E6091" s="111">
        <v>44162</v>
      </c>
      <c r="F6091" s="421" t="s">
        <v>11469</v>
      </c>
      <c r="G6091" s="112">
        <v>1</v>
      </c>
      <c r="H6091" s="112">
        <v>1</v>
      </c>
      <c r="I6091" s="112">
        <v>1</v>
      </c>
      <c r="J6091" s="112">
        <v>2</v>
      </c>
      <c r="K6091" s="112">
        <v>1</v>
      </c>
      <c r="L6091" s="112">
        <v>1</v>
      </c>
    </row>
    <row r="6092" spans="1:15" x14ac:dyDescent="0.2">
      <c r="A6092" s="111">
        <v>6245</v>
      </c>
      <c r="B6092" s="421" t="s">
        <v>11517</v>
      </c>
      <c r="C6092" s="421" t="s">
        <v>510</v>
      </c>
      <c r="D6092" s="422" t="s">
        <v>666</v>
      </c>
      <c r="E6092" s="111">
        <v>44177</v>
      </c>
      <c r="F6092" s="421" t="s">
        <v>11518</v>
      </c>
      <c r="G6092" s="112">
        <v>2</v>
      </c>
      <c r="H6092" s="112">
        <v>2</v>
      </c>
      <c r="I6092" s="112">
        <v>2</v>
      </c>
    </row>
    <row r="6093" spans="1:15" x14ac:dyDescent="0.2">
      <c r="A6093" s="111">
        <v>6246</v>
      </c>
      <c r="B6093" s="421" t="s">
        <v>4205</v>
      </c>
      <c r="C6093" s="421" t="s">
        <v>551</v>
      </c>
      <c r="D6093" s="422" t="s">
        <v>663</v>
      </c>
      <c r="E6093" s="111">
        <v>44178</v>
      </c>
      <c r="F6093" s="421" t="s">
        <v>11519</v>
      </c>
      <c r="G6093" s="112">
        <v>1</v>
      </c>
      <c r="H6093" s="112">
        <v>1</v>
      </c>
      <c r="I6093" s="112">
        <v>1</v>
      </c>
      <c r="J6093" s="112">
        <v>3</v>
      </c>
      <c r="K6093" s="112">
        <v>3</v>
      </c>
      <c r="L6093" s="112">
        <v>3</v>
      </c>
      <c r="M6093" s="112">
        <v>2</v>
      </c>
      <c r="N6093" s="112">
        <v>2</v>
      </c>
      <c r="O6093" s="112">
        <v>2</v>
      </c>
    </row>
    <row r="6094" spans="1:15" x14ac:dyDescent="0.2">
      <c r="A6094" s="111">
        <v>6247</v>
      </c>
      <c r="B6094" s="421" t="s">
        <v>78</v>
      </c>
      <c r="C6094" s="421" t="s">
        <v>518</v>
      </c>
      <c r="D6094" s="422" t="s">
        <v>666</v>
      </c>
      <c r="E6094" s="111">
        <v>44160</v>
      </c>
      <c r="F6094" s="421" t="s">
        <v>11520</v>
      </c>
      <c r="G6094" s="112">
        <v>1</v>
      </c>
      <c r="H6094" s="112">
        <v>1</v>
      </c>
      <c r="I6094" s="112">
        <v>1</v>
      </c>
      <c r="K6094" s="112">
        <v>1</v>
      </c>
      <c r="L6094" s="112">
        <v>1</v>
      </c>
    </row>
    <row r="6095" spans="1:15" x14ac:dyDescent="0.2">
      <c r="A6095" s="111">
        <v>6248</v>
      </c>
      <c r="B6095" s="421" t="s">
        <v>9750</v>
      </c>
      <c r="C6095" s="421" t="s">
        <v>501</v>
      </c>
      <c r="D6095" s="422" t="s">
        <v>663</v>
      </c>
      <c r="E6095" s="111">
        <v>17034</v>
      </c>
      <c r="F6095" s="421" t="s">
        <v>9786</v>
      </c>
    </row>
    <row r="6096" spans="1:15" x14ac:dyDescent="0.2">
      <c r="A6096" s="111">
        <v>6249</v>
      </c>
      <c r="B6096" s="421" t="s">
        <v>11521</v>
      </c>
      <c r="C6096" s="421" t="s">
        <v>533</v>
      </c>
      <c r="D6096" s="422" t="s">
        <v>663</v>
      </c>
      <c r="F6096" s="421" t="s">
        <v>11522</v>
      </c>
      <c r="G6096" s="112">
        <v>1</v>
      </c>
      <c r="H6096" s="112">
        <v>1</v>
      </c>
      <c r="I6096" s="112">
        <v>1</v>
      </c>
      <c r="K6096" s="112">
        <v>1</v>
      </c>
    </row>
    <row r="6097" spans="1:15" x14ac:dyDescent="0.2">
      <c r="A6097" s="111">
        <v>6250</v>
      </c>
      <c r="B6097" s="421" t="s">
        <v>11523</v>
      </c>
      <c r="C6097" s="421" t="s">
        <v>533</v>
      </c>
      <c r="D6097" s="422" t="s">
        <v>666</v>
      </c>
      <c r="F6097" s="421" t="s">
        <v>11522</v>
      </c>
      <c r="H6097" s="112">
        <v>1</v>
      </c>
      <c r="I6097" s="112">
        <v>1</v>
      </c>
    </row>
    <row r="6098" spans="1:15" x14ac:dyDescent="0.2">
      <c r="A6098" s="111">
        <v>6251</v>
      </c>
      <c r="B6098" s="421" t="s">
        <v>7895</v>
      </c>
      <c r="C6098" s="421" t="s">
        <v>503</v>
      </c>
      <c r="D6098" s="422" t="s">
        <v>666</v>
      </c>
      <c r="E6098" s="111">
        <v>15174</v>
      </c>
      <c r="F6098" s="421" t="s">
        <v>3345</v>
      </c>
      <c r="G6098" s="112">
        <v>2</v>
      </c>
      <c r="H6098" s="112">
        <v>1</v>
      </c>
      <c r="I6098" s="112">
        <v>1</v>
      </c>
      <c r="J6098" s="112">
        <v>4</v>
      </c>
      <c r="K6098" s="112">
        <v>4</v>
      </c>
      <c r="L6098" s="112">
        <v>3</v>
      </c>
      <c r="M6098" s="112">
        <v>1</v>
      </c>
    </row>
    <row r="6099" spans="1:15" x14ac:dyDescent="0.2">
      <c r="A6099" s="111">
        <v>6252</v>
      </c>
      <c r="B6099" s="421" t="s">
        <v>6051</v>
      </c>
      <c r="C6099" s="421" t="s">
        <v>522</v>
      </c>
      <c r="D6099" s="422" t="s">
        <v>663</v>
      </c>
      <c r="E6099" s="111">
        <v>44179</v>
      </c>
      <c r="F6099" s="421" t="s">
        <v>11524</v>
      </c>
      <c r="G6099" s="112">
        <v>2</v>
      </c>
      <c r="H6099" s="112">
        <v>2</v>
      </c>
      <c r="I6099" s="112">
        <v>2</v>
      </c>
      <c r="J6099" s="112">
        <v>7</v>
      </c>
      <c r="K6099" s="112">
        <v>7</v>
      </c>
      <c r="L6099" s="112">
        <v>7</v>
      </c>
      <c r="M6099" s="112">
        <v>2</v>
      </c>
      <c r="O6099" s="112">
        <v>2</v>
      </c>
    </row>
    <row r="6100" spans="1:15" x14ac:dyDescent="0.2">
      <c r="A6100" s="111">
        <v>6253</v>
      </c>
      <c r="B6100" s="421" t="s">
        <v>11525</v>
      </c>
      <c r="C6100" s="421" t="s">
        <v>1625</v>
      </c>
      <c r="D6100" s="422" t="s">
        <v>666</v>
      </c>
      <c r="E6100" s="111">
        <v>14984</v>
      </c>
      <c r="F6100" s="421" t="s">
        <v>2864</v>
      </c>
      <c r="G6100" s="112">
        <v>1</v>
      </c>
      <c r="H6100" s="112">
        <v>1</v>
      </c>
      <c r="I6100" s="112">
        <v>1</v>
      </c>
      <c r="J6100" s="112">
        <v>2</v>
      </c>
      <c r="K6100" s="112">
        <v>2</v>
      </c>
      <c r="L6100" s="112">
        <v>1</v>
      </c>
    </row>
    <row r="6101" spans="1:15" x14ac:dyDescent="0.2">
      <c r="A6101" s="111">
        <v>6254</v>
      </c>
      <c r="B6101" s="421" t="s">
        <v>11526</v>
      </c>
      <c r="C6101" s="421" t="s">
        <v>510</v>
      </c>
      <c r="D6101" s="422" t="s">
        <v>666</v>
      </c>
      <c r="E6101" s="111">
        <v>44181</v>
      </c>
      <c r="F6101" s="421" t="s">
        <v>3344</v>
      </c>
      <c r="G6101" s="112">
        <v>1</v>
      </c>
      <c r="H6101" s="112">
        <v>2</v>
      </c>
      <c r="I6101" s="112">
        <v>2</v>
      </c>
    </row>
    <row r="6102" spans="1:15" x14ac:dyDescent="0.2">
      <c r="A6102" s="111">
        <v>6255</v>
      </c>
      <c r="B6102" s="421" t="s">
        <v>182</v>
      </c>
      <c r="C6102" s="421" t="s">
        <v>501</v>
      </c>
      <c r="D6102" s="422" t="s">
        <v>666</v>
      </c>
      <c r="F6102" s="421" t="s">
        <v>11527</v>
      </c>
      <c r="G6102" s="112">
        <v>1</v>
      </c>
    </row>
    <row r="6103" spans="1:15" x14ac:dyDescent="0.2">
      <c r="A6103" s="111">
        <v>6256</v>
      </c>
      <c r="B6103" s="421" t="s">
        <v>8605</v>
      </c>
      <c r="C6103" s="421" t="s">
        <v>526</v>
      </c>
      <c r="D6103" s="422" t="s">
        <v>666</v>
      </c>
      <c r="E6103" s="111">
        <v>15069</v>
      </c>
      <c r="F6103" s="421" t="s">
        <v>969</v>
      </c>
      <c r="G6103" s="112">
        <v>1</v>
      </c>
      <c r="H6103" s="112">
        <v>1</v>
      </c>
      <c r="I6103" s="112">
        <v>1</v>
      </c>
      <c r="J6103" s="112">
        <v>7</v>
      </c>
      <c r="K6103" s="112">
        <v>4</v>
      </c>
      <c r="L6103" s="112">
        <v>3</v>
      </c>
      <c r="M6103" s="112">
        <v>4</v>
      </c>
      <c r="N6103" s="112">
        <v>1</v>
      </c>
    </row>
    <row r="6104" spans="1:15" x14ac:dyDescent="0.2">
      <c r="A6104" s="111">
        <v>6257</v>
      </c>
      <c r="B6104" s="421" t="s">
        <v>1933</v>
      </c>
      <c r="C6104" s="421" t="s">
        <v>523</v>
      </c>
      <c r="D6104" s="422" t="s">
        <v>663</v>
      </c>
      <c r="E6104" s="111">
        <v>16191</v>
      </c>
      <c r="F6104" s="421" t="s">
        <v>6593</v>
      </c>
      <c r="G6104" s="112">
        <v>1</v>
      </c>
    </row>
    <row r="6105" spans="1:15" x14ac:dyDescent="0.2">
      <c r="A6105" s="111">
        <v>6258</v>
      </c>
      <c r="B6105" s="421" t="s">
        <v>11558</v>
      </c>
      <c r="C6105" s="421" t="s">
        <v>2318</v>
      </c>
      <c r="D6105" s="422" t="s">
        <v>666</v>
      </c>
      <c r="E6105" s="111">
        <v>44186</v>
      </c>
      <c r="F6105" s="421" t="s">
        <v>11559</v>
      </c>
      <c r="G6105" s="112">
        <v>1</v>
      </c>
      <c r="H6105" s="112">
        <v>1</v>
      </c>
      <c r="I6105" s="112">
        <v>1</v>
      </c>
      <c r="J6105" s="112">
        <v>2</v>
      </c>
      <c r="K6105" s="112">
        <v>2</v>
      </c>
      <c r="L6105" s="112">
        <v>4</v>
      </c>
    </row>
    <row r="6106" spans="1:15" x14ac:dyDescent="0.2">
      <c r="A6106" s="111">
        <v>6259</v>
      </c>
      <c r="B6106" s="421" t="s">
        <v>3909</v>
      </c>
      <c r="C6106" s="421" t="s">
        <v>506</v>
      </c>
      <c r="D6106" s="422" t="s">
        <v>666</v>
      </c>
      <c r="E6106" s="111">
        <v>16678</v>
      </c>
      <c r="F6106" s="421" t="s">
        <v>8337</v>
      </c>
    </row>
    <row r="6107" spans="1:15" x14ac:dyDescent="0.2">
      <c r="A6107" s="111">
        <v>6260</v>
      </c>
      <c r="B6107" s="421" t="s">
        <v>6542</v>
      </c>
      <c r="C6107" s="421" t="s">
        <v>501</v>
      </c>
      <c r="D6107" s="422" t="s">
        <v>666</v>
      </c>
      <c r="E6107" s="111">
        <v>44180</v>
      </c>
      <c r="F6107" s="421" t="s">
        <v>11560</v>
      </c>
      <c r="G6107" s="112">
        <v>1</v>
      </c>
      <c r="H6107" s="112">
        <v>1</v>
      </c>
      <c r="I6107" s="112">
        <v>1</v>
      </c>
      <c r="J6107" s="112">
        <v>2</v>
      </c>
      <c r="L6107" s="112">
        <v>2</v>
      </c>
    </row>
    <row r="6108" spans="1:15" x14ac:dyDescent="0.2">
      <c r="A6108" s="111">
        <v>6262</v>
      </c>
      <c r="B6108" s="421" t="s">
        <v>11561</v>
      </c>
      <c r="C6108" s="421" t="s">
        <v>2470</v>
      </c>
      <c r="D6108" s="422" t="s">
        <v>663</v>
      </c>
      <c r="E6108" s="111">
        <v>44183</v>
      </c>
      <c r="F6108" s="421" t="s">
        <v>11562</v>
      </c>
      <c r="G6108" s="112">
        <v>1</v>
      </c>
      <c r="H6108" s="112">
        <v>1</v>
      </c>
      <c r="I6108" s="112">
        <v>1</v>
      </c>
      <c r="J6108" s="112">
        <v>1</v>
      </c>
      <c r="K6108" s="112">
        <v>1</v>
      </c>
      <c r="L6108" s="112">
        <v>1</v>
      </c>
    </row>
    <row r="6109" spans="1:15" x14ac:dyDescent="0.2">
      <c r="A6109" s="111">
        <v>6263</v>
      </c>
      <c r="B6109" s="421" t="s">
        <v>11563</v>
      </c>
      <c r="C6109" s="421" t="s">
        <v>522</v>
      </c>
      <c r="D6109" s="422" t="s">
        <v>663</v>
      </c>
      <c r="E6109" s="111">
        <v>44183</v>
      </c>
      <c r="F6109" s="421" t="s">
        <v>11562</v>
      </c>
      <c r="G6109" s="112">
        <v>1</v>
      </c>
      <c r="H6109" s="112">
        <v>1</v>
      </c>
    </row>
    <row r="6110" spans="1:15" x14ac:dyDescent="0.2">
      <c r="A6110" s="111">
        <v>6264</v>
      </c>
      <c r="B6110" s="421" t="s">
        <v>11564</v>
      </c>
      <c r="C6110" s="421" t="s">
        <v>11565</v>
      </c>
      <c r="D6110" s="422" t="s">
        <v>666</v>
      </c>
      <c r="E6110" s="111">
        <v>44185</v>
      </c>
      <c r="F6110" s="421" t="s">
        <v>11566</v>
      </c>
      <c r="G6110" s="112">
        <v>1</v>
      </c>
      <c r="H6110" s="112">
        <v>1</v>
      </c>
      <c r="I6110" s="112">
        <v>1</v>
      </c>
      <c r="J6110" s="112">
        <v>6</v>
      </c>
      <c r="K6110" s="112">
        <v>5</v>
      </c>
      <c r="L6110" s="112">
        <v>4</v>
      </c>
      <c r="M6110" s="112">
        <v>4</v>
      </c>
      <c r="N6110" s="112">
        <v>2</v>
      </c>
      <c r="O6110" s="112">
        <v>4</v>
      </c>
    </row>
    <row r="6111" spans="1:15" x14ac:dyDescent="0.2">
      <c r="A6111" s="111">
        <v>6265</v>
      </c>
      <c r="B6111" s="421" t="s">
        <v>266</v>
      </c>
      <c r="C6111" s="421" t="s">
        <v>574</v>
      </c>
      <c r="D6111" s="422" t="s">
        <v>663</v>
      </c>
      <c r="E6111" s="111">
        <v>16067</v>
      </c>
      <c r="F6111" s="421" t="s">
        <v>6295</v>
      </c>
      <c r="G6111" s="112">
        <v>2</v>
      </c>
      <c r="H6111" s="112">
        <v>1</v>
      </c>
      <c r="I6111" s="112">
        <v>1</v>
      </c>
    </row>
    <row r="6112" spans="1:15" x14ac:dyDescent="0.2">
      <c r="A6112" s="111">
        <v>6266</v>
      </c>
      <c r="B6112" s="421" t="s">
        <v>11567</v>
      </c>
      <c r="C6112" s="421" t="s">
        <v>516</v>
      </c>
      <c r="D6112" s="422" t="s">
        <v>663</v>
      </c>
      <c r="E6112" s="111">
        <v>16661</v>
      </c>
      <c r="F6112" s="421" t="s">
        <v>8198</v>
      </c>
      <c r="G6112" s="112">
        <v>1</v>
      </c>
      <c r="H6112" s="112">
        <v>1</v>
      </c>
      <c r="I6112" s="112">
        <v>1</v>
      </c>
    </row>
    <row r="6113" spans="1:15" x14ac:dyDescent="0.2">
      <c r="A6113" s="111">
        <v>6267</v>
      </c>
      <c r="B6113" s="421" t="s">
        <v>11568</v>
      </c>
      <c r="C6113" s="421" t="s">
        <v>521</v>
      </c>
      <c r="D6113" s="422" t="s">
        <v>666</v>
      </c>
      <c r="E6113" s="111">
        <v>1495</v>
      </c>
      <c r="F6113" s="421" t="s">
        <v>714</v>
      </c>
      <c r="G6113" s="112">
        <v>1</v>
      </c>
      <c r="H6113" s="112">
        <v>1</v>
      </c>
      <c r="I6113" s="112">
        <v>1</v>
      </c>
      <c r="J6113" s="112">
        <v>5</v>
      </c>
      <c r="K6113" s="112">
        <v>8</v>
      </c>
      <c r="L6113" s="112">
        <v>6</v>
      </c>
    </row>
    <row r="6114" spans="1:15" x14ac:dyDescent="0.2">
      <c r="A6114" s="111">
        <v>6268</v>
      </c>
      <c r="B6114" s="421" t="s">
        <v>1214</v>
      </c>
      <c r="C6114" s="421" t="s">
        <v>501</v>
      </c>
      <c r="D6114" s="422" t="s">
        <v>666</v>
      </c>
      <c r="E6114" s="111">
        <v>44188</v>
      </c>
      <c r="F6114" s="421" t="s">
        <v>11569</v>
      </c>
      <c r="G6114" s="112">
        <v>7</v>
      </c>
      <c r="H6114" s="112">
        <v>8</v>
      </c>
      <c r="I6114" s="112">
        <v>7</v>
      </c>
    </row>
    <row r="6115" spans="1:15" x14ac:dyDescent="0.2">
      <c r="A6115" s="111">
        <v>6269</v>
      </c>
      <c r="B6115" s="421" t="s">
        <v>5360</v>
      </c>
      <c r="C6115" s="421" t="s">
        <v>1817</v>
      </c>
      <c r="D6115" s="422" t="s">
        <v>666</v>
      </c>
      <c r="F6115" s="421" t="s">
        <v>6598</v>
      </c>
    </row>
    <row r="6116" spans="1:15" x14ac:dyDescent="0.2">
      <c r="A6116" s="111">
        <v>6270</v>
      </c>
      <c r="B6116" s="421" t="s">
        <v>390</v>
      </c>
      <c r="C6116" s="421" t="s">
        <v>516</v>
      </c>
      <c r="D6116" s="422" t="s">
        <v>666</v>
      </c>
      <c r="E6116" s="111">
        <v>44189</v>
      </c>
      <c r="F6116" s="421" t="s">
        <v>11570</v>
      </c>
    </row>
    <row r="6117" spans="1:15" x14ac:dyDescent="0.2">
      <c r="A6117" s="111">
        <v>6271</v>
      </c>
      <c r="B6117" s="421" t="s">
        <v>335</v>
      </c>
      <c r="C6117" s="421" t="s">
        <v>516</v>
      </c>
      <c r="D6117" s="422" t="s">
        <v>666</v>
      </c>
      <c r="E6117" s="111">
        <v>44190</v>
      </c>
      <c r="F6117" s="421" t="s">
        <v>11571</v>
      </c>
      <c r="G6117" s="112">
        <v>1</v>
      </c>
      <c r="H6117" s="112">
        <v>1</v>
      </c>
      <c r="I6117" s="112">
        <v>1</v>
      </c>
      <c r="J6117" s="112">
        <v>4</v>
      </c>
      <c r="K6117" s="112">
        <v>4</v>
      </c>
      <c r="L6117" s="112">
        <v>3</v>
      </c>
      <c r="O6117" s="112">
        <v>1</v>
      </c>
    </row>
    <row r="6118" spans="1:15" x14ac:dyDescent="0.2">
      <c r="A6118" s="111">
        <v>6272</v>
      </c>
      <c r="B6118" s="421" t="s">
        <v>1947</v>
      </c>
      <c r="C6118" s="421" t="s">
        <v>551</v>
      </c>
      <c r="D6118" s="422" t="s">
        <v>666</v>
      </c>
      <c r="E6118" s="111">
        <v>44191</v>
      </c>
      <c r="F6118" s="421" t="s">
        <v>11572</v>
      </c>
      <c r="G6118" s="112">
        <v>1</v>
      </c>
      <c r="H6118" s="112">
        <v>1</v>
      </c>
    </row>
    <row r="6119" spans="1:15" x14ac:dyDescent="0.2">
      <c r="A6119" s="111">
        <v>6273</v>
      </c>
      <c r="B6119" s="421" t="s">
        <v>11573</v>
      </c>
      <c r="C6119" s="421" t="s">
        <v>566</v>
      </c>
      <c r="D6119" s="422" t="s">
        <v>666</v>
      </c>
      <c r="E6119" s="111">
        <v>16813</v>
      </c>
      <c r="F6119" s="421" t="s">
        <v>8944</v>
      </c>
      <c r="G6119" s="112">
        <v>1</v>
      </c>
      <c r="H6119" s="112">
        <v>1</v>
      </c>
      <c r="I6119" s="112">
        <v>1</v>
      </c>
      <c r="J6119" s="112">
        <v>1</v>
      </c>
      <c r="K6119" s="112">
        <v>1</v>
      </c>
      <c r="L6119" s="112">
        <v>1</v>
      </c>
    </row>
    <row r="6120" spans="1:15" x14ac:dyDescent="0.2">
      <c r="A6120" s="111">
        <v>6274</v>
      </c>
      <c r="B6120" s="421" t="s">
        <v>11574</v>
      </c>
      <c r="C6120" s="421" t="s">
        <v>501</v>
      </c>
      <c r="D6120" s="422" t="s">
        <v>666</v>
      </c>
      <c r="E6120" s="111">
        <v>16242</v>
      </c>
      <c r="F6120" s="421" t="s">
        <v>6824</v>
      </c>
      <c r="G6120" s="112">
        <v>1</v>
      </c>
      <c r="H6120" s="112">
        <v>1</v>
      </c>
      <c r="I6120" s="112">
        <v>1</v>
      </c>
      <c r="J6120" s="112">
        <v>1</v>
      </c>
      <c r="K6120" s="112">
        <v>1</v>
      </c>
    </row>
    <row r="6121" spans="1:15" x14ac:dyDescent="0.2">
      <c r="A6121" s="111">
        <v>6275</v>
      </c>
      <c r="B6121" s="421" t="s">
        <v>11575</v>
      </c>
      <c r="C6121" s="421" t="s">
        <v>507</v>
      </c>
      <c r="D6121" s="422" t="s">
        <v>666</v>
      </c>
      <c r="E6121" s="111">
        <v>16341</v>
      </c>
      <c r="F6121" s="421" t="s">
        <v>7236</v>
      </c>
      <c r="G6121" s="112">
        <v>1</v>
      </c>
      <c r="H6121" s="112">
        <v>1</v>
      </c>
      <c r="I6121" s="112">
        <v>1</v>
      </c>
      <c r="K6121" s="112">
        <v>1</v>
      </c>
    </row>
    <row r="6122" spans="1:15" x14ac:dyDescent="0.2">
      <c r="A6122" s="111">
        <v>6276</v>
      </c>
      <c r="B6122" s="421" t="s">
        <v>11576</v>
      </c>
      <c r="C6122" s="421" t="s">
        <v>1625</v>
      </c>
      <c r="D6122" s="422" t="s">
        <v>663</v>
      </c>
      <c r="E6122" s="111">
        <v>44192</v>
      </c>
      <c r="F6122" s="421" t="s">
        <v>11577</v>
      </c>
      <c r="G6122" s="112">
        <v>1</v>
      </c>
      <c r="H6122" s="112">
        <v>1</v>
      </c>
      <c r="I6122" s="112">
        <v>1</v>
      </c>
      <c r="J6122" s="112">
        <v>1</v>
      </c>
      <c r="K6122" s="112">
        <v>1</v>
      </c>
      <c r="L6122" s="112">
        <v>1</v>
      </c>
    </row>
    <row r="6123" spans="1:15" x14ac:dyDescent="0.2">
      <c r="A6123" s="111">
        <v>6277</v>
      </c>
      <c r="B6123" s="421" t="s">
        <v>8384</v>
      </c>
      <c r="C6123" s="421" t="s">
        <v>503</v>
      </c>
      <c r="D6123" s="422" t="s">
        <v>666</v>
      </c>
      <c r="E6123" s="111">
        <v>44194</v>
      </c>
      <c r="F6123" s="421" t="s">
        <v>11578</v>
      </c>
      <c r="G6123" s="112">
        <v>1</v>
      </c>
      <c r="H6123" s="112">
        <v>1</v>
      </c>
      <c r="I6123" s="112">
        <v>1</v>
      </c>
      <c r="J6123" s="112">
        <v>1</v>
      </c>
      <c r="K6123" s="112">
        <v>1</v>
      </c>
      <c r="L6123" s="112">
        <v>1</v>
      </c>
    </row>
    <row r="6124" spans="1:15" x14ac:dyDescent="0.2">
      <c r="A6124" s="111">
        <v>6278</v>
      </c>
      <c r="B6124" s="421" t="s">
        <v>645</v>
      </c>
      <c r="C6124" s="421" t="s">
        <v>503</v>
      </c>
      <c r="D6124" s="422" t="s">
        <v>666</v>
      </c>
      <c r="E6124" s="111">
        <v>44050</v>
      </c>
      <c r="F6124" s="421" t="s">
        <v>10968</v>
      </c>
      <c r="G6124" s="112">
        <v>1</v>
      </c>
      <c r="H6124" s="112">
        <v>4</v>
      </c>
      <c r="I6124" s="112">
        <v>2</v>
      </c>
      <c r="J6124" s="112">
        <v>1</v>
      </c>
      <c r="K6124" s="112">
        <v>1</v>
      </c>
    </row>
    <row r="6125" spans="1:15" x14ac:dyDescent="0.2">
      <c r="A6125" s="111">
        <v>6279</v>
      </c>
      <c r="B6125" s="421" t="s">
        <v>4986</v>
      </c>
      <c r="C6125" s="421" t="s">
        <v>1201</v>
      </c>
      <c r="D6125" s="422" t="s">
        <v>663</v>
      </c>
      <c r="E6125" s="111">
        <v>44195</v>
      </c>
      <c r="F6125" s="421" t="s">
        <v>11579</v>
      </c>
      <c r="H6125" s="112">
        <v>1</v>
      </c>
      <c r="I6125" s="112">
        <v>1</v>
      </c>
    </row>
    <row r="6126" spans="1:15" x14ac:dyDescent="0.2">
      <c r="A6126" s="111">
        <v>6280</v>
      </c>
      <c r="B6126" s="421" t="s">
        <v>11604</v>
      </c>
      <c r="C6126" s="421" t="s">
        <v>551</v>
      </c>
      <c r="D6126" s="422" t="s">
        <v>666</v>
      </c>
      <c r="E6126" s="111">
        <v>17018</v>
      </c>
      <c r="F6126" s="421" t="s">
        <v>9685</v>
      </c>
      <c r="G6126" s="112">
        <v>2</v>
      </c>
      <c r="H6126" s="112">
        <v>1</v>
      </c>
      <c r="I6126" s="112">
        <v>1</v>
      </c>
    </row>
    <row r="6127" spans="1:15" x14ac:dyDescent="0.2">
      <c r="A6127" s="111">
        <v>6281</v>
      </c>
      <c r="B6127" s="421" t="s">
        <v>11580</v>
      </c>
      <c r="C6127" s="421" t="s">
        <v>502</v>
      </c>
      <c r="D6127" s="422" t="s">
        <v>666</v>
      </c>
      <c r="E6127" s="111">
        <v>44333</v>
      </c>
      <c r="F6127" s="421" t="s">
        <v>11581</v>
      </c>
      <c r="G6127" s="112">
        <v>1</v>
      </c>
      <c r="H6127" s="112">
        <v>1</v>
      </c>
      <c r="I6127" s="112">
        <v>1</v>
      </c>
      <c r="J6127" s="112">
        <v>1</v>
      </c>
      <c r="K6127" s="112">
        <v>1</v>
      </c>
      <c r="L6127" s="112">
        <v>1</v>
      </c>
    </row>
    <row r="6128" spans="1:15" x14ac:dyDescent="0.2">
      <c r="A6128" s="111">
        <v>6282</v>
      </c>
      <c r="B6128" s="421" t="s">
        <v>10152</v>
      </c>
      <c r="C6128" s="421" t="s">
        <v>518</v>
      </c>
      <c r="D6128" s="422" t="s">
        <v>663</v>
      </c>
      <c r="E6128" s="111">
        <v>17300</v>
      </c>
      <c r="F6128" s="421" t="s">
        <v>9506</v>
      </c>
    </row>
    <row r="6129" spans="1:15" x14ac:dyDescent="0.2">
      <c r="A6129" s="111">
        <v>6283</v>
      </c>
      <c r="B6129" s="421" t="s">
        <v>1903</v>
      </c>
      <c r="C6129" s="421" t="s">
        <v>510</v>
      </c>
      <c r="D6129" s="422" t="s">
        <v>663</v>
      </c>
      <c r="E6129" s="111">
        <v>44198</v>
      </c>
      <c r="F6129" s="421" t="s">
        <v>11582</v>
      </c>
      <c r="G6129" s="112">
        <v>1</v>
      </c>
      <c r="H6129" s="112">
        <v>1</v>
      </c>
      <c r="I6129" s="112">
        <v>1</v>
      </c>
      <c r="K6129" s="112">
        <v>1</v>
      </c>
      <c r="L6129" s="112">
        <v>1</v>
      </c>
    </row>
    <row r="6130" spans="1:15" x14ac:dyDescent="0.2">
      <c r="A6130" s="111">
        <v>6284</v>
      </c>
      <c r="B6130" s="421" t="s">
        <v>11583</v>
      </c>
      <c r="C6130" s="421" t="s">
        <v>1201</v>
      </c>
      <c r="D6130" s="422" t="s">
        <v>663</v>
      </c>
      <c r="E6130" s="111">
        <v>44199</v>
      </c>
      <c r="F6130" s="421" t="s">
        <v>11584</v>
      </c>
      <c r="G6130" s="112">
        <v>1</v>
      </c>
      <c r="H6130" s="112">
        <v>1</v>
      </c>
      <c r="I6130" s="112">
        <v>1</v>
      </c>
      <c r="J6130" s="112">
        <v>4</v>
      </c>
      <c r="K6130" s="112">
        <v>1</v>
      </c>
      <c r="L6130" s="112">
        <v>2</v>
      </c>
    </row>
    <row r="6131" spans="1:15" x14ac:dyDescent="0.2">
      <c r="A6131" s="111">
        <v>6285</v>
      </c>
      <c r="B6131" s="421" t="s">
        <v>8597</v>
      </c>
      <c r="C6131" s="421" t="s">
        <v>510</v>
      </c>
      <c r="D6131" s="422" t="s">
        <v>663</v>
      </c>
      <c r="E6131" s="111">
        <v>44200</v>
      </c>
      <c r="F6131" s="421" t="s">
        <v>11585</v>
      </c>
      <c r="G6131" s="112">
        <v>1</v>
      </c>
      <c r="H6131" s="112">
        <v>2</v>
      </c>
      <c r="I6131" s="112">
        <v>2</v>
      </c>
      <c r="J6131" s="112">
        <v>1</v>
      </c>
      <c r="K6131" s="112">
        <v>1</v>
      </c>
      <c r="L6131" s="112">
        <v>1</v>
      </c>
    </row>
    <row r="6132" spans="1:15" x14ac:dyDescent="0.2">
      <c r="A6132" s="111">
        <v>6286</v>
      </c>
      <c r="B6132" s="421" t="s">
        <v>11586</v>
      </c>
      <c r="C6132" s="421" t="s">
        <v>5370</v>
      </c>
      <c r="D6132" s="422" t="s">
        <v>666</v>
      </c>
      <c r="E6132" s="111">
        <v>44240</v>
      </c>
      <c r="F6132" s="421" t="s">
        <v>11587</v>
      </c>
      <c r="H6132" s="112">
        <v>1</v>
      </c>
      <c r="I6132" s="112">
        <v>1</v>
      </c>
    </row>
    <row r="6133" spans="1:15" x14ac:dyDescent="0.2">
      <c r="A6133" s="111">
        <v>6287</v>
      </c>
      <c r="B6133" s="421" t="s">
        <v>11588</v>
      </c>
      <c r="C6133" s="421" t="s">
        <v>516</v>
      </c>
      <c r="D6133" s="422" t="s">
        <v>663</v>
      </c>
      <c r="E6133" s="111">
        <v>44202</v>
      </c>
      <c r="F6133" s="421" t="s">
        <v>11589</v>
      </c>
      <c r="G6133" s="112">
        <v>2</v>
      </c>
      <c r="H6133" s="112">
        <v>2</v>
      </c>
    </row>
    <row r="6134" spans="1:15" x14ac:dyDescent="0.2">
      <c r="A6134" s="111">
        <v>6290</v>
      </c>
      <c r="B6134" s="421" t="s">
        <v>11590</v>
      </c>
      <c r="C6134" s="421" t="s">
        <v>530</v>
      </c>
      <c r="D6134" s="422" t="s">
        <v>663</v>
      </c>
      <c r="E6134" s="111">
        <v>15328</v>
      </c>
      <c r="F6134" s="421" t="s">
        <v>3568</v>
      </c>
      <c r="G6134" s="112">
        <v>1</v>
      </c>
      <c r="H6134" s="112">
        <v>1</v>
      </c>
      <c r="I6134" s="112">
        <v>1</v>
      </c>
    </row>
    <row r="6135" spans="1:15" x14ac:dyDescent="0.2">
      <c r="A6135" s="111">
        <v>6291</v>
      </c>
      <c r="B6135" s="421" t="s">
        <v>5933</v>
      </c>
      <c r="C6135" s="421" t="s">
        <v>510</v>
      </c>
      <c r="D6135" s="422" t="s">
        <v>666</v>
      </c>
      <c r="E6135" s="111">
        <v>16433</v>
      </c>
      <c r="F6135" s="421" t="s">
        <v>8518</v>
      </c>
      <c r="G6135" s="112">
        <v>1</v>
      </c>
      <c r="H6135" s="112">
        <v>1</v>
      </c>
      <c r="I6135" s="112">
        <v>1</v>
      </c>
      <c r="J6135" s="112">
        <v>2</v>
      </c>
      <c r="K6135" s="112">
        <v>2</v>
      </c>
      <c r="L6135" s="112">
        <v>1</v>
      </c>
    </row>
    <row r="6136" spans="1:15" x14ac:dyDescent="0.2">
      <c r="A6136" s="111">
        <v>6292</v>
      </c>
      <c r="B6136" s="421" t="s">
        <v>379</v>
      </c>
      <c r="C6136" s="421" t="s">
        <v>514</v>
      </c>
      <c r="D6136" s="422" t="s">
        <v>663</v>
      </c>
      <c r="E6136" s="111">
        <v>44204</v>
      </c>
      <c r="F6136" s="421" t="s">
        <v>11605</v>
      </c>
    </row>
    <row r="6137" spans="1:15" x14ac:dyDescent="0.2">
      <c r="A6137" s="111">
        <v>6293</v>
      </c>
      <c r="B6137" s="421" t="s">
        <v>11606</v>
      </c>
      <c r="C6137" s="421" t="s">
        <v>514</v>
      </c>
      <c r="D6137" s="422" t="s">
        <v>663</v>
      </c>
      <c r="E6137" s="111">
        <v>44204</v>
      </c>
      <c r="F6137" s="421" t="s">
        <v>11605</v>
      </c>
    </row>
    <row r="6138" spans="1:15" x14ac:dyDescent="0.2">
      <c r="A6138" s="111">
        <v>6294</v>
      </c>
      <c r="B6138" s="421" t="s">
        <v>11607</v>
      </c>
      <c r="C6138" s="421" t="s">
        <v>5506</v>
      </c>
      <c r="D6138" s="422" t="s">
        <v>666</v>
      </c>
      <c r="E6138" s="111">
        <v>44201</v>
      </c>
      <c r="F6138" s="421" t="s">
        <v>11608</v>
      </c>
    </row>
    <row r="6139" spans="1:15" x14ac:dyDescent="0.2">
      <c r="A6139" s="111">
        <v>6295</v>
      </c>
      <c r="B6139" s="421" t="s">
        <v>10077</v>
      </c>
      <c r="C6139" s="421" t="s">
        <v>503</v>
      </c>
      <c r="D6139" s="422" t="s">
        <v>663</v>
      </c>
      <c r="E6139" s="111">
        <v>44205</v>
      </c>
      <c r="F6139" s="421" t="s">
        <v>11609</v>
      </c>
      <c r="G6139" s="112">
        <v>1</v>
      </c>
    </row>
    <row r="6140" spans="1:15" x14ac:dyDescent="0.2">
      <c r="A6140" s="111">
        <v>6296</v>
      </c>
      <c r="B6140" s="421" t="s">
        <v>2444</v>
      </c>
      <c r="C6140" s="421" t="s">
        <v>555</v>
      </c>
      <c r="D6140" s="422" t="s">
        <v>663</v>
      </c>
      <c r="F6140" s="421" t="s">
        <v>11610</v>
      </c>
      <c r="G6140" s="112">
        <v>1</v>
      </c>
      <c r="H6140" s="112">
        <v>1</v>
      </c>
      <c r="I6140" s="112">
        <v>2</v>
      </c>
      <c r="J6140" s="112">
        <v>5</v>
      </c>
      <c r="K6140" s="112">
        <v>4</v>
      </c>
      <c r="L6140" s="112">
        <v>4</v>
      </c>
      <c r="N6140" s="112">
        <v>2</v>
      </c>
      <c r="O6140" s="112">
        <v>2</v>
      </c>
    </row>
    <row r="6141" spans="1:15" x14ac:dyDescent="0.2">
      <c r="A6141" s="111">
        <v>6297</v>
      </c>
      <c r="B6141" s="421" t="s">
        <v>634</v>
      </c>
      <c r="C6141" s="421" t="s">
        <v>551</v>
      </c>
      <c r="D6141" s="422" t="s">
        <v>663</v>
      </c>
      <c r="E6141" s="111">
        <v>16009</v>
      </c>
      <c r="F6141" s="421" t="s">
        <v>5696</v>
      </c>
    </row>
    <row r="6142" spans="1:15" x14ac:dyDescent="0.2">
      <c r="A6142" s="111">
        <v>6298</v>
      </c>
      <c r="B6142" s="421" t="s">
        <v>416</v>
      </c>
      <c r="C6142" s="421" t="s">
        <v>559</v>
      </c>
      <c r="D6142" s="422" t="s">
        <v>663</v>
      </c>
      <c r="E6142" s="111">
        <v>17299</v>
      </c>
      <c r="F6142" s="421" t="s">
        <v>10772</v>
      </c>
      <c r="G6142" s="112">
        <v>2</v>
      </c>
      <c r="H6142" s="112">
        <v>2</v>
      </c>
      <c r="I6142" s="112">
        <v>1</v>
      </c>
      <c r="J6142" s="112">
        <v>2</v>
      </c>
      <c r="K6142" s="112">
        <v>2</v>
      </c>
      <c r="L6142" s="112">
        <v>1</v>
      </c>
      <c r="M6142" s="112">
        <v>1</v>
      </c>
    </row>
    <row r="6143" spans="1:15" x14ac:dyDescent="0.2">
      <c r="A6143" s="111">
        <v>6299</v>
      </c>
      <c r="B6143" s="421" t="s">
        <v>11611</v>
      </c>
      <c r="C6143" s="421" t="s">
        <v>503</v>
      </c>
      <c r="D6143" s="422" t="s">
        <v>663</v>
      </c>
      <c r="E6143" s="111">
        <v>17192</v>
      </c>
      <c r="F6143" s="421" t="s">
        <v>10258</v>
      </c>
      <c r="G6143" s="112">
        <v>1</v>
      </c>
      <c r="H6143" s="112">
        <v>1</v>
      </c>
      <c r="I6143" s="112">
        <v>1</v>
      </c>
      <c r="J6143" s="112">
        <v>6</v>
      </c>
      <c r="K6143" s="112">
        <v>6</v>
      </c>
      <c r="L6143" s="112">
        <v>5</v>
      </c>
    </row>
    <row r="6144" spans="1:15" x14ac:dyDescent="0.2">
      <c r="A6144" s="111">
        <v>6300</v>
      </c>
      <c r="B6144" s="421" t="s">
        <v>7213</v>
      </c>
      <c r="C6144" s="421" t="s">
        <v>518</v>
      </c>
      <c r="D6144" s="422" t="s">
        <v>663</v>
      </c>
      <c r="E6144" s="111">
        <v>1439</v>
      </c>
      <c r="F6144" s="421" t="s">
        <v>2833</v>
      </c>
    </row>
    <row r="6145" spans="1:12" x14ac:dyDescent="0.2">
      <c r="A6145" s="111">
        <v>6301</v>
      </c>
      <c r="B6145" s="421" t="s">
        <v>11612</v>
      </c>
      <c r="C6145" s="421" t="s">
        <v>506</v>
      </c>
      <c r="D6145" s="422" t="s">
        <v>663</v>
      </c>
      <c r="E6145" s="111">
        <v>44207</v>
      </c>
      <c r="F6145" s="421" t="s">
        <v>11613</v>
      </c>
      <c r="G6145" s="112">
        <v>1</v>
      </c>
      <c r="H6145" s="112">
        <v>1</v>
      </c>
      <c r="I6145" s="112">
        <v>1</v>
      </c>
      <c r="K6145" s="112">
        <v>1</v>
      </c>
      <c r="L6145" s="112">
        <v>1</v>
      </c>
    </row>
    <row r="6146" spans="1:12" x14ac:dyDescent="0.2">
      <c r="A6146" s="111">
        <v>6302</v>
      </c>
      <c r="B6146" s="421" t="s">
        <v>8018</v>
      </c>
      <c r="C6146" s="421" t="s">
        <v>534</v>
      </c>
      <c r="D6146" s="422" t="s">
        <v>663</v>
      </c>
      <c r="E6146" s="111">
        <v>44208</v>
      </c>
      <c r="F6146" s="421" t="s">
        <v>11614</v>
      </c>
      <c r="G6146" s="112">
        <v>1</v>
      </c>
      <c r="H6146" s="112">
        <v>1</v>
      </c>
      <c r="I6146" s="112">
        <v>1</v>
      </c>
      <c r="J6146" s="112">
        <v>1</v>
      </c>
      <c r="K6146" s="112">
        <v>1</v>
      </c>
      <c r="L6146" s="112">
        <v>1</v>
      </c>
    </row>
    <row r="6147" spans="1:12" x14ac:dyDescent="0.2">
      <c r="A6147" s="111">
        <v>6303</v>
      </c>
      <c r="B6147" s="421" t="s">
        <v>11615</v>
      </c>
      <c r="C6147" s="421" t="s">
        <v>577</v>
      </c>
      <c r="D6147" s="422" t="s">
        <v>666</v>
      </c>
      <c r="E6147" s="111">
        <v>44206</v>
      </c>
      <c r="F6147" s="421" t="s">
        <v>11616</v>
      </c>
      <c r="G6147" s="112">
        <v>1</v>
      </c>
      <c r="H6147" s="112">
        <v>1</v>
      </c>
      <c r="I6147" s="112">
        <v>1</v>
      </c>
      <c r="J6147" s="112">
        <v>1</v>
      </c>
      <c r="K6147" s="112">
        <v>1</v>
      </c>
    </row>
    <row r="6148" spans="1:12" x14ac:dyDescent="0.2">
      <c r="A6148" s="111">
        <v>6304</v>
      </c>
      <c r="B6148" s="421" t="s">
        <v>1919</v>
      </c>
      <c r="C6148" s="421" t="s">
        <v>1994</v>
      </c>
      <c r="D6148" s="422" t="s">
        <v>666</v>
      </c>
      <c r="E6148" s="111">
        <v>44209</v>
      </c>
      <c r="F6148" s="421" t="s">
        <v>11617</v>
      </c>
      <c r="G6148" s="112">
        <v>1</v>
      </c>
      <c r="H6148" s="112">
        <v>1</v>
      </c>
      <c r="I6148" s="112">
        <v>1</v>
      </c>
      <c r="J6148" s="112">
        <v>1</v>
      </c>
      <c r="K6148" s="112">
        <v>1</v>
      </c>
      <c r="L6148" s="112">
        <v>2</v>
      </c>
    </row>
    <row r="6149" spans="1:12" x14ac:dyDescent="0.2">
      <c r="A6149" s="111">
        <v>6305</v>
      </c>
      <c r="B6149" s="421" t="s">
        <v>266</v>
      </c>
      <c r="C6149" s="421" t="s">
        <v>551</v>
      </c>
      <c r="D6149" s="422" t="s">
        <v>663</v>
      </c>
      <c r="E6149" s="111">
        <v>44209</v>
      </c>
      <c r="F6149" s="421" t="s">
        <v>11617</v>
      </c>
      <c r="G6149" s="112">
        <v>1</v>
      </c>
      <c r="H6149" s="112">
        <v>1</v>
      </c>
      <c r="I6149" s="112">
        <v>1</v>
      </c>
    </row>
    <row r="6150" spans="1:12" x14ac:dyDescent="0.2">
      <c r="A6150" s="111">
        <v>6306</v>
      </c>
      <c r="B6150" s="421" t="s">
        <v>11625</v>
      </c>
      <c r="C6150" s="421" t="s">
        <v>11626</v>
      </c>
      <c r="D6150" s="422" t="s">
        <v>663</v>
      </c>
      <c r="E6150" s="111">
        <v>16247</v>
      </c>
      <c r="F6150" s="421" t="s">
        <v>6823</v>
      </c>
    </row>
    <row r="6151" spans="1:12" x14ac:dyDescent="0.2">
      <c r="A6151" s="111">
        <v>6308</v>
      </c>
      <c r="B6151" s="421" t="s">
        <v>11618</v>
      </c>
      <c r="C6151" s="421" t="s">
        <v>581</v>
      </c>
      <c r="D6151" s="422" t="s">
        <v>666</v>
      </c>
      <c r="E6151" s="111">
        <v>44212</v>
      </c>
      <c r="F6151" s="421" t="s">
        <v>11619</v>
      </c>
    </row>
    <row r="6152" spans="1:12" x14ac:dyDescent="0.2">
      <c r="A6152" s="111">
        <v>6309</v>
      </c>
      <c r="B6152" s="421" t="s">
        <v>1257</v>
      </c>
      <c r="C6152" s="421" t="s">
        <v>528</v>
      </c>
      <c r="D6152" s="422" t="s">
        <v>666</v>
      </c>
      <c r="E6152" s="111">
        <v>44213</v>
      </c>
      <c r="F6152" s="421" t="s">
        <v>11620</v>
      </c>
    </row>
    <row r="6153" spans="1:12" x14ac:dyDescent="0.2">
      <c r="A6153" s="111">
        <v>6310</v>
      </c>
      <c r="B6153" s="421" t="s">
        <v>11627</v>
      </c>
      <c r="C6153" s="421" t="s">
        <v>587</v>
      </c>
      <c r="D6153" s="422" t="s">
        <v>663</v>
      </c>
      <c r="E6153" s="111">
        <v>44211</v>
      </c>
      <c r="F6153" s="421" t="s">
        <v>11628</v>
      </c>
      <c r="G6153" s="112">
        <v>1</v>
      </c>
      <c r="H6153" s="112">
        <v>1</v>
      </c>
      <c r="I6153" s="112">
        <v>1</v>
      </c>
      <c r="J6153" s="112">
        <v>5</v>
      </c>
      <c r="K6153" s="112">
        <v>3</v>
      </c>
      <c r="L6153" s="112">
        <v>2</v>
      </c>
    </row>
    <row r="6154" spans="1:12" x14ac:dyDescent="0.2">
      <c r="A6154" s="111">
        <v>6311</v>
      </c>
      <c r="B6154" s="421" t="s">
        <v>1254</v>
      </c>
      <c r="C6154" s="421" t="s">
        <v>506</v>
      </c>
      <c r="D6154" s="422" t="s">
        <v>663</v>
      </c>
      <c r="E6154" s="111">
        <v>44210</v>
      </c>
      <c r="F6154" s="421" t="s">
        <v>11629</v>
      </c>
      <c r="G6154" s="112">
        <v>1</v>
      </c>
      <c r="H6154" s="112">
        <v>1</v>
      </c>
      <c r="I6154" s="112">
        <v>1</v>
      </c>
      <c r="J6154" s="112">
        <v>2</v>
      </c>
      <c r="K6154" s="112">
        <v>2</v>
      </c>
      <c r="L6154" s="112">
        <v>1</v>
      </c>
    </row>
    <row r="6155" spans="1:12" x14ac:dyDescent="0.2">
      <c r="A6155" s="111">
        <v>6312</v>
      </c>
      <c r="B6155" s="421" t="s">
        <v>11630</v>
      </c>
      <c r="C6155" s="421" t="s">
        <v>534</v>
      </c>
      <c r="D6155" s="422" t="s">
        <v>666</v>
      </c>
      <c r="E6155" s="111">
        <v>44214</v>
      </c>
      <c r="F6155" s="421" t="s">
        <v>11631</v>
      </c>
    </row>
    <row r="6156" spans="1:12" x14ac:dyDescent="0.2">
      <c r="A6156" s="111">
        <v>6313</v>
      </c>
      <c r="B6156" s="421" t="s">
        <v>11632</v>
      </c>
      <c r="C6156" s="421" t="s">
        <v>577</v>
      </c>
      <c r="D6156" s="422" t="s">
        <v>666</v>
      </c>
      <c r="E6156" s="111">
        <v>44215</v>
      </c>
      <c r="F6156" s="421" t="s">
        <v>11633</v>
      </c>
      <c r="G6156" s="112">
        <v>1</v>
      </c>
      <c r="H6156" s="112">
        <v>1</v>
      </c>
    </row>
    <row r="6157" spans="1:12" x14ac:dyDescent="0.2">
      <c r="A6157" s="111">
        <v>6314</v>
      </c>
      <c r="B6157" s="421" t="s">
        <v>11634</v>
      </c>
      <c r="C6157" s="421" t="s">
        <v>516</v>
      </c>
      <c r="D6157" s="422" t="s">
        <v>663</v>
      </c>
      <c r="E6157" s="111">
        <v>44218</v>
      </c>
      <c r="F6157" s="421" t="s">
        <v>11635</v>
      </c>
      <c r="G6157" s="112">
        <v>1</v>
      </c>
      <c r="H6157" s="112">
        <v>1</v>
      </c>
      <c r="I6157" s="112">
        <v>1</v>
      </c>
      <c r="J6157" s="112">
        <v>1</v>
      </c>
      <c r="K6157" s="112">
        <v>1</v>
      </c>
      <c r="L6157" s="112">
        <v>1</v>
      </c>
    </row>
    <row r="6158" spans="1:12" x14ac:dyDescent="0.2">
      <c r="A6158" s="111">
        <v>6315</v>
      </c>
      <c r="B6158" s="421" t="s">
        <v>1214</v>
      </c>
      <c r="C6158" s="421" t="s">
        <v>570</v>
      </c>
      <c r="D6158" s="422" t="s">
        <v>666</v>
      </c>
      <c r="E6158" s="111">
        <v>44219</v>
      </c>
      <c r="F6158" s="421" t="s">
        <v>11636</v>
      </c>
      <c r="G6158" s="112">
        <v>1</v>
      </c>
      <c r="H6158" s="112">
        <v>1</v>
      </c>
      <c r="I6158" s="112">
        <v>1</v>
      </c>
      <c r="J6158" s="112">
        <v>5</v>
      </c>
      <c r="K6158" s="112">
        <v>4</v>
      </c>
      <c r="L6158" s="112">
        <v>3</v>
      </c>
    </row>
    <row r="6159" spans="1:12" x14ac:dyDescent="0.2">
      <c r="A6159" s="111">
        <v>6316</v>
      </c>
      <c r="B6159" s="421" t="s">
        <v>2575</v>
      </c>
      <c r="C6159" s="421" t="s">
        <v>551</v>
      </c>
      <c r="D6159" s="422" t="s">
        <v>663</v>
      </c>
      <c r="E6159" s="111">
        <v>44220</v>
      </c>
      <c r="F6159" s="421" t="s">
        <v>11637</v>
      </c>
      <c r="G6159" s="112">
        <v>1</v>
      </c>
      <c r="H6159" s="112">
        <v>1</v>
      </c>
      <c r="I6159" s="112">
        <v>1</v>
      </c>
      <c r="J6159" s="112">
        <v>2</v>
      </c>
      <c r="K6159" s="112">
        <v>1</v>
      </c>
      <c r="L6159" s="112">
        <v>1</v>
      </c>
    </row>
    <row r="6160" spans="1:12" x14ac:dyDescent="0.2">
      <c r="A6160" s="111">
        <v>6317</v>
      </c>
      <c r="B6160" s="421" t="s">
        <v>2961</v>
      </c>
      <c r="C6160" s="421" t="s">
        <v>503</v>
      </c>
      <c r="D6160" s="422" t="s">
        <v>666</v>
      </c>
      <c r="E6160" s="111">
        <v>44221</v>
      </c>
      <c r="F6160" s="421" t="s">
        <v>11638</v>
      </c>
      <c r="G6160" s="112">
        <v>1</v>
      </c>
      <c r="H6160" s="112">
        <v>1</v>
      </c>
      <c r="I6160" s="112">
        <v>1</v>
      </c>
    </row>
    <row r="6161" spans="1:15" x14ac:dyDescent="0.2">
      <c r="A6161" s="111">
        <v>6318</v>
      </c>
      <c r="B6161" s="421" t="s">
        <v>11639</v>
      </c>
      <c r="C6161" s="421" t="s">
        <v>516</v>
      </c>
      <c r="D6161" s="422" t="s">
        <v>663</v>
      </c>
      <c r="E6161" s="111">
        <v>16270</v>
      </c>
      <c r="F6161" s="421" t="s">
        <v>6812</v>
      </c>
      <c r="G6161" s="112">
        <v>1</v>
      </c>
      <c r="I6161" s="112">
        <v>1</v>
      </c>
    </row>
    <row r="6162" spans="1:15" x14ac:dyDescent="0.2">
      <c r="A6162" s="111">
        <v>6319</v>
      </c>
      <c r="B6162" s="421" t="s">
        <v>11640</v>
      </c>
      <c r="C6162" s="421" t="s">
        <v>573</v>
      </c>
      <c r="D6162" s="422" t="s">
        <v>663</v>
      </c>
      <c r="E6162" s="111">
        <v>44223</v>
      </c>
      <c r="F6162" s="421" t="s">
        <v>11641</v>
      </c>
      <c r="G6162" s="112">
        <v>1</v>
      </c>
      <c r="H6162" s="112">
        <v>1</v>
      </c>
      <c r="I6162" s="112">
        <v>1</v>
      </c>
      <c r="J6162" s="112">
        <v>1</v>
      </c>
      <c r="K6162" s="112">
        <v>1</v>
      </c>
      <c r="L6162" s="112">
        <v>1</v>
      </c>
      <c r="M6162" s="112">
        <v>1</v>
      </c>
    </row>
    <row r="6163" spans="1:15" x14ac:dyDescent="0.2">
      <c r="A6163" s="111">
        <v>6320</v>
      </c>
      <c r="B6163" s="421" t="s">
        <v>11642</v>
      </c>
      <c r="C6163" s="421" t="s">
        <v>551</v>
      </c>
      <c r="D6163" s="422" t="s">
        <v>666</v>
      </c>
      <c r="F6163" s="421" t="s">
        <v>11643</v>
      </c>
    </row>
    <row r="6164" spans="1:15" x14ac:dyDescent="0.2">
      <c r="A6164" s="111">
        <v>6321</v>
      </c>
      <c r="B6164" s="421" t="s">
        <v>11644</v>
      </c>
      <c r="C6164" s="421" t="s">
        <v>554</v>
      </c>
      <c r="D6164" s="422" t="s">
        <v>666</v>
      </c>
      <c r="E6164" s="111">
        <v>14539</v>
      </c>
      <c r="F6164" s="421" t="s">
        <v>1834</v>
      </c>
      <c r="G6164" s="112">
        <v>1</v>
      </c>
      <c r="H6164" s="112">
        <v>2</v>
      </c>
      <c r="I6164" s="112">
        <v>1</v>
      </c>
      <c r="J6164" s="112">
        <v>1</v>
      </c>
    </row>
    <row r="6165" spans="1:15" x14ac:dyDescent="0.2">
      <c r="A6165" s="111">
        <v>6322</v>
      </c>
      <c r="B6165" s="421" t="s">
        <v>11221</v>
      </c>
      <c r="C6165" s="421" t="s">
        <v>570</v>
      </c>
      <c r="D6165" s="422" t="s">
        <v>666</v>
      </c>
      <c r="E6165" s="111">
        <v>44224</v>
      </c>
      <c r="F6165" s="421" t="s">
        <v>11645</v>
      </c>
      <c r="G6165" s="112">
        <v>1</v>
      </c>
    </row>
    <row r="6166" spans="1:15" x14ac:dyDescent="0.2">
      <c r="A6166" s="111">
        <v>6323</v>
      </c>
      <c r="B6166" s="421" t="s">
        <v>186</v>
      </c>
      <c r="C6166" s="421" t="s">
        <v>506</v>
      </c>
      <c r="D6166" s="422" t="s">
        <v>666</v>
      </c>
      <c r="E6166" s="111">
        <v>44225</v>
      </c>
      <c r="F6166" s="421" t="s">
        <v>11646</v>
      </c>
      <c r="G6166" s="112">
        <v>1</v>
      </c>
      <c r="H6166" s="112">
        <v>1</v>
      </c>
      <c r="I6166" s="112">
        <v>1</v>
      </c>
      <c r="J6166" s="112">
        <v>3</v>
      </c>
      <c r="K6166" s="112">
        <v>2</v>
      </c>
      <c r="L6166" s="112">
        <v>2</v>
      </c>
      <c r="M6166" s="112">
        <v>2</v>
      </c>
    </row>
    <row r="6167" spans="1:15" x14ac:dyDescent="0.2">
      <c r="A6167" s="111">
        <v>6324</v>
      </c>
      <c r="B6167" s="421" t="s">
        <v>11647</v>
      </c>
      <c r="C6167" s="421" t="s">
        <v>501</v>
      </c>
      <c r="D6167" s="422" t="s">
        <v>663</v>
      </c>
      <c r="E6167" s="111">
        <v>16678</v>
      </c>
      <c r="F6167" s="421" t="s">
        <v>8337</v>
      </c>
      <c r="G6167" s="112">
        <v>2</v>
      </c>
      <c r="H6167" s="112">
        <v>2</v>
      </c>
      <c r="I6167" s="112">
        <v>2</v>
      </c>
      <c r="J6167" s="112">
        <v>1</v>
      </c>
      <c r="K6167" s="112">
        <v>2</v>
      </c>
      <c r="L6167" s="112">
        <v>1</v>
      </c>
      <c r="M6167" s="112">
        <v>1</v>
      </c>
    </row>
    <row r="6168" spans="1:15" x14ac:dyDescent="0.2">
      <c r="A6168" s="111">
        <v>6325</v>
      </c>
      <c r="B6168" s="421" t="s">
        <v>3467</v>
      </c>
      <c r="C6168" s="421" t="s">
        <v>513</v>
      </c>
      <c r="D6168" s="422" t="s">
        <v>666</v>
      </c>
      <c r="E6168" s="111">
        <v>14849</v>
      </c>
      <c r="F6168" s="421" t="s">
        <v>2513</v>
      </c>
      <c r="G6168" s="112">
        <v>1</v>
      </c>
      <c r="H6168" s="112">
        <v>2</v>
      </c>
      <c r="I6168" s="112">
        <v>1</v>
      </c>
      <c r="J6168" s="112">
        <v>2</v>
      </c>
      <c r="K6168" s="112">
        <v>1</v>
      </c>
      <c r="L6168" s="112">
        <v>2</v>
      </c>
      <c r="M6168" s="112">
        <v>1</v>
      </c>
      <c r="O6168" s="112">
        <v>1</v>
      </c>
    </row>
    <row r="6169" spans="1:15" x14ac:dyDescent="0.2">
      <c r="A6169" s="111">
        <v>6326</v>
      </c>
      <c r="B6169" s="421" t="s">
        <v>11656</v>
      </c>
      <c r="C6169" s="421" t="s">
        <v>501</v>
      </c>
      <c r="D6169" s="422" t="s">
        <v>663</v>
      </c>
      <c r="E6169" s="111">
        <v>44226</v>
      </c>
      <c r="F6169" s="421" t="s">
        <v>11657</v>
      </c>
      <c r="G6169" s="112">
        <v>1</v>
      </c>
      <c r="H6169" s="112">
        <v>1</v>
      </c>
      <c r="I6169" s="112">
        <v>1</v>
      </c>
      <c r="J6169" s="112">
        <v>5</v>
      </c>
      <c r="K6169" s="112">
        <v>4</v>
      </c>
      <c r="L6169" s="112">
        <v>3</v>
      </c>
    </row>
    <row r="6170" spans="1:15" x14ac:dyDescent="0.2">
      <c r="A6170" s="111">
        <v>6327</v>
      </c>
      <c r="B6170" s="421" t="s">
        <v>2685</v>
      </c>
      <c r="C6170" s="421" t="s">
        <v>501</v>
      </c>
      <c r="D6170" s="422" t="s">
        <v>666</v>
      </c>
      <c r="E6170" s="111">
        <v>17328</v>
      </c>
      <c r="F6170" s="421" t="s">
        <v>10885</v>
      </c>
      <c r="G6170" s="112">
        <v>2</v>
      </c>
      <c r="H6170" s="112">
        <v>3</v>
      </c>
      <c r="I6170" s="112">
        <v>1</v>
      </c>
      <c r="J6170" s="112">
        <v>2</v>
      </c>
      <c r="K6170" s="112">
        <v>1</v>
      </c>
      <c r="L6170" s="112">
        <v>1</v>
      </c>
    </row>
    <row r="6171" spans="1:15" x14ac:dyDescent="0.2">
      <c r="A6171" s="111">
        <v>6328</v>
      </c>
      <c r="B6171" s="421" t="s">
        <v>11658</v>
      </c>
      <c r="C6171" s="421" t="s">
        <v>506</v>
      </c>
      <c r="D6171" s="422" t="s">
        <v>663</v>
      </c>
      <c r="E6171" s="111">
        <v>44227</v>
      </c>
      <c r="F6171" s="421" t="s">
        <v>11659</v>
      </c>
      <c r="G6171" s="112">
        <v>1</v>
      </c>
      <c r="H6171" s="112">
        <v>1</v>
      </c>
    </row>
    <row r="6172" spans="1:15" x14ac:dyDescent="0.2">
      <c r="A6172" s="111">
        <v>6329</v>
      </c>
      <c r="B6172" s="421" t="s">
        <v>11604</v>
      </c>
      <c r="C6172" s="421" t="s">
        <v>501</v>
      </c>
      <c r="D6172" s="422" t="s">
        <v>666</v>
      </c>
      <c r="E6172" s="111">
        <v>44228</v>
      </c>
      <c r="F6172" s="421" t="s">
        <v>11660</v>
      </c>
      <c r="G6172" s="112">
        <v>1</v>
      </c>
      <c r="H6172" s="112">
        <v>1</v>
      </c>
      <c r="I6172" s="112">
        <v>1</v>
      </c>
      <c r="J6172" s="112">
        <v>2</v>
      </c>
      <c r="K6172" s="112">
        <v>3</v>
      </c>
      <c r="L6172" s="112">
        <v>2</v>
      </c>
      <c r="M6172" s="112">
        <v>3</v>
      </c>
      <c r="N6172" s="112">
        <v>1</v>
      </c>
    </row>
    <row r="6173" spans="1:15" x14ac:dyDescent="0.2">
      <c r="A6173" s="111">
        <v>6330</v>
      </c>
      <c r="B6173" s="421" t="s">
        <v>11661</v>
      </c>
      <c r="C6173" s="421" t="s">
        <v>510</v>
      </c>
      <c r="D6173" s="422" t="s">
        <v>663</v>
      </c>
      <c r="E6173" s="111">
        <v>44229</v>
      </c>
      <c r="F6173" s="421" t="s">
        <v>11662</v>
      </c>
      <c r="G6173" s="112">
        <v>1</v>
      </c>
      <c r="H6173" s="112">
        <v>1</v>
      </c>
      <c r="I6173" s="112">
        <v>1</v>
      </c>
      <c r="J6173" s="112">
        <v>2</v>
      </c>
      <c r="K6173" s="112">
        <v>3</v>
      </c>
      <c r="L6173" s="112">
        <v>3</v>
      </c>
    </row>
    <row r="6174" spans="1:15" x14ac:dyDescent="0.2">
      <c r="A6174" s="111">
        <v>6331</v>
      </c>
      <c r="B6174" s="421" t="s">
        <v>632</v>
      </c>
      <c r="C6174" s="421" t="s">
        <v>506</v>
      </c>
      <c r="D6174" s="422" t="s">
        <v>663</v>
      </c>
      <c r="E6174" s="111">
        <v>44230</v>
      </c>
      <c r="F6174" s="421" t="s">
        <v>11663</v>
      </c>
      <c r="G6174" s="112">
        <v>1</v>
      </c>
      <c r="H6174" s="112">
        <v>1</v>
      </c>
      <c r="I6174" s="112">
        <v>1</v>
      </c>
      <c r="J6174" s="112">
        <v>3</v>
      </c>
      <c r="K6174" s="112">
        <v>1</v>
      </c>
      <c r="L6174" s="112">
        <v>2</v>
      </c>
    </row>
    <row r="6175" spans="1:15" x14ac:dyDescent="0.2">
      <c r="A6175" s="111">
        <v>6332</v>
      </c>
      <c r="B6175" s="421" t="s">
        <v>11664</v>
      </c>
      <c r="C6175" s="421" t="s">
        <v>1201</v>
      </c>
      <c r="D6175" s="422" t="s">
        <v>666</v>
      </c>
      <c r="E6175" s="111">
        <v>44429</v>
      </c>
      <c r="F6175" s="421" t="s">
        <v>11665</v>
      </c>
      <c r="G6175" s="112">
        <v>1</v>
      </c>
      <c r="H6175" s="112">
        <v>1</v>
      </c>
      <c r="I6175" s="112">
        <v>1</v>
      </c>
      <c r="J6175" s="112">
        <v>1</v>
      </c>
      <c r="K6175" s="112">
        <v>1</v>
      </c>
      <c r="L6175" s="112">
        <v>2</v>
      </c>
    </row>
    <row r="6176" spans="1:15" x14ac:dyDescent="0.2">
      <c r="A6176" s="111">
        <v>6333</v>
      </c>
      <c r="B6176" s="421" t="s">
        <v>3128</v>
      </c>
      <c r="C6176" s="421" t="s">
        <v>523</v>
      </c>
      <c r="D6176" s="422" t="s">
        <v>666</v>
      </c>
      <c r="E6176" s="111">
        <v>16260</v>
      </c>
      <c r="F6176" s="421" t="s">
        <v>5813</v>
      </c>
      <c r="G6176" s="112">
        <v>1</v>
      </c>
      <c r="H6176" s="112">
        <v>1</v>
      </c>
      <c r="I6176" s="112">
        <v>1</v>
      </c>
      <c r="J6176" s="112">
        <v>1</v>
      </c>
      <c r="K6176" s="112">
        <v>1</v>
      </c>
      <c r="L6176" s="112">
        <v>1</v>
      </c>
    </row>
    <row r="6177" spans="1:15" x14ac:dyDescent="0.2">
      <c r="A6177" s="111">
        <v>6334</v>
      </c>
      <c r="B6177" s="421" t="s">
        <v>2433</v>
      </c>
      <c r="C6177" s="421" t="s">
        <v>503</v>
      </c>
      <c r="D6177" s="422" t="s">
        <v>663</v>
      </c>
      <c r="E6177" s="111">
        <v>44233</v>
      </c>
      <c r="F6177" s="421" t="s">
        <v>11666</v>
      </c>
    </row>
    <row r="6178" spans="1:15" x14ac:dyDescent="0.2">
      <c r="A6178" s="111">
        <v>6335</v>
      </c>
      <c r="B6178" s="421" t="s">
        <v>1913</v>
      </c>
      <c r="C6178" s="421" t="s">
        <v>1201</v>
      </c>
      <c r="D6178" s="422" t="s">
        <v>666</v>
      </c>
      <c r="E6178" s="111">
        <v>17093</v>
      </c>
      <c r="F6178" s="421" t="s">
        <v>10028</v>
      </c>
      <c r="G6178" s="112">
        <v>1</v>
      </c>
      <c r="H6178" s="112">
        <v>1</v>
      </c>
      <c r="I6178" s="112">
        <v>1</v>
      </c>
      <c r="J6178" s="112">
        <v>5</v>
      </c>
      <c r="K6178" s="112">
        <v>8</v>
      </c>
      <c r="L6178" s="112">
        <v>7</v>
      </c>
    </row>
    <row r="6179" spans="1:15" x14ac:dyDescent="0.2">
      <c r="A6179" s="111">
        <v>6336</v>
      </c>
      <c r="B6179" s="421" t="s">
        <v>11667</v>
      </c>
      <c r="C6179" s="421" t="s">
        <v>3400</v>
      </c>
      <c r="D6179" s="422" t="s">
        <v>666</v>
      </c>
      <c r="E6179" s="111">
        <v>15177</v>
      </c>
      <c r="F6179" s="421" t="s">
        <v>2968</v>
      </c>
      <c r="G6179" s="112">
        <v>1</v>
      </c>
      <c r="H6179" s="112">
        <v>1</v>
      </c>
      <c r="I6179" s="112">
        <v>1</v>
      </c>
      <c r="J6179" s="112">
        <v>1</v>
      </c>
      <c r="K6179" s="112">
        <v>1</v>
      </c>
    </row>
    <row r="6180" spans="1:15" x14ac:dyDescent="0.2">
      <c r="A6180" s="111">
        <v>6337</v>
      </c>
      <c r="B6180" s="421" t="s">
        <v>1810</v>
      </c>
      <c r="C6180" s="421" t="s">
        <v>2165</v>
      </c>
      <c r="D6180" s="422" t="s">
        <v>666</v>
      </c>
      <c r="E6180" s="111">
        <v>16182</v>
      </c>
      <c r="F6180" s="421" t="s">
        <v>6567</v>
      </c>
    </row>
    <row r="6181" spans="1:15" x14ac:dyDescent="0.2">
      <c r="A6181" s="111">
        <v>6338</v>
      </c>
      <c r="B6181" s="421" t="s">
        <v>5072</v>
      </c>
      <c r="C6181" s="421" t="s">
        <v>503</v>
      </c>
      <c r="D6181" s="422" t="s">
        <v>666</v>
      </c>
      <c r="E6181" s="111">
        <v>17085</v>
      </c>
      <c r="F6181" s="421" t="s">
        <v>9977</v>
      </c>
      <c r="G6181" s="112">
        <v>2</v>
      </c>
      <c r="H6181" s="112">
        <v>2</v>
      </c>
      <c r="I6181" s="112">
        <v>1</v>
      </c>
    </row>
    <row r="6182" spans="1:15" x14ac:dyDescent="0.2">
      <c r="A6182" s="111">
        <v>6339</v>
      </c>
      <c r="B6182" s="421" t="s">
        <v>11668</v>
      </c>
      <c r="C6182" s="421" t="s">
        <v>551</v>
      </c>
      <c r="D6182" s="422" t="s">
        <v>663</v>
      </c>
      <c r="E6182" s="111">
        <v>44234</v>
      </c>
      <c r="F6182" s="421" t="s">
        <v>11669</v>
      </c>
    </row>
    <row r="6183" spans="1:15" x14ac:dyDescent="0.2">
      <c r="A6183" s="111">
        <v>6340</v>
      </c>
      <c r="B6183" s="421" t="s">
        <v>237</v>
      </c>
      <c r="C6183" s="421" t="s">
        <v>510</v>
      </c>
      <c r="D6183" s="422" t="s">
        <v>663</v>
      </c>
      <c r="E6183" s="111">
        <v>44235</v>
      </c>
      <c r="F6183" s="421" t="s">
        <v>11670</v>
      </c>
      <c r="G6183" s="112">
        <v>2</v>
      </c>
      <c r="H6183" s="112">
        <v>1</v>
      </c>
      <c r="I6183" s="112">
        <v>1</v>
      </c>
      <c r="J6183" s="112">
        <v>3</v>
      </c>
      <c r="K6183" s="112">
        <v>4</v>
      </c>
      <c r="L6183" s="112">
        <v>7</v>
      </c>
      <c r="M6183" s="112">
        <v>6</v>
      </c>
      <c r="N6183" s="112">
        <v>1</v>
      </c>
    </row>
    <row r="6184" spans="1:15" x14ac:dyDescent="0.2">
      <c r="A6184" s="111">
        <v>6341</v>
      </c>
      <c r="B6184" s="421" t="s">
        <v>2629</v>
      </c>
      <c r="C6184" s="421" t="s">
        <v>502</v>
      </c>
      <c r="D6184" s="422" t="s">
        <v>663</v>
      </c>
      <c r="E6184" s="111">
        <v>44232</v>
      </c>
      <c r="F6184" s="421" t="s">
        <v>11671</v>
      </c>
      <c r="G6184" s="112">
        <v>1</v>
      </c>
      <c r="H6184" s="112">
        <v>1</v>
      </c>
      <c r="I6184" s="112">
        <v>1</v>
      </c>
      <c r="J6184" s="112">
        <v>7</v>
      </c>
      <c r="K6184" s="112">
        <v>3</v>
      </c>
      <c r="L6184" s="112">
        <v>5</v>
      </c>
      <c r="M6184" s="112">
        <v>2</v>
      </c>
      <c r="O6184" s="112">
        <v>1</v>
      </c>
    </row>
    <row r="6185" spans="1:15" x14ac:dyDescent="0.2">
      <c r="A6185" s="111">
        <v>6342</v>
      </c>
      <c r="B6185" s="421" t="s">
        <v>1491</v>
      </c>
      <c r="C6185" s="421" t="s">
        <v>1817</v>
      </c>
      <c r="D6185" s="422" t="s">
        <v>663</v>
      </c>
      <c r="E6185" s="111">
        <v>17296</v>
      </c>
      <c r="F6185" s="421" t="s">
        <v>10632</v>
      </c>
      <c r="G6185" s="112">
        <v>1</v>
      </c>
      <c r="H6185" s="112">
        <v>1</v>
      </c>
      <c r="I6185" s="112">
        <v>1</v>
      </c>
      <c r="J6185" s="112">
        <v>2</v>
      </c>
      <c r="K6185" s="112">
        <v>1</v>
      </c>
      <c r="L6185" s="112">
        <v>1</v>
      </c>
    </row>
    <row r="6186" spans="1:15" x14ac:dyDescent="0.2">
      <c r="A6186" s="111">
        <v>6343</v>
      </c>
      <c r="B6186" s="421" t="s">
        <v>3553</v>
      </c>
      <c r="C6186" s="421" t="s">
        <v>506</v>
      </c>
      <c r="D6186" s="422" t="s">
        <v>666</v>
      </c>
      <c r="E6186" s="111">
        <v>44236</v>
      </c>
      <c r="F6186" s="421" t="s">
        <v>11672</v>
      </c>
      <c r="G6186" s="112">
        <v>1</v>
      </c>
      <c r="H6186" s="112">
        <v>2</v>
      </c>
      <c r="I6186" s="112">
        <v>1</v>
      </c>
      <c r="J6186" s="112">
        <v>2</v>
      </c>
      <c r="K6186" s="112">
        <v>2</v>
      </c>
      <c r="L6186" s="112">
        <v>1</v>
      </c>
    </row>
    <row r="6187" spans="1:15" x14ac:dyDescent="0.2">
      <c r="A6187" s="111">
        <v>6345</v>
      </c>
      <c r="B6187" s="421" t="s">
        <v>11673</v>
      </c>
      <c r="C6187" s="421" t="s">
        <v>501</v>
      </c>
      <c r="D6187" s="422" t="s">
        <v>663</v>
      </c>
      <c r="E6187" s="111">
        <v>44239</v>
      </c>
      <c r="F6187" s="421" t="s">
        <v>11674</v>
      </c>
      <c r="G6187" s="112">
        <v>1</v>
      </c>
      <c r="H6187" s="112">
        <v>1</v>
      </c>
      <c r="I6187" s="112">
        <v>1</v>
      </c>
      <c r="J6187" s="112">
        <v>2</v>
      </c>
      <c r="K6187" s="112">
        <v>2</v>
      </c>
      <c r="L6187" s="112">
        <v>1</v>
      </c>
    </row>
    <row r="6188" spans="1:15" x14ac:dyDescent="0.2">
      <c r="A6188" s="111">
        <v>6346</v>
      </c>
      <c r="B6188" s="421" t="s">
        <v>11675</v>
      </c>
      <c r="C6188" s="421" t="s">
        <v>501</v>
      </c>
      <c r="D6188" s="422" t="s">
        <v>663</v>
      </c>
      <c r="E6188" s="111">
        <v>44238</v>
      </c>
      <c r="F6188" s="421" t="s">
        <v>11676</v>
      </c>
      <c r="G6188" s="112">
        <v>1</v>
      </c>
      <c r="H6188" s="112">
        <v>1</v>
      </c>
      <c r="I6188" s="112">
        <v>1</v>
      </c>
      <c r="J6188" s="112">
        <v>1</v>
      </c>
      <c r="K6188" s="112">
        <v>1</v>
      </c>
      <c r="L6188" s="112">
        <v>1</v>
      </c>
    </row>
    <row r="6189" spans="1:15" x14ac:dyDescent="0.2">
      <c r="A6189" s="111">
        <v>6347</v>
      </c>
      <c r="B6189" s="421" t="s">
        <v>11677</v>
      </c>
      <c r="C6189" s="421" t="s">
        <v>501</v>
      </c>
      <c r="D6189" s="422" t="s">
        <v>663</v>
      </c>
      <c r="E6189" s="111">
        <v>16415</v>
      </c>
      <c r="F6189" s="421" t="s">
        <v>7579</v>
      </c>
      <c r="G6189" s="112">
        <v>1</v>
      </c>
      <c r="H6189" s="112">
        <v>1</v>
      </c>
      <c r="I6189" s="112">
        <v>1</v>
      </c>
      <c r="J6189" s="112">
        <v>2</v>
      </c>
      <c r="K6189" s="112">
        <v>2</v>
      </c>
      <c r="L6189" s="112">
        <v>1</v>
      </c>
    </row>
    <row r="6190" spans="1:15" x14ac:dyDescent="0.2">
      <c r="A6190" s="111">
        <v>6348</v>
      </c>
      <c r="B6190" s="421" t="s">
        <v>5893</v>
      </c>
      <c r="C6190" s="421" t="s">
        <v>530</v>
      </c>
      <c r="D6190" s="422" t="s">
        <v>663</v>
      </c>
      <c r="E6190" s="111">
        <v>44216</v>
      </c>
      <c r="F6190" s="421" t="s">
        <v>11678</v>
      </c>
      <c r="G6190" s="112">
        <v>1</v>
      </c>
      <c r="H6190" s="112">
        <v>1</v>
      </c>
      <c r="I6190" s="112">
        <v>1</v>
      </c>
    </row>
    <row r="6191" spans="1:15" x14ac:dyDescent="0.2">
      <c r="A6191" s="111">
        <v>6349</v>
      </c>
      <c r="B6191" s="421" t="s">
        <v>1653</v>
      </c>
      <c r="C6191" s="421" t="s">
        <v>513</v>
      </c>
      <c r="D6191" s="422" t="s">
        <v>663</v>
      </c>
      <c r="E6191" s="111">
        <v>15447</v>
      </c>
      <c r="F6191" s="421" t="s">
        <v>4184</v>
      </c>
      <c r="G6191" s="112">
        <v>1</v>
      </c>
      <c r="H6191" s="112">
        <v>1</v>
      </c>
      <c r="I6191" s="112">
        <v>1</v>
      </c>
      <c r="J6191" s="112">
        <v>1</v>
      </c>
      <c r="K6191" s="112">
        <v>2</v>
      </c>
      <c r="L6191" s="112">
        <v>2</v>
      </c>
    </row>
    <row r="6192" spans="1:15" x14ac:dyDescent="0.2">
      <c r="A6192" s="111">
        <v>6350</v>
      </c>
      <c r="B6192" s="421" t="s">
        <v>11724</v>
      </c>
      <c r="C6192" s="421" t="s">
        <v>1446</v>
      </c>
      <c r="D6192" s="422" t="s">
        <v>663</v>
      </c>
      <c r="F6192" s="421" t="s">
        <v>11725</v>
      </c>
      <c r="G6192" s="112">
        <v>1</v>
      </c>
      <c r="H6192" s="112">
        <v>1</v>
      </c>
      <c r="I6192" s="112">
        <v>1</v>
      </c>
    </row>
    <row r="6193" spans="1:15" x14ac:dyDescent="0.2">
      <c r="A6193" s="111">
        <v>6351</v>
      </c>
      <c r="B6193" s="421" t="s">
        <v>11726</v>
      </c>
      <c r="C6193" s="421" t="s">
        <v>501</v>
      </c>
      <c r="D6193" s="422" t="s">
        <v>666</v>
      </c>
      <c r="F6193" s="421" t="s">
        <v>11725</v>
      </c>
    </row>
    <row r="6194" spans="1:15" x14ac:dyDescent="0.2">
      <c r="A6194" s="111">
        <v>6352</v>
      </c>
      <c r="B6194" s="421" t="s">
        <v>1957</v>
      </c>
      <c r="C6194" s="421" t="s">
        <v>512</v>
      </c>
      <c r="D6194" s="422" t="s">
        <v>663</v>
      </c>
      <c r="E6194" s="111">
        <v>44242</v>
      </c>
      <c r="F6194" s="421" t="s">
        <v>11727</v>
      </c>
      <c r="G6194" s="112">
        <v>1</v>
      </c>
      <c r="H6194" s="112">
        <v>1</v>
      </c>
      <c r="I6194" s="112">
        <v>1</v>
      </c>
      <c r="J6194" s="112">
        <v>7</v>
      </c>
      <c r="K6194" s="112">
        <v>6</v>
      </c>
      <c r="L6194" s="112">
        <v>5</v>
      </c>
      <c r="M6194" s="112">
        <v>3</v>
      </c>
      <c r="O6194" s="112">
        <v>1</v>
      </c>
    </row>
    <row r="6195" spans="1:15" x14ac:dyDescent="0.2">
      <c r="A6195" s="111">
        <v>6353</v>
      </c>
      <c r="B6195" s="421" t="s">
        <v>6082</v>
      </c>
      <c r="C6195" s="421" t="s">
        <v>509</v>
      </c>
      <c r="D6195" s="422" t="s">
        <v>663</v>
      </c>
      <c r="E6195" s="111">
        <v>15931</v>
      </c>
      <c r="F6195" s="421" t="s">
        <v>5745</v>
      </c>
      <c r="G6195" s="112">
        <v>2</v>
      </c>
      <c r="H6195" s="112">
        <v>1</v>
      </c>
      <c r="I6195" s="112">
        <v>2</v>
      </c>
      <c r="J6195" s="112">
        <v>3</v>
      </c>
      <c r="K6195" s="112">
        <v>4</v>
      </c>
      <c r="L6195" s="112">
        <v>3</v>
      </c>
    </row>
    <row r="6196" spans="1:15" x14ac:dyDescent="0.2">
      <c r="A6196" s="111">
        <v>6354</v>
      </c>
      <c r="B6196" s="421" t="s">
        <v>186</v>
      </c>
      <c r="C6196" s="421" t="s">
        <v>550</v>
      </c>
      <c r="D6196" s="422" t="s">
        <v>666</v>
      </c>
      <c r="E6196" s="111">
        <v>44243</v>
      </c>
      <c r="F6196" s="421" t="s">
        <v>11728</v>
      </c>
      <c r="G6196" s="112">
        <v>2</v>
      </c>
      <c r="H6196" s="112">
        <v>2</v>
      </c>
      <c r="I6196" s="112">
        <v>1</v>
      </c>
      <c r="J6196" s="112">
        <v>5</v>
      </c>
      <c r="K6196" s="112">
        <v>2</v>
      </c>
    </row>
    <row r="6197" spans="1:15" x14ac:dyDescent="0.2">
      <c r="A6197" s="111">
        <v>6355</v>
      </c>
      <c r="B6197" s="421" t="s">
        <v>3208</v>
      </c>
      <c r="C6197" s="421" t="s">
        <v>501</v>
      </c>
      <c r="D6197" s="422" t="s">
        <v>663</v>
      </c>
      <c r="E6197" s="111">
        <v>44244</v>
      </c>
      <c r="F6197" s="421" t="s">
        <v>11729</v>
      </c>
      <c r="G6197" s="112">
        <v>1</v>
      </c>
      <c r="H6197" s="112">
        <v>1</v>
      </c>
      <c r="I6197" s="112">
        <v>1</v>
      </c>
      <c r="J6197" s="112">
        <v>2</v>
      </c>
      <c r="K6197" s="112">
        <v>1</v>
      </c>
      <c r="L6197" s="112">
        <v>1</v>
      </c>
      <c r="O6197" s="112">
        <v>1</v>
      </c>
    </row>
    <row r="6198" spans="1:15" x14ac:dyDescent="0.2">
      <c r="A6198" s="111">
        <v>6356</v>
      </c>
      <c r="B6198" s="421" t="s">
        <v>1528</v>
      </c>
      <c r="C6198" s="421" t="s">
        <v>527</v>
      </c>
      <c r="D6198" s="422" t="s">
        <v>666</v>
      </c>
      <c r="E6198" s="111">
        <v>44245</v>
      </c>
      <c r="F6198" s="421" t="s">
        <v>11730</v>
      </c>
    </row>
    <row r="6199" spans="1:15" x14ac:dyDescent="0.2">
      <c r="A6199" s="111">
        <v>6357</v>
      </c>
      <c r="B6199" s="421" t="s">
        <v>11731</v>
      </c>
      <c r="C6199" s="421" t="s">
        <v>1674</v>
      </c>
      <c r="D6199" s="422" t="s">
        <v>666</v>
      </c>
      <c r="E6199" s="111">
        <v>44246</v>
      </c>
      <c r="F6199" s="421" t="s">
        <v>11732</v>
      </c>
      <c r="G6199" s="112">
        <v>1</v>
      </c>
      <c r="H6199" s="112">
        <v>1</v>
      </c>
      <c r="I6199" s="112">
        <v>1</v>
      </c>
      <c r="J6199" s="112">
        <v>1</v>
      </c>
    </row>
    <row r="6200" spans="1:15" x14ac:dyDescent="0.2">
      <c r="A6200" s="111">
        <v>6358</v>
      </c>
      <c r="B6200" s="421" t="s">
        <v>304</v>
      </c>
      <c r="C6200" s="421" t="s">
        <v>501</v>
      </c>
      <c r="D6200" s="422" t="s">
        <v>666</v>
      </c>
      <c r="E6200" s="111">
        <v>44196</v>
      </c>
      <c r="F6200" s="421" t="s">
        <v>11733</v>
      </c>
      <c r="I6200" s="112">
        <v>1</v>
      </c>
    </row>
    <row r="6201" spans="1:15" x14ac:dyDescent="0.2">
      <c r="A6201" s="111">
        <v>6359</v>
      </c>
      <c r="B6201" s="421" t="s">
        <v>11734</v>
      </c>
      <c r="C6201" s="421" t="s">
        <v>501</v>
      </c>
      <c r="D6201" s="422" t="s">
        <v>663</v>
      </c>
      <c r="E6201" s="111">
        <v>44247</v>
      </c>
      <c r="F6201" s="421" t="s">
        <v>11735</v>
      </c>
    </row>
    <row r="6202" spans="1:15" x14ac:dyDescent="0.2">
      <c r="A6202" s="111">
        <v>6360</v>
      </c>
      <c r="B6202" s="421" t="s">
        <v>1428</v>
      </c>
      <c r="C6202" s="421" t="s">
        <v>533</v>
      </c>
      <c r="D6202" s="422"/>
      <c r="E6202" s="111">
        <v>44543</v>
      </c>
      <c r="F6202" s="421" t="s">
        <v>11736</v>
      </c>
      <c r="G6202" s="112">
        <v>1</v>
      </c>
      <c r="H6202" s="112">
        <v>1</v>
      </c>
      <c r="I6202" s="112">
        <v>1</v>
      </c>
      <c r="J6202" s="112">
        <v>2</v>
      </c>
      <c r="K6202" s="112">
        <v>3</v>
      </c>
      <c r="L6202" s="112">
        <v>2</v>
      </c>
    </row>
    <row r="6203" spans="1:15" x14ac:dyDescent="0.2">
      <c r="A6203" s="111">
        <v>6361</v>
      </c>
      <c r="B6203" s="421" t="s">
        <v>481</v>
      </c>
      <c r="C6203" s="421" t="s">
        <v>572</v>
      </c>
      <c r="D6203" s="422" t="s">
        <v>663</v>
      </c>
      <c r="E6203" s="111">
        <v>16174</v>
      </c>
      <c r="F6203" s="421" t="s">
        <v>6511</v>
      </c>
      <c r="G6203" s="112">
        <v>1</v>
      </c>
      <c r="H6203" s="112">
        <v>1</v>
      </c>
      <c r="I6203" s="112">
        <v>1</v>
      </c>
    </row>
    <row r="6204" spans="1:15" x14ac:dyDescent="0.2">
      <c r="A6204" s="111">
        <v>6362</v>
      </c>
      <c r="B6204" s="421" t="s">
        <v>4612</v>
      </c>
      <c r="C6204" s="421" t="s">
        <v>574</v>
      </c>
      <c r="D6204" s="422" t="s">
        <v>666</v>
      </c>
      <c r="E6204" s="111">
        <v>44250</v>
      </c>
      <c r="F6204" s="421" t="s">
        <v>11737</v>
      </c>
    </row>
    <row r="6205" spans="1:15" x14ac:dyDescent="0.2">
      <c r="A6205" s="111">
        <v>6363</v>
      </c>
      <c r="B6205" s="421" t="s">
        <v>82</v>
      </c>
      <c r="C6205" s="421" t="s">
        <v>501</v>
      </c>
      <c r="D6205" s="422" t="s">
        <v>666</v>
      </c>
      <c r="F6205" s="421" t="s">
        <v>11738</v>
      </c>
    </row>
    <row r="6206" spans="1:15" x14ac:dyDescent="0.2">
      <c r="A6206" s="111">
        <v>6364</v>
      </c>
      <c r="B6206" s="421" t="s">
        <v>2616</v>
      </c>
      <c r="C6206" s="421" t="s">
        <v>503</v>
      </c>
      <c r="D6206" s="422" t="s">
        <v>663</v>
      </c>
      <c r="E6206" s="111">
        <v>44252</v>
      </c>
      <c r="F6206" s="421" t="s">
        <v>11739</v>
      </c>
      <c r="G6206" s="112">
        <v>1</v>
      </c>
      <c r="H6206" s="112">
        <v>1</v>
      </c>
      <c r="I6206" s="112">
        <v>1</v>
      </c>
      <c r="J6206" s="112">
        <v>1</v>
      </c>
      <c r="K6206" s="112">
        <v>1</v>
      </c>
      <c r="L6206" s="112">
        <v>1</v>
      </c>
    </row>
    <row r="6207" spans="1:15" x14ac:dyDescent="0.2">
      <c r="A6207" s="111">
        <v>6365</v>
      </c>
      <c r="B6207" s="421" t="s">
        <v>11740</v>
      </c>
      <c r="C6207" s="421" t="s">
        <v>591</v>
      </c>
      <c r="D6207" s="422" t="s">
        <v>666</v>
      </c>
      <c r="E6207" s="111">
        <v>44253</v>
      </c>
      <c r="F6207" s="421" t="s">
        <v>11741</v>
      </c>
      <c r="G6207" s="112">
        <v>1</v>
      </c>
      <c r="H6207" s="112">
        <v>1</v>
      </c>
      <c r="I6207" s="112">
        <v>1</v>
      </c>
      <c r="J6207" s="112">
        <v>2</v>
      </c>
      <c r="K6207" s="112">
        <v>2</v>
      </c>
    </row>
    <row r="6208" spans="1:15" x14ac:dyDescent="0.2">
      <c r="A6208" s="111">
        <v>6366</v>
      </c>
      <c r="B6208" s="421" t="s">
        <v>4654</v>
      </c>
      <c r="C6208" s="421" t="s">
        <v>501</v>
      </c>
      <c r="D6208" s="422" t="s">
        <v>666</v>
      </c>
      <c r="E6208" s="111">
        <v>44253</v>
      </c>
      <c r="F6208" s="421" t="s">
        <v>11741</v>
      </c>
      <c r="G6208" s="112">
        <v>1</v>
      </c>
      <c r="H6208" s="112">
        <v>1</v>
      </c>
      <c r="I6208" s="112">
        <v>1</v>
      </c>
    </row>
    <row r="6209" spans="1:15" x14ac:dyDescent="0.2">
      <c r="A6209" s="111">
        <v>6367</v>
      </c>
      <c r="B6209" s="421" t="s">
        <v>11754</v>
      </c>
      <c r="C6209" s="421" t="s">
        <v>501</v>
      </c>
      <c r="D6209" s="422" t="s">
        <v>663</v>
      </c>
      <c r="E6209" s="111">
        <v>44254</v>
      </c>
      <c r="F6209" s="421" t="s">
        <v>11755</v>
      </c>
      <c r="G6209" s="112">
        <v>1</v>
      </c>
      <c r="H6209" s="112">
        <v>1</v>
      </c>
      <c r="I6209" s="112">
        <v>1</v>
      </c>
      <c r="J6209" s="112">
        <v>1</v>
      </c>
      <c r="L6209" s="112">
        <v>1</v>
      </c>
    </row>
    <row r="6210" spans="1:15" x14ac:dyDescent="0.2">
      <c r="A6210" s="111">
        <v>6368</v>
      </c>
      <c r="B6210" s="421" t="s">
        <v>7061</v>
      </c>
      <c r="C6210" s="421" t="s">
        <v>534</v>
      </c>
      <c r="D6210" s="422" t="s">
        <v>663</v>
      </c>
      <c r="E6210" s="111">
        <v>44255</v>
      </c>
      <c r="F6210" s="421" t="s">
        <v>11756</v>
      </c>
      <c r="G6210" s="112">
        <v>2</v>
      </c>
      <c r="H6210" s="112">
        <v>2</v>
      </c>
      <c r="J6210" s="112">
        <v>1</v>
      </c>
    </row>
    <row r="6211" spans="1:15" x14ac:dyDescent="0.2">
      <c r="A6211" s="111">
        <v>6369</v>
      </c>
      <c r="B6211" s="421" t="s">
        <v>2426</v>
      </c>
      <c r="C6211" s="421" t="s">
        <v>577</v>
      </c>
      <c r="D6211" s="422" t="s">
        <v>663</v>
      </c>
      <c r="E6211" s="111">
        <v>44251</v>
      </c>
      <c r="F6211" s="421" t="s">
        <v>11757</v>
      </c>
    </row>
    <row r="6212" spans="1:15" x14ac:dyDescent="0.2">
      <c r="A6212" s="111">
        <v>6370</v>
      </c>
      <c r="B6212" s="421" t="s">
        <v>9136</v>
      </c>
      <c r="C6212" s="421" t="s">
        <v>534</v>
      </c>
      <c r="D6212" s="422" t="s">
        <v>666</v>
      </c>
      <c r="E6212" s="111">
        <v>15323</v>
      </c>
      <c r="F6212" s="421" t="s">
        <v>3833</v>
      </c>
      <c r="G6212" s="112">
        <v>1</v>
      </c>
      <c r="H6212" s="112">
        <v>2</v>
      </c>
      <c r="I6212" s="112">
        <v>1</v>
      </c>
      <c r="J6212" s="112">
        <v>6</v>
      </c>
      <c r="K6212" s="112">
        <v>8</v>
      </c>
      <c r="L6212" s="112">
        <v>9</v>
      </c>
      <c r="M6212" s="112">
        <v>5</v>
      </c>
      <c r="N6212" s="112">
        <v>2</v>
      </c>
      <c r="O6212" s="112">
        <v>6</v>
      </c>
    </row>
    <row r="6213" spans="1:15" x14ac:dyDescent="0.2">
      <c r="A6213" s="111">
        <v>6371</v>
      </c>
      <c r="B6213" s="421" t="s">
        <v>11758</v>
      </c>
      <c r="C6213" s="421" t="s">
        <v>4162</v>
      </c>
      <c r="D6213" s="422" t="s">
        <v>663</v>
      </c>
      <c r="E6213" s="111">
        <v>44256</v>
      </c>
      <c r="F6213" s="421" t="s">
        <v>11759</v>
      </c>
      <c r="G6213" s="112">
        <v>1</v>
      </c>
      <c r="H6213" s="112">
        <v>1</v>
      </c>
      <c r="I6213" s="112">
        <v>1</v>
      </c>
      <c r="J6213" s="112">
        <v>7</v>
      </c>
      <c r="K6213" s="112">
        <v>7</v>
      </c>
      <c r="L6213" s="112">
        <v>5</v>
      </c>
    </row>
    <row r="6214" spans="1:15" x14ac:dyDescent="0.2">
      <c r="A6214" s="111">
        <v>6372</v>
      </c>
      <c r="B6214" s="421" t="s">
        <v>11760</v>
      </c>
      <c r="C6214" s="421" t="s">
        <v>516</v>
      </c>
      <c r="D6214" s="422" t="s">
        <v>663</v>
      </c>
      <c r="F6214" s="421" t="s">
        <v>10143</v>
      </c>
      <c r="G6214" s="112">
        <v>1</v>
      </c>
      <c r="I6214" s="112">
        <v>1</v>
      </c>
    </row>
    <row r="6215" spans="1:15" x14ac:dyDescent="0.2">
      <c r="A6215" s="111">
        <v>6373</v>
      </c>
      <c r="B6215" s="421" t="s">
        <v>1248</v>
      </c>
      <c r="C6215" s="421" t="s">
        <v>506</v>
      </c>
      <c r="D6215" s="422" t="s">
        <v>663</v>
      </c>
      <c r="E6215" s="111">
        <v>15083</v>
      </c>
      <c r="F6215" s="421" t="s">
        <v>3106</v>
      </c>
      <c r="G6215" s="112">
        <v>1</v>
      </c>
      <c r="H6215" s="112">
        <v>3</v>
      </c>
      <c r="I6215" s="112">
        <v>3</v>
      </c>
      <c r="J6215" s="112">
        <v>2</v>
      </c>
      <c r="K6215" s="112">
        <v>4</v>
      </c>
      <c r="L6215" s="112">
        <v>4</v>
      </c>
      <c r="M6215" s="112">
        <v>1</v>
      </c>
      <c r="O6215" s="112">
        <v>2</v>
      </c>
    </row>
    <row r="6216" spans="1:15" x14ac:dyDescent="0.2">
      <c r="A6216" s="111">
        <v>6374</v>
      </c>
      <c r="B6216" s="421" t="s">
        <v>171</v>
      </c>
      <c r="C6216" s="421" t="s">
        <v>501</v>
      </c>
      <c r="D6216" s="422" t="s">
        <v>666</v>
      </c>
      <c r="E6216" s="111">
        <v>15197</v>
      </c>
      <c r="F6216" s="421" t="s">
        <v>3269</v>
      </c>
      <c r="G6216" s="112">
        <v>1</v>
      </c>
      <c r="H6216" s="112">
        <v>1</v>
      </c>
      <c r="I6216" s="112">
        <v>1</v>
      </c>
      <c r="J6216" s="112">
        <v>5</v>
      </c>
      <c r="K6216" s="112">
        <v>6</v>
      </c>
      <c r="L6216" s="112">
        <v>6</v>
      </c>
    </row>
    <row r="6217" spans="1:15" x14ac:dyDescent="0.2">
      <c r="A6217" s="111">
        <v>6375</v>
      </c>
      <c r="B6217" s="421" t="s">
        <v>11761</v>
      </c>
      <c r="C6217" s="421" t="s">
        <v>510</v>
      </c>
      <c r="D6217" s="422" t="s">
        <v>666</v>
      </c>
      <c r="E6217" s="111">
        <v>44257</v>
      </c>
      <c r="F6217" s="421" t="s">
        <v>11762</v>
      </c>
      <c r="G6217" s="112">
        <v>1</v>
      </c>
      <c r="H6217" s="112">
        <v>1</v>
      </c>
      <c r="I6217" s="112">
        <v>1</v>
      </c>
      <c r="J6217" s="112">
        <v>2</v>
      </c>
      <c r="K6217" s="112">
        <v>3</v>
      </c>
      <c r="L6217" s="112">
        <v>3</v>
      </c>
    </row>
    <row r="6218" spans="1:15" x14ac:dyDescent="0.2">
      <c r="A6218" s="111">
        <v>6376</v>
      </c>
      <c r="B6218" s="421" t="s">
        <v>106</v>
      </c>
      <c r="C6218" s="421" t="s">
        <v>572</v>
      </c>
      <c r="D6218" s="422" t="s">
        <v>663</v>
      </c>
      <c r="E6218" s="111">
        <v>44258</v>
      </c>
      <c r="F6218" s="421" t="s">
        <v>11763</v>
      </c>
    </row>
    <row r="6219" spans="1:15" x14ac:dyDescent="0.2">
      <c r="A6219" s="111">
        <v>6377</v>
      </c>
      <c r="B6219" s="421" t="s">
        <v>178</v>
      </c>
      <c r="C6219" s="421" t="s">
        <v>503</v>
      </c>
      <c r="D6219" s="422" t="s">
        <v>663</v>
      </c>
      <c r="E6219" s="111">
        <v>44259</v>
      </c>
      <c r="F6219" s="421" t="s">
        <v>11764</v>
      </c>
      <c r="G6219" s="112">
        <v>1</v>
      </c>
      <c r="H6219" s="112">
        <v>1</v>
      </c>
      <c r="I6219" s="112">
        <v>1</v>
      </c>
    </row>
    <row r="6220" spans="1:15" x14ac:dyDescent="0.2">
      <c r="A6220" s="111">
        <v>6378</v>
      </c>
      <c r="B6220" s="421" t="s">
        <v>7272</v>
      </c>
      <c r="C6220" s="421" t="s">
        <v>11565</v>
      </c>
      <c r="D6220" s="422" t="s">
        <v>663</v>
      </c>
      <c r="E6220" s="111">
        <v>44185</v>
      </c>
      <c r="F6220" s="421" t="s">
        <v>11566</v>
      </c>
      <c r="G6220" s="112">
        <v>2</v>
      </c>
      <c r="H6220" s="112">
        <v>2</v>
      </c>
      <c r="I6220" s="112">
        <v>2</v>
      </c>
      <c r="J6220" s="112">
        <v>8</v>
      </c>
      <c r="K6220" s="112">
        <v>1</v>
      </c>
      <c r="L6220" s="112">
        <v>3</v>
      </c>
    </row>
    <row r="6221" spans="1:15" x14ac:dyDescent="0.2">
      <c r="A6221" s="111">
        <v>6379</v>
      </c>
      <c r="B6221" s="421" t="s">
        <v>84</v>
      </c>
      <c r="C6221" s="421" t="s">
        <v>513</v>
      </c>
      <c r="D6221" s="422" t="s">
        <v>663</v>
      </c>
      <c r="E6221" s="111">
        <v>44260</v>
      </c>
      <c r="F6221" s="421" t="s">
        <v>11765</v>
      </c>
      <c r="G6221" s="112">
        <v>1</v>
      </c>
      <c r="H6221" s="112">
        <v>2</v>
      </c>
      <c r="I6221" s="112">
        <v>2</v>
      </c>
      <c r="J6221" s="112">
        <v>3</v>
      </c>
      <c r="K6221" s="112">
        <v>1</v>
      </c>
      <c r="L6221" s="112">
        <v>3</v>
      </c>
    </row>
    <row r="6222" spans="1:15" x14ac:dyDescent="0.2">
      <c r="A6222" s="111">
        <v>6380</v>
      </c>
      <c r="B6222" s="421" t="s">
        <v>11766</v>
      </c>
      <c r="C6222" s="421" t="s">
        <v>516</v>
      </c>
      <c r="D6222" s="422" t="s">
        <v>666</v>
      </c>
      <c r="E6222" s="111">
        <v>44261</v>
      </c>
      <c r="F6222" s="421" t="s">
        <v>11767</v>
      </c>
    </row>
    <row r="6223" spans="1:15" x14ac:dyDescent="0.2">
      <c r="A6223" s="111">
        <v>6381</v>
      </c>
      <c r="B6223" s="421" t="s">
        <v>1581</v>
      </c>
      <c r="C6223" s="421" t="s">
        <v>513</v>
      </c>
      <c r="D6223" s="422" t="s">
        <v>663</v>
      </c>
      <c r="E6223" s="111">
        <v>16125</v>
      </c>
      <c r="F6223" s="421" t="s">
        <v>6425</v>
      </c>
      <c r="G6223" s="112">
        <v>1</v>
      </c>
      <c r="H6223" s="112">
        <v>1</v>
      </c>
      <c r="I6223" s="112">
        <v>1</v>
      </c>
      <c r="K6223" s="112">
        <v>1</v>
      </c>
    </row>
    <row r="6224" spans="1:15" x14ac:dyDescent="0.2">
      <c r="A6224" s="111">
        <v>6382</v>
      </c>
      <c r="B6224" s="421" t="s">
        <v>125</v>
      </c>
      <c r="C6224" s="421" t="s">
        <v>4162</v>
      </c>
      <c r="D6224" s="422" t="s">
        <v>663</v>
      </c>
      <c r="E6224" s="111">
        <v>44262</v>
      </c>
      <c r="F6224" s="421" t="s">
        <v>11768</v>
      </c>
      <c r="G6224" s="112">
        <v>1</v>
      </c>
      <c r="H6224" s="112">
        <v>2</v>
      </c>
      <c r="I6224" s="112">
        <v>1</v>
      </c>
      <c r="K6224" s="112">
        <v>2</v>
      </c>
      <c r="L6224" s="112">
        <v>1</v>
      </c>
    </row>
    <row r="6225" spans="1:15" x14ac:dyDescent="0.2">
      <c r="A6225" s="111">
        <v>6383</v>
      </c>
      <c r="B6225" s="421" t="s">
        <v>10915</v>
      </c>
      <c r="C6225" s="421" t="s">
        <v>501</v>
      </c>
      <c r="D6225" s="422" t="s">
        <v>666</v>
      </c>
      <c r="E6225" s="111">
        <v>44522</v>
      </c>
      <c r="F6225" s="421" t="s">
        <v>11769</v>
      </c>
      <c r="G6225" s="112">
        <v>1</v>
      </c>
      <c r="H6225" s="112">
        <v>1</v>
      </c>
      <c r="I6225" s="112">
        <v>1</v>
      </c>
    </row>
    <row r="6226" spans="1:15" x14ac:dyDescent="0.2">
      <c r="A6226" s="111">
        <v>6384</v>
      </c>
      <c r="B6226" s="421" t="s">
        <v>7137</v>
      </c>
      <c r="C6226" s="421" t="s">
        <v>516</v>
      </c>
      <c r="D6226" s="422" t="s">
        <v>663</v>
      </c>
      <c r="E6226" s="111">
        <v>44249</v>
      </c>
      <c r="F6226" s="421" t="s">
        <v>2941</v>
      </c>
      <c r="H6226" s="112">
        <v>1</v>
      </c>
      <c r="I6226" s="112">
        <v>1</v>
      </c>
    </row>
    <row r="6227" spans="1:15" x14ac:dyDescent="0.2">
      <c r="A6227" s="111">
        <v>6385</v>
      </c>
      <c r="B6227" s="421" t="s">
        <v>2247</v>
      </c>
      <c r="C6227" s="421" t="s">
        <v>501</v>
      </c>
      <c r="D6227" s="422" t="s">
        <v>663</v>
      </c>
      <c r="E6227" s="111">
        <v>44231</v>
      </c>
      <c r="F6227" s="421" t="s">
        <v>11770</v>
      </c>
    </row>
    <row r="6228" spans="1:15" x14ac:dyDescent="0.2">
      <c r="A6228" s="111">
        <v>6387</v>
      </c>
      <c r="B6228" s="421" t="s">
        <v>6034</v>
      </c>
      <c r="C6228" s="421" t="s">
        <v>7405</v>
      </c>
      <c r="D6228" s="422" t="s">
        <v>666</v>
      </c>
      <c r="E6228" s="111">
        <v>17283</v>
      </c>
      <c r="F6228" s="421" t="s">
        <v>10629</v>
      </c>
    </row>
    <row r="6229" spans="1:15" x14ac:dyDescent="0.2">
      <c r="A6229" s="111">
        <v>6388</v>
      </c>
      <c r="B6229" s="421" t="s">
        <v>2247</v>
      </c>
      <c r="C6229" s="421" t="s">
        <v>574</v>
      </c>
      <c r="D6229" s="422" t="s">
        <v>663</v>
      </c>
      <c r="F6229" s="421" t="s">
        <v>11771</v>
      </c>
      <c r="G6229" s="112">
        <v>1</v>
      </c>
      <c r="H6229" s="112">
        <v>1</v>
      </c>
      <c r="I6229" s="112">
        <v>1</v>
      </c>
      <c r="K6229" s="112">
        <v>1</v>
      </c>
    </row>
    <row r="6230" spans="1:15" x14ac:dyDescent="0.2">
      <c r="A6230" s="111">
        <v>6389</v>
      </c>
      <c r="B6230" s="421" t="s">
        <v>1218</v>
      </c>
      <c r="C6230" s="421" t="s">
        <v>510</v>
      </c>
      <c r="D6230" s="422" t="s">
        <v>663</v>
      </c>
      <c r="E6230" s="111">
        <v>16972</v>
      </c>
      <c r="F6230" s="421" t="s">
        <v>9492</v>
      </c>
    </row>
    <row r="6231" spans="1:15" x14ac:dyDescent="0.2">
      <c r="A6231" s="111">
        <v>6390</v>
      </c>
      <c r="B6231" s="421" t="s">
        <v>46</v>
      </c>
      <c r="C6231" s="421" t="s">
        <v>551</v>
      </c>
      <c r="D6231" s="422" t="s">
        <v>663</v>
      </c>
      <c r="E6231" s="111">
        <v>15068</v>
      </c>
      <c r="F6231" s="421" t="s">
        <v>2574</v>
      </c>
      <c r="G6231" s="112">
        <v>1</v>
      </c>
      <c r="H6231" s="112">
        <v>1</v>
      </c>
      <c r="I6231" s="112">
        <v>1</v>
      </c>
      <c r="K6231" s="112">
        <v>1</v>
      </c>
    </row>
    <row r="6232" spans="1:15" x14ac:dyDescent="0.2">
      <c r="A6232" s="111">
        <v>6391</v>
      </c>
      <c r="B6232" s="421" t="s">
        <v>11772</v>
      </c>
      <c r="C6232" s="421" t="s">
        <v>506</v>
      </c>
      <c r="D6232" s="422" t="s">
        <v>666</v>
      </c>
      <c r="E6232" s="111">
        <v>16089</v>
      </c>
      <c r="F6232" s="421" t="s">
        <v>6319</v>
      </c>
      <c r="G6232" s="112">
        <v>1</v>
      </c>
      <c r="H6232" s="112">
        <v>1</v>
      </c>
      <c r="I6232" s="112">
        <v>1</v>
      </c>
      <c r="J6232" s="112">
        <v>8</v>
      </c>
      <c r="K6232" s="112">
        <v>8</v>
      </c>
      <c r="L6232" s="112">
        <v>7</v>
      </c>
      <c r="M6232" s="112">
        <v>5</v>
      </c>
      <c r="N6232" s="112">
        <v>4</v>
      </c>
      <c r="O6232" s="112">
        <v>6</v>
      </c>
    </row>
    <row r="6233" spans="1:15" x14ac:dyDescent="0.2">
      <c r="A6233" s="111">
        <v>6392</v>
      </c>
      <c r="B6233" s="421" t="s">
        <v>1538</v>
      </c>
      <c r="C6233" s="421" t="s">
        <v>506</v>
      </c>
      <c r="D6233" s="422" t="s">
        <v>663</v>
      </c>
      <c r="E6233" s="111">
        <v>17314</v>
      </c>
      <c r="F6233" s="421" t="s">
        <v>10855</v>
      </c>
      <c r="G6233" s="112">
        <v>1</v>
      </c>
      <c r="H6233" s="112">
        <v>1</v>
      </c>
      <c r="I6233" s="112">
        <v>1</v>
      </c>
      <c r="K6233" s="112">
        <v>2</v>
      </c>
      <c r="L6233" s="112">
        <v>1</v>
      </c>
    </row>
    <row r="6234" spans="1:15" x14ac:dyDescent="0.2">
      <c r="A6234" s="111">
        <v>6393</v>
      </c>
      <c r="B6234" s="421" t="s">
        <v>11773</v>
      </c>
      <c r="C6234" s="421" t="s">
        <v>501</v>
      </c>
      <c r="D6234" s="422" t="s">
        <v>666</v>
      </c>
      <c r="E6234" s="111">
        <v>44263</v>
      </c>
      <c r="F6234" s="421" t="s">
        <v>11774</v>
      </c>
      <c r="G6234" s="112">
        <v>1</v>
      </c>
      <c r="H6234" s="112">
        <v>1</v>
      </c>
      <c r="I6234" s="112">
        <v>1</v>
      </c>
      <c r="J6234" s="112">
        <v>1</v>
      </c>
    </row>
    <row r="6235" spans="1:15" x14ac:dyDescent="0.2">
      <c r="A6235" s="111">
        <v>6394</v>
      </c>
      <c r="B6235" s="421" t="s">
        <v>1428</v>
      </c>
      <c r="C6235" s="421" t="s">
        <v>540</v>
      </c>
      <c r="D6235" s="422" t="s">
        <v>666</v>
      </c>
      <c r="E6235" s="111">
        <v>44264</v>
      </c>
      <c r="F6235" s="421" t="s">
        <v>11775</v>
      </c>
      <c r="G6235" s="112">
        <v>1</v>
      </c>
      <c r="H6235" s="112">
        <v>1</v>
      </c>
      <c r="I6235" s="112">
        <v>1</v>
      </c>
      <c r="J6235" s="112">
        <v>5</v>
      </c>
      <c r="L6235" s="112">
        <v>2</v>
      </c>
      <c r="M6235" s="112">
        <v>1</v>
      </c>
    </row>
    <row r="6236" spans="1:15" x14ac:dyDescent="0.2">
      <c r="A6236" s="111">
        <v>6395</v>
      </c>
      <c r="B6236" s="421" t="s">
        <v>11776</v>
      </c>
      <c r="C6236" s="421" t="s">
        <v>6561</v>
      </c>
      <c r="D6236" s="422" t="s">
        <v>663</v>
      </c>
      <c r="E6236" s="111">
        <v>44266</v>
      </c>
      <c r="F6236" s="421" t="s">
        <v>11777</v>
      </c>
    </row>
    <row r="6237" spans="1:15" x14ac:dyDescent="0.2">
      <c r="A6237" s="111">
        <v>6396</v>
      </c>
      <c r="B6237" s="421" t="s">
        <v>235</v>
      </c>
      <c r="C6237" s="421" t="s">
        <v>506</v>
      </c>
      <c r="D6237" s="422" t="s">
        <v>663</v>
      </c>
      <c r="E6237" s="111">
        <v>44267</v>
      </c>
      <c r="F6237" s="421" t="s">
        <v>11778</v>
      </c>
      <c r="G6237" s="112">
        <v>1</v>
      </c>
      <c r="H6237" s="112">
        <v>1</v>
      </c>
      <c r="I6237" s="112">
        <v>1</v>
      </c>
    </row>
    <row r="6238" spans="1:15" x14ac:dyDescent="0.2">
      <c r="A6238" s="111">
        <v>6397</v>
      </c>
      <c r="B6238" s="421" t="s">
        <v>2759</v>
      </c>
      <c r="C6238" s="421" t="s">
        <v>12129</v>
      </c>
      <c r="D6238" s="422" t="s">
        <v>663</v>
      </c>
      <c r="E6238" s="111">
        <v>44268</v>
      </c>
      <c r="F6238" s="421" t="s">
        <v>11779</v>
      </c>
      <c r="G6238" s="112">
        <v>1</v>
      </c>
      <c r="H6238" s="112">
        <v>1</v>
      </c>
      <c r="I6238" s="112">
        <v>1</v>
      </c>
      <c r="J6238" s="112">
        <v>3</v>
      </c>
      <c r="K6238" s="112">
        <v>3</v>
      </c>
      <c r="L6238" s="112">
        <v>2</v>
      </c>
    </row>
    <row r="6239" spans="1:15" x14ac:dyDescent="0.2">
      <c r="A6239" s="111">
        <v>6398</v>
      </c>
      <c r="B6239" s="421" t="s">
        <v>11780</v>
      </c>
      <c r="C6239" s="421" t="s">
        <v>511</v>
      </c>
      <c r="D6239" s="422" t="s">
        <v>663</v>
      </c>
      <c r="E6239" s="111">
        <v>44269</v>
      </c>
      <c r="F6239" s="421" t="s">
        <v>11781</v>
      </c>
      <c r="G6239" s="112">
        <v>1</v>
      </c>
      <c r="H6239" s="112">
        <v>1</v>
      </c>
      <c r="I6239" s="112">
        <v>1</v>
      </c>
    </row>
    <row r="6240" spans="1:15" x14ac:dyDescent="0.2">
      <c r="A6240" s="111">
        <v>6399</v>
      </c>
      <c r="B6240" s="421" t="s">
        <v>253</v>
      </c>
      <c r="C6240" s="421" t="s">
        <v>501</v>
      </c>
      <c r="D6240" s="422" t="s">
        <v>666</v>
      </c>
      <c r="E6240" s="111">
        <v>44078</v>
      </c>
      <c r="F6240" s="421" t="s">
        <v>11144</v>
      </c>
      <c r="G6240" s="112">
        <v>1</v>
      </c>
      <c r="H6240" s="112">
        <v>1</v>
      </c>
      <c r="I6240" s="112">
        <v>1</v>
      </c>
    </row>
    <row r="6241" spans="1:15" x14ac:dyDescent="0.2">
      <c r="A6241" s="111">
        <v>6400</v>
      </c>
      <c r="B6241" s="421" t="s">
        <v>11782</v>
      </c>
      <c r="C6241" s="421" t="s">
        <v>551</v>
      </c>
      <c r="D6241" s="422" t="s">
        <v>663</v>
      </c>
      <c r="E6241" s="111">
        <v>14312</v>
      </c>
      <c r="F6241" s="421" t="s">
        <v>1069</v>
      </c>
      <c r="G6241" s="112">
        <v>1</v>
      </c>
      <c r="H6241" s="112">
        <v>2</v>
      </c>
      <c r="I6241" s="112">
        <v>2</v>
      </c>
    </row>
    <row r="6242" spans="1:15" x14ac:dyDescent="0.2">
      <c r="A6242" s="111">
        <v>6401</v>
      </c>
      <c r="B6242" s="421" t="s">
        <v>3858</v>
      </c>
      <c r="C6242" s="421" t="s">
        <v>628</v>
      </c>
      <c r="D6242" s="422" t="s">
        <v>663</v>
      </c>
      <c r="E6242" s="111">
        <v>44270</v>
      </c>
      <c r="F6242" s="421" t="s">
        <v>11783</v>
      </c>
      <c r="G6242" s="112">
        <v>1</v>
      </c>
      <c r="H6242" s="112">
        <v>1</v>
      </c>
      <c r="I6242" s="112">
        <v>1</v>
      </c>
      <c r="J6242" s="112">
        <v>2</v>
      </c>
      <c r="K6242" s="112">
        <v>1</v>
      </c>
      <c r="L6242" s="112">
        <v>1</v>
      </c>
      <c r="O6242" s="112">
        <v>1</v>
      </c>
    </row>
    <row r="6243" spans="1:15" x14ac:dyDescent="0.2">
      <c r="A6243" s="111">
        <v>6402</v>
      </c>
      <c r="B6243" s="421" t="s">
        <v>6065</v>
      </c>
      <c r="C6243" s="421" t="s">
        <v>512</v>
      </c>
      <c r="D6243" s="422" t="s">
        <v>666</v>
      </c>
      <c r="E6243" s="111">
        <v>44271</v>
      </c>
      <c r="F6243" s="421" t="s">
        <v>3174</v>
      </c>
      <c r="G6243" s="112">
        <v>1</v>
      </c>
      <c r="H6243" s="112">
        <v>1</v>
      </c>
      <c r="I6243" s="112">
        <v>1</v>
      </c>
      <c r="J6243" s="112">
        <v>1</v>
      </c>
      <c r="K6243" s="112">
        <v>1</v>
      </c>
      <c r="L6243" s="112">
        <v>1</v>
      </c>
      <c r="M6243" s="112">
        <v>2</v>
      </c>
    </row>
    <row r="6244" spans="1:15" x14ac:dyDescent="0.2">
      <c r="A6244" s="111">
        <v>6403</v>
      </c>
      <c r="B6244" s="421" t="s">
        <v>11784</v>
      </c>
      <c r="C6244" s="421" t="s">
        <v>521</v>
      </c>
      <c r="D6244" s="422" t="s">
        <v>663</v>
      </c>
      <c r="E6244" s="111">
        <v>15264</v>
      </c>
      <c r="F6244" s="421" t="s">
        <v>3552</v>
      </c>
      <c r="G6244" s="112">
        <v>2</v>
      </c>
      <c r="H6244" s="112">
        <v>2</v>
      </c>
      <c r="I6244" s="112">
        <v>1</v>
      </c>
      <c r="J6244" s="112">
        <v>1</v>
      </c>
      <c r="L6244" s="112">
        <v>1</v>
      </c>
    </row>
    <row r="6245" spans="1:15" x14ac:dyDescent="0.2">
      <c r="A6245" s="111">
        <v>6404</v>
      </c>
      <c r="B6245" s="421" t="s">
        <v>11785</v>
      </c>
      <c r="C6245" s="421" t="s">
        <v>514</v>
      </c>
      <c r="D6245" s="422" t="s">
        <v>666</v>
      </c>
      <c r="E6245" s="111">
        <v>44272</v>
      </c>
      <c r="F6245" s="421" t="s">
        <v>11786</v>
      </c>
    </row>
    <row r="6246" spans="1:15" x14ac:dyDescent="0.2">
      <c r="A6246" s="111">
        <v>6405</v>
      </c>
      <c r="B6246" s="421" t="s">
        <v>1228</v>
      </c>
      <c r="C6246" s="421" t="s">
        <v>501</v>
      </c>
      <c r="D6246" s="422" t="s">
        <v>663</v>
      </c>
      <c r="E6246" s="111">
        <v>44273</v>
      </c>
      <c r="F6246" s="421" t="s">
        <v>11893</v>
      </c>
      <c r="G6246" s="112">
        <v>1</v>
      </c>
      <c r="H6246" s="112">
        <v>1</v>
      </c>
      <c r="I6246" s="112">
        <v>1</v>
      </c>
      <c r="K6246" s="112">
        <v>2</v>
      </c>
      <c r="L6246" s="112">
        <v>1</v>
      </c>
    </row>
    <row r="6247" spans="1:15" x14ac:dyDescent="0.2">
      <c r="A6247" s="111">
        <v>6407</v>
      </c>
      <c r="B6247" s="421" t="s">
        <v>3911</v>
      </c>
      <c r="C6247" s="421" t="s">
        <v>577</v>
      </c>
      <c r="D6247" s="422" t="s">
        <v>666</v>
      </c>
      <c r="E6247" s="111">
        <v>44274</v>
      </c>
      <c r="F6247" s="421" t="s">
        <v>11894</v>
      </c>
      <c r="G6247" s="112">
        <v>1</v>
      </c>
      <c r="H6247" s="112">
        <v>1</v>
      </c>
      <c r="I6247" s="112">
        <v>1</v>
      </c>
      <c r="J6247" s="112">
        <v>1</v>
      </c>
      <c r="K6247" s="112">
        <v>1</v>
      </c>
    </row>
    <row r="6248" spans="1:15" x14ac:dyDescent="0.2">
      <c r="A6248" s="111">
        <v>6409</v>
      </c>
      <c r="B6248" s="421" t="s">
        <v>1100</v>
      </c>
      <c r="C6248" s="421" t="s">
        <v>510</v>
      </c>
      <c r="D6248" s="422" t="s">
        <v>666</v>
      </c>
      <c r="E6248" s="111">
        <v>44275</v>
      </c>
      <c r="F6248" s="421" t="s">
        <v>11895</v>
      </c>
      <c r="G6248" s="112">
        <v>1</v>
      </c>
      <c r="H6248" s="112">
        <v>1</v>
      </c>
      <c r="I6248" s="112">
        <v>1</v>
      </c>
      <c r="J6248" s="112">
        <v>1</v>
      </c>
      <c r="K6248" s="112">
        <v>2</v>
      </c>
      <c r="L6248" s="112">
        <v>2</v>
      </c>
    </row>
    <row r="6249" spans="1:15" x14ac:dyDescent="0.2">
      <c r="A6249" s="111">
        <v>6410</v>
      </c>
      <c r="B6249" s="421" t="s">
        <v>2109</v>
      </c>
      <c r="C6249" s="421" t="s">
        <v>516</v>
      </c>
      <c r="D6249" s="422" t="s">
        <v>666</v>
      </c>
      <c r="E6249" s="111">
        <v>15057</v>
      </c>
      <c r="F6249" s="421" t="s">
        <v>3028</v>
      </c>
      <c r="G6249" s="112">
        <v>1</v>
      </c>
      <c r="H6249" s="112">
        <v>1</v>
      </c>
      <c r="I6249" s="112">
        <v>1</v>
      </c>
      <c r="J6249" s="112">
        <v>1</v>
      </c>
      <c r="K6249" s="112">
        <v>1</v>
      </c>
      <c r="L6249" s="112">
        <v>1</v>
      </c>
    </row>
    <row r="6250" spans="1:15" x14ac:dyDescent="0.2">
      <c r="A6250" s="111">
        <v>6411</v>
      </c>
      <c r="B6250" s="421" t="s">
        <v>11896</v>
      </c>
      <c r="C6250" s="421" t="s">
        <v>507</v>
      </c>
      <c r="D6250" s="422" t="s">
        <v>663</v>
      </c>
      <c r="E6250" s="111">
        <v>14699</v>
      </c>
      <c r="F6250" s="421" t="s">
        <v>2195</v>
      </c>
      <c r="G6250" s="112">
        <v>1</v>
      </c>
      <c r="H6250" s="112">
        <v>1</v>
      </c>
      <c r="I6250" s="112">
        <v>1</v>
      </c>
    </row>
    <row r="6251" spans="1:15" x14ac:dyDescent="0.2">
      <c r="A6251" s="111">
        <v>6412</v>
      </c>
      <c r="B6251" s="421" t="s">
        <v>11897</v>
      </c>
      <c r="C6251" s="421" t="s">
        <v>501</v>
      </c>
      <c r="D6251" s="422" t="s">
        <v>666</v>
      </c>
      <c r="E6251" s="111">
        <v>44276</v>
      </c>
      <c r="F6251" s="421" t="s">
        <v>11898</v>
      </c>
    </row>
    <row r="6252" spans="1:15" x14ac:dyDescent="0.2">
      <c r="A6252" s="111">
        <v>6413</v>
      </c>
      <c r="B6252" s="421" t="s">
        <v>158</v>
      </c>
      <c r="C6252" s="421" t="s">
        <v>503</v>
      </c>
      <c r="D6252" s="422" t="s">
        <v>666</v>
      </c>
      <c r="F6252" s="421" t="s">
        <v>11899</v>
      </c>
    </row>
    <row r="6253" spans="1:15" x14ac:dyDescent="0.2">
      <c r="A6253" s="111">
        <v>6414</v>
      </c>
      <c r="B6253" s="421" t="s">
        <v>2081</v>
      </c>
      <c r="C6253" s="421" t="s">
        <v>516</v>
      </c>
      <c r="D6253" s="422" t="s">
        <v>663</v>
      </c>
      <c r="E6253" s="111">
        <v>15327</v>
      </c>
      <c r="F6253" s="421" t="s">
        <v>3524</v>
      </c>
      <c r="I6253" s="112">
        <v>1</v>
      </c>
    </row>
    <row r="6254" spans="1:15" x14ac:dyDescent="0.2">
      <c r="A6254" s="111">
        <v>6415</v>
      </c>
      <c r="B6254" s="421" t="s">
        <v>2133</v>
      </c>
      <c r="C6254" s="421" t="s">
        <v>503</v>
      </c>
      <c r="D6254" s="422" t="s">
        <v>663</v>
      </c>
      <c r="E6254" s="111">
        <v>44277</v>
      </c>
      <c r="F6254" s="421" t="s">
        <v>11900</v>
      </c>
      <c r="G6254" s="112">
        <v>1</v>
      </c>
      <c r="H6254" s="112">
        <v>1</v>
      </c>
      <c r="I6254" s="112">
        <v>1</v>
      </c>
      <c r="J6254" s="112">
        <v>1</v>
      </c>
      <c r="L6254" s="112">
        <v>1</v>
      </c>
    </row>
    <row r="6255" spans="1:15" x14ac:dyDescent="0.2">
      <c r="A6255" s="111">
        <v>6416</v>
      </c>
      <c r="B6255" s="421" t="s">
        <v>11901</v>
      </c>
      <c r="C6255" s="421" t="s">
        <v>526</v>
      </c>
      <c r="D6255" s="422" t="s">
        <v>663</v>
      </c>
      <c r="E6255" s="111">
        <v>15403</v>
      </c>
      <c r="F6255" s="421" t="s">
        <v>4998</v>
      </c>
    </row>
    <row r="6256" spans="1:15" x14ac:dyDescent="0.2">
      <c r="A6256" s="111">
        <v>6417</v>
      </c>
      <c r="B6256" s="421" t="s">
        <v>471</v>
      </c>
      <c r="C6256" s="421" t="s">
        <v>503</v>
      </c>
      <c r="D6256" s="422" t="s">
        <v>666</v>
      </c>
      <c r="F6256" s="421" t="s">
        <v>11902</v>
      </c>
      <c r="G6256" s="112">
        <v>1</v>
      </c>
      <c r="H6256" s="112">
        <v>1</v>
      </c>
      <c r="I6256" s="112">
        <v>1</v>
      </c>
      <c r="J6256" s="112">
        <v>2</v>
      </c>
      <c r="K6256" s="112">
        <v>1</v>
      </c>
      <c r="L6256" s="112">
        <v>1</v>
      </c>
    </row>
    <row r="6257" spans="1:15" x14ac:dyDescent="0.2">
      <c r="A6257" s="111">
        <v>6418</v>
      </c>
      <c r="B6257" s="421" t="s">
        <v>1583</v>
      </c>
      <c r="C6257" s="421" t="s">
        <v>581</v>
      </c>
      <c r="D6257" s="422" t="s">
        <v>666</v>
      </c>
      <c r="E6257" s="111">
        <v>15658</v>
      </c>
      <c r="F6257" s="421" t="s">
        <v>5001</v>
      </c>
    </row>
    <row r="6258" spans="1:15" x14ac:dyDescent="0.2">
      <c r="A6258" s="111">
        <v>6419</v>
      </c>
      <c r="B6258" s="421" t="s">
        <v>4023</v>
      </c>
      <c r="C6258" s="421" t="s">
        <v>577</v>
      </c>
      <c r="D6258" s="422" t="s">
        <v>663</v>
      </c>
      <c r="E6258" s="111">
        <v>44278</v>
      </c>
      <c r="F6258" s="421" t="s">
        <v>11903</v>
      </c>
      <c r="G6258" s="112">
        <v>1</v>
      </c>
      <c r="H6258" s="112">
        <v>1</v>
      </c>
      <c r="I6258" s="112">
        <v>1</v>
      </c>
      <c r="J6258" s="112">
        <v>1</v>
      </c>
      <c r="K6258" s="112">
        <v>3</v>
      </c>
      <c r="L6258" s="112">
        <v>1</v>
      </c>
    </row>
    <row r="6259" spans="1:15" x14ac:dyDescent="0.2">
      <c r="A6259" s="111">
        <v>6420</v>
      </c>
      <c r="B6259" s="421" t="s">
        <v>1678</v>
      </c>
      <c r="C6259" s="421" t="s">
        <v>550</v>
      </c>
      <c r="D6259" s="422" t="s">
        <v>666</v>
      </c>
      <c r="F6259" s="421" t="s">
        <v>11904</v>
      </c>
    </row>
    <row r="6260" spans="1:15" x14ac:dyDescent="0.2">
      <c r="A6260" s="111">
        <v>6421</v>
      </c>
      <c r="B6260" s="421" t="s">
        <v>11905</v>
      </c>
      <c r="C6260" s="421" t="s">
        <v>510</v>
      </c>
      <c r="D6260" s="422" t="s">
        <v>666</v>
      </c>
      <c r="E6260" s="111">
        <v>17102</v>
      </c>
      <c r="F6260" s="421" t="s">
        <v>11906</v>
      </c>
      <c r="G6260" s="112">
        <v>1</v>
      </c>
      <c r="H6260" s="112">
        <v>1</v>
      </c>
      <c r="I6260" s="112">
        <v>1</v>
      </c>
      <c r="L6260" s="112">
        <v>3</v>
      </c>
    </row>
    <row r="6261" spans="1:15" x14ac:dyDescent="0.2">
      <c r="A6261" s="111">
        <v>6422</v>
      </c>
      <c r="B6261" s="421" t="s">
        <v>390</v>
      </c>
      <c r="C6261" s="421" t="s">
        <v>551</v>
      </c>
      <c r="D6261" s="422"/>
      <c r="E6261" s="111">
        <v>17267</v>
      </c>
      <c r="F6261" s="421" t="s">
        <v>11907</v>
      </c>
      <c r="G6261" s="112">
        <v>1</v>
      </c>
      <c r="H6261" s="112">
        <v>1</v>
      </c>
      <c r="I6261" s="112">
        <v>1</v>
      </c>
      <c r="J6261" s="112">
        <v>2</v>
      </c>
      <c r="K6261" s="112">
        <v>2</v>
      </c>
      <c r="L6261" s="112">
        <v>1</v>
      </c>
      <c r="M6261" s="112">
        <v>1</v>
      </c>
    </row>
    <row r="6262" spans="1:15" x14ac:dyDescent="0.2">
      <c r="A6262" s="111">
        <v>6423</v>
      </c>
      <c r="B6262" s="421" t="s">
        <v>11219</v>
      </c>
      <c r="C6262" s="421" t="s">
        <v>17459</v>
      </c>
      <c r="D6262" s="422" t="s">
        <v>666</v>
      </c>
      <c r="F6262" s="421" t="s">
        <v>11908</v>
      </c>
      <c r="G6262" s="112">
        <v>1</v>
      </c>
    </row>
    <row r="6263" spans="1:15" x14ac:dyDescent="0.2">
      <c r="A6263" s="111">
        <v>6424</v>
      </c>
      <c r="B6263" s="421" t="s">
        <v>262</v>
      </c>
      <c r="C6263" s="421" t="s">
        <v>1201</v>
      </c>
      <c r="D6263" s="422" t="s">
        <v>663</v>
      </c>
      <c r="E6263" s="111">
        <v>44279</v>
      </c>
      <c r="F6263" s="421" t="s">
        <v>11909</v>
      </c>
      <c r="G6263" s="112">
        <v>1</v>
      </c>
      <c r="H6263" s="112">
        <v>2</v>
      </c>
      <c r="I6263" s="112">
        <v>2</v>
      </c>
      <c r="L6263" s="112">
        <v>1</v>
      </c>
    </row>
    <row r="6264" spans="1:15" x14ac:dyDescent="0.2">
      <c r="A6264" s="111">
        <v>6425</v>
      </c>
      <c r="B6264" s="421" t="s">
        <v>11910</v>
      </c>
      <c r="C6264" s="421" t="s">
        <v>522</v>
      </c>
      <c r="D6264" s="422" t="s">
        <v>663</v>
      </c>
      <c r="E6264" s="111">
        <v>14928</v>
      </c>
      <c r="F6264" s="421" t="s">
        <v>2719</v>
      </c>
      <c r="G6264" s="112">
        <v>1</v>
      </c>
      <c r="H6264" s="112">
        <v>1</v>
      </c>
      <c r="I6264" s="112">
        <v>1</v>
      </c>
      <c r="J6264" s="112">
        <v>5</v>
      </c>
      <c r="K6264" s="112">
        <v>4</v>
      </c>
      <c r="L6264" s="112">
        <v>6</v>
      </c>
    </row>
    <row r="6265" spans="1:15" x14ac:dyDescent="0.2">
      <c r="A6265" s="111">
        <v>6426</v>
      </c>
      <c r="B6265" s="421" t="s">
        <v>11911</v>
      </c>
      <c r="C6265" s="421" t="s">
        <v>514</v>
      </c>
      <c r="D6265" s="422" t="s">
        <v>663</v>
      </c>
      <c r="E6265" s="111">
        <v>14133</v>
      </c>
      <c r="F6265" s="421" t="s">
        <v>763</v>
      </c>
      <c r="G6265" s="112">
        <v>1</v>
      </c>
      <c r="H6265" s="112">
        <v>1</v>
      </c>
      <c r="I6265" s="112">
        <v>1</v>
      </c>
      <c r="J6265" s="112">
        <v>3</v>
      </c>
      <c r="K6265" s="112">
        <v>3</v>
      </c>
      <c r="L6265" s="112">
        <v>3</v>
      </c>
      <c r="M6265" s="112">
        <v>3</v>
      </c>
      <c r="N6265" s="112">
        <v>1</v>
      </c>
      <c r="O6265" s="112">
        <v>2</v>
      </c>
    </row>
    <row r="6266" spans="1:15" x14ac:dyDescent="0.2">
      <c r="A6266" s="111">
        <v>6427</v>
      </c>
      <c r="B6266" s="421" t="s">
        <v>2614</v>
      </c>
      <c r="C6266" s="421" t="s">
        <v>501</v>
      </c>
      <c r="D6266" s="422" t="s">
        <v>663</v>
      </c>
      <c r="E6266" s="111">
        <v>44280</v>
      </c>
      <c r="F6266" s="421" t="s">
        <v>11912</v>
      </c>
      <c r="G6266" s="112">
        <v>1</v>
      </c>
      <c r="H6266" s="112">
        <v>2</v>
      </c>
      <c r="I6266" s="112">
        <v>1</v>
      </c>
      <c r="J6266" s="112">
        <v>2</v>
      </c>
      <c r="K6266" s="112">
        <v>3</v>
      </c>
      <c r="L6266" s="112">
        <v>3</v>
      </c>
    </row>
    <row r="6267" spans="1:15" x14ac:dyDescent="0.2">
      <c r="A6267" s="111">
        <v>6428</v>
      </c>
      <c r="B6267" s="421" t="s">
        <v>7272</v>
      </c>
      <c r="C6267" s="421" t="s">
        <v>530</v>
      </c>
      <c r="D6267" s="422" t="s">
        <v>663</v>
      </c>
      <c r="E6267" s="111">
        <v>44281</v>
      </c>
      <c r="F6267" s="421" t="s">
        <v>11913</v>
      </c>
      <c r="G6267" s="112">
        <v>3</v>
      </c>
      <c r="H6267" s="112">
        <v>3</v>
      </c>
      <c r="I6267" s="112">
        <v>3</v>
      </c>
      <c r="J6267" s="112">
        <v>2</v>
      </c>
      <c r="K6267" s="112">
        <v>4</v>
      </c>
      <c r="L6267" s="112">
        <v>3</v>
      </c>
      <c r="M6267" s="112">
        <v>1</v>
      </c>
    </row>
    <row r="6268" spans="1:15" x14ac:dyDescent="0.2">
      <c r="A6268" s="111">
        <v>6429</v>
      </c>
      <c r="B6268" s="421" t="s">
        <v>12130</v>
      </c>
      <c r="C6268" s="421" t="s">
        <v>2110</v>
      </c>
      <c r="D6268" s="422" t="s">
        <v>666</v>
      </c>
      <c r="E6268" s="111">
        <v>44282</v>
      </c>
      <c r="F6268" s="421" t="s">
        <v>11914</v>
      </c>
      <c r="G6268" s="112">
        <v>1</v>
      </c>
      <c r="I6268" s="112">
        <v>1</v>
      </c>
    </row>
    <row r="6269" spans="1:15" x14ac:dyDescent="0.2">
      <c r="A6269" s="111">
        <v>6430</v>
      </c>
      <c r="B6269" s="421" t="s">
        <v>1771</v>
      </c>
      <c r="C6269" s="421" t="s">
        <v>516</v>
      </c>
      <c r="D6269" s="422" t="s">
        <v>666</v>
      </c>
      <c r="E6269" s="111">
        <v>44283</v>
      </c>
      <c r="F6269" s="421" t="s">
        <v>11915</v>
      </c>
      <c r="G6269" s="112">
        <v>2</v>
      </c>
      <c r="H6269" s="112">
        <v>2</v>
      </c>
      <c r="I6269" s="112">
        <v>2</v>
      </c>
    </row>
    <row r="6270" spans="1:15" x14ac:dyDescent="0.2">
      <c r="A6270" s="111">
        <v>6431</v>
      </c>
      <c r="B6270" s="421" t="s">
        <v>11916</v>
      </c>
      <c r="C6270" s="421" t="s">
        <v>516</v>
      </c>
      <c r="D6270" s="422" t="s">
        <v>663</v>
      </c>
      <c r="E6270" s="111">
        <v>44283</v>
      </c>
      <c r="F6270" s="421" t="s">
        <v>11915</v>
      </c>
      <c r="G6270" s="112">
        <v>1</v>
      </c>
      <c r="H6270" s="112">
        <v>1</v>
      </c>
      <c r="I6270" s="112">
        <v>1</v>
      </c>
      <c r="J6270" s="112">
        <v>1</v>
      </c>
      <c r="K6270" s="112">
        <v>2</v>
      </c>
      <c r="L6270" s="112">
        <v>2</v>
      </c>
    </row>
    <row r="6271" spans="1:15" x14ac:dyDescent="0.2">
      <c r="A6271" s="111">
        <v>6432</v>
      </c>
      <c r="B6271" s="421" t="s">
        <v>11832</v>
      </c>
      <c r="C6271" s="421" t="s">
        <v>1419</v>
      </c>
      <c r="D6271" s="422" t="s">
        <v>663</v>
      </c>
      <c r="E6271" s="111">
        <v>44021</v>
      </c>
      <c r="F6271" s="421" t="s">
        <v>10929</v>
      </c>
      <c r="H6271" s="112">
        <v>1</v>
      </c>
    </row>
    <row r="6272" spans="1:15" x14ac:dyDescent="0.2">
      <c r="A6272" s="111">
        <v>6433</v>
      </c>
      <c r="B6272" s="421" t="s">
        <v>11917</v>
      </c>
      <c r="C6272" s="421" t="s">
        <v>586</v>
      </c>
      <c r="D6272" s="422" t="s">
        <v>666</v>
      </c>
      <c r="F6272" s="421" t="s">
        <v>11918</v>
      </c>
      <c r="H6272" s="112">
        <v>1</v>
      </c>
      <c r="I6272" s="112">
        <v>1</v>
      </c>
      <c r="L6272" s="112">
        <v>1</v>
      </c>
    </row>
    <row r="6273" spans="1:15" x14ac:dyDescent="0.2">
      <c r="A6273" s="111">
        <v>6434</v>
      </c>
      <c r="B6273" s="421" t="s">
        <v>11919</v>
      </c>
      <c r="C6273" s="421" t="s">
        <v>532</v>
      </c>
      <c r="D6273" s="422" t="s">
        <v>663</v>
      </c>
      <c r="E6273" s="111">
        <v>44182</v>
      </c>
      <c r="F6273" s="421" t="s">
        <v>11920</v>
      </c>
    </row>
    <row r="6274" spans="1:15" x14ac:dyDescent="0.2">
      <c r="A6274" s="111">
        <v>6435</v>
      </c>
      <c r="B6274" s="421" t="s">
        <v>11833</v>
      </c>
      <c r="C6274" s="421" t="s">
        <v>513</v>
      </c>
      <c r="D6274" s="422" t="s">
        <v>663</v>
      </c>
      <c r="F6274" s="421" t="s">
        <v>11834</v>
      </c>
      <c r="G6274" s="112">
        <v>1</v>
      </c>
      <c r="H6274" s="112">
        <v>1</v>
      </c>
      <c r="I6274" s="112">
        <v>1</v>
      </c>
    </row>
    <row r="6275" spans="1:15" x14ac:dyDescent="0.2">
      <c r="A6275" s="111">
        <v>6436</v>
      </c>
      <c r="B6275" s="421" t="s">
        <v>5726</v>
      </c>
      <c r="C6275" s="421" t="s">
        <v>628</v>
      </c>
      <c r="D6275" s="422" t="s">
        <v>663</v>
      </c>
      <c r="E6275" s="111">
        <v>44284</v>
      </c>
      <c r="F6275" s="421" t="s">
        <v>11921</v>
      </c>
      <c r="I6275" s="112">
        <v>1</v>
      </c>
    </row>
    <row r="6276" spans="1:15" x14ac:dyDescent="0.2">
      <c r="A6276" s="111">
        <v>6437</v>
      </c>
      <c r="B6276" s="421" t="s">
        <v>443</v>
      </c>
      <c r="C6276" s="421" t="s">
        <v>501</v>
      </c>
      <c r="D6276" s="422" t="s">
        <v>663</v>
      </c>
      <c r="E6276" s="111">
        <v>44285</v>
      </c>
      <c r="F6276" s="421" t="s">
        <v>11922</v>
      </c>
      <c r="H6276" s="112">
        <v>1</v>
      </c>
      <c r="I6276" s="112">
        <v>1</v>
      </c>
    </row>
    <row r="6277" spans="1:15" x14ac:dyDescent="0.2">
      <c r="A6277" s="111">
        <v>6438</v>
      </c>
      <c r="B6277" s="421" t="s">
        <v>11923</v>
      </c>
      <c r="C6277" s="421" t="s">
        <v>563</v>
      </c>
      <c r="D6277" s="422" t="s">
        <v>663</v>
      </c>
      <c r="E6277" s="111">
        <v>44287</v>
      </c>
      <c r="F6277" s="421" t="s">
        <v>11924</v>
      </c>
      <c r="G6277" s="112">
        <v>1</v>
      </c>
      <c r="H6277" s="112">
        <v>1</v>
      </c>
      <c r="I6277" s="112">
        <v>2</v>
      </c>
      <c r="J6277" s="112">
        <v>1</v>
      </c>
      <c r="K6277" s="112">
        <v>1</v>
      </c>
      <c r="L6277" s="112">
        <v>1</v>
      </c>
    </row>
    <row r="6278" spans="1:15" x14ac:dyDescent="0.2">
      <c r="A6278" s="111">
        <v>6439</v>
      </c>
      <c r="B6278" s="421" t="s">
        <v>1895</v>
      </c>
      <c r="C6278" s="421" t="s">
        <v>530</v>
      </c>
      <c r="D6278" s="422" t="s">
        <v>663</v>
      </c>
      <c r="E6278" s="111">
        <v>16884</v>
      </c>
      <c r="F6278" s="421" t="s">
        <v>9325</v>
      </c>
      <c r="G6278" s="112">
        <v>1</v>
      </c>
      <c r="I6278" s="112">
        <v>1</v>
      </c>
    </row>
    <row r="6279" spans="1:15" x14ac:dyDescent="0.2">
      <c r="A6279" s="111">
        <v>6440</v>
      </c>
      <c r="B6279" s="421" t="s">
        <v>5424</v>
      </c>
      <c r="C6279" s="421" t="s">
        <v>563</v>
      </c>
      <c r="D6279" s="422" t="s">
        <v>666</v>
      </c>
      <c r="E6279" s="111">
        <v>16479</v>
      </c>
      <c r="F6279" s="421" t="s">
        <v>7755</v>
      </c>
      <c r="G6279" s="112">
        <v>1</v>
      </c>
      <c r="H6279" s="112">
        <v>1</v>
      </c>
      <c r="I6279" s="112">
        <v>1</v>
      </c>
    </row>
    <row r="6280" spans="1:15" x14ac:dyDescent="0.2">
      <c r="A6280" s="111">
        <v>6441</v>
      </c>
      <c r="B6280" s="421" t="s">
        <v>5747</v>
      </c>
      <c r="C6280" s="421" t="s">
        <v>509</v>
      </c>
      <c r="D6280" s="422" t="s">
        <v>663</v>
      </c>
      <c r="E6280" s="111">
        <v>16479</v>
      </c>
      <c r="F6280" s="421" t="s">
        <v>7755</v>
      </c>
      <c r="G6280" s="112">
        <v>2</v>
      </c>
      <c r="H6280" s="112">
        <v>1</v>
      </c>
    </row>
    <row r="6281" spans="1:15" x14ac:dyDescent="0.2">
      <c r="A6281" s="111">
        <v>6442</v>
      </c>
      <c r="B6281" s="421" t="s">
        <v>2961</v>
      </c>
      <c r="C6281" s="421" t="s">
        <v>523</v>
      </c>
      <c r="D6281" s="422" t="s">
        <v>666</v>
      </c>
      <c r="E6281" s="111">
        <v>44288</v>
      </c>
      <c r="F6281" s="421" t="s">
        <v>11925</v>
      </c>
      <c r="G6281" s="112">
        <v>1</v>
      </c>
      <c r="H6281" s="112">
        <v>1</v>
      </c>
      <c r="I6281" s="112">
        <v>1</v>
      </c>
    </row>
    <row r="6282" spans="1:15" x14ac:dyDescent="0.2">
      <c r="A6282" s="111">
        <v>6443</v>
      </c>
      <c r="B6282" s="421" t="s">
        <v>2465</v>
      </c>
      <c r="C6282" s="421" t="s">
        <v>523</v>
      </c>
      <c r="D6282" s="422" t="s">
        <v>666</v>
      </c>
      <c r="E6282" s="111">
        <v>44288</v>
      </c>
      <c r="F6282" s="421" t="s">
        <v>11925</v>
      </c>
      <c r="G6282" s="112">
        <v>1</v>
      </c>
      <c r="H6282" s="112">
        <v>1</v>
      </c>
      <c r="I6282" s="112">
        <v>1</v>
      </c>
      <c r="K6282" s="112">
        <v>1</v>
      </c>
      <c r="L6282" s="112">
        <v>1</v>
      </c>
    </row>
    <row r="6283" spans="1:15" x14ac:dyDescent="0.2">
      <c r="A6283" s="111">
        <v>6444</v>
      </c>
      <c r="B6283" s="421" t="s">
        <v>1127</v>
      </c>
      <c r="C6283" s="421" t="s">
        <v>510</v>
      </c>
      <c r="D6283" s="422" t="s">
        <v>663</v>
      </c>
      <c r="E6283" s="111">
        <v>14580</v>
      </c>
      <c r="F6283" s="421" t="s">
        <v>1760</v>
      </c>
      <c r="G6283" s="112">
        <v>1</v>
      </c>
      <c r="H6283" s="112">
        <v>1</v>
      </c>
      <c r="I6283" s="112">
        <v>1</v>
      </c>
    </row>
    <row r="6284" spans="1:15" x14ac:dyDescent="0.2">
      <c r="A6284" s="111">
        <v>6445</v>
      </c>
      <c r="B6284" s="421" t="s">
        <v>11926</v>
      </c>
      <c r="C6284" s="421" t="s">
        <v>506</v>
      </c>
      <c r="D6284" s="422" t="s">
        <v>663</v>
      </c>
      <c r="E6284" s="111">
        <v>44290</v>
      </c>
      <c r="F6284" s="421" t="s">
        <v>11927</v>
      </c>
      <c r="G6284" s="112">
        <v>1</v>
      </c>
      <c r="H6284" s="112">
        <v>2</v>
      </c>
      <c r="I6284" s="112">
        <v>2</v>
      </c>
    </row>
    <row r="6285" spans="1:15" x14ac:dyDescent="0.2">
      <c r="A6285" s="111">
        <v>6446</v>
      </c>
      <c r="B6285" s="421" t="s">
        <v>3044</v>
      </c>
      <c r="C6285" s="421" t="s">
        <v>1758</v>
      </c>
      <c r="D6285" s="422" t="s">
        <v>663</v>
      </c>
      <c r="E6285" s="111">
        <v>44291</v>
      </c>
      <c r="F6285" s="421" t="s">
        <v>11928</v>
      </c>
      <c r="G6285" s="112">
        <v>2</v>
      </c>
      <c r="H6285" s="112">
        <v>1</v>
      </c>
      <c r="I6285" s="112">
        <v>1</v>
      </c>
    </row>
    <row r="6286" spans="1:15" x14ac:dyDescent="0.2">
      <c r="A6286" s="111">
        <v>6447</v>
      </c>
      <c r="B6286" s="421" t="s">
        <v>11929</v>
      </c>
      <c r="C6286" s="421" t="s">
        <v>506</v>
      </c>
      <c r="D6286" s="422" t="s">
        <v>663</v>
      </c>
      <c r="E6286" s="111">
        <v>44293</v>
      </c>
      <c r="F6286" s="421" t="s">
        <v>11930</v>
      </c>
      <c r="G6286" s="112">
        <v>1</v>
      </c>
      <c r="H6286" s="112">
        <v>1</v>
      </c>
      <c r="I6286" s="112">
        <v>1</v>
      </c>
      <c r="J6286" s="112">
        <v>3</v>
      </c>
      <c r="K6286" s="112">
        <v>3</v>
      </c>
      <c r="L6286" s="112">
        <v>3</v>
      </c>
      <c r="M6286" s="112">
        <v>3</v>
      </c>
      <c r="N6286" s="112">
        <v>2</v>
      </c>
      <c r="O6286" s="112">
        <v>3</v>
      </c>
    </row>
    <row r="6287" spans="1:15" x14ac:dyDescent="0.2">
      <c r="A6287" s="111">
        <v>6448</v>
      </c>
      <c r="B6287" s="421" t="s">
        <v>245</v>
      </c>
      <c r="C6287" s="421" t="s">
        <v>587</v>
      </c>
      <c r="D6287" s="422" t="s">
        <v>663</v>
      </c>
      <c r="E6287" s="111">
        <v>44704</v>
      </c>
      <c r="F6287" s="421" t="s">
        <v>17464</v>
      </c>
    </row>
    <row r="6288" spans="1:15" x14ac:dyDescent="0.2">
      <c r="A6288" s="111">
        <v>6449</v>
      </c>
      <c r="B6288" s="421" t="s">
        <v>2992</v>
      </c>
      <c r="C6288" s="421" t="s">
        <v>577</v>
      </c>
      <c r="D6288" s="422" t="s">
        <v>663</v>
      </c>
      <c r="E6288" s="111">
        <v>44321</v>
      </c>
      <c r="F6288" s="421" t="s">
        <v>11931</v>
      </c>
      <c r="G6288" s="112">
        <v>1</v>
      </c>
      <c r="H6288" s="112">
        <v>1</v>
      </c>
      <c r="I6288" s="112">
        <v>1</v>
      </c>
    </row>
    <row r="6289" spans="1:15" x14ac:dyDescent="0.2">
      <c r="A6289" s="111">
        <v>6450</v>
      </c>
      <c r="B6289" s="421" t="s">
        <v>10768</v>
      </c>
      <c r="C6289" s="421" t="s">
        <v>558</v>
      </c>
      <c r="D6289" s="422" t="s">
        <v>666</v>
      </c>
      <c r="E6289" s="111">
        <v>44376</v>
      </c>
      <c r="F6289" s="421" t="s">
        <v>11932</v>
      </c>
      <c r="G6289" s="112">
        <v>3</v>
      </c>
      <c r="H6289" s="112">
        <v>1</v>
      </c>
    </row>
    <row r="6290" spans="1:15" x14ac:dyDescent="0.2">
      <c r="A6290" s="111">
        <v>6451</v>
      </c>
      <c r="B6290" s="421" t="s">
        <v>146</v>
      </c>
      <c r="C6290" s="421" t="s">
        <v>519</v>
      </c>
      <c r="D6290" s="422" t="s">
        <v>663</v>
      </c>
      <c r="E6290" s="111">
        <v>44292</v>
      </c>
      <c r="F6290" s="421" t="s">
        <v>11933</v>
      </c>
      <c r="G6290" s="112">
        <v>1</v>
      </c>
      <c r="H6290" s="112">
        <v>1</v>
      </c>
      <c r="I6290" s="112">
        <v>1</v>
      </c>
      <c r="J6290" s="112">
        <v>2</v>
      </c>
      <c r="K6290" s="112">
        <v>1</v>
      </c>
      <c r="L6290" s="112">
        <v>1</v>
      </c>
    </row>
    <row r="6291" spans="1:15" x14ac:dyDescent="0.2">
      <c r="A6291" s="111">
        <v>6452</v>
      </c>
      <c r="B6291" s="421" t="s">
        <v>1240</v>
      </c>
      <c r="C6291" s="421" t="s">
        <v>501</v>
      </c>
      <c r="D6291" s="422" t="s">
        <v>666</v>
      </c>
      <c r="E6291" s="111">
        <v>44254</v>
      </c>
      <c r="F6291" s="421" t="s">
        <v>11755</v>
      </c>
      <c r="G6291" s="112">
        <v>1</v>
      </c>
      <c r="H6291" s="112">
        <v>1</v>
      </c>
      <c r="I6291" s="112">
        <v>1</v>
      </c>
      <c r="J6291" s="112">
        <v>3</v>
      </c>
      <c r="K6291" s="112">
        <v>3</v>
      </c>
      <c r="L6291" s="112">
        <v>3</v>
      </c>
    </row>
    <row r="6292" spans="1:15" x14ac:dyDescent="0.2">
      <c r="A6292" s="111">
        <v>6453</v>
      </c>
      <c r="B6292" s="421" t="s">
        <v>1895</v>
      </c>
      <c r="C6292" s="421" t="s">
        <v>2872</v>
      </c>
      <c r="D6292" s="422" t="s">
        <v>666</v>
      </c>
      <c r="F6292" s="421" t="s">
        <v>11934</v>
      </c>
      <c r="G6292" s="112">
        <v>1</v>
      </c>
      <c r="H6292" s="112">
        <v>1</v>
      </c>
      <c r="I6292" s="112">
        <v>1</v>
      </c>
      <c r="J6292" s="112">
        <v>1</v>
      </c>
      <c r="K6292" s="112">
        <v>1</v>
      </c>
      <c r="L6292" s="112">
        <v>1</v>
      </c>
      <c r="M6292" s="112">
        <v>1</v>
      </c>
      <c r="O6292" s="112">
        <v>1</v>
      </c>
    </row>
    <row r="6293" spans="1:15" x14ac:dyDescent="0.2">
      <c r="A6293" s="111">
        <v>6454</v>
      </c>
      <c r="B6293" s="421" t="s">
        <v>1254</v>
      </c>
      <c r="C6293" s="421" t="s">
        <v>539</v>
      </c>
      <c r="D6293" s="422" t="s">
        <v>663</v>
      </c>
      <c r="E6293" s="111">
        <v>44294</v>
      </c>
      <c r="F6293" s="421" t="s">
        <v>11935</v>
      </c>
      <c r="G6293" s="112">
        <v>1</v>
      </c>
      <c r="H6293" s="112">
        <v>1</v>
      </c>
      <c r="I6293" s="112">
        <v>1</v>
      </c>
      <c r="J6293" s="112">
        <v>2</v>
      </c>
      <c r="K6293" s="112">
        <v>2</v>
      </c>
      <c r="L6293" s="112">
        <v>2</v>
      </c>
      <c r="N6293" s="112">
        <v>1</v>
      </c>
      <c r="O6293" s="112">
        <v>2</v>
      </c>
    </row>
    <row r="6294" spans="1:15" x14ac:dyDescent="0.2">
      <c r="A6294" s="111">
        <v>6455</v>
      </c>
      <c r="B6294" s="421" t="s">
        <v>11936</v>
      </c>
      <c r="C6294" s="421" t="s">
        <v>501</v>
      </c>
      <c r="D6294" s="422" t="s">
        <v>663</v>
      </c>
      <c r="E6294" s="111">
        <v>15955</v>
      </c>
      <c r="F6294" s="421" t="s">
        <v>5843</v>
      </c>
      <c r="G6294" s="112">
        <v>1</v>
      </c>
      <c r="H6294" s="112">
        <v>2</v>
      </c>
      <c r="I6294" s="112">
        <v>1</v>
      </c>
      <c r="J6294" s="112">
        <v>2</v>
      </c>
      <c r="L6294" s="112">
        <v>1</v>
      </c>
    </row>
    <row r="6295" spans="1:15" x14ac:dyDescent="0.2">
      <c r="A6295" s="111">
        <v>6456</v>
      </c>
      <c r="B6295" s="421" t="s">
        <v>309</v>
      </c>
      <c r="C6295" s="421" t="s">
        <v>510</v>
      </c>
      <c r="D6295" s="422" t="s">
        <v>666</v>
      </c>
      <c r="E6295" s="111">
        <v>16548</v>
      </c>
      <c r="F6295" s="421" t="s">
        <v>7925</v>
      </c>
    </row>
    <row r="6296" spans="1:15" x14ac:dyDescent="0.2">
      <c r="A6296" s="111">
        <v>6457</v>
      </c>
      <c r="B6296" s="421" t="s">
        <v>110</v>
      </c>
      <c r="C6296" s="421" t="s">
        <v>510</v>
      </c>
      <c r="D6296" s="422" t="s">
        <v>663</v>
      </c>
      <c r="E6296" s="111">
        <v>16548</v>
      </c>
      <c r="F6296" s="421" t="s">
        <v>7925</v>
      </c>
    </row>
    <row r="6297" spans="1:15" x14ac:dyDescent="0.2">
      <c r="A6297" s="111">
        <v>6458</v>
      </c>
      <c r="B6297" s="421" t="s">
        <v>11667</v>
      </c>
      <c r="C6297" s="421" t="s">
        <v>551</v>
      </c>
      <c r="D6297" s="422" t="s">
        <v>663</v>
      </c>
      <c r="E6297" s="111">
        <v>44295</v>
      </c>
      <c r="F6297" s="421" t="s">
        <v>11937</v>
      </c>
      <c r="G6297" s="112">
        <v>1</v>
      </c>
      <c r="H6297" s="112">
        <v>1</v>
      </c>
      <c r="I6297" s="112">
        <v>1</v>
      </c>
    </row>
    <row r="6298" spans="1:15" x14ac:dyDescent="0.2">
      <c r="A6298" s="111">
        <v>6459</v>
      </c>
      <c r="B6298" s="421" t="s">
        <v>5175</v>
      </c>
      <c r="C6298" s="421" t="s">
        <v>521</v>
      </c>
      <c r="D6298" s="422" t="s">
        <v>663</v>
      </c>
      <c r="E6298" s="111">
        <v>44459</v>
      </c>
      <c r="F6298" s="421" t="s">
        <v>11938</v>
      </c>
      <c r="G6298" s="112">
        <v>1</v>
      </c>
      <c r="H6298" s="112">
        <v>1</v>
      </c>
      <c r="I6298" s="112">
        <v>1</v>
      </c>
      <c r="J6298" s="112">
        <v>1</v>
      </c>
    </row>
    <row r="6299" spans="1:15" x14ac:dyDescent="0.2">
      <c r="A6299" s="111">
        <v>6460</v>
      </c>
      <c r="B6299" s="421" t="s">
        <v>11939</v>
      </c>
      <c r="C6299" s="421" t="s">
        <v>572</v>
      </c>
      <c r="D6299" s="422" t="s">
        <v>666</v>
      </c>
      <c r="F6299" s="421" t="s">
        <v>11940</v>
      </c>
    </row>
    <row r="6300" spans="1:15" x14ac:dyDescent="0.2">
      <c r="A6300" s="111">
        <v>6461</v>
      </c>
      <c r="B6300" s="421" t="s">
        <v>266</v>
      </c>
      <c r="C6300" s="421" t="s">
        <v>503</v>
      </c>
      <c r="D6300" s="422" t="s">
        <v>663</v>
      </c>
      <c r="E6300" s="111">
        <v>44296</v>
      </c>
      <c r="F6300" s="421" t="s">
        <v>11941</v>
      </c>
      <c r="G6300" s="112">
        <v>1</v>
      </c>
      <c r="H6300" s="112">
        <v>1</v>
      </c>
      <c r="I6300" s="112">
        <v>1</v>
      </c>
    </row>
    <row r="6301" spans="1:15" x14ac:dyDescent="0.2">
      <c r="A6301" s="111">
        <v>6462</v>
      </c>
      <c r="B6301" s="421" t="s">
        <v>235</v>
      </c>
      <c r="C6301" s="421" t="s">
        <v>503</v>
      </c>
      <c r="D6301" s="422" t="s">
        <v>663</v>
      </c>
      <c r="E6301" s="111">
        <v>44296</v>
      </c>
      <c r="F6301" s="421" t="s">
        <v>11941</v>
      </c>
      <c r="G6301" s="112">
        <v>1</v>
      </c>
      <c r="H6301" s="112">
        <v>1</v>
      </c>
      <c r="I6301" s="112">
        <v>1</v>
      </c>
    </row>
    <row r="6302" spans="1:15" x14ac:dyDescent="0.2">
      <c r="A6302" s="111">
        <v>6463</v>
      </c>
      <c r="B6302" s="421" t="s">
        <v>11942</v>
      </c>
      <c r="C6302" s="421" t="s">
        <v>503</v>
      </c>
      <c r="D6302" s="422" t="s">
        <v>663</v>
      </c>
      <c r="E6302" s="111">
        <v>15708</v>
      </c>
      <c r="F6302" s="421" t="s">
        <v>5160</v>
      </c>
      <c r="G6302" s="112">
        <v>2</v>
      </c>
      <c r="H6302" s="112">
        <v>1</v>
      </c>
      <c r="I6302" s="112">
        <v>2</v>
      </c>
    </row>
    <row r="6303" spans="1:15" x14ac:dyDescent="0.2">
      <c r="A6303" s="111">
        <v>6464</v>
      </c>
      <c r="B6303" s="421" t="s">
        <v>1678</v>
      </c>
      <c r="C6303" s="421" t="s">
        <v>559</v>
      </c>
      <c r="D6303" s="422" t="s">
        <v>666</v>
      </c>
      <c r="E6303" s="111">
        <v>44428</v>
      </c>
      <c r="F6303" s="421" t="s">
        <v>11943</v>
      </c>
      <c r="H6303" s="112">
        <v>1</v>
      </c>
      <c r="I6303" s="112">
        <v>1</v>
      </c>
    </row>
    <row r="6304" spans="1:15" x14ac:dyDescent="0.2">
      <c r="A6304" s="111">
        <v>6465</v>
      </c>
      <c r="B6304" s="421" t="s">
        <v>39</v>
      </c>
      <c r="C6304" s="421" t="s">
        <v>577</v>
      </c>
      <c r="D6304" s="422" t="s">
        <v>663</v>
      </c>
      <c r="E6304" s="111">
        <v>44297</v>
      </c>
      <c r="F6304" s="421" t="s">
        <v>11944</v>
      </c>
      <c r="G6304" s="112">
        <v>1</v>
      </c>
      <c r="H6304" s="112">
        <v>1</v>
      </c>
      <c r="I6304" s="112">
        <v>1</v>
      </c>
      <c r="J6304" s="112">
        <v>6</v>
      </c>
      <c r="K6304" s="112">
        <v>4</v>
      </c>
      <c r="L6304" s="112">
        <v>3</v>
      </c>
    </row>
    <row r="6305" spans="1:15" x14ac:dyDescent="0.2">
      <c r="A6305" s="111">
        <v>6466</v>
      </c>
      <c r="B6305" s="421" t="s">
        <v>3577</v>
      </c>
      <c r="C6305" s="421" t="s">
        <v>506</v>
      </c>
      <c r="D6305" s="422" t="s">
        <v>663</v>
      </c>
      <c r="E6305" s="111">
        <v>16416</v>
      </c>
      <c r="F6305" s="421" t="s">
        <v>7569</v>
      </c>
    </row>
    <row r="6306" spans="1:15" x14ac:dyDescent="0.2">
      <c r="A6306" s="111">
        <v>6467</v>
      </c>
      <c r="B6306" s="421" t="s">
        <v>262</v>
      </c>
      <c r="C6306" s="421" t="s">
        <v>1625</v>
      </c>
      <c r="D6306" s="422" t="s">
        <v>663</v>
      </c>
      <c r="E6306" s="111">
        <v>44298</v>
      </c>
      <c r="F6306" s="421" t="s">
        <v>11945</v>
      </c>
      <c r="G6306" s="112">
        <v>1</v>
      </c>
      <c r="H6306" s="112">
        <v>1</v>
      </c>
      <c r="I6306" s="112">
        <v>1</v>
      </c>
    </row>
    <row r="6307" spans="1:15" x14ac:dyDescent="0.2">
      <c r="A6307" s="111">
        <v>6468</v>
      </c>
      <c r="B6307" s="421" t="s">
        <v>1913</v>
      </c>
      <c r="C6307" s="421" t="s">
        <v>1201</v>
      </c>
      <c r="D6307" s="422" t="s">
        <v>666</v>
      </c>
      <c r="E6307" s="111">
        <v>17093</v>
      </c>
      <c r="F6307" s="421" t="s">
        <v>10028</v>
      </c>
    </row>
    <row r="6308" spans="1:15" x14ac:dyDescent="0.2">
      <c r="A6308" s="111">
        <v>6470</v>
      </c>
      <c r="B6308" s="421" t="s">
        <v>234</v>
      </c>
      <c r="C6308" s="421" t="s">
        <v>516</v>
      </c>
      <c r="D6308" s="422" t="s">
        <v>666</v>
      </c>
      <c r="E6308" s="111">
        <v>44307</v>
      </c>
      <c r="F6308" s="421" t="s">
        <v>11946</v>
      </c>
      <c r="G6308" s="112">
        <v>1</v>
      </c>
      <c r="H6308" s="112">
        <v>1</v>
      </c>
      <c r="I6308" s="112">
        <v>1</v>
      </c>
      <c r="J6308" s="112">
        <v>6</v>
      </c>
      <c r="K6308" s="112">
        <v>5</v>
      </c>
      <c r="L6308" s="112">
        <v>5</v>
      </c>
      <c r="M6308" s="112">
        <v>3</v>
      </c>
      <c r="N6308" s="112">
        <v>3</v>
      </c>
      <c r="O6308" s="112">
        <v>2</v>
      </c>
    </row>
    <row r="6309" spans="1:15" x14ac:dyDescent="0.2">
      <c r="A6309" s="111">
        <v>6471</v>
      </c>
      <c r="B6309" s="421" t="s">
        <v>98</v>
      </c>
      <c r="C6309" s="421" t="s">
        <v>501</v>
      </c>
      <c r="D6309" s="422" t="s">
        <v>666</v>
      </c>
      <c r="E6309" s="111">
        <v>44299</v>
      </c>
      <c r="F6309" s="421" t="s">
        <v>11947</v>
      </c>
      <c r="G6309" s="112">
        <v>1</v>
      </c>
    </row>
    <row r="6310" spans="1:15" x14ac:dyDescent="0.2">
      <c r="A6310" s="111">
        <v>6472</v>
      </c>
      <c r="B6310" s="421" t="s">
        <v>309</v>
      </c>
      <c r="C6310" s="421" t="s">
        <v>503</v>
      </c>
      <c r="D6310" s="422" t="s">
        <v>666</v>
      </c>
      <c r="E6310" s="111">
        <v>44300</v>
      </c>
      <c r="F6310" s="421" t="s">
        <v>11948</v>
      </c>
      <c r="G6310" s="112">
        <v>1</v>
      </c>
      <c r="H6310" s="112">
        <v>1</v>
      </c>
      <c r="I6310" s="112">
        <v>1</v>
      </c>
      <c r="K6310" s="112">
        <v>2</v>
      </c>
      <c r="L6310" s="112">
        <v>1</v>
      </c>
    </row>
    <row r="6311" spans="1:15" x14ac:dyDescent="0.2">
      <c r="A6311" s="111">
        <v>6473</v>
      </c>
      <c r="B6311" s="421" t="s">
        <v>11949</v>
      </c>
      <c r="C6311" s="421" t="s">
        <v>567</v>
      </c>
      <c r="D6311" s="422" t="s">
        <v>666</v>
      </c>
      <c r="E6311" s="111">
        <v>44222</v>
      </c>
      <c r="F6311" s="421" t="s">
        <v>11950</v>
      </c>
      <c r="G6311" s="112">
        <v>1</v>
      </c>
      <c r="H6311" s="112">
        <v>1</v>
      </c>
      <c r="I6311" s="112">
        <v>1</v>
      </c>
      <c r="J6311" s="112">
        <v>3</v>
      </c>
      <c r="K6311" s="112">
        <v>2</v>
      </c>
      <c r="L6311" s="112">
        <v>1</v>
      </c>
    </row>
    <row r="6312" spans="1:15" x14ac:dyDescent="0.2">
      <c r="A6312" s="111">
        <v>6474</v>
      </c>
      <c r="B6312" s="421" t="s">
        <v>5386</v>
      </c>
      <c r="C6312" s="421" t="s">
        <v>506</v>
      </c>
      <c r="D6312" s="422" t="s">
        <v>666</v>
      </c>
      <c r="E6312" s="111">
        <v>44301</v>
      </c>
      <c r="F6312" s="421" t="s">
        <v>11951</v>
      </c>
      <c r="G6312" s="112">
        <v>1</v>
      </c>
      <c r="H6312" s="112">
        <v>1</v>
      </c>
      <c r="I6312" s="112">
        <v>1</v>
      </c>
      <c r="K6312" s="112">
        <v>1</v>
      </c>
      <c r="L6312" s="112">
        <v>1</v>
      </c>
    </row>
    <row r="6313" spans="1:15" x14ac:dyDescent="0.2">
      <c r="A6313" s="111">
        <v>6475</v>
      </c>
      <c r="B6313" s="421" t="s">
        <v>310</v>
      </c>
      <c r="C6313" s="421" t="s">
        <v>550</v>
      </c>
      <c r="D6313" s="422" t="s">
        <v>663</v>
      </c>
      <c r="E6313" s="111">
        <v>44302</v>
      </c>
      <c r="F6313" s="421" t="s">
        <v>1107</v>
      </c>
      <c r="G6313" s="112">
        <v>1</v>
      </c>
      <c r="H6313" s="112">
        <v>1</v>
      </c>
      <c r="I6313" s="112">
        <v>1</v>
      </c>
      <c r="J6313" s="112">
        <v>2</v>
      </c>
      <c r="K6313" s="112">
        <v>2</v>
      </c>
      <c r="L6313" s="112">
        <v>2</v>
      </c>
    </row>
    <row r="6314" spans="1:15" x14ac:dyDescent="0.2">
      <c r="A6314" s="111">
        <v>6476</v>
      </c>
      <c r="B6314" s="421" t="s">
        <v>1428</v>
      </c>
      <c r="C6314" s="421" t="s">
        <v>1994</v>
      </c>
      <c r="D6314" s="422" t="s">
        <v>666</v>
      </c>
      <c r="F6314" s="421" t="s">
        <v>11952</v>
      </c>
    </row>
    <row r="6315" spans="1:15" x14ac:dyDescent="0.2">
      <c r="A6315" s="111">
        <v>6477</v>
      </c>
      <c r="B6315" s="421" t="s">
        <v>252</v>
      </c>
      <c r="C6315" s="421" t="s">
        <v>1994</v>
      </c>
      <c r="D6315" s="422" t="s">
        <v>666</v>
      </c>
      <c r="E6315" s="111">
        <v>44303</v>
      </c>
      <c r="F6315" s="421" t="s">
        <v>11953</v>
      </c>
      <c r="H6315" s="112">
        <v>1</v>
      </c>
      <c r="I6315" s="112">
        <v>1</v>
      </c>
      <c r="K6315" s="112">
        <v>2</v>
      </c>
      <c r="L6315" s="112">
        <v>1</v>
      </c>
    </row>
    <row r="6316" spans="1:15" x14ac:dyDescent="0.2">
      <c r="A6316" s="111">
        <v>6478</v>
      </c>
      <c r="B6316" s="421" t="s">
        <v>11954</v>
      </c>
      <c r="C6316" s="421" t="s">
        <v>516</v>
      </c>
      <c r="D6316" s="422" t="s">
        <v>666</v>
      </c>
      <c r="E6316" s="111">
        <v>44304</v>
      </c>
      <c r="F6316" s="421" t="s">
        <v>11955</v>
      </c>
      <c r="G6316" s="112">
        <v>1</v>
      </c>
      <c r="H6316" s="112">
        <v>1</v>
      </c>
      <c r="I6316" s="112">
        <v>1</v>
      </c>
      <c r="J6316" s="112">
        <v>1</v>
      </c>
      <c r="K6316" s="112">
        <v>1</v>
      </c>
      <c r="L6316" s="112">
        <v>2</v>
      </c>
    </row>
    <row r="6317" spans="1:15" x14ac:dyDescent="0.2">
      <c r="A6317" s="111">
        <v>6479</v>
      </c>
      <c r="B6317" s="421" t="s">
        <v>2096</v>
      </c>
      <c r="C6317" s="421" t="s">
        <v>503</v>
      </c>
      <c r="D6317" s="422" t="s">
        <v>666</v>
      </c>
      <c r="F6317" s="421" t="s">
        <v>11956</v>
      </c>
    </row>
    <row r="6318" spans="1:15" x14ac:dyDescent="0.2">
      <c r="A6318" s="111">
        <v>6480</v>
      </c>
      <c r="B6318" s="421" t="s">
        <v>11957</v>
      </c>
      <c r="C6318" s="421" t="s">
        <v>551</v>
      </c>
      <c r="D6318" s="422" t="s">
        <v>666</v>
      </c>
      <c r="E6318" s="111">
        <v>16322</v>
      </c>
      <c r="F6318" s="421" t="s">
        <v>6483</v>
      </c>
    </row>
    <row r="6319" spans="1:15" x14ac:dyDescent="0.2">
      <c r="A6319" s="111">
        <v>6481</v>
      </c>
      <c r="B6319" s="421" t="s">
        <v>1845</v>
      </c>
      <c r="C6319" s="421" t="s">
        <v>518</v>
      </c>
      <c r="D6319" s="422" t="s">
        <v>666</v>
      </c>
      <c r="E6319" s="111">
        <v>17265</v>
      </c>
      <c r="F6319" s="421" t="s">
        <v>10541</v>
      </c>
      <c r="G6319" s="112">
        <v>1</v>
      </c>
      <c r="H6319" s="112">
        <v>1</v>
      </c>
    </row>
    <row r="6320" spans="1:15" x14ac:dyDescent="0.2">
      <c r="A6320" s="111">
        <v>6482</v>
      </c>
      <c r="B6320" s="421" t="s">
        <v>11958</v>
      </c>
      <c r="C6320" s="421" t="s">
        <v>501</v>
      </c>
      <c r="D6320" s="422" t="s">
        <v>663</v>
      </c>
      <c r="E6320" s="111">
        <v>16654</v>
      </c>
      <c r="F6320" s="421" t="s">
        <v>8170</v>
      </c>
      <c r="G6320" s="112">
        <v>1</v>
      </c>
      <c r="H6320" s="112">
        <v>2</v>
      </c>
      <c r="I6320" s="112">
        <v>1</v>
      </c>
      <c r="J6320" s="112">
        <v>2</v>
      </c>
      <c r="K6320" s="112">
        <v>1</v>
      </c>
      <c r="L6320" s="112">
        <v>2</v>
      </c>
    </row>
    <row r="6321" spans="1:15" x14ac:dyDescent="0.2">
      <c r="A6321" s="111">
        <v>6483</v>
      </c>
      <c r="B6321" s="421" t="s">
        <v>7397</v>
      </c>
      <c r="C6321" s="421" t="s">
        <v>570</v>
      </c>
      <c r="D6321" s="422" t="s">
        <v>666</v>
      </c>
      <c r="E6321" s="111">
        <v>44761</v>
      </c>
      <c r="F6321" s="421" t="s">
        <v>11959</v>
      </c>
      <c r="G6321" s="112">
        <v>1</v>
      </c>
      <c r="H6321" s="112">
        <v>1</v>
      </c>
      <c r="I6321" s="112">
        <v>1</v>
      </c>
      <c r="J6321" s="112">
        <v>1</v>
      </c>
      <c r="L6321" s="112">
        <v>1</v>
      </c>
    </row>
    <row r="6322" spans="1:15" x14ac:dyDescent="0.2">
      <c r="A6322" s="111">
        <v>6484</v>
      </c>
      <c r="B6322" s="421" t="s">
        <v>2188</v>
      </c>
      <c r="C6322" s="421" t="s">
        <v>501</v>
      </c>
      <c r="D6322" s="422" t="s">
        <v>663</v>
      </c>
      <c r="E6322" s="111">
        <v>44306</v>
      </c>
      <c r="F6322" s="421" t="s">
        <v>11960</v>
      </c>
      <c r="G6322" s="112">
        <v>1</v>
      </c>
      <c r="H6322" s="112">
        <v>1</v>
      </c>
      <c r="I6322" s="112">
        <v>1</v>
      </c>
      <c r="J6322" s="112">
        <v>5</v>
      </c>
      <c r="K6322" s="112">
        <v>6</v>
      </c>
      <c r="L6322" s="112">
        <v>6</v>
      </c>
      <c r="M6322" s="112">
        <v>1</v>
      </c>
      <c r="N6322" s="112">
        <v>1</v>
      </c>
      <c r="O6322" s="112">
        <v>2</v>
      </c>
    </row>
    <row r="6323" spans="1:15" x14ac:dyDescent="0.2">
      <c r="A6323" s="111">
        <v>6485</v>
      </c>
      <c r="B6323" s="421" t="s">
        <v>408</v>
      </c>
      <c r="C6323" s="421" t="s">
        <v>551</v>
      </c>
      <c r="D6323" s="422" t="s">
        <v>663</v>
      </c>
      <c r="F6323" s="421" t="s">
        <v>11961</v>
      </c>
      <c r="I6323" s="112">
        <v>1</v>
      </c>
    </row>
    <row r="6324" spans="1:15" x14ac:dyDescent="0.2">
      <c r="A6324" s="111">
        <v>6487</v>
      </c>
      <c r="B6324" s="421" t="s">
        <v>11607</v>
      </c>
      <c r="C6324" s="421" t="s">
        <v>5825</v>
      </c>
      <c r="D6324" s="422" t="s">
        <v>666</v>
      </c>
      <c r="E6324" s="111">
        <v>44289</v>
      </c>
      <c r="F6324" s="421" t="s">
        <v>11962</v>
      </c>
      <c r="G6324" s="112">
        <v>1</v>
      </c>
      <c r="H6324" s="112">
        <v>1</v>
      </c>
      <c r="I6324" s="112">
        <v>1</v>
      </c>
      <c r="K6324" s="112">
        <v>1</v>
      </c>
      <c r="L6324" s="112">
        <v>1</v>
      </c>
    </row>
    <row r="6325" spans="1:15" x14ac:dyDescent="0.2">
      <c r="A6325" s="111">
        <v>6488</v>
      </c>
      <c r="B6325" s="421" t="s">
        <v>11963</v>
      </c>
      <c r="C6325" s="421" t="s">
        <v>501</v>
      </c>
      <c r="D6325" s="422" t="s">
        <v>663</v>
      </c>
      <c r="E6325" s="111">
        <v>44501</v>
      </c>
      <c r="F6325" s="421" t="s">
        <v>11964</v>
      </c>
      <c r="G6325" s="112">
        <v>2</v>
      </c>
      <c r="H6325" s="112">
        <v>2</v>
      </c>
      <c r="I6325" s="112">
        <v>2</v>
      </c>
    </row>
    <row r="6326" spans="1:15" x14ac:dyDescent="0.2">
      <c r="A6326" s="111">
        <v>6489</v>
      </c>
      <c r="B6326" s="421" t="s">
        <v>250</v>
      </c>
      <c r="C6326" s="421" t="s">
        <v>510</v>
      </c>
      <c r="D6326" s="422" t="s">
        <v>666</v>
      </c>
      <c r="E6326" s="111">
        <v>44286</v>
      </c>
      <c r="F6326" s="421" t="s">
        <v>11979</v>
      </c>
      <c r="G6326" s="112">
        <v>1</v>
      </c>
      <c r="H6326" s="112">
        <v>1</v>
      </c>
      <c r="I6326" s="112">
        <v>1</v>
      </c>
      <c r="J6326" s="112">
        <v>2</v>
      </c>
      <c r="K6326" s="112">
        <v>1</v>
      </c>
      <c r="L6326" s="112">
        <v>2</v>
      </c>
    </row>
    <row r="6327" spans="1:15" x14ac:dyDescent="0.2">
      <c r="A6327" s="111">
        <v>6490</v>
      </c>
      <c r="B6327" s="421" t="s">
        <v>266</v>
      </c>
      <c r="C6327" s="421" t="s">
        <v>503</v>
      </c>
      <c r="D6327" s="422" t="s">
        <v>663</v>
      </c>
      <c r="E6327" s="111">
        <v>44308</v>
      </c>
      <c r="F6327" s="421" t="s">
        <v>11980</v>
      </c>
      <c r="G6327" s="112">
        <v>1</v>
      </c>
      <c r="H6327" s="112">
        <v>1</v>
      </c>
      <c r="I6327" s="112">
        <v>1</v>
      </c>
    </row>
    <row r="6328" spans="1:15" x14ac:dyDescent="0.2">
      <c r="A6328" s="111">
        <v>6491</v>
      </c>
      <c r="B6328" s="421" t="s">
        <v>7865</v>
      </c>
      <c r="C6328" s="421" t="s">
        <v>550</v>
      </c>
      <c r="D6328" s="422" t="s">
        <v>666</v>
      </c>
      <c r="E6328" s="111">
        <v>44309</v>
      </c>
      <c r="F6328" s="421" t="s">
        <v>11981</v>
      </c>
      <c r="G6328" s="112">
        <v>1</v>
      </c>
      <c r="H6328" s="112">
        <v>1</v>
      </c>
      <c r="I6328" s="112">
        <v>1</v>
      </c>
    </row>
    <row r="6329" spans="1:15" x14ac:dyDescent="0.2">
      <c r="A6329" s="111">
        <v>6492</v>
      </c>
      <c r="B6329" s="421" t="s">
        <v>6034</v>
      </c>
      <c r="C6329" s="421" t="s">
        <v>503</v>
      </c>
      <c r="D6329" s="422" t="s">
        <v>666</v>
      </c>
      <c r="E6329" s="111">
        <v>44310</v>
      </c>
      <c r="F6329" s="421" t="s">
        <v>11982</v>
      </c>
      <c r="G6329" s="112">
        <v>1</v>
      </c>
      <c r="H6329" s="112">
        <v>1</v>
      </c>
      <c r="I6329" s="112">
        <v>1</v>
      </c>
      <c r="J6329" s="112">
        <v>2</v>
      </c>
      <c r="K6329" s="112">
        <v>1</v>
      </c>
      <c r="L6329" s="112">
        <v>2</v>
      </c>
    </row>
    <row r="6330" spans="1:15" x14ac:dyDescent="0.2">
      <c r="A6330" s="111">
        <v>6493</v>
      </c>
      <c r="B6330" s="421" t="s">
        <v>282</v>
      </c>
      <c r="C6330" s="421" t="s">
        <v>516</v>
      </c>
      <c r="D6330" s="422" t="s">
        <v>663</v>
      </c>
      <c r="E6330" s="111">
        <v>16236</v>
      </c>
      <c r="F6330" s="421" t="s">
        <v>6811</v>
      </c>
      <c r="G6330" s="112">
        <v>1</v>
      </c>
      <c r="H6330" s="112">
        <v>1</v>
      </c>
      <c r="I6330" s="112">
        <v>1</v>
      </c>
      <c r="J6330" s="112">
        <v>1</v>
      </c>
      <c r="K6330" s="112">
        <v>3</v>
      </c>
      <c r="L6330" s="112">
        <v>3</v>
      </c>
      <c r="M6330" s="112">
        <v>2</v>
      </c>
      <c r="N6330" s="112">
        <v>1</v>
      </c>
      <c r="O6330" s="112">
        <v>1</v>
      </c>
    </row>
    <row r="6331" spans="1:15" x14ac:dyDescent="0.2">
      <c r="A6331" s="111">
        <v>6494</v>
      </c>
      <c r="B6331" s="421" t="s">
        <v>1903</v>
      </c>
      <c r="C6331" s="421" t="s">
        <v>516</v>
      </c>
      <c r="D6331" s="422" t="s">
        <v>663</v>
      </c>
      <c r="E6331" s="111">
        <v>16236</v>
      </c>
      <c r="F6331" s="421" t="s">
        <v>6811</v>
      </c>
      <c r="G6331" s="112">
        <v>2</v>
      </c>
      <c r="H6331" s="112">
        <v>1</v>
      </c>
      <c r="I6331" s="112">
        <v>1</v>
      </c>
    </row>
    <row r="6332" spans="1:15" x14ac:dyDescent="0.2">
      <c r="A6332" s="111">
        <v>6495</v>
      </c>
      <c r="B6332" s="421" t="s">
        <v>11983</v>
      </c>
      <c r="C6332" s="421" t="s">
        <v>510</v>
      </c>
      <c r="D6332" s="422" t="s">
        <v>666</v>
      </c>
      <c r="E6332" s="111">
        <v>44275</v>
      </c>
      <c r="F6332" s="421" t="s">
        <v>11895</v>
      </c>
      <c r="G6332" s="112">
        <v>2</v>
      </c>
      <c r="H6332" s="112">
        <v>1</v>
      </c>
      <c r="I6332" s="112">
        <v>1</v>
      </c>
      <c r="J6332" s="112">
        <v>2</v>
      </c>
      <c r="K6332" s="112">
        <v>1</v>
      </c>
    </row>
    <row r="6333" spans="1:15" x14ac:dyDescent="0.2">
      <c r="A6333" s="111">
        <v>6496</v>
      </c>
      <c r="B6333" s="421" t="s">
        <v>46</v>
      </c>
      <c r="C6333" s="421" t="s">
        <v>501</v>
      </c>
      <c r="D6333" s="422" t="s">
        <v>663</v>
      </c>
      <c r="E6333" s="111">
        <v>44313</v>
      </c>
      <c r="F6333" s="421" t="s">
        <v>11984</v>
      </c>
      <c r="G6333" s="112">
        <v>1</v>
      </c>
      <c r="H6333" s="112">
        <v>1</v>
      </c>
      <c r="I6333" s="112">
        <v>1</v>
      </c>
      <c r="J6333" s="112">
        <v>1</v>
      </c>
      <c r="K6333" s="112">
        <v>1</v>
      </c>
      <c r="L6333" s="112">
        <v>2</v>
      </c>
    </row>
    <row r="6334" spans="1:15" x14ac:dyDescent="0.2">
      <c r="A6334" s="111">
        <v>6497</v>
      </c>
      <c r="B6334" s="421" t="s">
        <v>11985</v>
      </c>
      <c r="C6334" s="421" t="s">
        <v>2599</v>
      </c>
      <c r="D6334" s="422" t="s">
        <v>663</v>
      </c>
      <c r="E6334" s="111">
        <v>44314</v>
      </c>
      <c r="F6334" s="421" t="s">
        <v>11986</v>
      </c>
      <c r="G6334" s="112">
        <v>1</v>
      </c>
      <c r="H6334" s="112">
        <v>1</v>
      </c>
      <c r="I6334" s="112">
        <v>1</v>
      </c>
      <c r="J6334" s="112">
        <v>1</v>
      </c>
      <c r="K6334" s="112">
        <v>1</v>
      </c>
      <c r="L6334" s="112">
        <v>1</v>
      </c>
      <c r="M6334" s="112">
        <v>5</v>
      </c>
      <c r="N6334" s="112">
        <v>1</v>
      </c>
      <c r="O6334" s="112">
        <v>4</v>
      </c>
    </row>
    <row r="6335" spans="1:15" x14ac:dyDescent="0.2">
      <c r="A6335" s="111">
        <v>6498</v>
      </c>
      <c r="B6335" s="421" t="s">
        <v>1349</v>
      </c>
      <c r="C6335" s="421" t="s">
        <v>518</v>
      </c>
      <c r="D6335" s="422" t="s">
        <v>663</v>
      </c>
      <c r="E6335" s="111">
        <v>44315</v>
      </c>
      <c r="F6335" s="421" t="s">
        <v>11987</v>
      </c>
    </row>
    <row r="6336" spans="1:15" x14ac:dyDescent="0.2">
      <c r="A6336" s="111">
        <v>6499</v>
      </c>
      <c r="B6336" s="421" t="s">
        <v>1515</v>
      </c>
      <c r="C6336" s="421" t="s">
        <v>510</v>
      </c>
      <c r="D6336" s="422" t="s">
        <v>663</v>
      </c>
      <c r="E6336" s="111">
        <v>44316</v>
      </c>
      <c r="F6336" s="421" t="s">
        <v>11988</v>
      </c>
      <c r="G6336" s="112">
        <v>1</v>
      </c>
      <c r="H6336" s="112">
        <v>1</v>
      </c>
      <c r="I6336" s="112">
        <v>1</v>
      </c>
      <c r="K6336" s="112">
        <v>1</v>
      </c>
    </row>
    <row r="6337" spans="1:12" x14ac:dyDescent="0.2">
      <c r="A6337" s="111">
        <v>6500</v>
      </c>
      <c r="B6337" s="421" t="s">
        <v>11989</v>
      </c>
      <c r="C6337" s="421" t="s">
        <v>553</v>
      </c>
      <c r="D6337" s="422" t="s">
        <v>666</v>
      </c>
      <c r="E6337" s="111">
        <v>44317</v>
      </c>
      <c r="F6337" s="421" t="s">
        <v>11990</v>
      </c>
      <c r="G6337" s="112">
        <v>2</v>
      </c>
      <c r="H6337" s="112">
        <v>1</v>
      </c>
    </row>
    <row r="6338" spans="1:12" x14ac:dyDescent="0.2">
      <c r="A6338" s="111">
        <v>6501</v>
      </c>
      <c r="B6338" s="421" t="s">
        <v>1538</v>
      </c>
      <c r="C6338" s="421" t="s">
        <v>501</v>
      </c>
      <c r="D6338" s="422" t="s">
        <v>663</v>
      </c>
      <c r="E6338" s="111">
        <v>44318</v>
      </c>
      <c r="F6338" s="421" t="s">
        <v>11991</v>
      </c>
      <c r="G6338" s="112">
        <v>1</v>
      </c>
      <c r="H6338" s="112">
        <v>1</v>
      </c>
      <c r="I6338" s="112">
        <v>1</v>
      </c>
    </row>
    <row r="6339" spans="1:12" x14ac:dyDescent="0.2">
      <c r="A6339" s="111">
        <v>6502</v>
      </c>
      <c r="B6339" s="421" t="s">
        <v>1528</v>
      </c>
      <c r="C6339" s="421" t="s">
        <v>628</v>
      </c>
      <c r="D6339" s="422" t="s">
        <v>663</v>
      </c>
      <c r="E6339" s="111">
        <v>15809</v>
      </c>
      <c r="F6339" s="421" t="s">
        <v>5458</v>
      </c>
      <c r="G6339" s="112">
        <v>2</v>
      </c>
      <c r="H6339" s="112">
        <v>3</v>
      </c>
      <c r="I6339" s="112">
        <v>1</v>
      </c>
      <c r="K6339" s="112">
        <v>1</v>
      </c>
      <c r="L6339" s="112">
        <v>1</v>
      </c>
    </row>
    <row r="6340" spans="1:12" x14ac:dyDescent="0.2">
      <c r="A6340" s="111">
        <v>6503</v>
      </c>
      <c r="B6340" s="421" t="s">
        <v>10544</v>
      </c>
      <c r="C6340" s="421" t="s">
        <v>501</v>
      </c>
      <c r="D6340" s="422" t="s">
        <v>663</v>
      </c>
      <c r="F6340" s="421" t="s">
        <v>11992</v>
      </c>
    </row>
    <row r="6341" spans="1:12" x14ac:dyDescent="0.2">
      <c r="A6341" s="111">
        <v>6504</v>
      </c>
      <c r="B6341" s="421" t="s">
        <v>253</v>
      </c>
      <c r="C6341" s="421" t="s">
        <v>1523</v>
      </c>
      <c r="D6341" s="422" t="s">
        <v>666</v>
      </c>
      <c r="E6341" s="111">
        <v>44319</v>
      </c>
      <c r="F6341" s="421" t="s">
        <v>11993</v>
      </c>
      <c r="I6341" s="112">
        <v>1</v>
      </c>
    </row>
    <row r="6342" spans="1:12" x14ac:dyDescent="0.2">
      <c r="A6342" s="111">
        <v>6506</v>
      </c>
      <c r="B6342" s="421" t="s">
        <v>1676</v>
      </c>
      <c r="C6342" s="421" t="s">
        <v>501</v>
      </c>
      <c r="D6342" s="422" t="s">
        <v>663</v>
      </c>
      <c r="E6342" s="111">
        <v>44123</v>
      </c>
      <c r="F6342" s="421" t="s">
        <v>11994</v>
      </c>
    </row>
    <row r="6343" spans="1:12" x14ac:dyDescent="0.2">
      <c r="A6343" s="111">
        <v>6507</v>
      </c>
      <c r="B6343" s="421" t="s">
        <v>11995</v>
      </c>
      <c r="C6343" s="421" t="s">
        <v>572</v>
      </c>
      <c r="D6343" s="422" t="s">
        <v>666</v>
      </c>
      <c r="E6343" s="111">
        <v>44320</v>
      </c>
      <c r="F6343" s="421" t="s">
        <v>11186</v>
      </c>
      <c r="G6343" s="112">
        <v>1</v>
      </c>
      <c r="H6343" s="112">
        <v>2</v>
      </c>
      <c r="I6343" s="112">
        <v>3</v>
      </c>
    </row>
    <row r="6344" spans="1:12" x14ac:dyDescent="0.2">
      <c r="A6344" s="111">
        <v>6508</v>
      </c>
      <c r="B6344" s="421" t="s">
        <v>12077</v>
      </c>
      <c r="C6344" s="421" t="s">
        <v>512</v>
      </c>
      <c r="D6344" s="422" t="s">
        <v>663</v>
      </c>
      <c r="E6344" s="111">
        <v>44242</v>
      </c>
      <c r="F6344" s="421" t="s">
        <v>11727</v>
      </c>
      <c r="G6344" s="112">
        <v>1</v>
      </c>
      <c r="H6344" s="112">
        <v>1</v>
      </c>
      <c r="I6344" s="112">
        <v>1</v>
      </c>
    </row>
    <row r="6345" spans="1:12" x14ac:dyDescent="0.2">
      <c r="A6345" s="111">
        <v>6509</v>
      </c>
      <c r="B6345" s="421" t="s">
        <v>12078</v>
      </c>
      <c r="C6345" s="421" t="s">
        <v>1908</v>
      </c>
      <c r="D6345" s="422" t="s">
        <v>663</v>
      </c>
      <c r="E6345" s="111">
        <v>16798</v>
      </c>
      <c r="F6345" s="421" t="s">
        <v>9221</v>
      </c>
      <c r="G6345" s="112">
        <v>1</v>
      </c>
    </row>
    <row r="6346" spans="1:12" x14ac:dyDescent="0.2">
      <c r="A6346" s="111">
        <v>6510</v>
      </c>
      <c r="B6346" s="421" t="s">
        <v>3841</v>
      </c>
      <c r="C6346" s="421" t="s">
        <v>512</v>
      </c>
      <c r="D6346" s="422" t="s">
        <v>663</v>
      </c>
      <c r="F6346" s="421" t="s">
        <v>12079</v>
      </c>
      <c r="G6346" s="112">
        <v>2</v>
      </c>
      <c r="H6346" s="112">
        <v>1</v>
      </c>
      <c r="I6346" s="112">
        <v>1</v>
      </c>
      <c r="J6346" s="112">
        <v>2</v>
      </c>
      <c r="K6346" s="112">
        <v>2</v>
      </c>
      <c r="L6346" s="112">
        <v>1</v>
      </c>
    </row>
    <row r="6347" spans="1:12" x14ac:dyDescent="0.2">
      <c r="A6347" s="111">
        <v>6511</v>
      </c>
      <c r="B6347" s="421" t="s">
        <v>11173</v>
      </c>
      <c r="C6347" s="421" t="s">
        <v>518</v>
      </c>
      <c r="D6347" s="422" t="s">
        <v>663</v>
      </c>
      <c r="E6347" s="111">
        <v>44322</v>
      </c>
      <c r="F6347" s="421" t="s">
        <v>12080</v>
      </c>
      <c r="G6347" s="112">
        <v>1</v>
      </c>
      <c r="H6347" s="112">
        <v>1</v>
      </c>
      <c r="I6347" s="112">
        <v>1</v>
      </c>
      <c r="J6347" s="112">
        <v>3</v>
      </c>
      <c r="K6347" s="112">
        <v>4</v>
      </c>
      <c r="L6347" s="112">
        <v>3</v>
      </c>
    </row>
    <row r="6348" spans="1:12" x14ac:dyDescent="0.2">
      <c r="A6348" s="111">
        <v>6512</v>
      </c>
      <c r="B6348" s="421" t="s">
        <v>2433</v>
      </c>
      <c r="C6348" s="421" t="s">
        <v>518</v>
      </c>
      <c r="D6348" s="422" t="s">
        <v>663</v>
      </c>
      <c r="E6348" s="111">
        <v>44322</v>
      </c>
      <c r="F6348" s="421" t="s">
        <v>12080</v>
      </c>
      <c r="G6348" s="112">
        <v>1</v>
      </c>
      <c r="H6348" s="112">
        <v>1</v>
      </c>
      <c r="I6348" s="112">
        <v>1</v>
      </c>
    </row>
    <row r="6349" spans="1:12" x14ac:dyDescent="0.2">
      <c r="A6349" s="111">
        <v>6513</v>
      </c>
      <c r="B6349" s="421" t="s">
        <v>8329</v>
      </c>
      <c r="C6349" s="421" t="s">
        <v>628</v>
      </c>
      <c r="D6349" s="422" t="s">
        <v>663</v>
      </c>
      <c r="E6349" s="111">
        <v>44323</v>
      </c>
      <c r="F6349" s="421" t="s">
        <v>12081</v>
      </c>
      <c r="G6349" s="112">
        <v>1</v>
      </c>
    </row>
    <row r="6350" spans="1:12" x14ac:dyDescent="0.2">
      <c r="A6350" s="111">
        <v>6514</v>
      </c>
      <c r="B6350" s="421" t="s">
        <v>3044</v>
      </c>
      <c r="C6350" s="421" t="s">
        <v>581</v>
      </c>
      <c r="D6350" s="422" t="s">
        <v>663</v>
      </c>
      <c r="E6350" s="111">
        <v>15532</v>
      </c>
      <c r="F6350" s="421" t="s">
        <v>4670</v>
      </c>
      <c r="G6350" s="112">
        <v>1</v>
      </c>
      <c r="H6350" s="112">
        <v>1</v>
      </c>
      <c r="I6350" s="112">
        <v>1</v>
      </c>
    </row>
    <row r="6351" spans="1:12" x14ac:dyDescent="0.2">
      <c r="A6351" s="111">
        <v>6515</v>
      </c>
      <c r="B6351" s="421" t="s">
        <v>12082</v>
      </c>
      <c r="C6351" s="421" t="s">
        <v>532</v>
      </c>
      <c r="D6351" s="422" t="s">
        <v>663</v>
      </c>
      <c r="E6351" s="111">
        <v>16983</v>
      </c>
      <c r="F6351" s="421" t="s">
        <v>9637</v>
      </c>
      <c r="G6351" s="112">
        <v>1</v>
      </c>
      <c r="H6351" s="112">
        <v>1</v>
      </c>
      <c r="I6351" s="112">
        <v>1</v>
      </c>
      <c r="J6351" s="112">
        <v>1</v>
      </c>
      <c r="K6351" s="112">
        <v>3</v>
      </c>
    </row>
    <row r="6352" spans="1:12" x14ac:dyDescent="0.2">
      <c r="A6352" s="111">
        <v>6516</v>
      </c>
      <c r="B6352" s="421" t="s">
        <v>5306</v>
      </c>
      <c r="C6352" s="421" t="s">
        <v>510</v>
      </c>
      <c r="D6352" s="422" t="s">
        <v>666</v>
      </c>
      <c r="E6352" s="111">
        <v>44324</v>
      </c>
      <c r="F6352" s="421" t="s">
        <v>12083</v>
      </c>
      <c r="G6352" s="112">
        <v>1</v>
      </c>
      <c r="H6352" s="112">
        <v>1</v>
      </c>
      <c r="I6352" s="112">
        <v>1</v>
      </c>
      <c r="J6352" s="112">
        <v>1</v>
      </c>
      <c r="L6352" s="112">
        <v>1</v>
      </c>
    </row>
    <row r="6353" spans="1:13" x14ac:dyDescent="0.2">
      <c r="A6353" s="111">
        <v>6517</v>
      </c>
      <c r="B6353" s="421" t="s">
        <v>12084</v>
      </c>
      <c r="C6353" s="421" t="s">
        <v>2003</v>
      </c>
      <c r="D6353" s="422" t="s">
        <v>666</v>
      </c>
      <c r="E6353" s="111">
        <v>44325</v>
      </c>
      <c r="F6353" s="421" t="s">
        <v>12085</v>
      </c>
      <c r="G6353" s="112">
        <v>1</v>
      </c>
      <c r="H6353" s="112">
        <v>1</v>
      </c>
      <c r="I6353" s="112">
        <v>1</v>
      </c>
    </row>
    <row r="6354" spans="1:13" x14ac:dyDescent="0.2">
      <c r="A6354" s="111">
        <v>6518</v>
      </c>
      <c r="B6354" s="421" t="s">
        <v>12086</v>
      </c>
      <c r="C6354" s="421" t="s">
        <v>510</v>
      </c>
      <c r="D6354" s="422"/>
      <c r="E6354" s="111">
        <v>44326</v>
      </c>
      <c r="F6354" s="421" t="s">
        <v>12087</v>
      </c>
    </row>
    <row r="6355" spans="1:13" x14ac:dyDescent="0.2">
      <c r="A6355" s="111">
        <v>6519</v>
      </c>
      <c r="B6355" s="421" t="s">
        <v>12088</v>
      </c>
      <c r="C6355" s="421" t="s">
        <v>510</v>
      </c>
      <c r="D6355" s="422" t="s">
        <v>663</v>
      </c>
      <c r="E6355" s="111">
        <v>44326</v>
      </c>
      <c r="F6355" s="421" t="s">
        <v>12087</v>
      </c>
      <c r="G6355" s="112">
        <v>1</v>
      </c>
      <c r="H6355" s="112">
        <v>1</v>
      </c>
      <c r="I6355" s="112">
        <v>1</v>
      </c>
      <c r="J6355" s="112">
        <v>1</v>
      </c>
      <c r="K6355" s="112">
        <v>1</v>
      </c>
      <c r="L6355" s="112">
        <v>1</v>
      </c>
    </row>
    <row r="6356" spans="1:13" x14ac:dyDescent="0.2">
      <c r="A6356" s="111">
        <v>6520</v>
      </c>
      <c r="B6356" s="421" t="s">
        <v>2234</v>
      </c>
      <c r="C6356" s="421" t="s">
        <v>559</v>
      </c>
      <c r="D6356" s="422" t="s">
        <v>663</v>
      </c>
      <c r="E6356" s="111">
        <v>44428</v>
      </c>
      <c r="F6356" s="421" t="s">
        <v>11943</v>
      </c>
      <c r="G6356" s="112">
        <v>1</v>
      </c>
      <c r="H6356" s="112">
        <v>1</v>
      </c>
      <c r="I6356" s="112">
        <v>1</v>
      </c>
    </row>
    <row r="6357" spans="1:13" x14ac:dyDescent="0.2">
      <c r="A6357" s="111">
        <v>6521</v>
      </c>
      <c r="B6357" s="421" t="s">
        <v>310</v>
      </c>
      <c r="C6357" s="421" t="s">
        <v>1908</v>
      </c>
      <c r="D6357" s="422" t="s">
        <v>663</v>
      </c>
      <c r="E6357" s="111">
        <v>14139</v>
      </c>
      <c r="F6357" s="421" t="s">
        <v>827</v>
      </c>
      <c r="G6357" s="112">
        <v>2</v>
      </c>
      <c r="H6357" s="112">
        <v>1</v>
      </c>
      <c r="I6357" s="112">
        <v>1</v>
      </c>
      <c r="J6357" s="112">
        <v>1</v>
      </c>
      <c r="K6357" s="112">
        <v>2</v>
      </c>
      <c r="L6357" s="112">
        <v>2</v>
      </c>
    </row>
    <row r="6358" spans="1:13" x14ac:dyDescent="0.2">
      <c r="A6358" s="111">
        <v>6522</v>
      </c>
      <c r="B6358" s="421" t="s">
        <v>7527</v>
      </c>
      <c r="C6358" s="421" t="s">
        <v>1870</v>
      </c>
      <c r="D6358" s="422" t="s">
        <v>663</v>
      </c>
      <c r="E6358" s="111">
        <v>14658</v>
      </c>
      <c r="F6358" s="421" t="s">
        <v>1967</v>
      </c>
    </row>
    <row r="6359" spans="1:13" x14ac:dyDescent="0.2">
      <c r="A6359" s="111">
        <v>6523</v>
      </c>
      <c r="B6359" s="421" t="s">
        <v>3121</v>
      </c>
      <c r="C6359" s="421" t="s">
        <v>518</v>
      </c>
      <c r="D6359" s="422" t="s">
        <v>666</v>
      </c>
      <c r="E6359" s="111">
        <v>44329</v>
      </c>
      <c r="F6359" s="421" t="s">
        <v>12089</v>
      </c>
    </row>
    <row r="6360" spans="1:13" x14ac:dyDescent="0.2">
      <c r="A6360" s="111">
        <v>6524</v>
      </c>
      <c r="B6360" s="421" t="s">
        <v>175</v>
      </c>
      <c r="C6360" s="421" t="s">
        <v>552</v>
      </c>
      <c r="D6360" s="422" t="s">
        <v>666</v>
      </c>
      <c r="E6360" s="111">
        <v>44330</v>
      </c>
      <c r="F6360" s="421" t="s">
        <v>12090</v>
      </c>
      <c r="G6360" s="112">
        <v>1</v>
      </c>
      <c r="H6360" s="112">
        <v>1</v>
      </c>
      <c r="I6360" s="112">
        <v>1</v>
      </c>
      <c r="K6360" s="112">
        <v>1</v>
      </c>
    </row>
    <row r="6361" spans="1:13" x14ac:dyDescent="0.2">
      <c r="A6361" s="111">
        <v>6525</v>
      </c>
      <c r="B6361" s="421" t="s">
        <v>12160</v>
      </c>
      <c r="C6361" s="421" t="s">
        <v>516</v>
      </c>
      <c r="D6361" s="422" t="s">
        <v>663</v>
      </c>
      <c r="E6361" s="111">
        <v>14547</v>
      </c>
      <c r="F6361" s="421" t="s">
        <v>1658</v>
      </c>
    </row>
    <row r="6362" spans="1:13" x14ac:dyDescent="0.2">
      <c r="A6362" s="111">
        <v>6526</v>
      </c>
      <c r="B6362" s="421" t="s">
        <v>12161</v>
      </c>
      <c r="C6362" s="421" t="s">
        <v>5370</v>
      </c>
      <c r="D6362" s="422" t="s">
        <v>663</v>
      </c>
      <c r="E6362" s="111">
        <v>17077</v>
      </c>
      <c r="F6362" s="421" t="s">
        <v>9967</v>
      </c>
      <c r="G6362" s="112">
        <v>1</v>
      </c>
      <c r="H6362" s="112">
        <v>1</v>
      </c>
      <c r="I6362" s="112">
        <v>1</v>
      </c>
      <c r="J6362" s="112">
        <v>1</v>
      </c>
      <c r="K6362" s="112">
        <v>2</v>
      </c>
      <c r="L6362" s="112">
        <v>1</v>
      </c>
    </row>
    <row r="6363" spans="1:13" x14ac:dyDescent="0.2">
      <c r="A6363" s="111">
        <v>6527</v>
      </c>
      <c r="B6363" s="421" t="s">
        <v>12162</v>
      </c>
      <c r="C6363" s="421" t="s">
        <v>5370</v>
      </c>
      <c r="D6363" s="422" t="s">
        <v>663</v>
      </c>
      <c r="E6363" s="111">
        <v>17077</v>
      </c>
      <c r="F6363" s="421" t="s">
        <v>9967</v>
      </c>
    </row>
    <row r="6364" spans="1:13" x14ac:dyDescent="0.2">
      <c r="A6364" s="111">
        <v>6528</v>
      </c>
      <c r="B6364" s="421" t="s">
        <v>4023</v>
      </c>
      <c r="C6364" s="421" t="s">
        <v>7696</v>
      </c>
      <c r="D6364" s="422" t="s">
        <v>663</v>
      </c>
      <c r="E6364" s="111">
        <v>14796</v>
      </c>
      <c r="F6364" s="421" t="s">
        <v>2390</v>
      </c>
    </row>
    <row r="6365" spans="1:13" x14ac:dyDescent="0.2">
      <c r="A6365" s="111">
        <v>6529</v>
      </c>
      <c r="B6365" s="421" t="s">
        <v>12163</v>
      </c>
      <c r="C6365" s="421" t="s">
        <v>7696</v>
      </c>
      <c r="D6365" s="422" t="s">
        <v>663</v>
      </c>
      <c r="E6365" s="111">
        <v>14796</v>
      </c>
      <c r="F6365" s="421" t="s">
        <v>2390</v>
      </c>
    </row>
    <row r="6366" spans="1:13" x14ac:dyDescent="0.2">
      <c r="A6366" s="111">
        <v>6530</v>
      </c>
      <c r="B6366" s="421" t="s">
        <v>381</v>
      </c>
      <c r="C6366" s="421" t="s">
        <v>527</v>
      </c>
      <c r="D6366" s="422" t="s">
        <v>663</v>
      </c>
      <c r="E6366" s="111">
        <v>44331</v>
      </c>
      <c r="F6366" s="421" t="s">
        <v>12164</v>
      </c>
      <c r="G6366" s="112">
        <v>1</v>
      </c>
      <c r="H6366" s="112">
        <v>1</v>
      </c>
    </row>
    <row r="6367" spans="1:13" x14ac:dyDescent="0.2">
      <c r="A6367" s="111">
        <v>6531</v>
      </c>
      <c r="B6367" s="421" t="s">
        <v>4896</v>
      </c>
      <c r="C6367" s="421" t="s">
        <v>532</v>
      </c>
      <c r="D6367" s="422" t="s">
        <v>666</v>
      </c>
      <c r="E6367" s="111">
        <v>15371</v>
      </c>
      <c r="F6367" s="421" t="s">
        <v>3925</v>
      </c>
      <c r="G6367" s="112">
        <v>1</v>
      </c>
      <c r="H6367" s="112">
        <v>1</v>
      </c>
      <c r="I6367" s="112">
        <v>1</v>
      </c>
      <c r="J6367" s="112">
        <v>1</v>
      </c>
      <c r="L6367" s="112">
        <v>1</v>
      </c>
      <c r="M6367" s="112">
        <v>1</v>
      </c>
    </row>
    <row r="6368" spans="1:13" x14ac:dyDescent="0.2">
      <c r="A6368" s="111">
        <v>6532</v>
      </c>
      <c r="B6368" s="421" t="s">
        <v>12165</v>
      </c>
      <c r="C6368" s="421" t="s">
        <v>510</v>
      </c>
      <c r="D6368" s="422" t="s">
        <v>666</v>
      </c>
      <c r="F6368" s="421" t="s">
        <v>12166</v>
      </c>
    </row>
    <row r="6369" spans="1:12" x14ac:dyDescent="0.2">
      <c r="A6369" s="111">
        <v>6533</v>
      </c>
      <c r="B6369" s="421" t="s">
        <v>430</v>
      </c>
      <c r="C6369" s="421" t="s">
        <v>503</v>
      </c>
      <c r="D6369" s="422" t="s">
        <v>666</v>
      </c>
      <c r="E6369" s="111">
        <v>15349</v>
      </c>
      <c r="F6369" s="421" t="s">
        <v>4026</v>
      </c>
      <c r="G6369" s="112">
        <v>1</v>
      </c>
      <c r="H6369" s="112">
        <v>1</v>
      </c>
      <c r="I6369" s="112">
        <v>1</v>
      </c>
    </row>
    <row r="6370" spans="1:12" x14ac:dyDescent="0.2">
      <c r="A6370" s="111">
        <v>6534</v>
      </c>
      <c r="B6370" s="421" t="s">
        <v>11926</v>
      </c>
      <c r="C6370" s="421" t="s">
        <v>2154</v>
      </c>
      <c r="D6370" s="422" t="s">
        <v>663</v>
      </c>
      <c r="E6370" s="111">
        <v>16221</v>
      </c>
      <c r="F6370" s="421" t="s">
        <v>5714</v>
      </c>
      <c r="I6370" s="112">
        <v>1</v>
      </c>
    </row>
    <row r="6371" spans="1:12" x14ac:dyDescent="0.2">
      <c r="A6371" s="111">
        <v>6535</v>
      </c>
      <c r="B6371" s="421" t="s">
        <v>1933</v>
      </c>
      <c r="C6371" s="421" t="s">
        <v>577</v>
      </c>
      <c r="D6371" s="422" t="s">
        <v>666</v>
      </c>
      <c r="E6371" s="111">
        <v>44332</v>
      </c>
      <c r="F6371" s="421" t="s">
        <v>12167</v>
      </c>
      <c r="G6371" s="112">
        <v>1</v>
      </c>
      <c r="H6371" s="112">
        <v>1</v>
      </c>
      <c r="I6371" s="112">
        <v>1</v>
      </c>
      <c r="J6371" s="112">
        <v>2</v>
      </c>
      <c r="K6371" s="112">
        <v>2</v>
      </c>
      <c r="L6371" s="112">
        <v>2</v>
      </c>
    </row>
    <row r="6372" spans="1:12" x14ac:dyDescent="0.2">
      <c r="A6372" s="111">
        <v>6536</v>
      </c>
      <c r="B6372" s="421" t="s">
        <v>12168</v>
      </c>
      <c r="C6372" s="421" t="s">
        <v>501</v>
      </c>
      <c r="D6372" s="422" t="s">
        <v>663</v>
      </c>
      <c r="F6372" s="421" t="s">
        <v>12169</v>
      </c>
    </row>
    <row r="6373" spans="1:12" x14ac:dyDescent="0.2">
      <c r="A6373" s="111">
        <v>6537</v>
      </c>
      <c r="B6373" s="421" t="s">
        <v>11580</v>
      </c>
      <c r="C6373" s="421" t="s">
        <v>502</v>
      </c>
      <c r="D6373" s="422" t="s">
        <v>666</v>
      </c>
      <c r="E6373" s="111">
        <v>44333</v>
      </c>
      <c r="F6373" s="421" t="s">
        <v>11581</v>
      </c>
    </row>
    <row r="6374" spans="1:12" x14ac:dyDescent="0.2">
      <c r="A6374" s="111">
        <v>6538</v>
      </c>
      <c r="B6374" s="421" t="s">
        <v>2930</v>
      </c>
      <c r="C6374" s="421" t="s">
        <v>509</v>
      </c>
      <c r="D6374" s="422" t="s">
        <v>663</v>
      </c>
      <c r="E6374" s="111">
        <v>16411</v>
      </c>
      <c r="F6374" s="421" t="s">
        <v>7558</v>
      </c>
      <c r="G6374" s="112">
        <v>1</v>
      </c>
      <c r="H6374" s="112">
        <v>1</v>
      </c>
      <c r="I6374" s="112">
        <v>2</v>
      </c>
    </row>
    <row r="6375" spans="1:12" x14ac:dyDescent="0.2">
      <c r="A6375" s="111">
        <v>6539</v>
      </c>
      <c r="B6375" s="421" t="s">
        <v>5747</v>
      </c>
      <c r="C6375" s="421" t="s">
        <v>529</v>
      </c>
      <c r="D6375" s="422" t="s">
        <v>666</v>
      </c>
      <c r="E6375" s="111">
        <v>14875</v>
      </c>
      <c r="F6375" s="421" t="s">
        <v>3451</v>
      </c>
      <c r="G6375" s="112">
        <v>1</v>
      </c>
      <c r="H6375" s="112">
        <v>2</v>
      </c>
      <c r="I6375" s="112">
        <v>1</v>
      </c>
      <c r="J6375" s="112">
        <v>1</v>
      </c>
      <c r="K6375" s="112">
        <v>1</v>
      </c>
      <c r="L6375" s="112">
        <v>1</v>
      </c>
    </row>
    <row r="6376" spans="1:12" x14ac:dyDescent="0.2">
      <c r="A6376" s="111">
        <v>6540</v>
      </c>
      <c r="B6376" s="421" t="s">
        <v>186</v>
      </c>
      <c r="C6376" s="421" t="s">
        <v>501</v>
      </c>
      <c r="D6376" s="422" t="s">
        <v>666</v>
      </c>
      <c r="E6376" s="111">
        <v>16346</v>
      </c>
      <c r="F6376" s="421" t="s">
        <v>7232</v>
      </c>
      <c r="G6376" s="112">
        <v>1</v>
      </c>
      <c r="H6376" s="112">
        <v>1</v>
      </c>
      <c r="I6376" s="112">
        <v>1</v>
      </c>
      <c r="J6376" s="112">
        <v>1</v>
      </c>
      <c r="K6376" s="112">
        <v>1</v>
      </c>
      <c r="L6376" s="112">
        <v>1</v>
      </c>
    </row>
    <row r="6377" spans="1:12" x14ac:dyDescent="0.2">
      <c r="A6377" s="111">
        <v>6541</v>
      </c>
      <c r="B6377" s="421" t="s">
        <v>1649</v>
      </c>
      <c r="C6377" s="421" t="s">
        <v>501</v>
      </c>
      <c r="D6377" s="422" t="s">
        <v>663</v>
      </c>
      <c r="E6377" s="111">
        <v>44334</v>
      </c>
      <c r="F6377" s="421" t="s">
        <v>12170</v>
      </c>
      <c r="G6377" s="112">
        <v>1</v>
      </c>
      <c r="H6377" s="112">
        <v>1</v>
      </c>
      <c r="I6377" s="112">
        <v>1</v>
      </c>
    </row>
    <row r="6378" spans="1:12" x14ac:dyDescent="0.2">
      <c r="A6378" s="111">
        <v>6542</v>
      </c>
      <c r="B6378" s="421" t="s">
        <v>1092</v>
      </c>
      <c r="C6378" s="421" t="s">
        <v>503</v>
      </c>
      <c r="D6378" s="422" t="s">
        <v>663</v>
      </c>
      <c r="E6378" s="111">
        <v>44335</v>
      </c>
      <c r="F6378" s="421" t="s">
        <v>12171</v>
      </c>
      <c r="G6378" s="112">
        <v>1</v>
      </c>
      <c r="H6378" s="112">
        <v>1</v>
      </c>
      <c r="I6378" s="112">
        <v>1</v>
      </c>
      <c r="J6378" s="112">
        <v>1</v>
      </c>
      <c r="K6378" s="112">
        <v>1</v>
      </c>
      <c r="L6378" s="112">
        <v>1</v>
      </c>
    </row>
    <row r="6379" spans="1:12" x14ac:dyDescent="0.2">
      <c r="A6379" s="111">
        <v>6543</v>
      </c>
      <c r="B6379" s="421" t="s">
        <v>12172</v>
      </c>
      <c r="C6379" s="421" t="s">
        <v>501</v>
      </c>
      <c r="D6379" s="422" t="s">
        <v>663</v>
      </c>
      <c r="E6379" s="111">
        <v>44336</v>
      </c>
      <c r="F6379" s="421" t="s">
        <v>12173</v>
      </c>
      <c r="G6379" s="112">
        <v>1</v>
      </c>
      <c r="H6379" s="112">
        <v>1</v>
      </c>
      <c r="I6379" s="112">
        <v>1</v>
      </c>
    </row>
    <row r="6380" spans="1:12" x14ac:dyDescent="0.2">
      <c r="A6380" s="111">
        <v>6544</v>
      </c>
      <c r="B6380" s="421" t="s">
        <v>2822</v>
      </c>
      <c r="C6380" s="421" t="s">
        <v>503</v>
      </c>
      <c r="D6380" s="422" t="s">
        <v>666</v>
      </c>
      <c r="E6380" s="111">
        <v>44305</v>
      </c>
      <c r="F6380" s="421" t="s">
        <v>11290</v>
      </c>
      <c r="G6380" s="112">
        <v>1</v>
      </c>
      <c r="H6380" s="112">
        <v>1</v>
      </c>
      <c r="I6380" s="112">
        <v>1</v>
      </c>
      <c r="J6380" s="112">
        <v>1</v>
      </c>
      <c r="K6380" s="112">
        <v>1</v>
      </c>
      <c r="L6380" s="112">
        <v>1</v>
      </c>
    </row>
    <row r="6381" spans="1:12" x14ac:dyDescent="0.2">
      <c r="A6381" s="111">
        <v>6545</v>
      </c>
      <c r="B6381" s="421" t="s">
        <v>6309</v>
      </c>
      <c r="C6381" s="421" t="s">
        <v>534</v>
      </c>
      <c r="D6381" s="422" t="s">
        <v>666</v>
      </c>
      <c r="E6381" s="111">
        <v>17292</v>
      </c>
      <c r="F6381" s="421" t="s">
        <v>10763</v>
      </c>
      <c r="G6381" s="112">
        <v>1</v>
      </c>
      <c r="H6381" s="112">
        <v>1</v>
      </c>
      <c r="I6381" s="112">
        <v>1</v>
      </c>
    </row>
    <row r="6382" spans="1:12" x14ac:dyDescent="0.2">
      <c r="A6382" s="111">
        <v>6546</v>
      </c>
      <c r="B6382" s="421" t="s">
        <v>12174</v>
      </c>
      <c r="C6382" s="421" t="s">
        <v>506</v>
      </c>
      <c r="D6382" s="422" t="s">
        <v>663</v>
      </c>
      <c r="E6382" s="111">
        <v>44337</v>
      </c>
      <c r="F6382" s="421" t="s">
        <v>12175</v>
      </c>
      <c r="G6382" s="112">
        <v>1</v>
      </c>
      <c r="H6382" s="112">
        <v>1</v>
      </c>
      <c r="I6382" s="112">
        <v>1</v>
      </c>
      <c r="J6382" s="112">
        <v>1</v>
      </c>
      <c r="K6382" s="112">
        <v>1</v>
      </c>
      <c r="L6382" s="112">
        <v>2</v>
      </c>
    </row>
    <row r="6383" spans="1:12" x14ac:dyDescent="0.2">
      <c r="A6383" s="111">
        <v>6547</v>
      </c>
      <c r="B6383" s="421" t="s">
        <v>8914</v>
      </c>
      <c r="C6383" s="421" t="s">
        <v>532</v>
      </c>
      <c r="D6383" s="422" t="s">
        <v>666</v>
      </c>
      <c r="E6383" s="111">
        <v>15314</v>
      </c>
      <c r="F6383" s="421" t="s">
        <v>3792</v>
      </c>
    </row>
    <row r="6384" spans="1:12" x14ac:dyDescent="0.2">
      <c r="A6384" s="111">
        <v>6548</v>
      </c>
      <c r="B6384" s="421" t="s">
        <v>12176</v>
      </c>
      <c r="C6384" s="421" t="s">
        <v>510</v>
      </c>
      <c r="D6384" s="422" t="s">
        <v>663</v>
      </c>
      <c r="E6384" s="111">
        <v>44338</v>
      </c>
      <c r="F6384" s="421" t="s">
        <v>12177</v>
      </c>
      <c r="G6384" s="112">
        <v>1</v>
      </c>
      <c r="H6384" s="112">
        <v>1</v>
      </c>
      <c r="I6384" s="112">
        <v>1</v>
      </c>
      <c r="J6384" s="112">
        <v>1</v>
      </c>
      <c r="K6384" s="112">
        <v>1</v>
      </c>
      <c r="L6384" s="112">
        <v>1</v>
      </c>
    </row>
    <row r="6385" spans="1:15" x14ac:dyDescent="0.2">
      <c r="A6385" s="111">
        <v>6549</v>
      </c>
      <c r="B6385" s="421" t="s">
        <v>238</v>
      </c>
      <c r="C6385" s="421" t="s">
        <v>530</v>
      </c>
      <c r="D6385" s="422" t="s">
        <v>666</v>
      </c>
      <c r="E6385" s="111">
        <v>15139</v>
      </c>
      <c r="F6385" s="421" t="s">
        <v>3248</v>
      </c>
      <c r="G6385" s="112">
        <v>4</v>
      </c>
      <c r="H6385" s="112">
        <v>3</v>
      </c>
      <c r="I6385" s="112">
        <v>1</v>
      </c>
    </row>
    <row r="6386" spans="1:15" x14ac:dyDescent="0.2">
      <c r="A6386" s="111">
        <v>6550</v>
      </c>
      <c r="B6386" s="421" t="s">
        <v>12178</v>
      </c>
      <c r="C6386" s="421" t="s">
        <v>534</v>
      </c>
      <c r="D6386" s="422" t="s">
        <v>663</v>
      </c>
      <c r="E6386" s="111">
        <v>44339</v>
      </c>
      <c r="F6386" s="421" t="s">
        <v>12179</v>
      </c>
      <c r="G6386" s="112">
        <v>1</v>
      </c>
      <c r="H6386" s="112">
        <v>1</v>
      </c>
      <c r="I6386" s="112">
        <v>1</v>
      </c>
    </row>
    <row r="6387" spans="1:15" x14ac:dyDescent="0.2">
      <c r="A6387" s="111">
        <v>6551</v>
      </c>
      <c r="B6387" s="421" t="s">
        <v>3836</v>
      </c>
      <c r="C6387" s="421" t="s">
        <v>501</v>
      </c>
      <c r="D6387" s="422" t="s">
        <v>666</v>
      </c>
      <c r="E6387" s="111">
        <v>44339</v>
      </c>
      <c r="F6387" s="421" t="s">
        <v>12179</v>
      </c>
      <c r="G6387" s="112">
        <v>1</v>
      </c>
    </row>
    <row r="6388" spans="1:15" x14ac:dyDescent="0.2">
      <c r="A6388" s="111">
        <v>6552</v>
      </c>
      <c r="B6388" s="421" t="s">
        <v>7210</v>
      </c>
      <c r="C6388" s="421" t="s">
        <v>532</v>
      </c>
      <c r="D6388" s="422" t="s">
        <v>666</v>
      </c>
      <c r="F6388" s="421" t="s">
        <v>12180</v>
      </c>
      <c r="G6388" s="112">
        <v>1</v>
      </c>
      <c r="H6388" s="112">
        <v>1</v>
      </c>
      <c r="I6388" s="112">
        <v>1</v>
      </c>
      <c r="J6388" s="112">
        <v>1</v>
      </c>
      <c r="K6388" s="112">
        <v>2</v>
      </c>
      <c r="L6388" s="112">
        <v>1</v>
      </c>
    </row>
    <row r="6389" spans="1:15" x14ac:dyDescent="0.2">
      <c r="A6389" s="111">
        <v>6553</v>
      </c>
      <c r="B6389" s="421" t="s">
        <v>48</v>
      </c>
      <c r="C6389" s="421" t="s">
        <v>510</v>
      </c>
      <c r="D6389" s="422" t="s">
        <v>663</v>
      </c>
      <c r="E6389" s="111">
        <v>17072</v>
      </c>
      <c r="F6389" s="421" t="s">
        <v>9960</v>
      </c>
    </row>
    <row r="6390" spans="1:15" x14ac:dyDescent="0.2">
      <c r="A6390" s="111">
        <v>6554</v>
      </c>
      <c r="B6390" s="421" t="s">
        <v>12181</v>
      </c>
      <c r="C6390" s="421" t="s">
        <v>1758</v>
      </c>
      <c r="D6390" s="422" t="s">
        <v>663</v>
      </c>
      <c r="E6390" s="111">
        <v>44354</v>
      </c>
      <c r="F6390" s="421" t="s">
        <v>12182</v>
      </c>
      <c r="G6390" s="112">
        <v>1</v>
      </c>
      <c r="H6390" s="112">
        <v>1</v>
      </c>
      <c r="I6390" s="112">
        <v>1</v>
      </c>
    </row>
    <row r="6391" spans="1:15" x14ac:dyDescent="0.2">
      <c r="A6391" s="111">
        <v>6555</v>
      </c>
      <c r="B6391" s="421" t="s">
        <v>8825</v>
      </c>
      <c r="C6391" s="421" t="s">
        <v>503</v>
      </c>
      <c r="D6391" s="422" t="s">
        <v>663</v>
      </c>
      <c r="E6391" s="111">
        <v>44342</v>
      </c>
      <c r="F6391" s="421" t="s">
        <v>12183</v>
      </c>
      <c r="G6391" s="112">
        <v>1</v>
      </c>
      <c r="H6391" s="112">
        <v>1</v>
      </c>
      <c r="I6391" s="112">
        <v>1</v>
      </c>
      <c r="K6391" s="112">
        <v>1</v>
      </c>
    </row>
    <row r="6392" spans="1:15" x14ac:dyDescent="0.2">
      <c r="A6392" s="111">
        <v>6556</v>
      </c>
      <c r="B6392" s="421" t="s">
        <v>381</v>
      </c>
      <c r="C6392" s="421" t="s">
        <v>506</v>
      </c>
      <c r="D6392" s="422" t="s">
        <v>663</v>
      </c>
      <c r="E6392" s="111">
        <v>44343</v>
      </c>
      <c r="F6392" s="421" t="s">
        <v>12184</v>
      </c>
      <c r="G6392" s="112">
        <v>1</v>
      </c>
      <c r="H6392" s="112">
        <v>1</v>
      </c>
      <c r="I6392" s="112">
        <v>1</v>
      </c>
    </row>
    <row r="6393" spans="1:15" x14ac:dyDescent="0.2">
      <c r="A6393" s="111">
        <v>6557</v>
      </c>
      <c r="B6393" s="421" t="s">
        <v>207</v>
      </c>
      <c r="C6393" s="421" t="s">
        <v>4662</v>
      </c>
      <c r="D6393" s="422" t="s">
        <v>663</v>
      </c>
      <c r="E6393" s="111">
        <v>44344</v>
      </c>
      <c r="F6393" s="421" t="s">
        <v>12185</v>
      </c>
      <c r="G6393" s="112">
        <v>1</v>
      </c>
      <c r="H6393" s="112">
        <v>1</v>
      </c>
      <c r="I6393" s="112">
        <v>1</v>
      </c>
      <c r="J6393" s="112">
        <v>1</v>
      </c>
      <c r="K6393" s="112">
        <v>2</v>
      </c>
      <c r="L6393" s="112">
        <v>1</v>
      </c>
    </row>
    <row r="6394" spans="1:15" x14ac:dyDescent="0.2">
      <c r="A6394" s="111">
        <v>6558</v>
      </c>
      <c r="B6394" s="421" t="s">
        <v>12186</v>
      </c>
      <c r="C6394" s="421" t="s">
        <v>516</v>
      </c>
      <c r="D6394" s="422" t="s">
        <v>666</v>
      </c>
      <c r="E6394" s="111">
        <v>16661</v>
      </c>
      <c r="F6394" s="421" t="s">
        <v>8198</v>
      </c>
    </row>
    <row r="6395" spans="1:15" x14ac:dyDescent="0.2">
      <c r="A6395" s="111">
        <v>6560</v>
      </c>
      <c r="B6395" s="421" t="s">
        <v>12187</v>
      </c>
      <c r="C6395" s="421" t="s">
        <v>12418</v>
      </c>
      <c r="D6395" s="422" t="s">
        <v>663</v>
      </c>
      <c r="E6395" s="111">
        <v>44345</v>
      </c>
      <c r="F6395" s="421" t="s">
        <v>12188</v>
      </c>
      <c r="G6395" s="112">
        <v>1</v>
      </c>
      <c r="H6395" s="112">
        <v>1</v>
      </c>
      <c r="I6395" s="112">
        <v>1</v>
      </c>
      <c r="J6395" s="112">
        <v>1</v>
      </c>
      <c r="K6395" s="112">
        <v>1</v>
      </c>
      <c r="L6395" s="112">
        <v>2</v>
      </c>
    </row>
    <row r="6396" spans="1:15" x14ac:dyDescent="0.2">
      <c r="A6396" s="111">
        <v>6561</v>
      </c>
      <c r="B6396" s="421" t="s">
        <v>10398</v>
      </c>
      <c r="C6396" s="421" t="s">
        <v>3797</v>
      </c>
      <c r="D6396" s="422" t="s">
        <v>666</v>
      </c>
      <c r="E6396" s="111">
        <v>44346</v>
      </c>
      <c r="F6396" s="421" t="s">
        <v>12189</v>
      </c>
    </row>
    <row r="6397" spans="1:15" x14ac:dyDescent="0.2">
      <c r="A6397" s="111">
        <v>6562</v>
      </c>
      <c r="B6397" s="421" t="s">
        <v>12190</v>
      </c>
      <c r="C6397" s="421" t="s">
        <v>551</v>
      </c>
      <c r="D6397" s="422" t="s">
        <v>663</v>
      </c>
      <c r="E6397" s="111">
        <v>44347</v>
      </c>
      <c r="F6397" s="421" t="s">
        <v>12191</v>
      </c>
      <c r="G6397" s="112">
        <v>1</v>
      </c>
      <c r="H6397" s="112">
        <v>1</v>
      </c>
      <c r="I6397" s="112">
        <v>1</v>
      </c>
      <c r="J6397" s="112">
        <v>2</v>
      </c>
      <c r="K6397" s="112">
        <v>3</v>
      </c>
      <c r="L6397" s="112">
        <v>3</v>
      </c>
    </row>
    <row r="6398" spans="1:15" x14ac:dyDescent="0.2">
      <c r="A6398" s="111">
        <v>6563</v>
      </c>
      <c r="B6398" s="421" t="s">
        <v>3044</v>
      </c>
      <c r="C6398" s="421" t="s">
        <v>501</v>
      </c>
      <c r="D6398" s="422" t="s">
        <v>663</v>
      </c>
      <c r="F6398" s="421" t="s">
        <v>12192</v>
      </c>
      <c r="G6398" s="112">
        <v>1</v>
      </c>
      <c r="H6398" s="112">
        <v>1</v>
      </c>
      <c r="I6398" s="112">
        <v>1</v>
      </c>
    </row>
    <row r="6399" spans="1:15" x14ac:dyDescent="0.2">
      <c r="A6399" s="111">
        <v>6564</v>
      </c>
      <c r="B6399" s="421" t="s">
        <v>6680</v>
      </c>
      <c r="C6399" s="421" t="s">
        <v>557</v>
      </c>
      <c r="D6399" s="422" t="s">
        <v>666</v>
      </c>
      <c r="E6399" s="111">
        <v>44412</v>
      </c>
      <c r="F6399" s="421" t="s">
        <v>12193</v>
      </c>
      <c r="G6399" s="112">
        <v>1</v>
      </c>
      <c r="H6399" s="112">
        <v>1</v>
      </c>
      <c r="I6399" s="112">
        <v>1</v>
      </c>
      <c r="J6399" s="112">
        <v>6</v>
      </c>
      <c r="K6399" s="112">
        <v>6</v>
      </c>
      <c r="L6399" s="112">
        <v>7</v>
      </c>
      <c r="M6399" s="112">
        <v>1</v>
      </c>
      <c r="O6399" s="112">
        <v>2</v>
      </c>
    </row>
    <row r="6400" spans="1:15" x14ac:dyDescent="0.2">
      <c r="A6400" s="111">
        <v>6565</v>
      </c>
      <c r="B6400" s="421" t="s">
        <v>46</v>
      </c>
      <c r="C6400" s="421" t="s">
        <v>540</v>
      </c>
      <c r="D6400" s="422" t="s">
        <v>663</v>
      </c>
      <c r="E6400" s="111">
        <v>15219</v>
      </c>
      <c r="F6400" s="421" t="s">
        <v>3437</v>
      </c>
      <c r="G6400" s="112">
        <v>2</v>
      </c>
      <c r="H6400" s="112">
        <v>2</v>
      </c>
      <c r="I6400" s="112">
        <v>2</v>
      </c>
      <c r="K6400" s="112">
        <v>1</v>
      </c>
    </row>
    <row r="6401" spans="1:15" x14ac:dyDescent="0.2">
      <c r="A6401" s="111">
        <v>6566</v>
      </c>
      <c r="B6401" s="421" t="s">
        <v>6246</v>
      </c>
      <c r="C6401" s="421" t="s">
        <v>501</v>
      </c>
      <c r="D6401" s="422" t="s">
        <v>666</v>
      </c>
      <c r="E6401" s="111">
        <v>44348</v>
      </c>
      <c r="F6401" s="421" t="s">
        <v>12194</v>
      </c>
      <c r="G6401" s="112">
        <v>1</v>
      </c>
      <c r="H6401" s="112">
        <v>1</v>
      </c>
      <c r="I6401" s="112">
        <v>1</v>
      </c>
      <c r="J6401" s="112">
        <v>1</v>
      </c>
      <c r="K6401" s="112">
        <v>1</v>
      </c>
      <c r="L6401" s="112">
        <v>1</v>
      </c>
    </row>
    <row r="6402" spans="1:15" x14ac:dyDescent="0.2">
      <c r="A6402" s="111">
        <v>6568</v>
      </c>
      <c r="B6402" s="421" t="s">
        <v>5810</v>
      </c>
      <c r="C6402" s="421" t="s">
        <v>7405</v>
      </c>
      <c r="D6402" s="422" t="s">
        <v>663</v>
      </c>
      <c r="E6402" s="111">
        <v>44349</v>
      </c>
      <c r="F6402" s="421" t="s">
        <v>12195</v>
      </c>
      <c r="G6402" s="112">
        <v>1</v>
      </c>
      <c r="H6402" s="112">
        <v>1</v>
      </c>
      <c r="I6402" s="112">
        <v>2</v>
      </c>
      <c r="J6402" s="112">
        <v>1</v>
      </c>
      <c r="L6402" s="112">
        <v>1</v>
      </c>
    </row>
    <row r="6403" spans="1:15" x14ac:dyDescent="0.2">
      <c r="A6403" s="111">
        <v>6569</v>
      </c>
      <c r="B6403" s="421" t="s">
        <v>2916</v>
      </c>
      <c r="C6403" s="421" t="s">
        <v>1201</v>
      </c>
      <c r="D6403" s="422" t="s">
        <v>666</v>
      </c>
      <c r="E6403" s="111">
        <v>44350</v>
      </c>
      <c r="F6403" s="421" t="s">
        <v>12196</v>
      </c>
      <c r="G6403" s="112">
        <v>1</v>
      </c>
      <c r="H6403" s="112">
        <v>1</v>
      </c>
      <c r="I6403" s="112">
        <v>1</v>
      </c>
      <c r="L6403" s="112">
        <v>2</v>
      </c>
    </row>
    <row r="6404" spans="1:15" x14ac:dyDescent="0.2">
      <c r="A6404" s="111">
        <v>6570</v>
      </c>
      <c r="B6404" s="421" t="s">
        <v>12197</v>
      </c>
      <c r="C6404" s="421" t="s">
        <v>510</v>
      </c>
      <c r="D6404" s="422" t="s">
        <v>663</v>
      </c>
      <c r="E6404" s="111">
        <v>44351</v>
      </c>
      <c r="F6404" s="421" t="s">
        <v>12198</v>
      </c>
      <c r="H6404" s="112">
        <v>1</v>
      </c>
      <c r="I6404" s="112">
        <v>1</v>
      </c>
      <c r="L6404" s="112">
        <v>1</v>
      </c>
    </row>
    <row r="6405" spans="1:15" x14ac:dyDescent="0.2">
      <c r="A6405" s="111">
        <v>6571</v>
      </c>
      <c r="B6405" s="421" t="s">
        <v>1663</v>
      </c>
      <c r="C6405" s="421" t="s">
        <v>518</v>
      </c>
      <c r="D6405" s="422" t="s">
        <v>663</v>
      </c>
      <c r="E6405" s="111">
        <v>16478</v>
      </c>
      <c r="F6405" s="421" t="s">
        <v>7712</v>
      </c>
    </row>
    <row r="6406" spans="1:15" x14ac:dyDescent="0.2">
      <c r="A6406" s="111">
        <v>6572</v>
      </c>
      <c r="B6406" s="421" t="s">
        <v>2980</v>
      </c>
      <c r="C6406" s="421" t="s">
        <v>17459</v>
      </c>
      <c r="D6406" s="422" t="s">
        <v>666</v>
      </c>
      <c r="E6406" s="111">
        <v>44568</v>
      </c>
      <c r="F6406" s="421" t="s">
        <v>12199</v>
      </c>
      <c r="G6406" s="112">
        <v>1</v>
      </c>
      <c r="H6406" s="112">
        <v>1</v>
      </c>
      <c r="J6406" s="112">
        <v>1</v>
      </c>
    </row>
    <row r="6407" spans="1:15" x14ac:dyDescent="0.2">
      <c r="A6407" s="111">
        <v>6573</v>
      </c>
      <c r="B6407" s="421" t="s">
        <v>12200</v>
      </c>
      <c r="C6407" s="421" t="s">
        <v>4662</v>
      </c>
      <c r="D6407" s="422" t="s">
        <v>666</v>
      </c>
      <c r="E6407" s="111">
        <v>44353</v>
      </c>
      <c r="F6407" s="421" t="s">
        <v>12201</v>
      </c>
      <c r="G6407" s="112">
        <v>2</v>
      </c>
      <c r="H6407" s="112">
        <v>2</v>
      </c>
      <c r="I6407" s="112">
        <v>1</v>
      </c>
    </row>
    <row r="6408" spans="1:15" x14ac:dyDescent="0.2">
      <c r="A6408" s="111">
        <v>6574</v>
      </c>
      <c r="B6408" s="421" t="s">
        <v>296</v>
      </c>
      <c r="C6408" s="421" t="s">
        <v>553</v>
      </c>
      <c r="D6408" s="422" t="s">
        <v>666</v>
      </c>
      <c r="F6408" s="421" t="s">
        <v>12202</v>
      </c>
    </row>
    <row r="6409" spans="1:15" x14ac:dyDescent="0.2">
      <c r="A6409" s="111">
        <v>6575</v>
      </c>
      <c r="B6409" s="421" t="s">
        <v>9983</v>
      </c>
      <c r="C6409" s="421" t="s">
        <v>509</v>
      </c>
      <c r="D6409" s="422" t="s">
        <v>666</v>
      </c>
      <c r="E6409" s="111">
        <v>15429</v>
      </c>
      <c r="F6409" s="421" t="s">
        <v>4513</v>
      </c>
    </row>
    <row r="6410" spans="1:15" x14ac:dyDescent="0.2">
      <c r="A6410" s="111">
        <v>6576</v>
      </c>
      <c r="B6410" s="421" t="s">
        <v>1771</v>
      </c>
      <c r="C6410" s="421" t="s">
        <v>12203</v>
      </c>
      <c r="D6410" s="422" t="s">
        <v>663</v>
      </c>
      <c r="E6410" s="111">
        <v>44426</v>
      </c>
      <c r="F6410" s="421" t="s">
        <v>12204</v>
      </c>
      <c r="G6410" s="112">
        <v>2</v>
      </c>
      <c r="H6410" s="112">
        <v>3</v>
      </c>
      <c r="I6410" s="112">
        <v>1</v>
      </c>
    </row>
    <row r="6411" spans="1:15" x14ac:dyDescent="0.2">
      <c r="A6411" s="111">
        <v>6577</v>
      </c>
      <c r="B6411" s="421" t="s">
        <v>12205</v>
      </c>
      <c r="C6411" s="421" t="s">
        <v>501</v>
      </c>
      <c r="D6411" s="422" t="s">
        <v>663</v>
      </c>
      <c r="E6411" s="111">
        <v>44356</v>
      </c>
      <c r="F6411" s="421" t="s">
        <v>12206</v>
      </c>
      <c r="G6411" s="112">
        <v>2</v>
      </c>
      <c r="H6411" s="112">
        <v>2</v>
      </c>
    </row>
    <row r="6412" spans="1:15" x14ac:dyDescent="0.2">
      <c r="A6412" s="111">
        <v>6578</v>
      </c>
      <c r="B6412" s="421" t="s">
        <v>12207</v>
      </c>
      <c r="C6412" s="421" t="s">
        <v>516</v>
      </c>
      <c r="D6412" s="422" t="s">
        <v>663</v>
      </c>
      <c r="E6412" s="111">
        <v>44307</v>
      </c>
      <c r="F6412" s="421" t="s">
        <v>11946</v>
      </c>
      <c r="G6412" s="112">
        <v>1</v>
      </c>
      <c r="H6412" s="112">
        <v>1</v>
      </c>
      <c r="I6412" s="112">
        <v>1</v>
      </c>
      <c r="J6412" s="112">
        <v>2</v>
      </c>
      <c r="K6412" s="112">
        <v>4</v>
      </c>
      <c r="L6412" s="112">
        <v>4</v>
      </c>
      <c r="M6412" s="112">
        <v>3</v>
      </c>
      <c r="N6412" s="112">
        <v>1</v>
      </c>
      <c r="O6412" s="112">
        <v>4</v>
      </c>
    </row>
    <row r="6413" spans="1:15" x14ac:dyDescent="0.2">
      <c r="A6413" s="111">
        <v>6579</v>
      </c>
      <c r="B6413" s="421" t="s">
        <v>1349</v>
      </c>
      <c r="C6413" s="421" t="s">
        <v>1625</v>
      </c>
      <c r="D6413" s="422" t="s">
        <v>663</v>
      </c>
      <c r="E6413" s="111">
        <v>44357</v>
      </c>
      <c r="F6413" s="421" t="s">
        <v>12208</v>
      </c>
      <c r="G6413" s="112">
        <v>1</v>
      </c>
    </row>
    <row r="6414" spans="1:15" x14ac:dyDescent="0.2">
      <c r="A6414" s="111">
        <v>6580</v>
      </c>
      <c r="B6414" s="421" t="s">
        <v>3285</v>
      </c>
      <c r="C6414" s="421" t="s">
        <v>506</v>
      </c>
      <c r="D6414" s="422" t="s">
        <v>663</v>
      </c>
      <c r="E6414" s="111">
        <v>16436</v>
      </c>
      <c r="F6414" s="421" t="s">
        <v>3311</v>
      </c>
      <c r="G6414" s="112">
        <v>1</v>
      </c>
      <c r="H6414" s="112">
        <v>1</v>
      </c>
      <c r="I6414" s="112">
        <v>1</v>
      </c>
      <c r="J6414" s="112">
        <v>8</v>
      </c>
      <c r="K6414" s="112">
        <v>9</v>
      </c>
      <c r="L6414" s="112">
        <v>7</v>
      </c>
      <c r="M6414" s="112">
        <v>2</v>
      </c>
      <c r="O6414" s="112">
        <v>1</v>
      </c>
    </row>
    <row r="6415" spans="1:15" x14ac:dyDescent="0.2">
      <c r="A6415" s="111">
        <v>6581</v>
      </c>
      <c r="B6415" s="421" t="s">
        <v>472</v>
      </c>
      <c r="C6415" s="421" t="s">
        <v>527</v>
      </c>
      <c r="D6415" s="422" t="s">
        <v>666</v>
      </c>
      <c r="E6415" s="111">
        <v>16874</v>
      </c>
      <c r="F6415" s="421" t="s">
        <v>9222</v>
      </c>
      <c r="G6415" s="112">
        <v>1</v>
      </c>
      <c r="H6415" s="112">
        <v>1</v>
      </c>
      <c r="I6415" s="112">
        <v>1</v>
      </c>
      <c r="J6415" s="112">
        <v>2</v>
      </c>
      <c r="K6415" s="112">
        <v>1</v>
      </c>
      <c r="L6415" s="112">
        <v>1</v>
      </c>
    </row>
    <row r="6416" spans="1:15" x14ac:dyDescent="0.2">
      <c r="A6416" s="111">
        <v>6582</v>
      </c>
      <c r="B6416" s="421" t="s">
        <v>208</v>
      </c>
      <c r="C6416" s="421" t="s">
        <v>506</v>
      </c>
      <c r="D6416" s="422" t="s">
        <v>663</v>
      </c>
      <c r="E6416" s="111">
        <v>44358</v>
      </c>
      <c r="F6416" s="421" t="s">
        <v>12209</v>
      </c>
      <c r="G6416" s="112">
        <v>1</v>
      </c>
      <c r="H6416" s="112">
        <v>1</v>
      </c>
      <c r="I6416" s="112">
        <v>1</v>
      </c>
    </row>
    <row r="6417" spans="1:15" x14ac:dyDescent="0.2">
      <c r="A6417" s="111">
        <v>6585</v>
      </c>
      <c r="B6417" s="421" t="s">
        <v>3170</v>
      </c>
      <c r="C6417" s="421" t="s">
        <v>501</v>
      </c>
      <c r="D6417" s="422" t="s">
        <v>666</v>
      </c>
      <c r="E6417" s="111">
        <v>15234</v>
      </c>
      <c r="F6417" s="421" t="s">
        <v>3462</v>
      </c>
      <c r="G6417" s="112">
        <v>2</v>
      </c>
      <c r="H6417" s="112">
        <v>1</v>
      </c>
    </row>
    <row r="6418" spans="1:15" x14ac:dyDescent="0.2">
      <c r="A6418" s="111">
        <v>6586</v>
      </c>
      <c r="B6418" s="421" t="s">
        <v>12210</v>
      </c>
      <c r="C6418" s="421" t="s">
        <v>7405</v>
      </c>
      <c r="D6418" s="422" t="s">
        <v>666</v>
      </c>
      <c r="E6418" s="111">
        <v>16268</v>
      </c>
      <c r="F6418" s="421" t="s">
        <v>6806</v>
      </c>
      <c r="G6418" s="112">
        <v>1</v>
      </c>
      <c r="H6418" s="112">
        <v>1</v>
      </c>
      <c r="I6418" s="112">
        <v>1</v>
      </c>
      <c r="J6418" s="112">
        <v>1</v>
      </c>
      <c r="K6418" s="112">
        <v>2</v>
      </c>
      <c r="L6418" s="112">
        <v>1</v>
      </c>
    </row>
    <row r="6419" spans="1:15" x14ac:dyDescent="0.2">
      <c r="A6419" s="111">
        <v>6587</v>
      </c>
      <c r="B6419" s="421" t="s">
        <v>416</v>
      </c>
      <c r="C6419" s="421" t="s">
        <v>510</v>
      </c>
      <c r="D6419" s="422" t="s">
        <v>663</v>
      </c>
      <c r="E6419" s="111">
        <v>44359</v>
      </c>
      <c r="F6419" s="421" t="s">
        <v>12211</v>
      </c>
      <c r="G6419" s="112">
        <v>1</v>
      </c>
      <c r="H6419" s="112">
        <v>1</v>
      </c>
      <c r="I6419" s="112">
        <v>1</v>
      </c>
      <c r="J6419" s="112">
        <v>2</v>
      </c>
      <c r="L6419" s="112">
        <v>2</v>
      </c>
    </row>
    <row r="6420" spans="1:15" x14ac:dyDescent="0.2">
      <c r="A6420" s="111">
        <v>6589</v>
      </c>
      <c r="B6420" s="421" t="s">
        <v>3055</v>
      </c>
      <c r="C6420" s="421" t="s">
        <v>513</v>
      </c>
      <c r="D6420" s="422" t="s">
        <v>663</v>
      </c>
      <c r="E6420" s="111">
        <v>16056</v>
      </c>
      <c r="F6420" s="421" t="s">
        <v>6267</v>
      </c>
      <c r="G6420" s="112">
        <v>1</v>
      </c>
      <c r="H6420" s="112">
        <v>1</v>
      </c>
      <c r="I6420" s="112">
        <v>1</v>
      </c>
    </row>
    <row r="6421" spans="1:15" x14ac:dyDescent="0.2">
      <c r="A6421" s="111">
        <v>6590</v>
      </c>
      <c r="B6421" s="421" t="s">
        <v>12212</v>
      </c>
      <c r="C6421" s="421" t="s">
        <v>1625</v>
      </c>
      <c r="D6421" s="422" t="s">
        <v>666</v>
      </c>
      <c r="F6421" s="421" t="s">
        <v>12213</v>
      </c>
    </row>
    <row r="6422" spans="1:15" x14ac:dyDescent="0.2">
      <c r="A6422" s="111">
        <v>6591</v>
      </c>
      <c r="B6422" s="421" t="s">
        <v>7545</v>
      </c>
      <c r="C6422" s="421" t="s">
        <v>521</v>
      </c>
      <c r="D6422" s="422" t="s">
        <v>666</v>
      </c>
      <c r="E6422" s="111">
        <v>44361</v>
      </c>
      <c r="F6422" s="421" t="s">
        <v>12214</v>
      </c>
      <c r="G6422" s="112">
        <v>1</v>
      </c>
      <c r="H6422" s="112">
        <v>1</v>
      </c>
      <c r="I6422" s="112">
        <v>1</v>
      </c>
      <c r="J6422" s="112">
        <v>1</v>
      </c>
      <c r="K6422" s="112">
        <v>1</v>
      </c>
    </row>
    <row r="6423" spans="1:15" x14ac:dyDescent="0.2">
      <c r="A6423" s="111">
        <v>6592</v>
      </c>
      <c r="B6423" s="421" t="s">
        <v>12215</v>
      </c>
      <c r="C6423" s="421" t="s">
        <v>501</v>
      </c>
      <c r="D6423" s="422" t="s">
        <v>663</v>
      </c>
      <c r="E6423" s="111">
        <v>44363</v>
      </c>
      <c r="F6423" s="421" t="s">
        <v>12216</v>
      </c>
      <c r="G6423" s="112">
        <v>2</v>
      </c>
      <c r="H6423" s="112">
        <v>2</v>
      </c>
      <c r="I6423" s="112">
        <v>1</v>
      </c>
      <c r="J6423" s="112">
        <v>1</v>
      </c>
      <c r="K6423" s="112">
        <v>3</v>
      </c>
      <c r="L6423" s="112">
        <v>3</v>
      </c>
    </row>
    <row r="6424" spans="1:15" x14ac:dyDescent="0.2">
      <c r="A6424" s="111">
        <v>6593</v>
      </c>
      <c r="B6424" s="421" t="s">
        <v>12217</v>
      </c>
      <c r="C6424" s="421" t="s">
        <v>516</v>
      </c>
      <c r="D6424" s="422" t="s">
        <v>666</v>
      </c>
      <c r="F6424" s="421" t="s">
        <v>12218</v>
      </c>
      <c r="G6424" s="112">
        <v>1</v>
      </c>
      <c r="H6424" s="112">
        <v>1</v>
      </c>
      <c r="I6424" s="112">
        <v>1</v>
      </c>
    </row>
    <row r="6425" spans="1:15" x14ac:dyDescent="0.2">
      <c r="A6425" s="111">
        <v>6594</v>
      </c>
      <c r="B6425" s="421" t="s">
        <v>12219</v>
      </c>
      <c r="C6425" s="421" t="s">
        <v>501</v>
      </c>
      <c r="D6425" s="422" t="s">
        <v>666</v>
      </c>
      <c r="E6425" s="111">
        <v>44365</v>
      </c>
      <c r="F6425" s="421" t="s">
        <v>3986</v>
      </c>
      <c r="G6425" s="112">
        <v>1</v>
      </c>
      <c r="H6425" s="112">
        <v>1</v>
      </c>
      <c r="I6425" s="112">
        <v>1</v>
      </c>
    </row>
    <row r="6426" spans="1:15" x14ac:dyDescent="0.2">
      <c r="A6426" s="111">
        <v>6595</v>
      </c>
      <c r="B6426" s="421" t="s">
        <v>9147</v>
      </c>
      <c r="C6426" s="421" t="s">
        <v>532</v>
      </c>
      <c r="D6426" s="422" t="s">
        <v>663</v>
      </c>
      <c r="E6426" s="111">
        <v>15215</v>
      </c>
      <c r="F6426" s="421" t="s">
        <v>3428</v>
      </c>
      <c r="G6426" s="112">
        <v>1</v>
      </c>
      <c r="H6426" s="112">
        <v>1</v>
      </c>
      <c r="I6426" s="112">
        <v>1</v>
      </c>
      <c r="J6426" s="112">
        <v>5</v>
      </c>
      <c r="K6426" s="112">
        <v>6</v>
      </c>
      <c r="L6426" s="112">
        <v>4</v>
      </c>
    </row>
    <row r="6427" spans="1:15" x14ac:dyDescent="0.2">
      <c r="A6427" s="111">
        <v>6596</v>
      </c>
      <c r="B6427" s="421" t="s">
        <v>12220</v>
      </c>
      <c r="C6427" s="421" t="s">
        <v>518</v>
      </c>
      <c r="D6427" s="422" t="s">
        <v>666</v>
      </c>
      <c r="E6427" s="111">
        <v>44222</v>
      </c>
      <c r="F6427" s="421" t="s">
        <v>11950</v>
      </c>
      <c r="G6427" s="112">
        <v>1</v>
      </c>
      <c r="H6427" s="112">
        <v>1</v>
      </c>
      <c r="I6427" s="112">
        <v>1</v>
      </c>
      <c r="J6427" s="112">
        <v>2</v>
      </c>
      <c r="K6427" s="112">
        <v>1</v>
      </c>
      <c r="L6427" s="112">
        <v>2</v>
      </c>
    </row>
    <row r="6428" spans="1:15" x14ac:dyDescent="0.2">
      <c r="A6428" s="111">
        <v>6597</v>
      </c>
      <c r="B6428" s="421" t="s">
        <v>12221</v>
      </c>
      <c r="C6428" s="421" t="s">
        <v>514</v>
      </c>
      <c r="D6428" s="422" t="s">
        <v>663</v>
      </c>
      <c r="E6428" s="111">
        <v>16017</v>
      </c>
      <c r="F6428" s="421" t="s">
        <v>6160</v>
      </c>
      <c r="G6428" s="112">
        <v>1</v>
      </c>
      <c r="H6428" s="112">
        <v>1</v>
      </c>
      <c r="I6428" s="112">
        <v>1</v>
      </c>
      <c r="J6428" s="112">
        <v>5</v>
      </c>
      <c r="K6428" s="112">
        <v>3</v>
      </c>
      <c r="L6428" s="112">
        <v>2</v>
      </c>
      <c r="M6428" s="112">
        <v>1</v>
      </c>
      <c r="O6428" s="112">
        <v>1</v>
      </c>
    </row>
    <row r="6429" spans="1:15" x14ac:dyDescent="0.2">
      <c r="A6429" s="111">
        <v>6598</v>
      </c>
      <c r="B6429" s="421" t="s">
        <v>2198</v>
      </c>
      <c r="C6429" s="421" t="s">
        <v>521</v>
      </c>
      <c r="D6429" s="422" t="s">
        <v>666</v>
      </c>
      <c r="E6429" s="111">
        <v>15536</v>
      </c>
      <c r="F6429" s="421" t="s">
        <v>4705</v>
      </c>
      <c r="G6429" s="112">
        <v>2</v>
      </c>
      <c r="H6429" s="112">
        <v>1</v>
      </c>
      <c r="I6429" s="112">
        <v>2</v>
      </c>
    </row>
    <row r="6430" spans="1:15" x14ac:dyDescent="0.2">
      <c r="A6430" s="111">
        <v>6599</v>
      </c>
      <c r="B6430" s="421" t="s">
        <v>5018</v>
      </c>
      <c r="C6430" s="421" t="s">
        <v>533</v>
      </c>
      <c r="D6430" s="422" t="s">
        <v>666</v>
      </c>
      <c r="E6430" s="111">
        <v>44367</v>
      </c>
      <c r="F6430" s="421" t="s">
        <v>12222</v>
      </c>
      <c r="G6430" s="112">
        <v>1</v>
      </c>
      <c r="H6430" s="112">
        <v>1</v>
      </c>
      <c r="I6430" s="112">
        <v>1</v>
      </c>
      <c r="J6430" s="112">
        <v>2</v>
      </c>
      <c r="K6430" s="112">
        <v>1</v>
      </c>
      <c r="L6430" s="112">
        <v>2</v>
      </c>
      <c r="O6430" s="112">
        <v>1</v>
      </c>
    </row>
    <row r="6431" spans="1:15" x14ac:dyDescent="0.2">
      <c r="A6431" s="111">
        <v>6600</v>
      </c>
      <c r="B6431" s="421" t="s">
        <v>379</v>
      </c>
      <c r="C6431" s="421" t="s">
        <v>1674</v>
      </c>
      <c r="D6431" s="422" t="s">
        <v>666</v>
      </c>
      <c r="E6431" s="111">
        <v>44368</v>
      </c>
      <c r="F6431" s="421" t="s">
        <v>12223</v>
      </c>
    </row>
    <row r="6432" spans="1:15" x14ac:dyDescent="0.2">
      <c r="A6432" s="111">
        <v>6601</v>
      </c>
      <c r="B6432" s="421" t="s">
        <v>12224</v>
      </c>
      <c r="C6432" s="421" t="s">
        <v>510</v>
      </c>
      <c r="D6432" s="422" t="s">
        <v>663</v>
      </c>
      <c r="E6432" s="111">
        <v>44369</v>
      </c>
      <c r="F6432" s="421" t="s">
        <v>12225</v>
      </c>
      <c r="G6432" s="112">
        <v>1</v>
      </c>
      <c r="H6432" s="112">
        <v>1</v>
      </c>
      <c r="I6432" s="112">
        <v>1</v>
      </c>
      <c r="J6432" s="112">
        <v>1</v>
      </c>
      <c r="K6432" s="112">
        <v>1</v>
      </c>
      <c r="L6432" s="112">
        <v>1</v>
      </c>
    </row>
    <row r="6433" spans="1:13" x14ac:dyDescent="0.2">
      <c r="A6433" s="111">
        <v>6602</v>
      </c>
      <c r="B6433" s="421" t="s">
        <v>440</v>
      </c>
      <c r="C6433" s="421" t="s">
        <v>540</v>
      </c>
      <c r="D6433" s="422" t="s">
        <v>666</v>
      </c>
      <c r="E6433" s="111">
        <v>44370</v>
      </c>
      <c r="F6433" s="421" t="s">
        <v>12226</v>
      </c>
      <c r="G6433" s="112">
        <v>1</v>
      </c>
      <c r="H6433" s="112">
        <v>1</v>
      </c>
      <c r="I6433" s="112">
        <v>1</v>
      </c>
      <c r="J6433" s="112">
        <v>1</v>
      </c>
      <c r="K6433" s="112">
        <v>1</v>
      </c>
    </row>
    <row r="6434" spans="1:13" x14ac:dyDescent="0.2">
      <c r="A6434" s="111">
        <v>6603</v>
      </c>
      <c r="B6434" s="421" t="s">
        <v>12227</v>
      </c>
      <c r="C6434" s="421" t="s">
        <v>531</v>
      </c>
      <c r="D6434" s="422" t="s">
        <v>663</v>
      </c>
      <c r="E6434" s="111">
        <v>44371</v>
      </c>
      <c r="F6434" s="421" t="s">
        <v>12228</v>
      </c>
      <c r="G6434" s="112">
        <v>1</v>
      </c>
    </row>
    <row r="6435" spans="1:13" x14ac:dyDescent="0.2">
      <c r="A6435" s="111">
        <v>6604</v>
      </c>
      <c r="B6435" s="421" t="s">
        <v>2759</v>
      </c>
      <c r="C6435" s="421" t="s">
        <v>503</v>
      </c>
      <c r="D6435" s="422" t="s">
        <v>663</v>
      </c>
      <c r="E6435" s="111">
        <v>44377</v>
      </c>
      <c r="F6435" s="421" t="s">
        <v>12229</v>
      </c>
      <c r="G6435" s="112">
        <v>1</v>
      </c>
      <c r="H6435" s="112">
        <v>1</v>
      </c>
      <c r="I6435" s="112">
        <v>1</v>
      </c>
      <c r="J6435" s="112">
        <v>2</v>
      </c>
      <c r="K6435" s="112">
        <v>3</v>
      </c>
      <c r="L6435" s="112">
        <v>3</v>
      </c>
    </row>
    <row r="6436" spans="1:13" x14ac:dyDescent="0.2">
      <c r="A6436" s="111">
        <v>6605</v>
      </c>
      <c r="B6436" s="421" t="s">
        <v>12230</v>
      </c>
      <c r="C6436" s="421" t="s">
        <v>628</v>
      </c>
      <c r="D6436" s="422" t="s">
        <v>666</v>
      </c>
      <c r="E6436" s="111">
        <v>44375</v>
      </c>
      <c r="F6436" s="421" t="s">
        <v>12231</v>
      </c>
      <c r="G6436" s="112">
        <v>1</v>
      </c>
      <c r="H6436" s="112">
        <v>2</v>
      </c>
      <c r="I6436" s="112">
        <v>1</v>
      </c>
    </row>
    <row r="6437" spans="1:13" x14ac:dyDescent="0.2">
      <c r="A6437" s="111">
        <v>6606</v>
      </c>
      <c r="B6437" s="421" t="s">
        <v>1689</v>
      </c>
      <c r="C6437" s="421" t="s">
        <v>7551</v>
      </c>
      <c r="D6437" s="422" t="s">
        <v>666</v>
      </c>
      <c r="E6437" s="111">
        <v>44378</v>
      </c>
      <c r="F6437" s="421" t="s">
        <v>12232</v>
      </c>
      <c r="G6437" s="112">
        <v>2</v>
      </c>
      <c r="H6437" s="112">
        <v>2</v>
      </c>
      <c r="I6437" s="112">
        <v>1</v>
      </c>
      <c r="J6437" s="112">
        <v>1</v>
      </c>
    </row>
    <row r="6438" spans="1:13" x14ac:dyDescent="0.2">
      <c r="A6438" s="111">
        <v>6607</v>
      </c>
      <c r="B6438" s="421" t="s">
        <v>6785</v>
      </c>
      <c r="C6438" s="421" t="s">
        <v>558</v>
      </c>
      <c r="D6438" s="422" t="s">
        <v>666</v>
      </c>
      <c r="E6438" s="111">
        <v>44457</v>
      </c>
      <c r="F6438" s="421" t="s">
        <v>12233</v>
      </c>
      <c r="G6438" s="112">
        <v>1</v>
      </c>
      <c r="H6438" s="112">
        <v>1</v>
      </c>
      <c r="I6438" s="112">
        <v>1</v>
      </c>
      <c r="J6438" s="112">
        <v>3</v>
      </c>
      <c r="K6438" s="112">
        <v>2</v>
      </c>
      <c r="L6438" s="112">
        <v>1</v>
      </c>
      <c r="M6438" s="112">
        <v>1</v>
      </c>
    </row>
    <row r="6439" spans="1:13" x14ac:dyDescent="0.2">
      <c r="A6439" s="111">
        <v>6608</v>
      </c>
      <c r="B6439" s="421" t="s">
        <v>3104</v>
      </c>
      <c r="C6439" s="421" t="s">
        <v>550</v>
      </c>
      <c r="D6439" s="422" t="s">
        <v>663</v>
      </c>
      <c r="E6439" s="111">
        <v>44379</v>
      </c>
      <c r="F6439" s="421" t="s">
        <v>12234</v>
      </c>
      <c r="G6439" s="112">
        <v>1</v>
      </c>
      <c r="H6439" s="112">
        <v>1</v>
      </c>
      <c r="I6439" s="112">
        <v>1</v>
      </c>
      <c r="J6439" s="112">
        <v>2</v>
      </c>
      <c r="K6439" s="112">
        <v>1</v>
      </c>
    </row>
    <row r="6440" spans="1:13" x14ac:dyDescent="0.2">
      <c r="A6440" s="111">
        <v>6609</v>
      </c>
      <c r="B6440" s="421" t="s">
        <v>80</v>
      </c>
      <c r="C6440" s="421" t="s">
        <v>513</v>
      </c>
      <c r="D6440" s="422" t="s">
        <v>663</v>
      </c>
      <c r="E6440" s="111">
        <v>44382</v>
      </c>
      <c r="F6440" s="421" t="s">
        <v>12269</v>
      </c>
    </row>
    <row r="6441" spans="1:13" x14ac:dyDescent="0.2">
      <c r="A6441" s="111">
        <v>6610</v>
      </c>
      <c r="B6441" s="421" t="s">
        <v>2218</v>
      </c>
      <c r="C6441" s="421" t="s">
        <v>547</v>
      </c>
      <c r="D6441" s="422" t="s">
        <v>666</v>
      </c>
      <c r="E6441" s="111">
        <v>44380</v>
      </c>
      <c r="F6441" s="421" t="s">
        <v>12270</v>
      </c>
      <c r="G6441" s="112">
        <v>1</v>
      </c>
      <c r="H6441" s="112">
        <v>1</v>
      </c>
      <c r="I6441" s="112">
        <v>1</v>
      </c>
      <c r="K6441" s="112">
        <v>1</v>
      </c>
    </row>
    <row r="6442" spans="1:13" x14ac:dyDescent="0.2">
      <c r="A6442" s="111">
        <v>6611</v>
      </c>
      <c r="B6442" s="421" t="s">
        <v>12271</v>
      </c>
      <c r="C6442" s="421" t="s">
        <v>628</v>
      </c>
      <c r="D6442" s="422" t="s">
        <v>666</v>
      </c>
      <c r="E6442" s="111">
        <v>16374</v>
      </c>
      <c r="F6442" s="421" t="s">
        <v>7367</v>
      </c>
    </row>
    <row r="6443" spans="1:13" x14ac:dyDescent="0.2">
      <c r="A6443" s="111">
        <v>6612</v>
      </c>
      <c r="B6443" s="421" t="s">
        <v>12272</v>
      </c>
      <c r="C6443" s="421" t="s">
        <v>510</v>
      </c>
      <c r="D6443" s="422" t="s">
        <v>663</v>
      </c>
      <c r="E6443" s="111">
        <v>16993</v>
      </c>
      <c r="F6443" s="421" t="s">
        <v>10110</v>
      </c>
      <c r="G6443" s="112">
        <v>1</v>
      </c>
      <c r="H6443" s="112">
        <v>1</v>
      </c>
      <c r="I6443" s="112">
        <v>1</v>
      </c>
    </row>
    <row r="6444" spans="1:13" x14ac:dyDescent="0.2">
      <c r="A6444" s="111">
        <v>6613</v>
      </c>
      <c r="B6444" s="421" t="s">
        <v>1421</v>
      </c>
      <c r="C6444" s="421" t="s">
        <v>501</v>
      </c>
      <c r="D6444" s="422" t="s">
        <v>663</v>
      </c>
      <c r="E6444" s="111">
        <v>44384</v>
      </c>
      <c r="F6444" s="421" t="s">
        <v>12273</v>
      </c>
      <c r="G6444" s="112">
        <v>1</v>
      </c>
      <c r="H6444" s="112">
        <v>1</v>
      </c>
      <c r="I6444" s="112">
        <v>1</v>
      </c>
      <c r="J6444" s="112">
        <v>2</v>
      </c>
      <c r="L6444" s="112">
        <v>1</v>
      </c>
    </row>
    <row r="6445" spans="1:13" x14ac:dyDescent="0.2">
      <c r="A6445" s="111">
        <v>6614</v>
      </c>
      <c r="B6445" s="421" t="s">
        <v>39</v>
      </c>
      <c r="C6445" s="421" t="s">
        <v>551</v>
      </c>
      <c r="D6445" s="422" t="s">
        <v>663</v>
      </c>
      <c r="E6445" s="111">
        <v>44385</v>
      </c>
      <c r="F6445" s="421" t="s">
        <v>12274</v>
      </c>
    </row>
    <row r="6446" spans="1:13" x14ac:dyDescent="0.2">
      <c r="A6446" s="111">
        <v>6615</v>
      </c>
      <c r="B6446" s="421" t="s">
        <v>6680</v>
      </c>
      <c r="C6446" s="421" t="s">
        <v>6802</v>
      </c>
      <c r="D6446" s="422"/>
      <c r="E6446" s="111">
        <v>44385</v>
      </c>
      <c r="F6446" s="421" t="s">
        <v>12274</v>
      </c>
    </row>
    <row r="6447" spans="1:13" x14ac:dyDescent="0.2">
      <c r="A6447" s="111">
        <v>6616</v>
      </c>
      <c r="B6447" s="421" t="s">
        <v>1421</v>
      </c>
      <c r="C6447" s="421" t="s">
        <v>503</v>
      </c>
      <c r="D6447" s="422" t="s">
        <v>663</v>
      </c>
      <c r="E6447" s="111">
        <v>17063</v>
      </c>
      <c r="F6447" s="421" t="s">
        <v>9830</v>
      </c>
    </row>
    <row r="6448" spans="1:13" x14ac:dyDescent="0.2">
      <c r="A6448" s="111">
        <v>6617</v>
      </c>
      <c r="B6448" s="421" t="s">
        <v>12275</v>
      </c>
      <c r="C6448" s="421" t="s">
        <v>502</v>
      </c>
      <c r="D6448" s="422" t="s">
        <v>666</v>
      </c>
      <c r="F6448" s="421" t="s">
        <v>12276</v>
      </c>
    </row>
    <row r="6449" spans="1:15" x14ac:dyDescent="0.2">
      <c r="A6449" s="111">
        <v>6618</v>
      </c>
      <c r="B6449" s="421" t="s">
        <v>9484</v>
      </c>
      <c r="C6449" s="421" t="s">
        <v>503</v>
      </c>
      <c r="D6449" s="422" t="s">
        <v>666</v>
      </c>
      <c r="E6449" s="111">
        <v>44386</v>
      </c>
      <c r="F6449" s="421" t="s">
        <v>12304</v>
      </c>
      <c r="G6449" s="112">
        <v>1</v>
      </c>
      <c r="H6449" s="112">
        <v>2</v>
      </c>
    </row>
    <row r="6450" spans="1:15" x14ac:dyDescent="0.2">
      <c r="A6450" s="111">
        <v>6619</v>
      </c>
      <c r="B6450" s="421" t="s">
        <v>12305</v>
      </c>
      <c r="C6450" s="421" t="s">
        <v>532</v>
      </c>
      <c r="D6450" s="422" t="s">
        <v>663</v>
      </c>
      <c r="E6450" s="111">
        <v>15102</v>
      </c>
      <c r="F6450" s="421" t="s">
        <v>3149</v>
      </c>
    </row>
    <row r="6451" spans="1:15" x14ac:dyDescent="0.2">
      <c r="A6451" s="111">
        <v>6620</v>
      </c>
      <c r="B6451" s="421" t="s">
        <v>12306</v>
      </c>
      <c r="C6451" s="421" t="s">
        <v>3022</v>
      </c>
      <c r="D6451" s="422" t="s">
        <v>663</v>
      </c>
      <c r="E6451" s="111">
        <v>44389</v>
      </c>
      <c r="F6451" s="421" t="s">
        <v>12307</v>
      </c>
      <c r="G6451" s="112">
        <v>1</v>
      </c>
      <c r="H6451" s="112">
        <v>1</v>
      </c>
      <c r="I6451" s="112">
        <v>1</v>
      </c>
      <c r="K6451" s="112">
        <v>1</v>
      </c>
    </row>
    <row r="6452" spans="1:15" x14ac:dyDescent="0.2">
      <c r="A6452" s="111">
        <v>6621</v>
      </c>
      <c r="B6452" s="421" t="s">
        <v>12308</v>
      </c>
      <c r="C6452" s="421" t="s">
        <v>1674</v>
      </c>
      <c r="D6452" s="422" t="s">
        <v>666</v>
      </c>
      <c r="E6452" s="111">
        <v>44391</v>
      </c>
      <c r="F6452" s="421" t="s">
        <v>12309</v>
      </c>
    </row>
    <row r="6453" spans="1:15" x14ac:dyDescent="0.2">
      <c r="A6453" s="111">
        <v>6622</v>
      </c>
      <c r="B6453" s="421" t="s">
        <v>1240</v>
      </c>
      <c r="C6453" s="421" t="s">
        <v>510</v>
      </c>
      <c r="D6453" s="422" t="s">
        <v>663</v>
      </c>
      <c r="E6453" s="111">
        <v>44372</v>
      </c>
      <c r="F6453" s="421" t="s">
        <v>12310</v>
      </c>
    </row>
    <row r="6454" spans="1:15" x14ac:dyDescent="0.2">
      <c r="A6454" s="111">
        <v>6623</v>
      </c>
      <c r="B6454" s="421" t="s">
        <v>1931</v>
      </c>
      <c r="C6454" s="421" t="s">
        <v>530</v>
      </c>
      <c r="D6454" s="422" t="s">
        <v>663</v>
      </c>
      <c r="E6454" s="111">
        <v>44414</v>
      </c>
      <c r="F6454" s="421" t="s">
        <v>12311</v>
      </c>
      <c r="G6454" s="112">
        <v>1</v>
      </c>
      <c r="H6454" s="112">
        <v>1</v>
      </c>
      <c r="I6454" s="112">
        <v>1</v>
      </c>
      <c r="J6454" s="112">
        <v>1</v>
      </c>
      <c r="K6454" s="112">
        <v>1</v>
      </c>
      <c r="L6454" s="112">
        <v>1</v>
      </c>
    </row>
    <row r="6455" spans="1:15" x14ac:dyDescent="0.2">
      <c r="A6455" s="111">
        <v>6624</v>
      </c>
      <c r="B6455" s="421" t="s">
        <v>7272</v>
      </c>
      <c r="C6455" s="421" t="s">
        <v>530</v>
      </c>
      <c r="D6455" s="422" t="s">
        <v>663</v>
      </c>
      <c r="E6455" s="111">
        <v>44414</v>
      </c>
      <c r="F6455" s="421" t="s">
        <v>12311</v>
      </c>
      <c r="G6455" s="112">
        <v>1</v>
      </c>
      <c r="H6455" s="112">
        <v>1</v>
      </c>
      <c r="K6455" s="112">
        <v>1</v>
      </c>
      <c r="L6455" s="112">
        <v>1</v>
      </c>
    </row>
    <row r="6456" spans="1:15" x14ac:dyDescent="0.2">
      <c r="A6456" s="111">
        <v>6625</v>
      </c>
      <c r="B6456" s="421" t="s">
        <v>12312</v>
      </c>
      <c r="C6456" s="421" t="s">
        <v>512</v>
      </c>
      <c r="D6456" s="422" t="s">
        <v>663</v>
      </c>
      <c r="E6456" s="111">
        <v>44387</v>
      </c>
      <c r="F6456" s="421" t="s">
        <v>3460</v>
      </c>
    </row>
    <row r="6457" spans="1:15" x14ac:dyDescent="0.2">
      <c r="A6457" s="111">
        <v>6626</v>
      </c>
      <c r="B6457" s="421" t="s">
        <v>284</v>
      </c>
      <c r="C6457" s="421" t="s">
        <v>510</v>
      </c>
      <c r="D6457" s="422" t="s">
        <v>663</v>
      </c>
      <c r="E6457" s="111">
        <v>16471</v>
      </c>
      <c r="F6457" s="421" t="s">
        <v>8339</v>
      </c>
      <c r="G6457" s="112">
        <v>1</v>
      </c>
      <c r="H6457" s="112">
        <v>1</v>
      </c>
      <c r="I6457" s="112">
        <v>1</v>
      </c>
    </row>
    <row r="6458" spans="1:15" x14ac:dyDescent="0.2">
      <c r="A6458" s="111">
        <v>6627</v>
      </c>
      <c r="B6458" s="421" t="s">
        <v>7657</v>
      </c>
      <c r="C6458" s="421" t="s">
        <v>581</v>
      </c>
      <c r="D6458" s="422" t="s">
        <v>666</v>
      </c>
      <c r="F6458" s="421" t="s">
        <v>12353</v>
      </c>
    </row>
    <row r="6459" spans="1:15" x14ac:dyDescent="0.2">
      <c r="A6459" s="111">
        <v>6628</v>
      </c>
      <c r="B6459" s="421" t="s">
        <v>131</v>
      </c>
      <c r="C6459" s="421" t="s">
        <v>501</v>
      </c>
      <c r="D6459" s="422" t="s">
        <v>663</v>
      </c>
      <c r="E6459" s="111">
        <v>17295</v>
      </c>
      <c r="F6459" s="421" t="s">
        <v>10769</v>
      </c>
      <c r="G6459" s="112">
        <v>1</v>
      </c>
      <c r="H6459" s="112">
        <v>1</v>
      </c>
      <c r="I6459" s="112">
        <v>1</v>
      </c>
    </row>
    <row r="6460" spans="1:15" x14ac:dyDescent="0.2">
      <c r="A6460" s="111">
        <v>6629</v>
      </c>
      <c r="B6460" s="421" t="s">
        <v>1254</v>
      </c>
      <c r="C6460" s="421" t="s">
        <v>513</v>
      </c>
      <c r="D6460" s="422" t="s">
        <v>663</v>
      </c>
      <c r="E6460" s="111">
        <v>44057</v>
      </c>
      <c r="F6460" s="421" t="s">
        <v>10345</v>
      </c>
    </row>
    <row r="6461" spans="1:15" x14ac:dyDescent="0.2">
      <c r="A6461" s="111">
        <v>6630</v>
      </c>
      <c r="B6461" s="421" t="s">
        <v>12354</v>
      </c>
      <c r="C6461" s="421" t="s">
        <v>506</v>
      </c>
      <c r="D6461" s="422" t="s">
        <v>663</v>
      </c>
      <c r="E6461" s="111">
        <v>15060</v>
      </c>
      <c r="F6461" s="421" t="s">
        <v>3039</v>
      </c>
    </row>
    <row r="6462" spans="1:15" x14ac:dyDescent="0.2">
      <c r="A6462" s="111">
        <v>6631</v>
      </c>
      <c r="B6462" s="421" t="s">
        <v>7542</v>
      </c>
      <c r="C6462" s="421" t="s">
        <v>516</v>
      </c>
      <c r="D6462" s="422" t="s">
        <v>666</v>
      </c>
      <c r="E6462" s="111">
        <v>44395</v>
      </c>
      <c r="F6462" s="421" t="s">
        <v>12355</v>
      </c>
      <c r="G6462" s="112">
        <v>1</v>
      </c>
      <c r="H6462" s="112">
        <v>1</v>
      </c>
      <c r="I6462" s="112">
        <v>1</v>
      </c>
      <c r="J6462" s="112">
        <v>2</v>
      </c>
      <c r="K6462" s="112">
        <v>1</v>
      </c>
      <c r="L6462" s="112">
        <v>2</v>
      </c>
    </row>
    <row r="6463" spans="1:15" x14ac:dyDescent="0.2">
      <c r="A6463" s="111">
        <v>6633</v>
      </c>
      <c r="B6463" s="421" t="s">
        <v>7895</v>
      </c>
      <c r="C6463" s="421" t="s">
        <v>512</v>
      </c>
      <c r="D6463" s="422" t="s">
        <v>666</v>
      </c>
      <c r="E6463" s="111">
        <v>44396</v>
      </c>
      <c r="F6463" s="421" t="s">
        <v>12356</v>
      </c>
      <c r="H6463" s="112">
        <v>1</v>
      </c>
    </row>
    <row r="6464" spans="1:15" x14ac:dyDescent="0.2">
      <c r="A6464" s="111">
        <v>6634</v>
      </c>
      <c r="B6464" s="421" t="s">
        <v>5060</v>
      </c>
      <c r="C6464" s="421" t="s">
        <v>534</v>
      </c>
      <c r="D6464" s="422" t="s">
        <v>666</v>
      </c>
      <c r="E6464" s="111">
        <v>44397</v>
      </c>
      <c r="F6464" s="421" t="s">
        <v>12389</v>
      </c>
      <c r="G6464" s="112">
        <v>1</v>
      </c>
      <c r="H6464" s="112">
        <v>1</v>
      </c>
      <c r="I6464" s="112">
        <v>1</v>
      </c>
      <c r="J6464" s="112">
        <v>2</v>
      </c>
      <c r="K6464" s="112">
        <v>3</v>
      </c>
      <c r="L6464" s="112">
        <v>2</v>
      </c>
      <c r="M6464" s="112">
        <v>1</v>
      </c>
      <c r="N6464" s="112">
        <v>2</v>
      </c>
      <c r="O6464" s="112">
        <v>1</v>
      </c>
    </row>
    <row r="6465" spans="1:15" x14ac:dyDescent="0.2">
      <c r="A6465" s="111">
        <v>6635</v>
      </c>
      <c r="B6465" s="421" t="s">
        <v>12390</v>
      </c>
      <c r="C6465" s="421" t="s">
        <v>501</v>
      </c>
      <c r="D6465" s="422" t="s">
        <v>666</v>
      </c>
      <c r="E6465" s="111">
        <v>44452</v>
      </c>
      <c r="F6465" s="421" t="s">
        <v>12391</v>
      </c>
      <c r="G6465" s="112">
        <v>2</v>
      </c>
      <c r="H6465" s="112">
        <v>2</v>
      </c>
      <c r="I6465" s="112">
        <v>1</v>
      </c>
      <c r="J6465" s="112">
        <v>1</v>
      </c>
      <c r="K6465" s="112">
        <v>2</v>
      </c>
      <c r="L6465" s="112">
        <v>1</v>
      </c>
    </row>
    <row r="6466" spans="1:15" x14ac:dyDescent="0.2">
      <c r="A6466" s="111">
        <v>6636</v>
      </c>
      <c r="B6466" s="421" t="s">
        <v>4338</v>
      </c>
      <c r="C6466" s="421" t="s">
        <v>591</v>
      </c>
      <c r="D6466" s="422" t="s">
        <v>663</v>
      </c>
      <c r="E6466" s="111">
        <v>44398</v>
      </c>
      <c r="F6466" s="421" t="s">
        <v>12392</v>
      </c>
      <c r="G6466" s="112">
        <v>1</v>
      </c>
      <c r="H6466" s="112">
        <v>1</v>
      </c>
      <c r="I6466" s="112">
        <v>1</v>
      </c>
    </row>
    <row r="6467" spans="1:15" x14ac:dyDescent="0.2">
      <c r="A6467" s="111">
        <v>6637</v>
      </c>
      <c r="B6467" s="421" t="s">
        <v>284</v>
      </c>
      <c r="C6467" s="421" t="s">
        <v>530</v>
      </c>
      <c r="D6467" s="422" t="s">
        <v>663</v>
      </c>
      <c r="E6467" s="111">
        <v>44133</v>
      </c>
      <c r="F6467" s="421" t="s">
        <v>11280</v>
      </c>
      <c r="H6467" s="112">
        <v>1</v>
      </c>
      <c r="I6467" s="112">
        <v>1</v>
      </c>
    </row>
    <row r="6468" spans="1:15" x14ac:dyDescent="0.2">
      <c r="A6468" s="111">
        <v>6638</v>
      </c>
      <c r="B6468" s="421" t="s">
        <v>12393</v>
      </c>
      <c r="C6468" s="421" t="s">
        <v>501</v>
      </c>
      <c r="D6468" s="422" t="s">
        <v>666</v>
      </c>
      <c r="E6468" s="111">
        <v>44401</v>
      </c>
      <c r="F6468" s="421" t="s">
        <v>10038</v>
      </c>
    </row>
    <row r="6469" spans="1:15" x14ac:dyDescent="0.2">
      <c r="A6469" s="111">
        <v>6639</v>
      </c>
      <c r="B6469" s="421" t="s">
        <v>12394</v>
      </c>
      <c r="C6469" s="421" t="s">
        <v>3797</v>
      </c>
      <c r="D6469" s="422" t="s">
        <v>663</v>
      </c>
      <c r="E6469" s="111">
        <v>44403</v>
      </c>
      <c r="F6469" s="421" t="s">
        <v>12395</v>
      </c>
    </row>
    <row r="6470" spans="1:15" x14ac:dyDescent="0.2">
      <c r="A6470" s="111">
        <v>6640</v>
      </c>
      <c r="B6470" s="421" t="s">
        <v>10630</v>
      </c>
      <c r="C6470" s="421" t="s">
        <v>501</v>
      </c>
      <c r="D6470" s="422" t="s">
        <v>663</v>
      </c>
      <c r="E6470" s="111">
        <v>44633</v>
      </c>
      <c r="F6470" s="421" t="s">
        <v>12396</v>
      </c>
      <c r="G6470" s="112">
        <v>1</v>
      </c>
      <c r="H6470" s="112">
        <v>1</v>
      </c>
      <c r="I6470" s="112">
        <v>1</v>
      </c>
      <c r="J6470" s="112">
        <v>1</v>
      </c>
      <c r="K6470" s="112">
        <v>1</v>
      </c>
      <c r="L6470" s="112">
        <v>1</v>
      </c>
      <c r="N6470" s="112">
        <v>1</v>
      </c>
    </row>
    <row r="6471" spans="1:15" x14ac:dyDescent="0.2">
      <c r="A6471" s="111">
        <v>6642</v>
      </c>
      <c r="B6471" s="421" t="s">
        <v>284</v>
      </c>
      <c r="C6471" s="421" t="s">
        <v>2932</v>
      </c>
      <c r="D6471" s="422" t="s">
        <v>663</v>
      </c>
      <c r="E6471" s="111">
        <v>15238</v>
      </c>
      <c r="F6471" s="421" t="s">
        <v>3470</v>
      </c>
    </row>
    <row r="6472" spans="1:15" x14ac:dyDescent="0.2">
      <c r="A6472" s="111">
        <v>6643</v>
      </c>
      <c r="B6472" s="421" t="s">
        <v>235</v>
      </c>
      <c r="C6472" s="421" t="s">
        <v>2932</v>
      </c>
      <c r="D6472" s="422" t="s">
        <v>663</v>
      </c>
      <c r="E6472" s="111">
        <v>15238</v>
      </c>
      <c r="F6472" s="421" t="s">
        <v>3470</v>
      </c>
    </row>
    <row r="6473" spans="1:15" x14ac:dyDescent="0.2">
      <c r="A6473" s="111">
        <v>6644</v>
      </c>
      <c r="B6473" s="421" t="s">
        <v>211</v>
      </c>
      <c r="C6473" s="421" t="s">
        <v>3384</v>
      </c>
      <c r="D6473" s="422" t="s">
        <v>666</v>
      </c>
      <c r="E6473" s="111">
        <v>44400</v>
      </c>
      <c r="F6473" s="421" t="s">
        <v>12397</v>
      </c>
      <c r="G6473" s="112">
        <v>1</v>
      </c>
      <c r="H6473" s="112">
        <v>1</v>
      </c>
      <c r="I6473" s="112">
        <v>1</v>
      </c>
    </row>
    <row r="6474" spans="1:15" x14ac:dyDescent="0.2">
      <c r="A6474" s="111">
        <v>6645</v>
      </c>
      <c r="B6474" s="421" t="s">
        <v>1931</v>
      </c>
      <c r="C6474" s="421" t="s">
        <v>526</v>
      </c>
      <c r="D6474" s="422" t="s">
        <v>663</v>
      </c>
      <c r="E6474" s="111">
        <v>44406</v>
      </c>
      <c r="F6474" s="421" t="s">
        <v>12398</v>
      </c>
      <c r="H6474" s="112">
        <v>1</v>
      </c>
    </row>
    <row r="6475" spans="1:15" x14ac:dyDescent="0.2">
      <c r="A6475" s="111">
        <v>6646</v>
      </c>
      <c r="B6475" s="421" t="s">
        <v>12399</v>
      </c>
      <c r="C6475" s="421" t="s">
        <v>501</v>
      </c>
      <c r="D6475" s="422" t="s">
        <v>663</v>
      </c>
      <c r="E6475" s="111">
        <v>44406</v>
      </c>
      <c r="F6475" s="421" t="s">
        <v>12398</v>
      </c>
    </row>
    <row r="6476" spans="1:15" x14ac:dyDescent="0.2">
      <c r="A6476" s="111">
        <v>6647</v>
      </c>
      <c r="B6476" s="421" t="s">
        <v>11639</v>
      </c>
      <c r="C6476" s="421" t="s">
        <v>2003</v>
      </c>
      <c r="D6476" s="422" t="s">
        <v>663</v>
      </c>
      <c r="E6476" s="111">
        <v>44405</v>
      </c>
      <c r="F6476" s="421" t="s">
        <v>12400</v>
      </c>
    </row>
    <row r="6477" spans="1:15" x14ac:dyDescent="0.2">
      <c r="A6477" s="111">
        <v>6648</v>
      </c>
      <c r="B6477" s="421" t="s">
        <v>3165</v>
      </c>
      <c r="C6477" s="421" t="s">
        <v>503</v>
      </c>
      <c r="D6477" s="422" t="s">
        <v>663</v>
      </c>
      <c r="E6477" s="111">
        <v>44465</v>
      </c>
      <c r="F6477" s="421" t="s">
        <v>12401</v>
      </c>
      <c r="G6477" s="112">
        <v>1</v>
      </c>
      <c r="H6477" s="112">
        <v>1</v>
      </c>
      <c r="I6477" s="112">
        <v>1</v>
      </c>
      <c r="J6477" s="112">
        <v>3</v>
      </c>
      <c r="K6477" s="112">
        <v>3</v>
      </c>
      <c r="L6477" s="112">
        <v>3</v>
      </c>
      <c r="M6477" s="112">
        <v>4</v>
      </c>
      <c r="N6477" s="112">
        <v>2</v>
      </c>
      <c r="O6477" s="112">
        <v>6</v>
      </c>
    </row>
    <row r="6478" spans="1:15" x14ac:dyDescent="0.2">
      <c r="A6478" s="111">
        <v>6649</v>
      </c>
      <c r="B6478" s="421" t="s">
        <v>12402</v>
      </c>
      <c r="C6478" s="421" t="s">
        <v>514</v>
      </c>
      <c r="D6478" s="422" t="s">
        <v>666</v>
      </c>
      <c r="E6478" s="111">
        <v>44471</v>
      </c>
      <c r="F6478" s="421" t="s">
        <v>12403</v>
      </c>
      <c r="G6478" s="112">
        <v>1</v>
      </c>
      <c r="H6478" s="112">
        <v>1</v>
      </c>
      <c r="I6478" s="112">
        <v>1</v>
      </c>
    </row>
    <row r="6479" spans="1:15" x14ac:dyDescent="0.2">
      <c r="A6479" s="111">
        <v>6650</v>
      </c>
      <c r="B6479" s="421" t="s">
        <v>3563</v>
      </c>
      <c r="C6479" s="421" t="s">
        <v>534</v>
      </c>
      <c r="D6479" s="422" t="s">
        <v>663</v>
      </c>
      <c r="E6479" s="111">
        <v>44482</v>
      </c>
      <c r="F6479" s="421" t="s">
        <v>12404</v>
      </c>
      <c r="G6479" s="112">
        <v>2</v>
      </c>
      <c r="I6479" s="112">
        <v>1</v>
      </c>
    </row>
    <row r="6480" spans="1:15" x14ac:dyDescent="0.2">
      <c r="A6480" s="111">
        <v>6651</v>
      </c>
      <c r="B6480" s="421" t="s">
        <v>2198</v>
      </c>
      <c r="C6480" s="421" t="s">
        <v>584</v>
      </c>
      <c r="D6480" s="422" t="s">
        <v>666</v>
      </c>
      <c r="E6480" s="111">
        <v>44407</v>
      </c>
      <c r="F6480" s="421" t="s">
        <v>12405</v>
      </c>
      <c r="G6480" s="112">
        <v>2</v>
      </c>
      <c r="H6480" s="112">
        <v>2</v>
      </c>
      <c r="I6480" s="112">
        <v>2</v>
      </c>
      <c r="J6480" s="112">
        <v>2</v>
      </c>
      <c r="K6480" s="112">
        <v>1</v>
      </c>
    </row>
    <row r="6481" spans="1:15" x14ac:dyDescent="0.2">
      <c r="A6481" s="111">
        <v>6654</v>
      </c>
      <c r="B6481" s="421" t="s">
        <v>15122</v>
      </c>
      <c r="C6481" s="421" t="s">
        <v>510</v>
      </c>
      <c r="D6481" s="422" t="s">
        <v>663</v>
      </c>
      <c r="E6481" s="111">
        <v>44399</v>
      </c>
      <c r="F6481" s="421" t="s">
        <v>15123</v>
      </c>
      <c r="G6481" s="112">
        <v>1</v>
      </c>
      <c r="H6481" s="112">
        <v>1</v>
      </c>
      <c r="I6481" s="112">
        <v>1</v>
      </c>
      <c r="J6481" s="112">
        <v>1</v>
      </c>
      <c r="K6481" s="112">
        <v>1</v>
      </c>
      <c r="L6481" s="112">
        <v>1</v>
      </c>
    </row>
    <row r="6482" spans="1:15" x14ac:dyDescent="0.2">
      <c r="A6482" s="111">
        <v>6655</v>
      </c>
      <c r="B6482" s="421" t="s">
        <v>15124</v>
      </c>
      <c r="C6482" s="421" t="s">
        <v>516</v>
      </c>
      <c r="D6482" s="422" t="s">
        <v>663</v>
      </c>
      <c r="E6482" s="111">
        <v>15157</v>
      </c>
      <c r="F6482" s="421" t="s">
        <v>3308</v>
      </c>
      <c r="G6482" s="112">
        <v>1</v>
      </c>
      <c r="H6482" s="112">
        <v>1</v>
      </c>
      <c r="I6482" s="112">
        <v>1</v>
      </c>
      <c r="K6482" s="112">
        <v>1</v>
      </c>
    </row>
    <row r="6483" spans="1:15" x14ac:dyDescent="0.2">
      <c r="A6483" s="111">
        <v>6656</v>
      </c>
      <c r="B6483" s="421" t="s">
        <v>257</v>
      </c>
      <c r="C6483" s="421" t="s">
        <v>527</v>
      </c>
      <c r="D6483" s="422" t="s">
        <v>663</v>
      </c>
      <c r="E6483" s="111">
        <v>44402</v>
      </c>
      <c r="F6483" s="421" t="s">
        <v>15125</v>
      </c>
      <c r="G6483" s="112">
        <v>1</v>
      </c>
      <c r="H6483" s="112">
        <v>1</v>
      </c>
      <c r="I6483" s="112">
        <v>1</v>
      </c>
      <c r="J6483" s="112">
        <v>1</v>
      </c>
    </row>
    <row r="6484" spans="1:15" x14ac:dyDescent="0.2">
      <c r="A6484" s="111">
        <v>6657</v>
      </c>
      <c r="B6484" s="421" t="s">
        <v>15126</v>
      </c>
      <c r="C6484" s="421" t="s">
        <v>512</v>
      </c>
      <c r="D6484" s="422" t="s">
        <v>666</v>
      </c>
      <c r="E6484" s="111">
        <v>15077</v>
      </c>
      <c r="F6484" s="421" t="s">
        <v>3096</v>
      </c>
      <c r="G6484" s="112">
        <v>3</v>
      </c>
      <c r="H6484" s="112">
        <v>4</v>
      </c>
      <c r="I6484" s="112">
        <v>3</v>
      </c>
      <c r="J6484" s="112">
        <v>3</v>
      </c>
      <c r="K6484" s="112">
        <v>3</v>
      </c>
      <c r="L6484" s="112">
        <v>2</v>
      </c>
    </row>
    <row r="6485" spans="1:15" x14ac:dyDescent="0.2">
      <c r="A6485" s="111">
        <v>6658</v>
      </c>
      <c r="B6485" s="421" t="s">
        <v>6983</v>
      </c>
      <c r="C6485" s="421" t="s">
        <v>530</v>
      </c>
      <c r="D6485" s="422" t="s">
        <v>663</v>
      </c>
      <c r="E6485" s="111">
        <v>14118</v>
      </c>
      <c r="F6485" s="421" t="s">
        <v>8338</v>
      </c>
      <c r="G6485" s="112">
        <v>1</v>
      </c>
      <c r="H6485" s="112">
        <v>2</v>
      </c>
      <c r="I6485" s="112">
        <v>2</v>
      </c>
      <c r="J6485" s="112">
        <v>3</v>
      </c>
      <c r="K6485" s="112">
        <v>4</v>
      </c>
      <c r="L6485" s="112">
        <v>3</v>
      </c>
    </row>
    <row r="6486" spans="1:15" x14ac:dyDescent="0.2">
      <c r="A6486" s="111">
        <v>6659</v>
      </c>
      <c r="B6486" s="421" t="s">
        <v>381</v>
      </c>
      <c r="C6486" s="421" t="s">
        <v>506</v>
      </c>
      <c r="D6486" s="422" t="s">
        <v>663</v>
      </c>
      <c r="F6486" s="421" t="s">
        <v>15127</v>
      </c>
      <c r="G6486" s="112">
        <v>1</v>
      </c>
      <c r="H6486" s="112">
        <v>1</v>
      </c>
    </row>
    <row r="6487" spans="1:15" x14ac:dyDescent="0.2">
      <c r="A6487" s="111">
        <v>6661</v>
      </c>
      <c r="B6487" s="421" t="s">
        <v>78</v>
      </c>
      <c r="C6487" s="421" t="s">
        <v>506</v>
      </c>
      <c r="D6487" s="422" t="s">
        <v>663</v>
      </c>
      <c r="E6487" s="111">
        <v>16523</v>
      </c>
      <c r="F6487" s="421" t="s">
        <v>7840</v>
      </c>
    </row>
    <row r="6488" spans="1:15" x14ac:dyDescent="0.2">
      <c r="A6488" s="111">
        <v>6662</v>
      </c>
      <c r="B6488" s="421" t="s">
        <v>6351</v>
      </c>
      <c r="C6488" s="421" t="s">
        <v>572</v>
      </c>
      <c r="D6488" s="422" t="s">
        <v>663</v>
      </c>
      <c r="E6488" s="111">
        <v>16800</v>
      </c>
      <c r="F6488" s="421" t="s">
        <v>8835</v>
      </c>
    </row>
    <row r="6489" spans="1:15" x14ac:dyDescent="0.2">
      <c r="A6489" s="111">
        <v>6663</v>
      </c>
      <c r="B6489" s="421" t="s">
        <v>5120</v>
      </c>
      <c r="C6489" s="421" t="s">
        <v>570</v>
      </c>
      <c r="D6489" s="422" t="s">
        <v>666</v>
      </c>
      <c r="E6489" s="111">
        <v>44619</v>
      </c>
      <c r="F6489" s="421" t="s">
        <v>15128</v>
      </c>
      <c r="G6489" s="112">
        <v>3</v>
      </c>
      <c r="H6489" s="112">
        <v>3</v>
      </c>
      <c r="I6489" s="112">
        <v>3</v>
      </c>
      <c r="J6489" s="112">
        <v>3</v>
      </c>
      <c r="K6489" s="112">
        <v>1</v>
      </c>
      <c r="L6489" s="112">
        <v>2</v>
      </c>
    </row>
    <row r="6490" spans="1:15" x14ac:dyDescent="0.2">
      <c r="A6490" s="111">
        <v>6664</v>
      </c>
      <c r="B6490" s="421" t="s">
        <v>1423</v>
      </c>
      <c r="C6490" s="421" t="s">
        <v>4162</v>
      </c>
      <c r="D6490" s="422" t="s">
        <v>663</v>
      </c>
      <c r="E6490" s="111">
        <v>14361</v>
      </c>
      <c r="F6490" s="421" t="s">
        <v>1191</v>
      </c>
    </row>
    <row r="6491" spans="1:15" x14ac:dyDescent="0.2">
      <c r="A6491" s="111">
        <v>6665</v>
      </c>
      <c r="B6491" s="421" t="s">
        <v>15129</v>
      </c>
      <c r="C6491" s="421" t="s">
        <v>512</v>
      </c>
      <c r="D6491" s="422" t="s">
        <v>666</v>
      </c>
      <c r="E6491" s="111">
        <v>44394</v>
      </c>
      <c r="F6491" s="421" t="s">
        <v>15130</v>
      </c>
    </row>
    <row r="6492" spans="1:15" x14ac:dyDescent="0.2">
      <c r="A6492" s="111">
        <v>6666</v>
      </c>
      <c r="B6492" s="421" t="s">
        <v>15131</v>
      </c>
      <c r="C6492" s="421" t="s">
        <v>503</v>
      </c>
      <c r="D6492" s="422" t="s">
        <v>666</v>
      </c>
      <c r="E6492" s="111">
        <v>44409</v>
      </c>
      <c r="F6492" s="421" t="s">
        <v>15132</v>
      </c>
      <c r="G6492" s="112">
        <v>1</v>
      </c>
      <c r="H6492" s="112">
        <v>1</v>
      </c>
      <c r="I6492" s="112">
        <v>1</v>
      </c>
      <c r="J6492" s="112">
        <v>7</v>
      </c>
      <c r="K6492" s="112">
        <v>6</v>
      </c>
      <c r="L6492" s="112">
        <v>6</v>
      </c>
      <c r="M6492" s="112">
        <v>1</v>
      </c>
      <c r="O6492" s="112">
        <v>2</v>
      </c>
    </row>
    <row r="6493" spans="1:15" x14ac:dyDescent="0.2">
      <c r="A6493" s="111">
        <v>6667</v>
      </c>
      <c r="B6493" s="421" t="s">
        <v>15133</v>
      </c>
      <c r="C6493" s="421" t="s">
        <v>510</v>
      </c>
      <c r="D6493" s="422" t="s">
        <v>666</v>
      </c>
      <c r="E6493" s="111">
        <v>44410</v>
      </c>
      <c r="F6493" s="421" t="s">
        <v>15134</v>
      </c>
    </row>
    <row r="6494" spans="1:15" x14ac:dyDescent="0.2">
      <c r="A6494" s="111">
        <v>6668</v>
      </c>
      <c r="B6494" s="421" t="s">
        <v>15135</v>
      </c>
      <c r="C6494" s="421" t="s">
        <v>558</v>
      </c>
      <c r="D6494" s="422" t="s">
        <v>666</v>
      </c>
      <c r="F6494" s="421" t="s">
        <v>15136</v>
      </c>
      <c r="G6494" s="112">
        <v>1</v>
      </c>
      <c r="H6494" s="112">
        <v>1</v>
      </c>
    </row>
    <row r="6495" spans="1:15" x14ac:dyDescent="0.2">
      <c r="A6495" s="111">
        <v>6669</v>
      </c>
      <c r="B6495" s="421" t="s">
        <v>15137</v>
      </c>
      <c r="C6495" s="421" t="s">
        <v>523</v>
      </c>
      <c r="D6495" s="422" t="s">
        <v>663</v>
      </c>
      <c r="E6495" s="111">
        <v>14519</v>
      </c>
      <c r="F6495" s="421" t="s">
        <v>1259</v>
      </c>
      <c r="G6495" s="112">
        <v>3</v>
      </c>
      <c r="H6495" s="112">
        <v>1</v>
      </c>
      <c r="I6495" s="112">
        <v>1</v>
      </c>
    </row>
    <row r="6496" spans="1:15" x14ac:dyDescent="0.2">
      <c r="A6496" s="111">
        <v>6670</v>
      </c>
      <c r="B6496" s="421" t="s">
        <v>1218</v>
      </c>
      <c r="C6496" s="421" t="s">
        <v>516</v>
      </c>
      <c r="D6496" s="422" t="s">
        <v>663</v>
      </c>
      <c r="E6496" s="111">
        <v>15118</v>
      </c>
      <c r="F6496" s="421" t="s">
        <v>3178</v>
      </c>
    </row>
    <row r="6497" spans="1:12" x14ac:dyDescent="0.2">
      <c r="A6497" s="111">
        <v>6671</v>
      </c>
      <c r="B6497" s="421" t="s">
        <v>192</v>
      </c>
      <c r="C6497" s="421" t="s">
        <v>1999</v>
      </c>
      <c r="D6497" s="422" t="s">
        <v>666</v>
      </c>
      <c r="E6497" s="111">
        <v>44393</v>
      </c>
      <c r="F6497" s="421" t="s">
        <v>15138</v>
      </c>
      <c r="G6497" s="112">
        <v>1</v>
      </c>
      <c r="H6497" s="112">
        <v>1</v>
      </c>
      <c r="I6497" s="112">
        <v>1</v>
      </c>
      <c r="J6497" s="112">
        <v>1</v>
      </c>
      <c r="K6497" s="112">
        <v>1</v>
      </c>
      <c r="L6497" s="112">
        <v>1</v>
      </c>
    </row>
    <row r="6498" spans="1:12" x14ac:dyDescent="0.2">
      <c r="A6498" s="111">
        <v>6672</v>
      </c>
      <c r="B6498" s="421" t="s">
        <v>15139</v>
      </c>
      <c r="C6498" s="421" t="s">
        <v>1999</v>
      </c>
      <c r="D6498" s="422" t="s">
        <v>663</v>
      </c>
      <c r="E6498" s="111">
        <v>44393</v>
      </c>
      <c r="F6498" s="421" t="s">
        <v>15138</v>
      </c>
      <c r="G6498" s="112">
        <v>1</v>
      </c>
      <c r="H6498" s="112">
        <v>1</v>
      </c>
      <c r="I6498" s="112">
        <v>1</v>
      </c>
    </row>
    <row r="6499" spans="1:12" x14ac:dyDescent="0.2">
      <c r="A6499" s="111">
        <v>6679</v>
      </c>
      <c r="B6499" s="421" t="s">
        <v>15140</v>
      </c>
      <c r="C6499" s="421" t="s">
        <v>544</v>
      </c>
      <c r="D6499" s="422" t="s">
        <v>666</v>
      </c>
      <c r="E6499" s="111">
        <v>16335</v>
      </c>
      <c r="F6499" s="421" t="s">
        <v>3864</v>
      </c>
    </row>
    <row r="6500" spans="1:12" x14ac:dyDescent="0.2">
      <c r="A6500" s="111">
        <v>6681</v>
      </c>
      <c r="B6500" s="421" t="s">
        <v>4999</v>
      </c>
      <c r="C6500" s="421" t="s">
        <v>5825</v>
      </c>
      <c r="D6500" s="422" t="s">
        <v>663</v>
      </c>
      <c r="F6500" s="421" t="s">
        <v>15141</v>
      </c>
    </row>
    <row r="6501" spans="1:12" x14ac:dyDescent="0.2">
      <c r="A6501" s="111">
        <v>6682</v>
      </c>
      <c r="B6501" s="421" t="s">
        <v>15142</v>
      </c>
      <c r="C6501" s="421" t="s">
        <v>1817</v>
      </c>
      <c r="D6501" s="422" t="s">
        <v>666</v>
      </c>
      <c r="E6501" s="111">
        <v>16029</v>
      </c>
      <c r="F6501" s="421" t="s">
        <v>2582</v>
      </c>
    </row>
    <row r="6502" spans="1:12" x14ac:dyDescent="0.2">
      <c r="A6502" s="111">
        <v>6683</v>
      </c>
      <c r="B6502" s="421" t="s">
        <v>15143</v>
      </c>
      <c r="C6502" s="421" t="s">
        <v>513</v>
      </c>
      <c r="D6502" s="422" t="s">
        <v>666</v>
      </c>
      <c r="E6502" s="111">
        <v>15357</v>
      </c>
      <c r="F6502" s="421" t="s">
        <v>3355</v>
      </c>
      <c r="G6502" s="112">
        <v>1</v>
      </c>
      <c r="H6502" s="112">
        <v>1</v>
      </c>
      <c r="I6502" s="112">
        <v>1</v>
      </c>
      <c r="L6502" s="112">
        <v>1</v>
      </c>
    </row>
    <row r="6503" spans="1:12" x14ac:dyDescent="0.2">
      <c r="A6503" s="111">
        <v>6684</v>
      </c>
      <c r="B6503" s="421" t="s">
        <v>9148</v>
      </c>
      <c r="C6503" s="421" t="s">
        <v>534</v>
      </c>
      <c r="D6503" s="422" t="s">
        <v>666</v>
      </c>
      <c r="E6503" s="111">
        <v>44411</v>
      </c>
      <c r="F6503" s="421" t="s">
        <v>15144</v>
      </c>
      <c r="G6503" s="112">
        <v>1</v>
      </c>
      <c r="H6503" s="112">
        <v>1</v>
      </c>
      <c r="I6503" s="112">
        <v>1</v>
      </c>
      <c r="J6503" s="112">
        <v>1</v>
      </c>
      <c r="K6503" s="112">
        <v>1</v>
      </c>
      <c r="L6503" s="112">
        <v>1</v>
      </c>
    </row>
    <row r="6504" spans="1:12" x14ac:dyDescent="0.2">
      <c r="A6504" s="111">
        <v>6685</v>
      </c>
      <c r="B6504" s="421" t="s">
        <v>9148</v>
      </c>
      <c r="C6504" s="421" t="s">
        <v>534</v>
      </c>
      <c r="D6504" s="422" t="s">
        <v>666</v>
      </c>
      <c r="E6504" s="111">
        <v>44411</v>
      </c>
      <c r="F6504" s="421" t="s">
        <v>15144</v>
      </c>
    </row>
    <row r="6505" spans="1:12" x14ac:dyDescent="0.2">
      <c r="A6505" s="111">
        <v>6686</v>
      </c>
      <c r="B6505" s="421" t="s">
        <v>632</v>
      </c>
      <c r="C6505" s="421" t="s">
        <v>501</v>
      </c>
      <c r="D6505" s="422" t="s">
        <v>663</v>
      </c>
      <c r="E6505" s="111">
        <v>44642</v>
      </c>
      <c r="F6505" s="421" t="s">
        <v>15145</v>
      </c>
      <c r="G6505" s="112">
        <v>1</v>
      </c>
      <c r="H6505" s="112">
        <v>2</v>
      </c>
      <c r="I6505" s="112">
        <v>1</v>
      </c>
    </row>
    <row r="6506" spans="1:12" x14ac:dyDescent="0.2">
      <c r="A6506" s="111">
        <v>6688</v>
      </c>
      <c r="B6506" s="421" t="s">
        <v>1092</v>
      </c>
      <c r="C6506" s="421" t="s">
        <v>501</v>
      </c>
      <c r="D6506" s="422" t="s">
        <v>663</v>
      </c>
      <c r="E6506" s="111">
        <v>44415</v>
      </c>
      <c r="F6506" s="421" t="s">
        <v>15146</v>
      </c>
      <c r="G6506" s="112">
        <v>3</v>
      </c>
      <c r="H6506" s="112">
        <v>3</v>
      </c>
      <c r="I6506" s="112">
        <v>1</v>
      </c>
    </row>
    <row r="6507" spans="1:12" x14ac:dyDescent="0.2">
      <c r="A6507" s="111">
        <v>6695</v>
      </c>
      <c r="B6507" s="421" t="s">
        <v>15147</v>
      </c>
      <c r="C6507" s="421" t="s">
        <v>501</v>
      </c>
      <c r="D6507" s="422" t="s">
        <v>666</v>
      </c>
      <c r="E6507" s="111">
        <v>44419</v>
      </c>
      <c r="F6507" s="421" t="s">
        <v>10788</v>
      </c>
    </row>
    <row r="6508" spans="1:12" x14ac:dyDescent="0.2">
      <c r="A6508" s="111">
        <v>6697</v>
      </c>
      <c r="B6508" s="421" t="s">
        <v>1254</v>
      </c>
      <c r="C6508" s="421" t="s">
        <v>550</v>
      </c>
      <c r="D6508" s="422" t="s">
        <v>663</v>
      </c>
      <c r="E6508" s="111">
        <v>44420</v>
      </c>
      <c r="F6508" s="421" t="s">
        <v>15148</v>
      </c>
      <c r="G6508" s="112">
        <v>1</v>
      </c>
      <c r="H6508" s="112">
        <v>1</v>
      </c>
    </row>
    <row r="6509" spans="1:12" x14ac:dyDescent="0.2">
      <c r="A6509" s="111">
        <v>6699</v>
      </c>
      <c r="B6509" s="421" t="s">
        <v>284</v>
      </c>
      <c r="C6509" s="421" t="s">
        <v>506</v>
      </c>
      <c r="D6509" s="422" t="s">
        <v>663</v>
      </c>
      <c r="E6509" s="111">
        <v>44004</v>
      </c>
      <c r="F6509" s="421" t="s">
        <v>10894</v>
      </c>
      <c r="G6509" s="112">
        <v>1</v>
      </c>
      <c r="H6509" s="112">
        <v>1</v>
      </c>
      <c r="J6509" s="112">
        <v>1</v>
      </c>
      <c r="K6509" s="112">
        <v>1</v>
      </c>
    </row>
    <row r="6510" spans="1:12" x14ac:dyDescent="0.2">
      <c r="A6510" s="111">
        <v>6700</v>
      </c>
      <c r="B6510" s="421" t="s">
        <v>1583</v>
      </c>
      <c r="C6510" s="421" t="s">
        <v>574</v>
      </c>
      <c r="D6510" s="422" t="s">
        <v>666</v>
      </c>
      <c r="E6510" s="111">
        <v>15771</v>
      </c>
      <c r="F6510" s="421" t="s">
        <v>5387</v>
      </c>
    </row>
    <row r="6511" spans="1:12" x14ac:dyDescent="0.2">
      <c r="A6511" s="111">
        <v>6702</v>
      </c>
      <c r="B6511" s="421" t="s">
        <v>15149</v>
      </c>
      <c r="C6511" s="421" t="s">
        <v>1201</v>
      </c>
      <c r="D6511" s="422" t="s">
        <v>663</v>
      </c>
      <c r="E6511" s="111">
        <v>17093</v>
      </c>
      <c r="F6511" s="421" t="s">
        <v>10028</v>
      </c>
      <c r="G6511" s="112">
        <v>1</v>
      </c>
      <c r="H6511" s="112">
        <v>1</v>
      </c>
      <c r="I6511" s="112">
        <v>2</v>
      </c>
    </row>
    <row r="6512" spans="1:12" x14ac:dyDescent="0.2">
      <c r="A6512" s="111">
        <v>6703</v>
      </c>
      <c r="B6512" s="421" t="s">
        <v>15150</v>
      </c>
      <c r="C6512" s="421" t="s">
        <v>514</v>
      </c>
      <c r="D6512" s="422" t="s">
        <v>663</v>
      </c>
      <c r="E6512" s="111">
        <v>1416</v>
      </c>
      <c r="F6512" s="421" t="s">
        <v>4071</v>
      </c>
      <c r="G6512" s="112">
        <v>2</v>
      </c>
      <c r="H6512" s="112">
        <v>1</v>
      </c>
      <c r="I6512" s="112">
        <v>2</v>
      </c>
      <c r="J6512" s="112">
        <v>1</v>
      </c>
      <c r="K6512" s="112">
        <v>1</v>
      </c>
      <c r="L6512" s="112">
        <v>1</v>
      </c>
    </row>
    <row r="6513" spans="1:12" x14ac:dyDescent="0.2">
      <c r="A6513" s="111">
        <v>6705</v>
      </c>
      <c r="B6513" s="421" t="s">
        <v>4892</v>
      </c>
      <c r="C6513" s="421" t="s">
        <v>502</v>
      </c>
      <c r="D6513" s="422" t="s">
        <v>666</v>
      </c>
      <c r="E6513" s="111">
        <v>44422</v>
      </c>
      <c r="F6513" s="421" t="s">
        <v>15151</v>
      </c>
      <c r="G6513" s="112">
        <v>1</v>
      </c>
      <c r="H6513" s="112">
        <v>1</v>
      </c>
      <c r="I6513" s="112">
        <v>1</v>
      </c>
      <c r="J6513" s="112">
        <v>3</v>
      </c>
      <c r="K6513" s="112">
        <v>3</v>
      </c>
      <c r="L6513" s="112">
        <v>1</v>
      </c>
    </row>
    <row r="6514" spans="1:12" x14ac:dyDescent="0.2">
      <c r="A6514" s="111">
        <v>6707</v>
      </c>
      <c r="B6514" s="421" t="s">
        <v>34</v>
      </c>
      <c r="C6514" s="421" t="s">
        <v>512</v>
      </c>
      <c r="D6514" s="422" t="s">
        <v>666</v>
      </c>
      <c r="E6514" s="111">
        <v>44390</v>
      </c>
      <c r="F6514" s="421" t="s">
        <v>15156</v>
      </c>
    </row>
    <row r="6515" spans="1:12" x14ac:dyDescent="0.2">
      <c r="A6515" s="111">
        <v>6708</v>
      </c>
      <c r="B6515" s="421" t="s">
        <v>15157</v>
      </c>
      <c r="C6515" s="421" t="s">
        <v>501</v>
      </c>
      <c r="D6515" s="422" t="s">
        <v>663</v>
      </c>
      <c r="E6515" s="111">
        <v>44136</v>
      </c>
      <c r="F6515" s="421" t="s">
        <v>11041</v>
      </c>
      <c r="H6515" s="112">
        <v>1</v>
      </c>
      <c r="I6515" s="112">
        <v>1</v>
      </c>
    </row>
    <row r="6516" spans="1:12" x14ac:dyDescent="0.2">
      <c r="A6516" s="111">
        <v>6709</v>
      </c>
      <c r="B6516" s="421" t="s">
        <v>15158</v>
      </c>
      <c r="C6516" s="421" t="s">
        <v>540</v>
      </c>
      <c r="D6516" s="422" t="s">
        <v>663</v>
      </c>
      <c r="E6516" s="111">
        <v>17298</v>
      </c>
      <c r="F6516" s="421" t="s">
        <v>10634</v>
      </c>
      <c r="G6516" s="112">
        <v>1</v>
      </c>
      <c r="H6516" s="112">
        <v>1</v>
      </c>
      <c r="J6516" s="112">
        <v>1</v>
      </c>
    </row>
    <row r="6517" spans="1:12" x14ac:dyDescent="0.2">
      <c r="A6517" s="111">
        <v>6712</v>
      </c>
      <c r="B6517" s="421" t="s">
        <v>3160</v>
      </c>
      <c r="C6517" s="421" t="s">
        <v>516</v>
      </c>
      <c r="D6517" s="422" t="s">
        <v>666</v>
      </c>
      <c r="E6517" s="111">
        <v>44502</v>
      </c>
      <c r="F6517" s="421" t="s">
        <v>15159</v>
      </c>
      <c r="G6517" s="112">
        <v>1</v>
      </c>
      <c r="H6517" s="112">
        <v>2</v>
      </c>
      <c r="I6517" s="112">
        <v>2</v>
      </c>
    </row>
    <row r="6518" spans="1:12" x14ac:dyDescent="0.2">
      <c r="A6518" s="111">
        <v>6714</v>
      </c>
      <c r="B6518" s="421" t="s">
        <v>15160</v>
      </c>
      <c r="C6518" s="421" t="s">
        <v>572</v>
      </c>
      <c r="D6518" s="422" t="s">
        <v>666</v>
      </c>
      <c r="E6518" s="111">
        <v>44149</v>
      </c>
      <c r="F6518" s="421" t="s">
        <v>11316</v>
      </c>
    </row>
    <row r="6519" spans="1:12" x14ac:dyDescent="0.2">
      <c r="A6519" s="111">
        <v>6717</v>
      </c>
      <c r="B6519" s="421" t="s">
        <v>15160</v>
      </c>
      <c r="C6519" s="421" t="s">
        <v>572</v>
      </c>
      <c r="D6519" s="422" t="s">
        <v>666</v>
      </c>
      <c r="E6519" s="111">
        <v>44149</v>
      </c>
      <c r="F6519" s="421" t="s">
        <v>11316</v>
      </c>
    </row>
    <row r="6520" spans="1:12" x14ac:dyDescent="0.2">
      <c r="A6520" s="111">
        <v>6718</v>
      </c>
      <c r="B6520" s="421" t="s">
        <v>237</v>
      </c>
      <c r="C6520" s="421" t="s">
        <v>537</v>
      </c>
      <c r="D6520" s="422" t="s">
        <v>663</v>
      </c>
      <c r="E6520" s="111">
        <v>44424</v>
      </c>
      <c r="F6520" s="421" t="s">
        <v>15161</v>
      </c>
      <c r="G6520" s="112">
        <v>1</v>
      </c>
      <c r="H6520" s="112">
        <v>1</v>
      </c>
      <c r="I6520" s="112">
        <v>1</v>
      </c>
    </row>
    <row r="6521" spans="1:12" x14ac:dyDescent="0.2">
      <c r="A6521" s="111">
        <v>6721</v>
      </c>
      <c r="B6521" s="421" t="s">
        <v>38</v>
      </c>
      <c r="C6521" s="421" t="s">
        <v>510</v>
      </c>
      <c r="D6521" s="422" t="s">
        <v>663</v>
      </c>
      <c r="E6521" s="111">
        <v>44425</v>
      </c>
      <c r="F6521" s="421" t="s">
        <v>15162</v>
      </c>
    </row>
    <row r="6522" spans="1:12" x14ac:dyDescent="0.2">
      <c r="A6522" s="111">
        <v>6722</v>
      </c>
      <c r="B6522" s="421" t="s">
        <v>15245</v>
      </c>
      <c r="C6522" s="421" t="s">
        <v>512</v>
      </c>
      <c r="D6522" s="422" t="s">
        <v>666</v>
      </c>
      <c r="E6522" s="111">
        <v>44394</v>
      </c>
      <c r="F6522" s="421" t="s">
        <v>15130</v>
      </c>
      <c r="H6522" s="112">
        <v>1</v>
      </c>
      <c r="I6522" s="112">
        <v>1</v>
      </c>
    </row>
    <row r="6523" spans="1:12" x14ac:dyDescent="0.2">
      <c r="A6523" s="111">
        <v>6723</v>
      </c>
      <c r="B6523" s="421" t="s">
        <v>1519</v>
      </c>
      <c r="C6523" s="421" t="s">
        <v>1446</v>
      </c>
      <c r="D6523" s="422" t="s">
        <v>666</v>
      </c>
      <c r="E6523" s="111">
        <v>44427</v>
      </c>
      <c r="F6523" s="421" t="s">
        <v>15246</v>
      </c>
      <c r="G6523" s="112">
        <v>1</v>
      </c>
      <c r="H6523" s="112">
        <v>1</v>
      </c>
      <c r="I6523" s="112">
        <v>1</v>
      </c>
      <c r="K6523" s="112">
        <v>1</v>
      </c>
    </row>
    <row r="6524" spans="1:12" x14ac:dyDescent="0.2">
      <c r="A6524" s="111">
        <v>6725</v>
      </c>
      <c r="B6524" s="421" t="s">
        <v>15247</v>
      </c>
      <c r="C6524" s="421" t="s">
        <v>501</v>
      </c>
      <c r="D6524" s="422" t="s">
        <v>663</v>
      </c>
      <c r="E6524" s="111">
        <v>17123</v>
      </c>
      <c r="F6524" s="421" t="s">
        <v>10073</v>
      </c>
      <c r="G6524" s="112">
        <v>1</v>
      </c>
      <c r="H6524" s="112">
        <v>1</v>
      </c>
    </row>
    <row r="6525" spans="1:12" x14ac:dyDescent="0.2">
      <c r="A6525" s="111">
        <v>6726</v>
      </c>
      <c r="B6525" s="421" t="s">
        <v>3132</v>
      </c>
      <c r="C6525" s="421" t="s">
        <v>503</v>
      </c>
      <c r="D6525" s="422" t="s">
        <v>663</v>
      </c>
      <c r="E6525" s="111">
        <v>44430</v>
      </c>
      <c r="F6525" s="421" t="s">
        <v>15248</v>
      </c>
      <c r="G6525" s="112">
        <v>1</v>
      </c>
      <c r="H6525" s="112">
        <v>1</v>
      </c>
    </row>
    <row r="6526" spans="1:12" x14ac:dyDescent="0.2">
      <c r="A6526" s="111">
        <v>6727</v>
      </c>
      <c r="B6526" s="421" t="s">
        <v>3132</v>
      </c>
      <c r="C6526" s="421" t="s">
        <v>503</v>
      </c>
      <c r="D6526" s="422" t="s">
        <v>663</v>
      </c>
      <c r="E6526" s="111">
        <v>44430</v>
      </c>
      <c r="F6526" s="421" t="s">
        <v>15248</v>
      </c>
    </row>
    <row r="6527" spans="1:12" x14ac:dyDescent="0.2">
      <c r="A6527" s="111">
        <v>6728</v>
      </c>
      <c r="B6527" s="421" t="s">
        <v>309</v>
      </c>
      <c r="C6527" s="421" t="s">
        <v>503</v>
      </c>
      <c r="D6527" s="422" t="s">
        <v>666</v>
      </c>
      <c r="E6527" s="111">
        <v>44431</v>
      </c>
      <c r="F6527" s="421" t="s">
        <v>15249</v>
      </c>
      <c r="G6527" s="112">
        <v>2</v>
      </c>
      <c r="H6527" s="112">
        <v>1</v>
      </c>
      <c r="I6527" s="112">
        <v>2</v>
      </c>
    </row>
    <row r="6528" spans="1:12" x14ac:dyDescent="0.2">
      <c r="A6528" s="111">
        <v>6729</v>
      </c>
      <c r="B6528" s="421" t="s">
        <v>1773</v>
      </c>
      <c r="C6528" s="421" t="s">
        <v>536</v>
      </c>
      <c r="D6528" s="422" t="s">
        <v>666</v>
      </c>
      <c r="E6528" s="111">
        <v>44392</v>
      </c>
      <c r="F6528" s="421" t="s">
        <v>15250</v>
      </c>
      <c r="G6528" s="112">
        <v>1</v>
      </c>
      <c r="H6528" s="112">
        <v>1</v>
      </c>
      <c r="I6528" s="112">
        <v>1</v>
      </c>
    </row>
    <row r="6529" spans="1:15" x14ac:dyDescent="0.2">
      <c r="A6529" s="111">
        <v>6730</v>
      </c>
      <c r="B6529" s="421" t="s">
        <v>15251</v>
      </c>
      <c r="C6529" s="421" t="s">
        <v>522</v>
      </c>
      <c r="D6529" s="422" t="s">
        <v>666</v>
      </c>
      <c r="E6529" s="111">
        <v>14311</v>
      </c>
      <c r="F6529" s="421" t="s">
        <v>896</v>
      </c>
      <c r="G6529" s="112">
        <v>1</v>
      </c>
      <c r="H6529" s="112">
        <v>1</v>
      </c>
      <c r="I6529" s="112">
        <v>1</v>
      </c>
    </row>
    <row r="6530" spans="1:15" x14ac:dyDescent="0.2">
      <c r="A6530" s="111">
        <v>6734</v>
      </c>
      <c r="B6530" s="421" t="s">
        <v>1771</v>
      </c>
      <c r="C6530" s="421" t="s">
        <v>501</v>
      </c>
      <c r="D6530" s="422" t="s">
        <v>663</v>
      </c>
      <c r="E6530" s="111">
        <v>44434</v>
      </c>
      <c r="F6530" s="421" t="s">
        <v>15252</v>
      </c>
      <c r="G6530" s="112">
        <v>2</v>
      </c>
      <c r="H6530" s="112">
        <v>2</v>
      </c>
      <c r="I6530" s="112">
        <v>2</v>
      </c>
    </row>
    <row r="6531" spans="1:15" x14ac:dyDescent="0.2">
      <c r="A6531" s="111">
        <v>6736</v>
      </c>
      <c r="B6531" s="421" t="s">
        <v>15253</v>
      </c>
      <c r="C6531" s="421" t="s">
        <v>516</v>
      </c>
      <c r="D6531" s="422" t="s">
        <v>663</v>
      </c>
      <c r="E6531" s="111">
        <v>16948</v>
      </c>
      <c r="F6531" s="421" t="s">
        <v>10255</v>
      </c>
      <c r="G6531" s="112">
        <v>1</v>
      </c>
      <c r="H6531" s="112">
        <v>1</v>
      </c>
      <c r="I6531" s="112">
        <v>1</v>
      </c>
      <c r="J6531" s="112">
        <v>4</v>
      </c>
      <c r="K6531" s="112">
        <v>2</v>
      </c>
      <c r="L6531" s="112">
        <v>3</v>
      </c>
      <c r="M6531" s="112">
        <v>1</v>
      </c>
      <c r="O6531" s="112">
        <v>1</v>
      </c>
    </row>
    <row r="6532" spans="1:15" x14ac:dyDescent="0.2">
      <c r="A6532" s="111">
        <v>6737</v>
      </c>
      <c r="B6532" s="421" t="s">
        <v>3408</v>
      </c>
      <c r="C6532" s="421" t="s">
        <v>503</v>
      </c>
      <c r="D6532" s="422" t="s">
        <v>663</v>
      </c>
      <c r="E6532" s="111">
        <v>44421</v>
      </c>
      <c r="F6532" s="421" t="s">
        <v>15254</v>
      </c>
      <c r="G6532" s="112">
        <v>1</v>
      </c>
      <c r="H6532" s="112">
        <v>1</v>
      </c>
      <c r="I6532" s="112">
        <v>1</v>
      </c>
      <c r="K6532" s="112">
        <v>2</v>
      </c>
      <c r="L6532" s="112">
        <v>2</v>
      </c>
    </row>
    <row r="6533" spans="1:15" x14ac:dyDescent="0.2">
      <c r="A6533" s="111">
        <v>6738</v>
      </c>
      <c r="B6533" s="421" t="s">
        <v>1387</v>
      </c>
      <c r="C6533" s="421" t="s">
        <v>504</v>
      </c>
      <c r="D6533" s="422" t="s">
        <v>666</v>
      </c>
      <c r="E6533" s="111">
        <v>44433</v>
      </c>
      <c r="F6533" s="421" t="s">
        <v>15255</v>
      </c>
      <c r="G6533" s="112">
        <v>1</v>
      </c>
      <c r="H6533" s="112">
        <v>1</v>
      </c>
      <c r="I6533" s="112">
        <v>1</v>
      </c>
    </row>
    <row r="6534" spans="1:15" x14ac:dyDescent="0.2">
      <c r="A6534" s="111">
        <v>6739</v>
      </c>
      <c r="B6534" s="421" t="s">
        <v>159</v>
      </c>
      <c r="C6534" s="421" t="s">
        <v>502</v>
      </c>
      <c r="D6534" s="422" t="s">
        <v>663</v>
      </c>
      <c r="E6534" s="111">
        <v>44374</v>
      </c>
      <c r="F6534" s="421" t="s">
        <v>15256</v>
      </c>
    </row>
    <row r="6535" spans="1:15" x14ac:dyDescent="0.2">
      <c r="A6535" s="111">
        <v>6740</v>
      </c>
      <c r="B6535" s="421" t="s">
        <v>15257</v>
      </c>
      <c r="C6535" s="421" t="s">
        <v>563</v>
      </c>
      <c r="D6535" s="422" t="s">
        <v>663</v>
      </c>
      <c r="E6535" s="111">
        <v>44287</v>
      </c>
      <c r="F6535" s="421" t="s">
        <v>11924</v>
      </c>
      <c r="G6535" s="112">
        <v>1</v>
      </c>
      <c r="H6535" s="112">
        <v>1</v>
      </c>
      <c r="I6535" s="112">
        <v>1</v>
      </c>
      <c r="J6535" s="112">
        <v>1</v>
      </c>
      <c r="K6535" s="112">
        <v>2</v>
      </c>
    </row>
    <row r="6536" spans="1:15" x14ac:dyDescent="0.2">
      <c r="A6536" s="111">
        <v>6742</v>
      </c>
      <c r="B6536" s="421" t="s">
        <v>3763</v>
      </c>
      <c r="C6536" s="421" t="s">
        <v>6687</v>
      </c>
      <c r="D6536" s="422" t="s">
        <v>666</v>
      </c>
      <c r="F6536" s="421" t="s">
        <v>15258</v>
      </c>
      <c r="G6536" s="112">
        <v>1</v>
      </c>
      <c r="H6536" s="112">
        <v>1</v>
      </c>
      <c r="I6536" s="112">
        <v>1</v>
      </c>
    </row>
    <row r="6537" spans="1:15" x14ac:dyDescent="0.2">
      <c r="A6537" s="111">
        <v>6743</v>
      </c>
      <c r="B6537" s="421" t="s">
        <v>12130</v>
      </c>
      <c r="C6537" s="421" t="s">
        <v>501</v>
      </c>
      <c r="D6537" s="422" t="s">
        <v>666</v>
      </c>
      <c r="E6537" s="111">
        <v>44435</v>
      </c>
      <c r="F6537" s="421" t="s">
        <v>15259</v>
      </c>
      <c r="G6537" s="112">
        <v>1</v>
      </c>
      <c r="H6537" s="112">
        <v>1</v>
      </c>
    </row>
    <row r="6538" spans="1:15" x14ac:dyDescent="0.2">
      <c r="A6538" s="111">
        <v>6744</v>
      </c>
      <c r="B6538" s="421" t="s">
        <v>4023</v>
      </c>
      <c r="C6538" s="421" t="s">
        <v>506</v>
      </c>
      <c r="D6538" s="422" t="s">
        <v>663</v>
      </c>
      <c r="E6538" s="111">
        <v>44417</v>
      </c>
      <c r="F6538" s="421" t="s">
        <v>15260</v>
      </c>
      <c r="G6538" s="112">
        <v>1</v>
      </c>
      <c r="H6538" s="112">
        <v>1</v>
      </c>
      <c r="I6538" s="112">
        <v>1</v>
      </c>
    </row>
    <row r="6539" spans="1:15" x14ac:dyDescent="0.2">
      <c r="A6539" s="111">
        <v>6745</v>
      </c>
      <c r="B6539" s="421" t="s">
        <v>15261</v>
      </c>
      <c r="C6539" s="421" t="s">
        <v>506</v>
      </c>
      <c r="D6539" s="422" t="s">
        <v>663</v>
      </c>
      <c r="E6539" s="111">
        <v>14947</v>
      </c>
      <c r="F6539" s="421" t="s">
        <v>2686</v>
      </c>
      <c r="G6539" s="112">
        <v>2</v>
      </c>
      <c r="H6539" s="112">
        <v>2</v>
      </c>
      <c r="I6539" s="112">
        <v>2</v>
      </c>
      <c r="J6539" s="112">
        <v>2</v>
      </c>
      <c r="K6539" s="112">
        <v>3</v>
      </c>
      <c r="L6539" s="112">
        <v>3</v>
      </c>
    </row>
    <row r="6540" spans="1:15" x14ac:dyDescent="0.2">
      <c r="A6540" s="111">
        <v>6746</v>
      </c>
      <c r="B6540" s="421" t="s">
        <v>2851</v>
      </c>
      <c r="C6540" s="421" t="s">
        <v>501</v>
      </c>
      <c r="D6540" s="422" t="s">
        <v>666</v>
      </c>
      <c r="E6540" s="111">
        <v>44423</v>
      </c>
      <c r="F6540" s="421" t="s">
        <v>15262</v>
      </c>
      <c r="G6540" s="112">
        <v>2</v>
      </c>
      <c r="H6540" s="112">
        <v>2</v>
      </c>
      <c r="I6540" s="112">
        <v>1</v>
      </c>
      <c r="J6540" s="112">
        <v>7</v>
      </c>
      <c r="K6540" s="112">
        <v>5</v>
      </c>
      <c r="L6540" s="112">
        <v>4</v>
      </c>
      <c r="M6540" s="112">
        <v>1</v>
      </c>
    </row>
    <row r="6541" spans="1:15" x14ac:dyDescent="0.2">
      <c r="A6541" s="111">
        <v>6747</v>
      </c>
      <c r="B6541" s="421" t="s">
        <v>2961</v>
      </c>
      <c r="C6541" s="421" t="s">
        <v>513</v>
      </c>
      <c r="D6541" s="422" t="s">
        <v>666</v>
      </c>
      <c r="E6541" s="111">
        <v>44440</v>
      </c>
      <c r="F6541" s="421" t="s">
        <v>15263</v>
      </c>
      <c r="G6541" s="112">
        <v>1</v>
      </c>
      <c r="H6541" s="112">
        <v>1</v>
      </c>
      <c r="I6541" s="112">
        <v>1</v>
      </c>
      <c r="K6541" s="112">
        <v>1</v>
      </c>
      <c r="L6541" s="112">
        <v>1</v>
      </c>
    </row>
    <row r="6542" spans="1:15" x14ac:dyDescent="0.2">
      <c r="A6542" s="111">
        <v>6748</v>
      </c>
      <c r="B6542" s="421" t="s">
        <v>2391</v>
      </c>
      <c r="C6542" s="421" t="s">
        <v>577</v>
      </c>
      <c r="D6542" s="422" t="s">
        <v>663</v>
      </c>
      <c r="E6542" s="111">
        <v>44654</v>
      </c>
      <c r="F6542" s="421" t="s">
        <v>15264</v>
      </c>
      <c r="G6542" s="112">
        <v>1</v>
      </c>
      <c r="H6542" s="112">
        <v>1</v>
      </c>
      <c r="I6542" s="112">
        <v>1</v>
      </c>
    </row>
    <row r="6543" spans="1:15" x14ac:dyDescent="0.2">
      <c r="A6543" s="111">
        <v>6749</v>
      </c>
      <c r="B6543" s="421" t="s">
        <v>4824</v>
      </c>
      <c r="C6543" s="421" t="s">
        <v>510</v>
      </c>
      <c r="D6543" s="422" t="s">
        <v>666</v>
      </c>
      <c r="E6543" s="111">
        <v>44439</v>
      </c>
      <c r="F6543" s="421" t="s">
        <v>15265</v>
      </c>
      <c r="G6543" s="112">
        <v>1</v>
      </c>
      <c r="H6543" s="112">
        <v>1</v>
      </c>
      <c r="I6543" s="112">
        <v>1</v>
      </c>
      <c r="K6543" s="112">
        <v>1</v>
      </c>
    </row>
    <row r="6544" spans="1:15" x14ac:dyDescent="0.2">
      <c r="A6544" s="111">
        <v>6750</v>
      </c>
      <c r="B6544" s="421" t="s">
        <v>190</v>
      </c>
      <c r="C6544" s="421" t="s">
        <v>503</v>
      </c>
      <c r="D6544" s="422" t="s">
        <v>663</v>
      </c>
      <c r="E6544" s="111">
        <v>44167</v>
      </c>
      <c r="F6544" s="421" t="s">
        <v>11452</v>
      </c>
      <c r="G6544" s="112">
        <v>1</v>
      </c>
      <c r="H6544" s="112">
        <v>1</v>
      </c>
      <c r="I6544" s="112">
        <v>1</v>
      </c>
    </row>
    <row r="6545" spans="1:12" x14ac:dyDescent="0.2">
      <c r="A6545" s="111">
        <v>6751</v>
      </c>
      <c r="B6545" s="421" t="s">
        <v>15266</v>
      </c>
      <c r="C6545" s="421" t="s">
        <v>532</v>
      </c>
      <c r="D6545" s="422" t="s">
        <v>663</v>
      </c>
      <c r="F6545" s="421" t="s">
        <v>15267</v>
      </c>
    </row>
    <row r="6546" spans="1:12" x14ac:dyDescent="0.2">
      <c r="A6546" s="111">
        <v>6752</v>
      </c>
      <c r="B6546" s="421" t="s">
        <v>2685</v>
      </c>
      <c r="C6546" s="421" t="s">
        <v>501</v>
      </c>
      <c r="D6546" s="422" t="s">
        <v>663</v>
      </c>
      <c r="E6546" s="111">
        <v>44444</v>
      </c>
      <c r="F6546" s="421" t="s">
        <v>15268</v>
      </c>
      <c r="G6546" s="112">
        <v>1</v>
      </c>
      <c r="H6546" s="112">
        <v>1</v>
      </c>
      <c r="I6546" s="112">
        <v>1</v>
      </c>
      <c r="J6546" s="112">
        <v>2</v>
      </c>
      <c r="K6546" s="112">
        <v>1</v>
      </c>
      <c r="L6546" s="112">
        <v>2</v>
      </c>
    </row>
    <row r="6547" spans="1:12" x14ac:dyDescent="0.2">
      <c r="A6547" s="111">
        <v>6753</v>
      </c>
      <c r="B6547" s="421" t="s">
        <v>8989</v>
      </c>
      <c r="C6547" s="421" t="s">
        <v>523</v>
      </c>
      <c r="D6547" s="422" t="s">
        <v>663</v>
      </c>
      <c r="F6547" s="421" t="s">
        <v>15269</v>
      </c>
      <c r="G6547" s="112">
        <v>1</v>
      </c>
      <c r="H6547" s="112">
        <v>1</v>
      </c>
      <c r="I6547" s="112">
        <v>1</v>
      </c>
      <c r="J6547" s="112">
        <v>1</v>
      </c>
    </row>
    <row r="6548" spans="1:12" x14ac:dyDescent="0.2">
      <c r="A6548" s="111">
        <v>6754</v>
      </c>
      <c r="B6548" s="421" t="s">
        <v>3832</v>
      </c>
      <c r="C6548" s="421" t="s">
        <v>516</v>
      </c>
      <c r="D6548" s="422" t="s">
        <v>666</v>
      </c>
      <c r="F6548" s="421" t="s">
        <v>15269</v>
      </c>
      <c r="G6548" s="112">
        <v>1</v>
      </c>
      <c r="H6548" s="112">
        <v>1</v>
      </c>
      <c r="I6548" s="112">
        <v>1</v>
      </c>
    </row>
    <row r="6549" spans="1:12" x14ac:dyDescent="0.2">
      <c r="A6549" s="111">
        <v>6755</v>
      </c>
      <c r="B6549" s="421" t="s">
        <v>485</v>
      </c>
      <c r="C6549" s="421" t="s">
        <v>1450</v>
      </c>
      <c r="D6549" s="422" t="s">
        <v>666</v>
      </c>
      <c r="E6549" s="111">
        <v>44450</v>
      </c>
      <c r="F6549" s="421" t="s">
        <v>15270</v>
      </c>
      <c r="G6549" s="112">
        <v>1</v>
      </c>
      <c r="H6549" s="112">
        <v>2</v>
      </c>
      <c r="I6549" s="112">
        <v>1</v>
      </c>
    </row>
    <row r="6550" spans="1:12" x14ac:dyDescent="0.2">
      <c r="A6550" s="111">
        <v>6756</v>
      </c>
      <c r="B6550" s="421" t="s">
        <v>2416</v>
      </c>
      <c r="C6550" s="421" t="s">
        <v>2027</v>
      </c>
      <c r="D6550" s="422" t="s">
        <v>663</v>
      </c>
      <c r="E6550" s="111">
        <v>44445</v>
      </c>
      <c r="F6550" s="421" t="s">
        <v>15271</v>
      </c>
      <c r="G6550" s="112">
        <v>2</v>
      </c>
      <c r="H6550" s="112">
        <v>1</v>
      </c>
      <c r="I6550" s="112">
        <v>1</v>
      </c>
    </row>
    <row r="6551" spans="1:12" x14ac:dyDescent="0.2">
      <c r="A6551" s="111">
        <v>6757</v>
      </c>
      <c r="B6551" s="421" t="s">
        <v>17465</v>
      </c>
      <c r="C6551" s="421" t="s">
        <v>15272</v>
      </c>
      <c r="D6551" s="422" t="s">
        <v>666</v>
      </c>
      <c r="E6551" s="111">
        <v>44447</v>
      </c>
      <c r="F6551" s="421" t="s">
        <v>867</v>
      </c>
      <c r="G6551" s="112">
        <v>1</v>
      </c>
      <c r="H6551" s="112">
        <v>1</v>
      </c>
      <c r="I6551" s="112">
        <v>1</v>
      </c>
    </row>
    <row r="6552" spans="1:12" x14ac:dyDescent="0.2">
      <c r="A6552" s="111">
        <v>6758</v>
      </c>
      <c r="B6552" s="421" t="s">
        <v>2998</v>
      </c>
      <c r="C6552" s="421" t="s">
        <v>581</v>
      </c>
      <c r="D6552" s="422" t="s">
        <v>663</v>
      </c>
      <c r="E6552" s="111">
        <v>44448</v>
      </c>
      <c r="F6552" s="421" t="s">
        <v>15273</v>
      </c>
      <c r="G6552" s="112">
        <v>1</v>
      </c>
      <c r="H6552" s="112">
        <v>1</v>
      </c>
      <c r="I6552" s="112">
        <v>1</v>
      </c>
    </row>
    <row r="6553" spans="1:12" x14ac:dyDescent="0.2">
      <c r="A6553" s="111">
        <v>6759</v>
      </c>
      <c r="B6553" s="421" t="s">
        <v>15274</v>
      </c>
      <c r="C6553" s="421" t="s">
        <v>501</v>
      </c>
      <c r="D6553" s="422" t="s">
        <v>663</v>
      </c>
      <c r="E6553" s="111">
        <v>44449</v>
      </c>
      <c r="F6553" s="421" t="s">
        <v>15275</v>
      </c>
    </row>
    <row r="6554" spans="1:12" x14ac:dyDescent="0.2">
      <c r="A6554" s="111">
        <v>6760</v>
      </c>
      <c r="B6554" s="421" t="s">
        <v>4023</v>
      </c>
      <c r="C6554" s="421" t="s">
        <v>521</v>
      </c>
      <c r="D6554" s="422" t="s">
        <v>663</v>
      </c>
      <c r="E6554" s="111">
        <v>16384</v>
      </c>
      <c r="F6554" s="421" t="s">
        <v>7418</v>
      </c>
      <c r="G6554" s="112">
        <v>1</v>
      </c>
      <c r="H6554" s="112">
        <v>2</v>
      </c>
      <c r="I6554" s="112">
        <v>1</v>
      </c>
      <c r="J6554" s="112">
        <v>2</v>
      </c>
      <c r="K6554" s="112">
        <v>1</v>
      </c>
      <c r="L6554" s="112">
        <v>1</v>
      </c>
    </row>
    <row r="6555" spans="1:12" x14ac:dyDescent="0.2">
      <c r="A6555" s="111">
        <v>6761</v>
      </c>
      <c r="B6555" s="421" t="s">
        <v>1327</v>
      </c>
      <c r="C6555" s="421" t="s">
        <v>512</v>
      </c>
      <c r="D6555" s="422" t="s">
        <v>666</v>
      </c>
      <c r="E6555" s="111">
        <v>44460</v>
      </c>
      <c r="F6555" s="421" t="s">
        <v>15276</v>
      </c>
      <c r="H6555" s="112">
        <v>1</v>
      </c>
      <c r="I6555" s="112">
        <v>1</v>
      </c>
      <c r="L6555" s="112">
        <v>1</v>
      </c>
    </row>
    <row r="6556" spans="1:12" x14ac:dyDescent="0.2">
      <c r="A6556" s="111">
        <v>6762</v>
      </c>
      <c r="B6556" s="421" t="s">
        <v>3048</v>
      </c>
      <c r="C6556" s="421" t="s">
        <v>1201</v>
      </c>
      <c r="D6556" s="422" t="s">
        <v>663</v>
      </c>
      <c r="E6556" s="111">
        <v>44451</v>
      </c>
      <c r="F6556" s="421" t="s">
        <v>15277</v>
      </c>
      <c r="G6556" s="112">
        <v>1</v>
      </c>
      <c r="H6556" s="112">
        <v>1</v>
      </c>
      <c r="I6556" s="112">
        <v>1</v>
      </c>
      <c r="J6556" s="112">
        <v>1</v>
      </c>
      <c r="K6556" s="112">
        <v>1</v>
      </c>
      <c r="L6556" s="112">
        <v>1</v>
      </c>
    </row>
    <row r="6557" spans="1:12" x14ac:dyDescent="0.2">
      <c r="A6557" s="111">
        <v>6763</v>
      </c>
      <c r="B6557" s="421" t="s">
        <v>110</v>
      </c>
      <c r="C6557" s="421" t="s">
        <v>503</v>
      </c>
      <c r="D6557" s="422" t="s">
        <v>663</v>
      </c>
      <c r="E6557" s="111">
        <v>44454</v>
      </c>
      <c r="F6557" s="421" t="s">
        <v>15278</v>
      </c>
    </row>
    <row r="6558" spans="1:12" x14ac:dyDescent="0.2">
      <c r="A6558" s="111">
        <v>6764</v>
      </c>
      <c r="B6558" s="421" t="s">
        <v>15279</v>
      </c>
      <c r="C6558" s="421" t="s">
        <v>1201</v>
      </c>
      <c r="D6558" s="422" t="s">
        <v>666</v>
      </c>
      <c r="E6558" s="111">
        <v>44453</v>
      </c>
      <c r="F6558" s="421" t="s">
        <v>15280</v>
      </c>
      <c r="G6558" s="112">
        <v>1</v>
      </c>
      <c r="H6558" s="112">
        <v>1</v>
      </c>
      <c r="I6558" s="112">
        <v>1</v>
      </c>
      <c r="J6558" s="112">
        <v>1</v>
      </c>
    </row>
    <row r="6559" spans="1:12" x14ac:dyDescent="0.2">
      <c r="A6559" s="111">
        <v>6765</v>
      </c>
      <c r="B6559" s="421" t="s">
        <v>15281</v>
      </c>
      <c r="C6559" s="421" t="s">
        <v>15343</v>
      </c>
      <c r="D6559" s="422" t="s">
        <v>663</v>
      </c>
      <c r="E6559" s="111">
        <v>15211</v>
      </c>
      <c r="F6559" s="421" t="s">
        <v>3425</v>
      </c>
      <c r="G6559" s="112">
        <v>2</v>
      </c>
      <c r="H6559" s="112">
        <v>2</v>
      </c>
    </row>
    <row r="6560" spans="1:12" x14ac:dyDescent="0.2">
      <c r="A6560" s="111">
        <v>6766</v>
      </c>
      <c r="B6560" s="421" t="s">
        <v>15282</v>
      </c>
      <c r="C6560" s="421" t="s">
        <v>551</v>
      </c>
      <c r="D6560" s="422" t="s">
        <v>663</v>
      </c>
      <c r="F6560" s="421" t="s">
        <v>15283</v>
      </c>
      <c r="G6560" s="112">
        <v>1</v>
      </c>
      <c r="H6560" s="112">
        <v>1</v>
      </c>
      <c r="I6560" s="112">
        <v>1</v>
      </c>
      <c r="J6560" s="112">
        <v>1</v>
      </c>
      <c r="K6560" s="112">
        <v>1</v>
      </c>
    </row>
    <row r="6561" spans="1:12" x14ac:dyDescent="0.2">
      <c r="A6561" s="111">
        <v>6767</v>
      </c>
      <c r="B6561" s="421" t="s">
        <v>6548</v>
      </c>
      <c r="C6561" s="421" t="s">
        <v>551</v>
      </c>
      <c r="D6561" s="422" t="s">
        <v>663</v>
      </c>
      <c r="F6561" s="421" t="s">
        <v>15283</v>
      </c>
      <c r="G6561" s="112">
        <v>1</v>
      </c>
      <c r="H6561" s="112">
        <v>1</v>
      </c>
      <c r="I6561" s="112">
        <v>1</v>
      </c>
      <c r="J6561" s="112">
        <v>1</v>
      </c>
      <c r="K6561" s="112">
        <v>1</v>
      </c>
      <c r="L6561" s="112">
        <v>1</v>
      </c>
    </row>
    <row r="6562" spans="1:12" x14ac:dyDescent="0.2">
      <c r="A6562" s="111">
        <v>6768</v>
      </c>
      <c r="B6562" s="421" t="s">
        <v>381</v>
      </c>
      <c r="C6562" s="421" t="s">
        <v>591</v>
      </c>
      <c r="D6562" s="422" t="s">
        <v>663</v>
      </c>
      <c r="E6562" s="111">
        <v>44455</v>
      </c>
      <c r="F6562" s="421" t="s">
        <v>15284</v>
      </c>
      <c r="G6562" s="112">
        <v>1</v>
      </c>
      <c r="H6562" s="112">
        <v>1</v>
      </c>
      <c r="I6562" s="112">
        <v>1</v>
      </c>
      <c r="J6562" s="112">
        <v>1</v>
      </c>
      <c r="K6562" s="112">
        <v>1</v>
      </c>
      <c r="L6562" s="112">
        <v>1</v>
      </c>
    </row>
    <row r="6563" spans="1:12" x14ac:dyDescent="0.2">
      <c r="A6563" s="111">
        <v>6769</v>
      </c>
      <c r="B6563" s="421" t="s">
        <v>443</v>
      </c>
      <c r="C6563" s="421" t="s">
        <v>530</v>
      </c>
      <c r="D6563" s="422" t="s">
        <v>663</v>
      </c>
      <c r="E6563" s="111">
        <v>44458</v>
      </c>
      <c r="F6563" s="421" t="s">
        <v>15285</v>
      </c>
      <c r="G6563" s="112">
        <v>1</v>
      </c>
      <c r="H6563" s="112">
        <v>1</v>
      </c>
      <c r="I6563" s="112">
        <v>1</v>
      </c>
      <c r="K6563" s="112">
        <v>1</v>
      </c>
    </row>
    <row r="6564" spans="1:12" x14ac:dyDescent="0.2">
      <c r="A6564" s="111">
        <v>6770</v>
      </c>
      <c r="B6564" s="421" t="s">
        <v>15286</v>
      </c>
      <c r="C6564" s="421" t="s">
        <v>519</v>
      </c>
      <c r="D6564" s="422" t="s">
        <v>666</v>
      </c>
      <c r="F6564" s="421" t="s">
        <v>10866</v>
      </c>
      <c r="G6564" s="112">
        <v>1</v>
      </c>
      <c r="H6564" s="112">
        <v>1</v>
      </c>
      <c r="I6564" s="112">
        <v>1</v>
      </c>
      <c r="K6564" s="112">
        <v>1</v>
      </c>
      <c r="L6564" s="112">
        <v>1</v>
      </c>
    </row>
    <row r="6565" spans="1:12" x14ac:dyDescent="0.2">
      <c r="A6565" s="111">
        <v>6771</v>
      </c>
      <c r="B6565" s="421" t="s">
        <v>175</v>
      </c>
      <c r="C6565" s="421" t="s">
        <v>510</v>
      </c>
      <c r="D6565" s="422" t="s">
        <v>666</v>
      </c>
      <c r="E6565" s="111">
        <v>44416</v>
      </c>
      <c r="F6565" s="421" t="s">
        <v>15287</v>
      </c>
    </row>
    <row r="6566" spans="1:12" x14ac:dyDescent="0.2">
      <c r="A6566" s="111">
        <v>6772</v>
      </c>
      <c r="B6566" s="421" t="s">
        <v>3966</v>
      </c>
      <c r="C6566" s="421" t="s">
        <v>559</v>
      </c>
      <c r="D6566" s="422" t="s">
        <v>663</v>
      </c>
      <c r="E6566" s="111">
        <v>44461</v>
      </c>
      <c r="F6566" s="421" t="s">
        <v>15288</v>
      </c>
      <c r="G6566" s="112">
        <v>1</v>
      </c>
      <c r="H6566" s="112">
        <v>1</v>
      </c>
      <c r="I6566" s="112">
        <v>1</v>
      </c>
      <c r="K6566" s="112">
        <v>1</v>
      </c>
    </row>
    <row r="6567" spans="1:12" x14ac:dyDescent="0.2">
      <c r="A6567" s="111">
        <v>6773</v>
      </c>
      <c r="B6567" s="421" t="s">
        <v>1214</v>
      </c>
      <c r="C6567" s="421" t="s">
        <v>516</v>
      </c>
      <c r="D6567" s="422" t="s">
        <v>666</v>
      </c>
      <c r="E6567" s="111">
        <v>44462</v>
      </c>
      <c r="F6567" s="421" t="s">
        <v>15289</v>
      </c>
      <c r="G6567" s="112">
        <v>1</v>
      </c>
      <c r="H6567" s="112">
        <v>2</v>
      </c>
      <c r="I6567" s="112">
        <v>2</v>
      </c>
    </row>
    <row r="6568" spans="1:12" x14ac:dyDescent="0.2">
      <c r="A6568" s="111">
        <v>6774</v>
      </c>
      <c r="B6568" s="421" t="s">
        <v>11656</v>
      </c>
      <c r="C6568" s="421" t="s">
        <v>1201</v>
      </c>
      <c r="D6568" s="422" t="s">
        <v>666</v>
      </c>
      <c r="E6568" s="111">
        <v>16862</v>
      </c>
      <c r="F6568" s="421" t="s">
        <v>9168</v>
      </c>
      <c r="G6568" s="112">
        <v>2</v>
      </c>
      <c r="H6568" s="112">
        <v>3</v>
      </c>
      <c r="I6568" s="112">
        <v>2</v>
      </c>
    </row>
    <row r="6569" spans="1:12" x14ac:dyDescent="0.2">
      <c r="A6569" s="111">
        <v>6775</v>
      </c>
      <c r="B6569" s="421" t="s">
        <v>15290</v>
      </c>
      <c r="C6569" s="421" t="s">
        <v>1999</v>
      </c>
      <c r="D6569" s="422" t="s">
        <v>666</v>
      </c>
      <c r="E6569" s="111">
        <v>44464</v>
      </c>
      <c r="F6569" s="421" t="s">
        <v>15291</v>
      </c>
      <c r="G6569" s="112">
        <v>1</v>
      </c>
      <c r="H6569" s="112">
        <v>1</v>
      </c>
      <c r="I6569" s="112">
        <v>1</v>
      </c>
      <c r="J6569" s="112">
        <v>1</v>
      </c>
      <c r="L6569" s="112">
        <v>1</v>
      </c>
    </row>
    <row r="6570" spans="1:12" x14ac:dyDescent="0.2">
      <c r="A6570" s="111">
        <v>6776</v>
      </c>
      <c r="B6570" s="421" t="s">
        <v>15292</v>
      </c>
      <c r="C6570" s="421" t="s">
        <v>528</v>
      </c>
      <c r="D6570" s="422" t="s">
        <v>663</v>
      </c>
      <c r="E6570" s="111">
        <v>44466</v>
      </c>
      <c r="F6570" s="421" t="s">
        <v>3488</v>
      </c>
      <c r="G6570" s="112">
        <v>1</v>
      </c>
      <c r="I6570" s="112">
        <v>1</v>
      </c>
    </row>
    <row r="6571" spans="1:12" x14ac:dyDescent="0.2">
      <c r="A6571" s="111">
        <v>6777</v>
      </c>
      <c r="B6571" s="421" t="s">
        <v>15293</v>
      </c>
      <c r="C6571" s="421" t="s">
        <v>547</v>
      </c>
      <c r="D6571" s="422" t="s">
        <v>666</v>
      </c>
      <c r="F6571" s="421" t="s">
        <v>10965</v>
      </c>
      <c r="I6571" s="112">
        <v>1</v>
      </c>
    </row>
    <row r="6572" spans="1:12" x14ac:dyDescent="0.2">
      <c r="A6572" s="111">
        <v>6778</v>
      </c>
      <c r="B6572" s="421" t="s">
        <v>2144</v>
      </c>
      <c r="C6572" s="421" t="s">
        <v>553</v>
      </c>
      <c r="D6572" s="422" t="s">
        <v>663</v>
      </c>
      <c r="E6572" s="111">
        <v>44467</v>
      </c>
      <c r="F6572" s="421" t="s">
        <v>15294</v>
      </c>
      <c r="H6572" s="112">
        <v>1</v>
      </c>
    </row>
    <row r="6573" spans="1:12" x14ac:dyDescent="0.2">
      <c r="A6573" s="111">
        <v>6779</v>
      </c>
      <c r="B6573" s="421" t="s">
        <v>15295</v>
      </c>
      <c r="C6573" s="421" t="s">
        <v>509</v>
      </c>
      <c r="D6573" s="422" t="s">
        <v>666</v>
      </c>
      <c r="E6573" s="111">
        <v>44469</v>
      </c>
      <c r="F6573" s="421" t="s">
        <v>15296</v>
      </c>
    </row>
    <row r="6574" spans="1:12" x14ac:dyDescent="0.2">
      <c r="A6574" s="111">
        <v>6780</v>
      </c>
      <c r="B6574" s="421" t="s">
        <v>3285</v>
      </c>
      <c r="C6574" s="421" t="s">
        <v>1870</v>
      </c>
      <c r="D6574" s="422" t="s">
        <v>663</v>
      </c>
      <c r="E6574" s="111">
        <v>17225</v>
      </c>
      <c r="F6574" s="421" t="s">
        <v>10351</v>
      </c>
      <c r="G6574" s="112">
        <v>1</v>
      </c>
      <c r="H6574" s="112">
        <v>1</v>
      </c>
      <c r="I6574" s="112">
        <v>1</v>
      </c>
    </row>
    <row r="6575" spans="1:12" x14ac:dyDescent="0.2">
      <c r="A6575" s="111">
        <v>6782</v>
      </c>
      <c r="B6575" s="421" t="s">
        <v>10121</v>
      </c>
      <c r="C6575" s="421" t="s">
        <v>2335</v>
      </c>
      <c r="D6575" s="422" t="s">
        <v>663</v>
      </c>
      <c r="F6575" s="421" t="s">
        <v>15297</v>
      </c>
    </row>
    <row r="6576" spans="1:12" x14ac:dyDescent="0.2">
      <c r="A6576" s="111">
        <v>6783</v>
      </c>
      <c r="B6576" s="421" t="s">
        <v>195</v>
      </c>
      <c r="C6576" s="421" t="s">
        <v>2335</v>
      </c>
      <c r="D6576" s="422" t="s">
        <v>666</v>
      </c>
      <c r="F6576" s="421" t="s">
        <v>15297</v>
      </c>
    </row>
    <row r="6577" spans="1:13" x14ac:dyDescent="0.2">
      <c r="A6577" s="111">
        <v>6784</v>
      </c>
      <c r="B6577" s="421" t="s">
        <v>108</v>
      </c>
      <c r="C6577" s="421" t="s">
        <v>1447</v>
      </c>
      <c r="D6577" s="422" t="s">
        <v>663</v>
      </c>
      <c r="E6577" s="111">
        <v>16863</v>
      </c>
      <c r="F6577" s="421" t="s">
        <v>9171</v>
      </c>
      <c r="G6577" s="112">
        <v>1</v>
      </c>
      <c r="H6577" s="112">
        <v>1</v>
      </c>
      <c r="I6577" s="112">
        <v>1</v>
      </c>
    </row>
    <row r="6578" spans="1:13" x14ac:dyDescent="0.2">
      <c r="A6578" s="111">
        <v>6785</v>
      </c>
      <c r="B6578" s="421" t="s">
        <v>5808</v>
      </c>
      <c r="C6578" s="421" t="s">
        <v>586</v>
      </c>
      <c r="D6578" s="422" t="s">
        <v>666</v>
      </c>
      <c r="E6578" s="111">
        <v>44472</v>
      </c>
      <c r="F6578" s="421" t="s">
        <v>15298</v>
      </c>
      <c r="G6578" s="112">
        <v>1</v>
      </c>
      <c r="H6578" s="112">
        <v>1</v>
      </c>
      <c r="I6578" s="112">
        <v>1</v>
      </c>
    </row>
    <row r="6579" spans="1:13" x14ac:dyDescent="0.2">
      <c r="A6579" s="111">
        <v>6786</v>
      </c>
      <c r="B6579" s="421" t="s">
        <v>15299</v>
      </c>
      <c r="C6579" s="421" t="s">
        <v>506</v>
      </c>
      <c r="D6579" s="422" t="s">
        <v>666</v>
      </c>
      <c r="E6579" s="111">
        <v>1497</v>
      </c>
      <c r="F6579" s="421" t="s">
        <v>950</v>
      </c>
      <c r="G6579" s="112">
        <v>1</v>
      </c>
      <c r="H6579" s="112">
        <v>1</v>
      </c>
      <c r="I6579" s="112">
        <v>1</v>
      </c>
      <c r="J6579" s="112">
        <v>1</v>
      </c>
      <c r="K6579" s="112">
        <v>1</v>
      </c>
      <c r="L6579" s="112">
        <v>1</v>
      </c>
    </row>
    <row r="6580" spans="1:13" x14ac:dyDescent="0.2">
      <c r="A6580" s="111">
        <v>6787</v>
      </c>
      <c r="B6580" s="421" t="s">
        <v>6043</v>
      </c>
      <c r="C6580" s="421" t="s">
        <v>506</v>
      </c>
      <c r="D6580" s="422" t="s">
        <v>666</v>
      </c>
      <c r="E6580" s="111">
        <v>44473</v>
      </c>
      <c r="F6580" s="421" t="s">
        <v>15300</v>
      </c>
      <c r="G6580" s="112">
        <v>1</v>
      </c>
      <c r="H6580" s="112">
        <v>1</v>
      </c>
      <c r="I6580" s="112">
        <v>1</v>
      </c>
      <c r="J6580" s="112">
        <v>1</v>
      </c>
      <c r="K6580" s="112">
        <v>1</v>
      </c>
      <c r="L6580" s="112">
        <v>1</v>
      </c>
    </row>
    <row r="6581" spans="1:13" x14ac:dyDescent="0.2">
      <c r="A6581" s="111">
        <v>6788</v>
      </c>
      <c r="B6581" s="421" t="s">
        <v>15301</v>
      </c>
      <c r="C6581" s="421" t="s">
        <v>502</v>
      </c>
      <c r="D6581" s="422" t="s">
        <v>666</v>
      </c>
      <c r="E6581" s="111">
        <v>44474</v>
      </c>
      <c r="F6581" s="421" t="s">
        <v>15302</v>
      </c>
    </row>
    <row r="6582" spans="1:13" x14ac:dyDescent="0.2">
      <c r="A6582" s="111">
        <v>6789</v>
      </c>
      <c r="B6582" s="421" t="s">
        <v>152</v>
      </c>
      <c r="C6582" s="421" t="s">
        <v>530</v>
      </c>
      <c r="D6582" s="422" t="s">
        <v>663</v>
      </c>
      <c r="E6582" s="111">
        <v>14217</v>
      </c>
      <c r="F6582" s="421" t="s">
        <v>3728</v>
      </c>
    </row>
    <row r="6583" spans="1:13" x14ac:dyDescent="0.2">
      <c r="A6583" s="111">
        <v>6790</v>
      </c>
      <c r="B6583" s="421" t="s">
        <v>5926</v>
      </c>
      <c r="C6583" s="421" t="s">
        <v>520</v>
      </c>
      <c r="D6583" s="422" t="s">
        <v>666</v>
      </c>
      <c r="E6583" s="111">
        <v>44475</v>
      </c>
      <c r="F6583" s="421" t="s">
        <v>15303</v>
      </c>
      <c r="G6583" s="112">
        <v>1</v>
      </c>
      <c r="H6583" s="112">
        <v>1</v>
      </c>
      <c r="I6583" s="112">
        <v>1</v>
      </c>
    </row>
    <row r="6584" spans="1:13" x14ac:dyDescent="0.2">
      <c r="A6584" s="111">
        <v>6791</v>
      </c>
      <c r="B6584" s="421" t="s">
        <v>270</v>
      </c>
      <c r="C6584" s="421" t="s">
        <v>510</v>
      </c>
      <c r="D6584" s="422" t="s">
        <v>663</v>
      </c>
      <c r="E6584" s="111">
        <v>16129</v>
      </c>
      <c r="F6584" s="421" t="s">
        <v>6505</v>
      </c>
      <c r="I6584" s="112">
        <v>1</v>
      </c>
    </row>
    <row r="6585" spans="1:13" x14ac:dyDescent="0.2">
      <c r="A6585" s="111">
        <v>6792</v>
      </c>
      <c r="B6585" s="421" t="s">
        <v>1903</v>
      </c>
      <c r="C6585" s="421" t="s">
        <v>1994</v>
      </c>
      <c r="D6585" s="422" t="s">
        <v>663</v>
      </c>
      <c r="E6585" s="111">
        <v>15867</v>
      </c>
      <c r="F6585" s="421" t="s">
        <v>5576</v>
      </c>
      <c r="G6585" s="112">
        <v>1</v>
      </c>
      <c r="H6585" s="112">
        <v>2</v>
      </c>
      <c r="I6585" s="112">
        <v>3</v>
      </c>
      <c r="J6585" s="112">
        <v>1</v>
      </c>
      <c r="K6585" s="112">
        <v>1</v>
      </c>
      <c r="L6585" s="112">
        <v>1</v>
      </c>
    </row>
    <row r="6586" spans="1:13" x14ac:dyDescent="0.2">
      <c r="A6586" s="111">
        <v>6793</v>
      </c>
      <c r="B6586" s="421" t="s">
        <v>15304</v>
      </c>
      <c r="C6586" s="421" t="s">
        <v>571</v>
      </c>
      <c r="D6586" s="422" t="s">
        <v>663</v>
      </c>
      <c r="F6586" s="421" t="s">
        <v>15305</v>
      </c>
      <c r="G6586" s="112">
        <v>1</v>
      </c>
      <c r="H6586" s="112">
        <v>1</v>
      </c>
      <c r="I6586" s="112">
        <v>1</v>
      </c>
    </row>
    <row r="6587" spans="1:13" x14ac:dyDescent="0.2">
      <c r="A6587" s="111">
        <v>6794</v>
      </c>
      <c r="B6587" s="421" t="s">
        <v>1423</v>
      </c>
      <c r="C6587" s="421" t="s">
        <v>503</v>
      </c>
      <c r="D6587" s="422" t="s">
        <v>663</v>
      </c>
      <c r="E6587" s="111">
        <v>44194</v>
      </c>
      <c r="F6587" s="421" t="s">
        <v>11578</v>
      </c>
      <c r="G6587" s="112">
        <v>1</v>
      </c>
      <c r="I6587" s="112">
        <v>1</v>
      </c>
    </row>
    <row r="6588" spans="1:13" x14ac:dyDescent="0.2">
      <c r="A6588" s="111">
        <v>6795</v>
      </c>
      <c r="B6588" s="421" t="s">
        <v>294</v>
      </c>
      <c r="C6588" s="421" t="s">
        <v>512</v>
      </c>
      <c r="D6588" s="422" t="s">
        <v>666</v>
      </c>
      <c r="E6588" s="111">
        <v>44476</v>
      </c>
      <c r="F6588" s="421" t="s">
        <v>15306</v>
      </c>
      <c r="G6588" s="112">
        <v>1</v>
      </c>
      <c r="H6588" s="112">
        <v>1</v>
      </c>
      <c r="I6588" s="112">
        <v>1</v>
      </c>
      <c r="J6588" s="112">
        <v>3</v>
      </c>
      <c r="K6588" s="112">
        <v>1</v>
      </c>
      <c r="L6588" s="112">
        <v>3</v>
      </c>
    </row>
    <row r="6589" spans="1:13" x14ac:dyDescent="0.2">
      <c r="A6589" s="111">
        <v>6796</v>
      </c>
      <c r="B6589" s="421" t="s">
        <v>224</v>
      </c>
      <c r="C6589" s="421" t="s">
        <v>501</v>
      </c>
      <c r="D6589" s="422" t="s">
        <v>666</v>
      </c>
      <c r="E6589" s="111">
        <v>14606</v>
      </c>
      <c r="F6589" s="421" t="s">
        <v>1887</v>
      </c>
    </row>
    <row r="6590" spans="1:13" x14ac:dyDescent="0.2">
      <c r="A6590" s="111">
        <v>6797</v>
      </c>
      <c r="B6590" s="421" t="s">
        <v>2806</v>
      </c>
      <c r="C6590" s="421" t="s">
        <v>547</v>
      </c>
      <c r="D6590" s="422" t="s">
        <v>666</v>
      </c>
      <c r="F6590" s="421" t="s">
        <v>3029</v>
      </c>
      <c r="G6590" s="112">
        <v>1</v>
      </c>
      <c r="H6590" s="112">
        <v>1</v>
      </c>
      <c r="K6590" s="112">
        <v>1</v>
      </c>
    </row>
    <row r="6591" spans="1:13" x14ac:dyDescent="0.2">
      <c r="A6591" s="111">
        <v>6798</v>
      </c>
      <c r="B6591" s="421" t="s">
        <v>3485</v>
      </c>
      <c r="C6591" s="421" t="s">
        <v>572</v>
      </c>
      <c r="D6591" s="422" t="s">
        <v>666</v>
      </c>
      <c r="E6591" s="111">
        <v>44477</v>
      </c>
      <c r="F6591" s="421" t="s">
        <v>15307</v>
      </c>
      <c r="G6591" s="112">
        <v>1</v>
      </c>
      <c r="H6591" s="112">
        <v>1</v>
      </c>
      <c r="I6591" s="112">
        <v>1</v>
      </c>
      <c r="J6591" s="112">
        <v>3</v>
      </c>
      <c r="K6591" s="112">
        <v>3</v>
      </c>
      <c r="L6591" s="112">
        <v>2</v>
      </c>
      <c r="M6591" s="112">
        <v>1</v>
      </c>
    </row>
    <row r="6592" spans="1:13" x14ac:dyDescent="0.2">
      <c r="A6592" s="111">
        <v>6799</v>
      </c>
      <c r="B6592" s="421" t="s">
        <v>415</v>
      </c>
      <c r="C6592" s="421" t="s">
        <v>522</v>
      </c>
      <c r="D6592" s="422" t="s">
        <v>666</v>
      </c>
      <c r="E6592" s="111">
        <v>15073</v>
      </c>
      <c r="F6592" s="421" t="s">
        <v>2060</v>
      </c>
    </row>
    <row r="6593" spans="1:12" x14ac:dyDescent="0.2">
      <c r="A6593" s="111">
        <v>6800</v>
      </c>
      <c r="B6593" s="421" t="s">
        <v>15308</v>
      </c>
      <c r="C6593" s="421" t="s">
        <v>513</v>
      </c>
      <c r="D6593" s="422" t="s">
        <v>663</v>
      </c>
      <c r="E6593" s="111">
        <v>44478</v>
      </c>
      <c r="F6593" s="421" t="s">
        <v>15309</v>
      </c>
      <c r="G6593" s="112">
        <v>1</v>
      </c>
      <c r="H6593" s="112">
        <v>1</v>
      </c>
    </row>
    <row r="6594" spans="1:12" x14ac:dyDescent="0.2">
      <c r="A6594" s="111">
        <v>6801</v>
      </c>
      <c r="B6594" s="421" t="s">
        <v>2756</v>
      </c>
      <c r="C6594" s="421" t="s">
        <v>510</v>
      </c>
      <c r="D6594" s="422" t="s">
        <v>663</v>
      </c>
      <c r="E6594" s="111">
        <v>15141</v>
      </c>
      <c r="F6594" s="421" t="s">
        <v>2490</v>
      </c>
    </row>
    <row r="6595" spans="1:12" x14ac:dyDescent="0.2">
      <c r="A6595" s="111">
        <v>6802</v>
      </c>
      <c r="B6595" s="421" t="s">
        <v>494</v>
      </c>
      <c r="C6595" s="421" t="s">
        <v>509</v>
      </c>
      <c r="D6595" s="422" t="s">
        <v>666</v>
      </c>
      <c r="E6595" s="111">
        <v>44565</v>
      </c>
      <c r="F6595" s="421" t="s">
        <v>15310</v>
      </c>
      <c r="G6595" s="112">
        <v>1</v>
      </c>
      <c r="H6595" s="112">
        <v>1</v>
      </c>
      <c r="I6595" s="112">
        <v>1</v>
      </c>
    </row>
    <row r="6596" spans="1:12" x14ac:dyDescent="0.2">
      <c r="A6596" s="111">
        <v>6803</v>
      </c>
      <c r="B6596" s="421" t="s">
        <v>5910</v>
      </c>
      <c r="C6596" s="421" t="s">
        <v>569</v>
      </c>
      <c r="D6596" s="422" t="s">
        <v>663</v>
      </c>
      <c r="E6596" s="111">
        <v>44312</v>
      </c>
      <c r="F6596" s="421" t="s">
        <v>15311</v>
      </c>
    </row>
    <row r="6597" spans="1:12" x14ac:dyDescent="0.2">
      <c r="A6597" s="111">
        <v>6804</v>
      </c>
      <c r="B6597" s="421" t="s">
        <v>8642</v>
      </c>
      <c r="C6597" s="421" t="s">
        <v>501</v>
      </c>
      <c r="D6597" s="422" t="s">
        <v>666</v>
      </c>
      <c r="E6597" s="111">
        <v>44479</v>
      </c>
      <c r="F6597" s="421" t="s">
        <v>15312</v>
      </c>
      <c r="H6597" s="112">
        <v>1</v>
      </c>
      <c r="I6597" s="112">
        <v>1</v>
      </c>
    </row>
    <row r="6598" spans="1:12" x14ac:dyDescent="0.2">
      <c r="A6598" s="111">
        <v>6805</v>
      </c>
      <c r="B6598" s="421" t="s">
        <v>3426</v>
      </c>
      <c r="C6598" s="421" t="s">
        <v>551</v>
      </c>
      <c r="D6598" s="422" t="s">
        <v>663</v>
      </c>
      <c r="E6598" s="111">
        <v>44480</v>
      </c>
      <c r="F6598" s="421" t="s">
        <v>1091</v>
      </c>
      <c r="G6598" s="112">
        <v>1</v>
      </c>
      <c r="H6598" s="112">
        <v>2</v>
      </c>
      <c r="I6598" s="112">
        <v>1</v>
      </c>
      <c r="J6598" s="112">
        <v>1</v>
      </c>
    </row>
    <row r="6599" spans="1:12" x14ac:dyDescent="0.2">
      <c r="A6599" s="111">
        <v>6806</v>
      </c>
      <c r="B6599" s="421" t="s">
        <v>15313</v>
      </c>
      <c r="C6599" s="421" t="s">
        <v>1419</v>
      </c>
      <c r="D6599" s="422" t="s">
        <v>663</v>
      </c>
      <c r="E6599" s="111">
        <v>44480</v>
      </c>
      <c r="F6599" s="421" t="s">
        <v>1091</v>
      </c>
    </row>
    <row r="6600" spans="1:12" x14ac:dyDescent="0.2">
      <c r="A6600" s="111">
        <v>6807</v>
      </c>
      <c r="B6600" s="421" t="s">
        <v>6478</v>
      </c>
      <c r="C6600" s="421" t="s">
        <v>534</v>
      </c>
      <c r="D6600" s="422" t="s">
        <v>666</v>
      </c>
      <c r="E6600" s="111">
        <v>44481</v>
      </c>
      <c r="F6600" s="421" t="s">
        <v>15314</v>
      </c>
      <c r="G6600" s="112">
        <v>1</v>
      </c>
      <c r="H6600" s="112">
        <v>1</v>
      </c>
      <c r="I6600" s="112">
        <v>2</v>
      </c>
    </row>
    <row r="6601" spans="1:12" x14ac:dyDescent="0.2">
      <c r="A6601" s="111">
        <v>6808</v>
      </c>
      <c r="B6601" s="421" t="s">
        <v>3841</v>
      </c>
      <c r="C6601" s="421" t="s">
        <v>530</v>
      </c>
      <c r="D6601" s="422" t="s">
        <v>666</v>
      </c>
      <c r="E6601" s="111">
        <v>17048</v>
      </c>
      <c r="F6601" s="421" t="s">
        <v>3049</v>
      </c>
    </row>
    <row r="6602" spans="1:12" x14ac:dyDescent="0.2">
      <c r="A6602" s="111">
        <v>6809</v>
      </c>
      <c r="B6602" s="421" t="s">
        <v>10551</v>
      </c>
      <c r="C6602" s="421" t="s">
        <v>581</v>
      </c>
      <c r="D6602" s="422" t="s">
        <v>663</v>
      </c>
      <c r="E6602" s="111">
        <v>15231</v>
      </c>
      <c r="F6602" s="421" t="s">
        <v>3453</v>
      </c>
    </row>
    <row r="6603" spans="1:12" x14ac:dyDescent="0.2">
      <c r="A6603" s="111">
        <v>6810</v>
      </c>
      <c r="B6603" s="421" t="s">
        <v>15315</v>
      </c>
      <c r="C6603" s="421" t="s">
        <v>542</v>
      </c>
      <c r="D6603" s="422" t="s">
        <v>666</v>
      </c>
      <c r="F6603" s="421" t="s">
        <v>15316</v>
      </c>
    </row>
    <row r="6604" spans="1:12" x14ac:dyDescent="0.2">
      <c r="A6604" s="111">
        <v>6811</v>
      </c>
      <c r="B6604" s="421" t="s">
        <v>266</v>
      </c>
      <c r="C6604" s="421" t="s">
        <v>542</v>
      </c>
      <c r="D6604" s="422" t="s">
        <v>666</v>
      </c>
      <c r="F6604" s="421" t="s">
        <v>15316</v>
      </c>
    </row>
    <row r="6605" spans="1:12" x14ac:dyDescent="0.2">
      <c r="A6605" s="111">
        <v>6812</v>
      </c>
      <c r="B6605" s="421" t="s">
        <v>2133</v>
      </c>
      <c r="C6605" s="421" t="s">
        <v>503</v>
      </c>
      <c r="D6605" s="422" t="s">
        <v>663</v>
      </c>
      <c r="E6605" s="111">
        <v>44277</v>
      </c>
      <c r="F6605" s="421" t="s">
        <v>11900</v>
      </c>
    </row>
    <row r="6606" spans="1:12" x14ac:dyDescent="0.2">
      <c r="A6606" s="111">
        <v>6813</v>
      </c>
      <c r="B6606" s="421" t="s">
        <v>15344</v>
      </c>
      <c r="C6606" s="421" t="s">
        <v>503</v>
      </c>
      <c r="D6606" s="422" t="s">
        <v>666</v>
      </c>
      <c r="E6606" s="111">
        <v>15614</v>
      </c>
      <c r="F6606" s="421" t="s">
        <v>4839</v>
      </c>
      <c r="G6606" s="112">
        <v>2</v>
      </c>
      <c r="H6606" s="112">
        <v>3</v>
      </c>
      <c r="I6606" s="112">
        <v>2</v>
      </c>
      <c r="J6606" s="112">
        <v>1</v>
      </c>
      <c r="K6606" s="112">
        <v>1</v>
      </c>
      <c r="L6606" s="112">
        <v>1</v>
      </c>
    </row>
    <row r="6607" spans="1:12" x14ac:dyDescent="0.2">
      <c r="A6607" s="111">
        <v>6814</v>
      </c>
      <c r="B6607" s="421" t="s">
        <v>15345</v>
      </c>
      <c r="C6607" s="421" t="s">
        <v>518</v>
      </c>
      <c r="D6607" s="422" t="s">
        <v>666</v>
      </c>
      <c r="E6607" s="111">
        <v>44468</v>
      </c>
      <c r="F6607" s="421" t="s">
        <v>15346</v>
      </c>
      <c r="G6607" s="112">
        <v>1</v>
      </c>
      <c r="H6607" s="112">
        <v>1</v>
      </c>
      <c r="I6607" s="112">
        <v>1</v>
      </c>
      <c r="J6607" s="112">
        <v>1</v>
      </c>
      <c r="L6607" s="112">
        <v>1</v>
      </c>
    </row>
    <row r="6608" spans="1:12" x14ac:dyDescent="0.2">
      <c r="A6608" s="111">
        <v>6815</v>
      </c>
      <c r="B6608" s="421" t="s">
        <v>15347</v>
      </c>
      <c r="C6608" s="421" t="s">
        <v>529</v>
      </c>
      <c r="D6608" s="422" t="s">
        <v>663</v>
      </c>
      <c r="E6608" s="111">
        <v>44563</v>
      </c>
      <c r="F6608" s="421" t="s">
        <v>15348</v>
      </c>
      <c r="G6608" s="112">
        <v>1</v>
      </c>
      <c r="H6608" s="112">
        <v>3</v>
      </c>
      <c r="I6608" s="112">
        <v>3</v>
      </c>
    </row>
    <row r="6609" spans="1:12" x14ac:dyDescent="0.2">
      <c r="A6609" s="111">
        <v>6816</v>
      </c>
      <c r="B6609" s="421" t="s">
        <v>55</v>
      </c>
      <c r="C6609" s="421" t="s">
        <v>587</v>
      </c>
      <c r="D6609" s="422" t="s">
        <v>666</v>
      </c>
      <c r="E6609" s="111">
        <v>44579</v>
      </c>
      <c r="F6609" s="421" t="s">
        <v>15349</v>
      </c>
      <c r="G6609" s="112">
        <v>1</v>
      </c>
      <c r="H6609" s="112">
        <v>1</v>
      </c>
      <c r="I6609" s="112">
        <v>1</v>
      </c>
      <c r="J6609" s="112">
        <v>2</v>
      </c>
      <c r="K6609" s="112">
        <v>3</v>
      </c>
    </row>
    <row r="6610" spans="1:12" x14ac:dyDescent="0.2">
      <c r="A6610" s="111">
        <v>6817</v>
      </c>
      <c r="B6610" s="421" t="s">
        <v>4605</v>
      </c>
      <c r="C6610" s="421" t="s">
        <v>1870</v>
      </c>
      <c r="D6610" s="422" t="s">
        <v>666</v>
      </c>
      <c r="E6610" s="111">
        <v>44483</v>
      </c>
      <c r="F6610" s="421" t="s">
        <v>15350</v>
      </c>
      <c r="G6610" s="112">
        <v>1</v>
      </c>
      <c r="H6610" s="112">
        <v>1</v>
      </c>
      <c r="I6610" s="112">
        <v>1</v>
      </c>
      <c r="J6610" s="112">
        <v>1</v>
      </c>
      <c r="K6610" s="112">
        <v>1</v>
      </c>
      <c r="L6610" s="112">
        <v>1</v>
      </c>
    </row>
    <row r="6611" spans="1:12" x14ac:dyDescent="0.2">
      <c r="A6611" s="111">
        <v>6818</v>
      </c>
      <c r="B6611" s="421" t="s">
        <v>8921</v>
      </c>
      <c r="C6611" s="421" t="s">
        <v>510</v>
      </c>
      <c r="D6611" s="422" t="s">
        <v>666</v>
      </c>
      <c r="E6611" s="111">
        <v>14921</v>
      </c>
      <c r="F6611" s="421" t="s">
        <v>2066</v>
      </c>
    </row>
    <row r="6612" spans="1:12" x14ac:dyDescent="0.2">
      <c r="A6612" s="111">
        <v>6819</v>
      </c>
      <c r="B6612" s="421" t="s">
        <v>4892</v>
      </c>
      <c r="C6612" s="421" t="s">
        <v>518</v>
      </c>
      <c r="D6612" s="422" t="s">
        <v>666</v>
      </c>
      <c r="E6612" s="111">
        <v>44484</v>
      </c>
      <c r="F6612" s="421" t="s">
        <v>15351</v>
      </c>
    </row>
    <row r="6613" spans="1:12" x14ac:dyDescent="0.2">
      <c r="A6613" s="111">
        <v>6820</v>
      </c>
      <c r="B6613" s="421" t="s">
        <v>15352</v>
      </c>
      <c r="C6613" s="421" t="s">
        <v>518</v>
      </c>
      <c r="D6613" s="422" t="s">
        <v>663</v>
      </c>
      <c r="E6613" s="111">
        <v>44484</v>
      </c>
      <c r="F6613" s="421" t="s">
        <v>15351</v>
      </c>
    </row>
    <row r="6614" spans="1:12" x14ac:dyDescent="0.2">
      <c r="A6614" s="111">
        <v>6821</v>
      </c>
      <c r="B6614" s="421" t="s">
        <v>15353</v>
      </c>
      <c r="C6614" s="421" t="s">
        <v>501</v>
      </c>
      <c r="D6614" s="422" t="s">
        <v>666</v>
      </c>
      <c r="E6614" s="111">
        <v>44485</v>
      </c>
      <c r="F6614" s="421" t="s">
        <v>15354</v>
      </c>
    </row>
    <row r="6615" spans="1:12" x14ac:dyDescent="0.2">
      <c r="A6615" s="111">
        <v>6822</v>
      </c>
      <c r="B6615" s="421" t="s">
        <v>1224</v>
      </c>
      <c r="C6615" s="421" t="s">
        <v>1446</v>
      </c>
      <c r="D6615" s="422" t="s">
        <v>663</v>
      </c>
      <c r="E6615" s="111">
        <v>44109</v>
      </c>
      <c r="F6615" s="421" t="s">
        <v>11188</v>
      </c>
      <c r="G6615" s="112">
        <v>1</v>
      </c>
    </row>
    <row r="6616" spans="1:12" x14ac:dyDescent="0.2">
      <c r="A6616" s="111">
        <v>6823</v>
      </c>
      <c r="B6616" s="421" t="s">
        <v>15355</v>
      </c>
      <c r="C6616" s="421" t="s">
        <v>501</v>
      </c>
      <c r="D6616" s="422" t="s">
        <v>666</v>
      </c>
      <c r="E6616" s="111">
        <v>44109</v>
      </c>
      <c r="F6616" s="421" t="s">
        <v>11188</v>
      </c>
    </row>
    <row r="6617" spans="1:12" x14ac:dyDescent="0.2">
      <c r="A6617" s="111">
        <v>6824</v>
      </c>
      <c r="B6617" s="421" t="s">
        <v>110</v>
      </c>
      <c r="C6617" s="421" t="s">
        <v>551</v>
      </c>
      <c r="D6617" s="422" t="s">
        <v>666</v>
      </c>
      <c r="F6617" s="421" t="s">
        <v>15356</v>
      </c>
    </row>
    <row r="6618" spans="1:12" x14ac:dyDescent="0.2">
      <c r="A6618" s="111">
        <v>6825</v>
      </c>
      <c r="B6618" s="421" t="s">
        <v>15357</v>
      </c>
      <c r="C6618" s="421" t="s">
        <v>510</v>
      </c>
      <c r="D6618" s="422" t="s">
        <v>663</v>
      </c>
      <c r="E6618" s="111">
        <v>44229</v>
      </c>
      <c r="F6618" s="421" t="s">
        <v>11662</v>
      </c>
      <c r="G6618" s="112">
        <v>1</v>
      </c>
      <c r="I6618" s="112">
        <v>1</v>
      </c>
    </row>
    <row r="6619" spans="1:12" x14ac:dyDescent="0.2">
      <c r="A6619" s="111">
        <v>6826</v>
      </c>
      <c r="B6619" s="421" t="s">
        <v>5844</v>
      </c>
      <c r="C6619" s="421" t="s">
        <v>574</v>
      </c>
      <c r="D6619" s="422" t="s">
        <v>666</v>
      </c>
      <c r="E6619" s="111">
        <v>15407</v>
      </c>
      <c r="F6619" s="421" t="s">
        <v>4137</v>
      </c>
    </row>
    <row r="6620" spans="1:12" x14ac:dyDescent="0.2">
      <c r="A6620" s="111">
        <v>6827</v>
      </c>
      <c r="B6620" s="421" t="s">
        <v>15358</v>
      </c>
      <c r="C6620" s="421" t="s">
        <v>533</v>
      </c>
      <c r="D6620" s="422" t="s">
        <v>663</v>
      </c>
      <c r="E6620" s="111">
        <v>16176</v>
      </c>
      <c r="F6620" s="421" t="s">
        <v>6583</v>
      </c>
    </row>
    <row r="6621" spans="1:12" x14ac:dyDescent="0.2">
      <c r="A6621" s="111">
        <v>6828</v>
      </c>
      <c r="B6621" s="421" t="s">
        <v>15359</v>
      </c>
      <c r="C6621" s="421" t="s">
        <v>589</v>
      </c>
      <c r="D6621" s="422" t="s">
        <v>663</v>
      </c>
      <c r="E6621" s="111">
        <v>16919</v>
      </c>
      <c r="F6621" s="421" t="s">
        <v>8669</v>
      </c>
      <c r="G6621" s="112">
        <v>1</v>
      </c>
      <c r="H6621" s="112">
        <v>1</v>
      </c>
      <c r="I6621" s="112">
        <v>1</v>
      </c>
      <c r="J6621" s="112">
        <v>2</v>
      </c>
    </row>
    <row r="6622" spans="1:12" x14ac:dyDescent="0.2">
      <c r="A6622" s="111">
        <v>6829</v>
      </c>
      <c r="B6622" s="421" t="s">
        <v>332</v>
      </c>
      <c r="C6622" s="421" t="s">
        <v>558</v>
      </c>
      <c r="D6622" s="422" t="s">
        <v>666</v>
      </c>
      <c r="F6622" s="421" t="s">
        <v>1885</v>
      </c>
      <c r="G6622" s="112">
        <v>1</v>
      </c>
      <c r="H6622" s="112">
        <v>1</v>
      </c>
    </row>
    <row r="6623" spans="1:12" x14ac:dyDescent="0.2">
      <c r="A6623" s="111">
        <v>6830</v>
      </c>
      <c r="B6623" s="421" t="s">
        <v>15360</v>
      </c>
      <c r="C6623" s="421" t="s">
        <v>1112</v>
      </c>
      <c r="D6623" s="422" t="s">
        <v>663</v>
      </c>
      <c r="E6623" s="111">
        <v>15803</v>
      </c>
      <c r="F6623" s="421" t="s">
        <v>4720</v>
      </c>
      <c r="G6623" s="112">
        <v>1</v>
      </c>
      <c r="H6623" s="112">
        <v>1</v>
      </c>
      <c r="I6623" s="112">
        <v>1</v>
      </c>
    </row>
    <row r="6624" spans="1:12" x14ac:dyDescent="0.2">
      <c r="A6624" s="111">
        <v>6833</v>
      </c>
      <c r="B6624" s="421" t="s">
        <v>5910</v>
      </c>
      <c r="C6624" s="421" t="s">
        <v>569</v>
      </c>
      <c r="D6624" s="422" t="s">
        <v>663</v>
      </c>
      <c r="E6624" s="111">
        <v>44312</v>
      </c>
      <c r="F6624" s="421" t="s">
        <v>15311</v>
      </c>
    </row>
    <row r="6625" spans="1:15" x14ac:dyDescent="0.2">
      <c r="A6625" s="111">
        <v>6834</v>
      </c>
      <c r="B6625" s="421" t="s">
        <v>12130</v>
      </c>
      <c r="C6625" s="421" t="s">
        <v>510</v>
      </c>
      <c r="D6625" s="422" t="s">
        <v>666</v>
      </c>
      <c r="E6625" s="111">
        <v>44443</v>
      </c>
      <c r="F6625" s="421" t="s">
        <v>15361</v>
      </c>
    </row>
    <row r="6626" spans="1:15" x14ac:dyDescent="0.2">
      <c r="A6626" s="111">
        <v>6835</v>
      </c>
      <c r="B6626" s="421" t="s">
        <v>15362</v>
      </c>
      <c r="C6626" s="421" t="s">
        <v>577</v>
      </c>
      <c r="D6626" s="422" t="s">
        <v>663</v>
      </c>
      <c r="E6626" s="111">
        <v>44432</v>
      </c>
      <c r="F6626" s="421" t="s">
        <v>15363</v>
      </c>
    </row>
    <row r="6627" spans="1:15" x14ac:dyDescent="0.2">
      <c r="A6627" s="111">
        <v>6836</v>
      </c>
      <c r="B6627" s="421" t="s">
        <v>131</v>
      </c>
      <c r="C6627" s="421" t="s">
        <v>501</v>
      </c>
      <c r="D6627" s="422" t="s">
        <v>663</v>
      </c>
      <c r="E6627" s="111">
        <v>44487</v>
      </c>
      <c r="F6627" s="421" t="s">
        <v>15364</v>
      </c>
    </row>
    <row r="6628" spans="1:15" x14ac:dyDescent="0.2">
      <c r="A6628" s="111">
        <v>6837</v>
      </c>
      <c r="B6628" s="421" t="s">
        <v>2266</v>
      </c>
      <c r="C6628" s="421" t="s">
        <v>501</v>
      </c>
      <c r="D6628" s="422" t="s">
        <v>666</v>
      </c>
      <c r="E6628" s="111">
        <v>44487</v>
      </c>
      <c r="F6628" s="421" t="s">
        <v>15364</v>
      </c>
    </row>
    <row r="6629" spans="1:15" x14ac:dyDescent="0.2">
      <c r="A6629" s="111">
        <v>6838</v>
      </c>
      <c r="B6629" s="421" t="s">
        <v>15365</v>
      </c>
      <c r="C6629" s="421" t="s">
        <v>551</v>
      </c>
      <c r="D6629" s="422" t="s">
        <v>663</v>
      </c>
      <c r="E6629" s="111">
        <v>17112</v>
      </c>
      <c r="F6629" s="421" t="s">
        <v>10063</v>
      </c>
      <c r="G6629" s="112">
        <v>1</v>
      </c>
      <c r="H6629" s="112">
        <v>1</v>
      </c>
      <c r="I6629" s="112">
        <v>2</v>
      </c>
      <c r="J6629" s="112">
        <v>1</v>
      </c>
      <c r="L6629" s="112">
        <v>1</v>
      </c>
    </row>
    <row r="6630" spans="1:15" x14ac:dyDescent="0.2">
      <c r="A6630" s="111">
        <v>6839</v>
      </c>
      <c r="B6630" s="421" t="s">
        <v>15366</v>
      </c>
      <c r="C6630" s="421" t="s">
        <v>513</v>
      </c>
      <c r="D6630" s="422" t="s">
        <v>666</v>
      </c>
      <c r="E6630" s="111">
        <v>16078</v>
      </c>
      <c r="F6630" s="421" t="s">
        <v>6304</v>
      </c>
    </row>
    <row r="6631" spans="1:15" x14ac:dyDescent="0.2">
      <c r="A6631" s="111">
        <v>6840</v>
      </c>
      <c r="B6631" s="421" t="s">
        <v>1072</v>
      </c>
      <c r="C6631" s="421" t="s">
        <v>501</v>
      </c>
      <c r="D6631" s="422" t="s">
        <v>663</v>
      </c>
      <c r="E6631" s="111">
        <v>44488</v>
      </c>
      <c r="F6631" s="421" t="s">
        <v>15367</v>
      </c>
    </row>
    <row r="6632" spans="1:15" x14ac:dyDescent="0.2">
      <c r="A6632" s="111">
        <v>6841</v>
      </c>
      <c r="B6632" s="421" t="s">
        <v>15368</v>
      </c>
      <c r="C6632" s="421" t="s">
        <v>1817</v>
      </c>
      <c r="D6632" s="422" t="s">
        <v>666</v>
      </c>
      <c r="E6632" s="111">
        <v>16960</v>
      </c>
      <c r="F6632" s="421" t="s">
        <v>9398</v>
      </c>
    </row>
    <row r="6633" spans="1:15" x14ac:dyDescent="0.2">
      <c r="A6633" s="111">
        <v>6842</v>
      </c>
      <c r="B6633" s="421" t="s">
        <v>461</v>
      </c>
      <c r="C6633" s="421" t="s">
        <v>501</v>
      </c>
      <c r="D6633" s="422" t="s">
        <v>663</v>
      </c>
      <c r="E6633" s="111">
        <v>44091</v>
      </c>
      <c r="F6633" s="421" t="s">
        <v>11159</v>
      </c>
      <c r="G6633" s="112">
        <v>1</v>
      </c>
      <c r="H6633" s="112">
        <v>1</v>
      </c>
      <c r="I6633" s="112">
        <v>1</v>
      </c>
    </row>
    <row r="6634" spans="1:15" x14ac:dyDescent="0.2">
      <c r="A6634" s="111">
        <v>6843</v>
      </c>
      <c r="B6634" s="421" t="s">
        <v>15369</v>
      </c>
      <c r="C6634" s="421" t="s">
        <v>7405</v>
      </c>
      <c r="D6634" s="422" t="s">
        <v>666</v>
      </c>
      <c r="E6634" s="111">
        <v>44489</v>
      </c>
      <c r="F6634" s="421" t="s">
        <v>15370</v>
      </c>
      <c r="G6634" s="112">
        <v>2</v>
      </c>
      <c r="H6634" s="112">
        <v>2</v>
      </c>
      <c r="I6634" s="112">
        <v>2</v>
      </c>
      <c r="J6634" s="112">
        <v>3</v>
      </c>
      <c r="K6634" s="112">
        <v>2</v>
      </c>
      <c r="L6634" s="112">
        <v>1</v>
      </c>
    </row>
    <row r="6635" spans="1:15" x14ac:dyDescent="0.2">
      <c r="A6635" s="111">
        <v>6844</v>
      </c>
      <c r="B6635" s="421" t="s">
        <v>15371</v>
      </c>
      <c r="C6635" s="421" t="s">
        <v>1378</v>
      </c>
      <c r="D6635" s="422" t="s">
        <v>666</v>
      </c>
      <c r="E6635" s="111">
        <v>44489</v>
      </c>
      <c r="F6635" s="421" t="s">
        <v>15370</v>
      </c>
      <c r="G6635" s="112">
        <v>1</v>
      </c>
      <c r="H6635" s="112">
        <v>1</v>
      </c>
      <c r="I6635" s="112">
        <v>1</v>
      </c>
      <c r="J6635" s="112">
        <v>3</v>
      </c>
      <c r="K6635" s="112">
        <v>2</v>
      </c>
      <c r="L6635" s="112">
        <v>3</v>
      </c>
      <c r="M6635" s="112">
        <v>3</v>
      </c>
      <c r="N6635" s="112">
        <v>1</v>
      </c>
      <c r="O6635" s="112">
        <v>1</v>
      </c>
    </row>
    <row r="6636" spans="1:15" x14ac:dyDescent="0.2">
      <c r="A6636" s="111">
        <v>6845</v>
      </c>
      <c r="B6636" s="421" t="s">
        <v>15372</v>
      </c>
      <c r="C6636" s="421" t="s">
        <v>1419</v>
      </c>
      <c r="D6636" s="422" t="s">
        <v>666</v>
      </c>
      <c r="E6636" s="111">
        <v>44489</v>
      </c>
      <c r="F6636" s="421" t="s">
        <v>15370</v>
      </c>
      <c r="G6636" s="112">
        <v>1</v>
      </c>
      <c r="H6636" s="112">
        <v>1</v>
      </c>
      <c r="I6636" s="112">
        <v>1</v>
      </c>
    </row>
    <row r="6637" spans="1:15" x14ac:dyDescent="0.2">
      <c r="A6637" s="111">
        <v>6846</v>
      </c>
      <c r="B6637" s="421" t="s">
        <v>15373</v>
      </c>
      <c r="C6637" s="421" t="s">
        <v>523</v>
      </c>
      <c r="D6637" s="422" t="s">
        <v>666</v>
      </c>
      <c r="E6637" s="111">
        <v>44490</v>
      </c>
      <c r="F6637" s="421" t="s">
        <v>15374</v>
      </c>
      <c r="G6637" s="112">
        <v>1</v>
      </c>
      <c r="H6637" s="112">
        <v>1</v>
      </c>
      <c r="I6637" s="112">
        <v>1</v>
      </c>
      <c r="K6637" s="112">
        <v>1</v>
      </c>
      <c r="L6637" s="112">
        <v>1</v>
      </c>
    </row>
    <row r="6638" spans="1:15" x14ac:dyDescent="0.2">
      <c r="A6638" s="111">
        <v>6847</v>
      </c>
      <c r="B6638" s="421" t="s">
        <v>15375</v>
      </c>
      <c r="C6638" s="421" t="s">
        <v>501</v>
      </c>
      <c r="D6638" s="422" t="s">
        <v>666</v>
      </c>
      <c r="E6638" s="111">
        <v>44492</v>
      </c>
      <c r="F6638" s="421" t="s">
        <v>15376</v>
      </c>
      <c r="G6638" s="112">
        <v>1</v>
      </c>
      <c r="H6638" s="112">
        <v>1</v>
      </c>
      <c r="I6638" s="112">
        <v>1</v>
      </c>
    </row>
    <row r="6639" spans="1:15" x14ac:dyDescent="0.2">
      <c r="A6639" s="111">
        <v>6848</v>
      </c>
      <c r="B6639" s="421" t="s">
        <v>2298</v>
      </c>
      <c r="C6639" s="421" t="s">
        <v>506</v>
      </c>
      <c r="D6639" s="422" t="s">
        <v>666</v>
      </c>
      <c r="E6639" s="111">
        <v>44493</v>
      </c>
      <c r="F6639" s="421" t="s">
        <v>15377</v>
      </c>
      <c r="G6639" s="112">
        <v>2</v>
      </c>
      <c r="H6639" s="112">
        <v>1</v>
      </c>
      <c r="I6639" s="112">
        <v>2</v>
      </c>
      <c r="K6639" s="112">
        <v>1</v>
      </c>
    </row>
    <row r="6640" spans="1:15" x14ac:dyDescent="0.2">
      <c r="A6640" s="111">
        <v>6849</v>
      </c>
      <c r="B6640" s="421" t="s">
        <v>2202</v>
      </c>
      <c r="C6640" s="421" t="s">
        <v>551</v>
      </c>
      <c r="D6640" s="422" t="s">
        <v>663</v>
      </c>
      <c r="E6640" s="111">
        <v>16199</v>
      </c>
      <c r="F6640" s="421" t="s">
        <v>6306</v>
      </c>
      <c r="G6640" s="112">
        <v>1</v>
      </c>
      <c r="H6640" s="112">
        <v>1</v>
      </c>
      <c r="I6640" s="112">
        <v>1</v>
      </c>
      <c r="J6640" s="112">
        <v>1</v>
      </c>
    </row>
    <row r="6641" spans="1:12" x14ac:dyDescent="0.2">
      <c r="A6641" s="111">
        <v>6850</v>
      </c>
      <c r="B6641" s="421" t="s">
        <v>15378</v>
      </c>
      <c r="C6641" s="421" t="s">
        <v>513</v>
      </c>
      <c r="D6641" s="422" t="s">
        <v>663</v>
      </c>
      <c r="E6641" s="111">
        <v>44494</v>
      </c>
      <c r="F6641" s="421" t="s">
        <v>15379</v>
      </c>
      <c r="G6641" s="112">
        <v>1</v>
      </c>
      <c r="H6641" s="112">
        <v>1</v>
      </c>
      <c r="I6641" s="112">
        <v>1</v>
      </c>
      <c r="J6641" s="112">
        <v>1</v>
      </c>
      <c r="K6641" s="112">
        <v>1</v>
      </c>
      <c r="L6641" s="112">
        <v>1</v>
      </c>
    </row>
    <row r="6642" spans="1:12" x14ac:dyDescent="0.2">
      <c r="A6642" s="111">
        <v>6851</v>
      </c>
      <c r="B6642" s="421" t="s">
        <v>80</v>
      </c>
      <c r="C6642" s="421" t="s">
        <v>525</v>
      </c>
      <c r="D6642" s="422" t="s">
        <v>663</v>
      </c>
      <c r="E6642" s="111">
        <v>44497</v>
      </c>
      <c r="F6642" s="421" t="s">
        <v>15380</v>
      </c>
    </row>
    <row r="6643" spans="1:12" x14ac:dyDescent="0.2">
      <c r="A6643" s="111">
        <v>6852</v>
      </c>
      <c r="B6643" s="421" t="s">
        <v>15381</v>
      </c>
      <c r="C6643" s="421" t="s">
        <v>1999</v>
      </c>
      <c r="D6643" s="422" t="s">
        <v>663</v>
      </c>
      <c r="E6643" s="111">
        <v>44498</v>
      </c>
      <c r="F6643" s="421" t="s">
        <v>15382</v>
      </c>
      <c r="G6643" s="112">
        <v>1</v>
      </c>
      <c r="H6643" s="112">
        <v>1</v>
      </c>
      <c r="I6643" s="112">
        <v>1</v>
      </c>
      <c r="K6643" s="112">
        <v>1</v>
      </c>
    </row>
    <row r="6644" spans="1:12" x14ac:dyDescent="0.2">
      <c r="A6644" s="111">
        <v>6853</v>
      </c>
      <c r="B6644" s="421" t="s">
        <v>485</v>
      </c>
      <c r="C6644" s="421" t="s">
        <v>503</v>
      </c>
      <c r="D6644" s="422" t="s">
        <v>666</v>
      </c>
      <c r="E6644" s="111">
        <v>44500</v>
      </c>
      <c r="F6644" s="421" t="s">
        <v>15383</v>
      </c>
      <c r="G6644" s="112">
        <v>1</v>
      </c>
      <c r="H6644" s="112">
        <v>1</v>
      </c>
      <c r="I6644" s="112">
        <v>1</v>
      </c>
    </row>
    <row r="6645" spans="1:12" x14ac:dyDescent="0.2">
      <c r="A6645" s="111">
        <v>6854</v>
      </c>
      <c r="B6645" s="421" t="s">
        <v>3061</v>
      </c>
      <c r="C6645" s="421" t="s">
        <v>4663</v>
      </c>
      <c r="D6645" s="422" t="s">
        <v>666</v>
      </c>
      <c r="E6645" s="111">
        <v>15450</v>
      </c>
      <c r="F6645" s="421" t="s">
        <v>3734</v>
      </c>
      <c r="G6645" s="112">
        <v>1</v>
      </c>
      <c r="H6645" s="112">
        <v>1</v>
      </c>
      <c r="I6645" s="112">
        <v>1</v>
      </c>
    </row>
    <row r="6646" spans="1:12" x14ac:dyDescent="0.2">
      <c r="A6646" s="111">
        <v>6855</v>
      </c>
      <c r="B6646" s="421" t="s">
        <v>15384</v>
      </c>
      <c r="C6646" s="421" t="s">
        <v>577</v>
      </c>
      <c r="D6646" s="422" t="s">
        <v>663</v>
      </c>
      <c r="F6646" s="421" t="s">
        <v>15385</v>
      </c>
    </row>
    <row r="6647" spans="1:12" x14ac:dyDescent="0.2">
      <c r="A6647" s="111">
        <v>6856</v>
      </c>
      <c r="B6647" s="421" t="s">
        <v>1349</v>
      </c>
      <c r="C6647" s="421" t="s">
        <v>501</v>
      </c>
      <c r="D6647" s="422" t="s">
        <v>663</v>
      </c>
      <c r="F6647" s="421" t="s">
        <v>15386</v>
      </c>
    </row>
    <row r="6648" spans="1:12" x14ac:dyDescent="0.2">
      <c r="A6648" s="111">
        <v>6857</v>
      </c>
      <c r="B6648" s="421" t="s">
        <v>78</v>
      </c>
      <c r="C6648" s="421" t="s">
        <v>518</v>
      </c>
      <c r="D6648" s="422" t="s">
        <v>663</v>
      </c>
      <c r="E6648" s="111">
        <v>16478</v>
      </c>
      <c r="F6648" s="421" t="s">
        <v>7712</v>
      </c>
    </row>
    <row r="6649" spans="1:12" x14ac:dyDescent="0.2">
      <c r="A6649" s="111">
        <v>6858</v>
      </c>
      <c r="B6649" s="421" t="s">
        <v>2133</v>
      </c>
      <c r="C6649" s="421" t="s">
        <v>2548</v>
      </c>
      <c r="D6649" s="422" t="s">
        <v>666</v>
      </c>
      <c r="E6649" s="111">
        <v>14991</v>
      </c>
      <c r="F6649" s="421" t="s">
        <v>2549</v>
      </c>
      <c r="G6649" s="112">
        <v>1</v>
      </c>
      <c r="H6649" s="112">
        <v>1</v>
      </c>
    </row>
    <row r="6650" spans="1:12" x14ac:dyDescent="0.2">
      <c r="A6650" s="111">
        <v>6859</v>
      </c>
      <c r="B6650" s="421" t="s">
        <v>381</v>
      </c>
      <c r="C6650" s="421" t="s">
        <v>506</v>
      </c>
      <c r="D6650" s="422" t="s">
        <v>663</v>
      </c>
      <c r="F6650" s="421" t="s">
        <v>15387</v>
      </c>
    </row>
    <row r="6651" spans="1:12" x14ac:dyDescent="0.2">
      <c r="A6651" s="111">
        <v>6860</v>
      </c>
      <c r="B6651" s="421" t="s">
        <v>1127</v>
      </c>
      <c r="C6651" s="421" t="s">
        <v>532</v>
      </c>
      <c r="D6651" s="422" t="s">
        <v>666</v>
      </c>
      <c r="E6651" s="111">
        <v>44105</v>
      </c>
      <c r="F6651" s="421" t="s">
        <v>10982</v>
      </c>
    </row>
    <row r="6652" spans="1:12" x14ac:dyDescent="0.2">
      <c r="A6652" s="111">
        <v>6861</v>
      </c>
      <c r="B6652" s="421" t="s">
        <v>219</v>
      </c>
      <c r="C6652" s="421" t="s">
        <v>573</v>
      </c>
      <c r="D6652" s="422" t="s">
        <v>666</v>
      </c>
      <c r="E6652" s="111">
        <v>14772</v>
      </c>
      <c r="F6652" s="421" t="s">
        <v>2283</v>
      </c>
      <c r="H6652" s="112">
        <v>1</v>
      </c>
    </row>
    <row r="6653" spans="1:12" x14ac:dyDescent="0.2">
      <c r="A6653" s="111">
        <v>6862</v>
      </c>
      <c r="B6653" s="421" t="s">
        <v>3884</v>
      </c>
      <c r="C6653" s="421" t="s">
        <v>533</v>
      </c>
      <c r="D6653" s="422" t="s">
        <v>666</v>
      </c>
      <c r="E6653" s="111">
        <v>44503</v>
      </c>
      <c r="F6653" s="421" t="s">
        <v>15388</v>
      </c>
      <c r="G6653" s="112">
        <v>1</v>
      </c>
      <c r="H6653" s="112">
        <v>1</v>
      </c>
    </row>
    <row r="6654" spans="1:12" x14ac:dyDescent="0.2">
      <c r="A6654" s="111">
        <v>6863</v>
      </c>
      <c r="B6654" s="421" t="s">
        <v>3484</v>
      </c>
      <c r="C6654" s="421" t="s">
        <v>502</v>
      </c>
      <c r="D6654" s="422" t="s">
        <v>663</v>
      </c>
      <c r="E6654" s="111">
        <v>44504</v>
      </c>
      <c r="F6654" s="421" t="s">
        <v>15389</v>
      </c>
      <c r="G6654" s="112">
        <v>1</v>
      </c>
      <c r="H6654" s="112">
        <v>1</v>
      </c>
      <c r="I6654" s="112">
        <v>1</v>
      </c>
    </row>
    <row r="6655" spans="1:12" x14ac:dyDescent="0.2">
      <c r="A6655" s="111">
        <v>6864</v>
      </c>
      <c r="B6655" s="421" t="s">
        <v>1931</v>
      </c>
      <c r="C6655" s="421" t="s">
        <v>516</v>
      </c>
      <c r="D6655" s="422" t="s">
        <v>663</v>
      </c>
      <c r="E6655" s="111">
        <v>44505</v>
      </c>
      <c r="F6655" s="421" t="s">
        <v>15390</v>
      </c>
      <c r="G6655" s="112">
        <v>1</v>
      </c>
      <c r="H6655" s="112">
        <v>2</v>
      </c>
      <c r="I6655" s="112">
        <v>2</v>
      </c>
    </row>
    <row r="6656" spans="1:12" x14ac:dyDescent="0.2">
      <c r="A6656" s="111">
        <v>6865</v>
      </c>
      <c r="B6656" s="421" t="s">
        <v>131</v>
      </c>
      <c r="C6656" s="421" t="s">
        <v>501</v>
      </c>
      <c r="D6656" s="422" t="s">
        <v>663</v>
      </c>
      <c r="E6656" s="111">
        <v>44506</v>
      </c>
      <c r="F6656" s="421" t="s">
        <v>15391</v>
      </c>
    </row>
    <row r="6657" spans="1:12" x14ac:dyDescent="0.2">
      <c r="A6657" s="111">
        <v>6866</v>
      </c>
      <c r="B6657" s="421" t="s">
        <v>15392</v>
      </c>
      <c r="C6657" s="421" t="s">
        <v>523</v>
      </c>
      <c r="D6657" s="422" t="s">
        <v>663</v>
      </c>
      <c r="E6657" s="111">
        <v>44089</v>
      </c>
      <c r="F6657" s="421" t="s">
        <v>11158</v>
      </c>
      <c r="G6657" s="112">
        <v>1</v>
      </c>
      <c r="H6657" s="112">
        <v>1</v>
      </c>
      <c r="I6657" s="112">
        <v>1</v>
      </c>
      <c r="J6657" s="112">
        <v>1</v>
      </c>
      <c r="K6657" s="112">
        <v>2</v>
      </c>
      <c r="L6657" s="112">
        <v>1</v>
      </c>
    </row>
    <row r="6658" spans="1:12" x14ac:dyDescent="0.2">
      <c r="A6658" s="111">
        <v>6867</v>
      </c>
      <c r="B6658" s="421" t="s">
        <v>3104</v>
      </c>
      <c r="C6658" s="421" t="s">
        <v>501</v>
      </c>
      <c r="D6658" s="422" t="s">
        <v>663</v>
      </c>
      <c r="E6658" s="111">
        <v>44507</v>
      </c>
      <c r="F6658" s="421" t="s">
        <v>15393</v>
      </c>
      <c r="G6658" s="112">
        <v>2</v>
      </c>
      <c r="H6658" s="112">
        <v>2</v>
      </c>
      <c r="I6658" s="112">
        <v>2</v>
      </c>
      <c r="J6658" s="112">
        <v>3</v>
      </c>
      <c r="K6658" s="112">
        <v>3</v>
      </c>
      <c r="L6658" s="112">
        <v>2</v>
      </c>
    </row>
    <row r="6659" spans="1:12" x14ac:dyDescent="0.2">
      <c r="A6659" s="111">
        <v>6868</v>
      </c>
      <c r="B6659" s="421" t="s">
        <v>15394</v>
      </c>
      <c r="C6659" s="421" t="s">
        <v>516</v>
      </c>
      <c r="D6659" s="422" t="s">
        <v>663</v>
      </c>
      <c r="E6659" s="111">
        <v>44436</v>
      </c>
      <c r="F6659" s="421" t="s">
        <v>15395</v>
      </c>
      <c r="G6659" s="112">
        <v>1</v>
      </c>
      <c r="H6659" s="112">
        <v>1</v>
      </c>
      <c r="I6659" s="112">
        <v>1</v>
      </c>
    </row>
    <row r="6660" spans="1:12" x14ac:dyDescent="0.2">
      <c r="A6660" s="111">
        <v>6869</v>
      </c>
      <c r="B6660" s="421" t="s">
        <v>46</v>
      </c>
      <c r="C6660" s="421" t="s">
        <v>522</v>
      </c>
      <c r="D6660" s="422" t="s">
        <v>663</v>
      </c>
      <c r="F6660" s="421" t="s">
        <v>15396</v>
      </c>
    </row>
    <row r="6661" spans="1:12" x14ac:dyDescent="0.2">
      <c r="A6661" s="111">
        <v>6870</v>
      </c>
      <c r="B6661" s="421" t="s">
        <v>15397</v>
      </c>
      <c r="C6661" s="421" t="s">
        <v>520</v>
      </c>
      <c r="D6661" s="422" t="s">
        <v>666</v>
      </c>
      <c r="E6661" s="111">
        <v>44508</v>
      </c>
      <c r="F6661" s="421" t="s">
        <v>15398</v>
      </c>
    </row>
    <row r="6662" spans="1:12" x14ac:dyDescent="0.2">
      <c r="A6662" s="111">
        <v>6871</v>
      </c>
      <c r="B6662" s="421" t="s">
        <v>15399</v>
      </c>
      <c r="C6662" s="421" t="s">
        <v>510</v>
      </c>
      <c r="D6662" s="422" t="s">
        <v>666</v>
      </c>
      <c r="E6662" s="111">
        <v>44510</v>
      </c>
      <c r="F6662" s="421" t="s">
        <v>15400</v>
      </c>
      <c r="G6662" s="112">
        <v>1</v>
      </c>
      <c r="H6662" s="112">
        <v>1</v>
      </c>
      <c r="I6662" s="112">
        <v>1</v>
      </c>
    </row>
    <row r="6663" spans="1:12" x14ac:dyDescent="0.2">
      <c r="A6663" s="111">
        <v>6872</v>
      </c>
      <c r="B6663" s="421" t="s">
        <v>307</v>
      </c>
      <c r="C6663" s="421" t="s">
        <v>517</v>
      </c>
      <c r="D6663" s="422" t="s">
        <v>663</v>
      </c>
      <c r="E6663" s="111">
        <v>44511</v>
      </c>
      <c r="F6663" s="421" t="s">
        <v>15401</v>
      </c>
      <c r="G6663" s="112">
        <v>1</v>
      </c>
      <c r="H6663" s="112">
        <v>1</v>
      </c>
      <c r="I6663" s="112">
        <v>1</v>
      </c>
      <c r="J6663" s="112">
        <v>4</v>
      </c>
      <c r="K6663" s="112">
        <v>4</v>
      </c>
      <c r="L6663" s="112">
        <v>4</v>
      </c>
    </row>
    <row r="6664" spans="1:12" x14ac:dyDescent="0.2">
      <c r="A6664" s="111">
        <v>6873</v>
      </c>
      <c r="B6664" s="421" t="s">
        <v>1387</v>
      </c>
      <c r="C6664" s="421" t="s">
        <v>517</v>
      </c>
      <c r="D6664" s="422" t="s">
        <v>666</v>
      </c>
      <c r="E6664" s="111">
        <v>44511</v>
      </c>
      <c r="F6664" s="421" t="s">
        <v>15401</v>
      </c>
      <c r="G6664" s="112">
        <v>1</v>
      </c>
      <c r="H6664" s="112">
        <v>1</v>
      </c>
      <c r="I6664" s="112">
        <v>1</v>
      </c>
    </row>
    <row r="6665" spans="1:12" x14ac:dyDescent="0.2">
      <c r="A6665" s="111">
        <v>6874</v>
      </c>
      <c r="B6665" s="421" t="s">
        <v>15402</v>
      </c>
      <c r="C6665" s="421" t="s">
        <v>506</v>
      </c>
      <c r="D6665" s="422" t="s">
        <v>663</v>
      </c>
      <c r="E6665" s="111">
        <v>44512</v>
      </c>
      <c r="F6665" s="421" t="s">
        <v>15403</v>
      </c>
    </row>
    <row r="6666" spans="1:12" x14ac:dyDescent="0.2">
      <c r="A6666" s="111">
        <v>6875</v>
      </c>
      <c r="B6666" s="421" t="s">
        <v>15404</v>
      </c>
      <c r="C6666" s="421" t="s">
        <v>530</v>
      </c>
      <c r="D6666" s="422" t="s">
        <v>666</v>
      </c>
      <c r="E6666" s="111">
        <v>44512</v>
      </c>
      <c r="F6666" s="421" t="s">
        <v>15403</v>
      </c>
    </row>
    <row r="6667" spans="1:12" x14ac:dyDescent="0.2">
      <c r="A6667" s="111">
        <v>6876</v>
      </c>
      <c r="B6667" s="421" t="s">
        <v>3521</v>
      </c>
      <c r="C6667" s="421" t="s">
        <v>536</v>
      </c>
      <c r="D6667" s="422" t="s">
        <v>666</v>
      </c>
      <c r="E6667" s="111">
        <v>44392</v>
      </c>
      <c r="F6667" s="421" t="s">
        <v>15250</v>
      </c>
      <c r="G6667" s="112">
        <v>1</v>
      </c>
      <c r="I6667" s="112">
        <v>1</v>
      </c>
    </row>
    <row r="6668" spans="1:12" x14ac:dyDescent="0.2">
      <c r="A6668" s="111">
        <v>6877</v>
      </c>
      <c r="B6668" s="421" t="s">
        <v>246</v>
      </c>
      <c r="C6668" s="421" t="s">
        <v>532</v>
      </c>
      <c r="D6668" s="422" t="s">
        <v>663</v>
      </c>
      <c r="E6668" s="111">
        <v>17023</v>
      </c>
      <c r="F6668" s="421" t="s">
        <v>9693</v>
      </c>
      <c r="H6668" s="112">
        <v>1</v>
      </c>
      <c r="I6668" s="112">
        <v>1</v>
      </c>
    </row>
    <row r="6669" spans="1:12" x14ac:dyDescent="0.2">
      <c r="A6669" s="111">
        <v>6878</v>
      </c>
      <c r="B6669" s="421" t="s">
        <v>7541</v>
      </c>
      <c r="C6669" s="421" t="s">
        <v>501</v>
      </c>
      <c r="D6669" s="422" t="s">
        <v>666</v>
      </c>
      <c r="E6669" s="111">
        <v>17129</v>
      </c>
      <c r="F6669" s="421" t="s">
        <v>10083</v>
      </c>
      <c r="G6669" s="112">
        <v>2</v>
      </c>
      <c r="H6669" s="112">
        <v>2</v>
      </c>
      <c r="I6669" s="112">
        <v>1</v>
      </c>
    </row>
    <row r="6670" spans="1:12" x14ac:dyDescent="0.2">
      <c r="A6670" s="111">
        <v>6879</v>
      </c>
      <c r="B6670" s="421" t="s">
        <v>464</v>
      </c>
      <c r="C6670" s="421" t="s">
        <v>532</v>
      </c>
      <c r="D6670" s="422" t="s">
        <v>663</v>
      </c>
      <c r="E6670" s="111">
        <v>44513</v>
      </c>
      <c r="F6670" s="421" t="s">
        <v>15405</v>
      </c>
      <c r="G6670" s="112">
        <v>1</v>
      </c>
      <c r="H6670" s="112">
        <v>1</v>
      </c>
      <c r="I6670" s="112">
        <v>1</v>
      </c>
    </row>
    <row r="6671" spans="1:12" x14ac:dyDescent="0.2">
      <c r="A6671" s="111">
        <v>6880</v>
      </c>
      <c r="B6671" s="421" t="s">
        <v>15406</v>
      </c>
      <c r="C6671" s="421" t="s">
        <v>501</v>
      </c>
      <c r="D6671" s="422" t="s">
        <v>666</v>
      </c>
      <c r="E6671" s="111">
        <v>15993</v>
      </c>
      <c r="F6671" s="421" t="s">
        <v>6059</v>
      </c>
      <c r="G6671" s="112">
        <v>1</v>
      </c>
      <c r="H6671" s="112">
        <v>1</v>
      </c>
      <c r="I6671" s="112">
        <v>1</v>
      </c>
    </row>
    <row r="6672" spans="1:12" x14ac:dyDescent="0.2">
      <c r="A6672" s="111">
        <v>6881</v>
      </c>
      <c r="B6672" s="421" t="s">
        <v>9473</v>
      </c>
      <c r="C6672" s="421" t="s">
        <v>516</v>
      </c>
      <c r="D6672" s="422" t="s">
        <v>666</v>
      </c>
      <c r="F6672" s="421" t="s">
        <v>15407</v>
      </c>
    </row>
    <row r="6673" spans="1:15" x14ac:dyDescent="0.2">
      <c r="A6673" s="111">
        <v>6882</v>
      </c>
      <c r="B6673" s="421" t="s">
        <v>15408</v>
      </c>
      <c r="C6673" s="421" t="s">
        <v>503</v>
      </c>
      <c r="D6673" s="422" t="s">
        <v>666</v>
      </c>
      <c r="E6673" s="111">
        <v>44515</v>
      </c>
      <c r="F6673" s="421" t="s">
        <v>15409</v>
      </c>
      <c r="G6673" s="112">
        <v>1</v>
      </c>
      <c r="H6673" s="112">
        <v>1</v>
      </c>
      <c r="I6673" s="112">
        <v>1</v>
      </c>
      <c r="J6673" s="112">
        <v>6</v>
      </c>
      <c r="K6673" s="112">
        <v>6</v>
      </c>
      <c r="L6673" s="112">
        <v>5</v>
      </c>
      <c r="M6673" s="112">
        <v>4</v>
      </c>
      <c r="N6673" s="112">
        <v>2</v>
      </c>
      <c r="O6673" s="112">
        <v>2</v>
      </c>
    </row>
    <row r="6674" spans="1:15" x14ac:dyDescent="0.2">
      <c r="A6674" s="111">
        <v>6883</v>
      </c>
      <c r="B6674" s="421" t="s">
        <v>1218</v>
      </c>
      <c r="C6674" s="421" t="s">
        <v>501</v>
      </c>
      <c r="D6674" s="422" t="s">
        <v>663</v>
      </c>
      <c r="E6674" s="111">
        <v>44662</v>
      </c>
      <c r="F6674" s="421" t="s">
        <v>15410</v>
      </c>
      <c r="G6674" s="112">
        <v>1</v>
      </c>
      <c r="H6674" s="112">
        <v>1</v>
      </c>
      <c r="I6674" s="112">
        <v>1</v>
      </c>
    </row>
    <row r="6675" spans="1:15" x14ac:dyDescent="0.2">
      <c r="A6675" s="111">
        <v>6884</v>
      </c>
      <c r="B6675" s="421" t="s">
        <v>5237</v>
      </c>
      <c r="C6675" s="421" t="s">
        <v>550</v>
      </c>
      <c r="D6675" s="422" t="s">
        <v>666</v>
      </c>
      <c r="E6675" s="111">
        <v>44516</v>
      </c>
      <c r="F6675" s="421" t="s">
        <v>15411</v>
      </c>
      <c r="G6675" s="112">
        <v>1</v>
      </c>
      <c r="H6675" s="112">
        <v>1</v>
      </c>
      <c r="I6675" s="112">
        <v>1</v>
      </c>
    </row>
    <row r="6676" spans="1:15" x14ac:dyDescent="0.2">
      <c r="A6676" s="111">
        <v>6885</v>
      </c>
      <c r="B6676" s="421" t="s">
        <v>15412</v>
      </c>
      <c r="C6676" s="421" t="s">
        <v>521</v>
      </c>
      <c r="D6676" s="422" t="s">
        <v>666</v>
      </c>
      <c r="E6676" s="111">
        <v>44517</v>
      </c>
      <c r="F6676" s="421" t="s">
        <v>15413</v>
      </c>
      <c r="G6676" s="112">
        <v>2</v>
      </c>
      <c r="H6676" s="112">
        <v>1</v>
      </c>
      <c r="I6676" s="112">
        <v>1</v>
      </c>
    </row>
    <row r="6677" spans="1:15" x14ac:dyDescent="0.2">
      <c r="A6677" s="111">
        <v>6886</v>
      </c>
      <c r="B6677" s="421" t="s">
        <v>468</v>
      </c>
      <c r="C6677" s="421" t="s">
        <v>506</v>
      </c>
      <c r="D6677" s="422" t="s">
        <v>666</v>
      </c>
      <c r="E6677" s="111">
        <v>44518</v>
      </c>
      <c r="F6677" s="421" t="s">
        <v>15414</v>
      </c>
    </row>
    <row r="6678" spans="1:15" x14ac:dyDescent="0.2">
      <c r="A6678" s="111">
        <v>6887</v>
      </c>
      <c r="B6678" s="421" t="s">
        <v>15415</v>
      </c>
      <c r="C6678" s="421" t="s">
        <v>501</v>
      </c>
      <c r="D6678" s="422" t="s">
        <v>663</v>
      </c>
      <c r="E6678" s="111">
        <v>44519</v>
      </c>
      <c r="F6678" s="421" t="s">
        <v>15416</v>
      </c>
      <c r="G6678" s="112">
        <v>1</v>
      </c>
      <c r="H6678" s="112">
        <v>1</v>
      </c>
      <c r="I6678" s="112">
        <v>1</v>
      </c>
      <c r="J6678" s="112">
        <v>2</v>
      </c>
      <c r="K6678" s="112">
        <v>1</v>
      </c>
      <c r="L6678" s="112">
        <v>1</v>
      </c>
    </row>
    <row r="6679" spans="1:15" x14ac:dyDescent="0.2">
      <c r="A6679" s="111">
        <v>6888</v>
      </c>
      <c r="B6679" s="421" t="s">
        <v>8598</v>
      </c>
      <c r="C6679" s="421" t="s">
        <v>2165</v>
      </c>
      <c r="D6679" s="422" t="s">
        <v>666</v>
      </c>
      <c r="E6679" s="111">
        <v>44520</v>
      </c>
      <c r="F6679" s="421" t="s">
        <v>15417</v>
      </c>
      <c r="G6679" s="112">
        <v>1</v>
      </c>
      <c r="H6679" s="112">
        <v>1</v>
      </c>
      <c r="I6679" s="112">
        <v>1</v>
      </c>
      <c r="J6679" s="112">
        <v>1</v>
      </c>
      <c r="K6679" s="112">
        <v>1</v>
      </c>
      <c r="L6679" s="112">
        <v>1</v>
      </c>
    </row>
    <row r="6680" spans="1:15" x14ac:dyDescent="0.2">
      <c r="A6680" s="111">
        <v>6889</v>
      </c>
      <c r="B6680" s="421" t="s">
        <v>430</v>
      </c>
      <c r="C6680" s="421" t="s">
        <v>1934</v>
      </c>
      <c r="D6680" s="422" t="s">
        <v>666</v>
      </c>
      <c r="E6680" s="111">
        <v>44521</v>
      </c>
      <c r="F6680" s="421" t="s">
        <v>15418</v>
      </c>
      <c r="G6680" s="112">
        <v>1</v>
      </c>
      <c r="H6680" s="112">
        <v>1</v>
      </c>
      <c r="I6680" s="112">
        <v>1</v>
      </c>
      <c r="J6680" s="112">
        <v>1</v>
      </c>
      <c r="K6680" s="112">
        <v>1</v>
      </c>
      <c r="L6680" s="112">
        <v>1</v>
      </c>
    </row>
    <row r="6681" spans="1:15" x14ac:dyDescent="0.2">
      <c r="A6681" s="111">
        <v>6890</v>
      </c>
      <c r="B6681" s="421" t="s">
        <v>1577</v>
      </c>
      <c r="C6681" s="421" t="s">
        <v>1447</v>
      </c>
      <c r="D6681" s="422" t="s">
        <v>663</v>
      </c>
      <c r="E6681" s="111">
        <v>17102</v>
      </c>
      <c r="F6681" s="421" t="s">
        <v>11906</v>
      </c>
      <c r="G6681" s="112">
        <v>1</v>
      </c>
      <c r="H6681" s="112">
        <v>1</v>
      </c>
      <c r="I6681" s="112">
        <v>1</v>
      </c>
    </row>
    <row r="6682" spans="1:15" x14ac:dyDescent="0.2">
      <c r="A6682" s="111">
        <v>6891</v>
      </c>
      <c r="B6682" s="421" t="s">
        <v>235</v>
      </c>
      <c r="C6682" s="421" t="s">
        <v>503</v>
      </c>
      <c r="D6682" s="422" t="s">
        <v>663</v>
      </c>
      <c r="E6682" s="111">
        <v>44523</v>
      </c>
      <c r="F6682" s="421" t="s">
        <v>15419</v>
      </c>
      <c r="G6682" s="112">
        <v>1</v>
      </c>
    </row>
    <row r="6683" spans="1:15" x14ac:dyDescent="0.2">
      <c r="A6683" s="111">
        <v>6892</v>
      </c>
      <c r="B6683" s="421" t="s">
        <v>3152</v>
      </c>
      <c r="C6683" s="421" t="s">
        <v>503</v>
      </c>
      <c r="D6683" s="422" t="s">
        <v>666</v>
      </c>
      <c r="E6683" s="111">
        <v>44524</v>
      </c>
      <c r="F6683" s="421" t="s">
        <v>15448</v>
      </c>
      <c r="G6683" s="112">
        <v>3</v>
      </c>
      <c r="H6683" s="112">
        <v>3</v>
      </c>
      <c r="I6683" s="112">
        <v>2</v>
      </c>
      <c r="J6683" s="112">
        <v>1</v>
      </c>
      <c r="K6683" s="112">
        <v>1</v>
      </c>
      <c r="L6683" s="112">
        <v>1</v>
      </c>
    </row>
    <row r="6684" spans="1:15" x14ac:dyDescent="0.2">
      <c r="A6684" s="111">
        <v>6893</v>
      </c>
      <c r="B6684" s="421" t="s">
        <v>15449</v>
      </c>
      <c r="C6684" s="421" t="s">
        <v>535</v>
      </c>
      <c r="D6684" s="422" t="s">
        <v>663</v>
      </c>
      <c r="E6684" s="111">
        <v>44525</v>
      </c>
      <c r="F6684" s="421" t="s">
        <v>15450</v>
      </c>
    </row>
    <row r="6685" spans="1:15" x14ac:dyDescent="0.2">
      <c r="A6685" s="111">
        <v>6894</v>
      </c>
      <c r="B6685" s="421" t="s">
        <v>2809</v>
      </c>
      <c r="C6685" s="421" t="s">
        <v>517</v>
      </c>
      <c r="D6685" s="422" t="s">
        <v>666</v>
      </c>
      <c r="E6685" s="111">
        <v>44526</v>
      </c>
      <c r="F6685" s="421" t="s">
        <v>15451</v>
      </c>
    </row>
    <row r="6686" spans="1:15" x14ac:dyDescent="0.2">
      <c r="A6686" s="111">
        <v>6895</v>
      </c>
      <c r="B6686" s="421" t="s">
        <v>5749</v>
      </c>
      <c r="C6686" s="421" t="s">
        <v>628</v>
      </c>
      <c r="D6686" s="422" t="s">
        <v>666</v>
      </c>
      <c r="E6686" s="111">
        <v>44527</v>
      </c>
      <c r="F6686" s="421" t="s">
        <v>15452</v>
      </c>
      <c r="G6686" s="112">
        <v>1</v>
      </c>
      <c r="H6686" s="112">
        <v>1</v>
      </c>
      <c r="I6686" s="112">
        <v>1</v>
      </c>
    </row>
    <row r="6687" spans="1:15" x14ac:dyDescent="0.2">
      <c r="A6687" s="111">
        <v>6896</v>
      </c>
      <c r="B6687" s="421" t="s">
        <v>15453</v>
      </c>
      <c r="C6687" s="421" t="s">
        <v>628</v>
      </c>
      <c r="D6687" s="422" t="s">
        <v>666</v>
      </c>
      <c r="E6687" s="111">
        <v>44125</v>
      </c>
      <c r="F6687" s="421" t="s">
        <v>11229</v>
      </c>
      <c r="G6687" s="112">
        <v>1</v>
      </c>
      <c r="H6687" s="112">
        <v>1</v>
      </c>
      <c r="I6687" s="112">
        <v>1</v>
      </c>
    </row>
    <row r="6688" spans="1:15" x14ac:dyDescent="0.2">
      <c r="A6688" s="111">
        <v>6897</v>
      </c>
      <c r="B6688" s="421" t="s">
        <v>15454</v>
      </c>
      <c r="C6688" s="421" t="s">
        <v>559</v>
      </c>
      <c r="D6688" s="422" t="s">
        <v>666</v>
      </c>
      <c r="E6688" s="111">
        <v>44428</v>
      </c>
      <c r="F6688" s="421" t="s">
        <v>11943</v>
      </c>
    </row>
    <row r="6689" spans="1:12" x14ac:dyDescent="0.2">
      <c r="A6689" s="111">
        <v>6898</v>
      </c>
      <c r="B6689" s="421" t="s">
        <v>4999</v>
      </c>
      <c r="C6689" s="421" t="s">
        <v>2003</v>
      </c>
      <c r="D6689" s="422" t="s">
        <v>663</v>
      </c>
      <c r="E6689" s="111">
        <v>44657</v>
      </c>
      <c r="F6689" s="421" t="s">
        <v>15455</v>
      </c>
      <c r="G6689" s="112">
        <v>1</v>
      </c>
      <c r="H6689" s="112">
        <v>1</v>
      </c>
    </row>
    <row r="6690" spans="1:12" x14ac:dyDescent="0.2">
      <c r="A6690" s="111">
        <v>6899</v>
      </c>
      <c r="B6690" s="421" t="s">
        <v>266</v>
      </c>
      <c r="C6690" s="421" t="s">
        <v>7698</v>
      </c>
      <c r="D6690" s="422" t="s">
        <v>663</v>
      </c>
      <c r="F6690" s="421" t="s">
        <v>15456</v>
      </c>
      <c r="G6690" s="112">
        <v>1</v>
      </c>
      <c r="H6690" s="112">
        <v>1</v>
      </c>
      <c r="I6690" s="112">
        <v>1</v>
      </c>
    </row>
    <row r="6691" spans="1:12" x14ac:dyDescent="0.2">
      <c r="A6691" s="111">
        <v>6900</v>
      </c>
      <c r="B6691" s="421" t="s">
        <v>1509</v>
      </c>
      <c r="C6691" s="421" t="s">
        <v>575</v>
      </c>
      <c r="D6691" s="422" t="s">
        <v>666</v>
      </c>
      <c r="E6691" s="111">
        <v>44529</v>
      </c>
      <c r="F6691" s="421" t="s">
        <v>15457</v>
      </c>
      <c r="G6691" s="112">
        <v>1</v>
      </c>
      <c r="H6691" s="112">
        <v>1</v>
      </c>
    </row>
    <row r="6692" spans="1:12" x14ac:dyDescent="0.2">
      <c r="A6692" s="111">
        <v>6901</v>
      </c>
      <c r="B6692" s="421" t="s">
        <v>15458</v>
      </c>
      <c r="C6692" s="421" t="s">
        <v>1758</v>
      </c>
      <c r="D6692" s="422" t="s">
        <v>666</v>
      </c>
      <c r="E6692" s="111">
        <v>44528</v>
      </c>
      <c r="F6692" s="421" t="s">
        <v>15459</v>
      </c>
      <c r="G6692" s="112">
        <v>1</v>
      </c>
      <c r="H6692" s="112">
        <v>1</v>
      </c>
      <c r="I6692" s="112">
        <v>1</v>
      </c>
    </row>
    <row r="6693" spans="1:12" x14ac:dyDescent="0.2">
      <c r="A6693" s="111">
        <v>6902</v>
      </c>
      <c r="B6693" s="421" t="s">
        <v>386</v>
      </c>
      <c r="C6693" s="421" t="s">
        <v>530</v>
      </c>
      <c r="D6693" s="422" t="s">
        <v>663</v>
      </c>
      <c r="E6693" s="111">
        <v>44530</v>
      </c>
      <c r="F6693" s="421" t="s">
        <v>15460</v>
      </c>
      <c r="G6693" s="112">
        <v>1</v>
      </c>
      <c r="H6693" s="112">
        <v>1</v>
      </c>
      <c r="I6693" s="112">
        <v>1</v>
      </c>
      <c r="J6693" s="112">
        <v>1</v>
      </c>
      <c r="K6693" s="112">
        <v>1</v>
      </c>
      <c r="L6693" s="112">
        <v>1</v>
      </c>
    </row>
    <row r="6694" spans="1:12" x14ac:dyDescent="0.2">
      <c r="A6694" s="111">
        <v>6903</v>
      </c>
      <c r="B6694" s="421" t="s">
        <v>2974</v>
      </c>
      <c r="C6694" s="421" t="s">
        <v>530</v>
      </c>
      <c r="D6694" s="422" t="s">
        <v>666</v>
      </c>
      <c r="E6694" s="111">
        <v>44530</v>
      </c>
      <c r="F6694" s="421" t="s">
        <v>15460</v>
      </c>
      <c r="G6694" s="112">
        <v>1</v>
      </c>
      <c r="H6694" s="112">
        <v>1</v>
      </c>
      <c r="I6694" s="112">
        <v>1</v>
      </c>
      <c r="J6694" s="112">
        <v>1</v>
      </c>
      <c r="K6694" s="112">
        <v>1</v>
      </c>
      <c r="L6694" s="112">
        <v>1</v>
      </c>
    </row>
    <row r="6695" spans="1:12" x14ac:dyDescent="0.2">
      <c r="A6695" s="111">
        <v>6904</v>
      </c>
      <c r="B6695" s="421" t="s">
        <v>12082</v>
      </c>
      <c r="C6695" s="421" t="s">
        <v>1500</v>
      </c>
      <c r="D6695" s="422" t="s">
        <v>666</v>
      </c>
      <c r="E6695" s="111">
        <v>17012</v>
      </c>
      <c r="F6695" s="421" t="s">
        <v>9396</v>
      </c>
    </row>
    <row r="6696" spans="1:12" x14ac:dyDescent="0.2">
      <c r="A6696" s="111">
        <v>6905</v>
      </c>
      <c r="B6696" s="421" t="s">
        <v>15461</v>
      </c>
      <c r="C6696" s="421" t="s">
        <v>504</v>
      </c>
      <c r="D6696" s="422" t="s">
        <v>663</v>
      </c>
      <c r="E6696" s="111">
        <v>44532</v>
      </c>
      <c r="F6696" s="421" t="s">
        <v>15462</v>
      </c>
      <c r="G6696" s="112">
        <v>1</v>
      </c>
    </row>
    <row r="6697" spans="1:12" x14ac:dyDescent="0.2">
      <c r="A6697" s="111">
        <v>6906</v>
      </c>
      <c r="B6697" s="421" t="s">
        <v>5747</v>
      </c>
      <c r="C6697" s="421" t="s">
        <v>555</v>
      </c>
      <c r="D6697" s="422" t="s">
        <v>666</v>
      </c>
      <c r="E6697" s="111">
        <v>15555</v>
      </c>
      <c r="F6697" s="421" t="s">
        <v>4692</v>
      </c>
      <c r="G6697" s="112">
        <v>2</v>
      </c>
      <c r="H6697" s="112">
        <v>2</v>
      </c>
      <c r="I6697" s="112">
        <v>2</v>
      </c>
      <c r="J6697" s="112">
        <v>3</v>
      </c>
      <c r="K6697" s="112">
        <v>2</v>
      </c>
      <c r="L6697" s="112">
        <v>3</v>
      </c>
    </row>
    <row r="6698" spans="1:12" x14ac:dyDescent="0.2">
      <c r="A6698" s="111">
        <v>6908</v>
      </c>
      <c r="B6698" s="421" t="s">
        <v>15463</v>
      </c>
      <c r="C6698" s="421" t="s">
        <v>501</v>
      </c>
      <c r="D6698" s="422" t="s">
        <v>663</v>
      </c>
      <c r="E6698" s="111">
        <v>15834</v>
      </c>
      <c r="F6698" s="421" t="s">
        <v>5522</v>
      </c>
      <c r="G6698" s="112">
        <v>1</v>
      </c>
      <c r="H6698" s="112">
        <v>1</v>
      </c>
      <c r="I6698" s="112">
        <v>1</v>
      </c>
      <c r="K6698" s="112">
        <v>1</v>
      </c>
      <c r="L6698" s="112">
        <v>1</v>
      </c>
    </row>
    <row r="6699" spans="1:12" x14ac:dyDescent="0.2">
      <c r="A6699" s="111">
        <v>6910</v>
      </c>
      <c r="B6699" s="421" t="s">
        <v>306</v>
      </c>
      <c r="C6699" s="421" t="s">
        <v>510</v>
      </c>
      <c r="D6699" s="422" t="s">
        <v>666</v>
      </c>
      <c r="E6699" s="111">
        <v>44369</v>
      </c>
      <c r="F6699" s="421" t="s">
        <v>12225</v>
      </c>
    </row>
    <row r="6700" spans="1:12" x14ac:dyDescent="0.2">
      <c r="A6700" s="111">
        <v>6911</v>
      </c>
      <c r="B6700" s="421" t="s">
        <v>2213</v>
      </c>
      <c r="C6700" s="421" t="s">
        <v>510</v>
      </c>
      <c r="D6700" s="422" t="s">
        <v>663</v>
      </c>
      <c r="E6700" s="111">
        <v>44369</v>
      </c>
      <c r="F6700" s="421" t="s">
        <v>12225</v>
      </c>
    </row>
    <row r="6701" spans="1:12" x14ac:dyDescent="0.2">
      <c r="A6701" s="111">
        <v>6912</v>
      </c>
      <c r="B6701" s="421" t="s">
        <v>15464</v>
      </c>
      <c r="C6701" s="421" t="s">
        <v>501</v>
      </c>
      <c r="D6701" s="422" t="s">
        <v>666</v>
      </c>
      <c r="E6701" s="111">
        <v>14817</v>
      </c>
      <c r="F6701" s="421" t="s">
        <v>780</v>
      </c>
      <c r="G6701" s="112">
        <v>1</v>
      </c>
      <c r="H6701" s="112">
        <v>1</v>
      </c>
      <c r="I6701" s="112">
        <v>1</v>
      </c>
    </row>
    <row r="6702" spans="1:12" x14ac:dyDescent="0.2">
      <c r="A6702" s="111">
        <v>6913</v>
      </c>
      <c r="B6702" s="421" t="s">
        <v>15465</v>
      </c>
      <c r="C6702" s="421" t="s">
        <v>523</v>
      </c>
      <c r="D6702" s="422" t="s">
        <v>666</v>
      </c>
      <c r="E6702" s="111">
        <v>44570</v>
      </c>
      <c r="F6702" s="421" t="s">
        <v>15466</v>
      </c>
      <c r="G6702" s="112">
        <v>1</v>
      </c>
      <c r="H6702" s="112">
        <v>1</v>
      </c>
      <c r="I6702" s="112">
        <v>1</v>
      </c>
      <c r="J6702" s="112">
        <v>3</v>
      </c>
      <c r="K6702" s="112">
        <v>2</v>
      </c>
      <c r="L6702" s="112">
        <v>3</v>
      </c>
    </row>
    <row r="6703" spans="1:12" x14ac:dyDescent="0.2">
      <c r="A6703" s="111">
        <v>6914</v>
      </c>
      <c r="B6703" s="421" t="s">
        <v>15467</v>
      </c>
      <c r="C6703" s="421" t="s">
        <v>501</v>
      </c>
      <c r="D6703" s="422" t="s">
        <v>663</v>
      </c>
      <c r="E6703" s="111">
        <v>44533</v>
      </c>
      <c r="F6703" s="421" t="s">
        <v>15468</v>
      </c>
      <c r="G6703" s="112">
        <v>1</v>
      </c>
    </row>
    <row r="6704" spans="1:12" x14ac:dyDescent="0.2">
      <c r="A6704" s="111">
        <v>6915</v>
      </c>
      <c r="B6704" s="421" t="s">
        <v>1423</v>
      </c>
      <c r="C6704" s="421" t="s">
        <v>1450</v>
      </c>
      <c r="D6704" s="422" t="s">
        <v>663</v>
      </c>
      <c r="E6704" s="111">
        <v>44534</v>
      </c>
      <c r="F6704" s="421" t="s">
        <v>15469</v>
      </c>
      <c r="G6704" s="112">
        <v>1</v>
      </c>
      <c r="H6704" s="112">
        <v>1</v>
      </c>
      <c r="I6704" s="112">
        <v>1</v>
      </c>
      <c r="L6704" s="112">
        <v>1</v>
      </c>
    </row>
    <row r="6705" spans="1:12" x14ac:dyDescent="0.2">
      <c r="A6705" s="111">
        <v>6916</v>
      </c>
      <c r="B6705" s="421" t="s">
        <v>15470</v>
      </c>
      <c r="C6705" s="421" t="s">
        <v>557</v>
      </c>
      <c r="D6705" s="422" t="s">
        <v>663</v>
      </c>
      <c r="E6705" s="111">
        <v>44536</v>
      </c>
      <c r="F6705" s="421" t="s">
        <v>15471</v>
      </c>
      <c r="G6705" s="112">
        <v>2</v>
      </c>
      <c r="H6705" s="112">
        <v>2</v>
      </c>
    </row>
    <row r="6706" spans="1:12" x14ac:dyDescent="0.2">
      <c r="A6706" s="111">
        <v>6917</v>
      </c>
      <c r="B6706" s="421" t="s">
        <v>2575</v>
      </c>
      <c r="C6706" s="421" t="s">
        <v>501</v>
      </c>
      <c r="D6706" s="422" t="s">
        <v>663</v>
      </c>
      <c r="E6706" s="111">
        <v>44573</v>
      </c>
      <c r="F6706" s="421" t="s">
        <v>15472</v>
      </c>
      <c r="H6706" s="112">
        <v>1</v>
      </c>
      <c r="I6706" s="112">
        <v>1</v>
      </c>
    </row>
    <row r="6707" spans="1:12" x14ac:dyDescent="0.2">
      <c r="A6707" s="111">
        <v>6918</v>
      </c>
      <c r="B6707" s="421" t="s">
        <v>597</v>
      </c>
      <c r="C6707" s="421" t="s">
        <v>585</v>
      </c>
      <c r="D6707" s="422" t="s">
        <v>663</v>
      </c>
      <c r="F6707" s="421" t="s">
        <v>15473</v>
      </c>
      <c r="G6707" s="112">
        <v>1</v>
      </c>
      <c r="H6707" s="112">
        <v>1</v>
      </c>
      <c r="I6707" s="112">
        <v>1</v>
      </c>
      <c r="J6707" s="112">
        <v>1</v>
      </c>
      <c r="K6707" s="112">
        <v>1</v>
      </c>
      <c r="L6707" s="112">
        <v>1</v>
      </c>
    </row>
    <row r="6708" spans="1:12" x14ac:dyDescent="0.2">
      <c r="A6708" s="111">
        <v>6919</v>
      </c>
      <c r="B6708" s="421" t="s">
        <v>15474</v>
      </c>
      <c r="C6708" s="421" t="s">
        <v>501</v>
      </c>
      <c r="D6708" s="422" t="s">
        <v>666</v>
      </c>
      <c r="E6708" s="111">
        <v>44535</v>
      </c>
      <c r="F6708" s="421" t="s">
        <v>15475</v>
      </c>
      <c r="G6708" s="112">
        <v>1</v>
      </c>
      <c r="H6708" s="112">
        <v>1</v>
      </c>
      <c r="I6708" s="112">
        <v>1</v>
      </c>
    </row>
    <row r="6709" spans="1:12" x14ac:dyDescent="0.2">
      <c r="A6709" s="111">
        <v>6920</v>
      </c>
      <c r="B6709" s="421" t="s">
        <v>6222</v>
      </c>
      <c r="C6709" s="421" t="s">
        <v>502</v>
      </c>
      <c r="D6709" s="422" t="s">
        <v>663</v>
      </c>
      <c r="E6709" s="111">
        <v>16296</v>
      </c>
      <c r="F6709" s="421" t="s">
        <v>15447</v>
      </c>
      <c r="G6709" s="112">
        <v>1</v>
      </c>
      <c r="H6709" s="112">
        <v>1</v>
      </c>
      <c r="I6709" s="112">
        <v>1</v>
      </c>
    </row>
    <row r="6710" spans="1:12" x14ac:dyDescent="0.2">
      <c r="A6710" s="111">
        <v>6921</v>
      </c>
      <c r="B6710" s="421" t="s">
        <v>15476</v>
      </c>
      <c r="C6710" s="421" t="s">
        <v>1112</v>
      </c>
      <c r="D6710" s="422" t="s">
        <v>663</v>
      </c>
      <c r="E6710" s="111">
        <v>15487</v>
      </c>
      <c r="F6710" s="421" t="s">
        <v>4441</v>
      </c>
      <c r="G6710" s="112">
        <v>1</v>
      </c>
      <c r="H6710" s="112">
        <v>1</v>
      </c>
    </row>
    <row r="6711" spans="1:12" x14ac:dyDescent="0.2">
      <c r="A6711" s="111">
        <v>6922</v>
      </c>
      <c r="B6711" s="421" t="s">
        <v>15477</v>
      </c>
      <c r="C6711" s="421" t="s">
        <v>510</v>
      </c>
      <c r="D6711" s="422" t="s">
        <v>663</v>
      </c>
      <c r="E6711" s="111">
        <v>44537</v>
      </c>
      <c r="F6711" s="421" t="s">
        <v>15478</v>
      </c>
    </row>
    <row r="6712" spans="1:12" x14ac:dyDescent="0.2">
      <c r="A6712" s="111">
        <v>6923</v>
      </c>
      <c r="B6712" s="421" t="s">
        <v>1903</v>
      </c>
      <c r="C6712" s="421" t="s">
        <v>551</v>
      </c>
      <c r="D6712" s="422" t="s">
        <v>663</v>
      </c>
      <c r="E6712" s="111">
        <v>44456</v>
      </c>
      <c r="F6712" s="421" t="s">
        <v>15479</v>
      </c>
      <c r="G6712" s="112">
        <v>1</v>
      </c>
      <c r="H6712" s="112">
        <v>1</v>
      </c>
      <c r="I6712" s="112">
        <v>1</v>
      </c>
      <c r="J6712" s="112">
        <v>1</v>
      </c>
      <c r="K6712" s="112">
        <v>1</v>
      </c>
    </row>
    <row r="6713" spans="1:12" x14ac:dyDescent="0.2">
      <c r="A6713" s="111">
        <v>6924</v>
      </c>
      <c r="B6713" s="421" t="s">
        <v>5508</v>
      </c>
      <c r="C6713" s="421" t="s">
        <v>503</v>
      </c>
      <c r="D6713" s="422" t="s">
        <v>666</v>
      </c>
      <c r="E6713" s="111">
        <v>44580</v>
      </c>
      <c r="F6713" s="421" t="s">
        <v>15480</v>
      </c>
      <c r="G6713" s="112">
        <v>1</v>
      </c>
      <c r="H6713" s="112">
        <v>1</v>
      </c>
      <c r="I6713" s="112">
        <v>1</v>
      </c>
      <c r="J6713" s="112">
        <v>1</v>
      </c>
      <c r="K6713" s="112">
        <v>2</v>
      </c>
    </row>
    <row r="6714" spans="1:12" x14ac:dyDescent="0.2">
      <c r="A6714" s="111">
        <v>6925</v>
      </c>
      <c r="B6714" s="421" t="s">
        <v>1428</v>
      </c>
      <c r="C6714" s="421" t="s">
        <v>501</v>
      </c>
      <c r="D6714" s="422" t="s">
        <v>663</v>
      </c>
      <c r="F6714" s="421" t="s">
        <v>15481</v>
      </c>
      <c r="G6714" s="112">
        <v>1</v>
      </c>
      <c r="I6714" s="112">
        <v>1</v>
      </c>
    </row>
    <row r="6715" spans="1:12" x14ac:dyDescent="0.2">
      <c r="A6715" s="111">
        <v>6926</v>
      </c>
      <c r="B6715" s="421" t="s">
        <v>632</v>
      </c>
      <c r="C6715" s="421" t="s">
        <v>503</v>
      </c>
      <c r="D6715" s="422" t="s">
        <v>663</v>
      </c>
      <c r="E6715" s="111">
        <v>44539</v>
      </c>
      <c r="F6715" s="421" t="s">
        <v>15482</v>
      </c>
      <c r="G6715" s="112">
        <v>1</v>
      </c>
      <c r="H6715" s="112">
        <v>2</v>
      </c>
      <c r="I6715" s="112">
        <v>2</v>
      </c>
      <c r="J6715" s="112">
        <v>1</v>
      </c>
      <c r="K6715" s="112">
        <v>1</v>
      </c>
      <c r="L6715" s="112">
        <v>2</v>
      </c>
    </row>
    <row r="6716" spans="1:12" x14ac:dyDescent="0.2">
      <c r="A6716" s="111">
        <v>6927</v>
      </c>
      <c r="B6716" s="421" t="s">
        <v>15483</v>
      </c>
      <c r="C6716" s="421" t="s">
        <v>527</v>
      </c>
      <c r="D6716" s="422" t="s">
        <v>663</v>
      </c>
      <c r="E6716" s="111">
        <v>16017</v>
      </c>
      <c r="F6716" s="421" t="s">
        <v>6160</v>
      </c>
      <c r="G6716" s="112">
        <v>1</v>
      </c>
      <c r="H6716" s="112">
        <v>2</v>
      </c>
      <c r="I6716" s="112">
        <v>1</v>
      </c>
    </row>
    <row r="6717" spans="1:12" x14ac:dyDescent="0.2">
      <c r="A6717" s="111">
        <v>6929</v>
      </c>
      <c r="B6717" s="421" t="s">
        <v>7272</v>
      </c>
      <c r="C6717" s="421" t="s">
        <v>533</v>
      </c>
      <c r="D6717" s="422" t="s">
        <v>663</v>
      </c>
      <c r="E6717" s="111">
        <v>44637</v>
      </c>
      <c r="F6717" s="421" t="s">
        <v>15484</v>
      </c>
      <c r="G6717" s="112">
        <v>1</v>
      </c>
    </row>
    <row r="6718" spans="1:12" x14ac:dyDescent="0.2">
      <c r="A6718" s="111">
        <v>6930</v>
      </c>
      <c r="B6718" s="421" t="s">
        <v>15485</v>
      </c>
      <c r="C6718" s="421" t="s">
        <v>551</v>
      </c>
      <c r="D6718" s="422" t="s">
        <v>666</v>
      </c>
      <c r="E6718" s="111">
        <v>16913</v>
      </c>
      <c r="F6718" s="421" t="s">
        <v>9369</v>
      </c>
      <c r="G6718" s="112">
        <v>1</v>
      </c>
    </row>
    <row r="6719" spans="1:12" x14ac:dyDescent="0.2">
      <c r="A6719" s="111">
        <v>6931</v>
      </c>
      <c r="B6719" s="421" t="s">
        <v>8325</v>
      </c>
      <c r="C6719" s="421" t="s">
        <v>1908</v>
      </c>
      <c r="D6719" s="422" t="s">
        <v>666</v>
      </c>
      <c r="E6719" s="111">
        <v>44541</v>
      </c>
      <c r="F6719" s="421" t="s">
        <v>15486</v>
      </c>
      <c r="G6719" s="112">
        <v>2</v>
      </c>
      <c r="H6719" s="112">
        <v>1</v>
      </c>
      <c r="I6719" s="112">
        <v>2</v>
      </c>
    </row>
    <row r="6720" spans="1:12" x14ac:dyDescent="0.2">
      <c r="A6720" s="111">
        <v>6932</v>
      </c>
      <c r="B6720" s="421" t="s">
        <v>1349</v>
      </c>
      <c r="C6720" s="421" t="s">
        <v>520</v>
      </c>
      <c r="D6720" s="422" t="s">
        <v>663</v>
      </c>
      <c r="E6720" s="111">
        <v>44542</v>
      </c>
      <c r="F6720" s="421" t="s">
        <v>15487</v>
      </c>
      <c r="G6720" s="112">
        <v>2</v>
      </c>
      <c r="H6720" s="112">
        <v>2</v>
      </c>
      <c r="I6720" s="112">
        <v>2</v>
      </c>
      <c r="J6720" s="112">
        <v>2</v>
      </c>
      <c r="K6720" s="112">
        <v>3</v>
      </c>
    </row>
    <row r="6721" spans="1:12" x14ac:dyDescent="0.2">
      <c r="A6721" s="111">
        <v>6933</v>
      </c>
      <c r="B6721" s="421" t="s">
        <v>15488</v>
      </c>
      <c r="C6721" s="421" t="s">
        <v>581</v>
      </c>
      <c r="D6721" s="422" t="s">
        <v>666</v>
      </c>
      <c r="E6721" s="111">
        <v>44544</v>
      </c>
      <c r="F6721" s="421" t="s">
        <v>15489</v>
      </c>
    </row>
    <row r="6722" spans="1:12" x14ac:dyDescent="0.2">
      <c r="A6722" s="111">
        <v>6934</v>
      </c>
      <c r="B6722" s="421" t="s">
        <v>1232</v>
      </c>
      <c r="C6722" s="421" t="s">
        <v>553</v>
      </c>
      <c r="D6722" s="422" t="s">
        <v>663</v>
      </c>
      <c r="E6722" s="111">
        <v>44039</v>
      </c>
      <c r="F6722" s="421" t="s">
        <v>10981</v>
      </c>
    </row>
    <row r="6723" spans="1:12" x14ac:dyDescent="0.2">
      <c r="A6723" s="111">
        <v>6935</v>
      </c>
      <c r="B6723" s="421" t="s">
        <v>15624</v>
      </c>
      <c r="C6723" s="421" t="s">
        <v>501</v>
      </c>
      <c r="D6723" s="422" t="s">
        <v>666</v>
      </c>
      <c r="E6723" s="111">
        <v>44540</v>
      </c>
      <c r="F6723" s="421" t="s">
        <v>15625</v>
      </c>
      <c r="G6723" s="112">
        <v>1</v>
      </c>
      <c r="I6723" s="112">
        <v>1</v>
      </c>
    </row>
    <row r="6724" spans="1:12" x14ac:dyDescent="0.2">
      <c r="A6724" s="111">
        <v>6936</v>
      </c>
      <c r="B6724" s="421" t="s">
        <v>15626</v>
      </c>
      <c r="C6724" s="421" t="s">
        <v>1674</v>
      </c>
      <c r="D6724" s="422" t="s">
        <v>663</v>
      </c>
      <c r="E6724" s="111">
        <v>44545</v>
      </c>
      <c r="F6724" s="421" t="s">
        <v>15627</v>
      </c>
      <c r="G6724" s="112">
        <v>1</v>
      </c>
      <c r="H6724" s="112">
        <v>1</v>
      </c>
      <c r="I6724" s="112">
        <v>1</v>
      </c>
    </row>
    <row r="6725" spans="1:12" x14ac:dyDescent="0.2">
      <c r="A6725" s="111">
        <v>6937</v>
      </c>
      <c r="B6725" s="421" t="s">
        <v>131</v>
      </c>
      <c r="C6725" s="421" t="s">
        <v>567</v>
      </c>
      <c r="D6725" s="422" t="s">
        <v>663</v>
      </c>
      <c r="E6725" s="111">
        <v>44546</v>
      </c>
      <c r="F6725" s="421" t="s">
        <v>15628</v>
      </c>
    </row>
    <row r="6726" spans="1:12" x14ac:dyDescent="0.2">
      <c r="A6726" s="111">
        <v>6938</v>
      </c>
      <c r="B6726" s="421" t="s">
        <v>1273</v>
      </c>
      <c r="C6726" s="421" t="s">
        <v>501</v>
      </c>
      <c r="D6726" s="422" t="s">
        <v>666</v>
      </c>
      <c r="E6726" s="111">
        <v>44724</v>
      </c>
      <c r="F6726" s="421" t="s">
        <v>15629</v>
      </c>
    </row>
    <row r="6727" spans="1:12" x14ac:dyDescent="0.2">
      <c r="A6727" s="111">
        <v>6939</v>
      </c>
      <c r="B6727" s="421" t="s">
        <v>2188</v>
      </c>
      <c r="C6727" s="421" t="s">
        <v>501</v>
      </c>
      <c r="D6727" s="422" t="s">
        <v>663</v>
      </c>
      <c r="E6727" s="111">
        <v>44470</v>
      </c>
      <c r="F6727" s="421" t="s">
        <v>15630</v>
      </c>
      <c r="G6727" s="112">
        <v>1</v>
      </c>
      <c r="H6727" s="112">
        <v>1</v>
      </c>
      <c r="I6727" s="112">
        <v>1</v>
      </c>
      <c r="J6727" s="112">
        <v>4</v>
      </c>
      <c r="K6727" s="112">
        <v>3</v>
      </c>
      <c r="L6727" s="112">
        <v>4</v>
      </c>
    </row>
    <row r="6728" spans="1:12" x14ac:dyDescent="0.2">
      <c r="A6728" s="111">
        <v>6940</v>
      </c>
      <c r="B6728" s="421" t="s">
        <v>166</v>
      </c>
      <c r="C6728" s="421" t="s">
        <v>516</v>
      </c>
      <c r="D6728" s="422" t="s">
        <v>663</v>
      </c>
      <c r="E6728" s="111">
        <v>15072</v>
      </c>
      <c r="F6728" s="421" t="s">
        <v>3057</v>
      </c>
    </row>
    <row r="6729" spans="1:12" x14ac:dyDescent="0.2">
      <c r="A6729" s="111">
        <v>6941</v>
      </c>
      <c r="B6729" s="421" t="s">
        <v>15631</v>
      </c>
      <c r="C6729" s="421" t="s">
        <v>553</v>
      </c>
      <c r="D6729" s="422" t="s">
        <v>663</v>
      </c>
      <c r="E6729" s="111">
        <v>44467</v>
      </c>
      <c r="F6729" s="421" t="s">
        <v>15294</v>
      </c>
    </row>
    <row r="6730" spans="1:12" x14ac:dyDescent="0.2">
      <c r="A6730" s="111">
        <v>6942</v>
      </c>
      <c r="B6730" s="421" t="s">
        <v>15632</v>
      </c>
      <c r="C6730" s="421" t="s">
        <v>574</v>
      </c>
      <c r="D6730" s="422" t="s">
        <v>666</v>
      </c>
      <c r="E6730" s="111">
        <v>44547</v>
      </c>
      <c r="F6730" s="421" t="s">
        <v>15633</v>
      </c>
    </row>
    <row r="6731" spans="1:12" x14ac:dyDescent="0.2">
      <c r="A6731" s="111">
        <v>6943</v>
      </c>
      <c r="B6731" s="421" t="s">
        <v>16312</v>
      </c>
      <c r="C6731" s="421" t="s">
        <v>503</v>
      </c>
      <c r="D6731" s="422" t="s">
        <v>663</v>
      </c>
      <c r="E6731" s="111">
        <v>44548</v>
      </c>
      <c r="F6731" s="421" t="s">
        <v>15634</v>
      </c>
      <c r="G6731" s="112">
        <v>1</v>
      </c>
      <c r="H6731" s="112">
        <v>1</v>
      </c>
      <c r="I6731" s="112">
        <v>1</v>
      </c>
      <c r="J6731" s="112">
        <v>1</v>
      </c>
    </row>
    <row r="6732" spans="1:12" x14ac:dyDescent="0.2">
      <c r="A6732" s="111">
        <v>6944</v>
      </c>
      <c r="B6732" s="421" t="s">
        <v>237</v>
      </c>
      <c r="C6732" s="421" t="s">
        <v>506</v>
      </c>
      <c r="D6732" s="422" t="s">
        <v>663</v>
      </c>
      <c r="E6732" s="111">
        <v>44549</v>
      </c>
      <c r="F6732" s="421" t="s">
        <v>15635</v>
      </c>
      <c r="G6732" s="112">
        <v>1</v>
      </c>
      <c r="H6732" s="112">
        <v>1</v>
      </c>
      <c r="I6732" s="112">
        <v>1</v>
      </c>
    </row>
    <row r="6733" spans="1:12" x14ac:dyDescent="0.2">
      <c r="A6733" s="111">
        <v>6945</v>
      </c>
      <c r="B6733" s="421" t="s">
        <v>301</v>
      </c>
      <c r="C6733" s="421" t="s">
        <v>501</v>
      </c>
      <c r="D6733" s="422" t="s">
        <v>666</v>
      </c>
      <c r="E6733" s="111">
        <v>44560</v>
      </c>
      <c r="F6733" s="421" t="s">
        <v>15636</v>
      </c>
      <c r="G6733" s="112">
        <v>1</v>
      </c>
      <c r="H6733" s="112">
        <v>1</v>
      </c>
      <c r="I6733" s="112">
        <v>1</v>
      </c>
    </row>
    <row r="6734" spans="1:12" x14ac:dyDescent="0.2">
      <c r="A6734" s="111">
        <v>6946</v>
      </c>
      <c r="B6734" s="421" t="s">
        <v>379</v>
      </c>
      <c r="C6734" s="421" t="s">
        <v>512</v>
      </c>
      <c r="D6734" s="422" t="s">
        <v>666</v>
      </c>
      <c r="E6734" s="111">
        <v>44550</v>
      </c>
      <c r="F6734" s="421" t="s">
        <v>15637</v>
      </c>
    </row>
    <row r="6735" spans="1:12" x14ac:dyDescent="0.2">
      <c r="A6735" s="111">
        <v>6947</v>
      </c>
      <c r="B6735" s="421" t="s">
        <v>15638</v>
      </c>
      <c r="C6735" s="421" t="s">
        <v>540</v>
      </c>
      <c r="D6735" s="422" t="s">
        <v>663</v>
      </c>
      <c r="E6735" s="111">
        <v>44370</v>
      </c>
      <c r="F6735" s="421" t="s">
        <v>12226</v>
      </c>
      <c r="G6735" s="112">
        <v>1</v>
      </c>
      <c r="H6735" s="112">
        <v>1</v>
      </c>
    </row>
    <row r="6736" spans="1:12" x14ac:dyDescent="0.2">
      <c r="A6736" s="111">
        <v>6948</v>
      </c>
      <c r="B6736" s="421" t="s">
        <v>7149</v>
      </c>
      <c r="C6736" s="421" t="s">
        <v>574</v>
      </c>
      <c r="D6736" s="422" t="s">
        <v>666</v>
      </c>
      <c r="E6736" s="111">
        <v>44551</v>
      </c>
      <c r="F6736" s="421" t="s">
        <v>15639</v>
      </c>
      <c r="G6736" s="112">
        <v>1</v>
      </c>
      <c r="H6736" s="112">
        <v>1</v>
      </c>
      <c r="I6736" s="112">
        <v>1</v>
      </c>
      <c r="K6736" s="112">
        <v>1</v>
      </c>
      <c r="L6736" s="112">
        <v>1</v>
      </c>
    </row>
    <row r="6737" spans="1:12" x14ac:dyDescent="0.2">
      <c r="A6737" s="111">
        <v>6949</v>
      </c>
      <c r="B6737" s="421" t="s">
        <v>249</v>
      </c>
      <c r="C6737" s="421" t="s">
        <v>513</v>
      </c>
      <c r="D6737" s="422" t="s">
        <v>666</v>
      </c>
      <c r="E6737" s="111">
        <v>44552</v>
      </c>
      <c r="F6737" s="421" t="s">
        <v>15640</v>
      </c>
      <c r="G6737" s="112">
        <v>1</v>
      </c>
    </row>
    <row r="6738" spans="1:12" x14ac:dyDescent="0.2">
      <c r="A6738" s="111">
        <v>6950</v>
      </c>
      <c r="B6738" s="421" t="s">
        <v>6785</v>
      </c>
      <c r="C6738" s="421" t="s">
        <v>513</v>
      </c>
      <c r="D6738" s="422" t="s">
        <v>666</v>
      </c>
      <c r="E6738" s="111">
        <v>44552</v>
      </c>
      <c r="F6738" s="421" t="s">
        <v>15640</v>
      </c>
      <c r="G6738" s="112">
        <v>1</v>
      </c>
      <c r="H6738" s="112">
        <v>1</v>
      </c>
      <c r="I6738" s="112">
        <v>1</v>
      </c>
      <c r="J6738" s="112">
        <v>2</v>
      </c>
      <c r="K6738" s="112">
        <v>2</v>
      </c>
      <c r="L6738" s="112">
        <v>1</v>
      </c>
    </row>
    <row r="6739" spans="1:12" x14ac:dyDescent="0.2">
      <c r="A6739" s="111">
        <v>6951</v>
      </c>
      <c r="B6739" s="421" t="s">
        <v>38</v>
      </c>
      <c r="C6739" s="421" t="s">
        <v>532</v>
      </c>
      <c r="D6739" s="422" t="s">
        <v>663</v>
      </c>
      <c r="E6739" s="111">
        <v>44499</v>
      </c>
      <c r="F6739" s="421" t="s">
        <v>15641</v>
      </c>
    </row>
    <row r="6740" spans="1:12" x14ac:dyDescent="0.2">
      <c r="A6740" s="111">
        <v>6952</v>
      </c>
      <c r="B6740" s="421" t="s">
        <v>15642</v>
      </c>
      <c r="C6740" s="421" t="s">
        <v>1378</v>
      </c>
      <c r="D6740" s="422" t="s">
        <v>663</v>
      </c>
      <c r="E6740" s="111">
        <v>44065</v>
      </c>
      <c r="F6740" s="421" t="s">
        <v>11037</v>
      </c>
      <c r="I6740" s="112">
        <v>1</v>
      </c>
    </row>
    <row r="6741" spans="1:12" x14ac:dyDescent="0.2">
      <c r="A6741" s="111">
        <v>6953</v>
      </c>
      <c r="B6741" s="421" t="s">
        <v>15643</v>
      </c>
      <c r="C6741" s="421" t="s">
        <v>513</v>
      </c>
      <c r="D6741" s="422" t="s">
        <v>666</v>
      </c>
      <c r="E6741" s="111">
        <v>44553</v>
      </c>
      <c r="F6741" s="421" t="s">
        <v>15644</v>
      </c>
      <c r="G6741" s="112">
        <v>2</v>
      </c>
      <c r="H6741" s="112">
        <v>2</v>
      </c>
      <c r="I6741" s="112">
        <v>1</v>
      </c>
    </row>
    <row r="6742" spans="1:12" x14ac:dyDescent="0.2">
      <c r="A6742" s="111">
        <v>6954</v>
      </c>
      <c r="B6742" s="421" t="s">
        <v>15645</v>
      </c>
      <c r="C6742" s="421" t="s">
        <v>503</v>
      </c>
      <c r="D6742" s="422" t="s">
        <v>663</v>
      </c>
      <c r="E6742" s="111">
        <v>44735</v>
      </c>
      <c r="F6742" s="421" t="s">
        <v>15646</v>
      </c>
      <c r="G6742" s="112">
        <v>2</v>
      </c>
      <c r="H6742" s="112">
        <v>1</v>
      </c>
      <c r="I6742" s="112">
        <v>2</v>
      </c>
      <c r="J6742" s="112">
        <v>1</v>
      </c>
    </row>
    <row r="6743" spans="1:12" x14ac:dyDescent="0.2">
      <c r="A6743" s="111">
        <v>6955</v>
      </c>
      <c r="B6743" s="421" t="s">
        <v>15647</v>
      </c>
      <c r="C6743" s="421" t="s">
        <v>1201</v>
      </c>
      <c r="D6743" s="422" t="s">
        <v>663</v>
      </c>
      <c r="E6743" s="111">
        <v>44725</v>
      </c>
      <c r="F6743" s="421" t="s">
        <v>15648</v>
      </c>
      <c r="G6743" s="112">
        <v>1</v>
      </c>
      <c r="H6743" s="112">
        <v>1</v>
      </c>
      <c r="I6743" s="112">
        <v>1</v>
      </c>
      <c r="J6743" s="112">
        <v>1</v>
      </c>
      <c r="K6743" s="112">
        <v>2</v>
      </c>
      <c r="L6743" s="112">
        <v>1</v>
      </c>
    </row>
    <row r="6744" spans="1:12" x14ac:dyDescent="0.2">
      <c r="A6744" s="111">
        <v>6956</v>
      </c>
      <c r="B6744" s="421" t="s">
        <v>15649</v>
      </c>
      <c r="C6744" s="421" t="s">
        <v>501</v>
      </c>
      <c r="D6744" s="422" t="s">
        <v>666</v>
      </c>
      <c r="E6744" s="111">
        <v>44555</v>
      </c>
      <c r="F6744" s="421" t="s">
        <v>15650</v>
      </c>
      <c r="G6744" s="112">
        <v>1</v>
      </c>
      <c r="H6744" s="112">
        <v>1</v>
      </c>
      <c r="I6744" s="112">
        <v>1</v>
      </c>
      <c r="J6744" s="112">
        <v>1</v>
      </c>
      <c r="K6744" s="112">
        <v>1</v>
      </c>
    </row>
    <row r="6745" spans="1:12" x14ac:dyDescent="0.2">
      <c r="A6745" s="111">
        <v>6957</v>
      </c>
      <c r="B6745" s="421" t="s">
        <v>1993</v>
      </c>
      <c r="C6745" s="421" t="s">
        <v>516</v>
      </c>
      <c r="D6745" s="422" t="s">
        <v>666</v>
      </c>
      <c r="E6745" s="111">
        <v>44557</v>
      </c>
      <c r="F6745" s="421" t="s">
        <v>15651</v>
      </c>
    </row>
    <row r="6746" spans="1:12" x14ac:dyDescent="0.2">
      <c r="A6746" s="111">
        <v>6958</v>
      </c>
      <c r="B6746" s="421" t="s">
        <v>15652</v>
      </c>
      <c r="C6746" s="421" t="s">
        <v>1201</v>
      </c>
      <c r="D6746" s="422" t="s">
        <v>663</v>
      </c>
      <c r="E6746" s="111">
        <v>44557</v>
      </c>
      <c r="F6746" s="421" t="s">
        <v>15651</v>
      </c>
    </row>
    <row r="6747" spans="1:12" x14ac:dyDescent="0.2">
      <c r="A6747" s="111">
        <v>6959</v>
      </c>
      <c r="B6747" s="421" t="s">
        <v>15653</v>
      </c>
      <c r="C6747" s="421" t="s">
        <v>530</v>
      </c>
      <c r="D6747" s="422" t="s">
        <v>666</v>
      </c>
      <c r="E6747" s="111">
        <v>16494</v>
      </c>
      <c r="F6747" s="421" t="s">
        <v>7700</v>
      </c>
      <c r="G6747" s="112">
        <v>1</v>
      </c>
      <c r="H6747" s="112">
        <v>1</v>
      </c>
      <c r="I6747" s="112">
        <v>1</v>
      </c>
    </row>
    <row r="6748" spans="1:12" x14ac:dyDescent="0.2">
      <c r="A6748" s="111">
        <v>6960</v>
      </c>
      <c r="B6748" s="421" t="s">
        <v>266</v>
      </c>
      <c r="C6748" s="421" t="s">
        <v>531</v>
      </c>
      <c r="D6748" s="422" t="s">
        <v>663</v>
      </c>
      <c r="E6748" s="111">
        <v>16255</v>
      </c>
      <c r="F6748" s="421" t="s">
        <v>6581</v>
      </c>
    </row>
    <row r="6749" spans="1:12" x14ac:dyDescent="0.2">
      <c r="A6749" s="111">
        <v>6961</v>
      </c>
      <c r="B6749" s="421" t="s">
        <v>15654</v>
      </c>
      <c r="C6749" s="421" t="s">
        <v>531</v>
      </c>
      <c r="D6749" s="422" t="s">
        <v>663</v>
      </c>
      <c r="E6749" s="111">
        <v>16255</v>
      </c>
      <c r="F6749" s="421" t="s">
        <v>6581</v>
      </c>
      <c r="G6749" s="112">
        <v>1</v>
      </c>
      <c r="H6749" s="112">
        <v>1</v>
      </c>
      <c r="I6749" s="112">
        <v>1</v>
      </c>
    </row>
    <row r="6750" spans="1:12" x14ac:dyDescent="0.2">
      <c r="A6750" s="111">
        <v>6962</v>
      </c>
      <c r="B6750" s="421" t="s">
        <v>266</v>
      </c>
      <c r="C6750" s="421" t="s">
        <v>503</v>
      </c>
      <c r="D6750" s="422" t="s">
        <v>663</v>
      </c>
      <c r="E6750" s="111">
        <v>44556</v>
      </c>
      <c r="F6750" s="421" t="s">
        <v>15655</v>
      </c>
      <c r="G6750" s="112">
        <v>1</v>
      </c>
      <c r="H6750" s="112">
        <v>1</v>
      </c>
      <c r="I6750" s="112">
        <v>1</v>
      </c>
      <c r="J6750" s="112">
        <v>1</v>
      </c>
      <c r="K6750" s="112">
        <v>1</v>
      </c>
      <c r="L6750" s="112">
        <v>1</v>
      </c>
    </row>
    <row r="6751" spans="1:12" x14ac:dyDescent="0.2">
      <c r="A6751" s="111">
        <v>6963</v>
      </c>
      <c r="B6751" s="421" t="s">
        <v>15656</v>
      </c>
      <c r="C6751" s="421" t="s">
        <v>551</v>
      </c>
      <c r="D6751" s="422" t="s">
        <v>663</v>
      </c>
      <c r="E6751" s="111">
        <v>15184</v>
      </c>
      <c r="F6751" s="421" t="s">
        <v>3368</v>
      </c>
    </row>
    <row r="6752" spans="1:12" x14ac:dyDescent="0.2">
      <c r="A6752" s="111">
        <v>6964</v>
      </c>
      <c r="B6752" s="421" t="s">
        <v>15657</v>
      </c>
      <c r="C6752" s="421" t="s">
        <v>522</v>
      </c>
      <c r="D6752" s="422" t="s">
        <v>663</v>
      </c>
      <c r="E6752" s="111">
        <v>44558</v>
      </c>
      <c r="F6752" s="421" t="s">
        <v>15658</v>
      </c>
    </row>
    <row r="6753" spans="1:12" x14ac:dyDescent="0.2">
      <c r="A6753" s="111">
        <v>6965</v>
      </c>
      <c r="B6753" s="421" t="s">
        <v>15659</v>
      </c>
      <c r="C6753" s="421" t="s">
        <v>551</v>
      </c>
      <c r="D6753" s="422" t="s">
        <v>666</v>
      </c>
      <c r="E6753" s="111">
        <v>44559</v>
      </c>
      <c r="F6753" s="421" t="s">
        <v>15660</v>
      </c>
      <c r="G6753" s="112">
        <v>1</v>
      </c>
      <c r="H6753" s="112">
        <v>1</v>
      </c>
      <c r="I6753" s="112">
        <v>1</v>
      </c>
      <c r="K6753" s="112">
        <v>1</v>
      </c>
    </row>
    <row r="6754" spans="1:12" x14ac:dyDescent="0.2">
      <c r="A6754" s="111">
        <v>6966</v>
      </c>
      <c r="B6754" s="421" t="s">
        <v>45</v>
      </c>
      <c r="C6754" s="421" t="s">
        <v>501</v>
      </c>
      <c r="D6754" s="422" t="s">
        <v>666</v>
      </c>
      <c r="E6754" s="111">
        <v>44561</v>
      </c>
      <c r="F6754" s="421" t="s">
        <v>15661</v>
      </c>
      <c r="G6754" s="112">
        <v>1</v>
      </c>
      <c r="H6754" s="112">
        <v>1</v>
      </c>
      <c r="I6754" s="112">
        <v>1</v>
      </c>
    </row>
    <row r="6755" spans="1:12" x14ac:dyDescent="0.2">
      <c r="A6755" s="111">
        <v>6967</v>
      </c>
      <c r="B6755" s="421" t="s">
        <v>106</v>
      </c>
      <c r="C6755" s="421" t="s">
        <v>537</v>
      </c>
      <c r="D6755" s="422" t="s">
        <v>666</v>
      </c>
      <c r="E6755" s="111">
        <v>44564</v>
      </c>
      <c r="F6755" s="421" t="s">
        <v>15662</v>
      </c>
      <c r="G6755" s="112">
        <v>1</v>
      </c>
      <c r="H6755" s="112">
        <v>2</v>
      </c>
      <c r="I6755" s="112">
        <v>2</v>
      </c>
    </row>
    <row r="6756" spans="1:12" x14ac:dyDescent="0.2">
      <c r="A6756" s="111">
        <v>6968</v>
      </c>
      <c r="B6756" s="421" t="s">
        <v>15663</v>
      </c>
      <c r="C6756" s="421" t="s">
        <v>510</v>
      </c>
      <c r="D6756" s="422" t="s">
        <v>666</v>
      </c>
      <c r="E6756" s="111">
        <v>44562</v>
      </c>
      <c r="F6756" s="421" t="s">
        <v>15664</v>
      </c>
      <c r="G6756" s="112">
        <v>1</v>
      </c>
      <c r="H6756" s="112">
        <v>1</v>
      </c>
      <c r="I6756" s="112">
        <v>1</v>
      </c>
      <c r="K6756" s="112">
        <v>1</v>
      </c>
      <c r="L6756" s="112">
        <v>1</v>
      </c>
    </row>
    <row r="6757" spans="1:12" x14ac:dyDescent="0.2">
      <c r="A6757" s="111">
        <v>6969</v>
      </c>
      <c r="B6757" s="421" t="s">
        <v>1359</v>
      </c>
      <c r="C6757" s="421" t="s">
        <v>521</v>
      </c>
      <c r="D6757" s="422" t="s">
        <v>663</v>
      </c>
      <c r="E6757" s="111">
        <v>44566</v>
      </c>
      <c r="F6757" s="421" t="s">
        <v>15665</v>
      </c>
    </row>
    <row r="6758" spans="1:12" x14ac:dyDescent="0.2">
      <c r="A6758" s="111">
        <v>6970</v>
      </c>
      <c r="B6758" s="421" t="s">
        <v>15666</v>
      </c>
      <c r="C6758" s="421" t="s">
        <v>572</v>
      </c>
      <c r="D6758" s="422" t="s">
        <v>666</v>
      </c>
      <c r="F6758" s="421" t="s">
        <v>6569</v>
      </c>
    </row>
    <row r="6759" spans="1:12" x14ac:dyDescent="0.2">
      <c r="A6759" s="111">
        <v>6971</v>
      </c>
      <c r="B6759" s="421" t="s">
        <v>1352</v>
      </c>
      <c r="C6759" s="421" t="s">
        <v>586</v>
      </c>
      <c r="D6759" s="422" t="s">
        <v>666</v>
      </c>
      <c r="E6759" s="111">
        <v>44567</v>
      </c>
      <c r="F6759" s="421" t="s">
        <v>15667</v>
      </c>
      <c r="G6759" s="112">
        <v>1</v>
      </c>
    </row>
    <row r="6760" spans="1:12" x14ac:dyDescent="0.2">
      <c r="A6760" s="111">
        <v>6972</v>
      </c>
      <c r="B6760" s="421" t="s">
        <v>5193</v>
      </c>
      <c r="C6760" s="421" t="s">
        <v>586</v>
      </c>
      <c r="D6760" s="422" t="s">
        <v>666</v>
      </c>
      <c r="E6760" s="111">
        <v>44567</v>
      </c>
      <c r="F6760" s="421" t="s">
        <v>15667</v>
      </c>
      <c r="G6760" s="112">
        <v>1</v>
      </c>
    </row>
    <row r="6761" spans="1:12" x14ac:dyDescent="0.2">
      <c r="A6761" s="111">
        <v>6973</v>
      </c>
      <c r="B6761" s="421" t="s">
        <v>257</v>
      </c>
      <c r="C6761" s="421" t="s">
        <v>501</v>
      </c>
      <c r="D6761" s="422" t="s">
        <v>663</v>
      </c>
      <c r="E6761" s="111">
        <v>17220</v>
      </c>
      <c r="F6761" s="421" t="s">
        <v>3334</v>
      </c>
      <c r="G6761" s="112">
        <v>1</v>
      </c>
      <c r="H6761" s="112">
        <v>1</v>
      </c>
      <c r="I6761" s="112">
        <v>1</v>
      </c>
    </row>
    <row r="6762" spans="1:12" x14ac:dyDescent="0.2">
      <c r="A6762" s="111">
        <v>6974</v>
      </c>
      <c r="B6762" s="421" t="s">
        <v>15668</v>
      </c>
      <c r="C6762" s="421" t="s">
        <v>510</v>
      </c>
      <c r="D6762" s="422" t="s">
        <v>666</v>
      </c>
      <c r="E6762" s="111">
        <v>44569</v>
      </c>
      <c r="F6762" s="421" t="s">
        <v>15669</v>
      </c>
      <c r="G6762" s="112">
        <v>1</v>
      </c>
      <c r="H6762" s="112">
        <v>1</v>
      </c>
      <c r="I6762" s="112">
        <v>1</v>
      </c>
      <c r="J6762" s="112">
        <v>1</v>
      </c>
      <c r="K6762" s="112">
        <v>1</v>
      </c>
      <c r="L6762" s="112">
        <v>1</v>
      </c>
    </row>
    <row r="6763" spans="1:12" x14ac:dyDescent="0.2">
      <c r="A6763" s="111">
        <v>6975</v>
      </c>
      <c r="B6763" s="421" t="s">
        <v>11740</v>
      </c>
      <c r="C6763" s="421" t="s">
        <v>534</v>
      </c>
      <c r="D6763" s="422" t="s">
        <v>663</v>
      </c>
      <c r="E6763" s="111">
        <v>44590</v>
      </c>
      <c r="F6763" s="421" t="s">
        <v>15670</v>
      </c>
      <c r="G6763" s="112">
        <v>1</v>
      </c>
      <c r="H6763" s="112">
        <v>1</v>
      </c>
      <c r="I6763" s="112">
        <v>1</v>
      </c>
      <c r="J6763" s="112">
        <v>2</v>
      </c>
      <c r="K6763" s="112">
        <v>1</v>
      </c>
    </row>
    <row r="6764" spans="1:12" x14ac:dyDescent="0.2">
      <c r="A6764" s="111">
        <v>6976</v>
      </c>
      <c r="B6764" s="421" t="s">
        <v>9647</v>
      </c>
      <c r="C6764" s="421" t="s">
        <v>532</v>
      </c>
      <c r="D6764" s="422" t="s">
        <v>663</v>
      </c>
      <c r="E6764" s="111">
        <v>17041</v>
      </c>
      <c r="F6764" s="421" t="s">
        <v>9765</v>
      </c>
    </row>
    <row r="6765" spans="1:12" x14ac:dyDescent="0.2">
      <c r="A6765" s="111">
        <v>6977</v>
      </c>
      <c r="B6765" s="421" t="s">
        <v>15671</v>
      </c>
      <c r="C6765" s="421" t="s">
        <v>1284</v>
      </c>
      <c r="D6765" s="422" t="s">
        <v>663</v>
      </c>
      <c r="E6765" s="111">
        <v>14355</v>
      </c>
      <c r="F6765" s="421" t="s">
        <v>723</v>
      </c>
    </row>
    <row r="6766" spans="1:12" x14ac:dyDescent="0.2">
      <c r="A6766" s="111">
        <v>6978</v>
      </c>
      <c r="B6766" s="421" t="s">
        <v>6034</v>
      </c>
      <c r="C6766" s="421" t="s">
        <v>521</v>
      </c>
      <c r="D6766" s="422" t="s">
        <v>666</v>
      </c>
      <c r="E6766" s="111">
        <v>44571</v>
      </c>
      <c r="F6766" s="421" t="s">
        <v>15971</v>
      </c>
      <c r="G6766" s="112">
        <v>1</v>
      </c>
      <c r="H6766" s="112">
        <v>1</v>
      </c>
      <c r="I6766" s="112">
        <v>1</v>
      </c>
    </row>
    <row r="6767" spans="1:12" x14ac:dyDescent="0.2">
      <c r="A6767" s="111">
        <v>6979</v>
      </c>
      <c r="B6767" s="421" t="s">
        <v>15972</v>
      </c>
      <c r="C6767" s="421" t="s">
        <v>501</v>
      </c>
      <c r="D6767" s="422" t="s">
        <v>663</v>
      </c>
      <c r="E6767" s="111">
        <v>44572</v>
      </c>
      <c r="F6767" s="421" t="s">
        <v>15973</v>
      </c>
    </row>
    <row r="6768" spans="1:12" x14ac:dyDescent="0.2">
      <c r="A6768" s="111">
        <v>6980</v>
      </c>
      <c r="B6768" s="421" t="s">
        <v>1079</v>
      </c>
      <c r="C6768" s="421" t="s">
        <v>555</v>
      </c>
      <c r="D6768" s="422" t="s">
        <v>663</v>
      </c>
      <c r="E6768" s="111">
        <v>15875</v>
      </c>
      <c r="F6768" s="421" t="s">
        <v>5592</v>
      </c>
      <c r="H6768" s="112">
        <v>1</v>
      </c>
      <c r="I6768" s="112">
        <v>1</v>
      </c>
    </row>
    <row r="6769" spans="1:12" x14ac:dyDescent="0.2">
      <c r="A6769" s="111">
        <v>6981</v>
      </c>
      <c r="B6769" s="421" t="s">
        <v>9736</v>
      </c>
      <c r="C6769" s="421" t="s">
        <v>513</v>
      </c>
      <c r="D6769" s="422" t="s">
        <v>663</v>
      </c>
      <c r="E6769" s="111">
        <v>44131</v>
      </c>
      <c r="F6769" s="421" t="s">
        <v>11273</v>
      </c>
      <c r="G6769" s="112">
        <v>1</v>
      </c>
      <c r="H6769" s="112">
        <v>1</v>
      </c>
      <c r="I6769" s="112">
        <v>1</v>
      </c>
    </row>
    <row r="6770" spans="1:12" x14ac:dyDescent="0.2">
      <c r="A6770" s="111">
        <v>6982</v>
      </c>
      <c r="B6770" s="421" t="s">
        <v>15366</v>
      </c>
      <c r="C6770" s="421" t="s">
        <v>1660</v>
      </c>
      <c r="D6770" s="422" t="s">
        <v>663</v>
      </c>
      <c r="F6770" s="421" t="s">
        <v>15974</v>
      </c>
    </row>
    <row r="6771" spans="1:12" x14ac:dyDescent="0.2">
      <c r="A6771" s="111">
        <v>6983</v>
      </c>
      <c r="B6771" s="421" t="s">
        <v>15975</v>
      </c>
      <c r="C6771" s="421" t="s">
        <v>506</v>
      </c>
      <c r="D6771" s="422" t="s">
        <v>663</v>
      </c>
      <c r="E6771" s="111">
        <v>15436</v>
      </c>
      <c r="F6771" s="421" t="s">
        <v>3877</v>
      </c>
      <c r="G6771" s="112">
        <v>1</v>
      </c>
      <c r="H6771" s="112">
        <v>1</v>
      </c>
      <c r="I6771" s="112">
        <v>1</v>
      </c>
      <c r="J6771" s="112">
        <v>2</v>
      </c>
      <c r="K6771" s="112">
        <v>2</v>
      </c>
      <c r="L6771" s="112">
        <v>2</v>
      </c>
    </row>
    <row r="6772" spans="1:12" x14ac:dyDescent="0.2">
      <c r="A6772" s="111">
        <v>6984</v>
      </c>
      <c r="B6772" s="421" t="s">
        <v>15976</v>
      </c>
      <c r="C6772" s="421" t="s">
        <v>501</v>
      </c>
      <c r="D6772" s="422" t="s">
        <v>666</v>
      </c>
      <c r="E6772" s="111">
        <v>44574</v>
      </c>
      <c r="F6772" s="421" t="s">
        <v>15977</v>
      </c>
      <c r="G6772" s="112">
        <v>1</v>
      </c>
      <c r="H6772" s="112">
        <v>1</v>
      </c>
      <c r="I6772" s="112">
        <v>1</v>
      </c>
    </row>
    <row r="6773" spans="1:12" x14ac:dyDescent="0.2">
      <c r="A6773" s="111">
        <v>6985</v>
      </c>
      <c r="B6773" s="421" t="s">
        <v>3004</v>
      </c>
      <c r="C6773" s="421" t="s">
        <v>532</v>
      </c>
      <c r="D6773" s="422" t="s">
        <v>666</v>
      </c>
      <c r="E6773" s="111">
        <v>44575</v>
      </c>
      <c r="F6773" s="421" t="s">
        <v>15978</v>
      </c>
      <c r="G6773" s="112">
        <v>1</v>
      </c>
    </row>
    <row r="6774" spans="1:12" x14ac:dyDescent="0.2">
      <c r="A6774" s="111">
        <v>6986</v>
      </c>
      <c r="B6774" s="421" t="s">
        <v>109</v>
      </c>
      <c r="C6774" s="421" t="s">
        <v>501</v>
      </c>
      <c r="D6774" s="422" t="s">
        <v>666</v>
      </c>
      <c r="E6774" s="111">
        <v>15437</v>
      </c>
      <c r="F6774" s="421" t="s">
        <v>3983</v>
      </c>
    </row>
    <row r="6775" spans="1:12" x14ac:dyDescent="0.2">
      <c r="A6775" s="111">
        <v>6987</v>
      </c>
      <c r="B6775" s="421" t="s">
        <v>15979</v>
      </c>
      <c r="C6775" s="421" t="s">
        <v>501</v>
      </c>
      <c r="D6775" s="422" t="s">
        <v>663</v>
      </c>
      <c r="E6775" s="111">
        <v>15437</v>
      </c>
      <c r="F6775" s="421" t="s">
        <v>3983</v>
      </c>
      <c r="G6775" s="112">
        <v>1</v>
      </c>
      <c r="H6775" s="112">
        <v>1</v>
      </c>
      <c r="I6775" s="112">
        <v>1</v>
      </c>
      <c r="J6775" s="112">
        <v>1</v>
      </c>
      <c r="K6775" s="112">
        <v>2</v>
      </c>
      <c r="L6775" s="112">
        <v>1</v>
      </c>
    </row>
    <row r="6776" spans="1:12" x14ac:dyDescent="0.2">
      <c r="A6776" s="111">
        <v>6988</v>
      </c>
      <c r="B6776" s="421" t="s">
        <v>448</v>
      </c>
      <c r="C6776" s="421" t="s">
        <v>5825</v>
      </c>
      <c r="D6776" s="422" t="s">
        <v>666</v>
      </c>
      <c r="E6776" s="111">
        <v>44577</v>
      </c>
      <c r="F6776" s="421" t="s">
        <v>15980</v>
      </c>
      <c r="G6776" s="112">
        <v>1</v>
      </c>
      <c r="H6776" s="112">
        <v>1</v>
      </c>
    </row>
    <row r="6777" spans="1:12" x14ac:dyDescent="0.2">
      <c r="A6777" s="111">
        <v>6989</v>
      </c>
      <c r="B6777" s="421" t="s">
        <v>15981</v>
      </c>
      <c r="C6777" s="421" t="s">
        <v>525</v>
      </c>
      <c r="D6777" s="422" t="s">
        <v>663</v>
      </c>
      <c r="E6777" s="111">
        <v>44578</v>
      </c>
      <c r="F6777" s="421" t="s">
        <v>17466</v>
      </c>
      <c r="G6777" s="112">
        <v>1</v>
      </c>
      <c r="H6777" s="112">
        <v>2</v>
      </c>
      <c r="I6777" s="112">
        <v>1</v>
      </c>
    </row>
    <row r="6778" spans="1:12" x14ac:dyDescent="0.2">
      <c r="A6778" s="111">
        <v>6990</v>
      </c>
      <c r="B6778" s="421" t="s">
        <v>221</v>
      </c>
      <c r="C6778" s="421" t="s">
        <v>501</v>
      </c>
      <c r="D6778" s="422" t="s">
        <v>666</v>
      </c>
      <c r="E6778" s="111">
        <v>44576</v>
      </c>
      <c r="F6778" s="421" t="s">
        <v>15982</v>
      </c>
      <c r="G6778" s="112">
        <v>1</v>
      </c>
      <c r="H6778" s="112">
        <v>1</v>
      </c>
      <c r="I6778" s="112">
        <v>1</v>
      </c>
    </row>
    <row r="6779" spans="1:12" x14ac:dyDescent="0.2">
      <c r="A6779" s="111">
        <v>6991</v>
      </c>
      <c r="B6779" s="421" t="s">
        <v>15983</v>
      </c>
      <c r="C6779" s="421" t="s">
        <v>514</v>
      </c>
      <c r="D6779" s="422" t="s">
        <v>666</v>
      </c>
      <c r="E6779" s="111">
        <v>16236</v>
      </c>
      <c r="F6779" s="421" t="s">
        <v>6811</v>
      </c>
      <c r="G6779" s="112">
        <v>2</v>
      </c>
      <c r="H6779" s="112">
        <v>1</v>
      </c>
      <c r="I6779" s="112">
        <v>1</v>
      </c>
    </row>
    <row r="6780" spans="1:12" x14ac:dyDescent="0.2">
      <c r="A6780" s="111">
        <v>6992</v>
      </c>
      <c r="B6780" s="421" t="s">
        <v>313</v>
      </c>
      <c r="C6780" s="421" t="s">
        <v>516</v>
      </c>
      <c r="D6780" s="422" t="s">
        <v>663</v>
      </c>
      <c r="E6780" s="111">
        <v>16236</v>
      </c>
      <c r="F6780" s="421" t="s">
        <v>6811</v>
      </c>
      <c r="G6780" s="112">
        <v>2</v>
      </c>
      <c r="H6780" s="112">
        <v>2</v>
      </c>
      <c r="I6780" s="112">
        <v>1</v>
      </c>
      <c r="J6780" s="112">
        <v>3</v>
      </c>
      <c r="K6780" s="112">
        <v>2</v>
      </c>
    </row>
    <row r="6781" spans="1:12" x14ac:dyDescent="0.2">
      <c r="A6781" s="111">
        <v>6993</v>
      </c>
      <c r="B6781" s="421" t="s">
        <v>15984</v>
      </c>
      <c r="C6781" s="421" t="s">
        <v>577</v>
      </c>
      <c r="D6781" s="422" t="s">
        <v>666</v>
      </c>
      <c r="E6781" s="111">
        <v>44583</v>
      </c>
      <c r="F6781" s="421" t="s">
        <v>15985</v>
      </c>
      <c r="G6781" s="112">
        <v>1</v>
      </c>
      <c r="H6781" s="112">
        <v>1</v>
      </c>
      <c r="I6781" s="112">
        <v>1</v>
      </c>
      <c r="K6781" s="112">
        <v>1</v>
      </c>
      <c r="L6781" s="112">
        <v>1</v>
      </c>
    </row>
    <row r="6782" spans="1:12" x14ac:dyDescent="0.2">
      <c r="A6782" s="111">
        <v>6994</v>
      </c>
      <c r="B6782" s="421" t="s">
        <v>10625</v>
      </c>
      <c r="C6782" s="421" t="s">
        <v>510</v>
      </c>
      <c r="D6782" s="422" t="s">
        <v>663</v>
      </c>
      <c r="F6782" s="421" t="s">
        <v>15986</v>
      </c>
      <c r="G6782" s="112">
        <v>1</v>
      </c>
      <c r="H6782" s="112">
        <v>1</v>
      </c>
      <c r="I6782" s="112">
        <v>1</v>
      </c>
    </row>
    <row r="6783" spans="1:12" x14ac:dyDescent="0.2">
      <c r="A6783" s="111">
        <v>6995</v>
      </c>
      <c r="B6783" s="421" t="s">
        <v>110</v>
      </c>
      <c r="C6783" s="421" t="s">
        <v>528</v>
      </c>
      <c r="D6783" s="422" t="s">
        <v>666</v>
      </c>
      <c r="E6783" s="111">
        <v>15792</v>
      </c>
      <c r="F6783" s="421" t="s">
        <v>2509</v>
      </c>
    </row>
    <row r="6784" spans="1:12" x14ac:dyDescent="0.2">
      <c r="A6784" s="111">
        <v>6996</v>
      </c>
      <c r="B6784" s="421" t="s">
        <v>5362</v>
      </c>
      <c r="C6784" s="421" t="s">
        <v>530</v>
      </c>
      <c r="D6784" s="422" t="s">
        <v>663</v>
      </c>
      <c r="E6784" s="111">
        <v>16687</v>
      </c>
      <c r="F6784" s="421" t="s">
        <v>8389</v>
      </c>
      <c r="G6784" s="112">
        <v>2</v>
      </c>
      <c r="H6784" s="112">
        <v>1</v>
      </c>
      <c r="I6784" s="112">
        <v>1</v>
      </c>
      <c r="L6784" s="112">
        <v>1</v>
      </c>
    </row>
    <row r="6785" spans="1:12" x14ac:dyDescent="0.2">
      <c r="A6785" s="111">
        <v>6997</v>
      </c>
      <c r="B6785" s="421" t="s">
        <v>2994</v>
      </c>
      <c r="C6785" s="421" t="s">
        <v>577</v>
      </c>
      <c r="D6785" s="422" t="s">
        <v>666</v>
      </c>
      <c r="E6785" s="111">
        <v>44581</v>
      </c>
      <c r="F6785" s="421" t="s">
        <v>15987</v>
      </c>
      <c r="G6785" s="112">
        <v>1</v>
      </c>
      <c r="H6785" s="112">
        <v>1</v>
      </c>
      <c r="I6785" s="112">
        <v>1</v>
      </c>
      <c r="J6785" s="112">
        <v>1</v>
      </c>
      <c r="K6785" s="112">
        <v>1</v>
      </c>
    </row>
    <row r="6786" spans="1:12" x14ac:dyDescent="0.2">
      <c r="A6786" s="111">
        <v>6998</v>
      </c>
      <c r="B6786" s="421" t="s">
        <v>2792</v>
      </c>
      <c r="C6786" s="421" t="s">
        <v>501</v>
      </c>
      <c r="D6786" s="422" t="s">
        <v>666</v>
      </c>
      <c r="E6786" s="111">
        <v>44582</v>
      </c>
      <c r="F6786" s="421" t="s">
        <v>15988</v>
      </c>
    </row>
    <row r="6787" spans="1:12" x14ac:dyDescent="0.2">
      <c r="A6787" s="111">
        <v>6999</v>
      </c>
      <c r="B6787" s="421" t="s">
        <v>1349</v>
      </c>
      <c r="C6787" s="421" t="s">
        <v>510</v>
      </c>
      <c r="D6787" s="422" t="s">
        <v>663</v>
      </c>
      <c r="F6787" s="421" t="s">
        <v>15989</v>
      </c>
      <c r="G6787" s="112">
        <v>1</v>
      </c>
      <c r="H6787" s="112">
        <v>2</v>
      </c>
      <c r="I6787" s="112">
        <v>1</v>
      </c>
      <c r="J6787" s="112">
        <v>1</v>
      </c>
      <c r="K6787" s="112">
        <v>1</v>
      </c>
      <c r="L6787" s="112">
        <v>1</v>
      </c>
    </row>
    <row r="6788" spans="1:12" x14ac:dyDescent="0.2">
      <c r="A6788" s="111">
        <v>7000</v>
      </c>
      <c r="B6788" s="421" t="s">
        <v>9377</v>
      </c>
      <c r="C6788" s="421" t="s">
        <v>2394</v>
      </c>
      <c r="D6788" s="422" t="s">
        <v>666</v>
      </c>
      <c r="E6788" s="111">
        <v>44584</v>
      </c>
      <c r="F6788" s="421" t="s">
        <v>15990</v>
      </c>
    </row>
    <row r="6789" spans="1:12" x14ac:dyDescent="0.2">
      <c r="A6789" s="111">
        <v>7001</v>
      </c>
      <c r="B6789" s="421" t="s">
        <v>2444</v>
      </c>
      <c r="C6789" s="421" t="s">
        <v>558</v>
      </c>
      <c r="D6789" s="422" t="s">
        <v>663</v>
      </c>
      <c r="E6789" s="111">
        <v>44438</v>
      </c>
      <c r="F6789" s="421" t="s">
        <v>15991</v>
      </c>
    </row>
    <row r="6790" spans="1:12" x14ac:dyDescent="0.2">
      <c r="A6790" s="111">
        <v>7002</v>
      </c>
      <c r="B6790" s="421" t="s">
        <v>1423</v>
      </c>
      <c r="C6790" s="421" t="s">
        <v>501</v>
      </c>
      <c r="D6790" s="422" t="s">
        <v>663</v>
      </c>
      <c r="E6790" s="111">
        <v>44585</v>
      </c>
      <c r="F6790" s="421" t="s">
        <v>15992</v>
      </c>
      <c r="H6790" s="112">
        <v>2</v>
      </c>
      <c r="I6790" s="112">
        <v>1</v>
      </c>
    </row>
    <row r="6791" spans="1:12" x14ac:dyDescent="0.2">
      <c r="A6791" s="111">
        <v>7003</v>
      </c>
      <c r="B6791" s="421" t="s">
        <v>6089</v>
      </c>
      <c r="C6791" s="421" t="s">
        <v>503</v>
      </c>
      <c r="D6791" s="422" t="s">
        <v>663</v>
      </c>
      <c r="E6791" s="111">
        <v>44586</v>
      </c>
      <c r="F6791" s="421" t="s">
        <v>15993</v>
      </c>
    </row>
    <row r="6792" spans="1:12" x14ac:dyDescent="0.2">
      <c r="A6792" s="111">
        <v>7004</v>
      </c>
      <c r="B6792" s="421" t="s">
        <v>44</v>
      </c>
      <c r="C6792" s="421" t="s">
        <v>506</v>
      </c>
      <c r="D6792" s="422" t="s">
        <v>663</v>
      </c>
      <c r="E6792" s="111">
        <v>44587</v>
      </c>
      <c r="F6792" s="421" t="s">
        <v>15994</v>
      </c>
      <c r="G6792" s="112">
        <v>2</v>
      </c>
      <c r="H6792" s="112">
        <v>2</v>
      </c>
      <c r="I6792" s="112">
        <v>1</v>
      </c>
    </row>
    <row r="6793" spans="1:12" x14ac:dyDescent="0.2">
      <c r="A6793" s="111">
        <v>7005</v>
      </c>
      <c r="B6793" s="421" t="s">
        <v>6680</v>
      </c>
      <c r="C6793" s="421" t="s">
        <v>577</v>
      </c>
      <c r="D6793" s="422" t="s">
        <v>666</v>
      </c>
      <c r="E6793" s="111">
        <v>44588</v>
      </c>
      <c r="F6793" s="421" t="s">
        <v>15995</v>
      </c>
      <c r="G6793" s="112">
        <v>1</v>
      </c>
      <c r="H6793" s="112">
        <v>1</v>
      </c>
      <c r="I6793" s="112">
        <v>1</v>
      </c>
    </row>
    <row r="6794" spans="1:12" x14ac:dyDescent="0.2">
      <c r="A6794" s="111">
        <v>7006</v>
      </c>
      <c r="B6794" s="421" t="s">
        <v>2590</v>
      </c>
      <c r="C6794" s="421" t="s">
        <v>584</v>
      </c>
      <c r="D6794" s="422" t="s">
        <v>666</v>
      </c>
      <c r="F6794" s="421" t="s">
        <v>15996</v>
      </c>
    </row>
    <row r="6795" spans="1:12" x14ac:dyDescent="0.2">
      <c r="A6795" s="111">
        <v>7007</v>
      </c>
      <c r="B6795" s="421" t="s">
        <v>8818</v>
      </c>
      <c r="C6795" s="421" t="s">
        <v>584</v>
      </c>
      <c r="D6795" s="422" t="s">
        <v>663</v>
      </c>
      <c r="F6795" s="421" t="s">
        <v>15996</v>
      </c>
    </row>
    <row r="6796" spans="1:12" x14ac:dyDescent="0.2">
      <c r="A6796" s="111">
        <v>7008</v>
      </c>
      <c r="B6796" s="421" t="s">
        <v>15997</v>
      </c>
      <c r="C6796" s="421" t="s">
        <v>526</v>
      </c>
      <c r="D6796" s="422" t="s">
        <v>666</v>
      </c>
      <c r="F6796" s="421" t="s">
        <v>15998</v>
      </c>
      <c r="I6796" s="112">
        <v>1</v>
      </c>
    </row>
    <row r="6797" spans="1:12" x14ac:dyDescent="0.2">
      <c r="A6797" s="111">
        <v>7009</v>
      </c>
      <c r="B6797" s="421" t="s">
        <v>15999</v>
      </c>
      <c r="C6797" s="421" t="s">
        <v>510</v>
      </c>
      <c r="D6797" s="422" t="s">
        <v>666</v>
      </c>
      <c r="F6797" s="421" t="s">
        <v>16000</v>
      </c>
    </row>
    <row r="6798" spans="1:12" x14ac:dyDescent="0.2">
      <c r="A6798" s="111">
        <v>7010</v>
      </c>
      <c r="B6798" s="421" t="s">
        <v>122</v>
      </c>
      <c r="C6798" s="421" t="s">
        <v>501</v>
      </c>
      <c r="D6798" s="422" t="s">
        <v>663</v>
      </c>
      <c r="E6798" s="111">
        <v>44169</v>
      </c>
      <c r="F6798" s="421" t="s">
        <v>11456</v>
      </c>
    </row>
    <row r="6799" spans="1:12" x14ac:dyDescent="0.2">
      <c r="A6799" s="111">
        <v>7011</v>
      </c>
      <c r="B6799" s="421" t="s">
        <v>131</v>
      </c>
      <c r="C6799" s="421" t="s">
        <v>547</v>
      </c>
      <c r="D6799" s="422" t="s">
        <v>663</v>
      </c>
      <c r="E6799" s="111">
        <v>15766</v>
      </c>
      <c r="F6799" s="421" t="s">
        <v>5375</v>
      </c>
      <c r="H6799" s="112">
        <v>1</v>
      </c>
    </row>
    <row r="6800" spans="1:12" x14ac:dyDescent="0.2">
      <c r="A6800" s="111">
        <v>7012</v>
      </c>
      <c r="B6800" s="421" t="s">
        <v>1449</v>
      </c>
      <c r="C6800" s="421" t="s">
        <v>551</v>
      </c>
      <c r="D6800" s="422" t="s">
        <v>666</v>
      </c>
      <c r="E6800" s="111">
        <v>44591</v>
      </c>
      <c r="F6800" s="421" t="s">
        <v>16001</v>
      </c>
      <c r="G6800" s="112">
        <v>1</v>
      </c>
      <c r="I6800" s="112">
        <v>1</v>
      </c>
    </row>
    <row r="6801" spans="1:10" x14ac:dyDescent="0.2">
      <c r="A6801" s="111">
        <v>7013</v>
      </c>
      <c r="B6801" s="421" t="s">
        <v>16002</v>
      </c>
      <c r="C6801" s="421" t="s">
        <v>558</v>
      </c>
      <c r="D6801" s="422" t="s">
        <v>666</v>
      </c>
      <c r="F6801" s="421" t="s">
        <v>16003</v>
      </c>
    </row>
    <row r="6802" spans="1:10" x14ac:dyDescent="0.2">
      <c r="A6802" s="111">
        <v>7014</v>
      </c>
      <c r="B6802" s="421" t="s">
        <v>332</v>
      </c>
      <c r="C6802" s="421" t="s">
        <v>3855</v>
      </c>
      <c r="D6802" s="422" t="s">
        <v>666</v>
      </c>
      <c r="F6802" s="421" t="s">
        <v>16004</v>
      </c>
    </row>
    <row r="6803" spans="1:10" x14ac:dyDescent="0.2">
      <c r="A6803" s="111">
        <v>7015</v>
      </c>
      <c r="B6803" s="421" t="s">
        <v>5508</v>
      </c>
      <c r="C6803" s="421" t="s">
        <v>506</v>
      </c>
      <c r="D6803" s="422" t="s">
        <v>666</v>
      </c>
      <c r="E6803" s="111">
        <v>14229</v>
      </c>
      <c r="F6803" s="421" t="s">
        <v>871</v>
      </c>
    </row>
    <row r="6804" spans="1:10" x14ac:dyDescent="0.2">
      <c r="A6804" s="111">
        <v>7016</v>
      </c>
      <c r="B6804" s="421" t="s">
        <v>2299</v>
      </c>
      <c r="C6804" s="421" t="s">
        <v>501</v>
      </c>
      <c r="D6804" s="422" t="s">
        <v>666</v>
      </c>
      <c r="E6804" s="111">
        <v>44592</v>
      </c>
      <c r="F6804" s="421" t="s">
        <v>16005</v>
      </c>
      <c r="G6804" s="112">
        <v>1</v>
      </c>
      <c r="H6804" s="112">
        <v>1</v>
      </c>
      <c r="I6804" s="112">
        <v>1</v>
      </c>
    </row>
    <row r="6805" spans="1:10" x14ac:dyDescent="0.2">
      <c r="A6805" s="111">
        <v>7017</v>
      </c>
      <c r="B6805" s="421" t="s">
        <v>1327</v>
      </c>
      <c r="C6805" s="421" t="s">
        <v>512</v>
      </c>
      <c r="D6805" s="422" t="s">
        <v>666</v>
      </c>
      <c r="E6805" s="111">
        <v>44593</v>
      </c>
      <c r="F6805" s="421" t="s">
        <v>16006</v>
      </c>
      <c r="G6805" s="112">
        <v>1</v>
      </c>
      <c r="H6805" s="112">
        <v>1</v>
      </c>
      <c r="I6805" s="112">
        <v>1</v>
      </c>
    </row>
    <row r="6806" spans="1:10" x14ac:dyDescent="0.2">
      <c r="A6806" s="111">
        <v>7018</v>
      </c>
      <c r="B6806" s="421" t="s">
        <v>1109</v>
      </c>
      <c r="C6806" s="421" t="s">
        <v>1994</v>
      </c>
      <c r="D6806" s="422" t="s">
        <v>666</v>
      </c>
      <c r="E6806" s="111">
        <v>44756</v>
      </c>
      <c r="F6806" s="421" t="s">
        <v>16007</v>
      </c>
    </row>
    <row r="6807" spans="1:10" x14ac:dyDescent="0.2">
      <c r="A6807" s="111">
        <v>7019</v>
      </c>
      <c r="B6807" s="421" t="s">
        <v>16008</v>
      </c>
      <c r="C6807" s="421" t="s">
        <v>16009</v>
      </c>
      <c r="D6807" s="422" t="s">
        <v>663</v>
      </c>
      <c r="E6807" s="111">
        <v>15732</v>
      </c>
      <c r="F6807" s="421" t="s">
        <v>5228</v>
      </c>
    </row>
    <row r="6808" spans="1:10" x14ac:dyDescent="0.2">
      <c r="A6808" s="111">
        <v>7020</v>
      </c>
      <c r="B6808" s="421" t="s">
        <v>1771</v>
      </c>
      <c r="C6808" s="421" t="s">
        <v>574</v>
      </c>
      <c r="D6808" s="422" t="s">
        <v>666</v>
      </c>
      <c r="F6808" s="421" t="s">
        <v>16010</v>
      </c>
    </row>
    <row r="6809" spans="1:10" x14ac:dyDescent="0.2">
      <c r="A6809" s="111">
        <v>7021</v>
      </c>
      <c r="B6809" s="421" t="s">
        <v>3169</v>
      </c>
      <c r="C6809" s="421" t="s">
        <v>518</v>
      </c>
      <c r="D6809" s="422" t="s">
        <v>666</v>
      </c>
      <c r="E6809" s="111">
        <v>15985</v>
      </c>
      <c r="F6809" s="421" t="s">
        <v>6021</v>
      </c>
      <c r="G6809" s="112">
        <v>1</v>
      </c>
      <c r="H6809" s="112">
        <v>1</v>
      </c>
      <c r="J6809" s="112">
        <v>1</v>
      </c>
    </row>
    <row r="6810" spans="1:10" x14ac:dyDescent="0.2">
      <c r="A6810" s="111">
        <v>7022</v>
      </c>
      <c r="B6810" s="421" t="s">
        <v>5011</v>
      </c>
      <c r="C6810" s="421" t="s">
        <v>521</v>
      </c>
      <c r="D6810" s="422" t="s">
        <v>666</v>
      </c>
      <c r="F6810" s="421" t="s">
        <v>16011</v>
      </c>
      <c r="G6810" s="112">
        <v>1</v>
      </c>
      <c r="H6810" s="112">
        <v>1</v>
      </c>
      <c r="I6810" s="112">
        <v>2</v>
      </c>
    </row>
    <row r="6811" spans="1:10" x14ac:dyDescent="0.2">
      <c r="A6811" s="111">
        <v>7023</v>
      </c>
      <c r="B6811" s="421" t="s">
        <v>16012</v>
      </c>
      <c r="C6811" s="421" t="s">
        <v>513</v>
      </c>
      <c r="D6811" s="422" t="s">
        <v>666</v>
      </c>
      <c r="E6811" s="111">
        <v>44614</v>
      </c>
      <c r="F6811" s="421" t="s">
        <v>16013</v>
      </c>
      <c r="G6811" s="112">
        <v>1</v>
      </c>
    </row>
    <row r="6812" spans="1:10" x14ac:dyDescent="0.2">
      <c r="A6812" s="111">
        <v>7024</v>
      </c>
      <c r="B6812" s="421" t="s">
        <v>16014</v>
      </c>
      <c r="C6812" s="421" t="s">
        <v>501</v>
      </c>
      <c r="D6812" s="422" t="s">
        <v>663</v>
      </c>
      <c r="E6812" s="111">
        <v>44594</v>
      </c>
      <c r="F6812" s="421" t="s">
        <v>16015</v>
      </c>
    </row>
    <row r="6813" spans="1:10" x14ac:dyDescent="0.2">
      <c r="A6813" s="111">
        <v>7025</v>
      </c>
      <c r="B6813" s="421" t="s">
        <v>2545</v>
      </c>
      <c r="C6813" s="421" t="s">
        <v>2872</v>
      </c>
      <c r="D6813" s="422" t="s">
        <v>663</v>
      </c>
      <c r="E6813" s="111">
        <v>15473</v>
      </c>
      <c r="F6813" s="421" t="s">
        <v>4832</v>
      </c>
      <c r="G6813" s="112">
        <v>1</v>
      </c>
      <c r="H6813" s="112">
        <v>1</v>
      </c>
      <c r="I6813" s="112">
        <v>1</v>
      </c>
    </row>
    <row r="6814" spans="1:10" x14ac:dyDescent="0.2">
      <c r="A6814" s="111">
        <v>7026</v>
      </c>
      <c r="B6814" s="421" t="s">
        <v>159</v>
      </c>
      <c r="C6814" s="421" t="s">
        <v>501</v>
      </c>
      <c r="D6814" s="422" t="s">
        <v>663</v>
      </c>
      <c r="E6814" s="111">
        <v>44595</v>
      </c>
      <c r="F6814" s="421" t="s">
        <v>16229</v>
      </c>
      <c r="G6814" s="112">
        <v>1</v>
      </c>
      <c r="H6814" s="112">
        <v>1</v>
      </c>
      <c r="I6814" s="112">
        <v>1</v>
      </c>
    </row>
    <row r="6815" spans="1:10" x14ac:dyDescent="0.2">
      <c r="A6815" s="111">
        <v>7027</v>
      </c>
      <c r="B6815" s="421" t="s">
        <v>16230</v>
      </c>
      <c r="C6815" s="421" t="s">
        <v>512</v>
      </c>
      <c r="D6815" s="422" t="s">
        <v>663</v>
      </c>
      <c r="F6815" s="421" t="s">
        <v>16231</v>
      </c>
    </row>
    <row r="6816" spans="1:10" x14ac:dyDescent="0.2">
      <c r="A6816" s="111">
        <v>7028</v>
      </c>
      <c r="B6816" s="421" t="s">
        <v>16232</v>
      </c>
      <c r="C6816" s="421" t="s">
        <v>516</v>
      </c>
      <c r="D6816" s="422" t="s">
        <v>663</v>
      </c>
      <c r="E6816" s="111">
        <v>44596</v>
      </c>
      <c r="F6816" s="421" t="s">
        <v>16233</v>
      </c>
      <c r="G6816" s="112">
        <v>1</v>
      </c>
      <c r="H6816" s="112">
        <v>1</v>
      </c>
      <c r="I6816" s="112">
        <v>1</v>
      </c>
    </row>
    <row r="6817" spans="1:15" x14ac:dyDescent="0.2">
      <c r="A6817" s="111">
        <v>7029</v>
      </c>
      <c r="B6817" s="421" t="s">
        <v>16234</v>
      </c>
      <c r="C6817" s="421" t="s">
        <v>551</v>
      </c>
      <c r="D6817" s="422" t="s">
        <v>663</v>
      </c>
      <c r="E6817" s="111">
        <v>44597</v>
      </c>
      <c r="F6817" s="421" t="s">
        <v>16235</v>
      </c>
    </row>
    <row r="6818" spans="1:15" x14ac:dyDescent="0.2">
      <c r="A6818" s="111">
        <v>7030</v>
      </c>
      <c r="B6818" s="421" t="s">
        <v>16236</v>
      </c>
      <c r="C6818" s="421" t="s">
        <v>506</v>
      </c>
      <c r="D6818" s="422" t="s">
        <v>663</v>
      </c>
      <c r="E6818" s="111">
        <v>44598</v>
      </c>
      <c r="F6818" s="421" t="s">
        <v>16237</v>
      </c>
      <c r="G6818" s="112">
        <v>1</v>
      </c>
      <c r="H6818" s="112">
        <v>1</v>
      </c>
      <c r="I6818" s="112">
        <v>1</v>
      </c>
      <c r="J6818" s="112">
        <v>1</v>
      </c>
      <c r="K6818" s="112">
        <v>2</v>
      </c>
      <c r="L6818" s="112">
        <v>1</v>
      </c>
    </row>
    <row r="6819" spans="1:15" x14ac:dyDescent="0.2">
      <c r="A6819" s="111">
        <v>7031</v>
      </c>
      <c r="B6819" s="421" t="s">
        <v>1428</v>
      </c>
      <c r="C6819" s="421" t="s">
        <v>507</v>
      </c>
      <c r="D6819" s="422" t="s">
        <v>666</v>
      </c>
      <c r="E6819" s="111">
        <v>44599</v>
      </c>
      <c r="F6819" s="421" t="s">
        <v>16238</v>
      </c>
      <c r="I6819" s="112">
        <v>1</v>
      </c>
    </row>
    <row r="6820" spans="1:15" x14ac:dyDescent="0.2">
      <c r="A6820" s="111">
        <v>7032</v>
      </c>
      <c r="B6820" s="421" t="s">
        <v>5538</v>
      </c>
      <c r="C6820" s="421" t="s">
        <v>509</v>
      </c>
      <c r="D6820" s="422" t="s">
        <v>666</v>
      </c>
      <c r="E6820" s="111">
        <v>44600</v>
      </c>
      <c r="F6820" s="421" t="s">
        <v>16239</v>
      </c>
      <c r="G6820" s="112">
        <v>1</v>
      </c>
      <c r="H6820" s="112">
        <v>2</v>
      </c>
    </row>
    <row r="6821" spans="1:15" x14ac:dyDescent="0.2">
      <c r="A6821" s="111">
        <v>7033</v>
      </c>
      <c r="B6821" s="421" t="s">
        <v>1480</v>
      </c>
      <c r="C6821" s="421" t="s">
        <v>506</v>
      </c>
      <c r="D6821" s="422" t="s">
        <v>666</v>
      </c>
      <c r="E6821" s="111">
        <v>44601</v>
      </c>
      <c r="F6821" s="421" t="s">
        <v>16240</v>
      </c>
      <c r="G6821" s="112">
        <v>1</v>
      </c>
    </row>
    <row r="6822" spans="1:15" x14ac:dyDescent="0.2">
      <c r="A6822" s="111">
        <v>7034</v>
      </c>
      <c r="B6822" s="421" t="s">
        <v>5551</v>
      </c>
      <c r="C6822" s="421" t="s">
        <v>501</v>
      </c>
      <c r="D6822" s="422" t="s">
        <v>663</v>
      </c>
      <c r="E6822" s="111">
        <v>44602</v>
      </c>
      <c r="F6822" s="421" t="s">
        <v>16241</v>
      </c>
      <c r="G6822" s="112">
        <v>1</v>
      </c>
      <c r="I6822" s="112">
        <v>1</v>
      </c>
    </row>
    <row r="6823" spans="1:15" x14ac:dyDescent="0.2">
      <c r="A6823" s="111">
        <v>7035</v>
      </c>
      <c r="B6823" s="421" t="s">
        <v>16242</v>
      </c>
      <c r="C6823" s="421" t="s">
        <v>1201</v>
      </c>
      <c r="D6823" s="422" t="s">
        <v>666</v>
      </c>
      <c r="E6823" s="111">
        <v>44604</v>
      </c>
      <c r="F6823" s="421" t="s">
        <v>16243</v>
      </c>
      <c r="G6823" s="112">
        <v>1</v>
      </c>
      <c r="H6823" s="112">
        <v>2</v>
      </c>
      <c r="I6823" s="112">
        <v>2</v>
      </c>
    </row>
    <row r="6824" spans="1:15" x14ac:dyDescent="0.2">
      <c r="A6824" s="111">
        <v>7036</v>
      </c>
      <c r="B6824" s="421" t="s">
        <v>1214</v>
      </c>
      <c r="C6824" s="421" t="s">
        <v>551</v>
      </c>
      <c r="D6824" s="422" t="s">
        <v>666</v>
      </c>
      <c r="E6824" s="111">
        <v>44077</v>
      </c>
      <c r="F6824" s="421" t="s">
        <v>11142</v>
      </c>
      <c r="G6824" s="112">
        <v>1</v>
      </c>
      <c r="H6824" s="112">
        <v>1</v>
      </c>
      <c r="I6824" s="112">
        <v>1</v>
      </c>
      <c r="J6824" s="112">
        <v>2</v>
      </c>
      <c r="K6824" s="112">
        <v>2</v>
      </c>
      <c r="L6824" s="112">
        <v>2</v>
      </c>
    </row>
    <row r="6825" spans="1:15" x14ac:dyDescent="0.2">
      <c r="A6825" s="111">
        <v>7037</v>
      </c>
      <c r="B6825" s="421" t="s">
        <v>1711</v>
      </c>
      <c r="C6825" s="421" t="s">
        <v>510</v>
      </c>
      <c r="D6825" s="422" t="s">
        <v>663</v>
      </c>
      <c r="E6825" s="111">
        <v>44605</v>
      </c>
      <c r="F6825" s="421" t="s">
        <v>16244</v>
      </c>
      <c r="G6825" s="112">
        <v>1</v>
      </c>
      <c r="H6825" s="112">
        <v>1</v>
      </c>
      <c r="I6825" s="112">
        <v>1</v>
      </c>
      <c r="J6825" s="112">
        <v>1</v>
      </c>
      <c r="K6825" s="112">
        <v>1</v>
      </c>
      <c r="L6825" s="112">
        <v>1</v>
      </c>
    </row>
    <row r="6826" spans="1:15" x14ac:dyDescent="0.2">
      <c r="A6826" s="111">
        <v>7038</v>
      </c>
      <c r="B6826" s="421" t="s">
        <v>1997</v>
      </c>
      <c r="C6826" s="421" t="s">
        <v>516</v>
      </c>
      <c r="D6826" s="422" t="s">
        <v>666</v>
      </c>
      <c r="E6826" s="111">
        <v>44606</v>
      </c>
      <c r="F6826" s="421" t="s">
        <v>16245</v>
      </c>
      <c r="G6826" s="112">
        <v>1</v>
      </c>
      <c r="H6826" s="112">
        <v>1</v>
      </c>
      <c r="I6826" s="112">
        <v>1</v>
      </c>
    </row>
    <row r="6827" spans="1:15" x14ac:dyDescent="0.2">
      <c r="A6827" s="111">
        <v>7039</v>
      </c>
      <c r="B6827" s="421" t="s">
        <v>3577</v>
      </c>
      <c r="C6827" s="421" t="s">
        <v>516</v>
      </c>
      <c r="D6827" s="422" t="s">
        <v>666</v>
      </c>
      <c r="E6827" s="111">
        <v>44606</v>
      </c>
      <c r="F6827" s="421" t="s">
        <v>16245</v>
      </c>
    </row>
    <row r="6828" spans="1:15" x14ac:dyDescent="0.2">
      <c r="A6828" s="111">
        <v>7040</v>
      </c>
      <c r="B6828" s="421" t="s">
        <v>1919</v>
      </c>
      <c r="C6828" s="421" t="s">
        <v>501</v>
      </c>
      <c r="D6828" s="422" t="s">
        <v>666</v>
      </c>
      <c r="E6828" s="111">
        <v>44607</v>
      </c>
      <c r="F6828" s="421" t="s">
        <v>16246</v>
      </c>
    </row>
    <row r="6829" spans="1:15" x14ac:dyDescent="0.2">
      <c r="A6829" s="111">
        <v>7041</v>
      </c>
      <c r="B6829" s="421" t="s">
        <v>109</v>
      </c>
      <c r="C6829" s="421" t="s">
        <v>506</v>
      </c>
      <c r="D6829" s="422" t="s">
        <v>666</v>
      </c>
      <c r="E6829" s="111">
        <v>44603</v>
      </c>
      <c r="F6829" s="421" t="s">
        <v>16247</v>
      </c>
      <c r="G6829" s="112">
        <v>1</v>
      </c>
      <c r="H6829" s="112">
        <v>1</v>
      </c>
      <c r="I6829" s="112">
        <v>1</v>
      </c>
    </row>
    <row r="6830" spans="1:15" x14ac:dyDescent="0.2">
      <c r="A6830" s="111">
        <v>7042</v>
      </c>
      <c r="B6830" s="421" t="s">
        <v>8105</v>
      </c>
      <c r="C6830" s="421" t="s">
        <v>531</v>
      </c>
      <c r="D6830" s="422" t="s">
        <v>663</v>
      </c>
      <c r="E6830" s="111">
        <v>44608</v>
      </c>
      <c r="F6830" s="421" t="s">
        <v>16248</v>
      </c>
      <c r="G6830" s="112">
        <v>1</v>
      </c>
      <c r="H6830" s="112">
        <v>1</v>
      </c>
      <c r="I6830" s="112">
        <v>1</v>
      </c>
      <c r="J6830" s="112">
        <v>4</v>
      </c>
      <c r="K6830" s="112">
        <v>3</v>
      </c>
      <c r="L6830" s="112">
        <v>4</v>
      </c>
      <c r="M6830" s="112">
        <v>3</v>
      </c>
      <c r="N6830" s="112">
        <v>1</v>
      </c>
      <c r="O6830" s="112">
        <v>3</v>
      </c>
    </row>
    <row r="6831" spans="1:15" x14ac:dyDescent="0.2">
      <c r="A6831" s="111">
        <v>7043</v>
      </c>
      <c r="B6831" s="421" t="s">
        <v>16249</v>
      </c>
      <c r="C6831" s="421" t="s">
        <v>501</v>
      </c>
      <c r="D6831" s="422" t="s">
        <v>666</v>
      </c>
      <c r="F6831" s="421" t="s">
        <v>959</v>
      </c>
    </row>
    <row r="6832" spans="1:15" x14ac:dyDescent="0.2">
      <c r="A6832" s="111">
        <v>7045</v>
      </c>
      <c r="B6832" s="421" t="s">
        <v>282</v>
      </c>
      <c r="C6832" s="421" t="s">
        <v>574</v>
      </c>
      <c r="D6832" s="422" t="s">
        <v>663</v>
      </c>
      <c r="E6832" s="111">
        <v>44609</v>
      </c>
      <c r="F6832" s="421" t="s">
        <v>16250</v>
      </c>
    </row>
    <row r="6833" spans="1:12" x14ac:dyDescent="0.2">
      <c r="A6833" s="111">
        <v>7046</v>
      </c>
      <c r="B6833" s="421" t="s">
        <v>2005</v>
      </c>
      <c r="C6833" s="421" t="s">
        <v>574</v>
      </c>
      <c r="D6833" s="422" t="s">
        <v>663</v>
      </c>
      <c r="E6833" s="111">
        <v>44609</v>
      </c>
      <c r="F6833" s="421" t="s">
        <v>16250</v>
      </c>
    </row>
    <row r="6834" spans="1:12" x14ac:dyDescent="0.2">
      <c r="A6834" s="111">
        <v>7047</v>
      </c>
      <c r="B6834" s="421" t="s">
        <v>16251</v>
      </c>
      <c r="C6834" s="421" t="s">
        <v>509</v>
      </c>
      <c r="D6834" s="422" t="s">
        <v>666</v>
      </c>
      <c r="E6834" s="111">
        <v>15931</v>
      </c>
      <c r="F6834" s="421" t="s">
        <v>5745</v>
      </c>
      <c r="G6834" s="112">
        <v>1</v>
      </c>
      <c r="H6834" s="112">
        <v>1</v>
      </c>
      <c r="I6834" s="112">
        <v>2</v>
      </c>
    </row>
    <row r="6835" spans="1:12" x14ac:dyDescent="0.2">
      <c r="A6835" s="111">
        <v>7048</v>
      </c>
      <c r="B6835" s="421" t="s">
        <v>353</v>
      </c>
      <c r="C6835" s="421" t="s">
        <v>1898</v>
      </c>
      <c r="D6835" s="422" t="s">
        <v>663</v>
      </c>
      <c r="E6835" s="111">
        <v>16979</v>
      </c>
      <c r="F6835" s="421" t="s">
        <v>9497</v>
      </c>
    </row>
    <row r="6836" spans="1:12" x14ac:dyDescent="0.2">
      <c r="A6836" s="111">
        <v>7049</v>
      </c>
      <c r="B6836" s="421" t="s">
        <v>80</v>
      </c>
      <c r="C6836" s="421" t="s">
        <v>1201</v>
      </c>
      <c r="D6836" s="422" t="s">
        <v>663</v>
      </c>
      <c r="E6836" s="111">
        <v>44610</v>
      </c>
      <c r="F6836" s="421" t="s">
        <v>16252</v>
      </c>
      <c r="G6836" s="112">
        <v>1</v>
      </c>
      <c r="H6836" s="112">
        <v>1</v>
      </c>
      <c r="I6836" s="112">
        <v>1</v>
      </c>
    </row>
    <row r="6837" spans="1:12" x14ac:dyDescent="0.2">
      <c r="A6837" s="111">
        <v>7050</v>
      </c>
      <c r="B6837" s="421" t="s">
        <v>2247</v>
      </c>
      <c r="C6837" s="421" t="s">
        <v>501</v>
      </c>
      <c r="D6837" s="422" t="s">
        <v>666</v>
      </c>
      <c r="E6837" s="111">
        <v>44611</v>
      </c>
      <c r="F6837" s="421" t="s">
        <v>16253</v>
      </c>
    </row>
    <row r="6838" spans="1:12" x14ac:dyDescent="0.2">
      <c r="A6838" s="111">
        <v>7051</v>
      </c>
      <c r="B6838" s="421" t="s">
        <v>16254</v>
      </c>
      <c r="C6838" s="421" t="s">
        <v>6687</v>
      </c>
      <c r="D6838" s="422" t="s">
        <v>663</v>
      </c>
      <c r="E6838" s="111">
        <v>44612</v>
      </c>
      <c r="F6838" s="421" t="s">
        <v>16255</v>
      </c>
    </row>
    <row r="6839" spans="1:12" x14ac:dyDescent="0.2">
      <c r="A6839" s="111">
        <v>7052</v>
      </c>
      <c r="B6839" s="421" t="s">
        <v>16256</v>
      </c>
      <c r="C6839" s="421" t="s">
        <v>502</v>
      </c>
      <c r="D6839" s="422" t="s">
        <v>663</v>
      </c>
      <c r="E6839" s="111">
        <v>44613</v>
      </c>
      <c r="F6839" s="421" t="s">
        <v>16257</v>
      </c>
      <c r="G6839" s="112">
        <v>1</v>
      </c>
      <c r="H6839" s="112">
        <v>1</v>
      </c>
      <c r="I6839" s="112">
        <v>1</v>
      </c>
    </row>
    <row r="6840" spans="1:12" x14ac:dyDescent="0.2">
      <c r="A6840" s="111">
        <v>7053</v>
      </c>
      <c r="B6840" s="421" t="s">
        <v>16258</v>
      </c>
      <c r="C6840" s="421" t="s">
        <v>521</v>
      </c>
      <c r="D6840" s="422" t="s">
        <v>663</v>
      </c>
      <c r="E6840" s="111">
        <v>17019</v>
      </c>
      <c r="F6840" s="421" t="s">
        <v>9751</v>
      </c>
    </row>
    <row r="6841" spans="1:12" x14ac:dyDescent="0.2">
      <c r="A6841" s="111">
        <v>7054</v>
      </c>
      <c r="B6841" s="421" t="s">
        <v>10170</v>
      </c>
      <c r="C6841" s="421" t="s">
        <v>501</v>
      </c>
      <c r="D6841" s="422" t="s">
        <v>663</v>
      </c>
      <c r="E6841" s="111">
        <v>44615</v>
      </c>
      <c r="F6841" s="421" t="s">
        <v>16259</v>
      </c>
      <c r="G6841" s="112">
        <v>1</v>
      </c>
      <c r="H6841" s="112">
        <v>2</v>
      </c>
      <c r="I6841" s="112">
        <v>2</v>
      </c>
      <c r="K6841" s="112">
        <v>1</v>
      </c>
    </row>
    <row r="6842" spans="1:12" x14ac:dyDescent="0.2">
      <c r="A6842" s="111">
        <v>7055</v>
      </c>
      <c r="B6842" s="421" t="s">
        <v>16260</v>
      </c>
      <c r="C6842" s="421" t="s">
        <v>501</v>
      </c>
      <c r="D6842" s="422" t="s">
        <v>663</v>
      </c>
      <c r="E6842" s="111">
        <v>44616</v>
      </c>
      <c r="F6842" s="421" t="s">
        <v>16261</v>
      </c>
      <c r="H6842" s="112">
        <v>1</v>
      </c>
      <c r="I6842" s="112">
        <v>1</v>
      </c>
    </row>
    <row r="6843" spans="1:12" x14ac:dyDescent="0.2">
      <c r="A6843" s="111">
        <v>7056</v>
      </c>
      <c r="B6843" s="421" t="s">
        <v>6850</v>
      </c>
      <c r="C6843" s="421" t="s">
        <v>516</v>
      </c>
      <c r="D6843" s="422" t="s">
        <v>666</v>
      </c>
      <c r="E6843" s="111">
        <v>44617</v>
      </c>
      <c r="F6843" s="421" t="s">
        <v>16262</v>
      </c>
      <c r="G6843" s="112">
        <v>2</v>
      </c>
      <c r="H6843" s="112">
        <v>1</v>
      </c>
      <c r="I6843" s="112">
        <v>1</v>
      </c>
      <c r="J6843" s="112">
        <v>1</v>
      </c>
      <c r="K6843" s="112">
        <v>1</v>
      </c>
      <c r="L6843" s="112">
        <v>1</v>
      </c>
    </row>
    <row r="6844" spans="1:12" x14ac:dyDescent="0.2">
      <c r="A6844" s="111">
        <v>7057</v>
      </c>
      <c r="B6844" s="421" t="s">
        <v>16263</v>
      </c>
      <c r="C6844" s="421" t="s">
        <v>516</v>
      </c>
      <c r="D6844" s="422" t="s">
        <v>663</v>
      </c>
      <c r="F6844" s="421" t="s">
        <v>16264</v>
      </c>
      <c r="G6844" s="112">
        <v>1</v>
      </c>
      <c r="H6844" s="112">
        <v>1</v>
      </c>
      <c r="I6844" s="112">
        <v>1</v>
      </c>
      <c r="K6844" s="112">
        <v>1</v>
      </c>
    </row>
    <row r="6845" spans="1:12" x14ac:dyDescent="0.2">
      <c r="A6845" s="111">
        <v>7058</v>
      </c>
      <c r="B6845" s="421" t="s">
        <v>16265</v>
      </c>
      <c r="C6845" s="421" t="s">
        <v>16266</v>
      </c>
      <c r="D6845" s="422" t="s">
        <v>666</v>
      </c>
      <c r="E6845" s="111">
        <v>44618</v>
      </c>
      <c r="F6845" s="421" t="s">
        <v>16267</v>
      </c>
      <c r="G6845" s="112">
        <v>1</v>
      </c>
      <c r="H6845" s="112">
        <v>1</v>
      </c>
      <c r="I6845" s="112">
        <v>1</v>
      </c>
    </row>
    <row r="6846" spans="1:12" x14ac:dyDescent="0.2">
      <c r="A6846" s="111">
        <v>7059</v>
      </c>
      <c r="B6846" s="421" t="s">
        <v>16268</v>
      </c>
      <c r="C6846" s="421" t="s">
        <v>513</v>
      </c>
      <c r="D6846" s="422" t="s">
        <v>663</v>
      </c>
      <c r="E6846" s="111">
        <v>15131</v>
      </c>
      <c r="F6846" s="421" t="s">
        <v>3217</v>
      </c>
      <c r="G6846" s="112">
        <v>3</v>
      </c>
      <c r="H6846" s="112">
        <v>1</v>
      </c>
      <c r="I6846" s="112">
        <v>2</v>
      </c>
      <c r="L6846" s="112">
        <v>1</v>
      </c>
    </row>
    <row r="6847" spans="1:12" x14ac:dyDescent="0.2">
      <c r="A6847" s="111">
        <v>7060</v>
      </c>
      <c r="B6847" s="421" t="s">
        <v>1480</v>
      </c>
      <c r="C6847" s="421" t="s">
        <v>503</v>
      </c>
      <c r="D6847" s="422" t="s">
        <v>666</v>
      </c>
      <c r="F6847" s="421" t="s">
        <v>16269</v>
      </c>
      <c r="G6847" s="112">
        <v>1</v>
      </c>
      <c r="H6847" s="112">
        <v>1</v>
      </c>
      <c r="I6847" s="112">
        <v>1</v>
      </c>
    </row>
    <row r="6848" spans="1:12" x14ac:dyDescent="0.2">
      <c r="A6848" s="111">
        <v>7061</v>
      </c>
      <c r="B6848" s="421" t="s">
        <v>16270</v>
      </c>
      <c r="C6848" s="421" t="s">
        <v>506</v>
      </c>
      <c r="D6848" s="422" t="s">
        <v>663</v>
      </c>
      <c r="E6848" s="111">
        <v>16067</v>
      </c>
      <c r="F6848" s="421" t="s">
        <v>6295</v>
      </c>
      <c r="H6848" s="112">
        <v>1</v>
      </c>
    </row>
    <row r="6849" spans="1:12" x14ac:dyDescent="0.2">
      <c r="A6849" s="111">
        <v>7062</v>
      </c>
      <c r="B6849" s="421" t="s">
        <v>1434</v>
      </c>
      <c r="C6849" s="421" t="s">
        <v>503</v>
      </c>
      <c r="D6849" s="422" t="s">
        <v>666</v>
      </c>
      <c r="E6849" s="111">
        <v>44335</v>
      </c>
      <c r="F6849" s="421" t="s">
        <v>12171</v>
      </c>
      <c r="G6849" s="112">
        <v>1</v>
      </c>
      <c r="H6849" s="112">
        <v>2</v>
      </c>
      <c r="I6849" s="112">
        <v>1</v>
      </c>
    </row>
    <row r="6850" spans="1:12" x14ac:dyDescent="0.2">
      <c r="A6850" s="111">
        <v>7063</v>
      </c>
      <c r="B6850" s="421" t="s">
        <v>214</v>
      </c>
      <c r="C6850" s="421" t="s">
        <v>516</v>
      </c>
      <c r="D6850" s="422" t="s">
        <v>666</v>
      </c>
      <c r="E6850" s="111">
        <v>44371</v>
      </c>
      <c r="F6850" s="421" t="s">
        <v>12228</v>
      </c>
    </row>
    <row r="6851" spans="1:12" x14ac:dyDescent="0.2">
      <c r="A6851" s="111">
        <v>7064</v>
      </c>
      <c r="B6851" s="421" t="s">
        <v>98</v>
      </c>
      <c r="C6851" s="421" t="s">
        <v>551</v>
      </c>
      <c r="D6851" s="422" t="s">
        <v>666</v>
      </c>
      <c r="E6851" s="111">
        <v>14148</v>
      </c>
      <c r="F6851" s="421" t="s">
        <v>844</v>
      </c>
    </row>
    <row r="6852" spans="1:12" x14ac:dyDescent="0.2">
      <c r="A6852" s="111">
        <v>7065</v>
      </c>
      <c r="B6852" s="421" t="s">
        <v>3332</v>
      </c>
      <c r="C6852" s="421" t="s">
        <v>503</v>
      </c>
      <c r="D6852" s="422" t="s">
        <v>663</v>
      </c>
      <c r="E6852" s="111">
        <v>14148</v>
      </c>
      <c r="F6852" s="421" t="s">
        <v>844</v>
      </c>
    </row>
    <row r="6853" spans="1:12" x14ac:dyDescent="0.2">
      <c r="A6853" s="111">
        <v>7066</v>
      </c>
      <c r="B6853" s="421" t="s">
        <v>7676</v>
      </c>
      <c r="C6853" s="421" t="s">
        <v>518</v>
      </c>
      <c r="D6853" s="422" t="s">
        <v>663</v>
      </c>
      <c r="E6853" s="111">
        <v>15424</v>
      </c>
      <c r="F6853" s="421" t="s">
        <v>4143</v>
      </c>
      <c r="G6853" s="112">
        <v>1</v>
      </c>
      <c r="H6853" s="112">
        <v>1</v>
      </c>
      <c r="I6853" s="112">
        <v>1</v>
      </c>
      <c r="J6853" s="112">
        <v>1</v>
      </c>
      <c r="K6853" s="112">
        <v>1</v>
      </c>
      <c r="L6853" s="112">
        <v>1</v>
      </c>
    </row>
    <row r="6854" spans="1:12" x14ac:dyDescent="0.2">
      <c r="A6854" s="111">
        <v>7067</v>
      </c>
      <c r="B6854" s="421" t="s">
        <v>8378</v>
      </c>
      <c r="C6854" s="421" t="s">
        <v>501</v>
      </c>
      <c r="D6854" s="422" t="s">
        <v>663</v>
      </c>
      <c r="E6854" s="111">
        <v>44621</v>
      </c>
      <c r="F6854" s="421" t="s">
        <v>16271</v>
      </c>
      <c r="G6854" s="112">
        <v>1</v>
      </c>
      <c r="H6854" s="112">
        <v>1</v>
      </c>
    </row>
    <row r="6855" spans="1:12" x14ac:dyDescent="0.2">
      <c r="A6855" s="111">
        <v>7068</v>
      </c>
      <c r="B6855" s="421" t="s">
        <v>16272</v>
      </c>
      <c r="C6855" s="421" t="s">
        <v>506</v>
      </c>
      <c r="D6855" s="422" t="s">
        <v>663</v>
      </c>
      <c r="F6855" s="421" t="s">
        <v>16273</v>
      </c>
      <c r="G6855" s="112">
        <v>1</v>
      </c>
      <c r="H6855" s="112">
        <v>1</v>
      </c>
      <c r="I6855" s="112">
        <v>1</v>
      </c>
    </row>
    <row r="6856" spans="1:12" x14ac:dyDescent="0.2">
      <c r="A6856" s="111">
        <v>7069</v>
      </c>
      <c r="B6856" s="421" t="s">
        <v>10121</v>
      </c>
      <c r="C6856" s="421" t="s">
        <v>502</v>
      </c>
      <c r="D6856" s="422" t="s">
        <v>663</v>
      </c>
      <c r="F6856" s="421" t="s">
        <v>16274</v>
      </c>
      <c r="G6856" s="112">
        <v>2</v>
      </c>
      <c r="H6856" s="112">
        <v>2</v>
      </c>
      <c r="I6856" s="112">
        <v>1</v>
      </c>
      <c r="K6856" s="112">
        <v>1</v>
      </c>
    </row>
    <row r="6857" spans="1:12" x14ac:dyDescent="0.2">
      <c r="A6857" s="111">
        <v>7070</v>
      </c>
      <c r="B6857" s="421" t="s">
        <v>16275</v>
      </c>
      <c r="C6857" s="421" t="s">
        <v>577</v>
      </c>
      <c r="D6857" s="422" t="s">
        <v>666</v>
      </c>
      <c r="E6857" s="111">
        <v>44622</v>
      </c>
      <c r="F6857" s="421" t="s">
        <v>16276</v>
      </c>
    </row>
    <row r="6858" spans="1:12" x14ac:dyDescent="0.2">
      <c r="A6858" s="111">
        <v>7071</v>
      </c>
      <c r="B6858" s="421" t="s">
        <v>1993</v>
      </c>
      <c r="C6858" s="421" t="s">
        <v>503</v>
      </c>
      <c r="D6858" s="422" t="s">
        <v>666</v>
      </c>
      <c r="E6858" s="111">
        <v>44623</v>
      </c>
      <c r="F6858" s="421" t="s">
        <v>16277</v>
      </c>
      <c r="H6858" s="112">
        <v>1</v>
      </c>
      <c r="I6858" s="112">
        <v>1</v>
      </c>
    </row>
    <row r="6859" spans="1:12" x14ac:dyDescent="0.2">
      <c r="A6859" s="111">
        <v>7072</v>
      </c>
      <c r="B6859" s="421" t="s">
        <v>313</v>
      </c>
      <c r="C6859" s="421" t="s">
        <v>501</v>
      </c>
      <c r="D6859" s="422" t="s">
        <v>663</v>
      </c>
      <c r="F6859" s="421" t="s">
        <v>16278</v>
      </c>
    </row>
    <row r="6860" spans="1:12" x14ac:dyDescent="0.2">
      <c r="A6860" s="111">
        <v>7073</v>
      </c>
      <c r="B6860" s="421" t="s">
        <v>16279</v>
      </c>
      <c r="C6860" s="421" t="s">
        <v>501</v>
      </c>
      <c r="D6860" s="422" t="s">
        <v>666</v>
      </c>
      <c r="F6860" s="421" t="s">
        <v>16280</v>
      </c>
      <c r="G6860" s="112">
        <v>1</v>
      </c>
      <c r="H6860" s="112">
        <v>1</v>
      </c>
      <c r="I6860" s="112">
        <v>1</v>
      </c>
    </row>
    <row r="6861" spans="1:12" x14ac:dyDescent="0.2">
      <c r="A6861" s="111">
        <v>7074</v>
      </c>
      <c r="B6861" s="421" t="s">
        <v>16281</v>
      </c>
      <c r="C6861" s="421" t="s">
        <v>551</v>
      </c>
      <c r="D6861" s="422" t="s">
        <v>666</v>
      </c>
      <c r="E6861" s="111">
        <v>44559</v>
      </c>
      <c r="F6861" s="421" t="s">
        <v>15660</v>
      </c>
      <c r="G6861" s="112">
        <v>1</v>
      </c>
      <c r="H6861" s="112">
        <v>1</v>
      </c>
    </row>
    <row r="6862" spans="1:12" x14ac:dyDescent="0.2">
      <c r="A6862" s="111">
        <v>7075</v>
      </c>
      <c r="B6862" s="421" t="s">
        <v>101</v>
      </c>
      <c r="C6862" s="421" t="s">
        <v>501</v>
      </c>
      <c r="D6862" s="422" t="s">
        <v>663</v>
      </c>
      <c r="F6862" s="421" t="s">
        <v>16282</v>
      </c>
      <c r="G6862" s="112">
        <v>1</v>
      </c>
      <c r="H6862" s="112">
        <v>1</v>
      </c>
      <c r="I6862" s="112">
        <v>1</v>
      </c>
    </row>
    <row r="6863" spans="1:12" x14ac:dyDescent="0.2">
      <c r="A6863" s="111">
        <v>7076</v>
      </c>
      <c r="B6863" s="421" t="s">
        <v>16283</v>
      </c>
      <c r="C6863" s="421" t="s">
        <v>501</v>
      </c>
      <c r="D6863" s="422" t="s">
        <v>663</v>
      </c>
      <c r="E6863" s="111">
        <v>44624</v>
      </c>
      <c r="F6863" s="421" t="s">
        <v>16284</v>
      </c>
      <c r="G6863" s="112">
        <v>1</v>
      </c>
      <c r="H6863" s="112">
        <v>1</v>
      </c>
      <c r="I6863" s="112">
        <v>1</v>
      </c>
      <c r="J6863" s="112">
        <v>1</v>
      </c>
      <c r="K6863" s="112">
        <v>1</v>
      </c>
    </row>
    <row r="6864" spans="1:12" x14ac:dyDescent="0.2">
      <c r="A6864" s="111">
        <v>7077</v>
      </c>
      <c r="B6864" s="421" t="s">
        <v>122</v>
      </c>
      <c r="C6864" s="421" t="s">
        <v>501</v>
      </c>
      <c r="D6864" s="422" t="s">
        <v>663</v>
      </c>
      <c r="E6864" s="111">
        <v>44624</v>
      </c>
      <c r="F6864" s="421" t="s">
        <v>16284</v>
      </c>
      <c r="G6864" s="112">
        <v>1</v>
      </c>
      <c r="H6864" s="112">
        <v>1</v>
      </c>
      <c r="I6864" s="112">
        <v>1</v>
      </c>
    </row>
    <row r="6865" spans="1:12" x14ac:dyDescent="0.2">
      <c r="A6865" s="111">
        <v>7078</v>
      </c>
      <c r="B6865" s="421" t="s">
        <v>16285</v>
      </c>
      <c r="C6865" s="421" t="s">
        <v>506</v>
      </c>
      <c r="D6865" s="422" t="s">
        <v>663</v>
      </c>
      <c r="E6865" s="111">
        <v>44625</v>
      </c>
      <c r="F6865" s="421" t="s">
        <v>16286</v>
      </c>
      <c r="I6865" s="112">
        <v>1</v>
      </c>
    </row>
    <row r="6866" spans="1:12" x14ac:dyDescent="0.2">
      <c r="A6866" s="111">
        <v>7079</v>
      </c>
      <c r="B6866" s="421" t="s">
        <v>488</v>
      </c>
      <c r="C6866" s="421" t="s">
        <v>503</v>
      </c>
      <c r="D6866" s="422" t="s">
        <v>666</v>
      </c>
      <c r="E6866" s="111">
        <v>44626</v>
      </c>
      <c r="F6866" s="421" t="s">
        <v>16287</v>
      </c>
      <c r="G6866" s="112">
        <v>1</v>
      </c>
      <c r="H6866" s="112">
        <v>1</v>
      </c>
      <c r="I6866" s="112">
        <v>1</v>
      </c>
      <c r="J6866" s="112">
        <v>1</v>
      </c>
    </row>
    <row r="6867" spans="1:12" x14ac:dyDescent="0.2">
      <c r="A6867" s="111">
        <v>7080</v>
      </c>
      <c r="B6867" s="421" t="s">
        <v>2234</v>
      </c>
      <c r="C6867" s="421" t="s">
        <v>501</v>
      </c>
      <c r="D6867" s="422" t="s">
        <v>663</v>
      </c>
      <c r="E6867" s="111">
        <v>44627</v>
      </c>
      <c r="F6867" s="421" t="s">
        <v>16288</v>
      </c>
      <c r="G6867" s="112">
        <v>1</v>
      </c>
      <c r="H6867" s="112">
        <v>1</v>
      </c>
    </row>
    <row r="6868" spans="1:12" x14ac:dyDescent="0.2">
      <c r="A6868" s="111">
        <v>7081</v>
      </c>
      <c r="B6868" s="421" t="s">
        <v>1204</v>
      </c>
      <c r="C6868" s="421" t="s">
        <v>501</v>
      </c>
      <c r="D6868" s="422" t="s">
        <v>663</v>
      </c>
      <c r="E6868" s="111">
        <v>44519</v>
      </c>
      <c r="F6868" s="421" t="s">
        <v>15416</v>
      </c>
      <c r="G6868" s="112">
        <v>1</v>
      </c>
      <c r="H6868" s="112">
        <v>1</v>
      </c>
      <c r="I6868" s="112">
        <v>1</v>
      </c>
    </row>
    <row r="6869" spans="1:12" x14ac:dyDescent="0.2">
      <c r="A6869" s="111">
        <v>7082</v>
      </c>
      <c r="B6869" s="421" t="s">
        <v>5898</v>
      </c>
      <c r="C6869" s="421" t="s">
        <v>501</v>
      </c>
      <c r="D6869" s="422" t="s">
        <v>666</v>
      </c>
      <c r="E6869" s="111">
        <v>44628</v>
      </c>
      <c r="F6869" s="421" t="s">
        <v>16289</v>
      </c>
      <c r="G6869" s="112">
        <v>1</v>
      </c>
      <c r="H6869" s="112">
        <v>1</v>
      </c>
      <c r="I6869" s="112">
        <v>1</v>
      </c>
    </row>
    <row r="6870" spans="1:12" x14ac:dyDescent="0.2">
      <c r="A6870" s="111">
        <v>7083</v>
      </c>
      <c r="B6870" s="421" t="s">
        <v>301</v>
      </c>
      <c r="C6870" s="421" t="s">
        <v>540</v>
      </c>
      <c r="D6870" s="422" t="s">
        <v>666</v>
      </c>
      <c r="E6870" s="111">
        <v>16797</v>
      </c>
      <c r="F6870" s="421" t="s">
        <v>2705</v>
      </c>
      <c r="G6870" s="112">
        <v>1</v>
      </c>
      <c r="H6870" s="112">
        <v>2</v>
      </c>
    </row>
    <row r="6871" spans="1:12" x14ac:dyDescent="0.2">
      <c r="A6871" s="111">
        <v>7084</v>
      </c>
      <c r="B6871" s="421" t="s">
        <v>1423</v>
      </c>
      <c r="C6871" s="421" t="s">
        <v>503</v>
      </c>
      <c r="D6871" s="422" t="s">
        <v>663</v>
      </c>
      <c r="E6871" s="111">
        <v>44670</v>
      </c>
      <c r="F6871" s="421" t="s">
        <v>16290</v>
      </c>
      <c r="H6871" s="112">
        <v>1</v>
      </c>
      <c r="I6871" s="112">
        <v>1</v>
      </c>
    </row>
    <row r="6872" spans="1:12" x14ac:dyDescent="0.2">
      <c r="A6872" s="111">
        <v>7085</v>
      </c>
      <c r="B6872" s="421" t="s">
        <v>16291</v>
      </c>
      <c r="C6872" s="421" t="s">
        <v>501</v>
      </c>
      <c r="D6872" s="422" t="s">
        <v>663</v>
      </c>
      <c r="E6872" s="111">
        <v>44418</v>
      </c>
      <c r="F6872" s="421" t="s">
        <v>16292</v>
      </c>
      <c r="G6872" s="112">
        <v>2</v>
      </c>
      <c r="H6872" s="112">
        <v>1</v>
      </c>
      <c r="I6872" s="112">
        <v>2</v>
      </c>
      <c r="L6872" s="112">
        <v>1</v>
      </c>
    </row>
    <row r="6873" spans="1:12" x14ac:dyDescent="0.2">
      <c r="A6873" s="111">
        <v>7086</v>
      </c>
      <c r="B6873" s="421" t="s">
        <v>4637</v>
      </c>
      <c r="C6873" s="421" t="s">
        <v>534</v>
      </c>
      <c r="D6873" s="422" t="s">
        <v>663</v>
      </c>
      <c r="E6873" s="111">
        <v>44629</v>
      </c>
      <c r="F6873" s="421" t="s">
        <v>16293</v>
      </c>
      <c r="H6873" s="112">
        <v>2</v>
      </c>
      <c r="I6873" s="112">
        <v>2</v>
      </c>
    </row>
    <row r="6874" spans="1:12" x14ac:dyDescent="0.2">
      <c r="A6874" s="111">
        <v>7087</v>
      </c>
      <c r="B6874" s="421" t="s">
        <v>16294</v>
      </c>
      <c r="C6874" s="421" t="s">
        <v>515</v>
      </c>
      <c r="D6874" s="422" t="s">
        <v>663</v>
      </c>
      <c r="E6874" s="111">
        <v>44630</v>
      </c>
      <c r="F6874" s="421" t="s">
        <v>16295</v>
      </c>
    </row>
    <row r="6875" spans="1:12" x14ac:dyDescent="0.2">
      <c r="A6875" s="111">
        <v>7088</v>
      </c>
      <c r="B6875" s="421" t="s">
        <v>4194</v>
      </c>
      <c r="C6875" s="421" t="s">
        <v>501</v>
      </c>
      <c r="D6875" s="422" t="s">
        <v>663</v>
      </c>
      <c r="E6875" s="111">
        <v>44631</v>
      </c>
      <c r="F6875" s="421" t="s">
        <v>16296</v>
      </c>
    </row>
    <row r="6876" spans="1:12" x14ac:dyDescent="0.2">
      <c r="A6876" s="111">
        <v>7089</v>
      </c>
      <c r="B6876" s="421" t="s">
        <v>4628</v>
      </c>
      <c r="C6876" s="421" t="s">
        <v>503</v>
      </c>
      <c r="D6876" s="422" t="s">
        <v>666</v>
      </c>
      <c r="E6876" s="111">
        <v>17267</v>
      </c>
      <c r="F6876" s="421" t="s">
        <v>11907</v>
      </c>
      <c r="G6876" s="112">
        <v>2</v>
      </c>
      <c r="H6876" s="112">
        <v>2</v>
      </c>
      <c r="I6876" s="112">
        <v>2</v>
      </c>
      <c r="J6876" s="112">
        <v>1</v>
      </c>
      <c r="K6876" s="112">
        <v>1</v>
      </c>
      <c r="L6876" s="112">
        <v>1</v>
      </c>
    </row>
    <row r="6877" spans="1:12" x14ac:dyDescent="0.2">
      <c r="A6877" s="111">
        <v>7090</v>
      </c>
      <c r="B6877" s="421" t="s">
        <v>16297</v>
      </c>
      <c r="C6877" s="421" t="s">
        <v>1915</v>
      </c>
      <c r="D6877" s="422" t="s">
        <v>663</v>
      </c>
      <c r="E6877" s="111">
        <v>44632</v>
      </c>
      <c r="F6877" s="421" t="s">
        <v>16298</v>
      </c>
    </row>
    <row r="6878" spans="1:12" x14ac:dyDescent="0.2">
      <c r="A6878" s="111">
        <v>7091</v>
      </c>
      <c r="B6878" s="421" t="s">
        <v>484</v>
      </c>
      <c r="C6878" s="421" t="s">
        <v>506</v>
      </c>
      <c r="D6878" s="422" t="s">
        <v>666</v>
      </c>
      <c r="E6878" s="111">
        <v>44632</v>
      </c>
      <c r="F6878" s="421" t="s">
        <v>16298</v>
      </c>
    </row>
    <row r="6879" spans="1:12" x14ac:dyDescent="0.2">
      <c r="A6879" s="111">
        <v>7092</v>
      </c>
      <c r="B6879" s="421" t="s">
        <v>1957</v>
      </c>
      <c r="C6879" s="421" t="s">
        <v>1817</v>
      </c>
      <c r="D6879" s="422" t="s">
        <v>663</v>
      </c>
      <c r="E6879" s="111">
        <v>44634</v>
      </c>
      <c r="F6879" s="421" t="s">
        <v>16299</v>
      </c>
      <c r="G6879" s="112">
        <v>1</v>
      </c>
      <c r="H6879" s="112">
        <v>1</v>
      </c>
      <c r="I6879" s="112">
        <v>1</v>
      </c>
    </row>
    <row r="6880" spans="1:12" x14ac:dyDescent="0.2">
      <c r="A6880" s="111">
        <v>7093</v>
      </c>
      <c r="B6880" s="421" t="s">
        <v>1771</v>
      </c>
      <c r="C6880" s="421" t="s">
        <v>501</v>
      </c>
      <c r="D6880" s="422" t="s">
        <v>666</v>
      </c>
      <c r="E6880" s="111">
        <v>44724</v>
      </c>
      <c r="F6880" s="421" t="s">
        <v>15629</v>
      </c>
    </row>
    <row r="6881" spans="1:12" x14ac:dyDescent="0.2">
      <c r="A6881" s="111">
        <v>7094</v>
      </c>
      <c r="B6881" s="421" t="s">
        <v>93</v>
      </c>
      <c r="C6881" s="421" t="s">
        <v>561</v>
      </c>
      <c r="D6881" s="422" t="s">
        <v>663</v>
      </c>
      <c r="F6881" s="421" t="s">
        <v>16378</v>
      </c>
    </row>
    <row r="6882" spans="1:12" x14ac:dyDescent="0.2">
      <c r="A6882" s="111">
        <v>7095</v>
      </c>
      <c r="B6882" s="421" t="s">
        <v>1092</v>
      </c>
      <c r="C6882" s="421" t="s">
        <v>512</v>
      </c>
      <c r="D6882" s="422" t="s">
        <v>663</v>
      </c>
      <c r="E6882" s="111">
        <v>44635</v>
      </c>
      <c r="F6882" s="421" t="s">
        <v>16379</v>
      </c>
      <c r="H6882" s="112">
        <v>1</v>
      </c>
      <c r="I6882" s="112">
        <v>1</v>
      </c>
    </row>
    <row r="6883" spans="1:12" x14ac:dyDescent="0.2">
      <c r="A6883" s="111">
        <v>7096</v>
      </c>
      <c r="B6883" s="421" t="s">
        <v>3235</v>
      </c>
      <c r="C6883" s="421" t="s">
        <v>521</v>
      </c>
      <c r="D6883" s="422" t="s">
        <v>663</v>
      </c>
      <c r="F6883" s="421" t="s">
        <v>16380</v>
      </c>
      <c r="G6883" s="112">
        <v>1</v>
      </c>
      <c r="H6883" s="112">
        <v>1</v>
      </c>
      <c r="I6883" s="112">
        <v>1</v>
      </c>
    </row>
    <row r="6884" spans="1:12" x14ac:dyDescent="0.2">
      <c r="A6884" s="111">
        <v>7097</v>
      </c>
      <c r="B6884" s="421" t="s">
        <v>7545</v>
      </c>
      <c r="C6884" s="421" t="s">
        <v>512</v>
      </c>
      <c r="D6884" s="422" t="s">
        <v>663</v>
      </c>
      <c r="E6884" s="111">
        <v>44636</v>
      </c>
      <c r="F6884" s="421" t="s">
        <v>16381</v>
      </c>
      <c r="G6884" s="112">
        <v>1</v>
      </c>
      <c r="H6884" s="112">
        <v>1</v>
      </c>
      <c r="I6884" s="112">
        <v>1</v>
      </c>
    </row>
    <row r="6885" spans="1:12" x14ac:dyDescent="0.2">
      <c r="A6885" s="111">
        <v>7098</v>
      </c>
      <c r="B6885" s="421" t="s">
        <v>2096</v>
      </c>
      <c r="C6885" s="421" t="s">
        <v>501</v>
      </c>
      <c r="D6885" s="422" t="s">
        <v>666</v>
      </c>
      <c r="F6885" s="421" t="s">
        <v>16382</v>
      </c>
    </row>
    <row r="6886" spans="1:12" x14ac:dyDescent="0.2">
      <c r="A6886" s="111">
        <v>7099</v>
      </c>
      <c r="B6886" s="421" t="s">
        <v>4634</v>
      </c>
      <c r="C6886" s="421" t="s">
        <v>503</v>
      </c>
      <c r="D6886" s="422" t="s">
        <v>666</v>
      </c>
      <c r="F6886" s="421" t="s">
        <v>16382</v>
      </c>
    </row>
    <row r="6887" spans="1:12" x14ac:dyDescent="0.2">
      <c r="A6887" s="111">
        <v>7100</v>
      </c>
      <c r="B6887" s="421" t="s">
        <v>16383</v>
      </c>
      <c r="C6887" s="421" t="s">
        <v>501</v>
      </c>
      <c r="D6887" s="422" t="s">
        <v>666</v>
      </c>
      <c r="E6887" s="111">
        <v>44638</v>
      </c>
      <c r="F6887" s="421" t="s">
        <v>16384</v>
      </c>
    </row>
    <row r="6888" spans="1:12" x14ac:dyDescent="0.2">
      <c r="A6888" s="111">
        <v>7101</v>
      </c>
      <c r="B6888" s="421" t="s">
        <v>1543</v>
      </c>
      <c r="C6888" s="421" t="s">
        <v>532</v>
      </c>
      <c r="D6888" s="422" t="s">
        <v>663</v>
      </c>
      <c r="E6888" s="111">
        <v>44648</v>
      </c>
      <c r="F6888" s="421" t="s">
        <v>16385</v>
      </c>
      <c r="G6888" s="112">
        <v>1</v>
      </c>
      <c r="H6888" s="112">
        <v>1</v>
      </c>
      <c r="I6888" s="112">
        <v>1</v>
      </c>
      <c r="L6888" s="112">
        <v>1</v>
      </c>
    </row>
    <row r="6889" spans="1:12" x14ac:dyDescent="0.2">
      <c r="A6889" s="111">
        <v>7102</v>
      </c>
      <c r="B6889" s="421" t="s">
        <v>16386</v>
      </c>
      <c r="C6889" s="421" t="s">
        <v>1908</v>
      </c>
      <c r="D6889" s="422" t="s">
        <v>666</v>
      </c>
      <c r="E6889" s="111">
        <v>44639</v>
      </c>
      <c r="F6889" s="421" t="s">
        <v>16387</v>
      </c>
    </row>
    <row r="6890" spans="1:12" x14ac:dyDescent="0.2">
      <c r="A6890" s="111">
        <v>7103</v>
      </c>
      <c r="B6890" s="421" t="s">
        <v>16388</v>
      </c>
      <c r="C6890" s="421" t="s">
        <v>501</v>
      </c>
      <c r="D6890" s="422" t="s">
        <v>666</v>
      </c>
      <c r="E6890" s="111">
        <v>44640</v>
      </c>
      <c r="F6890" s="421" t="s">
        <v>16389</v>
      </c>
      <c r="G6890" s="112">
        <v>1</v>
      </c>
      <c r="H6890" s="112">
        <v>1</v>
      </c>
      <c r="I6890" s="112">
        <v>1</v>
      </c>
    </row>
    <row r="6891" spans="1:12" x14ac:dyDescent="0.2">
      <c r="A6891" s="111">
        <v>7104</v>
      </c>
      <c r="B6891" s="421" t="s">
        <v>16390</v>
      </c>
      <c r="C6891" s="421" t="s">
        <v>501</v>
      </c>
      <c r="D6891" s="422" t="s">
        <v>663</v>
      </c>
      <c r="E6891" s="111">
        <v>44641</v>
      </c>
      <c r="F6891" s="421" t="s">
        <v>16391</v>
      </c>
      <c r="G6891" s="112">
        <v>1</v>
      </c>
      <c r="H6891" s="112">
        <v>1</v>
      </c>
      <c r="I6891" s="112">
        <v>1</v>
      </c>
      <c r="J6891" s="112">
        <v>1</v>
      </c>
      <c r="K6891" s="112">
        <v>1</v>
      </c>
      <c r="L6891" s="112">
        <v>1</v>
      </c>
    </row>
    <row r="6892" spans="1:12" x14ac:dyDescent="0.2">
      <c r="A6892" s="111">
        <v>7105</v>
      </c>
      <c r="B6892" s="421" t="s">
        <v>166</v>
      </c>
      <c r="C6892" s="421" t="s">
        <v>577</v>
      </c>
      <c r="D6892" s="422" t="s">
        <v>666</v>
      </c>
      <c r="E6892" s="111">
        <v>44646</v>
      </c>
      <c r="F6892" s="421" t="s">
        <v>16392</v>
      </c>
      <c r="G6892" s="112">
        <v>2</v>
      </c>
      <c r="H6892" s="112">
        <v>1</v>
      </c>
      <c r="I6892" s="112">
        <v>2</v>
      </c>
    </row>
    <row r="6893" spans="1:12" x14ac:dyDescent="0.2">
      <c r="A6893" s="111">
        <v>7106</v>
      </c>
      <c r="B6893" s="421" t="s">
        <v>16393</v>
      </c>
      <c r="C6893" s="421" t="s">
        <v>574</v>
      </c>
      <c r="D6893" s="422" t="s">
        <v>663</v>
      </c>
      <c r="E6893" s="111">
        <v>44643</v>
      </c>
      <c r="F6893" s="421" t="s">
        <v>16394</v>
      </c>
    </row>
    <row r="6894" spans="1:12" x14ac:dyDescent="0.2">
      <c r="A6894" s="111">
        <v>7107</v>
      </c>
      <c r="B6894" s="421" t="s">
        <v>3774</v>
      </c>
      <c r="C6894" s="421" t="s">
        <v>501</v>
      </c>
      <c r="D6894" s="422" t="s">
        <v>663</v>
      </c>
      <c r="E6894" s="111">
        <v>44094</v>
      </c>
      <c r="F6894" s="421" t="s">
        <v>11164</v>
      </c>
      <c r="H6894" s="112">
        <v>1</v>
      </c>
      <c r="I6894" s="112">
        <v>1</v>
      </c>
    </row>
    <row r="6895" spans="1:12" x14ac:dyDescent="0.2">
      <c r="A6895" s="111">
        <v>7108</v>
      </c>
      <c r="B6895" s="421" t="s">
        <v>16781</v>
      </c>
      <c r="C6895" s="421" t="s">
        <v>581</v>
      </c>
      <c r="D6895" s="422" t="s">
        <v>663</v>
      </c>
      <c r="E6895" s="111">
        <v>44544</v>
      </c>
      <c r="F6895" s="421" t="s">
        <v>15489</v>
      </c>
    </row>
    <row r="6896" spans="1:12" x14ac:dyDescent="0.2">
      <c r="A6896" s="111">
        <v>7109</v>
      </c>
      <c r="B6896" s="421" t="s">
        <v>16782</v>
      </c>
      <c r="C6896" s="421" t="s">
        <v>518</v>
      </c>
      <c r="D6896" s="422" t="s">
        <v>663</v>
      </c>
      <c r="E6896" s="111">
        <v>44703</v>
      </c>
      <c r="F6896" s="421" t="s">
        <v>16783</v>
      </c>
      <c r="G6896" s="112">
        <v>1</v>
      </c>
      <c r="H6896" s="112">
        <v>1</v>
      </c>
    </row>
    <row r="6897" spans="1:12" x14ac:dyDescent="0.2">
      <c r="A6897" s="111">
        <v>7110</v>
      </c>
      <c r="B6897" s="421" t="s">
        <v>16784</v>
      </c>
      <c r="C6897" s="421" t="s">
        <v>501</v>
      </c>
      <c r="D6897" s="422" t="s">
        <v>663</v>
      </c>
      <c r="E6897" s="111">
        <v>44676</v>
      </c>
      <c r="F6897" s="421" t="s">
        <v>16785</v>
      </c>
      <c r="G6897" s="112">
        <v>1</v>
      </c>
      <c r="H6897" s="112">
        <v>2</v>
      </c>
      <c r="I6897" s="112">
        <v>1</v>
      </c>
    </row>
    <row r="6898" spans="1:12" x14ac:dyDescent="0.2">
      <c r="A6898" s="111">
        <v>7111</v>
      </c>
      <c r="B6898" s="421" t="s">
        <v>16786</v>
      </c>
      <c r="C6898" s="421" t="s">
        <v>2412</v>
      </c>
      <c r="D6898" s="422" t="s">
        <v>663</v>
      </c>
      <c r="E6898" s="111">
        <v>15729</v>
      </c>
      <c r="F6898" s="421" t="s">
        <v>5222</v>
      </c>
      <c r="H6898" s="112">
        <v>3</v>
      </c>
      <c r="I6898" s="112">
        <v>2</v>
      </c>
    </row>
    <row r="6899" spans="1:12" x14ac:dyDescent="0.2">
      <c r="A6899" s="111">
        <v>7112</v>
      </c>
      <c r="B6899" s="421" t="s">
        <v>2792</v>
      </c>
      <c r="C6899" s="421" t="s">
        <v>535</v>
      </c>
      <c r="D6899" s="422" t="s">
        <v>666</v>
      </c>
      <c r="E6899" s="111">
        <v>44644</v>
      </c>
      <c r="F6899" s="421" t="s">
        <v>16787</v>
      </c>
      <c r="G6899" s="112">
        <v>3</v>
      </c>
      <c r="H6899" s="112">
        <v>1</v>
      </c>
      <c r="I6899" s="112">
        <v>2</v>
      </c>
    </row>
    <row r="6900" spans="1:12" x14ac:dyDescent="0.2">
      <c r="A6900" s="111">
        <v>7113</v>
      </c>
      <c r="B6900" s="421" t="s">
        <v>16788</v>
      </c>
      <c r="C6900" s="421" t="s">
        <v>516</v>
      </c>
      <c r="D6900" s="422" t="s">
        <v>663</v>
      </c>
      <c r="E6900" s="111">
        <v>44645</v>
      </c>
      <c r="F6900" s="421" t="s">
        <v>16789</v>
      </c>
      <c r="G6900" s="112">
        <v>1</v>
      </c>
      <c r="H6900" s="112">
        <v>1</v>
      </c>
      <c r="I6900" s="112">
        <v>1</v>
      </c>
    </row>
    <row r="6901" spans="1:12" x14ac:dyDescent="0.2">
      <c r="A6901" s="111">
        <v>7114</v>
      </c>
      <c r="B6901" s="421" t="s">
        <v>16790</v>
      </c>
      <c r="C6901" s="421" t="s">
        <v>501</v>
      </c>
      <c r="D6901" s="422" t="s">
        <v>663</v>
      </c>
      <c r="E6901" s="111">
        <v>44570</v>
      </c>
      <c r="F6901" s="421" t="s">
        <v>15466</v>
      </c>
    </row>
    <row r="6902" spans="1:12" x14ac:dyDescent="0.2">
      <c r="A6902" s="111">
        <v>7115</v>
      </c>
      <c r="B6902" s="421" t="s">
        <v>16791</v>
      </c>
      <c r="C6902" s="421" t="s">
        <v>516</v>
      </c>
      <c r="D6902" s="422" t="s">
        <v>666</v>
      </c>
      <c r="F6902" s="421" t="s">
        <v>16792</v>
      </c>
    </row>
    <row r="6903" spans="1:12" x14ac:dyDescent="0.2">
      <c r="A6903" s="111">
        <v>7116</v>
      </c>
      <c r="B6903" s="421" t="s">
        <v>16793</v>
      </c>
      <c r="C6903" s="421" t="s">
        <v>506</v>
      </c>
      <c r="D6903" s="422" t="s">
        <v>663</v>
      </c>
      <c r="E6903" s="111">
        <v>44647</v>
      </c>
      <c r="F6903" s="421" t="s">
        <v>16794</v>
      </c>
      <c r="G6903" s="112">
        <v>1</v>
      </c>
    </row>
    <row r="6904" spans="1:12" x14ac:dyDescent="0.2">
      <c r="A6904" s="111">
        <v>7117</v>
      </c>
      <c r="B6904" s="421" t="s">
        <v>12178</v>
      </c>
      <c r="C6904" s="421" t="s">
        <v>520</v>
      </c>
      <c r="D6904" s="422" t="s">
        <v>663</v>
      </c>
      <c r="E6904" s="111">
        <v>17063</v>
      </c>
      <c r="F6904" s="421" t="s">
        <v>9830</v>
      </c>
      <c r="G6904" s="112">
        <v>2</v>
      </c>
      <c r="H6904" s="112">
        <v>1</v>
      </c>
      <c r="I6904" s="112">
        <v>2</v>
      </c>
    </row>
    <row r="6905" spans="1:12" x14ac:dyDescent="0.2">
      <c r="A6905" s="111">
        <v>7118</v>
      </c>
      <c r="B6905" s="421" t="s">
        <v>2751</v>
      </c>
      <c r="C6905" s="421" t="s">
        <v>502</v>
      </c>
      <c r="D6905" s="422" t="s">
        <v>663</v>
      </c>
      <c r="F6905" s="421" t="s">
        <v>16795</v>
      </c>
      <c r="G6905" s="112">
        <v>1</v>
      </c>
      <c r="H6905" s="112">
        <v>1</v>
      </c>
      <c r="I6905" s="112">
        <v>1</v>
      </c>
      <c r="K6905" s="112">
        <v>1</v>
      </c>
    </row>
    <row r="6906" spans="1:12" x14ac:dyDescent="0.2">
      <c r="A6906" s="111">
        <v>7119</v>
      </c>
      <c r="B6906" s="421" t="s">
        <v>16796</v>
      </c>
      <c r="C6906" s="421" t="s">
        <v>5509</v>
      </c>
      <c r="D6906" s="422" t="s">
        <v>666</v>
      </c>
      <c r="E6906" s="111">
        <v>44649</v>
      </c>
      <c r="F6906" s="421" t="s">
        <v>16797</v>
      </c>
      <c r="G6906" s="112">
        <v>1</v>
      </c>
      <c r="H6906" s="112">
        <v>2</v>
      </c>
      <c r="I6906" s="112">
        <v>1</v>
      </c>
    </row>
    <row r="6907" spans="1:12" x14ac:dyDescent="0.2">
      <c r="A6907" s="111">
        <v>7120</v>
      </c>
      <c r="B6907" s="421" t="s">
        <v>448</v>
      </c>
      <c r="C6907" s="421" t="s">
        <v>1870</v>
      </c>
      <c r="D6907" s="422" t="s">
        <v>666</v>
      </c>
      <c r="E6907" s="111">
        <v>44650</v>
      </c>
      <c r="F6907" s="421" t="s">
        <v>16798</v>
      </c>
      <c r="G6907" s="112">
        <v>2</v>
      </c>
      <c r="H6907" s="112">
        <v>1</v>
      </c>
      <c r="I6907" s="112">
        <v>1</v>
      </c>
    </row>
    <row r="6908" spans="1:12" x14ac:dyDescent="0.2">
      <c r="A6908" s="111">
        <v>7121</v>
      </c>
      <c r="B6908" s="421" t="s">
        <v>5060</v>
      </c>
      <c r="C6908" s="421" t="s">
        <v>534</v>
      </c>
      <c r="D6908" s="422" t="s">
        <v>666</v>
      </c>
      <c r="E6908" s="111">
        <v>44651</v>
      </c>
      <c r="F6908" s="421" t="s">
        <v>16799</v>
      </c>
      <c r="H6908" s="112">
        <v>1</v>
      </c>
      <c r="I6908" s="112">
        <v>1</v>
      </c>
    </row>
    <row r="6909" spans="1:12" x14ac:dyDescent="0.2">
      <c r="A6909" s="111">
        <v>7122</v>
      </c>
      <c r="B6909" s="421" t="s">
        <v>16800</v>
      </c>
      <c r="C6909" s="421" t="s">
        <v>501</v>
      </c>
      <c r="D6909" s="422" t="s">
        <v>666</v>
      </c>
      <c r="E6909" s="111">
        <v>44652</v>
      </c>
      <c r="F6909" s="421" t="s">
        <v>16801</v>
      </c>
      <c r="H6909" s="112">
        <v>1</v>
      </c>
      <c r="I6909" s="112">
        <v>1</v>
      </c>
    </row>
    <row r="6910" spans="1:12" x14ac:dyDescent="0.2">
      <c r="A6910" s="111">
        <v>7123</v>
      </c>
      <c r="B6910" s="421" t="s">
        <v>16802</v>
      </c>
      <c r="C6910" s="421" t="s">
        <v>2338</v>
      </c>
      <c r="D6910" s="422" t="s">
        <v>666</v>
      </c>
      <c r="E6910" s="111">
        <v>44653</v>
      </c>
      <c r="F6910" s="421" t="s">
        <v>16803</v>
      </c>
      <c r="G6910" s="112">
        <v>1</v>
      </c>
      <c r="H6910" s="112">
        <v>1</v>
      </c>
      <c r="I6910" s="112">
        <v>1</v>
      </c>
      <c r="J6910" s="112">
        <v>2</v>
      </c>
      <c r="K6910" s="112">
        <v>1</v>
      </c>
      <c r="L6910" s="112">
        <v>1</v>
      </c>
    </row>
    <row r="6911" spans="1:12" x14ac:dyDescent="0.2">
      <c r="A6911" s="111">
        <v>7124</v>
      </c>
      <c r="B6911" s="421" t="s">
        <v>16804</v>
      </c>
      <c r="C6911" s="421" t="s">
        <v>523</v>
      </c>
      <c r="D6911" s="422" t="s">
        <v>666</v>
      </c>
      <c r="E6911" s="111">
        <v>44655</v>
      </c>
      <c r="F6911" s="421" t="s">
        <v>16805</v>
      </c>
    </row>
    <row r="6912" spans="1:12" x14ac:dyDescent="0.2">
      <c r="A6912" s="111">
        <v>7125</v>
      </c>
      <c r="B6912" s="421" t="s">
        <v>2433</v>
      </c>
      <c r="C6912" s="421" t="s">
        <v>519</v>
      </c>
      <c r="D6912" s="422" t="s">
        <v>663</v>
      </c>
      <c r="F6912" s="421" t="s">
        <v>3381</v>
      </c>
    </row>
    <row r="6913" spans="1:12" x14ac:dyDescent="0.2">
      <c r="A6913" s="111">
        <v>7126</v>
      </c>
      <c r="B6913" s="421" t="s">
        <v>6143</v>
      </c>
      <c r="C6913" s="421" t="s">
        <v>516</v>
      </c>
      <c r="D6913" s="422" t="s">
        <v>666</v>
      </c>
      <c r="E6913" s="111">
        <v>44656</v>
      </c>
      <c r="F6913" s="421" t="s">
        <v>16806</v>
      </c>
    </row>
    <row r="6914" spans="1:12" x14ac:dyDescent="0.2">
      <c r="A6914" s="111">
        <v>7127</v>
      </c>
      <c r="B6914" s="421" t="s">
        <v>16807</v>
      </c>
      <c r="C6914" s="421" t="s">
        <v>533</v>
      </c>
      <c r="D6914" s="422" t="s">
        <v>666</v>
      </c>
      <c r="F6914" s="421" t="s">
        <v>16808</v>
      </c>
      <c r="G6914" s="112">
        <v>1</v>
      </c>
      <c r="I6914" s="112">
        <v>1</v>
      </c>
    </row>
    <row r="6915" spans="1:12" x14ac:dyDescent="0.2">
      <c r="A6915" s="111">
        <v>7128</v>
      </c>
      <c r="B6915" s="421" t="s">
        <v>2135</v>
      </c>
      <c r="C6915" s="421" t="s">
        <v>506</v>
      </c>
      <c r="D6915" s="422" t="s">
        <v>666</v>
      </c>
      <c r="E6915" s="111">
        <v>16345</v>
      </c>
      <c r="F6915" s="421" t="s">
        <v>7234</v>
      </c>
    </row>
    <row r="6916" spans="1:12" x14ac:dyDescent="0.2">
      <c r="A6916" s="111">
        <v>7130</v>
      </c>
      <c r="B6916" s="421" t="s">
        <v>3367</v>
      </c>
      <c r="C6916" s="421" t="s">
        <v>503</v>
      </c>
      <c r="D6916" s="422" t="s">
        <v>666</v>
      </c>
      <c r="E6916" s="111">
        <v>17255</v>
      </c>
      <c r="F6916" s="421" t="s">
        <v>10431</v>
      </c>
      <c r="G6916" s="112">
        <v>1</v>
      </c>
      <c r="H6916" s="112">
        <v>1</v>
      </c>
      <c r="I6916" s="112">
        <v>1</v>
      </c>
    </row>
    <row r="6917" spans="1:12" x14ac:dyDescent="0.2">
      <c r="A6917" s="111">
        <v>7131</v>
      </c>
      <c r="B6917" s="421" t="s">
        <v>16809</v>
      </c>
      <c r="C6917" s="421" t="s">
        <v>540</v>
      </c>
      <c r="D6917" s="422" t="s">
        <v>663</v>
      </c>
      <c r="E6917" s="111">
        <v>44658</v>
      </c>
      <c r="F6917" s="421" t="s">
        <v>16810</v>
      </c>
      <c r="G6917" s="112">
        <v>1</v>
      </c>
      <c r="H6917" s="112">
        <v>1</v>
      </c>
      <c r="I6917" s="112">
        <v>1</v>
      </c>
      <c r="J6917" s="112">
        <v>1</v>
      </c>
      <c r="K6917" s="112">
        <v>1</v>
      </c>
      <c r="L6917" s="112">
        <v>1</v>
      </c>
    </row>
    <row r="6918" spans="1:12" x14ac:dyDescent="0.2">
      <c r="A6918" s="111">
        <v>7132</v>
      </c>
      <c r="B6918" s="421" t="s">
        <v>1961</v>
      </c>
      <c r="C6918" s="421" t="s">
        <v>520</v>
      </c>
      <c r="D6918" s="422" t="s">
        <v>666</v>
      </c>
      <c r="E6918" s="111">
        <v>44660</v>
      </c>
      <c r="F6918" s="421" t="s">
        <v>16811</v>
      </c>
      <c r="G6918" s="112">
        <v>1</v>
      </c>
      <c r="H6918" s="112">
        <v>1</v>
      </c>
      <c r="I6918" s="112">
        <v>1</v>
      </c>
      <c r="J6918" s="112">
        <v>1</v>
      </c>
      <c r="L6918" s="112">
        <v>1</v>
      </c>
    </row>
    <row r="6919" spans="1:12" x14ac:dyDescent="0.2">
      <c r="A6919" s="111">
        <v>7133</v>
      </c>
      <c r="B6919" s="421" t="s">
        <v>16812</v>
      </c>
      <c r="C6919" s="421" t="s">
        <v>534</v>
      </c>
      <c r="D6919" s="422" t="s">
        <v>663</v>
      </c>
      <c r="E6919" s="111">
        <v>44661</v>
      </c>
      <c r="F6919" s="421" t="s">
        <v>16813</v>
      </c>
    </row>
    <row r="6920" spans="1:12" x14ac:dyDescent="0.2">
      <c r="A6920" s="111">
        <v>7134</v>
      </c>
      <c r="B6920" s="421" t="s">
        <v>16814</v>
      </c>
      <c r="C6920" s="421" t="s">
        <v>6561</v>
      </c>
      <c r="D6920" s="422" t="s">
        <v>666</v>
      </c>
      <c r="F6920" s="421" t="s">
        <v>16815</v>
      </c>
    </row>
    <row r="6921" spans="1:12" x14ac:dyDescent="0.2">
      <c r="A6921" s="111">
        <v>7135</v>
      </c>
      <c r="B6921" s="421" t="s">
        <v>16816</v>
      </c>
      <c r="C6921" s="421" t="s">
        <v>1103</v>
      </c>
      <c r="D6921" s="422" t="s">
        <v>666</v>
      </c>
      <c r="E6921" s="111">
        <v>44663</v>
      </c>
      <c r="F6921" s="421" t="s">
        <v>16817</v>
      </c>
    </row>
    <row r="6922" spans="1:12" x14ac:dyDescent="0.2">
      <c r="A6922" s="111">
        <v>7136</v>
      </c>
      <c r="B6922" s="421" t="s">
        <v>1092</v>
      </c>
      <c r="C6922" s="421" t="s">
        <v>506</v>
      </c>
      <c r="D6922" s="422" t="s">
        <v>663</v>
      </c>
      <c r="E6922" s="111">
        <v>44665</v>
      </c>
      <c r="F6922" s="421" t="s">
        <v>16818</v>
      </c>
    </row>
    <row r="6923" spans="1:12" x14ac:dyDescent="0.2">
      <c r="A6923" s="111">
        <v>7137</v>
      </c>
      <c r="B6923" s="421" t="s">
        <v>641</v>
      </c>
      <c r="C6923" s="421" t="s">
        <v>533</v>
      </c>
      <c r="D6923" s="422" t="s">
        <v>663</v>
      </c>
      <c r="E6923" s="111">
        <v>16757</v>
      </c>
      <c r="F6923" s="421" t="s">
        <v>8657</v>
      </c>
      <c r="G6923" s="112">
        <v>1</v>
      </c>
      <c r="H6923" s="112">
        <v>1</v>
      </c>
    </row>
    <row r="6924" spans="1:12" x14ac:dyDescent="0.2">
      <c r="A6924" s="111">
        <v>7138</v>
      </c>
      <c r="B6924" s="421" t="s">
        <v>5011</v>
      </c>
      <c r="C6924" s="421" t="s">
        <v>521</v>
      </c>
      <c r="D6924" s="422" t="s">
        <v>666</v>
      </c>
      <c r="E6924" s="111">
        <v>14374</v>
      </c>
      <c r="F6924" s="421" t="s">
        <v>1235</v>
      </c>
      <c r="H6924" s="112">
        <v>1</v>
      </c>
      <c r="I6924" s="112">
        <v>1</v>
      </c>
    </row>
    <row r="6925" spans="1:12" x14ac:dyDescent="0.2">
      <c r="A6925" s="111">
        <v>7139</v>
      </c>
      <c r="B6925" s="421" t="s">
        <v>186</v>
      </c>
      <c r="C6925" s="421" t="s">
        <v>1201</v>
      </c>
      <c r="D6925" s="422" t="s">
        <v>663</v>
      </c>
      <c r="E6925" s="111">
        <v>44667</v>
      </c>
      <c r="F6925" s="421" t="s">
        <v>16819</v>
      </c>
      <c r="G6925" s="112">
        <v>1</v>
      </c>
      <c r="H6925" s="112">
        <v>1</v>
      </c>
      <c r="I6925" s="112">
        <v>1</v>
      </c>
    </row>
    <row r="6926" spans="1:12" x14ac:dyDescent="0.2">
      <c r="A6926" s="111">
        <v>7140</v>
      </c>
      <c r="B6926" s="421" t="s">
        <v>12217</v>
      </c>
      <c r="C6926" s="421" t="s">
        <v>551</v>
      </c>
      <c r="D6926" s="422" t="s">
        <v>666</v>
      </c>
      <c r="E6926" s="111">
        <v>44077</v>
      </c>
      <c r="F6926" s="421" t="s">
        <v>11142</v>
      </c>
      <c r="G6926" s="112">
        <v>1</v>
      </c>
      <c r="H6926" s="112">
        <v>1</v>
      </c>
      <c r="I6926" s="112">
        <v>1</v>
      </c>
    </row>
    <row r="6927" spans="1:12" x14ac:dyDescent="0.2">
      <c r="A6927" s="111">
        <v>7141</v>
      </c>
      <c r="B6927" s="421" t="s">
        <v>11576</v>
      </c>
      <c r="C6927" s="421" t="s">
        <v>530</v>
      </c>
      <c r="D6927" s="422" t="s">
        <v>666</v>
      </c>
      <c r="F6927" s="421" t="s">
        <v>16820</v>
      </c>
      <c r="G6927" s="112">
        <v>1</v>
      </c>
      <c r="H6927" s="112">
        <v>1</v>
      </c>
    </row>
    <row r="6928" spans="1:12" x14ac:dyDescent="0.2">
      <c r="A6928" s="111">
        <v>7142</v>
      </c>
      <c r="B6928" s="421" t="s">
        <v>16821</v>
      </c>
      <c r="C6928" s="421" t="s">
        <v>577</v>
      </c>
      <c r="D6928" s="422" t="s">
        <v>663</v>
      </c>
      <c r="E6928" s="111">
        <v>44668</v>
      </c>
      <c r="F6928" s="421" t="s">
        <v>16822</v>
      </c>
      <c r="G6928" s="112">
        <v>1</v>
      </c>
      <c r="H6928" s="112">
        <v>2</v>
      </c>
      <c r="I6928" s="112">
        <v>2</v>
      </c>
      <c r="J6928" s="112">
        <v>2</v>
      </c>
      <c r="K6928" s="112">
        <v>2</v>
      </c>
      <c r="L6928" s="112">
        <v>1</v>
      </c>
    </row>
    <row r="6929" spans="1:11" x14ac:dyDescent="0.2">
      <c r="A6929" s="111">
        <v>7143</v>
      </c>
      <c r="B6929" s="421" t="s">
        <v>4630</v>
      </c>
      <c r="C6929" s="421" t="s">
        <v>3555</v>
      </c>
      <c r="D6929" s="422" t="s">
        <v>663</v>
      </c>
      <c r="E6929" s="111">
        <v>44228</v>
      </c>
      <c r="F6929" s="421" t="s">
        <v>11660</v>
      </c>
    </row>
    <row r="6930" spans="1:11" x14ac:dyDescent="0.2">
      <c r="A6930" s="111">
        <v>7144</v>
      </c>
      <c r="B6930" s="421" t="s">
        <v>16823</v>
      </c>
      <c r="C6930" s="421" t="s">
        <v>516</v>
      </c>
      <c r="D6930" s="422" t="s">
        <v>663</v>
      </c>
      <c r="E6930" s="111">
        <v>44669</v>
      </c>
      <c r="F6930" s="421" t="s">
        <v>16824</v>
      </c>
      <c r="G6930" s="112">
        <v>1</v>
      </c>
    </row>
    <row r="6931" spans="1:11" x14ac:dyDescent="0.2">
      <c r="A6931" s="111">
        <v>7145</v>
      </c>
      <c r="B6931" s="421" t="s">
        <v>443</v>
      </c>
      <c r="C6931" s="421" t="s">
        <v>551</v>
      </c>
      <c r="D6931" s="422" t="s">
        <v>663</v>
      </c>
      <c r="E6931" s="111">
        <v>44671</v>
      </c>
      <c r="F6931" s="421" t="s">
        <v>16825</v>
      </c>
      <c r="G6931" s="112">
        <v>1</v>
      </c>
      <c r="H6931" s="112">
        <v>1</v>
      </c>
      <c r="I6931" s="112">
        <v>1</v>
      </c>
    </row>
    <row r="6932" spans="1:11" x14ac:dyDescent="0.2">
      <c r="A6932" s="111">
        <v>7146</v>
      </c>
      <c r="B6932" s="421" t="s">
        <v>16826</v>
      </c>
      <c r="C6932" s="421" t="s">
        <v>2335</v>
      </c>
      <c r="D6932" s="422" t="s">
        <v>663</v>
      </c>
      <c r="E6932" s="111">
        <v>16246</v>
      </c>
      <c r="F6932" s="421" t="s">
        <v>6506</v>
      </c>
    </row>
    <row r="6933" spans="1:11" x14ac:dyDescent="0.2">
      <c r="A6933" s="111">
        <v>7147</v>
      </c>
      <c r="B6933" s="421" t="s">
        <v>1407</v>
      </c>
      <c r="C6933" s="421" t="s">
        <v>506</v>
      </c>
      <c r="D6933" s="422" t="s">
        <v>663</v>
      </c>
      <c r="E6933" s="111">
        <v>44672</v>
      </c>
      <c r="F6933" s="421" t="s">
        <v>16827</v>
      </c>
    </row>
    <row r="6934" spans="1:11" x14ac:dyDescent="0.2">
      <c r="A6934" s="111">
        <v>7148</v>
      </c>
      <c r="B6934" s="421" t="s">
        <v>16828</v>
      </c>
      <c r="C6934" s="421" t="s">
        <v>550</v>
      </c>
      <c r="D6934" s="422" t="s">
        <v>666</v>
      </c>
      <c r="E6934" s="111">
        <v>44379</v>
      </c>
      <c r="F6934" s="421" t="s">
        <v>12234</v>
      </c>
      <c r="G6934" s="112">
        <v>1</v>
      </c>
      <c r="H6934" s="112">
        <v>1</v>
      </c>
      <c r="I6934" s="112">
        <v>1</v>
      </c>
    </row>
    <row r="6935" spans="1:11" x14ac:dyDescent="0.2">
      <c r="A6935" s="111">
        <v>7150</v>
      </c>
      <c r="B6935" s="421" t="s">
        <v>16830</v>
      </c>
      <c r="C6935" s="421" t="s">
        <v>545</v>
      </c>
      <c r="D6935" s="422" t="s">
        <v>666</v>
      </c>
      <c r="E6935" s="111">
        <v>44673</v>
      </c>
      <c r="F6935" s="421" t="s">
        <v>16829</v>
      </c>
      <c r="G6935" s="112">
        <v>1</v>
      </c>
      <c r="H6935" s="112">
        <v>1</v>
      </c>
    </row>
    <row r="6936" spans="1:11" x14ac:dyDescent="0.2">
      <c r="A6936" s="111">
        <v>7151</v>
      </c>
      <c r="B6936" s="421" t="s">
        <v>2465</v>
      </c>
      <c r="C6936" s="421" t="s">
        <v>525</v>
      </c>
      <c r="D6936" s="422" t="s">
        <v>666</v>
      </c>
      <c r="E6936" s="111">
        <v>44674</v>
      </c>
      <c r="F6936" s="421" t="s">
        <v>17005</v>
      </c>
      <c r="G6936" s="112">
        <v>1</v>
      </c>
      <c r="I6936" s="112">
        <v>1</v>
      </c>
    </row>
    <row r="6937" spans="1:11" x14ac:dyDescent="0.2">
      <c r="A6937" s="111">
        <v>7152</v>
      </c>
      <c r="B6937" s="421" t="s">
        <v>17006</v>
      </c>
      <c r="C6937" s="421" t="s">
        <v>506</v>
      </c>
      <c r="D6937" s="422" t="s">
        <v>666</v>
      </c>
      <c r="E6937" s="111">
        <v>44675</v>
      </c>
      <c r="F6937" s="421" t="s">
        <v>17007</v>
      </c>
    </row>
    <row r="6938" spans="1:11" x14ac:dyDescent="0.2">
      <c r="A6938" s="111">
        <v>7153</v>
      </c>
      <c r="B6938" s="421" t="s">
        <v>17008</v>
      </c>
      <c r="C6938" s="421" t="s">
        <v>2412</v>
      </c>
      <c r="D6938" s="422" t="s">
        <v>666</v>
      </c>
      <c r="E6938" s="111">
        <v>15729</v>
      </c>
      <c r="F6938" s="421" t="s">
        <v>5222</v>
      </c>
      <c r="G6938" s="112">
        <v>1</v>
      </c>
      <c r="I6938" s="112">
        <v>1</v>
      </c>
    </row>
    <row r="6939" spans="1:11" x14ac:dyDescent="0.2">
      <c r="A6939" s="111">
        <v>7154</v>
      </c>
      <c r="B6939" s="421" t="s">
        <v>17009</v>
      </c>
      <c r="C6939" s="421" t="s">
        <v>503</v>
      </c>
      <c r="D6939" s="422" t="s">
        <v>666</v>
      </c>
      <c r="E6939" s="111">
        <v>44677</v>
      </c>
      <c r="F6939" s="421" t="s">
        <v>752</v>
      </c>
    </row>
    <row r="6940" spans="1:11" x14ac:dyDescent="0.2">
      <c r="A6940" s="111">
        <v>7155</v>
      </c>
      <c r="B6940" s="421" t="s">
        <v>1997</v>
      </c>
      <c r="C6940" s="421" t="s">
        <v>513</v>
      </c>
      <c r="D6940" s="422" t="s">
        <v>663</v>
      </c>
      <c r="E6940" s="111">
        <v>16498</v>
      </c>
      <c r="F6940" s="421" t="s">
        <v>7735</v>
      </c>
    </row>
    <row r="6941" spans="1:11" x14ac:dyDescent="0.2">
      <c r="A6941" s="111">
        <v>7157</v>
      </c>
      <c r="B6941" s="421" t="s">
        <v>17010</v>
      </c>
      <c r="C6941" s="421" t="s">
        <v>537</v>
      </c>
      <c r="D6941" s="422" t="s">
        <v>663</v>
      </c>
      <c r="E6941" s="111">
        <v>15528</v>
      </c>
      <c r="F6941" s="421" t="s">
        <v>4671</v>
      </c>
      <c r="G6941" s="112">
        <v>2</v>
      </c>
      <c r="H6941" s="112">
        <v>1</v>
      </c>
      <c r="I6941" s="112">
        <v>2</v>
      </c>
      <c r="J6941" s="112">
        <v>1</v>
      </c>
      <c r="K6941" s="112">
        <v>1</v>
      </c>
    </row>
    <row r="6942" spans="1:11" x14ac:dyDescent="0.2">
      <c r="A6942" s="111">
        <v>7158</v>
      </c>
      <c r="B6942" s="421" t="s">
        <v>4511</v>
      </c>
      <c r="C6942" s="421" t="s">
        <v>510</v>
      </c>
      <c r="D6942" s="422" t="s">
        <v>666</v>
      </c>
      <c r="E6942" s="111">
        <v>16837</v>
      </c>
      <c r="F6942" s="421" t="s">
        <v>9118</v>
      </c>
      <c r="G6942" s="112">
        <v>1</v>
      </c>
      <c r="H6942" s="112">
        <v>1</v>
      </c>
      <c r="I6942" s="112">
        <v>1</v>
      </c>
    </row>
    <row r="6943" spans="1:11" x14ac:dyDescent="0.2">
      <c r="A6943" s="111">
        <v>7159</v>
      </c>
      <c r="B6943" s="421" t="s">
        <v>112</v>
      </c>
      <c r="C6943" s="421" t="s">
        <v>1284</v>
      </c>
      <c r="D6943" s="422" t="s">
        <v>663</v>
      </c>
      <c r="E6943" s="111">
        <v>44678</v>
      </c>
      <c r="F6943" s="421" t="s">
        <v>17011</v>
      </c>
      <c r="G6943" s="112">
        <v>1</v>
      </c>
      <c r="H6943" s="112">
        <v>1</v>
      </c>
      <c r="I6943" s="112">
        <v>1</v>
      </c>
    </row>
    <row r="6944" spans="1:11" x14ac:dyDescent="0.2">
      <c r="A6944" s="111">
        <v>7160</v>
      </c>
      <c r="B6944" s="421" t="s">
        <v>1977</v>
      </c>
      <c r="C6944" s="421" t="s">
        <v>509</v>
      </c>
      <c r="D6944" s="422" t="s">
        <v>666</v>
      </c>
      <c r="E6944" s="111">
        <v>15308</v>
      </c>
      <c r="F6944" s="421" t="s">
        <v>3824</v>
      </c>
    </row>
    <row r="6945" spans="1:12" x14ac:dyDescent="0.2">
      <c r="A6945" s="111">
        <v>7161</v>
      </c>
      <c r="B6945" s="421" t="s">
        <v>1480</v>
      </c>
      <c r="C6945" s="421" t="s">
        <v>503</v>
      </c>
      <c r="D6945" s="422" t="s">
        <v>666</v>
      </c>
      <c r="F6945" s="421" t="s">
        <v>17012</v>
      </c>
      <c r="G6945" s="112">
        <v>1</v>
      </c>
      <c r="H6945" s="112">
        <v>1</v>
      </c>
      <c r="I6945" s="112">
        <v>1</v>
      </c>
    </row>
    <row r="6946" spans="1:12" x14ac:dyDescent="0.2">
      <c r="A6946" s="111">
        <v>7162</v>
      </c>
      <c r="B6946" s="421" t="s">
        <v>17013</v>
      </c>
      <c r="C6946" s="421" t="s">
        <v>10198</v>
      </c>
      <c r="D6946" s="422" t="s">
        <v>666</v>
      </c>
      <c r="E6946" s="111">
        <v>16458</v>
      </c>
      <c r="F6946" s="421" t="s">
        <v>7739</v>
      </c>
    </row>
    <row r="6947" spans="1:12" x14ac:dyDescent="0.2">
      <c r="A6947" s="111">
        <v>7164</v>
      </c>
      <c r="B6947" s="421" t="s">
        <v>17014</v>
      </c>
      <c r="C6947" s="421" t="s">
        <v>573</v>
      </c>
      <c r="D6947" s="422" t="s">
        <v>663</v>
      </c>
      <c r="E6947" s="111">
        <v>15533</v>
      </c>
      <c r="F6947" s="421" t="s">
        <v>2645</v>
      </c>
      <c r="G6947" s="112">
        <v>1</v>
      </c>
      <c r="H6947" s="112">
        <v>1</v>
      </c>
      <c r="I6947" s="112">
        <v>1</v>
      </c>
    </row>
    <row r="6948" spans="1:12" x14ac:dyDescent="0.2">
      <c r="A6948" s="111">
        <v>7165</v>
      </c>
      <c r="B6948" s="421" t="s">
        <v>17015</v>
      </c>
      <c r="C6948" s="421" t="s">
        <v>573</v>
      </c>
      <c r="D6948" s="422" t="s">
        <v>666</v>
      </c>
      <c r="E6948" s="111">
        <v>44753</v>
      </c>
      <c r="F6948" s="421" t="s">
        <v>17016</v>
      </c>
    </row>
    <row r="6949" spans="1:12" x14ac:dyDescent="0.2">
      <c r="A6949" s="111">
        <v>7166</v>
      </c>
      <c r="B6949" s="421" t="s">
        <v>8330</v>
      </c>
      <c r="C6949" s="421" t="s">
        <v>628</v>
      </c>
      <c r="D6949" s="422" t="s">
        <v>663</v>
      </c>
      <c r="E6949" s="111">
        <v>16236</v>
      </c>
      <c r="F6949" s="421" t="s">
        <v>6811</v>
      </c>
      <c r="G6949" s="112">
        <v>2</v>
      </c>
      <c r="I6949" s="112">
        <v>1</v>
      </c>
      <c r="L6949" s="112">
        <v>1</v>
      </c>
    </row>
    <row r="6950" spans="1:12" x14ac:dyDescent="0.2">
      <c r="A6950" s="111">
        <v>7167</v>
      </c>
      <c r="B6950" s="421" t="s">
        <v>1407</v>
      </c>
      <c r="C6950" s="421" t="s">
        <v>506</v>
      </c>
      <c r="D6950" s="422" t="s">
        <v>666</v>
      </c>
      <c r="E6950" s="111">
        <v>44210</v>
      </c>
      <c r="F6950" s="421" t="s">
        <v>11629</v>
      </c>
    </row>
    <row r="6951" spans="1:12" x14ac:dyDescent="0.2">
      <c r="A6951" s="111">
        <v>7168</v>
      </c>
      <c r="B6951" s="421" t="s">
        <v>11131</v>
      </c>
      <c r="C6951" s="421" t="s">
        <v>551</v>
      </c>
      <c r="D6951" s="422" t="s">
        <v>666</v>
      </c>
      <c r="E6951" s="111">
        <v>44679</v>
      </c>
      <c r="F6951" s="421" t="s">
        <v>17017</v>
      </c>
      <c r="G6951" s="112">
        <v>1</v>
      </c>
      <c r="H6951" s="112">
        <v>1</v>
      </c>
      <c r="I6951" s="112">
        <v>1</v>
      </c>
    </row>
    <row r="6952" spans="1:12" x14ac:dyDescent="0.2">
      <c r="A6952" s="111">
        <v>7169</v>
      </c>
      <c r="B6952" s="421" t="s">
        <v>11983</v>
      </c>
      <c r="C6952" s="421" t="s">
        <v>564</v>
      </c>
      <c r="D6952" s="422" t="s">
        <v>666</v>
      </c>
      <c r="F6952" s="421" t="s">
        <v>17018</v>
      </c>
      <c r="H6952" s="112">
        <v>2</v>
      </c>
      <c r="I6952" s="112">
        <v>1</v>
      </c>
    </row>
    <row r="6953" spans="1:12" x14ac:dyDescent="0.2">
      <c r="A6953" s="111">
        <v>7170</v>
      </c>
      <c r="B6953" s="421" t="s">
        <v>3412</v>
      </c>
      <c r="C6953" s="421" t="s">
        <v>551</v>
      </c>
      <c r="D6953" s="422" t="s">
        <v>666</v>
      </c>
      <c r="E6953" s="111">
        <v>44689</v>
      </c>
      <c r="F6953" s="421" t="s">
        <v>17019</v>
      </c>
    </row>
    <row r="6954" spans="1:12" x14ac:dyDescent="0.2">
      <c r="A6954" s="111">
        <v>7171</v>
      </c>
      <c r="B6954" s="421" t="s">
        <v>17020</v>
      </c>
      <c r="C6954" s="421" t="s">
        <v>512</v>
      </c>
      <c r="D6954" s="422" t="s">
        <v>663</v>
      </c>
      <c r="E6954" s="111">
        <v>44680</v>
      </c>
      <c r="F6954" s="421" t="s">
        <v>17021</v>
      </c>
      <c r="G6954" s="112">
        <v>1</v>
      </c>
      <c r="I6954" s="112">
        <v>1</v>
      </c>
    </row>
    <row r="6955" spans="1:12" x14ac:dyDescent="0.2">
      <c r="A6955" s="111">
        <v>7172</v>
      </c>
      <c r="B6955" s="421" t="s">
        <v>17022</v>
      </c>
      <c r="C6955" s="421" t="s">
        <v>558</v>
      </c>
      <c r="D6955" s="422" t="s">
        <v>663</v>
      </c>
      <c r="E6955" s="111">
        <v>44681</v>
      </c>
      <c r="F6955" s="421" t="s">
        <v>17023</v>
      </c>
    </row>
    <row r="6956" spans="1:12" x14ac:dyDescent="0.2">
      <c r="A6956" s="111">
        <v>7173</v>
      </c>
      <c r="B6956" s="421" t="s">
        <v>5508</v>
      </c>
      <c r="C6956" s="421" t="s">
        <v>1862</v>
      </c>
      <c r="D6956" s="422" t="s">
        <v>666</v>
      </c>
      <c r="E6956" s="111">
        <v>15780</v>
      </c>
      <c r="F6956" s="421" t="s">
        <v>4728</v>
      </c>
    </row>
    <row r="6957" spans="1:12" x14ac:dyDescent="0.2">
      <c r="A6957" s="111">
        <v>7174</v>
      </c>
      <c r="B6957" s="421" t="s">
        <v>8709</v>
      </c>
      <c r="C6957" s="421" t="s">
        <v>501</v>
      </c>
      <c r="D6957" s="422" t="s">
        <v>666</v>
      </c>
      <c r="E6957" s="111">
        <v>44682</v>
      </c>
      <c r="F6957" s="421" t="s">
        <v>17024</v>
      </c>
      <c r="G6957" s="112">
        <v>1</v>
      </c>
      <c r="H6957" s="112">
        <v>1</v>
      </c>
      <c r="I6957" s="112">
        <v>1</v>
      </c>
    </row>
    <row r="6958" spans="1:12" x14ac:dyDescent="0.2">
      <c r="A6958" s="111">
        <v>7175</v>
      </c>
      <c r="B6958" s="421" t="s">
        <v>2092</v>
      </c>
      <c r="C6958" s="421" t="s">
        <v>530</v>
      </c>
      <c r="D6958" s="422" t="s">
        <v>663</v>
      </c>
      <c r="E6958" s="111">
        <v>44683</v>
      </c>
      <c r="F6958" s="421" t="s">
        <v>17025</v>
      </c>
      <c r="G6958" s="112">
        <v>1</v>
      </c>
      <c r="H6958" s="112">
        <v>1</v>
      </c>
      <c r="I6958" s="112">
        <v>1</v>
      </c>
    </row>
    <row r="6959" spans="1:12" x14ac:dyDescent="0.2">
      <c r="A6959" s="111">
        <v>7176</v>
      </c>
      <c r="B6959" s="421" t="s">
        <v>17026</v>
      </c>
      <c r="C6959" s="421" t="s">
        <v>628</v>
      </c>
      <c r="D6959" s="422" t="s">
        <v>663</v>
      </c>
      <c r="E6959" s="111">
        <v>17241</v>
      </c>
      <c r="F6959" s="421" t="s">
        <v>10396</v>
      </c>
      <c r="G6959" s="112">
        <v>1</v>
      </c>
      <c r="H6959" s="112">
        <v>1</v>
      </c>
    </row>
    <row r="6960" spans="1:12" x14ac:dyDescent="0.2">
      <c r="A6960" s="111">
        <v>7177</v>
      </c>
      <c r="B6960" s="421" t="s">
        <v>4593</v>
      </c>
      <c r="C6960" s="421" t="s">
        <v>516</v>
      </c>
      <c r="D6960" s="422" t="s">
        <v>666</v>
      </c>
      <c r="E6960" s="111">
        <v>44684</v>
      </c>
      <c r="F6960" s="421" t="s">
        <v>17027</v>
      </c>
      <c r="G6960" s="112">
        <v>1</v>
      </c>
      <c r="I6960" s="112">
        <v>1</v>
      </c>
    </row>
    <row r="6961" spans="1:9" x14ac:dyDescent="0.2">
      <c r="A6961" s="111">
        <v>7178</v>
      </c>
      <c r="B6961" s="421" t="s">
        <v>17028</v>
      </c>
      <c r="C6961" s="421" t="s">
        <v>510</v>
      </c>
      <c r="D6961" s="422" t="s">
        <v>666</v>
      </c>
      <c r="E6961" s="111">
        <v>44685</v>
      </c>
      <c r="F6961" s="421" t="s">
        <v>17029</v>
      </c>
    </row>
    <row r="6962" spans="1:9" x14ac:dyDescent="0.2">
      <c r="A6962" s="111">
        <v>7179</v>
      </c>
      <c r="B6962" s="421" t="s">
        <v>17030</v>
      </c>
      <c r="C6962" s="421" t="s">
        <v>503</v>
      </c>
      <c r="D6962" s="422" t="s">
        <v>666</v>
      </c>
      <c r="E6962" s="111">
        <v>15764</v>
      </c>
      <c r="F6962" s="421" t="s">
        <v>5367</v>
      </c>
    </row>
    <row r="6963" spans="1:9" x14ac:dyDescent="0.2">
      <c r="A6963" s="111">
        <v>7180</v>
      </c>
      <c r="B6963" s="421" t="s">
        <v>1236</v>
      </c>
      <c r="C6963" s="421" t="s">
        <v>2599</v>
      </c>
      <c r="D6963" s="422" t="s">
        <v>666</v>
      </c>
      <c r="E6963" s="111">
        <v>44686</v>
      </c>
      <c r="F6963" s="421" t="s">
        <v>17467</v>
      </c>
    </row>
    <row r="6964" spans="1:9" x14ac:dyDescent="0.2">
      <c r="A6964" s="111">
        <v>7181</v>
      </c>
      <c r="B6964" s="421" t="s">
        <v>17468</v>
      </c>
      <c r="C6964" s="421" t="s">
        <v>523</v>
      </c>
      <c r="D6964" s="422" t="s">
        <v>663</v>
      </c>
      <c r="F6964" s="421" t="s">
        <v>17469</v>
      </c>
    </row>
    <row r="6965" spans="1:9" x14ac:dyDescent="0.2">
      <c r="A6965" s="111">
        <v>7182</v>
      </c>
      <c r="B6965" s="421" t="s">
        <v>2927</v>
      </c>
      <c r="C6965" s="421" t="s">
        <v>516</v>
      </c>
      <c r="D6965" s="422" t="s">
        <v>663</v>
      </c>
      <c r="E6965" s="111">
        <v>44687</v>
      </c>
      <c r="F6965" s="421" t="s">
        <v>17470</v>
      </c>
      <c r="G6965" s="112">
        <v>1</v>
      </c>
      <c r="H6965" s="112">
        <v>1</v>
      </c>
      <c r="I6965" s="112">
        <v>1</v>
      </c>
    </row>
    <row r="6966" spans="1:9" x14ac:dyDescent="0.2">
      <c r="A6966" s="111">
        <v>7183</v>
      </c>
      <c r="B6966" s="421" t="s">
        <v>17471</v>
      </c>
      <c r="C6966" s="421" t="s">
        <v>501</v>
      </c>
      <c r="D6966" s="422" t="s">
        <v>666</v>
      </c>
      <c r="E6966" s="111">
        <v>44688</v>
      </c>
      <c r="F6966" s="421" t="s">
        <v>17472</v>
      </c>
    </row>
    <row r="6967" spans="1:9" x14ac:dyDescent="0.2">
      <c r="A6967" s="111">
        <v>7184</v>
      </c>
      <c r="B6967" s="421" t="s">
        <v>4180</v>
      </c>
      <c r="C6967" s="421" t="s">
        <v>509</v>
      </c>
      <c r="D6967" s="422" t="s">
        <v>666</v>
      </c>
      <c r="E6967" s="111">
        <v>44297</v>
      </c>
      <c r="F6967" s="421" t="s">
        <v>11944</v>
      </c>
    </row>
    <row r="6968" spans="1:9" x14ac:dyDescent="0.2">
      <c r="A6968" s="111">
        <v>7185</v>
      </c>
      <c r="B6968" s="421" t="s">
        <v>17473</v>
      </c>
      <c r="C6968" s="421" t="s">
        <v>510</v>
      </c>
      <c r="D6968" s="422" t="s">
        <v>666</v>
      </c>
      <c r="E6968" s="111">
        <v>44510</v>
      </c>
      <c r="F6968" s="421" t="s">
        <v>15400</v>
      </c>
      <c r="H6968" s="112">
        <v>1</v>
      </c>
      <c r="I6968" s="112">
        <v>1</v>
      </c>
    </row>
    <row r="6969" spans="1:9" x14ac:dyDescent="0.2">
      <c r="A6969" s="111">
        <v>7186</v>
      </c>
      <c r="B6969" s="421" t="s">
        <v>17474</v>
      </c>
      <c r="C6969" s="421" t="s">
        <v>534</v>
      </c>
      <c r="D6969" s="422" t="s">
        <v>666</v>
      </c>
      <c r="E6969" s="111">
        <v>15380</v>
      </c>
      <c r="F6969" s="421" t="s">
        <v>3976</v>
      </c>
    </row>
    <row r="6970" spans="1:9" x14ac:dyDescent="0.2">
      <c r="A6970" s="111">
        <v>7187</v>
      </c>
      <c r="B6970" s="421" t="s">
        <v>10766</v>
      </c>
      <c r="C6970" s="421" t="s">
        <v>505</v>
      </c>
      <c r="D6970" s="422" t="s">
        <v>666</v>
      </c>
      <c r="E6970" s="111">
        <v>44690</v>
      </c>
      <c r="F6970" s="421" t="s">
        <v>17475</v>
      </c>
    </row>
    <row r="6971" spans="1:9" x14ac:dyDescent="0.2">
      <c r="A6971" s="111">
        <v>7188</v>
      </c>
      <c r="B6971" s="421" t="s">
        <v>17476</v>
      </c>
      <c r="C6971" s="421" t="s">
        <v>551</v>
      </c>
      <c r="D6971" s="422" t="s">
        <v>663</v>
      </c>
      <c r="E6971" s="111">
        <v>14908</v>
      </c>
      <c r="F6971" s="421" t="s">
        <v>2672</v>
      </c>
    </row>
    <row r="6972" spans="1:9" x14ac:dyDescent="0.2">
      <c r="A6972" s="111">
        <v>7189</v>
      </c>
      <c r="B6972" s="421" t="s">
        <v>3014</v>
      </c>
      <c r="C6972" s="421" t="s">
        <v>522</v>
      </c>
      <c r="D6972" s="422" t="s">
        <v>663</v>
      </c>
      <c r="E6972" s="111">
        <v>16826</v>
      </c>
      <c r="F6972" s="421" t="s">
        <v>9032</v>
      </c>
      <c r="G6972" s="112">
        <v>1</v>
      </c>
      <c r="H6972" s="112">
        <v>1</v>
      </c>
      <c r="I6972" s="112">
        <v>1</v>
      </c>
    </row>
    <row r="6973" spans="1:9" x14ac:dyDescent="0.2">
      <c r="A6973" s="111">
        <v>7190</v>
      </c>
      <c r="B6973" s="421" t="s">
        <v>8440</v>
      </c>
      <c r="C6973" s="421" t="s">
        <v>503</v>
      </c>
      <c r="D6973" s="422" t="s">
        <v>666</v>
      </c>
      <c r="E6973" s="111">
        <v>44692</v>
      </c>
      <c r="F6973" s="421" t="s">
        <v>17477</v>
      </c>
      <c r="G6973" s="112">
        <v>1</v>
      </c>
    </row>
    <row r="6974" spans="1:9" x14ac:dyDescent="0.2">
      <c r="A6974" s="111">
        <v>7191</v>
      </c>
      <c r="B6974" s="421" t="s">
        <v>171</v>
      </c>
      <c r="C6974" s="421" t="s">
        <v>570</v>
      </c>
      <c r="D6974" s="422" t="s">
        <v>666</v>
      </c>
      <c r="E6974" s="111">
        <v>44691</v>
      </c>
      <c r="F6974" s="421" t="s">
        <v>2923</v>
      </c>
    </row>
    <row r="6975" spans="1:9" x14ac:dyDescent="0.2">
      <c r="A6975" s="111">
        <v>7192</v>
      </c>
      <c r="B6975" s="421" t="s">
        <v>402</v>
      </c>
      <c r="C6975" s="421" t="s">
        <v>551</v>
      </c>
      <c r="D6975" s="422" t="s">
        <v>663</v>
      </c>
      <c r="E6975" s="111">
        <v>44693</v>
      </c>
      <c r="F6975" s="421" t="s">
        <v>17478</v>
      </c>
      <c r="G6975" s="112">
        <v>1</v>
      </c>
      <c r="H6975" s="112">
        <v>1</v>
      </c>
      <c r="I6975" s="112">
        <v>1</v>
      </c>
    </row>
    <row r="6976" spans="1:9" x14ac:dyDescent="0.2">
      <c r="A6976" s="111">
        <v>7193</v>
      </c>
      <c r="B6976" s="421" t="s">
        <v>79</v>
      </c>
      <c r="C6976" s="421" t="s">
        <v>503</v>
      </c>
      <c r="D6976" s="422" t="s">
        <v>666</v>
      </c>
      <c r="E6976" s="111">
        <v>14209</v>
      </c>
      <c r="F6976" s="421" t="s">
        <v>932</v>
      </c>
    </row>
    <row r="6977" spans="1:9" x14ac:dyDescent="0.2">
      <c r="A6977" s="111">
        <v>7194</v>
      </c>
      <c r="B6977" s="421" t="s">
        <v>17479</v>
      </c>
      <c r="C6977" s="421" t="s">
        <v>503</v>
      </c>
      <c r="D6977" s="422" t="s">
        <v>663</v>
      </c>
      <c r="E6977" s="111">
        <v>15878</v>
      </c>
      <c r="F6977" s="421" t="s">
        <v>5468</v>
      </c>
    </row>
    <row r="6978" spans="1:9" x14ac:dyDescent="0.2">
      <c r="A6978" s="111">
        <v>7195</v>
      </c>
      <c r="B6978" s="421" t="s">
        <v>1428</v>
      </c>
      <c r="C6978" s="421" t="s">
        <v>501</v>
      </c>
      <c r="D6978" s="422" t="s">
        <v>666</v>
      </c>
      <c r="E6978" s="111">
        <v>44694</v>
      </c>
      <c r="F6978" s="421" t="s">
        <v>17480</v>
      </c>
    </row>
    <row r="6979" spans="1:9" x14ac:dyDescent="0.2">
      <c r="A6979" s="111">
        <v>7196</v>
      </c>
      <c r="B6979" s="421" t="s">
        <v>17481</v>
      </c>
      <c r="C6979" s="421" t="s">
        <v>587</v>
      </c>
      <c r="D6979" s="422" t="s">
        <v>666</v>
      </c>
      <c r="E6979" s="111">
        <v>15020</v>
      </c>
      <c r="F6979" s="421" t="s">
        <v>17482</v>
      </c>
    </row>
    <row r="6980" spans="1:9" x14ac:dyDescent="0.2">
      <c r="A6980" s="111">
        <v>7197</v>
      </c>
      <c r="B6980" s="421" t="s">
        <v>6554</v>
      </c>
      <c r="C6980" s="421" t="s">
        <v>545</v>
      </c>
      <c r="D6980" s="422" t="s">
        <v>663</v>
      </c>
      <c r="E6980" s="111">
        <v>44673</v>
      </c>
      <c r="F6980" s="421" t="s">
        <v>16829</v>
      </c>
      <c r="G6980" s="112">
        <v>1</v>
      </c>
      <c r="H6980" s="112">
        <v>1</v>
      </c>
      <c r="I6980" s="112">
        <v>1</v>
      </c>
    </row>
    <row r="6981" spans="1:9" x14ac:dyDescent="0.2">
      <c r="A6981" s="111">
        <v>7198</v>
      </c>
      <c r="B6981" s="421" t="s">
        <v>5018</v>
      </c>
      <c r="C6981" s="421" t="s">
        <v>501</v>
      </c>
      <c r="D6981" s="422" t="s">
        <v>663</v>
      </c>
      <c r="E6981" s="111">
        <v>44695</v>
      </c>
      <c r="F6981" s="421" t="s">
        <v>17483</v>
      </c>
    </row>
    <row r="6982" spans="1:9" x14ac:dyDescent="0.2">
      <c r="A6982" s="111">
        <v>7199</v>
      </c>
      <c r="B6982" s="421" t="s">
        <v>365</v>
      </c>
      <c r="C6982" s="421" t="s">
        <v>506</v>
      </c>
      <c r="D6982" s="422" t="s">
        <v>666</v>
      </c>
      <c r="E6982" s="111">
        <v>44696</v>
      </c>
      <c r="F6982" s="421" t="s">
        <v>4183</v>
      </c>
    </row>
    <row r="6983" spans="1:9" x14ac:dyDescent="0.2">
      <c r="A6983" s="111">
        <v>7200</v>
      </c>
      <c r="B6983" s="421" t="s">
        <v>8592</v>
      </c>
      <c r="C6983" s="421" t="s">
        <v>577</v>
      </c>
      <c r="D6983" s="422" t="s">
        <v>663</v>
      </c>
      <c r="E6983" s="111">
        <v>16768</v>
      </c>
      <c r="F6983" s="421" t="s">
        <v>8607</v>
      </c>
    </row>
    <row r="6984" spans="1:9" x14ac:dyDescent="0.2">
      <c r="A6984" s="111">
        <v>7201</v>
      </c>
      <c r="B6984" s="421" t="s">
        <v>10954</v>
      </c>
      <c r="C6984" s="421" t="s">
        <v>506</v>
      </c>
      <c r="D6984" s="422" t="s">
        <v>663</v>
      </c>
      <c r="F6984" s="421" t="s">
        <v>17484</v>
      </c>
      <c r="G6984" s="112">
        <v>1</v>
      </c>
      <c r="H6984" s="112">
        <v>1</v>
      </c>
      <c r="I6984" s="112">
        <v>1</v>
      </c>
    </row>
    <row r="6985" spans="1:9" x14ac:dyDescent="0.2">
      <c r="A6985" s="111">
        <v>7202</v>
      </c>
      <c r="B6985" s="421" t="s">
        <v>17485</v>
      </c>
      <c r="C6985" s="421" t="s">
        <v>511</v>
      </c>
      <c r="D6985" s="422" t="s">
        <v>663</v>
      </c>
      <c r="E6985" s="111">
        <v>44269</v>
      </c>
      <c r="F6985" s="421" t="s">
        <v>11781</v>
      </c>
    </row>
    <row r="6986" spans="1:9" x14ac:dyDescent="0.2">
      <c r="A6986" s="111">
        <v>7203</v>
      </c>
      <c r="B6986" s="421" t="s">
        <v>3285</v>
      </c>
      <c r="C6986" s="421" t="s">
        <v>511</v>
      </c>
      <c r="D6986" s="422" t="s">
        <v>663</v>
      </c>
      <c r="E6986" s="111">
        <v>44697</v>
      </c>
      <c r="F6986" s="421" t="s">
        <v>17486</v>
      </c>
      <c r="G6986" s="112">
        <v>1</v>
      </c>
      <c r="H6986" s="112">
        <v>1</v>
      </c>
      <c r="I6986" s="112">
        <v>1</v>
      </c>
    </row>
    <row r="6987" spans="1:9" x14ac:dyDescent="0.2">
      <c r="A6987" s="111">
        <v>7204</v>
      </c>
      <c r="B6987" s="421" t="s">
        <v>17487</v>
      </c>
      <c r="C6987" s="421" t="s">
        <v>530</v>
      </c>
      <c r="D6987" s="422" t="s">
        <v>663</v>
      </c>
      <c r="E6987" s="111">
        <v>44698</v>
      </c>
      <c r="F6987" s="421" t="s">
        <v>17488</v>
      </c>
    </row>
    <row r="6988" spans="1:9" x14ac:dyDescent="0.2">
      <c r="A6988" s="111">
        <v>7205</v>
      </c>
      <c r="B6988" s="421" t="s">
        <v>17489</v>
      </c>
      <c r="C6988" s="421" t="s">
        <v>530</v>
      </c>
      <c r="D6988" s="422" t="s">
        <v>666</v>
      </c>
      <c r="E6988" s="111">
        <v>44698</v>
      </c>
      <c r="F6988" s="421" t="s">
        <v>17488</v>
      </c>
    </row>
    <row r="6989" spans="1:9" x14ac:dyDescent="0.2">
      <c r="A6989" s="111">
        <v>7206</v>
      </c>
      <c r="B6989" s="421" t="s">
        <v>106</v>
      </c>
      <c r="C6989" s="421" t="s">
        <v>502</v>
      </c>
      <c r="D6989" s="422" t="s">
        <v>666</v>
      </c>
      <c r="E6989" s="111">
        <v>14221</v>
      </c>
      <c r="F6989" s="421" t="s">
        <v>3936</v>
      </c>
    </row>
    <row r="6990" spans="1:9" x14ac:dyDescent="0.2">
      <c r="A6990" s="111">
        <v>7207</v>
      </c>
      <c r="B6990" s="421" t="s">
        <v>3841</v>
      </c>
      <c r="C6990" s="421" t="s">
        <v>542</v>
      </c>
      <c r="D6990" s="422" t="s">
        <v>666</v>
      </c>
      <c r="E6990" s="111">
        <v>15392</v>
      </c>
      <c r="F6990" s="421" t="s">
        <v>3967</v>
      </c>
    </row>
    <row r="6991" spans="1:9" x14ac:dyDescent="0.2">
      <c r="A6991" s="111">
        <v>7208</v>
      </c>
      <c r="B6991" s="421" t="s">
        <v>5301</v>
      </c>
      <c r="C6991" s="421" t="s">
        <v>574</v>
      </c>
      <c r="D6991" s="422" t="s">
        <v>663</v>
      </c>
      <c r="E6991" s="111">
        <v>44699</v>
      </c>
      <c r="F6991" s="421" t="s">
        <v>17490</v>
      </c>
      <c r="G6991" s="112">
        <v>1</v>
      </c>
      <c r="H6991" s="112">
        <v>1</v>
      </c>
      <c r="I6991" s="112">
        <v>1</v>
      </c>
    </row>
    <row r="6992" spans="1:9" x14ac:dyDescent="0.2">
      <c r="A6992" s="111">
        <v>7209</v>
      </c>
      <c r="B6992" s="421" t="s">
        <v>17491</v>
      </c>
      <c r="C6992" s="421" t="s">
        <v>586</v>
      </c>
      <c r="D6992" s="422" t="s">
        <v>666</v>
      </c>
      <c r="E6992" s="111">
        <v>44700</v>
      </c>
      <c r="F6992" s="421" t="s">
        <v>17492</v>
      </c>
    </row>
    <row r="6993" spans="1:12" x14ac:dyDescent="0.2">
      <c r="A6993" s="111">
        <v>7210</v>
      </c>
      <c r="B6993" s="421" t="s">
        <v>2916</v>
      </c>
      <c r="C6993" s="421" t="s">
        <v>503</v>
      </c>
      <c r="D6993" s="422" t="s">
        <v>666</v>
      </c>
      <c r="E6993" s="111">
        <v>44701</v>
      </c>
      <c r="F6993" s="421" t="s">
        <v>17493</v>
      </c>
    </row>
    <row r="6994" spans="1:12" x14ac:dyDescent="0.2">
      <c r="A6994" s="111">
        <v>7211</v>
      </c>
      <c r="B6994" s="421" t="s">
        <v>17494</v>
      </c>
      <c r="C6994" s="421" t="s">
        <v>2872</v>
      </c>
      <c r="D6994" s="422" t="s">
        <v>663</v>
      </c>
      <c r="E6994" s="111">
        <v>14994</v>
      </c>
      <c r="F6994" s="421" t="s">
        <v>2873</v>
      </c>
    </row>
    <row r="6995" spans="1:12" x14ac:dyDescent="0.2">
      <c r="A6995" s="111">
        <v>7212</v>
      </c>
      <c r="B6995" s="421" t="s">
        <v>17495</v>
      </c>
      <c r="C6995" s="421" t="s">
        <v>534</v>
      </c>
      <c r="D6995" s="422" t="s">
        <v>666</v>
      </c>
      <c r="E6995" s="111">
        <v>44702</v>
      </c>
      <c r="F6995" s="421" t="s">
        <v>17496</v>
      </c>
    </row>
    <row r="6996" spans="1:12" x14ac:dyDescent="0.2">
      <c r="A6996" s="111">
        <v>7213</v>
      </c>
      <c r="B6996" s="421" t="s">
        <v>1428</v>
      </c>
      <c r="C6996" s="421" t="s">
        <v>1625</v>
      </c>
      <c r="D6996" s="422" t="s">
        <v>663</v>
      </c>
      <c r="E6996" s="111">
        <v>44720</v>
      </c>
      <c r="F6996" s="421" t="s">
        <v>17497</v>
      </c>
    </row>
    <row r="6997" spans="1:12" x14ac:dyDescent="0.2">
      <c r="A6997" s="111">
        <v>7214</v>
      </c>
      <c r="B6997" s="421" t="s">
        <v>17498</v>
      </c>
      <c r="C6997" s="421" t="s">
        <v>501</v>
      </c>
      <c r="D6997" s="422" t="s">
        <v>663</v>
      </c>
      <c r="E6997" s="111">
        <v>1437</v>
      </c>
      <c r="F6997" s="421" t="s">
        <v>756</v>
      </c>
    </row>
    <row r="6998" spans="1:12" x14ac:dyDescent="0.2">
      <c r="A6998" s="111">
        <v>7215</v>
      </c>
      <c r="B6998" s="421" t="s">
        <v>17499</v>
      </c>
      <c r="C6998" s="421" t="s">
        <v>501</v>
      </c>
      <c r="D6998" s="422" t="s">
        <v>663</v>
      </c>
      <c r="E6998" s="111">
        <v>44705</v>
      </c>
      <c r="F6998" s="421" t="s">
        <v>17500</v>
      </c>
      <c r="I6998" s="112">
        <v>1</v>
      </c>
    </row>
    <row r="6999" spans="1:12" x14ac:dyDescent="0.2">
      <c r="A6999" s="111">
        <v>7216</v>
      </c>
      <c r="B6999" s="421" t="s">
        <v>4511</v>
      </c>
      <c r="C6999" s="421" t="s">
        <v>503</v>
      </c>
      <c r="D6999" s="422" t="s">
        <v>666</v>
      </c>
      <c r="E6999" s="111">
        <v>44706</v>
      </c>
      <c r="F6999" s="421" t="s">
        <v>17501</v>
      </c>
      <c r="G6999" s="112">
        <v>1</v>
      </c>
      <c r="H6999" s="112">
        <v>1</v>
      </c>
      <c r="I6999" s="112">
        <v>1</v>
      </c>
    </row>
    <row r="7000" spans="1:12" x14ac:dyDescent="0.2">
      <c r="A7000" s="111">
        <v>7217</v>
      </c>
      <c r="B7000" s="421" t="s">
        <v>10973</v>
      </c>
      <c r="C7000" s="421" t="s">
        <v>559</v>
      </c>
      <c r="D7000" s="422" t="s">
        <v>666</v>
      </c>
      <c r="E7000" s="111">
        <v>44707</v>
      </c>
      <c r="F7000" s="421" t="s">
        <v>17502</v>
      </c>
    </row>
    <row r="7001" spans="1:12" x14ac:dyDescent="0.2">
      <c r="A7001" s="111">
        <v>7218</v>
      </c>
      <c r="B7001" s="421" t="s">
        <v>17503</v>
      </c>
      <c r="C7001" s="421" t="s">
        <v>575</v>
      </c>
      <c r="D7001" s="422" t="s">
        <v>663</v>
      </c>
      <c r="F7001" s="421" t="s">
        <v>17504</v>
      </c>
    </row>
    <row r="7002" spans="1:12" x14ac:dyDescent="0.2">
      <c r="A7002" s="111">
        <v>7219</v>
      </c>
      <c r="B7002" s="421" t="s">
        <v>17505</v>
      </c>
      <c r="C7002" s="421" t="s">
        <v>533</v>
      </c>
      <c r="D7002" s="422" t="s">
        <v>666</v>
      </c>
      <c r="E7002" s="111">
        <v>14970</v>
      </c>
      <c r="F7002" s="421" t="s">
        <v>2832</v>
      </c>
    </row>
    <row r="7003" spans="1:12" x14ac:dyDescent="0.2">
      <c r="A7003" s="111">
        <v>7220</v>
      </c>
      <c r="B7003" s="421" t="s">
        <v>17506</v>
      </c>
      <c r="C7003" s="421" t="s">
        <v>547</v>
      </c>
      <c r="D7003" s="422" t="s">
        <v>663</v>
      </c>
      <c r="E7003" s="111">
        <v>15376</v>
      </c>
      <c r="F7003" s="421" t="s">
        <v>4129</v>
      </c>
      <c r="G7003" s="112">
        <v>1</v>
      </c>
      <c r="H7003" s="112">
        <v>1</v>
      </c>
      <c r="I7003" s="112">
        <v>1</v>
      </c>
      <c r="K7003" s="112">
        <v>1</v>
      </c>
      <c r="L7003" s="112">
        <v>1</v>
      </c>
    </row>
    <row r="7004" spans="1:12" x14ac:dyDescent="0.2">
      <c r="A7004" s="111">
        <v>7221</v>
      </c>
      <c r="B7004" s="421" t="s">
        <v>17507</v>
      </c>
      <c r="C7004" s="421" t="s">
        <v>501</v>
      </c>
      <c r="D7004" s="422" t="s">
        <v>666</v>
      </c>
      <c r="E7004" s="111">
        <v>44708</v>
      </c>
      <c r="F7004" s="421" t="s">
        <v>17508</v>
      </c>
      <c r="G7004" s="112">
        <v>1</v>
      </c>
      <c r="H7004" s="112">
        <v>1</v>
      </c>
      <c r="I7004" s="112">
        <v>1</v>
      </c>
    </row>
    <row r="7005" spans="1:12" x14ac:dyDescent="0.2">
      <c r="A7005" s="111">
        <v>7222</v>
      </c>
      <c r="B7005" s="421" t="s">
        <v>17509</v>
      </c>
      <c r="C7005" s="421" t="s">
        <v>519</v>
      </c>
      <c r="D7005" s="422" t="s">
        <v>663</v>
      </c>
      <c r="E7005" s="111">
        <v>1470</v>
      </c>
      <c r="F7005" s="421" t="s">
        <v>694</v>
      </c>
      <c r="G7005" s="112">
        <v>1</v>
      </c>
      <c r="I7005" s="112">
        <v>1</v>
      </c>
    </row>
    <row r="7006" spans="1:12" x14ac:dyDescent="0.2">
      <c r="A7006" s="111">
        <v>7223</v>
      </c>
      <c r="B7006" s="421" t="s">
        <v>455</v>
      </c>
      <c r="C7006" s="421" t="s">
        <v>518</v>
      </c>
      <c r="D7006" s="422" t="s">
        <v>663</v>
      </c>
      <c r="F7006" s="421" t="s">
        <v>17510</v>
      </c>
    </row>
    <row r="7007" spans="1:12" x14ac:dyDescent="0.2">
      <c r="A7007" s="111">
        <v>7224</v>
      </c>
      <c r="B7007" s="421" t="s">
        <v>472</v>
      </c>
      <c r="C7007" s="421" t="s">
        <v>507</v>
      </c>
      <c r="D7007" s="422" t="s">
        <v>666</v>
      </c>
      <c r="E7007" s="111">
        <v>44713</v>
      </c>
      <c r="F7007" s="421" t="s">
        <v>17511</v>
      </c>
    </row>
    <row r="7008" spans="1:12" x14ac:dyDescent="0.2">
      <c r="A7008" s="111">
        <v>7225</v>
      </c>
      <c r="B7008" s="421" t="s">
        <v>382</v>
      </c>
      <c r="C7008" s="421" t="s">
        <v>5509</v>
      </c>
      <c r="D7008" s="422" t="s">
        <v>663</v>
      </c>
      <c r="E7008" s="111">
        <v>44709</v>
      </c>
      <c r="F7008" s="421" t="s">
        <v>17512</v>
      </c>
      <c r="G7008" s="112">
        <v>1</v>
      </c>
    </row>
    <row r="7009" spans="1:12" x14ac:dyDescent="0.2">
      <c r="A7009" s="111">
        <v>7226</v>
      </c>
      <c r="B7009" s="421" t="s">
        <v>390</v>
      </c>
      <c r="C7009" s="421" t="s">
        <v>5509</v>
      </c>
      <c r="D7009" s="422" t="s">
        <v>666</v>
      </c>
      <c r="E7009" s="111">
        <v>44709</v>
      </c>
      <c r="F7009" s="421" t="s">
        <v>17512</v>
      </c>
    </row>
    <row r="7010" spans="1:12" x14ac:dyDescent="0.2">
      <c r="A7010" s="111">
        <v>7227</v>
      </c>
      <c r="B7010" s="421" t="s">
        <v>2244</v>
      </c>
      <c r="C7010" s="421" t="s">
        <v>17458</v>
      </c>
      <c r="D7010" s="422" t="s">
        <v>663</v>
      </c>
      <c r="E7010" s="111">
        <v>14681</v>
      </c>
      <c r="F7010" s="421" t="s">
        <v>2082</v>
      </c>
    </row>
    <row r="7011" spans="1:12" x14ac:dyDescent="0.2">
      <c r="A7011" s="111">
        <v>7228</v>
      </c>
      <c r="B7011" s="421" t="s">
        <v>257</v>
      </c>
      <c r="C7011" s="421" t="s">
        <v>503</v>
      </c>
      <c r="D7011" s="422" t="s">
        <v>663</v>
      </c>
      <c r="E7011" s="111">
        <v>44710</v>
      </c>
      <c r="F7011" s="421" t="s">
        <v>17513</v>
      </c>
      <c r="H7011" s="112">
        <v>1</v>
      </c>
      <c r="I7011" s="112">
        <v>1</v>
      </c>
    </row>
    <row r="7012" spans="1:12" x14ac:dyDescent="0.2">
      <c r="A7012" s="111">
        <v>7229</v>
      </c>
      <c r="B7012" s="421" t="s">
        <v>5910</v>
      </c>
      <c r="C7012" s="421" t="s">
        <v>503</v>
      </c>
      <c r="D7012" s="422" t="s">
        <v>663</v>
      </c>
      <c r="E7012" s="111">
        <v>44710</v>
      </c>
      <c r="F7012" s="421" t="s">
        <v>17513</v>
      </c>
    </row>
    <row r="7013" spans="1:12" x14ac:dyDescent="0.2">
      <c r="A7013" s="111">
        <v>7230</v>
      </c>
      <c r="B7013" s="421" t="s">
        <v>10636</v>
      </c>
      <c r="C7013" s="421" t="s">
        <v>5126</v>
      </c>
      <c r="D7013" s="422" t="s">
        <v>663</v>
      </c>
      <c r="E7013" s="111">
        <v>44711</v>
      </c>
      <c r="F7013" s="421" t="s">
        <v>17514</v>
      </c>
      <c r="G7013" s="112">
        <v>1</v>
      </c>
      <c r="H7013" s="112">
        <v>1</v>
      </c>
      <c r="I7013" s="112">
        <v>1</v>
      </c>
      <c r="J7013" s="112">
        <v>1</v>
      </c>
      <c r="K7013" s="112">
        <v>1</v>
      </c>
      <c r="L7013" s="112">
        <v>1</v>
      </c>
    </row>
    <row r="7014" spans="1:12" x14ac:dyDescent="0.2">
      <c r="A7014" s="111">
        <v>7231</v>
      </c>
      <c r="B7014" s="421" t="s">
        <v>122</v>
      </c>
      <c r="C7014" s="421" t="s">
        <v>506</v>
      </c>
      <c r="D7014" s="422" t="s">
        <v>663</v>
      </c>
      <c r="E7014" s="111">
        <v>44712</v>
      </c>
      <c r="F7014" s="421" t="s">
        <v>17515</v>
      </c>
    </row>
    <row r="7015" spans="1:12" x14ac:dyDescent="0.2">
      <c r="A7015" s="111">
        <v>7232</v>
      </c>
      <c r="B7015" s="421" t="s">
        <v>11303</v>
      </c>
      <c r="C7015" s="421" t="s">
        <v>504</v>
      </c>
      <c r="D7015" s="422" t="s">
        <v>663</v>
      </c>
      <c r="E7015" s="111">
        <v>44433</v>
      </c>
      <c r="F7015" s="421" t="s">
        <v>15255</v>
      </c>
    </row>
    <row r="7016" spans="1:12" x14ac:dyDescent="0.2">
      <c r="A7016" s="111">
        <v>7233</v>
      </c>
      <c r="B7016" s="421" t="s">
        <v>1617</v>
      </c>
      <c r="C7016" s="421" t="s">
        <v>501</v>
      </c>
      <c r="D7016" s="422" t="s">
        <v>666</v>
      </c>
      <c r="E7016" s="111">
        <v>16208</v>
      </c>
      <c r="F7016" s="421" t="s">
        <v>6829</v>
      </c>
    </row>
    <row r="7017" spans="1:12" x14ac:dyDescent="0.2">
      <c r="A7017" s="111">
        <v>7234</v>
      </c>
      <c r="B7017" s="421" t="s">
        <v>2961</v>
      </c>
      <c r="C7017" s="421" t="s">
        <v>550</v>
      </c>
      <c r="D7017" s="422" t="s">
        <v>666</v>
      </c>
      <c r="F7017" s="421" t="s">
        <v>17516</v>
      </c>
    </row>
    <row r="7018" spans="1:12" x14ac:dyDescent="0.2">
      <c r="A7018" s="111">
        <v>7235</v>
      </c>
      <c r="B7018" s="421" t="s">
        <v>17517</v>
      </c>
      <c r="C7018" s="421" t="s">
        <v>574</v>
      </c>
      <c r="D7018" s="422" t="s">
        <v>666</v>
      </c>
      <c r="E7018" s="111">
        <v>44715</v>
      </c>
      <c r="F7018" s="421" t="s">
        <v>17518</v>
      </c>
      <c r="G7018" s="112">
        <v>1</v>
      </c>
      <c r="H7018" s="112">
        <v>1</v>
      </c>
      <c r="I7018" s="112">
        <v>1</v>
      </c>
    </row>
    <row r="7019" spans="1:12" x14ac:dyDescent="0.2">
      <c r="A7019" s="111">
        <v>7236</v>
      </c>
      <c r="B7019" s="421" t="s">
        <v>1966</v>
      </c>
      <c r="C7019" s="421" t="s">
        <v>505</v>
      </c>
      <c r="D7019" s="422" t="s">
        <v>666</v>
      </c>
      <c r="E7019" s="111">
        <v>17311</v>
      </c>
      <c r="F7019" s="421" t="s">
        <v>10801</v>
      </c>
    </row>
    <row r="7020" spans="1:12" x14ac:dyDescent="0.2">
      <c r="A7020" s="111">
        <v>7237</v>
      </c>
      <c r="B7020" s="421" t="s">
        <v>2465</v>
      </c>
      <c r="C7020" s="421" t="s">
        <v>501</v>
      </c>
      <c r="D7020" s="422" t="s">
        <v>666</v>
      </c>
      <c r="E7020" s="111">
        <v>44004</v>
      </c>
      <c r="F7020" s="421" t="s">
        <v>10894</v>
      </c>
    </row>
    <row r="7021" spans="1:12" x14ac:dyDescent="0.2">
      <c r="A7021" s="111">
        <v>7238</v>
      </c>
      <c r="B7021" s="421" t="s">
        <v>11394</v>
      </c>
      <c r="C7021" s="421" t="s">
        <v>516</v>
      </c>
      <c r="D7021" s="422" t="s">
        <v>663</v>
      </c>
      <c r="E7021" s="111">
        <v>44069</v>
      </c>
      <c r="F7021" s="421" t="s">
        <v>11129</v>
      </c>
    </row>
    <row r="7022" spans="1:12" x14ac:dyDescent="0.2">
      <c r="A7022" s="111">
        <v>7239</v>
      </c>
      <c r="B7022" s="421" t="s">
        <v>17519</v>
      </c>
      <c r="C7022" s="421" t="s">
        <v>510</v>
      </c>
      <c r="D7022" s="422" t="s">
        <v>666</v>
      </c>
      <c r="E7022" s="111">
        <v>17067</v>
      </c>
      <c r="F7022" s="421" t="s">
        <v>8221</v>
      </c>
    </row>
    <row r="7023" spans="1:12" x14ac:dyDescent="0.2">
      <c r="A7023" s="111">
        <v>7240</v>
      </c>
      <c r="B7023" s="421" t="s">
        <v>1072</v>
      </c>
      <c r="C7023" s="421" t="s">
        <v>1817</v>
      </c>
      <c r="D7023" s="422" t="s">
        <v>663</v>
      </c>
      <c r="E7023" s="111">
        <v>16130</v>
      </c>
      <c r="F7023" s="421" t="s">
        <v>6497</v>
      </c>
    </row>
    <row r="7024" spans="1:12" x14ac:dyDescent="0.2">
      <c r="A7024" s="111">
        <v>7241</v>
      </c>
      <c r="B7024" s="421" t="s">
        <v>1127</v>
      </c>
      <c r="C7024" s="421" t="s">
        <v>17459</v>
      </c>
      <c r="D7024" s="422" t="s">
        <v>666</v>
      </c>
      <c r="E7024" s="111">
        <v>44716</v>
      </c>
      <c r="F7024" s="421" t="s">
        <v>17520</v>
      </c>
    </row>
    <row r="7025" spans="1:9" x14ac:dyDescent="0.2">
      <c r="A7025" s="111">
        <v>7242</v>
      </c>
      <c r="B7025" s="421" t="s">
        <v>437</v>
      </c>
      <c r="C7025" s="421" t="s">
        <v>17459</v>
      </c>
      <c r="D7025" s="422" t="s">
        <v>663</v>
      </c>
      <c r="E7025" s="111">
        <v>44716</v>
      </c>
      <c r="F7025" s="421" t="s">
        <v>17520</v>
      </c>
    </row>
    <row r="7026" spans="1:9" x14ac:dyDescent="0.2">
      <c r="A7026" s="111">
        <v>7243</v>
      </c>
      <c r="B7026" s="421" t="s">
        <v>17521</v>
      </c>
      <c r="C7026" s="421" t="s">
        <v>17459</v>
      </c>
      <c r="D7026" s="422" t="s">
        <v>663</v>
      </c>
      <c r="E7026" s="111">
        <v>44716</v>
      </c>
      <c r="F7026" s="421" t="s">
        <v>17520</v>
      </c>
    </row>
    <row r="7027" spans="1:9" x14ac:dyDescent="0.2">
      <c r="A7027" s="111">
        <v>7244</v>
      </c>
      <c r="B7027" s="421" t="s">
        <v>175</v>
      </c>
      <c r="C7027" s="421" t="s">
        <v>510</v>
      </c>
      <c r="D7027" s="422" t="s">
        <v>666</v>
      </c>
      <c r="E7027" s="111">
        <v>44717</v>
      </c>
      <c r="F7027" s="421" t="s">
        <v>17522</v>
      </c>
    </row>
    <row r="7028" spans="1:9" x14ac:dyDescent="0.2">
      <c r="A7028" s="111">
        <v>7245</v>
      </c>
      <c r="B7028" s="421" t="s">
        <v>186</v>
      </c>
      <c r="C7028" s="421" t="s">
        <v>510</v>
      </c>
      <c r="D7028" s="422" t="s">
        <v>666</v>
      </c>
      <c r="E7028" s="111">
        <v>44717</v>
      </c>
      <c r="F7028" s="421" t="s">
        <v>17522</v>
      </c>
    </row>
    <row r="7029" spans="1:9" x14ac:dyDescent="0.2">
      <c r="A7029" s="111">
        <v>7246</v>
      </c>
      <c r="B7029" s="421" t="s">
        <v>397</v>
      </c>
      <c r="C7029" s="421" t="s">
        <v>534</v>
      </c>
      <c r="D7029" s="422" t="s">
        <v>666</v>
      </c>
      <c r="E7029" s="111">
        <v>44717</v>
      </c>
      <c r="F7029" s="421" t="s">
        <v>17522</v>
      </c>
    </row>
    <row r="7030" spans="1:9" x14ac:dyDescent="0.2">
      <c r="A7030" s="111">
        <v>7247</v>
      </c>
      <c r="B7030" s="421" t="s">
        <v>1127</v>
      </c>
      <c r="C7030" s="421" t="s">
        <v>513</v>
      </c>
      <c r="D7030" s="422" t="s">
        <v>666</v>
      </c>
      <c r="E7030" s="111">
        <v>14129</v>
      </c>
      <c r="F7030" s="421" t="s">
        <v>823</v>
      </c>
    </row>
    <row r="7031" spans="1:9" x14ac:dyDescent="0.2">
      <c r="A7031" s="111">
        <v>7248</v>
      </c>
      <c r="B7031" s="421" t="s">
        <v>112</v>
      </c>
      <c r="C7031" s="421" t="s">
        <v>1908</v>
      </c>
      <c r="D7031" s="422" t="s">
        <v>663</v>
      </c>
      <c r="E7031" s="111">
        <v>44718</v>
      </c>
      <c r="F7031" s="421" t="s">
        <v>17523</v>
      </c>
    </row>
    <row r="7032" spans="1:9" x14ac:dyDescent="0.2">
      <c r="A7032" s="111">
        <v>7249</v>
      </c>
      <c r="B7032" s="421" t="s">
        <v>11201</v>
      </c>
      <c r="C7032" s="421" t="s">
        <v>503</v>
      </c>
      <c r="D7032" s="422" t="s">
        <v>663</v>
      </c>
      <c r="E7032" s="111">
        <v>44719</v>
      </c>
      <c r="F7032" s="421" t="s">
        <v>17524</v>
      </c>
    </row>
    <row r="7033" spans="1:9" x14ac:dyDescent="0.2">
      <c r="A7033" s="111">
        <v>7250</v>
      </c>
      <c r="B7033" s="421" t="s">
        <v>112</v>
      </c>
      <c r="C7033" s="421" t="s">
        <v>1817</v>
      </c>
      <c r="D7033" s="422" t="s">
        <v>663</v>
      </c>
      <c r="E7033" s="111">
        <v>17180</v>
      </c>
      <c r="F7033" s="421" t="s">
        <v>10188</v>
      </c>
    </row>
    <row r="7034" spans="1:9" x14ac:dyDescent="0.2">
      <c r="A7034" s="111">
        <v>7251</v>
      </c>
      <c r="B7034" s="421" t="s">
        <v>2285</v>
      </c>
      <c r="C7034" s="421" t="s">
        <v>503</v>
      </c>
      <c r="D7034" s="422" t="s">
        <v>666</v>
      </c>
      <c r="E7034" s="111">
        <v>44721</v>
      </c>
      <c r="F7034" s="421" t="s">
        <v>17525</v>
      </c>
    </row>
    <row r="7035" spans="1:9" x14ac:dyDescent="0.2">
      <c r="A7035" s="111">
        <v>7252</v>
      </c>
      <c r="B7035" s="421" t="s">
        <v>79</v>
      </c>
      <c r="C7035" s="421" t="s">
        <v>513</v>
      </c>
      <c r="D7035" s="422" t="s">
        <v>666</v>
      </c>
      <c r="E7035" s="111">
        <v>44387</v>
      </c>
      <c r="F7035" s="421" t="s">
        <v>3460</v>
      </c>
    </row>
    <row r="7036" spans="1:9" x14ac:dyDescent="0.2">
      <c r="A7036" s="111">
        <v>7253</v>
      </c>
      <c r="B7036" s="421" t="s">
        <v>1455</v>
      </c>
      <c r="C7036" s="421" t="s">
        <v>586</v>
      </c>
      <c r="D7036" s="422" t="s">
        <v>666</v>
      </c>
      <c r="E7036" s="111">
        <v>44722</v>
      </c>
      <c r="F7036" s="421" t="s">
        <v>17526</v>
      </c>
    </row>
    <row r="7037" spans="1:9" x14ac:dyDescent="0.2">
      <c r="A7037" s="111">
        <v>7254</v>
      </c>
      <c r="B7037" s="421" t="s">
        <v>8011</v>
      </c>
      <c r="C7037" s="421" t="s">
        <v>509</v>
      </c>
      <c r="D7037" s="422" t="s">
        <v>666</v>
      </c>
      <c r="E7037" s="111">
        <v>44714</v>
      </c>
      <c r="F7037" s="421" t="s">
        <v>17527</v>
      </c>
    </row>
    <row r="7038" spans="1:9" x14ac:dyDescent="0.2">
      <c r="A7038" s="111">
        <v>7255</v>
      </c>
      <c r="B7038" s="421" t="s">
        <v>7219</v>
      </c>
      <c r="C7038" s="421" t="s">
        <v>503</v>
      </c>
      <c r="D7038" s="422" t="s">
        <v>666</v>
      </c>
      <c r="E7038" s="111">
        <v>15297</v>
      </c>
      <c r="F7038" s="421" t="s">
        <v>3764</v>
      </c>
      <c r="G7038" s="112">
        <v>1</v>
      </c>
      <c r="H7038" s="112">
        <v>1</v>
      </c>
      <c r="I7038" s="112">
        <v>1</v>
      </c>
    </row>
    <row r="7039" spans="1:9" x14ac:dyDescent="0.2">
      <c r="A7039" s="111">
        <v>7256</v>
      </c>
      <c r="B7039" s="421" t="s">
        <v>379</v>
      </c>
      <c r="C7039" s="421" t="s">
        <v>577</v>
      </c>
      <c r="D7039" s="422" t="s">
        <v>666</v>
      </c>
      <c r="E7039" s="111">
        <v>44714</v>
      </c>
      <c r="F7039" s="421" t="s">
        <v>17527</v>
      </c>
      <c r="G7039" s="112">
        <v>1</v>
      </c>
      <c r="H7039" s="112">
        <v>1</v>
      </c>
    </row>
    <row r="7040" spans="1:9" x14ac:dyDescent="0.2">
      <c r="A7040" s="111">
        <v>7257</v>
      </c>
      <c r="B7040" s="421" t="s">
        <v>17528</v>
      </c>
      <c r="C7040" s="421" t="s">
        <v>525</v>
      </c>
      <c r="D7040" s="422" t="s">
        <v>666</v>
      </c>
      <c r="E7040" s="111">
        <v>15250</v>
      </c>
      <c r="F7040" s="421" t="s">
        <v>2885</v>
      </c>
    </row>
    <row r="7041" spans="1:9" x14ac:dyDescent="0.2">
      <c r="A7041" s="111">
        <v>7258</v>
      </c>
      <c r="B7041" s="421" t="s">
        <v>172</v>
      </c>
      <c r="C7041" s="421" t="s">
        <v>503</v>
      </c>
      <c r="D7041" s="422" t="s">
        <v>663</v>
      </c>
      <c r="E7041" s="111">
        <v>44723</v>
      </c>
      <c r="F7041" s="421" t="s">
        <v>17529</v>
      </c>
      <c r="G7041" s="112">
        <v>1</v>
      </c>
      <c r="H7041" s="112">
        <v>1</v>
      </c>
      <c r="I7041" s="112">
        <v>1</v>
      </c>
    </row>
    <row r="7042" spans="1:9" x14ac:dyDescent="0.2">
      <c r="A7042" s="111">
        <v>7259</v>
      </c>
      <c r="B7042" s="421" t="s">
        <v>1254</v>
      </c>
      <c r="C7042" s="421" t="s">
        <v>501</v>
      </c>
      <c r="D7042" s="422" t="s">
        <v>663</v>
      </c>
      <c r="F7042" s="421" t="s">
        <v>17530</v>
      </c>
      <c r="H7042" s="112">
        <v>1</v>
      </c>
      <c r="I7042" s="112">
        <v>1</v>
      </c>
    </row>
    <row r="7043" spans="1:9" x14ac:dyDescent="0.2">
      <c r="A7043" s="111">
        <v>7260</v>
      </c>
      <c r="B7043" s="421" t="s">
        <v>172</v>
      </c>
      <c r="C7043" s="421" t="s">
        <v>501</v>
      </c>
      <c r="D7043" s="422" t="s">
        <v>663</v>
      </c>
      <c r="E7043" s="111">
        <v>44725</v>
      </c>
      <c r="F7043" s="421" t="s">
        <v>15648</v>
      </c>
      <c r="I7043" s="112">
        <v>1</v>
      </c>
    </row>
    <row r="7044" spans="1:9" x14ac:dyDescent="0.2">
      <c r="A7044" s="111">
        <v>7261</v>
      </c>
      <c r="B7044" s="421" t="s">
        <v>17531</v>
      </c>
      <c r="C7044" s="421" t="s">
        <v>507</v>
      </c>
      <c r="D7044" s="422" t="s">
        <v>666</v>
      </c>
      <c r="E7044" s="111">
        <v>44726</v>
      </c>
      <c r="F7044" s="421" t="s">
        <v>17532</v>
      </c>
      <c r="G7044" s="112">
        <v>1</v>
      </c>
      <c r="H7044" s="112">
        <v>1</v>
      </c>
      <c r="I7044" s="112">
        <v>1</v>
      </c>
    </row>
    <row r="7045" spans="1:9" x14ac:dyDescent="0.2">
      <c r="A7045" s="111">
        <v>7262</v>
      </c>
      <c r="B7045" s="421" t="s">
        <v>112</v>
      </c>
      <c r="C7045" s="421" t="s">
        <v>516</v>
      </c>
      <c r="D7045" s="422" t="s">
        <v>663</v>
      </c>
      <c r="E7045" s="111">
        <v>44727</v>
      </c>
      <c r="F7045" s="421" t="s">
        <v>17533</v>
      </c>
      <c r="G7045" s="112">
        <v>1</v>
      </c>
      <c r="H7045" s="112">
        <v>1</v>
      </c>
      <c r="I7045" s="112">
        <v>1</v>
      </c>
    </row>
    <row r="7046" spans="1:9" x14ac:dyDescent="0.2">
      <c r="A7046" s="111">
        <v>7263</v>
      </c>
      <c r="B7046" s="421" t="s">
        <v>17534</v>
      </c>
      <c r="C7046" s="421" t="s">
        <v>551</v>
      </c>
      <c r="D7046" s="422" t="s">
        <v>666</v>
      </c>
      <c r="E7046" s="111">
        <v>16851</v>
      </c>
      <c r="F7046" s="421" t="s">
        <v>9149</v>
      </c>
      <c r="G7046" s="112">
        <v>1</v>
      </c>
      <c r="H7046" s="112">
        <v>1</v>
      </c>
      <c r="I7046" s="112">
        <v>1</v>
      </c>
    </row>
    <row r="7047" spans="1:9" x14ac:dyDescent="0.2">
      <c r="A7047" s="111">
        <v>7265</v>
      </c>
      <c r="B7047" s="421" t="s">
        <v>17535</v>
      </c>
      <c r="C7047" s="421" t="s">
        <v>513</v>
      </c>
      <c r="D7047" s="422" t="s">
        <v>663</v>
      </c>
      <c r="E7047" s="111">
        <v>44728</v>
      </c>
      <c r="F7047" s="421" t="s">
        <v>17536</v>
      </c>
    </row>
    <row r="7048" spans="1:9" x14ac:dyDescent="0.2">
      <c r="A7048" s="111">
        <v>7266</v>
      </c>
      <c r="B7048" s="421" t="s">
        <v>7397</v>
      </c>
      <c r="C7048" s="421" t="s">
        <v>501</v>
      </c>
      <c r="D7048" s="422" t="s">
        <v>666</v>
      </c>
      <c r="E7048" s="111">
        <v>44729</v>
      </c>
      <c r="F7048" s="421" t="s">
        <v>17537</v>
      </c>
    </row>
    <row r="7049" spans="1:9" x14ac:dyDescent="0.2">
      <c r="A7049" s="111">
        <v>7267</v>
      </c>
      <c r="B7049" s="421" t="s">
        <v>45</v>
      </c>
      <c r="C7049" s="421" t="s">
        <v>501</v>
      </c>
      <c r="D7049" s="422" t="s">
        <v>666</v>
      </c>
      <c r="E7049" s="111">
        <v>44730</v>
      </c>
      <c r="F7049" s="421" t="s">
        <v>17538</v>
      </c>
    </row>
    <row r="7050" spans="1:9" x14ac:dyDescent="0.2">
      <c r="A7050" s="111">
        <v>7268</v>
      </c>
      <c r="B7050" s="421" t="s">
        <v>10393</v>
      </c>
      <c r="C7050" s="421" t="s">
        <v>1817</v>
      </c>
      <c r="D7050" s="422" t="s">
        <v>666</v>
      </c>
      <c r="E7050" s="111">
        <v>44731</v>
      </c>
      <c r="F7050" s="421" t="s">
        <v>17539</v>
      </c>
    </row>
    <row r="7051" spans="1:9" x14ac:dyDescent="0.2">
      <c r="A7051" s="111">
        <v>7269</v>
      </c>
      <c r="B7051" s="421" t="s">
        <v>17540</v>
      </c>
      <c r="C7051" s="421" t="s">
        <v>1817</v>
      </c>
      <c r="D7051" s="422" t="s">
        <v>666</v>
      </c>
      <c r="E7051" s="111">
        <v>44731</v>
      </c>
      <c r="F7051" s="421" t="s">
        <v>17539</v>
      </c>
    </row>
    <row r="7052" spans="1:9" x14ac:dyDescent="0.2">
      <c r="A7052" s="111">
        <v>7270</v>
      </c>
      <c r="B7052" s="421" t="s">
        <v>6246</v>
      </c>
      <c r="C7052" s="421" t="s">
        <v>1817</v>
      </c>
      <c r="D7052" s="422" t="s">
        <v>666</v>
      </c>
      <c r="E7052" s="111">
        <v>44731</v>
      </c>
      <c r="F7052" s="421" t="s">
        <v>17539</v>
      </c>
    </row>
    <row r="7053" spans="1:9" x14ac:dyDescent="0.2">
      <c r="A7053" s="111">
        <v>7271</v>
      </c>
      <c r="B7053" s="421" t="s">
        <v>17541</v>
      </c>
      <c r="C7053" s="421" t="s">
        <v>545</v>
      </c>
      <c r="D7053" s="422" t="s">
        <v>663</v>
      </c>
      <c r="E7053" s="111">
        <v>14602</v>
      </c>
      <c r="F7053" s="421" t="s">
        <v>1821</v>
      </c>
    </row>
    <row r="7054" spans="1:9" x14ac:dyDescent="0.2">
      <c r="A7054" s="111">
        <v>7272</v>
      </c>
      <c r="B7054" s="421" t="s">
        <v>239</v>
      </c>
      <c r="C7054" s="421" t="s">
        <v>545</v>
      </c>
      <c r="D7054" s="422" t="s">
        <v>666</v>
      </c>
      <c r="E7054" s="111">
        <v>14602</v>
      </c>
      <c r="F7054" s="421" t="s">
        <v>1821</v>
      </c>
    </row>
    <row r="7055" spans="1:9" x14ac:dyDescent="0.2">
      <c r="A7055" s="111">
        <v>7273</v>
      </c>
      <c r="B7055" s="421" t="s">
        <v>10393</v>
      </c>
      <c r="C7055" s="421" t="s">
        <v>572</v>
      </c>
      <c r="D7055" s="422" t="s">
        <v>666</v>
      </c>
      <c r="E7055" s="111">
        <v>44718</v>
      </c>
      <c r="F7055" s="421" t="s">
        <v>17523</v>
      </c>
    </row>
    <row r="7056" spans="1:9" x14ac:dyDescent="0.2">
      <c r="A7056" s="111">
        <v>7274</v>
      </c>
      <c r="B7056" s="421" t="s">
        <v>185</v>
      </c>
      <c r="C7056" s="421" t="s">
        <v>519</v>
      </c>
      <c r="D7056" s="422" t="s">
        <v>663</v>
      </c>
      <c r="E7056" s="111">
        <v>44732</v>
      </c>
      <c r="F7056" s="421" t="s">
        <v>17542</v>
      </c>
    </row>
    <row r="7057" spans="1:9" x14ac:dyDescent="0.2">
      <c r="A7057" s="111">
        <v>7275</v>
      </c>
      <c r="B7057" s="421" t="s">
        <v>3802</v>
      </c>
      <c r="C7057" s="421" t="s">
        <v>3443</v>
      </c>
      <c r="D7057" s="422" t="s">
        <v>666</v>
      </c>
      <c r="E7057" s="111">
        <v>14801</v>
      </c>
      <c r="F7057" s="421" t="s">
        <v>7065</v>
      </c>
    </row>
    <row r="7058" spans="1:9" x14ac:dyDescent="0.2">
      <c r="A7058" s="111">
        <v>7276</v>
      </c>
      <c r="B7058" s="421" t="s">
        <v>7862</v>
      </c>
      <c r="C7058" s="421" t="s">
        <v>10357</v>
      </c>
      <c r="D7058" s="422" t="s">
        <v>666</v>
      </c>
      <c r="E7058" s="111">
        <v>44733</v>
      </c>
      <c r="F7058" s="421" t="s">
        <v>17543</v>
      </c>
    </row>
    <row r="7059" spans="1:9" x14ac:dyDescent="0.2">
      <c r="A7059" s="111">
        <v>7277</v>
      </c>
      <c r="B7059" s="421" t="s">
        <v>2127</v>
      </c>
      <c r="C7059" s="421" t="s">
        <v>503</v>
      </c>
      <c r="D7059" s="422" t="s">
        <v>666</v>
      </c>
      <c r="E7059" s="111">
        <v>44623</v>
      </c>
      <c r="F7059" s="421" t="s">
        <v>16277</v>
      </c>
    </row>
    <row r="7060" spans="1:9" x14ac:dyDescent="0.2">
      <c r="A7060" s="111">
        <v>7278</v>
      </c>
      <c r="B7060" s="421" t="s">
        <v>17544</v>
      </c>
      <c r="C7060" s="421" t="s">
        <v>506</v>
      </c>
      <c r="D7060" s="422" t="s">
        <v>663</v>
      </c>
      <c r="E7060" s="111">
        <v>44734</v>
      </c>
      <c r="F7060" s="421" t="s">
        <v>17545</v>
      </c>
    </row>
    <row r="7061" spans="1:9" x14ac:dyDescent="0.2">
      <c r="A7061" s="111">
        <v>7279</v>
      </c>
      <c r="B7061" s="421" t="s">
        <v>5237</v>
      </c>
      <c r="C7061" s="421" t="s">
        <v>551</v>
      </c>
      <c r="D7061" s="422" t="s">
        <v>666</v>
      </c>
      <c r="E7061" s="111">
        <v>16301</v>
      </c>
      <c r="F7061" s="421" t="s">
        <v>3883</v>
      </c>
    </row>
    <row r="7062" spans="1:9" x14ac:dyDescent="0.2">
      <c r="A7062" s="111">
        <v>7280</v>
      </c>
      <c r="B7062" s="421" t="s">
        <v>17546</v>
      </c>
      <c r="C7062" s="421" t="s">
        <v>506</v>
      </c>
      <c r="D7062" s="422" t="s">
        <v>663</v>
      </c>
      <c r="E7062" s="111">
        <v>44736</v>
      </c>
      <c r="F7062" s="421" t="s">
        <v>17547</v>
      </c>
      <c r="G7062" s="112">
        <v>1</v>
      </c>
      <c r="I7062" s="112">
        <v>1</v>
      </c>
    </row>
    <row r="7063" spans="1:9" x14ac:dyDescent="0.2">
      <c r="A7063" s="111">
        <v>7281</v>
      </c>
      <c r="B7063" s="421" t="s">
        <v>17548</v>
      </c>
      <c r="C7063" s="421" t="s">
        <v>551</v>
      </c>
      <c r="D7063" s="422" t="s">
        <v>663</v>
      </c>
      <c r="E7063" s="111">
        <v>15883</v>
      </c>
      <c r="F7063" s="421" t="s">
        <v>846</v>
      </c>
      <c r="G7063" s="112">
        <v>1</v>
      </c>
      <c r="H7063" s="112">
        <v>1</v>
      </c>
      <c r="I7063" s="112">
        <v>1</v>
      </c>
    </row>
    <row r="7064" spans="1:9" x14ac:dyDescent="0.2">
      <c r="A7064" s="111">
        <v>7282</v>
      </c>
      <c r="B7064" s="421" t="s">
        <v>265</v>
      </c>
      <c r="C7064" s="421" t="s">
        <v>501</v>
      </c>
      <c r="D7064" s="422" t="s">
        <v>663</v>
      </c>
      <c r="E7064" s="111">
        <v>44737</v>
      </c>
      <c r="F7064" s="421" t="s">
        <v>17549</v>
      </c>
      <c r="G7064" s="112">
        <v>1</v>
      </c>
      <c r="H7064" s="112">
        <v>1</v>
      </c>
      <c r="I7064" s="112">
        <v>1</v>
      </c>
    </row>
    <row r="7065" spans="1:9" x14ac:dyDescent="0.2">
      <c r="A7065" s="111">
        <v>7283</v>
      </c>
      <c r="B7065" s="421" t="s">
        <v>455</v>
      </c>
      <c r="C7065" s="421" t="s">
        <v>530</v>
      </c>
      <c r="D7065" s="422" t="s">
        <v>663</v>
      </c>
      <c r="E7065" s="111">
        <v>15733</v>
      </c>
      <c r="F7065" s="421" t="s">
        <v>5233</v>
      </c>
    </row>
    <row r="7066" spans="1:9" x14ac:dyDescent="0.2">
      <c r="A7066" s="111">
        <v>7284</v>
      </c>
      <c r="B7066" s="421" t="s">
        <v>17550</v>
      </c>
      <c r="C7066" s="421" t="s">
        <v>1523</v>
      </c>
      <c r="D7066" s="422" t="s">
        <v>663</v>
      </c>
      <c r="E7066" s="111">
        <v>44418</v>
      </c>
      <c r="F7066" s="421" t="s">
        <v>16292</v>
      </c>
    </row>
    <row r="7067" spans="1:9" x14ac:dyDescent="0.2">
      <c r="A7067" s="111">
        <v>7285</v>
      </c>
      <c r="B7067" s="421" t="s">
        <v>17551</v>
      </c>
      <c r="C7067" s="421" t="s">
        <v>501</v>
      </c>
      <c r="D7067" s="422" t="s">
        <v>663</v>
      </c>
      <c r="E7067" s="111">
        <v>44746</v>
      </c>
      <c r="F7067" s="421" t="s">
        <v>17552</v>
      </c>
    </row>
    <row r="7068" spans="1:9" x14ac:dyDescent="0.2">
      <c r="A7068" s="111">
        <v>7286</v>
      </c>
      <c r="B7068" s="421" t="s">
        <v>17553</v>
      </c>
      <c r="C7068" s="421" t="s">
        <v>551</v>
      </c>
      <c r="D7068" s="422" t="s">
        <v>666</v>
      </c>
      <c r="E7068" s="111">
        <v>44738</v>
      </c>
      <c r="F7068" s="421" t="s">
        <v>17554</v>
      </c>
    </row>
    <row r="7069" spans="1:9" x14ac:dyDescent="0.2">
      <c r="A7069" s="111">
        <v>7287</v>
      </c>
      <c r="B7069" s="421" t="s">
        <v>2468</v>
      </c>
      <c r="C7069" s="421" t="s">
        <v>1318</v>
      </c>
      <c r="D7069" s="422" t="s">
        <v>666</v>
      </c>
      <c r="E7069" s="111">
        <v>44739</v>
      </c>
      <c r="F7069" s="421" t="s">
        <v>17555</v>
      </c>
    </row>
    <row r="7070" spans="1:9" x14ac:dyDescent="0.2">
      <c r="A7070" s="111">
        <v>7288</v>
      </c>
      <c r="B7070" s="421" t="s">
        <v>17556</v>
      </c>
      <c r="C7070" s="421" t="s">
        <v>517</v>
      </c>
      <c r="D7070" s="422" t="s">
        <v>663</v>
      </c>
      <c r="E7070" s="111">
        <v>16799</v>
      </c>
      <c r="F7070" s="421" t="s">
        <v>5242</v>
      </c>
    </row>
    <row r="7071" spans="1:9" x14ac:dyDescent="0.2">
      <c r="A7071" s="111">
        <v>7289</v>
      </c>
      <c r="B7071" s="421" t="s">
        <v>17557</v>
      </c>
      <c r="C7071" s="421" t="s">
        <v>503</v>
      </c>
      <c r="D7071" s="422" t="s">
        <v>663</v>
      </c>
      <c r="F7071" s="421" t="s">
        <v>17558</v>
      </c>
    </row>
    <row r="7072" spans="1:9" x14ac:dyDescent="0.2">
      <c r="A7072" s="111">
        <v>7290</v>
      </c>
      <c r="B7072" s="421" t="s">
        <v>12174</v>
      </c>
      <c r="C7072" s="421" t="s">
        <v>506</v>
      </c>
      <c r="D7072" s="422" t="s">
        <v>663</v>
      </c>
      <c r="E7072" s="111">
        <v>44337</v>
      </c>
      <c r="F7072" s="421" t="s">
        <v>12175</v>
      </c>
    </row>
    <row r="7073" spans="1:6" x14ac:dyDescent="0.2">
      <c r="A7073" s="111">
        <v>7291</v>
      </c>
      <c r="B7073" s="421" t="s">
        <v>4833</v>
      </c>
      <c r="C7073" s="421" t="s">
        <v>551</v>
      </c>
      <c r="D7073" s="422" t="s">
        <v>663</v>
      </c>
      <c r="E7073" s="111">
        <v>44740</v>
      </c>
      <c r="F7073" s="421" t="s">
        <v>17559</v>
      </c>
    </row>
    <row r="7074" spans="1:6" x14ac:dyDescent="0.2">
      <c r="A7074" s="111">
        <v>7292</v>
      </c>
      <c r="B7074" s="421" t="s">
        <v>390</v>
      </c>
      <c r="C7074" s="421" t="s">
        <v>11565</v>
      </c>
      <c r="D7074" s="422" t="s">
        <v>666</v>
      </c>
      <c r="E7074" s="111">
        <v>44185</v>
      </c>
      <c r="F7074" s="421" t="s">
        <v>11566</v>
      </c>
    </row>
    <row r="7075" spans="1:6" x14ac:dyDescent="0.2">
      <c r="A7075" s="111">
        <v>7293</v>
      </c>
      <c r="B7075" s="421" t="s">
        <v>17560</v>
      </c>
      <c r="C7075" s="421" t="s">
        <v>551</v>
      </c>
      <c r="D7075" s="422" t="s">
        <v>663</v>
      </c>
      <c r="E7075" s="111">
        <v>16786</v>
      </c>
      <c r="F7075" s="421" t="s">
        <v>7437</v>
      </c>
    </row>
    <row r="7076" spans="1:6" x14ac:dyDescent="0.2">
      <c r="A7076" s="111">
        <v>7294</v>
      </c>
      <c r="B7076" s="421" t="s">
        <v>124</v>
      </c>
      <c r="C7076" s="421" t="s">
        <v>516</v>
      </c>
      <c r="D7076" s="422" t="s">
        <v>666</v>
      </c>
      <c r="E7076" s="111">
        <v>44741</v>
      </c>
      <c r="F7076" s="421" t="s">
        <v>17561</v>
      </c>
    </row>
    <row r="7077" spans="1:6" x14ac:dyDescent="0.2">
      <c r="A7077" s="111">
        <v>7295</v>
      </c>
      <c r="B7077" s="421" t="s">
        <v>17562</v>
      </c>
      <c r="C7077" s="421" t="s">
        <v>516</v>
      </c>
      <c r="D7077" s="422" t="s">
        <v>663</v>
      </c>
      <c r="E7077" s="111">
        <v>44741</v>
      </c>
      <c r="F7077" s="421" t="s">
        <v>17561</v>
      </c>
    </row>
    <row r="7078" spans="1:6" x14ac:dyDescent="0.2">
      <c r="A7078" s="111">
        <v>7296</v>
      </c>
      <c r="B7078" s="421" t="s">
        <v>17563</v>
      </c>
      <c r="C7078" s="421" t="s">
        <v>577</v>
      </c>
      <c r="D7078" s="422" t="s">
        <v>663</v>
      </c>
      <c r="F7078" s="421" t="s">
        <v>17564</v>
      </c>
    </row>
    <row r="7079" spans="1:6" x14ac:dyDescent="0.2">
      <c r="A7079" s="111">
        <v>7297</v>
      </c>
      <c r="B7079" s="421" t="s">
        <v>119</v>
      </c>
      <c r="C7079" s="421" t="s">
        <v>1994</v>
      </c>
      <c r="D7079" s="422" t="s">
        <v>663</v>
      </c>
      <c r="E7079" s="111">
        <v>44745</v>
      </c>
      <c r="F7079" s="421" t="s">
        <v>17565</v>
      </c>
    </row>
    <row r="7080" spans="1:6" x14ac:dyDescent="0.2">
      <c r="A7080" s="111">
        <v>7298</v>
      </c>
      <c r="B7080" s="421" t="s">
        <v>2055</v>
      </c>
      <c r="C7080" s="421" t="s">
        <v>510</v>
      </c>
      <c r="D7080" s="422" t="s">
        <v>663</v>
      </c>
      <c r="E7080" s="111">
        <v>16981</v>
      </c>
      <c r="F7080" s="421" t="s">
        <v>9502</v>
      </c>
    </row>
    <row r="7081" spans="1:6" x14ac:dyDescent="0.2">
      <c r="A7081" s="111">
        <v>7299</v>
      </c>
      <c r="B7081" s="421" t="s">
        <v>17566</v>
      </c>
      <c r="C7081" s="421" t="s">
        <v>11565</v>
      </c>
      <c r="D7081" s="422" t="s">
        <v>663</v>
      </c>
      <c r="E7081" s="111">
        <v>44185</v>
      </c>
      <c r="F7081" s="421" t="s">
        <v>11566</v>
      </c>
    </row>
    <row r="7082" spans="1:6" x14ac:dyDescent="0.2">
      <c r="A7082" s="111">
        <v>7300</v>
      </c>
      <c r="B7082" s="421" t="s">
        <v>291</v>
      </c>
      <c r="C7082" s="421" t="s">
        <v>516</v>
      </c>
      <c r="D7082" s="422" t="s">
        <v>666</v>
      </c>
      <c r="E7082" s="111">
        <v>44462</v>
      </c>
      <c r="F7082" s="421" t="s">
        <v>15289</v>
      </c>
    </row>
    <row r="7083" spans="1:6" x14ac:dyDescent="0.2">
      <c r="A7083" s="111">
        <v>7301</v>
      </c>
      <c r="B7083" s="421" t="s">
        <v>6669</v>
      </c>
      <c r="C7083" s="421" t="s">
        <v>510</v>
      </c>
      <c r="D7083" s="422" t="s">
        <v>663</v>
      </c>
      <c r="E7083" s="111">
        <v>16707</v>
      </c>
      <c r="F7083" s="421" t="s">
        <v>7172</v>
      </c>
    </row>
    <row r="7084" spans="1:6" x14ac:dyDescent="0.2">
      <c r="A7084" s="111">
        <v>7302</v>
      </c>
      <c r="B7084" s="421" t="s">
        <v>17567</v>
      </c>
      <c r="C7084" s="421" t="s">
        <v>3070</v>
      </c>
      <c r="D7084" s="422" t="s">
        <v>666</v>
      </c>
      <c r="E7084" s="111">
        <v>44742</v>
      </c>
      <c r="F7084" s="421" t="s">
        <v>17568</v>
      </c>
    </row>
    <row r="7085" spans="1:6" x14ac:dyDescent="0.2">
      <c r="A7085" s="111">
        <v>7303</v>
      </c>
      <c r="B7085" s="421" t="s">
        <v>1409</v>
      </c>
      <c r="C7085" s="421" t="s">
        <v>592</v>
      </c>
      <c r="D7085" s="422" t="s">
        <v>666</v>
      </c>
      <c r="E7085" s="111">
        <v>16382</v>
      </c>
      <c r="F7085" s="421" t="s">
        <v>6373</v>
      </c>
    </row>
    <row r="7086" spans="1:6" x14ac:dyDescent="0.2">
      <c r="A7086" s="111">
        <v>7304</v>
      </c>
      <c r="B7086" s="421" t="s">
        <v>17569</v>
      </c>
      <c r="C7086" s="421" t="s">
        <v>537</v>
      </c>
      <c r="D7086" s="422" t="s">
        <v>663</v>
      </c>
      <c r="F7086" s="421" t="s">
        <v>17570</v>
      </c>
    </row>
    <row r="7087" spans="1:6" x14ac:dyDescent="0.2">
      <c r="A7087" s="111">
        <v>7305</v>
      </c>
      <c r="B7087" s="421" t="s">
        <v>17571</v>
      </c>
      <c r="C7087" s="421" t="s">
        <v>501</v>
      </c>
      <c r="D7087" s="422" t="s">
        <v>666</v>
      </c>
      <c r="F7087" s="421" t="s">
        <v>17572</v>
      </c>
    </row>
    <row r="7088" spans="1:6" x14ac:dyDescent="0.2">
      <c r="A7088" s="111">
        <v>7306</v>
      </c>
      <c r="B7088" s="421" t="s">
        <v>17573</v>
      </c>
      <c r="C7088" s="421" t="s">
        <v>520</v>
      </c>
      <c r="D7088" s="422" t="s">
        <v>663</v>
      </c>
      <c r="E7088" s="111">
        <v>44743</v>
      </c>
      <c r="F7088" s="421" t="s">
        <v>17574</v>
      </c>
    </row>
    <row r="7089" spans="1:9" x14ac:dyDescent="0.2">
      <c r="A7089" s="111">
        <v>7307</v>
      </c>
      <c r="B7089" s="421" t="s">
        <v>332</v>
      </c>
      <c r="C7089" s="421" t="s">
        <v>586</v>
      </c>
      <c r="D7089" s="422" t="s">
        <v>666</v>
      </c>
      <c r="E7089" s="111">
        <v>15671</v>
      </c>
      <c r="F7089" s="421" t="s">
        <v>5025</v>
      </c>
    </row>
    <row r="7090" spans="1:9" x14ac:dyDescent="0.2">
      <c r="A7090" s="111">
        <v>7308</v>
      </c>
      <c r="B7090" s="421" t="s">
        <v>376</v>
      </c>
      <c r="C7090" s="421" t="s">
        <v>525</v>
      </c>
      <c r="D7090" s="422" t="s">
        <v>666</v>
      </c>
      <c r="E7090" s="111">
        <v>44153</v>
      </c>
      <c r="F7090" s="421" t="s">
        <v>11320</v>
      </c>
    </row>
    <row r="7091" spans="1:9" x14ac:dyDescent="0.2">
      <c r="A7091" s="111">
        <v>7309</v>
      </c>
      <c r="B7091" s="421" t="s">
        <v>17575</v>
      </c>
      <c r="C7091" s="421" t="s">
        <v>577</v>
      </c>
      <c r="D7091" s="422" t="s">
        <v>663</v>
      </c>
      <c r="E7091" s="111">
        <v>44744</v>
      </c>
      <c r="F7091" s="421" t="s">
        <v>17576</v>
      </c>
    </row>
    <row r="7092" spans="1:9" x14ac:dyDescent="0.2">
      <c r="A7092" s="111">
        <v>7310</v>
      </c>
      <c r="B7092" s="421" t="s">
        <v>1543</v>
      </c>
      <c r="C7092" s="421" t="s">
        <v>510</v>
      </c>
      <c r="D7092" s="422" t="s">
        <v>663</v>
      </c>
      <c r="E7092" s="111">
        <v>44747</v>
      </c>
      <c r="F7092" s="421" t="s">
        <v>17577</v>
      </c>
    </row>
    <row r="7093" spans="1:9" x14ac:dyDescent="0.2">
      <c r="A7093" s="111">
        <v>7311</v>
      </c>
      <c r="B7093" s="421" t="s">
        <v>6977</v>
      </c>
      <c r="C7093" s="421" t="s">
        <v>521</v>
      </c>
      <c r="D7093" s="422" t="s">
        <v>663</v>
      </c>
      <c r="E7093" s="111">
        <v>15822</v>
      </c>
      <c r="F7093" s="421" t="s">
        <v>5500</v>
      </c>
    </row>
    <row r="7094" spans="1:9" x14ac:dyDescent="0.2">
      <c r="A7094" s="111">
        <v>7312</v>
      </c>
      <c r="B7094" s="421" t="s">
        <v>8325</v>
      </c>
      <c r="C7094" s="421" t="s">
        <v>501</v>
      </c>
      <c r="D7094" s="422" t="s">
        <v>666</v>
      </c>
      <c r="E7094" s="111">
        <v>44748</v>
      </c>
      <c r="F7094" s="421" t="s">
        <v>17578</v>
      </c>
    </row>
    <row r="7095" spans="1:9" x14ac:dyDescent="0.2">
      <c r="A7095" s="111">
        <v>7313</v>
      </c>
      <c r="B7095" s="421" t="s">
        <v>291</v>
      </c>
      <c r="C7095" s="421" t="s">
        <v>513</v>
      </c>
      <c r="D7095" s="422" t="s">
        <v>666</v>
      </c>
      <c r="E7095" s="111">
        <v>44749</v>
      </c>
      <c r="F7095" s="421" t="s">
        <v>17579</v>
      </c>
    </row>
    <row r="7096" spans="1:9" x14ac:dyDescent="0.2">
      <c r="A7096" s="111">
        <v>7314</v>
      </c>
      <c r="B7096" s="421" t="s">
        <v>80</v>
      </c>
      <c r="C7096" s="421" t="s">
        <v>501</v>
      </c>
      <c r="D7096" s="422" t="s">
        <v>663</v>
      </c>
      <c r="E7096" s="111">
        <v>15303</v>
      </c>
      <c r="F7096" s="421" t="s">
        <v>3773</v>
      </c>
    </row>
    <row r="7097" spans="1:9" x14ac:dyDescent="0.2">
      <c r="A7097" s="111">
        <v>7315</v>
      </c>
      <c r="B7097" s="421" t="s">
        <v>430</v>
      </c>
      <c r="C7097" s="421" t="s">
        <v>533</v>
      </c>
      <c r="D7097" s="422" t="s">
        <v>666</v>
      </c>
      <c r="F7097" s="421" t="s">
        <v>17580</v>
      </c>
    </row>
    <row r="7098" spans="1:9" x14ac:dyDescent="0.2">
      <c r="A7098" s="111">
        <v>7316</v>
      </c>
      <c r="B7098" s="421" t="s">
        <v>17581</v>
      </c>
      <c r="C7098" s="421" t="s">
        <v>501</v>
      </c>
      <c r="D7098" s="422" t="s">
        <v>663</v>
      </c>
      <c r="E7098" s="111">
        <v>44750</v>
      </c>
      <c r="F7098" s="421" t="s">
        <v>17582</v>
      </c>
    </row>
    <row r="7099" spans="1:9" x14ac:dyDescent="0.2">
      <c r="A7099" s="111">
        <v>7317</v>
      </c>
      <c r="B7099" s="421" t="s">
        <v>4604</v>
      </c>
      <c r="C7099" s="421" t="s">
        <v>510</v>
      </c>
      <c r="D7099" s="422" t="s">
        <v>663</v>
      </c>
      <c r="F7099" s="421" t="s">
        <v>17583</v>
      </c>
    </row>
    <row r="7100" spans="1:9" x14ac:dyDescent="0.2">
      <c r="A7100" s="111">
        <v>7318</v>
      </c>
      <c r="B7100" s="421" t="s">
        <v>17584</v>
      </c>
      <c r="C7100" s="421" t="s">
        <v>513</v>
      </c>
      <c r="D7100" s="422" t="s">
        <v>666</v>
      </c>
      <c r="E7100" s="111">
        <v>44751</v>
      </c>
      <c r="F7100" s="421" t="s">
        <v>17585</v>
      </c>
    </row>
    <row r="7101" spans="1:9" x14ac:dyDescent="0.2">
      <c r="A7101" s="111">
        <v>7319</v>
      </c>
      <c r="B7101" s="421" t="s">
        <v>17586</v>
      </c>
      <c r="C7101" s="421" t="s">
        <v>551</v>
      </c>
      <c r="D7101" s="422" t="s">
        <v>663</v>
      </c>
      <c r="E7101" s="111">
        <v>44752</v>
      </c>
      <c r="F7101" s="421" t="s">
        <v>17587</v>
      </c>
    </row>
    <row r="7102" spans="1:9" x14ac:dyDescent="0.2">
      <c r="A7102" s="111">
        <v>7320</v>
      </c>
      <c r="B7102" s="421" t="s">
        <v>1782</v>
      </c>
      <c r="C7102" s="421" t="s">
        <v>501</v>
      </c>
      <c r="D7102" s="422" t="s">
        <v>663</v>
      </c>
      <c r="E7102" s="111">
        <v>44239</v>
      </c>
      <c r="F7102" s="421" t="s">
        <v>11674</v>
      </c>
      <c r="G7102" s="112">
        <v>1</v>
      </c>
      <c r="H7102" s="112">
        <v>1</v>
      </c>
      <c r="I7102" s="112">
        <v>1</v>
      </c>
    </row>
    <row r="7103" spans="1:9" x14ac:dyDescent="0.2">
      <c r="A7103" s="111">
        <v>7321</v>
      </c>
      <c r="B7103" s="421" t="s">
        <v>282</v>
      </c>
      <c r="C7103" s="421" t="s">
        <v>523</v>
      </c>
      <c r="D7103" s="422" t="s">
        <v>663</v>
      </c>
      <c r="E7103" s="111">
        <v>44754</v>
      </c>
      <c r="F7103" s="421" t="s">
        <v>17588</v>
      </c>
    </row>
    <row r="7104" spans="1:9" x14ac:dyDescent="0.2">
      <c r="A7104" s="111">
        <v>7322</v>
      </c>
      <c r="B7104" s="421" t="s">
        <v>3128</v>
      </c>
      <c r="C7104" s="421" t="s">
        <v>517</v>
      </c>
      <c r="D7104" s="422" t="s">
        <v>666</v>
      </c>
      <c r="E7104" s="111">
        <v>15006</v>
      </c>
      <c r="F7104" s="421" t="s">
        <v>922</v>
      </c>
    </row>
    <row r="7105" spans="1:6" x14ac:dyDescent="0.2">
      <c r="A7105" s="111">
        <v>7323</v>
      </c>
      <c r="B7105" s="421" t="s">
        <v>4611</v>
      </c>
      <c r="C7105" s="421" t="s">
        <v>503</v>
      </c>
      <c r="D7105" s="422" t="s">
        <v>666</v>
      </c>
      <c r="E7105" s="111">
        <v>44755</v>
      </c>
      <c r="F7105" s="421" t="s">
        <v>17589</v>
      </c>
    </row>
    <row r="7106" spans="1:6" x14ac:dyDescent="0.2">
      <c r="A7106" s="111">
        <v>7324</v>
      </c>
      <c r="B7106" s="421" t="s">
        <v>1092</v>
      </c>
      <c r="C7106" s="421" t="s">
        <v>501</v>
      </c>
      <c r="D7106" s="422" t="s">
        <v>663</v>
      </c>
      <c r="E7106" s="111">
        <v>44757</v>
      </c>
      <c r="F7106" s="421" t="s">
        <v>17590</v>
      </c>
    </row>
    <row r="7107" spans="1:6" x14ac:dyDescent="0.2">
      <c r="A7107" s="111">
        <v>7325</v>
      </c>
      <c r="B7107" s="421" t="s">
        <v>17591</v>
      </c>
      <c r="C7107" s="421" t="s">
        <v>501</v>
      </c>
      <c r="D7107" s="422" t="s">
        <v>666</v>
      </c>
      <c r="F7107" s="421" t="s">
        <v>17592</v>
      </c>
    </row>
    <row r="7108" spans="1:6" x14ac:dyDescent="0.2">
      <c r="A7108" s="111">
        <v>7326</v>
      </c>
      <c r="B7108" s="421" t="s">
        <v>4646</v>
      </c>
      <c r="C7108" s="421" t="s">
        <v>506</v>
      </c>
      <c r="D7108" s="422" t="s">
        <v>663</v>
      </c>
      <c r="E7108" s="111">
        <v>44374</v>
      </c>
      <c r="F7108" s="421" t="s">
        <v>15256</v>
      </c>
    </row>
    <row r="7109" spans="1:6" x14ac:dyDescent="0.2">
      <c r="A7109" s="111">
        <v>7327</v>
      </c>
      <c r="B7109" s="421" t="s">
        <v>3014</v>
      </c>
      <c r="C7109" s="421" t="s">
        <v>532</v>
      </c>
      <c r="D7109" s="422" t="s">
        <v>663</v>
      </c>
      <c r="F7109" s="421" t="s">
        <v>17593</v>
      </c>
    </row>
    <row r="7110" spans="1:6" x14ac:dyDescent="0.2">
      <c r="A7110" s="111">
        <v>7328</v>
      </c>
      <c r="B7110" s="421" t="s">
        <v>174</v>
      </c>
      <c r="C7110" s="421" t="s">
        <v>577</v>
      </c>
      <c r="D7110" s="422" t="s">
        <v>666</v>
      </c>
      <c r="E7110" s="111">
        <v>44758</v>
      </c>
      <c r="F7110" s="421" t="s">
        <v>17594</v>
      </c>
    </row>
    <row r="7111" spans="1:6" x14ac:dyDescent="0.2">
      <c r="A7111" s="111">
        <v>7329</v>
      </c>
      <c r="B7111" s="421" t="s">
        <v>17595</v>
      </c>
      <c r="C7111" s="421" t="s">
        <v>509</v>
      </c>
      <c r="D7111" s="422" t="s">
        <v>666</v>
      </c>
      <c r="E7111" s="111">
        <v>44759</v>
      </c>
      <c r="F7111" s="421" t="s">
        <v>17596</v>
      </c>
    </row>
    <row r="7112" spans="1:6" x14ac:dyDescent="0.2">
      <c r="A7112" s="111">
        <v>7330</v>
      </c>
      <c r="B7112" s="421" t="s">
        <v>185</v>
      </c>
      <c r="C7112" s="421" t="s">
        <v>17459</v>
      </c>
      <c r="D7112" s="422" t="s">
        <v>663</v>
      </c>
      <c r="E7112" s="111">
        <v>44760</v>
      </c>
      <c r="F7112" s="421" t="s">
        <v>17597</v>
      </c>
    </row>
    <row r="7113" spans="1:6" x14ac:dyDescent="0.2">
      <c r="A7113" s="111">
        <v>7331</v>
      </c>
      <c r="B7113" s="421" t="s">
        <v>2433</v>
      </c>
      <c r="C7113" s="421" t="s">
        <v>525</v>
      </c>
      <c r="D7113" s="422" t="s">
        <v>663</v>
      </c>
      <c r="E7113" s="111">
        <v>17312</v>
      </c>
      <c r="F7113" s="421" t="s">
        <v>10803</v>
      </c>
    </row>
  </sheetData>
  <printOptions gridLines="1"/>
  <pageMargins left="0.7" right="0.7" top="0.75" bottom="0.75" header="0.3" footer="0.3"/>
  <pageSetup orientation="landscape" r:id="rId1"/>
  <headerFooter>
    <oddHeader>&amp;C&amp;16&amp;A</oddHeader>
    <oddFooter>&amp;L&amp;8&amp;Z&amp;F&amp;RPage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7DE2E-3E06-487E-83E0-A7E0A5721E77}">
  <dimension ref="A1:K260"/>
  <sheetViews>
    <sheetView topLeftCell="A3" workbookViewId="0">
      <selection activeCell="G3" sqref="G3"/>
    </sheetView>
  </sheetViews>
  <sheetFormatPr defaultRowHeight="15" x14ac:dyDescent="0.25"/>
  <cols>
    <col min="1" max="1" width="14.85546875" bestFit="1" customWidth="1"/>
    <col min="2" max="2" width="11.7109375" style="113" bestFit="1" customWidth="1"/>
    <col min="3" max="3" width="24.140625" bestFit="1" customWidth="1"/>
    <col min="4" max="4" width="17" style="113" bestFit="1" customWidth="1"/>
    <col min="7" max="7" width="14.85546875" bestFit="1" customWidth="1"/>
    <col min="8" max="8" width="11.7109375" style="113" bestFit="1" customWidth="1"/>
    <col min="9" max="9" width="39.140625" bestFit="1" customWidth="1"/>
    <col min="10" max="10" width="34.5703125" bestFit="1" customWidth="1"/>
    <col min="11" max="11" width="28" bestFit="1" customWidth="1"/>
  </cols>
  <sheetData>
    <row r="1" spans="1:11" ht="32.25" thickBot="1" x14ac:dyDescent="0.55000000000000004">
      <c r="A1" s="416" t="s">
        <v>16039</v>
      </c>
      <c r="B1" s="416"/>
      <c r="C1" s="416"/>
      <c r="D1" s="416"/>
      <c r="G1" s="417" t="s">
        <v>16040</v>
      </c>
      <c r="H1" s="417"/>
      <c r="I1" s="417"/>
      <c r="J1" s="417"/>
      <c r="K1" s="336"/>
    </row>
    <row r="2" spans="1:11" ht="15.75" thickTop="1" x14ac:dyDescent="0.25">
      <c r="A2" t="s">
        <v>6</v>
      </c>
      <c r="B2" s="113" t="s">
        <v>7</v>
      </c>
      <c r="C2" t="s">
        <v>15690</v>
      </c>
      <c r="D2" s="113" t="s">
        <v>15691</v>
      </c>
      <c r="G2" t="s">
        <v>6</v>
      </c>
      <c r="H2" s="113" t="s">
        <v>7</v>
      </c>
      <c r="I2" t="s">
        <v>15690</v>
      </c>
      <c r="J2" t="s">
        <v>16041</v>
      </c>
      <c r="K2" t="s">
        <v>16395</v>
      </c>
    </row>
    <row r="3" spans="1:11" x14ac:dyDescent="0.25">
      <c r="A3">
        <v>2913</v>
      </c>
      <c r="B3" s="113">
        <v>46263</v>
      </c>
      <c r="C3" t="s">
        <v>16076</v>
      </c>
      <c r="D3" s="113">
        <v>46266</v>
      </c>
      <c r="G3">
        <v>2466</v>
      </c>
      <c r="H3" s="113">
        <v>46290</v>
      </c>
      <c r="I3" s="418" t="s">
        <v>16043</v>
      </c>
      <c r="J3" s="418" t="s">
        <v>16044</v>
      </c>
      <c r="K3" s="337"/>
    </row>
    <row r="4" spans="1:11" x14ac:dyDescent="0.25">
      <c r="A4">
        <v>3042</v>
      </c>
      <c r="B4" s="113">
        <v>46264</v>
      </c>
      <c r="C4" t="s">
        <v>15444</v>
      </c>
      <c r="D4" s="113">
        <v>46266</v>
      </c>
      <c r="G4">
        <v>2467</v>
      </c>
      <c r="H4" s="113">
        <v>46291</v>
      </c>
      <c r="I4" s="418" t="s">
        <v>16043</v>
      </c>
      <c r="J4" s="418" t="s">
        <v>16044</v>
      </c>
      <c r="K4" s="337"/>
    </row>
    <row r="5" spans="1:11" x14ac:dyDescent="0.25">
      <c r="A5">
        <v>3041</v>
      </c>
      <c r="B5" s="113">
        <v>46264</v>
      </c>
      <c r="C5" t="s">
        <v>15444</v>
      </c>
      <c r="D5" s="113">
        <v>46266</v>
      </c>
      <c r="G5">
        <v>2468</v>
      </c>
      <c r="H5" s="113">
        <v>46292</v>
      </c>
      <c r="I5" s="418" t="s">
        <v>16043</v>
      </c>
      <c r="J5" s="418" t="s">
        <v>16044</v>
      </c>
      <c r="K5" s="337"/>
    </row>
    <row r="6" spans="1:11" x14ac:dyDescent="0.25">
      <c r="A6">
        <v>3022</v>
      </c>
      <c r="B6" s="113">
        <v>46263</v>
      </c>
      <c r="C6" t="s">
        <v>15444</v>
      </c>
      <c r="D6" s="113">
        <v>46266</v>
      </c>
      <c r="G6">
        <v>2620</v>
      </c>
      <c r="H6" s="113">
        <v>46270</v>
      </c>
      <c r="I6" s="418" t="s">
        <v>16049</v>
      </c>
      <c r="J6" s="418" t="s">
        <v>16048</v>
      </c>
      <c r="K6" s="337"/>
    </row>
    <row r="7" spans="1:11" x14ac:dyDescent="0.25">
      <c r="A7">
        <v>2914</v>
      </c>
      <c r="B7" s="113">
        <v>46264</v>
      </c>
      <c r="C7" t="s">
        <v>16076</v>
      </c>
      <c r="D7" s="113">
        <v>46266</v>
      </c>
      <c r="G7">
        <v>2621</v>
      </c>
      <c r="H7" s="113">
        <v>46271</v>
      </c>
      <c r="I7" s="418" t="s">
        <v>16049</v>
      </c>
      <c r="J7" s="418" t="s">
        <v>16048</v>
      </c>
      <c r="K7" s="337"/>
    </row>
    <row r="8" spans="1:11" x14ac:dyDescent="0.25">
      <c r="A8">
        <v>2831</v>
      </c>
      <c r="B8" s="113">
        <v>46249</v>
      </c>
      <c r="C8" t="s">
        <v>16062</v>
      </c>
      <c r="D8" s="113">
        <v>46261</v>
      </c>
      <c r="G8">
        <v>2622</v>
      </c>
      <c r="H8" s="113">
        <v>46272</v>
      </c>
      <c r="I8" s="418" t="s">
        <v>16049</v>
      </c>
      <c r="J8" s="418" t="s">
        <v>16048</v>
      </c>
      <c r="K8" s="337"/>
    </row>
    <row r="9" spans="1:11" x14ac:dyDescent="0.25">
      <c r="A9">
        <v>2829</v>
      </c>
      <c r="B9" s="113">
        <v>46248</v>
      </c>
      <c r="C9" t="s">
        <v>16062</v>
      </c>
      <c r="D9" s="113">
        <v>46261</v>
      </c>
      <c r="G9">
        <v>2623</v>
      </c>
      <c r="H9" s="113">
        <v>46271</v>
      </c>
      <c r="I9" s="418" t="s">
        <v>16049</v>
      </c>
      <c r="J9" s="418" t="s">
        <v>16048</v>
      </c>
      <c r="K9" s="337"/>
    </row>
    <row r="10" spans="1:11" x14ac:dyDescent="0.25">
      <c r="A10">
        <v>2830</v>
      </c>
      <c r="B10" s="113">
        <v>46248</v>
      </c>
      <c r="C10" t="s">
        <v>16062</v>
      </c>
      <c r="D10" s="113">
        <v>46261</v>
      </c>
      <c r="G10">
        <v>2624</v>
      </c>
      <c r="H10" s="113">
        <v>46270</v>
      </c>
      <c r="I10" s="418" t="s">
        <v>16049</v>
      </c>
      <c r="J10" s="418" t="s">
        <v>16048</v>
      </c>
      <c r="K10" s="337"/>
    </row>
    <row r="11" spans="1:11" x14ac:dyDescent="0.25">
      <c r="A11">
        <v>2832</v>
      </c>
      <c r="B11" s="113">
        <v>46250</v>
      </c>
      <c r="C11" t="s">
        <v>16062</v>
      </c>
      <c r="D11" s="113">
        <v>46261</v>
      </c>
      <c r="G11">
        <v>2625</v>
      </c>
      <c r="H11" s="113">
        <v>46271</v>
      </c>
      <c r="I11" s="418" t="s">
        <v>16049</v>
      </c>
      <c r="J11" s="418" t="s">
        <v>16048</v>
      </c>
      <c r="K11" s="337"/>
    </row>
    <row r="12" spans="1:11" x14ac:dyDescent="0.25">
      <c r="A12">
        <v>3128</v>
      </c>
      <c r="B12" s="113">
        <v>46257</v>
      </c>
      <c r="C12" t="s">
        <v>16995</v>
      </c>
      <c r="D12" s="113">
        <v>46258</v>
      </c>
      <c r="G12">
        <v>2626</v>
      </c>
      <c r="H12" s="113">
        <v>46272</v>
      </c>
      <c r="I12" s="418" t="s">
        <v>16049</v>
      </c>
      <c r="J12" s="418" t="s">
        <v>16048</v>
      </c>
      <c r="K12" s="337"/>
    </row>
    <row r="13" spans="1:11" x14ac:dyDescent="0.25">
      <c r="A13">
        <v>3127</v>
      </c>
      <c r="B13" s="113">
        <v>46256</v>
      </c>
      <c r="C13" t="s">
        <v>16995</v>
      </c>
      <c r="D13" s="113">
        <v>46258</v>
      </c>
      <c r="G13">
        <v>2627</v>
      </c>
      <c r="H13" s="113">
        <v>46340</v>
      </c>
      <c r="I13" s="418" t="s">
        <v>16047</v>
      </c>
      <c r="J13" s="418" t="s">
        <v>16048</v>
      </c>
      <c r="K13" s="337"/>
    </row>
    <row r="14" spans="1:11" x14ac:dyDescent="0.25">
      <c r="A14">
        <v>3012</v>
      </c>
      <c r="B14" s="113">
        <v>46258</v>
      </c>
      <c r="C14" t="s">
        <v>16086</v>
      </c>
      <c r="D14" s="113">
        <v>46258</v>
      </c>
      <c r="G14">
        <v>2676</v>
      </c>
      <c r="H14" s="113">
        <v>46383</v>
      </c>
      <c r="I14" s="418" t="s">
        <v>15442</v>
      </c>
      <c r="J14" s="418" t="s">
        <v>16050</v>
      </c>
      <c r="K14" s="337"/>
    </row>
    <row r="15" spans="1:11" x14ac:dyDescent="0.25">
      <c r="A15">
        <v>2723</v>
      </c>
      <c r="B15" s="113">
        <v>46256</v>
      </c>
      <c r="C15" t="s">
        <v>15445</v>
      </c>
      <c r="D15" s="113">
        <v>46258</v>
      </c>
      <c r="G15">
        <v>2677</v>
      </c>
      <c r="H15" s="113">
        <v>46384</v>
      </c>
      <c r="I15" s="418" t="s">
        <v>15442</v>
      </c>
      <c r="J15" s="418" t="s">
        <v>16050</v>
      </c>
      <c r="K15" s="337"/>
    </row>
    <row r="16" spans="1:11" x14ac:dyDescent="0.25">
      <c r="A16">
        <v>2722</v>
      </c>
      <c r="B16" s="113">
        <v>46256</v>
      </c>
      <c r="C16" t="s">
        <v>15445</v>
      </c>
      <c r="D16" s="113">
        <v>46258</v>
      </c>
      <c r="G16">
        <v>2721</v>
      </c>
      <c r="H16" s="113">
        <v>46256</v>
      </c>
      <c r="I16" s="418" t="s">
        <v>15445</v>
      </c>
      <c r="J16" s="418" t="s">
        <v>16042</v>
      </c>
      <c r="K16" s="337"/>
    </row>
    <row r="17" spans="1:11" x14ac:dyDescent="0.25">
      <c r="A17">
        <v>3147</v>
      </c>
      <c r="B17" s="113">
        <v>46250</v>
      </c>
      <c r="C17" t="s">
        <v>15949</v>
      </c>
      <c r="D17" s="113">
        <v>46253</v>
      </c>
      <c r="G17">
        <v>2724</v>
      </c>
      <c r="H17" s="113">
        <v>46305</v>
      </c>
      <c r="I17" s="418" t="s">
        <v>15445</v>
      </c>
      <c r="J17" s="418" t="s">
        <v>16042</v>
      </c>
      <c r="K17" s="337"/>
    </row>
    <row r="18" spans="1:11" x14ac:dyDescent="0.25">
      <c r="A18">
        <v>3146</v>
      </c>
      <c r="B18" s="113">
        <v>46249</v>
      </c>
      <c r="C18" t="s">
        <v>15949</v>
      </c>
      <c r="D18" s="113">
        <v>46253</v>
      </c>
      <c r="G18">
        <v>2725</v>
      </c>
      <c r="H18" s="113">
        <v>46304</v>
      </c>
      <c r="I18" s="418" t="s">
        <v>15445</v>
      </c>
      <c r="J18" s="418" t="s">
        <v>16042</v>
      </c>
      <c r="K18" s="337"/>
    </row>
    <row r="19" spans="1:11" x14ac:dyDescent="0.25">
      <c r="A19">
        <v>3180</v>
      </c>
      <c r="B19" s="113">
        <v>46250</v>
      </c>
      <c r="C19" t="s">
        <v>17071</v>
      </c>
      <c r="D19" s="113">
        <v>46251</v>
      </c>
      <c r="G19">
        <v>2726</v>
      </c>
      <c r="H19" s="113">
        <v>46306</v>
      </c>
      <c r="I19" s="418" t="s">
        <v>15445</v>
      </c>
      <c r="J19" s="418" t="s">
        <v>16042</v>
      </c>
      <c r="K19" s="337"/>
    </row>
    <row r="20" spans="1:11" x14ac:dyDescent="0.25">
      <c r="A20">
        <v>3052</v>
      </c>
      <c r="B20" s="113">
        <v>46242</v>
      </c>
      <c r="C20" t="s">
        <v>16089</v>
      </c>
      <c r="D20" s="113">
        <v>46248</v>
      </c>
      <c r="G20">
        <v>2737</v>
      </c>
      <c r="H20" s="113">
        <v>46283</v>
      </c>
      <c r="I20" s="418" t="s">
        <v>16055</v>
      </c>
      <c r="J20" s="418" t="s">
        <v>16056</v>
      </c>
      <c r="K20" s="337"/>
    </row>
    <row r="21" spans="1:11" x14ac:dyDescent="0.25">
      <c r="A21">
        <v>3123</v>
      </c>
      <c r="B21" s="113">
        <v>46243</v>
      </c>
      <c r="C21" t="s">
        <v>16067</v>
      </c>
      <c r="D21" s="113">
        <v>46245</v>
      </c>
      <c r="G21">
        <v>2738</v>
      </c>
      <c r="H21" s="113">
        <v>46283</v>
      </c>
      <c r="I21" s="418" t="s">
        <v>16055</v>
      </c>
      <c r="J21" s="418" t="s">
        <v>16056</v>
      </c>
      <c r="K21" s="337"/>
    </row>
    <row r="22" spans="1:11" x14ac:dyDescent="0.25">
      <c r="A22">
        <v>3122</v>
      </c>
      <c r="B22" s="113">
        <v>46243</v>
      </c>
      <c r="C22" t="s">
        <v>16067</v>
      </c>
      <c r="D22" s="113">
        <v>46245</v>
      </c>
      <c r="G22">
        <v>2739</v>
      </c>
      <c r="H22" s="113">
        <v>46284</v>
      </c>
      <c r="I22" s="418" t="s">
        <v>16055</v>
      </c>
      <c r="J22" s="418" t="s">
        <v>16056</v>
      </c>
      <c r="K22" s="337"/>
    </row>
    <row r="23" spans="1:11" x14ac:dyDescent="0.25">
      <c r="A23">
        <v>2871</v>
      </c>
      <c r="B23" s="113">
        <v>46242</v>
      </c>
      <c r="C23" t="s">
        <v>16067</v>
      </c>
      <c r="D23" s="113">
        <v>46245</v>
      </c>
      <c r="G23">
        <v>2740</v>
      </c>
      <c r="H23" s="113">
        <v>46284</v>
      </c>
      <c r="I23" s="418" t="s">
        <v>16055</v>
      </c>
      <c r="J23" s="418" t="s">
        <v>16056</v>
      </c>
      <c r="K23" s="337"/>
    </row>
    <row r="24" spans="1:11" x14ac:dyDescent="0.25">
      <c r="A24">
        <v>2872</v>
      </c>
      <c r="B24" s="113">
        <v>46242</v>
      </c>
      <c r="C24" t="s">
        <v>16067</v>
      </c>
      <c r="D24" s="113">
        <v>46245</v>
      </c>
      <c r="G24">
        <v>2741</v>
      </c>
      <c r="H24" s="113">
        <v>46285</v>
      </c>
      <c r="I24" s="418" t="s">
        <v>16055</v>
      </c>
      <c r="J24" s="418" t="s">
        <v>16056</v>
      </c>
      <c r="K24" s="337"/>
    </row>
    <row r="25" spans="1:11" x14ac:dyDescent="0.25">
      <c r="A25">
        <v>3156</v>
      </c>
      <c r="B25" s="113">
        <v>46235</v>
      </c>
      <c r="C25" t="s">
        <v>17004</v>
      </c>
      <c r="D25" s="113">
        <v>46241</v>
      </c>
      <c r="G25">
        <v>2742</v>
      </c>
      <c r="H25" s="113">
        <v>46285</v>
      </c>
      <c r="I25" s="418" t="s">
        <v>16055</v>
      </c>
      <c r="J25" s="418" t="s">
        <v>16056</v>
      </c>
      <c r="K25" s="337"/>
    </row>
    <row r="26" spans="1:11" x14ac:dyDescent="0.25">
      <c r="A26">
        <v>3157</v>
      </c>
      <c r="B26" s="113">
        <v>46236</v>
      </c>
      <c r="C26" t="s">
        <v>17004</v>
      </c>
      <c r="D26" s="113">
        <v>46241</v>
      </c>
      <c r="G26">
        <v>2761</v>
      </c>
      <c r="H26" s="113">
        <v>46284</v>
      </c>
      <c r="I26" s="418" t="s">
        <v>16058</v>
      </c>
      <c r="J26" s="418" t="s">
        <v>16059</v>
      </c>
      <c r="K26" s="337"/>
    </row>
    <row r="27" spans="1:11" x14ac:dyDescent="0.25">
      <c r="A27">
        <v>3158</v>
      </c>
      <c r="B27" s="113">
        <v>46237</v>
      </c>
      <c r="C27" t="s">
        <v>17004</v>
      </c>
      <c r="D27" s="113">
        <v>46241</v>
      </c>
      <c r="G27">
        <v>2792</v>
      </c>
      <c r="H27" s="113">
        <v>46284</v>
      </c>
      <c r="I27" s="418" t="s">
        <v>16060</v>
      </c>
      <c r="J27" s="418" t="s">
        <v>16051</v>
      </c>
      <c r="K27" s="337"/>
    </row>
    <row r="28" spans="1:11" x14ac:dyDescent="0.25">
      <c r="A28">
        <v>3170</v>
      </c>
      <c r="B28" s="113">
        <v>46236</v>
      </c>
      <c r="C28" t="s">
        <v>15442</v>
      </c>
      <c r="D28" s="113">
        <v>46238</v>
      </c>
      <c r="G28">
        <v>2793</v>
      </c>
      <c r="H28" s="113">
        <v>46285</v>
      </c>
      <c r="I28" s="418" t="s">
        <v>16060</v>
      </c>
      <c r="J28" s="418" t="s">
        <v>16051</v>
      </c>
      <c r="K28" s="337"/>
    </row>
    <row r="29" spans="1:11" x14ac:dyDescent="0.25">
      <c r="A29">
        <v>3113</v>
      </c>
      <c r="B29" s="113">
        <v>46229</v>
      </c>
      <c r="C29" t="s">
        <v>15950</v>
      </c>
      <c r="D29" s="113">
        <v>46231</v>
      </c>
      <c r="G29">
        <v>2848</v>
      </c>
      <c r="H29" s="113">
        <v>46276</v>
      </c>
      <c r="I29" s="418" t="s">
        <v>16063</v>
      </c>
      <c r="J29" s="418" t="s">
        <v>16064</v>
      </c>
      <c r="K29" s="337"/>
    </row>
    <row r="30" spans="1:11" x14ac:dyDescent="0.25">
      <c r="A30">
        <v>3148</v>
      </c>
      <c r="B30" s="113">
        <v>46229</v>
      </c>
      <c r="C30" t="s">
        <v>15949</v>
      </c>
      <c r="D30" s="113">
        <v>46231</v>
      </c>
      <c r="G30">
        <v>2849</v>
      </c>
      <c r="H30" s="113">
        <v>46277</v>
      </c>
      <c r="I30" s="418" t="s">
        <v>16063</v>
      </c>
      <c r="J30" s="418" t="s">
        <v>16064</v>
      </c>
      <c r="K30" s="337"/>
    </row>
    <row r="31" spans="1:11" x14ac:dyDescent="0.25">
      <c r="A31">
        <v>3149</v>
      </c>
      <c r="B31" s="113">
        <v>46229</v>
      </c>
      <c r="C31" t="s">
        <v>15949</v>
      </c>
      <c r="D31" s="113">
        <v>46231</v>
      </c>
      <c r="G31">
        <v>2850</v>
      </c>
      <c r="H31" s="113">
        <v>46278</v>
      </c>
      <c r="I31" s="418" t="s">
        <v>16063</v>
      </c>
      <c r="J31" s="418" t="s">
        <v>16064</v>
      </c>
      <c r="K31" s="337"/>
    </row>
    <row r="32" spans="1:11" x14ac:dyDescent="0.25">
      <c r="A32">
        <v>3112</v>
      </c>
      <c r="B32" s="113">
        <v>46228</v>
      </c>
      <c r="C32" t="s">
        <v>15950</v>
      </c>
      <c r="D32" s="113">
        <v>46231</v>
      </c>
      <c r="G32">
        <v>2851</v>
      </c>
      <c r="H32" s="113">
        <v>46283</v>
      </c>
      <c r="I32" s="418" t="s">
        <v>16063</v>
      </c>
      <c r="J32" s="418" t="s">
        <v>16065</v>
      </c>
      <c r="K32" s="337"/>
    </row>
    <row r="33" spans="1:11" x14ac:dyDescent="0.25">
      <c r="A33">
        <v>3036</v>
      </c>
      <c r="B33" s="113">
        <v>46229</v>
      </c>
      <c r="C33" t="s">
        <v>16089</v>
      </c>
      <c r="D33" s="113">
        <v>46230</v>
      </c>
      <c r="G33">
        <v>2852</v>
      </c>
      <c r="H33" s="113">
        <v>46284</v>
      </c>
      <c r="I33" s="418" t="s">
        <v>16063</v>
      </c>
      <c r="J33" s="418" t="s">
        <v>16065</v>
      </c>
      <c r="K33" s="337"/>
    </row>
    <row r="34" spans="1:11" x14ac:dyDescent="0.25">
      <c r="A34">
        <v>3118</v>
      </c>
      <c r="B34" s="113">
        <v>46228</v>
      </c>
      <c r="C34" t="s">
        <v>16402</v>
      </c>
      <c r="D34" s="113">
        <v>46230</v>
      </c>
      <c r="G34">
        <v>2853</v>
      </c>
      <c r="H34" s="113">
        <v>46285</v>
      </c>
      <c r="I34" s="418" t="s">
        <v>16063</v>
      </c>
      <c r="J34" s="418" t="s">
        <v>16065</v>
      </c>
      <c r="K34" s="337"/>
    </row>
    <row r="35" spans="1:11" x14ac:dyDescent="0.25">
      <c r="A35">
        <v>3119</v>
      </c>
      <c r="B35" s="113">
        <v>46229</v>
      </c>
      <c r="C35" t="s">
        <v>16402</v>
      </c>
      <c r="D35" s="113">
        <v>46230</v>
      </c>
      <c r="G35">
        <v>2891</v>
      </c>
      <c r="H35" s="113">
        <v>46333</v>
      </c>
      <c r="I35" s="418" t="s">
        <v>16071</v>
      </c>
      <c r="J35" s="418" t="s">
        <v>16072</v>
      </c>
      <c r="K35" s="337"/>
    </row>
    <row r="36" spans="1:11" x14ac:dyDescent="0.25">
      <c r="A36">
        <v>3163</v>
      </c>
      <c r="B36" s="113">
        <v>46228</v>
      </c>
      <c r="C36" t="s">
        <v>15444</v>
      </c>
      <c r="D36" s="113">
        <v>46230</v>
      </c>
      <c r="G36">
        <v>2898</v>
      </c>
      <c r="H36" s="113">
        <v>46277</v>
      </c>
      <c r="I36" s="418" t="s">
        <v>16058</v>
      </c>
      <c r="J36" s="418" t="s">
        <v>16059</v>
      </c>
      <c r="K36" s="337"/>
    </row>
    <row r="37" spans="1:11" x14ac:dyDescent="0.25">
      <c r="A37">
        <v>3145</v>
      </c>
      <c r="B37" s="113">
        <v>46228</v>
      </c>
      <c r="C37" t="s">
        <v>16069</v>
      </c>
      <c r="D37" s="113">
        <v>46229</v>
      </c>
      <c r="G37">
        <v>2899</v>
      </c>
      <c r="H37" s="113">
        <v>46312</v>
      </c>
      <c r="I37" s="418" t="s">
        <v>16053</v>
      </c>
      <c r="J37" s="418" t="s">
        <v>16054</v>
      </c>
      <c r="K37" s="337"/>
    </row>
    <row r="38" spans="1:11" x14ac:dyDescent="0.25">
      <c r="A38">
        <v>3150</v>
      </c>
      <c r="B38" s="113">
        <v>46228</v>
      </c>
      <c r="C38" t="s">
        <v>17001</v>
      </c>
      <c r="D38" s="113">
        <v>46229</v>
      </c>
      <c r="G38">
        <v>2901</v>
      </c>
      <c r="H38" s="113">
        <v>46312</v>
      </c>
      <c r="I38" s="418" t="s">
        <v>16058</v>
      </c>
      <c r="J38" s="418" t="s">
        <v>16059</v>
      </c>
      <c r="K38" s="337"/>
    </row>
    <row r="39" spans="1:11" x14ac:dyDescent="0.25">
      <c r="A39">
        <v>3144</v>
      </c>
      <c r="B39" s="113">
        <v>46227</v>
      </c>
      <c r="C39" t="s">
        <v>16069</v>
      </c>
      <c r="D39" s="113">
        <v>46229</v>
      </c>
      <c r="G39">
        <v>2918</v>
      </c>
      <c r="H39" s="113">
        <v>46339</v>
      </c>
      <c r="I39" s="418" t="s">
        <v>16077</v>
      </c>
      <c r="J39" s="418" t="s">
        <v>16050</v>
      </c>
      <c r="K39" s="337"/>
    </row>
    <row r="40" spans="1:11" x14ac:dyDescent="0.25">
      <c r="A40">
        <v>3151</v>
      </c>
      <c r="B40" s="113">
        <v>46228</v>
      </c>
      <c r="C40" t="s">
        <v>17001</v>
      </c>
      <c r="D40" s="113">
        <v>46229</v>
      </c>
      <c r="G40">
        <v>2919</v>
      </c>
      <c r="H40" s="113">
        <v>46339</v>
      </c>
      <c r="I40" s="418" t="s">
        <v>16077</v>
      </c>
      <c r="J40" s="418" t="s">
        <v>16050</v>
      </c>
      <c r="K40" s="337"/>
    </row>
    <row r="41" spans="1:11" x14ac:dyDescent="0.25">
      <c r="A41">
        <v>3173</v>
      </c>
      <c r="B41" s="113">
        <v>46222</v>
      </c>
      <c r="C41" t="s">
        <v>15442</v>
      </c>
      <c r="D41" s="113">
        <v>46225</v>
      </c>
      <c r="G41">
        <v>2920</v>
      </c>
      <c r="H41" s="113">
        <v>46339</v>
      </c>
      <c r="I41" s="418" t="s">
        <v>16077</v>
      </c>
      <c r="J41" s="418" t="s">
        <v>16050</v>
      </c>
      <c r="K41" s="337"/>
    </row>
    <row r="42" spans="1:11" x14ac:dyDescent="0.25">
      <c r="A42">
        <v>2671</v>
      </c>
      <c r="B42" s="113">
        <v>46222</v>
      </c>
      <c r="C42" t="s">
        <v>15442</v>
      </c>
      <c r="D42" s="113">
        <v>46225</v>
      </c>
      <c r="G42">
        <v>2921</v>
      </c>
      <c r="H42" s="113">
        <v>46339</v>
      </c>
      <c r="I42" s="418" t="s">
        <v>16077</v>
      </c>
      <c r="J42" s="418" t="s">
        <v>16050</v>
      </c>
      <c r="K42" s="337"/>
    </row>
    <row r="43" spans="1:11" x14ac:dyDescent="0.25">
      <c r="A43">
        <v>2670</v>
      </c>
      <c r="B43" s="113">
        <v>46221</v>
      </c>
      <c r="C43" t="s">
        <v>15442</v>
      </c>
      <c r="D43" s="113">
        <v>46225</v>
      </c>
      <c r="G43">
        <v>2922</v>
      </c>
      <c r="H43" s="113">
        <v>46340</v>
      </c>
      <c r="I43" s="418" t="s">
        <v>16077</v>
      </c>
      <c r="J43" s="418" t="s">
        <v>16050</v>
      </c>
      <c r="K43" s="337"/>
    </row>
    <row r="44" spans="1:11" x14ac:dyDescent="0.25">
      <c r="A44">
        <v>2668</v>
      </c>
      <c r="B44" s="113">
        <v>46221</v>
      </c>
      <c r="C44" t="s">
        <v>15442</v>
      </c>
      <c r="D44" s="113">
        <v>46225</v>
      </c>
      <c r="G44">
        <v>2923</v>
      </c>
      <c r="H44" s="113">
        <v>46340</v>
      </c>
      <c r="I44" s="418" t="s">
        <v>16077</v>
      </c>
      <c r="J44" s="418" t="s">
        <v>16050</v>
      </c>
      <c r="K44" s="337"/>
    </row>
    <row r="45" spans="1:11" x14ac:dyDescent="0.25">
      <c r="A45">
        <v>3140</v>
      </c>
      <c r="B45" s="113">
        <v>46221</v>
      </c>
      <c r="C45" t="s">
        <v>17000</v>
      </c>
      <c r="D45" s="113">
        <v>46224</v>
      </c>
      <c r="G45">
        <v>2924</v>
      </c>
      <c r="H45" s="113">
        <v>46340</v>
      </c>
      <c r="I45" s="418" t="s">
        <v>16077</v>
      </c>
      <c r="J45" s="418" t="s">
        <v>16050</v>
      </c>
      <c r="K45" s="337"/>
    </row>
    <row r="46" spans="1:11" x14ac:dyDescent="0.25">
      <c r="A46">
        <v>2902</v>
      </c>
      <c r="B46" s="113">
        <v>46220</v>
      </c>
      <c r="C46" t="s">
        <v>16058</v>
      </c>
      <c r="D46" s="113">
        <v>46224</v>
      </c>
      <c r="G46">
        <v>2925</v>
      </c>
      <c r="H46" s="113">
        <v>46340</v>
      </c>
      <c r="I46" s="418" t="s">
        <v>16077</v>
      </c>
      <c r="J46" s="418" t="s">
        <v>16050</v>
      </c>
      <c r="K46" s="337"/>
    </row>
    <row r="47" spans="1:11" x14ac:dyDescent="0.25">
      <c r="A47">
        <v>3139</v>
      </c>
      <c r="B47" s="113">
        <v>46221</v>
      </c>
      <c r="C47" t="s">
        <v>17000</v>
      </c>
      <c r="D47" s="113">
        <v>46224</v>
      </c>
      <c r="G47">
        <v>2926</v>
      </c>
      <c r="H47" s="113">
        <v>46341</v>
      </c>
      <c r="I47" s="418" t="s">
        <v>16077</v>
      </c>
      <c r="J47" s="418" t="s">
        <v>16050</v>
      </c>
      <c r="K47" s="337"/>
    </row>
    <row r="48" spans="1:11" x14ac:dyDescent="0.25">
      <c r="A48">
        <v>3124</v>
      </c>
      <c r="B48" s="113">
        <v>46221</v>
      </c>
      <c r="C48" t="s">
        <v>15692</v>
      </c>
      <c r="D48" s="113">
        <v>46224</v>
      </c>
      <c r="G48">
        <v>2927</v>
      </c>
      <c r="H48" s="113">
        <v>46341</v>
      </c>
      <c r="I48" s="418" t="s">
        <v>16077</v>
      </c>
      <c r="J48" s="418" t="s">
        <v>16050</v>
      </c>
      <c r="K48" s="337"/>
    </row>
    <row r="49" spans="1:11" x14ac:dyDescent="0.25">
      <c r="A49">
        <v>3115</v>
      </c>
      <c r="B49" s="113">
        <v>46221</v>
      </c>
      <c r="C49" t="s">
        <v>15672</v>
      </c>
      <c r="D49" s="113">
        <v>46223</v>
      </c>
      <c r="G49">
        <v>2928</v>
      </c>
      <c r="H49" s="113">
        <v>46341</v>
      </c>
      <c r="I49" s="418" t="s">
        <v>16077</v>
      </c>
      <c r="J49" s="418" t="s">
        <v>16050</v>
      </c>
      <c r="K49" s="337"/>
    </row>
    <row r="50" spans="1:11" x14ac:dyDescent="0.25">
      <c r="A50">
        <v>2900</v>
      </c>
      <c r="B50" s="113">
        <v>46221</v>
      </c>
      <c r="C50" t="s">
        <v>16053</v>
      </c>
      <c r="D50" s="113">
        <v>46221</v>
      </c>
      <c r="G50">
        <v>2929</v>
      </c>
      <c r="H50" s="113">
        <v>46341</v>
      </c>
      <c r="I50" s="418" t="s">
        <v>16077</v>
      </c>
      <c r="J50" s="418" t="s">
        <v>16050</v>
      </c>
      <c r="K50" s="337"/>
    </row>
    <row r="51" spans="1:11" x14ac:dyDescent="0.25">
      <c r="A51">
        <v>2666</v>
      </c>
      <c r="B51" s="113">
        <v>46220</v>
      </c>
      <c r="C51" t="s">
        <v>15442</v>
      </c>
      <c r="D51" s="113">
        <v>46221</v>
      </c>
      <c r="G51">
        <v>2930</v>
      </c>
      <c r="H51" s="113">
        <v>46340</v>
      </c>
      <c r="I51" s="418" t="s">
        <v>16077</v>
      </c>
      <c r="J51" s="418" t="s">
        <v>16050</v>
      </c>
      <c r="K51" s="337"/>
    </row>
    <row r="52" spans="1:11" x14ac:dyDescent="0.25">
      <c r="A52">
        <v>3171</v>
      </c>
      <c r="B52" s="113">
        <v>46220</v>
      </c>
      <c r="C52" t="s">
        <v>15442</v>
      </c>
      <c r="D52" s="113">
        <v>46221</v>
      </c>
      <c r="G52">
        <v>2931</v>
      </c>
      <c r="H52" s="113">
        <v>46341</v>
      </c>
      <c r="I52" s="418" t="s">
        <v>16077</v>
      </c>
      <c r="J52" s="418" t="s">
        <v>16050</v>
      </c>
      <c r="K52" s="337"/>
    </row>
    <row r="53" spans="1:11" x14ac:dyDescent="0.25">
      <c r="A53">
        <v>2667</v>
      </c>
      <c r="B53" s="113">
        <v>46220</v>
      </c>
      <c r="C53" t="s">
        <v>15442</v>
      </c>
      <c r="D53" s="113">
        <v>46221</v>
      </c>
      <c r="G53">
        <v>2975</v>
      </c>
      <c r="H53" s="113">
        <v>46283</v>
      </c>
      <c r="I53" s="418" t="s">
        <v>16055</v>
      </c>
      <c r="J53" s="418" t="s">
        <v>16056</v>
      </c>
      <c r="K53" s="337"/>
    </row>
    <row r="54" spans="1:11" x14ac:dyDescent="0.25">
      <c r="G54">
        <v>2976</v>
      </c>
      <c r="H54" s="113">
        <v>46283</v>
      </c>
      <c r="I54" s="418" t="s">
        <v>16055</v>
      </c>
      <c r="J54" s="418" t="s">
        <v>16056</v>
      </c>
      <c r="K54" s="337"/>
    </row>
    <row r="55" spans="1:11" x14ac:dyDescent="0.25">
      <c r="G55">
        <v>2977</v>
      </c>
      <c r="H55" s="113">
        <v>46284</v>
      </c>
      <c r="I55" s="418" t="s">
        <v>16055</v>
      </c>
      <c r="J55" s="418" t="s">
        <v>16056</v>
      </c>
      <c r="K55" s="337"/>
    </row>
    <row r="56" spans="1:11" x14ac:dyDescent="0.25">
      <c r="G56">
        <v>2978</v>
      </c>
      <c r="H56" s="113">
        <v>46284</v>
      </c>
      <c r="I56" s="418" t="s">
        <v>16055</v>
      </c>
      <c r="J56" s="418" t="s">
        <v>16056</v>
      </c>
      <c r="K56" s="337"/>
    </row>
    <row r="57" spans="1:11" x14ac:dyDescent="0.25">
      <c r="G57">
        <v>2979</v>
      </c>
      <c r="H57" s="113">
        <v>46284</v>
      </c>
      <c r="I57" s="418" t="s">
        <v>16055</v>
      </c>
      <c r="J57" s="418" t="s">
        <v>16056</v>
      </c>
      <c r="K57" s="337"/>
    </row>
    <row r="58" spans="1:11" x14ac:dyDescent="0.25">
      <c r="G58">
        <v>2980</v>
      </c>
      <c r="H58" s="113">
        <v>46284</v>
      </c>
      <c r="I58" s="418" t="s">
        <v>16055</v>
      </c>
      <c r="J58" s="418" t="s">
        <v>16056</v>
      </c>
      <c r="K58" s="337"/>
    </row>
    <row r="59" spans="1:11" x14ac:dyDescent="0.25">
      <c r="G59">
        <v>2981</v>
      </c>
      <c r="H59" s="113">
        <v>46285</v>
      </c>
      <c r="I59" s="418" t="s">
        <v>16055</v>
      </c>
      <c r="J59" s="418" t="s">
        <v>16056</v>
      </c>
      <c r="K59" s="337"/>
    </row>
    <row r="60" spans="1:11" x14ac:dyDescent="0.25">
      <c r="G60">
        <v>2982</v>
      </c>
      <c r="H60" s="113">
        <v>46285</v>
      </c>
      <c r="I60" s="418" t="s">
        <v>16055</v>
      </c>
      <c r="J60" s="418" t="s">
        <v>16056</v>
      </c>
      <c r="K60" s="337"/>
    </row>
    <row r="61" spans="1:11" x14ac:dyDescent="0.25">
      <c r="G61">
        <v>2983</v>
      </c>
      <c r="H61" s="113">
        <v>46285</v>
      </c>
      <c r="I61" s="418" t="s">
        <v>16055</v>
      </c>
      <c r="J61" s="418" t="s">
        <v>16056</v>
      </c>
      <c r="K61" s="337"/>
    </row>
    <row r="62" spans="1:11" x14ac:dyDescent="0.25">
      <c r="G62">
        <v>2984</v>
      </c>
      <c r="H62" s="113">
        <v>46285</v>
      </c>
      <c r="I62" s="418" t="s">
        <v>16055</v>
      </c>
      <c r="J62" s="418" t="s">
        <v>16056</v>
      </c>
      <c r="K62" s="337"/>
    </row>
    <row r="63" spans="1:11" x14ac:dyDescent="0.25">
      <c r="G63">
        <v>2985</v>
      </c>
      <c r="H63" s="113">
        <v>46285</v>
      </c>
      <c r="I63" s="418" t="s">
        <v>16055</v>
      </c>
      <c r="J63" s="418" t="s">
        <v>16056</v>
      </c>
      <c r="K63" s="337"/>
    </row>
    <row r="64" spans="1:11" x14ac:dyDescent="0.25">
      <c r="G64">
        <v>2986</v>
      </c>
      <c r="H64" s="113">
        <v>46277</v>
      </c>
      <c r="I64" s="418" t="s">
        <v>16045</v>
      </c>
      <c r="J64" s="418" t="s">
        <v>16046</v>
      </c>
      <c r="K64" s="337"/>
    </row>
    <row r="65" spans="7:11" x14ac:dyDescent="0.25">
      <c r="G65">
        <v>2987</v>
      </c>
      <c r="H65" s="113">
        <v>46277</v>
      </c>
      <c r="I65" s="418" t="s">
        <v>16045</v>
      </c>
      <c r="J65" s="418" t="s">
        <v>16046</v>
      </c>
      <c r="K65" s="337"/>
    </row>
    <row r="66" spans="7:11" x14ac:dyDescent="0.25">
      <c r="G66">
        <v>2988</v>
      </c>
      <c r="H66" s="113">
        <v>46278</v>
      </c>
      <c r="I66" s="418" t="s">
        <v>16045</v>
      </c>
      <c r="J66" s="418" t="s">
        <v>16046</v>
      </c>
      <c r="K66" s="337"/>
    </row>
    <row r="67" spans="7:11" x14ac:dyDescent="0.25">
      <c r="G67">
        <v>2989</v>
      </c>
      <c r="H67" s="113">
        <v>46278</v>
      </c>
      <c r="I67" s="418" t="s">
        <v>16045</v>
      </c>
      <c r="J67" s="418" t="s">
        <v>16046</v>
      </c>
      <c r="K67" s="337"/>
    </row>
    <row r="68" spans="7:11" x14ac:dyDescent="0.25">
      <c r="G68">
        <v>3005</v>
      </c>
      <c r="H68" s="113">
        <v>46276</v>
      </c>
      <c r="I68" s="418" t="s">
        <v>16084</v>
      </c>
      <c r="J68" s="418" t="s">
        <v>16085</v>
      </c>
      <c r="K68" s="337"/>
    </row>
    <row r="69" spans="7:11" x14ac:dyDescent="0.25">
      <c r="G69">
        <v>3006</v>
      </c>
      <c r="H69" s="113">
        <v>46277</v>
      </c>
      <c r="I69" s="418" t="s">
        <v>16084</v>
      </c>
      <c r="J69" s="418" t="s">
        <v>16085</v>
      </c>
      <c r="K69" s="337"/>
    </row>
    <row r="70" spans="7:11" x14ac:dyDescent="0.25">
      <c r="G70">
        <v>3007</v>
      </c>
      <c r="H70" s="113">
        <v>46278</v>
      </c>
      <c r="I70" s="418" t="s">
        <v>16084</v>
      </c>
      <c r="J70" s="418" t="s">
        <v>16085</v>
      </c>
      <c r="K70" s="337"/>
    </row>
    <row r="71" spans="7:11" x14ac:dyDescent="0.25">
      <c r="G71">
        <v>3013</v>
      </c>
      <c r="H71" s="113">
        <v>46276</v>
      </c>
      <c r="I71" s="418" t="s">
        <v>16087</v>
      </c>
      <c r="J71" s="418" t="s">
        <v>16050</v>
      </c>
      <c r="K71" s="337"/>
    </row>
    <row r="72" spans="7:11" x14ac:dyDescent="0.25">
      <c r="G72">
        <v>3014</v>
      </c>
      <c r="H72" s="113">
        <v>46276</v>
      </c>
      <c r="I72" s="418" t="s">
        <v>16087</v>
      </c>
      <c r="J72" s="418" t="s">
        <v>16050</v>
      </c>
      <c r="K72" s="337"/>
    </row>
    <row r="73" spans="7:11" x14ac:dyDescent="0.25">
      <c r="G73">
        <v>3015</v>
      </c>
      <c r="H73" s="113">
        <v>46276</v>
      </c>
      <c r="I73" s="418" t="s">
        <v>16087</v>
      </c>
      <c r="J73" s="418" t="s">
        <v>16050</v>
      </c>
      <c r="K73" s="337"/>
    </row>
    <row r="74" spans="7:11" x14ac:dyDescent="0.25">
      <c r="G74">
        <v>3016</v>
      </c>
      <c r="H74" s="113">
        <v>46276</v>
      </c>
      <c r="I74" s="418" t="s">
        <v>16087</v>
      </c>
      <c r="J74" s="418" t="s">
        <v>16050</v>
      </c>
      <c r="K74" s="337"/>
    </row>
    <row r="75" spans="7:11" x14ac:dyDescent="0.25">
      <c r="G75">
        <v>3017</v>
      </c>
      <c r="H75" s="113">
        <v>46277</v>
      </c>
      <c r="I75" s="418" t="s">
        <v>16087</v>
      </c>
      <c r="J75" s="418" t="s">
        <v>16050</v>
      </c>
      <c r="K75" s="337"/>
    </row>
    <row r="76" spans="7:11" x14ac:dyDescent="0.25">
      <c r="G76">
        <v>3018</v>
      </c>
      <c r="H76" s="113">
        <v>46277</v>
      </c>
      <c r="I76" s="418" t="s">
        <v>16087</v>
      </c>
      <c r="J76" s="418" t="s">
        <v>16050</v>
      </c>
      <c r="K76" s="337"/>
    </row>
    <row r="77" spans="7:11" x14ac:dyDescent="0.25">
      <c r="G77">
        <v>3023</v>
      </c>
      <c r="H77" s="113">
        <v>46263</v>
      </c>
      <c r="I77" s="418" t="s">
        <v>15444</v>
      </c>
      <c r="J77" s="418" t="s">
        <v>16088</v>
      </c>
      <c r="K77" s="337"/>
    </row>
    <row r="78" spans="7:11" x14ac:dyDescent="0.25">
      <c r="G78">
        <v>3024</v>
      </c>
      <c r="H78" s="113">
        <v>46263</v>
      </c>
      <c r="I78" s="418" t="s">
        <v>15444</v>
      </c>
      <c r="J78" s="418" t="s">
        <v>16088</v>
      </c>
      <c r="K78" s="337"/>
    </row>
    <row r="79" spans="7:11" x14ac:dyDescent="0.25">
      <c r="G79">
        <v>3037</v>
      </c>
      <c r="H79" s="113">
        <v>46347</v>
      </c>
      <c r="I79" s="418" t="s">
        <v>16090</v>
      </c>
      <c r="J79" s="418" t="s">
        <v>16091</v>
      </c>
      <c r="K79" s="337"/>
    </row>
    <row r="80" spans="7:11" x14ac:dyDescent="0.25">
      <c r="G80">
        <v>3038</v>
      </c>
      <c r="H80" s="113">
        <v>46347</v>
      </c>
      <c r="I80" s="418" t="s">
        <v>16090</v>
      </c>
      <c r="J80" s="418" t="s">
        <v>16091</v>
      </c>
      <c r="K80" s="337"/>
    </row>
    <row r="81" spans="7:11" x14ac:dyDescent="0.25">
      <c r="G81">
        <v>3039</v>
      </c>
      <c r="H81" s="113">
        <v>46347</v>
      </c>
      <c r="I81" s="418" t="s">
        <v>16090</v>
      </c>
      <c r="J81" s="418" t="s">
        <v>16091</v>
      </c>
      <c r="K81" s="337"/>
    </row>
    <row r="82" spans="7:11" x14ac:dyDescent="0.25">
      <c r="G82">
        <v>3040</v>
      </c>
      <c r="H82" s="113">
        <v>46347</v>
      </c>
      <c r="I82" s="418" t="s">
        <v>16090</v>
      </c>
      <c r="J82" s="418" t="s">
        <v>16091</v>
      </c>
      <c r="K82" s="337"/>
    </row>
    <row r="83" spans="7:11" x14ac:dyDescent="0.25">
      <c r="G83">
        <v>3043</v>
      </c>
      <c r="H83" s="113">
        <v>46264</v>
      </c>
      <c r="I83" s="418" t="s">
        <v>15444</v>
      </c>
      <c r="J83" s="418" t="s">
        <v>16088</v>
      </c>
      <c r="K83" s="337"/>
    </row>
    <row r="84" spans="7:11" x14ac:dyDescent="0.25">
      <c r="G84">
        <v>3044</v>
      </c>
      <c r="H84" s="113">
        <v>46264</v>
      </c>
      <c r="I84" s="418" t="s">
        <v>15444</v>
      </c>
      <c r="J84" s="418" t="s">
        <v>16088</v>
      </c>
      <c r="K84" s="337"/>
    </row>
    <row r="85" spans="7:11" x14ac:dyDescent="0.25">
      <c r="G85">
        <v>3045</v>
      </c>
      <c r="H85" s="113">
        <v>46264</v>
      </c>
      <c r="I85" s="418" t="s">
        <v>15444</v>
      </c>
      <c r="J85" s="418" t="s">
        <v>16088</v>
      </c>
      <c r="K85" s="337"/>
    </row>
    <row r="86" spans="7:11" x14ac:dyDescent="0.25">
      <c r="G86">
        <v>3046</v>
      </c>
      <c r="H86" s="113">
        <v>46264</v>
      </c>
      <c r="I86" s="418" t="s">
        <v>15444</v>
      </c>
      <c r="J86" s="418" t="s">
        <v>16088</v>
      </c>
      <c r="K86" s="337"/>
    </row>
    <row r="87" spans="7:11" x14ac:dyDescent="0.25">
      <c r="G87">
        <v>3047</v>
      </c>
      <c r="H87" s="113">
        <v>46264</v>
      </c>
      <c r="I87" s="418" t="s">
        <v>15444</v>
      </c>
      <c r="J87" s="418" t="s">
        <v>16088</v>
      </c>
      <c r="K87" s="337"/>
    </row>
    <row r="88" spans="7:11" x14ac:dyDescent="0.25">
      <c r="G88">
        <v>3048</v>
      </c>
      <c r="H88" s="113">
        <v>46264</v>
      </c>
      <c r="I88" s="418" t="s">
        <v>15444</v>
      </c>
      <c r="J88" s="418" t="s">
        <v>16088</v>
      </c>
      <c r="K88" s="337"/>
    </row>
    <row r="89" spans="7:11" x14ac:dyDescent="0.25">
      <c r="G89">
        <v>3056</v>
      </c>
      <c r="H89" s="113">
        <v>46298</v>
      </c>
      <c r="I89" s="418" t="s">
        <v>16314</v>
      </c>
      <c r="J89" s="418" t="s">
        <v>16315</v>
      </c>
      <c r="K89" s="337"/>
    </row>
    <row r="90" spans="7:11" x14ac:dyDescent="0.25">
      <c r="G90">
        <v>3057</v>
      </c>
      <c r="H90" s="113">
        <v>46270</v>
      </c>
      <c r="I90" s="418" t="s">
        <v>16374</v>
      </c>
      <c r="J90" s="418" t="s">
        <v>16375</v>
      </c>
      <c r="K90" s="337"/>
    </row>
    <row r="91" spans="7:11" x14ac:dyDescent="0.25">
      <c r="G91">
        <v>3058</v>
      </c>
      <c r="H91" s="113">
        <v>46270</v>
      </c>
      <c r="I91" s="418" t="s">
        <v>16374</v>
      </c>
      <c r="J91" s="418" t="s">
        <v>16375</v>
      </c>
      <c r="K91" s="337"/>
    </row>
    <row r="92" spans="7:11" x14ac:dyDescent="0.25">
      <c r="G92">
        <v>3059</v>
      </c>
      <c r="H92" s="113">
        <v>46271</v>
      </c>
      <c r="I92" s="418" t="s">
        <v>16376</v>
      </c>
      <c r="J92" s="418" t="s">
        <v>16375</v>
      </c>
      <c r="K92" s="337"/>
    </row>
    <row r="93" spans="7:11" x14ac:dyDescent="0.25">
      <c r="G93">
        <v>3060</v>
      </c>
      <c r="H93" s="113">
        <v>46271</v>
      </c>
      <c r="I93" s="418" t="s">
        <v>16376</v>
      </c>
      <c r="J93" s="418" t="s">
        <v>16375</v>
      </c>
      <c r="K93" s="337"/>
    </row>
    <row r="94" spans="7:11" x14ac:dyDescent="0.25">
      <c r="G94">
        <v>3064</v>
      </c>
      <c r="H94" s="113">
        <v>46277</v>
      </c>
      <c r="I94" s="418" t="s">
        <v>15443</v>
      </c>
      <c r="J94" s="418" t="s">
        <v>16083</v>
      </c>
      <c r="K94" s="337"/>
    </row>
    <row r="95" spans="7:11" x14ac:dyDescent="0.25">
      <c r="G95">
        <v>3065</v>
      </c>
      <c r="H95" s="113">
        <v>46278</v>
      </c>
      <c r="I95" s="418" t="s">
        <v>15443</v>
      </c>
      <c r="J95" s="418" t="s">
        <v>16083</v>
      </c>
      <c r="K95" s="337"/>
    </row>
    <row r="96" spans="7:11" x14ac:dyDescent="0.25">
      <c r="G96">
        <v>3066</v>
      </c>
      <c r="H96" s="113">
        <v>46325</v>
      </c>
      <c r="I96" s="418" t="s">
        <v>15446</v>
      </c>
      <c r="J96" s="418" t="s">
        <v>16083</v>
      </c>
      <c r="K96" s="337"/>
    </row>
    <row r="97" spans="7:11" x14ac:dyDescent="0.25">
      <c r="G97">
        <v>3067</v>
      </c>
      <c r="H97" s="113">
        <v>46326</v>
      </c>
      <c r="I97" s="418" t="s">
        <v>15446</v>
      </c>
      <c r="J97" s="418" t="s">
        <v>16083</v>
      </c>
      <c r="K97" s="337"/>
    </row>
    <row r="98" spans="7:11" x14ac:dyDescent="0.25">
      <c r="G98">
        <v>3068</v>
      </c>
      <c r="H98" s="113">
        <v>46327</v>
      </c>
      <c r="I98" s="418" t="s">
        <v>15446</v>
      </c>
      <c r="J98" s="418" t="s">
        <v>16083</v>
      </c>
      <c r="K98" s="337"/>
    </row>
    <row r="99" spans="7:11" x14ac:dyDescent="0.25">
      <c r="G99">
        <v>3071</v>
      </c>
      <c r="H99" s="113">
        <v>46311</v>
      </c>
      <c r="I99" s="418" t="s">
        <v>16073</v>
      </c>
      <c r="J99" s="418" t="s">
        <v>16074</v>
      </c>
      <c r="K99" s="337"/>
    </row>
    <row r="100" spans="7:11" x14ac:dyDescent="0.25">
      <c r="G100">
        <v>3072</v>
      </c>
      <c r="H100" s="113">
        <v>46311</v>
      </c>
      <c r="I100" s="418" t="s">
        <v>16073</v>
      </c>
      <c r="J100" s="418" t="s">
        <v>16074</v>
      </c>
      <c r="K100" s="337"/>
    </row>
    <row r="101" spans="7:11" x14ac:dyDescent="0.25">
      <c r="G101">
        <v>3073</v>
      </c>
      <c r="H101" s="113">
        <v>46312</v>
      </c>
      <c r="I101" s="418" t="s">
        <v>16073</v>
      </c>
      <c r="J101" s="418" t="s">
        <v>16074</v>
      </c>
      <c r="K101" s="337"/>
    </row>
    <row r="102" spans="7:11" x14ac:dyDescent="0.25">
      <c r="G102">
        <v>3074</v>
      </c>
      <c r="H102" s="113">
        <v>46313</v>
      </c>
      <c r="I102" s="418" t="s">
        <v>16073</v>
      </c>
      <c r="J102" s="418" t="s">
        <v>16074</v>
      </c>
      <c r="K102" s="337"/>
    </row>
    <row r="103" spans="7:11" x14ac:dyDescent="0.25">
      <c r="G103">
        <v>3077</v>
      </c>
      <c r="H103" s="113">
        <v>46270</v>
      </c>
      <c r="I103" s="418" t="s">
        <v>15444</v>
      </c>
      <c r="J103" s="418" t="s">
        <v>16080</v>
      </c>
      <c r="K103" s="337"/>
    </row>
    <row r="104" spans="7:11" x14ac:dyDescent="0.25">
      <c r="G104">
        <v>3078</v>
      </c>
      <c r="H104" s="113">
        <v>46271</v>
      </c>
      <c r="I104" s="418" t="s">
        <v>15444</v>
      </c>
      <c r="J104" s="418" t="s">
        <v>16080</v>
      </c>
      <c r="K104" s="337"/>
    </row>
    <row r="105" spans="7:11" x14ac:dyDescent="0.25">
      <c r="G105">
        <v>3079</v>
      </c>
      <c r="H105" s="113">
        <v>46272</v>
      </c>
      <c r="I105" s="418" t="s">
        <v>15444</v>
      </c>
      <c r="J105" s="418" t="s">
        <v>16080</v>
      </c>
      <c r="K105" s="337"/>
    </row>
    <row r="106" spans="7:11" x14ac:dyDescent="0.25">
      <c r="G106">
        <v>3080</v>
      </c>
      <c r="H106" s="113">
        <v>46270</v>
      </c>
      <c r="I106" s="418" t="s">
        <v>16396</v>
      </c>
      <c r="J106" s="418" t="s">
        <v>16377</v>
      </c>
      <c r="K106" s="337"/>
    </row>
    <row r="107" spans="7:11" x14ac:dyDescent="0.25">
      <c r="G107">
        <v>3081</v>
      </c>
      <c r="H107" s="113">
        <v>46271</v>
      </c>
      <c r="I107" s="418" t="s">
        <v>16396</v>
      </c>
      <c r="J107" s="418" t="s">
        <v>16377</v>
      </c>
      <c r="K107" s="337"/>
    </row>
    <row r="108" spans="7:11" x14ac:dyDescent="0.25">
      <c r="G108">
        <v>3082</v>
      </c>
      <c r="H108" s="113">
        <v>46319</v>
      </c>
      <c r="I108" s="418" t="s">
        <v>15444</v>
      </c>
      <c r="J108" s="418" t="s">
        <v>16068</v>
      </c>
      <c r="K108" s="337"/>
    </row>
    <row r="109" spans="7:11" x14ac:dyDescent="0.25">
      <c r="G109">
        <v>3083</v>
      </c>
      <c r="H109" s="113">
        <v>46320</v>
      </c>
      <c r="I109" s="418" t="s">
        <v>15444</v>
      </c>
      <c r="J109" s="418" t="s">
        <v>16068</v>
      </c>
      <c r="K109" s="337"/>
    </row>
    <row r="110" spans="7:11" x14ac:dyDescent="0.25">
      <c r="G110">
        <v>3084</v>
      </c>
      <c r="H110" s="113">
        <v>46320</v>
      </c>
      <c r="I110" s="418" t="s">
        <v>15444</v>
      </c>
      <c r="J110" s="418" t="s">
        <v>16068</v>
      </c>
      <c r="K110" s="337"/>
    </row>
    <row r="111" spans="7:11" x14ac:dyDescent="0.25">
      <c r="G111">
        <v>3085</v>
      </c>
      <c r="H111" s="113">
        <v>46306</v>
      </c>
      <c r="I111" s="418" t="s">
        <v>16397</v>
      </c>
      <c r="J111" s="418" t="s">
        <v>16398</v>
      </c>
      <c r="K111" s="337"/>
    </row>
    <row r="112" spans="7:11" x14ac:dyDescent="0.25">
      <c r="G112">
        <v>3086</v>
      </c>
      <c r="H112" s="113">
        <v>46306</v>
      </c>
      <c r="I112" s="418" t="s">
        <v>16397</v>
      </c>
      <c r="J112" s="418" t="s">
        <v>16398</v>
      </c>
      <c r="K112" s="337"/>
    </row>
    <row r="113" spans="7:11" x14ac:dyDescent="0.25">
      <c r="G113">
        <v>3087</v>
      </c>
      <c r="H113" s="113">
        <v>46306</v>
      </c>
      <c r="I113" s="418" t="s">
        <v>16397</v>
      </c>
      <c r="J113" s="418" t="s">
        <v>16398</v>
      </c>
      <c r="K113" s="337"/>
    </row>
    <row r="114" spans="7:11" x14ac:dyDescent="0.25">
      <c r="G114">
        <v>3088</v>
      </c>
      <c r="H114" s="113">
        <v>46306</v>
      </c>
      <c r="I114" s="418" t="s">
        <v>16397</v>
      </c>
      <c r="J114" s="418" t="s">
        <v>16398</v>
      </c>
      <c r="K114" s="337"/>
    </row>
    <row r="115" spans="7:11" x14ac:dyDescent="0.25">
      <c r="G115">
        <v>3089</v>
      </c>
      <c r="H115" s="113">
        <v>46306</v>
      </c>
      <c r="I115" s="418" t="s">
        <v>16397</v>
      </c>
      <c r="J115" s="418" t="s">
        <v>16398</v>
      </c>
      <c r="K115" s="337"/>
    </row>
    <row r="116" spans="7:11" x14ac:dyDescent="0.25">
      <c r="G116">
        <v>3090</v>
      </c>
      <c r="H116" s="113">
        <v>46306</v>
      </c>
      <c r="I116" s="418" t="s">
        <v>16397</v>
      </c>
      <c r="J116" s="418" t="s">
        <v>16398</v>
      </c>
      <c r="K116" s="337"/>
    </row>
    <row r="117" spans="7:11" x14ac:dyDescent="0.25">
      <c r="G117">
        <v>3091</v>
      </c>
      <c r="H117" s="113">
        <v>46283</v>
      </c>
      <c r="I117" s="418" t="s">
        <v>16399</v>
      </c>
      <c r="J117" s="418" t="s">
        <v>16057</v>
      </c>
      <c r="K117" s="337"/>
    </row>
    <row r="118" spans="7:11" x14ac:dyDescent="0.25">
      <c r="G118">
        <v>3092</v>
      </c>
      <c r="H118" s="113">
        <v>46283</v>
      </c>
      <c r="I118" s="418" t="s">
        <v>16399</v>
      </c>
      <c r="J118" s="418" t="s">
        <v>16057</v>
      </c>
      <c r="K118" s="337"/>
    </row>
    <row r="119" spans="7:11" x14ac:dyDescent="0.25">
      <c r="G119">
        <v>3093</v>
      </c>
      <c r="H119" s="113">
        <v>46284</v>
      </c>
      <c r="I119" s="418" t="s">
        <v>16399</v>
      </c>
      <c r="J119" s="418" t="s">
        <v>16057</v>
      </c>
      <c r="K119" s="337"/>
    </row>
    <row r="120" spans="7:11" x14ac:dyDescent="0.25">
      <c r="G120">
        <v>3094</v>
      </c>
      <c r="H120" s="113">
        <v>46284</v>
      </c>
      <c r="I120" s="418" t="s">
        <v>16399</v>
      </c>
      <c r="J120" s="418" t="s">
        <v>16057</v>
      </c>
      <c r="K120" s="337"/>
    </row>
    <row r="121" spans="7:11" x14ac:dyDescent="0.25">
      <c r="G121">
        <v>3095</v>
      </c>
      <c r="H121" s="113">
        <v>46285</v>
      </c>
      <c r="I121" s="418" t="s">
        <v>16399</v>
      </c>
      <c r="J121" s="418" t="s">
        <v>16057</v>
      </c>
      <c r="K121" s="337"/>
    </row>
    <row r="122" spans="7:11" x14ac:dyDescent="0.25">
      <c r="G122">
        <v>3096</v>
      </c>
      <c r="H122" s="113">
        <v>46285</v>
      </c>
      <c r="I122" s="418" t="s">
        <v>16399</v>
      </c>
      <c r="J122" s="418" t="s">
        <v>16057</v>
      </c>
      <c r="K122" s="337"/>
    </row>
    <row r="123" spans="7:11" x14ac:dyDescent="0.25">
      <c r="G123">
        <v>3097</v>
      </c>
      <c r="H123" s="113">
        <v>46285</v>
      </c>
      <c r="I123" s="418" t="s">
        <v>16399</v>
      </c>
      <c r="J123" s="418" t="s">
        <v>16057</v>
      </c>
      <c r="K123" s="337"/>
    </row>
    <row r="124" spans="7:11" x14ac:dyDescent="0.25">
      <c r="G124">
        <v>3098</v>
      </c>
      <c r="H124" s="113">
        <v>46333</v>
      </c>
      <c r="I124" s="418" t="s">
        <v>16400</v>
      </c>
      <c r="J124" s="418" t="s">
        <v>16070</v>
      </c>
      <c r="K124" s="337"/>
    </row>
    <row r="125" spans="7:11" x14ac:dyDescent="0.25">
      <c r="G125">
        <v>3099</v>
      </c>
      <c r="H125" s="113">
        <v>46334</v>
      </c>
      <c r="I125" s="418" t="s">
        <v>16400</v>
      </c>
      <c r="J125" s="418" t="s">
        <v>16070</v>
      </c>
      <c r="K125" s="337"/>
    </row>
    <row r="126" spans="7:11" x14ac:dyDescent="0.25">
      <c r="G126">
        <v>3100</v>
      </c>
      <c r="H126" s="113">
        <v>46332</v>
      </c>
      <c r="I126" s="418" t="s">
        <v>16071</v>
      </c>
      <c r="J126" s="418" t="s">
        <v>16072</v>
      </c>
      <c r="K126" s="337"/>
    </row>
    <row r="127" spans="7:11" x14ac:dyDescent="0.25">
      <c r="G127">
        <v>3101</v>
      </c>
      <c r="H127" s="113">
        <v>46333</v>
      </c>
      <c r="I127" s="418" t="s">
        <v>16071</v>
      </c>
      <c r="J127" s="418" t="s">
        <v>16072</v>
      </c>
      <c r="K127" s="337"/>
    </row>
    <row r="128" spans="7:11" x14ac:dyDescent="0.25">
      <c r="G128">
        <v>3102</v>
      </c>
      <c r="H128" s="113">
        <v>46334</v>
      </c>
      <c r="I128" s="418" t="s">
        <v>16071</v>
      </c>
      <c r="J128" s="418" t="s">
        <v>16072</v>
      </c>
      <c r="K128" s="337"/>
    </row>
    <row r="129" spans="7:11" x14ac:dyDescent="0.25">
      <c r="G129">
        <v>3105</v>
      </c>
      <c r="H129" s="113">
        <v>46298</v>
      </c>
      <c r="I129" s="418" t="s">
        <v>16401</v>
      </c>
      <c r="J129" s="418" t="s">
        <v>16070</v>
      </c>
      <c r="K129" s="337"/>
    </row>
    <row r="130" spans="7:11" x14ac:dyDescent="0.25">
      <c r="G130">
        <v>3106</v>
      </c>
      <c r="H130" s="113">
        <v>46298</v>
      </c>
      <c r="I130" s="418" t="s">
        <v>16401</v>
      </c>
      <c r="J130" s="418" t="s">
        <v>16070</v>
      </c>
      <c r="K130" s="337"/>
    </row>
    <row r="131" spans="7:11" x14ac:dyDescent="0.25">
      <c r="G131">
        <v>3107</v>
      </c>
      <c r="H131" s="113">
        <v>46299</v>
      </c>
      <c r="I131" s="418" t="s">
        <v>16401</v>
      </c>
      <c r="J131" s="418" t="s">
        <v>16070</v>
      </c>
      <c r="K131" s="337"/>
    </row>
    <row r="132" spans="7:11" x14ac:dyDescent="0.25">
      <c r="G132">
        <v>3108</v>
      </c>
      <c r="H132" s="113">
        <v>46299</v>
      </c>
      <c r="I132" s="418" t="s">
        <v>16401</v>
      </c>
      <c r="J132" s="418" t="s">
        <v>16070</v>
      </c>
      <c r="K132" s="337"/>
    </row>
    <row r="133" spans="7:11" x14ac:dyDescent="0.25">
      <c r="G133">
        <v>3120</v>
      </c>
      <c r="H133" s="113">
        <v>46325</v>
      </c>
      <c r="I133" s="418" t="s">
        <v>16403</v>
      </c>
      <c r="J133" s="418" t="s">
        <v>16404</v>
      </c>
      <c r="K133" s="337"/>
    </row>
    <row r="134" spans="7:11" x14ac:dyDescent="0.25">
      <c r="G134">
        <v>3125</v>
      </c>
      <c r="H134" s="113">
        <v>46325</v>
      </c>
      <c r="I134" s="418" t="s">
        <v>16993</v>
      </c>
      <c r="J134" s="418" t="s">
        <v>16994</v>
      </c>
      <c r="K134" s="337"/>
    </row>
    <row r="135" spans="7:11" x14ac:dyDescent="0.25">
      <c r="G135">
        <v>3126</v>
      </c>
      <c r="H135" s="113">
        <v>46325</v>
      </c>
      <c r="I135" s="418" t="s">
        <v>16993</v>
      </c>
      <c r="J135" s="418" t="s">
        <v>16994</v>
      </c>
      <c r="K135" s="337"/>
    </row>
    <row r="136" spans="7:11" x14ac:dyDescent="0.25">
      <c r="G136">
        <v>3129</v>
      </c>
      <c r="H136" s="113">
        <v>46291</v>
      </c>
      <c r="I136" s="418" t="s">
        <v>16996</v>
      </c>
      <c r="J136" s="418" t="s">
        <v>16997</v>
      </c>
      <c r="K136" s="337"/>
    </row>
    <row r="137" spans="7:11" x14ac:dyDescent="0.25">
      <c r="G137">
        <v>3130</v>
      </c>
      <c r="H137" s="113">
        <v>46291</v>
      </c>
      <c r="I137" s="418" t="s">
        <v>16996</v>
      </c>
      <c r="J137" s="418" t="s">
        <v>16997</v>
      </c>
      <c r="K137" s="337"/>
    </row>
    <row r="138" spans="7:11" x14ac:dyDescent="0.25">
      <c r="G138">
        <v>3131</v>
      </c>
      <c r="H138" s="113">
        <v>46292</v>
      </c>
      <c r="I138" s="418" t="s">
        <v>16996</v>
      </c>
      <c r="J138" s="418" t="s">
        <v>16997</v>
      </c>
      <c r="K138" s="337"/>
    </row>
    <row r="139" spans="7:11" x14ac:dyDescent="0.25">
      <c r="G139">
        <v>3132</v>
      </c>
      <c r="H139" s="113">
        <v>46292</v>
      </c>
      <c r="I139" s="418" t="s">
        <v>16996</v>
      </c>
      <c r="J139" s="418" t="s">
        <v>16997</v>
      </c>
      <c r="K139" s="337"/>
    </row>
    <row r="140" spans="7:11" x14ac:dyDescent="0.25">
      <c r="G140">
        <v>3133</v>
      </c>
      <c r="H140" s="113">
        <v>46262</v>
      </c>
      <c r="I140" s="418" t="s">
        <v>16998</v>
      </c>
      <c r="J140" s="418" t="s">
        <v>16999</v>
      </c>
      <c r="K140" s="337"/>
    </row>
    <row r="141" spans="7:11" x14ac:dyDescent="0.25">
      <c r="G141">
        <v>3134</v>
      </c>
      <c r="H141" s="113">
        <v>46262</v>
      </c>
      <c r="I141" s="418" t="s">
        <v>16998</v>
      </c>
      <c r="J141" s="418" t="s">
        <v>16999</v>
      </c>
      <c r="K141" s="337"/>
    </row>
    <row r="142" spans="7:11" x14ac:dyDescent="0.25">
      <c r="G142">
        <v>3135</v>
      </c>
      <c r="H142" s="113">
        <v>46263</v>
      </c>
      <c r="I142" s="418" t="s">
        <v>16998</v>
      </c>
      <c r="J142" s="418" t="s">
        <v>16999</v>
      </c>
      <c r="K142" s="337"/>
    </row>
    <row r="143" spans="7:11" x14ac:dyDescent="0.25">
      <c r="G143">
        <v>3136</v>
      </c>
      <c r="H143" s="113">
        <v>46263</v>
      </c>
      <c r="I143" s="418" t="s">
        <v>16998</v>
      </c>
      <c r="J143" s="418" t="s">
        <v>16999</v>
      </c>
      <c r="K143" s="337"/>
    </row>
    <row r="144" spans="7:11" x14ac:dyDescent="0.25">
      <c r="G144">
        <v>3137</v>
      </c>
      <c r="H144" s="113">
        <v>46264</v>
      </c>
      <c r="I144" s="418" t="s">
        <v>16998</v>
      </c>
      <c r="J144" s="418" t="s">
        <v>16999</v>
      </c>
      <c r="K144" s="337"/>
    </row>
    <row r="145" spans="7:11" x14ac:dyDescent="0.25">
      <c r="G145">
        <v>3138</v>
      </c>
      <c r="H145" s="113">
        <v>46264</v>
      </c>
      <c r="I145" s="418" t="s">
        <v>16998</v>
      </c>
      <c r="J145" s="418" t="s">
        <v>16999</v>
      </c>
      <c r="K145" s="337"/>
    </row>
    <row r="146" spans="7:11" x14ac:dyDescent="0.25">
      <c r="G146">
        <v>3143</v>
      </c>
      <c r="H146" s="113">
        <v>46272</v>
      </c>
      <c r="I146" s="418" t="s">
        <v>15444</v>
      </c>
      <c r="J146" s="418" t="s">
        <v>16080</v>
      </c>
      <c r="K146" s="337"/>
    </row>
    <row r="147" spans="7:11" x14ac:dyDescent="0.25">
      <c r="G147">
        <v>3152</v>
      </c>
      <c r="H147" s="113">
        <v>46298</v>
      </c>
      <c r="I147" s="418" t="s">
        <v>15692</v>
      </c>
      <c r="J147" s="418" t="s">
        <v>17002</v>
      </c>
      <c r="K147" s="337"/>
    </row>
    <row r="148" spans="7:11" x14ac:dyDescent="0.25">
      <c r="G148">
        <v>3153</v>
      </c>
      <c r="H148" s="113">
        <v>46304</v>
      </c>
      <c r="I148" s="418" t="s">
        <v>17003</v>
      </c>
      <c r="J148" s="418" t="s">
        <v>16044</v>
      </c>
      <c r="K148" s="337"/>
    </row>
    <row r="149" spans="7:11" x14ac:dyDescent="0.25">
      <c r="G149">
        <v>3154</v>
      </c>
      <c r="H149" s="113">
        <v>46305</v>
      </c>
      <c r="I149" s="418" t="s">
        <v>17003</v>
      </c>
      <c r="J149" s="418" t="s">
        <v>16044</v>
      </c>
      <c r="K149" s="337"/>
    </row>
    <row r="150" spans="7:11" x14ac:dyDescent="0.25">
      <c r="G150">
        <v>3155</v>
      </c>
      <c r="H150" s="113">
        <v>46306</v>
      </c>
      <c r="I150" s="418" t="s">
        <v>17003</v>
      </c>
      <c r="J150" s="418" t="s">
        <v>16044</v>
      </c>
      <c r="K150" s="337"/>
    </row>
    <row r="151" spans="7:11" x14ac:dyDescent="0.25">
      <c r="G151">
        <v>3159</v>
      </c>
      <c r="H151" s="113">
        <v>46529</v>
      </c>
      <c r="I151" s="418" t="s">
        <v>16082</v>
      </c>
      <c r="J151" s="418" t="s">
        <v>16056</v>
      </c>
      <c r="K151" s="337"/>
    </row>
    <row r="152" spans="7:11" x14ac:dyDescent="0.25">
      <c r="G152">
        <v>3160</v>
      </c>
      <c r="H152" s="113">
        <v>46530</v>
      </c>
      <c r="I152" s="418" t="s">
        <v>16082</v>
      </c>
      <c r="J152" s="418" t="s">
        <v>16056</v>
      </c>
      <c r="K152" s="337"/>
    </row>
    <row r="153" spans="7:11" x14ac:dyDescent="0.25">
      <c r="G153">
        <v>3161</v>
      </c>
      <c r="H153" s="113">
        <v>46531</v>
      </c>
      <c r="I153" s="418" t="s">
        <v>16082</v>
      </c>
      <c r="J153" s="418" t="s">
        <v>16056</v>
      </c>
      <c r="K153" s="337"/>
    </row>
    <row r="154" spans="7:11" x14ac:dyDescent="0.25">
      <c r="G154">
        <v>3162</v>
      </c>
      <c r="H154" s="113">
        <v>46284</v>
      </c>
      <c r="I154" s="418" t="s">
        <v>16075</v>
      </c>
      <c r="J154" s="418" t="s">
        <v>17032</v>
      </c>
      <c r="K154" s="337"/>
    </row>
    <row r="155" spans="7:11" x14ac:dyDescent="0.25">
      <c r="G155">
        <v>3164</v>
      </c>
      <c r="H155" s="113">
        <v>46284</v>
      </c>
      <c r="I155" s="418" t="s">
        <v>17033</v>
      </c>
      <c r="J155" s="418" t="s">
        <v>17034</v>
      </c>
      <c r="K155" s="337"/>
    </row>
    <row r="156" spans="7:11" x14ac:dyDescent="0.25">
      <c r="G156">
        <v>3165</v>
      </c>
      <c r="H156" s="113">
        <v>46284</v>
      </c>
      <c r="I156" s="418" t="s">
        <v>17033</v>
      </c>
      <c r="J156" s="418" t="s">
        <v>17034</v>
      </c>
      <c r="K156" s="337"/>
    </row>
    <row r="157" spans="7:11" x14ac:dyDescent="0.25">
      <c r="G157">
        <v>3166</v>
      </c>
      <c r="H157" s="113">
        <v>46340</v>
      </c>
      <c r="I157" s="418" t="s">
        <v>17035</v>
      </c>
      <c r="J157" s="418" t="s">
        <v>16051</v>
      </c>
      <c r="K157" s="337"/>
    </row>
    <row r="158" spans="7:11" x14ac:dyDescent="0.25">
      <c r="G158">
        <v>3167</v>
      </c>
      <c r="H158" s="113">
        <v>46341</v>
      </c>
      <c r="I158" s="418" t="s">
        <v>17035</v>
      </c>
      <c r="J158" s="418" t="s">
        <v>16051</v>
      </c>
      <c r="K158" s="337"/>
    </row>
    <row r="159" spans="7:11" x14ac:dyDescent="0.25">
      <c r="G159">
        <v>3168</v>
      </c>
      <c r="H159" s="113">
        <v>46298</v>
      </c>
      <c r="I159" s="418" t="s">
        <v>16069</v>
      </c>
      <c r="J159" s="418" t="s">
        <v>16994</v>
      </c>
      <c r="K159" s="337"/>
    </row>
    <row r="160" spans="7:11" x14ac:dyDescent="0.25">
      <c r="G160">
        <v>3169</v>
      </c>
      <c r="H160" s="113">
        <v>46298</v>
      </c>
      <c r="I160" s="418" t="s">
        <v>16069</v>
      </c>
      <c r="J160" s="418" t="s">
        <v>16994</v>
      </c>
      <c r="K160" s="337"/>
    </row>
    <row r="161" spans="7:11" x14ac:dyDescent="0.25">
      <c r="G161">
        <v>3174</v>
      </c>
      <c r="H161" s="113">
        <v>46334</v>
      </c>
      <c r="I161" s="418" t="s">
        <v>17036</v>
      </c>
      <c r="J161" s="418" t="s">
        <v>17037</v>
      </c>
      <c r="K161" s="337"/>
    </row>
    <row r="162" spans="7:11" x14ac:dyDescent="0.25">
      <c r="G162">
        <v>3175</v>
      </c>
      <c r="H162" s="113">
        <v>46333</v>
      </c>
      <c r="I162" s="418" t="s">
        <v>17038</v>
      </c>
      <c r="J162" s="418" t="s">
        <v>17037</v>
      </c>
      <c r="K162" s="337"/>
    </row>
    <row r="163" spans="7:11" x14ac:dyDescent="0.25">
      <c r="G163">
        <v>3176</v>
      </c>
      <c r="H163" s="113">
        <v>46333</v>
      </c>
      <c r="I163" s="418" t="s">
        <v>17038</v>
      </c>
      <c r="J163" s="418" t="s">
        <v>17037</v>
      </c>
      <c r="K163" s="337"/>
    </row>
    <row r="164" spans="7:11" x14ac:dyDescent="0.25">
      <c r="G164">
        <v>3177</v>
      </c>
      <c r="H164" s="113">
        <v>46333</v>
      </c>
      <c r="I164" s="418" t="s">
        <v>17038</v>
      </c>
      <c r="J164" s="418" t="s">
        <v>17037</v>
      </c>
      <c r="K164" s="337"/>
    </row>
    <row r="165" spans="7:11" x14ac:dyDescent="0.25">
      <c r="G165">
        <v>3178</v>
      </c>
      <c r="H165" s="113">
        <v>46333</v>
      </c>
      <c r="I165" s="418" t="s">
        <v>17038</v>
      </c>
      <c r="J165" s="418" t="s">
        <v>17037</v>
      </c>
      <c r="K165" s="337"/>
    </row>
    <row r="166" spans="7:11" x14ac:dyDescent="0.25">
      <c r="G166">
        <v>3179</v>
      </c>
      <c r="H166" s="113">
        <v>46333</v>
      </c>
      <c r="I166" s="418" t="s">
        <v>17038</v>
      </c>
      <c r="J166" s="418" t="s">
        <v>17037</v>
      </c>
      <c r="K166" s="337"/>
    </row>
    <row r="167" spans="7:11" x14ac:dyDescent="0.25">
      <c r="G167">
        <v>3181</v>
      </c>
      <c r="H167" s="113">
        <v>46312</v>
      </c>
      <c r="I167" s="418" t="s">
        <v>15604</v>
      </c>
      <c r="J167" s="418" t="s">
        <v>17002</v>
      </c>
      <c r="K167" s="337"/>
    </row>
    <row r="168" spans="7:11" x14ac:dyDescent="0.25">
      <c r="G168">
        <v>3182</v>
      </c>
      <c r="H168" s="113">
        <v>46312</v>
      </c>
      <c r="I168" s="418" t="s">
        <v>15604</v>
      </c>
      <c r="J168" s="418" t="s">
        <v>17002</v>
      </c>
      <c r="K168" s="337"/>
    </row>
    <row r="169" spans="7:11" x14ac:dyDescent="0.25">
      <c r="G169">
        <v>3183</v>
      </c>
      <c r="H169" s="113">
        <v>46271</v>
      </c>
      <c r="I169" s="418" t="s">
        <v>15443</v>
      </c>
      <c r="J169" s="418" t="s">
        <v>16083</v>
      </c>
      <c r="K169" s="337"/>
    </row>
    <row r="170" spans="7:11" x14ac:dyDescent="0.25">
      <c r="G170">
        <v>3184</v>
      </c>
      <c r="H170" s="113">
        <v>46272</v>
      </c>
      <c r="I170" s="418" t="s">
        <v>15443</v>
      </c>
      <c r="J170" s="418" t="s">
        <v>16083</v>
      </c>
      <c r="K170" s="337"/>
    </row>
    <row r="171" spans="7:11" x14ac:dyDescent="0.25">
      <c r="G171">
        <v>3185</v>
      </c>
      <c r="H171" s="113">
        <v>46514</v>
      </c>
      <c r="I171" s="418" t="s">
        <v>15445</v>
      </c>
      <c r="J171" s="418" t="s">
        <v>16042</v>
      </c>
      <c r="K171" s="337"/>
    </row>
    <row r="172" spans="7:11" x14ac:dyDescent="0.25">
      <c r="G172">
        <v>3186</v>
      </c>
      <c r="H172" s="113">
        <v>46515</v>
      </c>
      <c r="I172" s="418" t="s">
        <v>17039</v>
      </c>
      <c r="J172" s="418" t="s">
        <v>16042</v>
      </c>
      <c r="K172" s="337"/>
    </row>
    <row r="173" spans="7:11" x14ac:dyDescent="0.25">
      <c r="G173">
        <v>3187</v>
      </c>
      <c r="H173" s="113">
        <v>46516</v>
      </c>
      <c r="I173" s="418" t="s">
        <v>17039</v>
      </c>
      <c r="J173" s="418" t="s">
        <v>16042</v>
      </c>
      <c r="K173" s="337"/>
    </row>
    <row r="174" spans="7:11" x14ac:dyDescent="0.25">
      <c r="G174">
        <v>3188</v>
      </c>
      <c r="H174" s="113">
        <v>46305</v>
      </c>
      <c r="I174" s="418" t="s">
        <v>17040</v>
      </c>
      <c r="J174" s="418" t="s">
        <v>17041</v>
      </c>
      <c r="K174" s="337"/>
    </row>
    <row r="175" spans="7:11" x14ac:dyDescent="0.25">
      <c r="G175">
        <v>3189</v>
      </c>
      <c r="H175" s="113">
        <v>46306</v>
      </c>
      <c r="I175" s="418" t="s">
        <v>17040</v>
      </c>
      <c r="J175" s="418" t="s">
        <v>17041</v>
      </c>
      <c r="K175" s="337"/>
    </row>
    <row r="176" spans="7:11" x14ac:dyDescent="0.25">
      <c r="G176">
        <v>3190</v>
      </c>
      <c r="H176" s="113">
        <v>46323</v>
      </c>
      <c r="I176" s="418" t="s">
        <v>17042</v>
      </c>
      <c r="J176" s="418" t="s">
        <v>17041</v>
      </c>
      <c r="K176" s="337"/>
    </row>
    <row r="177" spans="7:11" x14ac:dyDescent="0.25">
      <c r="G177">
        <v>3191</v>
      </c>
      <c r="H177" s="113">
        <v>46323</v>
      </c>
      <c r="I177" s="418" t="s">
        <v>17042</v>
      </c>
      <c r="J177" s="418" t="s">
        <v>17041</v>
      </c>
      <c r="K177" s="337"/>
    </row>
    <row r="178" spans="7:11" x14ac:dyDescent="0.25">
      <c r="G178">
        <v>3192</v>
      </c>
      <c r="H178" s="113">
        <v>46298</v>
      </c>
      <c r="I178" s="418" t="s">
        <v>15446</v>
      </c>
      <c r="J178" s="418" t="s">
        <v>17043</v>
      </c>
      <c r="K178" s="337"/>
    </row>
    <row r="179" spans="7:11" x14ac:dyDescent="0.25">
      <c r="G179">
        <v>3193</v>
      </c>
      <c r="H179" s="113">
        <v>46312</v>
      </c>
      <c r="I179" s="418" t="s">
        <v>15446</v>
      </c>
      <c r="J179" s="418" t="s">
        <v>17043</v>
      </c>
      <c r="K179" s="337"/>
    </row>
    <row r="180" spans="7:11" x14ac:dyDescent="0.25">
      <c r="G180">
        <v>3194</v>
      </c>
      <c r="H180" s="113">
        <v>46313</v>
      </c>
      <c r="I180" s="418" t="s">
        <v>15446</v>
      </c>
      <c r="J180" s="418" t="s">
        <v>17043</v>
      </c>
      <c r="K180" s="337"/>
    </row>
    <row r="181" spans="7:11" x14ac:dyDescent="0.25">
      <c r="G181">
        <v>3195</v>
      </c>
      <c r="H181" s="113">
        <v>46295</v>
      </c>
      <c r="I181" s="418" t="s">
        <v>17003</v>
      </c>
      <c r="J181" s="418" t="s">
        <v>16044</v>
      </c>
      <c r="K181" s="337"/>
    </row>
    <row r="182" spans="7:11" x14ac:dyDescent="0.25">
      <c r="G182">
        <v>3198</v>
      </c>
      <c r="H182" s="113">
        <v>46291</v>
      </c>
      <c r="I182" s="418" t="s">
        <v>17044</v>
      </c>
      <c r="J182" s="418" t="s">
        <v>17045</v>
      </c>
      <c r="K182" s="337"/>
    </row>
    <row r="183" spans="7:11" x14ac:dyDescent="0.25">
      <c r="G183">
        <v>3199</v>
      </c>
      <c r="H183" s="113">
        <v>46291</v>
      </c>
      <c r="I183" s="418" t="s">
        <v>17044</v>
      </c>
      <c r="J183" s="418" t="s">
        <v>17045</v>
      </c>
      <c r="K183" s="337"/>
    </row>
    <row r="184" spans="7:11" x14ac:dyDescent="0.25">
      <c r="G184">
        <v>3200</v>
      </c>
      <c r="H184" s="113">
        <v>46326</v>
      </c>
      <c r="I184" s="418" t="s">
        <v>16403</v>
      </c>
      <c r="J184" s="418" t="s">
        <v>16404</v>
      </c>
      <c r="K184" s="337"/>
    </row>
    <row r="185" spans="7:11" x14ac:dyDescent="0.25">
      <c r="G185">
        <v>3201</v>
      </c>
      <c r="H185" s="113">
        <v>46326</v>
      </c>
      <c r="I185" s="418" t="s">
        <v>16403</v>
      </c>
      <c r="J185" s="418" t="s">
        <v>16404</v>
      </c>
      <c r="K185" s="337"/>
    </row>
    <row r="186" spans="7:11" x14ac:dyDescent="0.25">
      <c r="G186">
        <v>3202</v>
      </c>
      <c r="H186" s="113">
        <v>46326</v>
      </c>
      <c r="I186" s="418" t="s">
        <v>16403</v>
      </c>
      <c r="J186" s="418" t="s">
        <v>16404</v>
      </c>
      <c r="K186" s="337"/>
    </row>
    <row r="187" spans="7:11" x14ac:dyDescent="0.25">
      <c r="G187">
        <v>3203</v>
      </c>
      <c r="H187" s="113">
        <v>46326</v>
      </c>
      <c r="I187" s="418" t="s">
        <v>16403</v>
      </c>
      <c r="J187" s="418" t="s">
        <v>16404</v>
      </c>
      <c r="K187" s="337"/>
    </row>
    <row r="188" spans="7:11" x14ac:dyDescent="0.25">
      <c r="G188">
        <v>3204</v>
      </c>
      <c r="H188" s="113">
        <v>46326</v>
      </c>
      <c r="I188" s="418" t="s">
        <v>16403</v>
      </c>
      <c r="J188" s="418" t="s">
        <v>16404</v>
      </c>
      <c r="K188" s="337"/>
    </row>
    <row r="189" spans="7:11" x14ac:dyDescent="0.25">
      <c r="G189">
        <v>3205</v>
      </c>
      <c r="H189" s="113">
        <v>46320</v>
      </c>
      <c r="I189" s="418" t="s">
        <v>17046</v>
      </c>
      <c r="J189" s="418" t="s">
        <v>17047</v>
      </c>
      <c r="K189" s="337"/>
    </row>
    <row r="190" spans="7:11" x14ac:dyDescent="0.25">
      <c r="G190">
        <v>3206</v>
      </c>
      <c r="H190" s="113">
        <v>46320</v>
      </c>
      <c r="I190" s="418" t="s">
        <v>17046</v>
      </c>
      <c r="J190" s="418" t="s">
        <v>17047</v>
      </c>
      <c r="K190" s="337"/>
    </row>
    <row r="191" spans="7:11" x14ac:dyDescent="0.25">
      <c r="G191">
        <v>3207</v>
      </c>
      <c r="H191" s="113">
        <v>46286</v>
      </c>
      <c r="I191" s="418" t="s">
        <v>16055</v>
      </c>
      <c r="J191" s="418" t="s">
        <v>16056</v>
      </c>
      <c r="K191" s="337"/>
    </row>
    <row r="192" spans="7:11" x14ac:dyDescent="0.25">
      <c r="G192">
        <v>3208</v>
      </c>
      <c r="H192" s="113">
        <v>46286</v>
      </c>
      <c r="I192" s="418" t="s">
        <v>16055</v>
      </c>
      <c r="J192" s="418" t="s">
        <v>16056</v>
      </c>
      <c r="K192" s="337"/>
    </row>
    <row r="193" spans="7:11" x14ac:dyDescent="0.25">
      <c r="G193">
        <v>3209</v>
      </c>
      <c r="H193" s="113">
        <v>46286</v>
      </c>
      <c r="I193" s="418" t="s">
        <v>16055</v>
      </c>
      <c r="J193" s="418" t="s">
        <v>16056</v>
      </c>
      <c r="K193" s="337"/>
    </row>
    <row r="194" spans="7:11" x14ac:dyDescent="0.25">
      <c r="G194">
        <v>3210</v>
      </c>
      <c r="H194" s="113">
        <v>46290</v>
      </c>
      <c r="I194" s="418" t="s">
        <v>17048</v>
      </c>
      <c r="J194" s="418" t="s">
        <v>17049</v>
      </c>
      <c r="K194" s="337"/>
    </row>
    <row r="195" spans="7:11" x14ac:dyDescent="0.25">
      <c r="G195">
        <v>3211</v>
      </c>
      <c r="H195" s="113">
        <v>46291</v>
      </c>
      <c r="I195" s="418" t="s">
        <v>17048</v>
      </c>
      <c r="J195" s="418" t="s">
        <v>17049</v>
      </c>
      <c r="K195" s="337"/>
    </row>
    <row r="196" spans="7:11" x14ac:dyDescent="0.25">
      <c r="G196">
        <v>3212</v>
      </c>
      <c r="H196" s="113">
        <v>46292</v>
      </c>
      <c r="I196" s="418" t="s">
        <v>17048</v>
      </c>
      <c r="J196" s="418" t="s">
        <v>17049</v>
      </c>
      <c r="K196" s="337"/>
    </row>
    <row r="197" spans="7:11" x14ac:dyDescent="0.25">
      <c r="G197">
        <v>3213</v>
      </c>
      <c r="H197" s="113">
        <v>46277</v>
      </c>
      <c r="I197" s="418" t="s">
        <v>17050</v>
      </c>
      <c r="J197" s="418" t="s">
        <v>17051</v>
      </c>
      <c r="K197" s="337"/>
    </row>
    <row r="198" spans="7:11" x14ac:dyDescent="0.25">
      <c r="G198">
        <v>3214</v>
      </c>
      <c r="H198" s="113">
        <v>46278</v>
      </c>
      <c r="I198" s="418" t="s">
        <v>17050</v>
      </c>
      <c r="J198" s="418" t="s">
        <v>17051</v>
      </c>
      <c r="K198" s="337"/>
    </row>
    <row r="199" spans="7:11" x14ac:dyDescent="0.25">
      <c r="G199">
        <v>3215</v>
      </c>
      <c r="H199" s="113">
        <v>46278</v>
      </c>
      <c r="I199" s="418" t="s">
        <v>17050</v>
      </c>
      <c r="J199" s="418" t="s">
        <v>17051</v>
      </c>
      <c r="K199" s="337"/>
    </row>
    <row r="200" spans="7:11" x14ac:dyDescent="0.25">
      <c r="G200">
        <v>3216</v>
      </c>
      <c r="H200" s="113">
        <v>46263</v>
      </c>
      <c r="I200" s="418" t="s">
        <v>17052</v>
      </c>
      <c r="J200" s="418" t="s">
        <v>17051</v>
      </c>
      <c r="K200" s="337"/>
    </row>
    <row r="201" spans="7:11" x14ac:dyDescent="0.25">
      <c r="G201">
        <v>3217</v>
      </c>
      <c r="H201" s="113">
        <v>46263</v>
      </c>
      <c r="I201" s="418" t="s">
        <v>17052</v>
      </c>
      <c r="J201" s="418" t="s">
        <v>17051</v>
      </c>
      <c r="K201" s="337"/>
    </row>
    <row r="202" spans="7:11" x14ac:dyDescent="0.25">
      <c r="G202">
        <v>3218</v>
      </c>
      <c r="H202" s="113">
        <v>46312</v>
      </c>
      <c r="I202" s="418" t="s">
        <v>17053</v>
      </c>
      <c r="J202" s="418" t="s">
        <v>17054</v>
      </c>
      <c r="K202" s="337"/>
    </row>
    <row r="203" spans="7:11" x14ac:dyDescent="0.25">
      <c r="G203">
        <v>3219</v>
      </c>
      <c r="H203" s="113">
        <v>46312</v>
      </c>
      <c r="I203" s="418" t="s">
        <v>17053</v>
      </c>
      <c r="J203" s="418" t="s">
        <v>17054</v>
      </c>
      <c r="K203" s="337"/>
    </row>
    <row r="204" spans="7:11" x14ac:dyDescent="0.25">
      <c r="G204">
        <v>3220</v>
      </c>
      <c r="H204" s="113">
        <v>46313</v>
      </c>
      <c r="I204" s="418" t="s">
        <v>17053</v>
      </c>
      <c r="J204" s="418" t="s">
        <v>17054</v>
      </c>
      <c r="K204" s="337"/>
    </row>
    <row r="205" spans="7:11" x14ac:dyDescent="0.25">
      <c r="G205">
        <v>3221</v>
      </c>
      <c r="H205" s="113">
        <v>46312</v>
      </c>
      <c r="I205" s="418" t="s">
        <v>15672</v>
      </c>
      <c r="J205" s="418" t="s">
        <v>16313</v>
      </c>
      <c r="K205" s="337"/>
    </row>
    <row r="206" spans="7:11" x14ac:dyDescent="0.25">
      <c r="G206">
        <v>3222</v>
      </c>
      <c r="H206" s="113">
        <v>46298</v>
      </c>
      <c r="I206" s="418" t="s">
        <v>17055</v>
      </c>
      <c r="J206" s="418" t="s">
        <v>17032</v>
      </c>
      <c r="K206" s="337"/>
    </row>
    <row r="207" spans="7:11" x14ac:dyDescent="0.25">
      <c r="G207">
        <v>3223</v>
      </c>
      <c r="H207" s="113">
        <v>46304</v>
      </c>
      <c r="I207" s="418" t="s">
        <v>17056</v>
      </c>
      <c r="J207" s="418" t="s">
        <v>16081</v>
      </c>
      <c r="K207" s="337"/>
    </row>
    <row r="208" spans="7:11" x14ac:dyDescent="0.25">
      <c r="G208">
        <v>3224</v>
      </c>
      <c r="H208" s="113">
        <v>46304</v>
      </c>
      <c r="I208" s="418" t="s">
        <v>17056</v>
      </c>
      <c r="J208" s="418" t="s">
        <v>16081</v>
      </c>
      <c r="K208" s="337"/>
    </row>
    <row r="209" spans="7:11" x14ac:dyDescent="0.25">
      <c r="G209">
        <v>3225</v>
      </c>
      <c r="H209" s="113">
        <v>46304</v>
      </c>
      <c r="I209" s="418" t="s">
        <v>17056</v>
      </c>
      <c r="J209" s="418" t="s">
        <v>16081</v>
      </c>
      <c r="K209" s="337"/>
    </row>
    <row r="210" spans="7:11" x14ac:dyDescent="0.25">
      <c r="G210">
        <v>3226</v>
      </c>
      <c r="H210" s="113">
        <v>46305</v>
      </c>
      <c r="I210" s="418" t="s">
        <v>17056</v>
      </c>
      <c r="J210" s="418" t="s">
        <v>16081</v>
      </c>
      <c r="K210" s="337"/>
    </row>
    <row r="211" spans="7:11" x14ac:dyDescent="0.25">
      <c r="G211">
        <v>3227</v>
      </c>
      <c r="H211" s="113">
        <v>46305</v>
      </c>
      <c r="I211" s="418" t="s">
        <v>17056</v>
      </c>
      <c r="J211" s="418" t="s">
        <v>16081</v>
      </c>
      <c r="K211" s="337"/>
    </row>
    <row r="212" spans="7:11" x14ac:dyDescent="0.25">
      <c r="G212">
        <v>3228</v>
      </c>
      <c r="H212" s="113">
        <v>46306</v>
      </c>
      <c r="I212" s="418" t="s">
        <v>17056</v>
      </c>
      <c r="J212" s="418" t="s">
        <v>16081</v>
      </c>
      <c r="K212" s="337"/>
    </row>
    <row r="213" spans="7:11" x14ac:dyDescent="0.25">
      <c r="G213">
        <v>3229</v>
      </c>
      <c r="H213" s="113">
        <v>46306</v>
      </c>
      <c r="I213" s="418" t="s">
        <v>17056</v>
      </c>
      <c r="J213" s="418" t="s">
        <v>16081</v>
      </c>
      <c r="K213" s="337"/>
    </row>
    <row r="214" spans="7:11" x14ac:dyDescent="0.25">
      <c r="G214">
        <v>3230</v>
      </c>
      <c r="H214" s="113">
        <v>46347</v>
      </c>
      <c r="I214" s="418" t="s">
        <v>15949</v>
      </c>
      <c r="J214" s="418" t="s">
        <v>16066</v>
      </c>
      <c r="K214" s="337"/>
    </row>
    <row r="215" spans="7:11" x14ac:dyDescent="0.25">
      <c r="G215">
        <v>3231</v>
      </c>
      <c r="H215" s="113">
        <v>46347</v>
      </c>
      <c r="I215" s="418" t="s">
        <v>15949</v>
      </c>
      <c r="J215" s="418" t="s">
        <v>16066</v>
      </c>
      <c r="K215" s="337"/>
    </row>
    <row r="216" spans="7:11" x14ac:dyDescent="0.25">
      <c r="G216">
        <v>3232</v>
      </c>
      <c r="H216" s="113">
        <v>46297</v>
      </c>
      <c r="I216" s="418" t="s">
        <v>16078</v>
      </c>
      <c r="J216" s="418" t="s">
        <v>17057</v>
      </c>
      <c r="K216" s="337"/>
    </row>
    <row r="217" spans="7:11" x14ac:dyDescent="0.25">
      <c r="G217">
        <v>3233</v>
      </c>
      <c r="H217" s="113">
        <v>46298</v>
      </c>
      <c r="I217" s="418" t="s">
        <v>16078</v>
      </c>
      <c r="J217" s="418" t="s">
        <v>17057</v>
      </c>
      <c r="K217" s="337"/>
    </row>
    <row r="218" spans="7:11" x14ac:dyDescent="0.25">
      <c r="G218">
        <v>3234</v>
      </c>
      <c r="H218" s="113">
        <v>46299</v>
      </c>
      <c r="I218" s="418" t="s">
        <v>16078</v>
      </c>
      <c r="J218" s="418" t="s">
        <v>17057</v>
      </c>
      <c r="K218" s="337"/>
    </row>
    <row r="219" spans="7:11" x14ac:dyDescent="0.25">
      <c r="G219">
        <v>3235</v>
      </c>
      <c r="H219" s="113">
        <v>46291</v>
      </c>
      <c r="I219" s="418" t="s">
        <v>17058</v>
      </c>
      <c r="J219" s="418" t="s">
        <v>17059</v>
      </c>
      <c r="K219" s="337"/>
    </row>
    <row r="220" spans="7:11" x14ac:dyDescent="0.25">
      <c r="G220">
        <v>3236</v>
      </c>
      <c r="H220" s="113">
        <v>46292</v>
      </c>
      <c r="I220" s="418" t="s">
        <v>17058</v>
      </c>
      <c r="J220" s="418" t="s">
        <v>17059</v>
      </c>
      <c r="K220" s="337"/>
    </row>
    <row r="221" spans="7:11" x14ac:dyDescent="0.25">
      <c r="G221">
        <v>3237</v>
      </c>
      <c r="H221" s="113">
        <v>46305</v>
      </c>
      <c r="I221" s="418" t="s">
        <v>17060</v>
      </c>
      <c r="J221" s="418" t="s">
        <v>16999</v>
      </c>
      <c r="K221" s="337"/>
    </row>
    <row r="222" spans="7:11" x14ac:dyDescent="0.25">
      <c r="G222">
        <v>3238</v>
      </c>
      <c r="H222" s="113">
        <v>46305</v>
      </c>
      <c r="I222" s="418" t="s">
        <v>17060</v>
      </c>
      <c r="J222" s="418" t="s">
        <v>16999</v>
      </c>
      <c r="K222" s="337"/>
    </row>
    <row r="223" spans="7:11" x14ac:dyDescent="0.25">
      <c r="G223">
        <v>3239</v>
      </c>
      <c r="H223" s="113">
        <v>46306</v>
      </c>
      <c r="I223" s="418" t="s">
        <v>17060</v>
      </c>
      <c r="J223" s="418" t="s">
        <v>16999</v>
      </c>
      <c r="K223" s="337"/>
    </row>
    <row r="224" spans="7:11" x14ac:dyDescent="0.25">
      <c r="G224">
        <v>3240</v>
      </c>
      <c r="H224" s="113">
        <v>46306</v>
      </c>
      <c r="I224" s="418" t="s">
        <v>17060</v>
      </c>
      <c r="J224" s="418" t="s">
        <v>16999</v>
      </c>
      <c r="K224" s="337"/>
    </row>
    <row r="225" spans="7:11" x14ac:dyDescent="0.25">
      <c r="G225">
        <v>3241</v>
      </c>
      <c r="H225" s="113">
        <v>46307</v>
      </c>
      <c r="I225" s="418" t="s">
        <v>17060</v>
      </c>
      <c r="J225" s="418" t="s">
        <v>16999</v>
      </c>
      <c r="K225" s="337"/>
    </row>
    <row r="226" spans="7:11" x14ac:dyDescent="0.25">
      <c r="G226">
        <v>3242</v>
      </c>
      <c r="H226" s="113">
        <v>46307</v>
      </c>
      <c r="I226" s="418" t="s">
        <v>17060</v>
      </c>
      <c r="J226" s="418" t="s">
        <v>16999</v>
      </c>
      <c r="K226" s="337"/>
    </row>
    <row r="227" spans="7:11" x14ac:dyDescent="0.25">
      <c r="G227">
        <v>3243</v>
      </c>
      <c r="H227" s="113">
        <v>46313</v>
      </c>
      <c r="I227" s="418" t="s">
        <v>15672</v>
      </c>
      <c r="J227" s="418" t="s">
        <v>16313</v>
      </c>
      <c r="K227" s="337"/>
    </row>
    <row r="228" spans="7:11" x14ac:dyDescent="0.25">
      <c r="G228">
        <v>3244</v>
      </c>
      <c r="H228" s="113">
        <v>46354</v>
      </c>
      <c r="I228" s="418" t="s">
        <v>17061</v>
      </c>
      <c r="J228" s="418" t="s">
        <v>16052</v>
      </c>
      <c r="K228" s="337"/>
    </row>
    <row r="229" spans="7:11" x14ac:dyDescent="0.25">
      <c r="G229">
        <v>3245</v>
      </c>
      <c r="H229" s="113">
        <v>46354</v>
      </c>
      <c r="I229" s="418" t="s">
        <v>17061</v>
      </c>
      <c r="J229" s="418" t="s">
        <v>16052</v>
      </c>
      <c r="K229" s="337"/>
    </row>
    <row r="230" spans="7:11" x14ac:dyDescent="0.25">
      <c r="G230">
        <v>3246</v>
      </c>
      <c r="H230" s="113">
        <v>46340</v>
      </c>
      <c r="I230" s="418" t="s">
        <v>15443</v>
      </c>
      <c r="J230" s="418" t="s">
        <v>17062</v>
      </c>
      <c r="K230" s="337"/>
    </row>
    <row r="231" spans="7:11" x14ac:dyDescent="0.25">
      <c r="G231">
        <v>3247</v>
      </c>
      <c r="H231" s="113">
        <v>46340</v>
      </c>
      <c r="I231" s="418" t="s">
        <v>15443</v>
      </c>
      <c r="J231" s="418" t="s">
        <v>17062</v>
      </c>
      <c r="K231" s="337"/>
    </row>
    <row r="232" spans="7:11" x14ac:dyDescent="0.25">
      <c r="G232">
        <v>3248</v>
      </c>
      <c r="H232" s="113">
        <v>46341</v>
      </c>
      <c r="I232" s="418" t="s">
        <v>15443</v>
      </c>
      <c r="J232" s="418" t="s">
        <v>17062</v>
      </c>
      <c r="K232" s="337"/>
    </row>
    <row r="233" spans="7:11" x14ac:dyDescent="0.25">
      <c r="G233">
        <v>3249</v>
      </c>
      <c r="H233" s="113">
        <v>46341</v>
      </c>
      <c r="I233" s="418" t="s">
        <v>15443</v>
      </c>
      <c r="J233" s="418" t="s">
        <v>17062</v>
      </c>
      <c r="K233" s="337"/>
    </row>
    <row r="234" spans="7:11" x14ac:dyDescent="0.25">
      <c r="G234">
        <v>3250</v>
      </c>
      <c r="H234" s="113">
        <v>46297</v>
      </c>
      <c r="I234" s="418" t="s">
        <v>17063</v>
      </c>
      <c r="J234" s="418" t="s">
        <v>17064</v>
      </c>
      <c r="K234" s="337"/>
    </row>
    <row r="235" spans="7:11" x14ac:dyDescent="0.25">
      <c r="G235">
        <v>3251</v>
      </c>
      <c r="H235" s="113">
        <v>46298</v>
      </c>
      <c r="I235" s="418" t="s">
        <v>17063</v>
      </c>
      <c r="J235" s="418" t="s">
        <v>17064</v>
      </c>
      <c r="K235" s="337"/>
    </row>
    <row r="236" spans="7:11" x14ac:dyDescent="0.25">
      <c r="G236">
        <v>3252</v>
      </c>
      <c r="H236" s="113">
        <v>46299</v>
      </c>
      <c r="I236" s="418" t="s">
        <v>17063</v>
      </c>
      <c r="J236" s="418" t="s">
        <v>17064</v>
      </c>
      <c r="K236" s="337"/>
    </row>
    <row r="237" spans="7:11" x14ac:dyDescent="0.25">
      <c r="G237">
        <v>3253</v>
      </c>
      <c r="H237" s="113">
        <v>46298</v>
      </c>
      <c r="I237" s="418" t="s">
        <v>17065</v>
      </c>
      <c r="J237" s="418" t="s">
        <v>16079</v>
      </c>
      <c r="K237" s="337"/>
    </row>
    <row r="238" spans="7:11" x14ac:dyDescent="0.25">
      <c r="G238">
        <v>3254</v>
      </c>
      <c r="H238" s="113">
        <v>46298</v>
      </c>
      <c r="I238" s="418" t="s">
        <v>17065</v>
      </c>
      <c r="J238" s="418" t="s">
        <v>16079</v>
      </c>
      <c r="K238" s="337"/>
    </row>
    <row r="239" spans="7:11" x14ac:dyDescent="0.25">
      <c r="G239">
        <v>3255</v>
      </c>
      <c r="H239" s="113">
        <v>46298</v>
      </c>
      <c r="I239" s="418" t="s">
        <v>17065</v>
      </c>
      <c r="J239" s="418" t="s">
        <v>16079</v>
      </c>
      <c r="K239" s="337"/>
    </row>
    <row r="240" spans="7:11" x14ac:dyDescent="0.25">
      <c r="G240">
        <v>3256</v>
      </c>
      <c r="H240" s="113">
        <v>46298</v>
      </c>
      <c r="I240" s="418" t="s">
        <v>17065</v>
      </c>
      <c r="J240" s="418" t="s">
        <v>16079</v>
      </c>
      <c r="K240" s="337"/>
    </row>
    <row r="241" spans="7:11" x14ac:dyDescent="0.25">
      <c r="G241">
        <v>3257</v>
      </c>
      <c r="H241" s="113">
        <v>46299</v>
      </c>
      <c r="I241" s="418" t="s">
        <v>17065</v>
      </c>
      <c r="J241" s="418" t="s">
        <v>16079</v>
      </c>
      <c r="K241" s="337"/>
    </row>
    <row r="242" spans="7:11" x14ac:dyDescent="0.25">
      <c r="G242">
        <v>3258</v>
      </c>
      <c r="H242" s="113">
        <v>46299</v>
      </c>
      <c r="I242" s="418" t="s">
        <v>17065</v>
      </c>
      <c r="J242" s="418" t="s">
        <v>16079</v>
      </c>
      <c r="K242" s="337"/>
    </row>
    <row r="243" spans="7:11" x14ac:dyDescent="0.25">
      <c r="G243">
        <v>3259</v>
      </c>
      <c r="H243" s="113">
        <v>46299</v>
      </c>
      <c r="I243" s="418" t="s">
        <v>17065</v>
      </c>
      <c r="J243" s="418" t="s">
        <v>16079</v>
      </c>
      <c r="K243" s="337"/>
    </row>
    <row r="244" spans="7:11" x14ac:dyDescent="0.25">
      <c r="G244">
        <v>3260</v>
      </c>
      <c r="H244" s="113">
        <v>46299</v>
      </c>
      <c r="I244" s="418" t="s">
        <v>17065</v>
      </c>
      <c r="J244" s="418" t="s">
        <v>16079</v>
      </c>
      <c r="K244" s="337"/>
    </row>
    <row r="245" spans="7:11" x14ac:dyDescent="0.25">
      <c r="G245">
        <v>3261</v>
      </c>
      <c r="H245" s="113">
        <v>46347</v>
      </c>
      <c r="I245" s="418" t="s">
        <v>16089</v>
      </c>
      <c r="J245" s="418" t="s">
        <v>17045</v>
      </c>
      <c r="K245" s="337"/>
    </row>
    <row r="246" spans="7:11" x14ac:dyDescent="0.25">
      <c r="G246">
        <v>3262</v>
      </c>
      <c r="H246" s="113">
        <v>46285</v>
      </c>
      <c r="I246" s="418" t="s">
        <v>16055</v>
      </c>
      <c r="J246" s="418" t="s">
        <v>16056</v>
      </c>
      <c r="K246" s="337"/>
    </row>
    <row r="247" spans="7:11" x14ac:dyDescent="0.25">
      <c r="G247">
        <v>3263</v>
      </c>
      <c r="H247" s="113">
        <v>46284</v>
      </c>
      <c r="I247" s="418" t="s">
        <v>16055</v>
      </c>
      <c r="J247" s="418" t="s">
        <v>16056</v>
      </c>
      <c r="K247" s="337"/>
    </row>
    <row r="248" spans="7:11" x14ac:dyDescent="0.25">
      <c r="G248">
        <v>3264</v>
      </c>
      <c r="H248" s="113">
        <v>46284</v>
      </c>
      <c r="I248" s="418" t="s">
        <v>16055</v>
      </c>
      <c r="J248" s="418" t="s">
        <v>16056</v>
      </c>
      <c r="K248" s="337"/>
    </row>
    <row r="249" spans="7:11" x14ac:dyDescent="0.25">
      <c r="G249">
        <v>3265</v>
      </c>
      <c r="H249" s="113">
        <v>46283</v>
      </c>
      <c r="I249" s="418" t="s">
        <v>16055</v>
      </c>
      <c r="J249" s="418" t="s">
        <v>16056</v>
      </c>
      <c r="K249" s="337"/>
    </row>
    <row r="250" spans="7:11" x14ac:dyDescent="0.25">
      <c r="G250">
        <v>3266</v>
      </c>
      <c r="H250" s="113">
        <v>46283</v>
      </c>
      <c r="I250" s="418" t="s">
        <v>16055</v>
      </c>
      <c r="J250" s="418" t="s">
        <v>16056</v>
      </c>
      <c r="K250" s="337"/>
    </row>
    <row r="251" spans="7:11" x14ac:dyDescent="0.25">
      <c r="G251">
        <v>3267</v>
      </c>
      <c r="H251" s="113">
        <v>46479</v>
      </c>
      <c r="I251" s="418" t="s">
        <v>17066</v>
      </c>
      <c r="J251" s="418" t="s">
        <v>17067</v>
      </c>
      <c r="K251" s="337"/>
    </row>
    <row r="252" spans="7:11" x14ac:dyDescent="0.25">
      <c r="G252">
        <v>3268</v>
      </c>
      <c r="H252" s="113">
        <v>46479</v>
      </c>
      <c r="I252" s="418" t="s">
        <v>17066</v>
      </c>
      <c r="J252" s="418" t="s">
        <v>17067</v>
      </c>
      <c r="K252" s="337"/>
    </row>
    <row r="253" spans="7:11" x14ac:dyDescent="0.25">
      <c r="G253">
        <v>3269</v>
      </c>
      <c r="H253" s="113">
        <v>46480</v>
      </c>
      <c r="I253" s="418" t="s">
        <v>17066</v>
      </c>
      <c r="J253" s="418" t="s">
        <v>17067</v>
      </c>
      <c r="K253" s="337"/>
    </row>
    <row r="254" spans="7:11" x14ac:dyDescent="0.25">
      <c r="G254">
        <v>3270</v>
      </c>
      <c r="H254" s="113">
        <v>46480</v>
      </c>
      <c r="I254" s="418" t="s">
        <v>17066</v>
      </c>
      <c r="J254" s="418" t="s">
        <v>17067</v>
      </c>
      <c r="K254" s="337"/>
    </row>
    <row r="255" spans="7:11" x14ac:dyDescent="0.25">
      <c r="G255">
        <v>3271</v>
      </c>
      <c r="H255" s="113">
        <v>46481</v>
      </c>
      <c r="I255" s="418" t="s">
        <v>17066</v>
      </c>
      <c r="J255" s="418" t="s">
        <v>17067</v>
      </c>
      <c r="K255" s="337"/>
    </row>
    <row r="256" spans="7:11" x14ac:dyDescent="0.25">
      <c r="G256">
        <v>3272</v>
      </c>
      <c r="H256" s="113">
        <v>46481</v>
      </c>
      <c r="I256" s="418" t="s">
        <v>17066</v>
      </c>
      <c r="J256" s="418" t="s">
        <v>17067</v>
      </c>
      <c r="K256" s="337"/>
    </row>
    <row r="257" spans="7:11" x14ac:dyDescent="0.25">
      <c r="G257">
        <v>3274</v>
      </c>
      <c r="H257" s="113">
        <v>46333</v>
      </c>
      <c r="I257" s="418" t="s">
        <v>17068</v>
      </c>
      <c r="J257" s="418" t="s">
        <v>17069</v>
      </c>
      <c r="K257" s="337"/>
    </row>
    <row r="258" spans="7:11" x14ac:dyDescent="0.25">
      <c r="G258">
        <v>3275</v>
      </c>
      <c r="H258" s="113">
        <v>46333</v>
      </c>
      <c r="I258" s="418" t="s">
        <v>17068</v>
      </c>
      <c r="J258" s="418" t="s">
        <v>17069</v>
      </c>
      <c r="K258" s="337"/>
    </row>
    <row r="259" spans="7:11" x14ac:dyDescent="0.25">
      <c r="G259">
        <v>3276</v>
      </c>
      <c r="H259" s="113">
        <v>46334</v>
      </c>
      <c r="I259" s="418" t="s">
        <v>17068</v>
      </c>
      <c r="J259" s="418" t="s">
        <v>17069</v>
      </c>
      <c r="K259" s="337"/>
    </row>
    <row r="260" spans="7:11" x14ac:dyDescent="0.25">
      <c r="G260">
        <v>3277</v>
      </c>
      <c r="H260" s="113">
        <v>46348</v>
      </c>
      <c r="I260" s="418" t="s">
        <v>17070</v>
      </c>
      <c r="J260" s="418" t="s">
        <v>16061</v>
      </c>
      <c r="K260" s="337"/>
    </row>
  </sheetData>
  <mergeCells count="2">
    <mergeCell ref="A1:D1"/>
    <mergeCell ref="G1:J1"/>
  </mergeCells>
  <pageMargins left="0.7" right="0.7" top="0.75" bottom="0.75" header="0.3" footer="0.3"/>
  <tableParts count="2">
    <tablePart r:id="rId1"/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D815-3D9D-4C2C-B261-BF21ED1BA9DA}">
  <dimension ref="A1:B44"/>
  <sheetViews>
    <sheetView topLeftCell="A13"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5703125" bestFit="1" customWidth="1"/>
  </cols>
  <sheetData>
    <row r="1" spans="1:2" x14ac:dyDescent="0.25">
      <c r="A1" s="311" t="s">
        <v>1735</v>
      </c>
      <c r="B1" s="311" t="s">
        <v>3330</v>
      </c>
    </row>
    <row r="2" spans="1:2" x14ac:dyDescent="0.25">
      <c r="A2" s="419" t="s">
        <v>5718</v>
      </c>
      <c r="B2" s="420">
        <v>8498</v>
      </c>
    </row>
    <row r="3" spans="1:2" x14ac:dyDescent="0.25">
      <c r="A3" s="419" t="s">
        <v>686</v>
      </c>
      <c r="B3" s="420">
        <v>392</v>
      </c>
    </row>
    <row r="4" spans="1:2" x14ac:dyDescent="0.25">
      <c r="A4" s="419" t="s">
        <v>1116</v>
      </c>
      <c r="B4" s="420">
        <v>783</v>
      </c>
    </row>
    <row r="5" spans="1:2" x14ac:dyDescent="0.25">
      <c r="A5" s="419" t="s">
        <v>708</v>
      </c>
      <c r="B5" s="420">
        <v>310</v>
      </c>
    </row>
    <row r="6" spans="1:2" x14ac:dyDescent="0.25">
      <c r="A6" s="419" t="s">
        <v>779</v>
      </c>
      <c r="B6" s="420">
        <v>311</v>
      </c>
    </row>
    <row r="7" spans="1:2" x14ac:dyDescent="0.25">
      <c r="A7" s="419" t="s">
        <v>16197</v>
      </c>
      <c r="B7" s="420">
        <v>1057</v>
      </c>
    </row>
    <row r="8" spans="1:2" x14ac:dyDescent="0.25">
      <c r="A8" s="419" t="s">
        <v>3328</v>
      </c>
      <c r="B8" s="420">
        <v>287</v>
      </c>
    </row>
    <row r="9" spans="1:2" x14ac:dyDescent="0.25">
      <c r="A9" s="419" t="s">
        <v>3936</v>
      </c>
      <c r="B9" s="420">
        <v>531</v>
      </c>
    </row>
    <row r="10" spans="1:2" x14ac:dyDescent="0.25">
      <c r="A10" s="419" t="s">
        <v>15948</v>
      </c>
      <c r="B10" s="420">
        <v>288</v>
      </c>
    </row>
    <row r="11" spans="1:2" x14ac:dyDescent="0.25">
      <c r="A11" s="419" t="s">
        <v>3164</v>
      </c>
      <c r="B11" s="420">
        <v>2014</v>
      </c>
    </row>
    <row r="12" spans="1:2" x14ac:dyDescent="0.25">
      <c r="A12" s="419" t="s">
        <v>1760</v>
      </c>
      <c r="B12" s="420">
        <v>1114</v>
      </c>
    </row>
    <row r="13" spans="1:2" x14ac:dyDescent="0.25">
      <c r="A13" s="419" t="s">
        <v>7058</v>
      </c>
      <c r="B13" s="420">
        <v>16761</v>
      </c>
    </row>
    <row r="14" spans="1:2" x14ac:dyDescent="0.25">
      <c r="A14" s="419" t="s">
        <v>731</v>
      </c>
      <c r="B14" s="420">
        <v>388</v>
      </c>
    </row>
    <row r="15" spans="1:2" x14ac:dyDescent="0.25">
      <c r="A15" s="419" t="s">
        <v>2004</v>
      </c>
      <c r="B15" s="420">
        <v>1252</v>
      </c>
    </row>
    <row r="16" spans="1:2" x14ac:dyDescent="0.25">
      <c r="A16" s="419" t="s">
        <v>978</v>
      </c>
      <c r="B16" s="420">
        <v>701</v>
      </c>
    </row>
    <row r="17" spans="1:2" x14ac:dyDescent="0.25">
      <c r="A17" s="419" t="s">
        <v>1015</v>
      </c>
      <c r="B17" s="420">
        <v>743</v>
      </c>
    </row>
    <row r="18" spans="1:2" x14ac:dyDescent="0.25">
      <c r="A18" s="419" t="s">
        <v>3326</v>
      </c>
      <c r="B18" s="420">
        <v>1137</v>
      </c>
    </row>
    <row r="19" spans="1:2" x14ac:dyDescent="0.25">
      <c r="A19" s="419" t="s">
        <v>3119</v>
      </c>
      <c r="B19" s="420">
        <v>761</v>
      </c>
    </row>
    <row r="20" spans="1:2" x14ac:dyDescent="0.25">
      <c r="A20" s="419" t="s">
        <v>2945</v>
      </c>
      <c r="B20" s="420">
        <v>1855</v>
      </c>
    </row>
    <row r="21" spans="1:2" x14ac:dyDescent="0.25">
      <c r="A21" s="419" t="s">
        <v>4839</v>
      </c>
      <c r="B21" s="420">
        <v>4740</v>
      </c>
    </row>
    <row r="22" spans="1:2" x14ac:dyDescent="0.25">
      <c r="A22" s="419" t="s">
        <v>839</v>
      </c>
      <c r="B22" s="420">
        <v>441</v>
      </c>
    </row>
    <row r="23" spans="1:2" x14ac:dyDescent="0.25">
      <c r="A23" s="419" t="s">
        <v>2511</v>
      </c>
      <c r="B23" s="420">
        <v>1530</v>
      </c>
    </row>
    <row r="24" spans="1:2" x14ac:dyDescent="0.25">
      <c r="A24" s="419" t="s">
        <v>694</v>
      </c>
      <c r="B24" s="420">
        <v>324</v>
      </c>
    </row>
    <row r="25" spans="1:2" x14ac:dyDescent="0.25">
      <c r="A25" s="419" t="s">
        <v>10477</v>
      </c>
      <c r="B25" s="420">
        <v>50377</v>
      </c>
    </row>
    <row r="26" spans="1:2" x14ac:dyDescent="0.25">
      <c r="A26" s="419" t="s">
        <v>2966</v>
      </c>
      <c r="B26" s="420">
        <v>1889</v>
      </c>
    </row>
    <row r="27" spans="1:2" x14ac:dyDescent="0.25">
      <c r="A27" s="419" t="s">
        <v>2293</v>
      </c>
      <c r="B27" s="420">
        <v>1411</v>
      </c>
    </row>
    <row r="28" spans="1:2" x14ac:dyDescent="0.25">
      <c r="A28" s="419" t="s">
        <v>756</v>
      </c>
      <c r="B28" s="420">
        <v>328</v>
      </c>
    </row>
    <row r="29" spans="1:2" x14ac:dyDescent="0.25">
      <c r="A29" s="419" t="s">
        <v>688</v>
      </c>
      <c r="B29" s="420">
        <v>434</v>
      </c>
    </row>
    <row r="30" spans="1:2" x14ac:dyDescent="0.25">
      <c r="A30" s="419" t="s">
        <v>1834</v>
      </c>
      <c r="B30" s="420">
        <v>1058</v>
      </c>
    </row>
    <row r="31" spans="1:2" x14ac:dyDescent="0.25">
      <c r="A31" s="419" t="s">
        <v>5187</v>
      </c>
      <c r="B31" s="420">
        <v>6258</v>
      </c>
    </row>
    <row r="32" spans="1:2" x14ac:dyDescent="0.25">
      <c r="A32" s="419" t="s">
        <v>995</v>
      </c>
      <c r="B32" s="420">
        <v>652</v>
      </c>
    </row>
    <row r="33" spans="1:2" x14ac:dyDescent="0.25">
      <c r="A33" s="419" t="s">
        <v>3976</v>
      </c>
      <c r="B33" s="420">
        <v>2112</v>
      </c>
    </row>
    <row r="34" spans="1:2" x14ac:dyDescent="0.25">
      <c r="A34" s="419" t="s">
        <v>1807</v>
      </c>
      <c r="B34" s="420">
        <v>819</v>
      </c>
    </row>
    <row r="35" spans="1:2" x14ac:dyDescent="0.25">
      <c r="A35" s="419" t="s">
        <v>5300</v>
      </c>
      <c r="B35" s="420">
        <v>3916</v>
      </c>
    </row>
    <row r="36" spans="1:2" x14ac:dyDescent="0.25">
      <c r="A36" s="419" t="s">
        <v>1685</v>
      </c>
      <c r="B36" s="420">
        <v>1082</v>
      </c>
    </row>
    <row r="37" spans="1:2" x14ac:dyDescent="0.25">
      <c r="A37" s="419" t="s">
        <v>3329</v>
      </c>
      <c r="B37" s="420">
        <v>291</v>
      </c>
    </row>
    <row r="38" spans="1:2" x14ac:dyDescent="0.25">
      <c r="A38" s="419" t="s">
        <v>4754</v>
      </c>
      <c r="B38" s="420">
        <v>4341</v>
      </c>
    </row>
    <row r="39" spans="1:2" x14ac:dyDescent="0.25">
      <c r="A39" s="419" t="s">
        <v>3327</v>
      </c>
      <c r="B39" s="420">
        <v>463</v>
      </c>
    </row>
    <row r="40" spans="1:2" x14ac:dyDescent="0.25">
      <c r="A40" s="419" t="s">
        <v>2819</v>
      </c>
      <c r="B40" s="420">
        <v>1590</v>
      </c>
    </row>
    <row r="41" spans="1:2" x14ac:dyDescent="0.25">
      <c r="A41" s="419" t="s">
        <v>950</v>
      </c>
      <c r="B41" s="420">
        <v>383</v>
      </c>
    </row>
    <row r="42" spans="1:2" x14ac:dyDescent="0.25">
      <c r="A42" s="419" t="s">
        <v>3451</v>
      </c>
      <c r="B42" s="420">
        <v>1591</v>
      </c>
    </row>
    <row r="43" spans="1:2" x14ac:dyDescent="0.25">
      <c r="A43" s="419" t="s">
        <v>11478</v>
      </c>
      <c r="B43" s="420">
        <v>37710</v>
      </c>
    </row>
    <row r="44" spans="1:2" x14ac:dyDescent="0.25">
      <c r="A44" s="419" t="s">
        <v>8338</v>
      </c>
      <c r="B44" s="420">
        <v>405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9"/>
  <sheetViews>
    <sheetView topLeftCell="A19" zoomScale="80" zoomScaleNormal="80" zoomScalePageLayoutView="90" workbookViewId="0">
      <selection activeCell="I29" sqref="I29"/>
    </sheetView>
  </sheetViews>
  <sheetFormatPr defaultColWidth="10.7109375" defaultRowHeight="15" x14ac:dyDescent="0.25"/>
  <cols>
    <col min="1" max="1" width="21.85546875" customWidth="1"/>
    <col min="2" max="9" width="11.7109375" customWidth="1"/>
    <col min="10" max="10" width="13.28515625" customWidth="1"/>
    <col min="11" max="11" width="11.7109375" customWidth="1"/>
    <col min="12" max="12" width="13.5703125" customWidth="1"/>
    <col min="13" max="13" width="12" customWidth="1"/>
    <col min="14" max="14" width="11.7109375" customWidth="1"/>
    <col min="15" max="15" width="2.140625" customWidth="1"/>
    <col min="16" max="16" width="20.140625" bestFit="1" customWidth="1"/>
    <col min="20" max="20" width="11.5703125" bestFit="1" customWidth="1"/>
    <col min="21" max="21" width="14.140625" hidden="1" customWidth="1"/>
    <col min="22" max="22" width="10.7109375" hidden="1" customWidth="1"/>
    <col min="23" max="23" width="14.42578125" hidden="1" customWidth="1"/>
  </cols>
  <sheetData>
    <row r="1" spans="1:23" ht="19.5" x14ac:dyDescent="0.3">
      <c r="A1" s="382" t="s">
        <v>1550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U1" t="s">
        <v>4874</v>
      </c>
      <c r="W1" t="s">
        <v>12420</v>
      </c>
    </row>
    <row r="2" spans="1:23" x14ac:dyDescent="0.25">
      <c r="A2" s="9" t="s">
        <v>9</v>
      </c>
      <c r="B2" s="9">
        <f>TrialNumber</f>
        <v>0</v>
      </c>
      <c r="C2" s="9"/>
      <c r="D2" s="374" t="str">
        <f>TrialCityDay1</f>
        <v/>
      </c>
      <c r="E2" s="374"/>
      <c r="F2" s="374"/>
      <c r="G2" s="374"/>
      <c r="H2" s="374"/>
      <c r="I2" s="10" t="s">
        <v>10</v>
      </c>
      <c r="J2" s="376" t="str">
        <f>TEXT(TrialDate,"ddd mmm-dd-yyyy")</f>
        <v/>
      </c>
      <c r="K2" s="376"/>
      <c r="L2" s="376"/>
      <c r="M2" s="376"/>
      <c r="U2" t="str">
        <f>IF(('Trial Info'!$E$38+'Trial Info'!$E$39+'Trial Info'!$E$55+'Trial Info'!$E$56)=0,"","SD-CH")</f>
        <v/>
      </c>
      <c r="W2" s="113" t="str">
        <f>TrialDate</f>
        <v/>
      </c>
    </row>
    <row r="3" spans="1:23" x14ac:dyDescent="0.25">
      <c r="A3" s="5"/>
      <c r="B3" s="6"/>
      <c r="C3" s="384"/>
      <c r="D3" s="384"/>
      <c r="E3" s="384"/>
      <c r="F3" s="6"/>
      <c r="G3" s="6"/>
      <c r="H3" s="6"/>
      <c r="I3" s="6"/>
      <c r="J3" s="6"/>
      <c r="K3" s="6"/>
      <c r="U3" t="str">
        <f>IF('Trial Info'!$E$40+'Trial Info'!$E$57=0,"","SD-ELCH")</f>
        <v/>
      </c>
      <c r="W3" s="113" t="str">
        <f>IF(TrialDateDay2="","",TrialDateDay2)</f>
        <v/>
      </c>
    </row>
    <row r="4" spans="1:23" x14ac:dyDescent="0.25">
      <c r="A4" s="141"/>
      <c r="B4" s="377" t="s">
        <v>30</v>
      </c>
      <c r="C4" s="377"/>
      <c r="D4" s="377"/>
      <c r="E4" s="377"/>
      <c r="F4" s="377" t="s">
        <v>31</v>
      </c>
      <c r="G4" s="377"/>
      <c r="H4" s="377"/>
      <c r="I4" s="377"/>
      <c r="J4" s="377" t="s">
        <v>32</v>
      </c>
      <c r="K4" s="377"/>
      <c r="L4" s="377"/>
      <c r="M4" s="377"/>
      <c r="N4" s="380" t="s">
        <v>2469</v>
      </c>
      <c r="U4" t="str">
        <f>IF('Trial Info'!$E$40+'Trial Info'!$E$57=0,"","SD-ELCH2")</f>
        <v/>
      </c>
    </row>
    <row r="5" spans="1:23" ht="24" x14ac:dyDescent="0.25">
      <c r="A5" s="13" t="s">
        <v>33</v>
      </c>
      <c r="B5" s="15" t="s">
        <v>25</v>
      </c>
      <c r="C5" s="16" t="s">
        <v>26</v>
      </c>
      <c r="D5" s="16" t="s">
        <v>27</v>
      </c>
      <c r="E5" s="17" t="s">
        <v>28</v>
      </c>
      <c r="F5" s="15" t="s">
        <v>25</v>
      </c>
      <c r="G5" s="16" t="s">
        <v>26</v>
      </c>
      <c r="H5" s="16" t="s">
        <v>27</v>
      </c>
      <c r="I5" s="17" t="s">
        <v>28</v>
      </c>
      <c r="J5" s="15" t="s">
        <v>25</v>
      </c>
      <c r="K5" s="16" t="s">
        <v>26</v>
      </c>
      <c r="L5" s="16" t="s">
        <v>27</v>
      </c>
      <c r="M5" s="17" t="s">
        <v>28</v>
      </c>
      <c r="N5" s="381"/>
      <c r="P5" s="13" t="s">
        <v>3754</v>
      </c>
      <c r="Q5" s="15" t="s">
        <v>25</v>
      </c>
      <c r="R5" s="16" t="s">
        <v>26</v>
      </c>
      <c r="S5" s="189" t="s">
        <v>27</v>
      </c>
      <c r="U5" t="str">
        <f>IF('Trial Info'!$E$40+'Trial Info'!$E$57=0,"","SD-ELCH3")</f>
        <v/>
      </c>
    </row>
    <row r="6" spans="1:23" x14ac:dyDescent="0.25">
      <c r="A6" s="14" t="s">
        <v>3</v>
      </c>
      <c r="B6" s="11">
        <f>COUNT(Started!G$5:G$34)</f>
        <v>0</v>
      </c>
      <c r="C6" s="2">
        <f>COUNTIF(Started!I$5:I$34,"Pass")</f>
        <v>0</v>
      </c>
      <c r="D6" s="12" t="str">
        <f>IF(B6&gt;0,C6/B6,"")</f>
        <v/>
      </c>
      <c r="E6" s="36" t="str">
        <f>IF(C6&gt;0,SUMIF(Started!I$5:I$34,"Pass",Started!G$5:G$34)/C6,"")</f>
        <v/>
      </c>
      <c r="F6" s="11">
        <f>COUNT(Started!O$5:O$34)</f>
        <v>0</v>
      </c>
      <c r="G6" s="2">
        <f>COUNTIF(Started!Q$5:Q$34,"Pass")</f>
        <v>0</v>
      </c>
      <c r="H6" s="12" t="str">
        <f>IF(F6&gt;0,G6/F6,"")</f>
        <v/>
      </c>
      <c r="I6" s="36" t="str">
        <f>IF(G6&gt;0,SUMIF(Started!Q$5:Q$34,"Pass",Started!O$5:O$34)/G6,"")</f>
        <v/>
      </c>
      <c r="J6" s="11">
        <f>COUNT(Started!W$5:W$34)</f>
        <v>0</v>
      </c>
      <c r="K6" s="2">
        <f>COUNTIF(Started!Y$5:Y$34,"Pass")</f>
        <v>0</v>
      </c>
      <c r="L6" s="12" t="str">
        <f>IF(J6&gt;0,K6/J6,"")</f>
        <v/>
      </c>
      <c r="M6" s="36" t="str">
        <f>IF(K6&gt;0,SUMIF(Started!Y$5:Y$34,"Pass",Started!W$5:W$34)/K6,"")</f>
        <v/>
      </c>
      <c r="N6" s="142">
        <f>StartedDay1FirstTitles</f>
        <v>0</v>
      </c>
      <c r="P6" s="14" t="s">
        <v>3583</v>
      </c>
      <c r="Q6" s="11">
        <f>COUNTIF(GamesDay1[Pass / Fail Aerial D1],"P")+COUNTIF(GamesDay1[Pass / Fail Aerial D1],"F")+COUNTIF(GamesDay1[Pass / Fail Aerial D1],"E")</f>
        <v>0</v>
      </c>
      <c r="R6" s="2">
        <f>COUNTIF(GamesDay1[Pass / Fail Aerial D1],"P")</f>
        <v>0</v>
      </c>
      <c r="S6" s="190" t="str">
        <f>IF(Q6&gt;0,R6/Q6,"")</f>
        <v/>
      </c>
      <c r="U6" t="str">
        <f>IF('Trial Info'!$E$40+'Trial Info'!$E$57=0,"","SD-ELCH4")</f>
        <v/>
      </c>
    </row>
    <row r="7" spans="1:23" x14ac:dyDescent="0.25">
      <c r="A7" s="14" t="s">
        <v>4</v>
      </c>
      <c r="B7" s="11">
        <f>COUNT(Advanced!G$5:G$54)</f>
        <v>0</v>
      </c>
      <c r="C7" s="2">
        <f>COUNTIF(Advanced!I$5:I$54,"Pass")</f>
        <v>0</v>
      </c>
      <c r="D7" s="12" t="str">
        <f>IF(B7&gt;0,C7/B7,"")</f>
        <v/>
      </c>
      <c r="E7" s="36" t="str">
        <f>IF(C7&gt;0,SUMIF(Advanced!I$5:I$54,"Pass",Advanced!G$5:G$54)/C7,"")</f>
        <v/>
      </c>
      <c r="F7" s="11">
        <f>COUNT(Advanced!O$5:O$54)</f>
        <v>0</v>
      </c>
      <c r="G7" s="2">
        <f>COUNTIF(Advanced!Q$5:Q$54,"Pass")</f>
        <v>0</v>
      </c>
      <c r="H7" s="12" t="str">
        <f>IF(F7&gt;0,G7/F7,"")</f>
        <v/>
      </c>
      <c r="I7" s="36" t="str">
        <f>IF(G7&gt;0,SUMIF(Advanced!Q$5:Q$54,"Pass",Advanced!O$5:O$54)/G7,"")</f>
        <v/>
      </c>
      <c r="J7" s="11">
        <f>COUNT(Advanced!W$5:W$54)</f>
        <v>0</v>
      </c>
      <c r="K7" s="2">
        <f>COUNTIF(Advanced!Y$5:Y$54,"Pass")</f>
        <v>0</v>
      </c>
      <c r="L7" s="12" t="str">
        <f>IF(J7&gt;0,K7/J7,"")</f>
        <v/>
      </c>
      <c r="M7" s="36" t="str">
        <f>IF(K7&gt;0,SUMIF(Advanced!Y$5:Y$54,"Pass",Advanced!W$5:W$54)/K7,"")</f>
        <v/>
      </c>
      <c r="N7" s="142">
        <f>AdvancedDay1FirstTitles</f>
        <v>0</v>
      </c>
      <c r="P7" s="14" t="s">
        <v>3584</v>
      </c>
      <c r="Q7" s="11">
        <f>COUNTIF(GamesDay1[Pass / Fail Distance D1],"P")+COUNTIF(GamesDay1[Pass / Fail Distance D1],"F")+COUNTIF(GamesDay1[Pass / Fail Distance D1],"E")</f>
        <v>0</v>
      </c>
      <c r="R7" s="2">
        <f>COUNTIF(GamesDay1[Pass / Fail Distance D1],"P")</f>
        <v>0</v>
      </c>
      <c r="S7" s="190" t="str">
        <f t="shared" ref="S7:S9" si="0">IF(Q7&gt;0,R7/Q7,"")</f>
        <v/>
      </c>
      <c r="U7" t="str">
        <f>IF('Trial Info'!$D$95=0,"","SD-GCH")</f>
        <v/>
      </c>
    </row>
    <row r="8" spans="1:23" x14ac:dyDescent="0.25">
      <c r="A8" s="14" t="s">
        <v>5</v>
      </c>
      <c r="B8" s="11">
        <f>COUNT(Excellent!G$5:G$54)</f>
        <v>0</v>
      </c>
      <c r="C8" s="2">
        <f>COUNTIF(Excellent!I$5:I$54,"Pass")</f>
        <v>0</v>
      </c>
      <c r="D8" s="12" t="str">
        <f>IF(B8&gt;0,C8/B8,"")</f>
        <v/>
      </c>
      <c r="E8" s="36" t="str">
        <f>IF(C8&gt;0,SUMIF(Excellent!I$5:I$54,"Pass",Excellent!G$5:G$54)/C8,"")</f>
        <v/>
      </c>
      <c r="F8" s="11">
        <f>COUNT(Excellent!O$5:O$54)</f>
        <v>0</v>
      </c>
      <c r="G8" s="2">
        <f>COUNTIF(Excellent!Q$5:Q$54,"Pass")</f>
        <v>0</v>
      </c>
      <c r="H8" s="12" t="str">
        <f>IF(F8&gt;0,G8/F8,"")</f>
        <v/>
      </c>
      <c r="I8" s="36" t="str">
        <f>IF(G8&gt;0,SUMIF(Excellent!Q$5:Q$54,"Pass",Excellent!O$5:O$54)/G8,"")</f>
        <v/>
      </c>
      <c r="J8" s="11">
        <f>COUNT(Excellent!W$5:W$54)</f>
        <v>0</v>
      </c>
      <c r="K8" s="2">
        <f>COUNTIF(Excellent!Y$5:Y$54,"Pass")</f>
        <v>0</v>
      </c>
      <c r="L8" s="12" t="str">
        <f>IF(J8&gt;0,K8/J8,"")</f>
        <v/>
      </c>
      <c r="M8" s="36" t="str">
        <f>IF(K8&gt;0,SUMIF(Excellent!Y$5:Y$54,"Pass",Excellent!W$5:W$54)/K8,"")</f>
        <v/>
      </c>
      <c r="N8" s="142">
        <f>ExcellentDay1FirstTitles</f>
        <v>0</v>
      </c>
      <c r="P8" s="14" t="s">
        <v>3581</v>
      </c>
      <c r="Q8" s="11">
        <f>COUNTIF(GamesDay1[Pass / Fail Speed D1],"P")+COUNTIF(GamesDay1[Pass / Fail Speed D1],"F")+COUNTIF(GamesDay1[Pass / Fail Speed D1],"E")</f>
        <v>0</v>
      </c>
      <c r="R8" s="2">
        <f>COUNTIF(GamesDay1[Pass / Fail Speed D1],"P")</f>
        <v>0</v>
      </c>
      <c r="S8" s="190" t="str">
        <f t="shared" si="0"/>
        <v/>
      </c>
      <c r="U8" t="str">
        <f>IF('Trial Info'!$D$95=0,"","SD-GCH2")</f>
        <v/>
      </c>
    </row>
    <row r="9" spans="1:23" x14ac:dyDescent="0.25">
      <c r="A9" s="14" t="s">
        <v>2034</v>
      </c>
      <c r="B9" s="11">
        <f>COUNT(Elite!F$5:F$34)</f>
        <v>0</v>
      </c>
      <c r="C9" s="2">
        <f>COUNTIF(Elite!H$5:H$34,"Pass")</f>
        <v>0</v>
      </c>
      <c r="D9" s="12" t="str">
        <f>IF(B9&gt;0,C9/B9,"")</f>
        <v/>
      </c>
      <c r="E9" s="36" t="str">
        <f>IF(C9&gt;0,SUMIF(Elite!H$5:H$34,"Pass",Elite!F$5:F$34)/C9,"")</f>
        <v/>
      </c>
      <c r="F9" s="11">
        <f>COUNT(Elite!N$5:N$34)</f>
        <v>0</v>
      </c>
      <c r="G9" s="2">
        <f>COUNTIF(Elite!P$5:P$34,"Pass")</f>
        <v>0</v>
      </c>
      <c r="H9" s="12" t="str">
        <f>IF(F9&gt;0,G9/F9,"")</f>
        <v/>
      </c>
      <c r="I9" s="36" t="str">
        <f>IF(G9&gt;0,SUMIF(Elite!P$5:P$34,"Pass",Elite!N$5:N$34)/G9,"")</f>
        <v/>
      </c>
      <c r="J9" s="11">
        <f>COUNT(Elite!V$5:V$34)</f>
        <v>0</v>
      </c>
      <c r="K9" s="2">
        <f>COUNTIF(Elite!X$5:X$34,"Pass")</f>
        <v>0</v>
      </c>
      <c r="L9" s="12" t="str">
        <f>IF(J9&gt;0,K9/J9,"")</f>
        <v/>
      </c>
      <c r="M9" s="36" t="str">
        <f>IF(K9&gt;0,SUMIF(Elite!X$5:X$34,"Pass",Elite!V$5:V$34)/K9,"")</f>
        <v/>
      </c>
      <c r="N9" s="143">
        <f>EliteDay1FirstTitles</f>
        <v>0</v>
      </c>
      <c r="P9" s="14" t="s">
        <v>3582</v>
      </c>
      <c r="Q9" s="11">
        <f>COUNTIF(GamesDay1[Pass / Fail Team D1],"P")+COUNTIF(GamesDay1[Pass / Fail Team D1],"F")+COUNTIF(GamesDay1[Pass / Fail Team D1],"E")</f>
        <v>0</v>
      </c>
      <c r="R9" s="2">
        <f>COUNTIF(GamesDay1[Pass / Fail Team D1],"P")</f>
        <v>0</v>
      </c>
      <c r="S9" s="190" t="str">
        <f t="shared" si="0"/>
        <v/>
      </c>
      <c r="U9" t="str">
        <f>IF('Trial Info'!$D$95=0,"","SD-GCH3")</f>
        <v/>
      </c>
    </row>
    <row r="10" spans="1:23" s="4" customFormat="1" x14ac:dyDescent="0.25">
      <c r="A10" s="18" t="s">
        <v>29</v>
      </c>
      <c r="B10" s="19">
        <f>SUM(B6:B9)</f>
        <v>0</v>
      </c>
      <c r="C10" s="20">
        <f>SUM(C6:C9)</f>
        <v>0</v>
      </c>
      <c r="D10" s="21" t="str">
        <f>IF(B10&gt;0,C10/B10,"")</f>
        <v/>
      </c>
      <c r="E10" s="22"/>
      <c r="F10" s="19">
        <f>SUM(F6:F9)</f>
        <v>0</v>
      </c>
      <c r="G10" s="20">
        <f>SUM(G6:G9)</f>
        <v>0</v>
      </c>
      <c r="H10" s="21" t="str">
        <f>IF(F10&gt;0,G10/F10,"")</f>
        <v/>
      </c>
      <c r="I10" s="22"/>
      <c r="J10" s="19">
        <f>SUM(J6:J9)</f>
        <v>0</v>
      </c>
      <c r="K10" s="20">
        <f>SUM(K6:K9)</f>
        <v>0</v>
      </c>
      <c r="L10" s="21" t="str">
        <f>IF(J10&gt;0,K10/J10,"")</f>
        <v/>
      </c>
      <c r="M10" s="22"/>
      <c r="N10" s="22"/>
      <c r="P10" s="18" t="s">
        <v>29</v>
      </c>
      <c r="Q10" s="19">
        <f>SUM(Q6:Q9)</f>
        <v>0</v>
      </c>
      <c r="R10" s="20">
        <f>SUM(R6:R9)</f>
        <v>0</v>
      </c>
      <c r="S10" s="191" t="str">
        <f>IF(Q10&gt;0,R10/Q10,"")</f>
        <v/>
      </c>
      <c r="U10" t="str">
        <f>IF('Trial Info'!$D$95=0,"","SD-GCH4")</f>
        <v/>
      </c>
    </row>
    <row r="11" spans="1:23" s="4" customFormat="1" x14ac:dyDescent="0.25">
      <c r="B11" s="187"/>
      <c r="C11" s="187"/>
      <c r="D11" s="188"/>
      <c r="E11" s="187"/>
      <c r="F11" s="187"/>
      <c r="G11" s="187"/>
      <c r="H11" s="188"/>
      <c r="I11" s="187"/>
      <c r="J11" s="187"/>
      <c r="K11" s="187"/>
      <c r="L11" s="188"/>
      <c r="M11" s="187"/>
      <c r="N11" s="187"/>
      <c r="U11" t="str">
        <f>IF('Trial Info'!$D$95=0,"","SD-GCH5")</f>
        <v/>
      </c>
    </row>
    <row r="12" spans="1:23" x14ac:dyDescent="0.25">
      <c r="U12" t="str">
        <f>IF('Trial Info'!$D$95=0,"","SD-GCH6")</f>
        <v/>
      </c>
    </row>
    <row r="13" spans="1:23" ht="21" x14ac:dyDescent="0.35">
      <c r="A13" s="383" t="s">
        <v>3533</v>
      </c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3"/>
      <c r="U13" t="str">
        <f>IF('Trial Info'!$E$40+'Trial Info'!$E$57=0,"","SD-GMCH")</f>
        <v/>
      </c>
    </row>
    <row r="14" spans="1:23" ht="19.5" x14ac:dyDescent="0.3">
      <c r="A14" s="382" t="s">
        <v>1551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  <c r="N14" s="382"/>
      <c r="O14" s="382"/>
      <c r="P14" s="382"/>
      <c r="Q14" s="382"/>
      <c r="R14" s="382"/>
      <c r="S14" s="382"/>
      <c r="U14" t="str">
        <f>IF('Trial Info'!$E$40+'Trial Info'!$E$57=0,"","SD-GMCH2")</f>
        <v/>
      </c>
    </row>
    <row r="15" spans="1:23" x14ac:dyDescent="0.25">
      <c r="A15" s="9" t="s">
        <v>9</v>
      </c>
      <c r="B15" s="9">
        <f>TrialNumberDay2</f>
        <v>0</v>
      </c>
      <c r="C15" s="9"/>
      <c r="D15" s="374" t="str">
        <f>TrialCityDay2</f>
        <v/>
      </c>
      <c r="E15" s="374"/>
      <c r="F15" s="374"/>
      <c r="G15" s="374"/>
      <c r="H15" s="374"/>
      <c r="I15" s="10" t="s">
        <v>10</v>
      </c>
      <c r="J15" s="376" t="str">
        <f>TEXT(TrialDateDay2,"ddd mmm-dd-yyyy")</f>
        <v/>
      </c>
      <c r="K15" s="376"/>
      <c r="L15" s="376"/>
      <c r="M15" s="376"/>
      <c r="U15" t="str">
        <f>IF('Trial Info'!$E$40+'Trial Info'!$E$57=0,"","SD-GMCH3")</f>
        <v/>
      </c>
    </row>
    <row r="16" spans="1:23" x14ac:dyDescent="0.25">
      <c r="A16" s="5"/>
      <c r="B16" s="6"/>
      <c r="C16" s="6"/>
      <c r="D16" s="8"/>
      <c r="E16" s="8"/>
      <c r="F16" s="6"/>
      <c r="G16" s="6"/>
      <c r="H16" s="6"/>
      <c r="I16" s="6"/>
      <c r="J16" s="6"/>
      <c r="K16" s="6"/>
      <c r="U16" t="str">
        <f>IF('Trial Info'!$E$40+'Trial Info'!$E$57=0,"","SD-GMCH4")</f>
        <v/>
      </c>
    </row>
    <row r="17" spans="1:21" x14ac:dyDescent="0.25">
      <c r="A17" s="141"/>
      <c r="B17" s="377" t="s">
        <v>30</v>
      </c>
      <c r="C17" s="377"/>
      <c r="D17" s="377"/>
      <c r="E17" s="377"/>
      <c r="F17" s="377" t="s">
        <v>31</v>
      </c>
      <c r="G17" s="377"/>
      <c r="H17" s="377"/>
      <c r="I17" s="377"/>
      <c r="J17" s="377" t="s">
        <v>32</v>
      </c>
      <c r="K17" s="377"/>
      <c r="L17" s="377"/>
      <c r="M17" s="377"/>
      <c r="N17" s="380" t="s">
        <v>2469</v>
      </c>
      <c r="U17" t="str">
        <f>IF(('Trial Info'!$E$38+'Trial Info'!$E$39+'Trial Info'!$E$55+'Trial Info'!$E$56)=0,"","SD-MACH")</f>
        <v/>
      </c>
    </row>
    <row r="18" spans="1:21" ht="24" x14ac:dyDescent="0.25">
      <c r="A18" s="13" t="s">
        <v>33</v>
      </c>
      <c r="B18" s="15" t="s">
        <v>25</v>
      </c>
      <c r="C18" s="16" t="s">
        <v>26</v>
      </c>
      <c r="D18" s="16" t="s">
        <v>27</v>
      </c>
      <c r="E18" s="17" t="s">
        <v>28</v>
      </c>
      <c r="F18" s="15" t="s">
        <v>25</v>
      </c>
      <c r="G18" s="16" t="s">
        <v>26</v>
      </c>
      <c r="H18" s="16" t="s">
        <v>27</v>
      </c>
      <c r="I18" s="17" t="s">
        <v>28</v>
      </c>
      <c r="J18" s="15" t="s">
        <v>25</v>
      </c>
      <c r="K18" s="16" t="s">
        <v>26</v>
      </c>
      <c r="L18" s="16" t="s">
        <v>27</v>
      </c>
      <c r="M18" s="17" t="s">
        <v>28</v>
      </c>
      <c r="N18" s="381"/>
      <c r="P18" s="13" t="s">
        <v>3754</v>
      </c>
      <c r="Q18" s="15" t="s">
        <v>25</v>
      </c>
      <c r="R18" s="16" t="s">
        <v>26</v>
      </c>
      <c r="S18" s="189" t="s">
        <v>27</v>
      </c>
      <c r="U18" t="str">
        <f>IF(('Trial Info'!$E$38+'Trial Info'!$E$39+'Trial Info'!$E$55+'Trial Info'!$E$56)=0,"","SD-MACH2")</f>
        <v/>
      </c>
    </row>
    <row r="19" spans="1:21" x14ac:dyDescent="0.25">
      <c r="A19" s="14" t="s">
        <v>3</v>
      </c>
      <c r="B19" s="11">
        <f>COUNT(Started!G$45:G$74)</f>
        <v>0</v>
      </c>
      <c r="C19" s="2">
        <f>COUNTIF(Started!I$45:I$74,"Pass")</f>
        <v>0</v>
      </c>
      <c r="D19" s="12" t="str">
        <f>IF(B19&gt;0,C19/B19,"")</f>
        <v/>
      </c>
      <c r="E19" s="36" t="str">
        <f>IF(C19&gt;0,SUMIF(Started!I$45:I$74,"Pass",Started!G$45:G$74)/C19,"")</f>
        <v/>
      </c>
      <c r="F19" s="11">
        <f>COUNT(Started!O$45:O$74)</f>
        <v>0</v>
      </c>
      <c r="G19" s="2">
        <f>COUNTIF(Started!Q$45:Q$74,"Pass")</f>
        <v>0</v>
      </c>
      <c r="H19" s="12" t="str">
        <f>IF(F19&gt;0,G19/F19,"")</f>
        <v/>
      </c>
      <c r="I19" s="36" t="str">
        <f>IF(G19&gt;0,SUMIF(Started!Q$45:Q$74,"Pass",Started!O$45:O$74)/G19,"")</f>
        <v/>
      </c>
      <c r="J19" s="11">
        <f>COUNT(Started!W$45:W$74)</f>
        <v>0</v>
      </c>
      <c r="K19" s="2">
        <f>COUNTIF(Started!Y$45:Y$74,"Pass")</f>
        <v>0</v>
      </c>
      <c r="L19" s="12" t="str">
        <f>IF(J19&gt;0,K19/J19,"")</f>
        <v/>
      </c>
      <c r="M19" s="36" t="str">
        <f>IF(K19&gt;0,SUMIF(Started!Y$45:Y$74,"Pass",Started!W$45:W$74)/K19,"")</f>
        <v/>
      </c>
      <c r="N19" s="142">
        <f>StartedDay2FirstTitles</f>
        <v>0</v>
      </c>
      <c r="P19" s="14" t="s">
        <v>3583</v>
      </c>
      <c r="Q19" s="11">
        <f>COUNTIF(GamesDay2[Pass / Fail Aerial D2],"P")+COUNTIF(GamesDay2[Pass / Fail Aerial D2],"F")+COUNTIF(GamesDay2[Pass / Fail Aerial D2],"E")</f>
        <v>0</v>
      </c>
      <c r="R19" s="2">
        <f>COUNTIF(GamesDay2[Pass / Fail Aerial D2],"P")</f>
        <v>0</v>
      </c>
      <c r="S19" s="190" t="str">
        <f>IF(Q19&gt;0,R19/Q19,"")</f>
        <v/>
      </c>
      <c r="U19" t="str">
        <f>IF(('Trial Info'!$E$38+'Trial Info'!$E$39+'Trial Info'!$E$55+'Trial Info'!$E$56)=0,"","SD-MACH3")</f>
        <v/>
      </c>
    </row>
    <row r="20" spans="1:21" x14ac:dyDescent="0.25">
      <c r="A20" s="14" t="s">
        <v>4</v>
      </c>
      <c r="B20" s="11">
        <f>COUNT(Advanced!G$65:G$114)</f>
        <v>0</v>
      </c>
      <c r="C20" s="2">
        <f>COUNTIF(Advanced!I$65:I$114,"Pass")</f>
        <v>0</v>
      </c>
      <c r="D20" s="12" t="str">
        <f>IF(B20&gt;0,C20/B20,"")</f>
        <v/>
      </c>
      <c r="E20" s="36" t="str">
        <f>IF(C20&gt;0,SUMIF(Advanced!I$65:I$114,"Pass",Advanced!G$65:G$114)/C20,"")</f>
        <v/>
      </c>
      <c r="F20" s="11">
        <f>COUNT(Advanced!O$65:O$114)</f>
        <v>0</v>
      </c>
      <c r="G20" s="2">
        <f>COUNTIF(Advanced!Q$65:Q$114,"Pass")</f>
        <v>0</v>
      </c>
      <c r="H20" s="12" t="str">
        <f>IF(F20&gt;0,G20/F20,"")</f>
        <v/>
      </c>
      <c r="I20" s="36" t="str">
        <f>IF(G20&gt;0,SUMIF(Advanced!Q$65:Q$114,"Pass",Advanced!O$65:O$114)/G20,"")</f>
        <v/>
      </c>
      <c r="J20" s="11">
        <f>COUNT(Advanced!W$65:W$114)</f>
        <v>0</v>
      </c>
      <c r="K20" s="2">
        <f>COUNTIF(Advanced!Y$65:Y$114,"Pass")</f>
        <v>0</v>
      </c>
      <c r="L20" s="12" t="str">
        <f>IF(J20&gt;0,K20/J20,"")</f>
        <v/>
      </c>
      <c r="M20" s="36" t="str">
        <f>IF(K20&gt;0,SUMIF(Advanced!Y$65:Y$114,"Pass",Advanced!W$65:W$114)/K20,"")</f>
        <v/>
      </c>
      <c r="N20" s="142">
        <f>AdvancedDay2FirstTitles</f>
        <v>0</v>
      </c>
      <c r="P20" s="14" t="s">
        <v>3584</v>
      </c>
      <c r="Q20" s="11">
        <f>COUNTIF(GamesDay2[Pass / Fail Distance D2],"P")+COUNTIF(GamesDay2[Pass / Fail Distance D2],"F")+COUNTIF(GamesDay2[Pass / Fail Distance D2],"E")</f>
        <v>0</v>
      </c>
      <c r="R20" s="2">
        <f>COUNTIF(GamesDay2[Pass / Fail Distance D2],"P")</f>
        <v>0</v>
      </c>
      <c r="S20" s="190" t="str">
        <f t="shared" ref="S20:S22" si="1">IF(Q20&gt;0,R20/Q20,"")</f>
        <v/>
      </c>
      <c r="U20" t="str">
        <f>IF(('Trial Info'!$E$38+'Trial Info'!$E$39+'Trial Info'!$E$55+'Trial Info'!$E$56)=0,"","SD-MACH4")</f>
        <v/>
      </c>
    </row>
    <row r="21" spans="1:21" x14ac:dyDescent="0.25">
      <c r="A21" s="14" t="s">
        <v>5</v>
      </c>
      <c r="B21" s="11">
        <f>COUNT(Excellent!G$65:G$114)</f>
        <v>0</v>
      </c>
      <c r="C21" s="2">
        <f>COUNTIF(Excellent!I$65:I$114,"Pass")</f>
        <v>0</v>
      </c>
      <c r="D21" s="12" t="str">
        <f>IF(B21&gt;0,C21/B21,"")</f>
        <v/>
      </c>
      <c r="E21" s="36" t="str">
        <f>IF(C21&gt;0,SUMIF(Excellent!I$65:I$114,"Pass",Excellent!G$65:G$114)/C21,"")</f>
        <v/>
      </c>
      <c r="F21" s="11">
        <f>COUNT(Excellent!O$65:O$114)</f>
        <v>0</v>
      </c>
      <c r="G21" s="2">
        <f>COUNTIF(Excellent!Q$65:Q$114,"Pass")</f>
        <v>0</v>
      </c>
      <c r="H21" s="12" t="str">
        <f>IF(F21&gt;0,G21/F21,"")</f>
        <v/>
      </c>
      <c r="I21" s="36" t="str">
        <f>IF(G21&gt;0,SUMIF(Excellent!Q$65:Q$114,"Pass",Excellent!O$65:O$114)/G21,"")</f>
        <v/>
      </c>
      <c r="J21" s="11">
        <f>COUNT(Excellent!W$65:W$114)</f>
        <v>0</v>
      </c>
      <c r="K21" s="2">
        <f>COUNTIF(Excellent!Y$65:Y$114,"Pass")</f>
        <v>0</v>
      </c>
      <c r="L21" s="12" t="str">
        <f>IF(J21&gt;0,K21/J21,"")</f>
        <v/>
      </c>
      <c r="M21" s="36" t="str">
        <f>IF(K21&gt;0,SUMIF(Excellent!Y$65:Y$114,"Pass",Excellent!W$65:W$114)/K21,"")</f>
        <v/>
      </c>
      <c r="N21" s="142">
        <f>ExcellentDay2FirstTitles</f>
        <v>0</v>
      </c>
      <c r="P21" s="14" t="s">
        <v>3581</v>
      </c>
      <c r="Q21" s="11">
        <f>COUNTIF(GamesDay2[Pass / Fail Speed D2],"P")+COUNTIF(GamesDay2[Pass / Fail Speed D2],"F")+COUNTIF(GamesDay2[Pass / Fail Speed D2],"E")</f>
        <v>0</v>
      </c>
      <c r="R21" s="2">
        <f>COUNTIF(GamesDay2[Pass / Fail Speed D2],"P")</f>
        <v>0</v>
      </c>
      <c r="S21" s="190" t="str">
        <f t="shared" si="1"/>
        <v/>
      </c>
      <c r="U21" t="str">
        <f>IF(('Trial Info'!$E$38+'Trial Info'!$E$39+'Trial Info'!$E$55+'Trial Info'!$E$56)=0,"","SD-MACH5")</f>
        <v/>
      </c>
    </row>
    <row r="22" spans="1:21" x14ac:dyDescent="0.25">
      <c r="A22" s="14" t="s">
        <v>2034</v>
      </c>
      <c r="B22" s="11">
        <f>COUNT(Elite!F$45:F$74)</f>
        <v>0</v>
      </c>
      <c r="C22" s="2">
        <f>COUNTIF(Elite!H$45:H$74,"Pass")</f>
        <v>0</v>
      </c>
      <c r="D22" s="12" t="str">
        <f>IF(B22&gt;0,C22/B22,"")</f>
        <v/>
      </c>
      <c r="E22" s="36" t="str">
        <f>IF(C22&gt;0,SUMIF(Elite!H$45:H$74,"Pass",Elite!F$45:F$74)/C22,"")</f>
        <v/>
      </c>
      <c r="F22" s="11">
        <f>COUNT(Elite!N$45:N$74)</f>
        <v>0</v>
      </c>
      <c r="G22" s="2">
        <f>COUNTIF(Elite!P$45:P$74,"Pass")</f>
        <v>0</v>
      </c>
      <c r="H22" s="12" t="str">
        <f>IF(F22&gt;0,G22/F22,"")</f>
        <v/>
      </c>
      <c r="I22" s="36" t="str">
        <f>IF(G22&gt;0,SUMIF(Elite!P$45:P$74,"Pass",Elite!N$45:N$74)/G22,"")</f>
        <v/>
      </c>
      <c r="J22" s="11">
        <f>COUNT(Elite!V$45:V$74)</f>
        <v>0</v>
      </c>
      <c r="K22" s="2">
        <f>COUNTIF(Elite!X$45:X$74,"Pass")</f>
        <v>0</v>
      </c>
      <c r="L22" s="12" t="str">
        <f>IF(J22&gt;0,K22/J22,"")</f>
        <v/>
      </c>
      <c r="M22" s="36" t="str">
        <f>IF(K22&gt;0,SUMIF(Elite!X$45:X$74,"Pass",Elite!V$45:V$74)/K22,"")</f>
        <v/>
      </c>
      <c r="N22" s="143">
        <f>EliteDay2FirstTitles</f>
        <v>0</v>
      </c>
      <c r="P22" s="14" t="s">
        <v>3582</v>
      </c>
      <c r="Q22" s="11">
        <f>COUNTIF(GamesDay2[Pass / Fail Team D2],"P")+COUNTIF(GamesDay2[Pass / Fail Team D2],"F")+COUNTIF(GamesDay2[Pass / Fail Team D2],"E")</f>
        <v>0</v>
      </c>
      <c r="R22" s="2">
        <f>COUNTIF(GamesDay2[Pass / Fail Team D2],"P")</f>
        <v>0</v>
      </c>
      <c r="S22" s="190" t="str">
        <f t="shared" si="1"/>
        <v/>
      </c>
      <c r="U22" t="str">
        <f>IF(('Trial Info'!$E$38+'Trial Info'!$E$39+'Trial Info'!$E$55+'Trial Info'!$E$56)=0,"","SD-MACH6")</f>
        <v/>
      </c>
    </row>
    <row r="23" spans="1:21" x14ac:dyDescent="0.25">
      <c r="A23" s="18" t="s">
        <v>29</v>
      </c>
      <c r="B23" s="19">
        <f>SUM(B19:B22)</f>
        <v>0</v>
      </c>
      <c r="C23" s="20">
        <f>SUM(C19:C22)</f>
        <v>0</v>
      </c>
      <c r="D23" s="21" t="str">
        <f>IF(B23&gt;0,C23/B23,"")</f>
        <v/>
      </c>
      <c r="E23" s="22"/>
      <c r="F23" s="19">
        <f>SUM(F19:F22)</f>
        <v>0</v>
      </c>
      <c r="G23" s="20">
        <f>SUM(G19:G22)</f>
        <v>0</v>
      </c>
      <c r="H23" s="21" t="str">
        <f>IF(F23&gt;0,G23/F23,"")</f>
        <v/>
      </c>
      <c r="I23" s="22"/>
      <c r="J23" s="19">
        <f>SUM(J19:J22)</f>
        <v>0</v>
      </c>
      <c r="K23" s="20">
        <f>SUM(K19:K22)</f>
        <v>0</v>
      </c>
      <c r="L23" s="21" t="str">
        <f>IF(J23&gt;0,K23/J23,"")</f>
        <v/>
      </c>
      <c r="M23" s="22"/>
      <c r="N23" s="22"/>
      <c r="P23" s="18" t="s">
        <v>29</v>
      </c>
      <c r="Q23" s="19">
        <f>SUM(Q19:Q22)</f>
        <v>0</v>
      </c>
      <c r="R23" s="20">
        <f>SUM(R19:R22)</f>
        <v>0</v>
      </c>
      <c r="S23" s="191" t="str">
        <f>IF(Q23&gt;0,R23/Q23,"")</f>
        <v/>
      </c>
      <c r="U23" t="str">
        <f>IF(('Trial Info'!$E$38+'Trial Info'!$E$39+'Trial Info'!$E$55+'Trial Info'!$E$56)=0,"","SD-MACH7")</f>
        <v/>
      </c>
    </row>
    <row r="24" spans="1:21" s="4" customFormat="1" x14ac:dyDescent="0.25">
      <c r="B24" s="187"/>
      <c r="C24" s="187"/>
      <c r="D24" s="188"/>
      <c r="E24" s="187"/>
      <c r="F24" s="187"/>
      <c r="G24" s="187"/>
      <c r="H24" s="188"/>
      <c r="I24" s="187"/>
      <c r="J24" s="187"/>
      <c r="K24" s="187"/>
      <c r="L24" s="188"/>
      <c r="M24" s="187"/>
      <c r="N24" s="187"/>
      <c r="U24"/>
    </row>
    <row r="25" spans="1:21" ht="15.75" thickBot="1" x14ac:dyDescent="0.3"/>
    <row r="26" spans="1:21" ht="18" thickBot="1" x14ac:dyDescent="0.35">
      <c r="A26" s="378" t="s">
        <v>4326</v>
      </c>
      <c r="B26" s="379"/>
    </row>
    <row r="27" spans="1:21" ht="45" customHeight="1" thickTop="1" thickBot="1" x14ac:dyDescent="0.35">
      <c r="A27" s="181" t="str">
        <f>B6+F6+J6+B19+F19+J19 &amp; " Started runs"</f>
        <v>0 Started runs</v>
      </c>
      <c r="B27" s="182">
        <f>(B6+F6+J6+B19+F19+J19)*SddaFee</f>
        <v>0</v>
      </c>
      <c r="D27" s="375" t="s">
        <v>2551</v>
      </c>
      <c r="E27" s="375"/>
      <c r="F27" s="375"/>
      <c r="I27" s="369" t="s">
        <v>3535</v>
      </c>
      <c r="J27" s="369"/>
      <c r="K27" s="369"/>
      <c r="L27" s="369"/>
      <c r="M27" s="369"/>
    </row>
    <row r="28" spans="1:21" ht="30" customHeight="1" thickTop="1" x14ac:dyDescent="0.25">
      <c r="A28" s="181" t="str">
        <f>B7+F7+J7+B20+F20+J20 &amp; " Advanced runs"</f>
        <v>0 Advanced runs</v>
      </c>
      <c r="B28" s="182">
        <f>(B7+F7+J7+B20+F20+J20)*SddaFee</f>
        <v>0</v>
      </c>
      <c r="E28" s="2" t="s">
        <v>2556</v>
      </c>
      <c r="F28" s="2" t="s">
        <v>2557</v>
      </c>
      <c r="I28" s="250" t="s">
        <v>3117</v>
      </c>
      <c r="J28" s="251" t="s">
        <v>3118</v>
      </c>
      <c r="K28" s="252" t="s">
        <v>3198</v>
      </c>
      <c r="L28" s="387" t="s">
        <v>4874</v>
      </c>
      <c r="M28" s="388"/>
    </row>
    <row r="29" spans="1:21" x14ac:dyDescent="0.25">
      <c r="A29" s="181" t="str">
        <f>B8+F8+J8+B21+F21+J21 &amp; " Excellent runs"</f>
        <v>0 Excellent runs</v>
      </c>
      <c r="B29" s="182">
        <f>(B8+F8+J8+B21+F21+J21)*SddaFee</f>
        <v>0</v>
      </c>
      <c r="D29" s="148" t="s">
        <v>2552</v>
      </c>
      <c r="E29" s="2">
        <f>COUNTIF(Started!G5:G34,"E")</f>
        <v>0</v>
      </c>
      <c r="F29" s="2">
        <f>COUNTIF(Started!G45:G74,"E")</f>
        <v>0</v>
      </c>
      <c r="I29" s="253"/>
      <c r="J29" s="254" t="str">
        <f>IF(I29="","",VLOOKUP(I29,'SDDA Dogs'!$A:$F,2,FALSE))</f>
        <v/>
      </c>
      <c r="K29" s="255" t="str">
        <f t="shared" ref="K29:K55" si="2">IF(AND(I29&lt;&gt;"",TrialDateDay2=""),TrialDate,"")</f>
        <v/>
      </c>
      <c r="L29" s="389"/>
      <c r="M29" s="390"/>
    </row>
    <row r="30" spans="1:21" x14ac:dyDescent="0.25">
      <c r="A30" s="181" t="str">
        <f>MAX(B9,F9,J9) + MAX(B22,F22,J22) &amp; " Elite dogs:"</f>
        <v>0 Elite dogs:</v>
      </c>
      <c r="B30" s="182">
        <f>(MAX(B9,F9,J9)+MAX(B22,F22,J22))*SddaFeeElite</f>
        <v>0</v>
      </c>
      <c r="D30" s="148" t="s">
        <v>2553</v>
      </c>
      <c r="E30" s="2">
        <f>COUNTIF(Started!O5:O34,"E")</f>
        <v>0</v>
      </c>
      <c r="F30" s="2">
        <f>COUNTIF(Started!O45:O74,"E")</f>
        <v>0</v>
      </c>
      <c r="I30" s="249"/>
      <c r="J30" t="str">
        <f>IF(I30="","",VLOOKUP(I30,'SDDA Dogs'!$A:$F,2,FALSE))</f>
        <v/>
      </c>
      <c r="K30" s="259" t="str">
        <f t="shared" si="2"/>
        <v/>
      </c>
      <c r="L30" s="370"/>
      <c r="M30" s="371"/>
    </row>
    <row r="31" spans="1:21" x14ac:dyDescent="0.25">
      <c r="A31" s="185" t="str">
        <f>TotalRunsGames &amp; " Games runs"</f>
        <v>0 Games runs</v>
      </c>
      <c r="B31" s="186">
        <f>'Trial Info'!G95</f>
        <v>0</v>
      </c>
      <c r="D31" s="148" t="s">
        <v>2554</v>
      </c>
      <c r="E31" s="2">
        <f>+COUNTIF(Started!W5:W34,"E")</f>
        <v>0</v>
      </c>
      <c r="F31" s="2">
        <f>+COUNTIF(Started!W45:W74,"E")</f>
        <v>0</v>
      </c>
      <c r="I31" s="253"/>
      <c r="J31" s="254" t="str">
        <f>IF(I31="","",VLOOKUP(I31,'SDDA Dogs'!$A:$F,2,FALSE))</f>
        <v/>
      </c>
      <c r="K31" s="255" t="str">
        <f t="shared" si="2"/>
        <v/>
      </c>
      <c r="L31" s="372"/>
      <c r="M31" s="373"/>
    </row>
    <row r="32" spans="1:21" ht="15.75" thickBot="1" x14ac:dyDescent="0.3">
      <c r="A32" s="183" t="s">
        <v>1147</v>
      </c>
      <c r="B32" s="184">
        <f>SUM(B27:B31)</f>
        <v>0</v>
      </c>
      <c r="D32" s="148" t="s">
        <v>2555</v>
      </c>
      <c r="E32" s="2">
        <f>COUNTIF(Advanced!G5:G54,"E")</f>
        <v>0</v>
      </c>
      <c r="F32" s="2">
        <f>COUNTIF(Advanced!G65:G114,"E")</f>
        <v>0</v>
      </c>
      <c r="I32" s="249"/>
      <c r="J32" t="str">
        <f>IF(I32="","",VLOOKUP(I32,'SDDA Dogs'!$A:$F,2,FALSE))</f>
        <v/>
      </c>
      <c r="K32" s="259" t="str">
        <f t="shared" si="2"/>
        <v/>
      </c>
      <c r="L32" s="370"/>
      <c r="M32" s="371"/>
    </row>
    <row r="33" spans="4:13" x14ac:dyDescent="0.25">
      <c r="D33" s="148" t="s">
        <v>2558</v>
      </c>
      <c r="E33" s="2">
        <f>COUNTIF(Advanced!O5:O54,"E")</f>
        <v>0</v>
      </c>
      <c r="F33" s="2">
        <f>COUNTIF(Advanced!O65:O114,"E")</f>
        <v>0</v>
      </c>
      <c r="I33" s="253"/>
      <c r="J33" s="254" t="str">
        <f>IF(I33="","",VLOOKUP(I33,'SDDA Dogs'!$A:$F,2,FALSE))</f>
        <v/>
      </c>
      <c r="K33" s="255" t="str">
        <f t="shared" si="2"/>
        <v/>
      </c>
      <c r="L33" s="372"/>
      <c r="M33" s="373"/>
    </row>
    <row r="34" spans="4:13" x14ac:dyDescent="0.25">
      <c r="D34" s="148" t="s">
        <v>2559</v>
      </c>
      <c r="E34" s="2">
        <f>+COUNTIF(Advanced!W5:W54,"E")</f>
        <v>0</v>
      </c>
      <c r="F34" s="2">
        <f>+COUNTIF(Advanced!W65:W114,"E")</f>
        <v>0</v>
      </c>
      <c r="I34" s="249"/>
      <c r="J34" t="str">
        <f>IF(I34="","",VLOOKUP(I34,'SDDA Dogs'!$A:$F,2,FALSE))</f>
        <v/>
      </c>
      <c r="K34" s="259" t="str">
        <f t="shared" si="2"/>
        <v/>
      </c>
      <c r="L34" s="370"/>
      <c r="M34" s="371"/>
    </row>
    <row r="35" spans="4:13" x14ac:dyDescent="0.25">
      <c r="D35" s="148" t="s">
        <v>2560</v>
      </c>
      <c r="E35" s="147">
        <f>COUNTIF(Excellent!G5:G54,"E")</f>
        <v>0</v>
      </c>
      <c r="F35" s="147">
        <f>COUNTIF(Excellent!G65:G114,"E")</f>
        <v>0</v>
      </c>
      <c r="I35" s="253"/>
      <c r="J35" s="254" t="str">
        <f>IF(I35="","",VLOOKUP(I35,'SDDA Dogs'!$A:$F,2,FALSE))</f>
        <v/>
      </c>
      <c r="K35" s="255" t="str">
        <f>IF(AND(I45&lt;&gt;"",TrialDateDay2=""),TrialDate,"")</f>
        <v/>
      </c>
      <c r="L35" s="372"/>
      <c r="M35" s="373"/>
    </row>
    <row r="36" spans="4:13" x14ac:dyDescent="0.25">
      <c r="D36" s="148" t="s">
        <v>2561</v>
      </c>
      <c r="E36" s="2">
        <f>COUNTIF(Excellent!O5:O54,"E")</f>
        <v>0</v>
      </c>
      <c r="F36" s="2">
        <f>COUNTIF(Excellent!O65:O114,"E")</f>
        <v>0</v>
      </c>
      <c r="I36" s="249"/>
      <c r="J36" t="str">
        <f>IF(I36="","",VLOOKUP(I36,'SDDA Dogs'!$A:$F,2,FALSE))</f>
        <v/>
      </c>
      <c r="K36" s="259" t="str">
        <f t="shared" si="2"/>
        <v/>
      </c>
      <c r="L36" s="370"/>
      <c r="M36" s="371"/>
    </row>
    <row r="37" spans="4:13" x14ac:dyDescent="0.25">
      <c r="D37" s="148" t="s">
        <v>2562</v>
      </c>
      <c r="E37" s="2">
        <f>+COUNTIF(Excellent!W5:W54,"E")</f>
        <v>0</v>
      </c>
      <c r="F37" s="2">
        <f>+COUNTIF(Excellent!W65:W114,"E")</f>
        <v>0</v>
      </c>
      <c r="I37" s="253"/>
      <c r="J37" s="254" t="str">
        <f>IF(I37="","",VLOOKUP(I37,'SDDA Dogs'!$A:$F,2,FALSE))</f>
        <v/>
      </c>
      <c r="K37" s="255" t="str">
        <f t="shared" si="2"/>
        <v/>
      </c>
      <c r="L37" s="372"/>
      <c r="M37" s="373"/>
    </row>
    <row r="38" spans="4:13" x14ac:dyDescent="0.25">
      <c r="D38" s="148" t="s">
        <v>2563</v>
      </c>
      <c r="E38" s="2">
        <f>COUNTIF(Elite!F5:F34,"E")</f>
        <v>0</v>
      </c>
      <c r="F38" s="2">
        <f>COUNTIF(Elite!F45:F74,"E")</f>
        <v>0</v>
      </c>
      <c r="I38" s="249"/>
      <c r="J38" t="str">
        <f>IF(I38="","",VLOOKUP(I38,'SDDA Dogs'!$A:$F,2,FALSE))</f>
        <v/>
      </c>
      <c r="K38" s="259" t="str">
        <f t="shared" si="2"/>
        <v/>
      </c>
      <c r="L38" s="370"/>
      <c r="M38" s="371"/>
    </row>
    <row r="39" spans="4:13" x14ac:dyDescent="0.25">
      <c r="D39" s="148" t="s">
        <v>2564</v>
      </c>
      <c r="E39" s="2">
        <f>COUNTIF(Elite!N5:N34,"E")</f>
        <v>0</v>
      </c>
      <c r="F39" s="2">
        <f>COUNTIF(Elite!N45:N74,"E")</f>
        <v>0</v>
      </c>
      <c r="I39" s="253"/>
      <c r="J39" s="254" t="str">
        <f>IF(I39="","",VLOOKUP(I39,'SDDA Dogs'!$A:$F,2,FALSE))</f>
        <v/>
      </c>
      <c r="K39" s="255" t="str">
        <f t="shared" si="2"/>
        <v/>
      </c>
      <c r="L39" s="372"/>
      <c r="M39" s="373"/>
    </row>
    <row r="40" spans="4:13" x14ac:dyDescent="0.25">
      <c r="D40" s="148" t="s">
        <v>2565</v>
      </c>
      <c r="E40" s="2">
        <f>COUNTIF(Elite!V5:V34,"E")</f>
        <v>0</v>
      </c>
      <c r="F40" s="2">
        <f>COUNTIF(Elite!V45:V74,"E")</f>
        <v>0</v>
      </c>
      <c r="I40" s="249"/>
      <c r="J40" t="str">
        <f>IF(I40="","",VLOOKUP(I40,'SDDA Dogs'!$A:$F,2,FALSE))</f>
        <v/>
      </c>
      <c r="K40" s="259" t="str">
        <f t="shared" si="2"/>
        <v/>
      </c>
      <c r="L40" s="370"/>
      <c r="M40" s="371"/>
    </row>
    <row r="41" spans="4:13" x14ac:dyDescent="0.25">
      <c r="D41" s="148" t="s">
        <v>3583</v>
      </c>
      <c r="E41" s="2">
        <f>COUNTIF(GamesDay1[Pass / Fail Aerial D1],"E")</f>
        <v>0</v>
      </c>
      <c r="F41" s="2">
        <f>COUNTIF(GamesDay2[Pass / Fail Aerial D2],"E")</f>
        <v>0</v>
      </c>
      <c r="I41" s="253"/>
      <c r="J41" s="254" t="str">
        <f>IF(I41="","",VLOOKUP(I41,'SDDA Dogs'!$A:$F,2,FALSE))</f>
        <v/>
      </c>
      <c r="K41" s="255" t="str">
        <f t="shared" si="2"/>
        <v/>
      </c>
      <c r="L41" s="372"/>
      <c r="M41" s="373"/>
    </row>
    <row r="42" spans="4:13" x14ac:dyDescent="0.25">
      <c r="D42" s="148" t="s">
        <v>3584</v>
      </c>
      <c r="E42" s="2">
        <f>COUNTIF(GamesDay1[Pass / Fail Distance D1],"E")</f>
        <v>0</v>
      </c>
      <c r="F42" s="2">
        <f>COUNTIF(GamesDay2[Pass / Fail Distance D2],"E")</f>
        <v>0</v>
      </c>
      <c r="I42" s="249"/>
      <c r="J42" t="str">
        <f>IF(I42="","",VLOOKUP(I42,'SDDA Dogs'!$A:$F,2,FALSE))</f>
        <v/>
      </c>
      <c r="K42" s="259" t="str">
        <f t="shared" si="2"/>
        <v/>
      </c>
      <c r="L42" s="370"/>
      <c r="M42" s="371"/>
    </row>
    <row r="43" spans="4:13" x14ac:dyDescent="0.25">
      <c r="D43" s="148" t="s">
        <v>3581</v>
      </c>
      <c r="E43" s="2">
        <f>COUNTIF(GamesDay1[Pass / Fail Speed D1],"E")</f>
        <v>0</v>
      </c>
      <c r="F43" s="2">
        <f>COUNTIF(GamesDay2[Pass / Fail Speed D2],"E")</f>
        <v>0</v>
      </c>
      <c r="I43" s="253"/>
      <c r="J43" s="254" t="str">
        <f>IF(I43="","",VLOOKUP(I43,'SDDA Dogs'!$A:$F,2,FALSE))</f>
        <v/>
      </c>
      <c r="K43" s="255" t="str">
        <f t="shared" si="2"/>
        <v/>
      </c>
      <c r="L43" s="372"/>
      <c r="M43" s="373"/>
    </row>
    <row r="44" spans="4:13" x14ac:dyDescent="0.25">
      <c r="D44" s="148" t="s">
        <v>3582</v>
      </c>
      <c r="E44" s="2">
        <f>COUNTIF(GamesDay1[Pass / Fail Team D1],"E")</f>
        <v>0</v>
      </c>
      <c r="F44" s="2">
        <f>COUNTIF(GamesDay2[Pass / Fail Team D2],"E")</f>
        <v>0</v>
      </c>
      <c r="I44" s="249"/>
      <c r="J44" t="str">
        <f>IF(I44="","",VLOOKUP(I44,'SDDA Dogs'!$A:$F,2,FALSE))</f>
        <v/>
      </c>
      <c r="K44" s="259" t="str">
        <f t="shared" si="2"/>
        <v/>
      </c>
      <c r="L44" s="370"/>
      <c r="M44" s="371"/>
    </row>
    <row r="45" spans="4:13" x14ac:dyDescent="0.25">
      <c r="D45" s="148" t="s">
        <v>29</v>
      </c>
      <c r="E45" s="187">
        <f>SUM(E29:E44)</f>
        <v>0</v>
      </c>
      <c r="F45" s="187">
        <f>SUM(F29:F44)</f>
        <v>0</v>
      </c>
      <c r="I45" s="253"/>
      <c r="J45" s="254" t="str">
        <f>IF(I45="","",VLOOKUP(I45,'SDDA Dogs'!$A:$F,2,FALSE))</f>
        <v/>
      </c>
      <c r="K45" s="255" t="str">
        <f t="shared" si="2"/>
        <v/>
      </c>
      <c r="L45" s="372"/>
      <c r="M45" s="373"/>
    </row>
    <row r="46" spans="4:13" x14ac:dyDescent="0.25">
      <c r="I46" s="249"/>
      <c r="J46" t="str">
        <f>IF(I46="","",VLOOKUP(I46,'SDDA Dogs'!$A:$F,2,FALSE))</f>
        <v/>
      </c>
      <c r="K46" s="259" t="str">
        <f t="shared" si="2"/>
        <v/>
      </c>
      <c r="L46" s="370"/>
      <c r="M46" s="371"/>
    </row>
    <row r="47" spans="4:13" x14ac:dyDescent="0.25">
      <c r="I47" s="253"/>
      <c r="J47" s="254" t="str">
        <f>IF(I47="","",VLOOKUP(I47,'SDDA Dogs'!$A:$F,2,FALSE))</f>
        <v/>
      </c>
      <c r="K47" s="255" t="str">
        <f t="shared" si="2"/>
        <v/>
      </c>
      <c r="L47" s="372"/>
      <c r="M47" s="373"/>
    </row>
    <row r="48" spans="4:13" x14ac:dyDescent="0.25">
      <c r="I48" s="249"/>
      <c r="J48" t="str">
        <f>IF(I48="","",VLOOKUP(I48,'SDDA Dogs'!$A:$F,2,FALSE))</f>
        <v/>
      </c>
      <c r="K48" s="259" t="str">
        <f t="shared" si="2"/>
        <v/>
      </c>
      <c r="L48" s="370"/>
      <c r="M48" s="371"/>
    </row>
    <row r="49" spans="9:16" x14ac:dyDescent="0.25">
      <c r="I49" s="253"/>
      <c r="J49" s="254" t="str">
        <f>IF(I49="","",VLOOKUP(I49,'SDDA Dogs'!$A:$F,2,FALSE))</f>
        <v/>
      </c>
      <c r="K49" s="255" t="str">
        <f t="shared" si="2"/>
        <v/>
      </c>
      <c r="L49" s="372"/>
      <c r="M49" s="373"/>
    </row>
    <row r="50" spans="9:16" x14ac:dyDescent="0.25">
      <c r="I50" s="249"/>
      <c r="J50" t="str">
        <f>IF(I50="","",VLOOKUP(I50,'SDDA Dogs'!$A:$F,2,FALSE))</f>
        <v/>
      </c>
      <c r="K50" s="259" t="str">
        <f t="shared" si="2"/>
        <v/>
      </c>
      <c r="L50" s="370"/>
      <c r="M50" s="371"/>
    </row>
    <row r="51" spans="9:16" x14ac:dyDescent="0.25">
      <c r="I51" s="253"/>
      <c r="J51" s="254" t="str">
        <f>IF(I51="","",VLOOKUP(I51,'SDDA Dogs'!$A:$F,2,FALSE))</f>
        <v/>
      </c>
      <c r="K51" s="255" t="str">
        <f t="shared" si="2"/>
        <v/>
      </c>
      <c r="L51" s="372"/>
      <c r="M51" s="373"/>
    </row>
    <row r="52" spans="9:16" x14ac:dyDescent="0.25">
      <c r="I52" s="249"/>
      <c r="J52" t="str">
        <f>IF(I52="","",VLOOKUP(I52,'SDDA Dogs'!$A:$F,2,FALSE))</f>
        <v/>
      </c>
      <c r="K52" s="259" t="str">
        <f t="shared" si="2"/>
        <v/>
      </c>
      <c r="L52" s="370"/>
      <c r="M52" s="371"/>
    </row>
    <row r="53" spans="9:16" x14ac:dyDescent="0.25">
      <c r="I53" s="253"/>
      <c r="J53" s="254" t="str">
        <f>IF(I53="","",VLOOKUP(I53,'SDDA Dogs'!$A:$F,2,FALSE))</f>
        <v/>
      </c>
      <c r="K53" s="255" t="str">
        <f t="shared" si="2"/>
        <v/>
      </c>
      <c r="L53" s="372"/>
      <c r="M53" s="373"/>
    </row>
    <row r="54" spans="9:16" x14ac:dyDescent="0.25">
      <c r="I54" s="249"/>
      <c r="J54" t="str">
        <f>IF(I54="","",VLOOKUP(I54,'SDDA Dogs'!$A:$F,2,FALSE))</f>
        <v/>
      </c>
      <c r="K54" s="259" t="str">
        <f t="shared" si="2"/>
        <v/>
      </c>
      <c r="L54" s="370"/>
      <c r="M54" s="371"/>
    </row>
    <row r="55" spans="9:16" x14ac:dyDescent="0.25">
      <c r="I55" s="256"/>
      <c r="J55" s="257" t="str">
        <f>IF(I55="","",VLOOKUP(I55,'SDDA Dogs'!$A:$F,2,FALSE))</f>
        <v/>
      </c>
      <c r="K55" s="258" t="str">
        <f t="shared" si="2"/>
        <v/>
      </c>
      <c r="L55" s="385"/>
      <c r="M55" s="386"/>
    </row>
    <row r="58" spans="9:16" ht="15.75" x14ac:dyDescent="0.25">
      <c r="I58" s="369" t="s">
        <v>15317</v>
      </c>
      <c r="J58" s="369"/>
      <c r="K58" s="369"/>
      <c r="L58" s="369"/>
      <c r="M58" s="369"/>
      <c r="N58" s="369"/>
    </row>
    <row r="59" spans="9:16" ht="15.75" x14ac:dyDescent="0.25">
      <c r="I59" s="288" t="s">
        <v>3117</v>
      </c>
      <c r="J59" s="289" t="s">
        <v>3118</v>
      </c>
      <c r="K59" s="290" t="s">
        <v>3198</v>
      </c>
      <c r="L59" s="292" t="s">
        <v>15318</v>
      </c>
      <c r="M59" s="290" t="s">
        <v>1634</v>
      </c>
      <c r="N59" s="291" t="s">
        <v>1533</v>
      </c>
      <c r="O59" s="306" t="s">
        <v>15602</v>
      </c>
      <c r="P59" s="306" t="s">
        <v>15603</v>
      </c>
    </row>
    <row r="60" spans="9:16" x14ac:dyDescent="0.25">
      <c r="I60" s="285">
        <f>Started!C5</f>
        <v>0</v>
      </c>
      <c r="J60" s="286" t="str">
        <f>Started!D5</f>
        <v/>
      </c>
      <c r="K60" s="287" t="str">
        <f t="shared" ref="K60:K89" si="3">TrialDate</f>
        <v/>
      </c>
      <c r="L60" s="285" t="str">
        <f>IF(AND(Started!AQ5=1,Started!AM5=0),"Started","")</f>
        <v/>
      </c>
      <c r="M60" s="285" t="str">
        <f>IF(AND(Started!I5="Pass",Started!Q5="Pass",Started!Y5="Pass",Started!AQ5=1,Started!AM5=0),"SP","")</f>
        <v/>
      </c>
      <c r="N60" t="str">
        <f>Started!AD5</f>
        <v/>
      </c>
      <c r="O60" t="e">
        <f>IF(Table3[[#This Row],[First Title]]="Started", (Table3[[#This Row],[Score]]+0)*2,Table3[[#This Row],[Score]]+0)</f>
        <v>#VALUE!</v>
      </c>
      <c r="P60" s="2" t="e">
        <f>IF(Table3[[#This Row],[Helper]]&gt;191,"Gold",IF(Table3[[#This Row],[Helper]]&gt;171,"Silver",IF(Table3[[#This Row],[Helper]]&gt;141,"Bronze","")))</f>
        <v>#VALUE!</v>
      </c>
    </row>
    <row r="61" spans="9:16" x14ac:dyDescent="0.25">
      <c r="I61" s="285">
        <f>Started!C6</f>
        <v>0</v>
      </c>
      <c r="J61" s="286" t="str">
        <f>Started!D6</f>
        <v/>
      </c>
      <c r="K61" s="287" t="str">
        <f t="shared" si="3"/>
        <v/>
      </c>
      <c r="L61" s="285" t="str">
        <f>IF(AND(Started!AQ6=1,Started!AM6=0),"Started","")</f>
        <v/>
      </c>
      <c r="M61" s="285" t="str">
        <f>IF(AND(Started!I6="Pass",Started!Q6="Pass",Started!Y6="Pass",Started!AQ6=1,Started!AM6=0),"SP","")</f>
        <v/>
      </c>
      <c r="N61" t="str">
        <f>Started!AD6</f>
        <v/>
      </c>
      <c r="O61" t="e">
        <f>IF(Table3[[#This Row],[First Title]]="Started", (Table3[[#This Row],[Score]]+0)*2,Table3[[#This Row],[Score]]+0)</f>
        <v>#VALUE!</v>
      </c>
      <c r="P61" s="2" t="e">
        <f>IF(Table3[[#This Row],[Helper]]&gt;191,"Gold",IF(Table3[[#This Row],[Helper]]&gt;171,"Silver",IF(Table3[[#This Row],[Helper]]&gt;141,"Bronze","")))</f>
        <v>#VALUE!</v>
      </c>
    </row>
    <row r="62" spans="9:16" x14ac:dyDescent="0.25">
      <c r="I62" s="285">
        <f>Started!C7</f>
        <v>0</v>
      </c>
      <c r="J62" s="286" t="str">
        <f>Started!D7</f>
        <v/>
      </c>
      <c r="K62" s="287" t="str">
        <f t="shared" si="3"/>
        <v/>
      </c>
      <c r="L62" s="285" t="str">
        <f>IF(AND(Started!AQ7=1,Started!AM7=0),"Started","")</f>
        <v/>
      </c>
      <c r="M62" s="285" t="str">
        <f>IF(AND(Started!I7="Pass",Started!Q7="Pass",Started!Y7="Pass",Started!AQ7=1,Started!AM7=0),"SP","")</f>
        <v/>
      </c>
      <c r="N62" t="str">
        <f>Started!AD7</f>
        <v/>
      </c>
      <c r="O62" t="e">
        <f>IF(Table3[[#This Row],[First Title]]="Started", (Table3[[#This Row],[Score]]+0)*2,Table3[[#This Row],[Score]]+0)</f>
        <v>#VALUE!</v>
      </c>
      <c r="P62" s="2" t="e">
        <f>IF(Table3[[#This Row],[Helper]]&gt;191,"Gold",IF(Table3[[#This Row],[Helper]]&gt;171,"Silver",IF(Table3[[#This Row],[Helper]]&gt;141,"Bronze","")))</f>
        <v>#VALUE!</v>
      </c>
    </row>
    <row r="63" spans="9:16" x14ac:dyDescent="0.25">
      <c r="I63" s="285">
        <f>Started!C8</f>
        <v>0</v>
      </c>
      <c r="J63" s="286" t="str">
        <f>Started!D8</f>
        <v/>
      </c>
      <c r="K63" s="287" t="str">
        <f t="shared" si="3"/>
        <v/>
      </c>
      <c r="L63" s="285" t="str">
        <f>IF(AND(Started!AQ8=1,Started!AM8=0),"Started","")</f>
        <v/>
      </c>
      <c r="M63" s="285" t="str">
        <f>IF(AND(Started!I8="Pass",Started!Q8="Pass",Started!Y8="Pass",Started!AQ8=1,Started!AM8=0),"SP","")</f>
        <v/>
      </c>
      <c r="N63" t="str">
        <f>Started!AD8</f>
        <v/>
      </c>
      <c r="O63" t="e">
        <f>IF(Table3[[#This Row],[First Title]]="Started", (Table3[[#This Row],[Score]]+0)*2,Table3[[#This Row],[Score]]+0)</f>
        <v>#VALUE!</v>
      </c>
      <c r="P63" s="2" t="e">
        <f>IF(Table3[[#This Row],[Helper]]&gt;191,"Gold",IF(Table3[[#This Row],[Helper]]&gt;171,"Silver",IF(Table3[[#This Row],[Helper]]&gt;141,"Bronze","")))</f>
        <v>#VALUE!</v>
      </c>
    </row>
    <row r="64" spans="9:16" x14ac:dyDescent="0.25">
      <c r="I64" s="285">
        <f>Started!C9</f>
        <v>0</v>
      </c>
      <c r="J64" s="286" t="str">
        <f>Started!D9</f>
        <v/>
      </c>
      <c r="K64" s="287" t="str">
        <f t="shared" si="3"/>
        <v/>
      </c>
      <c r="L64" s="285" t="str">
        <f>IF(AND(Started!AQ9=1,Started!AM9=0),"Started","")</f>
        <v/>
      </c>
      <c r="M64" s="285" t="str">
        <f>IF(AND(Started!I9="Pass",Started!Q9="Pass",Started!Y9="Pass",Started!AQ9=1,Started!AM9=0),"SP","")</f>
        <v/>
      </c>
      <c r="N64" t="str">
        <f>Started!AD9</f>
        <v/>
      </c>
      <c r="O64" t="e">
        <f>IF(Table3[[#This Row],[First Title]]="Started", (Table3[[#This Row],[Score]]+0)*2,Table3[[#This Row],[Score]]+0)</f>
        <v>#VALUE!</v>
      </c>
      <c r="P64" s="2" t="e">
        <f>IF(Table3[[#This Row],[Helper]]&gt;191,"Gold",IF(Table3[[#This Row],[Helper]]&gt;171,"Silver",IF(Table3[[#This Row],[Helper]]&gt;141,"Bronze","")))</f>
        <v>#VALUE!</v>
      </c>
    </row>
    <row r="65" spans="9:16" x14ac:dyDescent="0.25">
      <c r="I65" s="285">
        <f>Started!C10</f>
        <v>0</v>
      </c>
      <c r="J65" s="286" t="str">
        <f>Started!D10</f>
        <v/>
      </c>
      <c r="K65" s="287" t="str">
        <f t="shared" si="3"/>
        <v/>
      </c>
      <c r="L65" s="285" t="str">
        <f>IF(AND(Started!AQ10=1,Started!AM10=0),"Started","")</f>
        <v/>
      </c>
      <c r="M65" s="285" t="str">
        <f>IF(AND(Started!I10="Pass",Started!Q10="Pass",Started!Y10="Pass",Started!AQ10=1,Started!AM10=0),"SP","")</f>
        <v/>
      </c>
      <c r="N65" t="str">
        <f>Started!AD10</f>
        <v/>
      </c>
      <c r="O65" t="e">
        <f>IF(Table3[[#This Row],[First Title]]="Started", (Table3[[#This Row],[Score]]+0)*2,Table3[[#This Row],[Score]]+0)</f>
        <v>#VALUE!</v>
      </c>
      <c r="P65" s="2" t="e">
        <f>IF(Table3[[#This Row],[Helper]]&gt;191,"Gold",IF(Table3[[#This Row],[Helper]]&gt;171,"Silver",IF(Table3[[#This Row],[Helper]]&gt;141,"Bronze","")))</f>
        <v>#VALUE!</v>
      </c>
    </row>
    <row r="66" spans="9:16" x14ac:dyDescent="0.25">
      <c r="I66" s="285">
        <f>Started!C11</f>
        <v>0</v>
      </c>
      <c r="J66" s="286" t="str">
        <f>Started!D11</f>
        <v/>
      </c>
      <c r="K66" s="287" t="str">
        <f t="shared" si="3"/>
        <v/>
      </c>
      <c r="L66" s="285" t="str">
        <f>IF(AND(Started!AQ11=1,Started!AM11=0),"Started","")</f>
        <v/>
      </c>
      <c r="M66" s="285" t="str">
        <f>IF(AND(Started!I11="Pass",Started!Q11="Pass",Started!Y11="Pass",Started!AQ11=1,Started!AM11=0),"SP","")</f>
        <v/>
      </c>
      <c r="N66" t="str">
        <f>Started!AD11</f>
        <v/>
      </c>
      <c r="O66" t="e">
        <f>IF(Table3[[#This Row],[First Title]]="Started", (Table3[[#This Row],[Score]]+0)*2,Table3[[#This Row],[Score]]+0)</f>
        <v>#VALUE!</v>
      </c>
      <c r="P66" s="2" t="e">
        <f>IF(Table3[[#This Row],[Helper]]&gt;191,"Gold",IF(Table3[[#This Row],[Helper]]&gt;171,"Silver",IF(Table3[[#This Row],[Helper]]&gt;141,"Bronze","")))</f>
        <v>#VALUE!</v>
      </c>
    </row>
    <row r="67" spans="9:16" x14ac:dyDescent="0.25">
      <c r="I67" s="285">
        <f>Started!C12</f>
        <v>0</v>
      </c>
      <c r="J67" s="286" t="str">
        <f>Started!D12</f>
        <v/>
      </c>
      <c r="K67" s="287" t="str">
        <f t="shared" si="3"/>
        <v/>
      </c>
      <c r="L67" s="285" t="str">
        <f>IF(AND(Started!AQ12=1,Started!AM12=0),"Started","")</f>
        <v/>
      </c>
      <c r="M67" s="285" t="str">
        <f>IF(AND(Started!I12="Pass",Started!Q12="Pass",Started!Y12="Pass",Started!AQ12=1,Started!AM12=0),"SP","")</f>
        <v/>
      </c>
      <c r="N67" t="str">
        <f>Started!AD12</f>
        <v/>
      </c>
      <c r="O67" t="e">
        <f>IF(Table3[[#This Row],[First Title]]="Started", (Table3[[#This Row],[Score]]+0)*2,Table3[[#This Row],[Score]]+0)</f>
        <v>#VALUE!</v>
      </c>
      <c r="P67" s="2" t="e">
        <f>IF(Table3[[#This Row],[Helper]]&gt;191,"Gold",IF(Table3[[#This Row],[Helper]]&gt;171,"Silver",IF(Table3[[#This Row],[Helper]]&gt;141,"Bronze","")))</f>
        <v>#VALUE!</v>
      </c>
    </row>
    <row r="68" spans="9:16" x14ac:dyDescent="0.25">
      <c r="I68" s="285">
        <f>Started!C13</f>
        <v>0</v>
      </c>
      <c r="J68" s="286" t="str">
        <f>Started!D13</f>
        <v/>
      </c>
      <c r="K68" s="287" t="str">
        <f t="shared" si="3"/>
        <v/>
      </c>
      <c r="L68" s="285" t="str">
        <f>IF(AND(Started!AQ13=1,Started!AM13=0),"Started","")</f>
        <v/>
      </c>
      <c r="M68" s="285" t="str">
        <f>IF(AND(Started!I13="Pass",Started!Q13="Pass",Started!Y13="Pass",Started!AQ13=1,Started!AM13=0),"SP","")</f>
        <v/>
      </c>
      <c r="N68" t="str">
        <f>Started!AD13</f>
        <v/>
      </c>
      <c r="O68" t="e">
        <f>IF(Table3[[#This Row],[First Title]]="Started", (Table3[[#This Row],[Score]]+0)*2,Table3[[#This Row],[Score]]+0)</f>
        <v>#VALUE!</v>
      </c>
      <c r="P68" s="2" t="e">
        <f>IF(Table3[[#This Row],[Helper]]&gt;191,"Gold",IF(Table3[[#This Row],[Helper]]&gt;171,"Silver",IF(Table3[[#This Row],[Helper]]&gt;141,"Bronze","")))</f>
        <v>#VALUE!</v>
      </c>
    </row>
    <row r="69" spans="9:16" x14ac:dyDescent="0.25">
      <c r="I69" s="285">
        <f>Started!C14</f>
        <v>0</v>
      </c>
      <c r="J69" s="286" t="str">
        <f>Started!D14</f>
        <v/>
      </c>
      <c r="K69" s="287" t="str">
        <f t="shared" si="3"/>
        <v/>
      </c>
      <c r="L69" s="285" t="str">
        <f>IF(AND(Started!AQ14=1,Started!AM14=0),"Started","")</f>
        <v/>
      </c>
      <c r="M69" s="285" t="str">
        <f>IF(AND(Started!I14="Pass",Started!Q14="Pass",Started!Y14="Pass",Started!AQ14=1,Started!AM14=0),"SP","")</f>
        <v/>
      </c>
      <c r="N69" t="str">
        <f>Started!AD14</f>
        <v/>
      </c>
      <c r="O69" t="e">
        <f>IF(Table3[[#This Row],[First Title]]="Started", (Table3[[#This Row],[Score]]+0)*2,Table3[[#This Row],[Score]]+0)</f>
        <v>#VALUE!</v>
      </c>
      <c r="P69" s="2" t="e">
        <f>IF(Table3[[#This Row],[Helper]]&gt;191,"Gold",IF(Table3[[#This Row],[Helper]]&gt;171,"Silver",IF(Table3[[#This Row],[Helper]]&gt;141,"Bronze","")))</f>
        <v>#VALUE!</v>
      </c>
    </row>
    <row r="70" spans="9:16" x14ac:dyDescent="0.25">
      <c r="I70" s="285">
        <f>Started!C15</f>
        <v>0</v>
      </c>
      <c r="J70" s="286" t="str">
        <f>Started!D15</f>
        <v/>
      </c>
      <c r="K70" s="287" t="str">
        <f t="shared" si="3"/>
        <v/>
      </c>
      <c r="L70" s="285" t="str">
        <f>IF(AND(Started!AQ15=1,Started!AM15=0),"Started","")</f>
        <v/>
      </c>
      <c r="M70" s="285" t="str">
        <f>IF(AND(Started!I15="Pass",Started!Q15="Pass",Started!Y15="Pass",Started!AQ15=1,Started!AM15=0),"SP","")</f>
        <v/>
      </c>
      <c r="N70" t="str">
        <f>Started!AD15</f>
        <v/>
      </c>
      <c r="O70" t="e">
        <f>IF(Table3[[#This Row],[First Title]]="Started", (Table3[[#This Row],[Score]]+0)*2,Table3[[#This Row],[Score]]+0)</f>
        <v>#VALUE!</v>
      </c>
      <c r="P70" s="2" t="e">
        <f>IF(Table3[[#This Row],[Helper]]&gt;191,"Gold",IF(Table3[[#This Row],[Helper]]&gt;171,"Silver",IF(Table3[[#This Row],[Helper]]&gt;141,"Bronze","")))</f>
        <v>#VALUE!</v>
      </c>
    </row>
    <row r="71" spans="9:16" x14ac:dyDescent="0.25">
      <c r="I71" s="285">
        <f>Started!C16</f>
        <v>0</v>
      </c>
      <c r="J71" s="286" t="str">
        <f>Started!D16</f>
        <v/>
      </c>
      <c r="K71" s="287" t="str">
        <f t="shared" si="3"/>
        <v/>
      </c>
      <c r="L71" s="285" t="str">
        <f>IF(AND(Started!AQ16=1,Started!AM16=0),"Started","")</f>
        <v/>
      </c>
      <c r="M71" s="285" t="str">
        <f>IF(AND(Started!I16="Pass",Started!Q16="Pass",Started!Y16="Pass",Started!AQ16=1,Started!AM16=0),"SP","")</f>
        <v/>
      </c>
      <c r="N71" t="str">
        <f>Started!AD16</f>
        <v/>
      </c>
      <c r="O71" t="e">
        <f>IF(Table3[[#This Row],[First Title]]="Started", (Table3[[#This Row],[Score]]+0)*2,Table3[[#This Row],[Score]]+0)</f>
        <v>#VALUE!</v>
      </c>
      <c r="P71" s="2" t="e">
        <f>IF(Table3[[#This Row],[Helper]]&gt;191,"Gold",IF(Table3[[#This Row],[Helper]]&gt;171,"Silver",IF(Table3[[#This Row],[Helper]]&gt;141,"Bronze","")))</f>
        <v>#VALUE!</v>
      </c>
    </row>
    <row r="72" spans="9:16" x14ac:dyDescent="0.25">
      <c r="I72" s="285">
        <f>Started!C17</f>
        <v>0</v>
      </c>
      <c r="J72" s="286" t="str">
        <f>Started!D17</f>
        <v/>
      </c>
      <c r="K72" s="287" t="str">
        <f t="shared" si="3"/>
        <v/>
      </c>
      <c r="L72" s="285" t="str">
        <f>IF(AND(Started!AQ17=1,Started!AM17=0),"Started","")</f>
        <v/>
      </c>
      <c r="M72" s="285" t="str">
        <f>IF(AND(Started!I17="Pass",Started!Q17="Pass",Started!Y17="Pass",Started!AQ17=1,Started!AM17=0),"SP","")</f>
        <v/>
      </c>
      <c r="N72" t="str">
        <f>Started!AD17</f>
        <v/>
      </c>
      <c r="O72" t="e">
        <f>IF(Table3[[#This Row],[First Title]]="Started", (Table3[[#This Row],[Score]]+0)*2,Table3[[#This Row],[Score]]+0)</f>
        <v>#VALUE!</v>
      </c>
      <c r="P72" s="2" t="e">
        <f>IF(Table3[[#This Row],[Helper]]&gt;191,"Gold",IF(Table3[[#This Row],[Helper]]&gt;171,"Silver",IF(Table3[[#This Row],[Helper]]&gt;141,"Bronze","")))</f>
        <v>#VALUE!</v>
      </c>
    </row>
    <row r="73" spans="9:16" x14ac:dyDescent="0.25">
      <c r="I73" s="285">
        <f>Started!C18</f>
        <v>0</v>
      </c>
      <c r="J73" s="286" t="str">
        <f>Started!D18</f>
        <v/>
      </c>
      <c r="K73" s="287" t="str">
        <f t="shared" si="3"/>
        <v/>
      </c>
      <c r="L73" s="285" t="str">
        <f>IF(AND(Started!AQ18=1,Started!AM18=0),"Started","")</f>
        <v/>
      </c>
      <c r="M73" s="285" t="str">
        <f>IF(AND(Started!I18="Pass",Started!Q18="Pass",Started!Y18="Pass",Started!AQ18=1,Started!AM18=0),"SP","")</f>
        <v/>
      </c>
      <c r="N73" t="str">
        <f>Started!AD18</f>
        <v/>
      </c>
      <c r="O73" t="e">
        <f>IF(Table3[[#This Row],[First Title]]="Started", (Table3[[#This Row],[Score]]+0)*2,Table3[[#This Row],[Score]]+0)</f>
        <v>#VALUE!</v>
      </c>
      <c r="P73" s="2" t="e">
        <f>IF(Table3[[#This Row],[Helper]]&gt;191,"Gold",IF(Table3[[#This Row],[Helper]]&gt;171,"Silver",IF(Table3[[#This Row],[Helper]]&gt;141,"Bronze","")))</f>
        <v>#VALUE!</v>
      </c>
    </row>
    <row r="74" spans="9:16" x14ac:dyDescent="0.25">
      <c r="I74" s="285">
        <f>Started!C19</f>
        <v>0</v>
      </c>
      <c r="J74" s="286" t="str">
        <f>Started!D19</f>
        <v/>
      </c>
      <c r="K74" s="287" t="str">
        <f t="shared" si="3"/>
        <v/>
      </c>
      <c r="L74" s="285" t="str">
        <f>IF(AND(Started!AQ19=1,Started!AM19=0),"Started","")</f>
        <v/>
      </c>
      <c r="M74" s="285" t="str">
        <f>IF(AND(Started!I19="Pass",Started!Q19="Pass",Started!Y19="Pass",Started!AQ19=1,Started!AM19=0),"SP","")</f>
        <v/>
      </c>
      <c r="N74" t="str">
        <f>Started!AD19</f>
        <v/>
      </c>
      <c r="O74" t="e">
        <f>IF(Table3[[#This Row],[First Title]]="Started", (Table3[[#This Row],[Score]]+0)*2,Table3[[#This Row],[Score]]+0)</f>
        <v>#VALUE!</v>
      </c>
      <c r="P74" s="2" t="e">
        <f>IF(Table3[[#This Row],[Helper]]&gt;191,"Gold",IF(Table3[[#This Row],[Helper]]&gt;171,"Silver",IF(Table3[[#This Row],[Helper]]&gt;141,"Bronze","")))</f>
        <v>#VALUE!</v>
      </c>
    </row>
    <row r="75" spans="9:16" x14ac:dyDescent="0.25">
      <c r="I75" s="285">
        <f>Started!C20</f>
        <v>0</v>
      </c>
      <c r="J75" s="286" t="str">
        <f>Started!D20</f>
        <v/>
      </c>
      <c r="K75" s="287" t="str">
        <f t="shared" si="3"/>
        <v/>
      </c>
      <c r="L75" s="285" t="str">
        <f>IF(AND(Started!AQ20=1,Started!AM20=0),"Started","")</f>
        <v/>
      </c>
      <c r="M75" s="285" t="str">
        <f>IF(AND(Started!I20="Pass",Started!Q20="Pass",Started!Y20="Pass",Started!AQ20=1,Started!AM20=0),"SP","")</f>
        <v/>
      </c>
      <c r="N75" t="str">
        <f>Started!AD20</f>
        <v/>
      </c>
      <c r="O75" t="e">
        <f>IF(Table3[[#This Row],[First Title]]="Started", (Table3[[#This Row],[Score]]+0)*2,Table3[[#This Row],[Score]]+0)</f>
        <v>#VALUE!</v>
      </c>
      <c r="P75" s="2" t="e">
        <f>IF(Table3[[#This Row],[Helper]]&gt;191,"Gold",IF(Table3[[#This Row],[Helper]]&gt;171,"Silver",IF(Table3[[#This Row],[Helper]]&gt;141,"Bronze","")))</f>
        <v>#VALUE!</v>
      </c>
    </row>
    <row r="76" spans="9:16" x14ac:dyDescent="0.25">
      <c r="I76" s="285">
        <f>Started!C21</f>
        <v>0</v>
      </c>
      <c r="J76" s="286" t="str">
        <f>Started!D21</f>
        <v/>
      </c>
      <c r="K76" s="287" t="str">
        <f t="shared" si="3"/>
        <v/>
      </c>
      <c r="L76" s="285" t="str">
        <f>IF(AND(Started!AQ21=1,Started!AM21=0),"Started","")</f>
        <v/>
      </c>
      <c r="M76" s="285" t="str">
        <f>IF(AND(Started!I21="Pass",Started!Q21="Pass",Started!Y21="Pass",Started!AQ21=1,Started!AM21=0),"SP","")</f>
        <v/>
      </c>
      <c r="N76" t="str">
        <f>Started!AD21</f>
        <v/>
      </c>
      <c r="O76" t="e">
        <f>IF(Table3[[#This Row],[First Title]]="Started", (Table3[[#This Row],[Score]]+0)*2,Table3[[#This Row],[Score]]+0)</f>
        <v>#VALUE!</v>
      </c>
      <c r="P76" s="2" t="e">
        <f>IF(Table3[[#This Row],[Helper]]&gt;191,"Gold",IF(Table3[[#This Row],[Helper]]&gt;171,"Silver",IF(Table3[[#This Row],[Helper]]&gt;141,"Bronze","")))</f>
        <v>#VALUE!</v>
      </c>
    </row>
    <row r="77" spans="9:16" x14ac:dyDescent="0.25">
      <c r="I77" s="285">
        <f>Started!C22</f>
        <v>0</v>
      </c>
      <c r="J77" s="286" t="str">
        <f>Started!D22</f>
        <v/>
      </c>
      <c r="K77" s="287" t="str">
        <f t="shared" si="3"/>
        <v/>
      </c>
      <c r="L77" s="285" t="str">
        <f>IF(AND(Started!AQ22=1,Started!AM22=0),"Started","")</f>
        <v/>
      </c>
      <c r="M77" s="285" t="str">
        <f>IF(AND(Started!I22="Pass",Started!Q22="Pass",Started!Y22="Pass",Started!AQ22=1,Started!AM22=0),"SP","")</f>
        <v/>
      </c>
      <c r="N77" t="str">
        <f>Started!AD22</f>
        <v/>
      </c>
      <c r="O77" t="e">
        <f>IF(Table3[[#This Row],[First Title]]="Started", (Table3[[#This Row],[Score]]+0)*2,Table3[[#This Row],[Score]]+0)</f>
        <v>#VALUE!</v>
      </c>
      <c r="P77" s="2" t="e">
        <f>IF(Table3[[#This Row],[Helper]]&gt;191,"Gold",IF(Table3[[#This Row],[Helper]]&gt;171,"Silver",IF(Table3[[#This Row],[Helper]]&gt;141,"Bronze","")))</f>
        <v>#VALUE!</v>
      </c>
    </row>
    <row r="78" spans="9:16" x14ac:dyDescent="0.25">
      <c r="I78" s="285">
        <f>Started!C23</f>
        <v>0</v>
      </c>
      <c r="J78" s="286" t="str">
        <f>Started!D23</f>
        <v/>
      </c>
      <c r="K78" s="287" t="str">
        <f t="shared" si="3"/>
        <v/>
      </c>
      <c r="L78" s="285" t="str">
        <f>IF(AND(Started!AQ23=1,Started!AM23=0),"Started","")</f>
        <v/>
      </c>
      <c r="M78" s="285" t="str">
        <f>IF(AND(Started!I23="Pass",Started!Q23="Pass",Started!Y23="Pass",Started!AQ23=1,Started!AM23=0),"SP","")</f>
        <v/>
      </c>
      <c r="N78" t="str">
        <f>Started!AD23</f>
        <v/>
      </c>
      <c r="O78" t="e">
        <f>IF(Table3[[#This Row],[First Title]]="Started", (Table3[[#This Row],[Score]]+0)*2,Table3[[#This Row],[Score]]+0)</f>
        <v>#VALUE!</v>
      </c>
      <c r="P78" s="2" t="e">
        <f>IF(Table3[[#This Row],[Helper]]&gt;191,"Gold",IF(Table3[[#This Row],[Helper]]&gt;171,"Silver",IF(Table3[[#This Row],[Helper]]&gt;141,"Bronze","")))</f>
        <v>#VALUE!</v>
      </c>
    </row>
    <row r="79" spans="9:16" x14ac:dyDescent="0.25">
      <c r="I79" s="285">
        <f>Started!C24</f>
        <v>0</v>
      </c>
      <c r="J79" s="286" t="str">
        <f>Started!D24</f>
        <v/>
      </c>
      <c r="K79" s="287" t="str">
        <f t="shared" si="3"/>
        <v/>
      </c>
      <c r="L79" s="285" t="str">
        <f>IF(AND(Started!AQ24=1,Started!AM24=0),"Started","")</f>
        <v/>
      </c>
      <c r="M79" s="285" t="str">
        <f>IF(AND(Started!I24="Pass",Started!Q24="Pass",Started!Y24="Pass",Started!AQ24=1,Started!AM24=0),"SP","")</f>
        <v/>
      </c>
      <c r="N79" t="str">
        <f>Started!AD24</f>
        <v/>
      </c>
      <c r="O79" t="e">
        <f>IF(Table3[[#This Row],[First Title]]="Started", (Table3[[#This Row],[Score]]+0)*2,Table3[[#This Row],[Score]]+0)</f>
        <v>#VALUE!</v>
      </c>
      <c r="P79" s="2" t="e">
        <f>IF(Table3[[#This Row],[Helper]]&gt;191,"Gold",IF(Table3[[#This Row],[Helper]]&gt;171,"Silver",IF(Table3[[#This Row],[Helper]]&gt;141,"Bronze","")))</f>
        <v>#VALUE!</v>
      </c>
    </row>
    <row r="80" spans="9:16" x14ac:dyDescent="0.25">
      <c r="I80" s="285">
        <f>Started!C25</f>
        <v>0</v>
      </c>
      <c r="J80" s="286" t="str">
        <f>Started!D25</f>
        <v/>
      </c>
      <c r="K80" s="287" t="str">
        <f t="shared" si="3"/>
        <v/>
      </c>
      <c r="L80" s="285" t="str">
        <f>IF(AND(Started!AQ25=1,Started!AM25=0),"Started","")</f>
        <v/>
      </c>
      <c r="M80" s="285" t="str">
        <f>IF(AND(Started!I25="Pass",Started!Q25="Pass",Started!Y25="Pass",Started!AQ25=1,Started!AM25=0),"SP","")</f>
        <v/>
      </c>
      <c r="N80" t="str">
        <f>Started!AD25</f>
        <v/>
      </c>
      <c r="O80" t="e">
        <f>IF(Table3[[#This Row],[First Title]]="Started", (Table3[[#This Row],[Score]]+0)*2,Table3[[#This Row],[Score]]+0)</f>
        <v>#VALUE!</v>
      </c>
      <c r="P80" s="2" t="e">
        <f>IF(Table3[[#This Row],[Helper]]&gt;191,"Gold",IF(Table3[[#This Row],[Helper]]&gt;171,"Silver",IF(Table3[[#This Row],[Helper]]&gt;141,"Bronze","")))</f>
        <v>#VALUE!</v>
      </c>
    </row>
    <row r="81" spans="9:16" x14ac:dyDescent="0.25">
      <c r="I81" s="285">
        <f>Started!C26</f>
        <v>0</v>
      </c>
      <c r="J81" s="286" t="str">
        <f>Started!D26</f>
        <v/>
      </c>
      <c r="K81" s="287" t="str">
        <f t="shared" si="3"/>
        <v/>
      </c>
      <c r="L81" s="285" t="str">
        <f>IF(AND(Started!AQ26=1,Started!AM26=0),"Started","")</f>
        <v/>
      </c>
      <c r="M81" s="285" t="str">
        <f>IF(AND(Started!I26="Pass",Started!Q26="Pass",Started!Y26="Pass",Started!AQ26=1,Started!AM26=0),"SP","")</f>
        <v/>
      </c>
      <c r="N81" t="str">
        <f>Started!AD26</f>
        <v/>
      </c>
      <c r="O81" t="e">
        <f>IF(Table3[[#This Row],[First Title]]="Started", (Table3[[#This Row],[Score]]+0)*2,Table3[[#This Row],[Score]]+0)</f>
        <v>#VALUE!</v>
      </c>
      <c r="P81" s="2" t="e">
        <f>IF(Table3[[#This Row],[Helper]]&gt;191,"Gold",IF(Table3[[#This Row],[Helper]]&gt;171,"Silver",IF(Table3[[#This Row],[Helper]]&gt;141,"Bronze","")))</f>
        <v>#VALUE!</v>
      </c>
    </row>
    <row r="82" spans="9:16" x14ac:dyDescent="0.25">
      <c r="I82" s="285">
        <f>Started!C27</f>
        <v>0</v>
      </c>
      <c r="J82" s="286" t="str">
        <f>Started!D27</f>
        <v/>
      </c>
      <c r="K82" s="287" t="str">
        <f t="shared" si="3"/>
        <v/>
      </c>
      <c r="L82" s="285" t="str">
        <f>IF(AND(Started!AQ27=1,Started!AM27=0),"Started","")</f>
        <v/>
      </c>
      <c r="M82" s="285" t="str">
        <f>IF(AND(Started!I27="Pass",Started!Q27="Pass",Started!Y27="Pass",Started!AQ27=1,Started!AM27=0),"SP","")</f>
        <v/>
      </c>
      <c r="N82" t="str">
        <f>Started!AD27</f>
        <v/>
      </c>
      <c r="O82" t="e">
        <f>IF(Table3[[#This Row],[First Title]]="Started", (Table3[[#This Row],[Score]]+0)*2,Table3[[#This Row],[Score]]+0)</f>
        <v>#VALUE!</v>
      </c>
      <c r="P82" s="2" t="e">
        <f>IF(Table3[[#This Row],[Helper]]&gt;191,"Gold",IF(Table3[[#This Row],[Helper]]&gt;171,"Silver",IF(Table3[[#This Row],[Helper]]&gt;141,"Bronze","")))</f>
        <v>#VALUE!</v>
      </c>
    </row>
    <row r="83" spans="9:16" x14ac:dyDescent="0.25">
      <c r="I83" s="285">
        <f>Started!C28</f>
        <v>0</v>
      </c>
      <c r="J83" s="286" t="str">
        <f>Started!D28</f>
        <v/>
      </c>
      <c r="K83" s="287" t="str">
        <f t="shared" si="3"/>
        <v/>
      </c>
      <c r="L83" s="285" t="str">
        <f>IF(AND(Started!AQ28=1,Started!AM28=0),"Started","")</f>
        <v/>
      </c>
      <c r="M83" s="285" t="str">
        <f>IF(AND(Started!I28="Pass",Started!Q28="Pass",Started!Y28="Pass",Started!AQ28=1,Started!AM28=0),"SP","")</f>
        <v/>
      </c>
      <c r="N83" t="str">
        <f>Started!AD28</f>
        <v/>
      </c>
      <c r="O83" t="e">
        <f>IF(Table3[[#This Row],[First Title]]="Started", (Table3[[#This Row],[Score]]+0)*2,Table3[[#This Row],[Score]]+0)</f>
        <v>#VALUE!</v>
      </c>
      <c r="P83" s="2" t="e">
        <f>IF(Table3[[#This Row],[Helper]]&gt;191,"Gold",IF(Table3[[#This Row],[Helper]]&gt;171,"Silver",IF(Table3[[#This Row],[Helper]]&gt;141,"Bronze","")))</f>
        <v>#VALUE!</v>
      </c>
    </row>
    <row r="84" spans="9:16" x14ac:dyDescent="0.25">
      <c r="I84" s="285">
        <f>Started!C29</f>
        <v>0</v>
      </c>
      <c r="J84" s="286" t="str">
        <f>Started!D29</f>
        <v/>
      </c>
      <c r="K84" s="287" t="str">
        <f t="shared" si="3"/>
        <v/>
      </c>
      <c r="L84" s="285" t="str">
        <f>IF(AND(Started!AQ29=1,Started!AM29=0),"Started","")</f>
        <v/>
      </c>
      <c r="M84" s="285" t="str">
        <f>IF(AND(Started!I29="Pass",Started!Q29="Pass",Started!Y29="Pass",Started!AQ29=1,Started!AM29=0),"SP","")</f>
        <v/>
      </c>
      <c r="N84" t="str">
        <f>Started!AD29</f>
        <v/>
      </c>
      <c r="O84" t="e">
        <f>IF(Table3[[#This Row],[First Title]]="Started", (Table3[[#This Row],[Score]]+0)*2,Table3[[#This Row],[Score]]+0)</f>
        <v>#VALUE!</v>
      </c>
      <c r="P84" s="2" t="e">
        <f>IF(Table3[[#This Row],[Helper]]&gt;191,"Gold",IF(Table3[[#This Row],[Helper]]&gt;171,"Silver",IF(Table3[[#This Row],[Helper]]&gt;141,"Bronze","")))</f>
        <v>#VALUE!</v>
      </c>
    </row>
    <row r="85" spans="9:16" x14ac:dyDescent="0.25">
      <c r="I85" s="285">
        <f>Started!C30</f>
        <v>0</v>
      </c>
      <c r="J85" s="286" t="str">
        <f>Started!D30</f>
        <v/>
      </c>
      <c r="K85" s="287" t="str">
        <f t="shared" si="3"/>
        <v/>
      </c>
      <c r="L85" s="285" t="str">
        <f>IF(AND(Started!AQ30=1,Started!AM30=0),"Started","")</f>
        <v/>
      </c>
      <c r="M85" s="285" t="str">
        <f>IF(AND(Started!I30="Pass",Started!Q30="Pass",Started!Y30="Pass",Started!AQ30=1,Started!AM30=0),"SP","")</f>
        <v/>
      </c>
      <c r="N85" t="str">
        <f>Started!AD30</f>
        <v/>
      </c>
      <c r="O85" t="e">
        <f>IF(Table3[[#This Row],[First Title]]="Started", (Table3[[#This Row],[Score]]+0)*2,Table3[[#This Row],[Score]]+0)</f>
        <v>#VALUE!</v>
      </c>
      <c r="P85" s="2" t="e">
        <f>IF(Table3[[#This Row],[Helper]]&gt;191,"Gold",IF(Table3[[#This Row],[Helper]]&gt;171,"Silver",IF(Table3[[#This Row],[Helper]]&gt;141,"Bronze","")))</f>
        <v>#VALUE!</v>
      </c>
    </row>
    <row r="86" spans="9:16" x14ac:dyDescent="0.25">
      <c r="I86" s="285">
        <f>Started!C31</f>
        <v>0</v>
      </c>
      <c r="J86" s="286" t="str">
        <f>Started!D31</f>
        <v/>
      </c>
      <c r="K86" s="287" t="str">
        <f t="shared" si="3"/>
        <v/>
      </c>
      <c r="L86" s="285" t="str">
        <f>IF(AND(Started!AQ31=1,Started!AM31=0),"Started","")</f>
        <v/>
      </c>
      <c r="M86" s="285" t="str">
        <f>IF(AND(Started!I31="Pass",Started!Q31="Pass",Started!Y31="Pass",Started!AQ31=1,Started!AM31=0),"SP","")</f>
        <v/>
      </c>
      <c r="N86" t="str">
        <f>Started!AD31</f>
        <v/>
      </c>
      <c r="O86" t="e">
        <f>IF(Table3[[#This Row],[First Title]]="Started", (Table3[[#This Row],[Score]]+0)*2,Table3[[#This Row],[Score]]+0)</f>
        <v>#VALUE!</v>
      </c>
      <c r="P86" s="2" t="e">
        <f>IF(Table3[[#This Row],[Helper]]&gt;191,"Gold",IF(Table3[[#This Row],[Helper]]&gt;171,"Silver",IF(Table3[[#This Row],[Helper]]&gt;141,"Bronze","")))</f>
        <v>#VALUE!</v>
      </c>
    </row>
    <row r="87" spans="9:16" x14ac:dyDescent="0.25">
      <c r="I87" s="285">
        <f>Started!C32</f>
        <v>0</v>
      </c>
      <c r="J87" s="286" t="str">
        <f>Started!D32</f>
        <v/>
      </c>
      <c r="K87" s="287" t="str">
        <f t="shared" si="3"/>
        <v/>
      </c>
      <c r="L87" s="285" t="str">
        <f>IF(AND(Started!AQ32=1,Started!AM32=0),"Started","")</f>
        <v/>
      </c>
      <c r="M87" s="285" t="str">
        <f>IF(AND(Started!I32="Pass",Started!Q32="Pass",Started!Y32="Pass",Started!AQ32=1,Started!AM32=0),"SP","")</f>
        <v/>
      </c>
      <c r="N87" t="str">
        <f>Started!AD32</f>
        <v/>
      </c>
      <c r="O87" t="e">
        <f>IF(Table3[[#This Row],[First Title]]="Started", (Table3[[#This Row],[Score]]+0)*2,Table3[[#This Row],[Score]]+0)</f>
        <v>#VALUE!</v>
      </c>
      <c r="P87" s="2" t="e">
        <f>IF(Table3[[#This Row],[Helper]]&gt;191,"Gold",IF(Table3[[#This Row],[Helper]]&gt;171,"Silver",IF(Table3[[#This Row],[Helper]]&gt;141,"Bronze","")))</f>
        <v>#VALUE!</v>
      </c>
    </row>
    <row r="88" spans="9:16" x14ac:dyDescent="0.25">
      <c r="I88" s="285">
        <f>Started!C33</f>
        <v>0</v>
      </c>
      <c r="J88" s="286" t="str">
        <f>Started!D33</f>
        <v/>
      </c>
      <c r="K88" s="287" t="str">
        <f t="shared" si="3"/>
        <v/>
      </c>
      <c r="L88" s="285" t="str">
        <f>IF(AND(Started!AQ33=1,Started!AM33=0),"Started","")</f>
        <v/>
      </c>
      <c r="M88" s="285" t="str">
        <f>IF(AND(Started!I33="Pass",Started!Q33="Pass",Started!Y33="Pass",Started!AQ33=1,Started!AM33=0),"SP","")</f>
        <v/>
      </c>
      <c r="N88" t="str">
        <f>Started!AD33</f>
        <v/>
      </c>
      <c r="O88" t="e">
        <f>IF(Table3[[#This Row],[First Title]]="Started", (Table3[[#This Row],[Score]]+0)*2,Table3[[#This Row],[Score]]+0)</f>
        <v>#VALUE!</v>
      </c>
      <c r="P88" s="2" t="e">
        <f>IF(Table3[[#This Row],[Helper]]&gt;191,"Gold",IF(Table3[[#This Row],[Helper]]&gt;171,"Silver",IF(Table3[[#This Row],[Helper]]&gt;141,"Bronze","")))</f>
        <v>#VALUE!</v>
      </c>
    </row>
    <row r="89" spans="9:16" x14ac:dyDescent="0.25">
      <c r="I89" s="285">
        <f>Started!C34</f>
        <v>0</v>
      </c>
      <c r="J89" s="286" t="str">
        <f>Started!D34</f>
        <v/>
      </c>
      <c r="K89" s="287" t="str">
        <f t="shared" si="3"/>
        <v/>
      </c>
      <c r="L89" s="285" t="str">
        <f>IF(AND(Started!AQ34=1,Started!AM34=0),"Started","")</f>
        <v/>
      </c>
      <c r="M89" s="285" t="str">
        <f>IF(AND(Started!I34="Pass",Started!Q34="Pass",Started!Y34="Pass",Started!AQ34=1,Started!AM34=0),"SP","")</f>
        <v/>
      </c>
      <c r="N89" t="str">
        <f>Started!AD34</f>
        <v/>
      </c>
      <c r="O89" t="e">
        <f>IF(Table3[[#This Row],[First Title]]="Started", (Table3[[#This Row],[Score]]+0)*2,Table3[[#This Row],[Score]]+0)</f>
        <v>#VALUE!</v>
      </c>
      <c r="P89" s="2" t="e">
        <f>IF(Table3[[#This Row],[Helper]]&gt;191,"Gold",IF(Table3[[#This Row],[Helper]]&gt;171,"Silver",IF(Table3[[#This Row],[Helper]]&gt;141,"Bronze","")))</f>
        <v>#VALUE!</v>
      </c>
    </row>
    <row r="90" spans="9:16" x14ac:dyDescent="0.25">
      <c r="I90" s="285">
        <f>Started!C45</f>
        <v>0</v>
      </c>
      <c r="J90" s="286" t="str">
        <f>Started!D45</f>
        <v/>
      </c>
      <c r="K90" s="287" t="str">
        <f t="shared" ref="K90:K119" si="4">TrialDateDay2</f>
        <v/>
      </c>
      <c r="L90" s="285" t="str">
        <f>IF(AND(Started!AQ45=1,Started!AM45=0),"Started","")</f>
        <v/>
      </c>
      <c r="M90" s="285" t="str">
        <f>IF(AND(Started!I45="Pass",Started!Q45="Pass",Started!Y45="Pass",Started!AQ45=1,Started!AM45=0),"SP","")</f>
        <v/>
      </c>
      <c r="N90" t="str">
        <f>Started!AD45</f>
        <v/>
      </c>
      <c r="O90" t="e">
        <f>IF(Table3[[#This Row],[First Title]]="Started", (Table3[[#This Row],[Score]]+0)*2,Table3[[#This Row],[Score]]+0)</f>
        <v>#VALUE!</v>
      </c>
      <c r="P90" s="2" t="e">
        <f>IF(Table3[[#This Row],[Helper]]&gt;191,"Gold",IF(Table3[[#This Row],[Helper]]&gt;171,"Silver",IF(Table3[[#This Row],[Helper]]&gt;141,"Bronze","")))</f>
        <v>#VALUE!</v>
      </c>
    </row>
    <row r="91" spans="9:16" x14ac:dyDescent="0.25">
      <c r="I91" s="285">
        <f>Started!C46</f>
        <v>0</v>
      </c>
      <c r="J91" s="286" t="str">
        <f>Started!D46</f>
        <v/>
      </c>
      <c r="K91" s="287" t="str">
        <f t="shared" si="4"/>
        <v/>
      </c>
      <c r="L91" s="285" t="str">
        <f>IF(AND(Started!AQ46=1,Started!AM46=0),"Started","")</f>
        <v/>
      </c>
      <c r="M91" s="285" t="str">
        <f>IF(AND(Started!I46="Pass",Started!Q46="Pass",Started!Y46="Pass",Started!AQ46=1,Started!AM46=0),"SP","")</f>
        <v/>
      </c>
      <c r="N91" t="str">
        <f>Started!AD46</f>
        <v/>
      </c>
      <c r="O91" t="e">
        <f>IF(Table3[[#This Row],[First Title]]="Started", (Table3[[#This Row],[Score]]+0)*2,Table3[[#This Row],[Score]]+0)</f>
        <v>#VALUE!</v>
      </c>
      <c r="P91" s="2" t="e">
        <f>IF(Table3[[#This Row],[Helper]]&gt;191,"Gold",IF(Table3[[#This Row],[Helper]]&gt;171,"Silver",IF(Table3[[#This Row],[Helper]]&gt;141,"Bronze","")))</f>
        <v>#VALUE!</v>
      </c>
    </row>
    <row r="92" spans="9:16" x14ac:dyDescent="0.25">
      <c r="I92" s="285">
        <f>Started!C47</f>
        <v>0</v>
      </c>
      <c r="J92" s="286" t="str">
        <f>Started!D47</f>
        <v/>
      </c>
      <c r="K92" s="287" t="str">
        <f t="shared" si="4"/>
        <v/>
      </c>
      <c r="L92" s="285" t="str">
        <f>IF(AND(Started!AQ47=1,Started!AM47=0),"Started","")</f>
        <v/>
      </c>
      <c r="M92" s="285" t="str">
        <f>IF(AND(Started!I47="Pass",Started!Q47="Pass",Started!Y47="Pass",Started!AQ47=1,Started!AM47=0),"SP","")</f>
        <v/>
      </c>
      <c r="N92" t="str">
        <f>Started!AD47</f>
        <v/>
      </c>
      <c r="O92" t="e">
        <f>IF(Table3[[#This Row],[First Title]]="Started", (Table3[[#This Row],[Score]]+0)*2,Table3[[#This Row],[Score]]+0)</f>
        <v>#VALUE!</v>
      </c>
      <c r="P92" s="2" t="e">
        <f>IF(Table3[[#This Row],[Helper]]&gt;191,"Gold",IF(Table3[[#This Row],[Helper]]&gt;171,"Silver",IF(Table3[[#This Row],[Helper]]&gt;141,"Bronze","")))</f>
        <v>#VALUE!</v>
      </c>
    </row>
    <row r="93" spans="9:16" x14ac:dyDescent="0.25">
      <c r="I93" s="285">
        <f>Started!C48</f>
        <v>0</v>
      </c>
      <c r="J93" s="286" t="str">
        <f>Started!D48</f>
        <v/>
      </c>
      <c r="K93" s="287" t="str">
        <f t="shared" si="4"/>
        <v/>
      </c>
      <c r="L93" s="285" t="str">
        <f>IF(AND(Started!AQ48=1,Started!AM48=0),"Started","")</f>
        <v/>
      </c>
      <c r="M93" s="285" t="str">
        <f>IF(AND(Started!I48="Pass",Started!Q48="Pass",Started!Y48="Pass",Started!AQ48=1,Started!AM48=0),"SP","")</f>
        <v/>
      </c>
      <c r="N93" t="str">
        <f>Started!AD48</f>
        <v/>
      </c>
      <c r="O93" t="e">
        <f>IF(Table3[[#This Row],[First Title]]="Started", (Table3[[#This Row],[Score]]+0)*2,Table3[[#This Row],[Score]]+0)</f>
        <v>#VALUE!</v>
      </c>
      <c r="P93" s="2" t="e">
        <f>IF(Table3[[#This Row],[Helper]]&gt;191,"Gold",IF(Table3[[#This Row],[Helper]]&gt;171,"Silver",IF(Table3[[#This Row],[Helper]]&gt;141,"Bronze","")))</f>
        <v>#VALUE!</v>
      </c>
    </row>
    <row r="94" spans="9:16" x14ac:dyDescent="0.25">
      <c r="I94" s="285">
        <f>Started!C49</f>
        <v>0</v>
      </c>
      <c r="J94" s="286" t="str">
        <f>Started!D49</f>
        <v/>
      </c>
      <c r="K94" s="287" t="str">
        <f t="shared" si="4"/>
        <v/>
      </c>
      <c r="L94" s="285" t="str">
        <f>IF(AND(Started!AQ49=1,Started!AM49=0),"Started","")</f>
        <v/>
      </c>
      <c r="M94" s="285" t="str">
        <f>IF(AND(Started!I49="Pass",Started!Q49="Pass",Started!Y49="Pass",Started!AQ49=1,Started!AM49=0),"SP","")</f>
        <v/>
      </c>
      <c r="N94" t="str">
        <f>Started!AD49</f>
        <v/>
      </c>
      <c r="O94" t="e">
        <f>IF(Table3[[#This Row],[First Title]]="Started", (Table3[[#This Row],[Score]]+0)*2,Table3[[#This Row],[Score]]+0)</f>
        <v>#VALUE!</v>
      </c>
      <c r="P94" s="2" t="e">
        <f>IF(Table3[[#This Row],[Helper]]&gt;191,"Gold",IF(Table3[[#This Row],[Helper]]&gt;171,"Silver",IF(Table3[[#This Row],[Helper]]&gt;141,"Bronze","")))</f>
        <v>#VALUE!</v>
      </c>
    </row>
    <row r="95" spans="9:16" x14ac:dyDescent="0.25">
      <c r="I95" s="285">
        <f>Started!C50</f>
        <v>0</v>
      </c>
      <c r="J95" s="286" t="str">
        <f>Started!D50</f>
        <v/>
      </c>
      <c r="K95" s="287" t="str">
        <f t="shared" si="4"/>
        <v/>
      </c>
      <c r="L95" s="285" t="str">
        <f>IF(AND(Started!AQ50=1,Started!AM50=0),"Started","")</f>
        <v/>
      </c>
      <c r="M95" s="285" t="str">
        <f>IF(AND(Started!I50="Pass",Started!Q50="Pass",Started!Y50="Pass",Started!AQ50=1,Started!AM50=0),"SP","")</f>
        <v/>
      </c>
      <c r="N95" t="str">
        <f>Started!AD50</f>
        <v/>
      </c>
      <c r="O95" t="e">
        <f>IF(Table3[[#This Row],[First Title]]="Started", (Table3[[#This Row],[Score]]+0)*2,Table3[[#This Row],[Score]]+0)</f>
        <v>#VALUE!</v>
      </c>
      <c r="P95" s="2" t="e">
        <f>IF(Table3[[#This Row],[Helper]]&gt;191,"Gold",IF(Table3[[#This Row],[Helper]]&gt;171,"Silver",IF(Table3[[#This Row],[Helper]]&gt;141,"Bronze","")))</f>
        <v>#VALUE!</v>
      </c>
    </row>
    <row r="96" spans="9:16" x14ac:dyDescent="0.25">
      <c r="I96" s="285">
        <f>Started!C51</f>
        <v>0</v>
      </c>
      <c r="J96" s="286" t="str">
        <f>Started!D51</f>
        <v/>
      </c>
      <c r="K96" s="287" t="str">
        <f t="shared" si="4"/>
        <v/>
      </c>
      <c r="L96" s="285" t="str">
        <f>IF(AND(Started!AQ51=1,Started!AM51=0),"Started","")</f>
        <v/>
      </c>
      <c r="M96" s="285" t="str">
        <f>IF(AND(Started!I51="Pass",Started!Q51="Pass",Started!Y51="Pass",Started!AQ51=1,Started!AM51=0),"SP","")</f>
        <v/>
      </c>
      <c r="N96" t="str">
        <f>Started!AD51</f>
        <v/>
      </c>
      <c r="O96" t="e">
        <f>IF(Table3[[#This Row],[First Title]]="Started", (Table3[[#This Row],[Score]]+0)*2,Table3[[#This Row],[Score]]+0)</f>
        <v>#VALUE!</v>
      </c>
      <c r="P96" s="2" t="e">
        <f>IF(Table3[[#This Row],[Helper]]&gt;191,"Gold",IF(Table3[[#This Row],[Helper]]&gt;171,"Silver",IF(Table3[[#This Row],[Helper]]&gt;141,"Bronze","")))</f>
        <v>#VALUE!</v>
      </c>
    </row>
    <row r="97" spans="9:16" x14ac:dyDescent="0.25">
      <c r="I97" s="285">
        <f>Started!C52</f>
        <v>0</v>
      </c>
      <c r="J97" s="286" t="str">
        <f>Started!D52</f>
        <v/>
      </c>
      <c r="K97" s="287" t="str">
        <f t="shared" si="4"/>
        <v/>
      </c>
      <c r="L97" s="285" t="str">
        <f>IF(AND(Started!AQ52=1,Started!AM52=0),"Started","")</f>
        <v/>
      </c>
      <c r="M97" s="285" t="str">
        <f>IF(AND(Started!I52="Pass",Started!Q52="Pass",Started!Y52="Pass",Started!AQ52=1,Started!AM52=0),"SP","")</f>
        <v/>
      </c>
      <c r="N97" t="str">
        <f>Started!AD52</f>
        <v/>
      </c>
      <c r="O97" t="e">
        <f>IF(Table3[[#This Row],[First Title]]="Started", (Table3[[#This Row],[Score]]+0)*2,Table3[[#This Row],[Score]]+0)</f>
        <v>#VALUE!</v>
      </c>
      <c r="P97" s="2" t="e">
        <f>IF(Table3[[#This Row],[Helper]]&gt;191,"Gold",IF(Table3[[#This Row],[Helper]]&gt;171,"Silver",IF(Table3[[#This Row],[Helper]]&gt;141,"Bronze","")))</f>
        <v>#VALUE!</v>
      </c>
    </row>
    <row r="98" spans="9:16" x14ac:dyDescent="0.25">
      <c r="I98" s="285">
        <f>Started!C53</f>
        <v>0</v>
      </c>
      <c r="J98" s="286" t="str">
        <f>Started!D53</f>
        <v/>
      </c>
      <c r="K98" s="287" t="str">
        <f t="shared" si="4"/>
        <v/>
      </c>
      <c r="L98" s="285" t="str">
        <f>IF(AND(Started!AQ53=1,Started!AM53=0),"Started","")</f>
        <v/>
      </c>
      <c r="M98" s="285" t="str">
        <f>IF(AND(Started!I53="Pass",Started!Q53="Pass",Started!Y53="Pass",Started!AQ53=1,Started!AM53=0),"SP","")</f>
        <v/>
      </c>
      <c r="N98" t="str">
        <f>Started!AD53</f>
        <v/>
      </c>
      <c r="O98" t="e">
        <f>IF(Table3[[#This Row],[First Title]]="Started", (Table3[[#This Row],[Score]]+0)*2,Table3[[#This Row],[Score]]+0)</f>
        <v>#VALUE!</v>
      </c>
      <c r="P98" s="2" t="e">
        <f>IF(Table3[[#This Row],[Helper]]&gt;191,"Gold",IF(Table3[[#This Row],[Helper]]&gt;171,"Silver",IF(Table3[[#This Row],[Helper]]&gt;141,"Bronze","")))</f>
        <v>#VALUE!</v>
      </c>
    </row>
    <row r="99" spans="9:16" x14ac:dyDescent="0.25">
      <c r="I99" s="285">
        <f>Started!C54</f>
        <v>0</v>
      </c>
      <c r="J99" s="286" t="str">
        <f>Started!D54</f>
        <v/>
      </c>
      <c r="K99" s="287" t="str">
        <f t="shared" si="4"/>
        <v/>
      </c>
      <c r="L99" s="285" t="str">
        <f>IF(AND(Started!AQ54=1,Started!AM54=0),"Started","")</f>
        <v/>
      </c>
      <c r="M99" s="285" t="str">
        <f>IF(AND(Started!I54="Pass",Started!Q54="Pass",Started!Y54="Pass",Started!AQ54=1,Started!AM54=0),"SP","")</f>
        <v/>
      </c>
      <c r="N99" t="str">
        <f>Started!AD54</f>
        <v/>
      </c>
      <c r="O99" t="e">
        <f>IF(Table3[[#This Row],[First Title]]="Started", (Table3[[#This Row],[Score]]+0)*2,Table3[[#This Row],[Score]]+0)</f>
        <v>#VALUE!</v>
      </c>
      <c r="P99" s="2" t="e">
        <f>IF(Table3[[#This Row],[Helper]]&gt;191,"Gold",IF(Table3[[#This Row],[Helper]]&gt;171,"Silver",IF(Table3[[#This Row],[Helper]]&gt;141,"Bronze","")))</f>
        <v>#VALUE!</v>
      </c>
    </row>
    <row r="100" spans="9:16" x14ac:dyDescent="0.25">
      <c r="I100" s="285">
        <f>Started!C55</f>
        <v>0</v>
      </c>
      <c r="J100" s="286" t="str">
        <f>Started!D55</f>
        <v/>
      </c>
      <c r="K100" s="287" t="str">
        <f t="shared" si="4"/>
        <v/>
      </c>
      <c r="L100" s="285" t="str">
        <f>IF(AND(Started!AQ55=1,Started!AM55=0),"Started","")</f>
        <v/>
      </c>
      <c r="M100" s="285" t="str">
        <f>IF(AND(Started!I55="Pass",Started!Q55="Pass",Started!Y55="Pass",Started!AQ55=1,Started!AM55=0),"SP","")</f>
        <v/>
      </c>
      <c r="N100" t="str">
        <f>Started!AD55</f>
        <v/>
      </c>
      <c r="O100" t="e">
        <f>IF(Table3[[#This Row],[First Title]]="Started", (Table3[[#This Row],[Score]]+0)*2,Table3[[#This Row],[Score]]+0)</f>
        <v>#VALUE!</v>
      </c>
      <c r="P100" s="2" t="e">
        <f>IF(Table3[[#This Row],[Helper]]&gt;191,"Gold",IF(Table3[[#This Row],[Helper]]&gt;171,"Silver",IF(Table3[[#This Row],[Helper]]&gt;141,"Bronze","")))</f>
        <v>#VALUE!</v>
      </c>
    </row>
    <row r="101" spans="9:16" x14ac:dyDescent="0.25">
      <c r="I101" s="285">
        <f>Started!C56</f>
        <v>0</v>
      </c>
      <c r="J101" s="286" t="str">
        <f>Started!D56</f>
        <v/>
      </c>
      <c r="K101" s="287" t="str">
        <f t="shared" si="4"/>
        <v/>
      </c>
      <c r="L101" s="285" t="str">
        <f>IF(AND(Started!AQ56=1,Started!AM56=0),"Started","")</f>
        <v/>
      </c>
      <c r="M101" s="285" t="str">
        <f>IF(AND(Started!I56="Pass",Started!Q56="Pass",Started!Y56="Pass",Started!AQ56=1,Started!AM56=0),"SP","")</f>
        <v/>
      </c>
      <c r="N101" t="str">
        <f>Started!AD56</f>
        <v/>
      </c>
      <c r="O101" t="e">
        <f>IF(Table3[[#This Row],[First Title]]="Started", (Table3[[#This Row],[Score]]+0)*2,Table3[[#This Row],[Score]]+0)</f>
        <v>#VALUE!</v>
      </c>
      <c r="P101" s="2" t="e">
        <f>IF(Table3[[#This Row],[Helper]]&gt;191,"Gold",IF(Table3[[#This Row],[Helper]]&gt;171,"Silver",IF(Table3[[#This Row],[Helper]]&gt;141,"Bronze","")))</f>
        <v>#VALUE!</v>
      </c>
    </row>
    <row r="102" spans="9:16" x14ac:dyDescent="0.25">
      <c r="I102" s="285">
        <f>Started!C57</f>
        <v>0</v>
      </c>
      <c r="J102" s="286" t="str">
        <f>Started!D57</f>
        <v/>
      </c>
      <c r="K102" s="287" t="str">
        <f t="shared" si="4"/>
        <v/>
      </c>
      <c r="L102" s="285" t="str">
        <f>IF(AND(Started!AQ57=1,Started!AM57=0),"Started","")</f>
        <v/>
      </c>
      <c r="M102" s="285" t="str">
        <f>IF(AND(Started!I57="Pass",Started!Q57="Pass",Started!Y57="Pass",Started!AQ57=1,Started!AM57=0),"SP","")</f>
        <v/>
      </c>
      <c r="N102" t="str">
        <f>Started!AD57</f>
        <v/>
      </c>
      <c r="O102" t="e">
        <f>IF(Table3[[#This Row],[First Title]]="Started", (Table3[[#This Row],[Score]]+0)*2,Table3[[#This Row],[Score]]+0)</f>
        <v>#VALUE!</v>
      </c>
      <c r="P102" s="2" t="e">
        <f>IF(Table3[[#This Row],[Helper]]&gt;191,"Gold",IF(Table3[[#This Row],[Helper]]&gt;171,"Silver",IF(Table3[[#This Row],[Helper]]&gt;141,"Bronze","")))</f>
        <v>#VALUE!</v>
      </c>
    </row>
    <row r="103" spans="9:16" x14ac:dyDescent="0.25">
      <c r="I103" s="285">
        <f>Started!C58</f>
        <v>0</v>
      </c>
      <c r="J103" s="286" t="str">
        <f>Started!D58</f>
        <v/>
      </c>
      <c r="K103" s="287" t="str">
        <f t="shared" si="4"/>
        <v/>
      </c>
      <c r="L103" s="285" t="str">
        <f>IF(AND(Started!AQ58=1,Started!AM58=0),"Started","")</f>
        <v/>
      </c>
      <c r="M103" s="285" t="str">
        <f>IF(AND(Started!I58="Pass",Started!Q58="Pass",Started!Y58="Pass",Started!AQ58=1,Started!AM58=0),"SP","")</f>
        <v/>
      </c>
      <c r="N103" t="str">
        <f>Started!AD58</f>
        <v/>
      </c>
      <c r="O103" t="e">
        <f>IF(Table3[[#This Row],[First Title]]="Started", (Table3[[#This Row],[Score]]+0)*2,Table3[[#This Row],[Score]]+0)</f>
        <v>#VALUE!</v>
      </c>
      <c r="P103" s="2" t="e">
        <f>IF(Table3[[#This Row],[Helper]]&gt;191,"Gold",IF(Table3[[#This Row],[Helper]]&gt;171,"Silver",IF(Table3[[#This Row],[Helper]]&gt;141,"Bronze","")))</f>
        <v>#VALUE!</v>
      </c>
    </row>
    <row r="104" spans="9:16" x14ac:dyDescent="0.25">
      <c r="I104" s="285">
        <f>Started!C59</f>
        <v>0</v>
      </c>
      <c r="J104" s="286" t="str">
        <f>Started!D59</f>
        <v/>
      </c>
      <c r="K104" s="287" t="str">
        <f t="shared" si="4"/>
        <v/>
      </c>
      <c r="L104" s="285" t="str">
        <f>IF(AND(Started!AQ59=1,Started!AM59=0),"Started","")</f>
        <v/>
      </c>
      <c r="M104" s="285" t="str">
        <f>IF(AND(Started!I59="Pass",Started!Q59="Pass",Started!Y59="Pass",Started!AQ59=1,Started!AM59=0),"SP","")</f>
        <v/>
      </c>
      <c r="N104" t="str">
        <f>Started!AD59</f>
        <v/>
      </c>
      <c r="O104" t="e">
        <f>IF(Table3[[#This Row],[First Title]]="Started", (Table3[[#This Row],[Score]]+0)*2,Table3[[#This Row],[Score]]+0)</f>
        <v>#VALUE!</v>
      </c>
      <c r="P104" s="2" t="e">
        <f>IF(Table3[[#This Row],[Helper]]&gt;191,"Gold",IF(Table3[[#This Row],[Helper]]&gt;171,"Silver",IF(Table3[[#This Row],[Helper]]&gt;141,"Bronze","")))</f>
        <v>#VALUE!</v>
      </c>
    </row>
    <row r="105" spans="9:16" x14ac:dyDescent="0.25">
      <c r="I105" s="285">
        <f>Started!C60</f>
        <v>0</v>
      </c>
      <c r="J105" s="286" t="str">
        <f>Started!D60</f>
        <v/>
      </c>
      <c r="K105" s="287" t="str">
        <f t="shared" si="4"/>
        <v/>
      </c>
      <c r="L105" s="285" t="str">
        <f>IF(AND(Started!AQ60=1,Started!AM60=0),"Started","")</f>
        <v/>
      </c>
      <c r="M105" s="285" t="str">
        <f>IF(AND(Started!I60="Pass",Started!Q60="Pass",Started!Y60="Pass",Started!AQ60=1,Started!AM60=0),"SP","")</f>
        <v/>
      </c>
      <c r="N105" t="str">
        <f>Started!AD60</f>
        <v/>
      </c>
      <c r="O105" t="e">
        <f>IF(Table3[[#This Row],[First Title]]="Started", (Table3[[#This Row],[Score]]+0)*2,Table3[[#This Row],[Score]]+0)</f>
        <v>#VALUE!</v>
      </c>
      <c r="P105" s="2" t="e">
        <f>IF(Table3[[#This Row],[Helper]]&gt;191,"Gold",IF(Table3[[#This Row],[Helper]]&gt;171,"Silver",IF(Table3[[#This Row],[Helper]]&gt;141,"Bronze","")))</f>
        <v>#VALUE!</v>
      </c>
    </row>
    <row r="106" spans="9:16" x14ac:dyDescent="0.25">
      <c r="I106" s="285">
        <f>Started!C61</f>
        <v>0</v>
      </c>
      <c r="J106" s="286" t="str">
        <f>Started!D61</f>
        <v/>
      </c>
      <c r="K106" s="287" t="str">
        <f t="shared" si="4"/>
        <v/>
      </c>
      <c r="L106" s="285" t="str">
        <f>IF(AND(Started!AQ61=1,Started!AM61=0),"Started","")</f>
        <v/>
      </c>
      <c r="M106" s="285" t="str">
        <f>IF(AND(Started!I61="Pass",Started!Q61="Pass",Started!Y61="Pass",Started!AQ61=1,Started!AM61=0),"SP","")</f>
        <v/>
      </c>
      <c r="N106" t="str">
        <f>Started!AD61</f>
        <v/>
      </c>
      <c r="O106" t="e">
        <f>IF(Table3[[#This Row],[First Title]]="Started", (Table3[[#This Row],[Score]]+0)*2,Table3[[#This Row],[Score]]+0)</f>
        <v>#VALUE!</v>
      </c>
      <c r="P106" s="2" t="e">
        <f>IF(Table3[[#This Row],[Helper]]&gt;191,"Gold",IF(Table3[[#This Row],[Helper]]&gt;171,"Silver",IF(Table3[[#This Row],[Helper]]&gt;141,"Bronze","")))</f>
        <v>#VALUE!</v>
      </c>
    </row>
    <row r="107" spans="9:16" x14ac:dyDescent="0.25">
      <c r="I107" s="285">
        <f>Started!C62</f>
        <v>0</v>
      </c>
      <c r="J107" s="286" t="str">
        <f>Started!D62</f>
        <v/>
      </c>
      <c r="K107" s="287" t="str">
        <f t="shared" si="4"/>
        <v/>
      </c>
      <c r="L107" s="285" t="str">
        <f>IF(AND(Started!AQ62=1,Started!AM62=0),"Started","")</f>
        <v/>
      </c>
      <c r="M107" s="285" t="str">
        <f>IF(AND(Started!I62="Pass",Started!Q62="Pass",Started!Y62="Pass",Started!AQ62=1,Started!AM62=0),"SP","")</f>
        <v/>
      </c>
      <c r="N107" t="str">
        <f>Started!AD62</f>
        <v/>
      </c>
      <c r="O107" t="e">
        <f>IF(Table3[[#This Row],[First Title]]="Started", (Table3[[#This Row],[Score]]+0)*2,Table3[[#This Row],[Score]]+0)</f>
        <v>#VALUE!</v>
      </c>
      <c r="P107" s="2" t="e">
        <f>IF(Table3[[#This Row],[Helper]]&gt;191,"Gold",IF(Table3[[#This Row],[Helper]]&gt;171,"Silver",IF(Table3[[#This Row],[Helper]]&gt;141,"Bronze","")))</f>
        <v>#VALUE!</v>
      </c>
    </row>
    <row r="108" spans="9:16" x14ac:dyDescent="0.25">
      <c r="I108" s="285">
        <f>Started!C63</f>
        <v>0</v>
      </c>
      <c r="J108" s="286" t="str">
        <f>Started!D63</f>
        <v/>
      </c>
      <c r="K108" s="287" t="str">
        <f t="shared" si="4"/>
        <v/>
      </c>
      <c r="L108" s="285" t="str">
        <f>IF(AND(Started!AQ63=1,Started!AM63=0),"Started","")</f>
        <v/>
      </c>
      <c r="M108" s="285" t="str">
        <f>IF(AND(Started!I63="Pass",Started!Q63="Pass",Started!Y63="Pass",Started!AQ63=1,Started!AM63=0),"SP","")</f>
        <v/>
      </c>
      <c r="N108" t="str">
        <f>Started!AD63</f>
        <v/>
      </c>
      <c r="O108" t="e">
        <f>IF(Table3[[#This Row],[First Title]]="Started", (Table3[[#This Row],[Score]]+0)*2,Table3[[#This Row],[Score]]+0)</f>
        <v>#VALUE!</v>
      </c>
      <c r="P108" s="2" t="e">
        <f>IF(Table3[[#This Row],[Helper]]&gt;191,"Gold",IF(Table3[[#This Row],[Helper]]&gt;171,"Silver",IF(Table3[[#This Row],[Helper]]&gt;141,"Bronze","")))</f>
        <v>#VALUE!</v>
      </c>
    </row>
    <row r="109" spans="9:16" x14ac:dyDescent="0.25">
      <c r="I109" s="285">
        <f>Started!C64</f>
        <v>0</v>
      </c>
      <c r="J109" s="286" t="str">
        <f>Started!D64</f>
        <v/>
      </c>
      <c r="K109" s="287" t="str">
        <f t="shared" si="4"/>
        <v/>
      </c>
      <c r="L109" s="285" t="str">
        <f>IF(AND(Started!AQ64=1,Started!AM64=0),"Started","")</f>
        <v/>
      </c>
      <c r="M109" s="285" t="str">
        <f>IF(AND(Started!I64="Pass",Started!Q64="Pass",Started!Y64="Pass",Started!AQ64=1,Started!AM64=0),"SP","")</f>
        <v/>
      </c>
      <c r="N109" t="str">
        <f>Started!AD64</f>
        <v/>
      </c>
      <c r="O109" t="e">
        <f>IF(Table3[[#This Row],[First Title]]="Started", (Table3[[#This Row],[Score]]+0)*2,Table3[[#This Row],[Score]]+0)</f>
        <v>#VALUE!</v>
      </c>
      <c r="P109" s="2" t="e">
        <f>IF(Table3[[#This Row],[Helper]]&gt;191,"Gold",IF(Table3[[#This Row],[Helper]]&gt;171,"Silver",IF(Table3[[#This Row],[Helper]]&gt;141,"Bronze","")))</f>
        <v>#VALUE!</v>
      </c>
    </row>
    <row r="110" spans="9:16" x14ac:dyDescent="0.25">
      <c r="I110" s="285">
        <f>Started!C65</f>
        <v>0</v>
      </c>
      <c r="J110" s="286" t="str">
        <f>Started!D65</f>
        <v/>
      </c>
      <c r="K110" s="287" t="str">
        <f t="shared" si="4"/>
        <v/>
      </c>
      <c r="L110" s="285" t="str">
        <f>IF(AND(Started!AQ65=1,Started!AM65=0),"Started","")</f>
        <v/>
      </c>
      <c r="M110" s="285" t="str">
        <f>IF(AND(Started!I65="Pass",Started!Q65="Pass",Started!Y65="Pass",Started!AQ65=1,Started!AM65=0),"SP","")</f>
        <v/>
      </c>
      <c r="N110" t="str">
        <f>Started!AD65</f>
        <v/>
      </c>
      <c r="O110" t="e">
        <f>IF(Table3[[#This Row],[First Title]]="Started", (Table3[[#This Row],[Score]]+0)*2,Table3[[#This Row],[Score]]+0)</f>
        <v>#VALUE!</v>
      </c>
      <c r="P110" s="2" t="e">
        <f>IF(Table3[[#This Row],[Helper]]&gt;191,"Gold",IF(Table3[[#This Row],[Helper]]&gt;171,"Silver",IF(Table3[[#This Row],[Helper]]&gt;141,"Bronze","")))</f>
        <v>#VALUE!</v>
      </c>
    </row>
    <row r="111" spans="9:16" x14ac:dyDescent="0.25">
      <c r="I111" s="285">
        <f>Started!C66</f>
        <v>0</v>
      </c>
      <c r="J111" s="286" t="str">
        <f>Started!D66</f>
        <v/>
      </c>
      <c r="K111" s="287" t="str">
        <f t="shared" si="4"/>
        <v/>
      </c>
      <c r="L111" s="285" t="str">
        <f>IF(AND(Started!AQ66=1,Started!AM66=0),"Started","")</f>
        <v/>
      </c>
      <c r="M111" s="285" t="str">
        <f>IF(AND(Started!I66="Pass",Started!Q66="Pass",Started!Y66="Pass",Started!AQ66=1,Started!AM66=0),"SP","")</f>
        <v/>
      </c>
      <c r="N111" t="str">
        <f>Started!AD66</f>
        <v/>
      </c>
      <c r="O111" t="e">
        <f>IF(Table3[[#This Row],[First Title]]="Started", (Table3[[#This Row],[Score]]+0)*2,Table3[[#This Row],[Score]]+0)</f>
        <v>#VALUE!</v>
      </c>
      <c r="P111" s="2" t="e">
        <f>IF(Table3[[#This Row],[Helper]]&gt;191,"Gold",IF(Table3[[#This Row],[Helper]]&gt;171,"Silver",IF(Table3[[#This Row],[Helper]]&gt;141,"Bronze","")))</f>
        <v>#VALUE!</v>
      </c>
    </row>
    <row r="112" spans="9:16" x14ac:dyDescent="0.25">
      <c r="I112" s="285">
        <f>Started!C67</f>
        <v>0</v>
      </c>
      <c r="J112" s="286" t="str">
        <f>Started!D67</f>
        <v/>
      </c>
      <c r="K112" s="287" t="str">
        <f t="shared" si="4"/>
        <v/>
      </c>
      <c r="L112" s="285" t="str">
        <f>IF(AND(Started!AQ67=1,Started!AM67=0),"Started","")</f>
        <v/>
      </c>
      <c r="M112" s="285" t="str">
        <f>IF(AND(Started!I67="Pass",Started!Q67="Pass",Started!Y67="Pass",Started!AQ67=1,Started!AM67=0),"SP","")</f>
        <v/>
      </c>
      <c r="N112" t="str">
        <f>Started!AD67</f>
        <v/>
      </c>
      <c r="O112" t="e">
        <f>IF(Table3[[#This Row],[First Title]]="Started", (Table3[[#This Row],[Score]]+0)*2,Table3[[#This Row],[Score]]+0)</f>
        <v>#VALUE!</v>
      </c>
      <c r="P112" s="2" t="e">
        <f>IF(Table3[[#This Row],[Helper]]&gt;191,"Gold",IF(Table3[[#This Row],[Helper]]&gt;171,"Silver",IF(Table3[[#This Row],[Helper]]&gt;141,"Bronze","")))</f>
        <v>#VALUE!</v>
      </c>
    </row>
    <row r="113" spans="9:16" x14ac:dyDescent="0.25">
      <c r="I113" s="285">
        <f>Started!C68</f>
        <v>0</v>
      </c>
      <c r="J113" s="286" t="str">
        <f>Started!D68</f>
        <v/>
      </c>
      <c r="K113" s="287" t="str">
        <f t="shared" si="4"/>
        <v/>
      </c>
      <c r="L113" s="285" t="str">
        <f>IF(AND(Started!AQ68=1,Started!AM68=0),"Started","")</f>
        <v/>
      </c>
      <c r="M113" s="285" t="str">
        <f>IF(AND(Started!I68="Pass",Started!Q68="Pass",Started!Y68="Pass",Started!AQ68=1,Started!AM68=0),"SP","")</f>
        <v/>
      </c>
      <c r="N113" t="str">
        <f>Started!AD68</f>
        <v/>
      </c>
      <c r="O113" t="e">
        <f>IF(Table3[[#This Row],[First Title]]="Started", (Table3[[#This Row],[Score]]+0)*2,Table3[[#This Row],[Score]]+0)</f>
        <v>#VALUE!</v>
      </c>
      <c r="P113" s="2" t="e">
        <f>IF(Table3[[#This Row],[Helper]]&gt;191,"Gold",IF(Table3[[#This Row],[Helper]]&gt;171,"Silver",IF(Table3[[#This Row],[Helper]]&gt;141,"Bronze","")))</f>
        <v>#VALUE!</v>
      </c>
    </row>
    <row r="114" spans="9:16" x14ac:dyDescent="0.25">
      <c r="I114" s="285">
        <f>Started!C69</f>
        <v>0</v>
      </c>
      <c r="J114" s="286" t="str">
        <f>Started!D69</f>
        <v/>
      </c>
      <c r="K114" s="287" t="str">
        <f t="shared" si="4"/>
        <v/>
      </c>
      <c r="L114" s="285" t="str">
        <f>IF(AND(Started!AQ69=1,Started!AM69=0),"Started","")</f>
        <v/>
      </c>
      <c r="M114" s="285" t="str">
        <f>IF(AND(Started!I69="Pass",Started!Q69="Pass",Started!Y69="Pass",Started!AQ69=1,Started!AM69=0),"SP","")</f>
        <v/>
      </c>
      <c r="N114" t="str">
        <f>Started!AD69</f>
        <v/>
      </c>
      <c r="O114" t="e">
        <f>IF(Table3[[#This Row],[First Title]]="Started", (Table3[[#This Row],[Score]]+0)*2,Table3[[#This Row],[Score]]+0)</f>
        <v>#VALUE!</v>
      </c>
      <c r="P114" s="2" t="e">
        <f>IF(Table3[[#This Row],[Helper]]&gt;191,"Gold",IF(Table3[[#This Row],[Helper]]&gt;171,"Silver",IF(Table3[[#This Row],[Helper]]&gt;141,"Bronze","")))</f>
        <v>#VALUE!</v>
      </c>
    </row>
    <row r="115" spans="9:16" x14ac:dyDescent="0.25">
      <c r="I115" s="285">
        <f>Started!C70</f>
        <v>0</v>
      </c>
      <c r="J115" s="286" t="str">
        <f>Started!D70</f>
        <v/>
      </c>
      <c r="K115" s="287" t="str">
        <f t="shared" si="4"/>
        <v/>
      </c>
      <c r="L115" s="285" t="str">
        <f>IF(AND(Started!AQ70=1,Started!AM70=0),"Started","")</f>
        <v/>
      </c>
      <c r="M115" s="285" t="str">
        <f>IF(AND(Started!I70="Pass",Started!Q70="Pass",Started!Y70="Pass",Started!AQ70=1,Started!AM70=0),"SP","")</f>
        <v/>
      </c>
      <c r="N115" t="str">
        <f>Started!AD70</f>
        <v/>
      </c>
      <c r="O115" t="e">
        <f>IF(Table3[[#This Row],[First Title]]="Started", (Table3[[#This Row],[Score]]+0)*2,Table3[[#This Row],[Score]]+0)</f>
        <v>#VALUE!</v>
      </c>
      <c r="P115" s="2" t="e">
        <f>IF(Table3[[#This Row],[Helper]]&gt;191,"Gold",IF(Table3[[#This Row],[Helper]]&gt;171,"Silver",IF(Table3[[#This Row],[Helper]]&gt;141,"Bronze","")))</f>
        <v>#VALUE!</v>
      </c>
    </row>
    <row r="116" spans="9:16" x14ac:dyDescent="0.25">
      <c r="I116" s="285">
        <f>Started!C71</f>
        <v>0</v>
      </c>
      <c r="J116" s="286" t="str">
        <f>Started!D71</f>
        <v/>
      </c>
      <c r="K116" s="287" t="str">
        <f t="shared" si="4"/>
        <v/>
      </c>
      <c r="L116" s="285" t="str">
        <f>IF(AND(Started!AQ71=1,Started!AM71=0),"Started","")</f>
        <v/>
      </c>
      <c r="M116" s="285" t="str">
        <f>IF(AND(Started!I71="Pass",Started!Q71="Pass",Started!Y71="Pass",Started!AQ71=1,Started!AM71=0),"SP","")</f>
        <v/>
      </c>
      <c r="N116" t="str">
        <f>Started!AD71</f>
        <v/>
      </c>
      <c r="O116" t="e">
        <f>IF(Table3[[#This Row],[First Title]]="Started", (Table3[[#This Row],[Score]]+0)*2,Table3[[#This Row],[Score]]+0)</f>
        <v>#VALUE!</v>
      </c>
      <c r="P116" s="2" t="e">
        <f>IF(Table3[[#This Row],[Helper]]&gt;191,"Gold",IF(Table3[[#This Row],[Helper]]&gt;171,"Silver",IF(Table3[[#This Row],[Helper]]&gt;141,"Bronze","")))</f>
        <v>#VALUE!</v>
      </c>
    </row>
    <row r="117" spans="9:16" x14ac:dyDescent="0.25">
      <c r="I117" s="285">
        <f>Started!C72</f>
        <v>0</v>
      </c>
      <c r="J117" s="286" t="str">
        <f>Started!D72</f>
        <v/>
      </c>
      <c r="K117" s="287" t="str">
        <f t="shared" si="4"/>
        <v/>
      </c>
      <c r="L117" s="285" t="str">
        <f>IF(AND(Started!AQ72=1,Started!AM72=0),"Started","")</f>
        <v/>
      </c>
      <c r="M117" s="285" t="str">
        <f>IF(AND(Started!I72="Pass",Started!Q72="Pass",Started!Y72="Pass",Started!AQ72=1,Started!AM72=0),"SP","")</f>
        <v/>
      </c>
      <c r="N117" t="str">
        <f>Started!AD72</f>
        <v/>
      </c>
      <c r="O117" t="e">
        <f>IF(Table3[[#This Row],[First Title]]="Started", (Table3[[#This Row],[Score]]+0)*2,Table3[[#This Row],[Score]]+0)</f>
        <v>#VALUE!</v>
      </c>
      <c r="P117" s="2" t="e">
        <f>IF(Table3[[#This Row],[Helper]]&gt;191,"Gold",IF(Table3[[#This Row],[Helper]]&gt;171,"Silver",IF(Table3[[#This Row],[Helper]]&gt;141,"Bronze","")))</f>
        <v>#VALUE!</v>
      </c>
    </row>
    <row r="118" spans="9:16" x14ac:dyDescent="0.25">
      <c r="I118" s="285">
        <f>Started!C73</f>
        <v>0</v>
      </c>
      <c r="J118" s="286" t="str">
        <f>Started!D73</f>
        <v/>
      </c>
      <c r="K118" s="287" t="str">
        <f t="shared" si="4"/>
        <v/>
      </c>
      <c r="L118" s="285" t="str">
        <f>IF(AND(Started!AQ73=1,Started!AM73=0),"Started","")</f>
        <v/>
      </c>
      <c r="M118" s="285" t="str">
        <f>IF(AND(Started!I73="Pass",Started!Q73="Pass",Started!Y73="Pass",Started!AQ73=1,Started!AM73=0),"SP","")</f>
        <v/>
      </c>
      <c r="N118" t="str">
        <f>Started!AD73</f>
        <v/>
      </c>
      <c r="O118" t="e">
        <f>IF(Table3[[#This Row],[First Title]]="Started", (Table3[[#This Row],[Score]]+0)*2,Table3[[#This Row],[Score]]+0)</f>
        <v>#VALUE!</v>
      </c>
      <c r="P118" s="2" t="e">
        <f>IF(Table3[[#This Row],[Helper]]&gt;191,"Gold",IF(Table3[[#This Row],[Helper]]&gt;171,"Silver",IF(Table3[[#This Row],[Helper]]&gt;141,"Bronze","")))</f>
        <v>#VALUE!</v>
      </c>
    </row>
    <row r="119" spans="9:16" x14ac:dyDescent="0.25">
      <c r="I119" s="285">
        <f>Started!C74</f>
        <v>0</v>
      </c>
      <c r="J119" s="286" t="str">
        <f>Started!D74</f>
        <v/>
      </c>
      <c r="K119" s="287" t="str">
        <f t="shared" si="4"/>
        <v/>
      </c>
      <c r="L119" s="285" t="str">
        <f>IF(AND(Started!AQ74=1,Started!AM74=0),"Started","")</f>
        <v/>
      </c>
      <c r="M119" s="285" t="str">
        <f>IF(AND(Started!I74="Pass",Started!Q74="Pass",Started!Y74="Pass",Started!AQ74=1,Started!AM74=0),"SP","")</f>
        <v/>
      </c>
      <c r="N119" t="str">
        <f>Started!AD74</f>
        <v/>
      </c>
      <c r="O119" t="e">
        <f>IF(Table3[[#This Row],[First Title]]="Started", (Table3[[#This Row],[Score]]+0)*2,Table3[[#This Row],[Score]]+0)</f>
        <v>#VALUE!</v>
      </c>
      <c r="P119" s="2" t="e">
        <f>IF(Table3[[#This Row],[Helper]]&gt;191,"Gold",IF(Table3[[#This Row],[Helper]]&gt;171,"Silver",IF(Table3[[#This Row],[Helper]]&gt;141,"Bronze","")))</f>
        <v>#VALUE!</v>
      </c>
    </row>
    <row r="120" spans="9:16" x14ac:dyDescent="0.25">
      <c r="I120" s="285">
        <f>Advanced!C5</f>
        <v>0</v>
      </c>
      <c r="J120" s="286" t="str">
        <f>Advanced!D5</f>
        <v/>
      </c>
      <c r="K120" s="287" t="str">
        <f t="shared" ref="K120:K151" si="5">TrialDate</f>
        <v/>
      </c>
      <c r="L120" s="285" t="str">
        <f>IF(AND(Advanced!AQ5=1,Advanced!AM5=0),"Advanced","")</f>
        <v/>
      </c>
      <c r="M120" s="285" t="str">
        <f>IF(AND(Advanced!I5="Pass",Advanced!Q5="Pass",Advanced!Y5="Pass",Advanced!AQ5=1,Advanced!AM5=0),"SP","")</f>
        <v/>
      </c>
      <c r="N120" t="str">
        <f>Advanced!AD5</f>
        <v/>
      </c>
      <c r="O120" t="e">
        <f>IF(Table3[[#This Row],[First Title]]="Started", (Table3[[#This Row],[Score]]+0)*2,Table3[[#This Row],[Score]]+0)</f>
        <v>#VALUE!</v>
      </c>
      <c r="P120" s="2" t="e">
        <f>IF(Table3[[#This Row],[Helper]]&gt;191,"Gold",IF(Table3[[#This Row],[Helper]]&gt;171,"Silver",IF(Table3[[#This Row],[Helper]]&gt;141,"Bronze","")))</f>
        <v>#VALUE!</v>
      </c>
    </row>
    <row r="121" spans="9:16" x14ac:dyDescent="0.25">
      <c r="I121" s="285">
        <f>Advanced!C6</f>
        <v>0</v>
      </c>
      <c r="J121" s="286" t="str">
        <f>Advanced!D6</f>
        <v/>
      </c>
      <c r="K121" s="287" t="str">
        <f t="shared" si="5"/>
        <v/>
      </c>
      <c r="L121" s="285" t="str">
        <f>IF(AND(Advanced!AQ6=1,Advanced!AM6=0),"Advanced","")</f>
        <v/>
      </c>
      <c r="M121" s="285" t="str">
        <f>IF(AND(Advanced!I6="Pass",Advanced!Q6="Pass",Advanced!Y6="Pass",Advanced!AQ6=1,Advanced!AM6=0),"SP","")</f>
        <v/>
      </c>
      <c r="N121" t="str">
        <f>Advanced!AD6</f>
        <v/>
      </c>
      <c r="O121" t="e">
        <f>IF(Table3[[#This Row],[First Title]]="Started", (Table3[[#This Row],[Score]]+0)*2,Table3[[#This Row],[Score]]+0)</f>
        <v>#VALUE!</v>
      </c>
      <c r="P121" s="2" t="e">
        <f>IF(Table3[[#This Row],[Helper]]&gt;191,"Gold",IF(Table3[[#This Row],[Helper]]&gt;171,"Silver",IF(Table3[[#This Row],[Helper]]&gt;141,"Bronze","")))</f>
        <v>#VALUE!</v>
      </c>
    </row>
    <row r="122" spans="9:16" x14ac:dyDescent="0.25">
      <c r="I122" s="285">
        <f>Advanced!C7</f>
        <v>0</v>
      </c>
      <c r="J122" s="286" t="str">
        <f>Advanced!D7</f>
        <v/>
      </c>
      <c r="K122" s="287" t="str">
        <f t="shared" si="5"/>
        <v/>
      </c>
      <c r="L122" s="285" t="str">
        <f>IF(AND(Advanced!AQ7=1,Advanced!AM7=0),"Advanced","")</f>
        <v/>
      </c>
      <c r="M122" s="285" t="str">
        <f>IF(AND(Advanced!I7="Pass",Advanced!Q7="Pass",Advanced!Y7="Pass",Advanced!AQ7=1,Advanced!AM7=0),"SP","")</f>
        <v/>
      </c>
      <c r="N122" t="str">
        <f>Advanced!AD7</f>
        <v/>
      </c>
      <c r="O122" t="e">
        <f>IF(Table3[[#This Row],[First Title]]="Started", (Table3[[#This Row],[Score]]+0)*2,Table3[[#This Row],[Score]]+0)</f>
        <v>#VALUE!</v>
      </c>
      <c r="P122" s="2" t="e">
        <f>IF(Table3[[#This Row],[Helper]]&gt;191,"Gold",IF(Table3[[#This Row],[Helper]]&gt;171,"Silver",IF(Table3[[#This Row],[Helper]]&gt;141,"Bronze","")))</f>
        <v>#VALUE!</v>
      </c>
    </row>
    <row r="123" spans="9:16" x14ac:dyDescent="0.25">
      <c r="I123" s="285">
        <f>Advanced!C8</f>
        <v>0</v>
      </c>
      <c r="J123" s="286" t="str">
        <f>Advanced!D8</f>
        <v/>
      </c>
      <c r="K123" s="287" t="str">
        <f t="shared" si="5"/>
        <v/>
      </c>
      <c r="L123" s="285" t="str">
        <f>IF(AND(Advanced!AQ8=1,Advanced!AM8=0),"Advanced","")</f>
        <v/>
      </c>
      <c r="M123" s="285" t="str">
        <f>IF(AND(Advanced!I8="Pass",Advanced!Q8="Pass",Advanced!Y8="Pass",Advanced!AQ8=1,Advanced!AM8=0),"SP","")</f>
        <v/>
      </c>
      <c r="N123" t="str">
        <f>Advanced!AD8</f>
        <v/>
      </c>
      <c r="O123" t="e">
        <f>IF(Table3[[#This Row],[First Title]]="Started", (Table3[[#This Row],[Score]]+0)*2,Table3[[#This Row],[Score]]+0)</f>
        <v>#VALUE!</v>
      </c>
      <c r="P123" s="2" t="e">
        <f>IF(Table3[[#This Row],[Helper]]&gt;191,"Gold",IF(Table3[[#This Row],[Helper]]&gt;171,"Silver",IF(Table3[[#This Row],[Helper]]&gt;141,"Bronze","")))</f>
        <v>#VALUE!</v>
      </c>
    </row>
    <row r="124" spans="9:16" x14ac:dyDescent="0.25">
      <c r="I124" s="285">
        <f>Advanced!C9</f>
        <v>0</v>
      </c>
      <c r="J124" s="286" t="str">
        <f>Advanced!D9</f>
        <v/>
      </c>
      <c r="K124" s="287" t="str">
        <f t="shared" si="5"/>
        <v/>
      </c>
      <c r="L124" s="285" t="str">
        <f>IF(AND(Advanced!AQ9=1,Advanced!AM9=0),"Advanced","")</f>
        <v/>
      </c>
      <c r="M124" s="285" t="str">
        <f>IF(AND(Advanced!I9="Pass",Advanced!Q9="Pass",Advanced!Y9="Pass",Advanced!AQ9=1,Advanced!AM9=0),"SP","")</f>
        <v/>
      </c>
      <c r="N124" t="str">
        <f>Advanced!AD9</f>
        <v/>
      </c>
      <c r="O124" t="e">
        <f>IF(Table3[[#This Row],[First Title]]="Started", (Table3[[#This Row],[Score]]+0)*2,Table3[[#This Row],[Score]]+0)</f>
        <v>#VALUE!</v>
      </c>
      <c r="P124" s="2" t="e">
        <f>IF(Table3[[#This Row],[Helper]]&gt;191,"Gold",IF(Table3[[#This Row],[Helper]]&gt;171,"Silver",IF(Table3[[#This Row],[Helper]]&gt;141,"Bronze","")))</f>
        <v>#VALUE!</v>
      </c>
    </row>
    <row r="125" spans="9:16" x14ac:dyDescent="0.25">
      <c r="I125" s="285">
        <f>Advanced!C10</f>
        <v>0</v>
      </c>
      <c r="J125" s="286" t="str">
        <f>Advanced!D10</f>
        <v/>
      </c>
      <c r="K125" s="287" t="str">
        <f t="shared" si="5"/>
        <v/>
      </c>
      <c r="L125" s="285" t="str">
        <f>IF(AND(Advanced!AQ10=1,Advanced!AM10=0),"Advanced","")</f>
        <v/>
      </c>
      <c r="M125" s="285" t="str">
        <f>IF(AND(Advanced!I10="Pass",Advanced!Q10="Pass",Advanced!Y10="Pass",Advanced!AQ10=1,Advanced!AM10=0),"SP","")</f>
        <v/>
      </c>
      <c r="N125" t="str">
        <f>Advanced!AD10</f>
        <v/>
      </c>
      <c r="O125" t="e">
        <f>IF(Table3[[#This Row],[First Title]]="Started", (Table3[[#This Row],[Score]]+0)*2,Table3[[#This Row],[Score]]+0)</f>
        <v>#VALUE!</v>
      </c>
      <c r="P125" s="2" t="e">
        <f>IF(Table3[[#This Row],[Helper]]&gt;191,"Gold",IF(Table3[[#This Row],[Helper]]&gt;171,"Silver",IF(Table3[[#This Row],[Helper]]&gt;141,"Bronze","")))</f>
        <v>#VALUE!</v>
      </c>
    </row>
    <row r="126" spans="9:16" x14ac:dyDescent="0.25">
      <c r="I126" s="285">
        <f>Advanced!C11</f>
        <v>0</v>
      </c>
      <c r="J126" s="286" t="str">
        <f>Advanced!D11</f>
        <v/>
      </c>
      <c r="K126" s="287" t="str">
        <f t="shared" si="5"/>
        <v/>
      </c>
      <c r="L126" s="285" t="str">
        <f>IF(AND(Advanced!AQ11=1,Advanced!AM11=0),"Advanced","")</f>
        <v/>
      </c>
      <c r="M126" s="285" t="str">
        <f>IF(AND(Advanced!I11="Pass",Advanced!Q11="Pass",Advanced!Y11="Pass",Advanced!AQ11=1,Advanced!AM11=0),"SP","")</f>
        <v/>
      </c>
      <c r="N126" t="str">
        <f>Advanced!AD11</f>
        <v/>
      </c>
      <c r="O126" t="e">
        <f>IF(Table3[[#This Row],[First Title]]="Started", (Table3[[#This Row],[Score]]+0)*2,Table3[[#This Row],[Score]]+0)</f>
        <v>#VALUE!</v>
      </c>
      <c r="P126" s="2" t="e">
        <f>IF(Table3[[#This Row],[Helper]]&gt;191,"Gold",IF(Table3[[#This Row],[Helper]]&gt;171,"Silver",IF(Table3[[#This Row],[Helper]]&gt;141,"Bronze","")))</f>
        <v>#VALUE!</v>
      </c>
    </row>
    <row r="127" spans="9:16" x14ac:dyDescent="0.25">
      <c r="I127" s="285">
        <f>Advanced!C12</f>
        <v>0</v>
      </c>
      <c r="J127" s="286" t="str">
        <f>Advanced!D12</f>
        <v/>
      </c>
      <c r="K127" s="287" t="str">
        <f t="shared" si="5"/>
        <v/>
      </c>
      <c r="L127" s="285" t="str">
        <f>IF(AND(Advanced!AQ12=1,Advanced!AM12=0),"Advanced","")</f>
        <v/>
      </c>
      <c r="M127" s="285" t="str">
        <f>IF(AND(Advanced!I12="Pass",Advanced!Q12="Pass",Advanced!Y12="Pass",Advanced!AQ12=1,Advanced!AM12=0),"SP","")</f>
        <v/>
      </c>
      <c r="N127" t="str">
        <f>Advanced!AD12</f>
        <v/>
      </c>
      <c r="O127" t="e">
        <f>IF(Table3[[#This Row],[First Title]]="Started", (Table3[[#This Row],[Score]]+0)*2,Table3[[#This Row],[Score]]+0)</f>
        <v>#VALUE!</v>
      </c>
      <c r="P127" s="2" t="e">
        <f>IF(Table3[[#This Row],[Helper]]&gt;191,"Gold",IF(Table3[[#This Row],[Helper]]&gt;171,"Silver",IF(Table3[[#This Row],[Helper]]&gt;141,"Bronze","")))</f>
        <v>#VALUE!</v>
      </c>
    </row>
    <row r="128" spans="9:16" x14ac:dyDescent="0.25">
      <c r="I128" s="285">
        <f>Advanced!C13</f>
        <v>0</v>
      </c>
      <c r="J128" s="286" t="str">
        <f>Advanced!D13</f>
        <v/>
      </c>
      <c r="K128" s="287" t="str">
        <f t="shared" si="5"/>
        <v/>
      </c>
      <c r="L128" s="285" t="str">
        <f>IF(AND(Advanced!AQ13=1,Advanced!AM13=0),"Advanced","")</f>
        <v/>
      </c>
      <c r="M128" s="285" t="str">
        <f>IF(AND(Advanced!I13="Pass",Advanced!Q13="Pass",Advanced!Y13="Pass",Advanced!AQ13=1,Advanced!AM13=0),"SP","")</f>
        <v/>
      </c>
      <c r="N128" t="str">
        <f>Advanced!AD13</f>
        <v/>
      </c>
      <c r="O128" t="e">
        <f>IF(Table3[[#This Row],[First Title]]="Started", (Table3[[#This Row],[Score]]+0)*2,Table3[[#This Row],[Score]]+0)</f>
        <v>#VALUE!</v>
      </c>
      <c r="P128" s="2" t="e">
        <f>IF(Table3[[#This Row],[Helper]]&gt;191,"Gold",IF(Table3[[#This Row],[Helper]]&gt;171,"Silver",IF(Table3[[#This Row],[Helper]]&gt;141,"Bronze","")))</f>
        <v>#VALUE!</v>
      </c>
    </row>
    <row r="129" spans="9:16" x14ac:dyDescent="0.25">
      <c r="I129" s="285">
        <f>Advanced!C14</f>
        <v>0</v>
      </c>
      <c r="J129" s="286" t="str">
        <f>Advanced!D14</f>
        <v/>
      </c>
      <c r="K129" s="287" t="str">
        <f t="shared" si="5"/>
        <v/>
      </c>
      <c r="L129" s="285" t="str">
        <f>IF(AND(Advanced!AQ14=1,Advanced!AM14=0),"Advanced","")</f>
        <v/>
      </c>
      <c r="M129" s="285" t="str">
        <f>IF(AND(Advanced!I14="Pass",Advanced!Q14="Pass",Advanced!Y14="Pass",Advanced!AQ14=1,Advanced!AM14=0),"SP","")</f>
        <v/>
      </c>
      <c r="N129" t="str">
        <f>Advanced!AD14</f>
        <v/>
      </c>
      <c r="O129" t="e">
        <f>IF(Table3[[#This Row],[First Title]]="Started", (Table3[[#This Row],[Score]]+0)*2,Table3[[#This Row],[Score]]+0)</f>
        <v>#VALUE!</v>
      </c>
      <c r="P129" s="2" t="e">
        <f>IF(Table3[[#This Row],[Helper]]&gt;191,"Gold",IF(Table3[[#This Row],[Helper]]&gt;171,"Silver",IF(Table3[[#This Row],[Helper]]&gt;141,"Bronze","")))</f>
        <v>#VALUE!</v>
      </c>
    </row>
    <row r="130" spans="9:16" x14ac:dyDescent="0.25">
      <c r="I130" s="285">
        <f>Advanced!C15</f>
        <v>0</v>
      </c>
      <c r="J130" s="286" t="str">
        <f>Advanced!D15</f>
        <v/>
      </c>
      <c r="K130" s="287" t="str">
        <f t="shared" si="5"/>
        <v/>
      </c>
      <c r="L130" s="285" t="str">
        <f>IF(AND(Advanced!AQ15=1,Advanced!AM15=0),"Advanced","")</f>
        <v/>
      </c>
      <c r="M130" s="285" t="str">
        <f>IF(AND(Advanced!I15="Pass",Advanced!Q15="Pass",Advanced!Y15="Pass",Advanced!AQ15=1,Advanced!AM15=0),"SP","")</f>
        <v/>
      </c>
      <c r="N130" t="str">
        <f>Advanced!AD15</f>
        <v/>
      </c>
      <c r="O130" t="e">
        <f>IF(Table3[[#This Row],[First Title]]="Started", (Table3[[#This Row],[Score]]+0)*2,Table3[[#This Row],[Score]]+0)</f>
        <v>#VALUE!</v>
      </c>
      <c r="P130" s="2" t="e">
        <f>IF(Table3[[#This Row],[Helper]]&gt;191,"Gold",IF(Table3[[#This Row],[Helper]]&gt;171,"Silver",IF(Table3[[#This Row],[Helper]]&gt;141,"Bronze","")))</f>
        <v>#VALUE!</v>
      </c>
    </row>
    <row r="131" spans="9:16" x14ac:dyDescent="0.25">
      <c r="I131" s="285">
        <f>Advanced!C16</f>
        <v>0</v>
      </c>
      <c r="J131" s="286" t="str">
        <f>Advanced!D16</f>
        <v/>
      </c>
      <c r="K131" s="287" t="str">
        <f t="shared" si="5"/>
        <v/>
      </c>
      <c r="L131" s="285" t="str">
        <f>IF(AND(Advanced!AQ16=1,Advanced!AM16=0),"Advanced","")</f>
        <v/>
      </c>
      <c r="M131" s="285" t="str">
        <f>IF(AND(Advanced!I16="Pass",Advanced!Q16="Pass",Advanced!Y16="Pass",Advanced!AQ16=1,Advanced!AM16=0),"SP","")</f>
        <v/>
      </c>
      <c r="N131" t="str">
        <f>Advanced!AD16</f>
        <v/>
      </c>
      <c r="O131" t="e">
        <f>IF(Table3[[#This Row],[First Title]]="Started", (Table3[[#This Row],[Score]]+0)*2,Table3[[#This Row],[Score]]+0)</f>
        <v>#VALUE!</v>
      </c>
      <c r="P131" s="2" t="e">
        <f>IF(Table3[[#This Row],[Helper]]&gt;191,"Gold",IF(Table3[[#This Row],[Helper]]&gt;171,"Silver",IF(Table3[[#This Row],[Helper]]&gt;141,"Bronze","")))</f>
        <v>#VALUE!</v>
      </c>
    </row>
    <row r="132" spans="9:16" x14ac:dyDescent="0.25">
      <c r="I132" s="285">
        <f>Advanced!C17</f>
        <v>0</v>
      </c>
      <c r="J132" s="286" t="str">
        <f>Advanced!D17</f>
        <v/>
      </c>
      <c r="K132" s="287" t="str">
        <f t="shared" si="5"/>
        <v/>
      </c>
      <c r="L132" s="285" t="str">
        <f>IF(AND(Advanced!AQ17=1,Advanced!AM17=0),"Advanced","")</f>
        <v/>
      </c>
      <c r="M132" s="285" t="str">
        <f>IF(AND(Advanced!I17="Pass",Advanced!Q17="Pass",Advanced!Y17="Pass",Advanced!AQ17=1,Advanced!AM17=0),"SP","")</f>
        <v/>
      </c>
      <c r="N132" t="str">
        <f>Advanced!AD17</f>
        <v/>
      </c>
      <c r="O132" t="e">
        <f>IF(Table3[[#This Row],[First Title]]="Started", (Table3[[#This Row],[Score]]+0)*2,Table3[[#This Row],[Score]]+0)</f>
        <v>#VALUE!</v>
      </c>
      <c r="P132" s="2" t="e">
        <f>IF(Table3[[#This Row],[Helper]]&gt;191,"Gold",IF(Table3[[#This Row],[Helper]]&gt;171,"Silver",IF(Table3[[#This Row],[Helper]]&gt;141,"Bronze","")))</f>
        <v>#VALUE!</v>
      </c>
    </row>
    <row r="133" spans="9:16" x14ac:dyDescent="0.25">
      <c r="I133" s="285">
        <f>Advanced!C18</f>
        <v>0</v>
      </c>
      <c r="J133" s="286" t="str">
        <f>Advanced!D18</f>
        <v/>
      </c>
      <c r="K133" s="287" t="str">
        <f t="shared" si="5"/>
        <v/>
      </c>
      <c r="L133" s="285" t="str">
        <f>IF(AND(Advanced!AQ18=1,Advanced!AM18=0),"Advanced","")</f>
        <v/>
      </c>
      <c r="M133" s="285" t="str">
        <f>IF(AND(Advanced!I18="Pass",Advanced!Q18="Pass",Advanced!Y18="Pass",Advanced!AQ18=1,Advanced!AM18=0),"SP","")</f>
        <v/>
      </c>
      <c r="N133" t="str">
        <f>Advanced!AD18</f>
        <v/>
      </c>
      <c r="O133" t="e">
        <f>IF(Table3[[#This Row],[First Title]]="Started", (Table3[[#This Row],[Score]]+0)*2,Table3[[#This Row],[Score]]+0)</f>
        <v>#VALUE!</v>
      </c>
      <c r="P133" s="2" t="e">
        <f>IF(Table3[[#This Row],[Helper]]&gt;191,"Gold",IF(Table3[[#This Row],[Helper]]&gt;171,"Silver",IF(Table3[[#This Row],[Helper]]&gt;141,"Bronze","")))</f>
        <v>#VALUE!</v>
      </c>
    </row>
    <row r="134" spans="9:16" x14ac:dyDescent="0.25">
      <c r="I134" s="285">
        <f>Advanced!C19</f>
        <v>0</v>
      </c>
      <c r="J134" s="286" t="str">
        <f>Advanced!D19</f>
        <v/>
      </c>
      <c r="K134" s="287" t="str">
        <f t="shared" si="5"/>
        <v/>
      </c>
      <c r="L134" s="285" t="str">
        <f>IF(AND(Advanced!AQ19=1,Advanced!AM19=0),"Advanced","")</f>
        <v/>
      </c>
      <c r="M134" s="285" t="str">
        <f>IF(AND(Advanced!I19="Pass",Advanced!Q19="Pass",Advanced!Y19="Pass",Advanced!AQ19=1,Advanced!AM19=0),"SP","")</f>
        <v/>
      </c>
      <c r="N134" t="str">
        <f>Advanced!AD19</f>
        <v/>
      </c>
      <c r="O134" t="e">
        <f>IF(Table3[[#This Row],[First Title]]="Started", (Table3[[#This Row],[Score]]+0)*2,Table3[[#This Row],[Score]]+0)</f>
        <v>#VALUE!</v>
      </c>
      <c r="P134" s="2" t="e">
        <f>IF(Table3[[#This Row],[Helper]]&gt;191,"Gold",IF(Table3[[#This Row],[Helper]]&gt;171,"Silver",IF(Table3[[#This Row],[Helper]]&gt;141,"Bronze","")))</f>
        <v>#VALUE!</v>
      </c>
    </row>
    <row r="135" spans="9:16" x14ac:dyDescent="0.25">
      <c r="I135" s="285">
        <f>Advanced!C20</f>
        <v>0</v>
      </c>
      <c r="J135" s="286" t="str">
        <f>Advanced!D20</f>
        <v/>
      </c>
      <c r="K135" s="287" t="str">
        <f t="shared" si="5"/>
        <v/>
      </c>
      <c r="L135" s="285" t="str">
        <f>IF(AND(Advanced!AQ20=1,Advanced!AM20=0),"Advanced","")</f>
        <v/>
      </c>
      <c r="M135" s="285" t="str">
        <f>IF(AND(Advanced!I20="Pass",Advanced!Q20="Pass",Advanced!Y20="Pass",Advanced!AQ20=1,Advanced!AM20=0),"SP","")</f>
        <v/>
      </c>
      <c r="N135" t="str">
        <f>Advanced!AD20</f>
        <v/>
      </c>
      <c r="O135" t="e">
        <f>IF(Table3[[#This Row],[First Title]]="Started", (Table3[[#This Row],[Score]]+0)*2,Table3[[#This Row],[Score]]+0)</f>
        <v>#VALUE!</v>
      </c>
      <c r="P135" s="2" t="e">
        <f>IF(Table3[[#This Row],[Helper]]&gt;191,"Gold",IF(Table3[[#This Row],[Helper]]&gt;171,"Silver",IF(Table3[[#This Row],[Helper]]&gt;141,"Bronze","")))</f>
        <v>#VALUE!</v>
      </c>
    </row>
    <row r="136" spans="9:16" x14ac:dyDescent="0.25">
      <c r="I136" s="285">
        <f>Advanced!C21</f>
        <v>0</v>
      </c>
      <c r="J136" s="286" t="str">
        <f>Advanced!D21</f>
        <v/>
      </c>
      <c r="K136" s="287" t="str">
        <f t="shared" si="5"/>
        <v/>
      </c>
      <c r="L136" s="285" t="str">
        <f>IF(AND(Advanced!AQ21=1,Advanced!AM21=0),"Advanced","")</f>
        <v/>
      </c>
      <c r="M136" s="285" t="str">
        <f>IF(AND(Advanced!I21="Pass",Advanced!Q21="Pass",Advanced!Y21="Pass",Advanced!AQ21=1,Advanced!AM21=0),"SP","")</f>
        <v/>
      </c>
      <c r="N136" t="str">
        <f>Advanced!AD21</f>
        <v/>
      </c>
      <c r="O136" t="e">
        <f>IF(Table3[[#This Row],[First Title]]="Started", (Table3[[#This Row],[Score]]+0)*2,Table3[[#This Row],[Score]]+0)</f>
        <v>#VALUE!</v>
      </c>
      <c r="P136" s="2" t="e">
        <f>IF(Table3[[#This Row],[Helper]]&gt;191,"Gold",IF(Table3[[#This Row],[Helper]]&gt;171,"Silver",IF(Table3[[#This Row],[Helper]]&gt;141,"Bronze","")))</f>
        <v>#VALUE!</v>
      </c>
    </row>
    <row r="137" spans="9:16" x14ac:dyDescent="0.25">
      <c r="I137" s="285">
        <f>Advanced!C22</f>
        <v>0</v>
      </c>
      <c r="J137" s="286" t="str">
        <f>Advanced!D22</f>
        <v/>
      </c>
      <c r="K137" s="287" t="str">
        <f t="shared" si="5"/>
        <v/>
      </c>
      <c r="L137" s="285" t="str">
        <f>IF(AND(Advanced!AQ22=1,Advanced!AM22=0),"Advanced","")</f>
        <v/>
      </c>
      <c r="M137" s="285" t="str">
        <f>IF(AND(Advanced!I22="Pass",Advanced!Q22="Pass",Advanced!Y22="Pass",Advanced!AQ22=1,Advanced!AM22=0),"SP","")</f>
        <v/>
      </c>
      <c r="N137" t="str">
        <f>Advanced!AD22</f>
        <v/>
      </c>
      <c r="O137" t="e">
        <f>IF(Table3[[#This Row],[First Title]]="Started", (Table3[[#This Row],[Score]]+0)*2,Table3[[#This Row],[Score]]+0)</f>
        <v>#VALUE!</v>
      </c>
      <c r="P137" s="2" t="e">
        <f>IF(Table3[[#This Row],[Helper]]&gt;191,"Gold",IF(Table3[[#This Row],[Helper]]&gt;171,"Silver",IF(Table3[[#This Row],[Helper]]&gt;141,"Bronze","")))</f>
        <v>#VALUE!</v>
      </c>
    </row>
    <row r="138" spans="9:16" x14ac:dyDescent="0.25">
      <c r="I138" s="285">
        <f>Advanced!C23</f>
        <v>0</v>
      </c>
      <c r="J138" s="286" t="str">
        <f>Advanced!D23</f>
        <v/>
      </c>
      <c r="K138" s="287" t="str">
        <f t="shared" si="5"/>
        <v/>
      </c>
      <c r="L138" s="285" t="str">
        <f>IF(AND(Advanced!AQ23=1,Advanced!AM23=0),"Advanced","")</f>
        <v/>
      </c>
      <c r="M138" s="285" t="str">
        <f>IF(AND(Advanced!I23="Pass",Advanced!Q23="Pass",Advanced!Y23="Pass",Advanced!AQ23=1,Advanced!AM23=0),"SP","")</f>
        <v/>
      </c>
      <c r="N138" t="str">
        <f>Advanced!AD23</f>
        <v/>
      </c>
      <c r="O138" t="e">
        <f>IF(Table3[[#This Row],[First Title]]="Started", (Table3[[#This Row],[Score]]+0)*2,Table3[[#This Row],[Score]]+0)</f>
        <v>#VALUE!</v>
      </c>
      <c r="P138" s="2" t="e">
        <f>IF(Table3[[#This Row],[Helper]]&gt;191,"Gold",IF(Table3[[#This Row],[Helper]]&gt;171,"Silver",IF(Table3[[#This Row],[Helper]]&gt;141,"Bronze","")))</f>
        <v>#VALUE!</v>
      </c>
    </row>
    <row r="139" spans="9:16" x14ac:dyDescent="0.25">
      <c r="I139" s="285">
        <f>Advanced!C24</f>
        <v>0</v>
      </c>
      <c r="J139" s="286" t="str">
        <f>Advanced!D24</f>
        <v/>
      </c>
      <c r="K139" s="287" t="str">
        <f t="shared" si="5"/>
        <v/>
      </c>
      <c r="L139" s="285" t="str">
        <f>IF(AND(Advanced!AQ24=1,Advanced!AM24=0),"Advanced","")</f>
        <v/>
      </c>
      <c r="M139" s="285" t="str">
        <f>IF(AND(Advanced!I24="Pass",Advanced!Q24="Pass",Advanced!Y24="Pass",Advanced!AQ24=1,Advanced!AM24=0),"SP","")</f>
        <v/>
      </c>
      <c r="N139" t="str">
        <f>Advanced!AD24</f>
        <v/>
      </c>
      <c r="O139" t="e">
        <f>IF(Table3[[#This Row],[First Title]]="Started", (Table3[[#This Row],[Score]]+0)*2,Table3[[#This Row],[Score]]+0)</f>
        <v>#VALUE!</v>
      </c>
      <c r="P139" s="2" t="e">
        <f>IF(Table3[[#This Row],[Helper]]&gt;191,"Gold",IF(Table3[[#This Row],[Helper]]&gt;171,"Silver",IF(Table3[[#This Row],[Helper]]&gt;141,"Bronze","")))</f>
        <v>#VALUE!</v>
      </c>
    </row>
    <row r="140" spans="9:16" x14ac:dyDescent="0.25">
      <c r="I140" s="285">
        <f>Advanced!C25</f>
        <v>0</v>
      </c>
      <c r="J140" s="286" t="str">
        <f>Advanced!D25</f>
        <v/>
      </c>
      <c r="K140" s="287" t="str">
        <f t="shared" si="5"/>
        <v/>
      </c>
      <c r="L140" s="285" t="str">
        <f>IF(AND(Advanced!AQ25=1,Advanced!AM25=0),"Advanced","")</f>
        <v/>
      </c>
      <c r="M140" s="285" t="str">
        <f>IF(AND(Advanced!I25="Pass",Advanced!Q25="Pass",Advanced!Y25="Pass",Advanced!AQ25=1,Advanced!AM25=0),"SP","")</f>
        <v/>
      </c>
      <c r="N140" t="str">
        <f>Advanced!AD25</f>
        <v/>
      </c>
      <c r="O140" t="e">
        <f>IF(Table3[[#This Row],[First Title]]="Started", (Table3[[#This Row],[Score]]+0)*2,Table3[[#This Row],[Score]]+0)</f>
        <v>#VALUE!</v>
      </c>
      <c r="P140" s="2" t="e">
        <f>IF(Table3[[#This Row],[Helper]]&gt;191,"Gold",IF(Table3[[#This Row],[Helper]]&gt;171,"Silver",IF(Table3[[#This Row],[Helper]]&gt;141,"Bronze","")))</f>
        <v>#VALUE!</v>
      </c>
    </row>
    <row r="141" spans="9:16" x14ac:dyDescent="0.25">
      <c r="I141" s="285">
        <f>Advanced!C26</f>
        <v>0</v>
      </c>
      <c r="J141" s="286" t="str">
        <f>Advanced!D26</f>
        <v/>
      </c>
      <c r="K141" s="287" t="str">
        <f t="shared" si="5"/>
        <v/>
      </c>
      <c r="L141" s="285" t="str">
        <f>IF(AND(Advanced!AQ26=1,Advanced!AM26=0),"Advanced","")</f>
        <v/>
      </c>
      <c r="M141" s="285" t="str">
        <f>IF(AND(Advanced!I26="Pass",Advanced!Q26="Pass",Advanced!Y26="Pass",Advanced!AQ26=1,Advanced!AM26=0),"SP","")</f>
        <v/>
      </c>
      <c r="N141" t="str">
        <f>Advanced!AD26</f>
        <v/>
      </c>
      <c r="O141" t="e">
        <f>IF(Table3[[#This Row],[First Title]]="Started", (Table3[[#This Row],[Score]]+0)*2,Table3[[#This Row],[Score]]+0)</f>
        <v>#VALUE!</v>
      </c>
      <c r="P141" s="2" t="e">
        <f>IF(Table3[[#This Row],[Helper]]&gt;191,"Gold",IF(Table3[[#This Row],[Helper]]&gt;171,"Silver",IF(Table3[[#This Row],[Helper]]&gt;141,"Bronze","")))</f>
        <v>#VALUE!</v>
      </c>
    </row>
    <row r="142" spans="9:16" x14ac:dyDescent="0.25">
      <c r="I142" s="285">
        <f>Advanced!C27</f>
        <v>0</v>
      </c>
      <c r="J142" s="286" t="str">
        <f>Advanced!D27</f>
        <v/>
      </c>
      <c r="K142" s="287" t="str">
        <f t="shared" si="5"/>
        <v/>
      </c>
      <c r="L142" s="285" t="str">
        <f>IF(AND(Advanced!AQ27=1,Advanced!AM27=0),"Advanced","")</f>
        <v/>
      </c>
      <c r="M142" s="285" t="str">
        <f>IF(AND(Advanced!I27="Pass",Advanced!Q27="Pass",Advanced!Y27="Pass",Advanced!AQ27=1,Advanced!AM27=0),"SP","")</f>
        <v/>
      </c>
      <c r="N142" t="str">
        <f>Advanced!AD27</f>
        <v/>
      </c>
      <c r="O142" t="e">
        <f>IF(Table3[[#This Row],[First Title]]="Started", (Table3[[#This Row],[Score]]+0)*2,Table3[[#This Row],[Score]]+0)</f>
        <v>#VALUE!</v>
      </c>
      <c r="P142" s="2" t="e">
        <f>IF(Table3[[#This Row],[Helper]]&gt;191,"Gold",IF(Table3[[#This Row],[Helper]]&gt;171,"Silver",IF(Table3[[#This Row],[Helper]]&gt;141,"Bronze","")))</f>
        <v>#VALUE!</v>
      </c>
    </row>
    <row r="143" spans="9:16" x14ac:dyDescent="0.25">
      <c r="I143" s="285">
        <f>Advanced!C28</f>
        <v>0</v>
      </c>
      <c r="J143" s="286" t="str">
        <f>Advanced!D28</f>
        <v/>
      </c>
      <c r="K143" s="287" t="str">
        <f t="shared" si="5"/>
        <v/>
      </c>
      <c r="L143" s="285" t="str">
        <f>IF(AND(Advanced!AQ28=1,Advanced!AM28=0),"Advanced","")</f>
        <v/>
      </c>
      <c r="M143" s="285" t="str">
        <f>IF(AND(Advanced!I28="Pass",Advanced!Q28="Pass",Advanced!Y28="Pass",Advanced!AQ28=1,Advanced!AM28=0),"SP","")</f>
        <v/>
      </c>
      <c r="N143" t="str">
        <f>Advanced!AD28</f>
        <v/>
      </c>
      <c r="O143" t="e">
        <f>IF(Table3[[#This Row],[First Title]]="Started", (Table3[[#This Row],[Score]]+0)*2,Table3[[#This Row],[Score]]+0)</f>
        <v>#VALUE!</v>
      </c>
      <c r="P143" s="2" t="e">
        <f>IF(Table3[[#This Row],[Helper]]&gt;191,"Gold",IF(Table3[[#This Row],[Helper]]&gt;171,"Silver",IF(Table3[[#This Row],[Helper]]&gt;141,"Bronze","")))</f>
        <v>#VALUE!</v>
      </c>
    </row>
    <row r="144" spans="9:16" x14ac:dyDescent="0.25">
      <c r="I144" s="285">
        <f>Advanced!C29</f>
        <v>0</v>
      </c>
      <c r="J144" s="286" t="str">
        <f>Advanced!D29</f>
        <v/>
      </c>
      <c r="K144" s="287" t="str">
        <f t="shared" si="5"/>
        <v/>
      </c>
      <c r="L144" s="285" t="str">
        <f>IF(AND(Advanced!AQ29=1,Advanced!AM29=0),"Advanced","")</f>
        <v/>
      </c>
      <c r="M144" s="285" t="str">
        <f>IF(AND(Advanced!I29="Pass",Advanced!Q29="Pass",Advanced!Y29="Pass",Advanced!AQ29=1,Advanced!AM29=0),"SP","")</f>
        <v/>
      </c>
      <c r="N144" t="str">
        <f>Advanced!AD29</f>
        <v/>
      </c>
      <c r="O144" t="e">
        <f>IF(Table3[[#This Row],[First Title]]="Started", (Table3[[#This Row],[Score]]+0)*2,Table3[[#This Row],[Score]]+0)</f>
        <v>#VALUE!</v>
      </c>
      <c r="P144" s="2" t="e">
        <f>IF(Table3[[#This Row],[Helper]]&gt;191,"Gold",IF(Table3[[#This Row],[Helper]]&gt;171,"Silver",IF(Table3[[#This Row],[Helper]]&gt;141,"Bronze","")))</f>
        <v>#VALUE!</v>
      </c>
    </row>
    <row r="145" spans="9:16" x14ac:dyDescent="0.25">
      <c r="I145" s="285">
        <f>Advanced!C30</f>
        <v>0</v>
      </c>
      <c r="J145" s="286" t="str">
        <f>Advanced!D30</f>
        <v/>
      </c>
      <c r="K145" s="287" t="str">
        <f t="shared" si="5"/>
        <v/>
      </c>
      <c r="L145" s="285" t="str">
        <f>IF(AND(Advanced!AQ30=1,Advanced!AM30=0),"Advanced","")</f>
        <v/>
      </c>
      <c r="M145" s="285" t="str">
        <f>IF(AND(Advanced!I30="Pass",Advanced!Q30="Pass",Advanced!Y30="Pass",Advanced!AQ30=1,Advanced!AM30=0),"SP","")</f>
        <v/>
      </c>
      <c r="N145" t="str">
        <f>Advanced!AD30</f>
        <v/>
      </c>
      <c r="O145" t="e">
        <f>IF(Table3[[#This Row],[First Title]]="Started", (Table3[[#This Row],[Score]]+0)*2,Table3[[#This Row],[Score]]+0)</f>
        <v>#VALUE!</v>
      </c>
      <c r="P145" s="2" t="e">
        <f>IF(Table3[[#This Row],[Helper]]&gt;191,"Gold",IF(Table3[[#This Row],[Helper]]&gt;171,"Silver",IF(Table3[[#This Row],[Helper]]&gt;141,"Bronze","")))</f>
        <v>#VALUE!</v>
      </c>
    </row>
    <row r="146" spans="9:16" x14ac:dyDescent="0.25">
      <c r="I146" s="285">
        <f>Advanced!C31</f>
        <v>0</v>
      </c>
      <c r="J146" s="286" t="str">
        <f>Advanced!D31</f>
        <v/>
      </c>
      <c r="K146" s="287" t="str">
        <f t="shared" si="5"/>
        <v/>
      </c>
      <c r="L146" s="285" t="str">
        <f>IF(AND(Advanced!AQ31=1,Advanced!AM31=0),"Advanced","")</f>
        <v/>
      </c>
      <c r="M146" s="285" t="str">
        <f>IF(AND(Advanced!I31="Pass",Advanced!Q31="Pass",Advanced!Y31="Pass",Advanced!AQ31=1,Advanced!AM31=0),"SP","")</f>
        <v/>
      </c>
      <c r="N146" t="str">
        <f>Advanced!AD31</f>
        <v/>
      </c>
      <c r="O146" t="e">
        <f>IF(Table3[[#This Row],[First Title]]="Started", (Table3[[#This Row],[Score]]+0)*2,Table3[[#This Row],[Score]]+0)</f>
        <v>#VALUE!</v>
      </c>
      <c r="P146" s="2" t="e">
        <f>IF(Table3[[#This Row],[Helper]]&gt;191,"Gold",IF(Table3[[#This Row],[Helper]]&gt;171,"Silver",IF(Table3[[#This Row],[Helper]]&gt;141,"Bronze","")))</f>
        <v>#VALUE!</v>
      </c>
    </row>
    <row r="147" spans="9:16" x14ac:dyDescent="0.25">
      <c r="I147" s="285">
        <f>Advanced!C32</f>
        <v>0</v>
      </c>
      <c r="J147" s="286" t="str">
        <f>Advanced!D32</f>
        <v/>
      </c>
      <c r="K147" s="287" t="str">
        <f t="shared" si="5"/>
        <v/>
      </c>
      <c r="L147" s="285" t="str">
        <f>IF(AND(Advanced!AQ32=1,Advanced!AM32=0),"Advanced","")</f>
        <v/>
      </c>
      <c r="M147" s="285" t="str">
        <f>IF(AND(Advanced!I32="Pass",Advanced!Q32="Pass",Advanced!Y32="Pass",Advanced!AQ32=1,Advanced!AM32=0),"SP","")</f>
        <v/>
      </c>
      <c r="N147" t="str">
        <f>Advanced!AD32</f>
        <v/>
      </c>
      <c r="O147" t="e">
        <f>IF(Table3[[#This Row],[First Title]]="Started", (Table3[[#This Row],[Score]]+0)*2,Table3[[#This Row],[Score]]+0)</f>
        <v>#VALUE!</v>
      </c>
      <c r="P147" s="2" t="e">
        <f>IF(Table3[[#This Row],[Helper]]&gt;191,"Gold",IF(Table3[[#This Row],[Helper]]&gt;171,"Silver",IF(Table3[[#This Row],[Helper]]&gt;141,"Bronze","")))</f>
        <v>#VALUE!</v>
      </c>
    </row>
    <row r="148" spans="9:16" x14ac:dyDescent="0.25">
      <c r="I148" s="285">
        <f>Advanced!C33</f>
        <v>0</v>
      </c>
      <c r="J148" s="286" t="str">
        <f>Advanced!D33</f>
        <v/>
      </c>
      <c r="K148" s="287" t="str">
        <f t="shared" si="5"/>
        <v/>
      </c>
      <c r="L148" s="285" t="str">
        <f>IF(AND(Advanced!AQ33=1,Advanced!AM33=0),"Advanced","")</f>
        <v/>
      </c>
      <c r="M148" s="285" t="str">
        <f>IF(AND(Advanced!I33="Pass",Advanced!Q33="Pass",Advanced!Y33="Pass",Advanced!AQ33=1,Advanced!AM33=0),"SP","")</f>
        <v/>
      </c>
      <c r="N148" t="str">
        <f>Advanced!AD33</f>
        <v/>
      </c>
      <c r="O148" t="e">
        <f>IF(Table3[[#This Row],[First Title]]="Started", (Table3[[#This Row],[Score]]+0)*2,Table3[[#This Row],[Score]]+0)</f>
        <v>#VALUE!</v>
      </c>
      <c r="P148" s="2" t="e">
        <f>IF(Table3[[#This Row],[Helper]]&gt;191,"Gold",IF(Table3[[#This Row],[Helper]]&gt;171,"Silver",IF(Table3[[#This Row],[Helper]]&gt;141,"Bronze","")))</f>
        <v>#VALUE!</v>
      </c>
    </row>
    <row r="149" spans="9:16" x14ac:dyDescent="0.25">
      <c r="I149" s="285">
        <f>Advanced!C34</f>
        <v>0</v>
      </c>
      <c r="J149" s="286" t="str">
        <f>Advanced!D34</f>
        <v/>
      </c>
      <c r="K149" s="287" t="str">
        <f t="shared" si="5"/>
        <v/>
      </c>
      <c r="L149" s="285" t="str">
        <f>IF(AND(Advanced!AQ34=1,Advanced!AM34=0),"Advanced","")</f>
        <v/>
      </c>
      <c r="M149" s="285" t="str">
        <f>IF(AND(Advanced!I34="Pass",Advanced!Q34="Pass",Advanced!Y34="Pass",Advanced!AQ34=1,Advanced!AM34=0),"SP","")</f>
        <v/>
      </c>
      <c r="N149" t="str">
        <f>Advanced!AD34</f>
        <v/>
      </c>
      <c r="O149" t="e">
        <f>IF(Table3[[#This Row],[First Title]]="Started", (Table3[[#This Row],[Score]]+0)*2,Table3[[#This Row],[Score]]+0)</f>
        <v>#VALUE!</v>
      </c>
      <c r="P149" s="2" t="e">
        <f>IF(Table3[[#This Row],[Helper]]&gt;191,"Gold",IF(Table3[[#This Row],[Helper]]&gt;171,"Silver",IF(Table3[[#This Row],[Helper]]&gt;141,"Bronze","")))</f>
        <v>#VALUE!</v>
      </c>
    </row>
    <row r="150" spans="9:16" x14ac:dyDescent="0.25">
      <c r="I150" s="285">
        <f>Advanced!C35</f>
        <v>0</v>
      </c>
      <c r="J150" s="286" t="str">
        <f>Advanced!D35</f>
        <v/>
      </c>
      <c r="K150" s="287" t="str">
        <f t="shared" si="5"/>
        <v/>
      </c>
      <c r="L150" s="285" t="str">
        <f>IF(AND(Advanced!AQ35=1,Advanced!AM35=0),"Advanced","")</f>
        <v/>
      </c>
      <c r="M150" s="285" t="str">
        <f>IF(AND(Advanced!I35="Pass",Advanced!Q35="Pass",Advanced!Y35="Pass",Advanced!AQ35=1,Advanced!AM35=0),"SP","")</f>
        <v/>
      </c>
      <c r="N150" t="str">
        <f>Advanced!AD35</f>
        <v/>
      </c>
      <c r="O150" t="e">
        <f>IF(Table3[[#This Row],[First Title]]="Started", (Table3[[#This Row],[Score]]+0)*2,Table3[[#This Row],[Score]]+0)</f>
        <v>#VALUE!</v>
      </c>
      <c r="P150" s="2" t="e">
        <f>IF(Table3[[#This Row],[Helper]]&gt;191,"Gold",IF(Table3[[#This Row],[Helper]]&gt;171,"Silver",IF(Table3[[#This Row],[Helper]]&gt;141,"Bronze","")))</f>
        <v>#VALUE!</v>
      </c>
    </row>
    <row r="151" spans="9:16" x14ac:dyDescent="0.25">
      <c r="I151" s="285">
        <f>Advanced!C36</f>
        <v>0</v>
      </c>
      <c r="J151" s="286" t="str">
        <f>Advanced!D36</f>
        <v/>
      </c>
      <c r="K151" s="287" t="str">
        <f t="shared" si="5"/>
        <v/>
      </c>
      <c r="L151" s="285" t="str">
        <f>IF(AND(Advanced!AQ36=1,Advanced!AM36=0),"Advanced","")</f>
        <v/>
      </c>
      <c r="M151" s="285" t="str">
        <f>IF(AND(Advanced!I36="Pass",Advanced!Q36="Pass",Advanced!Y36="Pass",Advanced!AQ36=1,Advanced!AM36=0),"SP","")</f>
        <v/>
      </c>
      <c r="N151" t="str">
        <f>Advanced!AD36</f>
        <v/>
      </c>
      <c r="O151" t="e">
        <f>IF(Table3[[#This Row],[First Title]]="Started", (Table3[[#This Row],[Score]]+0)*2,Table3[[#This Row],[Score]]+0)</f>
        <v>#VALUE!</v>
      </c>
      <c r="P151" s="2" t="e">
        <f>IF(Table3[[#This Row],[Helper]]&gt;191,"Gold",IF(Table3[[#This Row],[Helper]]&gt;171,"Silver",IF(Table3[[#This Row],[Helper]]&gt;141,"Bronze","")))</f>
        <v>#VALUE!</v>
      </c>
    </row>
    <row r="152" spans="9:16" x14ac:dyDescent="0.25">
      <c r="I152" s="285">
        <f>Advanced!C37</f>
        <v>0</v>
      </c>
      <c r="J152" s="286" t="str">
        <f>Advanced!D37</f>
        <v/>
      </c>
      <c r="K152" s="287" t="str">
        <f t="shared" ref="K152:K169" si="6">TrialDate</f>
        <v/>
      </c>
      <c r="L152" s="285" t="str">
        <f>IF(AND(Advanced!AQ37=1,Advanced!AM37=0),"Advanced","")</f>
        <v/>
      </c>
      <c r="M152" s="285" t="str">
        <f>IF(AND(Advanced!I37="Pass",Advanced!Q37="Pass",Advanced!Y37="Pass",Advanced!AQ37=1,Advanced!AM37=0),"SP","")</f>
        <v/>
      </c>
      <c r="N152" t="str">
        <f>Advanced!AD37</f>
        <v/>
      </c>
      <c r="O152" t="e">
        <f>IF(Table3[[#This Row],[First Title]]="Started", (Table3[[#This Row],[Score]]+0)*2,Table3[[#This Row],[Score]]+0)</f>
        <v>#VALUE!</v>
      </c>
      <c r="P152" s="2" t="e">
        <f>IF(Table3[[#This Row],[Helper]]&gt;191,"Gold",IF(Table3[[#This Row],[Helper]]&gt;171,"Silver",IF(Table3[[#This Row],[Helper]]&gt;141,"Bronze","")))</f>
        <v>#VALUE!</v>
      </c>
    </row>
    <row r="153" spans="9:16" x14ac:dyDescent="0.25">
      <c r="I153" s="285">
        <f>Advanced!C38</f>
        <v>0</v>
      </c>
      <c r="J153" s="286" t="str">
        <f>Advanced!D38</f>
        <v/>
      </c>
      <c r="K153" s="287" t="str">
        <f t="shared" si="6"/>
        <v/>
      </c>
      <c r="L153" s="285" t="str">
        <f>IF(AND(Advanced!AQ38=1,Advanced!AM38=0),"Advanced","")</f>
        <v/>
      </c>
      <c r="M153" s="285" t="str">
        <f>IF(AND(Advanced!I38="Pass",Advanced!Q38="Pass",Advanced!Y38="Pass",Advanced!AQ38=1,Advanced!AM38=0),"SP","")</f>
        <v/>
      </c>
      <c r="N153" t="str">
        <f>Advanced!AD38</f>
        <v/>
      </c>
      <c r="O153" t="e">
        <f>IF(Table3[[#This Row],[First Title]]="Started", (Table3[[#This Row],[Score]]+0)*2,Table3[[#This Row],[Score]]+0)</f>
        <v>#VALUE!</v>
      </c>
      <c r="P153" s="2" t="e">
        <f>IF(Table3[[#This Row],[Helper]]&gt;191,"Gold",IF(Table3[[#This Row],[Helper]]&gt;171,"Silver",IF(Table3[[#This Row],[Helper]]&gt;141,"Bronze","")))</f>
        <v>#VALUE!</v>
      </c>
    </row>
    <row r="154" spans="9:16" x14ac:dyDescent="0.25">
      <c r="I154" s="285">
        <f>Advanced!C39</f>
        <v>0</v>
      </c>
      <c r="J154" s="286" t="str">
        <f>Advanced!D39</f>
        <v/>
      </c>
      <c r="K154" s="287" t="str">
        <f t="shared" si="6"/>
        <v/>
      </c>
      <c r="L154" s="285" t="str">
        <f>IF(AND(Advanced!AQ39=1,Advanced!AM39=0),"Advanced","")</f>
        <v/>
      </c>
      <c r="M154" s="285" t="str">
        <f>IF(AND(Advanced!I39="Pass",Advanced!Q39="Pass",Advanced!Y39="Pass",Advanced!AQ39=1,Advanced!AM39=0),"SP","")</f>
        <v/>
      </c>
      <c r="N154" t="str">
        <f>Advanced!AD39</f>
        <v/>
      </c>
      <c r="O154" t="e">
        <f>IF(Table3[[#This Row],[First Title]]="Started", (Table3[[#This Row],[Score]]+0)*2,Table3[[#This Row],[Score]]+0)</f>
        <v>#VALUE!</v>
      </c>
      <c r="P154" s="2" t="e">
        <f>IF(Table3[[#This Row],[Helper]]&gt;191,"Gold",IF(Table3[[#This Row],[Helper]]&gt;171,"Silver",IF(Table3[[#This Row],[Helper]]&gt;141,"Bronze","")))</f>
        <v>#VALUE!</v>
      </c>
    </row>
    <row r="155" spans="9:16" x14ac:dyDescent="0.25">
      <c r="I155" s="285">
        <f>Advanced!C40</f>
        <v>0</v>
      </c>
      <c r="J155" s="286" t="str">
        <f>Advanced!D40</f>
        <v/>
      </c>
      <c r="K155" s="287" t="str">
        <f t="shared" si="6"/>
        <v/>
      </c>
      <c r="L155" s="285" t="str">
        <f>IF(AND(Advanced!AQ40=1,Advanced!AM40=0),"Advanced","")</f>
        <v/>
      </c>
      <c r="M155" s="285" t="str">
        <f>IF(AND(Advanced!I40="Pass",Advanced!Q40="Pass",Advanced!Y40="Pass",Advanced!AQ40=1,Advanced!AM40=0),"SP","")</f>
        <v/>
      </c>
      <c r="N155" t="str">
        <f>Advanced!AD40</f>
        <v/>
      </c>
      <c r="O155" t="e">
        <f>IF(Table3[[#This Row],[First Title]]="Started", (Table3[[#This Row],[Score]]+0)*2,Table3[[#This Row],[Score]]+0)</f>
        <v>#VALUE!</v>
      </c>
      <c r="P155" s="2" t="e">
        <f>IF(Table3[[#This Row],[Helper]]&gt;191,"Gold",IF(Table3[[#This Row],[Helper]]&gt;171,"Silver",IF(Table3[[#This Row],[Helper]]&gt;141,"Bronze","")))</f>
        <v>#VALUE!</v>
      </c>
    </row>
    <row r="156" spans="9:16" x14ac:dyDescent="0.25">
      <c r="I156" s="285">
        <f>Advanced!C41</f>
        <v>0</v>
      </c>
      <c r="J156" s="286" t="str">
        <f>Advanced!D41</f>
        <v/>
      </c>
      <c r="K156" s="287" t="str">
        <f t="shared" si="6"/>
        <v/>
      </c>
      <c r="L156" s="285" t="str">
        <f>IF(AND(Advanced!AQ41=1,Advanced!AM41=0),"Advanced","")</f>
        <v/>
      </c>
      <c r="M156" s="285" t="str">
        <f>IF(AND(Advanced!I41="Pass",Advanced!Q41="Pass",Advanced!Y41="Pass",Advanced!AQ41=1,Advanced!AM41=0),"SP","")</f>
        <v/>
      </c>
      <c r="N156" t="str">
        <f>Advanced!AD41</f>
        <v/>
      </c>
      <c r="O156" t="e">
        <f>IF(Table3[[#This Row],[First Title]]="Started", (Table3[[#This Row],[Score]]+0)*2,Table3[[#This Row],[Score]]+0)</f>
        <v>#VALUE!</v>
      </c>
      <c r="P156" s="2" t="e">
        <f>IF(Table3[[#This Row],[Helper]]&gt;191,"Gold",IF(Table3[[#This Row],[Helper]]&gt;171,"Silver",IF(Table3[[#This Row],[Helper]]&gt;141,"Bronze","")))</f>
        <v>#VALUE!</v>
      </c>
    </row>
    <row r="157" spans="9:16" x14ac:dyDescent="0.25">
      <c r="I157" s="285">
        <f>Advanced!C42</f>
        <v>0</v>
      </c>
      <c r="J157" s="286" t="str">
        <f>Advanced!D42</f>
        <v/>
      </c>
      <c r="K157" s="287" t="str">
        <f t="shared" si="6"/>
        <v/>
      </c>
      <c r="L157" s="285" t="str">
        <f>IF(AND(Advanced!AQ42=1,Advanced!AM42=0),"Advanced","")</f>
        <v/>
      </c>
      <c r="M157" s="285" t="str">
        <f>IF(AND(Advanced!I42="Pass",Advanced!Q42="Pass",Advanced!Y42="Pass",Advanced!AQ42=1,Advanced!AM42=0),"SP","")</f>
        <v/>
      </c>
      <c r="N157" t="str">
        <f>Advanced!AD42</f>
        <v/>
      </c>
      <c r="O157" t="e">
        <f>IF(Table3[[#This Row],[First Title]]="Started", (Table3[[#This Row],[Score]]+0)*2,Table3[[#This Row],[Score]]+0)</f>
        <v>#VALUE!</v>
      </c>
      <c r="P157" s="2" t="e">
        <f>IF(Table3[[#This Row],[Helper]]&gt;191,"Gold",IF(Table3[[#This Row],[Helper]]&gt;171,"Silver",IF(Table3[[#This Row],[Helper]]&gt;141,"Bronze","")))</f>
        <v>#VALUE!</v>
      </c>
    </row>
    <row r="158" spans="9:16" x14ac:dyDescent="0.25">
      <c r="I158" s="285">
        <f>Advanced!C43</f>
        <v>0</v>
      </c>
      <c r="J158" s="286" t="str">
        <f>Advanced!D43</f>
        <v/>
      </c>
      <c r="K158" s="287" t="str">
        <f t="shared" si="6"/>
        <v/>
      </c>
      <c r="L158" s="285" t="str">
        <f>IF(AND(Advanced!AQ43=1,Advanced!AM43=0),"Advanced","")</f>
        <v/>
      </c>
      <c r="M158" s="285" t="str">
        <f>IF(AND(Advanced!I43="Pass",Advanced!Q43="Pass",Advanced!Y43="Pass",Advanced!AQ43=1,Advanced!AM43=0),"SP","")</f>
        <v/>
      </c>
      <c r="N158" t="str">
        <f>Advanced!AD43</f>
        <v/>
      </c>
      <c r="O158" t="e">
        <f>IF(Table3[[#This Row],[First Title]]="Started", (Table3[[#This Row],[Score]]+0)*2,Table3[[#This Row],[Score]]+0)</f>
        <v>#VALUE!</v>
      </c>
      <c r="P158" s="2" t="e">
        <f>IF(Table3[[#This Row],[Helper]]&gt;191,"Gold",IF(Table3[[#This Row],[Helper]]&gt;171,"Silver",IF(Table3[[#This Row],[Helper]]&gt;141,"Bronze","")))</f>
        <v>#VALUE!</v>
      </c>
    </row>
    <row r="159" spans="9:16" x14ac:dyDescent="0.25">
      <c r="I159" s="285">
        <f>Advanced!C44</f>
        <v>0</v>
      </c>
      <c r="J159" s="286" t="str">
        <f>Advanced!D44</f>
        <v/>
      </c>
      <c r="K159" s="287" t="str">
        <f t="shared" si="6"/>
        <v/>
      </c>
      <c r="L159" s="285" t="str">
        <f>IF(AND(Advanced!AQ44=1,Advanced!AM44=0),"Advanced","")</f>
        <v/>
      </c>
      <c r="M159" s="285" t="str">
        <f>IF(AND(Advanced!I44="Pass",Advanced!Q44="Pass",Advanced!Y44="Pass",Advanced!AQ44=1,Advanced!AM44=0),"SP","")</f>
        <v/>
      </c>
      <c r="N159" t="str">
        <f>Advanced!AD44</f>
        <v/>
      </c>
      <c r="O159" t="e">
        <f>IF(Table3[[#This Row],[First Title]]="Started", (Table3[[#This Row],[Score]]+0)*2,Table3[[#This Row],[Score]]+0)</f>
        <v>#VALUE!</v>
      </c>
      <c r="P159" s="2" t="e">
        <f>IF(Table3[[#This Row],[Helper]]&gt;191,"Gold",IF(Table3[[#This Row],[Helper]]&gt;171,"Silver",IF(Table3[[#This Row],[Helper]]&gt;141,"Bronze","")))</f>
        <v>#VALUE!</v>
      </c>
    </row>
    <row r="160" spans="9:16" x14ac:dyDescent="0.25">
      <c r="I160" s="285">
        <f>Advanced!C45</f>
        <v>0</v>
      </c>
      <c r="J160" s="286" t="str">
        <f>Advanced!D45</f>
        <v/>
      </c>
      <c r="K160" s="287" t="str">
        <f t="shared" si="6"/>
        <v/>
      </c>
      <c r="L160" s="285" t="str">
        <f>IF(AND(Advanced!AQ45=1,Advanced!AM45=0),"Advanced","")</f>
        <v/>
      </c>
      <c r="M160" s="285" t="str">
        <f>IF(AND(Advanced!I45="Pass",Advanced!Q45="Pass",Advanced!Y45="Pass",Advanced!AQ45=1,Advanced!AM45=0),"SP","")</f>
        <v/>
      </c>
      <c r="N160" t="str">
        <f>Advanced!AD45</f>
        <v/>
      </c>
      <c r="O160" t="e">
        <f>IF(Table3[[#This Row],[First Title]]="Started", (Table3[[#This Row],[Score]]+0)*2,Table3[[#This Row],[Score]]+0)</f>
        <v>#VALUE!</v>
      </c>
      <c r="P160" s="2" t="e">
        <f>IF(Table3[[#This Row],[Helper]]&gt;191,"Gold",IF(Table3[[#This Row],[Helper]]&gt;171,"Silver",IF(Table3[[#This Row],[Helper]]&gt;141,"Bronze","")))</f>
        <v>#VALUE!</v>
      </c>
    </row>
    <row r="161" spans="9:16" x14ac:dyDescent="0.25">
      <c r="I161" s="285">
        <f>Advanced!C46</f>
        <v>0</v>
      </c>
      <c r="J161" s="286" t="str">
        <f>Advanced!D46</f>
        <v/>
      </c>
      <c r="K161" s="287" t="str">
        <f t="shared" si="6"/>
        <v/>
      </c>
      <c r="L161" s="285" t="str">
        <f>IF(AND(Advanced!AQ46=1,Advanced!AM46=0),"Advanced","")</f>
        <v/>
      </c>
      <c r="M161" s="285" t="str">
        <f>IF(AND(Advanced!I46="Pass",Advanced!Q46="Pass",Advanced!Y46="Pass",Advanced!AQ46=1,Advanced!AM46=0),"SP","")</f>
        <v/>
      </c>
      <c r="N161" t="str">
        <f>Advanced!AD46</f>
        <v/>
      </c>
      <c r="O161" t="e">
        <f>IF(Table3[[#This Row],[First Title]]="Started", (Table3[[#This Row],[Score]]+0)*2,Table3[[#This Row],[Score]]+0)</f>
        <v>#VALUE!</v>
      </c>
      <c r="P161" s="2" t="e">
        <f>IF(Table3[[#This Row],[Helper]]&gt;191,"Gold",IF(Table3[[#This Row],[Helper]]&gt;171,"Silver",IF(Table3[[#This Row],[Helper]]&gt;141,"Bronze","")))</f>
        <v>#VALUE!</v>
      </c>
    </row>
    <row r="162" spans="9:16" x14ac:dyDescent="0.25">
      <c r="I162" s="285">
        <f>Advanced!C47</f>
        <v>0</v>
      </c>
      <c r="J162" s="286" t="str">
        <f>Advanced!D47</f>
        <v/>
      </c>
      <c r="K162" s="287" t="str">
        <f t="shared" si="6"/>
        <v/>
      </c>
      <c r="L162" s="285" t="str">
        <f>IF(AND(Advanced!AQ47=1,Advanced!AM47=0),"Advanced","")</f>
        <v/>
      </c>
      <c r="M162" s="285" t="str">
        <f>IF(AND(Advanced!I47="Pass",Advanced!Q47="Pass",Advanced!Y47="Pass",Advanced!AQ47=1,Advanced!AM47=0),"SP","")</f>
        <v/>
      </c>
      <c r="N162" t="str">
        <f>Advanced!AD47</f>
        <v/>
      </c>
      <c r="O162" t="e">
        <f>IF(Table3[[#This Row],[First Title]]="Started", (Table3[[#This Row],[Score]]+0)*2,Table3[[#This Row],[Score]]+0)</f>
        <v>#VALUE!</v>
      </c>
      <c r="P162" s="2" t="e">
        <f>IF(Table3[[#This Row],[Helper]]&gt;191,"Gold",IF(Table3[[#This Row],[Helper]]&gt;171,"Silver",IF(Table3[[#This Row],[Helper]]&gt;141,"Bronze","")))</f>
        <v>#VALUE!</v>
      </c>
    </row>
    <row r="163" spans="9:16" x14ac:dyDescent="0.25">
      <c r="I163" s="285">
        <f>Advanced!C48</f>
        <v>0</v>
      </c>
      <c r="J163" s="286" t="str">
        <f>Advanced!D48</f>
        <v/>
      </c>
      <c r="K163" s="287" t="str">
        <f t="shared" si="6"/>
        <v/>
      </c>
      <c r="L163" s="285" t="str">
        <f>IF(AND(Advanced!AQ48=1,Advanced!AM48=0),"Advanced","")</f>
        <v/>
      </c>
      <c r="M163" s="285" t="str">
        <f>IF(AND(Advanced!I48="Pass",Advanced!Q48="Pass",Advanced!Y48="Pass",Advanced!AQ48=1,Advanced!AM48=0),"SP","")</f>
        <v/>
      </c>
      <c r="N163" t="str">
        <f>Advanced!AD48</f>
        <v/>
      </c>
      <c r="O163" t="e">
        <f>IF(Table3[[#This Row],[First Title]]="Started", (Table3[[#This Row],[Score]]+0)*2,Table3[[#This Row],[Score]]+0)</f>
        <v>#VALUE!</v>
      </c>
      <c r="P163" s="2" t="e">
        <f>IF(Table3[[#This Row],[Helper]]&gt;191,"Gold",IF(Table3[[#This Row],[Helper]]&gt;171,"Silver",IF(Table3[[#This Row],[Helper]]&gt;141,"Bronze","")))</f>
        <v>#VALUE!</v>
      </c>
    </row>
    <row r="164" spans="9:16" x14ac:dyDescent="0.25">
      <c r="I164" s="285">
        <f>Advanced!C49</f>
        <v>0</v>
      </c>
      <c r="J164" s="286" t="str">
        <f>Advanced!D49</f>
        <v/>
      </c>
      <c r="K164" s="287" t="str">
        <f t="shared" si="6"/>
        <v/>
      </c>
      <c r="L164" s="285" t="str">
        <f>IF(AND(Advanced!AQ49=1,Advanced!AM49=0),"Advanced","")</f>
        <v/>
      </c>
      <c r="M164" s="285" t="str">
        <f>IF(AND(Advanced!I49="Pass",Advanced!Q49="Pass",Advanced!Y49="Pass",Advanced!AQ49=1,Advanced!AM49=0),"SP","")</f>
        <v/>
      </c>
      <c r="N164" t="str">
        <f>Advanced!AD49</f>
        <v/>
      </c>
      <c r="O164" t="e">
        <f>IF(Table3[[#This Row],[First Title]]="Started", (Table3[[#This Row],[Score]]+0)*2,Table3[[#This Row],[Score]]+0)</f>
        <v>#VALUE!</v>
      </c>
      <c r="P164" s="2" t="e">
        <f>IF(Table3[[#This Row],[Helper]]&gt;191,"Gold",IF(Table3[[#This Row],[Helper]]&gt;171,"Silver",IF(Table3[[#This Row],[Helper]]&gt;141,"Bronze","")))</f>
        <v>#VALUE!</v>
      </c>
    </row>
    <row r="165" spans="9:16" x14ac:dyDescent="0.25">
      <c r="I165" s="285">
        <f>Advanced!C50</f>
        <v>0</v>
      </c>
      <c r="J165" s="286" t="str">
        <f>Advanced!D50</f>
        <v/>
      </c>
      <c r="K165" s="287" t="str">
        <f t="shared" si="6"/>
        <v/>
      </c>
      <c r="L165" s="285" t="str">
        <f>IF(AND(Advanced!AQ50=1,Advanced!AM50=0),"Advanced","")</f>
        <v/>
      </c>
      <c r="M165" s="285" t="str">
        <f>IF(AND(Advanced!I50="Pass",Advanced!Q50="Pass",Advanced!Y50="Pass",Advanced!AQ50=1,Advanced!AM50=0),"SP","")</f>
        <v/>
      </c>
      <c r="N165" t="str">
        <f>Advanced!AD50</f>
        <v/>
      </c>
      <c r="O165" t="e">
        <f>IF(Table3[[#This Row],[First Title]]="Started", (Table3[[#This Row],[Score]]+0)*2,Table3[[#This Row],[Score]]+0)</f>
        <v>#VALUE!</v>
      </c>
      <c r="P165" s="2" t="e">
        <f>IF(Table3[[#This Row],[Helper]]&gt;191,"Gold",IF(Table3[[#This Row],[Helper]]&gt;171,"Silver",IF(Table3[[#This Row],[Helper]]&gt;141,"Bronze","")))</f>
        <v>#VALUE!</v>
      </c>
    </row>
    <row r="166" spans="9:16" x14ac:dyDescent="0.25">
      <c r="I166" s="285">
        <f>Advanced!C51</f>
        <v>0</v>
      </c>
      <c r="J166" s="286" t="str">
        <f>Advanced!D51</f>
        <v/>
      </c>
      <c r="K166" s="287" t="str">
        <f t="shared" si="6"/>
        <v/>
      </c>
      <c r="L166" s="285" t="str">
        <f>IF(AND(Advanced!AQ51=1,Advanced!AM51=0),"Advanced","")</f>
        <v/>
      </c>
      <c r="M166" s="285" t="str">
        <f>IF(AND(Advanced!I51="Pass",Advanced!Q51="Pass",Advanced!Y51="Pass",Advanced!AQ51=1,Advanced!AM51=0),"SP","")</f>
        <v/>
      </c>
      <c r="N166" t="str">
        <f>Advanced!AD51</f>
        <v/>
      </c>
      <c r="O166" t="e">
        <f>IF(Table3[[#This Row],[First Title]]="Started", (Table3[[#This Row],[Score]]+0)*2,Table3[[#This Row],[Score]]+0)</f>
        <v>#VALUE!</v>
      </c>
      <c r="P166" s="2" t="e">
        <f>IF(Table3[[#This Row],[Helper]]&gt;191,"Gold",IF(Table3[[#This Row],[Helper]]&gt;171,"Silver",IF(Table3[[#This Row],[Helper]]&gt;141,"Bronze","")))</f>
        <v>#VALUE!</v>
      </c>
    </row>
    <row r="167" spans="9:16" x14ac:dyDescent="0.25">
      <c r="I167" s="285">
        <f>Advanced!C52</f>
        <v>0</v>
      </c>
      <c r="J167" s="286" t="str">
        <f>Advanced!D52</f>
        <v/>
      </c>
      <c r="K167" s="287" t="str">
        <f t="shared" si="6"/>
        <v/>
      </c>
      <c r="L167" s="285" t="str">
        <f>IF(AND(Advanced!AQ52=1,Advanced!AM52=0),"Advanced","")</f>
        <v/>
      </c>
      <c r="M167" s="285" t="str">
        <f>IF(AND(Advanced!I52="Pass",Advanced!Q52="Pass",Advanced!Y52="Pass",Advanced!AQ52=1,Advanced!AM52=0),"SP","")</f>
        <v/>
      </c>
      <c r="N167" t="str">
        <f>Advanced!AD52</f>
        <v/>
      </c>
      <c r="O167" t="e">
        <f>IF(Table3[[#This Row],[First Title]]="Started", (Table3[[#This Row],[Score]]+0)*2,Table3[[#This Row],[Score]]+0)</f>
        <v>#VALUE!</v>
      </c>
      <c r="P167" s="2" t="e">
        <f>IF(Table3[[#This Row],[Helper]]&gt;191,"Gold",IF(Table3[[#This Row],[Helper]]&gt;171,"Silver",IF(Table3[[#This Row],[Helper]]&gt;141,"Bronze","")))</f>
        <v>#VALUE!</v>
      </c>
    </row>
    <row r="168" spans="9:16" x14ac:dyDescent="0.25">
      <c r="I168" s="285">
        <f>Advanced!C53</f>
        <v>0</v>
      </c>
      <c r="J168" s="286" t="str">
        <f>Advanced!D53</f>
        <v/>
      </c>
      <c r="K168" s="287" t="str">
        <f t="shared" si="6"/>
        <v/>
      </c>
      <c r="L168" s="285" t="str">
        <f>IF(AND(Advanced!AQ53=1,Advanced!AM53=0),"Advanced","")</f>
        <v/>
      </c>
      <c r="M168" s="285" t="str">
        <f>IF(AND(Advanced!I53="Pass",Advanced!Q53="Pass",Advanced!Y53="Pass",Advanced!AQ53=1,Advanced!AM53=0),"SP","")</f>
        <v/>
      </c>
      <c r="N168" t="str">
        <f>Advanced!AD53</f>
        <v/>
      </c>
      <c r="O168" t="e">
        <f>IF(Table3[[#This Row],[First Title]]="Started", (Table3[[#This Row],[Score]]+0)*2,Table3[[#This Row],[Score]]+0)</f>
        <v>#VALUE!</v>
      </c>
      <c r="P168" s="2" t="e">
        <f>IF(Table3[[#This Row],[Helper]]&gt;191,"Gold",IF(Table3[[#This Row],[Helper]]&gt;171,"Silver",IF(Table3[[#This Row],[Helper]]&gt;141,"Bronze","")))</f>
        <v>#VALUE!</v>
      </c>
    </row>
    <row r="169" spans="9:16" x14ac:dyDescent="0.25">
      <c r="I169" s="285">
        <f>Advanced!C54</f>
        <v>0</v>
      </c>
      <c r="J169" s="286" t="str">
        <f>Advanced!D54</f>
        <v/>
      </c>
      <c r="K169" s="287" t="str">
        <f t="shared" si="6"/>
        <v/>
      </c>
      <c r="L169" s="285" t="str">
        <f>IF(AND(Advanced!AQ54=1,Advanced!AM54=0),"Advanced","")</f>
        <v/>
      </c>
      <c r="M169" s="285" t="str">
        <f>IF(AND(Advanced!I54="Pass",Advanced!Q54="Pass",Advanced!Y54="Pass",Advanced!AQ54=1,Advanced!AM54=0),"SP","")</f>
        <v/>
      </c>
      <c r="N169" t="str">
        <f>Advanced!AD54</f>
        <v/>
      </c>
      <c r="O169" t="e">
        <f>IF(Table3[[#This Row],[First Title]]="Started", (Table3[[#This Row],[Score]]+0)*2,Table3[[#This Row],[Score]]+0)</f>
        <v>#VALUE!</v>
      </c>
      <c r="P169" s="2" t="e">
        <f>IF(Table3[[#This Row],[Helper]]&gt;191,"Gold",IF(Table3[[#This Row],[Helper]]&gt;171,"Silver",IF(Table3[[#This Row],[Helper]]&gt;141,"Bronze","")))</f>
        <v>#VALUE!</v>
      </c>
    </row>
    <row r="170" spans="9:16" x14ac:dyDescent="0.25">
      <c r="I170" s="285">
        <f>Advanced!C65</f>
        <v>0</v>
      </c>
      <c r="J170" s="286" t="str">
        <f>Advanced!D65</f>
        <v/>
      </c>
      <c r="K170" s="287" t="str">
        <f t="shared" ref="K170:K201" si="7">TrialDateDay2</f>
        <v/>
      </c>
      <c r="L170" s="285" t="str">
        <f>IF(AND(Advanced!AQ65=1,Advanced!AM65=0),"Advanced","")</f>
        <v/>
      </c>
      <c r="M170" s="285" t="str">
        <f>IF(AND(Advanced!I65="Pass",Advanced!Q65="Pass",Advanced!Y65="Pass",Advanced!AQ65=1,Advanced!AM65=0),"SP","")</f>
        <v/>
      </c>
      <c r="N170" t="str">
        <f>Advanced!AD65</f>
        <v/>
      </c>
      <c r="O170" t="e">
        <f>IF(Table3[[#This Row],[First Title]]="Started", (Table3[[#This Row],[Score]]+0)*2,Table3[[#This Row],[Score]]+0)</f>
        <v>#VALUE!</v>
      </c>
      <c r="P170" s="2" t="e">
        <f>IF(Table3[[#This Row],[Helper]]&gt;191,"Gold",IF(Table3[[#This Row],[Helper]]&gt;171,"Silver",IF(Table3[[#This Row],[Helper]]&gt;141,"Bronze","")))</f>
        <v>#VALUE!</v>
      </c>
    </row>
    <row r="171" spans="9:16" x14ac:dyDescent="0.25">
      <c r="I171" s="285">
        <f>Advanced!C66</f>
        <v>0</v>
      </c>
      <c r="J171" s="286" t="str">
        <f>Advanced!D66</f>
        <v/>
      </c>
      <c r="K171" s="287" t="str">
        <f t="shared" si="7"/>
        <v/>
      </c>
      <c r="L171" s="285" t="str">
        <f>IF(AND(Advanced!AQ66=1,Advanced!AM66=0),"Advanced","")</f>
        <v/>
      </c>
      <c r="M171" s="285" t="str">
        <f>IF(AND(Advanced!I66="Pass",Advanced!Q66="Pass",Advanced!Y66="Pass",Advanced!AQ66=1,Advanced!AM66=0),"SP","")</f>
        <v/>
      </c>
      <c r="N171" t="str">
        <f>Advanced!AD66</f>
        <v/>
      </c>
      <c r="O171" t="e">
        <f>IF(Table3[[#This Row],[First Title]]="Started", (Table3[[#This Row],[Score]]+0)*2,Table3[[#This Row],[Score]]+0)</f>
        <v>#VALUE!</v>
      </c>
      <c r="P171" s="2" t="e">
        <f>IF(Table3[[#This Row],[Helper]]&gt;191,"Gold",IF(Table3[[#This Row],[Helper]]&gt;171,"Silver",IF(Table3[[#This Row],[Helper]]&gt;141,"Bronze","")))</f>
        <v>#VALUE!</v>
      </c>
    </row>
    <row r="172" spans="9:16" x14ac:dyDescent="0.25">
      <c r="I172" s="285">
        <f>Advanced!C67</f>
        <v>0</v>
      </c>
      <c r="J172" s="286" t="str">
        <f>Advanced!D67</f>
        <v/>
      </c>
      <c r="K172" s="287" t="str">
        <f t="shared" si="7"/>
        <v/>
      </c>
      <c r="L172" s="285" t="str">
        <f>IF(AND(Advanced!AQ67=1,Advanced!AM67=0),"Advanced","")</f>
        <v/>
      </c>
      <c r="M172" s="285" t="str">
        <f>IF(AND(Advanced!I67="Pass",Advanced!Q67="Pass",Advanced!Y67="Pass",Advanced!AQ67=1,Advanced!AM67=0),"SP","")</f>
        <v/>
      </c>
      <c r="N172" t="str">
        <f>Advanced!AD67</f>
        <v/>
      </c>
      <c r="O172" t="e">
        <f>IF(Table3[[#This Row],[First Title]]="Started", (Table3[[#This Row],[Score]]+0)*2,Table3[[#This Row],[Score]]+0)</f>
        <v>#VALUE!</v>
      </c>
      <c r="P172" s="2" t="e">
        <f>IF(Table3[[#This Row],[Helper]]&gt;191,"Gold",IF(Table3[[#This Row],[Helper]]&gt;171,"Silver",IF(Table3[[#This Row],[Helper]]&gt;141,"Bronze","")))</f>
        <v>#VALUE!</v>
      </c>
    </row>
    <row r="173" spans="9:16" x14ac:dyDescent="0.25">
      <c r="I173" s="285">
        <f>Advanced!C68</f>
        <v>0</v>
      </c>
      <c r="J173" s="286" t="str">
        <f>Advanced!D68</f>
        <v/>
      </c>
      <c r="K173" s="287" t="str">
        <f t="shared" si="7"/>
        <v/>
      </c>
      <c r="L173" s="285" t="str">
        <f>IF(AND(Advanced!AQ68=1,Advanced!AM68=0),"Advanced","")</f>
        <v/>
      </c>
      <c r="M173" s="285" t="str">
        <f>IF(AND(Advanced!I68="Pass",Advanced!Q68="Pass",Advanced!Y68="Pass",Advanced!AQ68=1,Advanced!AM68=0),"SP","")</f>
        <v/>
      </c>
      <c r="N173" t="str">
        <f>Advanced!AD68</f>
        <v/>
      </c>
      <c r="O173" t="e">
        <f>IF(Table3[[#This Row],[First Title]]="Started", (Table3[[#This Row],[Score]]+0)*2,Table3[[#This Row],[Score]]+0)</f>
        <v>#VALUE!</v>
      </c>
      <c r="P173" s="2" t="e">
        <f>IF(Table3[[#This Row],[Helper]]&gt;191,"Gold",IF(Table3[[#This Row],[Helper]]&gt;171,"Silver",IF(Table3[[#This Row],[Helper]]&gt;141,"Bronze","")))</f>
        <v>#VALUE!</v>
      </c>
    </row>
    <row r="174" spans="9:16" x14ac:dyDescent="0.25">
      <c r="I174" s="285">
        <f>Advanced!C69</f>
        <v>0</v>
      </c>
      <c r="J174" s="286" t="str">
        <f>Advanced!D69</f>
        <v/>
      </c>
      <c r="K174" s="287" t="str">
        <f t="shared" si="7"/>
        <v/>
      </c>
      <c r="L174" s="285" t="str">
        <f>IF(AND(Advanced!AQ69=1,Advanced!AM69=0),"Advanced","")</f>
        <v/>
      </c>
      <c r="M174" s="285" t="str">
        <f>IF(AND(Advanced!I69="Pass",Advanced!Q69="Pass",Advanced!Y69="Pass",Advanced!AQ69=1,Advanced!AM69=0),"SP","")</f>
        <v/>
      </c>
      <c r="N174" t="str">
        <f>Advanced!AD69</f>
        <v/>
      </c>
      <c r="O174" t="e">
        <f>IF(Table3[[#This Row],[First Title]]="Started", (Table3[[#This Row],[Score]]+0)*2,Table3[[#This Row],[Score]]+0)</f>
        <v>#VALUE!</v>
      </c>
      <c r="P174" s="2" t="e">
        <f>IF(Table3[[#This Row],[Helper]]&gt;191,"Gold",IF(Table3[[#This Row],[Helper]]&gt;171,"Silver",IF(Table3[[#This Row],[Helper]]&gt;141,"Bronze","")))</f>
        <v>#VALUE!</v>
      </c>
    </row>
    <row r="175" spans="9:16" x14ac:dyDescent="0.25">
      <c r="I175" s="285">
        <f>Advanced!C70</f>
        <v>0</v>
      </c>
      <c r="J175" s="286" t="str">
        <f>Advanced!D70</f>
        <v/>
      </c>
      <c r="K175" s="287" t="str">
        <f t="shared" si="7"/>
        <v/>
      </c>
      <c r="L175" s="285" t="str">
        <f>IF(AND(Advanced!AQ70=1,Advanced!AM70=0),"Advanced","")</f>
        <v/>
      </c>
      <c r="M175" s="285" t="str">
        <f>IF(AND(Advanced!I70="Pass",Advanced!Q70="Pass",Advanced!Y70="Pass",Advanced!AQ70=1,Advanced!AM70=0),"SP","")</f>
        <v/>
      </c>
      <c r="N175" t="str">
        <f>Advanced!AD70</f>
        <v/>
      </c>
      <c r="O175" t="e">
        <f>IF(Table3[[#This Row],[First Title]]="Started", (Table3[[#This Row],[Score]]+0)*2,Table3[[#This Row],[Score]]+0)</f>
        <v>#VALUE!</v>
      </c>
      <c r="P175" s="2" t="e">
        <f>IF(Table3[[#This Row],[Helper]]&gt;191,"Gold",IF(Table3[[#This Row],[Helper]]&gt;171,"Silver",IF(Table3[[#This Row],[Helper]]&gt;141,"Bronze","")))</f>
        <v>#VALUE!</v>
      </c>
    </row>
    <row r="176" spans="9:16" x14ac:dyDescent="0.25">
      <c r="I176" s="285">
        <f>Advanced!C71</f>
        <v>0</v>
      </c>
      <c r="J176" s="286" t="str">
        <f>Advanced!D71</f>
        <v/>
      </c>
      <c r="K176" s="287" t="str">
        <f t="shared" si="7"/>
        <v/>
      </c>
      <c r="L176" s="285" t="str">
        <f>IF(AND(Advanced!AQ71=1,Advanced!AM71=0),"Advanced","")</f>
        <v/>
      </c>
      <c r="M176" s="285" t="str">
        <f>IF(AND(Advanced!I71="Pass",Advanced!Q71="Pass",Advanced!Y71="Pass",Advanced!AQ71=1,Advanced!AM71=0),"SP","")</f>
        <v/>
      </c>
      <c r="N176" t="str">
        <f>Advanced!AD71</f>
        <v/>
      </c>
      <c r="O176" t="e">
        <f>IF(Table3[[#This Row],[First Title]]="Started", (Table3[[#This Row],[Score]]+0)*2,Table3[[#This Row],[Score]]+0)</f>
        <v>#VALUE!</v>
      </c>
      <c r="P176" s="2" t="e">
        <f>IF(Table3[[#This Row],[Helper]]&gt;191,"Gold",IF(Table3[[#This Row],[Helper]]&gt;171,"Silver",IF(Table3[[#This Row],[Helper]]&gt;141,"Bronze","")))</f>
        <v>#VALUE!</v>
      </c>
    </row>
    <row r="177" spans="9:16" x14ac:dyDescent="0.25">
      <c r="I177" s="285">
        <f>Advanced!C72</f>
        <v>0</v>
      </c>
      <c r="J177" s="286" t="str">
        <f>Advanced!D72</f>
        <v/>
      </c>
      <c r="K177" s="287" t="str">
        <f t="shared" si="7"/>
        <v/>
      </c>
      <c r="L177" s="285" t="str">
        <f>IF(AND(Advanced!AQ72=1,Advanced!AM72=0),"Advanced","")</f>
        <v/>
      </c>
      <c r="M177" s="285" t="str">
        <f>IF(AND(Advanced!I72="Pass",Advanced!Q72="Pass",Advanced!Y72="Pass",Advanced!AQ72=1,Advanced!AM72=0),"SP","")</f>
        <v/>
      </c>
      <c r="N177" t="str">
        <f>Advanced!AD72</f>
        <v/>
      </c>
      <c r="O177" t="e">
        <f>IF(Table3[[#This Row],[First Title]]="Started", (Table3[[#This Row],[Score]]+0)*2,Table3[[#This Row],[Score]]+0)</f>
        <v>#VALUE!</v>
      </c>
      <c r="P177" s="2" t="e">
        <f>IF(Table3[[#This Row],[Helper]]&gt;191,"Gold",IF(Table3[[#This Row],[Helper]]&gt;171,"Silver",IF(Table3[[#This Row],[Helper]]&gt;141,"Bronze","")))</f>
        <v>#VALUE!</v>
      </c>
    </row>
    <row r="178" spans="9:16" x14ac:dyDescent="0.25">
      <c r="I178" s="285">
        <f>Advanced!C73</f>
        <v>0</v>
      </c>
      <c r="J178" s="286" t="str">
        <f>Advanced!D73</f>
        <v/>
      </c>
      <c r="K178" s="287" t="str">
        <f t="shared" si="7"/>
        <v/>
      </c>
      <c r="L178" s="285" t="str">
        <f>IF(AND(Advanced!AQ73=1,Advanced!AM73=0),"Advanced","")</f>
        <v/>
      </c>
      <c r="M178" s="285" t="str">
        <f>IF(AND(Advanced!I73="Pass",Advanced!Q73="Pass",Advanced!Y73="Pass",Advanced!AQ73=1,Advanced!AM73=0),"SP","")</f>
        <v/>
      </c>
      <c r="N178" t="str">
        <f>Advanced!AD73</f>
        <v/>
      </c>
      <c r="O178" t="e">
        <f>IF(Table3[[#This Row],[First Title]]="Started", (Table3[[#This Row],[Score]]+0)*2,Table3[[#This Row],[Score]]+0)</f>
        <v>#VALUE!</v>
      </c>
      <c r="P178" s="2" t="e">
        <f>IF(Table3[[#This Row],[Helper]]&gt;191,"Gold",IF(Table3[[#This Row],[Helper]]&gt;171,"Silver",IF(Table3[[#This Row],[Helper]]&gt;141,"Bronze","")))</f>
        <v>#VALUE!</v>
      </c>
    </row>
    <row r="179" spans="9:16" x14ac:dyDescent="0.25">
      <c r="I179" s="285">
        <f>Advanced!C74</f>
        <v>0</v>
      </c>
      <c r="J179" s="286" t="str">
        <f>Advanced!D74</f>
        <v/>
      </c>
      <c r="K179" s="287" t="str">
        <f t="shared" si="7"/>
        <v/>
      </c>
      <c r="L179" s="285" t="str">
        <f>IF(AND(Advanced!AQ74=1,Advanced!AM74=0),"Advanced","")</f>
        <v/>
      </c>
      <c r="M179" s="285" t="str">
        <f>IF(AND(Advanced!I74="Pass",Advanced!Q74="Pass",Advanced!Y74="Pass",Advanced!AQ74=1,Advanced!AM74=0),"SP","")</f>
        <v/>
      </c>
      <c r="N179" t="str">
        <f>Advanced!AD74</f>
        <v/>
      </c>
      <c r="O179" t="e">
        <f>IF(Table3[[#This Row],[First Title]]="Started", (Table3[[#This Row],[Score]]+0)*2,Table3[[#This Row],[Score]]+0)</f>
        <v>#VALUE!</v>
      </c>
      <c r="P179" s="2" t="e">
        <f>IF(Table3[[#This Row],[Helper]]&gt;191,"Gold",IF(Table3[[#This Row],[Helper]]&gt;171,"Silver",IF(Table3[[#This Row],[Helper]]&gt;141,"Bronze","")))</f>
        <v>#VALUE!</v>
      </c>
    </row>
    <row r="180" spans="9:16" x14ac:dyDescent="0.25">
      <c r="I180" s="285">
        <f>Advanced!C75</f>
        <v>0</v>
      </c>
      <c r="J180" s="286" t="str">
        <f>Advanced!D75</f>
        <v/>
      </c>
      <c r="K180" s="287" t="str">
        <f t="shared" si="7"/>
        <v/>
      </c>
      <c r="L180" s="285" t="str">
        <f>IF(AND(Advanced!AQ75=1,Advanced!AM75=0),"Advanced","")</f>
        <v/>
      </c>
      <c r="M180" s="285" t="str">
        <f>IF(AND(Advanced!I75="Pass",Advanced!Q75="Pass",Advanced!Y75="Pass",Advanced!AQ75=1,Advanced!AM75=0),"SP","")</f>
        <v/>
      </c>
      <c r="N180" t="str">
        <f>Advanced!AD75</f>
        <v/>
      </c>
      <c r="O180" t="e">
        <f>IF(Table3[[#This Row],[First Title]]="Started", (Table3[[#This Row],[Score]]+0)*2,Table3[[#This Row],[Score]]+0)</f>
        <v>#VALUE!</v>
      </c>
      <c r="P180" s="2" t="e">
        <f>IF(Table3[[#This Row],[Helper]]&gt;191,"Gold",IF(Table3[[#This Row],[Helper]]&gt;171,"Silver",IF(Table3[[#This Row],[Helper]]&gt;141,"Bronze","")))</f>
        <v>#VALUE!</v>
      </c>
    </row>
    <row r="181" spans="9:16" x14ac:dyDescent="0.25">
      <c r="I181" s="285">
        <f>Advanced!C76</f>
        <v>0</v>
      </c>
      <c r="J181" s="286" t="str">
        <f>Advanced!D76</f>
        <v/>
      </c>
      <c r="K181" s="287" t="str">
        <f t="shared" si="7"/>
        <v/>
      </c>
      <c r="L181" s="285" t="str">
        <f>IF(AND(Advanced!AQ76=1,Advanced!AM76=0),"Advanced","")</f>
        <v/>
      </c>
      <c r="M181" s="285" t="str">
        <f>IF(AND(Advanced!I76="Pass",Advanced!Q76="Pass",Advanced!Y76="Pass",Advanced!AQ76=1,Advanced!AM76=0),"SP","")</f>
        <v/>
      </c>
      <c r="N181" t="str">
        <f>Advanced!AD76</f>
        <v/>
      </c>
      <c r="O181" t="e">
        <f>IF(Table3[[#This Row],[First Title]]="Started", (Table3[[#This Row],[Score]]+0)*2,Table3[[#This Row],[Score]]+0)</f>
        <v>#VALUE!</v>
      </c>
      <c r="P181" s="2" t="e">
        <f>IF(Table3[[#This Row],[Helper]]&gt;191,"Gold",IF(Table3[[#This Row],[Helper]]&gt;171,"Silver",IF(Table3[[#This Row],[Helper]]&gt;141,"Bronze","")))</f>
        <v>#VALUE!</v>
      </c>
    </row>
    <row r="182" spans="9:16" x14ac:dyDescent="0.25">
      <c r="I182" s="285">
        <f>Advanced!C77</f>
        <v>0</v>
      </c>
      <c r="J182" s="286" t="str">
        <f>Advanced!D77</f>
        <v/>
      </c>
      <c r="K182" s="287" t="str">
        <f t="shared" si="7"/>
        <v/>
      </c>
      <c r="L182" s="285" t="str">
        <f>IF(AND(Advanced!AQ77=1,Advanced!AM77=0),"Advanced","")</f>
        <v/>
      </c>
      <c r="M182" s="285" t="str">
        <f>IF(AND(Advanced!I77="Pass",Advanced!Q77="Pass",Advanced!Y77="Pass",Advanced!AQ77=1,Advanced!AM77=0),"SP","")</f>
        <v/>
      </c>
      <c r="N182" t="str">
        <f>Advanced!AD77</f>
        <v/>
      </c>
      <c r="O182" t="e">
        <f>IF(Table3[[#This Row],[First Title]]="Started", (Table3[[#This Row],[Score]]+0)*2,Table3[[#This Row],[Score]]+0)</f>
        <v>#VALUE!</v>
      </c>
      <c r="P182" s="2" t="e">
        <f>IF(Table3[[#This Row],[Helper]]&gt;191,"Gold",IF(Table3[[#This Row],[Helper]]&gt;171,"Silver",IF(Table3[[#This Row],[Helper]]&gt;141,"Bronze","")))</f>
        <v>#VALUE!</v>
      </c>
    </row>
    <row r="183" spans="9:16" x14ac:dyDescent="0.25">
      <c r="I183" s="285">
        <f>Advanced!C78</f>
        <v>0</v>
      </c>
      <c r="J183" s="286" t="str">
        <f>Advanced!D78</f>
        <v/>
      </c>
      <c r="K183" s="287" t="str">
        <f t="shared" si="7"/>
        <v/>
      </c>
      <c r="L183" s="285" t="str">
        <f>IF(AND(Advanced!AQ78=1,Advanced!AM78=0),"Advanced","")</f>
        <v/>
      </c>
      <c r="M183" s="285" t="str">
        <f>IF(AND(Advanced!I78="Pass",Advanced!Q78="Pass",Advanced!Y78="Pass",Advanced!AQ78=1,Advanced!AM78=0),"SP","")</f>
        <v/>
      </c>
      <c r="N183" t="str">
        <f>Advanced!AD78</f>
        <v/>
      </c>
      <c r="O183" t="e">
        <f>IF(Table3[[#This Row],[First Title]]="Started", (Table3[[#This Row],[Score]]+0)*2,Table3[[#This Row],[Score]]+0)</f>
        <v>#VALUE!</v>
      </c>
      <c r="P183" s="2" t="e">
        <f>IF(Table3[[#This Row],[Helper]]&gt;191,"Gold",IF(Table3[[#This Row],[Helper]]&gt;171,"Silver",IF(Table3[[#This Row],[Helper]]&gt;141,"Bronze","")))</f>
        <v>#VALUE!</v>
      </c>
    </row>
    <row r="184" spans="9:16" x14ac:dyDescent="0.25">
      <c r="I184" s="285">
        <f>Advanced!C79</f>
        <v>0</v>
      </c>
      <c r="J184" s="286" t="str">
        <f>Advanced!D79</f>
        <v/>
      </c>
      <c r="K184" s="287" t="str">
        <f t="shared" si="7"/>
        <v/>
      </c>
      <c r="L184" s="285" t="str">
        <f>IF(AND(Advanced!AQ79=1,Advanced!AM79=0),"Advanced","")</f>
        <v/>
      </c>
      <c r="M184" s="285" t="str">
        <f>IF(AND(Advanced!I79="Pass",Advanced!Q79="Pass",Advanced!Y79="Pass",Advanced!AQ79=1,Advanced!AM79=0),"SP","")</f>
        <v/>
      </c>
      <c r="N184" t="str">
        <f>Advanced!AD79</f>
        <v/>
      </c>
      <c r="O184" t="e">
        <f>IF(Table3[[#This Row],[First Title]]="Started", (Table3[[#This Row],[Score]]+0)*2,Table3[[#This Row],[Score]]+0)</f>
        <v>#VALUE!</v>
      </c>
      <c r="P184" s="2" t="e">
        <f>IF(Table3[[#This Row],[Helper]]&gt;191,"Gold",IF(Table3[[#This Row],[Helper]]&gt;171,"Silver",IF(Table3[[#This Row],[Helper]]&gt;141,"Bronze","")))</f>
        <v>#VALUE!</v>
      </c>
    </row>
    <row r="185" spans="9:16" x14ac:dyDescent="0.25">
      <c r="I185" s="285">
        <f>Advanced!C80</f>
        <v>0</v>
      </c>
      <c r="J185" s="286" t="str">
        <f>Advanced!D80</f>
        <v/>
      </c>
      <c r="K185" s="287" t="str">
        <f t="shared" si="7"/>
        <v/>
      </c>
      <c r="L185" s="285" t="str">
        <f>IF(AND(Advanced!AQ80=1,Advanced!AM80=0),"Advanced","")</f>
        <v/>
      </c>
      <c r="M185" s="285" t="str">
        <f>IF(AND(Advanced!I80="Pass",Advanced!Q80="Pass",Advanced!Y80="Pass",Advanced!AQ80=1,Advanced!AM80=0),"SP","")</f>
        <v/>
      </c>
      <c r="N185" t="str">
        <f>Advanced!AD80</f>
        <v/>
      </c>
      <c r="O185" t="e">
        <f>IF(Table3[[#This Row],[First Title]]="Started", (Table3[[#This Row],[Score]]+0)*2,Table3[[#This Row],[Score]]+0)</f>
        <v>#VALUE!</v>
      </c>
      <c r="P185" s="2" t="e">
        <f>IF(Table3[[#This Row],[Helper]]&gt;191,"Gold",IF(Table3[[#This Row],[Helper]]&gt;171,"Silver",IF(Table3[[#This Row],[Helper]]&gt;141,"Bronze","")))</f>
        <v>#VALUE!</v>
      </c>
    </row>
    <row r="186" spans="9:16" x14ac:dyDescent="0.25">
      <c r="I186" s="285">
        <f>Advanced!C81</f>
        <v>0</v>
      </c>
      <c r="J186" s="286" t="str">
        <f>Advanced!D81</f>
        <v/>
      </c>
      <c r="K186" s="287" t="str">
        <f t="shared" si="7"/>
        <v/>
      </c>
      <c r="L186" s="285" t="str">
        <f>IF(AND(Advanced!AQ81=1,Advanced!AM81=0),"Advanced","")</f>
        <v/>
      </c>
      <c r="M186" s="285" t="str">
        <f>IF(AND(Advanced!I81="Pass",Advanced!Q81="Pass",Advanced!Y81="Pass",Advanced!AQ81=1,Advanced!AM81=0),"SP","")</f>
        <v/>
      </c>
      <c r="N186" t="str">
        <f>Advanced!AD81</f>
        <v/>
      </c>
      <c r="O186" t="e">
        <f>IF(Table3[[#This Row],[First Title]]="Started", (Table3[[#This Row],[Score]]+0)*2,Table3[[#This Row],[Score]]+0)</f>
        <v>#VALUE!</v>
      </c>
      <c r="P186" s="2" t="e">
        <f>IF(Table3[[#This Row],[Helper]]&gt;191,"Gold",IF(Table3[[#This Row],[Helper]]&gt;171,"Silver",IF(Table3[[#This Row],[Helper]]&gt;141,"Bronze","")))</f>
        <v>#VALUE!</v>
      </c>
    </row>
    <row r="187" spans="9:16" x14ac:dyDescent="0.25">
      <c r="I187" s="285">
        <f>Advanced!C82</f>
        <v>0</v>
      </c>
      <c r="J187" s="286" t="str">
        <f>Advanced!D82</f>
        <v/>
      </c>
      <c r="K187" s="287" t="str">
        <f t="shared" si="7"/>
        <v/>
      </c>
      <c r="L187" s="285" t="str">
        <f>IF(AND(Advanced!AQ82=1,Advanced!AM82=0),"Advanced","")</f>
        <v/>
      </c>
      <c r="M187" s="285" t="str">
        <f>IF(AND(Advanced!I82="Pass",Advanced!Q82="Pass",Advanced!Y82="Pass",Advanced!AQ82=1,Advanced!AM82=0),"SP","")</f>
        <v/>
      </c>
      <c r="N187" t="str">
        <f>Advanced!AD82</f>
        <v/>
      </c>
      <c r="O187" t="e">
        <f>IF(Table3[[#This Row],[First Title]]="Started", (Table3[[#This Row],[Score]]+0)*2,Table3[[#This Row],[Score]]+0)</f>
        <v>#VALUE!</v>
      </c>
      <c r="P187" s="2" t="e">
        <f>IF(Table3[[#This Row],[Helper]]&gt;191,"Gold",IF(Table3[[#This Row],[Helper]]&gt;171,"Silver",IF(Table3[[#This Row],[Helper]]&gt;141,"Bronze","")))</f>
        <v>#VALUE!</v>
      </c>
    </row>
    <row r="188" spans="9:16" x14ac:dyDescent="0.25">
      <c r="I188" s="285">
        <f>Advanced!C83</f>
        <v>0</v>
      </c>
      <c r="J188" s="286" t="str">
        <f>Advanced!D83</f>
        <v/>
      </c>
      <c r="K188" s="287" t="str">
        <f t="shared" si="7"/>
        <v/>
      </c>
      <c r="L188" s="285" t="str">
        <f>IF(AND(Advanced!AQ83=1,Advanced!AM83=0),"Advanced","")</f>
        <v/>
      </c>
      <c r="M188" s="285" t="str">
        <f>IF(AND(Advanced!I83="Pass",Advanced!Q83="Pass",Advanced!Y83="Pass",Advanced!AQ83=1,Advanced!AM83=0),"SP","")</f>
        <v/>
      </c>
      <c r="N188" t="str">
        <f>Advanced!AD83</f>
        <v/>
      </c>
      <c r="O188" t="e">
        <f>IF(Table3[[#This Row],[First Title]]="Started", (Table3[[#This Row],[Score]]+0)*2,Table3[[#This Row],[Score]]+0)</f>
        <v>#VALUE!</v>
      </c>
      <c r="P188" s="2" t="e">
        <f>IF(Table3[[#This Row],[Helper]]&gt;191,"Gold",IF(Table3[[#This Row],[Helper]]&gt;171,"Silver",IF(Table3[[#This Row],[Helper]]&gt;141,"Bronze","")))</f>
        <v>#VALUE!</v>
      </c>
    </row>
    <row r="189" spans="9:16" x14ac:dyDescent="0.25">
      <c r="I189" s="285">
        <f>Advanced!C84</f>
        <v>0</v>
      </c>
      <c r="J189" s="286" t="str">
        <f>Advanced!D84</f>
        <v/>
      </c>
      <c r="K189" s="287" t="str">
        <f t="shared" si="7"/>
        <v/>
      </c>
      <c r="L189" s="285" t="str">
        <f>IF(AND(Advanced!AQ84=1,Advanced!AM84=0),"Advanced","")</f>
        <v/>
      </c>
      <c r="M189" s="285" t="str">
        <f>IF(AND(Advanced!I84="Pass",Advanced!Q84="Pass",Advanced!Y84="Pass",Advanced!AQ84=1,Advanced!AM84=0),"SP","")</f>
        <v/>
      </c>
      <c r="N189" t="str">
        <f>Advanced!AD84</f>
        <v/>
      </c>
      <c r="O189" t="e">
        <f>IF(Table3[[#This Row],[First Title]]="Started", (Table3[[#This Row],[Score]]+0)*2,Table3[[#This Row],[Score]]+0)</f>
        <v>#VALUE!</v>
      </c>
      <c r="P189" s="2" t="e">
        <f>IF(Table3[[#This Row],[Helper]]&gt;191,"Gold",IF(Table3[[#This Row],[Helper]]&gt;171,"Silver",IF(Table3[[#This Row],[Helper]]&gt;141,"Bronze","")))</f>
        <v>#VALUE!</v>
      </c>
    </row>
    <row r="190" spans="9:16" x14ac:dyDescent="0.25">
      <c r="I190" s="285">
        <f>Advanced!C85</f>
        <v>0</v>
      </c>
      <c r="J190" s="286" t="str">
        <f>Advanced!D85</f>
        <v/>
      </c>
      <c r="K190" s="287" t="str">
        <f t="shared" si="7"/>
        <v/>
      </c>
      <c r="L190" s="285" t="str">
        <f>IF(AND(Advanced!AQ85=1,Advanced!AM85=0),"Advanced","")</f>
        <v/>
      </c>
      <c r="M190" s="285" t="str">
        <f>IF(AND(Advanced!I85="Pass",Advanced!Q85="Pass",Advanced!Y85="Pass",Advanced!AQ85=1,Advanced!AM85=0),"SP","")</f>
        <v/>
      </c>
      <c r="N190" t="str">
        <f>Advanced!AD85</f>
        <v/>
      </c>
      <c r="O190" t="e">
        <f>IF(Table3[[#This Row],[First Title]]="Started", (Table3[[#This Row],[Score]]+0)*2,Table3[[#This Row],[Score]]+0)</f>
        <v>#VALUE!</v>
      </c>
      <c r="P190" s="2" t="e">
        <f>IF(Table3[[#This Row],[Helper]]&gt;191,"Gold",IF(Table3[[#This Row],[Helper]]&gt;171,"Silver",IF(Table3[[#This Row],[Helper]]&gt;141,"Bronze","")))</f>
        <v>#VALUE!</v>
      </c>
    </row>
    <row r="191" spans="9:16" x14ac:dyDescent="0.25">
      <c r="I191" s="285">
        <f>Advanced!C86</f>
        <v>0</v>
      </c>
      <c r="J191" s="286" t="str">
        <f>Advanced!D86</f>
        <v/>
      </c>
      <c r="K191" s="287" t="str">
        <f t="shared" si="7"/>
        <v/>
      </c>
      <c r="L191" s="285" t="str">
        <f>IF(AND(Advanced!AQ86=1,Advanced!AM86=0),"Advanced","")</f>
        <v/>
      </c>
      <c r="M191" s="285" t="str">
        <f>IF(AND(Advanced!I86="Pass",Advanced!Q86="Pass",Advanced!Y86="Pass",Advanced!AQ86=1,Advanced!AM86=0),"SP","")</f>
        <v/>
      </c>
      <c r="N191" t="str">
        <f>Advanced!AD86</f>
        <v/>
      </c>
      <c r="O191" t="e">
        <f>IF(Table3[[#This Row],[First Title]]="Started", (Table3[[#This Row],[Score]]+0)*2,Table3[[#This Row],[Score]]+0)</f>
        <v>#VALUE!</v>
      </c>
      <c r="P191" s="2" t="e">
        <f>IF(Table3[[#This Row],[Helper]]&gt;191,"Gold",IF(Table3[[#This Row],[Helper]]&gt;171,"Silver",IF(Table3[[#This Row],[Helper]]&gt;141,"Bronze","")))</f>
        <v>#VALUE!</v>
      </c>
    </row>
    <row r="192" spans="9:16" x14ac:dyDescent="0.25">
      <c r="I192" s="285">
        <f>Advanced!C87</f>
        <v>0</v>
      </c>
      <c r="J192" s="286" t="str">
        <f>Advanced!D87</f>
        <v/>
      </c>
      <c r="K192" s="287" t="str">
        <f t="shared" si="7"/>
        <v/>
      </c>
      <c r="L192" s="285" t="str">
        <f>IF(AND(Advanced!AQ87=1,Advanced!AM87=0),"Advanced","")</f>
        <v/>
      </c>
      <c r="M192" s="285" t="str">
        <f>IF(AND(Advanced!I87="Pass",Advanced!Q87="Pass",Advanced!Y87="Pass",Advanced!AQ87=1,Advanced!AM87=0),"SP","")</f>
        <v/>
      </c>
      <c r="N192" t="str">
        <f>Advanced!AD87</f>
        <v/>
      </c>
      <c r="O192" t="e">
        <f>IF(Table3[[#This Row],[First Title]]="Started", (Table3[[#This Row],[Score]]+0)*2,Table3[[#This Row],[Score]]+0)</f>
        <v>#VALUE!</v>
      </c>
      <c r="P192" s="2" t="e">
        <f>IF(Table3[[#This Row],[Helper]]&gt;191,"Gold",IF(Table3[[#This Row],[Helper]]&gt;171,"Silver",IF(Table3[[#This Row],[Helper]]&gt;141,"Bronze","")))</f>
        <v>#VALUE!</v>
      </c>
    </row>
    <row r="193" spans="9:16" x14ac:dyDescent="0.25">
      <c r="I193" s="285">
        <f>Advanced!C88</f>
        <v>0</v>
      </c>
      <c r="J193" s="286" t="str">
        <f>Advanced!D88</f>
        <v/>
      </c>
      <c r="K193" s="287" t="str">
        <f t="shared" si="7"/>
        <v/>
      </c>
      <c r="L193" s="285" t="str">
        <f>IF(AND(Advanced!AQ88=1,Advanced!AM88=0),"Advanced","")</f>
        <v/>
      </c>
      <c r="M193" s="285" t="str">
        <f>IF(AND(Advanced!I88="Pass",Advanced!Q88="Pass",Advanced!Y88="Pass",Advanced!AQ88=1,Advanced!AM88=0),"SP","")</f>
        <v/>
      </c>
      <c r="N193" t="str">
        <f>Advanced!AD88</f>
        <v/>
      </c>
      <c r="O193" t="e">
        <f>IF(Table3[[#This Row],[First Title]]="Started", (Table3[[#This Row],[Score]]+0)*2,Table3[[#This Row],[Score]]+0)</f>
        <v>#VALUE!</v>
      </c>
      <c r="P193" s="2" t="e">
        <f>IF(Table3[[#This Row],[Helper]]&gt;191,"Gold",IF(Table3[[#This Row],[Helper]]&gt;171,"Silver",IF(Table3[[#This Row],[Helper]]&gt;141,"Bronze","")))</f>
        <v>#VALUE!</v>
      </c>
    </row>
    <row r="194" spans="9:16" x14ac:dyDescent="0.25">
      <c r="I194" s="285">
        <f>Advanced!C89</f>
        <v>0</v>
      </c>
      <c r="J194" s="286" t="str">
        <f>Advanced!D89</f>
        <v/>
      </c>
      <c r="K194" s="287" t="str">
        <f t="shared" si="7"/>
        <v/>
      </c>
      <c r="L194" s="285" t="str">
        <f>IF(AND(Advanced!AQ89=1,Advanced!AM89=0),"Advanced","")</f>
        <v/>
      </c>
      <c r="M194" s="285" t="str">
        <f>IF(AND(Advanced!I89="Pass",Advanced!Q89="Pass",Advanced!Y89="Pass",Advanced!AQ89=1,Advanced!AM89=0),"SP","")</f>
        <v/>
      </c>
      <c r="N194" t="str">
        <f>Advanced!AD89</f>
        <v/>
      </c>
      <c r="O194" t="e">
        <f>IF(Table3[[#This Row],[First Title]]="Started", (Table3[[#This Row],[Score]]+0)*2,Table3[[#This Row],[Score]]+0)</f>
        <v>#VALUE!</v>
      </c>
      <c r="P194" s="2" t="e">
        <f>IF(Table3[[#This Row],[Helper]]&gt;191,"Gold",IF(Table3[[#This Row],[Helper]]&gt;171,"Silver",IF(Table3[[#This Row],[Helper]]&gt;141,"Bronze","")))</f>
        <v>#VALUE!</v>
      </c>
    </row>
    <row r="195" spans="9:16" x14ac:dyDescent="0.25">
      <c r="I195" s="285">
        <f>Advanced!C90</f>
        <v>0</v>
      </c>
      <c r="J195" s="286" t="str">
        <f>Advanced!D90</f>
        <v/>
      </c>
      <c r="K195" s="287" t="str">
        <f t="shared" si="7"/>
        <v/>
      </c>
      <c r="L195" s="285" t="str">
        <f>IF(AND(Advanced!AQ90=1,Advanced!AM90=0),"Advanced","")</f>
        <v/>
      </c>
      <c r="M195" s="285" t="str">
        <f>IF(AND(Advanced!I90="Pass",Advanced!Q90="Pass",Advanced!Y90="Pass",Advanced!AQ90=1,Advanced!AM90=0),"SP","")</f>
        <v/>
      </c>
      <c r="N195" t="str">
        <f>Advanced!AD90</f>
        <v/>
      </c>
      <c r="O195" t="e">
        <f>IF(Table3[[#This Row],[First Title]]="Started", (Table3[[#This Row],[Score]]+0)*2,Table3[[#This Row],[Score]]+0)</f>
        <v>#VALUE!</v>
      </c>
      <c r="P195" s="2" t="e">
        <f>IF(Table3[[#This Row],[Helper]]&gt;191,"Gold",IF(Table3[[#This Row],[Helper]]&gt;171,"Silver",IF(Table3[[#This Row],[Helper]]&gt;141,"Bronze","")))</f>
        <v>#VALUE!</v>
      </c>
    </row>
    <row r="196" spans="9:16" x14ac:dyDescent="0.25">
      <c r="I196" s="285">
        <f>Advanced!C91</f>
        <v>0</v>
      </c>
      <c r="J196" s="286" t="str">
        <f>Advanced!D91</f>
        <v/>
      </c>
      <c r="K196" s="287" t="str">
        <f t="shared" si="7"/>
        <v/>
      </c>
      <c r="L196" s="285" t="str">
        <f>IF(AND(Advanced!AQ91=1,Advanced!AM91=0),"Advanced","")</f>
        <v/>
      </c>
      <c r="M196" s="285" t="str">
        <f>IF(AND(Advanced!I91="Pass",Advanced!Q91="Pass",Advanced!Y91="Pass",Advanced!AQ91=1,Advanced!AM91=0),"SP","")</f>
        <v/>
      </c>
      <c r="N196" t="str">
        <f>Advanced!AD91</f>
        <v/>
      </c>
      <c r="O196" t="e">
        <f>IF(Table3[[#This Row],[First Title]]="Started", (Table3[[#This Row],[Score]]+0)*2,Table3[[#This Row],[Score]]+0)</f>
        <v>#VALUE!</v>
      </c>
      <c r="P196" s="2" t="e">
        <f>IF(Table3[[#This Row],[Helper]]&gt;191,"Gold",IF(Table3[[#This Row],[Helper]]&gt;171,"Silver",IF(Table3[[#This Row],[Helper]]&gt;141,"Bronze","")))</f>
        <v>#VALUE!</v>
      </c>
    </row>
    <row r="197" spans="9:16" x14ac:dyDescent="0.25">
      <c r="I197" s="285">
        <f>Advanced!C92</f>
        <v>0</v>
      </c>
      <c r="J197" s="286" t="str">
        <f>Advanced!D92</f>
        <v/>
      </c>
      <c r="K197" s="287" t="str">
        <f t="shared" si="7"/>
        <v/>
      </c>
      <c r="L197" s="285" t="str">
        <f>IF(AND(Advanced!AQ92=1,Advanced!AM92=0),"Advanced","")</f>
        <v/>
      </c>
      <c r="M197" s="285" t="str">
        <f>IF(AND(Advanced!I92="Pass",Advanced!Q92="Pass",Advanced!Y92="Pass",Advanced!AQ92=1,Advanced!AM92=0),"SP","")</f>
        <v/>
      </c>
      <c r="N197" t="str">
        <f>Advanced!AD92</f>
        <v/>
      </c>
      <c r="O197" t="e">
        <f>IF(Table3[[#This Row],[First Title]]="Started", (Table3[[#This Row],[Score]]+0)*2,Table3[[#This Row],[Score]]+0)</f>
        <v>#VALUE!</v>
      </c>
      <c r="P197" s="2" t="e">
        <f>IF(Table3[[#This Row],[Helper]]&gt;191,"Gold",IF(Table3[[#This Row],[Helper]]&gt;171,"Silver",IF(Table3[[#This Row],[Helper]]&gt;141,"Bronze","")))</f>
        <v>#VALUE!</v>
      </c>
    </row>
    <row r="198" spans="9:16" x14ac:dyDescent="0.25">
      <c r="I198" s="285">
        <f>Advanced!C93</f>
        <v>0</v>
      </c>
      <c r="J198" s="286" t="str">
        <f>Advanced!D93</f>
        <v/>
      </c>
      <c r="K198" s="287" t="str">
        <f t="shared" si="7"/>
        <v/>
      </c>
      <c r="L198" s="285" t="str">
        <f>IF(AND(Advanced!AQ93=1,Advanced!AM93=0),"Advanced","")</f>
        <v/>
      </c>
      <c r="M198" s="285" t="str">
        <f>IF(AND(Advanced!I93="Pass",Advanced!Q93="Pass",Advanced!Y93="Pass",Advanced!AQ93=1,Advanced!AM93=0),"SP","")</f>
        <v/>
      </c>
      <c r="N198" t="str">
        <f>Advanced!AD93</f>
        <v/>
      </c>
      <c r="O198" t="e">
        <f>IF(Table3[[#This Row],[First Title]]="Started", (Table3[[#This Row],[Score]]+0)*2,Table3[[#This Row],[Score]]+0)</f>
        <v>#VALUE!</v>
      </c>
      <c r="P198" s="2" t="e">
        <f>IF(Table3[[#This Row],[Helper]]&gt;191,"Gold",IF(Table3[[#This Row],[Helper]]&gt;171,"Silver",IF(Table3[[#This Row],[Helper]]&gt;141,"Bronze","")))</f>
        <v>#VALUE!</v>
      </c>
    </row>
    <row r="199" spans="9:16" x14ac:dyDescent="0.25">
      <c r="I199" s="285">
        <f>Advanced!C94</f>
        <v>0</v>
      </c>
      <c r="J199" s="286" t="str">
        <f>Advanced!D94</f>
        <v/>
      </c>
      <c r="K199" s="287" t="str">
        <f t="shared" si="7"/>
        <v/>
      </c>
      <c r="L199" s="285" t="str">
        <f>IF(AND(Advanced!AQ94=1,Advanced!AM94=0),"Advanced","")</f>
        <v/>
      </c>
      <c r="M199" s="285" t="str">
        <f>IF(AND(Advanced!I94="Pass",Advanced!Q94="Pass",Advanced!Y94="Pass",Advanced!AQ94=1,Advanced!AM94=0),"SP","")</f>
        <v/>
      </c>
      <c r="N199" t="str">
        <f>Advanced!AD94</f>
        <v/>
      </c>
      <c r="O199" t="e">
        <f>IF(Table3[[#This Row],[First Title]]="Started", (Table3[[#This Row],[Score]]+0)*2,Table3[[#This Row],[Score]]+0)</f>
        <v>#VALUE!</v>
      </c>
      <c r="P199" s="2" t="e">
        <f>IF(Table3[[#This Row],[Helper]]&gt;191,"Gold",IF(Table3[[#This Row],[Helper]]&gt;171,"Silver",IF(Table3[[#This Row],[Helper]]&gt;141,"Bronze","")))</f>
        <v>#VALUE!</v>
      </c>
    </row>
    <row r="200" spans="9:16" x14ac:dyDescent="0.25">
      <c r="I200" s="285">
        <f>Advanced!C95</f>
        <v>0</v>
      </c>
      <c r="J200" s="286" t="str">
        <f>Advanced!D95</f>
        <v/>
      </c>
      <c r="K200" s="287" t="str">
        <f t="shared" si="7"/>
        <v/>
      </c>
      <c r="L200" s="285" t="str">
        <f>IF(AND(Advanced!AQ95=1,Advanced!AM95=0),"Advanced","")</f>
        <v/>
      </c>
      <c r="M200" s="285" t="str">
        <f>IF(AND(Advanced!I95="Pass",Advanced!Q95="Pass",Advanced!Y95="Pass",Advanced!AQ95=1,Advanced!AM95=0),"SP","")</f>
        <v/>
      </c>
      <c r="N200" t="str">
        <f>Advanced!AD95</f>
        <v/>
      </c>
      <c r="O200" t="e">
        <f>IF(Table3[[#This Row],[First Title]]="Started", (Table3[[#This Row],[Score]]+0)*2,Table3[[#This Row],[Score]]+0)</f>
        <v>#VALUE!</v>
      </c>
      <c r="P200" s="2" t="e">
        <f>IF(Table3[[#This Row],[Helper]]&gt;191,"Gold",IF(Table3[[#This Row],[Helper]]&gt;171,"Silver",IF(Table3[[#This Row],[Helper]]&gt;141,"Bronze","")))</f>
        <v>#VALUE!</v>
      </c>
    </row>
    <row r="201" spans="9:16" x14ac:dyDescent="0.25">
      <c r="I201" s="285">
        <f>Advanced!C96</f>
        <v>0</v>
      </c>
      <c r="J201" s="286" t="str">
        <f>Advanced!D96</f>
        <v/>
      </c>
      <c r="K201" s="287" t="str">
        <f t="shared" si="7"/>
        <v/>
      </c>
      <c r="L201" s="285" t="str">
        <f>IF(AND(Advanced!AQ96=1,Advanced!AM96=0),"Advanced","")</f>
        <v/>
      </c>
      <c r="M201" s="285" t="str">
        <f>IF(AND(Advanced!I96="Pass",Advanced!Q96="Pass",Advanced!Y96="Pass",Advanced!AQ96=1,Advanced!AM96=0),"SP","")</f>
        <v/>
      </c>
      <c r="N201" t="str">
        <f>Advanced!AD96</f>
        <v/>
      </c>
      <c r="O201" t="e">
        <f>IF(Table3[[#This Row],[First Title]]="Started", (Table3[[#This Row],[Score]]+0)*2,Table3[[#This Row],[Score]]+0)</f>
        <v>#VALUE!</v>
      </c>
      <c r="P201" s="2" t="e">
        <f>IF(Table3[[#This Row],[Helper]]&gt;191,"Gold",IF(Table3[[#This Row],[Helper]]&gt;171,"Silver",IF(Table3[[#This Row],[Helper]]&gt;141,"Bronze","")))</f>
        <v>#VALUE!</v>
      </c>
    </row>
    <row r="202" spans="9:16" x14ac:dyDescent="0.25">
      <c r="I202" s="285">
        <f>Advanced!C97</f>
        <v>0</v>
      </c>
      <c r="J202" s="286" t="str">
        <f>Advanced!D97</f>
        <v/>
      </c>
      <c r="K202" s="287" t="str">
        <f t="shared" ref="K202:K219" si="8">TrialDateDay2</f>
        <v/>
      </c>
      <c r="L202" s="285" t="str">
        <f>IF(AND(Advanced!AQ97=1,Advanced!AM97=0),"Advanced","")</f>
        <v/>
      </c>
      <c r="M202" s="285" t="str">
        <f>IF(AND(Advanced!I97="Pass",Advanced!Q97="Pass",Advanced!Y97="Pass",Advanced!AQ97=1,Advanced!AM97=0),"SP","")</f>
        <v/>
      </c>
      <c r="N202" t="str">
        <f>Advanced!AD97</f>
        <v/>
      </c>
      <c r="O202" t="e">
        <f>IF(Table3[[#This Row],[First Title]]="Started", (Table3[[#This Row],[Score]]+0)*2,Table3[[#This Row],[Score]]+0)</f>
        <v>#VALUE!</v>
      </c>
      <c r="P202" s="2" t="e">
        <f>IF(Table3[[#This Row],[Helper]]&gt;191,"Gold",IF(Table3[[#This Row],[Helper]]&gt;171,"Silver",IF(Table3[[#This Row],[Helper]]&gt;141,"Bronze","")))</f>
        <v>#VALUE!</v>
      </c>
    </row>
    <row r="203" spans="9:16" x14ac:dyDescent="0.25">
      <c r="I203" s="285">
        <f>Advanced!C98</f>
        <v>0</v>
      </c>
      <c r="J203" s="286" t="str">
        <f>Advanced!D98</f>
        <v/>
      </c>
      <c r="K203" s="287" t="str">
        <f t="shared" si="8"/>
        <v/>
      </c>
      <c r="L203" s="285" t="str">
        <f>IF(AND(Advanced!AQ98=1,Advanced!AM98=0),"Advanced","")</f>
        <v/>
      </c>
      <c r="M203" s="285" t="str">
        <f>IF(AND(Advanced!I98="Pass",Advanced!Q98="Pass",Advanced!Y98="Pass",Advanced!AQ98=1,Advanced!AM98=0),"SP","")</f>
        <v/>
      </c>
      <c r="N203" t="str">
        <f>Advanced!AD98</f>
        <v/>
      </c>
      <c r="O203" t="e">
        <f>IF(Table3[[#This Row],[First Title]]="Started", (Table3[[#This Row],[Score]]+0)*2,Table3[[#This Row],[Score]]+0)</f>
        <v>#VALUE!</v>
      </c>
      <c r="P203" s="2" t="e">
        <f>IF(Table3[[#This Row],[Helper]]&gt;191,"Gold",IF(Table3[[#This Row],[Helper]]&gt;171,"Silver",IF(Table3[[#This Row],[Helper]]&gt;141,"Bronze","")))</f>
        <v>#VALUE!</v>
      </c>
    </row>
    <row r="204" spans="9:16" x14ac:dyDescent="0.25">
      <c r="I204" s="285">
        <f>Advanced!C99</f>
        <v>0</v>
      </c>
      <c r="J204" s="286" t="str">
        <f>Advanced!D99</f>
        <v/>
      </c>
      <c r="K204" s="287" t="str">
        <f t="shared" si="8"/>
        <v/>
      </c>
      <c r="L204" s="285" t="str">
        <f>IF(AND(Advanced!AQ99=1,Advanced!AM99=0),"Advanced","")</f>
        <v/>
      </c>
      <c r="M204" s="285" t="str">
        <f>IF(AND(Advanced!I99="Pass",Advanced!Q99="Pass",Advanced!Y99="Pass",Advanced!AQ99=1,Advanced!AM99=0),"SP","")</f>
        <v/>
      </c>
      <c r="N204" t="str">
        <f>Advanced!AD99</f>
        <v/>
      </c>
      <c r="O204" t="e">
        <f>IF(Table3[[#This Row],[First Title]]="Started", (Table3[[#This Row],[Score]]+0)*2,Table3[[#This Row],[Score]]+0)</f>
        <v>#VALUE!</v>
      </c>
      <c r="P204" s="2" t="e">
        <f>IF(Table3[[#This Row],[Helper]]&gt;191,"Gold",IF(Table3[[#This Row],[Helper]]&gt;171,"Silver",IF(Table3[[#This Row],[Helper]]&gt;141,"Bronze","")))</f>
        <v>#VALUE!</v>
      </c>
    </row>
    <row r="205" spans="9:16" x14ac:dyDescent="0.25">
      <c r="I205" s="285">
        <f>Advanced!C100</f>
        <v>0</v>
      </c>
      <c r="J205" s="286" t="str">
        <f>Advanced!D100</f>
        <v/>
      </c>
      <c r="K205" s="287" t="str">
        <f t="shared" si="8"/>
        <v/>
      </c>
      <c r="L205" s="285" t="str">
        <f>IF(AND(Advanced!AQ100=1,Advanced!AM100=0),"Advanced","")</f>
        <v/>
      </c>
      <c r="M205" s="285" t="str">
        <f>IF(AND(Advanced!I100="Pass",Advanced!Q100="Pass",Advanced!Y100="Pass",Advanced!AQ100=1,Advanced!AM100=0),"SP","")</f>
        <v/>
      </c>
      <c r="N205" t="str">
        <f>Advanced!AD100</f>
        <v/>
      </c>
      <c r="O205" t="e">
        <f>IF(Table3[[#This Row],[First Title]]="Started", (Table3[[#This Row],[Score]]+0)*2,Table3[[#This Row],[Score]]+0)</f>
        <v>#VALUE!</v>
      </c>
      <c r="P205" s="2" t="e">
        <f>IF(Table3[[#This Row],[Helper]]&gt;191,"Gold",IF(Table3[[#This Row],[Helper]]&gt;171,"Silver",IF(Table3[[#This Row],[Helper]]&gt;141,"Bronze","")))</f>
        <v>#VALUE!</v>
      </c>
    </row>
    <row r="206" spans="9:16" x14ac:dyDescent="0.25">
      <c r="I206" s="285">
        <f>Advanced!C101</f>
        <v>0</v>
      </c>
      <c r="J206" s="286" t="str">
        <f>Advanced!D101</f>
        <v/>
      </c>
      <c r="K206" s="287" t="str">
        <f t="shared" si="8"/>
        <v/>
      </c>
      <c r="L206" s="285" t="str">
        <f>IF(AND(Advanced!AQ101=1,Advanced!AM101=0),"Advanced","")</f>
        <v/>
      </c>
      <c r="M206" s="285" t="str">
        <f>IF(AND(Advanced!I101="Pass",Advanced!Q101="Pass",Advanced!Y101="Pass",Advanced!AQ101=1,Advanced!AM101=0),"SP","")</f>
        <v/>
      </c>
      <c r="N206" t="str">
        <f>Advanced!AD101</f>
        <v/>
      </c>
      <c r="O206" t="e">
        <f>IF(Table3[[#This Row],[First Title]]="Started", (Table3[[#This Row],[Score]]+0)*2,Table3[[#This Row],[Score]]+0)</f>
        <v>#VALUE!</v>
      </c>
      <c r="P206" s="2" t="e">
        <f>IF(Table3[[#This Row],[Helper]]&gt;191,"Gold",IF(Table3[[#This Row],[Helper]]&gt;171,"Silver",IF(Table3[[#This Row],[Helper]]&gt;141,"Bronze","")))</f>
        <v>#VALUE!</v>
      </c>
    </row>
    <row r="207" spans="9:16" x14ac:dyDescent="0.25">
      <c r="I207" s="285">
        <f>Advanced!C102</f>
        <v>0</v>
      </c>
      <c r="J207" s="286" t="str">
        <f>Advanced!D102</f>
        <v/>
      </c>
      <c r="K207" s="287" t="str">
        <f t="shared" si="8"/>
        <v/>
      </c>
      <c r="L207" s="285" t="str">
        <f>IF(AND(Advanced!AQ102=1,Advanced!AM102=0),"Advanced","")</f>
        <v/>
      </c>
      <c r="M207" s="285" t="str">
        <f>IF(AND(Advanced!I102="Pass",Advanced!Q102="Pass",Advanced!Y102="Pass",Advanced!AQ102=1,Advanced!AM102=0),"SP","")</f>
        <v/>
      </c>
      <c r="N207" t="str">
        <f>Advanced!AD102</f>
        <v/>
      </c>
      <c r="O207" t="e">
        <f>IF(Table3[[#This Row],[First Title]]="Started", (Table3[[#This Row],[Score]]+0)*2,Table3[[#This Row],[Score]]+0)</f>
        <v>#VALUE!</v>
      </c>
      <c r="P207" s="2" t="e">
        <f>IF(Table3[[#This Row],[Helper]]&gt;191,"Gold",IF(Table3[[#This Row],[Helper]]&gt;171,"Silver",IF(Table3[[#This Row],[Helper]]&gt;141,"Bronze","")))</f>
        <v>#VALUE!</v>
      </c>
    </row>
    <row r="208" spans="9:16" x14ac:dyDescent="0.25">
      <c r="I208" s="285">
        <f>Advanced!C103</f>
        <v>0</v>
      </c>
      <c r="J208" s="286" t="str">
        <f>Advanced!D103</f>
        <v/>
      </c>
      <c r="K208" s="287" t="str">
        <f t="shared" si="8"/>
        <v/>
      </c>
      <c r="L208" s="285" t="str">
        <f>IF(AND(Advanced!AQ103=1,Advanced!AM103=0),"Advanced","")</f>
        <v/>
      </c>
      <c r="M208" s="285" t="str">
        <f>IF(AND(Advanced!I103="Pass",Advanced!Q103="Pass",Advanced!Y103="Pass",Advanced!AQ103=1,Advanced!AM103=0),"SP","")</f>
        <v/>
      </c>
      <c r="N208" t="str">
        <f>Advanced!AD103</f>
        <v/>
      </c>
      <c r="O208" t="e">
        <f>IF(Table3[[#This Row],[First Title]]="Started", (Table3[[#This Row],[Score]]+0)*2,Table3[[#This Row],[Score]]+0)</f>
        <v>#VALUE!</v>
      </c>
      <c r="P208" s="2" t="e">
        <f>IF(Table3[[#This Row],[Helper]]&gt;191,"Gold",IF(Table3[[#This Row],[Helper]]&gt;171,"Silver",IF(Table3[[#This Row],[Helper]]&gt;141,"Bronze","")))</f>
        <v>#VALUE!</v>
      </c>
    </row>
    <row r="209" spans="9:16" x14ac:dyDescent="0.25">
      <c r="I209" s="285">
        <f>Advanced!C104</f>
        <v>0</v>
      </c>
      <c r="J209" s="286" t="str">
        <f>Advanced!D104</f>
        <v/>
      </c>
      <c r="K209" s="287" t="str">
        <f t="shared" si="8"/>
        <v/>
      </c>
      <c r="L209" s="285" t="str">
        <f>IF(AND(Advanced!AQ104=1,Advanced!AM104=0),"Advanced","")</f>
        <v/>
      </c>
      <c r="M209" s="285" t="str">
        <f>IF(AND(Advanced!I104="Pass",Advanced!Q104="Pass",Advanced!Y104="Pass",Advanced!AQ104=1,Advanced!AM104=0),"SP","")</f>
        <v/>
      </c>
      <c r="N209" t="str">
        <f>Advanced!AD104</f>
        <v/>
      </c>
      <c r="O209" t="e">
        <f>IF(Table3[[#This Row],[First Title]]="Started", (Table3[[#This Row],[Score]]+0)*2,Table3[[#This Row],[Score]]+0)</f>
        <v>#VALUE!</v>
      </c>
      <c r="P209" s="2" t="e">
        <f>IF(Table3[[#This Row],[Helper]]&gt;191,"Gold",IF(Table3[[#This Row],[Helper]]&gt;171,"Silver",IF(Table3[[#This Row],[Helper]]&gt;141,"Bronze","")))</f>
        <v>#VALUE!</v>
      </c>
    </row>
    <row r="210" spans="9:16" x14ac:dyDescent="0.25">
      <c r="I210" s="285">
        <f>Advanced!C105</f>
        <v>0</v>
      </c>
      <c r="J210" s="286" t="str">
        <f>Advanced!D105</f>
        <v/>
      </c>
      <c r="K210" s="287" t="str">
        <f t="shared" si="8"/>
        <v/>
      </c>
      <c r="L210" s="285" t="str">
        <f>IF(AND(Advanced!AQ105=1,Advanced!AM105=0),"Advanced","")</f>
        <v/>
      </c>
      <c r="M210" s="285" t="str">
        <f>IF(AND(Advanced!I105="Pass",Advanced!Q105="Pass",Advanced!Y105="Pass",Advanced!AQ105=1,Advanced!AM105=0),"SP","")</f>
        <v/>
      </c>
      <c r="N210" t="str">
        <f>Advanced!AD105</f>
        <v/>
      </c>
      <c r="O210" t="e">
        <f>IF(Table3[[#This Row],[First Title]]="Started", (Table3[[#This Row],[Score]]+0)*2,Table3[[#This Row],[Score]]+0)</f>
        <v>#VALUE!</v>
      </c>
      <c r="P210" s="2" t="e">
        <f>IF(Table3[[#This Row],[Helper]]&gt;191,"Gold",IF(Table3[[#This Row],[Helper]]&gt;171,"Silver",IF(Table3[[#This Row],[Helper]]&gt;141,"Bronze","")))</f>
        <v>#VALUE!</v>
      </c>
    </row>
    <row r="211" spans="9:16" x14ac:dyDescent="0.25">
      <c r="I211" s="285">
        <f>Advanced!C106</f>
        <v>0</v>
      </c>
      <c r="J211" s="286" t="str">
        <f>Advanced!D106</f>
        <v/>
      </c>
      <c r="K211" s="287" t="str">
        <f t="shared" si="8"/>
        <v/>
      </c>
      <c r="L211" s="285" t="str">
        <f>IF(AND(Advanced!AQ106=1,Advanced!AM106=0),"Advanced","")</f>
        <v/>
      </c>
      <c r="M211" s="285" t="str">
        <f>IF(AND(Advanced!I106="Pass",Advanced!Q106="Pass",Advanced!Y106="Pass",Advanced!AQ106=1,Advanced!AM106=0),"SP","")</f>
        <v/>
      </c>
      <c r="N211" t="str">
        <f>Advanced!AD106</f>
        <v/>
      </c>
      <c r="O211" t="e">
        <f>IF(Table3[[#This Row],[First Title]]="Started", (Table3[[#This Row],[Score]]+0)*2,Table3[[#This Row],[Score]]+0)</f>
        <v>#VALUE!</v>
      </c>
      <c r="P211" s="2" t="e">
        <f>IF(Table3[[#This Row],[Helper]]&gt;191,"Gold",IF(Table3[[#This Row],[Helper]]&gt;171,"Silver",IF(Table3[[#This Row],[Helper]]&gt;141,"Bronze","")))</f>
        <v>#VALUE!</v>
      </c>
    </row>
    <row r="212" spans="9:16" x14ac:dyDescent="0.25">
      <c r="I212" s="285">
        <f>Advanced!C107</f>
        <v>0</v>
      </c>
      <c r="J212" s="286" t="str">
        <f>Advanced!D107</f>
        <v/>
      </c>
      <c r="K212" s="287" t="str">
        <f t="shared" si="8"/>
        <v/>
      </c>
      <c r="L212" s="285" t="str">
        <f>IF(AND(Advanced!AQ107=1,Advanced!AM107=0),"Advanced","")</f>
        <v/>
      </c>
      <c r="M212" s="285" t="str">
        <f>IF(AND(Advanced!I107="Pass",Advanced!Q107="Pass",Advanced!Y107="Pass",Advanced!AQ107=1,Advanced!AM107=0),"SP","")</f>
        <v/>
      </c>
      <c r="N212" t="str">
        <f>Advanced!AD107</f>
        <v/>
      </c>
      <c r="O212" t="e">
        <f>IF(Table3[[#This Row],[First Title]]="Started", (Table3[[#This Row],[Score]]+0)*2,Table3[[#This Row],[Score]]+0)</f>
        <v>#VALUE!</v>
      </c>
      <c r="P212" s="2" t="e">
        <f>IF(Table3[[#This Row],[Helper]]&gt;191,"Gold",IF(Table3[[#This Row],[Helper]]&gt;171,"Silver",IF(Table3[[#This Row],[Helper]]&gt;141,"Bronze","")))</f>
        <v>#VALUE!</v>
      </c>
    </row>
    <row r="213" spans="9:16" x14ac:dyDescent="0.25">
      <c r="I213" s="285">
        <f>Advanced!C108</f>
        <v>0</v>
      </c>
      <c r="J213" s="286" t="str">
        <f>Advanced!D108</f>
        <v/>
      </c>
      <c r="K213" s="287" t="str">
        <f t="shared" si="8"/>
        <v/>
      </c>
      <c r="L213" s="285" t="str">
        <f>IF(AND(Advanced!AQ108=1,Advanced!AM108=0),"Advanced","")</f>
        <v/>
      </c>
      <c r="M213" s="285" t="str">
        <f>IF(AND(Advanced!I108="Pass",Advanced!Q108="Pass",Advanced!Y108="Pass",Advanced!AQ108=1,Advanced!AM108=0),"SP","")</f>
        <v/>
      </c>
      <c r="N213" t="str">
        <f>Advanced!AD108</f>
        <v/>
      </c>
      <c r="O213" t="e">
        <f>IF(Table3[[#This Row],[First Title]]="Started", (Table3[[#This Row],[Score]]+0)*2,Table3[[#This Row],[Score]]+0)</f>
        <v>#VALUE!</v>
      </c>
      <c r="P213" s="2" t="e">
        <f>IF(Table3[[#This Row],[Helper]]&gt;191,"Gold",IF(Table3[[#This Row],[Helper]]&gt;171,"Silver",IF(Table3[[#This Row],[Helper]]&gt;141,"Bronze","")))</f>
        <v>#VALUE!</v>
      </c>
    </row>
    <row r="214" spans="9:16" x14ac:dyDescent="0.25">
      <c r="I214" s="285">
        <f>Advanced!C109</f>
        <v>0</v>
      </c>
      <c r="J214" s="286" t="str">
        <f>Advanced!D109</f>
        <v/>
      </c>
      <c r="K214" s="287" t="str">
        <f t="shared" si="8"/>
        <v/>
      </c>
      <c r="L214" s="285" t="str">
        <f>IF(AND(Advanced!AQ109=1,Advanced!AM109=0),"Advanced","")</f>
        <v/>
      </c>
      <c r="M214" s="285" t="str">
        <f>IF(AND(Advanced!I109="Pass",Advanced!Q109="Pass",Advanced!Y109="Pass",Advanced!AQ109=1,Advanced!AM109=0),"SP","")</f>
        <v/>
      </c>
      <c r="N214" t="str">
        <f>Advanced!AD109</f>
        <v/>
      </c>
      <c r="O214" t="e">
        <f>IF(Table3[[#This Row],[First Title]]="Started", (Table3[[#This Row],[Score]]+0)*2,Table3[[#This Row],[Score]]+0)</f>
        <v>#VALUE!</v>
      </c>
      <c r="P214" s="2" t="e">
        <f>IF(Table3[[#This Row],[Helper]]&gt;191,"Gold",IF(Table3[[#This Row],[Helper]]&gt;171,"Silver",IF(Table3[[#This Row],[Helper]]&gt;141,"Bronze","")))</f>
        <v>#VALUE!</v>
      </c>
    </row>
    <row r="215" spans="9:16" x14ac:dyDescent="0.25">
      <c r="I215" s="285">
        <f>Advanced!C110</f>
        <v>0</v>
      </c>
      <c r="J215" s="286" t="str">
        <f>Advanced!D110</f>
        <v/>
      </c>
      <c r="K215" s="287" t="str">
        <f t="shared" si="8"/>
        <v/>
      </c>
      <c r="L215" s="285" t="str">
        <f>IF(AND(Advanced!AQ110=1,Advanced!AM110=0),"Advanced","")</f>
        <v/>
      </c>
      <c r="M215" s="285" t="str">
        <f>IF(AND(Advanced!I110="Pass",Advanced!Q110="Pass",Advanced!Y110="Pass",Advanced!AQ110=1,Advanced!AM110=0),"SP","")</f>
        <v/>
      </c>
      <c r="N215" t="str">
        <f>Advanced!AD110</f>
        <v/>
      </c>
      <c r="O215" t="e">
        <f>IF(Table3[[#This Row],[First Title]]="Started", (Table3[[#This Row],[Score]]+0)*2,Table3[[#This Row],[Score]]+0)</f>
        <v>#VALUE!</v>
      </c>
      <c r="P215" s="2" t="e">
        <f>IF(Table3[[#This Row],[Helper]]&gt;191,"Gold",IF(Table3[[#This Row],[Helper]]&gt;171,"Silver",IF(Table3[[#This Row],[Helper]]&gt;141,"Bronze","")))</f>
        <v>#VALUE!</v>
      </c>
    </row>
    <row r="216" spans="9:16" x14ac:dyDescent="0.25">
      <c r="I216" s="285">
        <f>Advanced!C111</f>
        <v>0</v>
      </c>
      <c r="J216" s="286" t="str">
        <f>Advanced!D111</f>
        <v/>
      </c>
      <c r="K216" s="287" t="str">
        <f t="shared" si="8"/>
        <v/>
      </c>
      <c r="L216" s="285" t="str">
        <f>IF(AND(Advanced!AQ111=1,Advanced!AM111=0),"Advanced","")</f>
        <v/>
      </c>
      <c r="M216" s="285" t="str">
        <f>IF(AND(Advanced!I111="Pass",Advanced!Q111="Pass",Advanced!Y111="Pass",Advanced!AQ111=1,Advanced!AM111=0),"SP","")</f>
        <v/>
      </c>
      <c r="N216" t="str">
        <f>Advanced!AD111</f>
        <v/>
      </c>
      <c r="O216" t="e">
        <f>IF(Table3[[#This Row],[First Title]]="Started", (Table3[[#This Row],[Score]]+0)*2,Table3[[#This Row],[Score]]+0)</f>
        <v>#VALUE!</v>
      </c>
      <c r="P216" s="2" t="e">
        <f>IF(Table3[[#This Row],[Helper]]&gt;191,"Gold",IF(Table3[[#This Row],[Helper]]&gt;171,"Silver",IF(Table3[[#This Row],[Helper]]&gt;141,"Bronze","")))</f>
        <v>#VALUE!</v>
      </c>
    </row>
    <row r="217" spans="9:16" x14ac:dyDescent="0.25">
      <c r="I217" s="285">
        <f>Advanced!C112</f>
        <v>0</v>
      </c>
      <c r="J217" s="286" t="str">
        <f>Advanced!D112</f>
        <v/>
      </c>
      <c r="K217" s="287" t="str">
        <f t="shared" si="8"/>
        <v/>
      </c>
      <c r="L217" s="285" t="str">
        <f>IF(AND(Advanced!AQ112=1,Advanced!AM112=0),"Advanced","")</f>
        <v/>
      </c>
      <c r="M217" s="285" t="str">
        <f>IF(AND(Advanced!I112="Pass",Advanced!Q112="Pass",Advanced!Y112="Pass",Advanced!AQ112=1,Advanced!AM112=0),"SP","")</f>
        <v/>
      </c>
      <c r="N217" t="str">
        <f>Advanced!AD112</f>
        <v/>
      </c>
      <c r="O217" t="e">
        <f>IF(Table3[[#This Row],[First Title]]="Started", (Table3[[#This Row],[Score]]+0)*2,Table3[[#This Row],[Score]]+0)</f>
        <v>#VALUE!</v>
      </c>
      <c r="P217" s="2" t="e">
        <f>IF(Table3[[#This Row],[Helper]]&gt;191,"Gold",IF(Table3[[#This Row],[Helper]]&gt;171,"Silver",IF(Table3[[#This Row],[Helper]]&gt;141,"Bronze","")))</f>
        <v>#VALUE!</v>
      </c>
    </row>
    <row r="218" spans="9:16" x14ac:dyDescent="0.25">
      <c r="I218" s="285">
        <f>Advanced!C113</f>
        <v>0</v>
      </c>
      <c r="J218" s="286" t="str">
        <f>Advanced!D113</f>
        <v/>
      </c>
      <c r="K218" s="287" t="str">
        <f t="shared" si="8"/>
        <v/>
      </c>
      <c r="L218" s="285" t="str">
        <f>IF(AND(Advanced!AQ113=1,Advanced!AM113=0),"Advanced","")</f>
        <v/>
      </c>
      <c r="M218" s="285" t="str">
        <f>IF(AND(Advanced!I113="Pass",Advanced!Q113="Pass",Advanced!Y113="Pass",Advanced!AQ113=1,Advanced!AM113=0),"SP","")</f>
        <v/>
      </c>
      <c r="N218" t="str">
        <f>Advanced!AD113</f>
        <v/>
      </c>
      <c r="O218" t="e">
        <f>IF(Table3[[#This Row],[First Title]]="Started", (Table3[[#This Row],[Score]]+0)*2,Table3[[#This Row],[Score]]+0)</f>
        <v>#VALUE!</v>
      </c>
      <c r="P218" s="2" t="e">
        <f>IF(Table3[[#This Row],[Helper]]&gt;191,"Gold",IF(Table3[[#This Row],[Helper]]&gt;171,"Silver",IF(Table3[[#This Row],[Helper]]&gt;141,"Bronze","")))</f>
        <v>#VALUE!</v>
      </c>
    </row>
    <row r="219" spans="9:16" x14ac:dyDescent="0.25">
      <c r="I219" s="285">
        <f>Advanced!C114</f>
        <v>0</v>
      </c>
      <c r="J219" s="286" t="str">
        <f>Advanced!D114</f>
        <v/>
      </c>
      <c r="K219" s="287" t="str">
        <f t="shared" si="8"/>
        <v/>
      </c>
      <c r="L219" s="285" t="str">
        <f>IF(AND(Advanced!AQ114=1,Advanced!AM114=0),"Advanced","")</f>
        <v/>
      </c>
      <c r="M219" s="285" t="str">
        <f>IF(AND(Advanced!I114="Pass",Advanced!Q114="Pass",Advanced!Y114="Pass",Advanced!AQ114=1,Advanced!AM114=0),"SP","")</f>
        <v/>
      </c>
      <c r="N219" t="str">
        <f>Advanced!AD114</f>
        <v/>
      </c>
      <c r="O219" t="e">
        <f>IF(Table3[[#This Row],[First Title]]="Started", (Table3[[#This Row],[Score]]+0)*2,Table3[[#This Row],[Score]]+0)</f>
        <v>#VALUE!</v>
      </c>
      <c r="P219" s="2" t="e">
        <f>IF(Table3[[#This Row],[Helper]]&gt;191,"Gold",IF(Table3[[#This Row],[Helper]]&gt;171,"Silver",IF(Table3[[#This Row],[Helper]]&gt;141,"Bronze","")))</f>
        <v>#VALUE!</v>
      </c>
    </row>
    <row r="220" spans="9:16" x14ac:dyDescent="0.25">
      <c r="I220" s="285">
        <f>Excellent!C5</f>
        <v>0</v>
      </c>
      <c r="J220" s="286" t="str">
        <f>Excellent!D5</f>
        <v/>
      </c>
      <c r="K220" s="287" t="str">
        <f t="shared" ref="K220:K269" si="9">TrialDate</f>
        <v/>
      </c>
      <c r="L220" s="285" t="str">
        <f>IF(AND(Excellent!AQ5=1,Excellent!AM5=0),"Excellent","")</f>
        <v/>
      </c>
      <c r="M220" s="285" t="str">
        <f>IF(AND(Excellent!I5="Pass",Excellent!Q5="Pass",Excellent!Y5="Pass",Excellent!AQ5=1,Excellent!AM5=0),"SP","")</f>
        <v/>
      </c>
      <c r="N220" t="str">
        <f>Excellent!AD5</f>
        <v/>
      </c>
      <c r="O220" t="e">
        <f>IF(Table3[[#This Row],[First Title]]="Started", (Table3[[#This Row],[Score]]+0)*2,Table3[[#This Row],[Score]]+0)</f>
        <v>#VALUE!</v>
      </c>
      <c r="P220" s="2" t="e">
        <f>IF(Table3[[#This Row],[Helper]]&gt;191,"Gold",IF(Table3[[#This Row],[Helper]]&gt;171,"Silver",IF(Table3[[#This Row],[Helper]]&gt;141,"Bronze","")))</f>
        <v>#VALUE!</v>
      </c>
    </row>
    <row r="221" spans="9:16" x14ac:dyDescent="0.25">
      <c r="I221" s="285">
        <f>Excellent!C6</f>
        <v>0</v>
      </c>
      <c r="J221" s="286" t="str">
        <f>Excellent!D6</f>
        <v/>
      </c>
      <c r="K221" s="287" t="str">
        <f t="shared" si="9"/>
        <v/>
      </c>
      <c r="L221" s="285" t="str">
        <f>IF(AND(Excellent!AQ6=1,Excellent!AM6=0),"Excellent","")</f>
        <v/>
      </c>
      <c r="M221" s="285" t="str">
        <f>IF(AND(Excellent!I6="Pass",Excellent!Q6="Pass",Excellent!Y6="Pass",Excellent!AQ6=1,Excellent!AM6=0),"SP","")</f>
        <v/>
      </c>
      <c r="N221" t="str">
        <f>Excellent!AD6</f>
        <v/>
      </c>
      <c r="O221" t="e">
        <f>IF(Table3[[#This Row],[First Title]]="Started", (Table3[[#This Row],[Score]]+0)*2,Table3[[#This Row],[Score]]+0)</f>
        <v>#VALUE!</v>
      </c>
      <c r="P221" s="2" t="e">
        <f>IF(Table3[[#This Row],[Helper]]&gt;191,"Gold",IF(Table3[[#This Row],[Helper]]&gt;171,"Silver",IF(Table3[[#This Row],[Helper]]&gt;141,"Bronze","")))</f>
        <v>#VALUE!</v>
      </c>
    </row>
    <row r="222" spans="9:16" x14ac:dyDescent="0.25">
      <c r="I222" s="285">
        <f>Excellent!C7</f>
        <v>0</v>
      </c>
      <c r="J222" s="286" t="str">
        <f>Excellent!D7</f>
        <v/>
      </c>
      <c r="K222" s="287" t="str">
        <f t="shared" si="9"/>
        <v/>
      </c>
      <c r="L222" s="285" t="str">
        <f>IF(AND(Excellent!AQ7=1,Excellent!AM7=0),"Excellent","")</f>
        <v/>
      </c>
      <c r="M222" s="285" t="str">
        <f>IF(AND(Excellent!I7="Pass",Excellent!Q7="Pass",Excellent!Y7="Pass",Excellent!AQ7=1,Excellent!AM7=0),"SP","")</f>
        <v/>
      </c>
      <c r="N222" t="str">
        <f>Excellent!AD7</f>
        <v/>
      </c>
      <c r="O222" t="e">
        <f>IF(Table3[[#This Row],[First Title]]="Started", (Table3[[#This Row],[Score]]+0)*2,Table3[[#This Row],[Score]]+0)</f>
        <v>#VALUE!</v>
      </c>
      <c r="P222" s="2" t="e">
        <f>IF(Table3[[#This Row],[Helper]]&gt;191,"Gold",IF(Table3[[#This Row],[Helper]]&gt;171,"Silver",IF(Table3[[#This Row],[Helper]]&gt;141,"Bronze","")))</f>
        <v>#VALUE!</v>
      </c>
    </row>
    <row r="223" spans="9:16" x14ac:dyDescent="0.25">
      <c r="I223" s="285">
        <f>Excellent!C8</f>
        <v>0</v>
      </c>
      <c r="J223" s="286" t="str">
        <f>Excellent!D8</f>
        <v/>
      </c>
      <c r="K223" s="287" t="str">
        <f t="shared" si="9"/>
        <v/>
      </c>
      <c r="L223" s="285" t="str">
        <f>IF(AND(Excellent!AQ8=1,Excellent!AM8=0),"Excellent","")</f>
        <v/>
      </c>
      <c r="M223" s="285" t="str">
        <f>IF(AND(Excellent!I8="Pass",Excellent!Q8="Pass",Excellent!Y8="Pass",Excellent!AQ8=1,Excellent!AM8=0),"SP","")</f>
        <v/>
      </c>
      <c r="N223" t="str">
        <f>Excellent!AD8</f>
        <v/>
      </c>
      <c r="O223" t="e">
        <f>IF(Table3[[#This Row],[First Title]]="Started", (Table3[[#This Row],[Score]]+0)*2,Table3[[#This Row],[Score]]+0)</f>
        <v>#VALUE!</v>
      </c>
      <c r="P223" s="2" t="e">
        <f>IF(Table3[[#This Row],[Helper]]&gt;191,"Gold",IF(Table3[[#This Row],[Helper]]&gt;171,"Silver",IF(Table3[[#This Row],[Helper]]&gt;141,"Bronze","")))</f>
        <v>#VALUE!</v>
      </c>
    </row>
    <row r="224" spans="9:16" x14ac:dyDescent="0.25">
      <c r="I224" s="285">
        <f>Excellent!C9</f>
        <v>0</v>
      </c>
      <c r="J224" s="286" t="str">
        <f>Excellent!D9</f>
        <v/>
      </c>
      <c r="K224" s="287" t="str">
        <f t="shared" si="9"/>
        <v/>
      </c>
      <c r="L224" s="285" t="str">
        <f>IF(AND(Excellent!AQ9=1,Excellent!AM9=0),"Excellent","")</f>
        <v/>
      </c>
      <c r="M224" s="285" t="str">
        <f>IF(AND(Excellent!I9="Pass",Excellent!Q9="Pass",Excellent!Y9="Pass",Excellent!AQ9=1,Excellent!AM9=0),"SP","")</f>
        <v/>
      </c>
      <c r="N224" t="str">
        <f>Excellent!AD9</f>
        <v/>
      </c>
      <c r="O224" t="e">
        <f>IF(Table3[[#This Row],[First Title]]="Started", (Table3[[#This Row],[Score]]+0)*2,Table3[[#This Row],[Score]]+0)</f>
        <v>#VALUE!</v>
      </c>
      <c r="P224" s="2" t="e">
        <f>IF(Table3[[#This Row],[Helper]]&gt;191,"Gold",IF(Table3[[#This Row],[Helper]]&gt;171,"Silver",IF(Table3[[#This Row],[Helper]]&gt;141,"Bronze","")))</f>
        <v>#VALUE!</v>
      </c>
    </row>
    <row r="225" spans="9:16" x14ac:dyDescent="0.25">
      <c r="I225" s="285">
        <f>Excellent!C10</f>
        <v>0</v>
      </c>
      <c r="J225" s="286" t="str">
        <f>Excellent!D10</f>
        <v/>
      </c>
      <c r="K225" s="287" t="str">
        <f t="shared" si="9"/>
        <v/>
      </c>
      <c r="L225" s="285" t="str">
        <f>IF(AND(Excellent!AQ10=1,Excellent!AM10=0),"Excellent","")</f>
        <v/>
      </c>
      <c r="M225" s="285" t="str">
        <f>IF(AND(Excellent!I10="Pass",Excellent!Q10="Pass",Excellent!Y10="Pass",Excellent!AQ10=1,Excellent!AM10=0),"SP","")</f>
        <v/>
      </c>
      <c r="N225" t="str">
        <f>Excellent!AD10</f>
        <v/>
      </c>
      <c r="O225" t="e">
        <f>IF(Table3[[#This Row],[First Title]]="Started", (Table3[[#This Row],[Score]]+0)*2,Table3[[#This Row],[Score]]+0)</f>
        <v>#VALUE!</v>
      </c>
      <c r="P225" s="2" t="e">
        <f>IF(Table3[[#This Row],[Helper]]&gt;191,"Gold",IF(Table3[[#This Row],[Helper]]&gt;171,"Silver",IF(Table3[[#This Row],[Helper]]&gt;141,"Bronze","")))</f>
        <v>#VALUE!</v>
      </c>
    </row>
    <row r="226" spans="9:16" x14ac:dyDescent="0.25">
      <c r="I226" s="285">
        <f>Excellent!C11</f>
        <v>0</v>
      </c>
      <c r="J226" s="286" t="str">
        <f>Excellent!D11</f>
        <v/>
      </c>
      <c r="K226" s="287" t="str">
        <f t="shared" si="9"/>
        <v/>
      </c>
      <c r="L226" s="285" t="str">
        <f>IF(AND(Excellent!AQ11=1,Excellent!AM11=0),"Excellent","")</f>
        <v/>
      </c>
      <c r="M226" s="285" t="str">
        <f>IF(AND(Excellent!I11="Pass",Excellent!Q11="Pass",Excellent!Y11="Pass",Excellent!AQ11=1,Excellent!AM11=0),"SP","")</f>
        <v/>
      </c>
      <c r="N226" t="str">
        <f>Excellent!AD11</f>
        <v/>
      </c>
      <c r="O226" t="e">
        <f>IF(Table3[[#This Row],[First Title]]="Started", (Table3[[#This Row],[Score]]+0)*2,Table3[[#This Row],[Score]]+0)</f>
        <v>#VALUE!</v>
      </c>
      <c r="P226" s="2" t="e">
        <f>IF(Table3[[#This Row],[Helper]]&gt;191,"Gold",IF(Table3[[#This Row],[Helper]]&gt;171,"Silver",IF(Table3[[#This Row],[Helper]]&gt;141,"Bronze","")))</f>
        <v>#VALUE!</v>
      </c>
    </row>
    <row r="227" spans="9:16" x14ac:dyDescent="0.25">
      <c r="I227" s="285">
        <f>Excellent!C12</f>
        <v>0</v>
      </c>
      <c r="J227" s="286" t="str">
        <f>Excellent!D12</f>
        <v/>
      </c>
      <c r="K227" s="287" t="str">
        <f t="shared" si="9"/>
        <v/>
      </c>
      <c r="L227" s="285" t="str">
        <f>IF(AND(Excellent!AQ12=1,Excellent!AM12=0),"Excellent","")</f>
        <v/>
      </c>
      <c r="M227" s="285" t="str">
        <f>IF(AND(Excellent!I12="Pass",Excellent!Q12="Pass",Excellent!Y12="Pass",Excellent!AQ12=1,Excellent!AM12=0),"SP","")</f>
        <v/>
      </c>
      <c r="N227" t="str">
        <f>Excellent!AD12</f>
        <v/>
      </c>
      <c r="O227" t="e">
        <f>IF(Table3[[#This Row],[First Title]]="Started", (Table3[[#This Row],[Score]]+0)*2,Table3[[#This Row],[Score]]+0)</f>
        <v>#VALUE!</v>
      </c>
      <c r="P227" s="2" t="e">
        <f>IF(Table3[[#This Row],[Helper]]&gt;191,"Gold",IF(Table3[[#This Row],[Helper]]&gt;171,"Silver",IF(Table3[[#This Row],[Helper]]&gt;141,"Bronze","")))</f>
        <v>#VALUE!</v>
      </c>
    </row>
    <row r="228" spans="9:16" x14ac:dyDescent="0.25">
      <c r="I228" s="285">
        <f>Excellent!C13</f>
        <v>0</v>
      </c>
      <c r="J228" s="286" t="str">
        <f>Excellent!D13</f>
        <v/>
      </c>
      <c r="K228" s="287" t="str">
        <f t="shared" si="9"/>
        <v/>
      </c>
      <c r="L228" s="285" t="str">
        <f>IF(AND(Excellent!AQ13=1,Excellent!AM13=0),"Excellent","")</f>
        <v/>
      </c>
      <c r="M228" s="285" t="str">
        <f>IF(AND(Excellent!I13="Pass",Excellent!Q13="Pass",Excellent!Y13="Pass",Excellent!AQ13=1,Excellent!AM13=0),"SP","")</f>
        <v/>
      </c>
      <c r="N228" t="str">
        <f>Excellent!AD13</f>
        <v/>
      </c>
      <c r="O228" t="e">
        <f>IF(Table3[[#This Row],[First Title]]="Started", (Table3[[#This Row],[Score]]+0)*2,Table3[[#This Row],[Score]]+0)</f>
        <v>#VALUE!</v>
      </c>
      <c r="P228" s="2" t="e">
        <f>IF(Table3[[#This Row],[Helper]]&gt;191,"Gold",IF(Table3[[#This Row],[Helper]]&gt;171,"Silver",IF(Table3[[#This Row],[Helper]]&gt;141,"Bronze","")))</f>
        <v>#VALUE!</v>
      </c>
    </row>
    <row r="229" spans="9:16" x14ac:dyDescent="0.25">
      <c r="I229" s="285">
        <f>Excellent!C14</f>
        <v>0</v>
      </c>
      <c r="J229" s="286" t="str">
        <f>Excellent!D14</f>
        <v/>
      </c>
      <c r="K229" s="287" t="str">
        <f t="shared" si="9"/>
        <v/>
      </c>
      <c r="L229" s="285" t="str">
        <f>IF(AND(Excellent!AQ14=1,Excellent!AM14=0),"Excellent","")</f>
        <v/>
      </c>
      <c r="M229" s="285" t="str">
        <f>IF(AND(Excellent!I14="Pass",Excellent!Q14="Pass",Excellent!Y14="Pass",Excellent!AQ14=1,Excellent!AM14=0),"SP","")</f>
        <v/>
      </c>
      <c r="N229" t="str">
        <f>Excellent!AD14</f>
        <v/>
      </c>
      <c r="O229" t="e">
        <f>IF(Table3[[#This Row],[First Title]]="Started", (Table3[[#This Row],[Score]]+0)*2,Table3[[#This Row],[Score]]+0)</f>
        <v>#VALUE!</v>
      </c>
      <c r="P229" s="2" t="e">
        <f>IF(Table3[[#This Row],[Helper]]&gt;191,"Gold",IF(Table3[[#This Row],[Helper]]&gt;171,"Silver",IF(Table3[[#This Row],[Helper]]&gt;141,"Bronze","")))</f>
        <v>#VALUE!</v>
      </c>
    </row>
    <row r="230" spans="9:16" x14ac:dyDescent="0.25">
      <c r="I230" s="285">
        <f>Excellent!C15</f>
        <v>0</v>
      </c>
      <c r="J230" s="286" t="str">
        <f>Excellent!D15</f>
        <v/>
      </c>
      <c r="K230" s="287" t="str">
        <f t="shared" si="9"/>
        <v/>
      </c>
      <c r="L230" s="285" t="str">
        <f>IF(AND(Excellent!AQ15=1,Excellent!AM15=0),"Excellent","")</f>
        <v/>
      </c>
      <c r="M230" s="285" t="str">
        <f>IF(AND(Excellent!I15="Pass",Excellent!Q15="Pass",Excellent!Y15="Pass",Excellent!AQ15=1,Excellent!AM15=0),"SP","")</f>
        <v/>
      </c>
      <c r="N230" t="str">
        <f>Excellent!AD15</f>
        <v/>
      </c>
      <c r="O230" t="e">
        <f>IF(Table3[[#This Row],[First Title]]="Started", (Table3[[#This Row],[Score]]+0)*2,Table3[[#This Row],[Score]]+0)</f>
        <v>#VALUE!</v>
      </c>
      <c r="P230" s="2" t="e">
        <f>IF(Table3[[#This Row],[Helper]]&gt;191,"Gold",IF(Table3[[#This Row],[Helper]]&gt;171,"Silver",IF(Table3[[#This Row],[Helper]]&gt;141,"Bronze","")))</f>
        <v>#VALUE!</v>
      </c>
    </row>
    <row r="231" spans="9:16" x14ac:dyDescent="0.25">
      <c r="I231" s="285">
        <f>Excellent!C16</f>
        <v>0</v>
      </c>
      <c r="J231" s="286" t="str">
        <f>Excellent!D16</f>
        <v/>
      </c>
      <c r="K231" s="287" t="str">
        <f t="shared" si="9"/>
        <v/>
      </c>
      <c r="L231" s="285" t="str">
        <f>IF(AND(Excellent!AQ16=1,Excellent!AM16=0),"Excellent","")</f>
        <v/>
      </c>
      <c r="M231" s="285" t="str">
        <f>IF(AND(Excellent!I16="Pass",Excellent!Q16="Pass",Excellent!Y16="Pass",Excellent!AQ16=1,Excellent!AM16=0),"SP","")</f>
        <v/>
      </c>
      <c r="N231" t="str">
        <f>Excellent!AD16</f>
        <v/>
      </c>
      <c r="O231" t="e">
        <f>IF(Table3[[#This Row],[First Title]]="Started", (Table3[[#This Row],[Score]]+0)*2,Table3[[#This Row],[Score]]+0)</f>
        <v>#VALUE!</v>
      </c>
      <c r="P231" s="2" t="e">
        <f>IF(Table3[[#This Row],[Helper]]&gt;191,"Gold",IF(Table3[[#This Row],[Helper]]&gt;171,"Silver",IF(Table3[[#This Row],[Helper]]&gt;141,"Bronze","")))</f>
        <v>#VALUE!</v>
      </c>
    </row>
    <row r="232" spans="9:16" x14ac:dyDescent="0.25">
      <c r="I232" s="285">
        <f>Excellent!C17</f>
        <v>0</v>
      </c>
      <c r="J232" s="286" t="str">
        <f>Excellent!D17</f>
        <v/>
      </c>
      <c r="K232" s="287" t="str">
        <f t="shared" si="9"/>
        <v/>
      </c>
      <c r="L232" s="285" t="str">
        <f>IF(AND(Excellent!AQ17=1,Excellent!AM17=0),"Excellent","")</f>
        <v/>
      </c>
      <c r="M232" s="285" t="str">
        <f>IF(AND(Excellent!I17="Pass",Excellent!Q17="Pass",Excellent!Y17="Pass",Excellent!AQ17=1,Excellent!AM17=0),"SP","")</f>
        <v/>
      </c>
      <c r="N232" t="str">
        <f>Excellent!AD17</f>
        <v/>
      </c>
      <c r="O232" t="e">
        <f>IF(Table3[[#This Row],[First Title]]="Started", (Table3[[#This Row],[Score]]+0)*2,Table3[[#This Row],[Score]]+0)</f>
        <v>#VALUE!</v>
      </c>
      <c r="P232" s="2" t="e">
        <f>IF(Table3[[#This Row],[Helper]]&gt;191,"Gold",IF(Table3[[#This Row],[Helper]]&gt;171,"Silver",IF(Table3[[#This Row],[Helper]]&gt;141,"Bronze","")))</f>
        <v>#VALUE!</v>
      </c>
    </row>
    <row r="233" spans="9:16" x14ac:dyDescent="0.25">
      <c r="I233" s="285">
        <f>Excellent!C18</f>
        <v>0</v>
      </c>
      <c r="J233" s="286" t="str">
        <f>Excellent!D18</f>
        <v/>
      </c>
      <c r="K233" s="287" t="str">
        <f t="shared" si="9"/>
        <v/>
      </c>
      <c r="L233" s="285" t="str">
        <f>IF(AND(Excellent!AQ18=1,Excellent!AM18=0),"Excellent","")</f>
        <v/>
      </c>
      <c r="M233" s="285" t="str">
        <f>IF(AND(Excellent!I18="Pass",Excellent!Q18="Pass",Excellent!Y18="Pass",Excellent!AQ18=1,Excellent!AM18=0),"SP","")</f>
        <v/>
      </c>
      <c r="N233" t="str">
        <f>Excellent!AD18</f>
        <v/>
      </c>
      <c r="O233" t="e">
        <f>IF(Table3[[#This Row],[First Title]]="Started", (Table3[[#This Row],[Score]]+0)*2,Table3[[#This Row],[Score]]+0)</f>
        <v>#VALUE!</v>
      </c>
      <c r="P233" s="2" t="e">
        <f>IF(Table3[[#This Row],[Helper]]&gt;191,"Gold",IF(Table3[[#This Row],[Helper]]&gt;171,"Silver",IF(Table3[[#This Row],[Helper]]&gt;141,"Bronze","")))</f>
        <v>#VALUE!</v>
      </c>
    </row>
    <row r="234" spans="9:16" x14ac:dyDescent="0.25">
      <c r="I234" s="285">
        <f>Excellent!C19</f>
        <v>0</v>
      </c>
      <c r="J234" s="286" t="str">
        <f>Excellent!D19</f>
        <v/>
      </c>
      <c r="K234" s="287" t="str">
        <f t="shared" si="9"/>
        <v/>
      </c>
      <c r="L234" s="285" t="str">
        <f>IF(AND(Excellent!AQ19=1,Excellent!AM19=0),"Excellent","")</f>
        <v/>
      </c>
      <c r="M234" s="285" t="str">
        <f>IF(AND(Excellent!I19="Pass",Excellent!Q19="Pass",Excellent!Y19="Pass",Excellent!AQ19=1,Excellent!AM19=0),"SP","")</f>
        <v/>
      </c>
      <c r="N234" t="str">
        <f>Excellent!AD19</f>
        <v/>
      </c>
      <c r="O234" t="e">
        <f>IF(Table3[[#This Row],[First Title]]="Started", (Table3[[#This Row],[Score]]+0)*2,Table3[[#This Row],[Score]]+0)</f>
        <v>#VALUE!</v>
      </c>
      <c r="P234" s="2" t="e">
        <f>IF(Table3[[#This Row],[Helper]]&gt;191,"Gold",IF(Table3[[#This Row],[Helper]]&gt;171,"Silver",IF(Table3[[#This Row],[Helper]]&gt;141,"Bronze","")))</f>
        <v>#VALUE!</v>
      </c>
    </row>
    <row r="235" spans="9:16" x14ac:dyDescent="0.25">
      <c r="I235" s="285">
        <f>Excellent!C20</f>
        <v>0</v>
      </c>
      <c r="J235" s="286" t="str">
        <f>Excellent!D20</f>
        <v/>
      </c>
      <c r="K235" s="287" t="str">
        <f t="shared" si="9"/>
        <v/>
      </c>
      <c r="L235" s="285" t="str">
        <f>IF(AND(Excellent!AQ20=1,Excellent!AM20=0),"Excellent","")</f>
        <v/>
      </c>
      <c r="M235" s="285" t="str">
        <f>IF(AND(Excellent!I20="Pass",Excellent!Q20="Pass",Excellent!Y20="Pass",Excellent!AQ20=1,Excellent!AM20=0),"SP","")</f>
        <v/>
      </c>
      <c r="N235" t="str">
        <f>Excellent!AD20</f>
        <v/>
      </c>
      <c r="O235" t="e">
        <f>IF(Table3[[#This Row],[First Title]]="Started", (Table3[[#This Row],[Score]]+0)*2,Table3[[#This Row],[Score]]+0)</f>
        <v>#VALUE!</v>
      </c>
      <c r="P235" s="2" t="e">
        <f>IF(Table3[[#This Row],[Helper]]&gt;191,"Gold",IF(Table3[[#This Row],[Helper]]&gt;171,"Silver",IF(Table3[[#This Row],[Helper]]&gt;141,"Bronze","")))</f>
        <v>#VALUE!</v>
      </c>
    </row>
    <row r="236" spans="9:16" x14ac:dyDescent="0.25">
      <c r="I236" s="285">
        <f>Excellent!C21</f>
        <v>0</v>
      </c>
      <c r="J236" s="286" t="str">
        <f>Excellent!D21</f>
        <v/>
      </c>
      <c r="K236" s="287" t="str">
        <f t="shared" si="9"/>
        <v/>
      </c>
      <c r="L236" s="285" t="str">
        <f>IF(AND(Excellent!AQ21=1,Excellent!AM21=0),"Excellent","")</f>
        <v/>
      </c>
      <c r="M236" s="285" t="str">
        <f>IF(AND(Excellent!I21="Pass",Excellent!Q21="Pass",Excellent!Y21="Pass",Excellent!AQ21=1,Excellent!AM21=0),"SP","")</f>
        <v/>
      </c>
      <c r="N236" t="str">
        <f>Excellent!AD21</f>
        <v/>
      </c>
      <c r="O236" t="e">
        <f>IF(Table3[[#This Row],[First Title]]="Started", (Table3[[#This Row],[Score]]+0)*2,Table3[[#This Row],[Score]]+0)</f>
        <v>#VALUE!</v>
      </c>
      <c r="P236" s="2" t="e">
        <f>IF(Table3[[#This Row],[Helper]]&gt;191,"Gold",IF(Table3[[#This Row],[Helper]]&gt;171,"Silver",IF(Table3[[#This Row],[Helper]]&gt;141,"Bronze","")))</f>
        <v>#VALUE!</v>
      </c>
    </row>
    <row r="237" spans="9:16" x14ac:dyDescent="0.25">
      <c r="I237" s="285">
        <f>Excellent!C22</f>
        <v>0</v>
      </c>
      <c r="J237" s="286" t="str">
        <f>Excellent!D22</f>
        <v/>
      </c>
      <c r="K237" s="287" t="str">
        <f t="shared" si="9"/>
        <v/>
      </c>
      <c r="L237" s="285" t="str">
        <f>IF(AND(Excellent!AQ22=1,Excellent!AM22=0),"Excellent","")</f>
        <v/>
      </c>
      <c r="M237" s="285" t="str">
        <f>IF(AND(Excellent!I22="Pass",Excellent!Q22="Pass",Excellent!Y22="Pass",Excellent!AQ22=1,Excellent!AM22=0),"SP","")</f>
        <v/>
      </c>
      <c r="N237" t="str">
        <f>Excellent!AD22</f>
        <v/>
      </c>
      <c r="O237" t="e">
        <f>IF(Table3[[#This Row],[First Title]]="Started", (Table3[[#This Row],[Score]]+0)*2,Table3[[#This Row],[Score]]+0)</f>
        <v>#VALUE!</v>
      </c>
      <c r="P237" s="2" t="e">
        <f>IF(Table3[[#This Row],[Helper]]&gt;191,"Gold",IF(Table3[[#This Row],[Helper]]&gt;171,"Silver",IF(Table3[[#This Row],[Helper]]&gt;141,"Bronze","")))</f>
        <v>#VALUE!</v>
      </c>
    </row>
    <row r="238" spans="9:16" x14ac:dyDescent="0.25">
      <c r="I238" s="285">
        <f>Excellent!C23</f>
        <v>0</v>
      </c>
      <c r="J238" s="286" t="str">
        <f>Excellent!D23</f>
        <v/>
      </c>
      <c r="K238" s="287" t="str">
        <f t="shared" si="9"/>
        <v/>
      </c>
      <c r="L238" s="285" t="str">
        <f>IF(AND(Excellent!AQ23=1,Excellent!AM23=0),"Excellent","")</f>
        <v/>
      </c>
      <c r="M238" s="285" t="str">
        <f>IF(AND(Excellent!I23="Pass",Excellent!Q23="Pass",Excellent!Y23="Pass",Excellent!AQ23=1,Excellent!AM23=0),"SP","")</f>
        <v/>
      </c>
      <c r="N238" t="str">
        <f>Excellent!AD23</f>
        <v/>
      </c>
      <c r="O238" t="e">
        <f>IF(Table3[[#This Row],[First Title]]="Started", (Table3[[#This Row],[Score]]+0)*2,Table3[[#This Row],[Score]]+0)</f>
        <v>#VALUE!</v>
      </c>
      <c r="P238" s="2" t="e">
        <f>IF(Table3[[#This Row],[Helper]]&gt;191,"Gold",IF(Table3[[#This Row],[Helper]]&gt;171,"Silver",IF(Table3[[#This Row],[Helper]]&gt;141,"Bronze","")))</f>
        <v>#VALUE!</v>
      </c>
    </row>
    <row r="239" spans="9:16" x14ac:dyDescent="0.25">
      <c r="I239" s="285">
        <f>Excellent!C24</f>
        <v>0</v>
      </c>
      <c r="J239" s="286" t="str">
        <f>Excellent!D24</f>
        <v/>
      </c>
      <c r="K239" s="287" t="str">
        <f t="shared" si="9"/>
        <v/>
      </c>
      <c r="L239" s="285" t="str">
        <f>IF(AND(Excellent!AQ24=1,Excellent!AM24=0),"Excellent","")</f>
        <v/>
      </c>
      <c r="M239" s="285" t="str">
        <f>IF(AND(Excellent!I24="Pass",Excellent!Q24="Pass",Excellent!Y24="Pass",Excellent!AQ24=1,Excellent!AM24=0),"SP","")</f>
        <v/>
      </c>
      <c r="N239" t="str">
        <f>Excellent!AD24</f>
        <v/>
      </c>
      <c r="O239" t="e">
        <f>IF(Table3[[#This Row],[First Title]]="Started", (Table3[[#This Row],[Score]]+0)*2,Table3[[#This Row],[Score]]+0)</f>
        <v>#VALUE!</v>
      </c>
      <c r="P239" s="2" t="e">
        <f>IF(Table3[[#This Row],[Helper]]&gt;191,"Gold",IF(Table3[[#This Row],[Helper]]&gt;171,"Silver",IF(Table3[[#This Row],[Helper]]&gt;141,"Bronze","")))</f>
        <v>#VALUE!</v>
      </c>
    </row>
    <row r="240" spans="9:16" x14ac:dyDescent="0.25">
      <c r="I240" s="285">
        <f>Excellent!C25</f>
        <v>0</v>
      </c>
      <c r="J240" s="286" t="str">
        <f>Excellent!D25</f>
        <v/>
      </c>
      <c r="K240" s="287" t="str">
        <f t="shared" si="9"/>
        <v/>
      </c>
      <c r="L240" s="285" t="str">
        <f>IF(AND(Excellent!AQ25=1,Excellent!AM25=0),"Excellent","")</f>
        <v/>
      </c>
      <c r="M240" s="285" t="str">
        <f>IF(AND(Excellent!I25="Pass",Excellent!Q25="Pass",Excellent!Y25="Pass",Excellent!AQ25=1,Excellent!AM25=0),"SP","")</f>
        <v/>
      </c>
      <c r="N240" t="str">
        <f>Excellent!AD25</f>
        <v/>
      </c>
      <c r="O240" t="e">
        <f>IF(Table3[[#This Row],[First Title]]="Started", (Table3[[#This Row],[Score]]+0)*2,Table3[[#This Row],[Score]]+0)</f>
        <v>#VALUE!</v>
      </c>
      <c r="P240" s="2" t="e">
        <f>IF(Table3[[#This Row],[Helper]]&gt;191,"Gold",IF(Table3[[#This Row],[Helper]]&gt;171,"Silver",IF(Table3[[#This Row],[Helper]]&gt;141,"Bronze","")))</f>
        <v>#VALUE!</v>
      </c>
    </row>
    <row r="241" spans="9:16" x14ac:dyDescent="0.25">
      <c r="I241" s="285">
        <f>Excellent!C26</f>
        <v>0</v>
      </c>
      <c r="J241" s="286" t="str">
        <f>Excellent!D26</f>
        <v/>
      </c>
      <c r="K241" s="287" t="str">
        <f t="shared" si="9"/>
        <v/>
      </c>
      <c r="L241" s="285" t="str">
        <f>IF(AND(Excellent!AQ26=1,Excellent!AM26=0),"Excellent","")</f>
        <v/>
      </c>
      <c r="M241" s="285" t="str">
        <f>IF(AND(Excellent!I26="Pass",Excellent!Q26="Pass",Excellent!Y26="Pass",Excellent!AQ26=1,Excellent!AM26=0),"SP","")</f>
        <v/>
      </c>
      <c r="N241" t="str">
        <f>Excellent!AD26</f>
        <v/>
      </c>
      <c r="O241" t="e">
        <f>IF(Table3[[#This Row],[First Title]]="Started", (Table3[[#This Row],[Score]]+0)*2,Table3[[#This Row],[Score]]+0)</f>
        <v>#VALUE!</v>
      </c>
      <c r="P241" s="2" t="e">
        <f>IF(Table3[[#This Row],[Helper]]&gt;191,"Gold",IF(Table3[[#This Row],[Helper]]&gt;171,"Silver",IF(Table3[[#This Row],[Helper]]&gt;141,"Bronze","")))</f>
        <v>#VALUE!</v>
      </c>
    </row>
    <row r="242" spans="9:16" x14ac:dyDescent="0.25">
      <c r="I242" s="285">
        <f>Excellent!C27</f>
        <v>0</v>
      </c>
      <c r="J242" s="286" t="str">
        <f>Excellent!D27</f>
        <v/>
      </c>
      <c r="K242" s="287" t="str">
        <f t="shared" si="9"/>
        <v/>
      </c>
      <c r="L242" s="285" t="str">
        <f>IF(AND(Excellent!AQ27=1,Excellent!AM27=0),"Excellent","")</f>
        <v/>
      </c>
      <c r="M242" s="285" t="str">
        <f>IF(AND(Excellent!I27="Pass",Excellent!Q27="Pass",Excellent!Y27="Pass",Excellent!AQ27=1,Excellent!AM27=0),"SP","")</f>
        <v/>
      </c>
      <c r="N242" t="str">
        <f>Excellent!AD27</f>
        <v/>
      </c>
      <c r="O242" t="e">
        <f>IF(Table3[[#This Row],[First Title]]="Started", (Table3[[#This Row],[Score]]+0)*2,Table3[[#This Row],[Score]]+0)</f>
        <v>#VALUE!</v>
      </c>
      <c r="P242" s="2" t="e">
        <f>IF(Table3[[#This Row],[Helper]]&gt;191,"Gold",IF(Table3[[#This Row],[Helper]]&gt;171,"Silver",IF(Table3[[#This Row],[Helper]]&gt;141,"Bronze","")))</f>
        <v>#VALUE!</v>
      </c>
    </row>
    <row r="243" spans="9:16" x14ac:dyDescent="0.25">
      <c r="I243" s="285">
        <f>Excellent!C28</f>
        <v>0</v>
      </c>
      <c r="J243" s="286" t="str">
        <f>Excellent!D28</f>
        <v/>
      </c>
      <c r="K243" s="287" t="str">
        <f t="shared" si="9"/>
        <v/>
      </c>
      <c r="L243" s="285" t="str">
        <f>IF(AND(Excellent!AQ28=1,Excellent!AM28=0),"Excellent","")</f>
        <v/>
      </c>
      <c r="M243" s="285" t="str">
        <f>IF(AND(Excellent!I28="Pass",Excellent!Q28="Pass",Excellent!Y28="Pass",Excellent!AQ28=1,Excellent!AM28=0),"SP","")</f>
        <v/>
      </c>
      <c r="N243" t="str">
        <f>Excellent!AD28</f>
        <v/>
      </c>
      <c r="O243" t="e">
        <f>IF(Table3[[#This Row],[First Title]]="Started", (Table3[[#This Row],[Score]]+0)*2,Table3[[#This Row],[Score]]+0)</f>
        <v>#VALUE!</v>
      </c>
      <c r="P243" s="2" t="e">
        <f>IF(Table3[[#This Row],[Helper]]&gt;191,"Gold",IF(Table3[[#This Row],[Helper]]&gt;171,"Silver",IF(Table3[[#This Row],[Helper]]&gt;141,"Bronze","")))</f>
        <v>#VALUE!</v>
      </c>
    </row>
    <row r="244" spans="9:16" x14ac:dyDescent="0.25">
      <c r="I244" s="285">
        <f>Excellent!C29</f>
        <v>0</v>
      </c>
      <c r="J244" s="286" t="str">
        <f>Excellent!D29</f>
        <v/>
      </c>
      <c r="K244" s="287" t="str">
        <f t="shared" si="9"/>
        <v/>
      </c>
      <c r="L244" s="285" t="str">
        <f>IF(AND(Excellent!AQ29=1,Excellent!AM29=0),"Excellent","")</f>
        <v/>
      </c>
      <c r="M244" s="285" t="str">
        <f>IF(AND(Excellent!I29="Pass",Excellent!Q29="Pass",Excellent!Y29="Pass",Excellent!AQ29=1,Excellent!AM29=0),"SP","")</f>
        <v/>
      </c>
      <c r="N244" t="str">
        <f>Excellent!AD29</f>
        <v/>
      </c>
      <c r="O244" t="e">
        <f>IF(Table3[[#This Row],[First Title]]="Started", (Table3[[#This Row],[Score]]+0)*2,Table3[[#This Row],[Score]]+0)</f>
        <v>#VALUE!</v>
      </c>
      <c r="P244" s="2" t="e">
        <f>IF(Table3[[#This Row],[Helper]]&gt;191,"Gold",IF(Table3[[#This Row],[Helper]]&gt;171,"Silver",IF(Table3[[#This Row],[Helper]]&gt;141,"Bronze","")))</f>
        <v>#VALUE!</v>
      </c>
    </row>
    <row r="245" spans="9:16" x14ac:dyDescent="0.25">
      <c r="I245" s="285">
        <f>Excellent!C30</f>
        <v>0</v>
      </c>
      <c r="J245" s="286" t="str">
        <f>Excellent!D30</f>
        <v/>
      </c>
      <c r="K245" s="287" t="str">
        <f t="shared" si="9"/>
        <v/>
      </c>
      <c r="L245" s="285" t="str">
        <f>IF(AND(Excellent!AQ30=1,Excellent!AM30=0),"Excellent","")</f>
        <v/>
      </c>
      <c r="M245" s="285" t="str">
        <f>IF(AND(Excellent!I30="Pass",Excellent!Q30="Pass",Excellent!Y30="Pass",Excellent!AQ30=1,Excellent!AM30=0),"SP","")</f>
        <v/>
      </c>
      <c r="N245" t="str">
        <f>Excellent!AD30</f>
        <v/>
      </c>
      <c r="O245" t="e">
        <f>IF(Table3[[#This Row],[First Title]]="Started", (Table3[[#This Row],[Score]]+0)*2,Table3[[#This Row],[Score]]+0)</f>
        <v>#VALUE!</v>
      </c>
      <c r="P245" s="2" t="e">
        <f>IF(Table3[[#This Row],[Helper]]&gt;191,"Gold",IF(Table3[[#This Row],[Helper]]&gt;171,"Silver",IF(Table3[[#This Row],[Helper]]&gt;141,"Bronze","")))</f>
        <v>#VALUE!</v>
      </c>
    </row>
    <row r="246" spans="9:16" x14ac:dyDescent="0.25">
      <c r="I246" s="285">
        <f>Excellent!C31</f>
        <v>0</v>
      </c>
      <c r="J246" s="286" t="str">
        <f>Excellent!D31</f>
        <v/>
      </c>
      <c r="K246" s="287" t="str">
        <f t="shared" si="9"/>
        <v/>
      </c>
      <c r="L246" s="285" t="str">
        <f>IF(AND(Excellent!AQ31=1,Excellent!AM31=0),"Excellent","")</f>
        <v/>
      </c>
      <c r="M246" s="285" t="str">
        <f>IF(AND(Excellent!I31="Pass",Excellent!Q31="Pass",Excellent!Y31="Pass",Excellent!AQ31=1,Excellent!AM31=0),"SP","")</f>
        <v/>
      </c>
      <c r="N246" t="str">
        <f>Excellent!AD31</f>
        <v/>
      </c>
      <c r="O246" t="e">
        <f>IF(Table3[[#This Row],[First Title]]="Started", (Table3[[#This Row],[Score]]+0)*2,Table3[[#This Row],[Score]]+0)</f>
        <v>#VALUE!</v>
      </c>
      <c r="P246" s="2" t="e">
        <f>IF(Table3[[#This Row],[Helper]]&gt;191,"Gold",IF(Table3[[#This Row],[Helper]]&gt;171,"Silver",IF(Table3[[#This Row],[Helper]]&gt;141,"Bronze","")))</f>
        <v>#VALUE!</v>
      </c>
    </row>
    <row r="247" spans="9:16" x14ac:dyDescent="0.25">
      <c r="I247" s="285">
        <f>Excellent!C32</f>
        <v>0</v>
      </c>
      <c r="J247" s="286" t="str">
        <f>Excellent!D32</f>
        <v/>
      </c>
      <c r="K247" s="287" t="str">
        <f t="shared" si="9"/>
        <v/>
      </c>
      <c r="L247" s="285" t="str">
        <f>IF(AND(Excellent!AQ32=1,Excellent!AM32=0),"Excellent","")</f>
        <v/>
      </c>
      <c r="M247" s="285" t="str">
        <f>IF(AND(Excellent!I32="Pass",Excellent!Q32="Pass",Excellent!Y32="Pass",Excellent!AQ32=1,Excellent!AM32=0),"SP","")</f>
        <v/>
      </c>
      <c r="N247" t="str">
        <f>Excellent!AD32</f>
        <v/>
      </c>
      <c r="O247" t="e">
        <f>IF(Table3[[#This Row],[First Title]]="Started", (Table3[[#This Row],[Score]]+0)*2,Table3[[#This Row],[Score]]+0)</f>
        <v>#VALUE!</v>
      </c>
      <c r="P247" s="2" t="e">
        <f>IF(Table3[[#This Row],[Helper]]&gt;191,"Gold",IF(Table3[[#This Row],[Helper]]&gt;171,"Silver",IF(Table3[[#This Row],[Helper]]&gt;141,"Bronze","")))</f>
        <v>#VALUE!</v>
      </c>
    </row>
    <row r="248" spans="9:16" x14ac:dyDescent="0.25">
      <c r="I248" s="285">
        <f>Excellent!C33</f>
        <v>0</v>
      </c>
      <c r="J248" s="286" t="str">
        <f>Excellent!D33</f>
        <v/>
      </c>
      <c r="K248" s="287" t="str">
        <f t="shared" si="9"/>
        <v/>
      </c>
      <c r="L248" s="285" t="str">
        <f>IF(AND(Excellent!AQ33=1,Excellent!AM33=0),"Excellent","")</f>
        <v/>
      </c>
      <c r="M248" s="285" t="str">
        <f>IF(AND(Excellent!I33="Pass",Excellent!Q33="Pass",Excellent!Y33="Pass",Excellent!AQ33=1,Excellent!AM33=0),"SP","")</f>
        <v/>
      </c>
      <c r="N248" t="str">
        <f>Excellent!AD33</f>
        <v/>
      </c>
      <c r="O248" t="e">
        <f>IF(Table3[[#This Row],[First Title]]="Started", (Table3[[#This Row],[Score]]+0)*2,Table3[[#This Row],[Score]]+0)</f>
        <v>#VALUE!</v>
      </c>
      <c r="P248" s="2" t="e">
        <f>IF(Table3[[#This Row],[Helper]]&gt;191,"Gold",IF(Table3[[#This Row],[Helper]]&gt;171,"Silver",IF(Table3[[#This Row],[Helper]]&gt;141,"Bronze","")))</f>
        <v>#VALUE!</v>
      </c>
    </row>
    <row r="249" spans="9:16" x14ac:dyDescent="0.25">
      <c r="I249" s="285">
        <f>Excellent!C34</f>
        <v>0</v>
      </c>
      <c r="J249" s="286" t="str">
        <f>Excellent!D34</f>
        <v/>
      </c>
      <c r="K249" s="287" t="str">
        <f t="shared" si="9"/>
        <v/>
      </c>
      <c r="L249" s="285" t="str">
        <f>IF(AND(Excellent!AQ34=1,Excellent!AM34=0),"Excellent","")</f>
        <v/>
      </c>
      <c r="M249" s="285" t="str">
        <f>IF(AND(Excellent!I34="Pass",Excellent!Q34="Pass",Excellent!Y34="Pass",Excellent!AQ34=1,Excellent!AM34=0),"SP","")</f>
        <v/>
      </c>
      <c r="N249" t="str">
        <f>Excellent!AD34</f>
        <v/>
      </c>
      <c r="O249" t="e">
        <f>IF(Table3[[#This Row],[First Title]]="Started", (Table3[[#This Row],[Score]]+0)*2,Table3[[#This Row],[Score]]+0)</f>
        <v>#VALUE!</v>
      </c>
      <c r="P249" s="2" t="e">
        <f>IF(Table3[[#This Row],[Helper]]&gt;191,"Gold",IF(Table3[[#This Row],[Helper]]&gt;171,"Silver",IF(Table3[[#This Row],[Helper]]&gt;141,"Bronze","")))</f>
        <v>#VALUE!</v>
      </c>
    </row>
    <row r="250" spans="9:16" x14ac:dyDescent="0.25">
      <c r="I250" s="285">
        <f>Excellent!C35</f>
        <v>0</v>
      </c>
      <c r="J250" s="286" t="str">
        <f>Excellent!D35</f>
        <v/>
      </c>
      <c r="K250" s="287" t="str">
        <f t="shared" si="9"/>
        <v/>
      </c>
      <c r="L250" s="285" t="str">
        <f>IF(AND(Excellent!AQ35=1,Excellent!AM35=0),"Excellent","")</f>
        <v/>
      </c>
      <c r="M250" s="285" t="str">
        <f>IF(AND(Excellent!I35="Pass",Excellent!Q35="Pass",Excellent!Y35="Pass",Excellent!AQ35=1,Excellent!AM35=0),"SP","")</f>
        <v/>
      </c>
      <c r="N250" t="str">
        <f>Excellent!AD35</f>
        <v/>
      </c>
      <c r="O250" t="e">
        <f>IF(Table3[[#This Row],[First Title]]="Started", (Table3[[#This Row],[Score]]+0)*2,Table3[[#This Row],[Score]]+0)</f>
        <v>#VALUE!</v>
      </c>
      <c r="P250" s="2" t="e">
        <f>IF(Table3[[#This Row],[Helper]]&gt;191,"Gold",IF(Table3[[#This Row],[Helper]]&gt;171,"Silver",IF(Table3[[#This Row],[Helper]]&gt;141,"Bronze","")))</f>
        <v>#VALUE!</v>
      </c>
    </row>
    <row r="251" spans="9:16" x14ac:dyDescent="0.25">
      <c r="I251" s="285">
        <f>Excellent!C36</f>
        <v>0</v>
      </c>
      <c r="J251" s="286" t="str">
        <f>Excellent!D36</f>
        <v/>
      </c>
      <c r="K251" s="287" t="str">
        <f t="shared" si="9"/>
        <v/>
      </c>
      <c r="L251" s="285" t="str">
        <f>IF(AND(Excellent!AQ36=1,Excellent!AM36=0),"Excellent","")</f>
        <v/>
      </c>
      <c r="M251" s="285" t="str">
        <f>IF(AND(Excellent!I36="Pass",Excellent!Q36="Pass",Excellent!Y36="Pass",Excellent!AQ36=1,Excellent!AM36=0),"SP","")</f>
        <v/>
      </c>
      <c r="N251" t="str">
        <f>Excellent!AD36</f>
        <v/>
      </c>
      <c r="O251" t="e">
        <f>IF(Table3[[#This Row],[First Title]]="Started", (Table3[[#This Row],[Score]]+0)*2,Table3[[#This Row],[Score]]+0)</f>
        <v>#VALUE!</v>
      </c>
      <c r="P251" s="2" t="e">
        <f>IF(Table3[[#This Row],[Helper]]&gt;191,"Gold",IF(Table3[[#This Row],[Helper]]&gt;171,"Silver",IF(Table3[[#This Row],[Helper]]&gt;141,"Bronze","")))</f>
        <v>#VALUE!</v>
      </c>
    </row>
    <row r="252" spans="9:16" x14ac:dyDescent="0.25">
      <c r="I252" s="285">
        <f>Excellent!C37</f>
        <v>0</v>
      </c>
      <c r="J252" s="286" t="str">
        <f>Excellent!D37</f>
        <v/>
      </c>
      <c r="K252" s="287" t="str">
        <f t="shared" si="9"/>
        <v/>
      </c>
      <c r="L252" s="285" t="str">
        <f>IF(AND(Excellent!AQ37=1,Excellent!AM37=0),"Excellent","")</f>
        <v/>
      </c>
      <c r="M252" s="285" t="str">
        <f>IF(AND(Excellent!I37="Pass",Excellent!Q37="Pass",Excellent!Y37="Pass",Excellent!AQ37=1,Excellent!AM37=0),"SP","")</f>
        <v/>
      </c>
      <c r="N252" t="str">
        <f>Excellent!AD37</f>
        <v/>
      </c>
      <c r="O252" t="e">
        <f>IF(Table3[[#This Row],[First Title]]="Started", (Table3[[#This Row],[Score]]+0)*2,Table3[[#This Row],[Score]]+0)</f>
        <v>#VALUE!</v>
      </c>
      <c r="P252" s="2" t="e">
        <f>IF(Table3[[#This Row],[Helper]]&gt;191,"Gold",IF(Table3[[#This Row],[Helper]]&gt;171,"Silver",IF(Table3[[#This Row],[Helper]]&gt;141,"Bronze","")))</f>
        <v>#VALUE!</v>
      </c>
    </row>
    <row r="253" spans="9:16" x14ac:dyDescent="0.25">
      <c r="I253" s="285">
        <f>Excellent!C38</f>
        <v>0</v>
      </c>
      <c r="J253" s="286" t="str">
        <f>Excellent!D38</f>
        <v/>
      </c>
      <c r="K253" s="287" t="str">
        <f t="shared" si="9"/>
        <v/>
      </c>
      <c r="L253" s="285" t="str">
        <f>IF(AND(Excellent!AQ38=1,Excellent!AM38=0),"Excellent","")</f>
        <v/>
      </c>
      <c r="M253" s="285" t="str">
        <f>IF(AND(Excellent!I38="Pass",Excellent!Q38="Pass",Excellent!Y38="Pass",Excellent!AQ38=1,Excellent!AM38=0),"SP","")</f>
        <v/>
      </c>
      <c r="N253" t="str">
        <f>Excellent!AD38</f>
        <v/>
      </c>
      <c r="O253" t="e">
        <f>IF(Table3[[#This Row],[First Title]]="Started", (Table3[[#This Row],[Score]]+0)*2,Table3[[#This Row],[Score]]+0)</f>
        <v>#VALUE!</v>
      </c>
      <c r="P253" s="2" t="e">
        <f>IF(Table3[[#This Row],[Helper]]&gt;191,"Gold",IF(Table3[[#This Row],[Helper]]&gt;171,"Silver",IF(Table3[[#This Row],[Helper]]&gt;141,"Bronze","")))</f>
        <v>#VALUE!</v>
      </c>
    </row>
    <row r="254" spans="9:16" x14ac:dyDescent="0.25">
      <c r="I254" s="285">
        <f>Excellent!C39</f>
        <v>0</v>
      </c>
      <c r="J254" s="286" t="str">
        <f>Excellent!D39</f>
        <v/>
      </c>
      <c r="K254" s="287" t="str">
        <f t="shared" si="9"/>
        <v/>
      </c>
      <c r="L254" s="285" t="str">
        <f>IF(AND(Excellent!AQ39=1,Excellent!AM39=0),"Excellent","")</f>
        <v/>
      </c>
      <c r="M254" s="285" t="str">
        <f>IF(AND(Excellent!I39="Pass",Excellent!Q39="Pass",Excellent!Y39="Pass",Excellent!AQ39=1,Excellent!AM39=0),"SP","")</f>
        <v/>
      </c>
      <c r="N254" t="str">
        <f>Excellent!AD39</f>
        <v/>
      </c>
      <c r="O254" t="e">
        <f>IF(Table3[[#This Row],[First Title]]="Started", (Table3[[#This Row],[Score]]+0)*2,Table3[[#This Row],[Score]]+0)</f>
        <v>#VALUE!</v>
      </c>
      <c r="P254" s="2" t="e">
        <f>IF(Table3[[#This Row],[Helper]]&gt;191,"Gold",IF(Table3[[#This Row],[Helper]]&gt;171,"Silver",IF(Table3[[#This Row],[Helper]]&gt;141,"Bronze","")))</f>
        <v>#VALUE!</v>
      </c>
    </row>
    <row r="255" spans="9:16" x14ac:dyDescent="0.25">
      <c r="I255" s="285">
        <f>Excellent!C40</f>
        <v>0</v>
      </c>
      <c r="J255" s="286" t="str">
        <f>Excellent!D40</f>
        <v/>
      </c>
      <c r="K255" s="287" t="str">
        <f t="shared" si="9"/>
        <v/>
      </c>
      <c r="L255" s="285" t="str">
        <f>IF(AND(Excellent!AQ40=1,Excellent!AM40=0),"Excellent","")</f>
        <v/>
      </c>
      <c r="M255" s="285" t="str">
        <f>IF(AND(Excellent!I40="Pass",Excellent!Q40="Pass",Excellent!Y40="Pass",Excellent!AQ40=1,Excellent!AM40=0),"SP","")</f>
        <v/>
      </c>
      <c r="N255" t="str">
        <f>Excellent!AD40</f>
        <v/>
      </c>
      <c r="O255" t="e">
        <f>IF(Table3[[#This Row],[First Title]]="Started", (Table3[[#This Row],[Score]]+0)*2,Table3[[#This Row],[Score]]+0)</f>
        <v>#VALUE!</v>
      </c>
      <c r="P255" s="2" t="e">
        <f>IF(Table3[[#This Row],[Helper]]&gt;191,"Gold",IF(Table3[[#This Row],[Helper]]&gt;171,"Silver",IF(Table3[[#This Row],[Helper]]&gt;141,"Bronze","")))</f>
        <v>#VALUE!</v>
      </c>
    </row>
    <row r="256" spans="9:16" x14ac:dyDescent="0.25">
      <c r="I256" s="285">
        <f>Excellent!C41</f>
        <v>0</v>
      </c>
      <c r="J256" s="286" t="str">
        <f>Excellent!D41</f>
        <v/>
      </c>
      <c r="K256" s="287" t="str">
        <f t="shared" si="9"/>
        <v/>
      </c>
      <c r="L256" s="285" t="str">
        <f>IF(AND(Excellent!AQ41=1,Excellent!AM41=0),"Excellent","")</f>
        <v/>
      </c>
      <c r="M256" s="285" t="str">
        <f>IF(AND(Excellent!I41="Pass",Excellent!Q41="Pass",Excellent!Y41="Pass",Excellent!AQ41=1,Excellent!AM41=0),"SP","")</f>
        <v/>
      </c>
      <c r="N256" t="str">
        <f>Excellent!AD41</f>
        <v/>
      </c>
      <c r="O256" t="e">
        <f>IF(Table3[[#This Row],[First Title]]="Started", (Table3[[#This Row],[Score]]+0)*2,Table3[[#This Row],[Score]]+0)</f>
        <v>#VALUE!</v>
      </c>
      <c r="P256" s="2" t="e">
        <f>IF(Table3[[#This Row],[Helper]]&gt;191,"Gold",IF(Table3[[#This Row],[Helper]]&gt;171,"Silver",IF(Table3[[#This Row],[Helper]]&gt;141,"Bronze","")))</f>
        <v>#VALUE!</v>
      </c>
    </row>
    <row r="257" spans="9:16" x14ac:dyDescent="0.25">
      <c r="I257" s="285">
        <f>Excellent!C42</f>
        <v>0</v>
      </c>
      <c r="J257" s="286" t="str">
        <f>Excellent!D42</f>
        <v/>
      </c>
      <c r="K257" s="287" t="str">
        <f t="shared" si="9"/>
        <v/>
      </c>
      <c r="L257" s="285" t="str">
        <f>IF(AND(Excellent!AQ42=1,Excellent!AM42=0),"Excellent","")</f>
        <v/>
      </c>
      <c r="M257" s="285" t="str">
        <f>IF(AND(Excellent!I42="Pass",Excellent!Q42="Pass",Excellent!Y42="Pass",Excellent!AQ42=1,Excellent!AM42=0),"SP","")</f>
        <v/>
      </c>
      <c r="N257" t="str">
        <f>Excellent!AD42</f>
        <v/>
      </c>
      <c r="O257" t="e">
        <f>IF(Table3[[#This Row],[First Title]]="Started", (Table3[[#This Row],[Score]]+0)*2,Table3[[#This Row],[Score]]+0)</f>
        <v>#VALUE!</v>
      </c>
      <c r="P257" s="2" t="e">
        <f>IF(Table3[[#This Row],[Helper]]&gt;191,"Gold",IF(Table3[[#This Row],[Helper]]&gt;171,"Silver",IF(Table3[[#This Row],[Helper]]&gt;141,"Bronze","")))</f>
        <v>#VALUE!</v>
      </c>
    </row>
    <row r="258" spans="9:16" x14ac:dyDescent="0.25">
      <c r="I258" s="285">
        <f>Excellent!C43</f>
        <v>0</v>
      </c>
      <c r="J258" s="286" t="str">
        <f>Excellent!D43</f>
        <v/>
      </c>
      <c r="K258" s="287" t="str">
        <f t="shared" si="9"/>
        <v/>
      </c>
      <c r="L258" s="285" t="str">
        <f>IF(AND(Excellent!AQ43=1,Excellent!AM43=0),"Excellent","")</f>
        <v/>
      </c>
      <c r="M258" s="285" t="str">
        <f>IF(AND(Excellent!I43="Pass",Excellent!Q43="Pass",Excellent!Y43="Pass",Excellent!AQ43=1,Excellent!AM43=0),"SP","")</f>
        <v/>
      </c>
      <c r="N258" t="str">
        <f>Excellent!AD43</f>
        <v/>
      </c>
      <c r="O258" t="e">
        <f>IF(Table3[[#This Row],[First Title]]="Started", (Table3[[#This Row],[Score]]+0)*2,Table3[[#This Row],[Score]]+0)</f>
        <v>#VALUE!</v>
      </c>
      <c r="P258" s="2" t="e">
        <f>IF(Table3[[#This Row],[Helper]]&gt;191,"Gold",IF(Table3[[#This Row],[Helper]]&gt;171,"Silver",IF(Table3[[#This Row],[Helper]]&gt;141,"Bronze","")))</f>
        <v>#VALUE!</v>
      </c>
    </row>
    <row r="259" spans="9:16" x14ac:dyDescent="0.25">
      <c r="I259" s="285">
        <f>Excellent!C44</f>
        <v>0</v>
      </c>
      <c r="J259" s="286" t="str">
        <f>Excellent!D44</f>
        <v/>
      </c>
      <c r="K259" s="287" t="str">
        <f t="shared" si="9"/>
        <v/>
      </c>
      <c r="L259" s="285" t="str">
        <f>IF(AND(Excellent!AQ44=1,Excellent!AM44=0),"Excellent","")</f>
        <v/>
      </c>
      <c r="M259" s="285" t="str">
        <f>IF(AND(Excellent!I44="Pass",Excellent!Q44="Pass",Excellent!Y44="Pass",Excellent!AQ44=1,Excellent!AM44=0),"SP","")</f>
        <v/>
      </c>
      <c r="N259" t="str">
        <f>Excellent!AD44</f>
        <v/>
      </c>
      <c r="O259" t="e">
        <f>IF(Table3[[#This Row],[First Title]]="Started", (Table3[[#This Row],[Score]]+0)*2,Table3[[#This Row],[Score]]+0)</f>
        <v>#VALUE!</v>
      </c>
      <c r="P259" s="2" t="e">
        <f>IF(Table3[[#This Row],[Helper]]&gt;191,"Gold",IF(Table3[[#This Row],[Helper]]&gt;171,"Silver",IF(Table3[[#This Row],[Helper]]&gt;141,"Bronze","")))</f>
        <v>#VALUE!</v>
      </c>
    </row>
    <row r="260" spans="9:16" x14ac:dyDescent="0.25">
      <c r="I260" s="285">
        <f>Excellent!C45</f>
        <v>0</v>
      </c>
      <c r="J260" s="286" t="str">
        <f>Excellent!D45</f>
        <v/>
      </c>
      <c r="K260" s="287" t="str">
        <f t="shared" si="9"/>
        <v/>
      </c>
      <c r="L260" s="285" t="str">
        <f>IF(AND(Excellent!AQ45=1,Excellent!AM45=0),"Excellent","")</f>
        <v/>
      </c>
      <c r="M260" s="285" t="str">
        <f>IF(AND(Excellent!I45="Pass",Excellent!Q45="Pass",Excellent!Y45="Pass",Excellent!AQ45=1,Excellent!AM45=0),"SP","")</f>
        <v/>
      </c>
      <c r="N260" t="str">
        <f>Excellent!AD45</f>
        <v/>
      </c>
      <c r="O260" t="e">
        <f>IF(Table3[[#This Row],[First Title]]="Started", (Table3[[#This Row],[Score]]+0)*2,Table3[[#This Row],[Score]]+0)</f>
        <v>#VALUE!</v>
      </c>
      <c r="P260" s="2" t="e">
        <f>IF(Table3[[#This Row],[Helper]]&gt;191,"Gold",IF(Table3[[#This Row],[Helper]]&gt;171,"Silver",IF(Table3[[#This Row],[Helper]]&gt;141,"Bronze","")))</f>
        <v>#VALUE!</v>
      </c>
    </row>
    <row r="261" spans="9:16" x14ac:dyDescent="0.25">
      <c r="I261" s="285">
        <f>Excellent!C46</f>
        <v>0</v>
      </c>
      <c r="J261" s="286" t="str">
        <f>Excellent!D46</f>
        <v/>
      </c>
      <c r="K261" s="287" t="str">
        <f t="shared" si="9"/>
        <v/>
      </c>
      <c r="L261" s="285" t="str">
        <f>IF(AND(Excellent!AQ46=1,Excellent!AM46=0),"Excellent","")</f>
        <v/>
      </c>
      <c r="M261" s="285" t="str">
        <f>IF(AND(Excellent!I46="Pass",Excellent!Q46="Pass",Excellent!Y46="Pass",Excellent!AQ46=1,Excellent!AM46=0),"SP","")</f>
        <v/>
      </c>
      <c r="N261" t="str">
        <f>Excellent!AD46</f>
        <v/>
      </c>
      <c r="O261" t="e">
        <f>IF(Table3[[#This Row],[First Title]]="Started", (Table3[[#This Row],[Score]]+0)*2,Table3[[#This Row],[Score]]+0)</f>
        <v>#VALUE!</v>
      </c>
      <c r="P261" s="2" t="e">
        <f>IF(Table3[[#This Row],[Helper]]&gt;191,"Gold",IF(Table3[[#This Row],[Helper]]&gt;171,"Silver",IF(Table3[[#This Row],[Helper]]&gt;141,"Bronze","")))</f>
        <v>#VALUE!</v>
      </c>
    </row>
    <row r="262" spans="9:16" x14ac:dyDescent="0.25">
      <c r="I262" s="285">
        <f>Excellent!C47</f>
        <v>0</v>
      </c>
      <c r="J262" s="286" t="str">
        <f>Excellent!D47</f>
        <v/>
      </c>
      <c r="K262" s="287" t="str">
        <f t="shared" si="9"/>
        <v/>
      </c>
      <c r="L262" s="285" t="str">
        <f>IF(AND(Excellent!AQ47=1,Excellent!AM47=0),"Excellent","")</f>
        <v/>
      </c>
      <c r="M262" s="285" t="str">
        <f>IF(AND(Excellent!I47="Pass",Excellent!Q47="Pass",Excellent!Y47="Pass",Excellent!AQ47=1,Excellent!AM47=0),"SP","")</f>
        <v/>
      </c>
      <c r="N262" t="str">
        <f>Excellent!AD47</f>
        <v/>
      </c>
      <c r="O262" t="e">
        <f>IF(Table3[[#This Row],[First Title]]="Started", (Table3[[#This Row],[Score]]+0)*2,Table3[[#This Row],[Score]]+0)</f>
        <v>#VALUE!</v>
      </c>
      <c r="P262" s="2" t="e">
        <f>IF(Table3[[#This Row],[Helper]]&gt;191,"Gold",IF(Table3[[#This Row],[Helper]]&gt;171,"Silver",IF(Table3[[#This Row],[Helper]]&gt;141,"Bronze","")))</f>
        <v>#VALUE!</v>
      </c>
    </row>
    <row r="263" spans="9:16" x14ac:dyDescent="0.25">
      <c r="I263" s="285">
        <f>Excellent!C48</f>
        <v>0</v>
      </c>
      <c r="J263" s="286" t="str">
        <f>Excellent!D48</f>
        <v/>
      </c>
      <c r="K263" s="287" t="str">
        <f t="shared" si="9"/>
        <v/>
      </c>
      <c r="L263" s="285" t="str">
        <f>IF(AND(Excellent!AQ48=1,Excellent!AM48=0),"Excellent","")</f>
        <v/>
      </c>
      <c r="M263" s="285" t="str">
        <f>IF(AND(Excellent!I48="Pass",Excellent!Q48="Pass",Excellent!Y48="Pass",Excellent!AQ48=1,Excellent!AM48=0),"SP","")</f>
        <v/>
      </c>
      <c r="N263" t="str">
        <f>Excellent!AD48</f>
        <v/>
      </c>
      <c r="O263" t="e">
        <f>IF(Table3[[#This Row],[First Title]]="Started", (Table3[[#This Row],[Score]]+0)*2,Table3[[#This Row],[Score]]+0)</f>
        <v>#VALUE!</v>
      </c>
      <c r="P263" s="2" t="e">
        <f>IF(Table3[[#This Row],[Helper]]&gt;191,"Gold",IF(Table3[[#This Row],[Helper]]&gt;171,"Silver",IF(Table3[[#This Row],[Helper]]&gt;141,"Bronze","")))</f>
        <v>#VALUE!</v>
      </c>
    </row>
    <row r="264" spans="9:16" x14ac:dyDescent="0.25">
      <c r="I264" s="285">
        <f>Excellent!C49</f>
        <v>0</v>
      </c>
      <c r="J264" s="286" t="str">
        <f>Excellent!D49</f>
        <v/>
      </c>
      <c r="K264" s="287" t="str">
        <f t="shared" si="9"/>
        <v/>
      </c>
      <c r="L264" s="285" t="str">
        <f>IF(AND(Excellent!AQ49=1,Excellent!AM49=0),"Excellent","")</f>
        <v/>
      </c>
      <c r="M264" s="285" t="str">
        <f>IF(AND(Excellent!I49="Pass",Excellent!Q49="Pass",Excellent!Y49="Pass",Excellent!AQ49=1,Excellent!AM49=0),"SP","")</f>
        <v/>
      </c>
      <c r="N264" t="str">
        <f>Excellent!AD49</f>
        <v/>
      </c>
      <c r="O264" t="e">
        <f>IF(Table3[[#This Row],[First Title]]="Started", (Table3[[#This Row],[Score]]+0)*2,Table3[[#This Row],[Score]]+0)</f>
        <v>#VALUE!</v>
      </c>
      <c r="P264" s="2" t="e">
        <f>IF(Table3[[#This Row],[Helper]]&gt;191,"Gold",IF(Table3[[#This Row],[Helper]]&gt;171,"Silver",IF(Table3[[#This Row],[Helper]]&gt;141,"Bronze","")))</f>
        <v>#VALUE!</v>
      </c>
    </row>
    <row r="265" spans="9:16" x14ac:dyDescent="0.25">
      <c r="I265" s="285">
        <f>Excellent!C50</f>
        <v>0</v>
      </c>
      <c r="J265" s="286" t="str">
        <f>Excellent!D50</f>
        <v/>
      </c>
      <c r="K265" s="287" t="str">
        <f t="shared" si="9"/>
        <v/>
      </c>
      <c r="L265" s="285" t="str">
        <f>IF(AND(Excellent!AQ50=1,Excellent!AM50=0),"Excellent","")</f>
        <v/>
      </c>
      <c r="M265" s="285" t="str">
        <f>IF(AND(Excellent!I50="Pass",Excellent!Q50="Pass",Excellent!Y50="Pass",Excellent!AQ50=1,Excellent!AM50=0),"SP","")</f>
        <v/>
      </c>
      <c r="N265" t="str">
        <f>Excellent!AD50</f>
        <v/>
      </c>
      <c r="O265" t="e">
        <f>IF(Table3[[#This Row],[First Title]]="Started", (Table3[[#This Row],[Score]]+0)*2,Table3[[#This Row],[Score]]+0)</f>
        <v>#VALUE!</v>
      </c>
      <c r="P265" s="2" t="e">
        <f>IF(Table3[[#This Row],[Helper]]&gt;191,"Gold",IF(Table3[[#This Row],[Helper]]&gt;171,"Silver",IF(Table3[[#This Row],[Helper]]&gt;141,"Bronze","")))</f>
        <v>#VALUE!</v>
      </c>
    </row>
    <row r="266" spans="9:16" x14ac:dyDescent="0.25">
      <c r="I266" s="285">
        <f>Excellent!C51</f>
        <v>0</v>
      </c>
      <c r="J266" s="286" t="str">
        <f>Excellent!D51</f>
        <v/>
      </c>
      <c r="K266" s="287" t="str">
        <f t="shared" si="9"/>
        <v/>
      </c>
      <c r="L266" s="285" t="str">
        <f>IF(AND(Excellent!AQ51=1,Excellent!AM51=0),"Excellent","")</f>
        <v/>
      </c>
      <c r="M266" s="285" t="str">
        <f>IF(AND(Excellent!I51="Pass",Excellent!Q51="Pass",Excellent!Y51="Pass",Excellent!AQ51=1,Excellent!AM51=0),"SP","")</f>
        <v/>
      </c>
      <c r="N266" t="str">
        <f>Excellent!AD51</f>
        <v/>
      </c>
      <c r="O266" t="e">
        <f>IF(Table3[[#This Row],[First Title]]="Started", (Table3[[#This Row],[Score]]+0)*2,Table3[[#This Row],[Score]]+0)</f>
        <v>#VALUE!</v>
      </c>
      <c r="P266" s="2" t="e">
        <f>IF(Table3[[#This Row],[Helper]]&gt;191,"Gold",IF(Table3[[#This Row],[Helper]]&gt;171,"Silver",IF(Table3[[#This Row],[Helper]]&gt;141,"Bronze","")))</f>
        <v>#VALUE!</v>
      </c>
    </row>
    <row r="267" spans="9:16" x14ac:dyDescent="0.25">
      <c r="I267" s="285">
        <f>Excellent!C52</f>
        <v>0</v>
      </c>
      <c r="J267" s="286" t="str">
        <f>Excellent!D52</f>
        <v/>
      </c>
      <c r="K267" s="287" t="str">
        <f t="shared" si="9"/>
        <v/>
      </c>
      <c r="L267" s="285" t="str">
        <f>IF(AND(Excellent!AQ52=1,Excellent!AM52=0),"Excellent","")</f>
        <v/>
      </c>
      <c r="M267" s="285" t="str">
        <f>IF(AND(Excellent!I52="Pass",Excellent!Q52="Pass",Excellent!Y52="Pass",Excellent!AQ52=1,Excellent!AM52=0),"SP","")</f>
        <v/>
      </c>
      <c r="N267" t="str">
        <f>Excellent!AD52</f>
        <v/>
      </c>
      <c r="O267" t="e">
        <f>IF(Table3[[#This Row],[First Title]]="Started", (Table3[[#This Row],[Score]]+0)*2,Table3[[#This Row],[Score]]+0)</f>
        <v>#VALUE!</v>
      </c>
      <c r="P267" s="2" t="e">
        <f>IF(Table3[[#This Row],[Helper]]&gt;191,"Gold",IF(Table3[[#This Row],[Helper]]&gt;171,"Silver",IF(Table3[[#This Row],[Helper]]&gt;141,"Bronze","")))</f>
        <v>#VALUE!</v>
      </c>
    </row>
    <row r="268" spans="9:16" x14ac:dyDescent="0.25">
      <c r="I268" s="285">
        <f>Excellent!C53</f>
        <v>0</v>
      </c>
      <c r="J268" s="286" t="str">
        <f>Excellent!D53</f>
        <v/>
      </c>
      <c r="K268" s="287" t="str">
        <f t="shared" si="9"/>
        <v/>
      </c>
      <c r="L268" s="285" t="str">
        <f>IF(AND(Excellent!AQ53=1,Excellent!AM53=0),"Excellent","")</f>
        <v/>
      </c>
      <c r="M268" s="285" t="str">
        <f>IF(AND(Excellent!I53="Pass",Excellent!Q53="Pass",Excellent!Y53="Pass",Excellent!AQ53=1,Excellent!AM53=0),"SP","")</f>
        <v/>
      </c>
      <c r="N268" t="str">
        <f>Excellent!AD53</f>
        <v/>
      </c>
      <c r="O268" t="e">
        <f>IF(Table3[[#This Row],[First Title]]="Started", (Table3[[#This Row],[Score]]+0)*2,Table3[[#This Row],[Score]]+0)</f>
        <v>#VALUE!</v>
      </c>
      <c r="P268" s="2" t="e">
        <f>IF(Table3[[#This Row],[Helper]]&gt;191,"Gold",IF(Table3[[#This Row],[Helper]]&gt;171,"Silver",IF(Table3[[#This Row],[Helper]]&gt;141,"Bronze","")))</f>
        <v>#VALUE!</v>
      </c>
    </row>
    <row r="269" spans="9:16" x14ac:dyDescent="0.25">
      <c r="I269" s="285">
        <f>Excellent!C54</f>
        <v>0</v>
      </c>
      <c r="J269" s="286" t="str">
        <f>Excellent!D54</f>
        <v/>
      </c>
      <c r="K269" s="287" t="str">
        <f t="shared" si="9"/>
        <v/>
      </c>
      <c r="L269" s="285" t="str">
        <f>IF(AND(Excellent!AQ54=1,Excellent!AM54=0),"Excellent","")</f>
        <v/>
      </c>
      <c r="M269" s="285" t="str">
        <f>IF(AND(Excellent!I54="Pass",Excellent!Q54="Pass",Excellent!Y54="Pass",Excellent!AQ54=1,Excellent!AM54=0),"SP","")</f>
        <v/>
      </c>
      <c r="N269" t="str">
        <f>Excellent!AD54</f>
        <v/>
      </c>
      <c r="O269" t="e">
        <f>IF(Table3[[#This Row],[First Title]]="Started", (Table3[[#This Row],[Score]]+0)*2,Table3[[#This Row],[Score]]+0)</f>
        <v>#VALUE!</v>
      </c>
      <c r="P269" s="2" t="e">
        <f>IF(Table3[[#This Row],[Helper]]&gt;191,"Gold",IF(Table3[[#This Row],[Helper]]&gt;171,"Silver",IF(Table3[[#This Row],[Helper]]&gt;141,"Bronze","")))</f>
        <v>#VALUE!</v>
      </c>
    </row>
    <row r="270" spans="9:16" x14ac:dyDescent="0.25">
      <c r="I270" s="285">
        <f>Excellent!C65</f>
        <v>0</v>
      </c>
      <c r="J270" s="286" t="str">
        <f>Excellent!D65</f>
        <v/>
      </c>
      <c r="K270" s="287" t="str">
        <f t="shared" ref="K270:K319" si="10">TrialDateDay2</f>
        <v/>
      </c>
      <c r="L270" s="285" t="str">
        <f>IF(AND(Excellent!AQ65=1,Excellent!AM65=0),"Excellent","")</f>
        <v/>
      </c>
      <c r="M270" s="285" t="str">
        <f>IF(AND(Excellent!I65="Pass",Excellent!Q65="Pass",Excellent!Y65="Pass",Excellent!AQ65=1,Excellent!AM65=0),"SP","")</f>
        <v/>
      </c>
      <c r="N270" t="str">
        <f>Excellent!AD65</f>
        <v/>
      </c>
      <c r="O270" t="e">
        <f>IF(Table3[[#This Row],[First Title]]="Started", (Table3[[#This Row],[Score]]+0)*2,Table3[[#This Row],[Score]]+0)</f>
        <v>#VALUE!</v>
      </c>
      <c r="P270" s="2" t="e">
        <f>IF(Table3[[#This Row],[Helper]]&gt;191,"Gold",IF(Table3[[#This Row],[Helper]]&gt;171,"Silver",IF(Table3[[#This Row],[Helper]]&gt;141,"Bronze","")))</f>
        <v>#VALUE!</v>
      </c>
    </row>
    <row r="271" spans="9:16" x14ac:dyDescent="0.25">
      <c r="I271" s="285">
        <f>Excellent!C66</f>
        <v>0</v>
      </c>
      <c r="J271" s="286" t="str">
        <f>Excellent!D66</f>
        <v/>
      </c>
      <c r="K271" s="287" t="str">
        <f t="shared" si="10"/>
        <v/>
      </c>
      <c r="L271" s="285" t="str">
        <f>IF(AND(Excellent!AQ66=1,Excellent!AM66=0),"Excellent","")</f>
        <v/>
      </c>
      <c r="M271" s="285" t="str">
        <f>IF(AND(Excellent!I66="Pass",Excellent!Q66="Pass",Excellent!Y66="Pass",Excellent!AQ66=1,Excellent!AM66=0),"SP","")</f>
        <v/>
      </c>
      <c r="N271" t="str">
        <f>Excellent!AD66</f>
        <v/>
      </c>
      <c r="O271" t="e">
        <f>IF(Table3[[#This Row],[First Title]]="Started", (Table3[[#This Row],[Score]]+0)*2,Table3[[#This Row],[Score]]+0)</f>
        <v>#VALUE!</v>
      </c>
      <c r="P271" s="2" t="e">
        <f>IF(Table3[[#This Row],[Helper]]&gt;191,"Gold",IF(Table3[[#This Row],[Helper]]&gt;171,"Silver",IF(Table3[[#This Row],[Helper]]&gt;141,"Bronze","")))</f>
        <v>#VALUE!</v>
      </c>
    </row>
    <row r="272" spans="9:16" x14ac:dyDescent="0.25">
      <c r="I272" s="285">
        <f>Excellent!C67</f>
        <v>0</v>
      </c>
      <c r="J272" s="286" t="str">
        <f>Excellent!D67</f>
        <v/>
      </c>
      <c r="K272" s="287" t="str">
        <f t="shared" si="10"/>
        <v/>
      </c>
      <c r="L272" s="285" t="str">
        <f>IF(AND(Excellent!AQ67=1,Excellent!AM67=0),"Excellent","")</f>
        <v/>
      </c>
      <c r="M272" s="285" t="str">
        <f>IF(AND(Excellent!I67="Pass",Excellent!Q67="Pass",Excellent!Y67="Pass",Excellent!AQ67=1,Excellent!AM67=0),"SP","")</f>
        <v/>
      </c>
      <c r="N272" t="str">
        <f>Excellent!AD67</f>
        <v/>
      </c>
      <c r="O272" t="e">
        <f>IF(Table3[[#This Row],[First Title]]="Started", (Table3[[#This Row],[Score]]+0)*2,Table3[[#This Row],[Score]]+0)</f>
        <v>#VALUE!</v>
      </c>
      <c r="P272" s="2" t="e">
        <f>IF(Table3[[#This Row],[Helper]]&gt;191,"Gold",IF(Table3[[#This Row],[Helper]]&gt;171,"Silver",IF(Table3[[#This Row],[Helper]]&gt;141,"Bronze","")))</f>
        <v>#VALUE!</v>
      </c>
    </row>
    <row r="273" spans="9:16" x14ac:dyDescent="0.25">
      <c r="I273" s="285">
        <f>Excellent!C68</f>
        <v>0</v>
      </c>
      <c r="J273" s="286" t="str">
        <f>Excellent!D68</f>
        <v/>
      </c>
      <c r="K273" s="287" t="str">
        <f t="shared" si="10"/>
        <v/>
      </c>
      <c r="L273" s="285" t="str">
        <f>IF(AND(Excellent!AQ68=1,Excellent!AM68=0),"Excellent","")</f>
        <v/>
      </c>
      <c r="M273" s="285" t="str">
        <f>IF(AND(Excellent!I68="Pass",Excellent!Q68="Pass",Excellent!Y68="Pass",Excellent!AQ68=1,Excellent!AM68=0),"SP","")</f>
        <v/>
      </c>
      <c r="N273" t="str">
        <f>Excellent!AD68</f>
        <v/>
      </c>
      <c r="O273" t="e">
        <f>IF(Table3[[#This Row],[First Title]]="Started", (Table3[[#This Row],[Score]]+0)*2,Table3[[#This Row],[Score]]+0)</f>
        <v>#VALUE!</v>
      </c>
      <c r="P273" s="2" t="e">
        <f>IF(Table3[[#This Row],[Helper]]&gt;191,"Gold",IF(Table3[[#This Row],[Helper]]&gt;171,"Silver",IF(Table3[[#This Row],[Helper]]&gt;141,"Bronze","")))</f>
        <v>#VALUE!</v>
      </c>
    </row>
    <row r="274" spans="9:16" x14ac:dyDescent="0.25">
      <c r="I274" s="285">
        <f>Excellent!C69</f>
        <v>0</v>
      </c>
      <c r="J274" s="286" t="str">
        <f>Excellent!D69</f>
        <v/>
      </c>
      <c r="K274" s="287" t="str">
        <f t="shared" si="10"/>
        <v/>
      </c>
      <c r="L274" s="285" t="str">
        <f>IF(AND(Excellent!AQ69=1,Excellent!AM69=0),"Excellent","")</f>
        <v/>
      </c>
      <c r="M274" s="285" t="str">
        <f>IF(AND(Excellent!I69="Pass",Excellent!Q69="Pass",Excellent!Y69="Pass",Excellent!AQ69=1,Excellent!AM69=0),"SP","")</f>
        <v/>
      </c>
      <c r="N274" t="str">
        <f>Excellent!AD69</f>
        <v/>
      </c>
      <c r="O274" t="e">
        <f>IF(Table3[[#This Row],[First Title]]="Started", (Table3[[#This Row],[Score]]+0)*2,Table3[[#This Row],[Score]]+0)</f>
        <v>#VALUE!</v>
      </c>
      <c r="P274" s="2" t="e">
        <f>IF(Table3[[#This Row],[Helper]]&gt;191,"Gold",IF(Table3[[#This Row],[Helper]]&gt;171,"Silver",IF(Table3[[#This Row],[Helper]]&gt;141,"Bronze","")))</f>
        <v>#VALUE!</v>
      </c>
    </row>
    <row r="275" spans="9:16" x14ac:dyDescent="0.25">
      <c r="I275" s="285">
        <f>Excellent!C70</f>
        <v>0</v>
      </c>
      <c r="J275" s="286" t="str">
        <f>Excellent!D70</f>
        <v/>
      </c>
      <c r="K275" s="287" t="str">
        <f t="shared" si="10"/>
        <v/>
      </c>
      <c r="L275" s="285" t="str">
        <f>IF(AND(Excellent!AQ70=1,Excellent!AM70=0),"Excellent","")</f>
        <v/>
      </c>
      <c r="M275" s="285" t="str">
        <f>IF(AND(Excellent!I70="Pass",Excellent!Q70="Pass",Excellent!Y70="Pass",Excellent!AQ70=1,Excellent!AM70=0),"SP","")</f>
        <v/>
      </c>
      <c r="N275" t="str">
        <f>Excellent!AD70</f>
        <v/>
      </c>
      <c r="O275" t="e">
        <f>IF(Table3[[#This Row],[First Title]]="Started", (Table3[[#This Row],[Score]]+0)*2,Table3[[#This Row],[Score]]+0)</f>
        <v>#VALUE!</v>
      </c>
      <c r="P275" s="2" t="e">
        <f>IF(Table3[[#This Row],[Helper]]&gt;191,"Gold",IF(Table3[[#This Row],[Helper]]&gt;171,"Silver",IF(Table3[[#This Row],[Helper]]&gt;141,"Bronze","")))</f>
        <v>#VALUE!</v>
      </c>
    </row>
    <row r="276" spans="9:16" x14ac:dyDescent="0.25">
      <c r="I276" s="285">
        <f>Excellent!C71</f>
        <v>0</v>
      </c>
      <c r="J276" s="286" t="str">
        <f>Excellent!D71</f>
        <v/>
      </c>
      <c r="K276" s="287" t="str">
        <f t="shared" si="10"/>
        <v/>
      </c>
      <c r="L276" s="285" t="str">
        <f>IF(AND(Excellent!AQ71=1,Excellent!AM71=0),"Excellent","")</f>
        <v/>
      </c>
      <c r="M276" s="285" t="str">
        <f>IF(AND(Excellent!I71="Pass",Excellent!Q71="Pass",Excellent!Y71="Pass",Excellent!AQ71=1,Excellent!AM71=0),"SP","")</f>
        <v/>
      </c>
      <c r="N276" t="str">
        <f>Excellent!AD71</f>
        <v/>
      </c>
      <c r="O276" t="e">
        <f>IF(Table3[[#This Row],[First Title]]="Started", (Table3[[#This Row],[Score]]+0)*2,Table3[[#This Row],[Score]]+0)</f>
        <v>#VALUE!</v>
      </c>
      <c r="P276" s="2" t="e">
        <f>IF(Table3[[#This Row],[Helper]]&gt;191,"Gold",IF(Table3[[#This Row],[Helper]]&gt;171,"Silver",IF(Table3[[#This Row],[Helper]]&gt;141,"Bronze","")))</f>
        <v>#VALUE!</v>
      </c>
    </row>
    <row r="277" spans="9:16" x14ac:dyDescent="0.25">
      <c r="I277" s="285">
        <f>Excellent!C72</f>
        <v>0</v>
      </c>
      <c r="J277" s="286" t="str">
        <f>Excellent!D72</f>
        <v/>
      </c>
      <c r="K277" s="287" t="str">
        <f t="shared" si="10"/>
        <v/>
      </c>
      <c r="L277" s="285" t="str">
        <f>IF(AND(Excellent!AQ72=1,Excellent!AM72=0),"Excellent","")</f>
        <v/>
      </c>
      <c r="M277" s="285" t="str">
        <f>IF(AND(Excellent!I72="Pass",Excellent!Q72="Pass",Excellent!Y72="Pass",Excellent!AQ72=1,Excellent!AM72=0),"SP","")</f>
        <v/>
      </c>
      <c r="N277" t="str">
        <f>Excellent!AD72</f>
        <v/>
      </c>
      <c r="O277" t="e">
        <f>IF(Table3[[#This Row],[First Title]]="Started", (Table3[[#This Row],[Score]]+0)*2,Table3[[#This Row],[Score]]+0)</f>
        <v>#VALUE!</v>
      </c>
      <c r="P277" s="2" t="e">
        <f>IF(Table3[[#This Row],[Helper]]&gt;191,"Gold",IF(Table3[[#This Row],[Helper]]&gt;171,"Silver",IF(Table3[[#This Row],[Helper]]&gt;141,"Bronze","")))</f>
        <v>#VALUE!</v>
      </c>
    </row>
    <row r="278" spans="9:16" x14ac:dyDescent="0.25">
      <c r="I278" s="285">
        <f>Excellent!C73</f>
        <v>0</v>
      </c>
      <c r="J278" s="286" t="str">
        <f>Excellent!D73</f>
        <v/>
      </c>
      <c r="K278" s="287" t="str">
        <f t="shared" si="10"/>
        <v/>
      </c>
      <c r="L278" s="285" t="str">
        <f>IF(AND(Excellent!AQ73=1,Excellent!AM73=0),"Excellent","")</f>
        <v/>
      </c>
      <c r="M278" s="285" t="str">
        <f>IF(AND(Excellent!I73="Pass",Excellent!Q73="Pass",Excellent!Y73="Pass",Excellent!AQ73=1,Excellent!AM73=0),"SP","")</f>
        <v/>
      </c>
      <c r="N278" t="str">
        <f>Excellent!AD73</f>
        <v/>
      </c>
      <c r="O278" t="e">
        <f>IF(Table3[[#This Row],[First Title]]="Started", (Table3[[#This Row],[Score]]+0)*2,Table3[[#This Row],[Score]]+0)</f>
        <v>#VALUE!</v>
      </c>
      <c r="P278" s="2" t="e">
        <f>IF(Table3[[#This Row],[Helper]]&gt;191,"Gold",IF(Table3[[#This Row],[Helper]]&gt;171,"Silver",IF(Table3[[#This Row],[Helper]]&gt;141,"Bronze","")))</f>
        <v>#VALUE!</v>
      </c>
    </row>
    <row r="279" spans="9:16" x14ac:dyDescent="0.25">
      <c r="I279" s="285">
        <f>Excellent!C74</f>
        <v>0</v>
      </c>
      <c r="J279" s="286" t="str">
        <f>Excellent!D74</f>
        <v/>
      </c>
      <c r="K279" s="287" t="str">
        <f t="shared" si="10"/>
        <v/>
      </c>
      <c r="L279" s="285" t="str">
        <f>IF(AND(Excellent!AQ74=1,Excellent!AM74=0),"Excellent","")</f>
        <v/>
      </c>
      <c r="M279" s="285" t="str">
        <f>IF(AND(Excellent!I74="Pass",Excellent!Q74="Pass",Excellent!Y74="Pass",Excellent!AQ74=1,Excellent!AM74=0),"SP","")</f>
        <v/>
      </c>
      <c r="N279" t="str">
        <f>Excellent!AD74</f>
        <v/>
      </c>
      <c r="O279" t="e">
        <f>IF(Table3[[#This Row],[First Title]]="Started", (Table3[[#This Row],[Score]]+0)*2,Table3[[#This Row],[Score]]+0)</f>
        <v>#VALUE!</v>
      </c>
      <c r="P279" s="2" t="e">
        <f>IF(Table3[[#This Row],[Helper]]&gt;191,"Gold",IF(Table3[[#This Row],[Helper]]&gt;171,"Silver",IF(Table3[[#This Row],[Helper]]&gt;141,"Bronze","")))</f>
        <v>#VALUE!</v>
      </c>
    </row>
    <row r="280" spans="9:16" x14ac:dyDescent="0.25">
      <c r="I280" s="285">
        <f>Excellent!C75</f>
        <v>0</v>
      </c>
      <c r="J280" s="286" t="str">
        <f>Excellent!D75</f>
        <v/>
      </c>
      <c r="K280" s="287" t="str">
        <f t="shared" si="10"/>
        <v/>
      </c>
      <c r="L280" s="285" t="str">
        <f>IF(AND(Excellent!AQ75=1,Excellent!AM75=0),"Excellent","")</f>
        <v/>
      </c>
      <c r="M280" s="285" t="str">
        <f>IF(AND(Excellent!I75="Pass",Excellent!Q75="Pass",Excellent!Y75="Pass",Excellent!AQ75=1,Excellent!AM75=0),"SP","")</f>
        <v/>
      </c>
      <c r="N280" t="str">
        <f>Excellent!AD75</f>
        <v/>
      </c>
      <c r="O280" t="e">
        <f>IF(Table3[[#This Row],[First Title]]="Started", (Table3[[#This Row],[Score]]+0)*2,Table3[[#This Row],[Score]]+0)</f>
        <v>#VALUE!</v>
      </c>
      <c r="P280" s="2" t="e">
        <f>IF(Table3[[#This Row],[Helper]]&gt;191,"Gold",IF(Table3[[#This Row],[Helper]]&gt;171,"Silver",IF(Table3[[#This Row],[Helper]]&gt;141,"Bronze","")))</f>
        <v>#VALUE!</v>
      </c>
    </row>
    <row r="281" spans="9:16" x14ac:dyDescent="0.25">
      <c r="I281" s="285">
        <f>Excellent!C76</f>
        <v>0</v>
      </c>
      <c r="J281" s="286" t="str">
        <f>Excellent!D76</f>
        <v/>
      </c>
      <c r="K281" s="287" t="str">
        <f t="shared" si="10"/>
        <v/>
      </c>
      <c r="L281" s="285" t="str">
        <f>IF(AND(Excellent!AQ76=1,Excellent!AM76=0),"Excellent","")</f>
        <v/>
      </c>
      <c r="M281" s="285" t="str">
        <f>IF(AND(Excellent!I76="Pass",Excellent!Q76="Pass",Excellent!Y76="Pass",Excellent!AQ76=1,Excellent!AM76=0),"SP","")</f>
        <v/>
      </c>
      <c r="N281" t="str">
        <f>Excellent!AD76</f>
        <v/>
      </c>
      <c r="O281" t="e">
        <f>IF(Table3[[#This Row],[First Title]]="Started", (Table3[[#This Row],[Score]]+0)*2,Table3[[#This Row],[Score]]+0)</f>
        <v>#VALUE!</v>
      </c>
      <c r="P281" s="2" t="e">
        <f>IF(Table3[[#This Row],[Helper]]&gt;191,"Gold",IF(Table3[[#This Row],[Helper]]&gt;171,"Silver",IF(Table3[[#This Row],[Helper]]&gt;141,"Bronze","")))</f>
        <v>#VALUE!</v>
      </c>
    </row>
    <row r="282" spans="9:16" x14ac:dyDescent="0.25">
      <c r="I282" s="285">
        <f>Excellent!C77</f>
        <v>0</v>
      </c>
      <c r="J282" s="286" t="str">
        <f>Excellent!D77</f>
        <v/>
      </c>
      <c r="K282" s="287" t="str">
        <f t="shared" si="10"/>
        <v/>
      </c>
      <c r="L282" s="285" t="str">
        <f>IF(AND(Excellent!AQ77=1,Excellent!AM77=0),"Excellent","")</f>
        <v/>
      </c>
      <c r="M282" s="285" t="str">
        <f>IF(AND(Excellent!I77="Pass",Excellent!Q77="Pass",Excellent!Y77="Pass",Excellent!AQ77=1,Excellent!AM77=0),"SP","")</f>
        <v/>
      </c>
      <c r="N282" t="str">
        <f>Excellent!AD77</f>
        <v/>
      </c>
      <c r="O282" t="e">
        <f>IF(Table3[[#This Row],[First Title]]="Started", (Table3[[#This Row],[Score]]+0)*2,Table3[[#This Row],[Score]]+0)</f>
        <v>#VALUE!</v>
      </c>
      <c r="P282" s="2" t="e">
        <f>IF(Table3[[#This Row],[Helper]]&gt;191,"Gold",IF(Table3[[#This Row],[Helper]]&gt;171,"Silver",IF(Table3[[#This Row],[Helper]]&gt;141,"Bronze","")))</f>
        <v>#VALUE!</v>
      </c>
    </row>
    <row r="283" spans="9:16" x14ac:dyDescent="0.25">
      <c r="I283" s="285">
        <f>Excellent!C78</f>
        <v>0</v>
      </c>
      <c r="J283" s="286" t="str">
        <f>Excellent!D78</f>
        <v/>
      </c>
      <c r="K283" s="287" t="str">
        <f t="shared" si="10"/>
        <v/>
      </c>
      <c r="L283" s="285" t="str">
        <f>IF(AND(Excellent!AQ78=1,Excellent!AM78=0),"Excellent","")</f>
        <v/>
      </c>
      <c r="M283" s="285" t="str">
        <f>IF(AND(Excellent!I78="Pass",Excellent!Q78="Pass",Excellent!Y78="Pass",Excellent!AQ78=1,Excellent!AM78=0),"SP","")</f>
        <v/>
      </c>
      <c r="N283" t="str">
        <f>Excellent!AD78</f>
        <v/>
      </c>
      <c r="O283" t="e">
        <f>IF(Table3[[#This Row],[First Title]]="Started", (Table3[[#This Row],[Score]]+0)*2,Table3[[#This Row],[Score]]+0)</f>
        <v>#VALUE!</v>
      </c>
      <c r="P283" s="2" t="e">
        <f>IF(Table3[[#This Row],[Helper]]&gt;191,"Gold",IF(Table3[[#This Row],[Helper]]&gt;171,"Silver",IF(Table3[[#This Row],[Helper]]&gt;141,"Bronze","")))</f>
        <v>#VALUE!</v>
      </c>
    </row>
    <row r="284" spans="9:16" x14ac:dyDescent="0.25">
      <c r="I284" s="285">
        <f>Excellent!C79</f>
        <v>0</v>
      </c>
      <c r="J284" s="286" t="str">
        <f>Excellent!D79</f>
        <v/>
      </c>
      <c r="K284" s="287" t="str">
        <f t="shared" si="10"/>
        <v/>
      </c>
      <c r="L284" s="285" t="str">
        <f>IF(AND(Excellent!AQ79=1,Excellent!AM79=0),"Excellent","")</f>
        <v/>
      </c>
      <c r="M284" s="285" t="str">
        <f>IF(AND(Excellent!I79="Pass",Excellent!Q79="Pass",Excellent!Y79="Pass",Excellent!AQ79=1,Excellent!AM79=0),"SP","")</f>
        <v/>
      </c>
      <c r="N284" t="str">
        <f>Excellent!AD79</f>
        <v/>
      </c>
      <c r="O284" t="e">
        <f>IF(Table3[[#This Row],[First Title]]="Started", (Table3[[#This Row],[Score]]+0)*2,Table3[[#This Row],[Score]]+0)</f>
        <v>#VALUE!</v>
      </c>
      <c r="P284" s="2" t="e">
        <f>IF(Table3[[#This Row],[Helper]]&gt;191,"Gold",IF(Table3[[#This Row],[Helper]]&gt;171,"Silver",IF(Table3[[#This Row],[Helper]]&gt;141,"Bronze","")))</f>
        <v>#VALUE!</v>
      </c>
    </row>
    <row r="285" spans="9:16" x14ac:dyDescent="0.25">
      <c r="I285" s="285">
        <f>Excellent!C80</f>
        <v>0</v>
      </c>
      <c r="J285" s="286" t="str">
        <f>Excellent!D80</f>
        <v/>
      </c>
      <c r="K285" s="287" t="str">
        <f t="shared" si="10"/>
        <v/>
      </c>
      <c r="L285" s="285" t="str">
        <f>IF(AND(Excellent!AQ80=1,Excellent!AM80=0),"Excellent","")</f>
        <v/>
      </c>
      <c r="M285" s="285" t="str">
        <f>IF(AND(Excellent!I80="Pass",Excellent!Q80="Pass",Excellent!Y80="Pass",Excellent!AQ80=1,Excellent!AM80=0),"SP","")</f>
        <v/>
      </c>
      <c r="N285" t="str">
        <f>Excellent!AD80</f>
        <v/>
      </c>
      <c r="O285" t="e">
        <f>IF(Table3[[#This Row],[First Title]]="Started", (Table3[[#This Row],[Score]]+0)*2,Table3[[#This Row],[Score]]+0)</f>
        <v>#VALUE!</v>
      </c>
      <c r="P285" s="2" t="e">
        <f>IF(Table3[[#This Row],[Helper]]&gt;191,"Gold",IF(Table3[[#This Row],[Helper]]&gt;171,"Silver",IF(Table3[[#This Row],[Helper]]&gt;141,"Bronze","")))</f>
        <v>#VALUE!</v>
      </c>
    </row>
    <row r="286" spans="9:16" x14ac:dyDescent="0.25">
      <c r="I286" s="285">
        <f>Excellent!C81</f>
        <v>0</v>
      </c>
      <c r="J286" s="286" t="str">
        <f>Excellent!D81</f>
        <v/>
      </c>
      <c r="K286" s="287" t="str">
        <f t="shared" si="10"/>
        <v/>
      </c>
      <c r="L286" s="285" t="str">
        <f>IF(AND(Excellent!AQ81=1,Excellent!AM81=0),"Excellent","")</f>
        <v/>
      </c>
      <c r="M286" s="285" t="str">
        <f>IF(AND(Excellent!I81="Pass",Excellent!Q81="Pass",Excellent!Y81="Pass",Excellent!AQ81=1,Excellent!AM81=0),"SP","")</f>
        <v/>
      </c>
      <c r="N286" t="str">
        <f>Excellent!AD81</f>
        <v/>
      </c>
      <c r="O286" t="e">
        <f>IF(Table3[[#This Row],[First Title]]="Started", (Table3[[#This Row],[Score]]+0)*2,Table3[[#This Row],[Score]]+0)</f>
        <v>#VALUE!</v>
      </c>
      <c r="P286" s="2" t="e">
        <f>IF(Table3[[#This Row],[Helper]]&gt;191,"Gold",IF(Table3[[#This Row],[Helper]]&gt;171,"Silver",IF(Table3[[#This Row],[Helper]]&gt;141,"Bronze","")))</f>
        <v>#VALUE!</v>
      </c>
    </row>
    <row r="287" spans="9:16" x14ac:dyDescent="0.25">
      <c r="I287" s="285">
        <f>Excellent!C82</f>
        <v>0</v>
      </c>
      <c r="J287" s="286" t="str">
        <f>Excellent!D82</f>
        <v/>
      </c>
      <c r="K287" s="287" t="str">
        <f t="shared" si="10"/>
        <v/>
      </c>
      <c r="L287" s="285" t="str">
        <f>IF(AND(Excellent!AQ82=1,Excellent!AM82=0),"Excellent","")</f>
        <v/>
      </c>
      <c r="M287" s="285" t="str">
        <f>IF(AND(Excellent!I82="Pass",Excellent!Q82="Pass",Excellent!Y82="Pass",Excellent!AQ82=1,Excellent!AM82=0),"SP","")</f>
        <v/>
      </c>
      <c r="N287" t="str">
        <f>Excellent!AD82</f>
        <v/>
      </c>
      <c r="O287" t="e">
        <f>IF(Table3[[#This Row],[First Title]]="Started", (Table3[[#This Row],[Score]]+0)*2,Table3[[#This Row],[Score]]+0)</f>
        <v>#VALUE!</v>
      </c>
      <c r="P287" s="2" t="e">
        <f>IF(Table3[[#This Row],[Helper]]&gt;191,"Gold",IF(Table3[[#This Row],[Helper]]&gt;171,"Silver",IF(Table3[[#This Row],[Helper]]&gt;141,"Bronze","")))</f>
        <v>#VALUE!</v>
      </c>
    </row>
    <row r="288" spans="9:16" x14ac:dyDescent="0.25">
      <c r="I288" s="285">
        <f>Excellent!C83</f>
        <v>0</v>
      </c>
      <c r="J288" s="286" t="str">
        <f>Excellent!D83</f>
        <v/>
      </c>
      <c r="K288" s="287" t="str">
        <f t="shared" si="10"/>
        <v/>
      </c>
      <c r="L288" s="285" t="str">
        <f>IF(AND(Excellent!AQ83=1,Excellent!AM83=0),"Excellent","")</f>
        <v/>
      </c>
      <c r="M288" s="285" t="str">
        <f>IF(AND(Excellent!I83="Pass",Excellent!Q83="Pass",Excellent!Y83="Pass",Excellent!AQ83=1,Excellent!AM83=0),"SP","")</f>
        <v/>
      </c>
      <c r="N288" t="str">
        <f>Excellent!AD83</f>
        <v/>
      </c>
      <c r="O288" t="e">
        <f>IF(Table3[[#This Row],[First Title]]="Started", (Table3[[#This Row],[Score]]+0)*2,Table3[[#This Row],[Score]]+0)</f>
        <v>#VALUE!</v>
      </c>
      <c r="P288" s="2" t="e">
        <f>IF(Table3[[#This Row],[Helper]]&gt;191,"Gold",IF(Table3[[#This Row],[Helper]]&gt;171,"Silver",IF(Table3[[#This Row],[Helper]]&gt;141,"Bronze","")))</f>
        <v>#VALUE!</v>
      </c>
    </row>
    <row r="289" spans="9:16" x14ac:dyDescent="0.25">
      <c r="I289" s="285">
        <f>Excellent!C84</f>
        <v>0</v>
      </c>
      <c r="J289" s="286" t="str">
        <f>Excellent!D84</f>
        <v/>
      </c>
      <c r="K289" s="287" t="str">
        <f t="shared" si="10"/>
        <v/>
      </c>
      <c r="L289" s="285" t="str">
        <f>IF(AND(Excellent!AQ84=1,Excellent!AM84=0),"Excellent","")</f>
        <v/>
      </c>
      <c r="M289" s="285" t="str">
        <f>IF(AND(Excellent!I84="Pass",Excellent!Q84="Pass",Excellent!Y84="Pass",Excellent!AQ84=1,Excellent!AM84=0),"SP","")</f>
        <v/>
      </c>
      <c r="N289" t="str">
        <f>Excellent!AD84</f>
        <v/>
      </c>
      <c r="O289" t="e">
        <f>IF(Table3[[#This Row],[First Title]]="Started", (Table3[[#This Row],[Score]]+0)*2,Table3[[#This Row],[Score]]+0)</f>
        <v>#VALUE!</v>
      </c>
      <c r="P289" s="2" t="e">
        <f>IF(Table3[[#This Row],[Helper]]&gt;191,"Gold",IF(Table3[[#This Row],[Helper]]&gt;171,"Silver",IF(Table3[[#This Row],[Helper]]&gt;141,"Bronze","")))</f>
        <v>#VALUE!</v>
      </c>
    </row>
    <row r="290" spans="9:16" x14ac:dyDescent="0.25">
      <c r="I290" s="285">
        <f>Excellent!C85</f>
        <v>0</v>
      </c>
      <c r="J290" s="286" t="str">
        <f>Excellent!D85</f>
        <v/>
      </c>
      <c r="K290" s="287" t="str">
        <f t="shared" si="10"/>
        <v/>
      </c>
      <c r="L290" s="285" t="str">
        <f>IF(AND(Excellent!AQ85=1,Excellent!AM85=0),"Excellent","")</f>
        <v/>
      </c>
      <c r="M290" s="285" t="str">
        <f>IF(AND(Excellent!I85="Pass",Excellent!Q85="Pass",Excellent!Y85="Pass",Excellent!AQ85=1,Excellent!AM85=0),"SP","")</f>
        <v/>
      </c>
      <c r="N290" t="str">
        <f>Excellent!AD85</f>
        <v/>
      </c>
      <c r="O290" t="e">
        <f>IF(Table3[[#This Row],[First Title]]="Started", (Table3[[#This Row],[Score]]+0)*2,Table3[[#This Row],[Score]]+0)</f>
        <v>#VALUE!</v>
      </c>
      <c r="P290" s="2" t="e">
        <f>IF(Table3[[#This Row],[Helper]]&gt;191,"Gold",IF(Table3[[#This Row],[Helper]]&gt;171,"Silver",IF(Table3[[#This Row],[Helper]]&gt;141,"Bronze","")))</f>
        <v>#VALUE!</v>
      </c>
    </row>
    <row r="291" spans="9:16" x14ac:dyDescent="0.25">
      <c r="I291" s="285">
        <f>Excellent!C86</f>
        <v>0</v>
      </c>
      <c r="J291" s="286" t="str">
        <f>Excellent!D86</f>
        <v/>
      </c>
      <c r="K291" s="287" t="str">
        <f t="shared" si="10"/>
        <v/>
      </c>
      <c r="L291" s="285" t="str">
        <f>IF(AND(Excellent!AQ86=1,Excellent!AM86=0),"Excellent","")</f>
        <v/>
      </c>
      <c r="M291" s="285" t="str">
        <f>IF(AND(Excellent!I86="Pass",Excellent!Q86="Pass",Excellent!Y86="Pass",Excellent!AQ86=1,Excellent!AM86=0),"SP","")</f>
        <v/>
      </c>
      <c r="N291" t="str">
        <f>Excellent!AD86</f>
        <v/>
      </c>
      <c r="O291" t="e">
        <f>IF(Table3[[#This Row],[First Title]]="Started", (Table3[[#This Row],[Score]]+0)*2,Table3[[#This Row],[Score]]+0)</f>
        <v>#VALUE!</v>
      </c>
      <c r="P291" s="2" t="e">
        <f>IF(Table3[[#This Row],[Helper]]&gt;191,"Gold",IF(Table3[[#This Row],[Helper]]&gt;171,"Silver",IF(Table3[[#This Row],[Helper]]&gt;141,"Bronze","")))</f>
        <v>#VALUE!</v>
      </c>
    </row>
    <row r="292" spans="9:16" x14ac:dyDescent="0.25">
      <c r="I292" s="285">
        <f>Excellent!C87</f>
        <v>0</v>
      </c>
      <c r="J292" s="286" t="str">
        <f>Excellent!D87</f>
        <v/>
      </c>
      <c r="K292" s="287" t="str">
        <f t="shared" si="10"/>
        <v/>
      </c>
      <c r="L292" s="285" t="str">
        <f>IF(AND(Excellent!AQ87=1,Excellent!AM87=0),"Excellent","")</f>
        <v/>
      </c>
      <c r="M292" s="285" t="str">
        <f>IF(AND(Excellent!I87="Pass",Excellent!Q87="Pass",Excellent!Y87="Pass",Excellent!AQ87=1,Excellent!AM87=0),"SP","")</f>
        <v/>
      </c>
      <c r="N292" t="str">
        <f>Excellent!AD87</f>
        <v/>
      </c>
      <c r="O292" t="e">
        <f>IF(Table3[[#This Row],[First Title]]="Started", (Table3[[#This Row],[Score]]+0)*2,Table3[[#This Row],[Score]]+0)</f>
        <v>#VALUE!</v>
      </c>
      <c r="P292" s="2" t="e">
        <f>IF(Table3[[#This Row],[Helper]]&gt;191,"Gold",IF(Table3[[#This Row],[Helper]]&gt;171,"Silver",IF(Table3[[#This Row],[Helper]]&gt;141,"Bronze","")))</f>
        <v>#VALUE!</v>
      </c>
    </row>
    <row r="293" spans="9:16" x14ac:dyDescent="0.25">
      <c r="I293" s="285">
        <f>Excellent!C88</f>
        <v>0</v>
      </c>
      <c r="J293" s="286" t="str">
        <f>Excellent!D88</f>
        <v/>
      </c>
      <c r="K293" s="287" t="str">
        <f t="shared" si="10"/>
        <v/>
      </c>
      <c r="L293" s="285" t="str">
        <f>IF(AND(Excellent!AQ88=1,Excellent!AM88=0),"Excellent","")</f>
        <v/>
      </c>
      <c r="M293" s="285" t="str">
        <f>IF(AND(Excellent!I88="Pass",Excellent!Q88="Pass",Excellent!Y88="Pass",Excellent!AQ88=1,Excellent!AM88=0),"SP","")</f>
        <v/>
      </c>
      <c r="N293" t="str">
        <f>Excellent!AD88</f>
        <v/>
      </c>
      <c r="O293" t="e">
        <f>IF(Table3[[#This Row],[First Title]]="Started", (Table3[[#This Row],[Score]]+0)*2,Table3[[#This Row],[Score]]+0)</f>
        <v>#VALUE!</v>
      </c>
      <c r="P293" s="2" t="e">
        <f>IF(Table3[[#This Row],[Helper]]&gt;191,"Gold",IF(Table3[[#This Row],[Helper]]&gt;171,"Silver",IF(Table3[[#This Row],[Helper]]&gt;141,"Bronze","")))</f>
        <v>#VALUE!</v>
      </c>
    </row>
    <row r="294" spans="9:16" x14ac:dyDescent="0.25">
      <c r="I294" s="285">
        <f>Excellent!C89</f>
        <v>0</v>
      </c>
      <c r="J294" s="286" t="str">
        <f>Excellent!D89</f>
        <v/>
      </c>
      <c r="K294" s="287" t="str">
        <f t="shared" si="10"/>
        <v/>
      </c>
      <c r="L294" s="285" t="str">
        <f>IF(AND(Excellent!AQ89=1,Excellent!AM89=0),"Excellent","")</f>
        <v/>
      </c>
      <c r="M294" s="285" t="str">
        <f>IF(AND(Excellent!I89="Pass",Excellent!Q89="Pass",Excellent!Y89="Pass",Excellent!AQ89=1,Excellent!AM89=0),"SP","")</f>
        <v/>
      </c>
      <c r="N294" t="str">
        <f>Excellent!AD89</f>
        <v/>
      </c>
      <c r="O294" t="e">
        <f>IF(Table3[[#This Row],[First Title]]="Started", (Table3[[#This Row],[Score]]+0)*2,Table3[[#This Row],[Score]]+0)</f>
        <v>#VALUE!</v>
      </c>
      <c r="P294" s="2" t="e">
        <f>IF(Table3[[#This Row],[Helper]]&gt;191,"Gold",IF(Table3[[#This Row],[Helper]]&gt;171,"Silver",IF(Table3[[#This Row],[Helper]]&gt;141,"Bronze","")))</f>
        <v>#VALUE!</v>
      </c>
    </row>
    <row r="295" spans="9:16" x14ac:dyDescent="0.25">
      <c r="I295" s="285">
        <f>Excellent!C90</f>
        <v>0</v>
      </c>
      <c r="J295" s="286" t="str">
        <f>Excellent!D90</f>
        <v/>
      </c>
      <c r="K295" s="287" t="str">
        <f t="shared" si="10"/>
        <v/>
      </c>
      <c r="L295" s="285" t="str">
        <f>IF(AND(Excellent!AQ90=1,Excellent!AM90=0),"Excellent","")</f>
        <v/>
      </c>
      <c r="M295" s="285" t="str">
        <f>IF(AND(Excellent!I90="Pass",Excellent!Q90="Pass",Excellent!Y90="Pass",Excellent!AQ90=1,Excellent!AM90=0),"SP","")</f>
        <v/>
      </c>
      <c r="N295" t="str">
        <f>Excellent!AD90</f>
        <v/>
      </c>
      <c r="O295" t="e">
        <f>IF(Table3[[#This Row],[First Title]]="Started", (Table3[[#This Row],[Score]]+0)*2,Table3[[#This Row],[Score]]+0)</f>
        <v>#VALUE!</v>
      </c>
      <c r="P295" s="2" t="e">
        <f>IF(Table3[[#This Row],[Helper]]&gt;191,"Gold",IF(Table3[[#This Row],[Helper]]&gt;171,"Silver",IF(Table3[[#This Row],[Helper]]&gt;141,"Bronze","")))</f>
        <v>#VALUE!</v>
      </c>
    </row>
    <row r="296" spans="9:16" x14ac:dyDescent="0.25">
      <c r="I296" s="285">
        <f>Excellent!C91</f>
        <v>0</v>
      </c>
      <c r="J296" s="286" t="str">
        <f>Excellent!D91</f>
        <v/>
      </c>
      <c r="K296" s="287" t="str">
        <f t="shared" si="10"/>
        <v/>
      </c>
      <c r="L296" s="285" t="str">
        <f>IF(AND(Excellent!AQ91=1,Excellent!AM91=0),"Excellent","")</f>
        <v/>
      </c>
      <c r="M296" s="285" t="str">
        <f>IF(AND(Excellent!I91="Pass",Excellent!Q91="Pass",Excellent!Y91="Pass",Excellent!AQ91=1,Excellent!AM91=0),"SP","")</f>
        <v/>
      </c>
      <c r="N296" t="str">
        <f>Excellent!AD91</f>
        <v/>
      </c>
      <c r="O296" t="e">
        <f>IF(Table3[[#This Row],[First Title]]="Started", (Table3[[#This Row],[Score]]+0)*2,Table3[[#This Row],[Score]]+0)</f>
        <v>#VALUE!</v>
      </c>
      <c r="P296" s="2" t="e">
        <f>IF(Table3[[#This Row],[Helper]]&gt;191,"Gold",IF(Table3[[#This Row],[Helper]]&gt;171,"Silver",IF(Table3[[#This Row],[Helper]]&gt;141,"Bronze","")))</f>
        <v>#VALUE!</v>
      </c>
    </row>
    <row r="297" spans="9:16" x14ac:dyDescent="0.25">
      <c r="I297" s="285">
        <f>Excellent!C92</f>
        <v>0</v>
      </c>
      <c r="J297" s="286" t="str">
        <f>Excellent!D92</f>
        <v/>
      </c>
      <c r="K297" s="287" t="str">
        <f t="shared" si="10"/>
        <v/>
      </c>
      <c r="L297" s="285" t="str">
        <f>IF(AND(Excellent!AQ92=1,Excellent!AM92=0),"Excellent","")</f>
        <v/>
      </c>
      <c r="M297" s="285" t="str">
        <f>IF(AND(Excellent!I92="Pass",Excellent!Q92="Pass",Excellent!Y92="Pass",Excellent!AQ92=1,Excellent!AM92=0),"SP","")</f>
        <v/>
      </c>
      <c r="N297" t="str">
        <f>Excellent!AD92</f>
        <v/>
      </c>
      <c r="O297" t="e">
        <f>IF(Table3[[#This Row],[First Title]]="Started", (Table3[[#This Row],[Score]]+0)*2,Table3[[#This Row],[Score]]+0)</f>
        <v>#VALUE!</v>
      </c>
      <c r="P297" s="2" t="e">
        <f>IF(Table3[[#This Row],[Helper]]&gt;191,"Gold",IF(Table3[[#This Row],[Helper]]&gt;171,"Silver",IF(Table3[[#This Row],[Helper]]&gt;141,"Bronze","")))</f>
        <v>#VALUE!</v>
      </c>
    </row>
    <row r="298" spans="9:16" x14ac:dyDescent="0.25">
      <c r="I298" s="285">
        <f>Excellent!C93</f>
        <v>0</v>
      </c>
      <c r="J298" s="286" t="str">
        <f>Excellent!D93</f>
        <v/>
      </c>
      <c r="K298" s="287" t="str">
        <f t="shared" si="10"/>
        <v/>
      </c>
      <c r="L298" s="285" t="str">
        <f>IF(AND(Excellent!AQ93=1,Excellent!AM93=0),"Excellent","")</f>
        <v/>
      </c>
      <c r="M298" s="285" t="str">
        <f>IF(AND(Excellent!I93="Pass",Excellent!Q93="Pass",Excellent!Y93="Pass",Excellent!AQ93=1,Excellent!AM93=0),"SP","")</f>
        <v/>
      </c>
      <c r="N298" t="str">
        <f>Excellent!AD93</f>
        <v/>
      </c>
      <c r="O298" t="e">
        <f>IF(Table3[[#This Row],[First Title]]="Started", (Table3[[#This Row],[Score]]+0)*2,Table3[[#This Row],[Score]]+0)</f>
        <v>#VALUE!</v>
      </c>
      <c r="P298" s="2" t="e">
        <f>IF(Table3[[#This Row],[Helper]]&gt;191,"Gold",IF(Table3[[#This Row],[Helper]]&gt;171,"Silver",IF(Table3[[#This Row],[Helper]]&gt;141,"Bronze","")))</f>
        <v>#VALUE!</v>
      </c>
    </row>
    <row r="299" spans="9:16" x14ac:dyDescent="0.25">
      <c r="I299" s="285">
        <f>Excellent!C94</f>
        <v>0</v>
      </c>
      <c r="J299" s="286" t="str">
        <f>Excellent!D94</f>
        <v/>
      </c>
      <c r="K299" s="287" t="str">
        <f t="shared" si="10"/>
        <v/>
      </c>
      <c r="L299" s="285" t="str">
        <f>IF(AND(Excellent!AQ94=1,Excellent!AM94=0),"Excellent","")</f>
        <v/>
      </c>
      <c r="M299" s="285" t="str">
        <f>IF(AND(Excellent!I94="Pass",Excellent!Q94="Pass",Excellent!Y94="Pass",Excellent!AQ94=1,Excellent!AM94=0),"SP","")</f>
        <v/>
      </c>
      <c r="N299" t="str">
        <f>Excellent!AD94</f>
        <v/>
      </c>
      <c r="O299" t="e">
        <f>IF(Table3[[#This Row],[First Title]]="Started", (Table3[[#This Row],[Score]]+0)*2,Table3[[#This Row],[Score]]+0)</f>
        <v>#VALUE!</v>
      </c>
      <c r="P299" s="2" t="e">
        <f>IF(Table3[[#This Row],[Helper]]&gt;191,"Gold",IF(Table3[[#This Row],[Helper]]&gt;171,"Silver",IF(Table3[[#This Row],[Helper]]&gt;141,"Bronze","")))</f>
        <v>#VALUE!</v>
      </c>
    </row>
    <row r="300" spans="9:16" x14ac:dyDescent="0.25">
      <c r="I300" s="285">
        <f>Excellent!C95</f>
        <v>0</v>
      </c>
      <c r="J300" s="286" t="str">
        <f>Excellent!D95</f>
        <v/>
      </c>
      <c r="K300" s="287" t="str">
        <f t="shared" si="10"/>
        <v/>
      </c>
      <c r="L300" s="285" t="str">
        <f>IF(AND(Excellent!AQ95=1,Excellent!AM95=0),"Excellent","")</f>
        <v/>
      </c>
      <c r="M300" s="285" t="str">
        <f>IF(AND(Excellent!I95="Pass",Excellent!Q95="Pass",Excellent!Y95="Pass",Excellent!AQ95=1,Excellent!AM95=0),"SP","")</f>
        <v/>
      </c>
      <c r="N300" t="str">
        <f>Excellent!AD95</f>
        <v/>
      </c>
      <c r="O300" t="e">
        <f>IF(Table3[[#This Row],[First Title]]="Started", (Table3[[#This Row],[Score]]+0)*2,Table3[[#This Row],[Score]]+0)</f>
        <v>#VALUE!</v>
      </c>
      <c r="P300" s="2" t="e">
        <f>IF(Table3[[#This Row],[Helper]]&gt;191,"Gold",IF(Table3[[#This Row],[Helper]]&gt;171,"Silver",IF(Table3[[#This Row],[Helper]]&gt;141,"Bronze","")))</f>
        <v>#VALUE!</v>
      </c>
    </row>
    <row r="301" spans="9:16" x14ac:dyDescent="0.25">
      <c r="I301" s="285">
        <f>Excellent!C96</f>
        <v>0</v>
      </c>
      <c r="J301" s="286" t="str">
        <f>Excellent!D96</f>
        <v/>
      </c>
      <c r="K301" s="287" t="str">
        <f t="shared" si="10"/>
        <v/>
      </c>
      <c r="L301" s="285" t="str">
        <f>IF(AND(Excellent!AQ96=1,Excellent!AM96=0),"Excellent","")</f>
        <v/>
      </c>
      <c r="M301" s="285" t="str">
        <f>IF(AND(Excellent!I96="Pass",Excellent!Q96="Pass",Excellent!Y96="Pass",Excellent!AQ96=1,Excellent!AM96=0),"SP","")</f>
        <v/>
      </c>
      <c r="N301" t="str">
        <f>Excellent!AD96</f>
        <v/>
      </c>
      <c r="O301" t="e">
        <f>IF(Table3[[#This Row],[First Title]]="Started", (Table3[[#This Row],[Score]]+0)*2,Table3[[#This Row],[Score]]+0)</f>
        <v>#VALUE!</v>
      </c>
      <c r="P301" s="2" t="e">
        <f>IF(Table3[[#This Row],[Helper]]&gt;191,"Gold",IF(Table3[[#This Row],[Helper]]&gt;171,"Silver",IF(Table3[[#This Row],[Helper]]&gt;141,"Bronze","")))</f>
        <v>#VALUE!</v>
      </c>
    </row>
    <row r="302" spans="9:16" x14ac:dyDescent="0.25">
      <c r="I302" s="285">
        <f>Excellent!C97</f>
        <v>0</v>
      </c>
      <c r="J302" s="286" t="str">
        <f>Excellent!D97</f>
        <v/>
      </c>
      <c r="K302" s="287" t="str">
        <f t="shared" si="10"/>
        <v/>
      </c>
      <c r="L302" s="285" t="str">
        <f>IF(AND(Excellent!AQ97=1,Excellent!AM97=0),"Excellent","")</f>
        <v/>
      </c>
      <c r="M302" s="285" t="str">
        <f>IF(AND(Excellent!I97="Pass",Excellent!Q97="Pass",Excellent!Y97="Pass",Excellent!AQ97=1,Excellent!AM97=0),"SP","")</f>
        <v/>
      </c>
      <c r="N302" t="str">
        <f>Excellent!AD97</f>
        <v/>
      </c>
      <c r="O302" t="e">
        <f>IF(Table3[[#This Row],[First Title]]="Started", (Table3[[#This Row],[Score]]+0)*2,Table3[[#This Row],[Score]]+0)</f>
        <v>#VALUE!</v>
      </c>
      <c r="P302" s="2" t="e">
        <f>IF(Table3[[#This Row],[Helper]]&gt;191,"Gold",IF(Table3[[#This Row],[Helper]]&gt;171,"Silver",IF(Table3[[#This Row],[Helper]]&gt;141,"Bronze","")))</f>
        <v>#VALUE!</v>
      </c>
    </row>
    <row r="303" spans="9:16" x14ac:dyDescent="0.25">
      <c r="I303" s="285">
        <f>Excellent!C98</f>
        <v>0</v>
      </c>
      <c r="J303" s="286" t="str">
        <f>Excellent!D98</f>
        <v/>
      </c>
      <c r="K303" s="287" t="str">
        <f t="shared" si="10"/>
        <v/>
      </c>
      <c r="L303" s="285" t="str">
        <f>IF(AND(Excellent!AQ98=1,Excellent!AM98=0),"Excellent","")</f>
        <v/>
      </c>
      <c r="M303" s="285" t="str">
        <f>IF(AND(Excellent!I98="Pass",Excellent!Q98="Pass",Excellent!Y98="Pass",Excellent!AQ98=1,Excellent!AM98=0),"SP","")</f>
        <v/>
      </c>
      <c r="N303" t="str">
        <f>Excellent!AD98</f>
        <v/>
      </c>
      <c r="O303" t="e">
        <f>IF(Table3[[#This Row],[First Title]]="Started", (Table3[[#This Row],[Score]]+0)*2,Table3[[#This Row],[Score]]+0)</f>
        <v>#VALUE!</v>
      </c>
      <c r="P303" s="2" t="e">
        <f>IF(Table3[[#This Row],[Helper]]&gt;191,"Gold",IF(Table3[[#This Row],[Helper]]&gt;171,"Silver",IF(Table3[[#This Row],[Helper]]&gt;141,"Bronze","")))</f>
        <v>#VALUE!</v>
      </c>
    </row>
    <row r="304" spans="9:16" x14ac:dyDescent="0.25">
      <c r="I304" s="285">
        <f>Excellent!C99</f>
        <v>0</v>
      </c>
      <c r="J304" s="286" t="str">
        <f>Excellent!D99</f>
        <v/>
      </c>
      <c r="K304" s="287" t="str">
        <f t="shared" si="10"/>
        <v/>
      </c>
      <c r="L304" s="285" t="str">
        <f>IF(AND(Excellent!AQ99=1,Excellent!AM99=0),"Excellent","")</f>
        <v/>
      </c>
      <c r="M304" s="285" t="str">
        <f>IF(AND(Excellent!I99="Pass",Excellent!Q99="Pass",Excellent!Y99="Pass",Excellent!AQ99=1,Excellent!AM99=0),"SP","")</f>
        <v/>
      </c>
      <c r="N304" t="str">
        <f>Excellent!AD99</f>
        <v/>
      </c>
      <c r="O304" t="e">
        <f>IF(Table3[[#This Row],[First Title]]="Started", (Table3[[#This Row],[Score]]+0)*2,Table3[[#This Row],[Score]]+0)</f>
        <v>#VALUE!</v>
      </c>
      <c r="P304" s="2" t="e">
        <f>IF(Table3[[#This Row],[Helper]]&gt;191,"Gold",IF(Table3[[#This Row],[Helper]]&gt;171,"Silver",IF(Table3[[#This Row],[Helper]]&gt;141,"Bronze","")))</f>
        <v>#VALUE!</v>
      </c>
    </row>
    <row r="305" spans="9:16" x14ac:dyDescent="0.25">
      <c r="I305" s="285">
        <f>Excellent!C100</f>
        <v>0</v>
      </c>
      <c r="J305" s="286" t="str">
        <f>Excellent!D100</f>
        <v/>
      </c>
      <c r="K305" s="287" t="str">
        <f t="shared" si="10"/>
        <v/>
      </c>
      <c r="L305" s="285" t="str">
        <f>IF(AND(Excellent!AQ100=1,Excellent!AM100=0),"Excellent","")</f>
        <v/>
      </c>
      <c r="M305" s="285" t="str">
        <f>IF(AND(Excellent!I100="Pass",Excellent!Q100="Pass",Excellent!Y100="Pass",Excellent!AQ100=1,Excellent!AM100=0),"SP","")</f>
        <v/>
      </c>
      <c r="N305" t="str">
        <f>Excellent!AD100</f>
        <v/>
      </c>
      <c r="O305" t="e">
        <f>IF(Table3[[#This Row],[First Title]]="Started", (Table3[[#This Row],[Score]]+0)*2,Table3[[#This Row],[Score]]+0)</f>
        <v>#VALUE!</v>
      </c>
      <c r="P305" s="2" t="e">
        <f>IF(Table3[[#This Row],[Helper]]&gt;191,"Gold",IF(Table3[[#This Row],[Helper]]&gt;171,"Silver",IF(Table3[[#This Row],[Helper]]&gt;141,"Bronze","")))</f>
        <v>#VALUE!</v>
      </c>
    </row>
    <row r="306" spans="9:16" x14ac:dyDescent="0.25">
      <c r="I306" s="285">
        <f>Excellent!C101</f>
        <v>0</v>
      </c>
      <c r="J306" s="286" t="str">
        <f>Excellent!D101</f>
        <v/>
      </c>
      <c r="K306" s="287" t="str">
        <f t="shared" si="10"/>
        <v/>
      </c>
      <c r="L306" s="285" t="str">
        <f>IF(AND(Excellent!AQ101=1,Excellent!AM101=0),"Excellent","")</f>
        <v/>
      </c>
      <c r="M306" s="285" t="str">
        <f>IF(AND(Excellent!I101="Pass",Excellent!Q101="Pass",Excellent!Y101="Pass",Excellent!AQ101=1,Excellent!AM101=0),"SP","")</f>
        <v/>
      </c>
      <c r="N306" t="str">
        <f>Excellent!AD101</f>
        <v/>
      </c>
      <c r="O306" t="e">
        <f>IF(Table3[[#This Row],[First Title]]="Started", (Table3[[#This Row],[Score]]+0)*2,Table3[[#This Row],[Score]]+0)</f>
        <v>#VALUE!</v>
      </c>
      <c r="P306" s="2" t="e">
        <f>IF(Table3[[#This Row],[Helper]]&gt;191,"Gold",IF(Table3[[#This Row],[Helper]]&gt;171,"Silver",IF(Table3[[#This Row],[Helper]]&gt;141,"Bronze","")))</f>
        <v>#VALUE!</v>
      </c>
    </row>
    <row r="307" spans="9:16" x14ac:dyDescent="0.25">
      <c r="I307" s="285">
        <f>Excellent!C102</f>
        <v>0</v>
      </c>
      <c r="J307" s="286" t="str">
        <f>Excellent!D102</f>
        <v/>
      </c>
      <c r="K307" s="287" t="str">
        <f t="shared" si="10"/>
        <v/>
      </c>
      <c r="L307" s="285" t="str">
        <f>IF(AND(Excellent!AQ102=1,Excellent!AM102=0),"Excellent","")</f>
        <v/>
      </c>
      <c r="M307" s="285" t="str">
        <f>IF(AND(Excellent!I102="Pass",Excellent!Q102="Pass",Excellent!Y102="Pass",Excellent!AQ102=1,Excellent!AM102=0),"SP","")</f>
        <v/>
      </c>
      <c r="N307" t="str">
        <f>Excellent!AD102</f>
        <v/>
      </c>
      <c r="O307" t="e">
        <f>IF(Table3[[#This Row],[First Title]]="Started", (Table3[[#This Row],[Score]]+0)*2,Table3[[#This Row],[Score]]+0)</f>
        <v>#VALUE!</v>
      </c>
      <c r="P307" s="2" t="e">
        <f>IF(Table3[[#This Row],[Helper]]&gt;191,"Gold",IF(Table3[[#This Row],[Helper]]&gt;171,"Silver",IF(Table3[[#This Row],[Helper]]&gt;141,"Bronze","")))</f>
        <v>#VALUE!</v>
      </c>
    </row>
    <row r="308" spans="9:16" x14ac:dyDescent="0.25">
      <c r="I308" s="285">
        <f>Excellent!C103</f>
        <v>0</v>
      </c>
      <c r="J308" s="286" t="str">
        <f>Excellent!D103</f>
        <v/>
      </c>
      <c r="K308" s="287" t="str">
        <f t="shared" si="10"/>
        <v/>
      </c>
      <c r="L308" s="285" t="str">
        <f>IF(AND(Excellent!AQ103=1,Excellent!AM103=0),"Excellent","")</f>
        <v/>
      </c>
      <c r="M308" s="285" t="str">
        <f>IF(AND(Excellent!I103="Pass",Excellent!Q103="Pass",Excellent!Y103="Pass",Excellent!AQ103=1,Excellent!AM103=0),"SP","")</f>
        <v/>
      </c>
      <c r="N308" t="str">
        <f>Excellent!AD103</f>
        <v/>
      </c>
      <c r="O308" t="e">
        <f>IF(Table3[[#This Row],[First Title]]="Started", (Table3[[#This Row],[Score]]+0)*2,Table3[[#This Row],[Score]]+0)</f>
        <v>#VALUE!</v>
      </c>
      <c r="P308" s="2" t="e">
        <f>IF(Table3[[#This Row],[Helper]]&gt;191,"Gold",IF(Table3[[#This Row],[Helper]]&gt;171,"Silver",IF(Table3[[#This Row],[Helper]]&gt;141,"Bronze","")))</f>
        <v>#VALUE!</v>
      </c>
    </row>
    <row r="309" spans="9:16" x14ac:dyDescent="0.25">
      <c r="I309" s="285">
        <f>Excellent!C104</f>
        <v>0</v>
      </c>
      <c r="J309" s="286" t="str">
        <f>Excellent!D104</f>
        <v/>
      </c>
      <c r="K309" s="287" t="str">
        <f t="shared" si="10"/>
        <v/>
      </c>
      <c r="L309" s="285" t="str">
        <f>IF(AND(Excellent!AQ104=1,Excellent!AM104=0),"Excellent","")</f>
        <v/>
      </c>
      <c r="M309" s="285" t="str">
        <f>IF(AND(Excellent!I104="Pass",Excellent!Q104="Pass",Excellent!Y104="Pass",Excellent!AQ104=1,Excellent!AM104=0),"SP","")</f>
        <v/>
      </c>
      <c r="N309" t="str">
        <f>Excellent!AD104</f>
        <v/>
      </c>
      <c r="O309" t="e">
        <f>IF(Table3[[#This Row],[First Title]]="Started", (Table3[[#This Row],[Score]]+0)*2,Table3[[#This Row],[Score]]+0)</f>
        <v>#VALUE!</v>
      </c>
      <c r="P309" s="2" t="e">
        <f>IF(Table3[[#This Row],[Helper]]&gt;191,"Gold",IF(Table3[[#This Row],[Helper]]&gt;171,"Silver",IF(Table3[[#This Row],[Helper]]&gt;141,"Bronze","")))</f>
        <v>#VALUE!</v>
      </c>
    </row>
    <row r="310" spans="9:16" x14ac:dyDescent="0.25">
      <c r="I310" s="285">
        <f>Excellent!C105</f>
        <v>0</v>
      </c>
      <c r="J310" s="286" t="str">
        <f>Excellent!D105</f>
        <v/>
      </c>
      <c r="K310" s="287" t="str">
        <f t="shared" si="10"/>
        <v/>
      </c>
      <c r="L310" s="285" t="str">
        <f>IF(AND(Excellent!AQ105=1,Excellent!AM105=0),"Excellent","")</f>
        <v/>
      </c>
      <c r="M310" s="285" t="str">
        <f>IF(AND(Excellent!I105="Pass",Excellent!Q105="Pass",Excellent!Y105="Pass",Excellent!AQ105=1,Excellent!AM105=0),"SP","")</f>
        <v/>
      </c>
      <c r="N310" t="str">
        <f>Excellent!AD105</f>
        <v/>
      </c>
      <c r="O310" t="e">
        <f>IF(Table3[[#This Row],[First Title]]="Started", (Table3[[#This Row],[Score]]+0)*2,Table3[[#This Row],[Score]]+0)</f>
        <v>#VALUE!</v>
      </c>
      <c r="P310" s="2" t="e">
        <f>IF(Table3[[#This Row],[Helper]]&gt;191,"Gold",IF(Table3[[#This Row],[Helper]]&gt;171,"Silver",IF(Table3[[#This Row],[Helper]]&gt;141,"Bronze","")))</f>
        <v>#VALUE!</v>
      </c>
    </row>
    <row r="311" spans="9:16" x14ac:dyDescent="0.25">
      <c r="I311" s="285">
        <f>Excellent!C106</f>
        <v>0</v>
      </c>
      <c r="J311" s="286" t="str">
        <f>Excellent!D106</f>
        <v/>
      </c>
      <c r="K311" s="287" t="str">
        <f t="shared" si="10"/>
        <v/>
      </c>
      <c r="L311" s="285" t="str">
        <f>IF(AND(Excellent!AQ106=1,Excellent!AM106=0),"Excellent","")</f>
        <v/>
      </c>
      <c r="M311" s="285" t="str">
        <f>IF(AND(Excellent!I106="Pass",Excellent!Q106="Pass",Excellent!Y106="Pass",Excellent!AQ106=1,Excellent!AM106=0),"SP","")</f>
        <v/>
      </c>
      <c r="N311" t="str">
        <f>Excellent!AD106</f>
        <v/>
      </c>
      <c r="O311" t="e">
        <f>IF(Table3[[#This Row],[First Title]]="Started", (Table3[[#This Row],[Score]]+0)*2,Table3[[#This Row],[Score]]+0)</f>
        <v>#VALUE!</v>
      </c>
      <c r="P311" s="2" t="e">
        <f>IF(Table3[[#This Row],[Helper]]&gt;191,"Gold",IF(Table3[[#This Row],[Helper]]&gt;171,"Silver",IF(Table3[[#This Row],[Helper]]&gt;141,"Bronze","")))</f>
        <v>#VALUE!</v>
      </c>
    </row>
    <row r="312" spans="9:16" x14ac:dyDescent="0.25">
      <c r="I312" s="285">
        <f>Excellent!C107</f>
        <v>0</v>
      </c>
      <c r="J312" s="286" t="str">
        <f>Excellent!D107</f>
        <v/>
      </c>
      <c r="K312" s="287" t="str">
        <f t="shared" si="10"/>
        <v/>
      </c>
      <c r="L312" s="285" t="str">
        <f>IF(AND(Excellent!AQ107=1,Excellent!AM107=0),"Excellent","")</f>
        <v/>
      </c>
      <c r="M312" s="285" t="str">
        <f>IF(AND(Excellent!I107="Pass",Excellent!Q107="Pass",Excellent!Y107="Pass",Excellent!AQ107=1,Excellent!AM107=0),"SP","")</f>
        <v/>
      </c>
      <c r="N312" t="str">
        <f>Excellent!AD107</f>
        <v/>
      </c>
      <c r="O312" t="e">
        <f>IF(Table3[[#This Row],[First Title]]="Started", (Table3[[#This Row],[Score]]+0)*2,Table3[[#This Row],[Score]]+0)</f>
        <v>#VALUE!</v>
      </c>
      <c r="P312" s="2" t="e">
        <f>IF(Table3[[#This Row],[Helper]]&gt;191,"Gold",IF(Table3[[#This Row],[Helper]]&gt;171,"Silver",IF(Table3[[#This Row],[Helper]]&gt;141,"Bronze","")))</f>
        <v>#VALUE!</v>
      </c>
    </row>
    <row r="313" spans="9:16" x14ac:dyDescent="0.25">
      <c r="I313" s="285">
        <f>Excellent!C108</f>
        <v>0</v>
      </c>
      <c r="J313" s="286" t="str">
        <f>Excellent!D108</f>
        <v/>
      </c>
      <c r="K313" s="287" t="str">
        <f t="shared" si="10"/>
        <v/>
      </c>
      <c r="L313" s="285" t="str">
        <f>IF(AND(Excellent!AQ108=1,Excellent!AM108=0),"Excellent","")</f>
        <v/>
      </c>
      <c r="M313" s="285" t="str">
        <f>IF(AND(Excellent!I108="Pass",Excellent!Q108="Pass",Excellent!Y108="Pass",Excellent!AQ108=1,Excellent!AM108=0),"SP","")</f>
        <v/>
      </c>
      <c r="N313" t="str">
        <f>Excellent!AD108</f>
        <v/>
      </c>
      <c r="O313" t="e">
        <f>IF(Table3[[#This Row],[First Title]]="Started", (Table3[[#This Row],[Score]]+0)*2,Table3[[#This Row],[Score]]+0)</f>
        <v>#VALUE!</v>
      </c>
      <c r="P313" s="2" t="e">
        <f>IF(Table3[[#This Row],[Helper]]&gt;191,"Gold",IF(Table3[[#This Row],[Helper]]&gt;171,"Silver",IF(Table3[[#This Row],[Helper]]&gt;141,"Bronze","")))</f>
        <v>#VALUE!</v>
      </c>
    </row>
    <row r="314" spans="9:16" x14ac:dyDescent="0.25">
      <c r="I314" s="285">
        <f>Excellent!C109</f>
        <v>0</v>
      </c>
      <c r="J314" s="286" t="str">
        <f>Excellent!D109</f>
        <v/>
      </c>
      <c r="K314" s="287" t="str">
        <f t="shared" si="10"/>
        <v/>
      </c>
      <c r="L314" s="285" t="str">
        <f>IF(AND(Excellent!AQ109=1,Excellent!AM109=0),"Excellent","")</f>
        <v/>
      </c>
      <c r="M314" s="285" t="str">
        <f>IF(AND(Excellent!I109="Pass",Excellent!Q109="Pass",Excellent!Y109="Pass",Excellent!AQ109=1,Excellent!AM109=0),"SP","")</f>
        <v/>
      </c>
      <c r="N314" t="str">
        <f>Excellent!AD109</f>
        <v/>
      </c>
      <c r="O314" t="e">
        <f>IF(Table3[[#This Row],[First Title]]="Started", (Table3[[#This Row],[Score]]+0)*2,Table3[[#This Row],[Score]]+0)</f>
        <v>#VALUE!</v>
      </c>
      <c r="P314" s="2" t="e">
        <f>IF(Table3[[#This Row],[Helper]]&gt;191,"Gold",IF(Table3[[#This Row],[Helper]]&gt;171,"Silver",IF(Table3[[#This Row],[Helper]]&gt;141,"Bronze","")))</f>
        <v>#VALUE!</v>
      </c>
    </row>
    <row r="315" spans="9:16" x14ac:dyDescent="0.25">
      <c r="I315" s="285">
        <f>Excellent!C110</f>
        <v>0</v>
      </c>
      <c r="J315" s="286" t="str">
        <f>Excellent!D110</f>
        <v/>
      </c>
      <c r="K315" s="287" t="str">
        <f t="shared" si="10"/>
        <v/>
      </c>
      <c r="L315" s="285" t="str">
        <f>IF(AND(Excellent!AQ110=1,Excellent!AM110=0),"Excellent","")</f>
        <v/>
      </c>
      <c r="M315" s="285" t="str">
        <f>IF(AND(Excellent!I110="Pass",Excellent!Q110="Pass",Excellent!Y110="Pass",Excellent!AQ110=1,Excellent!AM110=0),"SP","")</f>
        <v/>
      </c>
      <c r="N315" t="str">
        <f>Excellent!AD110</f>
        <v/>
      </c>
      <c r="O315" t="e">
        <f>IF(Table3[[#This Row],[First Title]]="Started", (Table3[[#This Row],[Score]]+0)*2,Table3[[#This Row],[Score]]+0)</f>
        <v>#VALUE!</v>
      </c>
      <c r="P315" s="2" t="e">
        <f>IF(Table3[[#This Row],[Helper]]&gt;191,"Gold",IF(Table3[[#This Row],[Helper]]&gt;171,"Silver",IF(Table3[[#This Row],[Helper]]&gt;141,"Bronze","")))</f>
        <v>#VALUE!</v>
      </c>
    </row>
    <row r="316" spans="9:16" x14ac:dyDescent="0.25">
      <c r="I316" s="285">
        <f>Excellent!C111</f>
        <v>0</v>
      </c>
      <c r="J316" s="286" t="str">
        <f>Excellent!D111</f>
        <v/>
      </c>
      <c r="K316" s="287" t="str">
        <f t="shared" si="10"/>
        <v/>
      </c>
      <c r="L316" s="285" t="str">
        <f>IF(AND(Excellent!AQ111=1,Excellent!AM111=0),"Excellent","")</f>
        <v/>
      </c>
      <c r="M316" s="285" t="str">
        <f>IF(AND(Excellent!I111="Pass",Excellent!Q111="Pass",Excellent!Y111="Pass",Excellent!AQ111=1,Excellent!AM111=0),"SP","")</f>
        <v/>
      </c>
      <c r="N316" t="str">
        <f>Excellent!AD111</f>
        <v/>
      </c>
      <c r="O316" t="e">
        <f>IF(Table3[[#This Row],[First Title]]="Started", (Table3[[#This Row],[Score]]+0)*2,Table3[[#This Row],[Score]]+0)</f>
        <v>#VALUE!</v>
      </c>
      <c r="P316" s="2" t="e">
        <f>IF(Table3[[#This Row],[Helper]]&gt;191,"Gold",IF(Table3[[#This Row],[Helper]]&gt;171,"Silver",IF(Table3[[#This Row],[Helper]]&gt;141,"Bronze","")))</f>
        <v>#VALUE!</v>
      </c>
    </row>
    <row r="317" spans="9:16" x14ac:dyDescent="0.25">
      <c r="I317" s="285">
        <f>Excellent!C112</f>
        <v>0</v>
      </c>
      <c r="J317" s="286" t="str">
        <f>Excellent!D112</f>
        <v/>
      </c>
      <c r="K317" s="287" t="str">
        <f t="shared" si="10"/>
        <v/>
      </c>
      <c r="L317" s="285" t="str">
        <f>IF(AND(Excellent!AQ112=1,Excellent!AM112=0),"Excellent","")</f>
        <v/>
      </c>
      <c r="M317" s="285" t="str">
        <f>IF(AND(Excellent!I112="Pass",Excellent!Q112="Pass",Excellent!Y112="Pass",Excellent!AQ112=1,Excellent!AM112=0),"SP","")</f>
        <v/>
      </c>
      <c r="N317" t="str">
        <f>Excellent!AD112</f>
        <v/>
      </c>
      <c r="O317" t="e">
        <f>IF(Table3[[#This Row],[First Title]]="Started", (Table3[[#This Row],[Score]]+0)*2,Table3[[#This Row],[Score]]+0)</f>
        <v>#VALUE!</v>
      </c>
      <c r="P317" s="2" t="e">
        <f>IF(Table3[[#This Row],[Helper]]&gt;191,"Gold",IF(Table3[[#This Row],[Helper]]&gt;171,"Silver",IF(Table3[[#This Row],[Helper]]&gt;141,"Bronze","")))</f>
        <v>#VALUE!</v>
      </c>
    </row>
    <row r="318" spans="9:16" x14ac:dyDescent="0.25">
      <c r="I318" s="285">
        <f>Excellent!C113</f>
        <v>0</v>
      </c>
      <c r="J318" s="286" t="str">
        <f>Excellent!D113</f>
        <v/>
      </c>
      <c r="K318" s="287" t="str">
        <f t="shared" si="10"/>
        <v/>
      </c>
      <c r="L318" s="285" t="str">
        <f>IF(AND(Excellent!AQ113=1,Excellent!AM113=0),"Excellent","")</f>
        <v/>
      </c>
      <c r="M318" s="285" t="str">
        <f>IF(AND(Excellent!I113="Pass",Excellent!Q113="Pass",Excellent!Y113="Pass",Excellent!AQ113=1,Excellent!AM113=0),"SP","")</f>
        <v/>
      </c>
      <c r="N318" t="str">
        <f>Excellent!AD113</f>
        <v/>
      </c>
      <c r="O318" t="e">
        <f>IF(Table3[[#This Row],[First Title]]="Started", (Table3[[#This Row],[Score]]+0)*2,Table3[[#This Row],[Score]]+0)</f>
        <v>#VALUE!</v>
      </c>
      <c r="P318" s="2" t="e">
        <f>IF(Table3[[#This Row],[Helper]]&gt;191,"Gold",IF(Table3[[#This Row],[Helper]]&gt;171,"Silver",IF(Table3[[#This Row],[Helper]]&gt;141,"Bronze","")))</f>
        <v>#VALUE!</v>
      </c>
    </row>
    <row r="319" spans="9:16" x14ac:dyDescent="0.25">
      <c r="I319" s="285">
        <f>Excellent!C114</f>
        <v>0</v>
      </c>
      <c r="J319" s="286" t="str">
        <f>Excellent!D114</f>
        <v/>
      </c>
      <c r="K319" s="287" t="str">
        <f t="shared" si="10"/>
        <v/>
      </c>
      <c r="L319" s="285" t="str">
        <f>IF(AND(Excellent!AQ114=1,Excellent!AM114=0),"Excellent","")</f>
        <v/>
      </c>
      <c r="M319" s="285" t="str">
        <f>IF(AND(Excellent!I114="Pass",Excellent!Q114="Pass",Excellent!Y114="Pass",Excellent!AQ114=1,Excellent!AM114=0),"SP","")</f>
        <v/>
      </c>
      <c r="N319" t="str">
        <f>Excellent!AD114</f>
        <v/>
      </c>
      <c r="O319" t="e">
        <f>IF(Table3[[#This Row],[First Title]]="Started", (Table3[[#This Row],[Score]]+0)*2,Table3[[#This Row],[Score]]+0)</f>
        <v>#VALUE!</v>
      </c>
      <c r="P319" s="2" t="e">
        <f>IF(Table3[[#This Row],[Helper]]&gt;191,"Gold",IF(Table3[[#This Row],[Helper]]&gt;171,"Silver",IF(Table3[[#This Row],[Helper]]&gt;141,"Bronze","")))</f>
        <v>#VALUE!</v>
      </c>
    </row>
    <row r="320" spans="9:16" x14ac:dyDescent="0.25">
      <c r="I320" s="285">
        <f>Elite!C5</f>
        <v>0</v>
      </c>
      <c r="J320" s="286" t="str">
        <f>Elite!D5</f>
        <v/>
      </c>
      <c r="K320" s="287" t="str">
        <f t="shared" ref="K320:K349" si="11">TrialDate</f>
        <v/>
      </c>
      <c r="L320" s="285" t="str">
        <f>IF(AND(Elite!AP5=1,Elite!AL5=0),"Elite","")</f>
        <v/>
      </c>
      <c r="M320" s="285"/>
      <c r="N320" t="str">
        <f>Elite!AC5</f>
        <v/>
      </c>
      <c r="O320" t="e">
        <f>IF(Table3[[#This Row],[First Title]]="Started", (Table3[[#This Row],[Score]]+0)*2,Table3[[#This Row],[Score]]+0)</f>
        <v>#VALUE!</v>
      </c>
      <c r="P320" s="2" t="e">
        <f>IF(Table3[[#This Row],[Helper]]&gt;191,"Gold",IF(Table3[[#This Row],[Helper]]&gt;171,"Silver",IF(Table3[[#This Row],[Helper]]&gt;141,"Bronze","")))</f>
        <v>#VALUE!</v>
      </c>
    </row>
    <row r="321" spans="9:16" x14ac:dyDescent="0.25">
      <c r="I321" s="285">
        <f>Elite!C6</f>
        <v>0</v>
      </c>
      <c r="J321" s="286" t="str">
        <f>Elite!D6</f>
        <v/>
      </c>
      <c r="K321" s="287" t="str">
        <f t="shared" si="11"/>
        <v/>
      </c>
      <c r="L321" s="285" t="str">
        <f>IF(AND(Elite!AP6=1,Elite!AL6=0),"Elite","")</f>
        <v/>
      </c>
      <c r="N321" t="str">
        <f>Elite!AC6</f>
        <v/>
      </c>
      <c r="O321" t="e">
        <f>IF(Table3[[#This Row],[First Title]]="Started", (Table3[[#This Row],[Score]]+0)*2,Table3[[#This Row],[Score]]+0)</f>
        <v>#VALUE!</v>
      </c>
      <c r="P321" s="2" t="e">
        <f>IF(Table3[[#This Row],[Helper]]&gt;191,"Gold",IF(Table3[[#This Row],[Helper]]&gt;171,"Silver",IF(Table3[[#This Row],[Helper]]&gt;141,"Bronze","")))</f>
        <v>#VALUE!</v>
      </c>
    </row>
    <row r="322" spans="9:16" x14ac:dyDescent="0.25">
      <c r="I322" s="285">
        <f>Elite!C7</f>
        <v>0</v>
      </c>
      <c r="J322" s="286" t="str">
        <f>Elite!D7</f>
        <v/>
      </c>
      <c r="K322" s="287" t="str">
        <f t="shared" si="11"/>
        <v/>
      </c>
      <c r="L322" s="285" t="str">
        <f>IF(AND(Elite!AP7=1,Elite!AL7=0),"Elite","")</f>
        <v/>
      </c>
      <c r="N322" t="str">
        <f>Elite!AC7</f>
        <v/>
      </c>
      <c r="O322" t="e">
        <f>IF(Table3[[#This Row],[First Title]]="Started", (Table3[[#This Row],[Score]]+0)*2,Table3[[#This Row],[Score]]+0)</f>
        <v>#VALUE!</v>
      </c>
      <c r="P322" s="2" t="e">
        <f>IF(Table3[[#This Row],[Helper]]&gt;191,"Gold",IF(Table3[[#This Row],[Helper]]&gt;171,"Silver",IF(Table3[[#This Row],[Helper]]&gt;141,"Bronze","")))</f>
        <v>#VALUE!</v>
      </c>
    </row>
    <row r="323" spans="9:16" x14ac:dyDescent="0.25">
      <c r="I323" s="285">
        <f>Elite!C8</f>
        <v>0</v>
      </c>
      <c r="J323" s="286" t="str">
        <f>Elite!D8</f>
        <v/>
      </c>
      <c r="K323" s="287" t="str">
        <f t="shared" si="11"/>
        <v/>
      </c>
      <c r="L323" s="285" t="str">
        <f>IF(AND(Elite!AP8=1,Elite!AL8=0),"Elite","")</f>
        <v/>
      </c>
      <c r="N323" t="str">
        <f>Elite!AC8</f>
        <v/>
      </c>
      <c r="O323" t="e">
        <f>IF(Table3[[#This Row],[First Title]]="Started", (Table3[[#This Row],[Score]]+0)*2,Table3[[#This Row],[Score]]+0)</f>
        <v>#VALUE!</v>
      </c>
      <c r="P323" s="2" t="e">
        <f>IF(Table3[[#This Row],[Helper]]&gt;191,"Gold",IF(Table3[[#This Row],[Helper]]&gt;171,"Silver",IF(Table3[[#This Row],[Helper]]&gt;141,"Bronze","")))</f>
        <v>#VALUE!</v>
      </c>
    </row>
    <row r="324" spans="9:16" x14ac:dyDescent="0.25">
      <c r="I324" s="285">
        <f>Elite!C9</f>
        <v>0</v>
      </c>
      <c r="J324" s="286" t="str">
        <f>Elite!D9</f>
        <v/>
      </c>
      <c r="K324" s="287" t="str">
        <f t="shared" si="11"/>
        <v/>
      </c>
      <c r="L324" s="285" t="str">
        <f>IF(AND(Elite!AP9=1,Elite!AL9=0),"Elite","")</f>
        <v/>
      </c>
      <c r="N324" t="str">
        <f>Elite!AC9</f>
        <v/>
      </c>
      <c r="O324" t="e">
        <f>IF(Table3[[#This Row],[First Title]]="Started", (Table3[[#This Row],[Score]]+0)*2,Table3[[#This Row],[Score]]+0)</f>
        <v>#VALUE!</v>
      </c>
      <c r="P324" s="2" t="e">
        <f>IF(Table3[[#This Row],[Helper]]&gt;191,"Gold",IF(Table3[[#This Row],[Helper]]&gt;171,"Silver",IF(Table3[[#This Row],[Helper]]&gt;141,"Bronze","")))</f>
        <v>#VALUE!</v>
      </c>
    </row>
    <row r="325" spans="9:16" x14ac:dyDescent="0.25">
      <c r="I325" s="285">
        <f>Elite!C10</f>
        <v>0</v>
      </c>
      <c r="J325" s="286" t="str">
        <f>Elite!D10</f>
        <v/>
      </c>
      <c r="K325" s="287" t="str">
        <f t="shared" si="11"/>
        <v/>
      </c>
      <c r="L325" s="285" t="str">
        <f>IF(AND(Elite!AP10=1,Elite!AL10=0),"Elite","")</f>
        <v/>
      </c>
      <c r="N325" t="str">
        <f>Elite!AC10</f>
        <v/>
      </c>
      <c r="O325" t="e">
        <f>IF(Table3[[#This Row],[First Title]]="Started", (Table3[[#This Row],[Score]]+0)*2,Table3[[#This Row],[Score]]+0)</f>
        <v>#VALUE!</v>
      </c>
      <c r="P325" s="2" t="e">
        <f>IF(Table3[[#This Row],[Helper]]&gt;191,"Gold",IF(Table3[[#This Row],[Helper]]&gt;171,"Silver",IF(Table3[[#This Row],[Helper]]&gt;141,"Bronze","")))</f>
        <v>#VALUE!</v>
      </c>
    </row>
    <row r="326" spans="9:16" x14ac:dyDescent="0.25">
      <c r="I326" s="285">
        <f>Elite!C11</f>
        <v>0</v>
      </c>
      <c r="J326" s="286" t="str">
        <f>Elite!D11</f>
        <v/>
      </c>
      <c r="K326" s="287" t="str">
        <f t="shared" si="11"/>
        <v/>
      </c>
      <c r="L326" s="285" t="str">
        <f>IF(AND(Elite!AP11=1,Elite!AL11=0),"Elite","")</f>
        <v/>
      </c>
      <c r="N326" t="str">
        <f>Elite!AC11</f>
        <v/>
      </c>
      <c r="O326" t="e">
        <f>IF(Table3[[#This Row],[First Title]]="Started", (Table3[[#This Row],[Score]]+0)*2,Table3[[#This Row],[Score]]+0)</f>
        <v>#VALUE!</v>
      </c>
      <c r="P326" s="2" t="e">
        <f>IF(Table3[[#This Row],[Helper]]&gt;191,"Gold",IF(Table3[[#This Row],[Helper]]&gt;171,"Silver",IF(Table3[[#This Row],[Helper]]&gt;141,"Bronze","")))</f>
        <v>#VALUE!</v>
      </c>
    </row>
    <row r="327" spans="9:16" x14ac:dyDescent="0.25">
      <c r="I327" s="285">
        <f>Elite!C12</f>
        <v>0</v>
      </c>
      <c r="J327" s="286" t="str">
        <f>Elite!D12</f>
        <v/>
      </c>
      <c r="K327" s="287" t="str">
        <f t="shared" si="11"/>
        <v/>
      </c>
      <c r="L327" s="285" t="str">
        <f>IF(AND(Elite!AP12=1,Elite!AL12=0),"Elite","")</f>
        <v/>
      </c>
      <c r="N327" t="str">
        <f>Elite!AC12</f>
        <v/>
      </c>
      <c r="O327" t="e">
        <f>IF(Table3[[#This Row],[First Title]]="Started", (Table3[[#This Row],[Score]]+0)*2,Table3[[#This Row],[Score]]+0)</f>
        <v>#VALUE!</v>
      </c>
      <c r="P327" s="2" t="e">
        <f>IF(Table3[[#This Row],[Helper]]&gt;191,"Gold",IF(Table3[[#This Row],[Helper]]&gt;171,"Silver",IF(Table3[[#This Row],[Helper]]&gt;141,"Bronze","")))</f>
        <v>#VALUE!</v>
      </c>
    </row>
    <row r="328" spans="9:16" x14ac:dyDescent="0.25">
      <c r="I328" s="285">
        <f>Elite!C13</f>
        <v>0</v>
      </c>
      <c r="J328" s="286" t="str">
        <f>Elite!D13</f>
        <v/>
      </c>
      <c r="K328" s="287" t="str">
        <f t="shared" si="11"/>
        <v/>
      </c>
      <c r="L328" s="285" t="str">
        <f>IF(AND(Elite!AP13=1,Elite!AL13=0),"Elite","")</f>
        <v/>
      </c>
      <c r="N328" t="str">
        <f>Elite!AC13</f>
        <v/>
      </c>
      <c r="O328" t="e">
        <f>IF(Table3[[#This Row],[First Title]]="Started", (Table3[[#This Row],[Score]]+0)*2,Table3[[#This Row],[Score]]+0)</f>
        <v>#VALUE!</v>
      </c>
      <c r="P328" s="2" t="e">
        <f>IF(Table3[[#This Row],[Helper]]&gt;191,"Gold",IF(Table3[[#This Row],[Helper]]&gt;171,"Silver",IF(Table3[[#This Row],[Helper]]&gt;141,"Bronze","")))</f>
        <v>#VALUE!</v>
      </c>
    </row>
    <row r="329" spans="9:16" x14ac:dyDescent="0.25">
      <c r="I329" s="285">
        <f>Elite!C14</f>
        <v>0</v>
      </c>
      <c r="J329" s="286" t="str">
        <f>Elite!D14</f>
        <v/>
      </c>
      <c r="K329" s="287" t="str">
        <f t="shared" si="11"/>
        <v/>
      </c>
      <c r="L329" s="285" t="str">
        <f>IF(AND(Elite!AP14=1,Elite!AL14=0),"Elite","")</f>
        <v/>
      </c>
      <c r="N329" t="str">
        <f>Elite!AC14</f>
        <v/>
      </c>
      <c r="O329" t="e">
        <f>IF(Table3[[#This Row],[First Title]]="Started", (Table3[[#This Row],[Score]]+0)*2,Table3[[#This Row],[Score]]+0)</f>
        <v>#VALUE!</v>
      </c>
      <c r="P329" s="2" t="e">
        <f>IF(Table3[[#This Row],[Helper]]&gt;191,"Gold",IF(Table3[[#This Row],[Helper]]&gt;171,"Silver",IF(Table3[[#This Row],[Helper]]&gt;141,"Bronze","")))</f>
        <v>#VALUE!</v>
      </c>
    </row>
    <row r="330" spans="9:16" x14ac:dyDescent="0.25">
      <c r="I330" s="285">
        <f>Elite!C15</f>
        <v>0</v>
      </c>
      <c r="J330" s="286" t="str">
        <f>Elite!D15</f>
        <v/>
      </c>
      <c r="K330" s="287" t="str">
        <f t="shared" si="11"/>
        <v/>
      </c>
      <c r="L330" s="285" t="str">
        <f>IF(AND(Elite!AP15=1,Elite!AL15=0),"Elite","")</f>
        <v/>
      </c>
      <c r="N330" t="str">
        <f>Elite!AC15</f>
        <v/>
      </c>
      <c r="O330" t="e">
        <f>IF(Table3[[#This Row],[First Title]]="Started", (Table3[[#This Row],[Score]]+0)*2,Table3[[#This Row],[Score]]+0)</f>
        <v>#VALUE!</v>
      </c>
      <c r="P330" s="2" t="e">
        <f>IF(Table3[[#This Row],[Helper]]&gt;191,"Gold",IF(Table3[[#This Row],[Helper]]&gt;171,"Silver",IF(Table3[[#This Row],[Helper]]&gt;141,"Bronze","")))</f>
        <v>#VALUE!</v>
      </c>
    </row>
    <row r="331" spans="9:16" x14ac:dyDescent="0.25">
      <c r="I331" s="285">
        <f>Elite!C16</f>
        <v>0</v>
      </c>
      <c r="J331" s="286" t="str">
        <f>Elite!D16</f>
        <v/>
      </c>
      <c r="K331" s="287" t="str">
        <f t="shared" si="11"/>
        <v/>
      </c>
      <c r="L331" s="285" t="str">
        <f>IF(AND(Elite!AP16=1,Elite!AL16=0),"Elite","")</f>
        <v/>
      </c>
      <c r="N331" t="str">
        <f>Elite!AC16</f>
        <v/>
      </c>
      <c r="O331" t="e">
        <f>IF(Table3[[#This Row],[First Title]]="Started", (Table3[[#This Row],[Score]]+0)*2,Table3[[#This Row],[Score]]+0)</f>
        <v>#VALUE!</v>
      </c>
      <c r="P331" s="2" t="e">
        <f>IF(Table3[[#This Row],[Helper]]&gt;191,"Gold",IF(Table3[[#This Row],[Helper]]&gt;171,"Silver",IF(Table3[[#This Row],[Helper]]&gt;141,"Bronze","")))</f>
        <v>#VALUE!</v>
      </c>
    </row>
    <row r="332" spans="9:16" x14ac:dyDescent="0.25">
      <c r="I332" s="285">
        <f>Elite!C17</f>
        <v>0</v>
      </c>
      <c r="J332" s="286" t="str">
        <f>Elite!D17</f>
        <v/>
      </c>
      <c r="K332" s="287" t="str">
        <f t="shared" si="11"/>
        <v/>
      </c>
      <c r="L332" s="285" t="str">
        <f>IF(AND(Elite!AP17=1,Elite!AL17=0),"Elite","")</f>
        <v/>
      </c>
      <c r="N332" t="str">
        <f>Elite!AC17</f>
        <v/>
      </c>
      <c r="O332" t="e">
        <f>IF(Table3[[#This Row],[First Title]]="Started", (Table3[[#This Row],[Score]]+0)*2,Table3[[#This Row],[Score]]+0)</f>
        <v>#VALUE!</v>
      </c>
      <c r="P332" s="2" t="e">
        <f>IF(Table3[[#This Row],[Helper]]&gt;191,"Gold",IF(Table3[[#This Row],[Helper]]&gt;171,"Silver",IF(Table3[[#This Row],[Helper]]&gt;141,"Bronze","")))</f>
        <v>#VALUE!</v>
      </c>
    </row>
    <row r="333" spans="9:16" x14ac:dyDescent="0.25">
      <c r="I333" s="285">
        <f>Elite!C18</f>
        <v>0</v>
      </c>
      <c r="J333" s="286" t="str">
        <f>Elite!D18</f>
        <v/>
      </c>
      <c r="K333" s="287" t="str">
        <f t="shared" si="11"/>
        <v/>
      </c>
      <c r="L333" s="285" t="str">
        <f>IF(AND(Elite!AP18=1,Elite!AL18=0),"Elite","")</f>
        <v/>
      </c>
      <c r="N333" t="str">
        <f>Elite!AC18</f>
        <v/>
      </c>
      <c r="O333" t="e">
        <f>IF(Table3[[#This Row],[First Title]]="Started", (Table3[[#This Row],[Score]]+0)*2,Table3[[#This Row],[Score]]+0)</f>
        <v>#VALUE!</v>
      </c>
      <c r="P333" s="2" t="e">
        <f>IF(Table3[[#This Row],[Helper]]&gt;191,"Gold",IF(Table3[[#This Row],[Helper]]&gt;171,"Silver",IF(Table3[[#This Row],[Helper]]&gt;141,"Bronze","")))</f>
        <v>#VALUE!</v>
      </c>
    </row>
    <row r="334" spans="9:16" x14ac:dyDescent="0.25">
      <c r="I334" s="285">
        <f>Elite!C19</f>
        <v>0</v>
      </c>
      <c r="J334" s="286" t="str">
        <f>Elite!D19</f>
        <v/>
      </c>
      <c r="K334" s="287" t="str">
        <f t="shared" si="11"/>
        <v/>
      </c>
      <c r="L334" s="285" t="str">
        <f>IF(AND(Elite!AP19=1,Elite!AL19=0),"Elite","")</f>
        <v/>
      </c>
      <c r="N334" t="str">
        <f>Elite!AC19</f>
        <v/>
      </c>
      <c r="O334" t="e">
        <f>IF(Table3[[#This Row],[First Title]]="Started", (Table3[[#This Row],[Score]]+0)*2,Table3[[#This Row],[Score]]+0)</f>
        <v>#VALUE!</v>
      </c>
      <c r="P334" s="2" t="e">
        <f>IF(Table3[[#This Row],[Helper]]&gt;191,"Gold",IF(Table3[[#This Row],[Helper]]&gt;171,"Silver",IF(Table3[[#This Row],[Helper]]&gt;141,"Bronze","")))</f>
        <v>#VALUE!</v>
      </c>
    </row>
    <row r="335" spans="9:16" x14ac:dyDescent="0.25">
      <c r="I335" s="285">
        <f>Elite!C20</f>
        <v>0</v>
      </c>
      <c r="J335" s="286" t="str">
        <f>Elite!D20</f>
        <v/>
      </c>
      <c r="K335" s="287" t="str">
        <f t="shared" si="11"/>
        <v/>
      </c>
      <c r="L335" s="285" t="str">
        <f>IF(AND(Elite!AP20=1,Elite!AL20=0),"Elite","")</f>
        <v/>
      </c>
      <c r="N335" t="str">
        <f>Elite!AC20</f>
        <v/>
      </c>
      <c r="O335" t="e">
        <f>IF(Table3[[#This Row],[First Title]]="Started", (Table3[[#This Row],[Score]]+0)*2,Table3[[#This Row],[Score]]+0)</f>
        <v>#VALUE!</v>
      </c>
      <c r="P335" s="2" t="e">
        <f>IF(Table3[[#This Row],[Helper]]&gt;191,"Gold",IF(Table3[[#This Row],[Helper]]&gt;171,"Silver",IF(Table3[[#This Row],[Helper]]&gt;141,"Bronze","")))</f>
        <v>#VALUE!</v>
      </c>
    </row>
    <row r="336" spans="9:16" x14ac:dyDescent="0.25">
      <c r="I336" s="285">
        <f>Elite!C21</f>
        <v>0</v>
      </c>
      <c r="J336" s="286" t="str">
        <f>Elite!D21</f>
        <v/>
      </c>
      <c r="K336" s="287" t="str">
        <f t="shared" si="11"/>
        <v/>
      </c>
      <c r="L336" s="285" t="str">
        <f>IF(AND(Elite!AP21=1,Elite!AL21=0),"Elite","")</f>
        <v/>
      </c>
      <c r="N336" t="str">
        <f>Elite!AC21</f>
        <v/>
      </c>
      <c r="O336" t="e">
        <f>IF(Table3[[#This Row],[First Title]]="Started", (Table3[[#This Row],[Score]]+0)*2,Table3[[#This Row],[Score]]+0)</f>
        <v>#VALUE!</v>
      </c>
      <c r="P336" s="2" t="e">
        <f>IF(Table3[[#This Row],[Helper]]&gt;191,"Gold",IF(Table3[[#This Row],[Helper]]&gt;171,"Silver",IF(Table3[[#This Row],[Helper]]&gt;141,"Bronze","")))</f>
        <v>#VALUE!</v>
      </c>
    </row>
    <row r="337" spans="9:16" x14ac:dyDescent="0.25">
      <c r="I337" s="285">
        <f>Elite!C22</f>
        <v>0</v>
      </c>
      <c r="J337" s="286" t="str">
        <f>Elite!D22</f>
        <v/>
      </c>
      <c r="K337" s="287" t="str">
        <f t="shared" si="11"/>
        <v/>
      </c>
      <c r="L337" s="285" t="str">
        <f>IF(AND(Elite!AP22=1,Elite!AL22=0),"Elite","")</f>
        <v/>
      </c>
      <c r="N337" t="str">
        <f>Elite!AC22</f>
        <v/>
      </c>
      <c r="O337" t="e">
        <f>IF(Table3[[#This Row],[First Title]]="Started", (Table3[[#This Row],[Score]]+0)*2,Table3[[#This Row],[Score]]+0)</f>
        <v>#VALUE!</v>
      </c>
      <c r="P337" s="2" t="e">
        <f>IF(Table3[[#This Row],[Helper]]&gt;191,"Gold",IF(Table3[[#This Row],[Helper]]&gt;171,"Silver",IF(Table3[[#This Row],[Helper]]&gt;141,"Bronze","")))</f>
        <v>#VALUE!</v>
      </c>
    </row>
    <row r="338" spans="9:16" x14ac:dyDescent="0.25">
      <c r="I338" s="285">
        <f>Elite!C23</f>
        <v>0</v>
      </c>
      <c r="J338" s="286" t="str">
        <f>Elite!D23</f>
        <v/>
      </c>
      <c r="K338" s="287" t="str">
        <f t="shared" si="11"/>
        <v/>
      </c>
      <c r="L338" s="285" t="str">
        <f>IF(AND(Elite!AP23=1,Elite!AL23=0),"Elite","")</f>
        <v/>
      </c>
      <c r="N338" t="str">
        <f>Elite!AC23</f>
        <v/>
      </c>
      <c r="O338" t="e">
        <f>IF(Table3[[#This Row],[First Title]]="Started", (Table3[[#This Row],[Score]]+0)*2,Table3[[#This Row],[Score]]+0)</f>
        <v>#VALUE!</v>
      </c>
      <c r="P338" s="2" t="e">
        <f>IF(Table3[[#This Row],[Helper]]&gt;191,"Gold",IF(Table3[[#This Row],[Helper]]&gt;171,"Silver",IF(Table3[[#This Row],[Helper]]&gt;141,"Bronze","")))</f>
        <v>#VALUE!</v>
      </c>
    </row>
    <row r="339" spans="9:16" x14ac:dyDescent="0.25">
      <c r="I339" s="285">
        <f>Elite!C24</f>
        <v>0</v>
      </c>
      <c r="J339" s="286" t="str">
        <f>Elite!D24</f>
        <v/>
      </c>
      <c r="K339" s="287" t="str">
        <f t="shared" si="11"/>
        <v/>
      </c>
      <c r="L339" s="285" t="str">
        <f>IF(AND(Elite!AP24=1,Elite!AL24=0),"Elite","")</f>
        <v/>
      </c>
      <c r="N339" t="str">
        <f>Elite!AC24</f>
        <v/>
      </c>
      <c r="O339" t="e">
        <f>IF(Table3[[#This Row],[First Title]]="Started", (Table3[[#This Row],[Score]]+0)*2,Table3[[#This Row],[Score]]+0)</f>
        <v>#VALUE!</v>
      </c>
      <c r="P339" s="2" t="e">
        <f>IF(Table3[[#This Row],[Helper]]&gt;191,"Gold",IF(Table3[[#This Row],[Helper]]&gt;171,"Silver",IF(Table3[[#This Row],[Helper]]&gt;141,"Bronze","")))</f>
        <v>#VALUE!</v>
      </c>
    </row>
    <row r="340" spans="9:16" x14ac:dyDescent="0.25">
      <c r="I340" s="285">
        <f>Elite!C25</f>
        <v>0</v>
      </c>
      <c r="J340" s="286" t="str">
        <f>Elite!D25</f>
        <v/>
      </c>
      <c r="K340" s="287" t="str">
        <f t="shared" si="11"/>
        <v/>
      </c>
      <c r="L340" s="285" t="str">
        <f>IF(AND(Elite!AP25=1,Elite!AL25=0),"Elite","")</f>
        <v/>
      </c>
      <c r="N340" t="str">
        <f>Elite!AC25</f>
        <v/>
      </c>
      <c r="O340" t="e">
        <f>IF(Table3[[#This Row],[First Title]]="Started", (Table3[[#This Row],[Score]]+0)*2,Table3[[#This Row],[Score]]+0)</f>
        <v>#VALUE!</v>
      </c>
      <c r="P340" s="2" t="e">
        <f>IF(Table3[[#This Row],[Helper]]&gt;191,"Gold",IF(Table3[[#This Row],[Helper]]&gt;171,"Silver",IF(Table3[[#This Row],[Helper]]&gt;141,"Bronze","")))</f>
        <v>#VALUE!</v>
      </c>
    </row>
    <row r="341" spans="9:16" x14ac:dyDescent="0.25">
      <c r="I341" s="285">
        <f>Elite!C26</f>
        <v>0</v>
      </c>
      <c r="J341" s="286" t="str">
        <f>Elite!D26</f>
        <v/>
      </c>
      <c r="K341" s="287" t="str">
        <f t="shared" si="11"/>
        <v/>
      </c>
      <c r="L341" s="285" t="str">
        <f>IF(AND(Elite!AP26=1,Elite!AL26=0),"Elite","")</f>
        <v/>
      </c>
      <c r="N341" t="str">
        <f>Elite!AC26</f>
        <v/>
      </c>
      <c r="O341" t="e">
        <f>IF(Table3[[#This Row],[First Title]]="Started", (Table3[[#This Row],[Score]]+0)*2,Table3[[#This Row],[Score]]+0)</f>
        <v>#VALUE!</v>
      </c>
      <c r="P341" s="2" t="e">
        <f>IF(Table3[[#This Row],[Helper]]&gt;191,"Gold",IF(Table3[[#This Row],[Helper]]&gt;171,"Silver",IF(Table3[[#This Row],[Helper]]&gt;141,"Bronze","")))</f>
        <v>#VALUE!</v>
      </c>
    </row>
    <row r="342" spans="9:16" x14ac:dyDescent="0.25">
      <c r="I342" s="285">
        <f>Elite!C27</f>
        <v>0</v>
      </c>
      <c r="J342" s="286" t="str">
        <f>Elite!D27</f>
        <v/>
      </c>
      <c r="K342" s="287" t="str">
        <f t="shared" si="11"/>
        <v/>
      </c>
      <c r="L342" s="285" t="str">
        <f>IF(AND(Elite!AP27=1,Elite!AL27=0),"Elite","")</f>
        <v/>
      </c>
      <c r="N342" t="str">
        <f>Elite!AC27</f>
        <v/>
      </c>
      <c r="O342" t="e">
        <f>IF(Table3[[#This Row],[First Title]]="Started", (Table3[[#This Row],[Score]]+0)*2,Table3[[#This Row],[Score]]+0)</f>
        <v>#VALUE!</v>
      </c>
      <c r="P342" s="2" t="e">
        <f>IF(Table3[[#This Row],[Helper]]&gt;191,"Gold",IF(Table3[[#This Row],[Helper]]&gt;171,"Silver",IF(Table3[[#This Row],[Helper]]&gt;141,"Bronze","")))</f>
        <v>#VALUE!</v>
      </c>
    </row>
    <row r="343" spans="9:16" x14ac:dyDescent="0.25">
      <c r="I343" s="285">
        <f>Elite!C28</f>
        <v>0</v>
      </c>
      <c r="J343" s="286" t="str">
        <f>Elite!D28</f>
        <v/>
      </c>
      <c r="K343" s="287" t="str">
        <f t="shared" si="11"/>
        <v/>
      </c>
      <c r="L343" s="285" t="str">
        <f>IF(AND(Elite!AP28=1,Elite!AL28=0),"Elite","")</f>
        <v/>
      </c>
      <c r="N343" t="str">
        <f>Elite!AC28</f>
        <v/>
      </c>
      <c r="O343" t="e">
        <f>IF(Table3[[#This Row],[First Title]]="Started", (Table3[[#This Row],[Score]]+0)*2,Table3[[#This Row],[Score]]+0)</f>
        <v>#VALUE!</v>
      </c>
      <c r="P343" s="2" t="e">
        <f>IF(Table3[[#This Row],[Helper]]&gt;191,"Gold",IF(Table3[[#This Row],[Helper]]&gt;171,"Silver",IF(Table3[[#This Row],[Helper]]&gt;141,"Bronze","")))</f>
        <v>#VALUE!</v>
      </c>
    </row>
    <row r="344" spans="9:16" x14ac:dyDescent="0.25">
      <c r="I344" s="285">
        <f>Elite!C29</f>
        <v>0</v>
      </c>
      <c r="J344" s="286" t="str">
        <f>Elite!D29</f>
        <v/>
      </c>
      <c r="K344" s="287" t="str">
        <f t="shared" si="11"/>
        <v/>
      </c>
      <c r="L344" s="285" t="str">
        <f>IF(AND(Elite!AP29=1,Elite!AL29=0),"Elite","")</f>
        <v/>
      </c>
      <c r="N344" t="str">
        <f>Elite!AC29</f>
        <v/>
      </c>
      <c r="O344" t="e">
        <f>IF(Table3[[#This Row],[First Title]]="Started", (Table3[[#This Row],[Score]]+0)*2,Table3[[#This Row],[Score]]+0)</f>
        <v>#VALUE!</v>
      </c>
      <c r="P344" s="2" t="e">
        <f>IF(Table3[[#This Row],[Helper]]&gt;191,"Gold",IF(Table3[[#This Row],[Helper]]&gt;171,"Silver",IF(Table3[[#This Row],[Helper]]&gt;141,"Bronze","")))</f>
        <v>#VALUE!</v>
      </c>
    </row>
    <row r="345" spans="9:16" x14ac:dyDescent="0.25">
      <c r="I345" s="285">
        <f>Elite!C30</f>
        <v>0</v>
      </c>
      <c r="J345" s="286" t="str">
        <f>Elite!D30</f>
        <v/>
      </c>
      <c r="K345" s="287" t="str">
        <f t="shared" si="11"/>
        <v/>
      </c>
      <c r="L345" s="285" t="str">
        <f>IF(AND(Elite!AP30=1,Elite!AL30=0),"Elite","")</f>
        <v/>
      </c>
      <c r="N345" t="str">
        <f>Elite!AC30</f>
        <v/>
      </c>
      <c r="O345" t="e">
        <f>IF(Table3[[#This Row],[First Title]]="Started", (Table3[[#This Row],[Score]]+0)*2,Table3[[#This Row],[Score]]+0)</f>
        <v>#VALUE!</v>
      </c>
      <c r="P345" s="2" t="e">
        <f>IF(Table3[[#This Row],[Helper]]&gt;191,"Gold",IF(Table3[[#This Row],[Helper]]&gt;171,"Silver",IF(Table3[[#This Row],[Helper]]&gt;141,"Bronze","")))</f>
        <v>#VALUE!</v>
      </c>
    </row>
    <row r="346" spans="9:16" x14ac:dyDescent="0.25">
      <c r="I346" s="285">
        <f>Elite!C31</f>
        <v>0</v>
      </c>
      <c r="J346" s="286" t="str">
        <f>Elite!D31</f>
        <v/>
      </c>
      <c r="K346" s="287" t="str">
        <f t="shared" si="11"/>
        <v/>
      </c>
      <c r="L346" s="285" t="str">
        <f>IF(AND(Elite!AP31=1,Elite!AL31=0),"Elite","")</f>
        <v/>
      </c>
      <c r="N346" t="str">
        <f>Elite!AC31</f>
        <v/>
      </c>
      <c r="O346" t="e">
        <f>IF(Table3[[#This Row],[First Title]]="Started", (Table3[[#This Row],[Score]]+0)*2,Table3[[#This Row],[Score]]+0)</f>
        <v>#VALUE!</v>
      </c>
      <c r="P346" s="2" t="e">
        <f>IF(Table3[[#This Row],[Helper]]&gt;191,"Gold",IF(Table3[[#This Row],[Helper]]&gt;171,"Silver",IF(Table3[[#This Row],[Helper]]&gt;141,"Bronze","")))</f>
        <v>#VALUE!</v>
      </c>
    </row>
    <row r="347" spans="9:16" x14ac:dyDescent="0.25">
      <c r="I347" s="285">
        <f>Elite!C32</f>
        <v>0</v>
      </c>
      <c r="J347" s="286" t="str">
        <f>Elite!D32</f>
        <v/>
      </c>
      <c r="K347" s="287" t="str">
        <f t="shared" si="11"/>
        <v/>
      </c>
      <c r="L347" s="285" t="str">
        <f>IF(AND(Elite!AP32=1,Elite!AL32=0),"Elite","")</f>
        <v/>
      </c>
      <c r="N347" t="str">
        <f>Elite!AC32</f>
        <v/>
      </c>
      <c r="O347" t="e">
        <f>IF(Table3[[#This Row],[First Title]]="Started", (Table3[[#This Row],[Score]]+0)*2,Table3[[#This Row],[Score]]+0)</f>
        <v>#VALUE!</v>
      </c>
      <c r="P347" s="2" t="e">
        <f>IF(Table3[[#This Row],[Helper]]&gt;191,"Gold",IF(Table3[[#This Row],[Helper]]&gt;171,"Silver",IF(Table3[[#This Row],[Helper]]&gt;141,"Bronze","")))</f>
        <v>#VALUE!</v>
      </c>
    </row>
    <row r="348" spans="9:16" x14ac:dyDescent="0.25">
      <c r="I348" s="285">
        <f>Elite!C33</f>
        <v>0</v>
      </c>
      <c r="J348" s="286" t="str">
        <f>Elite!D33</f>
        <v/>
      </c>
      <c r="K348" s="287" t="str">
        <f t="shared" si="11"/>
        <v/>
      </c>
      <c r="L348" s="285" t="str">
        <f>IF(AND(Elite!AP33=1,Elite!AL33=0),"Elite","")</f>
        <v/>
      </c>
      <c r="N348" t="str">
        <f>Elite!AC33</f>
        <v/>
      </c>
      <c r="O348" t="e">
        <f>IF(Table3[[#This Row],[First Title]]="Started", (Table3[[#This Row],[Score]]+0)*2,Table3[[#This Row],[Score]]+0)</f>
        <v>#VALUE!</v>
      </c>
      <c r="P348" s="2" t="e">
        <f>IF(Table3[[#This Row],[Helper]]&gt;191,"Gold",IF(Table3[[#This Row],[Helper]]&gt;171,"Silver",IF(Table3[[#This Row],[Helper]]&gt;141,"Bronze","")))</f>
        <v>#VALUE!</v>
      </c>
    </row>
    <row r="349" spans="9:16" x14ac:dyDescent="0.25">
      <c r="I349" s="285">
        <f>Elite!C34</f>
        <v>0</v>
      </c>
      <c r="J349" s="286" t="str">
        <f>Elite!D34</f>
        <v/>
      </c>
      <c r="K349" s="287" t="str">
        <f t="shared" si="11"/>
        <v/>
      </c>
      <c r="L349" s="285" t="str">
        <f>IF(AND(Elite!AP34=1,Elite!AL34=0),"Elite","")</f>
        <v/>
      </c>
      <c r="N349" t="str">
        <f>Elite!AC34</f>
        <v/>
      </c>
      <c r="O349" t="e">
        <f>IF(Table3[[#This Row],[First Title]]="Started", (Table3[[#This Row],[Score]]+0)*2,Table3[[#This Row],[Score]]+0)</f>
        <v>#VALUE!</v>
      </c>
      <c r="P349" s="2" t="e">
        <f>IF(Table3[[#This Row],[Helper]]&gt;191,"Gold",IF(Table3[[#This Row],[Helper]]&gt;171,"Silver",IF(Table3[[#This Row],[Helper]]&gt;141,"Bronze","")))</f>
        <v>#VALUE!</v>
      </c>
    </row>
    <row r="350" spans="9:16" x14ac:dyDescent="0.25">
      <c r="I350" s="285">
        <f>Elite!C45</f>
        <v>0</v>
      </c>
      <c r="J350" s="286" t="str">
        <f>Elite!D45</f>
        <v/>
      </c>
      <c r="K350" s="287" t="str">
        <f t="shared" ref="K350:K379" si="12">TrialDateDay2</f>
        <v/>
      </c>
      <c r="L350" s="285" t="str">
        <f>IF(AND(Elite!AP45=1,Elite!AL45=0),"Elite","")</f>
        <v/>
      </c>
      <c r="N350" t="str">
        <f>Elite!AC45</f>
        <v/>
      </c>
      <c r="O350" t="e">
        <f>IF(Table3[[#This Row],[First Title]]="Started", (Table3[[#This Row],[Score]]+0)*2,Table3[[#This Row],[Score]]+0)</f>
        <v>#VALUE!</v>
      </c>
      <c r="P350" s="2" t="e">
        <f>IF(Table3[[#This Row],[Helper]]&gt;191,"Gold",IF(Table3[[#This Row],[Helper]]&gt;171,"Silver",IF(Table3[[#This Row],[Helper]]&gt;141,"Bronze","")))</f>
        <v>#VALUE!</v>
      </c>
    </row>
    <row r="351" spans="9:16" x14ac:dyDescent="0.25">
      <c r="I351" s="285">
        <f>Elite!C46</f>
        <v>0</v>
      </c>
      <c r="J351" s="286" t="str">
        <f>Elite!D46</f>
        <v/>
      </c>
      <c r="K351" s="287" t="str">
        <f t="shared" si="12"/>
        <v/>
      </c>
      <c r="L351" s="285" t="str">
        <f>IF(AND(Elite!AP46=1,Elite!AL46=0),"Elite","")</f>
        <v/>
      </c>
      <c r="N351" t="str">
        <f>Elite!AC46</f>
        <v/>
      </c>
      <c r="O351" t="e">
        <f>IF(Table3[[#This Row],[First Title]]="Started", (Table3[[#This Row],[Score]]+0)*2,Table3[[#This Row],[Score]]+0)</f>
        <v>#VALUE!</v>
      </c>
      <c r="P351" s="2" t="e">
        <f>IF(Table3[[#This Row],[Helper]]&gt;191,"Gold",IF(Table3[[#This Row],[Helper]]&gt;171,"Silver",IF(Table3[[#This Row],[Helper]]&gt;141,"Bronze","")))</f>
        <v>#VALUE!</v>
      </c>
    </row>
    <row r="352" spans="9:16" x14ac:dyDescent="0.25">
      <c r="I352" s="285">
        <f>Elite!C47</f>
        <v>0</v>
      </c>
      <c r="J352" s="286" t="str">
        <f>Elite!D47</f>
        <v/>
      </c>
      <c r="K352" s="287" t="str">
        <f t="shared" si="12"/>
        <v/>
      </c>
      <c r="L352" s="285" t="str">
        <f>IF(AND(Elite!AP47=1,Elite!AL47=0),"Elite","")</f>
        <v/>
      </c>
      <c r="N352" t="str">
        <f>Elite!AC47</f>
        <v/>
      </c>
      <c r="O352" t="e">
        <f>IF(Table3[[#This Row],[First Title]]="Started", (Table3[[#This Row],[Score]]+0)*2,Table3[[#This Row],[Score]]+0)</f>
        <v>#VALUE!</v>
      </c>
      <c r="P352" s="2" t="e">
        <f>IF(Table3[[#This Row],[Helper]]&gt;191,"Gold",IF(Table3[[#This Row],[Helper]]&gt;171,"Silver",IF(Table3[[#This Row],[Helper]]&gt;141,"Bronze","")))</f>
        <v>#VALUE!</v>
      </c>
    </row>
    <row r="353" spans="9:16" x14ac:dyDescent="0.25">
      <c r="I353" s="285">
        <f>Elite!C48</f>
        <v>0</v>
      </c>
      <c r="J353" s="286" t="str">
        <f>Elite!D48</f>
        <v/>
      </c>
      <c r="K353" s="287" t="str">
        <f t="shared" si="12"/>
        <v/>
      </c>
      <c r="L353" s="285" t="str">
        <f>IF(AND(Elite!AP48=1,Elite!AL48=0),"Elite","")</f>
        <v/>
      </c>
      <c r="N353" t="str">
        <f>Elite!AC48</f>
        <v/>
      </c>
      <c r="O353" t="e">
        <f>IF(Table3[[#This Row],[First Title]]="Started", (Table3[[#This Row],[Score]]+0)*2,Table3[[#This Row],[Score]]+0)</f>
        <v>#VALUE!</v>
      </c>
      <c r="P353" s="2" t="e">
        <f>IF(Table3[[#This Row],[Helper]]&gt;191,"Gold",IF(Table3[[#This Row],[Helper]]&gt;171,"Silver",IF(Table3[[#This Row],[Helper]]&gt;141,"Bronze","")))</f>
        <v>#VALUE!</v>
      </c>
    </row>
    <row r="354" spans="9:16" x14ac:dyDescent="0.25">
      <c r="I354" s="285">
        <f>Elite!C49</f>
        <v>0</v>
      </c>
      <c r="J354" s="286" t="str">
        <f>Elite!D49</f>
        <v/>
      </c>
      <c r="K354" s="287" t="str">
        <f t="shared" si="12"/>
        <v/>
      </c>
      <c r="L354" s="285" t="str">
        <f>IF(AND(Elite!AP49=1,Elite!AL49=0),"Elite","")</f>
        <v/>
      </c>
      <c r="N354" t="str">
        <f>Elite!AC49</f>
        <v/>
      </c>
      <c r="O354" t="e">
        <f>IF(Table3[[#This Row],[First Title]]="Started", (Table3[[#This Row],[Score]]+0)*2,Table3[[#This Row],[Score]]+0)</f>
        <v>#VALUE!</v>
      </c>
      <c r="P354" s="2" t="e">
        <f>IF(Table3[[#This Row],[Helper]]&gt;191,"Gold",IF(Table3[[#This Row],[Helper]]&gt;171,"Silver",IF(Table3[[#This Row],[Helper]]&gt;141,"Bronze","")))</f>
        <v>#VALUE!</v>
      </c>
    </row>
    <row r="355" spans="9:16" x14ac:dyDescent="0.25">
      <c r="I355" s="285">
        <f>Elite!C50</f>
        <v>0</v>
      </c>
      <c r="J355" s="286" t="str">
        <f>Elite!D50</f>
        <v/>
      </c>
      <c r="K355" s="287" t="str">
        <f t="shared" si="12"/>
        <v/>
      </c>
      <c r="L355" s="285" t="str">
        <f>IF(AND(Elite!AP50=1,Elite!AL50=0),"Elite","")</f>
        <v/>
      </c>
      <c r="N355" t="str">
        <f>Elite!AC50</f>
        <v/>
      </c>
      <c r="O355" t="e">
        <f>IF(Table3[[#This Row],[First Title]]="Started", (Table3[[#This Row],[Score]]+0)*2,Table3[[#This Row],[Score]]+0)</f>
        <v>#VALUE!</v>
      </c>
      <c r="P355" s="2" t="e">
        <f>IF(Table3[[#This Row],[Helper]]&gt;191,"Gold",IF(Table3[[#This Row],[Helper]]&gt;171,"Silver",IF(Table3[[#This Row],[Helper]]&gt;141,"Bronze","")))</f>
        <v>#VALUE!</v>
      </c>
    </row>
    <row r="356" spans="9:16" x14ac:dyDescent="0.25">
      <c r="I356" s="285">
        <f>Elite!C51</f>
        <v>0</v>
      </c>
      <c r="J356" s="286" t="str">
        <f>Elite!D51</f>
        <v/>
      </c>
      <c r="K356" s="287" t="str">
        <f t="shared" si="12"/>
        <v/>
      </c>
      <c r="L356" s="285" t="str">
        <f>IF(AND(Elite!AP51=1,Elite!AL51=0),"Elite","")</f>
        <v/>
      </c>
      <c r="N356" t="str">
        <f>Elite!AC51</f>
        <v/>
      </c>
      <c r="O356" t="e">
        <f>IF(Table3[[#This Row],[First Title]]="Started", (Table3[[#This Row],[Score]]+0)*2,Table3[[#This Row],[Score]]+0)</f>
        <v>#VALUE!</v>
      </c>
      <c r="P356" s="2" t="e">
        <f>IF(Table3[[#This Row],[Helper]]&gt;191,"Gold",IF(Table3[[#This Row],[Helper]]&gt;171,"Silver",IF(Table3[[#This Row],[Helper]]&gt;141,"Bronze","")))</f>
        <v>#VALUE!</v>
      </c>
    </row>
    <row r="357" spans="9:16" x14ac:dyDescent="0.25">
      <c r="I357" s="285">
        <f>Elite!C52</f>
        <v>0</v>
      </c>
      <c r="J357" s="286" t="str">
        <f>Elite!D52</f>
        <v/>
      </c>
      <c r="K357" s="287" t="str">
        <f t="shared" si="12"/>
        <v/>
      </c>
      <c r="L357" s="285" t="str">
        <f>IF(AND(Elite!AP52=1,Elite!AL52=0),"Elite","")</f>
        <v/>
      </c>
      <c r="N357" t="str">
        <f>Elite!AC52</f>
        <v/>
      </c>
      <c r="O357" t="e">
        <f>IF(Table3[[#This Row],[First Title]]="Started", (Table3[[#This Row],[Score]]+0)*2,Table3[[#This Row],[Score]]+0)</f>
        <v>#VALUE!</v>
      </c>
      <c r="P357" s="2" t="e">
        <f>IF(Table3[[#This Row],[Helper]]&gt;191,"Gold",IF(Table3[[#This Row],[Helper]]&gt;171,"Silver",IF(Table3[[#This Row],[Helper]]&gt;141,"Bronze","")))</f>
        <v>#VALUE!</v>
      </c>
    </row>
    <row r="358" spans="9:16" x14ac:dyDescent="0.25">
      <c r="I358" s="285">
        <f>Elite!C53</f>
        <v>0</v>
      </c>
      <c r="J358" s="286" t="str">
        <f>Elite!D53</f>
        <v/>
      </c>
      <c r="K358" s="287" t="str">
        <f t="shared" si="12"/>
        <v/>
      </c>
      <c r="L358" s="285" t="str">
        <f>IF(AND(Elite!AP53=1,Elite!AL53=0),"Elite","")</f>
        <v/>
      </c>
      <c r="N358" t="str">
        <f>Elite!AC53</f>
        <v/>
      </c>
      <c r="O358" t="e">
        <f>IF(Table3[[#This Row],[First Title]]="Started", (Table3[[#This Row],[Score]]+0)*2,Table3[[#This Row],[Score]]+0)</f>
        <v>#VALUE!</v>
      </c>
      <c r="P358" s="2" t="e">
        <f>IF(Table3[[#This Row],[Helper]]&gt;191,"Gold",IF(Table3[[#This Row],[Helper]]&gt;171,"Silver",IF(Table3[[#This Row],[Helper]]&gt;141,"Bronze","")))</f>
        <v>#VALUE!</v>
      </c>
    </row>
    <row r="359" spans="9:16" x14ac:dyDescent="0.25">
      <c r="I359" s="285">
        <f>Elite!C54</f>
        <v>0</v>
      </c>
      <c r="J359" s="286" t="str">
        <f>Elite!D54</f>
        <v/>
      </c>
      <c r="K359" s="287" t="str">
        <f t="shared" si="12"/>
        <v/>
      </c>
      <c r="L359" s="285" t="str">
        <f>IF(AND(Elite!AP54=1,Elite!AL54=0),"Elite","")</f>
        <v/>
      </c>
      <c r="N359" t="str">
        <f>Elite!AC54</f>
        <v/>
      </c>
      <c r="O359" t="e">
        <f>IF(Table3[[#This Row],[First Title]]="Started", (Table3[[#This Row],[Score]]+0)*2,Table3[[#This Row],[Score]]+0)</f>
        <v>#VALUE!</v>
      </c>
      <c r="P359" s="2" t="e">
        <f>IF(Table3[[#This Row],[Helper]]&gt;191,"Gold",IF(Table3[[#This Row],[Helper]]&gt;171,"Silver",IF(Table3[[#This Row],[Helper]]&gt;141,"Bronze","")))</f>
        <v>#VALUE!</v>
      </c>
    </row>
    <row r="360" spans="9:16" x14ac:dyDescent="0.25">
      <c r="I360" s="285">
        <f>Elite!C55</f>
        <v>0</v>
      </c>
      <c r="J360" s="286" t="str">
        <f>Elite!D55</f>
        <v/>
      </c>
      <c r="K360" s="287" t="str">
        <f t="shared" si="12"/>
        <v/>
      </c>
      <c r="L360" s="285" t="str">
        <f>IF(AND(Elite!AP55=1,Elite!AL55=0),"Elite","")</f>
        <v/>
      </c>
      <c r="N360" t="str">
        <f>Elite!AC55</f>
        <v/>
      </c>
      <c r="O360" t="e">
        <f>IF(Table3[[#This Row],[First Title]]="Started", (Table3[[#This Row],[Score]]+0)*2,Table3[[#This Row],[Score]]+0)</f>
        <v>#VALUE!</v>
      </c>
      <c r="P360" s="2" t="e">
        <f>IF(Table3[[#This Row],[Helper]]&gt;191,"Gold",IF(Table3[[#This Row],[Helper]]&gt;171,"Silver",IF(Table3[[#This Row],[Helper]]&gt;141,"Bronze","")))</f>
        <v>#VALUE!</v>
      </c>
    </row>
    <row r="361" spans="9:16" x14ac:dyDescent="0.25">
      <c r="I361" s="285">
        <f>Elite!C56</f>
        <v>0</v>
      </c>
      <c r="J361" s="286" t="str">
        <f>Elite!D56</f>
        <v/>
      </c>
      <c r="K361" s="287" t="str">
        <f t="shared" si="12"/>
        <v/>
      </c>
      <c r="L361" s="285" t="str">
        <f>IF(AND(Elite!AP56=1,Elite!AL56=0),"Elite","")</f>
        <v/>
      </c>
      <c r="N361" t="str">
        <f>Elite!AC56</f>
        <v/>
      </c>
      <c r="O361" t="e">
        <f>IF(Table3[[#This Row],[First Title]]="Started", (Table3[[#This Row],[Score]]+0)*2,Table3[[#This Row],[Score]]+0)</f>
        <v>#VALUE!</v>
      </c>
      <c r="P361" s="2" t="e">
        <f>IF(Table3[[#This Row],[Helper]]&gt;191,"Gold",IF(Table3[[#This Row],[Helper]]&gt;171,"Silver",IF(Table3[[#This Row],[Helper]]&gt;141,"Bronze","")))</f>
        <v>#VALUE!</v>
      </c>
    </row>
    <row r="362" spans="9:16" x14ac:dyDescent="0.25">
      <c r="I362" s="285">
        <f>Elite!C57</f>
        <v>0</v>
      </c>
      <c r="J362" s="286" t="str">
        <f>Elite!D57</f>
        <v/>
      </c>
      <c r="K362" s="287" t="str">
        <f t="shared" si="12"/>
        <v/>
      </c>
      <c r="L362" s="285" t="str">
        <f>IF(AND(Elite!AP57=1,Elite!AL57=0),"Elite","")</f>
        <v/>
      </c>
      <c r="N362" t="str">
        <f>Elite!AC57</f>
        <v/>
      </c>
      <c r="O362" t="e">
        <f>IF(Table3[[#This Row],[First Title]]="Started", (Table3[[#This Row],[Score]]+0)*2,Table3[[#This Row],[Score]]+0)</f>
        <v>#VALUE!</v>
      </c>
      <c r="P362" s="2" t="e">
        <f>IF(Table3[[#This Row],[Helper]]&gt;191,"Gold",IF(Table3[[#This Row],[Helper]]&gt;171,"Silver",IF(Table3[[#This Row],[Helper]]&gt;141,"Bronze","")))</f>
        <v>#VALUE!</v>
      </c>
    </row>
    <row r="363" spans="9:16" x14ac:dyDescent="0.25">
      <c r="I363" s="285">
        <f>Elite!C58</f>
        <v>0</v>
      </c>
      <c r="J363" s="286" t="str">
        <f>Elite!D58</f>
        <v/>
      </c>
      <c r="K363" s="287" t="str">
        <f t="shared" si="12"/>
        <v/>
      </c>
      <c r="L363" s="285" t="str">
        <f>IF(AND(Elite!AP58=1,Elite!AL58=0),"Elite","")</f>
        <v/>
      </c>
      <c r="N363" t="str">
        <f>Elite!AC58</f>
        <v/>
      </c>
      <c r="O363" t="e">
        <f>IF(Table3[[#This Row],[First Title]]="Started", (Table3[[#This Row],[Score]]+0)*2,Table3[[#This Row],[Score]]+0)</f>
        <v>#VALUE!</v>
      </c>
      <c r="P363" s="2" t="e">
        <f>IF(Table3[[#This Row],[Helper]]&gt;191,"Gold",IF(Table3[[#This Row],[Helper]]&gt;171,"Silver",IF(Table3[[#This Row],[Helper]]&gt;141,"Bronze","")))</f>
        <v>#VALUE!</v>
      </c>
    </row>
    <row r="364" spans="9:16" x14ac:dyDescent="0.25">
      <c r="I364" s="285">
        <f>Elite!C59</f>
        <v>0</v>
      </c>
      <c r="J364" s="286" t="str">
        <f>Elite!D59</f>
        <v/>
      </c>
      <c r="K364" s="287" t="str">
        <f t="shared" si="12"/>
        <v/>
      </c>
      <c r="L364" s="285" t="str">
        <f>IF(AND(Elite!AP59=1,Elite!AL59=0),"Elite","")</f>
        <v/>
      </c>
      <c r="N364" t="str">
        <f>Elite!AC59</f>
        <v/>
      </c>
      <c r="O364" t="e">
        <f>IF(Table3[[#This Row],[First Title]]="Started", (Table3[[#This Row],[Score]]+0)*2,Table3[[#This Row],[Score]]+0)</f>
        <v>#VALUE!</v>
      </c>
      <c r="P364" s="2" t="e">
        <f>IF(Table3[[#This Row],[Helper]]&gt;191,"Gold",IF(Table3[[#This Row],[Helper]]&gt;171,"Silver",IF(Table3[[#This Row],[Helper]]&gt;141,"Bronze","")))</f>
        <v>#VALUE!</v>
      </c>
    </row>
    <row r="365" spans="9:16" x14ac:dyDescent="0.25">
      <c r="I365" s="285">
        <f>Elite!C60</f>
        <v>0</v>
      </c>
      <c r="J365" s="286" t="str">
        <f>Elite!D60</f>
        <v/>
      </c>
      <c r="K365" s="287" t="str">
        <f t="shared" si="12"/>
        <v/>
      </c>
      <c r="L365" s="285" t="str">
        <f>IF(AND(Elite!AP60=1,Elite!AL60=0),"Elite","")</f>
        <v/>
      </c>
      <c r="N365" t="str">
        <f>Elite!AC60</f>
        <v/>
      </c>
      <c r="O365" t="e">
        <f>IF(Table3[[#This Row],[First Title]]="Started", (Table3[[#This Row],[Score]]+0)*2,Table3[[#This Row],[Score]]+0)</f>
        <v>#VALUE!</v>
      </c>
      <c r="P365" s="2" t="e">
        <f>IF(Table3[[#This Row],[Helper]]&gt;191,"Gold",IF(Table3[[#This Row],[Helper]]&gt;171,"Silver",IF(Table3[[#This Row],[Helper]]&gt;141,"Bronze","")))</f>
        <v>#VALUE!</v>
      </c>
    </row>
    <row r="366" spans="9:16" x14ac:dyDescent="0.25">
      <c r="I366" s="285">
        <f>Elite!C61</f>
        <v>0</v>
      </c>
      <c r="J366" s="286" t="str">
        <f>Elite!D61</f>
        <v/>
      </c>
      <c r="K366" s="287" t="str">
        <f t="shared" si="12"/>
        <v/>
      </c>
      <c r="L366" s="285" t="str">
        <f>IF(AND(Elite!AP61=1,Elite!AL61=0),"Elite","")</f>
        <v/>
      </c>
      <c r="N366" t="str">
        <f>Elite!AC61</f>
        <v/>
      </c>
      <c r="O366" t="e">
        <f>IF(Table3[[#This Row],[First Title]]="Started", (Table3[[#This Row],[Score]]+0)*2,Table3[[#This Row],[Score]]+0)</f>
        <v>#VALUE!</v>
      </c>
      <c r="P366" s="2" t="e">
        <f>IF(Table3[[#This Row],[Helper]]&gt;191,"Gold",IF(Table3[[#This Row],[Helper]]&gt;171,"Silver",IF(Table3[[#This Row],[Helper]]&gt;141,"Bronze","")))</f>
        <v>#VALUE!</v>
      </c>
    </row>
    <row r="367" spans="9:16" x14ac:dyDescent="0.25">
      <c r="I367" s="285">
        <f>Elite!C62</f>
        <v>0</v>
      </c>
      <c r="J367" s="286" t="str">
        <f>Elite!D62</f>
        <v/>
      </c>
      <c r="K367" s="287" t="str">
        <f t="shared" si="12"/>
        <v/>
      </c>
      <c r="L367" s="285" t="str">
        <f>IF(AND(Elite!AP62=1,Elite!AL62=0),"Elite","")</f>
        <v/>
      </c>
      <c r="N367" t="str">
        <f>Elite!AC62</f>
        <v/>
      </c>
      <c r="O367" t="e">
        <f>IF(Table3[[#This Row],[First Title]]="Started", (Table3[[#This Row],[Score]]+0)*2,Table3[[#This Row],[Score]]+0)</f>
        <v>#VALUE!</v>
      </c>
      <c r="P367" s="2" t="e">
        <f>IF(Table3[[#This Row],[Helper]]&gt;191,"Gold",IF(Table3[[#This Row],[Helper]]&gt;171,"Silver",IF(Table3[[#This Row],[Helper]]&gt;141,"Bronze","")))</f>
        <v>#VALUE!</v>
      </c>
    </row>
    <row r="368" spans="9:16" x14ac:dyDescent="0.25">
      <c r="I368" s="285">
        <f>Elite!C63</f>
        <v>0</v>
      </c>
      <c r="J368" s="286" t="str">
        <f>Elite!D63</f>
        <v/>
      </c>
      <c r="K368" s="287" t="str">
        <f t="shared" si="12"/>
        <v/>
      </c>
      <c r="L368" s="285" t="str">
        <f>IF(AND(Elite!AP63=1,Elite!AL63=0),"Elite","")</f>
        <v/>
      </c>
      <c r="N368" t="str">
        <f>Elite!AC63</f>
        <v/>
      </c>
      <c r="O368" t="e">
        <f>IF(Table3[[#This Row],[First Title]]="Started", (Table3[[#This Row],[Score]]+0)*2,Table3[[#This Row],[Score]]+0)</f>
        <v>#VALUE!</v>
      </c>
      <c r="P368" s="2" t="e">
        <f>IF(Table3[[#This Row],[Helper]]&gt;191,"Gold",IF(Table3[[#This Row],[Helper]]&gt;171,"Silver",IF(Table3[[#This Row],[Helper]]&gt;141,"Bronze","")))</f>
        <v>#VALUE!</v>
      </c>
    </row>
    <row r="369" spans="9:16" x14ac:dyDescent="0.25">
      <c r="I369" s="285">
        <f>Elite!C64</f>
        <v>0</v>
      </c>
      <c r="J369" s="286" t="str">
        <f>Elite!D64</f>
        <v/>
      </c>
      <c r="K369" s="287" t="str">
        <f t="shared" si="12"/>
        <v/>
      </c>
      <c r="L369" s="285" t="str">
        <f>IF(AND(Elite!AP64=1,Elite!AL64=0),"Elite","")</f>
        <v/>
      </c>
      <c r="N369" t="str">
        <f>Elite!AC64</f>
        <v/>
      </c>
      <c r="O369" t="e">
        <f>IF(Table3[[#This Row],[First Title]]="Started", (Table3[[#This Row],[Score]]+0)*2,Table3[[#This Row],[Score]]+0)</f>
        <v>#VALUE!</v>
      </c>
      <c r="P369" s="2" t="e">
        <f>IF(Table3[[#This Row],[Helper]]&gt;191,"Gold",IF(Table3[[#This Row],[Helper]]&gt;171,"Silver",IF(Table3[[#This Row],[Helper]]&gt;141,"Bronze","")))</f>
        <v>#VALUE!</v>
      </c>
    </row>
    <row r="370" spans="9:16" x14ac:dyDescent="0.25">
      <c r="I370" s="285">
        <f>Elite!C65</f>
        <v>0</v>
      </c>
      <c r="J370" s="286" t="str">
        <f>Elite!D65</f>
        <v/>
      </c>
      <c r="K370" s="287" t="str">
        <f t="shared" si="12"/>
        <v/>
      </c>
      <c r="L370" s="285" t="str">
        <f>IF(AND(Elite!AP65=1,Elite!AL65=0),"Elite","")</f>
        <v/>
      </c>
      <c r="N370" t="str">
        <f>Elite!AC65</f>
        <v/>
      </c>
      <c r="O370" t="e">
        <f>IF(Table3[[#This Row],[First Title]]="Started", (Table3[[#This Row],[Score]]+0)*2,Table3[[#This Row],[Score]]+0)</f>
        <v>#VALUE!</v>
      </c>
      <c r="P370" s="2" t="e">
        <f>IF(Table3[[#This Row],[Helper]]&gt;191,"Gold",IF(Table3[[#This Row],[Helper]]&gt;171,"Silver",IF(Table3[[#This Row],[Helper]]&gt;141,"Bronze","")))</f>
        <v>#VALUE!</v>
      </c>
    </row>
    <row r="371" spans="9:16" x14ac:dyDescent="0.25">
      <c r="I371" s="285">
        <f>Elite!C66</f>
        <v>0</v>
      </c>
      <c r="J371" s="286" t="str">
        <f>Elite!D66</f>
        <v/>
      </c>
      <c r="K371" s="287" t="str">
        <f t="shared" si="12"/>
        <v/>
      </c>
      <c r="L371" s="285" t="str">
        <f>IF(AND(Elite!AP66=1,Elite!AL66=0),"Elite","")</f>
        <v/>
      </c>
      <c r="N371" t="str">
        <f>Elite!AC66</f>
        <v/>
      </c>
      <c r="O371" t="e">
        <f>IF(Table3[[#This Row],[First Title]]="Started", (Table3[[#This Row],[Score]]+0)*2,Table3[[#This Row],[Score]]+0)</f>
        <v>#VALUE!</v>
      </c>
      <c r="P371" s="2" t="e">
        <f>IF(Table3[[#This Row],[Helper]]&gt;191,"Gold",IF(Table3[[#This Row],[Helper]]&gt;171,"Silver",IF(Table3[[#This Row],[Helper]]&gt;141,"Bronze","")))</f>
        <v>#VALUE!</v>
      </c>
    </row>
    <row r="372" spans="9:16" x14ac:dyDescent="0.25">
      <c r="I372" s="285">
        <f>Elite!C67</f>
        <v>0</v>
      </c>
      <c r="J372" s="286" t="str">
        <f>Elite!D67</f>
        <v/>
      </c>
      <c r="K372" s="287" t="str">
        <f t="shared" si="12"/>
        <v/>
      </c>
      <c r="L372" s="285" t="str">
        <f>IF(AND(Elite!AP67=1,Elite!AL67=0),"Elite","")</f>
        <v/>
      </c>
      <c r="N372" t="str">
        <f>Elite!AC67</f>
        <v/>
      </c>
      <c r="O372" t="e">
        <f>IF(Table3[[#This Row],[First Title]]="Started", (Table3[[#This Row],[Score]]+0)*2,Table3[[#This Row],[Score]]+0)</f>
        <v>#VALUE!</v>
      </c>
      <c r="P372" s="2" t="e">
        <f>IF(Table3[[#This Row],[Helper]]&gt;191,"Gold",IF(Table3[[#This Row],[Helper]]&gt;171,"Silver",IF(Table3[[#This Row],[Helper]]&gt;141,"Bronze","")))</f>
        <v>#VALUE!</v>
      </c>
    </row>
    <row r="373" spans="9:16" x14ac:dyDescent="0.25">
      <c r="I373" s="285">
        <f>Elite!C68</f>
        <v>0</v>
      </c>
      <c r="J373" s="286" t="str">
        <f>Elite!D68</f>
        <v/>
      </c>
      <c r="K373" s="287" t="str">
        <f t="shared" si="12"/>
        <v/>
      </c>
      <c r="L373" s="285" t="str">
        <f>IF(AND(Elite!AP68=1,Elite!AL68=0),"Elite","")</f>
        <v/>
      </c>
      <c r="N373" t="str">
        <f>Elite!AC68</f>
        <v/>
      </c>
      <c r="O373" t="e">
        <f>IF(Table3[[#This Row],[First Title]]="Started", (Table3[[#This Row],[Score]]+0)*2,Table3[[#This Row],[Score]]+0)</f>
        <v>#VALUE!</v>
      </c>
      <c r="P373" s="2" t="e">
        <f>IF(Table3[[#This Row],[Helper]]&gt;191,"Gold",IF(Table3[[#This Row],[Helper]]&gt;171,"Silver",IF(Table3[[#This Row],[Helper]]&gt;141,"Bronze","")))</f>
        <v>#VALUE!</v>
      </c>
    </row>
    <row r="374" spans="9:16" x14ac:dyDescent="0.25">
      <c r="I374" s="285">
        <f>Elite!C69</f>
        <v>0</v>
      </c>
      <c r="J374" s="286" t="str">
        <f>Elite!D69</f>
        <v/>
      </c>
      <c r="K374" s="287" t="str">
        <f t="shared" si="12"/>
        <v/>
      </c>
      <c r="L374" s="285" t="str">
        <f>IF(AND(Elite!AP69=1,Elite!AL69=0),"Elite","")</f>
        <v/>
      </c>
      <c r="N374" t="str">
        <f>Elite!AC69</f>
        <v/>
      </c>
      <c r="O374" t="e">
        <f>IF(Table3[[#This Row],[First Title]]="Started", (Table3[[#This Row],[Score]]+0)*2,Table3[[#This Row],[Score]]+0)</f>
        <v>#VALUE!</v>
      </c>
      <c r="P374" s="2" t="e">
        <f>IF(Table3[[#This Row],[Helper]]&gt;191,"Gold",IF(Table3[[#This Row],[Helper]]&gt;171,"Silver",IF(Table3[[#This Row],[Helper]]&gt;141,"Bronze","")))</f>
        <v>#VALUE!</v>
      </c>
    </row>
    <row r="375" spans="9:16" x14ac:dyDescent="0.25">
      <c r="I375" s="285">
        <f>Elite!C70</f>
        <v>0</v>
      </c>
      <c r="J375" s="286" t="str">
        <f>Elite!D70</f>
        <v/>
      </c>
      <c r="K375" s="287" t="str">
        <f t="shared" si="12"/>
        <v/>
      </c>
      <c r="L375" s="285" t="str">
        <f>IF(AND(Elite!AP70=1,Elite!AL70=0),"Elite","")</f>
        <v/>
      </c>
      <c r="N375" t="str">
        <f>Elite!AC70</f>
        <v/>
      </c>
      <c r="O375" t="e">
        <f>IF(Table3[[#This Row],[First Title]]="Started", (Table3[[#This Row],[Score]]+0)*2,Table3[[#This Row],[Score]]+0)</f>
        <v>#VALUE!</v>
      </c>
      <c r="P375" s="2" t="e">
        <f>IF(Table3[[#This Row],[Helper]]&gt;191,"Gold",IF(Table3[[#This Row],[Helper]]&gt;171,"Silver",IF(Table3[[#This Row],[Helper]]&gt;141,"Bronze","")))</f>
        <v>#VALUE!</v>
      </c>
    </row>
    <row r="376" spans="9:16" x14ac:dyDescent="0.25">
      <c r="I376" s="285">
        <f>Elite!C71</f>
        <v>0</v>
      </c>
      <c r="J376" s="286" t="str">
        <f>Elite!D71</f>
        <v/>
      </c>
      <c r="K376" s="287" t="str">
        <f t="shared" si="12"/>
        <v/>
      </c>
      <c r="L376" s="285" t="str">
        <f>IF(AND(Elite!AP71=1,Elite!AL71=0),"Elite","")</f>
        <v/>
      </c>
      <c r="N376" t="str">
        <f>Elite!AC71</f>
        <v/>
      </c>
      <c r="O376" t="e">
        <f>IF(Table3[[#This Row],[First Title]]="Started", (Table3[[#This Row],[Score]]+0)*2,Table3[[#This Row],[Score]]+0)</f>
        <v>#VALUE!</v>
      </c>
      <c r="P376" s="2" t="e">
        <f>IF(Table3[[#This Row],[Helper]]&gt;191,"Gold",IF(Table3[[#This Row],[Helper]]&gt;171,"Silver",IF(Table3[[#This Row],[Helper]]&gt;141,"Bronze","")))</f>
        <v>#VALUE!</v>
      </c>
    </row>
    <row r="377" spans="9:16" x14ac:dyDescent="0.25">
      <c r="I377" s="285">
        <f>Elite!C72</f>
        <v>0</v>
      </c>
      <c r="J377" s="286" t="str">
        <f>Elite!D72</f>
        <v/>
      </c>
      <c r="K377" s="287" t="str">
        <f t="shared" si="12"/>
        <v/>
      </c>
      <c r="L377" s="285" t="str">
        <f>IF(AND(Elite!AP72=1,Elite!AL72=0),"Elite","")</f>
        <v/>
      </c>
      <c r="N377" t="str">
        <f>Elite!AC72</f>
        <v/>
      </c>
      <c r="O377" t="e">
        <f>IF(Table3[[#This Row],[First Title]]="Started", (Table3[[#This Row],[Score]]+0)*2,Table3[[#This Row],[Score]]+0)</f>
        <v>#VALUE!</v>
      </c>
      <c r="P377" s="2" t="e">
        <f>IF(Table3[[#This Row],[Helper]]&gt;191,"Gold",IF(Table3[[#This Row],[Helper]]&gt;171,"Silver",IF(Table3[[#This Row],[Helper]]&gt;141,"Bronze","")))</f>
        <v>#VALUE!</v>
      </c>
    </row>
    <row r="378" spans="9:16" x14ac:dyDescent="0.25">
      <c r="I378" s="285">
        <f>Elite!C73</f>
        <v>0</v>
      </c>
      <c r="J378" s="286" t="str">
        <f>Elite!D73</f>
        <v/>
      </c>
      <c r="K378" s="287" t="str">
        <f t="shared" si="12"/>
        <v/>
      </c>
      <c r="L378" s="285" t="str">
        <f>IF(AND(Elite!AP73=1,Elite!AL73=0),"Elite","")</f>
        <v/>
      </c>
      <c r="N378" t="str">
        <f>Elite!AC73</f>
        <v/>
      </c>
      <c r="O378" t="e">
        <f>IF(Table3[[#This Row],[First Title]]="Started", (Table3[[#This Row],[Score]]+0)*2,Table3[[#This Row],[Score]]+0)</f>
        <v>#VALUE!</v>
      </c>
      <c r="P378" s="2" t="e">
        <f>IF(Table3[[#This Row],[Helper]]&gt;191,"Gold",IF(Table3[[#This Row],[Helper]]&gt;171,"Silver",IF(Table3[[#This Row],[Helper]]&gt;141,"Bronze","")))</f>
        <v>#VALUE!</v>
      </c>
    </row>
    <row r="379" spans="9:16" x14ac:dyDescent="0.25">
      <c r="I379" s="285">
        <f>Elite!C74</f>
        <v>0</v>
      </c>
      <c r="J379" s="286" t="str">
        <f>Elite!D74</f>
        <v/>
      </c>
      <c r="K379" s="287" t="str">
        <f t="shared" si="12"/>
        <v/>
      </c>
      <c r="L379" s="285" t="str">
        <f>IF(AND(Elite!AP74=1,Elite!AL74=0),"Elite","")</f>
        <v/>
      </c>
      <c r="N379" t="str">
        <f>Elite!AC74</f>
        <v/>
      </c>
      <c r="O379" t="e">
        <f>IF(Table3[[#This Row],[First Title]]="Started", (Table3[[#This Row],[Score]]+0)*2,Table3[[#This Row],[Score]]+0)</f>
        <v>#VALUE!</v>
      </c>
      <c r="P379" s="2" t="e">
        <f>IF(Table3[[#This Row],[Helper]]&gt;191,"Gold",IF(Table3[[#This Row],[Helper]]&gt;171,"Silver",IF(Table3[[#This Row],[Helper]]&gt;141,"Bronze","")))</f>
        <v>#VALUE!</v>
      </c>
    </row>
    <row r="380" spans="9:16" x14ac:dyDescent="0.25">
      <c r="I380" s="285">
        <f>Games!D7</f>
        <v>0</v>
      </c>
      <c r="J380" s="286" t="str">
        <f>Games!E7</f>
        <v/>
      </c>
      <c r="K380" s="287" t="str">
        <f t="shared" ref="K380:K411" si="13">TrialDate</f>
        <v/>
      </c>
      <c r="L380" s="285" t="str">
        <f>IF(AND(Games!S7=3,Games!N7=2),"Aerial","")</f>
        <v/>
      </c>
      <c r="O380">
        <f>IF(Table3[[#This Row],[First Title]]="Started", (Table3[[#This Row],[Score]]+0)*2,Table3[[#This Row],[Score]]+0)</f>
        <v>0</v>
      </c>
      <c r="P380" s="2" t="str">
        <f>IF(Table3[[#This Row],[Helper]]&gt;191,"Gold",IF(Table3[[#This Row],[Helper]]&gt;171,"Silver",IF(Table3[[#This Row],[Helper]]&gt;141,"Bronze","")))</f>
        <v/>
      </c>
    </row>
    <row r="381" spans="9:16" x14ac:dyDescent="0.25">
      <c r="I381" s="285">
        <f>Games!D8</f>
        <v>0</v>
      </c>
      <c r="J381" s="286" t="str">
        <f>Games!E8</f>
        <v/>
      </c>
      <c r="K381" s="287" t="str">
        <f t="shared" si="13"/>
        <v/>
      </c>
      <c r="L381" s="285" t="str">
        <f>IF(AND(Games!S8=3,Games!N8=2),"Aerial","")</f>
        <v/>
      </c>
      <c r="O381">
        <f>IF(Table3[[#This Row],[First Title]]="Started", (Table3[[#This Row],[Score]]+0)*2,Table3[[#This Row],[Score]]+0)</f>
        <v>0</v>
      </c>
      <c r="P381" s="2" t="str">
        <f>IF(Table3[[#This Row],[Helper]]&gt;191,"Gold",IF(Table3[[#This Row],[Helper]]&gt;171,"Silver",IF(Table3[[#This Row],[Helper]]&gt;141,"Bronze","")))</f>
        <v/>
      </c>
    </row>
    <row r="382" spans="9:16" x14ac:dyDescent="0.25">
      <c r="I382" s="285">
        <f>Games!D9</f>
        <v>0</v>
      </c>
      <c r="J382" s="286" t="str">
        <f>Games!E9</f>
        <v/>
      </c>
      <c r="K382" s="287" t="str">
        <f t="shared" si="13"/>
        <v/>
      </c>
      <c r="L382" s="285" t="str">
        <f>IF(AND(Games!S9=3,Games!N9=2),"Aerial","")</f>
        <v/>
      </c>
      <c r="O382">
        <f>IF(Table3[[#This Row],[First Title]]="Started", (Table3[[#This Row],[Score]]+0)*2,Table3[[#This Row],[Score]]+0)</f>
        <v>0</v>
      </c>
      <c r="P382" s="2" t="str">
        <f>IF(Table3[[#This Row],[Helper]]&gt;191,"Gold",IF(Table3[[#This Row],[Helper]]&gt;171,"Silver",IF(Table3[[#This Row],[Helper]]&gt;141,"Bronze","")))</f>
        <v/>
      </c>
    </row>
    <row r="383" spans="9:16" x14ac:dyDescent="0.25">
      <c r="I383" s="285">
        <f>Games!D10</f>
        <v>0</v>
      </c>
      <c r="J383" s="286" t="str">
        <f>Games!E10</f>
        <v/>
      </c>
      <c r="K383" s="287" t="str">
        <f t="shared" si="13"/>
        <v/>
      </c>
      <c r="L383" s="285" t="str">
        <f>IF(AND(Games!S10=3,Games!N10=2),"Aerial","")</f>
        <v/>
      </c>
      <c r="O383">
        <f>IF(Table3[[#This Row],[First Title]]="Started", (Table3[[#This Row],[Score]]+0)*2,Table3[[#This Row],[Score]]+0)</f>
        <v>0</v>
      </c>
      <c r="P383" s="2" t="str">
        <f>IF(Table3[[#This Row],[Helper]]&gt;191,"Gold",IF(Table3[[#This Row],[Helper]]&gt;171,"Silver",IF(Table3[[#This Row],[Helper]]&gt;141,"Bronze","")))</f>
        <v/>
      </c>
    </row>
    <row r="384" spans="9:16" x14ac:dyDescent="0.25">
      <c r="I384" s="285">
        <f>Games!D11</f>
        <v>0</v>
      </c>
      <c r="J384" s="286" t="str">
        <f>Games!E11</f>
        <v/>
      </c>
      <c r="K384" s="287" t="str">
        <f t="shared" si="13"/>
        <v/>
      </c>
      <c r="L384" s="285" t="str">
        <f>IF(AND(Games!S11=3,Games!N11=2),"Aerial","")</f>
        <v/>
      </c>
      <c r="O384">
        <f>IF(Table3[[#This Row],[First Title]]="Started", (Table3[[#This Row],[Score]]+0)*2,Table3[[#This Row],[Score]]+0)</f>
        <v>0</v>
      </c>
      <c r="P384" s="2" t="str">
        <f>IF(Table3[[#This Row],[Helper]]&gt;191,"Gold",IF(Table3[[#This Row],[Helper]]&gt;171,"Silver",IF(Table3[[#This Row],[Helper]]&gt;141,"Bronze","")))</f>
        <v/>
      </c>
    </row>
    <row r="385" spans="9:16" x14ac:dyDescent="0.25">
      <c r="I385" s="285">
        <f>Games!D12</f>
        <v>0</v>
      </c>
      <c r="J385" s="286" t="str">
        <f>Games!E12</f>
        <v/>
      </c>
      <c r="K385" s="287" t="str">
        <f t="shared" si="13"/>
        <v/>
      </c>
      <c r="L385" s="285" t="str">
        <f>IF(AND(Games!S12=3,Games!N12=2),"Aerial","")</f>
        <v/>
      </c>
      <c r="O385">
        <f>IF(Table3[[#This Row],[First Title]]="Started", (Table3[[#This Row],[Score]]+0)*2,Table3[[#This Row],[Score]]+0)</f>
        <v>0</v>
      </c>
      <c r="P385" s="2" t="str">
        <f>IF(Table3[[#This Row],[Helper]]&gt;191,"Gold",IF(Table3[[#This Row],[Helper]]&gt;171,"Silver",IF(Table3[[#This Row],[Helper]]&gt;141,"Bronze","")))</f>
        <v/>
      </c>
    </row>
    <row r="386" spans="9:16" x14ac:dyDescent="0.25">
      <c r="I386" s="285">
        <f>Games!D13</f>
        <v>0</v>
      </c>
      <c r="J386" s="286" t="str">
        <f>Games!E13</f>
        <v/>
      </c>
      <c r="K386" s="287" t="str">
        <f t="shared" si="13"/>
        <v/>
      </c>
      <c r="L386" s="285" t="str">
        <f>IF(AND(Games!S13=3,Games!N13=2),"Aerial","")</f>
        <v/>
      </c>
      <c r="O386">
        <f>IF(Table3[[#This Row],[First Title]]="Started", (Table3[[#This Row],[Score]]+0)*2,Table3[[#This Row],[Score]]+0)</f>
        <v>0</v>
      </c>
      <c r="P386" s="2" t="str">
        <f>IF(Table3[[#This Row],[Helper]]&gt;191,"Gold",IF(Table3[[#This Row],[Helper]]&gt;171,"Silver",IF(Table3[[#This Row],[Helper]]&gt;141,"Bronze","")))</f>
        <v/>
      </c>
    </row>
    <row r="387" spans="9:16" x14ac:dyDescent="0.25">
      <c r="I387" s="285">
        <f>Games!D14</f>
        <v>0</v>
      </c>
      <c r="J387" s="286" t="str">
        <f>Games!E14</f>
        <v/>
      </c>
      <c r="K387" s="287" t="str">
        <f t="shared" si="13"/>
        <v/>
      </c>
      <c r="L387" s="285" t="str">
        <f>IF(AND(Games!S14=3,Games!N14=2),"Aerial","")</f>
        <v/>
      </c>
      <c r="O387">
        <f>IF(Table3[[#This Row],[First Title]]="Started", (Table3[[#This Row],[Score]]+0)*2,Table3[[#This Row],[Score]]+0)</f>
        <v>0</v>
      </c>
      <c r="P387" s="2" t="str">
        <f>IF(Table3[[#This Row],[Helper]]&gt;191,"Gold",IF(Table3[[#This Row],[Helper]]&gt;171,"Silver",IF(Table3[[#This Row],[Helper]]&gt;141,"Bronze","")))</f>
        <v/>
      </c>
    </row>
    <row r="388" spans="9:16" x14ac:dyDescent="0.25">
      <c r="I388" s="285">
        <f>Games!D15</f>
        <v>0</v>
      </c>
      <c r="J388" s="286" t="str">
        <f>Games!E15</f>
        <v/>
      </c>
      <c r="K388" s="287" t="str">
        <f t="shared" si="13"/>
        <v/>
      </c>
      <c r="L388" s="285" t="str">
        <f>IF(AND(Games!S15=3,Games!N15=2),"Aerial","")</f>
        <v/>
      </c>
      <c r="O388">
        <f>IF(Table3[[#This Row],[First Title]]="Started", (Table3[[#This Row],[Score]]+0)*2,Table3[[#This Row],[Score]]+0)</f>
        <v>0</v>
      </c>
      <c r="P388" s="2" t="str">
        <f>IF(Table3[[#This Row],[Helper]]&gt;191,"Gold",IF(Table3[[#This Row],[Helper]]&gt;171,"Silver",IF(Table3[[#This Row],[Helper]]&gt;141,"Bronze","")))</f>
        <v/>
      </c>
    </row>
    <row r="389" spans="9:16" x14ac:dyDescent="0.25">
      <c r="I389" s="285">
        <f>Games!D16</f>
        <v>0</v>
      </c>
      <c r="J389" s="286" t="str">
        <f>Games!E16</f>
        <v/>
      </c>
      <c r="K389" s="287" t="str">
        <f t="shared" si="13"/>
        <v/>
      </c>
      <c r="L389" s="285" t="str">
        <f>IF(AND(Games!S16=3,Games!N16=2),"Aerial","")</f>
        <v/>
      </c>
      <c r="O389">
        <f>IF(Table3[[#This Row],[First Title]]="Started", (Table3[[#This Row],[Score]]+0)*2,Table3[[#This Row],[Score]]+0)</f>
        <v>0</v>
      </c>
      <c r="P389" s="2" t="str">
        <f>IF(Table3[[#This Row],[Helper]]&gt;191,"Gold",IF(Table3[[#This Row],[Helper]]&gt;171,"Silver",IF(Table3[[#This Row],[Helper]]&gt;141,"Bronze","")))</f>
        <v/>
      </c>
    </row>
    <row r="390" spans="9:16" x14ac:dyDescent="0.25">
      <c r="I390" s="285">
        <f>Games!D17</f>
        <v>0</v>
      </c>
      <c r="J390" s="286" t="str">
        <f>Games!E17</f>
        <v/>
      </c>
      <c r="K390" s="287" t="str">
        <f t="shared" si="13"/>
        <v/>
      </c>
      <c r="L390" s="285" t="str">
        <f>IF(AND(Games!S17=3,Games!N17=2),"Aerial","")</f>
        <v/>
      </c>
      <c r="O390">
        <f>IF(Table3[[#This Row],[First Title]]="Started", (Table3[[#This Row],[Score]]+0)*2,Table3[[#This Row],[Score]]+0)</f>
        <v>0</v>
      </c>
      <c r="P390" s="2" t="str">
        <f>IF(Table3[[#This Row],[Helper]]&gt;191,"Gold",IF(Table3[[#This Row],[Helper]]&gt;171,"Silver",IF(Table3[[#This Row],[Helper]]&gt;141,"Bronze","")))</f>
        <v/>
      </c>
    </row>
    <row r="391" spans="9:16" x14ac:dyDescent="0.25">
      <c r="I391" s="285">
        <f>Games!D18</f>
        <v>0</v>
      </c>
      <c r="J391" s="286" t="str">
        <f>Games!E18</f>
        <v/>
      </c>
      <c r="K391" s="287" t="str">
        <f t="shared" si="13"/>
        <v/>
      </c>
      <c r="L391" s="285" t="str">
        <f>IF(AND(Games!S18=3,Games!N18=2),"Aerial","")</f>
        <v/>
      </c>
      <c r="O391">
        <f>IF(Table3[[#This Row],[First Title]]="Started", (Table3[[#This Row],[Score]]+0)*2,Table3[[#This Row],[Score]]+0)</f>
        <v>0</v>
      </c>
      <c r="P391" s="2" t="str">
        <f>IF(Table3[[#This Row],[Helper]]&gt;191,"Gold",IF(Table3[[#This Row],[Helper]]&gt;171,"Silver",IF(Table3[[#This Row],[Helper]]&gt;141,"Bronze","")))</f>
        <v/>
      </c>
    </row>
    <row r="392" spans="9:16" x14ac:dyDescent="0.25">
      <c r="I392" s="285">
        <f>Games!D19</f>
        <v>0</v>
      </c>
      <c r="J392" s="286" t="str">
        <f>Games!E19</f>
        <v/>
      </c>
      <c r="K392" s="287" t="str">
        <f t="shared" si="13"/>
        <v/>
      </c>
      <c r="L392" s="285" t="str">
        <f>IF(AND(Games!S19=3,Games!N19=2),"Aerial","")</f>
        <v/>
      </c>
      <c r="O392">
        <f>IF(Table3[[#This Row],[First Title]]="Started", (Table3[[#This Row],[Score]]+0)*2,Table3[[#This Row],[Score]]+0)</f>
        <v>0</v>
      </c>
      <c r="P392" s="2" t="str">
        <f>IF(Table3[[#This Row],[Helper]]&gt;191,"Gold",IF(Table3[[#This Row],[Helper]]&gt;171,"Silver",IF(Table3[[#This Row],[Helper]]&gt;141,"Bronze","")))</f>
        <v/>
      </c>
    </row>
    <row r="393" spans="9:16" x14ac:dyDescent="0.25">
      <c r="I393" s="285">
        <f>Games!D20</f>
        <v>0</v>
      </c>
      <c r="J393" s="286" t="str">
        <f>Games!E20</f>
        <v/>
      </c>
      <c r="K393" s="287" t="str">
        <f t="shared" si="13"/>
        <v/>
      </c>
      <c r="L393" s="285" t="str">
        <f>IF(AND(Games!S20=3,Games!N20=2),"Aerial","")</f>
        <v/>
      </c>
      <c r="O393">
        <f>IF(Table3[[#This Row],[First Title]]="Started", (Table3[[#This Row],[Score]]+0)*2,Table3[[#This Row],[Score]]+0)</f>
        <v>0</v>
      </c>
      <c r="P393" s="2" t="str">
        <f>IF(Table3[[#This Row],[Helper]]&gt;191,"Gold",IF(Table3[[#This Row],[Helper]]&gt;171,"Silver",IF(Table3[[#This Row],[Helper]]&gt;141,"Bronze","")))</f>
        <v/>
      </c>
    </row>
    <row r="394" spans="9:16" x14ac:dyDescent="0.25">
      <c r="I394" s="285">
        <f>Games!D21</f>
        <v>0</v>
      </c>
      <c r="J394" s="286" t="str">
        <f>Games!E21</f>
        <v/>
      </c>
      <c r="K394" s="287" t="str">
        <f t="shared" si="13"/>
        <v/>
      </c>
      <c r="L394" s="285" t="str">
        <f>IF(AND(Games!S21=3,Games!N21=2),"Aerial","")</f>
        <v/>
      </c>
      <c r="O394">
        <f>IF(Table3[[#This Row],[First Title]]="Started", (Table3[[#This Row],[Score]]+0)*2,Table3[[#This Row],[Score]]+0)</f>
        <v>0</v>
      </c>
      <c r="P394" s="2" t="str">
        <f>IF(Table3[[#This Row],[Helper]]&gt;191,"Gold",IF(Table3[[#This Row],[Helper]]&gt;171,"Silver",IF(Table3[[#This Row],[Helper]]&gt;141,"Bronze","")))</f>
        <v/>
      </c>
    </row>
    <row r="395" spans="9:16" x14ac:dyDescent="0.25">
      <c r="I395" s="285">
        <f>Games!D22</f>
        <v>0</v>
      </c>
      <c r="J395" s="286" t="str">
        <f>Games!E22</f>
        <v/>
      </c>
      <c r="K395" s="287" t="str">
        <f t="shared" si="13"/>
        <v/>
      </c>
      <c r="L395" s="285" t="str">
        <f>IF(AND(Games!S22=3,Games!N22=2),"Aerial","")</f>
        <v/>
      </c>
      <c r="O395">
        <f>IF(Table3[[#This Row],[First Title]]="Started", (Table3[[#This Row],[Score]]+0)*2,Table3[[#This Row],[Score]]+0)</f>
        <v>0</v>
      </c>
      <c r="P395" s="2" t="str">
        <f>IF(Table3[[#This Row],[Helper]]&gt;191,"Gold",IF(Table3[[#This Row],[Helper]]&gt;171,"Silver",IF(Table3[[#This Row],[Helper]]&gt;141,"Bronze","")))</f>
        <v/>
      </c>
    </row>
    <row r="396" spans="9:16" x14ac:dyDescent="0.25">
      <c r="I396" s="285">
        <f>Games!D23</f>
        <v>0</v>
      </c>
      <c r="J396" s="286" t="str">
        <f>Games!E23</f>
        <v/>
      </c>
      <c r="K396" s="287" t="str">
        <f t="shared" si="13"/>
        <v/>
      </c>
      <c r="L396" s="285" t="str">
        <f>IF(AND(Games!S23=3,Games!N23=2),"Aerial","")</f>
        <v/>
      </c>
      <c r="O396">
        <f>IF(Table3[[#This Row],[First Title]]="Started", (Table3[[#This Row],[Score]]+0)*2,Table3[[#This Row],[Score]]+0)</f>
        <v>0</v>
      </c>
      <c r="P396" s="2" t="str">
        <f>IF(Table3[[#This Row],[Helper]]&gt;191,"Gold",IF(Table3[[#This Row],[Helper]]&gt;171,"Silver",IF(Table3[[#This Row],[Helper]]&gt;141,"Bronze","")))</f>
        <v/>
      </c>
    </row>
    <row r="397" spans="9:16" x14ac:dyDescent="0.25">
      <c r="I397" s="285">
        <f>Games!D24</f>
        <v>0</v>
      </c>
      <c r="J397" s="286" t="str">
        <f>Games!E24</f>
        <v/>
      </c>
      <c r="K397" s="287" t="str">
        <f t="shared" si="13"/>
        <v/>
      </c>
      <c r="L397" s="285" t="str">
        <f>IF(AND(Games!S24=3,Games!N24=2),"Aerial","")</f>
        <v/>
      </c>
      <c r="O397">
        <f>IF(Table3[[#This Row],[First Title]]="Started", (Table3[[#This Row],[Score]]+0)*2,Table3[[#This Row],[Score]]+0)</f>
        <v>0</v>
      </c>
      <c r="P397" s="2" t="str">
        <f>IF(Table3[[#This Row],[Helper]]&gt;191,"Gold",IF(Table3[[#This Row],[Helper]]&gt;171,"Silver",IF(Table3[[#This Row],[Helper]]&gt;141,"Bronze","")))</f>
        <v/>
      </c>
    </row>
    <row r="398" spans="9:16" x14ac:dyDescent="0.25">
      <c r="I398" s="285">
        <f>Games!D25</f>
        <v>0</v>
      </c>
      <c r="J398" s="286" t="str">
        <f>Games!E25</f>
        <v/>
      </c>
      <c r="K398" s="287" t="str">
        <f t="shared" si="13"/>
        <v/>
      </c>
      <c r="L398" s="285" t="str">
        <f>IF(AND(Games!S25=3,Games!N25=2),"Aerial","")</f>
        <v/>
      </c>
      <c r="O398">
        <f>IF(Table3[[#This Row],[First Title]]="Started", (Table3[[#This Row],[Score]]+0)*2,Table3[[#This Row],[Score]]+0)</f>
        <v>0</v>
      </c>
      <c r="P398" s="2" t="str">
        <f>IF(Table3[[#This Row],[Helper]]&gt;191,"Gold",IF(Table3[[#This Row],[Helper]]&gt;171,"Silver",IF(Table3[[#This Row],[Helper]]&gt;141,"Bronze","")))</f>
        <v/>
      </c>
    </row>
    <row r="399" spans="9:16" x14ac:dyDescent="0.25">
      <c r="I399" s="285">
        <f>Games!D26</f>
        <v>0</v>
      </c>
      <c r="J399" s="286" t="str">
        <f>Games!E26</f>
        <v/>
      </c>
      <c r="K399" s="287" t="str">
        <f t="shared" si="13"/>
        <v/>
      </c>
      <c r="L399" s="285" t="str">
        <f>IF(AND(Games!S26=3,Games!N26=2),"Aerial","")</f>
        <v/>
      </c>
      <c r="O399">
        <f>IF(Table3[[#This Row],[First Title]]="Started", (Table3[[#This Row],[Score]]+0)*2,Table3[[#This Row],[Score]]+0)</f>
        <v>0</v>
      </c>
      <c r="P399" s="2" t="str">
        <f>IF(Table3[[#This Row],[Helper]]&gt;191,"Gold",IF(Table3[[#This Row],[Helper]]&gt;171,"Silver",IF(Table3[[#This Row],[Helper]]&gt;141,"Bronze","")))</f>
        <v/>
      </c>
    </row>
    <row r="400" spans="9:16" x14ac:dyDescent="0.25">
      <c r="I400" s="285">
        <f>Games!D27</f>
        <v>0</v>
      </c>
      <c r="J400" s="286" t="str">
        <f>Games!E27</f>
        <v/>
      </c>
      <c r="K400" s="287" t="str">
        <f t="shared" si="13"/>
        <v/>
      </c>
      <c r="L400" s="285" t="str">
        <f>IF(AND(Games!S27=3,Games!N27=2),"Aerial","")</f>
        <v/>
      </c>
      <c r="O400">
        <f>IF(Table3[[#This Row],[First Title]]="Started", (Table3[[#This Row],[Score]]+0)*2,Table3[[#This Row],[Score]]+0)</f>
        <v>0</v>
      </c>
      <c r="P400" s="2" t="str">
        <f>IF(Table3[[#This Row],[Helper]]&gt;191,"Gold",IF(Table3[[#This Row],[Helper]]&gt;171,"Silver",IF(Table3[[#This Row],[Helper]]&gt;141,"Bronze","")))</f>
        <v/>
      </c>
    </row>
    <row r="401" spans="9:16" x14ac:dyDescent="0.25">
      <c r="I401" s="285">
        <f>Games!D28</f>
        <v>0</v>
      </c>
      <c r="J401" s="286" t="str">
        <f>Games!E28</f>
        <v/>
      </c>
      <c r="K401" s="287" t="str">
        <f t="shared" si="13"/>
        <v/>
      </c>
      <c r="L401" s="285" t="str">
        <f>IF(AND(Games!S28=3,Games!N28=2),"Aerial","")</f>
        <v/>
      </c>
      <c r="O401">
        <f>IF(Table3[[#This Row],[First Title]]="Started", (Table3[[#This Row],[Score]]+0)*2,Table3[[#This Row],[Score]]+0)</f>
        <v>0</v>
      </c>
      <c r="P401" s="2" t="str">
        <f>IF(Table3[[#This Row],[Helper]]&gt;191,"Gold",IF(Table3[[#This Row],[Helper]]&gt;171,"Silver",IF(Table3[[#This Row],[Helper]]&gt;141,"Bronze","")))</f>
        <v/>
      </c>
    </row>
    <row r="402" spans="9:16" x14ac:dyDescent="0.25">
      <c r="I402" s="285">
        <f>Games!D29</f>
        <v>0</v>
      </c>
      <c r="J402" s="286" t="str">
        <f>Games!E29</f>
        <v/>
      </c>
      <c r="K402" s="287" t="str">
        <f t="shared" si="13"/>
        <v/>
      </c>
      <c r="L402" s="285" t="str">
        <f>IF(AND(Games!S29=3,Games!N29=2),"Aerial","")</f>
        <v/>
      </c>
      <c r="O402">
        <f>IF(Table3[[#This Row],[First Title]]="Started", (Table3[[#This Row],[Score]]+0)*2,Table3[[#This Row],[Score]]+0)</f>
        <v>0</v>
      </c>
      <c r="P402" s="2" t="str">
        <f>IF(Table3[[#This Row],[Helper]]&gt;191,"Gold",IF(Table3[[#This Row],[Helper]]&gt;171,"Silver",IF(Table3[[#This Row],[Helper]]&gt;141,"Bronze","")))</f>
        <v/>
      </c>
    </row>
    <row r="403" spans="9:16" x14ac:dyDescent="0.25">
      <c r="I403" s="285">
        <f>Games!D30</f>
        <v>0</v>
      </c>
      <c r="J403" s="286" t="str">
        <f>Games!E30</f>
        <v/>
      </c>
      <c r="K403" s="287" t="str">
        <f t="shared" si="13"/>
        <v/>
      </c>
      <c r="L403" s="285" t="str">
        <f>IF(AND(Games!S30=3,Games!N30=2),"Aerial","")</f>
        <v/>
      </c>
      <c r="O403">
        <f>IF(Table3[[#This Row],[First Title]]="Started", (Table3[[#This Row],[Score]]+0)*2,Table3[[#This Row],[Score]]+0)</f>
        <v>0</v>
      </c>
      <c r="P403" s="2" t="str">
        <f>IF(Table3[[#This Row],[Helper]]&gt;191,"Gold",IF(Table3[[#This Row],[Helper]]&gt;171,"Silver",IF(Table3[[#This Row],[Helper]]&gt;141,"Bronze","")))</f>
        <v/>
      </c>
    </row>
    <row r="404" spans="9:16" x14ac:dyDescent="0.25">
      <c r="I404" s="285">
        <f>Games!D31</f>
        <v>0</v>
      </c>
      <c r="J404" s="286" t="str">
        <f>Games!E31</f>
        <v/>
      </c>
      <c r="K404" s="287" t="str">
        <f t="shared" si="13"/>
        <v/>
      </c>
      <c r="L404" s="285" t="str">
        <f>IF(AND(Games!S31=3,Games!N31=2),"Aerial","")</f>
        <v/>
      </c>
      <c r="O404">
        <f>IF(Table3[[#This Row],[First Title]]="Started", (Table3[[#This Row],[Score]]+0)*2,Table3[[#This Row],[Score]]+0)</f>
        <v>0</v>
      </c>
      <c r="P404" s="2" t="str">
        <f>IF(Table3[[#This Row],[Helper]]&gt;191,"Gold",IF(Table3[[#This Row],[Helper]]&gt;171,"Silver",IF(Table3[[#This Row],[Helper]]&gt;141,"Bronze","")))</f>
        <v/>
      </c>
    </row>
    <row r="405" spans="9:16" x14ac:dyDescent="0.25">
      <c r="I405" s="285">
        <f>Games!D32</f>
        <v>0</v>
      </c>
      <c r="J405" s="286" t="str">
        <f>Games!E32</f>
        <v/>
      </c>
      <c r="K405" s="287" t="str">
        <f t="shared" si="13"/>
        <v/>
      </c>
      <c r="L405" s="285" t="str">
        <f>IF(AND(Games!S32=3,Games!N32=2),"Aerial","")</f>
        <v/>
      </c>
      <c r="O405">
        <f>IF(Table3[[#This Row],[First Title]]="Started", (Table3[[#This Row],[Score]]+0)*2,Table3[[#This Row],[Score]]+0)</f>
        <v>0</v>
      </c>
      <c r="P405" s="2" t="str">
        <f>IF(Table3[[#This Row],[Helper]]&gt;191,"Gold",IF(Table3[[#This Row],[Helper]]&gt;171,"Silver",IF(Table3[[#This Row],[Helper]]&gt;141,"Bronze","")))</f>
        <v/>
      </c>
    </row>
    <row r="406" spans="9:16" x14ac:dyDescent="0.25">
      <c r="I406" s="285">
        <f>Games!D33</f>
        <v>0</v>
      </c>
      <c r="J406" s="286" t="str">
        <f>Games!E33</f>
        <v/>
      </c>
      <c r="K406" s="287" t="str">
        <f t="shared" si="13"/>
        <v/>
      </c>
      <c r="L406" s="285" t="str">
        <f>IF(AND(Games!S33=3,Games!N33=2),"Aerial","")</f>
        <v/>
      </c>
      <c r="O406">
        <f>IF(Table3[[#This Row],[First Title]]="Started", (Table3[[#This Row],[Score]]+0)*2,Table3[[#This Row],[Score]]+0)</f>
        <v>0</v>
      </c>
      <c r="P406" s="2" t="str">
        <f>IF(Table3[[#This Row],[Helper]]&gt;191,"Gold",IF(Table3[[#This Row],[Helper]]&gt;171,"Silver",IF(Table3[[#This Row],[Helper]]&gt;141,"Bronze","")))</f>
        <v/>
      </c>
    </row>
    <row r="407" spans="9:16" x14ac:dyDescent="0.25">
      <c r="I407" s="285">
        <f>Games!D34</f>
        <v>0</v>
      </c>
      <c r="J407" s="286" t="str">
        <f>Games!E34</f>
        <v/>
      </c>
      <c r="K407" s="287" t="str">
        <f t="shared" si="13"/>
        <v/>
      </c>
      <c r="L407" s="285" t="str">
        <f>IF(AND(Games!S34=3,Games!N34=2),"Aerial","")</f>
        <v/>
      </c>
      <c r="O407">
        <f>IF(Table3[[#This Row],[First Title]]="Started", (Table3[[#This Row],[Score]]+0)*2,Table3[[#This Row],[Score]]+0)</f>
        <v>0</v>
      </c>
      <c r="P407" s="2" t="str">
        <f>IF(Table3[[#This Row],[Helper]]&gt;191,"Gold",IF(Table3[[#This Row],[Helper]]&gt;171,"Silver",IF(Table3[[#This Row],[Helper]]&gt;141,"Bronze","")))</f>
        <v/>
      </c>
    </row>
    <row r="408" spans="9:16" x14ac:dyDescent="0.25">
      <c r="I408" s="285">
        <f>Games!D35</f>
        <v>0</v>
      </c>
      <c r="J408" s="286" t="str">
        <f>Games!E35</f>
        <v/>
      </c>
      <c r="K408" s="287" t="str">
        <f t="shared" si="13"/>
        <v/>
      </c>
      <c r="L408" s="285" t="str">
        <f>IF(AND(Games!S35=3,Games!N35=2),"Aerial","")</f>
        <v/>
      </c>
      <c r="O408">
        <f>IF(Table3[[#This Row],[First Title]]="Started", (Table3[[#This Row],[Score]]+0)*2,Table3[[#This Row],[Score]]+0)</f>
        <v>0</v>
      </c>
      <c r="P408" s="2" t="str">
        <f>IF(Table3[[#This Row],[Helper]]&gt;191,"Gold",IF(Table3[[#This Row],[Helper]]&gt;171,"Silver",IF(Table3[[#This Row],[Helper]]&gt;141,"Bronze","")))</f>
        <v/>
      </c>
    </row>
    <row r="409" spans="9:16" x14ac:dyDescent="0.25">
      <c r="I409" s="285">
        <f>Games!D36</f>
        <v>0</v>
      </c>
      <c r="J409" s="286" t="str">
        <f>Games!E36</f>
        <v/>
      </c>
      <c r="K409" s="287" t="str">
        <f t="shared" si="13"/>
        <v/>
      </c>
      <c r="L409" s="285" t="str">
        <f>IF(AND(Games!S36=3,Games!N36=2),"Aerial","")</f>
        <v/>
      </c>
      <c r="O409">
        <f>IF(Table3[[#This Row],[First Title]]="Started", (Table3[[#This Row],[Score]]+0)*2,Table3[[#This Row],[Score]]+0)</f>
        <v>0</v>
      </c>
      <c r="P409" s="2" t="str">
        <f>IF(Table3[[#This Row],[Helper]]&gt;191,"Gold",IF(Table3[[#This Row],[Helper]]&gt;171,"Silver",IF(Table3[[#This Row],[Helper]]&gt;141,"Bronze","")))</f>
        <v/>
      </c>
    </row>
    <row r="410" spans="9:16" x14ac:dyDescent="0.25">
      <c r="I410" s="285">
        <f>Games!D37</f>
        <v>0</v>
      </c>
      <c r="J410" s="286" t="str">
        <f>Games!E37</f>
        <v/>
      </c>
      <c r="K410" s="287" t="str">
        <f t="shared" si="13"/>
        <v/>
      </c>
      <c r="L410" s="285" t="str">
        <f>IF(AND(Games!S37=3,Games!N37=2),"Aerial","")</f>
        <v/>
      </c>
      <c r="O410">
        <f>IF(Table3[[#This Row],[First Title]]="Started", (Table3[[#This Row],[Score]]+0)*2,Table3[[#This Row],[Score]]+0)</f>
        <v>0</v>
      </c>
      <c r="P410" s="2" t="str">
        <f>IF(Table3[[#This Row],[Helper]]&gt;191,"Gold",IF(Table3[[#This Row],[Helper]]&gt;171,"Silver",IF(Table3[[#This Row],[Helper]]&gt;141,"Bronze","")))</f>
        <v/>
      </c>
    </row>
    <row r="411" spans="9:16" x14ac:dyDescent="0.25">
      <c r="I411" s="285">
        <f>Games!D38</f>
        <v>0</v>
      </c>
      <c r="J411" s="286" t="str">
        <f>Games!E38</f>
        <v/>
      </c>
      <c r="K411" s="287" t="str">
        <f t="shared" si="13"/>
        <v/>
      </c>
      <c r="L411" s="285" t="str">
        <f>IF(AND(Games!S38=3,Games!N38=2),"Aerial","")</f>
        <v/>
      </c>
      <c r="O411">
        <f>IF(Table3[[#This Row],[First Title]]="Started", (Table3[[#This Row],[Score]]+0)*2,Table3[[#This Row],[Score]]+0)</f>
        <v>0</v>
      </c>
      <c r="P411" s="2" t="str">
        <f>IF(Table3[[#This Row],[Helper]]&gt;191,"Gold",IF(Table3[[#This Row],[Helper]]&gt;171,"Silver",IF(Table3[[#This Row],[Helper]]&gt;141,"Bronze","")))</f>
        <v/>
      </c>
    </row>
    <row r="412" spans="9:16" x14ac:dyDescent="0.25">
      <c r="I412" s="285">
        <f>Games!D39</f>
        <v>0</v>
      </c>
      <c r="J412" s="286" t="str">
        <f>Games!E39</f>
        <v/>
      </c>
      <c r="K412" s="287" t="str">
        <f t="shared" ref="K412:K429" si="14">TrialDate</f>
        <v/>
      </c>
      <c r="L412" s="285" t="str">
        <f>IF(AND(Games!S39=3,Games!N39=2),"Aerial","")</f>
        <v/>
      </c>
      <c r="O412">
        <f>IF(Table3[[#This Row],[First Title]]="Started", (Table3[[#This Row],[Score]]+0)*2,Table3[[#This Row],[Score]]+0)</f>
        <v>0</v>
      </c>
      <c r="P412" s="2" t="str">
        <f>IF(Table3[[#This Row],[Helper]]&gt;191,"Gold",IF(Table3[[#This Row],[Helper]]&gt;171,"Silver",IF(Table3[[#This Row],[Helper]]&gt;141,"Bronze","")))</f>
        <v/>
      </c>
    </row>
    <row r="413" spans="9:16" x14ac:dyDescent="0.25">
      <c r="I413" s="285">
        <f>Games!D40</f>
        <v>0</v>
      </c>
      <c r="J413" s="286" t="str">
        <f>Games!E40</f>
        <v/>
      </c>
      <c r="K413" s="287" t="str">
        <f t="shared" si="14"/>
        <v/>
      </c>
      <c r="L413" s="285" t="str">
        <f>IF(AND(Games!S40=3,Games!N40=2),"Aerial","")</f>
        <v/>
      </c>
      <c r="O413">
        <f>IF(Table3[[#This Row],[First Title]]="Started", (Table3[[#This Row],[Score]]+0)*2,Table3[[#This Row],[Score]]+0)</f>
        <v>0</v>
      </c>
      <c r="P413" s="2" t="str">
        <f>IF(Table3[[#This Row],[Helper]]&gt;191,"Gold",IF(Table3[[#This Row],[Helper]]&gt;171,"Silver",IF(Table3[[#This Row],[Helper]]&gt;141,"Bronze","")))</f>
        <v/>
      </c>
    </row>
    <row r="414" spans="9:16" x14ac:dyDescent="0.25">
      <c r="I414" s="285">
        <f>Games!D41</f>
        <v>0</v>
      </c>
      <c r="J414" s="286" t="str">
        <f>Games!E41</f>
        <v/>
      </c>
      <c r="K414" s="287" t="str">
        <f t="shared" si="14"/>
        <v/>
      </c>
      <c r="L414" s="285" t="str">
        <f>IF(AND(Games!S41=3,Games!N41=2),"Aerial","")</f>
        <v/>
      </c>
      <c r="O414">
        <f>IF(Table3[[#This Row],[First Title]]="Started", (Table3[[#This Row],[Score]]+0)*2,Table3[[#This Row],[Score]]+0)</f>
        <v>0</v>
      </c>
      <c r="P414" s="2" t="str">
        <f>IF(Table3[[#This Row],[Helper]]&gt;191,"Gold",IF(Table3[[#This Row],[Helper]]&gt;171,"Silver",IF(Table3[[#This Row],[Helper]]&gt;141,"Bronze","")))</f>
        <v/>
      </c>
    </row>
    <row r="415" spans="9:16" x14ac:dyDescent="0.25">
      <c r="I415" s="285">
        <f>Games!D42</f>
        <v>0</v>
      </c>
      <c r="J415" s="286" t="str">
        <f>Games!E42</f>
        <v/>
      </c>
      <c r="K415" s="287" t="str">
        <f t="shared" si="14"/>
        <v/>
      </c>
      <c r="L415" s="285" t="str">
        <f>IF(AND(Games!S42=3,Games!N42=2),"Aerial","")</f>
        <v/>
      </c>
      <c r="O415">
        <f>IF(Table3[[#This Row],[First Title]]="Started", (Table3[[#This Row],[Score]]+0)*2,Table3[[#This Row],[Score]]+0)</f>
        <v>0</v>
      </c>
      <c r="P415" s="2" t="str">
        <f>IF(Table3[[#This Row],[Helper]]&gt;191,"Gold",IF(Table3[[#This Row],[Helper]]&gt;171,"Silver",IF(Table3[[#This Row],[Helper]]&gt;141,"Bronze","")))</f>
        <v/>
      </c>
    </row>
    <row r="416" spans="9:16" x14ac:dyDescent="0.25">
      <c r="I416" s="285">
        <f>Games!D43</f>
        <v>0</v>
      </c>
      <c r="J416" s="286" t="str">
        <f>Games!E43</f>
        <v/>
      </c>
      <c r="K416" s="287" t="str">
        <f t="shared" si="14"/>
        <v/>
      </c>
      <c r="L416" s="285" t="str">
        <f>IF(AND(Games!S43=3,Games!N43=2),"Aerial","")</f>
        <v/>
      </c>
      <c r="O416">
        <f>IF(Table3[[#This Row],[First Title]]="Started", (Table3[[#This Row],[Score]]+0)*2,Table3[[#This Row],[Score]]+0)</f>
        <v>0</v>
      </c>
      <c r="P416" s="2" t="str">
        <f>IF(Table3[[#This Row],[Helper]]&gt;191,"Gold",IF(Table3[[#This Row],[Helper]]&gt;171,"Silver",IF(Table3[[#This Row],[Helper]]&gt;141,"Bronze","")))</f>
        <v/>
      </c>
    </row>
    <row r="417" spans="9:23" x14ac:dyDescent="0.25">
      <c r="I417" s="285">
        <f>Games!D44</f>
        <v>0</v>
      </c>
      <c r="J417" s="286" t="str">
        <f>Games!E44</f>
        <v/>
      </c>
      <c r="K417" s="287" t="str">
        <f t="shared" si="14"/>
        <v/>
      </c>
      <c r="L417" s="285" t="str">
        <f>IF(AND(Games!S44=3,Games!N44=2),"Aerial","")</f>
        <v/>
      </c>
      <c r="O417">
        <f>IF(Table3[[#This Row],[First Title]]="Started", (Table3[[#This Row],[Score]]+0)*2,Table3[[#This Row],[Score]]+0)</f>
        <v>0</v>
      </c>
      <c r="P417" s="2" t="str">
        <f>IF(Table3[[#This Row],[Helper]]&gt;191,"Gold",IF(Table3[[#This Row],[Helper]]&gt;171,"Silver",IF(Table3[[#This Row],[Helper]]&gt;141,"Bronze","")))</f>
        <v/>
      </c>
    </row>
    <row r="418" spans="9:23" x14ac:dyDescent="0.25">
      <c r="I418" s="285">
        <f>Games!D45</f>
        <v>0</v>
      </c>
      <c r="J418" s="286" t="str">
        <f>Games!E45</f>
        <v/>
      </c>
      <c r="K418" s="287" t="str">
        <f t="shared" si="14"/>
        <v/>
      </c>
      <c r="L418" s="285" t="str">
        <f>IF(AND(Games!S45=3,Games!N45=2),"Aerial","")</f>
        <v/>
      </c>
      <c r="O418">
        <f>IF(Table3[[#This Row],[First Title]]="Started", (Table3[[#This Row],[Score]]+0)*2,Table3[[#This Row],[Score]]+0)</f>
        <v>0</v>
      </c>
      <c r="P418" s="2" t="str">
        <f>IF(Table3[[#This Row],[Helper]]&gt;191,"Gold",IF(Table3[[#This Row],[Helper]]&gt;171,"Silver",IF(Table3[[#This Row],[Helper]]&gt;141,"Bronze","")))</f>
        <v/>
      </c>
    </row>
    <row r="419" spans="9:23" x14ac:dyDescent="0.25">
      <c r="I419" s="285">
        <f>Games!D46</f>
        <v>0</v>
      </c>
      <c r="J419" s="286" t="str">
        <f>Games!E46</f>
        <v/>
      </c>
      <c r="K419" s="287" t="str">
        <f t="shared" si="14"/>
        <v/>
      </c>
      <c r="L419" s="285" t="str">
        <f>IF(AND(Games!S46=3,Games!N46=2),"Aerial","")</f>
        <v/>
      </c>
      <c r="O419">
        <f>IF(Table3[[#This Row],[First Title]]="Started", (Table3[[#This Row],[Score]]+0)*2,Table3[[#This Row],[Score]]+0)</f>
        <v>0</v>
      </c>
      <c r="P419" s="2" t="str">
        <f>IF(Table3[[#This Row],[Helper]]&gt;191,"Gold",IF(Table3[[#This Row],[Helper]]&gt;171,"Silver",IF(Table3[[#This Row],[Helper]]&gt;141,"Bronze","")))</f>
        <v/>
      </c>
    </row>
    <row r="420" spans="9:23" x14ac:dyDescent="0.25">
      <c r="I420" s="285">
        <f>Games!D47</f>
        <v>0</v>
      </c>
      <c r="J420" s="286" t="str">
        <f>Games!E47</f>
        <v/>
      </c>
      <c r="K420" s="287" t="str">
        <f t="shared" si="14"/>
        <v/>
      </c>
      <c r="L420" s="285" t="str">
        <f>IF(AND(Games!S47=3,Games!N47=2),"Aerial","")</f>
        <v/>
      </c>
      <c r="O420">
        <f>IF(Table3[[#This Row],[First Title]]="Started", (Table3[[#This Row],[Score]]+0)*2,Table3[[#This Row],[Score]]+0)</f>
        <v>0</v>
      </c>
      <c r="P420" s="2" t="str">
        <f>IF(Table3[[#This Row],[Helper]]&gt;191,"Gold",IF(Table3[[#This Row],[Helper]]&gt;171,"Silver",IF(Table3[[#This Row],[Helper]]&gt;141,"Bronze","")))</f>
        <v/>
      </c>
    </row>
    <row r="421" spans="9:23" x14ac:dyDescent="0.25">
      <c r="I421" s="285">
        <f>Games!D48</f>
        <v>0</v>
      </c>
      <c r="J421" s="286" t="str">
        <f>Games!E48</f>
        <v/>
      </c>
      <c r="K421" s="287" t="str">
        <f t="shared" si="14"/>
        <v/>
      </c>
      <c r="L421" s="285" t="str">
        <f>IF(AND(Games!S48=3,Games!N48=2),"Aerial","")</f>
        <v/>
      </c>
      <c r="O421">
        <f>IF(Table3[[#This Row],[First Title]]="Started", (Table3[[#This Row],[Score]]+0)*2,Table3[[#This Row],[Score]]+0)</f>
        <v>0</v>
      </c>
      <c r="P421" s="2" t="str">
        <f>IF(Table3[[#This Row],[Helper]]&gt;191,"Gold",IF(Table3[[#This Row],[Helper]]&gt;171,"Silver",IF(Table3[[#This Row],[Helper]]&gt;141,"Bronze","")))</f>
        <v/>
      </c>
    </row>
    <row r="422" spans="9:23" x14ac:dyDescent="0.25">
      <c r="I422" s="285">
        <f>Games!D49</f>
        <v>0</v>
      </c>
      <c r="J422" s="286" t="str">
        <f>Games!E49</f>
        <v/>
      </c>
      <c r="K422" s="287" t="str">
        <f t="shared" si="14"/>
        <v/>
      </c>
      <c r="L422" s="285" t="str">
        <f>IF(AND(Games!S49=3,Games!N49=2),"Aerial","")</f>
        <v/>
      </c>
      <c r="O422">
        <f>IF(Table3[[#This Row],[First Title]]="Started", (Table3[[#This Row],[Score]]+0)*2,Table3[[#This Row],[Score]]+0)</f>
        <v>0</v>
      </c>
      <c r="P422" s="2" t="str">
        <f>IF(Table3[[#This Row],[Helper]]&gt;191,"Gold",IF(Table3[[#This Row],[Helper]]&gt;171,"Silver",IF(Table3[[#This Row],[Helper]]&gt;141,"Bronze","")))</f>
        <v/>
      </c>
    </row>
    <row r="423" spans="9:23" x14ac:dyDescent="0.25">
      <c r="I423" s="285">
        <f>Games!D50</f>
        <v>0</v>
      </c>
      <c r="J423" s="286" t="str">
        <f>Games!E50</f>
        <v/>
      </c>
      <c r="K423" s="287" t="str">
        <f t="shared" si="14"/>
        <v/>
      </c>
      <c r="L423" s="285" t="str">
        <f>IF(AND(Games!S50=3,Games!N50=2),"Aerial","")</f>
        <v/>
      </c>
      <c r="O423">
        <f>IF(Table3[[#This Row],[First Title]]="Started", (Table3[[#This Row],[Score]]+0)*2,Table3[[#This Row],[Score]]+0)</f>
        <v>0</v>
      </c>
      <c r="P423" s="2" t="str">
        <f>IF(Table3[[#This Row],[Helper]]&gt;191,"Gold",IF(Table3[[#This Row],[Helper]]&gt;171,"Silver",IF(Table3[[#This Row],[Helper]]&gt;141,"Bronze","")))</f>
        <v/>
      </c>
    </row>
    <row r="424" spans="9:23" x14ac:dyDescent="0.25">
      <c r="I424" s="285">
        <f>Games!D51</f>
        <v>0</v>
      </c>
      <c r="J424" s="286" t="str">
        <f>Games!E51</f>
        <v/>
      </c>
      <c r="K424" s="287" t="str">
        <f t="shared" si="14"/>
        <v/>
      </c>
      <c r="L424" s="285" t="str">
        <f>IF(AND(Games!S51=3,Games!N51=2),"Aerial","")</f>
        <v/>
      </c>
      <c r="O424">
        <f>IF(Table3[[#This Row],[First Title]]="Started", (Table3[[#This Row],[Score]]+0)*2,Table3[[#This Row],[Score]]+0)</f>
        <v>0</v>
      </c>
      <c r="P424" s="2" t="str">
        <f>IF(Table3[[#This Row],[Helper]]&gt;191,"Gold",IF(Table3[[#This Row],[Helper]]&gt;171,"Silver",IF(Table3[[#This Row],[Helper]]&gt;141,"Bronze","")))</f>
        <v/>
      </c>
    </row>
    <row r="425" spans="9:23" x14ac:dyDescent="0.25">
      <c r="I425" s="285">
        <f>Games!D52</f>
        <v>0</v>
      </c>
      <c r="J425" s="286" t="str">
        <f>Games!E52</f>
        <v/>
      </c>
      <c r="K425" s="287" t="str">
        <f t="shared" si="14"/>
        <v/>
      </c>
      <c r="L425" s="285" t="str">
        <f>IF(AND(Games!S52=3,Games!N52=2),"Aerial","")</f>
        <v/>
      </c>
      <c r="O425">
        <f>IF(Table3[[#This Row],[First Title]]="Started", (Table3[[#This Row],[Score]]+0)*2,Table3[[#This Row],[Score]]+0)</f>
        <v>0</v>
      </c>
      <c r="P425" s="2" t="str">
        <f>IF(Table3[[#This Row],[Helper]]&gt;191,"Gold",IF(Table3[[#This Row],[Helper]]&gt;171,"Silver",IF(Table3[[#This Row],[Helper]]&gt;141,"Bronze","")))</f>
        <v/>
      </c>
    </row>
    <row r="426" spans="9:23" x14ac:dyDescent="0.25">
      <c r="I426" s="285">
        <f>Games!D53</f>
        <v>0</v>
      </c>
      <c r="J426" s="286" t="str">
        <f>Games!E53</f>
        <v/>
      </c>
      <c r="K426" s="287" t="str">
        <f t="shared" si="14"/>
        <v/>
      </c>
      <c r="L426" s="285" t="str">
        <f>IF(AND(Games!S53=3,Games!N53=2),"Aerial","")</f>
        <v/>
      </c>
      <c r="O426">
        <f>IF(Table3[[#This Row],[First Title]]="Started", (Table3[[#This Row],[Score]]+0)*2,Table3[[#This Row],[Score]]+0)</f>
        <v>0</v>
      </c>
      <c r="P426" s="2" t="str">
        <f>IF(Table3[[#This Row],[Helper]]&gt;191,"Gold",IF(Table3[[#This Row],[Helper]]&gt;171,"Silver",IF(Table3[[#This Row],[Helper]]&gt;141,"Bronze","")))</f>
        <v/>
      </c>
    </row>
    <row r="427" spans="9:23" x14ac:dyDescent="0.25">
      <c r="I427" s="285">
        <f>Games!D54</f>
        <v>0</v>
      </c>
      <c r="J427" s="286" t="str">
        <f>Games!E54</f>
        <v/>
      </c>
      <c r="K427" s="287" t="str">
        <f t="shared" si="14"/>
        <v/>
      </c>
      <c r="L427" s="285" t="str">
        <f>IF(AND(Games!S54=3,Games!N54=2),"Aerial","")</f>
        <v/>
      </c>
      <c r="O427">
        <f>IF(Table3[[#This Row],[First Title]]="Started", (Table3[[#This Row],[Score]]+0)*2,Table3[[#This Row],[Score]]+0)</f>
        <v>0</v>
      </c>
      <c r="P427" s="2" t="str">
        <f>IF(Table3[[#This Row],[Helper]]&gt;191,"Gold",IF(Table3[[#This Row],[Helper]]&gt;171,"Silver",IF(Table3[[#This Row],[Helper]]&gt;141,"Bronze","")))</f>
        <v/>
      </c>
    </row>
    <row r="428" spans="9:23" x14ac:dyDescent="0.25">
      <c r="I428" s="285">
        <f>Games!D55</f>
        <v>0</v>
      </c>
      <c r="J428" s="286" t="str">
        <f>Games!E55</f>
        <v/>
      </c>
      <c r="K428" s="287" t="str">
        <f t="shared" si="14"/>
        <v/>
      </c>
      <c r="L428" s="285" t="str">
        <f>IF(AND(Games!S55=3,Games!N55=2),"Aerial","")</f>
        <v/>
      </c>
      <c r="O428">
        <f>IF(Table3[[#This Row],[First Title]]="Started", (Table3[[#This Row],[Score]]+0)*2,Table3[[#This Row],[Score]]+0)</f>
        <v>0</v>
      </c>
      <c r="P428" s="2" t="str">
        <f>IF(Table3[[#This Row],[Helper]]&gt;191,"Gold",IF(Table3[[#This Row],[Helper]]&gt;171,"Silver",IF(Table3[[#This Row],[Helper]]&gt;141,"Bronze","")))</f>
        <v/>
      </c>
    </row>
    <row r="429" spans="9:23" x14ac:dyDescent="0.25">
      <c r="I429" s="285">
        <f>Games!D56</f>
        <v>0</v>
      </c>
      <c r="J429" s="286" t="str">
        <f>Games!E56</f>
        <v/>
      </c>
      <c r="K429" s="287" t="str">
        <f t="shared" si="14"/>
        <v/>
      </c>
      <c r="L429" s="285" t="str">
        <f>IF(AND(Games!S56=3,Games!N56=2),"Aerial","")</f>
        <v/>
      </c>
      <c r="O429">
        <f>IF(Table3[[#This Row],[First Title]]="Started", (Table3[[#This Row],[Score]]+0)*2,Table3[[#This Row],[Score]]+0)</f>
        <v>0</v>
      </c>
      <c r="P429" s="2" t="str">
        <f>IF(Table3[[#This Row],[Helper]]&gt;191,"Gold",IF(Table3[[#This Row],[Helper]]&gt;171,"Silver",IF(Table3[[#This Row],[Helper]]&gt;141,"Bronze","")))</f>
        <v/>
      </c>
    </row>
    <row r="430" spans="9:23" x14ac:dyDescent="0.25">
      <c r="I430" s="285">
        <f>Games!D66</f>
        <v>0</v>
      </c>
      <c r="J430" s="286" t="str">
        <f>Games!E66</f>
        <v/>
      </c>
      <c r="K430" s="287" t="str">
        <f t="shared" ref="K430:K461" si="15">TrialDateDay2</f>
        <v/>
      </c>
      <c r="L430" s="285" t="str">
        <f>IF(AND(Games!S66=3,Games!N66=2),"Aerial","")</f>
        <v/>
      </c>
      <c r="O430">
        <f>IF(Table3[[#This Row],[First Title]]="Started", (Table3[[#This Row],[Score]]+0)*2,Table3[[#This Row],[Score]]+0)</f>
        <v>0</v>
      </c>
      <c r="P430" s="2" t="str">
        <f>IF(Table3[[#This Row],[Helper]]&gt;191,"Gold",IF(Table3[[#This Row],[Helper]]&gt;171,"Silver",IF(Table3[[#This Row],[Helper]]&gt;141,"Bronze","")))</f>
        <v/>
      </c>
    </row>
    <row r="431" spans="9:23" x14ac:dyDescent="0.25">
      <c r="I431" s="285">
        <f>Games!D67</f>
        <v>0</v>
      </c>
      <c r="J431" s="286" t="str">
        <f>Games!E67</f>
        <v/>
      </c>
      <c r="K431" s="287" t="str">
        <f t="shared" si="15"/>
        <v/>
      </c>
      <c r="L431" s="285" t="str">
        <f>IF(AND(Games!S67=3,Games!N67=2),"Aerial","")</f>
        <v/>
      </c>
      <c r="O431">
        <f>IF(Table3[[#This Row],[First Title]]="Started", (Table3[[#This Row],[Score]]+0)*2,Table3[[#This Row],[Score]]+0)</f>
        <v>0</v>
      </c>
      <c r="P431" s="2" t="str">
        <f>IF(Table3[[#This Row],[Helper]]&gt;191,"Gold",IF(Table3[[#This Row],[Helper]]&gt;171,"Silver",IF(Table3[[#This Row],[Helper]]&gt;141,"Bronze","")))</f>
        <v/>
      </c>
    </row>
    <row r="432" spans="9:23" x14ac:dyDescent="0.25">
      <c r="I432" s="285">
        <f>Games!D68</f>
        <v>0</v>
      </c>
      <c r="J432" s="286" t="str">
        <f>Games!E68</f>
        <v/>
      </c>
      <c r="K432" s="287" t="str">
        <f t="shared" si="15"/>
        <v/>
      </c>
      <c r="L432" s="285" t="str">
        <f>IF(AND(Games!S68=3,Games!N68=2),"Aerial","")</f>
        <v/>
      </c>
      <c r="O432">
        <f>IF(Table3[[#This Row],[First Title]]="Started", (Table3[[#This Row],[Score]]+0)*2,Table3[[#This Row],[Score]]+0)</f>
        <v>0</v>
      </c>
      <c r="P432" s="2" t="str">
        <f>IF(Table3[[#This Row],[Helper]]&gt;191,"Gold",IF(Table3[[#This Row],[Helper]]&gt;171,"Silver",IF(Table3[[#This Row],[Helper]]&gt;141,"Bronze","")))</f>
        <v/>
      </c>
      <c r="T432" s="285"/>
      <c r="U432" s="286"/>
      <c r="V432" s="287"/>
      <c r="W432" s="285"/>
    </row>
    <row r="433" spans="9:16" x14ac:dyDescent="0.25">
      <c r="I433" s="285">
        <f>Games!D69</f>
        <v>0</v>
      </c>
      <c r="J433" s="286" t="str">
        <f>Games!E69</f>
        <v/>
      </c>
      <c r="K433" s="287" t="str">
        <f t="shared" si="15"/>
        <v/>
      </c>
      <c r="L433" s="285" t="str">
        <f>IF(AND(Games!S69=3,Games!N69=2),"Aerial","")</f>
        <v/>
      </c>
      <c r="O433">
        <f>IF(Table3[[#This Row],[First Title]]="Started", (Table3[[#This Row],[Score]]+0)*2,Table3[[#This Row],[Score]]+0)</f>
        <v>0</v>
      </c>
      <c r="P433" s="2" t="str">
        <f>IF(Table3[[#This Row],[Helper]]&gt;191,"Gold",IF(Table3[[#This Row],[Helper]]&gt;171,"Silver",IF(Table3[[#This Row],[Helper]]&gt;141,"Bronze","")))</f>
        <v/>
      </c>
    </row>
    <row r="434" spans="9:16" x14ac:dyDescent="0.25">
      <c r="I434" s="285">
        <f>Games!D70</f>
        <v>0</v>
      </c>
      <c r="J434" s="286" t="str">
        <f>Games!E70</f>
        <v/>
      </c>
      <c r="K434" s="287" t="str">
        <f t="shared" si="15"/>
        <v/>
      </c>
      <c r="L434" s="285" t="str">
        <f>IF(AND(Games!S70=3,Games!N70=2),"Aerial","")</f>
        <v/>
      </c>
      <c r="O434">
        <f>IF(Table3[[#This Row],[First Title]]="Started", (Table3[[#This Row],[Score]]+0)*2,Table3[[#This Row],[Score]]+0)</f>
        <v>0</v>
      </c>
      <c r="P434" s="2" t="str">
        <f>IF(Table3[[#This Row],[Helper]]&gt;191,"Gold",IF(Table3[[#This Row],[Helper]]&gt;171,"Silver",IF(Table3[[#This Row],[Helper]]&gt;141,"Bronze","")))</f>
        <v/>
      </c>
    </row>
    <row r="435" spans="9:16" x14ac:dyDescent="0.25">
      <c r="I435" s="285">
        <f>Games!D71</f>
        <v>0</v>
      </c>
      <c r="J435" s="286" t="str">
        <f>Games!E71</f>
        <v/>
      </c>
      <c r="K435" s="287" t="str">
        <f t="shared" si="15"/>
        <v/>
      </c>
      <c r="L435" s="285" t="str">
        <f>IF(AND(Games!S71=3,Games!N71=2),"Aerial","")</f>
        <v/>
      </c>
      <c r="O435">
        <f>IF(Table3[[#This Row],[First Title]]="Started", (Table3[[#This Row],[Score]]+0)*2,Table3[[#This Row],[Score]]+0)</f>
        <v>0</v>
      </c>
      <c r="P435" s="2" t="str">
        <f>IF(Table3[[#This Row],[Helper]]&gt;191,"Gold",IF(Table3[[#This Row],[Helper]]&gt;171,"Silver",IF(Table3[[#This Row],[Helper]]&gt;141,"Bronze","")))</f>
        <v/>
      </c>
    </row>
    <row r="436" spans="9:16" x14ac:dyDescent="0.25">
      <c r="I436" s="285">
        <f>Games!D72</f>
        <v>0</v>
      </c>
      <c r="J436" s="286" t="str">
        <f>Games!E72</f>
        <v/>
      </c>
      <c r="K436" s="287" t="str">
        <f t="shared" si="15"/>
        <v/>
      </c>
      <c r="L436" s="285" t="str">
        <f>IF(AND(Games!S72=3,Games!N72=2),"Aerial","")</f>
        <v/>
      </c>
      <c r="O436">
        <f>IF(Table3[[#This Row],[First Title]]="Started", (Table3[[#This Row],[Score]]+0)*2,Table3[[#This Row],[Score]]+0)</f>
        <v>0</v>
      </c>
      <c r="P436" s="2" t="str">
        <f>IF(Table3[[#This Row],[Helper]]&gt;191,"Gold",IF(Table3[[#This Row],[Helper]]&gt;171,"Silver",IF(Table3[[#This Row],[Helper]]&gt;141,"Bronze","")))</f>
        <v/>
      </c>
    </row>
    <row r="437" spans="9:16" x14ac:dyDescent="0.25">
      <c r="I437" s="285">
        <f>Games!D73</f>
        <v>0</v>
      </c>
      <c r="J437" s="286" t="str">
        <f>Games!E73</f>
        <v/>
      </c>
      <c r="K437" s="287" t="str">
        <f t="shared" si="15"/>
        <v/>
      </c>
      <c r="L437" s="285" t="str">
        <f>IF(AND(Games!S73=3,Games!N73=2),"Aerial","")</f>
        <v/>
      </c>
      <c r="O437">
        <f>IF(Table3[[#This Row],[First Title]]="Started", (Table3[[#This Row],[Score]]+0)*2,Table3[[#This Row],[Score]]+0)</f>
        <v>0</v>
      </c>
      <c r="P437" s="2" t="str">
        <f>IF(Table3[[#This Row],[Helper]]&gt;191,"Gold",IF(Table3[[#This Row],[Helper]]&gt;171,"Silver",IF(Table3[[#This Row],[Helper]]&gt;141,"Bronze","")))</f>
        <v/>
      </c>
    </row>
    <row r="438" spans="9:16" x14ac:dyDescent="0.25">
      <c r="I438" s="285">
        <f>Games!D74</f>
        <v>0</v>
      </c>
      <c r="J438" s="286" t="str">
        <f>Games!E74</f>
        <v/>
      </c>
      <c r="K438" s="287" t="str">
        <f t="shared" si="15"/>
        <v/>
      </c>
      <c r="L438" s="285" t="str">
        <f>IF(AND(Games!S74=3,Games!N74=2),"Aerial","")</f>
        <v/>
      </c>
      <c r="O438">
        <f>IF(Table3[[#This Row],[First Title]]="Started", (Table3[[#This Row],[Score]]+0)*2,Table3[[#This Row],[Score]]+0)</f>
        <v>0</v>
      </c>
      <c r="P438" s="2" t="str">
        <f>IF(Table3[[#This Row],[Helper]]&gt;191,"Gold",IF(Table3[[#This Row],[Helper]]&gt;171,"Silver",IF(Table3[[#This Row],[Helper]]&gt;141,"Bronze","")))</f>
        <v/>
      </c>
    </row>
    <row r="439" spans="9:16" x14ac:dyDescent="0.25">
      <c r="I439" s="285">
        <f>Games!D75</f>
        <v>0</v>
      </c>
      <c r="J439" s="286" t="str">
        <f>Games!E75</f>
        <v/>
      </c>
      <c r="K439" s="287" t="str">
        <f t="shared" si="15"/>
        <v/>
      </c>
      <c r="L439" s="285" t="str">
        <f>IF(AND(Games!S75=3,Games!N75=2),"Aerial","")</f>
        <v/>
      </c>
      <c r="O439">
        <f>IF(Table3[[#This Row],[First Title]]="Started", (Table3[[#This Row],[Score]]+0)*2,Table3[[#This Row],[Score]]+0)</f>
        <v>0</v>
      </c>
      <c r="P439" s="2" t="str">
        <f>IF(Table3[[#This Row],[Helper]]&gt;191,"Gold",IF(Table3[[#This Row],[Helper]]&gt;171,"Silver",IF(Table3[[#This Row],[Helper]]&gt;141,"Bronze","")))</f>
        <v/>
      </c>
    </row>
    <row r="440" spans="9:16" x14ac:dyDescent="0.25">
      <c r="I440" s="285">
        <f>Games!D76</f>
        <v>0</v>
      </c>
      <c r="J440" s="286" t="str">
        <f>Games!E76</f>
        <v/>
      </c>
      <c r="K440" s="287" t="str">
        <f t="shared" si="15"/>
        <v/>
      </c>
      <c r="L440" s="285" t="str">
        <f>IF(AND(Games!S76=3,Games!N76=2),"Aerial","")</f>
        <v/>
      </c>
      <c r="O440">
        <f>IF(Table3[[#This Row],[First Title]]="Started", (Table3[[#This Row],[Score]]+0)*2,Table3[[#This Row],[Score]]+0)</f>
        <v>0</v>
      </c>
      <c r="P440" s="2" t="str">
        <f>IF(Table3[[#This Row],[Helper]]&gt;191,"Gold",IF(Table3[[#This Row],[Helper]]&gt;171,"Silver",IF(Table3[[#This Row],[Helper]]&gt;141,"Bronze","")))</f>
        <v/>
      </c>
    </row>
    <row r="441" spans="9:16" x14ac:dyDescent="0.25">
      <c r="I441" s="285">
        <f>Games!D77</f>
        <v>0</v>
      </c>
      <c r="J441" s="286" t="str">
        <f>Games!E77</f>
        <v/>
      </c>
      <c r="K441" s="287" t="str">
        <f t="shared" si="15"/>
        <v/>
      </c>
      <c r="L441" s="285" t="str">
        <f>IF(AND(Games!S77=3,Games!N77=2),"Aerial","")</f>
        <v/>
      </c>
      <c r="O441">
        <f>IF(Table3[[#This Row],[First Title]]="Started", (Table3[[#This Row],[Score]]+0)*2,Table3[[#This Row],[Score]]+0)</f>
        <v>0</v>
      </c>
      <c r="P441" s="2" t="str">
        <f>IF(Table3[[#This Row],[Helper]]&gt;191,"Gold",IF(Table3[[#This Row],[Helper]]&gt;171,"Silver",IF(Table3[[#This Row],[Helper]]&gt;141,"Bronze","")))</f>
        <v/>
      </c>
    </row>
    <row r="442" spans="9:16" x14ac:dyDescent="0.25">
      <c r="I442" s="285">
        <f>Games!D78</f>
        <v>0</v>
      </c>
      <c r="J442" s="286" t="str">
        <f>Games!E78</f>
        <v/>
      </c>
      <c r="K442" s="287" t="str">
        <f t="shared" si="15"/>
        <v/>
      </c>
      <c r="L442" s="285" t="str">
        <f>IF(AND(Games!S78=3,Games!N78=2),"Aerial","")</f>
        <v/>
      </c>
      <c r="O442">
        <f>IF(Table3[[#This Row],[First Title]]="Started", (Table3[[#This Row],[Score]]+0)*2,Table3[[#This Row],[Score]]+0)</f>
        <v>0</v>
      </c>
      <c r="P442" s="2" t="str">
        <f>IF(Table3[[#This Row],[Helper]]&gt;191,"Gold",IF(Table3[[#This Row],[Helper]]&gt;171,"Silver",IF(Table3[[#This Row],[Helper]]&gt;141,"Bronze","")))</f>
        <v/>
      </c>
    </row>
    <row r="443" spans="9:16" x14ac:dyDescent="0.25">
      <c r="I443" s="285">
        <f>Games!D79</f>
        <v>0</v>
      </c>
      <c r="J443" s="286" t="str">
        <f>Games!E79</f>
        <v/>
      </c>
      <c r="K443" s="287" t="str">
        <f t="shared" si="15"/>
        <v/>
      </c>
      <c r="L443" s="285" t="str">
        <f>IF(AND(Games!S79=3,Games!N79=2),"Aerial","")</f>
        <v/>
      </c>
      <c r="O443">
        <f>IF(Table3[[#This Row],[First Title]]="Started", (Table3[[#This Row],[Score]]+0)*2,Table3[[#This Row],[Score]]+0)</f>
        <v>0</v>
      </c>
      <c r="P443" s="2" t="str">
        <f>IF(Table3[[#This Row],[Helper]]&gt;191,"Gold",IF(Table3[[#This Row],[Helper]]&gt;171,"Silver",IF(Table3[[#This Row],[Helper]]&gt;141,"Bronze","")))</f>
        <v/>
      </c>
    </row>
    <row r="444" spans="9:16" x14ac:dyDescent="0.25">
      <c r="I444" s="285">
        <f>Games!D80</f>
        <v>0</v>
      </c>
      <c r="J444" s="286" t="str">
        <f>Games!E80</f>
        <v/>
      </c>
      <c r="K444" s="287" t="str">
        <f t="shared" si="15"/>
        <v/>
      </c>
      <c r="L444" s="285" t="str">
        <f>IF(AND(Games!S80=3,Games!N80=2),"Aerial","")</f>
        <v/>
      </c>
      <c r="O444">
        <f>IF(Table3[[#This Row],[First Title]]="Started", (Table3[[#This Row],[Score]]+0)*2,Table3[[#This Row],[Score]]+0)</f>
        <v>0</v>
      </c>
      <c r="P444" s="2" t="str">
        <f>IF(Table3[[#This Row],[Helper]]&gt;191,"Gold",IF(Table3[[#This Row],[Helper]]&gt;171,"Silver",IF(Table3[[#This Row],[Helper]]&gt;141,"Bronze","")))</f>
        <v/>
      </c>
    </row>
    <row r="445" spans="9:16" x14ac:dyDescent="0.25">
      <c r="I445" s="285">
        <f>Games!D81</f>
        <v>0</v>
      </c>
      <c r="J445" s="286" t="str">
        <f>Games!E81</f>
        <v/>
      </c>
      <c r="K445" s="287" t="str">
        <f t="shared" si="15"/>
        <v/>
      </c>
      <c r="L445" s="285" t="str">
        <f>IF(AND(Games!S81=3,Games!N81=2),"Aerial","")</f>
        <v/>
      </c>
      <c r="O445">
        <f>IF(Table3[[#This Row],[First Title]]="Started", (Table3[[#This Row],[Score]]+0)*2,Table3[[#This Row],[Score]]+0)</f>
        <v>0</v>
      </c>
      <c r="P445" s="2" t="str">
        <f>IF(Table3[[#This Row],[Helper]]&gt;191,"Gold",IF(Table3[[#This Row],[Helper]]&gt;171,"Silver",IF(Table3[[#This Row],[Helper]]&gt;141,"Bronze","")))</f>
        <v/>
      </c>
    </row>
    <row r="446" spans="9:16" x14ac:dyDescent="0.25">
      <c r="I446" s="285">
        <f>Games!D82</f>
        <v>0</v>
      </c>
      <c r="J446" s="286" t="str">
        <f>Games!E82</f>
        <v/>
      </c>
      <c r="K446" s="287" t="str">
        <f t="shared" si="15"/>
        <v/>
      </c>
      <c r="L446" s="285" t="str">
        <f>IF(AND(Games!S82=3,Games!N82=2),"Aerial","")</f>
        <v/>
      </c>
      <c r="O446">
        <f>IF(Table3[[#This Row],[First Title]]="Started", (Table3[[#This Row],[Score]]+0)*2,Table3[[#This Row],[Score]]+0)</f>
        <v>0</v>
      </c>
      <c r="P446" s="2" t="str">
        <f>IF(Table3[[#This Row],[Helper]]&gt;191,"Gold",IF(Table3[[#This Row],[Helper]]&gt;171,"Silver",IF(Table3[[#This Row],[Helper]]&gt;141,"Bronze","")))</f>
        <v/>
      </c>
    </row>
    <row r="447" spans="9:16" x14ac:dyDescent="0.25">
      <c r="I447" s="285">
        <f>Games!D83</f>
        <v>0</v>
      </c>
      <c r="J447" s="286" t="str">
        <f>Games!E83</f>
        <v/>
      </c>
      <c r="K447" s="287" t="str">
        <f t="shared" si="15"/>
        <v/>
      </c>
      <c r="L447" s="285" t="str">
        <f>IF(AND(Games!S83=3,Games!N83=2),"Aerial","")</f>
        <v/>
      </c>
      <c r="O447">
        <f>IF(Table3[[#This Row],[First Title]]="Started", (Table3[[#This Row],[Score]]+0)*2,Table3[[#This Row],[Score]]+0)</f>
        <v>0</v>
      </c>
      <c r="P447" s="2" t="str">
        <f>IF(Table3[[#This Row],[Helper]]&gt;191,"Gold",IF(Table3[[#This Row],[Helper]]&gt;171,"Silver",IF(Table3[[#This Row],[Helper]]&gt;141,"Bronze","")))</f>
        <v/>
      </c>
    </row>
    <row r="448" spans="9:16" x14ac:dyDescent="0.25">
      <c r="I448" s="285">
        <f>Games!D84</f>
        <v>0</v>
      </c>
      <c r="J448" s="286" t="str">
        <f>Games!E84</f>
        <v/>
      </c>
      <c r="K448" s="287" t="str">
        <f t="shared" si="15"/>
        <v/>
      </c>
      <c r="L448" s="285" t="str">
        <f>IF(AND(Games!S84=3,Games!N84=2),"Aerial","")</f>
        <v/>
      </c>
      <c r="O448">
        <f>IF(Table3[[#This Row],[First Title]]="Started", (Table3[[#This Row],[Score]]+0)*2,Table3[[#This Row],[Score]]+0)</f>
        <v>0</v>
      </c>
      <c r="P448" s="2" t="str">
        <f>IF(Table3[[#This Row],[Helper]]&gt;191,"Gold",IF(Table3[[#This Row],[Helper]]&gt;171,"Silver",IF(Table3[[#This Row],[Helper]]&gt;141,"Bronze","")))</f>
        <v/>
      </c>
    </row>
    <row r="449" spans="9:16" x14ac:dyDescent="0.25">
      <c r="I449" s="285">
        <f>Games!D85</f>
        <v>0</v>
      </c>
      <c r="J449" s="286" t="str">
        <f>Games!E85</f>
        <v/>
      </c>
      <c r="K449" s="287" t="str">
        <f t="shared" si="15"/>
        <v/>
      </c>
      <c r="L449" s="285" t="str">
        <f>IF(AND(Games!S85=3,Games!N85=2),"Aerial","")</f>
        <v/>
      </c>
      <c r="O449">
        <f>IF(Table3[[#This Row],[First Title]]="Started", (Table3[[#This Row],[Score]]+0)*2,Table3[[#This Row],[Score]]+0)</f>
        <v>0</v>
      </c>
      <c r="P449" s="2" t="str">
        <f>IF(Table3[[#This Row],[Helper]]&gt;191,"Gold",IF(Table3[[#This Row],[Helper]]&gt;171,"Silver",IF(Table3[[#This Row],[Helper]]&gt;141,"Bronze","")))</f>
        <v/>
      </c>
    </row>
    <row r="450" spans="9:16" x14ac:dyDescent="0.25">
      <c r="I450" s="285">
        <f>Games!D86</f>
        <v>0</v>
      </c>
      <c r="J450" s="286" t="str">
        <f>Games!E86</f>
        <v/>
      </c>
      <c r="K450" s="287" t="str">
        <f t="shared" si="15"/>
        <v/>
      </c>
      <c r="L450" s="285" t="str">
        <f>IF(AND(Games!S86=3,Games!N86=2),"Aerial","")</f>
        <v/>
      </c>
      <c r="O450">
        <f>IF(Table3[[#This Row],[First Title]]="Started", (Table3[[#This Row],[Score]]+0)*2,Table3[[#This Row],[Score]]+0)</f>
        <v>0</v>
      </c>
      <c r="P450" s="2" t="str">
        <f>IF(Table3[[#This Row],[Helper]]&gt;191,"Gold",IF(Table3[[#This Row],[Helper]]&gt;171,"Silver",IF(Table3[[#This Row],[Helper]]&gt;141,"Bronze","")))</f>
        <v/>
      </c>
    </row>
    <row r="451" spans="9:16" x14ac:dyDescent="0.25">
      <c r="I451" s="285">
        <f>Games!D87</f>
        <v>0</v>
      </c>
      <c r="J451" s="286" t="str">
        <f>Games!E87</f>
        <v/>
      </c>
      <c r="K451" s="287" t="str">
        <f t="shared" si="15"/>
        <v/>
      </c>
      <c r="L451" s="285" t="str">
        <f>IF(AND(Games!S87=3,Games!N87=2),"Aerial","")</f>
        <v/>
      </c>
      <c r="O451">
        <f>IF(Table3[[#This Row],[First Title]]="Started", (Table3[[#This Row],[Score]]+0)*2,Table3[[#This Row],[Score]]+0)</f>
        <v>0</v>
      </c>
      <c r="P451" s="2" t="str">
        <f>IF(Table3[[#This Row],[Helper]]&gt;191,"Gold",IF(Table3[[#This Row],[Helper]]&gt;171,"Silver",IF(Table3[[#This Row],[Helper]]&gt;141,"Bronze","")))</f>
        <v/>
      </c>
    </row>
    <row r="452" spans="9:16" x14ac:dyDescent="0.25">
      <c r="I452" s="285">
        <f>Games!D88</f>
        <v>0</v>
      </c>
      <c r="J452" s="286" t="str">
        <f>Games!E88</f>
        <v/>
      </c>
      <c r="K452" s="287" t="str">
        <f t="shared" si="15"/>
        <v/>
      </c>
      <c r="L452" s="285" t="str">
        <f>IF(AND(Games!S88=3,Games!N88=2),"Aerial","")</f>
        <v/>
      </c>
      <c r="O452">
        <f>IF(Table3[[#This Row],[First Title]]="Started", (Table3[[#This Row],[Score]]+0)*2,Table3[[#This Row],[Score]]+0)</f>
        <v>0</v>
      </c>
      <c r="P452" s="2" t="str">
        <f>IF(Table3[[#This Row],[Helper]]&gt;191,"Gold",IF(Table3[[#This Row],[Helper]]&gt;171,"Silver",IF(Table3[[#This Row],[Helper]]&gt;141,"Bronze","")))</f>
        <v/>
      </c>
    </row>
    <row r="453" spans="9:16" x14ac:dyDescent="0.25">
      <c r="I453" s="285">
        <f>Games!D89</f>
        <v>0</v>
      </c>
      <c r="J453" s="286" t="str">
        <f>Games!E89</f>
        <v/>
      </c>
      <c r="K453" s="287" t="str">
        <f t="shared" si="15"/>
        <v/>
      </c>
      <c r="L453" s="285" t="str">
        <f>IF(AND(Games!S89=3,Games!N89=2),"Aerial","")</f>
        <v/>
      </c>
      <c r="O453">
        <f>IF(Table3[[#This Row],[First Title]]="Started", (Table3[[#This Row],[Score]]+0)*2,Table3[[#This Row],[Score]]+0)</f>
        <v>0</v>
      </c>
      <c r="P453" s="2" t="str">
        <f>IF(Table3[[#This Row],[Helper]]&gt;191,"Gold",IF(Table3[[#This Row],[Helper]]&gt;171,"Silver",IF(Table3[[#This Row],[Helper]]&gt;141,"Bronze","")))</f>
        <v/>
      </c>
    </row>
    <row r="454" spans="9:16" x14ac:dyDescent="0.25">
      <c r="I454" s="285">
        <f>Games!D90</f>
        <v>0</v>
      </c>
      <c r="J454" s="286" t="str">
        <f>Games!E90</f>
        <v/>
      </c>
      <c r="K454" s="287" t="str">
        <f t="shared" si="15"/>
        <v/>
      </c>
      <c r="L454" s="285" t="str">
        <f>IF(AND(Games!S90=3,Games!N90=2),"Aerial","")</f>
        <v/>
      </c>
      <c r="O454">
        <f>IF(Table3[[#This Row],[First Title]]="Started", (Table3[[#This Row],[Score]]+0)*2,Table3[[#This Row],[Score]]+0)</f>
        <v>0</v>
      </c>
      <c r="P454" s="2" t="str">
        <f>IF(Table3[[#This Row],[Helper]]&gt;191,"Gold",IF(Table3[[#This Row],[Helper]]&gt;171,"Silver",IF(Table3[[#This Row],[Helper]]&gt;141,"Bronze","")))</f>
        <v/>
      </c>
    </row>
    <row r="455" spans="9:16" x14ac:dyDescent="0.25">
      <c r="I455" s="285">
        <f>Games!D91</f>
        <v>0</v>
      </c>
      <c r="J455" s="286" t="str">
        <f>Games!E91</f>
        <v/>
      </c>
      <c r="K455" s="287" t="str">
        <f t="shared" si="15"/>
        <v/>
      </c>
      <c r="L455" s="285" t="str">
        <f>IF(AND(Games!S91=3,Games!N91=2),"Aerial","")</f>
        <v/>
      </c>
      <c r="O455">
        <f>IF(Table3[[#This Row],[First Title]]="Started", (Table3[[#This Row],[Score]]+0)*2,Table3[[#This Row],[Score]]+0)</f>
        <v>0</v>
      </c>
      <c r="P455" s="2" t="str">
        <f>IF(Table3[[#This Row],[Helper]]&gt;191,"Gold",IF(Table3[[#This Row],[Helper]]&gt;171,"Silver",IF(Table3[[#This Row],[Helper]]&gt;141,"Bronze","")))</f>
        <v/>
      </c>
    </row>
    <row r="456" spans="9:16" x14ac:dyDescent="0.25">
      <c r="I456" s="285">
        <f>Games!D92</f>
        <v>0</v>
      </c>
      <c r="J456" s="286" t="str">
        <f>Games!E92</f>
        <v/>
      </c>
      <c r="K456" s="287" t="str">
        <f t="shared" si="15"/>
        <v/>
      </c>
      <c r="L456" s="285" t="str">
        <f>IF(AND(Games!S92=3,Games!N92=2),"Aerial","")</f>
        <v/>
      </c>
      <c r="O456">
        <f>IF(Table3[[#This Row],[First Title]]="Started", (Table3[[#This Row],[Score]]+0)*2,Table3[[#This Row],[Score]]+0)</f>
        <v>0</v>
      </c>
      <c r="P456" s="2" t="str">
        <f>IF(Table3[[#This Row],[Helper]]&gt;191,"Gold",IF(Table3[[#This Row],[Helper]]&gt;171,"Silver",IF(Table3[[#This Row],[Helper]]&gt;141,"Bronze","")))</f>
        <v/>
      </c>
    </row>
    <row r="457" spans="9:16" x14ac:dyDescent="0.25">
      <c r="I457" s="285">
        <f>Games!D93</f>
        <v>0</v>
      </c>
      <c r="J457" s="286" t="str">
        <f>Games!E93</f>
        <v/>
      </c>
      <c r="K457" s="287" t="str">
        <f t="shared" si="15"/>
        <v/>
      </c>
      <c r="L457" s="285" t="str">
        <f>IF(AND(Games!S93=3,Games!N93=2),"Aerial","")</f>
        <v/>
      </c>
      <c r="O457">
        <f>IF(Table3[[#This Row],[First Title]]="Started", (Table3[[#This Row],[Score]]+0)*2,Table3[[#This Row],[Score]]+0)</f>
        <v>0</v>
      </c>
      <c r="P457" s="2" t="str">
        <f>IF(Table3[[#This Row],[Helper]]&gt;191,"Gold",IF(Table3[[#This Row],[Helper]]&gt;171,"Silver",IF(Table3[[#This Row],[Helper]]&gt;141,"Bronze","")))</f>
        <v/>
      </c>
    </row>
    <row r="458" spans="9:16" x14ac:dyDescent="0.25">
      <c r="I458" s="285">
        <f>Games!D94</f>
        <v>0</v>
      </c>
      <c r="J458" s="286" t="str">
        <f>Games!E94</f>
        <v/>
      </c>
      <c r="K458" s="287" t="str">
        <f t="shared" si="15"/>
        <v/>
      </c>
      <c r="L458" s="285" t="str">
        <f>IF(AND(Games!S94=3,Games!N94=2),"Aerial","")</f>
        <v/>
      </c>
      <c r="O458">
        <f>IF(Table3[[#This Row],[First Title]]="Started", (Table3[[#This Row],[Score]]+0)*2,Table3[[#This Row],[Score]]+0)</f>
        <v>0</v>
      </c>
      <c r="P458" s="2" t="str">
        <f>IF(Table3[[#This Row],[Helper]]&gt;191,"Gold",IF(Table3[[#This Row],[Helper]]&gt;171,"Silver",IF(Table3[[#This Row],[Helper]]&gt;141,"Bronze","")))</f>
        <v/>
      </c>
    </row>
    <row r="459" spans="9:16" x14ac:dyDescent="0.25">
      <c r="I459" s="285">
        <f>Games!D95</f>
        <v>0</v>
      </c>
      <c r="J459" s="286" t="str">
        <f>Games!E95</f>
        <v/>
      </c>
      <c r="K459" s="287" t="str">
        <f t="shared" si="15"/>
        <v/>
      </c>
      <c r="L459" s="285" t="str">
        <f>IF(AND(Games!S95=3,Games!N95=2),"Aerial","")</f>
        <v/>
      </c>
      <c r="O459">
        <f>IF(Table3[[#This Row],[First Title]]="Started", (Table3[[#This Row],[Score]]+0)*2,Table3[[#This Row],[Score]]+0)</f>
        <v>0</v>
      </c>
      <c r="P459" s="2" t="str">
        <f>IF(Table3[[#This Row],[Helper]]&gt;191,"Gold",IF(Table3[[#This Row],[Helper]]&gt;171,"Silver",IF(Table3[[#This Row],[Helper]]&gt;141,"Bronze","")))</f>
        <v/>
      </c>
    </row>
    <row r="460" spans="9:16" x14ac:dyDescent="0.25">
      <c r="I460" s="285">
        <f>Games!D96</f>
        <v>0</v>
      </c>
      <c r="J460" s="286" t="str">
        <f>Games!E96</f>
        <v/>
      </c>
      <c r="K460" s="287" t="str">
        <f t="shared" si="15"/>
        <v/>
      </c>
      <c r="L460" s="285" t="str">
        <f>IF(AND(Games!S96=3,Games!N96=2),"Aerial","")</f>
        <v/>
      </c>
      <c r="O460">
        <f>IF(Table3[[#This Row],[First Title]]="Started", (Table3[[#This Row],[Score]]+0)*2,Table3[[#This Row],[Score]]+0)</f>
        <v>0</v>
      </c>
      <c r="P460" s="2" t="str">
        <f>IF(Table3[[#This Row],[Helper]]&gt;191,"Gold",IF(Table3[[#This Row],[Helper]]&gt;171,"Silver",IF(Table3[[#This Row],[Helper]]&gt;141,"Bronze","")))</f>
        <v/>
      </c>
    </row>
    <row r="461" spans="9:16" x14ac:dyDescent="0.25">
      <c r="I461" s="285">
        <f>Games!D97</f>
        <v>0</v>
      </c>
      <c r="J461" s="286" t="str">
        <f>Games!E97</f>
        <v/>
      </c>
      <c r="K461" s="287" t="str">
        <f t="shared" si="15"/>
        <v/>
      </c>
      <c r="L461" s="285" t="str">
        <f>IF(AND(Games!S97=3,Games!N97=2),"Aerial","")</f>
        <v/>
      </c>
      <c r="O461">
        <f>IF(Table3[[#This Row],[First Title]]="Started", (Table3[[#This Row],[Score]]+0)*2,Table3[[#This Row],[Score]]+0)</f>
        <v>0</v>
      </c>
      <c r="P461" s="2" t="str">
        <f>IF(Table3[[#This Row],[Helper]]&gt;191,"Gold",IF(Table3[[#This Row],[Helper]]&gt;171,"Silver",IF(Table3[[#This Row],[Helper]]&gt;141,"Bronze","")))</f>
        <v/>
      </c>
    </row>
    <row r="462" spans="9:16" x14ac:dyDescent="0.25">
      <c r="I462" s="285">
        <f>Games!D98</f>
        <v>0</v>
      </c>
      <c r="J462" s="286" t="str">
        <f>Games!E98</f>
        <v/>
      </c>
      <c r="K462" s="287" t="str">
        <f t="shared" ref="K462:K479" si="16">TrialDateDay2</f>
        <v/>
      </c>
      <c r="L462" s="285" t="str">
        <f>IF(AND(Games!S98=3,Games!N98=2),"Aerial","")</f>
        <v/>
      </c>
      <c r="O462">
        <f>IF(Table3[[#This Row],[First Title]]="Started", (Table3[[#This Row],[Score]]+0)*2,Table3[[#This Row],[Score]]+0)</f>
        <v>0</v>
      </c>
      <c r="P462" s="2" t="str">
        <f>IF(Table3[[#This Row],[Helper]]&gt;191,"Gold",IF(Table3[[#This Row],[Helper]]&gt;171,"Silver",IF(Table3[[#This Row],[Helper]]&gt;141,"Bronze","")))</f>
        <v/>
      </c>
    </row>
    <row r="463" spans="9:16" x14ac:dyDescent="0.25">
      <c r="I463" s="285">
        <f>Games!D99</f>
        <v>0</v>
      </c>
      <c r="J463" s="286" t="str">
        <f>Games!E99</f>
        <v/>
      </c>
      <c r="K463" s="287" t="str">
        <f t="shared" si="16"/>
        <v/>
      </c>
      <c r="L463" s="285" t="str">
        <f>IF(AND(Games!S99=3,Games!N99=2),"Aerial","")</f>
        <v/>
      </c>
      <c r="O463">
        <f>IF(Table3[[#This Row],[First Title]]="Started", (Table3[[#This Row],[Score]]+0)*2,Table3[[#This Row],[Score]]+0)</f>
        <v>0</v>
      </c>
      <c r="P463" s="2" t="str">
        <f>IF(Table3[[#This Row],[Helper]]&gt;191,"Gold",IF(Table3[[#This Row],[Helper]]&gt;171,"Silver",IF(Table3[[#This Row],[Helper]]&gt;141,"Bronze","")))</f>
        <v/>
      </c>
    </row>
    <row r="464" spans="9:16" x14ac:dyDescent="0.25">
      <c r="I464" s="285">
        <f>Games!D100</f>
        <v>0</v>
      </c>
      <c r="J464" s="286" t="str">
        <f>Games!E100</f>
        <v/>
      </c>
      <c r="K464" s="287" t="str">
        <f t="shared" si="16"/>
        <v/>
      </c>
      <c r="L464" s="285" t="str">
        <f>IF(AND(Games!S100=3,Games!N100=2),"Aerial","")</f>
        <v/>
      </c>
      <c r="O464">
        <f>IF(Table3[[#This Row],[First Title]]="Started", (Table3[[#This Row],[Score]]+0)*2,Table3[[#This Row],[Score]]+0)</f>
        <v>0</v>
      </c>
      <c r="P464" s="2" t="str">
        <f>IF(Table3[[#This Row],[Helper]]&gt;191,"Gold",IF(Table3[[#This Row],[Helper]]&gt;171,"Silver",IF(Table3[[#This Row],[Helper]]&gt;141,"Bronze","")))</f>
        <v/>
      </c>
    </row>
    <row r="465" spans="9:16" x14ac:dyDescent="0.25">
      <c r="I465" s="285">
        <f>Games!D101</f>
        <v>0</v>
      </c>
      <c r="J465" s="286" t="str">
        <f>Games!E101</f>
        <v/>
      </c>
      <c r="K465" s="287" t="str">
        <f t="shared" si="16"/>
        <v/>
      </c>
      <c r="L465" s="285" t="str">
        <f>IF(AND(Games!S101=3,Games!N101=2),"Aerial","")</f>
        <v/>
      </c>
      <c r="O465">
        <f>IF(Table3[[#This Row],[First Title]]="Started", (Table3[[#This Row],[Score]]+0)*2,Table3[[#This Row],[Score]]+0)</f>
        <v>0</v>
      </c>
      <c r="P465" s="2" t="str">
        <f>IF(Table3[[#This Row],[Helper]]&gt;191,"Gold",IF(Table3[[#This Row],[Helper]]&gt;171,"Silver",IF(Table3[[#This Row],[Helper]]&gt;141,"Bronze","")))</f>
        <v/>
      </c>
    </row>
    <row r="466" spans="9:16" x14ac:dyDescent="0.25">
      <c r="I466" s="285">
        <f>Games!D102</f>
        <v>0</v>
      </c>
      <c r="J466" s="286" t="str">
        <f>Games!E102</f>
        <v/>
      </c>
      <c r="K466" s="287" t="str">
        <f t="shared" si="16"/>
        <v/>
      </c>
      <c r="L466" s="285" t="str">
        <f>IF(AND(Games!S102=3,Games!N102=2),"Aerial","")</f>
        <v/>
      </c>
      <c r="O466">
        <f>IF(Table3[[#This Row],[First Title]]="Started", (Table3[[#This Row],[Score]]+0)*2,Table3[[#This Row],[Score]]+0)</f>
        <v>0</v>
      </c>
      <c r="P466" s="2" t="str">
        <f>IF(Table3[[#This Row],[Helper]]&gt;191,"Gold",IF(Table3[[#This Row],[Helper]]&gt;171,"Silver",IF(Table3[[#This Row],[Helper]]&gt;141,"Bronze","")))</f>
        <v/>
      </c>
    </row>
    <row r="467" spans="9:16" x14ac:dyDescent="0.25">
      <c r="I467" s="285">
        <f>Games!D103</f>
        <v>0</v>
      </c>
      <c r="J467" s="286" t="str">
        <f>Games!E103</f>
        <v/>
      </c>
      <c r="K467" s="287" t="str">
        <f t="shared" si="16"/>
        <v/>
      </c>
      <c r="L467" s="285" t="str">
        <f>IF(AND(Games!S103=3,Games!N103=2),"Aerial","")</f>
        <v/>
      </c>
      <c r="O467">
        <f>IF(Table3[[#This Row],[First Title]]="Started", (Table3[[#This Row],[Score]]+0)*2,Table3[[#This Row],[Score]]+0)</f>
        <v>0</v>
      </c>
      <c r="P467" s="2" t="str">
        <f>IF(Table3[[#This Row],[Helper]]&gt;191,"Gold",IF(Table3[[#This Row],[Helper]]&gt;171,"Silver",IF(Table3[[#This Row],[Helper]]&gt;141,"Bronze","")))</f>
        <v/>
      </c>
    </row>
    <row r="468" spans="9:16" x14ac:dyDescent="0.25">
      <c r="I468" s="285">
        <f>Games!D104</f>
        <v>0</v>
      </c>
      <c r="J468" s="286" t="str">
        <f>Games!E104</f>
        <v/>
      </c>
      <c r="K468" s="287" t="str">
        <f t="shared" si="16"/>
        <v/>
      </c>
      <c r="L468" s="285" t="str">
        <f>IF(AND(Games!S104=3,Games!N104=2),"Aerial","")</f>
        <v/>
      </c>
      <c r="O468">
        <f>IF(Table3[[#This Row],[First Title]]="Started", (Table3[[#This Row],[Score]]+0)*2,Table3[[#This Row],[Score]]+0)</f>
        <v>0</v>
      </c>
      <c r="P468" s="2" t="str">
        <f>IF(Table3[[#This Row],[Helper]]&gt;191,"Gold",IF(Table3[[#This Row],[Helper]]&gt;171,"Silver",IF(Table3[[#This Row],[Helper]]&gt;141,"Bronze","")))</f>
        <v/>
      </c>
    </row>
    <row r="469" spans="9:16" x14ac:dyDescent="0.25">
      <c r="I469" s="285">
        <f>Games!D105</f>
        <v>0</v>
      </c>
      <c r="J469" s="286" t="str">
        <f>Games!E105</f>
        <v/>
      </c>
      <c r="K469" s="287" t="str">
        <f t="shared" si="16"/>
        <v/>
      </c>
      <c r="L469" s="285" t="str">
        <f>IF(AND(Games!S105=3,Games!N105=2),"Aerial","")</f>
        <v/>
      </c>
      <c r="O469">
        <f>IF(Table3[[#This Row],[First Title]]="Started", (Table3[[#This Row],[Score]]+0)*2,Table3[[#This Row],[Score]]+0)</f>
        <v>0</v>
      </c>
      <c r="P469" s="2" t="str">
        <f>IF(Table3[[#This Row],[Helper]]&gt;191,"Gold",IF(Table3[[#This Row],[Helper]]&gt;171,"Silver",IF(Table3[[#This Row],[Helper]]&gt;141,"Bronze","")))</f>
        <v/>
      </c>
    </row>
    <row r="470" spans="9:16" x14ac:dyDescent="0.25">
      <c r="I470" s="285">
        <f>Games!D106</f>
        <v>0</v>
      </c>
      <c r="J470" s="286" t="str">
        <f>Games!E106</f>
        <v/>
      </c>
      <c r="K470" s="287" t="str">
        <f t="shared" si="16"/>
        <v/>
      </c>
      <c r="L470" s="285" t="str">
        <f>IF(AND(Games!S106=3,Games!N106=2),"Aerial","")</f>
        <v/>
      </c>
      <c r="O470">
        <f>IF(Table3[[#This Row],[First Title]]="Started", (Table3[[#This Row],[Score]]+0)*2,Table3[[#This Row],[Score]]+0)</f>
        <v>0</v>
      </c>
      <c r="P470" s="2" t="str">
        <f>IF(Table3[[#This Row],[Helper]]&gt;191,"Gold",IF(Table3[[#This Row],[Helper]]&gt;171,"Silver",IF(Table3[[#This Row],[Helper]]&gt;141,"Bronze","")))</f>
        <v/>
      </c>
    </row>
    <row r="471" spans="9:16" x14ac:dyDescent="0.25">
      <c r="I471" s="285">
        <f>Games!D107</f>
        <v>0</v>
      </c>
      <c r="J471" s="286" t="str">
        <f>Games!E107</f>
        <v/>
      </c>
      <c r="K471" s="287" t="str">
        <f t="shared" si="16"/>
        <v/>
      </c>
      <c r="L471" s="285" t="str">
        <f>IF(AND(Games!S107=3,Games!N107=2),"Aerial","")</f>
        <v/>
      </c>
      <c r="O471">
        <f>IF(Table3[[#This Row],[First Title]]="Started", (Table3[[#This Row],[Score]]+0)*2,Table3[[#This Row],[Score]]+0)</f>
        <v>0</v>
      </c>
      <c r="P471" s="2" t="str">
        <f>IF(Table3[[#This Row],[Helper]]&gt;191,"Gold",IF(Table3[[#This Row],[Helper]]&gt;171,"Silver",IF(Table3[[#This Row],[Helper]]&gt;141,"Bronze","")))</f>
        <v/>
      </c>
    </row>
    <row r="472" spans="9:16" x14ac:dyDescent="0.25">
      <c r="I472" s="285">
        <f>Games!D108</f>
        <v>0</v>
      </c>
      <c r="J472" s="286" t="str">
        <f>Games!E108</f>
        <v/>
      </c>
      <c r="K472" s="287" t="str">
        <f t="shared" si="16"/>
        <v/>
      </c>
      <c r="L472" s="285" t="str">
        <f>IF(AND(Games!S108=3,Games!N108=2),"Aerial","")</f>
        <v/>
      </c>
      <c r="O472">
        <f>IF(Table3[[#This Row],[First Title]]="Started", (Table3[[#This Row],[Score]]+0)*2,Table3[[#This Row],[Score]]+0)</f>
        <v>0</v>
      </c>
      <c r="P472" s="2" t="str">
        <f>IF(Table3[[#This Row],[Helper]]&gt;191,"Gold",IF(Table3[[#This Row],[Helper]]&gt;171,"Silver",IF(Table3[[#This Row],[Helper]]&gt;141,"Bronze","")))</f>
        <v/>
      </c>
    </row>
    <row r="473" spans="9:16" x14ac:dyDescent="0.25">
      <c r="I473" s="285">
        <f>Games!D109</f>
        <v>0</v>
      </c>
      <c r="J473" s="286" t="str">
        <f>Games!E109</f>
        <v/>
      </c>
      <c r="K473" s="287" t="str">
        <f t="shared" si="16"/>
        <v/>
      </c>
      <c r="L473" s="285" t="str">
        <f>IF(AND(Games!S109=3,Games!N109=2),"Aerial","")</f>
        <v/>
      </c>
      <c r="O473">
        <f>IF(Table3[[#This Row],[First Title]]="Started", (Table3[[#This Row],[Score]]+0)*2,Table3[[#This Row],[Score]]+0)</f>
        <v>0</v>
      </c>
      <c r="P473" s="2" t="str">
        <f>IF(Table3[[#This Row],[Helper]]&gt;191,"Gold",IF(Table3[[#This Row],[Helper]]&gt;171,"Silver",IF(Table3[[#This Row],[Helper]]&gt;141,"Bronze","")))</f>
        <v/>
      </c>
    </row>
    <row r="474" spans="9:16" x14ac:dyDescent="0.25">
      <c r="I474" s="285">
        <f>Games!D110</f>
        <v>0</v>
      </c>
      <c r="J474" s="286" t="str">
        <f>Games!E110</f>
        <v/>
      </c>
      <c r="K474" s="287" t="str">
        <f t="shared" si="16"/>
        <v/>
      </c>
      <c r="L474" s="285" t="str">
        <f>IF(AND(Games!S110=3,Games!N110=2),"Aerial","")</f>
        <v/>
      </c>
      <c r="O474">
        <f>IF(Table3[[#This Row],[First Title]]="Started", (Table3[[#This Row],[Score]]+0)*2,Table3[[#This Row],[Score]]+0)</f>
        <v>0</v>
      </c>
      <c r="P474" s="2" t="str">
        <f>IF(Table3[[#This Row],[Helper]]&gt;191,"Gold",IF(Table3[[#This Row],[Helper]]&gt;171,"Silver",IF(Table3[[#This Row],[Helper]]&gt;141,"Bronze","")))</f>
        <v/>
      </c>
    </row>
    <row r="475" spans="9:16" x14ac:dyDescent="0.25">
      <c r="I475" s="285">
        <f>Games!D111</f>
        <v>0</v>
      </c>
      <c r="J475" s="286" t="str">
        <f>Games!E111</f>
        <v/>
      </c>
      <c r="K475" s="287" t="str">
        <f t="shared" si="16"/>
        <v/>
      </c>
      <c r="L475" s="285" t="str">
        <f>IF(AND(Games!S111=3,Games!N111=2),"Aerial","")</f>
        <v/>
      </c>
      <c r="O475">
        <f>IF(Table3[[#This Row],[First Title]]="Started", (Table3[[#This Row],[Score]]+0)*2,Table3[[#This Row],[Score]]+0)</f>
        <v>0</v>
      </c>
      <c r="P475" s="2" t="str">
        <f>IF(Table3[[#This Row],[Helper]]&gt;191,"Gold",IF(Table3[[#This Row],[Helper]]&gt;171,"Silver",IF(Table3[[#This Row],[Helper]]&gt;141,"Bronze","")))</f>
        <v/>
      </c>
    </row>
    <row r="476" spans="9:16" x14ac:dyDescent="0.25">
      <c r="I476" s="285">
        <f>Games!D112</f>
        <v>0</v>
      </c>
      <c r="J476" s="286" t="str">
        <f>Games!E112</f>
        <v/>
      </c>
      <c r="K476" s="287" t="str">
        <f t="shared" si="16"/>
        <v/>
      </c>
      <c r="L476" s="285" t="str">
        <f>IF(AND(Games!S112=3,Games!N112=2),"Aerial","")</f>
        <v/>
      </c>
      <c r="O476">
        <f>IF(Table3[[#This Row],[First Title]]="Started", (Table3[[#This Row],[Score]]+0)*2,Table3[[#This Row],[Score]]+0)</f>
        <v>0</v>
      </c>
      <c r="P476" s="2" t="str">
        <f>IF(Table3[[#This Row],[Helper]]&gt;191,"Gold",IF(Table3[[#This Row],[Helper]]&gt;171,"Silver",IF(Table3[[#This Row],[Helper]]&gt;141,"Bronze","")))</f>
        <v/>
      </c>
    </row>
    <row r="477" spans="9:16" x14ac:dyDescent="0.25">
      <c r="I477" s="285">
        <f>Games!D113</f>
        <v>0</v>
      </c>
      <c r="J477" s="286" t="str">
        <f>Games!E113</f>
        <v/>
      </c>
      <c r="K477" s="287" t="str">
        <f t="shared" si="16"/>
        <v/>
      </c>
      <c r="L477" s="285" t="str">
        <f>IF(AND(Games!S113=3,Games!N113=2),"Aerial","")</f>
        <v/>
      </c>
      <c r="O477">
        <f>IF(Table3[[#This Row],[First Title]]="Started", (Table3[[#This Row],[Score]]+0)*2,Table3[[#This Row],[Score]]+0)</f>
        <v>0</v>
      </c>
      <c r="P477" s="2" t="str">
        <f>IF(Table3[[#This Row],[Helper]]&gt;191,"Gold",IF(Table3[[#This Row],[Helper]]&gt;171,"Silver",IF(Table3[[#This Row],[Helper]]&gt;141,"Bronze","")))</f>
        <v/>
      </c>
    </row>
    <row r="478" spans="9:16" x14ac:dyDescent="0.25">
      <c r="I478" s="285">
        <f>Games!D114</f>
        <v>0</v>
      </c>
      <c r="J478" s="286" t="str">
        <f>Games!E114</f>
        <v/>
      </c>
      <c r="K478" s="287" t="str">
        <f t="shared" si="16"/>
        <v/>
      </c>
      <c r="L478" s="285" t="str">
        <f>IF(AND(Games!S114=3,Games!N114=2),"Aerial","")</f>
        <v/>
      </c>
      <c r="O478">
        <f>IF(Table3[[#This Row],[First Title]]="Started", (Table3[[#This Row],[Score]]+0)*2,Table3[[#This Row],[Score]]+0)</f>
        <v>0</v>
      </c>
      <c r="P478" s="2" t="str">
        <f>IF(Table3[[#This Row],[Helper]]&gt;191,"Gold",IF(Table3[[#This Row],[Helper]]&gt;171,"Silver",IF(Table3[[#This Row],[Helper]]&gt;141,"Bronze","")))</f>
        <v/>
      </c>
    </row>
    <row r="479" spans="9:16" x14ac:dyDescent="0.25">
      <c r="I479" s="285">
        <f>Games!D115</f>
        <v>0</v>
      </c>
      <c r="J479" s="286" t="str">
        <f>Games!E115</f>
        <v/>
      </c>
      <c r="K479" s="287" t="str">
        <f t="shared" si="16"/>
        <v/>
      </c>
      <c r="L479" s="285" t="str">
        <f>IF(AND(Games!S115=3,Games!N115=2),"Aerial","")</f>
        <v/>
      </c>
      <c r="O479">
        <f>IF(Table3[[#This Row],[First Title]]="Started", (Table3[[#This Row],[Score]]+0)*2,Table3[[#This Row],[Score]]+0)</f>
        <v>0</v>
      </c>
      <c r="P479" s="2" t="str">
        <f>IF(Table3[[#This Row],[Helper]]&gt;191,"Gold",IF(Table3[[#This Row],[Helper]]&gt;171,"Silver",IF(Table3[[#This Row],[Helper]]&gt;141,"Bronze","")))</f>
        <v/>
      </c>
    </row>
    <row r="480" spans="9:16" x14ac:dyDescent="0.25">
      <c r="I480" s="285">
        <f>Games!D7</f>
        <v>0</v>
      </c>
      <c r="J480" s="286" t="str">
        <f>Games!E7</f>
        <v/>
      </c>
      <c r="K480" s="287" t="str">
        <f t="shared" ref="K480:K529" si="17">TrialDate</f>
        <v/>
      </c>
      <c r="L480" s="285" t="str">
        <f>IF(AND(Games!Z7=3,Games!U7=2),"Distance","")</f>
        <v/>
      </c>
      <c r="O480">
        <f>IF(Table3[[#This Row],[First Title]]="Started", (Table3[[#This Row],[Score]]+0)*2,Table3[[#This Row],[Score]]+0)</f>
        <v>0</v>
      </c>
      <c r="P480" s="2" t="str">
        <f>IF(Table3[[#This Row],[Helper]]&gt;191,"Gold",IF(Table3[[#This Row],[Helper]]&gt;171,"Silver",IF(Table3[[#This Row],[Helper]]&gt;141,"Bronze","")))</f>
        <v/>
      </c>
    </row>
    <row r="481" spans="9:16" x14ac:dyDescent="0.25">
      <c r="I481" s="285">
        <f>Games!D8</f>
        <v>0</v>
      </c>
      <c r="J481" s="286" t="str">
        <f>Games!E8</f>
        <v/>
      </c>
      <c r="K481" s="287" t="str">
        <f t="shared" si="17"/>
        <v/>
      </c>
      <c r="L481" s="285" t="str">
        <f>IF(AND(Games!Z8=3,Games!U8=2),"Distance","")</f>
        <v/>
      </c>
      <c r="O481">
        <f>IF(Table3[[#This Row],[First Title]]="Started", (Table3[[#This Row],[Score]]+0)*2,Table3[[#This Row],[Score]]+0)</f>
        <v>0</v>
      </c>
      <c r="P481" s="2" t="str">
        <f>IF(Table3[[#This Row],[Helper]]&gt;191,"Gold",IF(Table3[[#This Row],[Helper]]&gt;171,"Silver",IF(Table3[[#This Row],[Helper]]&gt;141,"Bronze","")))</f>
        <v/>
      </c>
    </row>
    <row r="482" spans="9:16" x14ac:dyDescent="0.25">
      <c r="I482" s="285">
        <f>Games!D9</f>
        <v>0</v>
      </c>
      <c r="J482" s="286" t="str">
        <f>Games!E9</f>
        <v/>
      </c>
      <c r="K482" s="287" t="str">
        <f t="shared" si="17"/>
        <v/>
      </c>
      <c r="L482" s="285" t="str">
        <f>IF(AND(Games!Z9=3,Games!U9=2),"Distance","")</f>
        <v/>
      </c>
      <c r="O482">
        <f>IF(Table3[[#This Row],[First Title]]="Started", (Table3[[#This Row],[Score]]+0)*2,Table3[[#This Row],[Score]]+0)</f>
        <v>0</v>
      </c>
      <c r="P482" s="2" t="str">
        <f>IF(Table3[[#This Row],[Helper]]&gt;191,"Gold",IF(Table3[[#This Row],[Helper]]&gt;171,"Silver",IF(Table3[[#This Row],[Helper]]&gt;141,"Bronze","")))</f>
        <v/>
      </c>
    </row>
    <row r="483" spans="9:16" x14ac:dyDescent="0.25">
      <c r="I483" s="285">
        <f>Games!D10</f>
        <v>0</v>
      </c>
      <c r="J483" s="286" t="str">
        <f>Games!E10</f>
        <v/>
      </c>
      <c r="K483" s="287" t="str">
        <f t="shared" si="17"/>
        <v/>
      </c>
      <c r="L483" s="285" t="str">
        <f>IF(AND(Games!Z10=3,Games!U10=2),"Distance","")</f>
        <v/>
      </c>
      <c r="O483">
        <f>IF(Table3[[#This Row],[First Title]]="Started", (Table3[[#This Row],[Score]]+0)*2,Table3[[#This Row],[Score]]+0)</f>
        <v>0</v>
      </c>
      <c r="P483" s="2" t="str">
        <f>IF(Table3[[#This Row],[Helper]]&gt;191,"Gold",IF(Table3[[#This Row],[Helper]]&gt;171,"Silver",IF(Table3[[#This Row],[Helper]]&gt;141,"Bronze","")))</f>
        <v/>
      </c>
    </row>
    <row r="484" spans="9:16" x14ac:dyDescent="0.25">
      <c r="I484" s="285">
        <f>Games!D11</f>
        <v>0</v>
      </c>
      <c r="J484" s="286" t="str">
        <f>Games!E11</f>
        <v/>
      </c>
      <c r="K484" s="287" t="str">
        <f t="shared" si="17"/>
        <v/>
      </c>
      <c r="L484" s="285" t="str">
        <f>IF(AND(Games!Z11=3,Games!U11=2),"Distance","")</f>
        <v/>
      </c>
      <c r="O484">
        <f>IF(Table3[[#This Row],[First Title]]="Started", (Table3[[#This Row],[Score]]+0)*2,Table3[[#This Row],[Score]]+0)</f>
        <v>0</v>
      </c>
      <c r="P484" s="2" t="str">
        <f>IF(Table3[[#This Row],[Helper]]&gt;191,"Gold",IF(Table3[[#This Row],[Helper]]&gt;171,"Silver",IF(Table3[[#This Row],[Helper]]&gt;141,"Bronze","")))</f>
        <v/>
      </c>
    </row>
    <row r="485" spans="9:16" x14ac:dyDescent="0.25">
      <c r="I485" s="285">
        <f>Games!D12</f>
        <v>0</v>
      </c>
      <c r="J485" s="286" t="str">
        <f>Games!E12</f>
        <v/>
      </c>
      <c r="K485" s="287" t="str">
        <f t="shared" si="17"/>
        <v/>
      </c>
      <c r="L485" s="285" t="str">
        <f>IF(AND(Games!Z12=3,Games!U12=2),"Distance","")</f>
        <v/>
      </c>
      <c r="O485">
        <f>IF(Table3[[#This Row],[First Title]]="Started", (Table3[[#This Row],[Score]]+0)*2,Table3[[#This Row],[Score]]+0)</f>
        <v>0</v>
      </c>
      <c r="P485" s="2" t="str">
        <f>IF(Table3[[#This Row],[Helper]]&gt;191,"Gold",IF(Table3[[#This Row],[Helper]]&gt;171,"Silver",IF(Table3[[#This Row],[Helper]]&gt;141,"Bronze","")))</f>
        <v/>
      </c>
    </row>
    <row r="486" spans="9:16" x14ac:dyDescent="0.25">
      <c r="I486" s="285">
        <f>Games!D13</f>
        <v>0</v>
      </c>
      <c r="J486" s="286" t="str">
        <f>Games!E13</f>
        <v/>
      </c>
      <c r="K486" s="287" t="str">
        <f t="shared" si="17"/>
        <v/>
      </c>
      <c r="L486" s="285" t="str">
        <f>IF(AND(Games!Z13=3,Games!U13=2),"Distance","")</f>
        <v/>
      </c>
      <c r="O486">
        <f>IF(Table3[[#This Row],[First Title]]="Started", (Table3[[#This Row],[Score]]+0)*2,Table3[[#This Row],[Score]]+0)</f>
        <v>0</v>
      </c>
      <c r="P486" s="2" t="str">
        <f>IF(Table3[[#This Row],[Helper]]&gt;191,"Gold",IF(Table3[[#This Row],[Helper]]&gt;171,"Silver",IF(Table3[[#This Row],[Helper]]&gt;141,"Bronze","")))</f>
        <v/>
      </c>
    </row>
    <row r="487" spans="9:16" x14ac:dyDescent="0.25">
      <c r="I487" s="285">
        <f>Games!D14</f>
        <v>0</v>
      </c>
      <c r="J487" s="286" t="str">
        <f>Games!E14</f>
        <v/>
      </c>
      <c r="K487" s="287" t="str">
        <f t="shared" si="17"/>
        <v/>
      </c>
      <c r="L487" s="285" t="str">
        <f>IF(AND(Games!Z14=3,Games!U14=2),"Distance","")</f>
        <v/>
      </c>
      <c r="O487">
        <f>IF(Table3[[#This Row],[First Title]]="Started", (Table3[[#This Row],[Score]]+0)*2,Table3[[#This Row],[Score]]+0)</f>
        <v>0</v>
      </c>
      <c r="P487" s="2" t="str">
        <f>IF(Table3[[#This Row],[Helper]]&gt;191,"Gold",IF(Table3[[#This Row],[Helper]]&gt;171,"Silver",IF(Table3[[#This Row],[Helper]]&gt;141,"Bronze","")))</f>
        <v/>
      </c>
    </row>
    <row r="488" spans="9:16" x14ac:dyDescent="0.25">
      <c r="I488" s="285">
        <f>Games!D15</f>
        <v>0</v>
      </c>
      <c r="J488" s="286" t="str">
        <f>Games!E15</f>
        <v/>
      </c>
      <c r="K488" s="287" t="str">
        <f t="shared" si="17"/>
        <v/>
      </c>
      <c r="L488" s="285" t="str">
        <f>IF(AND(Games!Z15=3,Games!U15=2),"Distance","")</f>
        <v/>
      </c>
      <c r="O488">
        <f>IF(Table3[[#This Row],[First Title]]="Started", (Table3[[#This Row],[Score]]+0)*2,Table3[[#This Row],[Score]]+0)</f>
        <v>0</v>
      </c>
      <c r="P488" s="2" t="str">
        <f>IF(Table3[[#This Row],[Helper]]&gt;191,"Gold",IF(Table3[[#This Row],[Helper]]&gt;171,"Silver",IF(Table3[[#This Row],[Helper]]&gt;141,"Bronze","")))</f>
        <v/>
      </c>
    </row>
    <row r="489" spans="9:16" x14ac:dyDescent="0.25">
      <c r="I489" s="285">
        <f>Games!D16</f>
        <v>0</v>
      </c>
      <c r="J489" s="286" t="str">
        <f>Games!E16</f>
        <v/>
      </c>
      <c r="K489" s="287" t="str">
        <f t="shared" si="17"/>
        <v/>
      </c>
      <c r="L489" s="285" t="str">
        <f>IF(AND(Games!Z16=3,Games!U16=2),"Distance","")</f>
        <v/>
      </c>
      <c r="O489">
        <f>IF(Table3[[#This Row],[First Title]]="Started", (Table3[[#This Row],[Score]]+0)*2,Table3[[#This Row],[Score]]+0)</f>
        <v>0</v>
      </c>
      <c r="P489" s="2" t="str">
        <f>IF(Table3[[#This Row],[Helper]]&gt;191,"Gold",IF(Table3[[#This Row],[Helper]]&gt;171,"Silver",IF(Table3[[#This Row],[Helper]]&gt;141,"Bronze","")))</f>
        <v/>
      </c>
    </row>
    <row r="490" spans="9:16" x14ac:dyDescent="0.25">
      <c r="I490" s="285">
        <f>Games!D17</f>
        <v>0</v>
      </c>
      <c r="J490" s="286" t="str">
        <f>Games!E17</f>
        <v/>
      </c>
      <c r="K490" s="287" t="str">
        <f t="shared" si="17"/>
        <v/>
      </c>
      <c r="L490" s="285" t="str">
        <f>IF(AND(Games!Z17=3,Games!U17=2),"Distance","")</f>
        <v/>
      </c>
      <c r="O490">
        <f>IF(Table3[[#This Row],[First Title]]="Started", (Table3[[#This Row],[Score]]+0)*2,Table3[[#This Row],[Score]]+0)</f>
        <v>0</v>
      </c>
      <c r="P490" s="2" t="str">
        <f>IF(Table3[[#This Row],[Helper]]&gt;191,"Gold",IF(Table3[[#This Row],[Helper]]&gt;171,"Silver",IF(Table3[[#This Row],[Helper]]&gt;141,"Bronze","")))</f>
        <v/>
      </c>
    </row>
    <row r="491" spans="9:16" x14ac:dyDescent="0.25">
      <c r="I491" s="285">
        <f>Games!D18</f>
        <v>0</v>
      </c>
      <c r="J491" s="286" t="str">
        <f>Games!E18</f>
        <v/>
      </c>
      <c r="K491" s="287" t="str">
        <f t="shared" si="17"/>
        <v/>
      </c>
      <c r="L491" s="285" t="str">
        <f>IF(AND(Games!Z18=3,Games!U18=2),"Distance","")</f>
        <v/>
      </c>
      <c r="O491">
        <f>IF(Table3[[#This Row],[First Title]]="Started", (Table3[[#This Row],[Score]]+0)*2,Table3[[#This Row],[Score]]+0)</f>
        <v>0</v>
      </c>
      <c r="P491" s="2" t="str">
        <f>IF(Table3[[#This Row],[Helper]]&gt;191,"Gold",IF(Table3[[#This Row],[Helper]]&gt;171,"Silver",IF(Table3[[#This Row],[Helper]]&gt;141,"Bronze","")))</f>
        <v/>
      </c>
    </row>
    <row r="492" spans="9:16" x14ac:dyDescent="0.25">
      <c r="I492" s="285">
        <f>Games!D19</f>
        <v>0</v>
      </c>
      <c r="J492" s="286" t="str">
        <f>Games!E19</f>
        <v/>
      </c>
      <c r="K492" s="287" t="str">
        <f t="shared" si="17"/>
        <v/>
      </c>
      <c r="L492" s="285" t="str">
        <f>IF(AND(Games!Z19=3,Games!U19=2),"Distance","")</f>
        <v/>
      </c>
      <c r="O492">
        <f>IF(Table3[[#This Row],[First Title]]="Started", (Table3[[#This Row],[Score]]+0)*2,Table3[[#This Row],[Score]]+0)</f>
        <v>0</v>
      </c>
      <c r="P492" s="2" t="str">
        <f>IF(Table3[[#This Row],[Helper]]&gt;191,"Gold",IF(Table3[[#This Row],[Helper]]&gt;171,"Silver",IF(Table3[[#This Row],[Helper]]&gt;141,"Bronze","")))</f>
        <v/>
      </c>
    </row>
    <row r="493" spans="9:16" x14ac:dyDescent="0.25">
      <c r="I493" s="285">
        <f>Games!D20</f>
        <v>0</v>
      </c>
      <c r="J493" s="286" t="str">
        <f>Games!E20</f>
        <v/>
      </c>
      <c r="K493" s="287" t="str">
        <f t="shared" si="17"/>
        <v/>
      </c>
      <c r="L493" s="285" t="str">
        <f>IF(AND(Games!Z20=3,Games!U20=2),"Distance","")</f>
        <v/>
      </c>
      <c r="O493">
        <f>IF(Table3[[#This Row],[First Title]]="Started", (Table3[[#This Row],[Score]]+0)*2,Table3[[#This Row],[Score]]+0)</f>
        <v>0</v>
      </c>
      <c r="P493" s="2" t="str">
        <f>IF(Table3[[#This Row],[Helper]]&gt;191,"Gold",IF(Table3[[#This Row],[Helper]]&gt;171,"Silver",IF(Table3[[#This Row],[Helper]]&gt;141,"Bronze","")))</f>
        <v/>
      </c>
    </row>
    <row r="494" spans="9:16" x14ac:dyDescent="0.25">
      <c r="I494" s="285">
        <f>Games!D21</f>
        <v>0</v>
      </c>
      <c r="J494" s="286" t="str">
        <f>Games!E21</f>
        <v/>
      </c>
      <c r="K494" s="287" t="str">
        <f t="shared" si="17"/>
        <v/>
      </c>
      <c r="L494" s="285" t="str">
        <f>IF(AND(Games!Z21=3,Games!U21=2),"Distance","")</f>
        <v/>
      </c>
      <c r="O494">
        <f>IF(Table3[[#This Row],[First Title]]="Started", (Table3[[#This Row],[Score]]+0)*2,Table3[[#This Row],[Score]]+0)</f>
        <v>0</v>
      </c>
      <c r="P494" s="2" t="str">
        <f>IF(Table3[[#This Row],[Helper]]&gt;191,"Gold",IF(Table3[[#This Row],[Helper]]&gt;171,"Silver",IF(Table3[[#This Row],[Helper]]&gt;141,"Bronze","")))</f>
        <v/>
      </c>
    </row>
    <row r="495" spans="9:16" x14ac:dyDescent="0.25">
      <c r="I495" s="285">
        <f>Games!D22</f>
        <v>0</v>
      </c>
      <c r="J495" s="286" t="str">
        <f>Games!E22</f>
        <v/>
      </c>
      <c r="K495" s="287" t="str">
        <f t="shared" si="17"/>
        <v/>
      </c>
      <c r="L495" s="285" t="str">
        <f>IF(AND(Games!Z22=3,Games!U22=2),"Distance","")</f>
        <v/>
      </c>
      <c r="O495">
        <f>IF(Table3[[#This Row],[First Title]]="Started", (Table3[[#This Row],[Score]]+0)*2,Table3[[#This Row],[Score]]+0)</f>
        <v>0</v>
      </c>
      <c r="P495" s="2" t="str">
        <f>IF(Table3[[#This Row],[Helper]]&gt;191,"Gold",IF(Table3[[#This Row],[Helper]]&gt;171,"Silver",IF(Table3[[#This Row],[Helper]]&gt;141,"Bronze","")))</f>
        <v/>
      </c>
    </row>
    <row r="496" spans="9:16" x14ac:dyDescent="0.25">
      <c r="I496" s="285">
        <f>Games!D23</f>
        <v>0</v>
      </c>
      <c r="J496" s="286" t="str">
        <f>Games!E23</f>
        <v/>
      </c>
      <c r="K496" s="287" t="str">
        <f t="shared" si="17"/>
        <v/>
      </c>
      <c r="L496" s="285" t="str">
        <f>IF(AND(Games!Z23=3,Games!U23=2),"Distance","")</f>
        <v/>
      </c>
      <c r="O496">
        <f>IF(Table3[[#This Row],[First Title]]="Started", (Table3[[#This Row],[Score]]+0)*2,Table3[[#This Row],[Score]]+0)</f>
        <v>0</v>
      </c>
      <c r="P496" s="2" t="str">
        <f>IF(Table3[[#This Row],[Helper]]&gt;191,"Gold",IF(Table3[[#This Row],[Helper]]&gt;171,"Silver",IF(Table3[[#This Row],[Helper]]&gt;141,"Bronze","")))</f>
        <v/>
      </c>
    </row>
    <row r="497" spans="9:16" x14ac:dyDescent="0.25">
      <c r="I497" s="285">
        <f>Games!D24</f>
        <v>0</v>
      </c>
      <c r="J497" s="286" t="str">
        <f>Games!E24</f>
        <v/>
      </c>
      <c r="K497" s="287" t="str">
        <f t="shared" si="17"/>
        <v/>
      </c>
      <c r="L497" s="285" t="str">
        <f>IF(AND(Games!Z24=3,Games!U24=2),"Distance","")</f>
        <v/>
      </c>
      <c r="O497">
        <f>IF(Table3[[#This Row],[First Title]]="Started", (Table3[[#This Row],[Score]]+0)*2,Table3[[#This Row],[Score]]+0)</f>
        <v>0</v>
      </c>
      <c r="P497" s="2" t="str">
        <f>IF(Table3[[#This Row],[Helper]]&gt;191,"Gold",IF(Table3[[#This Row],[Helper]]&gt;171,"Silver",IF(Table3[[#This Row],[Helper]]&gt;141,"Bronze","")))</f>
        <v/>
      </c>
    </row>
    <row r="498" spans="9:16" x14ac:dyDescent="0.25">
      <c r="I498" s="285">
        <f>Games!D25</f>
        <v>0</v>
      </c>
      <c r="J498" s="286" t="str">
        <f>Games!E25</f>
        <v/>
      </c>
      <c r="K498" s="287" t="str">
        <f t="shared" si="17"/>
        <v/>
      </c>
      <c r="L498" s="285" t="str">
        <f>IF(AND(Games!Z25=3,Games!U25=2),"Distance","")</f>
        <v/>
      </c>
      <c r="O498">
        <f>IF(Table3[[#This Row],[First Title]]="Started", (Table3[[#This Row],[Score]]+0)*2,Table3[[#This Row],[Score]]+0)</f>
        <v>0</v>
      </c>
      <c r="P498" s="2" t="str">
        <f>IF(Table3[[#This Row],[Helper]]&gt;191,"Gold",IF(Table3[[#This Row],[Helper]]&gt;171,"Silver",IF(Table3[[#This Row],[Helper]]&gt;141,"Bronze","")))</f>
        <v/>
      </c>
    </row>
    <row r="499" spans="9:16" x14ac:dyDescent="0.25">
      <c r="I499" s="285">
        <f>Games!D26</f>
        <v>0</v>
      </c>
      <c r="J499" s="286" t="str">
        <f>Games!E26</f>
        <v/>
      </c>
      <c r="K499" s="287" t="str">
        <f t="shared" si="17"/>
        <v/>
      </c>
      <c r="L499" s="285" t="str">
        <f>IF(AND(Games!Z26=3,Games!U26=2),"Distance","")</f>
        <v/>
      </c>
      <c r="O499">
        <f>IF(Table3[[#This Row],[First Title]]="Started", (Table3[[#This Row],[Score]]+0)*2,Table3[[#This Row],[Score]]+0)</f>
        <v>0</v>
      </c>
      <c r="P499" s="2" t="str">
        <f>IF(Table3[[#This Row],[Helper]]&gt;191,"Gold",IF(Table3[[#This Row],[Helper]]&gt;171,"Silver",IF(Table3[[#This Row],[Helper]]&gt;141,"Bronze","")))</f>
        <v/>
      </c>
    </row>
    <row r="500" spans="9:16" x14ac:dyDescent="0.25">
      <c r="I500" s="285">
        <f>Games!D27</f>
        <v>0</v>
      </c>
      <c r="J500" s="286" t="str">
        <f>Games!E27</f>
        <v/>
      </c>
      <c r="K500" s="287" t="str">
        <f t="shared" si="17"/>
        <v/>
      </c>
      <c r="L500" s="285" t="str">
        <f>IF(AND(Games!Z27=3,Games!U27=2),"Distance","")</f>
        <v/>
      </c>
      <c r="O500">
        <f>IF(Table3[[#This Row],[First Title]]="Started", (Table3[[#This Row],[Score]]+0)*2,Table3[[#This Row],[Score]]+0)</f>
        <v>0</v>
      </c>
      <c r="P500" s="2" t="str">
        <f>IF(Table3[[#This Row],[Helper]]&gt;191,"Gold",IF(Table3[[#This Row],[Helper]]&gt;171,"Silver",IF(Table3[[#This Row],[Helper]]&gt;141,"Bronze","")))</f>
        <v/>
      </c>
    </row>
    <row r="501" spans="9:16" x14ac:dyDescent="0.25">
      <c r="I501" s="285">
        <f>Games!D28</f>
        <v>0</v>
      </c>
      <c r="J501" s="286" t="str">
        <f>Games!E28</f>
        <v/>
      </c>
      <c r="K501" s="287" t="str">
        <f t="shared" si="17"/>
        <v/>
      </c>
      <c r="L501" s="285" t="str">
        <f>IF(AND(Games!Z28=3,Games!U28=2),"Distance","")</f>
        <v/>
      </c>
      <c r="O501">
        <f>IF(Table3[[#This Row],[First Title]]="Started", (Table3[[#This Row],[Score]]+0)*2,Table3[[#This Row],[Score]]+0)</f>
        <v>0</v>
      </c>
      <c r="P501" s="2" t="str">
        <f>IF(Table3[[#This Row],[Helper]]&gt;191,"Gold",IF(Table3[[#This Row],[Helper]]&gt;171,"Silver",IF(Table3[[#This Row],[Helper]]&gt;141,"Bronze","")))</f>
        <v/>
      </c>
    </row>
    <row r="502" spans="9:16" x14ac:dyDescent="0.25">
      <c r="I502" s="285">
        <f>Games!D29</f>
        <v>0</v>
      </c>
      <c r="J502" s="286" t="str">
        <f>Games!E29</f>
        <v/>
      </c>
      <c r="K502" s="287" t="str">
        <f t="shared" si="17"/>
        <v/>
      </c>
      <c r="L502" s="285" t="str">
        <f>IF(AND(Games!Z29=3,Games!U29=2),"Distance","")</f>
        <v/>
      </c>
      <c r="O502">
        <f>IF(Table3[[#This Row],[First Title]]="Started", (Table3[[#This Row],[Score]]+0)*2,Table3[[#This Row],[Score]]+0)</f>
        <v>0</v>
      </c>
      <c r="P502" s="2" t="str">
        <f>IF(Table3[[#This Row],[Helper]]&gt;191,"Gold",IF(Table3[[#This Row],[Helper]]&gt;171,"Silver",IF(Table3[[#This Row],[Helper]]&gt;141,"Bronze","")))</f>
        <v/>
      </c>
    </row>
    <row r="503" spans="9:16" x14ac:dyDescent="0.25">
      <c r="I503" s="285">
        <f>Games!D30</f>
        <v>0</v>
      </c>
      <c r="J503" s="286" t="str">
        <f>Games!E30</f>
        <v/>
      </c>
      <c r="K503" s="287" t="str">
        <f t="shared" si="17"/>
        <v/>
      </c>
      <c r="L503" s="285" t="str">
        <f>IF(AND(Games!Z30=3,Games!U30=2),"Distance","")</f>
        <v/>
      </c>
      <c r="O503">
        <f>IF(Table3[[#This Row],[First Title]]="Started", (Table3[[#This Row],[Score]]+0)*2,Table3[[#This Row],[Score]]+0)</f>
        <v>0</v>
      </c>
      <c r="P503" s="2" t="str">
        <f>IF(Table3[[#This Row],[Helper]]&gt;191,"Gold",IF(Table3[[#This Row],[Helper]]&gt;171,"Silver",IF(Table3[[#This Row],[Helper]]&gt;141,"Bronze","")))</f>
        <v/>
      </c>
    </row>
    <row r="504" spans="9:16" x14ac:dyDescent="0.25">
      <c r="I504" s="285">
        <f>Games!D31</f>
        <v>0</v>
      </c>
      <c r="J504" s="286" t="str">
        <f>Games!E31</f>
        <v/>
      </c>
      <c r="K504" s="287" t="str">
        <f t="shared" si="17"/>
        <v/>
      </c>
      <c r="L504" s="285" t="str">
        <f>IF(AND(Games!Z31=3,Games!U31=2),"Distance","")</f>
        <v/>
      </c>
      <c r="O504">
        <f>IF(Table3[[#This Row],[First Title]]="Started", (Table3[[#This Row],[Score]]+0)*2,Table3[[#This Row],[Score]]+0)</f>
        <v>0</v>
      </c>
      <c r="P504" s="2" t="str">
        <f>IF(Table3[[#This Row],[Helper]]&gt;191,"Gold",IF(Table3[[#This Row],[Helper]]&gt;171,"Silver",IF(Table3[[#This Row],[Helper]]&gt;141,"Bronze","")))</f>
        <v/>
      </c>
    </row>
    <row r="505" spans="9:16" x14ac:dyDescent="0.25">
      <c r="I505" s="285">
        <f>Games!D32</f>
        <v>0</v>
      </c>
      <c r="J505" s="286" t="str">
        <f>Games!E32</f>
        <v/>
      </c>
      <c r="K505" s="287" t="str">
        <f t="shared" si="17"/>
        <v/>
      </c>
      <c r="L505" s="285" t="str">
        <f>IF(AND(Games!Z32=3,Games!U32=2),"Distance","")</f>
        <v/>
      </c>
      <c r="O505">
        <f>IF(Table3[[#This Row],[First Title]]="Started", (Table3[[#This Row],[Score]]+0)*2,Table3[[#This Row],[Score]]+0)</f>
        <v>0</v>
      </c>
      <c r="P505" s="2" t="str">
        <f>IF(Table3[[#This Row],[Helper]]&gt;191,"Gold",IF(Table3[[#This Row],[Helper]]&gt;171,"Silver",IF(Table3[[#This Row],[Helper]]&gt;141,"Bronze","")))</f>
        <v/>
      </c>
    </row>
    <row r="506" spans="9:16" x14ac:dyDescent="0.25">
      <c r="I506" s="285">
        <f>Games!D33</f>
        <v>0</v>
      </c>
      <c r="J506" s="286" t="str">
        <f>Games!E33</f>
        <v/>
      </c>
      <c r="K506" s="287" t="str">
        <f t="shared" si="17"/>
        <v/>
      </c>
      <c r="L506" s="285" t="str">
        <f>IF(AND(Games!Z33=3,Games!U33=2),"Distance","")</f>
        <v/>
      </c>
      <c r="O506">
        <f>IF(Table3[[#This Row],[First Title]]="Started", (Table3[[#This Row],[Score]]+0)*2,Table3[[#This Row],[Score]]+0)</f>
        <v>0</v>
      </c>
      <c r="P506" s="2" t="str">
        <f>IF(Table3[[#This Row],[Helper]]&gt;191,"Gold",IF(Table3[[#This Row],[Helper]]&gt;171,"Silver",IF(Table3[[#This Row],[Helper]]&gt;141,"Bronze","")))</f>
        <v/>
      </c>
    </row>
    <row r="507" spans="9:16" x14ac:dyDescent="0.25">
      <c r="I507" s="285">
        <f>Games!D34</f>
        <v>0</v>
      </c>
      <c r="J507" s="286" t="str">
        <f>Games!E34</f>
        <v/>
      </c>
      <c r="K507" s="287" t="str">
        <f t="shared" si="17"/>
        <v/>
      </c>
      <c r="L507" s="285" t="str">
        <f>IF(AND(Games!Z34=3,Games!U34=2),"Distance","")</f>
        <v/>
      </c>
      <c r="O507">
        <f>IF(Table3[[#This Row],[First Title]]="Started", (Table3[[#This Row],[Score]]+0)*2,Table3[[#This Row],[Score]]+0)</f>
        <v>0</v>
      </c>
      <c r="P507" s="2" t="str">
        <f>IF(Table3[[#This Row],[Helper]]&gt;191,"Gold",IF(Table3[[#This Row],[Helper]]&gt;171,"Silver",IF(Table3[[#This Row],[Helper]]&gt;141,"Bronze","")))</f>
        <v/>
      </c>
    </row>
    <row r="508" spans="9:16" x14ac:dyDescent="0.25">
      <c r="I508" s="285">
        <f>Games!D35</f>
        <v>0</v>
      </c>
      <c r="J508" s="286" t="str">
        <f>Games!E35</f>
        <v/>
      </c>
      <c r="K508" s="287" t="str">
        <f t="shared" si="17"/>
        <v/>
      </c>
      <c r="L508" s="285" t="str">
        <f>IF(AND(Games!Z35=3,Games!U35=2),"Distance","")</f>
        <v/>
      </c>
      <c r="O508">
        <f>IF(Table3[[#This Row],[First Title]]="Started", (Table3[[#This Row],[Score]]+0)*2,Table3[[#This Row],[Score]]+0)</f>
        <v>0</v>
      </c>
      <c r="P508" s="2" t="str">
        <f>IF(Table3[[#This Row],[Helper]]&gt;191,"Gold",IF(Table3[[#This Row],[Helper]]&gt;171,"Silver",IF(Table3[[#This Row],[Helper]]&gt;141,"Bronze","")))</f>
        <v/>
      </c>
    </row>
    <row r="509" spans="9:16" x14ac:dyDescent="0.25">
      <c r="I509" s="285">
        <f>Games!D36</f>
        <v>0</v>
      </c>
      <c r="J509" s="286" t="str">
        <f>Games!E36</f>
        <v/>
      </c>
      <c r="K509" s="287" t="str">
        <f t="shared" si="17"/>
        <v/>
      </c>
      <c r="L509" s="285" t="str">
        <f>IF(AND(Games!Z36=3,Games!U36=2),"Distance","")</f>
        <v/>
      </c>
      <c r="O509">
        <f>IF(Table3[[#This Row],[First Title]]="Started", (Table3[[#This Row],[Score]]+0)*2,Table3[[#This Row],[Score]]+0)</f>
        <v>0</v>
      </c>
      <c r="P509" s="2" t="str">
        <f>IF(Table3[[#This Row],[Helper]]&gt;191,"Gold",IF(Table3[[#This Row],[Helper]]&gt;171,"Silver",IF(Table3[[#This Row],[Helper]]&gt;141,"Bronze","")))</f>
        <v/>
      </c>
    </row>
    <row r="510" spans="9:16" x14ac:dyDescent="0.25">
      <c r="I510" s="285">
        <f>Games!D37</f>
        <v>0</v>
      </c>
      <c r="J510" s="286" t="str">
        <f>Games!E37</f>
        <v/>
      </c>
      <c r="K510" s="287" t="str">
        <f t="shared" si="17"/>
        <v/>
      </c>
      <c r="L510" s="285" t="str">
        <f>IF(AND(Games!Z37=3,Games!U37=2),"Distance","")</f>
        <v/>
      </c>
      <c r="O510">
        <f>IF(Table3[[#This Row],[First Title]]="Started", (Table3[[#This Row],[Score]]+0)*2,Table3[[#This Row],[Score]]+0)</f>
        <v>0</v>
      </c>
      <c r="P510" s="2" t="str">
        <f>IF(Table3[[#This Row],[Helper]]&gt;191,"Gold",IF(Table3[[#This Row],[Helper]]&gt;171,"Silver",IF(Table3[[#This Row],[Helper]]&gt;141,"Bronze","")))</f>
        <v/>
      </c>
    </row>
    <row r="511" spans="9:16" x14ac:dyDescent="0.25">
      <c r="I511" s="285">
        <f>Games!D38</f>
        <v>0</v>
      </c>
      <c r="J511" s="286" t="str">
        <f>Games!E38</f>
        <v/>
      </c>
      <c r="K511" s="287" t="str">
        <f t="shared" si="17"/>
        <v/>
      </c>
      <c r="L511" s="285" t="str">
        <f>IF(AND(Games!Z38=3,Games!U38=2),"Distance","")</f>
        <v/>
      </c>
      <c r="O511">
        <f>IF(Table3[[#This Row],[First Title]]="Started", (Table3[[#This Row],[Score]]+0)*2,Table3[[#This Row],[Score]]+0)</f>
        <v>0</v>
      </c>
      <c r="P511" s="2" t="str">
        <f>IF(Table3[[#This Row],[Helper]]&gt;191,"Gold",IF(Table3[[#This Row],[Helper]]&gt;171,"Silver",IF(Table3[[#This Row],[Helper]]&gt;141,"Bronze","")))</f>
        <v/>
      </c>
    </row>
    <row r="512" spans="9:16" x14ac:dyDescent="0.25">
      <c r="I512" s="285">
        <f>Games!D39</f>
        <v>0</v>
      </c>
      <c r="J512" s="286" t="str">
        <f>Games!E39</f>
        <v/>
      </c>
      <c r="K512" s="287" t="str">
        <f t="shared" si="17"/>
        <v/>
      </c>
      <c r="L512" s="285" t="str">
        <f>IF(AND(Games!Z39=3,Games!U39=2),"Distance","")</f>
        <v/>
      </c>
      <c r="O512">
        <f>IF(Table3[[#This Row],[First Title]]="Started", (Table3[[#This Row],[Score]]+0)*2,Table3[[#This Row],[Score]]+0)</f>
        <v>0</v>
      </c>
      <c r="P512" s="2" t="str">
        <f>IF(Table3[[#This Row],[Helper]]&gt;191,"Gold",IF(Table3[[#This Row],[Helper]]&gt;171,"Silver",IF(Table3[[#This Row],[Helper]]&gt;141,"Bronze","")))</f>
        <v/>
      </c>
    </row>
    <row r="513" spans="9:16" x14ac:dyDescent="0.25">
      <c r="I513" s="285">
        <f>Games!D40</f>
        <v>0</v>
      </c>
      <c r="J513" s="286" t="str">
        <f>Games!E40</f>
        <v/>
      </c>
      <c r="K513" s="287" t="str">
        <f t="shared" si="17"/>
        <v/>
      </c>
      <c r="L513" s="285" t="str">
        <f>IF(AND(Games!Z40=3,Games!U40=2),"Distance","")</f>
        <v/>
      </c>
      <c r="O513">
        <f>IF(Table3[[#This Row],[First Title]]="Started", (Table3[[#This Row],[Score]]+0)*2,Table3[[#This Row],[Score]]+0)</f>
        <v>0</v>
      </c>
      <c r="P513" s="2" t="str">
        <f>IF(Table3[[#This Row],[Helper]]&gt;191,"Gold",IF(Table3[[#This Row],[Helper]]&gt;171,"Silver",IF(Table3[[#This Row],[Helper]]&gt;141,"Bronze","")))</f>
        <v/>
      </c>
    </row>
    <row r="514" spans="9:16" x14ac:dyDescent="0.25">
      <c r="I514" s="285">
        <f>Games!D41</f>
        <v>0</v>
      </c>
      <c r="J514" s="286" t="str">
        <f>Games!E41</f>
        <v/>
      </c>
      <c r="K514" s="287" t="str">
        <f t="shared" si="17"/>
        <v/>
      </c>
      <c r="L514" s="285" t="str">
        <f>IF(AND(Games!Z41=3,Games!U41=2),"Distance","")</f>
        <v/>
      </c>
      <c r="O514">
        <f>IF(Table3[[#This Row],[First Title]]="Started", (Table3[[#This Row],[Score]]+0)*2,Table3[[#This Row],[Score]]+0)</f>
        <v>0</v>
      </c>
      <c r="P514" s="2" t="str">
        <f>IF(Table3[[#This Row],[Helper]]&gt;191,"Gold",IF(Table3[[#This Row],[Helper]]&gt;171,"Silver",IF(Table3[[#This Row],[Helper]]&gt;141,"Bronze","")))</f>
        <v/>
      </c>
    </row>
    <row r="515" spans="9:16" x14ac:dyDescent="0.25">
      <c r="I515" s="285">
        <f>Games!D42</f>
        <v>0</v>
      </c>
      <c r="J515" s="286" t="str">
        <f>Games!E42</f>
        <v/>
      </c>
      <c r="K515" s="287" t="str">
        <f t="shared" si="17"/>
        <v/>
      </c>
      <c r="L515" s="285" t="str">
        <f>IF(AND(Games!Z42=3,Games!U42=2),"Distance","")</f>
        <v/>
      </c>
      <c r="O515">
        <f>IF(Table3[[#This Row],[First Title]]="Started", (Table3[[#This Row],[Score]]+0)*2,Table3[[#This Row],[Score]]+0)</f>
        <v>0</v>
      </c>
      <c r="P515" s="2" t="str">
        <f>IF(Table3[[#This Row],[Helper]]&gt;191,"Gold",IF(Table3[[#This Row],[Helper]]&gt;171,"Silver",IF(Table3[[#This Row],[Helper]]&gt;141,"Bronze","")))</f>
        <v/>
      </c>
    </row>
    <row r="516" spans="9:16" x14ac:dyDescent="0.25">
      <c r="I516" s="285">
        <f>Games!D43</f>
        <v>0</v>
      </c>
      <c r="J516" s="286" t="str">
        <f>Games!E43</f>
        <v/>
      </c>
      <c r="K516" s="287" t="str">
        <f t="shared" si="17"/>
        <v/>
      </c>
      <c r="L516" s="285" t="str">
        <f>IF(AND(Games!Z43=3,Games!U43=2),"Distance","")</f>
        <v/>
      </c>
      <c r="O516">
        <f>IF(Table3[[#This Row],[First Title]]="Started", (Table3[[#This Row],[Score]]+0)*2,Table3[[#This Row],[Score]]+0)</f>
        <v>0</v>
      </c>
      <c r="P516" s="2" t="str">
        <f>IF(Table3[[#This Row],[Helper]]&gt;191,"Gold",IF(Table3[[#This Row],[Helper]]&gt;171,"Silver",IF(Table3[[#This Row],[Helper]]&gt;141,"Bronze","")))</f>
        <v/>
      </c>
    </row>
    <row r="517" spans="9:16" x14ac:dyDescent="0.25">
      <c r="I517" s="285">
        <f>Games!D44</f>
        <v>0</v>
      </c>
      <c r="J517" s="286" t="str">
        <f>Games!E44</f>
        <v/>
      </c>
      <c r="K517" s="287" t="str">
        <f t="shared" si="17"/>
        <v/>
      </c>
      <c r="L517" s="285" t="str">
        <f>IF(AND(Games!Z44=3,Games!U44=2),"Distance","")</f>
        <v/>
      </c>
      <c r="O517">
        <f>IF(Table3[[#This Row],[First Title]]="Started", (Table3[[#This Row],[Score]]+0)*2,Table3[[#This Row],[Score]]+0)</f>
        <v>0</v>
      </c>
      <c r="P517" s="2" t="str">
        <f>IF(Table3[[#This Row],[Helper]]&gt;191,"Gold",IF(Table3[[#This Row],[Helper]]&gt;171,"Silver",IF(Table3[[#This Row],[Helper]]&gt;141,"Bronze","")))</f>
        <v/>
      </c>
    </row>
    <row r="518" spans="9:16" x14ac:dyDescent="0.25">
      <c r="I518" s="285">
        <f>Games!D45</f>
        <v>0</v>
      </c>
      <c r="J518" s="286" t="str">
        <f>Games!E45</f>
        <v/>
      </c>
      <c r="K518" s="287" t="str">
        <f t="shared" si="17"/>
        <v/>
      </c>
      <c r="L518" s="285" t="str">
        <f>IF(AND(Games!Z45=3,Games!U45=2),"Distance","")</f>
        <v/>
      </c>
      <c r="O518">
        <f>IF(Table3[[#This Row],[First Title]]="Started", (Table3[[#This Row],[Score]]+0)*2,Table3[[#This Row],[Score]]+0)</f>
        <v>0</v>
      </c>
      <c r="P518" s="2" t="str">
        <f>IF(Table3[[#This Row],[Helper]]&gt;191,"Gold",IF(Table3[[#This Row],[Helper]]&gt;171,"Silver",IF(Table3[[#This Row],[Helper]]&gt;141,"Bronze","")))</f>
        <v/>
      </c>
    </row>
    <row r="519" spans="9:16" x14ac:dyDescent="0.25">
      <c r="I519" s="285">
        <f>Games!D46</f>
        <v>0</v>
      </c>
      <c r="J519" s="286" t="str">
        <f>Games!E46</f>
        <v/>
      </c>
      <c r="K519" s="287" t="str">
        <f t="shared" si="17"/>
        <v/>
      </c>
      <c r="L519" s="285" t="str">
        <f>IF(AND(Games!Z46=3,Games!U46=2),"Distance","")</f>
        <v/>
      </c>
      <c r="O519">
        <f>IF(Table3[[#This Row],[First Title]]="Started", (Table3[[#This Row],[Score]]+0)*2,Table3[[#This Row],[Score]]+0)</f>
        <v>0</v>
      </c>
      <c r="P519" s="2" t="str">
        <f>IF(Table3[[#This Row],[Helper]]&gt;191,"Gold",IF(Table3[[#This Row],[Helper]]&gt;171,"Silver",IF(Table3[[#This Row],[Helper]]&gt;141,"Bronze","")))</f>
        <v/>
      </c>
    </row>
    <row r="520" spans="9:16" x14ac:dyDescent="0.25">
      <c r="I520" s="285">
        <f>Games!D47</f>
        <v>0</v>
      </c>
      <c r="J520" s="286" t="str">
        <f>Games!E47</f>
        <v/>
      </c>
      <c r="K520" s="287" t="str">
        <f t="shared" si="17"/>
        <v/>
      </c>
      <c r="L520" s="285" t="str">
        <f>IF(AND(Games!Z47=3,Games!U47=2),"Distance","")</f>
        <v/>
      </c>
      <c r="O520">
        <f>IF(Table3[[#This Row],[First Title]]="Started", (Table3[[#This Row],[Score]]+0)*2,Table3[[#This Row],[Score]]+0)</f>
        <v>0</v>
      </c>
      <c r="P520" s="2" t="str">
        <f>IF(Table3[[#This Row],[Helper]]&gt;191,"Gold",IF(Table3[[#This Row],[Helper]]&gt;171,"Silver",IF(Table3[[#This Row],[Helper]]&gt;141,"Bronze","")))</f>
        <v/>
      </c>
    </row>
    <row r="521" spans="9:16" x14ac:dyDescent="0.25">
      <c r="I521" s="285">
        <f>Games!D48</f>
        <v>0</v>
      </c>
      <c r="J521" s="286" t="str">
        <f>Games!E48</f>
        <v/>
      </c>
      <c r="K521" s="287" t="str">
        <f t="shared" si="17"/>
        <v/>
      </c>
      <c r="L521" s="285" t="str">
        <f>IF(AND(Games!Z48=3,Games!U48=2),"Distance","")</f>
        <v/>
      </c>
      <c r="O521">
        <f>IF(Table3[[#This Row],[First Title]]="Started", (Table3[[#This Row],[Score]]+0)*2,Table3[[#This Row],[Score]]+0)</f>
        <v>0</v>
      </c>
      <c r="P521" s="2" t="str">
        <f>IF(Table3[[#This Row],[Helper]]&gt;191,"Gold",IF(Table3[[#This Row],[Helper]]&gt;171,"Silver",IF(Table3[[#This Row],[Helper]]&gt;141,"Bronze","")))</f>
        <v/>
      </c>
    </row>
    <row r="522" spans="9:16" x14ac:dyDescent="0.25">
      <c r="I522" s="285">
        <f>Games!D49</f>
        <v>0</v>
      </c>
      <c r="J522" s="286" t="str">
        <f>Games!E49</f>
        <v/>
      </c>
      <c r="K522" s="287" t="str">
        <f t="shared" si="17"/>
        <v/>
      </c>
      <c r="L522" s="285" t="str">
        <f>IF(AND(Games!Z49=3,Games!U49=2),"Distance","")</f>
        <v/>
      </c>
      <c r="O522">
        <f>IF(Table3[[#This Row],[First Title]]="Started", (Table3[[#This Row],[Score]]+0)*2,Table3[[#This Row],[Score]]+0)</f>
        <v>0</v>
      </c>
      <c r="P522" s="2" t="str">
        <f>IF(Table3[[#This Row],[Helper]]&gt;191,"Gold",IF(Table3[[#This Row],[Helper]]&gt;171,"Silver",IF(Table3[[#This Row],[Helper]]&gt;141,"Bronze","")))</f>
        <v/>
      </c>
    </row>
    <row r="523" spans="9:16" x14ac:dyDescent="0.25">
      <c r="I523" s="285">
        <f>Games!D50</f>
        <v>0</v>
      </c>
      <c r="J523" s="286" t="str">
        <f>Games!E50</f>
        <v/>
      </c>
      <c r="K523" s="287" t="str">
        <f t="shared" si="17"/>
        <v/>
      </c>
      <c r="L523" s="285" t="str">
        <f>IF(AND(Games!Z50=3,Games!U50=2),"Distance","")</f>
        <v/>
      </c>
      <c r="O523">
        <f>IF(Table3[[#This Row],[First Title]]="Started", (Table3[[#This Row],[Score]]+0)*2,Table3[[#This Row],[Score]]+0)</f>
        <v>0</v>
      </c>
      <c r="P523" s="2" t="str">
        <f>IF(Table3[[#This Row],[Helper]]&gt;191,"Gold",IF(Table3[[#This Row],[Helper]]&gt;171,"Silver",IF(Table3[[#This Row],[Helper]]&gt;141,"Bronze","")))</f>
        <v/>
      </c>
    </row>
    <row r="524" spans="9:16" x14ac:dyDescent="0.25">
      <c r="I524" s="285">
        <f>Games!D51</f>
        <v>0</v>
      </c>
      <c r="J524" s="286" t="str">
        <f>Games!E51</f>
        <v/>
      </c>
      <c r="K524" s="287" t="str">
        <f t="shared" si="17"/>
        <v/>
      </c>
      <c r="L524" s="285" t="str">
        <f>IF(AND(Games!Z51=3,Games!U51=2),"Distance","")</f>
        <v/>
      </c>
      <c r="O524">
        <f>IF(Table3[[#This Row],[First Title]]="Started", (Table3[[#This Row],[Score]]+0)*2,Table3[[#This Row],[Score]]+0)</f>
        <v>0</v>
      </c>
      <c r="P524" s="2" t="str">
        <f>IF(Table3[[#This Row],[Helper]]&gt;191,"Gold",IF(Table3[[#This Row],[Helper]]&gt;171,"Silver",IF(Table3[[#This Row],[Helper]]&gt;141,"Bronze","")))</f>
        <v/>
      </c>
    </row>
    <row r="525" spans="9:16" x14ac:dyDescent="0.25">
      <c r="I525" s="285">
        <f>Games!D52</f>
        <v>0</v>
      </c>
      <c r="J525" s="286" t="str">
        <f>Games!E52</f>
        <v/>
      </c>
      <c r="K525" s="287" t="str">
        <f t="shared" si="17"/>
        <v/>
      </c>
      <c r="L525" s="285" t="str">
        <f>IF(AND(Games!Z52=3,Games!U52=2),"Distance","")</f>
        <v/>
      </c>
      <c r="O525">
        <f>IF(Table3[[#This Row],[First Title]]="Started", (Table3[[#This Row],[Score]]+0)*2,Table3[[#This Row],[Score]]+0)</f>
        <v>0</v>
      </c>
      <c r="P525" s="2" t="str">
        <f>IF(Table3[[#This Row],[Helper]]&gt;191,"Gold",IF(Table3[[#This Row],[Helper]]&gt;171,"Silver",IF(Table3[[#This Row],[Helper]]&gt;141,"Bronze","")))</f>
        <v/>
      </c>
    </row>
    <row r="526" spans="9:16" x14ac:dyDescent="0.25">
      <c r="I526" s="285">
        <f>Games!D53</f>
        <v>0</v>
      </c>
      <c r="J526" s="286" t="str">
        <f>Games!E53</f>
        <v/>
      </c>
      <c r="K526" s="287" t="str">
        <f t="shared" si="17"/>
        <v/>
      </c>
      <c r="L526" s="285" t="str">
        <f>IF(AND(Games!Z53=3,Games!U53=2),"Distance","")</f>
        <v/>
      </c>
      <c r="O526">
        <f>IF(Table3[[#This Row],[First Title]]="Started", (Table3[[#This Row],[Score]]+0)*2,Table3[[#This Row],[Score]]+0)</f>
        <v>0</v>
      </c>
      <c r="P526" s="2" t="str">
        <f>IF(Table3[[#This Row],[Helper]]&gt;191,"Gold",IF(Table3[[#This Row],[Helper]]&gt;171,"Silver",IF(Table3[[#This Row],[Helper]]&gt;141,"Bronze","")))</f>
        <v/>
      </c>
    </row>
    <row r="527" spans="9:16" x14ac:dyDescent="0.25">
      <c r="I527" s="285">
        <f>Games!D54</f>
        <v>0</v>
      </c>
      <c r="J527" s="286" t="str">
        <f>Games!E54</f>
        <v/>
      </c>
      <c r="K527" s="287" t="str">
        <f t="shared" si="17"/>
        <v/>
      </c>
      <c r="L527" s="285" t="str">
        <f>IF(AND(Games!Z54=3,Games!U54=2),"Distance","")</f>
        <v/>
      </c>
      <c r="O527">
        <f>IF(Table3[[#This Row],[First Title]]="Started", (Table3[[#This Row],[Score]]+0)*2,Table3[[#This Row],[Score]]+0)</f>
        <v>0</v>
      </c>
      <c r="P527" s="2" t="str">
        <f>IF(Table3[[#This Row],[Helper]]&gt;191,"Gold",IF(Table3[[#This Row],[Helper]]&gt;171,"Silver",IF(Table3[[#This Row],[Helper]]&gt;141,"Bronze","")))</f>
        <v/>
      </c>
    </row>
    <row r="528" spans="9:16" x14ac:dyDescent="0.25">
      <c r="I528" s="285">
        <f>Games!D55</f>
        <v>0</v>
      </c>
      <c r="J528" s="286" t="str">
        <f>Games!E55</f>
        <v/>
      </c>
      <c r="K528" s="287" t="str">
        <f t="shared" si="17"/>
        <v/>
      </c>
      <c r="L528" s="285" t="str">
        <f>IF(AND(Games!Z55=3,Games!U55=2),"Distance","")</f>
        <v/>
      </c>
      <c r="O528">
        <f>IF(Table3[[#This Row],[First Title]]="Started", (Table3[[#This Row],[Score]]+0)*2,Table3[[#This Row],[Score]]+0)</f>
        <v>0</v>
      </c>
      <c r="P528" s="2" t="str">
        <f>IF(Table3[[#This Row],[Helper]]&gt;191,"Gold",IF(Table3[[#This Row],[Helper]]&gt;171,"Silver",IF(Table3[[#This Row],[Helper]]&gt;141,"Bronze","")))</f>
        <v/>
      </c>
    </row>
    <row r="529" spans="9:16" x14ac:dyDescent="0.25">
      <c r="I529" s="285">
        <f>Games!D56</f>
        <v>0</v>
      </c>
      <c r="J529" s="286" t="str">
        <f>Games!E56</f>
        <v/>
      </c>
      <c r="K529" s="287" t="str">
        <f t="shared" si="17"/>
        <v/>
      </c>
      <c r="L529" s="285" t="str">
        <f>IF(AND(Games!Z56=3,Games!U56=2),"Distance","")</f>
        <v/>
      </c>
      <c r="O529">
        <f>IF(Table3[[#This Row],[First Title]]="Started", (Table3[[#This Row],[Score]]+0)*2,Table3[[#This Row],[Score]]+0)</f>
        <v>0</v>
      </c>
      <c r="P529" s="2" t="str">
        <f>IF(Table3[[#This Row],[Helper]]&gt;191,"Gold",IF(Table3[[#This Row],[Helper]]&gt;171,"Silver",IF(Table3[[#This Row],[Helper]]&gt;141,"Bronze","")))</f>
        <v/>
      </c>
    </row>
    <row r="530" spans="9:16" x14ac:dyDescent="0.25">
      <c r="I530" s="285">
        <f>Games!D66</f>
        <v>0</v>
      </c>
      <c r="J530" s="286" t="str">
        <f>Games!E66</f>
        <v/>
      </c>
      <c r="K530" s="287" t="str">
        <f t="shared" ref="K530:K561" si="18">TrialDateDay2</f>
        <v/>
      </c>
      <c r="L530" s="285" t="str">
        <f>IF(AND(Games!Z66=3,Games!U66=2),"Distance","")</f>
        <v/>
      </c>
      <c r="O530">
        <f>IF(Table3[[#This Row],[First Title]]="Started", (Table3[[#This Row],[Score]]+0)*2,Table3[[#This Row],[Score]]+0)</f>
        <v>0</v>
      </c>
      <c r="P530" s="2" t="str">
        <f>IF(Table3[[#This Row],[Helper]]&gt;191,"Gold",IF(Table3[[#This Row],[Helper]]&gt;171,"Silver",IF(Table3[[#This Row],[Helper]]&gt;141,"Bronze","")))</f>
        <v/>
      </c>
    </row>
    <row r="531" spans="9:16" x14ac:dyDescent="0.25">
      <c r="I531" s="285">
        <f>Games!D67</f>
        <v>0</v>
      </c>
      <c r="J531" s="286" t="str">
        <f>Games!E67</f>
        <v/>
      </c>
      <c r="K531" s="287" t="str">
        <f t="shared" si="18"/>
        <v/>
      </c>
      <c r="L531" s="285" t="str">
        <f>IF(AND(Games!Z67=3,Games!U67=2),"Distance","")</f>
        <v/>
      </c>
      <c r="O531">
        <f>IF(Table3[[#This Row],[First Title]]="Started", (Table3[[#This Row],[Score]]+0)*2,Table3[[#This Row],[Score]]+0)</f>
        <v>0</v>
      </c>
      <c r="P531" s="2" t="str">
        <f>IF(Table3[[#This Row],[Helper]]&gt;191,"Gold",IF(Table3[[#This Row],[Helper]]&gt;171,"Silver",IF(Table3[[#This Row],[Helper]]&gt;141,"Bronze","")))</f>
        <v/>
      </c>
    </row>
    <row r="532" spans="9:16" x14ac:dyDescent="0.25">
      <c r="I532" s="285">
        <f>Games!D68</f>
        <v>0</v>
      </c>
      <c r="J532" s="286" t="str">
        <f>Games!E68</f>
        <v/>
      </c>
      <c r="K532" s="287" t="str">
        <f t="shared" si="18"/>
        <v/>
      </c>
      <c r="L532" s="285" t="str">
        <f>IF(AND(Games!Z68=3,Games!U68=2),"Distance","")</f>
        <v/>
      </c>
      <c r="O532">
        <f>IF(Table3[[#This Row],[First Title]]="Started", (Table3[[#This Row],[Score]]+0)*2,Table3[[#This Row],[Score]]+0)</f>
        <v>0</v>
      </c>
      <c r="P532" s="2" t="str">
        <f>IF(Table3[[#This Row],[Helper]]&gt;191,"Gold",IF(Table3[[#This Row],[Helper]]&gt;171,"Silver",IF(Table3[[#This Row],[Helper]]&gt;141,"Bronze","")))</f>
        <v/>
      </c>
    </row>
    <row r="533" spans="9:16" x14ac:dyDescent="0.25">
      <c r="I533" s="285">
        <f>Games!D69</f>
        <v>0</v>
      </c>
      <c r="J533" s="286" t="str">
        <f>Games!E69</f>
        <v/>
      </c>
      <c r="K533" s="287" t="str">
        <f t="shared" si="18"/>
        <v/>
      </c>
      <c r="L533" s="285" t="str">
        <f>IF(AND(Games!Z69=3,Games!U69=2),"Distance","")</f>
        <v/>
      </c>
      <c r="O533">
        <f>IF(Table3[[#This Row],[First Title]]="Started", (Table3[[#This Row],[Score]]+0)*2,Table3[[#This Row],[Score]]+0)</f>
        <v>0</v>
      </c>
      <c r="P533" s="2" t="str">
        <f>IF(Table3[[#This Row],[Helper]]&gt;191,"Gold",IF(Table3[[#This Row],[Helper]]&gt;171,"Silver",IF(Table3[[#This Row],[Helper]]&gt;141,"Bronze","")))</f>
        <v/>
      </c>
    </row>
    <row r="534" spans="9:16" x14ac:dyDescent="0.25">
      <c r="I534" s="285">
        <f>Games!D70</f>
        <v>0</v>
      </c>
      <c r="J534" s="286" t="str">
        <f>Games!E70</f>
        <v/>
      </c>
      <c r="K534" s="287" t="str">
        <f t="shared" si="18"/>
        <v/>
      </c>
      <c r="L534" s="285" t="str">
        <f>IF(AND(Games!Z70=3,Games!U70=2),"Distance","")</f>
        <v/>
      </c>
      <c r="O534">
        <f>IF(Table3[[#This Row],[First Title]]="Started", (Table3[[#This Row],[Score]]+0)*2,Table3[[#This Row],[Score]]+0)</f>
        <v>0</v>
      </c>
      <c r="P534" s="2" t="str">
        <f>IF(Table3[[#This Row],[Helper]]&gt;191,"Gold",IF(Table3[[#This Row],[Helper]]&gt;171,"Silver",IF(Table3[[#This Row],[Helper]]&gt;141,"Bronze","")))</f>
        <v/>
      </c>
    </row>
    <row r="535" spans="9:16" x14ac:dyDescent="0.25">
      <c r="I535" s="285">
        <f>Games!D71</f>
        <v>0</v>
      </c>
      <c r="J535" s="286" t="str">
        <f>Games!E71</f>
        <v/>
      </c>
      <c r="K535" s="287" t="str">
        <f t="shared" si="18"/>
        <v/>
      </c>
      <c r="L535" s="285" t="str">
        <f>IF(AND(Games!Z71=3,Games!U71=2),"Distance","")</f>
        <v/>
      </c>
      <c r="O535">
        <f>IF(Table3[[#This Row],[First Title]]="Started", (Table3[[#This Row],[Score]]+0)*2,Table3[[#This Row],[Score]]+0)</f>
        <v>0</v>
      </c>
      <c r="P535" s="2" t="str">
        <f>IF(Table3[[#This Row],[Helper]]&gt;191,"Gold",IF(Table3[[#This Row],[Helper]]&gt;171,"Silver",IF(Table3[[#This Row],[Helper]]&gt;141,"Bronze","")))</f>
        <v/>
      </c>
    </row>
    <row r="536" spans="9:16" x14ac:dyDescent="0.25">
      <c r="I536" s="285">
        <f>Games!D72</f>
        <v>0</v>
      </c>
      <c r="J536" s="286" t="str">
        <f>Games!E72</f>
        <v/>
      </c>
      <c r="K536" s="287" t="str">
        <f t="shared" si="18"/>
        <v/>
      </c>
      <c r="L536" s="285" t="str">
        <f>IF(AND(Games!Z72=3,Games!U72=2),"Distance","")</f>
        <v/>
      </c>
      <c r="O536">
        <f>IF(Table3[[#This Row],[First Title]]="Started", (Table3[[#This Row],[Score]]+0)*2,Table3[[#This Row],[Score]]+0)</f>
        <v>0</v>
      </c>
      <c r="P536" s="2" t="str">
        <f>IF(Table3[[#This Row],[Helper]]&gt;191,"Gold",IF(Table3[[#This Row],[Helper]]&gt;171,"Silver",IF(Table3[[#This Row],[Helper]]&gt;141,"Bronze","")))</f>
        <v/>
      </c>
    </row>
    <row r="537" spans="9:16" x14ac:dyDescent="0.25">
      <c r="I537" s="285">
        <f>Games!D73</f>
        <v>0</v>
      </c>
      <c r="J537" s="286" t="str">
        <f>Games!E73</f>
        <v/>
      </c>
      <c r="K537" s="287" t="str">
        <f t="shared" si="18"/>
        <v/>
      </c>
      <c r="L537" s="285" t="str">
        <f>IF(AND(Games!Z73=3,Games!U73=2),"Distance","")</f>
        <v/>
      </c>
      <c r="O537">
        <f>IF(Table3[[#This Row],[First Title]]="Started", (Table3[[#This Row],[Score]]+0)*2,Table3[[#This Row],[Score]]+0)</f>
        <v>0</v>
      </c>
      <c r="P537" s="2" t="str">
        <f>IF(Table3[[#This Row],[Helper]]&gt;191,"Gold",IF(Table3[[#This Row],[Helper]]&gt;171,"Silver",IF(Table3[[#This Row],[Helper]]&gt;141,"Bronze","")))</f>
        <v/>
      </c>
    </row>
    <row r="538" spans="9:16" x14ac:dyDescent="0.25">
      <c r="I538" s="285">
        <f>Games!D74</f>
        <v>0</v>
      </c>
      <c r="J538" s="286" t="str">
        <f>Games!E74</f>
        <v/>
      </c>
      <c r="K538" s="287" t="str">
        <f t="shared" si="18"/>
        <v/>
      </c>
      <c r="L538" s="285" t="str">
        <f>IF(AND(Games!Z74=3,Games!U74=2),"Distance","")</f>
        <v/>
      </c>
      <c r="O538">
        <f>IF(Table3[[#This Row],[First Title]]="Started", (Table3[[#This Row],[Score]]+0)*2,Table3[[#This Row],[Score]]+0)</f>
        <v>0</v>
      </c>
      <c r="P538" s="2" t="str">
        <f>IF(Table3[[#This Row],[Helper]]&gt;191,"Gold",IF(Table3[[#This Row],[Helper]]&gt;171,"Silver",IF(Table3[[#This Row],[Helper]]&gt;141,"Bronze","")))</f>
        <v/>
      </c>
    </row>
    <row r="539" spans="9:16" x14ac:dyDescent="0.25">
      <c r="I539" s="285">
        <f>Games!D75</f>
        <v>0</v>
      </c>
      <c r="J539" s="286" t="str">
        <f>Games!E75</f>
        <v/>
      </c>
      <c r="K539" s="287" t="str">
        <f t="shared" si="18"/>
        <v/>
      </c>
      <c r="L539" s="285" t="str">
        <f>IF(AND(Games!Z75=3,Games!U75=2),"Distance","")</f>
        <v/>
      </c>
      <c r="O539">
        <f>IF(Table3[[#This Row],[First Title]]="Started", (Table3[[#This Row],[Score]]+0)*2,Table3[[#This Row],[Score]]+0)</f>
        <v>0</v>
      </c>
      <c r="P539" s="2" t="str">
        <f>IF(Table3[[#This Row],[Helper]]&gt;191,"Gold",IF(Table3[[#This Row],[Helper]]&gt;171,"Silver",IF(Table3[[#This Row],[Helper]]&gt;141,"Bronze","")))</f>
        <v/>
      </c>
    </row>
    <row r="540" spans="9:16" x14ac:dyDescent="0.25">
      <c r="I540" s="285">
        <f>Games!D76</f>
        <v>0</v>
      </c>
      <c r="J540" s="286" t="str">
        <f>Games!E76</f>
        <v/>
      </c>
      <c r="K540" s="287" t="str">
        <f t="shared" si="18"/>
        <v/>
      </c>
      <c r="L540" s="285" t="str">
        <f>IF(AND(Games!Z76=3,Games!U76=2),"Distance","")</f>
        <v/>
      </c>
      <c r="O540">
        <f>IF(Table3[[#This Row],[First Title]]="Started", (Table3[[#This Row],[Score]]+0)*2,Table3[[#This Row],[Score]]+0)</f>
        <v>0</v>
      </c>
      <c r="P540" s="2" t="str">
        <f>IF(Table3[[#This Row],[Helper]]&gt;191,"Gold",IF(Table3[[#This Row],[Helper]]&gt;171,"Silver",IF(Table3[[#This Row],[Helper]]&gt;141,"Bronze","")))</f>
        <v/>
      </c>
    </row>
    <row r="541" spans="9:16" x14ac:dyDescent="0.25">
      <c r="I541" s="285">
        <f>Games!D77</f>
        <v>0</v>
      </c>
      <c r="J541" s="286" t="str">
        <f>Games!E77</f>
        <v/>
      </c>
      <c r="K541" s="287" t="str">
        <f t="shared" si="18"/>
        <v/>
      </c>
      <c r="L541" s="285" t="str">
        <f>IF(AND(Games!Z77=3,Games!U77=2),"Distance","")</f>
        <v/>
      </c>
      <c r="O541">
        <f>IF(Table3[[#This Row],[First Title]]="Started", (Table3[[#This Row],[Score]]+0)*2,Table3[[#This Row],[Score]]+0)</f>
        <v>0</v>
      </c>
      <c r="P541" s="2" t="str">
        <f>IF(Table3[[#This Row],[Helper]]&gt;191,"Gold",IF(Table3[[#This Row],[Helper]]&gt;171,"Silver",IF(Table3[[#This Row],[Helper]]&gt;141,"Bronze","")))</f>
        <v/>
      </c>
    </row>
    <row r="542" spans="9:16" x14ac:dyDescent="0.25">
      <c r="I542" s="285">
        <f>Games!D78</f>
        <v>0</v>
      </c>
      <c r="J542" s="286" t="str">
        <f>Games!E78</f>
        <v/>
      </c>
      <c r="K542" s="287" t="str">
        <f t="shared" si="18"/>
        <v/>
      </c>
      <c r="L542" s="285" t="str">
        <f>IF(AND(Games!Z78=3,Games!U78=2),"Distance","")</f>
        <v/>
      </c>
      <c r="O542">
        <f>IF(Table3[[#This Row],[First Title]]="Started", (Table3[[#This Row],[Score]]+0)*2,Table3[[#This Row],[Score]]+0)</f>
        <v>0</v>
      </c>
      <c r="P542" s="2" t="str">
        <f>IF(Table3[[#This Row],[Helper]]&gt;191,"Gold",IF(Table3[[#This Row],[Helper]]&gt;171,"Silver",IF(Table3[[#This Row],[Helper]]&gt;141,"Bronze","")))</f>
        <v/>
      </c>
    </row>
    <row r="543" spans="9:16" x14ac:dyDescent="0.25">
      <c r="I543" s="285">
        <f>Games!D79</f>
        <v>0</v>
      </c>
      <c r="J543" s="286" t="str">
        <f>Games!E79</f>
        <v/>
      </c>
      <c r="K543" s="287" t="str">
        <f t="shared" si="18"/>
        <v/>
      </c>
      <c r="L543" s="285" t="str">
        <f>IF(AND(Games!Z79=3,Games!U79=2),"Distance","")</f>
        <v/>
      </c>
      <c r="O543">
        <f>IF(Table3[[#This Row],[First Title]]="Started", (Table3[[#This Row],[Score]]+0)*2,Table3[[#This Row],[Score]]+0)</f>
        <v>0</v>
      </c>
      <c r="P543" s="2" t="str">
        <f>IF(Table3[[#This Row],[Helper]]&gt;191,"Gold",IF(Table3[[#This Row],[Helper]]&gt;171,"Silver",IF(Table3[[#This Row],[Helper]]&gt;141,"Bronze","")))</f>
        <v/>
      </c>
    </row>
    <row r="544" spans="9:16" x14ac:dyDescent="0.25">
      <c r="I544" s="285">
        <f>Games!D80</f>
        <v>0</v>
      </c>
      <c r="J544" s="286" t="str">
        <f>Games!E80</f>
        <v/>
      </c>
      <c r="K544" s="287" t="str">
        <f t="shared" si="18"/>
        <v/>
      </c>
      <c r="L544" s="285" t="str">
        <f>IF(AND(Games!Z80=3,Games!U80=2),"Distance","")</f>
        <v/>
      </c>
      <c r="O544">
        <f>IF(Table3[[#This Row],[First Title]]="Started", (Table3[[#This Row],[Score]]+0)*2,Table3[[#This Row],[Score]]+0)</f>
        <v>0</v>
      </c>
      <c r="P544" s="2" t="str">
        <f>IF(Table3[[#This Row],[Helper]]&gt;191,"Gold",IF(Table3[[#This Row],[Helper]]&gt;171,"Silver",IF(Table3[[#This Row],[Helper]]&gt;141,"Bronze","")))</f>
        <v/>
      </c>
    </row>
    <row r="545" spans="9:16" x14ac:dyDescent="0.25">
      <c r="I545" s="285">
        <f>Games!D81</f>
        <v>0</v>
      </c>
      <c r="J545" s="286" t="str">
        <f>Games!E81</f>
        <v/>
      </c>
      <c r="K545" s="287" t="str">
        <f t="shared" si="18"/>
        <v/>
      </c>
      <c r="L545" s="285" t="str">
        <f>IF(AND(Games!Z81=3,Games!U81=2),"Distance","")</f>
        <v/>
      </c>
      <c r="O545">
        <f>IF(Table3[[#This Row],[First Title]]="Started", (Table3[[#This Row],[Score]]+0)*2,Table3[[#This Row],[Score]]+0)</f>
        <v>0</v>
      </c>
      <c r="P545" s="2" t="str">
        <f>IF(Table3[[#This Row],[Helper]]&gt;191,"Gold",IF(Table3[[#This Row],[Helper]]&gt;171,"Silver",IF(Table3[[#This Row],[Helper]]&gt;141,"Bronze","")))</f>
        <v/>
      </c>
    </row>
    <row r="546" spans="9:16" x14ac:dyDescent="0.25">
      <c r="I546" s="285">
        <f>Games!D82</f>
        <v>0</v>
      </c>
      <c r="J546" s="286" t="str">
        <f>Games!E82</f>
        <v/>
      </c>
      <c r="K546" s="287" t="str">
        <f t="shared" si="18"/>
        <v/>
      </c>
      <c r="L546" s="285" t="str">
        <f>IF(AND(Games!Z82=3,Games!U82=2),"Distance","")</f>
        <v/>
      </c>
      <c r="O546">
        <f>IF(Table3[[#This Row],[First Title]]="Started", (Table3[[#This Row],[Score]]+0)*2,Table3[[#This Row],[Score]]+0)</f>
        <v>0</v>
      </c>
      <c r="P546" s="2" t="str">
        <f>IF(Table3[[#This Row],[Helper]]&gt;191,"Gold",IF(Table3[[#This Row],[Helper]]&gt;171,"Silver",IF(Table3[[#This Row],[Helper]]&gt;141,"Bronze","")))</f>
        <v/>
      </c>
    </row>
    <row r="547" spans="9:16" x14ac:dyDescent="0.25">
      <c r="I547" s="285">
        <f>Games!D83</f>
        <v>0</v>
      </c>
      <c r="J547" s="286" t="str">
        <f>Games!E83</f>
        <v/>
      </c>
      <c r="K547" s="287" t="str">
        <f t="shared" si="18"/>
        <v/>
      </c>
      <c r="L547" s="285" t="str">
        <f>IF(AND(Games!Z83=3,Games!U83=2),"Distance","")</f>
        <v/>
      </c>
      <c r="O547">
        <f>IF(Table3[[#This Row],[First Title]]="Started", (Table3[[#This Row],[Score]]+0)*2,Table3[[#This Row],[Score]]+0)</f>
        <v>0</v>
      </c>
      <c r="P547" s="2" t="str">
        <f>IF(Table3[[#This Row],[Helper]]&gt;191,"Gold",IF(Table3[[#This Row],[Helper]]&gt;171,"Silver",IF(Table3[[#This Row],[Helper]]&gt;141,"Bronze","")))</f>
        <v/>
      </c>
    </row>
    <row r="548" spans="9:16" x14ac:dyDescent="0.25">
      <c r="I548" s="285">
        <f>Games!D84</f>
        <v>0</v>
      </c>
      <c r="J548" s="286" t="str">
        <f>Games!E84</f>
        <v/>
      </c>
      <c r="K548" s="287" t="str">
        <f t="shared" si="18"/>
        <v/>
      </c>
      <c r="L548" s="285" t="str">
        <f>IF(AND(Games!Z84=3,Games!U84=2),"Distance","")</f>
        <v/>
      </c>
      <c r="O548">
        <f>IF(Table3[[#This Row],[First Title]]="Started", (Table3[[#This Row],[Score]]+0)*2,Table3[[#This Row],[Score]]+0)</f>
        <v>0</v>
      </c>
      <c r="P548" s="2" t="str">
        <f>IF(Table3[[#This Row],[Helper]]&gt;191,"Gold",IF(Table3[[#This Row],[Helper]]&gt;171,"Silver",IF(Table3[[#This Row],[Helper]]&gt;141,"Bronze","")))</f>
        <v/>
      </c>
    </row>
    <row r="549" spans="9:16" x14ac:dyDescent="0.25">
      <c r="I549" s="285">
        <f>Games!D85</f>
        <v>0</v>
      </c>
      <c r="J549" s="286" t="str">
        <f>Games!E85</f>
        <v/>
      </c>
      <c r="K549" s="287" t="str">
        <f t="shared" si="18"/>
        <v/>
      </c>
      <c r="L549" s="285" t="str">
        <f>IF(AND(Games!Z85=3,Games!U85=2),"Distance","")</f>
        <v/>
      </c>
      <c r="O549">
        <f>IF(Table3[[#This Row],[First Title]]="Started", (Table3[[#This Row],[Score]]+0)*2,Table3[[#This Row],[Score]]+0)</f>
        <v>0</v>
      </c>
      <c r="P549" s="2" t="str">
        <f>IF(Table3[[#This Row],[Helper]]&gt;191,"Gold",IF(Table3[[#This Row],[Helper]]&gt;171,"Silver",IF(Table3[[#This Row],[Helper]]&gt;141,"Bronze","")))</f>
        <v/>
      </c>
    </row>
    <row r="550" spans="9:16" x14ac:dyDescent="0.25">
      <c r="I550" s="285">
        <f>Games!D86</f>
        <v>0</v>
      </c>
      <c r="J550" s="286" t="str">
        <f>Games!E86</f>
        <v/>
      </c>
      <c r="K550" s="287" t="str">
        <f t="shared" si="18"/>
        <v/>
      </c>
      <c r="L550" s="285" t="str">
        <f>IF(AND(Games!Z86=3,Games!U86=2),"Distance","")</f>
        <v/>
      </c>
      <c r="O550">
        <f>IF(Table3[[#This Row],[First Title]]="Started", (Table3[[#This Row],[Score]]+0)*2,Table3[[#This Row],[Score]]+0)</f>
        <v>0</v>
      </c>
      <c r="P550" s="2" t="str">
        <f>IF(Table3[[#This Row],[Helper]]&gt;191,"Gold",IF(Table3[[#This Row],[Helper]]&gt;171,"Silver",IF(Table3[[#This Row],[Helper]]&gt;141,"Bronze","")))</f>
        <v/>
      </c>
    </row>
    <row r="551" spans="9:16" x14ac:dyDescent="0.25">
      <c r="I551" s="285">
        <f>Games!D87</f>
        <v>0</v>
      </c>
      <c r="J551" s="286" t="str">
        <f>Games!E87</f>
        <v/>
      </c>
      <c r="K551" s="287" t="str">
        <f t="shared" si="18"/>
        <v/>
      </c>
      <c r="L551" s="285" t="str">
        <f>IF(AND(Games!Z87=3,Games!U87=2),"Distance","")</f>
        <v/>
      </c>
      <c r="O551">
        <f>IF(Table3[[#This Row],[First Title]]="Started", (Table3[[#This Row],[Score]]+0)*2,Table3[[#This Row],[Score]]+0)</f>
        <v>0</v>
      </c>
      <c r="P551" s="2" t="str">
        <f>IF(Table3[[#This Row],[Helper]]&gt;191,"Gold",IF(Table3[[#This Row],[Helper]]&gt;171,"Silver",IF(Table3[[#This Row],[Helper]]&gt;141,"Bronze","")))</f>
        <v/>
      </c>
    </row>
    <row r="552" spans="9:16" x14ac:dyDescent="0.25">
      <c r="I552" s="285">
        <f>Games!D88</f>
        <v>0</v>
      </c>
      <c r="J552" s="286" t="str">
        <f>Games!E88</f>
        <v/>
      </c>
      <c r="K552" s="287" t="str">
        <f t="shared" si="18"/>
        <v/>
      </c>
      <c r="L552" s="285" t="str">
        <f>IF(AND(Games!Z88=3,Games!U88=2),"Distance","")</f>
        <v/>
      </c>
      <c r="O552">
        <f>IF(Table3[[#This Row],[First Title]]="Started", (Table3[[#This Row],[Score]]+0)*2,Table3[[#This Row],[Score]]+0)</f>
        <v>0</v>
      </c>
      <c r="P552" s="2" t="str">
        <f>IF(Table3[[#This Row],[Helper]]&gt;191,"Gold",IF(Table3[[#This Row],[Helper]]&gt;171,"Silver",IF(Table3[[#This Row],[Helper]]&gt;141,"Bronze","")))</f>
        <v/>
      </c>
    </row>
    <row r="553" spans="9:16" x14ac:dyDescent="0.25">
      <c r="I553" s="285">
        <f>Games!D89</f>
        <v>0</v>
      </c>
      <c r="J553" s="286" t="str">
        <f>Games!E89</f>
        <v/>
      </c>
      <c r="K553" s="287" t="str">
        <f t="shared" si="18"/>
        <v/>
      </c>
      <c r="L553" s="285" t="str">
        <f>IF(AND(Games!Z89=3,Games!U89=2),"Distance","")</f>
        <v/>
      </c>
      <c r="O553">
        <f>IF(Table3[[#This Row],[First Title]]="Started", (Table3[[#This Row],[Score]]+0)*2,Table3[[#This Row],[Score]]+0)</f>
        <v>0</v>
      </c>
      <c r="P553" s="2" t="str">
        <f>IF(Table3[[#This Row],[Helper]]&gt;191,"Gold",IF(Table3[[#This Row],[Helper]]&gt;171,"Silver",IF(Table3[[#This Row],[Helper]]&gt;141,"Bronze","")))</f>
        <v/>
      </c>
    </row>
    <row r="554" spans="9:16" x14ac:dyDescent="0.25">
      <c r="I554" s="285">
        <f>Games!D90</f>
        <v>0</v>
      </c>
      <c r="J554" s="286" t="str">
        <f>Games!E90</f>
        <v/>
      </c>
      <c r="K554" s="287" t="str">
        <f t="shared" si="18"/>
        <v/>
      </c>
      <c r="L554" s="285" t="str">
        <f>IF(AND(Games!Z90=3,Games!U90=2),"Distance","")</f>
        <v/>
      </c>
      <c r="O554">
        <f>IF(Table3[[#This Row],[First Title]]="Started", (Table3[[#This Row],[Score]]+0)*2,Table3[[#This Row],[Score]]+0)</f>
        <v>0</v>
      </c>
      <c r="P554" s="2" t="str">
        <f>IF(Table3[[#This Row],[Helper]]&gt;191,"Gold",IF(Table3[[#This Row],[Helper]]&gt;171,"Silver",IF(Table3[[#This Row],[Helper]]&gt;141,"Bronze","")))</f>
        <v/>
      </c>
    </row>
    <row r="555" spans="9:16" x14ac:dyDescent="0.25">
      <c r="I555" s="285">
        <f>Games!D91</f>
        <v>0</v>
      </c>
      <c r="J555" s="286" t="str">
        <f>Games!E91</f>
        <v/>
      </c>
      <c r="K555" s="287" t="str">
        <f t="shared" si="18"/>
        <v/>
      </c>
      <c r="L555" s="285" t="str">
        <f>IF(AND(Games!Z91=3,Games!U91=2),"Distance","")</f>
        <v/>
      </c>
      <c r="O555">
        <f>IF(Table3[[#This Row],[First Title]]="Started", (Table3[[#This Row],[Score]]+0)*2,Table3[[#This Row],[Score]]+0)</f>
        <v>0</v>
      </c>
      <c r="P555" s="2" t="str">
        <f>IF(Table3[[#This Row],[Helper]]&gt;191,"Gold",IF(Table3[[#This Row],[Helper]]&gt;171,"Silver",IF(Table3[[#This Row],[Helper]]&gt;141,"Bronze","")))</f>
        <v/>
      </c>
    </row>
    <row r="556" spans="9:16" x14ac:dyDescent="0.25">
      <c r="I556" s="285">
        <f>Games!D92</f>
        <v>0</v>
      </c>
      <c r="J556" s="286" t="str">
        <f>Games!E92</f>
        <v/>
      </c>
      <c r="K556" s="287" t="str">
        <f t="shared" si="18"/>
        <v/>
      </c>
      <c r="L556" s="285" t="str">
        <f>IF(AND(Games!Z92=3,Games!U92=2),"Distance","")</f>
        <v/>
      </c>
      <c r="O556">
        <f>IF(Table3[[#This Row],[First Title]]="Started", (Table3[[#This Row],[Score]]+0)*2,Table3[[#This Row],[Score]]+0)</f>
        <v>0</v>
      </c>
      <c r="P556" s="2" t="str">
        <f>IF(Table3[[#This Row],[Helper]]&gt;191,"Gold",IF(Table3[[#This Row],[Helper]]&gt;171,"Silver",IF(Table3[[#This Row],[Helper]]&gt;141,"Bronze","")))</f>
        <v/>
      </c>
    </row>
    <row r="557" spans="9:16" x14ac:dyDescent="0.25">
      <c r="I557" s="285">
        <f>Games!D93</f>
        <v>0</v>
      </c>
      <c r="J557" s="286" t="str">
        <f>Games!E93</f>
        <v/>
      </c>
      <c r="K557" s="287" t="str">
        <f t="shared" si="18"/>
        <v/>
      </c>
      <c r="L557" s="285" t="str">
        <f>IF(AND(Games!Z93=3,Games!U93=2),"Distance","")</f>
        <v/>
      </c>
      <c r="O557">
        <f>IF(Table3[[#This Row],[First Title]]="Started", (Table3[[#This Row],[Score]]+0)*2,Table3[[#This Row],[Score]]+0)</f>
        <v>0</v>
      </c>
      <c r="P557" s="2" t="str">
        <f>IF(Table3[[#This Row],[Helper]]&gt;191,"Gold",IF(Table3[[#This Row],[Helper]]&gt;171,"Silver",IF(Table3[[#This Row],[Helper]]&gt;141,"Bronze","")))</f>
        <v/>
      </c>
    </row>
    <row r="558" spans="9:16" x14ac:dyDescent="0.25">
      <c r="I558" s="285">
        <f>Games!D94</f>
        <v>0</v>
      </c>
      <c r="J558" s="286" t="str">
        <f>Games!E94</f>
        <v/>
      </c>
      <c r="K558" s="287" t="str">
        <f t="shared" si="18"/>
        <v/>
      </c>
      <c r="L558" s="285" t="str">
        <f>IF(AND(Games!Z94=3,Games!U94=2),"Distance","")</f>
        <v/>
      </c>
      <c r="O558">
        <f>IF(Table3[[#This Row],[First Title]]="Started", (Table3[[#This Row],[Score]]+0)*2,Table3[[#This Row],[Score]]+0)</f>
        <v>0</v>
      </c>
      <c r="P558" s="2" t="str">
        <f>IF(Table3[[#This Row],[Helper]]&gt;191,"Gold",IF(Table3[[#This Row],[Helper]]&gt;171,"Silver",IF(Table3[[#This Row],[Helper]]&gt;141,"Bronze","")))</f>
        <v/>
      </c>
    </row>
    <row r="559" spans="9:16" x14ac:dyDescent="0.25">
      <c r="I559" s="285">
        <f>Games!D95</f>
        <v>0</v>
      </c>
      <c r="J559" s="286" t="str">
        <f>Games!E95</f>
        <v/>
      </c>
      <c r="K559" s="287" t="str">
        <f t="shared" si="18"/>
        <v/>
      </c>
      <c r="L559" s="285" t="str">
        <f>IF(AND(Games!Z95=3,Games!U95=2),"Distance","")</f>
        <v/>
      </c>
      <c r="O559">
        <f>IF(Table3[[#This Row],[First Title]]="Started", (Table3[[#This Row],[Score]]+0)*2,Table3[[#This Row],[Score]]+0)</f>
        <v>0</v>
      </c>
      <c r="P559" s="2" t="str">
        <f>IF(Table3[[#This Row],[Helper]]&gt;191,"Gold",IF(Table3[[#This Row],[Helper]]&gt;171,"Silver",IF(Table3[[#This Row],[Helper]]&gt;141,"Bronze","")))</f>
        <v/>
      </c>
    </row>
    <row r="560" spans="9:16" x14ac:dyDescent="0.25">
      <c r="I560" s="285">
        <f>Games!D96</f>
        <v>0</v>
      </c>
      <c r="J560" s="286" t="str">
        <f>Games!E96</f>
        <v/>
      </c>
      <c r="K560" s="287" t="str">
        <f t="shared" si="18"/>
        <v/>
      </c>
      <c r="L560" s="285" t="str">
        <f>IF(AND(Games!Z96=3,Games!U96=2),"Distance","")</f>
        <v/>
      </c>
      <c r="O560">
        <f>IF(Table3[[#This Row],[First Title]]="Started", (Table3[[#This Row],[Score]]+0)*2,Table3[[#This Row],[Score]]+0)</f>
        <v>0</v>
      </c>
      <c r="P560" s="2" t="str">
        <f>IF(Table3[[#This Row],[Helper]]&gt;191,"Gold",IF(Table3[[#This Row],[Helper]]&gt;171,"Silver",IF(Table3[[#This Row],[Helper]]&gt;141,"Bronze","")))</f>
        <v/>
      </c>
    </row>
    <row r="561" spans="9:16" x14ac:dyDescent="0.25">
      <c r="I561" s="285">
        <f>Games!D97</f>
        <v>0</v>
      </c>
      <c r="J561" s="286" t="str">
        <f>Games!E97</f>
        <v/>
      </c>
      <c r="K561" s="287" t="str">
        <f t="shared" si="18"/>
        <v/>
      </c>
      <c r="L561" s="285" t="str">
        <f>IF(AND(Games!Z97=3,Games!U97=2),"Distance","")</f>
        <v/>
      </c>
      <c r="O561">
        <f>IF(Table3[[#This Row],[First Title]]="Started", (Table3[[#This Row],[Score]]+0)*2,Table3[[#This Row],[Score]]+0)</f>
        <v>0</v>
      </c>
      <c r="P561" s="2" t="str">
        <f>IF(Table3[[#This Row],[Helper]]&gt;191,"Gold",IF(Table3[[#This Row],[Helper]]&gt;171,"Silver",IF(Table3[[#This Row],[Helper]]&gt;141,"Bronze","")))</f>
        <v/>
      </c>
    </row>
    <row r="562" spans="9:16" x14ac:dyDescent="0.25">
      <c r="I562" s="285">
        <f>Games!D98</f>
        <v>0</v>
      </c>
      <c r="J562" s="286" t="str">
        <f>Games!E98</f>
        <v/>
      </c>
      <c r="K562" s="287" t="str">
        <f t="shared" ref="K562:K579" si="19">TrialDateDay2</f>
        <v/>
      </c>
      <c r="L562" s="285" t="str">
        <f>IF(AND(Games!Z98=3,Games!U98=2),"Distance","")</f>
        <v/>
      </c>
      <c r="O562">
        <f>IF(Table3[[#This Row],[First Title]]="Started", (Table3[[#This Row],[Score]]+0)*2,Table3[[#This Row],[Score]]+0)</f>
        <v>0</v>
      </c>
      <c r="P562" s="2" t="str">
        <f>IF(Table3[[#This Row],[Helper]]&gt;191,"Gold",IF(Table3[[#This Row],[Helper]]&gt;171,"Silver",IF(Table3[[#This Row],[Helper]]&gt;141,"Bronze","")))</f>
        <v/>
      </c>
    </row>
    <row r="563" spans="9:16" x14ac:dyDescent="0.25">
      <c r="I563" s="285">
        <f>Games!D99</f>
        <v>0</v>
      </c>
      <c r="J563" s="286" t="str">
        <f>Games!E99</f>
        <v/>
      </c>
      <c r="K563" s="287" t="str">
        <f t="shared" si="19"/>
        <v/>
      </c>
      <c r="L563" s="285" t="str">
        <f>IF(AND(Games!Z99=3,Games!U99=2),"Distance","")</f>
        <v/>
      </c>
      <c r="O563">
        <f>IF(Table3[[#This Row],[First Title]]="Started", (Table3[[#This Row],[Score]]+0)*2,Table3[[#This Row],[Score]]+0)</f>
        <v>0</v>
      </c>
      <c r="P563" s="2" t="str">
        <f>IF(Table3[[#This Row],[Helper]]&gt;191,"Gold",IF(Table3[[#This Row],[Helper]]&gt;171,"Silver",IF(Table3[[#This Row],[Helper]]&gt;141,"Bronze","")))</f>
        <v/>
      </c>
    </row>
    <row r="564" spans="9:16" x14ac:dyDescent="0.25">
      <c r="I564" s="285">
        <f>Games!D100</f>
        <v>0</v>
      </c>
      <c r="J564" s="286" t="str">
        <f>Games!E100</f>
        <v/>
      </c>
      <c r="K564" s="287" t="str">
        <f t="shared" si="19"/>
        <v/>
      </c>
      <c r="L564" s="285" t="str">
        <f>IF(AND(Games!Z100=3,Games!U100=2),"Distance","")</f>
        <v/>
      </c>
      <c r="O564">
        <f>IF(Table3[[#This Row],[First Title]]="Started", (Table3[[#This Row],[Score]]+0)*2,Table3[[#This Row],[Score]]+0)</f>
        <v>0</v>
      </c>
      <c r="P564" s="2" t="str">
        <f>IF(Table3[[#This Row],[Helper]]&gt;191,"Gold",IF(Table3[[#This Row],[Helper]]&gt;171,"Silver",IF(Table3[[#This Row],[Helper]]&gt;141,"Bronze","")))</f>
        <v/>
      </c>
    </row>
    <row r="565" spans="9:16" x14ac:dyDescent="0.25">
      <c r="I565" s="285">
        <f>Games!D101</f>
        <v>0</v>
      </c>
      <c r="J565" s="286" t="str">
        <f>Games!E101</f>
        <v/>
      </c>
      <c r="K565" s="287" t="str">
        <f t="shared" si="19"/>
        <v/>
      </c>
      <c r="L565" s="285" t="str">
        <f>IF(AND(Games!Z101=3,Games!U101=2),"Distance","")</f>
        <v/>
      </c>
      <c r="O565">
        <f>IF(Table3[[#This Row],[First Title]]="Started", (Table3[[#This Row],[Score]]+0)*2,Table3[[#This Row],[Score]]+0)</f>
        <v>0</v>
      </c>
      <c r="P565" s="2" t="str">
        <f>IF(Table3[[#This Row],[Helper]]&gt;191,"Gold",IF(Table3[[#This Row],[Helper]]&gt;171,"Silver",IF(Table3[[#This Row],[Helper]]&gt;141,"Bronze","")))</f>
        <v/>
      </c>
    </row>
    <row r="566" spans="9:16" x14ac:dyDescent="0.25">
      <c r="I566" s="285">
        <f>Games!D102</f>
        <v>0</v>
      </c>
      <c r="J566" s="286" t="str">
        <f>Games!E102</f>
        <v/>
      </c>
      <c r="K566" s="287" t="str">
        <f t="shared" si="19"/>
        <v/>
      </c>
      <c r="L566" s="285" t="str">
        <f>IF(AND(Games!Z102=3,Games!U102=2),"Distance","")</f>
        <v/>
      </c>
      <c r="O566">
        <f>IF(Table3[[#This Row],[First Title]]="Started", (Table3[[#This Row],[Score]]+0)*2,Table3[[#This Row],[Score]]+0)</f>
        <v>0</v>
      </c>
      <c r="P566" s="2" t="str">
        <f>IF(Table3[[#This Row],[Helper]]&gt;191,"Gold",IF(Table3[[#This Row],[Helper]]&gt;171,"Silver",IF(Table3[[#This Row],[Helper]]&gt;141,"Bronze","")))</f>
        <v/>
      </c>
    </row>
    <row r="567" spans="9:16" x14ac:dyDescent="0.25">
      <c r="I567" s="285">
        <f>Games!D103</f>
        <v>0</v>
      </c>
      <c r="J567" s="286" t="str">
        <f>Games!E103</f>
        <v/>
      </c>
      <c r="K567" s="287" t="str">
        <f t="shared" si="19"/>
        <v/>
      </c>
      <c r="L567" s="285" t="str">
        <f>IF(AND(Games!Z103=3,Games!U103=2),"Distance","")</f>
        <v/>
      </c>
      <c r="O567">
        <f>IF(Table3[[#This Row],[First Title]]="Started", (Table3[[#This Row],[Score]]+0)*2,Table3[[#This Row],[Score]]+0)</f>
        <v>0</v>
      </c>
      <c r="P567" s="2" t="str">
        <f>IF(Table3[[#This Row],[Helper]]&gt;191,"Gold",IF(Table3[[#This Row],[Helper]]&gt;171,"Silver",IF(Table3[[#This Row],[Helper]]&gt;141,"Bronze","")))</f>
        <v/>
      </c>
    </row>
    <row r="568" spans="9:16" x14ac:dyDescent="0.25">
      <c r="I568" s="285">
        <f>Games!D104</f>
        <v>0</v>
      </c>
      <c r="J568" s="286" t="str">
        <f>Games!E104</f>
        <v/>
      </c>
      <c r="K568" s="287" t="str">
        <f t="shared" si="19"/>
        <v/>
      </c>
      <c r="L568" s="285" t="str">
        <f>IF(AND(Games!Z104=3,Games!U104=2),"Distance","")</f>
        <v/>
      </c>
      <c r="O568">
        <f>IF(Table3[[#This Row],[First Title]]="Started", (Table3[[#This Row],[Score]]+0)*2,Table3[[#This Row],[Score]]+0)</f>
        <v>0</v>
      </c>
      <c r="P568" s="2" t="str">
        <f>IF(Table3[[#This Row],[Helper]]&gt;191,"Gold",IF(Table3[[#This Row],[Helper]]&gt;171,"Silver",IF(Table3[[#This Row],[Helper]]&gt;141,"Bronze","")))</f>
        <v/>
      </c>
    </row>
    <row r="569" spans="9:16" x14ac:dyDescent="0.25">
      <c r="I569" s="285">
        <f>Games!D105</f>
        <v>0</v>
      </c>
      <c r="J569" s="286" t="str">
        <f>Games!E105</f>
        <v/>
      </c>
      <c r="K569" s="287" t="str">
        <f t="shared" si="19"/>
        <v/>
      </c>
      <c r="L569" s="285" t="str">
        <f>IF(AND(Games!Z105=3,Games!U105=2),"Distance","")</f>
        <v/>
      </c>
      <c r="O569">
        <f>IF(Table3[[#This Row],[First Title]]="Started", (Table3[[#This Row],[Score]]+0)*2,Table3[[#This Row],[Score]]+0)</f>
        <v>0</v>
      </c>
      <c r="P569" s="2" t="str">
        <f>IF(Table3[[#This Row],[Helper]]&gt;191,"Gold",IF(Table3[[#This Row],[Helper]]&gt;171,"Silver",IF(Table3[[#This Row],[Helper]]&gt;141,"Bronze","")))</f>
        <v/>
      </c>
    </row>
    <row r="570" spans="9:16" x14ac:dyDescent="0.25">
      <c r="I570" s="285">
        <f>Games!D106</f>
        <v>0</v>
      </c>
      <c r="J570" s="286" t="str">
        <f>Games!E106</f>
        <v/>
      </c>
      <c r="K570" s="287" t="str">
        <f t="shared" si="19"/>
        <v/>
      </c>
      <c r="L570" s="285" t="str">
        <f>IF(AND(Games!Z106=3,Games!U106=2),"Distance","")</f>
        <v/>
      </c>
      <c r="O570">
        <f>IF(Table3[[#This Row],[First Title]]="Started", (Table3[[#This Row],[Score]]+0)*2,Table3[[#This Row],[Score]]+0)</f>
        <v>0</v>
      </c>
      <c r="P570" s="2" t="str">
        <f>IF(Table3[[#This Row],[Helper]]&gt;191,"Gold",IF(Table3[[#This Row],[Helper]]&gt;171,"Silver",IF(Table3[[#This Row],[Helper]]&gt;141,"Bronze","")))</f>
        <v/>
      </c>
    </row>
    <row r="571" spans="9:16" x14ac:dyDescent="0.25">
      <c r="I571" s="285">
        <f>Games!D107</f>
        <v>0</v>
      </c>
      <c r="J571" s="286" t="str">
        <f>Games!E107</f>
        <v/>
      </c>
      <c r="K571" s="287" t="str">
        <f t="shared" si="19"/>
        <v/>
      </c>
      <c r="L571" s="285" t="str">
        <f>IF(AND(Games!Z107=3,Games!U107=2),"Distance","")</f>
        <v/>
      </c>
      <c r="O571">
        <f>IF(Table3[[#This Row],[First Title]]="Started", (Table3[[#This Row],[Score]]+0)*2,Table3[[#This Row],[Score]]+0)</f>
        <v>0</v>
      </c>
      <c r="P571" s="2" t="str">
        <f>IF(Table3[[#This Row],[Helper]]&gt;191,"Gold",IF(Table3[[#This Row],[Helper]]&gt;171,"Silver",IF(Table3[[#This Row],[Helper]]&gt;141,"Bronze","")))</f>
        <v/>
      </c>
    </row>
    <row r="572" spans="9:16" x14ac:dyDescent="0.25">
      <c r="I572" s="285">
        <f>Games!D108</f>
        <v>0</v>
      </c>
      <c r="J572" s="286" t="str">
        <f>Games!E108</f>
        <v/>
      </c>
      <c r="K572" s="287" t="str">
        <f t="shared" si="19"/>
        <v/>
      </c>
      <c r="L572" s="285" t="str">
        <f>IF(AND(Games!Z108=3,Games!U108=2),"Distance","")</f>
        <v/>
      </c>
      <c r="O572">
        <f>IF(Table3[[#This Row],[First Title]]="Started", (Table3[[#This Row],[Score]]+0)*2,Table3[[#This Row],[Score]]+0)</f>
        <v>0</v>
      </c>
      <c r="P572" s="2" t="str">
        <f>IF(Table3[[#This Row],[Helper]]&gt;191,"Gold",IF(Table3[[#This Row],[Helper]]&gt;171,"Silver",IF(Table3[[#This Row],[Helper]]&gt;141,"Bronze","")))</f>
        <v/>
      </c>
    </row>
    <row r="573" spans="9:16" x14ac:dyDescent="0.25">
      <c r="I573" s="285">
        <f>Games!D109</f>
        <v>0</v>
      </c>
      <c r="J573" s="286" t="str">
        <f>Games!E109</f>
        <v/>
      </c>
      <c r="K573" s="287" t="str">
        <f t="shared" si="19"/>
        <v/>
      </c>
      <c r="L573" s="285" t="str">
        <f>IF(AND(Games!Z109=3,Games!U109=2),"Distance","")</f>
        <v/>
      </c>
      <c r="O573">
        <f>IF(Table3[[#This Row],[First Title]]="Started", (Table3[[#This Row],[Score]]+0)*2,Table3[[#This Row],[Score]]+0)</f>
        <v>0</v>
      </c>
      <c r="P573" s="2" t="str">
        <f>IF(Table3[[#This Row],[Helper]]&gt;191,"Gold",IF(Table3[[#This Row],[Helper]]&gt;171,"Silver",IF(Table3[[#This Row],[Helper]]&gt;141,"Bronze","")))</f>
        <v/>
      </c>
    </row>
    <row r="574" spans="9:16" x14ac:dyDescent="0.25">
      <c r="I574" s="285">
        <f>Games!D110</f>
        <v>0</v>
      </c>
      <c r="J574" s="286" t="str">
        <f>Games!E110</f>
        <v/>
      </c>
      <c r="K574" s="287" t="str">
        <f t="shared" si="19"/>
        <v/>
      </c>
      <c r="L574" s="285" t="str">
        <f>IF(AND(Games!Z110=3,Games!U110=2),"Distance","")</f>
        <v/>
      </c>
      <c r="O574">
        <f>IF(Table3[[#This Row],[First Title]]="Started", (Table3[[#This Row],[Score]]+0)*2,Table3[[#This Row],[Score]]+0)</f>
        <v>0</v>
      </c>
      <c r="P574" s="2" t="str">
        <f>IF(Table3[[#This Row],[Helper]]&gt;191,"Gold",IF(Table3[[#This Row],[Helper]]&gt;171,"Silver",IF(Table3[[#This Row],[Helper]]&gt;141,"Bronze","")))</f>
        <v/>
      </c>
    </row>
    <row r="575" spans="9:16" x14ac:dyDescent="0.25">
      <c r="I575" s="285">
        <f>Games!D111</f>
        <v>0</v>
      </c>
      <c r="J575" s="286" t="str">
        <f>Games!E111</f>
        <v/>
      </c>
      <c r="K575" s="287" t="str">
        <f t="shared" si="19"/>
        <v/>
      </c>
      <c r="L575" s="285" t="str">
        <f>IF(AND(Games!Z111=3,Games!U111=2),"Distance","")</f>
        <v/>
      </c>
      <c r="O575">
        <f>IF(Table3[[#This Row],[First Title]]="Started", (Table3[[#This Row],[Score]]+0)*2,Table3[[#This Row],[Score]]+0)</f>
        <v>0</v>
      </c>
      <c r="P575" s="2" t="str">
        <f>IF(Table3[[#This Row],[Helper]]&gt;191,"Gold",IF(Table3[[#This Row],[Helper]]&gt;171,"Silver",IF(Table3[[#This Row],[Helper]]&gt;141,"Bronze","")))</f>
        <v/>
      </c>
    </row>
    <row r="576" spans="9:16" x14ac:dyDescent="0.25">
      <c r="I576" s="285">
        <f>Games!D112</f>
        <v>0</v>
      </c>
      <c r="J576" s="286" t="str">
        <f>Games!E112</f>
        <v/>
      </c>
      <c r="K576" s="287" t="str">
        <f t="shared" si="19"/>
        <v/>
      </c>
      <c r="L576" s="285" t="str">
        <f>IF(AND(Games!Z112=3,Games!U112=2),"Distance","")</f>
        <v/>
      </c>
      <c r="O576">
        <f>IF(Table3[[#This Row],[First Title]]="Started", (Table3[[#This Row],[Score]]+0)*2,Table3[[#This Row],[Score]]+0)</f>
        <v>0</v>
      </c>
      <c r="P576" s="2" t="str">
        <f>IF(Table3[[#This Row],[Helper]]&gt;191,"Gold",IF(Table3[[#This Row],[Helper]]&gt;171,"Silver",IF(Table3[[#This Row],[Helper]]&gt;141,"Bronze","")))</f>
        <v/>
      </c>
    </row>
    <row r="577" spans="9:16" x14ac:dyDescent="0.25">
      <c r="I577" s="285">
        <f>Games!D113</f>
        <v>0</v>
      </c>
      <c r="J577" s="286" t="str">
        <f>Games!E113</f>
        <v/>
      </c>
      <c r="K577" s="287" t="str">
        <f t="shared" si="19"/>
        <v/>
      </c>
      <c r="L577" s="285" t="str">
        <f>IF(AND(Games!Z113=3,Games!U113=2),"Distance","")</f>
        <v/>
      </c>
      <c r="O577">
        <f>IF(Table3[[#This Row],[First Title]]="Started", (Table3[[#This Row],[Score]]+0)*2,Table3[[#This Row],[Score]]+0)</f>
        <v>0</v>
      </c>
      <c r="P577" s="2" t="str">
        <f>IF(Table3[[#This Row],[Helper]]&gt;191,"Gold",IF(Table3[[#This Row],[Helper]]&gt;171,"Silver",IF(Table3[[#This Row],[Helper]]&gt;141,"Bronze","")))</f>
        <v/>
      </c>
    </row>
    <row r="578" spans="9:16" x14ac:dyDescent="0.25">
      <c r="I578" s="285">
        <f>Games!D114</f>
        <v>0</v>
      </c>
      <c r="J578" s="286" t="str">
        <f>Games!E114</f>
        <v/>
      </c>
      <c r="K578" s="287" t="str">
        <f t="shared" si="19"/>
        <v/>
      </c>
      <c r="L578" s="285" t="str">
        <f>IF(AND(Games!Z114=3,Games!U114=2),"Distance","")</f>
        <v/>
      </c>
      <c r="O578">
        <f>IF(Table3[[#This Row],[First Title]]="Started", (Table3[[#This Row],[Score]]+0)*2,Table3[[#This Row],[Score]]+0)</f>
        <v>0</v>
      </c>
      <c r="P578" s="2" t="str">
        <f>IF(Table3[[#This Row],[Helper]]&gt;191,"Gold",IF(Table3[[#This Row],[Helper]]&gt;171,"Silver",IF(Table3[[#This Row],[Helper]]&gt;141,"Bronze","")))</f>
        <v/>
      </c>
    </row>
    <row r="579" spans="9:16" x14ac:dyDescent="0.25">
      <c r="I579" s="285">
        <f>Games!D115</f>
        <v>0</v>
      </c>
      <c r="J579" s="286" t="str">
        <f>Games!E115</f>
        <v/>
      </c>
      <c r="K579" s="287" t="str">
        <f t="shared" si="19"/>
        <v/>
      </c>
      <c r="L579" s="285" t="str">
        <f>IF(AND(Games!Z115=3,Games!U115=2),"Distance","")</f>
        <v/>
      </c>
      <c r="O579">
        <f>IF(Table3[[#This Row],[First Title]]="Started", (Table3[[#This Row],[Score]]+0)*2,Table3[[#This Row],[Score]]+0)</f>
        <v>0</v>
      </c>
      <c r="P579" s="2" t="str">
        <f>IF(Table3[[#This Row],[Helper]]&gt;191,"Gold",IF(Table3[[#This Row],[Helper]]&gt;171,"Silver",IF(Table3[[#This Row],[Helper]]&gt;141,"Bronze","")))</f>
        <v/>
      </c>
    </row>
    <row r="580" spans="9:16" x14ac:dyDescent="0.25">
      <c r="I580" s="285">
        <f>Games!D7</f>
        <v>0</v>
      </c>
      <c r="J580" s="286" t="str">
        <f>Games!E7</f>
        <v/>
      </c>
      <c r="K580" s="287" t="str">
        <f t="shared" ref="K580:K611" si="20">TrialDate</f>
        <v/>
      </c>
      <c r="L580" s="285" t="str">
        <f>IF(AND(Games!AG7=3,Games!AB7=2),"Speed","")</f>
        <v/>
      </c>
      <c r="O580">
        <f>IF(Table3[[#This Row],[First Title]]="Started", (Table3[[#This Row],[Score]]+0)*2,Table3[[#This Row],[Score]]+0)</f>
        <v>0</v>
      </c>
      <c r="P580" s="2" t="str">
        <f>IF(Table3[[#This Row],[Helper]]&gt;191,"Gold",IF(Table3[[#This Row],[Helper]]&gt;171,"Silver",IF(Table3[[#This Row],[Helper]]&gt;141,"Bronze","")))</f>
        <v/>
      </c>
    </row>
    <row r="581" spans="9:16" x14ac:dyDescent="0.25">
      <c r="I581" s="285">
        <f>Games!D8</f>
        <v>0</v>
      </c>
      <c r="J581" s="286" t="str">
        <f>Games!E8</f>
        <v/>
      </c>
      <c r="K581" s="287" t="str">
        <f t="shared" si="20"/>
        <v/>
      </c>
      <c r="L581" s="285" t="str">
        <f>IF(AND(Games!AG8=3,Games!AB8=2),"Speed","")</f>
        <v/>
      </c>
      <c r="O581">
        <f>IF(Table3[[#This Row],[First Title]]="Started", (Table3[[#This Row],[Score]]+0)*2,Table3[[#This Row],[Score]]+0)</f>
        <v>0</v>
      </c>
      <c r="P581" s="2" t="str">
        <f>IF(Table3[[#This Row],[Helper]]&gt;191,"Gold",IF(Table3[[#This Row],[Helper]]&gt;171,"Silver",IF(Table3[[#This Row],[Helper]]&gt;141,"Bronze","")))</f>
        <v/>
      </c>
    </row>
    <row r="582" spans="9:16" x14ac:dyDescent="0.25">
      <c r="I582" s="285">
        <f>Games!D9</f>
        <v>0</v>
      </c>
      <c r="J582" s="286" t="str">
        <f>Games!E9</f>
        <v/>
      </c>
      <c r="K582" s="287" t="str">
        <f t="shared" si="20"/>
        <v/>
      </c>
      <c r="L582" s="285" t="str">
        <f>IF(AND(Games!AG9=3,Games!AB9=2),"Speed","")</f>
        <v/>
      </c>
      <c r="O582">
        <f>IF(Table3[[#This Row],[First Title]]="Started", (Table3[[#This Row],[Score]]+0)*2,Table3[[#This Row],[Score]]+0)</f>
        <v>0</v>
      </c>
      <c r="P582" s="2" t="str">
        <f>IF(Table3[[#This Row],[Helper]]&gt;191,"Gold",IF(Table3[[#This Row],[Helper]]&gt;171,"Silver",IF(Table3[[#This Row],[Helper]]&gt;141,"Bronze","")))</f>
        <v/>
      </c>
    </row>
    <row r="583" spans="9:16" x14ac:dyDescent="0.25">
      <c r="I583" s="285">
        <f>Games!D10</f>
        <v>0</v>
      </c>
      <c r="J583" s="286" t="str">
        <f>Games!E10</f>
        <v/>
      </c>
      <c r="K583" s="287" t="str">
        <f t="shared" si="20"/>
        <v/>
      </c>
      <c r="L583" s="285" t="str">
        <f>IF(AND(Games!AG10=3,Games!AB10=2),"Speed","")</f>
        <v/>
      </c>
      <c r="O583">
        <f>IF(Table3[[#This Row],[First Title]]="Started", (Table3[[#This Row],[Score]]+0)*2,Table3[[#This Row],[Score]]+0)</f>
        <v>0</v>
      </c>
      <c r="P583" s="2" t="str">
        <f>IF(Table3[[#This Row],[Helper]]&gt;191,"Gold",IF(Table3[[#This Row],[Helper]]&gt;171,"Silver",IF(Table3[[#This Row],[Helper]]&gt;141,"Bronze","")))</f>
        <v/>
      </c>
    </row>
    <row r="584" spans="9:16" x14ac:dyDescent="0.25">
      <c r="I584" s="285">
        <f>Games!D11</f>
        <v>0</v>
      </c>
      <c r="J584" s="286" t="str">
        <f>Games!E11</f>
        <v/>
      </c>
      <c r="K584" s="287" t="str">
        <f t="shared" si="20"/>
        <v/>
      </c>
      <c r="L584" s="285" t="str">
        <f>IF(AND(Games!AG11=3,Games!AB11=2),"Speed","")</f>
        <v/>
      </c>
      <c r="O584">
        <f>IF(Table3[[#This Row],[First Title]]="Started", (Table3[[#This Row],[Score]]+0)*2,Table3[[#This Row],[Score]]+0)</f>
        <v>0</v>
      </c>
      <c r="P584" s="2" t="str">
        <f>IF(Table3[[#This Row],[Helper]]&gt;191,"Gold",IF(Table3[[#This Row],[Helper]]&gt;171,"Silver",IF(Table3[[#This Row],[Helper]]&gt;141,"Bronze","")))</f>
        <v/>
      </c>
    </row>
    <row r="585" spans="9:16" x14ac:dyDescent="0.25">
      <c r="I585" s="285">
        <f>Games!D12</f>
        <v>0</v>
      </c>
      <c r="J585" s="286" t="str">
        <f>Games!E12</f>
        <v/>
      </c>
      <c r="K585" s="287" t="str">
        <f t="shared" si="20"/>
        <v/>
      </c>
      <c r="L585" s="285" t="str">
        <f>IF(AND(Games!AG12=3,Games!AB12=2),"Speed","")</f>
        <v/>
      </c>
      <c r="O585">
        <f>IF(Table3[[#This Row],[First Title]]="Started", (Table3[[#This Row],[Score]]+0)*2,Table3[[#This Row],[Score]]+0)</f>
        <v>0</v>
      </c>
      <c r="P585" s="2" t="str">
        <f>IF(Table3[[#This Row],[Helper]]&gt;191,"Gold",IF(Table3[[#This Row],[Helper]]&gt;171,"Silver",IF(Table3[[#This Row],[Helper]]&gt;141,"Bronze","")))</f>
        <v/>
      </c>
    </row>
    <row r="586" spans="9:16" x14ac:dyDescent="0.25">
      <c r="I586" s="285">
        <f>Games!D13</f>
        <v>0</v>
      </c>
      <c r="J586" s="286" t="str">
        <f>Games!E13</f>
        <v/>
      </c>
      <c r="K586" s="287" t="str">
        <f t="shared" si="20"/>
        <v/>
      </c>
      <c r="L586" s="285" t="str">
        <f>IF(AND(Games!AG13=3,Games!AB13=2),"Speed","")</f>
        <v/>
      </c>
      <c r="O586">
        <f>IF(Table3[[#This Row],[First Title]]="Started", (Table3[[#This Row],[Score]]+0)*2,Table3[[#This Row],[Score]]+0)</f>
        <v>0</v>
      </c>
      <c r="P586" s="2" t="str">
        <f>IF(Table3[[#This Row],[Helper]]&gt;191,"Gold",IF(Table3[[#This Row],[Helper]]&gt;171,"Silver",IF(Table3[[#This Row],[Helper]]&gt;141,"Bronze","")))</f>
        <v/>
      </c>
    </row>
    <row r="587" spans="9:16" x14ac:dyDescent="0.25">
      <c r="I587" s="285">
        <f>Games!D14</f>
        <v>0</v>
      </c>
      <c r="J587" s="286" t="str">
        <f>Games!E14</f>
        <v/>
      </c>
      <c r="K587" s="287" t="str">
        <f t="shared" si="20"/>
        <v/>
      </c>
      <c r="L587" s="285" t="str">
        <f>IF(AND(Games!AG14=3,Games!AB14=2),"Speed","")</f>
        <v/>
      </c>
      <c r="O587">
        <f>IF(Table3[[#This Row],[First Title]]="Started", (Table3[[#This Row],[Score]]+0)*2,Table3[[#This Row],[Score]]+0)</f>
        <v>0</v>
      </c>
      <c r="P587" s="2" t="str">
        <f>IF(Table3[[#This Row],[Helper]]&gt;191,"Gold",IF(Table3[[#This Row],[Helper]]&gt;171,"Silver",IF(Table3[[#This Row],[Helper]]&gt;141,"Bronze","")))</f>
        <v/>
      </c>
    </row>
    <row r="588" spans="9:16" x14ac:dyDescent="0.25">
      <c r="I588" s="285">
        <f>Games!D15</f>
        <v>0</v>
      </c>
      <c r="J588" s="286" t="str">
        <f>Games!E15</f>
        <v/>
      </c>
      <c r="K588" s="287" t="str">
        <f t="shared" si="20"/>
        <v/>
      </c>
      <c r="L588" s="285" t="str">
        <f>IF(AND(Games!AG15=3,Games!AB15=2),"Speed","")</f>
        <v/>
      </c>
      <c r="O588">
        <f>IF(Table3[[#This Row],[First Title]]="Started", (Table3[[#This Row],[Score]]+0)*2,Table3[[#This Row],[Score]]+0)</f>
        <v>0</v>
      </c>
      <c r="P588" s="2" t="str">
        <f>IF(Table3[[#This Row],[Helper]]&gt;191,"Gold",IF(Table3[[#This Row],[Helper]]&gt;171,"Silver",IF(Table3[[#This Row],[Helper]]&gt;141,"Bronze","")))</f>
        <v/>
      </c>
    </row>
    <row r="589" spans="9:16" x14ac:dyDescent="0.25">
      <c r="I589" s="285">
        <f>Games!D16</f>
        <v>0</v>
      </c>
      <c r="J589" s="286" t="str">
        <f>Games!E16</f>
        <v/>
      </c>
      <c r="K589" s="287" t="str">
        <f t="shared" si="20"/>
        <v/>
      </c>
      <c r="L589" s="285" t="str">
        <f>IF(AND(Games!AG16=3,Games!AB16=2),"Speed","")</f>
        <v/>
      </c>
      <c r="O589">
        <f>IF(Table3[[#This Row],[First Title]]="Started", (Table3[[#This Row],[Score]]+0)*2,Table3[[#This Row],[Score]]+0)</f>
        <v>0</v>
      </c>
      <c r="P589" s="2" t="str">
        <f>IF(Table3[[#This Row],[Helper]]&gt;191,"Gold",IF(Table3[[#This Row],[Helper]]&gt;171,"Silver",IF(Table3[[#This Row],[Helper]]&gt;141,"Bronze","")))</f>
        <v/>
      </c>
    </row>
    <row r="590" spans="9:16" x14ac:dyDescent="0.25">
      <c r="I590" s="285">
        <f>Games!D17</f>
        <v>0</v>
      </c>
      <c r="J590" s="286" t="str">
        <f>Games!E17</f>
        <v/>
      </c>
      <c r="K590" s="287" t="str">
        <f t="shared" si="20"/>
        <v/>
      </c>
      <c r="L590" s="285" t="str">
        <f>IF(AND(Games!AG17=3,Games!AB17=2),"Speed","")</f>
        <v/>
      </c>
      <c r="O590">
        <f>IF(Table3[[#This Row],[First Title]]="Started", (Table3[[#This Row],[Score]]+0)*2,Table3[[#This Row],[Score]]+0)</f>
        <v>0</v>
      </c>
      <c r="P590" s="2" t="str">
        <f>IF(Table3[[#This Row],[Helper]]&gt;191,"Gold",IF(Table3[[#This Row],[Helper]]&gt;171,"Silver",IF(Table3[[#This Row],[Helper]]&gt;141,"Bronze","")))</f>
        <v/>
      </c>
    </row>
    <row r="591" spans="9:16" x14ac:dyDescent="0.25">
      <c r="I591" s="285">
        <f>Games!D18</f>
        <v>0</v>
      </c>
      <c r="J591" s="286" t="str">
        <f>Games!E18</f>
        <v/>
      </c>
      <c r="K591" s="287" t="str">
        <f t="shared" si="20"/>
        <v/>
      </c>
      <c r="L591" s="285" t="str">
        <f>IF(AND(Games!AG18=3,Games!AB18=2),"Speed","")</f>
        <v/>
      </c>
      <c r="O591">
        <f>IF(Table3[[#This Row],[First Title]]="Started", (Table3[[#This Row],[Score]]+0)*2,Table3[[#This Row],[Score]]+0)</f>
        <v>0</v>
      </c>
      <c r="P591" s="2" t="str">
        <f>IF(Table3[[#This Row],[Helper]]&gt;191,"Gold",IF(Table3[[#This Row],[Helper]]&gt;171,"Silver",IF(Table3[[#This Row],[Helper]]&gt;141,"Bronze","")))</f>
        <v/>
      </c>
    </row>
    <row r="592" spans="9:16" x14ac:dyDescent="0.25">
      <c r="I592" s="285">
        <f>Games!D19</f>
        <v>0</v>
      </c>
      <c r="J592" s="286" t="str">
        <f>Games!E19</f>
        <v/>
      </c>
      <c r="K592" s="287" t="str">
        <f t="shared" si="20"/>
        <v/>
      </c>
      <c r="L592" s="285" t="str">
        <f>IF(AND(Games!AG19=3,Games!AB19=2),"Speed","")</f>
        <v/>
      </c>
      <c r="O592">
        <f>IF(Table3[[#This Row],[First Title]]="Started", (Table3[[#This Row],[Score]]+0)*2,Table3[[#This Row],[Score]]+0)</f>
        <v>0</v>
      </c>
      <c r="P592" s="2" t="str">
        <f>IF(Table3[[#This Row],[Helper]]&gt;191,"Gold",IF(Table3[[#This Row],[Helper]]&gt;171,"Silver",IF(Table3[[#This Row],[Helper]]&gt;141,"Bronze","")))</f>
        <v/>
      </c>
    </row>
    <row r="593" spans="9:16" x14ac:dyDescent="0.25">
      <c r="I593" s="285">
        <f>Games!D20</f>
        <v>0</v>
      </c>
      <c r="J593" s="286" t="str">
        <f>Games!E20</f>
        <v/>
      </c>
      <c r="K593" s="287" t="str">
        <f t="shared" si="20"/>
        <v/>
      </c>
      <c r="L593" s="285" t="str">
        <f>IF(AND(Games!AG20=3,Games!AB20=2),"Speed","")</f>
        <v/>
      </c>
      <c r="O593">
        <f>IF(Table3[[#This Row],[First Title]]="Started", (Table3[[#This Row],[Score]]+0)*2,Table3[[#This Row],[Score]]+0)</f>
        <v>0</v>
      </c>
      <c r="P593" s="2" t="str">
        <f>IF(Table3[[#This Row],[Helper]]&gt;191,"Gold",IF(Table3[[#This Row],[Helper]]&gt;171,"Silver",IF(Table3[[#This Row],[Helper]]&gt;141,"Bronze","")))</f>
        <v/>
      </c>
    </row>
    <row r="594" spans="9:16" x14ac:dyDescent="0.25">
      <c r="I594" s="285">
        <f>Games!D21</f>
        <v>0</v>
      </c>
      <c r="J594" s="286" t="str">
        <f>Games!E21</f>
        <v/>
      </c>
      <c r="K594" s="287" t="str">
        <f t="shared" si="20"/>
        <v/>
      </c>
      <c r="L594" s="285" t="str">
        <f>IF(AND(Games!AG21=3,Games!AB21=2),"Speed","")</f>
        <v/>
      </c>
      <c r="O594">
        <f>IF(Table3[[#This Row],[First Title]]="Started", (Table3[[#This Row],[Score]]+0)*2,Table3[[#This Row],[Score]]+0)</f>
        <v>0</v>
      </c>
      <c r="P594" s="2" t="str">
        <f>IF(Table3[[#This Row],[Helper]]&gt;191,"Gold",IF(Table3[[#This Row],[Helper]]&gt;171,"Silver",IF(Table3[[#This Row],[Helper]]&gt;141,"Bronze","")))</f>
        <v/>
      </c>
    </row>
    <row r="595" spans="9:16" x14ac:dyDescent="0.25">
      <c r="I595" s="285">
        <f>Games!D22</f>
        <v>0</v>
      </c>
      <c r="J595" s="286" t="str">
        <f>Games!E22</f>
        <v/>
      </c>
      <c r="K595" s="287" t="str">
        <f t="shared" si="20"/>
        <v/>
      </c>
      <c r="L595" s="285" t="str">
        <f>IF(AND(Games!AG22=3,Games!AB22=2),"Speed","")</f>
        <v/>
      </c>
      <c r="O595">
        <f>IF(Table3[[#This Row],[First Title]]="Started", (Table3[[#This Row],[Score]]+0)*2,Table3[[#This Row],[Score]]+0)</f>
        <v>0</v>
      </c>
      <c r="P595" s="2" t="str">
        <f>IF(Table3[[#This Row],[Helper]]&gt;191,"Gold",IF(Table3[[#This Row],[Helper]]&gt;171,"Silver",IF(Table3[[#This Row],[Helper]]&gt;141,"Bronze","")))</f>
        <v/>
      </c>
    </row>
    <row r="596" spans="9:16" x14ac:dyDescent="0.25">
      <c r="I596" s="285">
        <f>Games!D23</f>
        <v>0</v>
      </c>
      <c r="J596" s="286" t="str">
        <f>Games!E23</f>
        <v/>
      </c>
      <c r="K596" s="287" t="str">
        <f t="shared" si="20"/>
        <v/>
      </c>
      <c r="L596" s="285" t="str">
        <f>IF(AND(Games!AG23=3,Games!AB23=2),"Speed","")</f>
        <v/>
      </c>
      <c r="O596">
        <f>IF(Table3[[#This Row],[First Title]]="Started", (Table3[[#This Row],[Score]]+0)*2,Table3[[#This Row],[Score]]+0)</f>
        <v>0</v>
      </c>
      <c r="P596" s="2" t="str">
        <f>IF(Table3[[#This Row],[Helper]]&gt;191,"Gold",IF(Table3[[#This Row],[Helper]]&gt;171,"Silver",IF(Table3[[#This Row],[Helper]]&gt;141,"Bronze","")))</f>
        <v/>
      </c>
    </row>
    <row r="597" spans="9:16" x14ac:dyDescent="0.25">
      <c r="I597" s="285">
        <f>Games!D24</f>
        <v>0</v>
      </c>
      <c r="J597" s="286" t="str">
        <f>Games!E24</f>
        <v/>
      </c>
      <c r="K597" s="287" t="str">
        <f t="shared" si="20"/>
        <v/>
      </c>
      <c r="L597" s="285" t="str">
        <f>IF(AND(Games!AG24=3,Games!AB24=2),"Speed","")</f>
        <v/>
      </c>
      <c r="O597">
        <f>IF(Table3[[#This Row],[First Title]]="Started", (Table3[[#This Row],[Score]]+0)*2,Table3[[#This Row],[Score]]+0)</f>
        <v>0</v>
      </c>
      <c r="P597" s="2" t="str">
        <f>IF(Table3[[#This Row],[Helper]]&gt;191,"Gold",IF(Table3[[#This Row],[Helper]]&gt;171,"Silver",IF(Table3[[#This Row],[Helper]]&gt;141,"Bronze","")))</f>
        <v/>
      </c>
    </row>
    <row r="598" spans="9:16" x14ac:dyDescent="0.25">
      <c r="I598" s="285">
        <f>Games!D25</f>
        <v>0</v>
      </c>
      <c r="J598" s="286" t="str">
        <f>Games!E25</f>
        <v/>
      </c>
      <c r="K598" s="287" t="str">
        <f t="shared" si="20"/>
        <v/>
      </c>
      <c r="L598" s="285" t="str">
        <f>IF(AND(Games!AG25=3,Games!AB25=2),"Speed","")</f>
        <v/>
      </c>
      <c r="O598">
        <f>IF(Table3[[#This Row],[First Title]]="Started", (Table3[[#This Row],[Score]]+0)*2,Table3[[#This Row],[Score]]+0)</f>
        <v>0</v>
      </c>
      <c r="P598" s="2" t="str">
        <f>IF(Table3[[#This Row],[Helper]]&gt;191,"Gold",IF(Table3[[#This Row],[Helper]]&gt;171,"Silver",IF(Table3[[#This Row],[Helper]]&gt;141,"Bronze","")))</f>
        <v/>
      </c>
    </row>
    <row r="599" spans="9:16" x14ac:dyDescent="0.25">
      <c r="I599" s="285">
        <f>Games!D26</f>
        <v>0</v>
      </c>
      <c r="J599" s="286" t="str">
        <f>Games!E26</f>
        <v/>
      </c>
      <c r="K599" s="287" t="str">
        <f t="shared" si="20"/>
        <v/>
      </c>
      <c r="L599" s="285" t="str">
        <f>IF(AND(Games!AG26=3,Games!AB26=2),"Speed","")</f>
        <v/>
      </c>
      <c r="O599">
        <f>IF(Table3[[#This Row],[First Title]]="Started", (Table3[[#This Row],[Score]]+0)*2,Table3[[#This Row],[Score]]+0)</f>
        <v>0</v>
      </c>
      <c r="P599" s="2" t="str">
        <f>IF(Table3[[#This Row],[Helper]]&gt;191,"Gold",IF(Table3[[#This Row],[Helper]]&gt;171,"Silver",IF(Table3[[#This Row],[Helper]]&gt;141,"Bronze","")))</f>
        <v/>
      </c>
    </row>
    <row r="600" spans="9:16" x14ac:dyDescent="0.25">
      <c r="I600" s="285">
        <f>Games!D27</f>
        <v>0</v>
      </c>
      <c r="J600" s="286" t="str">
        <f>Games!E27</f>
        <v/>
      </c>
      <c r="K600" s="287" t="str">
        <f t="shared" si="20"/>
        <v/>
      </c>
      <c r="L600" s="285" t="str">
        <f>IF(AND(Games!AG27=3,Games!AB27=2),"Speed","")</f>
        <v/>
      </c>
      <c r="O600">
        <f>IF(Table3[[#This Row],[First Title]]="Started", (Table3[[#This Row],[Score]]+0)*2,Table3[[#This Row],[Score]]+0)</f>
        <v>0</v>
      </c>
      <c r="P600" s="2" t="str">
        <f>IF(Table3[[#This Row],[Helper]]&gt;191,"Gold",IF(Table3[[#This Row],[Helper]]&gt;171,"Silver",IF(Table3[[#This Row],[Helper]]&gt;141,"Bronze","")))</f>
        <v/>
      </c>
    </row>
    <row r="601" spans="9:16" x14ac:dyDescent="0.25">
      <c r="I601" s="285">
        <f>Games!D28</f>
        <v>0</v>
      </c>
      <c r="J601" s="286" t="str">
        <f>Games!E28</f>
        <v/>
      </c>
      <c r="K601" s="287" t="str">
        <f t="shared" si="20"/>
        <v/>
      </c>
      <c r="L601" s="285" t="str">
        <f>IF(AND(Games!AG28=3,Games!AB28=2),"Speed","")</f>
        <v/>
      </c>
      <c r="O601">
        <f>IF(Table3[[#This Row],[First Title]]="Started", (Table3[[#This Row],[Score]]+0)*2,Table3[[#This Row],[Score]]+0)</f>
        <v>0</v>
      </c>
      <c r="P601" s="2" t="str">
        <f>IF(Table3[[#This Row],[Helper]]&gt;191,"Gold",IF(Table3[[#This Row],[Helper]]&gt;171,"Silver",IF(Table3[[#This Row],[Helper]]&gt;141,"Bronze","")))</f>
        <v/>
      </c>
    </row>
    <row r="602" spans="9:16" x14ac:dyDescent="0.25">
      <c r="I602" s="285">
        <f>Games!D29</f>
        <v>0</v>
      </c>
      <c r="J602" s="286" t="str">
        <f>Games!E29</f>
        <v/>
      </c>
      <c r="K602" s="287" t="str">
        <f t="shared" si="20"/>
        <v/>
      </c>
      <c r="L602" s="285" t="str">
        <f>IF(AND(Games!AG29=3,Games!AB29=2),"Speed","")</f>
        <v/>
      </c>
      <c r="O602">
        <f>IF(Table3[[#This Row],[First Title]]="Started", (Table3[[#This Row],[Score]]+0)*2,Table3[[#This Row],[Score]]+0)</f>
        <v>0</v>
      </c>
      <c r="P602" s="2" t="str">
        <f>IF(Table3[[#This Row],[Helper]]&gt;191,"Gold",IF(Table3[[#This Row],[Helper]]&gt;171,"Silver",IF(Table3[[#This Row],[Helper]]&gt;141,"Bronze","")))</f>
        <v/>
      </c>
    </row>
    <row r="603" spans="9:16" x14ac:dyDescent="0.25">
      <c r="I603" s="285">
        <f>Games!D30</f>
        <v>0</v>
      </c>
      <c r="J603" s="286" t="str">
        <f>Games!E30</f>
        <v/>
      </c>
      <c r="K603" s="287" t="str">
        <f t="shared" si="20"/>
        <v/>
      </c>
      <c r="L603" s="285" t="str">
        <f>IF(AND(Games!AG30=3,Games!AB30=2),"Speed","")</f>
        <v/>
      </c>
      <c r="O603">
        <f>IF(Table3[[#This Row],[First Title]]="Started", (Table3[[#This Row],[Score]]+0)*2,Table3[[#This Row],[Score]]+0)</f>
        <v>0</v>
      </c>
      <c r="P603" s="2" t="str">
        <f>IF(Table3[[#This Row],[Helper]]&gt;191,"Gold",IF(Table3[[#This Row],[Helper]]&gt;171,"Silver",IF(Table3[[#This Row],[Helper]]&gt;141,"Bronze","")))</f>
        <v/>
      </c>
    </row>
    <row r="604" spans="9:16" x14ac:dyDescent="0.25">
      <c r="I604" s="285">
        <f>Games!D31</f>
        <v>0</v>
      </c>
      <c r="J604" s="286" t="str">
        <f>Games!E31</f>
        <v/>
      </c>
      <c r="K604" s="287" t="str">
        <f t="shared" si="20"/>
        <v/>
      </c>
      <c r="L604" s="285" t="str">
        <f>IF(AND(Games!AG31=3,Games!AB31=2),"Speed","")</f>
        <v/>
      </c>
      <c r="O604">
        <f>IF(Table3[[#This Row],[First Title]]="Started", (Table3[[#This Row],[Score]]+0)*2,Table3[[#This Row],[Score]]+0)</f>
        <v>0</v>
      </c>
      <c r="P604" s="2" t="str">
        <f>IF(Table3[[#This Row],[Helper]]&gt;191,"Gold",IF(Table3[[#This Row],[Helper]]&gt;171,"Silver",IF(Table3[[#This Row],[Helper]]&gt;141,"Bronze","")))</f>
        <v/>
      </c>
    </row>
    <row r="605" spans="9:16" x14ac:dyDescent="0.25">
      <c r="I605" s="285">
        <f>Games!D32</f>
        <v>0</v>
      </c>
      <c r="J605" s="286" t="str">
        <f>Games!E32</f>
        <v/>
      </c>
      <c r="K605" s="287" t="str">
        <f t="shared" si="20"/>
        <v/>
      </c>
      <c r="L605" s="285" t="str">
        <f>IF(AND(Games!AG32=3,Games!AB32=2),"Speed","")</f>
        <v/>
      </c>
      <c r="O605">
        <f>IF(Table3[[#This Row],[First Title]]="Started", (Table3[[#This Row],[Score]]+0)*2,Table3[[#This Row],[Score]]+0)</f>
        <v>0</v>
      </c>
      <c r="P605" s="2" t="str">
        <f>IF(Table3[[#This Row],[Helper]]&gt;191,"Gold",IF(Table3[[#This Row],[Helper]]&gt;171,"Silver",IF(Table3[[#This Row],[Helper]]&gt;141,"Bronze","")))</f>
        <v/>
      </c>
    </row>
    <row r="606" spans="9:16" x14ac:dyDescent="0.25">
      <c r="I606" s="285">
        <f>Games!D33</f>
        <v>0</v>
      </c>
      <c r="J606" s="286" t="str">
        <f>Games!E33</f>
        <v/>
      </c>
      <c r="K606" s="287" t="str">
        <f t="shared" si="20"/>
        <v/>
      </c>
      <c r="L606" s="285" t="str">
        <f>IF(AND(Games!AG33=3,Games!AB33=2),"Speed","")</f>
        <v/>
      </c>
      <c r="O606">
        <f>IF(Table3[[#This Row],[First Title]]="Started", (Table3[[#This Row],[Score]]+0)*2,Table3[[#This Row],[Score]]+0)</f>
        <v>0</v>
      </c>
      <c r="P606" s="2" t="str">
        <f>IF(Table3[[#This Row],[Helper]]&gt;191,"Gold",IF(Table3[[#This Row],[Helper]]&gt;171,"Silver",IF(Table3[[#This Row],[Helper]]&gt;141,"Bronze","")))</f>
        <v/>
      </c>
    </row>
    <row r="607" spans="9:16" x14ac:dyDescent="0.25">
      <c r="I607" s="285">
        <f>Games!D34</f>
        <v>0</v>
      </c>
      <c r="J607" s="286" t="str">
        <f>Games!E34</f>
        <v/>
      </c>
      <c r="K607" s="287" t="str">
        <f t="shared" si="20"/>
        <v/>
      </c>
      <c r="L607" s="285" t="str">
        <f>IF(AND(Games!AG34=3,Games!AB34=2),"Speed","")</f>
        <v/>
      </c>
      <c r="O607">
        <f>IF(Table3[[#This Row],[First Title]]="Started", (Table3[[#This Row],[Score]]+0)*2,Table3[[#This Row],[Score]]+0)</f>
        <v>0</v>
      </c>
      <c r="P607" s="2" t="str">
        <f>IF(Table3[[#This Row],[Helper]]&gt;191,"Gold",IF(Table3[[#This Row],[Helper]]&gt;171,"Silver",IF(Table3[[#This Row],[Helper]]&gt;141,"Bronze","")))</f>
        <v/>
      </c>
    </row>
    <row r="608" spans="9:16" x14ac:dyDescent="0.25">
      <c r="I608" s="285">
        <f>Games!D35</f>
        <v>0</v>
      </c>
      <c r="J608" s="286" t="str">
        <f>Games!E35</f>
        <v/>
      </c>
      <c r="K608" s="287" t="str">
        <f t="shared" si="20"/>
        <v/>
      </c>
      <c r="L608" s="285" t="str">
        <f>IF(AND(Games!AG35=3,Games!AB35=2),"Speed","")</f>
        <v/>
      </c>
      <c r="O608">
        <f>IF(Table3[[#This Row],[First Title]]="Started", (Table3[[#This Row],[Score]]+0)*2,Table3[[#This Row],[Score]]+0)</f>
        <v>0</v>
      </c>
      <c r="P608" s="2" t="str">
        <f>IF(Table3[[#This Row],[Helper]]&gt;191,"Gold",IF(Table3[[#This Row],[Helper]]&gt;171,"Silver",IF(Table3[[#This Row],[Helper]]&gt;141,"Bronze","")))</f>
        <v/>
      </c>
    </row>
    <row r="609" spans="9:16" x14ac:dyDescent="0.25">
      <c r="I609" s="285">
        <f>Games!D36</f>
        <v>0</v>
      </c>
      <c r="J609" s="286" t="str">
        <f>Games!E36</f>
        <v/>
      </c>
      <c r="K609" s="287" t="str">
        <f t="shared" si="20"/>
        <v/>
      </c>
      <c r="L609" s="285" t="str">
        <f>IF(AND(Games!AG36=3,Games!AB36=2),"Speed","")</f>
        <v/>
      </c>
      <c r="O609">
        <f>IF(Table3[[#This Row],[First Title]]="Started", (Table3[[#This Row],[Score]]+0)*2,Table3[[#This Row],[Score]]+0)</f>
        <v>0</v>
      </c>
      <c r="P609" s="2" t="str">
        <f>IF(Table3[[#This Row],[Helper]]&gt;191,"Gold",IF(Table3[[#This Row],[Helper]]&gt;171,"Silver",IF(Table3[[#This Row],[Helper]]&gt;141,"Bronze","")))</f>
        <v/>
      </c>
    </row>
    <row r="610" spans="9:16" x14ac:dyDescent="0.25">
      <c r="I610" s="285">
        <f>Games!D37</f>
        <v>0</v>
      </c>
      <c r="J610" s="286" t="str">
        <f>Games!E37</f>
        <v/>
      </c>
      <c r="K610" s="287" t="str">
        <f t="shared" si="20"/>
        <v/>
      </c>
      <c r="L610" s="285" t="str">
        <f>IF(AND(Games!AG37=3,Games!AB37=2),"Speed","")</f>
        <v/>
      </c>
      <c r="O610">
        <f>IF(Table3[[#This Row],[First Title]]="Started", (Table3[[#This Row],[Score]]+0)*2,Table3[[#This Row],[Score]]+0)</f>
        <v>0</v>
      </c>
      <c r="P610" s="2" t="str">
        <f>IF(Table3[[#This Row],[Helper]]&gt;191,"Gold",IF(Table3[[#This Row],[Helper]]&gt;171,"Silver",IF(Table3[[#This Row],[Helper]]&gt;141,"Bronze","")))</f>
        <v/>
      </c>
    </row>
    <row r="611" spans="9:16" x14ac:dyDescent="0.25">
      <c r="I611" s="285">
        <f>Games!D38</f>
        <v>0</v>
      </c>
      <c r="J611" s="286" t="str">
        <f>Games!E38</f>
        <v/>
      </c>
      <c r="K611" s="287" t="str">
        <f t="shared" si="20"/>
        <v/>
      </c>
      <c r="L611" s="285" t="str">
        <f>IF(AND(Games!AG38=3,Games!AB38=2),"Speed","")</f>
        <v/>
      </c>
      <c r="O611">
        <f>IF(Table3[[#This Row],[First Title]]="Started", (Table3[[#This Row],[Score]]+0)*2,Table3[[#This Row],[Score]]+0)</f>
        <v>0</v>
      </c>
      <c r="P611" s="2" t="str">
        <f>IF(Table3[[#This Row],[Helper]]&gt;191,"Gold",IF(Table3[[#This Row],[Helper]]&gt;171,"Silver",IF(Table3[[#This Row],[Helper]]&gt;141,"Bronze","")))</f>
        <v/>
      </c>
    </row>
    <row r="612" spans="9:16" x14ac:dyDescent="0.25">
      <c r="I612" s="285">
        <f>Games!D39</f>
        <v>0</v>
      </c>
      <c r="J612" s="286" t="str">
        <f>Games!E39</f>
        <v/>
      </c>
      <c r="K612" s="287" t="str">
        <f t="shared" ref="K612:K629" si="21">TrialDate</f>
        <v/>
      </c>
      <c r="L612" s="285" t="str">
        <f>IF(AND(Games!AG39=3,Games!AB39=2),"Speed","")</f>
        <v/>
      </c>
      <c r="O612">
        <f>IF(Table3[[#This Row],[First Title]]="Started", (Table3[[#This Row],[Score]]+0)*2,Table3[[#This Row],[Score]]+0)</f>
        <v>0</v>
      </c>
      <c r="P612" s="2" t="str">
        <f>IF(Table3[[#This Row],[Helper]]&gt;191,"Gold",IF(Table3[[#This Row],[Helper]]&gt;171,"Silver",IF(Table3[[#This Row],[Helper]]&gt;141,"Bronze","")))</f>
        <v/>
      </c>
    </row>
    <row r="613" spans="9:16" x14ac:dyDescent="0.25">
      <c r="I613" s="285">
        <f>Games!D40</f>
        <v>0</v>
      </c>
      <c r="J613" s="286" t="str">
        <f>Games!E40</f>
        <v/>
      </c>
      <c r="K613" s="287" t="str">
        <f t="shared" si="21"/>
        <v/>
      </c>
      <c r="L613" s="285" t="str">
        <f>IF(AND(Games!AG40=3,Games!AB40=2),"Speed","")</f>
        <v/>
      </c>
      <c r="O613">
        <f>IF(Table3[[#This Row],[First Title]]="Started", (Table3[[#This Row],[Score]]+0)*2,Table3[[#This Row],[Score]]+0)</f>
        <v>0</v>
      </c>
      <c r="P613" s="2" t="str">
        <f>IF(Table3[[#This Row],[Helper]]&gt;191,"Gold",IF(Table3[[#This Row],[Helper]]&gt;171,"Silver",IF(Table3[[#This Row],[Helper]]&gt;141,"Bronze","")))</f>
        <v/>
      </c>
    </row>
    <row r="614" spans="9:16" x14ac:dyDescent="0.25">
      <c r="I614" s="285">
        <f>Games!D41</f>
        <v>0</v>
      </c>
      <c r="J614" s="286" t="str">
        <f>Games!E41</f>
        <v/>
      </c>
      <c r="K614" s="287" t="str">
        <f t="shared" si="21"/>
        <v/>
      </c>
      <c r="L614" s="285" t="str">
        <f>IF(AND(Games!AG41=3,Games!AB41=2),"Speed","")</f>
        <v/>
      </c>
      <c r="O614">
        <f>IF(Table3[[#This Row],[First Title]]="Started", (Table3[[#This Row],[Score]]+0)*2,Table3[[#This Row],[Score]]+0)</f>
        <v>0</v>
      </c>
      <c r="P614" s="2" t="str">
        <f>IF(Table3[[#This Row],[Helper]]&gt;191,"Gold",IF(Table3[[#This Row],[Helper]]&gt;171,"Silver",IF(Table3[[#This Row],[Helper]]&gt;141,"Bronze","")))</f>
        <v/>
      </c>
    </row>
    <row r="615" spans="9:16" x14ac:dyDescent="0.25">
      <c r="I615" s="285">
        <f>Games!D42</f>
        <v>0</v>
      </c>
      <c r="J615" s="286" t="str">
        <f>Games!E42</f>
        <v/>
      </c>
      <c r="K615" s="287" t="str">
        <f t="shared" si="21"/>
        <v/>
      </c>
      <c r="L615" s="285" t="str">
        <f>IF(AND(Games!AG42=3,Games!AB42=2),"Speed","")</f>
        <v/>
      </c>
      <c r="O615">
        <f>IF(Table3[[#This Row],[First Title]]="Started", (Table3[[#This Row],[Score]]+0)*2,Table3[[#This Row],[Score]]+0)</f>
        <v>0</v>
      </c>
      <c r="P615" s="2" t="str">
        <f>IF(Table3[[#This Row],[Helper]]&gt;191,"Gold",IF(Table3[[#This Row],[Helper]]&gt;171,"Silver",IF(Table3[[#This Row],[Helper]]&gt;141,"Bronze","")))</f>
        <v/>
      </c>
    </row>
    <row r="616" spans="9:16" x14ac:dyDescent="0.25">
      <c r="I616" s="285">
        <f>Games!D43</f>
        <v>0</v>
      </c>
      <c r="J616" s="286" t="str">
        <f>Games!E43</f>
        <v/>
      </c>
      <c r="K616" s="287" t="str">
        <f t="shared" si="21"/>
        <v/>
      </c>
      <c r="L616" s="285" t="str">
        <f>IF(AND(Games!AG43=3,Games!AB43=2),"Speed","")</f>
        <v/>
      </c>
      <c r="O616">
        <f>IF(Table3[[#This Row],[First Title]]="Started", (Table3[[#This Row],[Score]]+0)*2,Table3[[#This Row],[Score]]+0)</f>
        <v>0</v>
      </c>
      <c r="P616" s="2" t="str">
        <f>IF(Table3[[#This Row],[Helper]]&gt;191,"Gold",IF(Table3[[#This Row],[Helper]]&gt;171,"Silver",IF(Table3[[#This Row],[Helper]]&gt;141,"Bronze","")))</f>
        <v/>
      </c>
    </row>
    <row r="617" spans="9:16" x14ac:dyDescent="0.25">
      <c r="I617" s="285">
        <f>Games!D44</f>
        <v>0</v>
      </c>
      <c r="J617" s="286" t="str">
        <f>Games!E44</f>
        <v/>
      </c>
      <c r="K617" s="287" t="str">
        <f t="shared" si="21"/>
        <v/>
      </c>
      <c r="L617" s="285" t="str">
        <f>IF(AND(Games!AG44=3,Games!AB44=2),"Speed","")</f>
        <v/>
      </c>
      <c r="O617">
        <f>IF(Table3[[#This Row],[First Title]]="Started", (Table3[[#This Row],[Score]]+0)*2,Table3[[#This Row],[Score]]+0)</f>
        <v>0</v>
      </c>
      <c r="P617" s="2" t="str">
        <f>IF(Table3[[#This Row],[Helper]]&gt;191,"Gold",IF(Table3[[#This Row],[Helper]]&gt;171,"Silver",IF(Table3[[#This Row],[Helper]]&gt;141,"Bronze","")))</f>
        <v/>
      </c>
    </row>
    <row r="618" spans="9:16" x14ac:dyDescent="0.25">
      <c r="I618" s="285">
        <f>Games!D45</f>
        <v>0</v>
      </c>
      <c r="J618" s="286" t="str">
        <f>Games!E45</f>
        <v/>
      </c>
      <c r="K618" s="287" t="str">
        <f t="shared" si="21"/>
        <v/>
      </c>
      <c r="L618" s="285" t="str">
        <f>IF(AND(Games!AG45=3,Games!AB45=2),"Speed","")</f>
        <v/>
      </c>
      <c r="O618">
        <f>IF(Table3[[#This Row],[First Title]]="Started", (Table3[[#This Row],[Score]]+0)*2,Table3[[#This Row],[Score]]+0)</f>
        <v>0</v>
      </c>
      <c r="P618" s="2" t="str">
        <f>IF(Table3[[#This Row],[Helper]]&gt;191,"Gold",IF(Table3[[#This Row],[Helper]]&gt;171,"Silver",IF(Table3[[#This Row],[Helper]]&gt;141,"Bronze","")))</f>
        <v/>
      </c>
    </row>
    <row r="619" spans="9:16" x14ac:dyDescent="0.25">
      <c r="I619" s="285">
        <f>Games!D46</f>
        <v>0</v>
      </c>
      <c r="J619" s="286" t="str">
        <f>Games!E46</f>
        <v/>
      </c>
      <c r="K619" s="287" t="str">
        <f t="shared" si="21"/>
        <v/>
      </c>
      <c r="L619" s="285" t="str">
        <f>IF(AND(Games!AG46=3,Games!AB46=2),"Speed","")</f>
        <v/>
      </c>
      <c r="O619">
        <f>IF(Table3[[#This Row],[First Title]]="Started", (Table3[[#This Row],[Score]]+0)*2,Table3[[#This Row],[Score]]+0)</f>
        <v>0</v>
      </c>
      <c r="P619" s="2" t="str">
        <f>IF(Table3[[#This Row],[Helper]]&gt;191,"Gold",IF(Table3[[#This Row],[Helper]]&gt;171,"Silver",IF(Table3[[#This Row],[Helper]]&gt;141,"Bronze","")))</f>
        <v/>
      </c>
    </row>
    <row r="620" spans="9:16" x14ac:dyDescent="0.25">
      <c r="I620" s="285">
        <f>Games!D47</f>
        <v>0</v>
      </c>
      <c r="J620" s="286" t="str">
        <f>Games!E47</f>
        <v/>
      </c>
      <c r="K620" s="287" t="str">
        <f t="shared" si="21"/>
        <v/>
      </c>
      <c r="L620" s="285" t="str">
        <f>IF(AND(Games!AG47=3,Games!AB47=2),"Speed","")</f>
        <v/>
      </c>
      <c r="O620">
        <f>IF(Table3[[#This Row],[First Title]]="Started", (Table3[[#This Row],[Score]]+0)*2,Table3[[#This Row],[Score]]+0)</f>
        <v>0</v>
      </c>
      <c r="P620" s="2" t="str">
        <f>IF(Table3[[#This Row],[Helper]]&gt;191,"Gold",IF(Table3[[#This Row],[Helper]]&gt;171,"Silver",IF(Table3[[#This Row],[Helper]]&gt;141,"Bronze","")))</f>
        <v/>
      </c>
    </row>
    <row r="621" spans="9:16" x14ac:dyDescent="0.25">
      <c r="I621" s="285">
        <f>Games!D48</f>
        <v>0</v>
      </c>
      <c r="J621" s="286" t="str">
        <f>Games!E48</f>
        <v/>
      </c>
      <c r="K621" s="287" t="str">
        <f t="shared" si="21"/>
        <v/>
      </c>
      <c r="L621" s="285" t="str">
        <f>IF(AND(Games!AG48=3,Games!AB48=2),"Speed","")</f>
        <v/>
      </c>
      <c r="O621">
        <f>IF(Table3[[#This Row],[First Title]]="Started", (Table3[[#This Row],[Score]]+0)*2,Table3[[#This Row],[Score]]+0)</f>
        <v>0</v>
      </c>
      <c r="P621" s="2" t="str">
        <f>IF(Table3[[#This Row],[Helper]]&gt;191,"Gold",IF(Table3[[#This Row],[Helper]]&gt;171,"Silver",IF(Table3[[#This Row],[Helper]]&gt;141,"Bronze","")))</f>
        <v/>
      </c>
    </row>
    <row r="622" spans="9:16" x14ac:dyDescent="0.25">
      <c r="I622" s="285">
        <f>Games!D49</f>
        <v>0</v>
      </c>
      <c r="J622" s="286" t="str">
        <f>Games!E49</f>
        <v/>
      </c>
      <c r="K622" s="287" t="str">
        <f t="shared" si="21"/>
        <v/>
      </c>
      <c r="L622" s="285" t="str">
        <f>IF(AND(Games!AG49=3,Games!AB49=2),"Speed","")</f>
        <v/>
      </c>
      <c r="O622">
        <f>IF(Table3[[#This Row],[First Title]]="Started", (Table3[[#This Row],[Score]]+0)*2,Table3[[#This Row],[Score]]+0)</f>
        <v>0</v>
      </c>
      <c r="P622" s="2" t="str">
        <f>IF(Table3[[#This Row],[Helper]]&gt;191,"Gold",IF(Table3[[#This Row],[Helper]]&gt;171,"Silver",IF(Table3[[#This Row],[Helper]]&gt;141,"Bronze","")))</f>
        <v/>
      </c>
    </row>
    <row r="623" spans="9:16" x14ac:dyDescent="0.25">
      <c r="I623" s="285">
        <f>Games!D50</f>
        <v>0</v>
      </c>
      <c r="J623" s="286" t="str">
        <f>Games!E50</f>
        <v/>
      </c>
      <c r="K623" s="287" t="str">
        <f t="shared" si="21"/>
        <v/>
      </c>
      <c r="L623" s="285" t="str">
        <f>IF(AND(Games!AG50=3,Games!AB50=2),"Speed","")</f>
        <v/>
      </c>
      <c r="O623">
        <f>IF(Table3[[#This Row],[First Title]]="Started", (Table3[[#This Row],[Score]]+0)*2,Table3[[#This Row],[Score]]+0)</f>
        <v>0</v>
      </c>
      <c r="P623" s="2" t="str">
        <f>IF(Table3[[#This Row],[Helper]]&gt;191,"Gold",IF(Table3[[#This Row],[Helper]]&gt;171,"Silver",IF(Table3[[#This Row],[Helper]]&gt;141,"Bronze","")))</f>
        <v/>
      </c>
    </row>
    <row r="624" spans="9:16" x14ac:dyDescent="0.25">
      <c r="I624" s="285">
        <f>Games!D51</f>
        <v>0</v>
      </c>
      <c r="J624" s="286" t="str">
        <f>Games!E51</f>
        <v/>
      </c>
      <c r="K624" s="287" t="str">
        <f t="shared" si="21"/>
        <v/>
      </c>
      <c r="L624" s="285" t="str">
        <f>IF(AND(Games!AG51=3,Games!AB51=2),"Speed","")</f>
        <v/>
      </c>
      <c r="O624">
        <f>IF(Table3[[#This Row],[First Title]]="Started", (Table3[[#This Row],[Score]]+0)*2,Table3[[#This Row],[Score]]+0)</f>
        <v>0</v>
      </c>
      <c r="P624" s="2" t="str">
        <f>IF(Table3[[#This Row],[Helper]]&gt;191,"Gold",IF(Table3[[#This Row],[Helper]]&gt;171,"Silver",IF(Table3[[#This Row],[Helper]]&gt;141,"Bronze","")))</f>
        <v/>
      </c>
    </row>
    <row r="625" spans="9:16" x14ac:dyDescent="0.25">
      <c r="I625" s="285">
        <f>Games!D52</f>
        <v>0</v>
      </c>
      <c r="J625" s="286" t="str">
        <f>Games!E52</f>
        <v/>
      </c>
      <c r="K625" s="287" t="str">
        <f t="shared" si="21"/>
        <v/>
      </c>
      <c r="L625" s="285" t="str">
        <f>IF(AND(Games!AG52=3,Games!AB52=2),"Speed","")</f>
        <v/>
      </c>
      <c r="O625">
        <f>IF(Table3[[#This Row],[First Title]]="Started", (Table3[[#This Row],[Score]]+0)*2,Table3[[#This Row],[Score]]+0)</f>
        <v>0</v>
      </c>
      <c r="P625" s="2" t="str">
        <f>IF(Table3[[#This Row],[Helper]]&gt;191,"Gold",IF(Table3[[#This Row],[Helper]]&gt;171,"Silver",IF(Table3[[#This Row],[Helper]]&gt;141,"Bronze","")))</f>
        <v/>
      </c>
    </row>
    <row r="626" spans="9:16" x14ac:dyDescent="0.25">
      <c r="I626" s="285">
        <f>Games!D53</f>
        <v>0</v>
      </c>
      <c r="J626" s="286" t="str">
        <f>Games!E53</f>
        <v/>
      </c>
      <c r="K626" s="287" t="str">
        <f t="shared" si="21"/>
        <v/>
      </c>
      <c r="L626" s="285" t="str">
        <f>IF(AND(Games!AG53=3,Games!AB53=2),"Speed","")</f>
        <v/>
      </c>
      <c r="O626">
        <f>IF(Table3[[#This Row],[First Title]]="Started", (Table3[[#This Row],[Score]]+0)*2,Table3[[#This Row],[Score]]+0)</f>
        <v>0</v>
      </c>
      <c r="P626" s="2" t="str">
        <f>IF(Table3[[#This Row],[Helper]]&gt;191,"Gold",IF(Table3[[#This Row],[Helper]]&gt;171,"Silver",IF(Table3[[#This Row],[Helper]]&gt;141,"Bronze","")))</f>
        <v/>
      </c>
    </row>
    <row r="627" spans="9:16" x14ac:dyDescent="0.25">
      <c r="I627" s="285">
        <f>Games!D54</f>
        <v>0</v>
      </c>
      <c r="J627" s="286" t="str">
        <f>Games!E54</f>
        <v/>
      </c>
      <c r="K627" s="287" t="str">
        <f t="shared" si="21"/>
        <v/>
      </c>
      <c r="L627" s="285" t="str">
        <f>IF(AND(Games!AG54=3,Games!AB54=2),"Speed","")</f>
        <v/>
      </c>
      <c r="O627">
        <f>IF(Table3[[#This Row],[First Title]]="Started", (Table3[[#This Row],[Score]]+0)*2,Table3[[#This Row],[Score]]+0)</f>
        <v>0</v>
      </c>
      <c r="P627" s="2" t="str">
        <f>IF(Table3[[#This Row],[Helper]]&gt;191,"Gold",IF(Table3[[#This Row],[Helper]]&gt;171,"Silver",IF(Table3[[#This Row],[Helper]]&gt;141,"Bronze","")))</f>
        <v/>
      </c>
    </row>
    <row r="628" spans="9:16" x14ac:dyDescent="0.25">
      <c r="I628" s="285">
        <f>Games!D55</f>
        <v>0</v>
      </c>
      <c r="J628" s="286" t="str">
        <f>Games!E55</f>
        <v/>
      </c>
      <c r="K628" s="287" t="str">
        <f t="shared" si="21"/>
        <v/>
      </c>
      <c r="L628" s="285" t="str">
        <f>IF(AND(Games!AG55=3,Games!AB55=2),"Speed","")</f>
        <v/>
      </c>
      <c r="O628">
        <f>IF(Table3[[#This Row],[First Title]]="Started", (Table3[[#This Row],[Score]]+0)*2,Table3[[#This Row],[Score]]+0)</f>
        <v>0</v>
      </c>
      <c r="P628" s="2" t="str">
        <f>IF(Table3[[#This Row],[Helper]]&gt;191,"Gold",IF(Table3[[#This Row],[Helper]]&gt;171,"Silver",IF(Table3[[#This Row],[Helper]]&gt;141,"Bronze","")))</f>
        <v/>
      </c>
    </row>
    <row r="629" spans="9:16" x14ac:dyDescent="0.25">
      <c r="I629" s="285">
        <f>Games!D56</f>
        <v>0</v>
      </c>
      <c r="J629" s="286" t="str">
        <f>Games!E56</f>
        <v/>
      </c>
      <c r="K629" s="287" t="str">
        <f t="shared" si="21"/>
        <v/>
      </c>
      <c r="L629" s="285" t="str">
        <f>IF(AND(Games!AG56=3,Games!AB56=2),"Speed","")</f>
        <v/>
      </c>
      <c r="O629">
        <f>IF(Table3[[#This Row],[First Title]]="Started", (Table3[[#This Row],[Score]]+0)*2,Table3[[#This Row],[Score]]+0)</f>
        <v>0</v>
      </c>
      <c r="P629" s="2" t="str">
        <f>IF(Table3[[#This Row],[Helper]]&gt;191,"Gold",IF(Table3[[#This Row],[Helper]]&gt;171,"Silver",IF(Table3[[#This Row],[Helper]]&gt;141,"Bronze","")))</f>
        <v/>
      </c>
    </row>
    <row r="630" spans="9:16" x14ac:dyDescent="0.25">
      <c r="I630" s="285">
        <f>Games!D66</f>
        <v>0</v>
      </c>
      <c r="J630" s="286" t="str">
        <f>Games!E66</f>
        <v/>
      </c>
      <c r="K630" s="287" t="str">
        <f t="shared" ref="K630:K661" si="22">TrialDateDay2</f>
        <v/>
      </c>
      <c r="L630" s="285" t="str">
        <f>IF(AND(Games!AG66=3,Games!AB66=2),"Speed","")</f>
        <v/>
      </c>
      <c r="O630">
        <f>IF(Table3[[#This Row],[First Title]]="Started", (Table3[[#This Row],[Score]]+0)*2,Table3[[#This Row],[Score]]+0)</f>
        <v>0</v>
      </c>
      <c r="P630" s="2" t="str">
        <f>IF(Table3[[#This Row],[Helper]]&gt;191,"Gold",IF(Table3[[#This Row],[Helper]]&gt;171,"Silver",IF(Table3[[#This Row],[Helper]]&gt;141,"Bronze","")))</f>
        <v/>
      </c>
    </row>
    <row r="631" spans="9:16" x14ac:dyDescent="0.25">
      <c r="I631" s="285">
        <f>Games!D67</f>
        <v>0</v>
      </c>
      <c r="J631" s="286" t="str">
        <f>Games!E67</f>
        <v/>
      </c>
      <c r="K631" s="287" t="str">
        <f t="shared" si="22"/>
        <v/>
      </c>
      <c r="L631" s="285" t="str">
        <f>IF(AND(Games!AG67=3,Games!AB67=2),"Speed","")</f>
        <v/>
      </c>
      <c r="O631">
        <f>IF(Table3[[#This Row],[First Title]]="Started", (Table3[[#This Row],[Score]]+0)*2,Table3[[#This Row],[Score]]+0)</f>
        <v>0</v>
      </c>
      <c r="P631" s="2" t="str">
        <f>IF(Table3[[#This Row],[Helper]]&gt;191,"Gold",IF(Table3[[#This Row],[Helper]]&gt;171,"Silver",IF(Table3[[#This Row],[Helper]]&gt;141,"Bronze","")))</f>
        <v/>
      </c>
    </row>
    <row r="632" spans="9:16" x14ac:dyDescent="0.25">
      <c r="I632" s="285">
        <f>Games!D68</f>
        <v>0</v>
      </c>
      <c r="J632" s="286" t="str">
        <f>Games!E68</f>
        <v/>
      </c>
      <c r="K632" s="287" t="str">
        <f t="shared" si="22"/>
        <v/>
      </c>
      <c r="L632" s="285" t="str">
        <f>IF(AND(Games!AG68=3,Games!AB68=2),"Speed","")</f>
        <v/>
      </c>
      <c r="O632">
        <f>IF(Table3[[#This Row],[First Title]]="Started", (Table3[[#This Row],[Score]]+0)*2,Table3[[#This Row],[Score]]+0)</f>
        <v>0</v>
      </c>
      <c r="P632" s="2" t="str">
        <f>IF(Table3[[#This Row],[Helper]]&gt;191,"Gold",IF(Table3[[#This Row],[Helper]]&gt;171,"Silver",IF(Table3[[#This Row],[Helper]]&gt;141,"Bronze","")))</f>
        <v/>
      </c>
    </row>
    <row r="633" spans="9:16" x14ac:dyDescent="0.25">
      <c r="I633" s="285">
        <f>Games!D69</f>
        <v>0</v>
      </c>
      <c r="J633" s="286" t="str">
        <f>Games!E69</f>
        <v/>
      </c>
      <c r="K633" s="287" t="str">
        <f t="shared" si="22"/>
        <v/>
      </c>
      <c r="L633" s="285" t="str">
        <f>IF(AND(Games!AG69=3,Games!AB69=2),"Speed","")</f>
        <v/>
      </c>
      <c r="O633">
        <f>IF(Table3[[#This Row],[First Title]]="Started", (Table3[[#This Row],[Score]]+0)*2,Table3[[#This Row],[Score]]+0)</f>
        <v>0</v>
      </c>
      <c r="P633" s="2" t="str">
        <f>IF(Table3[[#This Row],[Helper]]&gt;191,"Gold",IF(Table3[[#This Row],[Helper]]&gt;171,"Silver",IF(Table3[[#This Row],[Helper]]&gt;141,"Bronze","")))</f>
        <v/>
      </c>
    </row>
    <row r="634" spans="9:16" x14ac:dyDescent="0.25">
      <c r="I634" s="285">
        <f>Games!D70</f>
        <v>0</v>
      </c>
      <c r="J634" s="286" t="str">
        <f>Games!E70</f>
        <v/>
      </c>
      <c r="K634" s="287" t="str">
        <f t="shared" si="22"/>
        <v/>
      </c>
      <c r="L634" s="285" t="str">
        <f>IF(AND(Games!AG70=3,Games!AB70=2),"Speed","")</f>
        <v/>
      </c>
      <c r="O634">
        <f>IF(Table3[[#This Row],[First Title]]="Started", (Table3[[#This Row],[Score]]+0)*2,Table3[[#This Row],[Score]]+0)</f>
        <v>0</v>
      </c>
      <c r="P634" s="2" t="str">
        <f>IF(Table3[[#This Row],[Helper]]&gt;191,"Gold",IF(Table3[[#This Row],[Helper]]&gt;171,"Silver",IF(Table3[[#This Row],[Helper]]&gt;141,"Bronze","")))</f>
        <v/>
      </c>
    </row>
    <row r="635" spans="9:16" x14ac:dyDescent="0.25">
      <c r="I635" s="285">
        <f>Games!D71</f>
        <v>0</v>
      </c>
      <c r="J635" s="286" t="str">
        <f>Games!E71</f>
        <v/>
      </c>
      <c r="K635" s="287" t="str">
        <f t="shared" si="22"/>
        <v/>
      </c>
      <c r="L635" s="285" t="str">
        <f>IF(AND(Games!AG71=3,Games!AB71=2),"Speed","")</f>
        <v/>
      </c>
      <c r="O635">
        <f>IF(Table3[[#This Row],[First Title]]="Started", (Table3[[#This Row],[Score]]+0)*2,Table3[[#This Row],[Score]]+0)</f>
        <v>0</v>
      </c>
      <c r="P635" s="2" t="str">
        <f>IF(Table3[[#This Row],[Helper]]&gt;191,"Gold",IF(Table3[[#This Row],[Helper]]&gt;171,"Silver",IF(Table3[[#This Row],[Helper]]&gt;141,"Bronze","")))</f>
        <v/>
      </c>
    </row>
    <row r="636" spans="9:16" x14ac:dyDescent="0.25">
      <c r="I636" s="285">
        <f>Games!D72</f>
        <v>0</v>
      </c>
      <c r="J636" s="286" t="str">
        <f>Games!E72</f>
        <v/>
      </c>
      <c r="K636" s="287" t="str">
        <f t="shared" si="22"/>
        <v/>
      </c>
      <c r="L636" s="285" t="str">
        <f>IF(AND(Games!AG72=3,Games!AB72=2),"Speed","")</f>
        <v/>
      </c>
      <c r="O636">
        <f>IF(Table3[[#This Row],[First Title]]="Started", (Table3[[#This Row],[Score]]+0)*2,Table3[[#This Row],[Score]]+0)</f>
        <v>0</v>
      </c>
      <c r="P636" s="2" t="str">
        <f>IF(Table3[[#This Row],[Helper]]&gt;191,"Gold",IF(Table3[[#This Row],[Helper]]&gt;171,"Silver",IF(Table3[[#This Row],[Helper]]&gt;141,"Bronze","")))</f>
        <v/>
      </c>
    </row>
    <row r="637" spans="9:16" x14ac:dyDescent="0.25">
      <c r="I637" s="285">
        <f>Games!D73</f>
        <v>0</v>
      </c>
      <c r="J637" s="286" t="str">
        <f>Games!E73</f>
        <v/>
      </c>
      <c r="K637" s="287" t="str">
        <f t="shared" si="22"/>
        <v/>
      </c>
      <c r="L637" s="285" t="str">
        <f>IF(AND(Games!AG73=3,Games!AB73=2),"Speed","")</f>
        <v/>
      </c>
      <c r="O637">
        <f>IF(Table3[[#This Row],[First Title]]="Started", (Table3[[#This Row],[Score]]+0)*2,Table3[[#This Row],[Score]]+0)</f>
        <v>0</v>
      </c>
      <c r="P637" s="2" t="str">
        <f>IF(Table3[[#This Row],[Helper]]&gt;191,"Gold",IF(Table3[[#This Row],[Helper]]&gt;171,"Silver",IF(Table3[[#This Row],[Helper]]&gt;141,"Bronze","")))</f>
        <v/>
      </c>
    </row>
    <row r="638" spans="9:16" x14ac:dyDescent="0.25">
      <c r="I638" s="285">
        <f>Games!D74</f>
        <v>0</v>
      </c>
      <c r="J638" s="286" t="str">
        <f>Games!E74</f>
        <v/>
      </c>
      <c r="K638" s="287" t="str">
        <f t="shared" si="22"/>
        <v/>
      </c>
      <c r="L638" s="285" t="str">
        <f>IF(AND(Games!AG74=3,Games!AB74=2),"Speed","")</f>
        <v/>
      </c>
      <c r="O638">
        <f>IF(Table3[[#This Row],[First Title]]="Started", (Table3[[#This Row],[Score]]+0)*2,Table3[[#This Row],[Score]]+0)</f>
        <v>0</v>
      </c>
      <c r="P638" s="2" t="str">
        <f>IF(Table3[[#This Row],[Helper]]&gt;191,"Gold",IF(Table3[[#This Row],[Helper]]&gt;171,"Silver",IF(Table3[[#This Row],[Helper]]&gt;141,"Bronze","")))</f>
        <v/>
      </c>
    </row>
    <row r="639" spans="9:16" x14ac:dyDescent="0.25">
      <c r="I639" s="285">
        <f>Games!D75</f>
        <v>0</v>
      </c>
      <c r="J639" s="286" t="str">
        <f>Games!E75</f>
        <v/>
      </c>
      <c r="K639" s="287" t="str">
        <f t="shared" si="22"/>
        <v/>
      </c>
      <c r="L639" s="285" t="str">
        <f>IF(AND(Games!AG75=3,Games!AB75=2),"Speed","")</f>
        <v/>
      </c>
      <c r="O639">
        <f>IF(Table3[[#This Row],[First Title]]="Started", (Table3[[#This Row],[Score]]+0)*2,Table3[[#This Row],[Score]]+0)</f>
        <v>0</v>
      </c>
      <c r="P639" s="2" t="str">
        <f>IF(Table3[[#This Row],[Helper]]&gt;191,"Gold",IF(Table3[[#This Row],[Helper]]&gt;171,"Silver",IF(Table3[[#This Row],[Helper]]&gt;141,"Bronze","")))</f>
        <v/>
      </c>
    </row>
    <row r="640" spans="9:16" x14ac:dyDescent="0.25">
      <c r="I640" s="285">
        <f>Games!D76</f>
        <v>0</v>
      </c>
      <c r="J640" s="286" t="str">
        <f>Games!E76</f>
        <v/>
      </c>
      <c r="K640" s="287" t="str">
        <f t="shared" si="22"/>
        <v/>
      </c>
      <c r="L640" s="285" t="str">
        <f>IF(AND(Games!AG76=3,Games!AB76=2),"Speed","")</f>
        <v/>
      </c>
      <c r="O640">
        <f>IF(Table3[[#This Row],[First Title]]="Started", (Table3[[#This Row],[Score]]+0)*2,Table3[[#This Row],[Score]]+0)</f>
        <v>0</v>
      </c>
      <c r="P640" s="2" t="str">
        <f>IF(Table3[[#This Row],[Helper]]&gt;191,"Gold",IF(Table3[[#This Row],[Helper]]&gt;171,"Silver",IF(Table3[[#This Row],[Helper]]&gt;141,"Bronze","")))</f>
        <v/>
      </c>
    </row>
    <row r="641" spans="9:16" x14ac:dyDescent="0.25">
      <c r="I641" s="285">
        <f>Games!D77</f>
        <v>0</v>
      </c>
      <c r="J641" s="286" t="str">
        <f>Games!E77</f>
        <v/>
      </c>
      <c r="K641" s="287" t="str">
        <f t="shared" si="22"/>
        <v/>
      </c>
      <c r="L641" s="285" t="str">
        <f>IF(AND(Games!AG77=3,Games!AB77=2),"Speed","")</f>
        <v/>
      </c>
      <c r="O641">
        <f>IF(Table3[[#This Row],[First Title]]="Started", (Table3[[#This Row],[Score]]+0)*2,Table3[[#This Row],[Score]]+0)</f>
        <v>0</v>
      </c>
      <c r="P641" s="2" t="str">
        <f>IF(Table3[[#This Row],[Helper]]&gt;191,"Gold",IF(Table3[[#This Row],[Helper]]&gt;171,"Silver",IF(Table3[[#This Row],[Helper]]&gt;141,"Bronze","")))</f>
        <v/>
      </c>
    </row>
    <row r="642" spans="9:16" x14ac:dyDescent="0.25">
      <c r="I642" s="285">
        <f>Games!D78</f>
        <v>0</v>
      </c>
      <c r="J642" s="286" t="str">
        <f>Games!E78</f>
        <v/>
      </c>
      <c r="K642" s="287" t="str">
        <f t="shared" si="22"/>
        <v/>
      </c>
      <c r="L642" s="285" t="str">
        <f>IF(AND(Games!AG78=3,Games!AB78=2),"Speed","")</f>
        <v/>
      </c>
      <c r="O642">
        <f>IF(Table3[[#This Row],[First Title]]="Started", (Table3[[#This Row],[Score]]+0)*2,Table3[[#This Row],[Score]]+0)</f>
        <v>0</v>
      </c>
      <c r="P642" s="2" t="str">
        <f>IF(Table3[[#This Row],[Helper]]&gt;191,"Gold",IF(Table3[[#This Row],[Helper]]&gt;171,"Silver",IF(Table3[[#This Row],[Helper]]&gt;141,"Bronze","")))</f>
        <v/>
      </c>
    </row>
    <row r="643" spans="9:16" x14ac:dyDescent="0.25">
      <c r="I643" s="285">
        <f>Games!D79</f>
        <v>0</v>
      </c>
      <c r="J643" s="286" t="str">
        <f>Games!E79</f>
        <v/>
      </c>
      <c r="K643" s="287" t="str">
        <f t="shared" si="22"/>
        <v/>
      </c>
      <c r="L643" s="285" t="str">
        <f>IF(AND(Games!AG79=3,Games!AB79=2),"Speed","")</f>
        <v/>
      </c>
      <c r="O643">
        <f>IF(Table3[[#This Row],[First Title]]="Started", (Table3[[#This Row],[Score]]+0)*2,Table3[[#This Row],[Score]]+0)</f>
        <v>0</v>
      </c>
      <c r="P643" s="2" t="str">
        <f>IF(Table3[[#This Row],[Helper]]&gt;191,"Gold",IF(Table3[[#This Row],[Helper]]&gt;171,"Silver",IF(Table3[[#This Row],[Helper]]&gt;141,"Bronze","")))</f>
        <v/>
      </c>
    </row>
    <row r="644" spans="9:16" x14ac:dyDescent="0.25">
      <c r="I644" s="285">
        <f>Games!D80</f>
        <v>0</v>
      </c>
      <c r="J644" s="286" t="str">
        <f>Games!E80</f>
        <v/>
      </c>
      <c r="K644" s="287" t="str">
        <f t="shared" si="22"/>
        <v/>
      </c>
      <c r="L644" s="285" t="str">
        <f>IF(AND(Games!AG80=3,Games!AB80=2),"Speed","")</f>
        <v/>
      </c>
      <c r="O644">
        <f>IF(Table3[[#This Row],[First Title]]="Started", (Table3[[#This Row],[Score]]+0)*2,Table3[[#This Row],[Score]]+0)</f>
        <v>0</v>
      </c>
      <c r="P644" s="2" t="str">
        <f>IF(Table3[[#This Row],[Helper]]&gt;191,"Gold",IF(Table3[[#This Row],[Helper]]&gt;171,"Silver",IF(Table3[[#This Row],[Helper]]&gt;141,"Bronze","")))</f>
        <v/>
      </c>
    </row>
    <row r="645" spans="9:16" x14ac:dyDescent="0.25">
      <c r="I645" s="285">
        <f>Games!D81</f>
        <v>0</v>
      </c>
      <c r="J645" s="286" t="str">
        <f>Games!E81</f>
        <v/>
      </c>
      <c r="K645" s="287" t="str">
        <f t="shared" si="22"/>
        <v/>
      </c>
      <c r="L645" s="285" t="str">
        <f>IF(AND(Games!AG81=3,Games!AB81=2),"Speed","")</f>
        <v/>
      </c>
      <c r="O645">
        <f>IF(Table3[[#This Row],[First Title]]="Started", (Table3[[#This Row],[Score]]+0)*2,Table3[[#This Row],[Score]]+0)</f>
        <v>0</v>
      </c>
      <c r="P645" s="2" t="str">
        <f>IF(Table3[[#This Row],[Helper]]&gt;191,"Gold",IF(Table3[[#This Row],[Helper]]&gt;171,"Silver",IF(Table3[[#This Row],[Helper]]&gt;141,"Bronze","")))</f>
        <v/>
      </c>
    </row>
    <row r="646" spans="9:16" x14ac:dyDescent="0.25">
      <c r="I646" s="285">
        <f>Games!D82</f>
        <v>0</v>
      </c>
      <c r="J646" s="286" t="str">
        <f>Games!E82</f>
        <v/>
      </c>
      <c r="K646" s="287" t="str">
        <f t="shared" si="22"/>
        <v/>
      </c>
      <c r="L646" s="285" t="str">
        <f>IF(AND(Games!AG82=3,Games!AB82=2),"Speed","")</f>
        <v/>
      </c>
      <c r="O646">
        <f>IF(Table3[[#This Row],[First Title]]="Started", (Table3[[#This Row],[Score]]+0)*2,Table3[[#This Row],[Score]]+0)</f>
        <v>0</v>
      </c>
      <c r="P646" s="2" t="str">
        <f>IF(Table3[[#This Row],[Helper]]&gt;191,"Gold",IF(Table3[[#This Row],[Helper]]&gt;171,"Silver",IF(Table3[[#This Row],[Helper]]&gt;141,"Bronze","")))</f>
        <v/>
      </c>
    </row>
    <row r="647" spans="9:16" x14ac:dyDescent="0.25">
      <c r="I647" s="285">
        <f>Games!D83</f>
        <v>0</v>
      </c>
      <c r="J647" s="286" t="str">
        <f>Games!E83</f>
        <v/>
      </c>
      <c r="K647" s="287" t="str">
        <f t="shared" si="22"/>
        <v/>
      </c>
      <c r="L647" s="285" t="str">
        <f>IF(AND(Games!AG83=3,Games!AB83=2),"Speed","")</f>
        <v/>
      </c>
      <c r="O647">
        <f>IF(Table3[[#This Row],[First Title]]="Started", (Table3[[#This Row],[Score]]+0)*2,Table3[[#This Row],[Score]]+0)</f>
        <v>0</v>
      </c>
      <c r="P647" s="2" t="str">
        <f>IF(Table3[[#This Row],[Helper]]&gt;191,"Gold",IF(Table3[[#This Row],[Helper]]&gt;171,"Silver",IF(Table3[[#This Row],[Helper]]&gt;141,"Bronze","")))</f>
        <v/>
      </c>
    </row>
    <row r="648" spans="9:16" x14ac:dyDescent="0.25">
      <c r="I648" s="285">
        <f>Games!D84</f>
        <v>0</v>
      </c>
      <c r="J648" s="286" t="str">
        <f>Games!E84</f>
        <v/>
      </c>
      <c r="K648" s="287" t="str">
        <f t="shared" si="22"/>
        <v/>
      </c>
      <c r="L648" s="285" t="str">
        <f>IF(AND(Games!AG84=3,Games!AB84=2),"Speed","")</f>
        <v/>
      </c>
      <c r="O648">
        <f>IF(Table3[[#This Row],[First Title]]="Started", (Table3[[#This Row],[Score]]+0)*2,Table3[[#This Row],[Score]]+0)</f>
        <v>0</v>
      </c>
      <c r="P648" s="2" t="str">
        <f>IF(Table3[[#This Row],[Helper]]&gt;191,"Gold",IF(Table3[[#This Row],[Helper]]&gt;171,"Silver",IF(Table3[[#This Row],[Helper]]&gt;141,"Bronze","")))</f>
        <v/>
      </c>
    </row>
    <row r="649" spans="9:16" x14ac:dyDescent="0.25">
      <c r="I649" s="285">
        <f>Games!D85</f>
        <v>0</v>
      </c>
      <c r="J649" s="286" t="str">
        <f>Games!E85</f>
        <v/>
      </c>
      <c r="K649" s="287" t="str">
        <f t="shared" si="22"/>
        <v/>
      </c>
      <c r="L649" s="285" t="str">
        <f>IF(AND(Games!AG85=3,Games!AB85=2),"Speed","")</f>
        <v/>
      </c>
      <c r="O649">
        <f>IF(Table3[[#This Row],[First Title]]="Started", (Table3[[#This Row],[Score]]+0)*2,Table3[[#This Row],[Score]]+0)</f>
        <v>0</v>
      </c>
      <c r="P649" s="2" t="str">
        <f>IF(Table3[[#This Row],[Helper]]&gt;191,"Gold",IF(Table3[[#This Row],[Helper]]&gt;171,"Silver",IF(Table3[[#This Row],[Helper]]&gt;141,"Bronze","")))</f>
        <v/>
      </c>
    </row>
    <row r="650" spans="9:16" x14ac:dyDescent="0.25">
      <c r="I650" s="285">
        <f>Games!D86</f>
        <v>0</v>
      </c>
      <c r="J650" s="286" t="str">
        <f>Games!E86</f>
        <v/>
      </c>
      <c r="K650" s="287" t="str">
        <f t="shared" si="22"/>
        <v/>
      </c>
      <c r="L650" s="285" t="str">
        <f>IF(AND(Games!AG86=3,Games!AB86=2),"Speed","")</f>
        <v/>
      </c>
      <c r="O650">
        <f>IF(Table3[[#This Row],[First Title]]="Started", (Table3[[#This Row],[Score]]+0)*2,Table3[[#This Row],[Score]]+0)</f>
        <v>0</v>
      </c>
      <c r="P650" s="2" t="str">
        <f>IF(Table3[[#This Row],[Helper]]&gt;191,"Gold",IF(Table3[[#This Row],[Helper]]&gt;171,"Silver",IF(Table3[[#This Row],[Helper]]&gt;141,"Bronze","")))</f>
        <v/>
      </c>
    </row>
    <row r="651" spans="9:16" x14ac:dyDescent="0.25">
      <c r="I651" s="285">
        <f>Games!D87</f>
        <v>0</v>
      </c>
      <c r="J651" s="286" t="str">
        <f>Games!E87</f>
        <v/>
      </c>
      <c r="K651" s="287" t="str">
        <f t="shared" si="22"/>
        <v/>
      </c>
      <c r="L651" s="285" t="str">
        <f>IF(AND(Games!AG87=3,Games!AB87=2),"Speed","")</f>
        <v/>
      </c>
      <c r="O651">
        <f>IF(Table3[[#This Row],[First Title]]="Started", (Table3[[#This Row],[Score]]+0)*2,Table3[[#This Row],[Score]]+0)</f>
        <v>0</v>
      </c>
      <c r="P651" s="2" t="str">
        <f>IF(Table3[[#This Row],[Helper]]&gt;191,"Gold",IF(Table3[[#This Row],[Helper]]&gt;171,"Silver",IF(Table3[[#This Row],[Helper]]&gt;141,"Bronze","")))</f>
        <v/>
      </c>
    </row>
    <row r="652" spans="9:16" x14ac:dyDescent="0.25">
      <c r="I652" s="285">
        <f>Games!D88</f>
        <v>0</v>
      </c>
      <c r="J652" s="286" t="str">
        <f>Games!E88</f>
        <v/>
      </c>
      <c r="K652" s="287" t="str">
        <f t="shared" si="22"/>
        <v/>
      </c>
      <c r="L652" s="285" t="str">
        <f>IF(AND(Games!AG88=3,Games!AB88=2),"Speed","")</f>
        <v/>
      </c>
      <c r="O652">
        <f>IF(Table3[[#This Row],[First Title]]="Started", (Table3[[#This Row],[Score]]+0)*2,Table3[[#This Row],[Score]]+0)</f>
        <v>0</v>
      </c>
      <c r="P652" s="2" t="str">
        <f>IF(Table3[[#This Row],[Helper]]&gt;191,"Gold",IF(Table3[[#This Row],[Helper]]&gt;171,"Silver",IF(Table3[[#This Row],[Helper]]&gt;141,"Bronze","")))</f>
        <v/>
      </c>
    </row>
    <row r="653" spans="9:16" x14ac:dyDescent="0.25">
      <c r="I653" s="285">
        <f>Games!D89</f>
        <v>0</v>
      </c>
      <c r="J653" s="286" t="str">
        <f>Games!E89</f>
        <v/>
      </c>
      <c r="K653" s="287" t="str">
        <f t="shared" si="22"/>
        <v/>
      </c>
      <c r="L653" s="285" t="str">
        <f>IF(AND(Games!AG89=3,Games!AB89=2),"Speed","")</f>
        <v/>
      </c>
      <c r="O653">
        <f>IF(Table3[[#This Row],[First Title]]="Started", (Table3[[#This Row],[Score]]+0)*2,Table3[[#This Row],[Score]]+0)</f>
        <v>0</v>
      </c>
      <c r="P653" s="2" t="str">
        <f>IF(Table3[[#This Row],[Helper]]&gt;191,"Gold",IF(Table3[[#This Row],[Helper]]&gt;171,"Silver",IF(Table3[[#This Row],[Helper]]&gt;141,"Bronze","")))</f>
        <v/>
      </c>
    </row>
    <row r="654" spans="9:16" x14ac:dyDescent="0.25">
      <c r="I654" s="285">
        <f>Games!D90</f>
        <v>0</v>
      </c>
      <c r="J654" s="286" t="str">
        <f>Games!E90</f>
        <v/>
      </c>
      <c r="K654" s="287" t="str">
        <f t="shared" si="22"/>
        <v/>
      </c>
      <c r="L654" s="285" t="str">
        <f>IF(AND(Games!AG90=3,Games!AB90=2),"Speed","")</f>
        <v/>
      </c>
      <c r="O654">
        <f>IF(Table3[[#This Row],[First Title]]="Started", (Table3[[#This Row],[Score]]+0)*2,Table3[[#This Row],[Score]]+0)</f>
        <v>0</v>
      </c>
      <c r="P654" s="2" t="str">
        <f>IF(Table3[[#This Row],[Helper]]&gt;191,"Gold",IF(Table3[[#This Row],[Helper]]&gt;171,"Silver",IF(Table3[[#This Row],[Helper]]&gt;141,"Bronze","")))</f>
        <v/>
      </c>
    </row>
    <row r="655" spans="9:16" x14ac:dyDescent="0.25">
      <c r="I655" s="285">
        <f>Games!D91</f>
        <v>0</v>
      </c>
      <c r="J655" s="286" t="str">
        <f>Games!E91</f>
        <v/>
      </c>
      <c r="K655" s="287" t="str">
        <f t="shared" si="22"/>
        <v/>
      </c>
      <c r="L655" s="285" t="str">
        <f>IF(AND(Games!AG91=3,Games!AB91=2),"Speed","")</f>
        <v/>
      </c>
      <c r="O655">
        <f>IF(Table3[[#This Row],[First Title]]="Started", (Table3[[#This Row],[Score]]+0)*2,Table3[[#This Row],[Score]]+0)</f>
        <v>0</v>
      </c>
      <c r="P655" s="2" t="str">
        <f>IF(Table3[[#This Row],[Helper]]&gt;191,"Gold",IF(Table3[[#This Row],[Helper]]&gt;171,"Silver",IF(Table3[[#This Row],[Helper]]&gt;141,"Bronze","")))</f>
        <v/>
      </c>
    </row>
    <row r="656" spans="9:16" x14ac:dyDescent="0.25">
      <c r="I656" s="285">
        <f>Games!D92</f>
        <v>0</v>
      </c>
      <c r="J656" s="286" t="str">
        <f>Games!E92</f>
        <v/>
      </c>
      <c r="K656" s="287" t="str">
        <f t="shared" si="22"/>
        <v/>
      </c>
      <c r="L656" s="285" t="str">
        <f>IF(AND(Games!AG92=3,Games!AB92=2),"Speed","")</f>
        <v/>
      </c>
      <c r="O656">
        <f>IF(Table3[[#This Row],[First Title]]="Started", (Table3[[#This Row],[Score]]+0)*2,Table3[[#This Row],[Score]]+0)</f>
        <v>0</v>
      </c>
      <c r="P656" s="2" t="str">
        <f>IF(Table3[[#This Row],[Helper]]&gt;191,"Gold",IF(Table3[[#This Row],[Helper]]&gt;171,"Silver",IF(Table3[[#This Row],[Helper]]&gt;141,"Bronze","")))</f>
        <v/>
      </c>
    </row>
    <row r="657" spans="9:16" x14ac:dyDescent="0.25">
      <c r="I657" s="285">
        <f>Games!D93</f>
        <v>0</v>
      </c>
      <c r="J657" s="286" t="str">
        <f>Games!E93</f>
        <v/>
      </c>
      <c r="K657" s="287" t="str">
        <f t="shared" si="22"/>
        <v/>
      </c>
      <c r="L657" s="285" t="str">
        <f>IF(AND(Games!AG93=3,Games!AB93=2),"Speed","")</f>
        <v/>
      </c>
      <c r="O657">
        <f>IF(Table3[[#This Row],[First Title]]="Started", (Table3[[#This Row],[Score]]+0)*2,Table3[[#This Row],[Score]]+0)</f>
        <v>0</v>
      </c>
      <c r="P657" s="2" t="str">
        <f>IF(Table3[[#This Row],[Helper]]&gt;191,"Gold",IF(Table3[[#This Row],[Helper]]&gt;171,"Silver",IF(Table3[[#This Row],[Helper]]&gt;141,"Bronze","")))</f>
        <v/>
      </c>
    </row>
    <row r="658" spans="9:16" x14ac:dyDescent="0.25">
      <c r="I658" s="285">
        <f>Games!D94</f>
        <v>0</v>
      </c>
      <c r="J658" s="286" t="str">
        <f>Games!E94</f>
        <v/>
      </c>
      <c r="K658" s="287" t="str">
        <f t="shared" si="22"/>
        <v/>
      </c>
      <c r="L658" s="285" t="str">
        <f>IF(AND(Games!AG94=3,Games!AB94=2),"Speed","")</f>
        <v/>
      </c>
      <c r="O658">
        <f>IF(Table3[[#This Row],[First Title]]="Started", (Table3[[#This Row],[Score]]+0)*2,Table3[[#This Row],[Score]]+0)</f>
        <v>0</v>
      </c>
      <c r="P658" s="2" t="str">
        <f>IF(Table3[[#This Row],[Helper]]&gt;191,"Gold",IF(Table3[[#This Row],[Helper]]&gt;171,"Silver",IF(Table3[[#This Row],[Helper]]&gt;141,"Bronze","")))</f>
        <v/>
      </c>
    </row>
    <row r="659" spans="9:16" x14ac:dyDescent="0.25">
      <c r="I659" s="285">
        <f>Games!D95</f>
        <v>0</v>
      </c>
      <c r="J659" s="286" t="str">
        <f>Games!E95</f>
        <v/>
      </c>
      <c r="K659" s="287" t="str">
        <f t="shared" si="22"/>
        <v/>
      </c>
      <c r="L659" s="285" t="str">
        <f>IF(AND(Games!AG95=3,Games!AB95=2),"Speed","")</f>
        <v/>
      </c>
      <c r="O659">
        <f>IF(Table3[[#This Row],[First Title]]="Started", (Table3[[#This Row],[Score]]+0)*2,Table3[[#This Row],[Score]]+0)</f>
        <v>0</v>
      </c>
      <c r="P659" s="2" t="str">
        <f>IF(Table3[[#This Row],[Helper]]&gt;191,"Gold",IF(Table3[[#This Row],[Helper]]&gt;171,"Silver",IF(Table3[[#This Row],[Helper]]&gt;141,"Bronze","")))</f>
        <v/>
      </c>
    </row>
    <row r="660" spans="9:16" x14ac:dyDescent="0.25">
      <c r="I660" s="285">
        <f>Games!D96</f>
        <v>0</v>
      </c>
      <c r="J660" s="286" t="str">
        <f>Games!E96</f>
        <v/>
      </c>
      <c r="K660" s="287" t="str">
        <f t="shared" si="22"/>
        <v/>
      </c>
      <c r="L660" s="285" t="str">
        <f>IF(AND(Games!AG96=3,Games!AB96=2),"Speed","")</f>
        <v/>
      </c>
      <c r="O660">
        <f>IF(Table3[[#This Row],[First Title]]="Started", (Table3[[#This Row],[Score]]+0)*2,Table3[[#This Row],[Score]]+0)</f>
        <v>0</v>
      </c>
      <c r="P660" s="2" t="str">
        <f>IF(Table3[[#This Row],[Helper]]&gt;191,"Gold",IF(Table3[[#This Row],[Helper]]&gt;171,"Silver",IF(Table3[[#This Row],[Helper]]&gt;141,"Bronze","")))</f>
        <v/>
      </c>
    </row>
    <row r="661" spans="9:16" x14ac:dyDescent="0.25">
      <c r="I661" s="285">
        <f>Games!D97</f>
        <v>0</v>
      </c>
      <c r="J661" s="286" t="str">
        <f>Games!E97</f>
        <v/>
      </c>
      <c r="K661" s="287" t="str">
        <f t="shared" si="22"/>
        <v/>
      </c>
      <c r="L661" s="285" t="str">
        <f>IF(AND(Games!AG97=3,Games!AB97=2),"Speed","")</f>
        <v/>
      </c>
      <c r="O661">
        <f>IF(Table3[[#This Row],[First Title]]="Started", (Table3[[#This Row],[Score]]+0)*2,Table3[[#This Row],[Score]]+0)</f>
        <v>0</v>
      </c>
      <c r="P661" s="2" t="str">
        <f>IF(Table3[[#This Row],[Helper]]&gt;191,"Gold",IF(Table3[[#This Row],[Helper]]&gt;171,"Silver",IF(Table3[[#This Row],[Helper]]&gt;141,"Bronze","")))</f>
        <v/>
      </c>
    </row>
    <row r="662" spans="9:16" x14ac:dyDescent="0.25">
      <c r="I662" s="285">
        <f>Games!D98</f>
        <v>0</v>
      </c>
      <c r="J662" s="286" t="str">
        <f>Games!E98</f>
        <v/>
      </c>
      <c r="K662" s="287" t="str">
        <f t="shared" ref="K662:K679" si="23">TrialDateDay2</f>
        <v/>
      </c>
      <c r="L662" s="285" t="str">
        <f>IF(AND(Games!AG98=3,Games!AB98=2),"Speed","")</f>
        <v/>
      </c>
      <c r="O662">
        <f>IF(Table3[[#This Row],[First Title]]="Started", (Table3[[#This Row],[Score]]+0)*2,Table3[[#This Row],[Score]]+0)</f>
        <v>0</v>
      </c>
      <c r="P662" s="2" t="str">
        <f>IF(Table3[[#This Row],[Helper]]&gt;191,"Gold",IF(Table3[[#This Row],[Helper]]&gt;171,"Silver",IF(Table3[[#This Row],[Helper]]&gt;141,"Bronze","")))</f>
        <v/>
      </c>
    </row>
    <row r="663" spans="9:16" x14ac:dyDescent="0.25">
      <c r="I663" s="285">
        <f>Games!D99</f>
        <v>0</v>
      </c>
      <c r="J663" s="286" t="str">
        <f>Games!E99</f>
        <v/>
      </c>
      <c r="K663" s="287" t="str">
        <f t="shared" si="23"/>
        <v/>
      </c>
      <c r="L663" s="285" t="str">
        <f>IF(AND(Games!AG99=3,Games!AB99=2),"Speed","")</f>
        <v/>
      </c>
      <c r="O663">
        <f>IF(Table3[[#This Row],[First Title]]="Started", (Table3[[#This Row],[Score]]+0)*2,Table3[[#This Row],[Score]]+0)</f>
        <v>0</v>
      </c>
      <c r="P663" s="2" t="str">
        <f>IF(Table3[[#This Row],[Helper]]&gt;191,"Gold",IF(Table3[[#This Row],[Helper]]&gt;171,"Silver",IF(Table3[[#This Row],[Helper]]&gt;141,"Bronze","")))</f>
        <v/>
      </c>
    </row>
    <row r="664" spans="9:16" x14ac:dyDescent="0.25">
      <c r="I664" s="285">
        <f>Games!D100</f>
        <v>0</v>
      </c>
      <c r="J664" s="286" t="str">
        <f>Games!E100</f>
        <v/>
      </c>
      <c r="K664" s="287" t="str">
        <f t="shared" si="23"/>
        <v/>
      </c>
      <c r="L664" s="285" t="str">
        <f>IF(AND(Games!AG100=3,Games!AB100=2),"Speed","")</f>
        <v/>
      </c>
      <c r="O664">
        <f>IF(Table3[[#This Row],[First Title]]="Started", (Table3[[#This Row],[Score]]+0)*2,Table3[[#This Row],[Score]]+0)</f>
        <v>0</v>
      </c>
      <c r="P664" s="2" t="str">
        <f>IF(Table3[[#This Row],[Helper]]&gt;191,"Gold",IF(Table3[[#This Row],[Helper]]&gt;171,"Silver",IF(Table3[[#This Row],[Helper]]&gt;141,"Bronze","")))</f>
        <v/>
      </c>
    </row>
    <row r="665" spans="9:16" x14ac:dyDescent="0.25">
      <c r="I665" s="285">
        <f>Games!D101</f>
        <v>0</v>
      </c>
      <c r="J665" s="286" t="str">
        <f>Games!E101</f>
        <v/>
      </c>
      <c r="K665" s="287" t="str">
        <f t="shared" si="23"/>
        <v/>
      </c>
      <c r="L665" s="285" t="str">
        <f>IF(AND(Games!AG101=3,Games!AB101=2),"Speed","")</f>
        <v/>
      </c>
      <c r="O665">
        <f>IF(Table3[[#This Row],[First Title]]="Started", (Table3[[#This Row],[Score]]+0)*2,Table3[[#This Row],[Score]]+0)</f>
        <v>0</v>
      </c>
      <c r="P665" s="2" t="str">
        <f>IF(Table3[[#This Row],[Helper]]&gt;191,"Gold",IF(Table3[[#This Row],[Helper]]&gt;171,"Silver",IF(Table3[[#This Row],[Helper]]&gt;141,"Bronze","")))</f>
        <v/>
      </c>
    </row>
    <row r="666" spans="9:16" x14ac:dyDescent="0.25">
      <c r="I666" s="285">
        <f>Games!D102</f>
        <v>0</v>
      </c>
      <c r="J666" s="286" t="str">
        <f>Games!E102</f>
        <v/>
      </c>
      <c r="K666" s="287" t="str">
        <f t="shared" si="23"/>
        <v/>
      </c>
      <c r="L666" s="285" t="str">
        <f>IF(AND(Games!AG102=3,Games!AB102=2),"Speed","")</f>
        <v/>
      </c>
      <c r="O666">
        <f>IF(Table3[[#This Row],[First Title]]="Started", (Table3[[#This Row],[Score]]+0)*2,Table3[[#This Row],[Score]]+0)</f>
        <v>0</v>
      </c>
      <c r="P666" s="2" t="str">
        <f>IF(Table3[[#This Row],[Helper]]&gt;191,"Gold",IF(Table3[[#This Row],[Helper]]&gt;171,"Silver",IF(Table3[[#This Row],[Helper]]&gt;141,"Bronze","")))</f>
        <v/>
      </c>
    </row>
    <row r="667" spans="9:16" x14ac:dyDescent="0.25">
      <c r="I667" s="285">
        <f>Games!D103</f>
        <v>0</v>
      </c>
      <c r="J667" s="286" t="str">
        <f>Games!E103</f>
        <v/>
      </c>
      <c r="K667" s="287" t="str">
        <f t="shared" si="23"/>
        <v/>
      </c>
      <c r="L667" s="285" t="str">
        <f>IF(AND(Games!AG103=3,Games!AB103=2),"Speed","")</f>
        <v/>
      </c>
      <c r="O667">
        <f>IF(Table3[[#This Row],[First Title]]="Started", (Table3[[#This Row],[Score]]+0)*2,Table3[[#This Row],[Score]]+0)</f>
        <v>0</v>
      </c>
      <c r="P667" s="2" t="str">
        <f>IF(Table3[[#This Row],[Helper]]&gt;191,"Gold",IF(Table3[[#This Row],[Helper]]&gt;171,"Silver",IF(Table3[[#This Row],[Helper]]&gt;141,"Bronze","")))</f>
        <v/>
      </c>
    </row>
    <row r="668" spans="9:16" x14ac:dyDescent="0.25">
      <c r="I668" s="285">
        <f>Games!D104</f>
        <v>0</v>
      </c>
      <c r="J668" s="286" t="str">
        <f>Games!E104</f>
        <v/>
      </c>
      <c r="K668" s="287" t="str">
        <f t="shared" si="23"/>
        <v/>
      </c>
      <c r="L668" s="285" t="str">
        <f>IF(AND(Games!AG104=3,Games!AB104=2),"Speed","")</f>
        <v/>
      </c>
      <c r="O668">
        <f>IF(Table3[[#This Row],[First Title]]="Started", (Table3[[#This Row],[Score]]+0)*2,Table3[[#This Row],[Score]]+0)</f>
        <v>0</v>
      </c>
      <c r="P668" s="2" t="str">
        <f>IF(Table3[[#This Row],[Helper]]&gt;191,"Gold",IF(Table3[[#This Row],[Helper]]&gt;171,"Silver",IF(Table3[[#This Row],[Helper]]&gt;141,"Bronze","")))</f>
        <v/>
      </c>
    </row>
    <row r="669" spans="9:16" x14ac:dyDescent="0.25">
      <c r="I669" s="285">
        <f>Games!D105</f>
        <v>0</v>
      </c>
      <c r="J669" s="286" t="str">
        <f>Games!E105</f>
        <v/>
      </c>
      <c r="K669" s="287" t="str">
        <f t="shared" si="23"/>
        <v/>
      </c>
      <c r="L669" s="285" t="str">
        <f>IF(AND(Games!AG105=3,Games!AB105=2),"Speed","")</f>
        <v/>
      </c>
      <c r="O669">
        <f>IF(Table3[[#This Row],[First Title]]="Started", (Table3[[#This Row],[Score]]+0)*2,Table3[[#This Row],[Score]]+0)</f>
        <v>0</v>
      </c>
      <c r="P669" s="2" t="str">
        <f>IF(Table3[[#This Row],[Helper]]&gt;191,"Gold",IF(Table3[[#This Row],[Helper]]&gt;171,"Silver",IF(Table3[[#This Row],[Helper]]&gt;141,"Bronze","")))</f>
        <v/>
      </c>
    </row>
    <row r="670" spans="9:16" x14ac:dyDescent="0.25">
      <c r="I670" s="285">
        <f>Games!D106</f>
        <v>0</v>
      </c>
      <c r="J670" s="286" t="str">
        <f>Games!E106</f>
        <v/>
      </c>
      <c r="K670" s="287" t="str">
        <f t="shared" si="23"/>
        <v/>
      </c>
      <c r="L670" s="285" t="str">
        <f>IF(AND(Games!AG106=3,Games!AB106=2),"Speed","")</f>
        <v/>
      </c>
      <c r="O670">
        <f>IF(Table3[[#This Row],[First Title]]="Started", (Table3[[#This Row],[Score]]+0)*2,Table3[[#This Row],[Score]]+0)</f>
        <v>0</v>
      </c>
      <c r="P670" s="2" t="str">
        <f>IF(Table3[[#This Row],[Helper]]&gt;191,"Gold",IF(Table3[[#This Row],[Helper]]&gt;171,"Silver",IF(Table3[[#This Row],[Helper]]&gt;141,"Bronze","")))</f>
        <v/>
      </c>
    </row>
    <row r="671" spans="9:16" x14ac:dyDescent="0.25">
      <c r="I671" s="285">
        <f>Games!D107</f>
        <v>0</v>
      </c>
      <c r="J671" s="286" t="str">
        <f>Games!E107</f>
        <v/>
      </c>
      <c r="K671" s="287" t="str">
        <f t="shared" si="23"/>
        <v/>
      </c>
      <c r="L671" s="285" t="str">
        <f>IF(AND(Games!AG107=3,Games!AB107=2),"Speed","")</f>
        <v/>
      </c>
      <c r="O671">
        <f>IF(Table3[[#This Row],[First Title]]="Started", (Table3[[#This Row],[Score]]+0)*2,Table3[[#This Row],[Score]]+0)</f>
        <v>0</v>
      </c>
      <c r="P671" s="2" t="str">
        <f>IF(Table3[[#This Row],[Helper]]&gt;191,"Gold",IF(Table3[[#This Row],[Helper]]&gt;171,"Silver",IF(Table3[[#This Row],[Helper]]&gt;141,"Bronze","")))</f>
        <v/>
      </c>
    </row>
    <row r="672" spans="9:16" x14ac:dyDescent="0.25">
      <c r="I672" s="285">
        <f>Games!D108</f>
        <v>0</v>
      </c>
      <c r="J672" s="286" t="str">
        <f>Games!E108</f>
        <v/>
      </c>
      <c r="K672" s="287" t="str">
        <f t="shared" si="23"/>
        <v/>
      </c>
      <c r="L672" s="285" t="str">
        <f>IF(AND(Games!AG108=3,Games!AB108=2),"Speed","")</f>
        <v/>
      </c>
      <c r="O672">
        <f>IF(Table3[[#This Row],[First Title]]="Started", (Table3[[#This Row],[Score]]+0)*2,Table3[[#This Row],[Score]]+0)</f>
        <v>0</v>
      </c>
      <c r="P672" s="2" t="str">
        <f>IF(Table3[[#This Row],[Helper]]&gt;191,"Gold",IF(Table3[[#This Row],[Helper]]&gt;171,"Silver",IF(Table3[[#This Row],[Helper]]&gt;141,"Bronze","")))</f>
        <v/>
      </c>
    </row>
    <row r="673" spans="9:16" x14ac:dyDescent="0.25">
      <c r="I673" s="285">
        <f>Games!D109</f>
        <v>0</v>
      </c>
      <c r="J673" s="286" t="str">
        <f>Games!E109</f>
        <v/>
      </c>
      <c r="K673" s="287" t="str">
        <f t="shared" si="23"/>
        <v/>
      </c>
      <c r="L673" s="285" t="str">
        <f>IF(AND(Games!AG109=3,Games!AB109=2),"Speed","")</f>
        <v/>
      </c>
      <c r="O673">
        <f>IF(Table3[[#This Row],[First Title]]="Started", (Table3[[#This Row],[Score]]+0)*2,Table3[[#This Row],[Score]]+0)</f>
        <v>0</v>
      </c>
      <c r="P673" s="2" t="str">
        <f>IF(Table3[[#This Row],[Helper]]&gt;191,"Gold",IF(Table3[[#This Row],[Helper]]&gt;171,"Silver",IF(Table3[[#This Row],[Helper]]&gt;141,"Bronze","")))</f>
        <v/>
      </c>
    </row>
    <row r="674" spans="9:16" x14ac:dyDescent="0.25">
      <c r="I674" s="285">
        <f>Games!D110</f>
        <v>0</v>
      </c>
      <c r="J674" s="286" t="str">
        <f>Games!E110</f>
        <v/>
      </c>
      <c r="K674" s="287" t="str">
        <f t="shared" si="23"/>
        <v/>
      </c>
      <c r="L674" s="285" t="str">
        <f>IF(AND(Games!AG110=3,Games!AB110=2),"Speed","")</f>
        <v/>
      </c>
      <c r="O674">
        <f>IF(Table3[[#This Row],[First Title]]="Started", (Table3[[#This Row],[Score]]+0)*2,Table3[[#This Row],[Score]]+0)</f>
        <v>0</v>
      </c>
      <c r="P674" s="2" t="str">
        <f>IF(Table3[[#This Row],[Helper]]&gt;191,"Gold",IF(Table3[[#This Row],[Helper]]&gt;171,"Silver",IF(Table3[[#This Row],[Helper]]&gt;141,"Bronze","")))</f>
        <v/>
      </c>
    </row>
    <row r="675" spans="9:16" x14ac:dyDescent="0.25">
      <c r="I675" s="285">
        <f>Games!D111</f>
        <v>0</v>
      </c>
      <c r="J675" s="286" t="str">
        <f>Games!E111</f>
        <v/>
      </c>
      <c r="K675" s="287" t="str">
        <f t="shared" si="23"/>
        <v/>
      </c>
      <c r="L675" s="285" t="str">
        <f>IF(AND(Games!AG111=3,Games!AB111=2),"Speed","")</f>
        <v/>
      </c>
      <c r="O675">
        <f>IF(Table3[[#This Row],[First Title]]="Started", (Table3[[#This Row],[Score]]+0)*2,Table3[[#This Row],[Score]]+0)</f>
        <v>0</v>
      </c>
      <c r="P675" s="2" t="str">
        <f>IF(Table3[[#This Row],[Helper]]&gt;191,"Gold",IF(Table3[[#This Row],[Helper]]&gt;171,"Silver",IF(Table3[[#This Row],[Helper]]&gt;141,"Bronze","")))</f>
        <v/>
      </c>
    </row>
    <row r="676" spans="9:16" x14ac:dyDescent="0.25">
      <c r="I676" s="285">
        <f>Games!D112</f>
        <v>0</v>
      </c>
      <c r="J676" s="286" t="str">
        <f>Games!E112</f>
        <v/>
      </c>
      <c r="K676" s="287" t="str">
        <f t="shared" si="23"/>
        <v/>
      </c>
      <c r="L676" s="285" t="str">
        <f>IF(AND(Games!AG112=3,Games!AB112=2),"Speed","")</f>
        <v/>
      </c>
      <c r="O676">
        <f>IF(Table3[[#This Row],[First Title]]="Started", (Table3[[#This Row],[Score]]+0)*2,Table3[[#This Row],[Score]]+0)</f>
        <v>0</v>
      </c>
      <c r="P676" s="2" t="str">
        <f>IF(Table3[[#This Row],[Helper]]&gt;191,"Gold",IF(Table3[[#This Row],[Helper]]&gt;171,"Silver",IF(Table3[[#This Row],[Helper]]&gt;141,"Bronze","")))</f>
        <v/>
      </c>
    </row>
    <row r="677" spans="9:16" x14ac:dyDescent="0.25">
      <c r="I677" s="285">
        <f>Games!D113</f>
        <v>0</v>
      </c>
      <c r="J677" s="286" t="str">
        <f>Games!E113</f>
        <v/>
      </c>
      <c r="K677" s="287" t="str">
        <f t="shared" si="23"/>
        <v/>
      </c>
      <c r="L677" s="285" t="str">
        <f>IF(AND(Games!AG113=3,Games!AB113=2),"Speed","")</f>
        <v/>
      </c>
      <c r="O677">
        <f>IF(Table3[[#This Row],[First Title]]="Started", (Table3[[#This Row],[Score]]+0)*2,Table3[[#This Row],[Score]]+0)</f>
        <v>0</v>
      </c>
      <c r="P677" s="2" t="str">
        <f>IF(Table3[[#This Row],[Helper]]&gt;191,"Gold",IF(Table3[[#This Row],[Helper]]&gt;171,"Silver",IF(Table3[[#This Row],[Helper]]&gt;141,"Bronze","")))</f>
        <v/>
      </c>
    </row>
    <row r="678" spans="9:16" x14ac:dyDescent="0.25">
      <c r="I678" s="285">
        <f>Games!D114</f>
        <v>0</v>
      </c>
      <c r="J678" s="286" t="str">
        <f>Games!E114</f>
        <v/>
      </c>
      <c r="K678" s="287" t="str">
        <f t="shared" si="23"/>
        <v/>
      </c>
      <c r="L678" s="285" t="str">
        <f>IF(AND(Games!AG114=3,Games!AB114=2),"Speed","")</f>
        <v/>
      </c>
      <c r="O678">
        <f>IF(Table3[[#This Row],[First Title]]="Started", (Table3[[#This Row],[Score]]+0)*2,Table3[[#This Row],[Score]]+0)</f>
        <v>0</v>
      </c>
      <c r="P678" s="2" t="str">
        <f>IF(Table3[[#This Row],[Helper]]&gt;191,"Gold",IF(Table3[[#This Row],[Helper]]&gt;171,"Silver",IF(Table3[[#This Row],[Helper]]&gt;141,"Bronze","")))</f>
        <v/>
      </c>
    </row>
    <row r="679" spans="9:16" x14ac:dyDescent="0.25">
      <c r="I679" s="285">
        <f>Games!D115</f>
        <v>0</v>
      </c>
      <c r="J679" s="286" t="str">
        <f>Games!E115</f>
        <v/>
      </c>
      <c r="K679" s="287" t="str">
        <f t="shared" si="23"/>
        <v/>
      </c>
      <c r="L679" s="285" t="str">
        <f>IF(AND(Games!AG115=3,Games!AB115=2),"Speed","")</f>
        <v/>
      </c>
      <c r="O679">
        <f>IF(Table3[[#This Row],[First Title]]="Started", (Table3[[#This Row],[Score]]+0)*2,Table3[[#This Row],[Score]]+0)</f>
        <v>0</v>
      </c>
      <c r="P679" s="2" t="str">
        <f>IF(Table3[[#This Row],[Helper]]&gt;191,"Gold",IF(Table3[[#This Row],[Helper]]&gt;171,"Silver",IF(Table3[[#This Row],[Helper]]&gt;141,"Bronze","")))</f>
        <v/>
      </c>
    </row>
    <row r="680" spans="9:16" x14ac:dyDescent="0.25">
      <c r="I680" s="285">
        <f>Games!D7</f>
        <v>0</v>
      </c>
      <c r="J680" s="286" t="str">
        <f>Games!E7</f>
        <v/>
      </c>
      <c r="K680" s="287" t="str">
        <f t="shared" ref="K680:K711" si="24">TrialDate</f>
        <v/>
      </c>
      <c r="L680" s="285" t="str">
        <f>IF(AND(Games!AN7=3,Games!AI7=2),"Team","")</f>
        <v/>
      </c>
      <c r="O680">
        <f>IF(Table3[[#This Row],[First Title]]="Started", (Table3[[#This Row],[Score]]+0)*2,Table3[[#This Row],[Score]]+0)</f>
        <v>0</v>
      </c>
      <c r="P680" s="2" t="str">
        <f>IF(Table3[[#This Row],[Helper]]&gt;191,"Gold",IF(Table3[[#This Row],[Helper]]&gt;171,"Silver",IF(Table3[[#This Row],[Helper]]&gt;141,"Bronze","")))</f>
        <v/>
      </c>
    </row>
    <row r="681" spans="9:16" x14ac:dyDescent="0.25">
      <c r="I681" s="285">
        <f>Games!D8</f>
        <v>0</v>
      </c>
      <c r="J681" s="286" t="str">
        <f>Games!E8</f>
        <v/>
      </c>
      <c r="K681" s="287" t="str">
        <f t="shared" si="24"/>
        <v/>
      </c>
      <c r="L681" s="285" t="str">
        <f>IF(AND(Games!AN8=3,Games!AI8=2),"Team","")</f>
        <v/>
      </c>
      <c r="O681">
        <f>IF(Table3[[#This Row],[First Title]]="Started", (Table3[[#This Row],[Score]]+0)*2,Table3[[#This Row],[Score]]+0)</f>
        <v>0</v>
      </c>
      <c r="P681" s="2" t="str">
        <f>IF(Table3[[#This Row],[Helper]]&gt;191,"Gold",IF(Table3[[#This Row],[Helper]]&gt;171,"Silver",IF(Table3[[#This Row],[Helper]]&gt;141,"Bronze","")))</f>
        <v/>
      </c>
    </row>
    <row r="682" spans="9:16" x14ac:dyDescent="0.25">
      <c r="I682" s="285">
        <f>Games!D9</f>
        <v>0</v>
      </c>
      <c r="J682" s="286" t="str">
        <f>Games!E9</f>
        <v/>
      </c>
      <c r="K682" s="287" t="str">
        <f t="shared" si="24"/>
        <v/>
      </c>
      <c r="L682" s="285" t="str">
        <f>IF(AND(Games!AN9=3,Games!AI9=2),"Team","")</f>
        <v/>
      </c>
      <c r="O682">
        <f>IF(Table3[[#This Row],[First Title]]="Started", (Table3[[#This Row],[Score]]+0)*2,Table3[[#This Row],[Score]]+0)</f>
        <v>0</v>
      </c>
      <c r="P682" s="2" t="str">
        <f>IF(Table3[[#This Row],[Helper]]&gt;191,"Gold",IF(Table3[[#This Row],[Helper]]&gt;171,"Silver",IF(Table3[[#This Row],[Helper]]&gt;141,"Bronze","")))</f>
        <v/>
      </c>
    </row>
    <row r="683" spans="9:16" x14ac:dyDescent="0.25">
      <c r="I683" s="285">
        <f>Games!D10</f>
        <v>0</v>
      </c>
      <c r="J683" s="286" t="str">
        <f>Games!E10</f>
        <v/>
      </c>
      <c r="K683" s="287" t="str">
        <f t="shared" si="24"/>
        <v/>
      </c>
      <c r="L683" s="285" t="str">
        <f>IF(AND(Games!AN10=3,Games!AI10=2),"Team","")</f>
        <v/>
      </c>
      <c r="O683">
        <f>IF(Table3[[#This Row],[First Title]]="Started", (Table3[[#This Row],[Score]]+0)*2,Table3[[#This Row],[Score]]+0)</f>
        <v>0</v>
      </c>
      <c r="P683" s="2" t="str">
        <f>IF(Table3[[#This Row],[Helper]]&gt;191,"Gold",IF(Table3[[#This Row],[Helper]]&gt;171,"Silver",IF(Table3[[#This Row],[Helper]]&gt;141,"Bronze","")))</f>
        <v/>
      </c>
    </row>
    <row r="684" spans="9:16" x14ac:dyDescent="0.25">
      <c r="I684" s="285">
        <f>Games!D11</f>
        <v>0</v>
      </c>
      <c r="J684" s="286" t="str">
        <f>Games!E11</f>
        <v/>
      </c>
      <c r="K684" s="287" t="str">
        <f t="shared" si="24"/>
        <v/>
      </c>
      <c r="L684" s="285" t="str">
        <f>IF(AND(Games!AN11=3,Games!AI11=2),"Team","")</f>
        <v/>
      </c>
      <c r="O684">
        <f>IF(Table3[[#This Row],[First Title]]="Started", (Table3[[#This Row],[Score]]+0)*2,Table3[[#This Row],[Score]]+0)</f>
        <v>0</v>
      </c>
      <c r="P684" s="2" t="str">
        <f>IF(Table3[[#This Row],[Helper]]&gt;191,"Gold",IF(Table3[[#This Row],[Helper]]&gt;171,"Silver",IF(Table3[[#This Row],[Helper]]&gt;141,"Bronze","")))</f>
        <v/>
      </c>
    </row>
    <row r="685" spans="9:16" x14ac:dyDescent="0.25">
      <c r="I685" s="285">
        <f>Games!D12</f>
        <v>0</v>
      </c>
      <c r="J685" s="286" t="str">
        <f>Games!E12</f>
        <v/>
      </c>
      <c r="K685" s="287" t="str">
        <f t="shared" si="24"/>
        <v/>
      </c>
      <c r="L685" s="285" t="str">
        <f>IF(AND(Games!AN12=3,Games!AI12=2),"Team","")</f>
        <v/>
      </c>
      <c r="O685">
        <f>IF(Table3[[#This Row],[First Title]]="Started", (Table3[[#This Row],[Score]]+0)*2,Table3[[#This Row],[Score]]+0)</f>
        <v>0</v>
      </c>
      <c r="P685" s="2" t="str">
        <f>IF(Table3[[#This Row],[Helper]]&gt;191,"Gold",IF(Table3[[#This Row],[Helper]]&gt;171,"Silver",IF(Table3[[#This Row],[Helper]]&gt;141,"Bronze","")))</f>
        <v/>
      </c>
    </row>
    <row r="686" spans="9:16" x14ac:dyDescent="0.25">
      <c r="I686" s="285">
        <f>Games!D13</f>
        <v>0</v>
      </c>
      <c r="J686" s="286" t="str">
        <f>Games!E13</f>
        <v/>
      </c>
      <c r="K686" s="287" t="str">
        <f t="shared" si="24"/>
        <v/>
      </c>
      <c r="L686" s="285" t="str">
        <f>IF(AND(Games!AN13=3,Games!AI13=2),"Team","")</f>
        <v/>
      </c>
      <c r="O686">
        <f>IF(Table3[[#This Row],[First Title]]="Started", (Table3[[#This Row],[Score]]+0)*2,Table3[[#This Row],[Score]]+0)</f>
        <v>0</v>
      </c>
      <c r="P686" s="2" t="str">
        <f>IF(Table3[[#This Row],[Helper]]&gt;191,"Gold",IF(Table3[[#This Row],[Helper]]&gt;171,"Silver",IF(Table3[[#This Row],[Helper]]&gt;141,"Bronze","")))</f>
        <v/>
      </c>
    </row>
    <row r="687" spans="9:16" x14ac:dyDescent="0.25">
      <c r="I687" s="285">
        <f>Games!D14</f>
        <v>0</v>
      </c>
      <c r="J687" s="286" t="str">
        <f>Games!E14</f>
        <v/>
      </c>
      <c r="K687" s="287" t="str">
        <f t="shared" si="24"/>
        <v/>
      </c>
      <c r="L687" s="285" t="str">
        <f>IF(AND(Games!AN14=3,Games!AI14=2),"Team","")</f>
        <v/>
      </c>
      <c r="O687">
        <f>IF(Table3[[#This Row],[First Title]]="Started", (Table3[[#This Row],[Score]]+0)*2,Table3[[#This Row],[Score]]+0)</f>
        <v>0</v>
      </c>
      <c r="P687" s="2" t="str">
        <f>IF(Table3[[#This Row],[Helper]]&gt;191,"Gold",IF(Table3[[#This Row],[Helper]]&gt;171,"Silver",IF(Table3[[#This Row],[Helper]]&gt;141,"Bronze","")))</f>
        <v/>
      </c>
    </row>
    <row r="688" spans="9:16" x14ac:dyDescent="0.25">
      <c r="I688" s="285">
        <f>Games!D15</f>
        <v>0</v>
      </c>
      <c r="J688" s="286" t="str">
        <f>Games!E15</f>
        <v/>
      </c>
      <c r="K688" s="287" t="str">
        <f t="shared" si="24"/>
        <v/>
      </c>
      <c r="L688" s="285" t="str">
        <f>IF(AND(Games!AN15=3,Games!AI15=2),"Team","")</f>
        <v/>
      </c>
      <c r="O688">
        <f>IF(Table3[[#This Row],[First Title]]="Started", (Table3[[#This Row],[Score]]+0)*2,Table3[[#This Row],[Score]]+0)</f>
        <v>0</v>
      </c>
      <c r="P688" s="2" t="str">
        <f>IF(Table3[[#This Row],[Helper]]&gt;191,"Gold",IF(Table3[[#This Row],[Helper]]&gt;171,"Silver",IF(Table3[[#This Row],[Helper]]&gt;141,"Bronze","")))</f>
        <v/>
      </c>
    </row>
    <row r="689" spans="9:16" x14ac:dyDescent="0.25">
      <c r="I689" s="285">
        <f>Games!D16</f>
        <v>0</v>
      </c>
      <c r="J689" s="286" t="str">
        <f>Games!E16</f>
        <v/>
      </c>
      <c r="K689" s="287" t="str">
        <f t="shared" si="24"/>
        <v/>
      </c>
      <c r="L689" s="285" t="str">
        <f>IF(AND(Games!AN16=3,Games!AI16=2),"Team","")</f>
        <v/>
      </c>
      <c r="O689">
        <f>IF(Table3[[#This Row],[First Title]]="Started", (Table3[[#This Row],[Score]]+0)*2,Table3[[#This Row],[Score]]+0)</f>
        <v>0</v>
      </c>
      <c r="P689" s="2" t="str">
        <f>IF(Table3[[#This Row],[Helper]]&gt;191,"Gold",IF(Table3[[#This Row],[Helper]]&gt;171,"Silver",IF(Table3[[#This Row],[Helper]]&gt;141,"Bronze","")))</f>
        <v/>
      </c>
    </row>
    <row r="690" spans="9:16" x14ac:dyDescent="0.25">
      <c r="I690" s="285">
        <f>Games!D17</f>
        <v>0</v>
      </c>
      <c r="J690" s="286" t="str">
        <f>Games!E17</f>
        <v/>
      </c>
      <c r="K690" s="287" t="str">
        <f t="shared" si="24"/>
        <v/>
      </c>
      <c r="L690" s="285" t="str">
        <f>IF(AND(Games!AN17=3,Games!AI17=2),"Team","")</f>
        <v/>
      </c>
      <c r="O690">
        <f>IF(Table3[[#This Row],[First Title]]="Started", (Table3[[#This Row],[Score]]+0)*2,Table3[[#This Row],[Score]]+0)</f>
        <v>0</v>
      </c>
      <c r="P690" s="2" t="str">
        <f>IF(Table3[[#This Row],[Helper]]&gt;191,"Gold",IF(Table3[[#This Row],[Helper]]&gt;171,"Silver",IF(Table3[[#This Row],[Helper]]&gt;141,"Bronze","")))</f>
        <v/>
      </c>
    </row>
    <row r="691" spans="9:16" x14ac:dyDescent="0.25">
      <c r="I691" s="285">
        <f>Games!D18</f>
        <v>0</v>
      </c>
      <c r="J691" s="286" t="str">
        <f>Games!E18</f>
        <v/>
      </c>
      <c r="K691" s="287" t="str">
        <f t="shared" si="24"/>
        <v/>
      </c>
      <c r="L691" s="285" t="str">
        <f>IF(AND(Games!AN18=3,Games!AI18=2),"Team","")</f>
        <v/>
      </c>
      <c r="O691">
        <f>IF(Table3[[#This Row],[First Title]]="Started", (Table3[[#This Row],[Score]]+0)*2,Table3[[#This Row],[Score]]+0)</f>
        <v>0</v>
      </c>
      <c r="P691" s="2" t="str">
        <f>IF(Table3[[#This Row],[Helper]]&gt;191,"Gold",IF(Table3[[#This Row],[Helper]]&gt;171,"Silver",IF(Table3[[#This Row],[Helper]]&gt;141,"Bronze","")))</f>
        <v/>
      </c>
    </row>
    <row r="692" spans="9:16" x14ac:dyDescent="0.25">
      <c r="I692" s="285">
        <f>Games!D19</f>
        <v>0</v>
      </c>
      <c r="J692" s="286" t="str">
        <f>Games!E19</f>
        <v/>
      </c>
      <c r="K692" s="287" t="str">
        <f t="shared" si="24"/>
        <v/>
      </c>
      <c r="L692" s="285" t="str">
        <f>IF(AND(Games!AN19=3,Games!AI19=2),"Team","")</f>
        <v/>
      </c>
      <c r="O692">
        <f>IF(Table3[[#This Row],[First Title]]="Started", (Table3[[#This Row],[Score]]+0)*2,Table3[[#This Row],[Score]]+0)</f>
        <v>0</v>
      </c>
      <c r="P692" s="2" t="str">
        <f>IF(Table3[[#This Row],[Helper]]&gt;191,"Gold",IF(Table3[[#This Row],[Helper]]&gt;171,"Silver",IF(Table3[[#This Row],[Helper]]&gt;141,"Bronze","")))</f>
        <v/>
      </c>
    </row>
    <row r="693" spans="9:16" x14ac:dyDescent="0.25">
      <c r="I693" s="285">
        <f>Games!D20</f>
        <v>0</v>
      </c>
      <c r="J693" s="286" t="str">
        <f>Games!E20</f>
        <v/>
      </c>
      <c r="K693" s="287" t="str">
        <f t="shared" si="24"/>
        <v/>
      </c>
      <c r="L693" s="285" t="str">
        <f>IF(AND(Games!AN20=3,Games!AI20=2),"Team","")</f>
        <v/>
      </c>
      <c r="O693">
        <f>IF(Table3[[#This Row],[First Title]]="Started", (Table3[[#This Row],[Score]]+0)*2,Table3[[#This Row],[Score]]+0)</f>
        <v>0</v>
      </c>
      <c r="P693" s="2" t="str">
        <f>IF(Table3[[#This Row],[Helper]]&gt;191,"Gold",IF(Table3[[#This Row],[Helper]]&gt;171,"Silver",IF(Table3[[#This Row],[Helper]]&gt;141,"Bronze","")))</f>
        <v/>
      </c>
    </row>
    <row r="694" spans="9:16" x14ac:dyDescent="0.25">
      <c r="I694" s="285">
        <f>Games!D21</f>
        <v>0</v>
      </c>
      <c r="J694" s="286" t="str">
        <f>Games!E21</f>
        <v/>
      </c>
      <c r="K694" s="287" t="str">
        <f t="shared" si="24"/>
        <v/>
      </c>
      <c r="L694" s="285" t="str">
        <f>IF(AND(Games!AN21=3,Games!AI21=2),"Team","")</f>
        <v/>
      </c>
      <c r="O694">
        <f>IF(Table3[[#This Row],[First Title]]="Started", (Table3[[#This Row],[Score]]+0)*2,Table3[[#This Row],[Score]]+0)</f>
        <v>0</v>
      </c>
      <c r="P694" s="2" t="str">
        <f>IF(Table3[[#This Row],[Helper]]&gt;191,"Gold",IF(Table3[[#This Row],[Helper]]&gt;171,"Silver",IF(Table3[[#This Row],[Helper]]&gt;141,"Bronze","")))</f>
        <v/>
      </c>
    </row>
    <row r="695" spans="9:16" x14ac:dyDescent="0.25">
      <c r="I695" s="285">
        <f>Games!D22</f>
        <v>0</v>
      </c>
      <c r="J695" s="286" t="str">
        <f>Games!E22</f>
        <v/>
      </c>
      <c r="K695" s="287" t="str">
        <f t="shared" si="24"/>
        <v/>
      </c>
      <c r="L695" s="285" t="str">
        <f>IF(AND(Games!AN22=3,Games!AI22=2),"Team","")</f>
        <v/>
      </c>
      <c r="O695">
        <f>IF(Table3[[#This Row],[First Title]]="Started", (Table3[[#This Row],[Score]]+0)*2,Table3[[#This Row],[Score]]+0)</f>
        <v>0</v>
      </c>
      <c r="P695" s="2" t="str">
        <f>IF(Table3[[#This Row],[Helper]]&gt;191,"Gold",IF(Table3[[#This Row],[Helper]]&gt;171,"Silver",IF(Table3[[#This Row],[Helper]]&gt;141,"Bronze","")))</f>
        <v/>
      </c>
    </row>
    <row r="696" spans="9:16" x14ac:dyDescent="0.25">
      <c r="I696" s="285">
        <f>Games!D23</f>
        <v>0</v>
      </c>
      <c r="J696" s="286" t="str">
        <f>Games!E23</f>
        <v/>
      </c>
      <c r="K696" s="287" t="str">
        <f t="shared" si="24"/>
        <v/>
      </c>
      <c r="L696" s="285" t="str">
        <f>IF(AND(Games!AN23=3,Games!AI23=2),"Team","")</f>
        <v/>
      </c>
      <c r="O696">
        <f>IF(Table3[[#This Row],[First Title]]="Started", (Table3[[#This Row],[Score]]+0)*2,Table3[[#This Row],[Score]]+0)</f>
        <v>0</v>
      </c>
      <c r="P696" s="2" t="str">
        <f>IF(Table3[[#This Row],[Helper]]&gt;191,"Gold",IF(Table3[[#This Row],[Helper]]&gt;171,"Silver",IF(Table3[[#This Row],[Helper]]&gt;141,"Bronze","")))</f>
        <v/>
      </c>
    </row>
    <row r="697" spans="9:16" x14ac:dyDescent="0.25">
      <c r="I697" s="285">
        <f>Games!D24</f>
        <v>0</v>
      </c>
      <c r="J697" s="286" t="str">
        <f>Games!E24</f>
        <v/>
      </c>
      <c r="K697" s="287" t="str">
        <f t="shared" si="24"/>
        <v/>
      </c>
      <c r="L697" s="285" t="str">
        <f>IF(AND(Games!AN24=3,Games!AI24=2),"Team","")</f>
        <v/>
      </c>
      <c r="O697">
        <f>IF(Table3[[#This Row],[First Title]]="Started", (Table3[[#This Row],[Score]]+0)*2,Table3[[#This Row],[Score]]+0)</f>
        <v>0</v>
      </c>
      <c r="P697" s="2" t="str">
        <f>IF(Table3[[#This Row],[Helper]]&gt;191,"Gold",IF(Table3[[#This Row],[Helper]]&gt;171,"Silver",IF(Table3[[#This Row],[Helper]]&gt;141,"Bronze","")))</f>
        <v/>
      </c>
    </row>
    <row r="698" spans="9:16" x14ac:dyDescent="0.25">
      <c r="I698" s="285">
        <f>Games!D25</f>
        <v>0</v>
      </c>
      <c r="J698" s="286" t="str">
        <f>Games!E25</f>
        <v/>
      </c>
      <c r="K698" s="287" t="str">
        <f t="shared" si="24"/>
        <v/>
      </c>
      <c r="L698" s="285" t="str">
        <f>IF(AND(Games!AN25=3,Games!AI25=2),"Team","")</f>
        <v/>
      </c>
      <c r="O698">
        <f>IF(Table3[[#This Row],[First Title]]="Started", (Table3[[#This Row],[Score]]+0)*2,Table3[[#This Row],[Score]]+0)</f>
        <v>0</v>
      </c>
      <c r="P698" s="2" t="str">
        <f>IF(Table3[[#This Row],[Helper]]&gt;191,"Gold",IF(Table3[[#This Row],[Helper]]&gt;171,"Silver",IF(Table3[[#This Row],[Helper]]&gt;141,"Bronze","")))</f>
        <v/>
      </c>
    </row>
    <row r="699" spans="9:16" x14ac:dyDescent="0.25">
      <c r="I699" s="285">
        <f>Games!D26</f>
        <v>0</v>
      </c>
      <c r="J699" s="286" t="str">
        <f>Games!E26</f>
        <v/>
      </c>
      <c r="K699" s="287" t="str">
        <f t="shared" si="24"/>
        <v/>
      </c>
      <c r="L699" s="285" t="str">
        <f>IF(AND(Games!AN26=3,Games!AI26=2),"Team","")</f>
        <v/>
      </c>
      <c r="O699">
        <f>IF(Table3[[#This Row],[First Title]]="Started", (Table3[[#This Row],[Score]]+0)*2,Table3[[#This Row],[Score]]+0)</f>
        <v>0</v>
      </c>
      <c r="P699" s="2" t="str">
        <f>IF(Table3[[#This Row],[Helper]]&gt;191,"Gold",IF(Table3[[#This Row],[Helper]]&gt;171,"Silver",IF(Table3[[#This Row],[Helper]]&gt;141,"Bronze","")))</f>
        <v/>
      </c>
    </row>
    <row r="700" spans="9:16" x14ac:dyDescent="0.25">
      <c r="I700" s="285">
        <f>Games!D27</f>
        <v>0</v>
      </c>
      <c r="J700" s="286" t="str">
        <f>Games!E27</f>
        <v/>
      </c>
      <c r="K700" s="287" t="str">
        <f t="shared" si="24"/>
        <v/>
      </c>
      <c r="L700" s="285" t="str">
        <f>IF(AND(Games!AN27=3,Games!AI27=2),"Team","")</f>
        <v/>
      </c>
      <c r="O700">
        <f>IF(Table3[[#This Row],[First Title]]="Started", (Table3[[#This Row],[Score]]+0)*2,Table3[[#This Row],[Score]]+0)</f>
        <v>0</v>
      </c>
      <c r="P700" s="2" t="str">
        <f>IF(Table3[[#This Row],[Helper]]&gt;191,"Gold",IF(Table3[[#This Row],[Helper]]&gt;171,"Silver",IF(Table3[[#This Row],[Helper]]&gt;141,"Bronze","")))</f>
        <v/>
      </c>
    </row>
    <row r="701" spans="9:16" x14ac:dyDescent="0.25">
      <c r="I701" s="285">
        <f>Games!D28</f>
        <v>0</v>
      </c>
      <c r="J701" s="286" t="str">
        <f>Games!E28</f>
        <v/>
      </c>
      <c r="K701" s="287" t="str">
        <f t="shared" si="24"/>
        <v/>
      </c>
      <c r="L701" s="285" t="str">
        <f>IF(AND(Games!AN28=3,Games!AI28=2),"Team","")</f>
        <v/>
      </c>
      <c r="O701">
        <f>IF(Table3[[#This Row],[First Title]]="Started", (Table3[[#This Row],[Score]]+0)*2,Table3[[#This Row],[Score]]+0)</f>
        <v>0</v>
      </c>
      <c r="P701" s="2" t="str">
        <f>IF(Table3[[#This Row],[Helper]]&gt;191,"Gold",IF(Table3[[#This Row],[Helper]]&gt;171,"Silver",IF(Table3[[#This Row],[Helper]]&gt;141,"Bronze","")))</f>
        <v/>
      </c>
    </row>
    <row r="702" spans="9:16" x14ac:dyDescent="0.25">
      <c r="I702" s="285">
        <f>Games!D29</f>
        <v>0</v>
      </c>
      <c r="J702" s="286" t="str">
        <f>Games!E29</f>
        <v/>
      </c>
      <c r="K702" s="287" t="str">
        <f t="shared" si="24"/>
        <v/>
      </c>
      <c r="L702" s="285" t="str">
        <f>IF(AND(Games!AN29=3,Games!AI29=2),"Team","")</f>
        <v/>
      </c>
      <c r="O702">
        <f>IF(Table3[[#This Row],[First Title]]="Started", (Table3[[#This Row],[Score]]+0)*2,Table3[[#This Row],[Score]]+0)</f>
        <v>0</v>
      </c>
      <c r="P702" s="2" t="str">
        <f>IF(Table3[[#This Row],[Helper]]&gt;191,"Gold",IF(Table3[[#This Row],[Helper]]&gt;171,"Silver",IF(Table3[[#This Row],[Helper]]&gt;141,"Bronze","")))</f>
        <v/>
      </c>
    </row>
    <row r="703" spans="9:16" x14ac:dyDescent="0.25">
      <c r="I703" s="285">
        <f>Games!D30</f>
        <v>0</v>
      </c>
      <c r="J703" s="286" t="str">
        <f>Games!E30</f>
        <v/>
      </c>
      <c r="K703" s="287" t="str">
        <f t="shared" si="24"/>
        <v/>
      </c>
      <c r="L703" s="285" t="str">
        <f>IF(AND(Games!AN30=3,Games!AI30=2),"Team","")</f>
        <v/>
      </c>
      <c r="O703">
        <f>IF(Table3[[#This Row],[First Title]]="Started", (Table3[[#This Row],[Score]]+0)*2,Table3[[#This Row],[Score]]+0)</f>
        <v>0</v>
      </c>
      <c r="P703" s="2" t="str">
        <f>IF(Table3[[#This Row],[Helper]]&gt;191,"Gold",IF(Table3[[#This Row],[Helper]]&gt;171,"Silver",IF(Table3[[#This Row],[Helper]]&gt;141,"Bronze","")))</f>
        <v/>
      </c>
    </row>
    <row r="704" spans="9:16" x14ac:dyDescent="0.25">
      <c r="I704" s="285">
        <f>Games!D31</f>
        <v>0</v>
      </c>
      <c r="J704" s="286" t="str">
        <f>Games!E31</f>
        <v/>
      </c>
      <c r="K704" s="287" t="str">
        <f t="shared" si="24"/>
        <v/>
      </c>
      <c r="L704" s="285" t="str">
        <f>IF(AND(Games!AN31=3,Games!AI31=2),"Team","")</f>
        <v/>
      </c>
      <c r="O704">
        <f>IF(Table3[[#This Row],[First Title]]="Started", (Table3[[#This Row],[Score]]+0)*2,Table3[[#This Row],[Score]]+0)</f>
        <v>0</v>
      </c>
      <c r="P704" s="2" t="str">
        <f>IF(Table3[[#This Row],[Helper]]&gt;191,"Gold",IF(Table3[[#This Row],[Helper]]&gt;171,"Silver",IF(Table3[[#This Row],[Helper]]&gt;141,"Bronze","")))</f>
        <v/>
      </c>
    </row>
    <row r="705" spans="9:16" x14ac:dyDescent="0.25">
      <c r="I705" s="285">
        <f>Games!D32</f>
        <v>0</v>
      </c>
      <c r="J705" s="286" t="str">
        <f>Games!E32</f>
        <v/>
      </c>
      <c r="K705" s="287" t="str">
        <f t="shared" si="24"/>
        <v/>
      </c>
      <c r="L705" s="285" t="str">
        <f>IF(AND(Games!AN32=3,Games!AI32=2),"Team","")</f>
        <v/>
      </c>
      <c r="O705">
        <f>IF(Table3[[#This Row],[First Title]]="Started", (Table3[[#This Row],[Score]]+0)*2,Table3[[#This Row],[Score]]+0)</f>
        <v>0</v>
      </c>
      <c r="P705" s="2" t="str">
        <f>IF(Table3[[#This Row],[Helper]]&gt;191,"Gold",IF(Table3[[#This Row],[Helper]]&gt;171,"Silver",IF(Table3[[#This Row],[Helper]]&gt;141,"Bronze","")))</f>
        <v/>
      </c>
    </row>
    <row r="706" spans="9:16" x14ac:dyDescent="0.25">
      <c r="I706" s="285">
        <f>Games!D33</f>
        <v>0</v>
      </c>
      <c r="J706" s="286" t="str">
        <f>Games!E33</f>
        <v/>
      </c>
      <c r="K706" s="287" t="str">
        <f t="shared" si="24"/>
        <v/>
      </c>
      <c r="L706" s="285" t="str">
        <f>IF(AND(Games!AN33=3,Games!AI33=2),"Team","")</f>
        <v/>
      </c>
      <c r="O706">
        <f>IF(Table3[[#This Row],[First Title]]="Started", (Table3[[#This Row],[Score]]+0)*2,Table3[[#This Row],[Score]]+0)</f>
        <v>0</v>
      </c>
      <c r="P706" s="2" t="str">
        <f>IF(Table3[[#This Row],[Helper]]&gt;191,"Gold",IF(Table3[[#This Row],[Helper]]&gt;171,"Silver",IF(Table3[[#This Row],[Helper]]&gt;141,"Bronze","")))</f>
        <v/>
      </c>
    </row>
    <row r="707" spans="9:16" x14ac:dyDescent="0.25">
      <c r="I707" s="285">
        <f>Games!D34</f>
        <v>0</v>
      </c>
      <c r="J707" s="286" t="str">
        <f>Games!E34</f>
        <v/>
      </c>
      <c r="K707" s="287" t="str">
        <f t="shared" si="24"/>
        <v/>
      </c>
      <c r="L707" s="285" t="str">
        <f>IF(AND(Games!AN34=3,Games!AI34=2),"Team","")</f>
        <v/>
      </c>
      <c r="O707">
        <f>IF(Table3[[#This Row],[First Title]]="Started", (Table3[[#This Row],[Score]]+0)*2,Table3[[#This Row],[Score]]+0)</f>
        <v>0</v>
      </c>
      <c r="P707" s="2" t="str">
        <f>IF(Table3[[#This Row],[Helper]]&gt;191,"Gold",IF(Table3[[#This Row],[Helper]]&gt;171,"Silver",IF(Table3[[#This Row],[Helper]]&gt;141,"Bronze","")))</f>
        <v/>
      </c>
    </row>
    <row r="708" spans="9:16" x14ac:dyDescent="0.25">
      <c r="I708" s="285">
        <f>Games!D35</f>
        <v>0</v>
      </c>
      <c r="J708" s="286" t="str">
        <f>Games!E35</f>
        <v/>
      </c>
      <c r="K708" s="287" t="str">
        <f t="shared" si="24"/>
        <v/>
      </c>
      <c r="L708" s="285" t="str">
        <f>IF(AND(Games!AN35=3,Games!AI35=2),"Team","")</f>
        <v/>
      </c>
      <c r="O708">
        <f>IF(Table3[[#This Row],[First Title]]="Started", (Table3[[#This Row],[Score]]+0)*2,Table3[[#This Row],[Score]]+0)</f>
        <v>0</v>
      </c>
      <c r="P708" s="2" t="str">
        <f>IF(Table3[[#This Row],[Helper]]&gt;191,"Gold",IF(Table3[[#This Row],[Helper]]&gt;171,"Silver",IF(Table3[[#This Row],[Helper]]&gt;141,"Bronze","")))</f>
        <v/>
      </c>
    </row>
    <row r="709" spans="9:16" x14ac:dyDescent="0.25">
      <c r="I709" s="285">
        <f>Games!D36</f>
        <v>0</v>
      </c>
      <c r="J709" s="286" t="str">
        <f>Games!E36</f>
        <v/>
      </c>
      <c r="K709" s="287" t="str">
        <f t="shared" si="24"/>
        <v/>
      </c>
      <c r="L709" s="285" t="str">
        <f>IF(AND(Games!AN36=3,Games!AI36=2),"Team","")</f>
        <v/>
      </c>
      <c r="O709">
        <f>IF(Table3[[#This Row],[First Title]]="Started", (Table3[[#This Row],[Score]]+0)*2,Table3[[#This Row],[Score]]+0)</f>
        <v>0</v>
      </c>
      <c r="P709" s="2" t="str">
        <f>IF(Table3[[#This Row],[Helper]]&gt;191,"Gold",IF(Table3[[#This Row],[Helper]]&gt;171,"Silver",IF(Table3[[#This Row],[Helper]]&gt;141,"Bronze","")))</f>
        <v/>
      </c>
    </row>
    <row r="710" spans="9:16" x14ac:dyDescent="0.25">
      <c r="I710" s="285">
        <f>Games!D37</f>
        <v>0</v>
      </c>
      <c r="J710" s="286" t="str">
        <f>Games!E37</f>
        <v/>
      </c>
      <c r="K710" s="287" t="str">
        <f t="shared" si="24"/>
        <v/>
      </c>
      <c r="L710" s="285" t="str">
        <f>IF(AND(Games!AN37=3,Games!AI37=2),"Team","")</f>
        <v/>
      </c>
      <c r="O710">
        <f>IF(Table3[[#This Row],[First Title]]="Started", (Table3[[#This Row],[Score]]+0)*2,Table3[[#This Row],[Score]]+0)</f>
        <v>0</v>
      </c>
      <c r="P710" s="2" t="str">
        <f>IF(Table3[[#This Row],[Helper]]&gt;191,"Gold",IF(Table3[[#This Row],[Helper]]&gt;171,"Silver",IF(Table3[[#This Row],[Helper]]&gt;141,"Bronze","")))</f>
        <v/>
      </c>
    </row>
    <row r="711" spans="9:16" x14ac:dyDescent="0.25">
      <c r="I711" s="285">
        <f>Games!D38</f>
        <v>0</v>
      </c>
      <c r="J711" s="286" t="str">
        <f>Games!E38</f>
        <v/>
      </c>
      <c r="K711" s="287" t="str">
        <f t="shared" si="24"/>
        <v/>
      </c>
      <c r="L711" s="285" t="str">
        <f>IF(AND(Games!AN38=3,Games!AI38=2),"Team","")</f>
        <v/>
      </c>
      <c r="O711">
        <f>IF(Table3[[#This Row],[First Title]]="Started", (Table3[[#This Row],[Score]]+0)*2,Table3[[#This Row],[Score]]+0)</f>
        <v>0</v>
      </c>
      <c r="P711" s="2" t="str">
        <f>IF(Table3[[#This Row],[Helper]]&gt;191,"Gold",IF(Table3[[#This Row],[Helper]]&gt;171,"Silver",IF(Table3[[#This Row],[Helper]]&gt;141,"Bronze","")))</f>
        <v/>
      </c>
    </row>
    <row r="712" spans="9:16" x14ac:dyDescent="0.25">
      <c r="I712" s="285">
        <f>Games!D39</f>
        <v>0</v>
      </c>
      <c r="J712" s="286" t="str">
        <f>Games!E39</f>
        <v/>
      </c>
      <c r="K712" s="287" t="str">
        <f t="shared" ref="K712:K729" si="25">TrialDate</f>
        <v/>
      </c>
      <c r="L712" s="285" t="str">
        <f>IF(AND(Games!AN39=3,Games!AI39=2),"Team","")</f>
        <v/>
      </c>
      <c r="O712">
        <f>IF(Table3[[#This Row],[First Title]]="Started", (Table3[[#This Row],[Score]]+0)*2,Table3[[#This Row],[Score]]+0)</f>
        <v>0</v>
      </c>
      <c r="P712" s="2" t="str">
        <f>IF(Table3[[#This Row],[Helper]]&gt;191,"Gold",IF(Table3[[#This Row],[Helper]]&gt;171,"Silver",IF(Table3[[#This Row],[Helper]]&gt;141,"Bronze","")))</f>
        <v/>
      </c>
    </row>
    <row r="713" spans="9:16" x14ac:dyDescent="0.25">
      <c r="I713" s="285">
        <f>Games!D40</f>
        <v>0</v>
      </c>
      <c r="J713" s="286" t="str">
        <f>Games!E40</f>
        <v/>
      </c>
      <c r="K713" s="287" t="str">
        <f t="shared" si="25"/>
        <v/>
      </c>
      <c r="L713" s="285" t="str">
        <f>IF(AND(Games!AN40=3,Games!AI40=2),"Team","")</f>
        <v/>
      </c>
      <c r="O713">
        <f>IF(Table3[[#This Row],[First Title]]="Started", (Table3[[#This Row],[Score]]+0)*2,Table3[[#This Row],[Score]]+0)</f>
        <v>0</v>
      </c>
      <c r="P713" s="2" t="str">
        <f>IF(Table3[[#This Row],[Helper]]&gt;191,"Gold",IF(Table3[[#This Row],[Helper]]&gt;171,"Silver",IF(Table3[[#This Row],[Helper]]&gt;141,"Bronze","")))</f>
        <v/>
      </c>
    </row>
    <row r="714" spans="9:16" x14ac:dyDescent="0.25">
      <c r="I714" s="285">
        <f>Games!D41</f>
        <v>0</v>
      </c>
      <c r="J714" s="286" t="str">
        <f>Games!E41</f>
        <v/>
      </c>
      <c r="K714" s="287" t="str">
        <f t="shared" si="25"/>
        <v/>
      </c>
      <c r="L714" s="285" t="str">
        <f>IF(AND(Games!AN41=3,Games!AI41=2),"Team","")</f>
        <v/>
      </c>
      <c r="O714">
        <f>IF(Table3[[#This Row],[First Title]]="Started", (Table3[[#This Row],[Score]]+0)*2,Table3[[#This Row],[Score]]+0)</f>
        <v>0</v>
      </c>
      <c r="P714" s="2" t="str">
        <f>IF(Table3[[#This Row],[Helper]]&gt;191,"Gold",IF(Table3[[#This Row],[Helper]]&gt;171,"Silver",IF(Table3[[#This Row],[Helper]]&gt;141,"Bronze","")))</f>
        <v/>
      </c>
    </row>
    <row r="715" spans="9:16" x14ac:dyDescent="0.25">
      <c r="I715" s="285">
        <f>Games!D42</f>
        <v>0</v>
      </c>
      <c r="J715" s="286" t="str">
        <f>Games!E42</f>
        <v/>
      </c>
      <c r="K715" s="287" t="str">
        <f t="shared" si="25"/>
        <v/>
      </c>
      <c r="L715" s="285" t="str">
        <f>IF(AND(Games!AN42=3,Games!AI42=2),"Team","")</f>
        <v/>
      </c>
      <c r="O715">
        <f>IF(Table3[[#This Row],[First Title]]="Started", (Table3[[#This Row],[Score]]+0)*2,Table3[[#This Row],[Score]]+0)</f>
        <v>0</v>
      </c>
      <c r="P715" s="2" t="str">
        <f>IF(Table3[[#This Row],[Helper]]&gt;191,"Gold",IF(Table3[[#This Row],[Helper]]&gt;171,"Silver",IF(Table3[[#This Row],[Helper]]&gt;141,"Bronze","")))</f>
        <v/>
      </c>
    </row>
    <row r="716" spans="9:16" x14ac:dyDescent="0.25">
      <c r="I716" s="285">
        <f>Games!D43</f>
        <v>0</v>
      </c>
      <c r="J716" s="286" t="str">
        <f>Games!E43</f>
        <v/>
      </c>
      <c r="K716" s="287" t="str">
        <f t="shared" si="25"/>
        <v/>
      </c>
      <c r="L716" s="285" t="str">
        <f>IF(AND(Games!AN43=3,Games!AI43=2),"Team","")</f>
        <v/>
      </c>
      <c r="O716">
        <f>IF(Table3[[#This Row],[First Title]]="Started", (Table3[[#This Row],[Score]]+0)*2,Table3[[#This Row],[Score]]+0)</f>
        <v>0</v>
      </c>
      <c r="P716" s="2" t="str">
        <f>IF(Table3[[#This Row],[Helper]]&gt;191,"Gold",IF(Table3[[#This Row],[Helper]]&gt;171,"Silver",IF(Table3[[#This Row],[Helper]]&gt;141,"Bronze","")))</f>
        <v/>
      </c>
    </row>
    <row r="717" spans="9:16" x14ac:dyDescent="0.25">
      <c r="I717" s="285">
        <f>Games!D44</f>
        <v>0</v>
      </c>
      <c r="J717" s="286" t="str">
        <f>Games!E44</f>
        <v/>
      </c>
      <c r="K717" s="287" t="str">
        <f t="shared" si="25"/>
        <v/>
      </c>
      <c r="L717" s="285" t="str">
        <f>IF(AND(Games!AN44=3,Games!AI44=2),"Team","")</f>
        <v/>
      </c>
      <c r="O717">
        <f>IF(Table3[[#This Row],[First Title]]="Started", (Table3[[#This Row],[Score]]+0)*2,Table3[[#This Row],[Score]]+0)</f>
        <v>0</v>
      </c>
      <c r="P717" s="2" t="str">
        <f>IF(Table3[[#This Row],[Helper]]&gt;191,"Gold",IF(Table3[[#This Row],[Helper]]&gt;171,"Silver",IF(Table3[[#This Row],[Helper]]&gt;141,"Bronze","")))</f>
        <v/>
      </c>
    </row>
    <row r="718" spans="9:16" x14ac:dyDescent="0.25">
      <c r="I718" s="285">
        <f>Games!D45</f>
        <v>0</v>
      </c>
      <c r="J718" s="286" t="str">
        <f>Games!E45</f>
        <v/>
      </c>
      <c r="K718" s="287" t="str">
        <f t="shared" si="25"/>
        <v/>
      </c>
      <c r="L718" s="285" t="str">
        <f>IF(AND(Games!AN45=3,Games!AI45=2),"Team","")</f>
        <v/>
      </c>
      <c r="O718">
        <f>IF(Table3[[#This Row],[First Title]]="Started", (Table3[[#This Row],[Score]]+0)*2,Table3[[#This Row],[Score]]+0)</f>
        <v>0</v>
      </c>
      <c r="P718" s="2" t="str">
        <f>IF(Table3[[#This Row],[Helper]]&gt;191,"Gold",IF(Table3[[#This Row],[Helper]]&gt;171,"Silver",IF(Table3[[#This Row],[Helper]]&gt;141,"Bronze","")))</f>
        <v/>
      </c>
    </row>
    <row r="719" spans="9:16" x14ac:dyDescent="0.25">
      <c r="I719" s="285">
        <f>Games!D46</f>
        <v>0</v>
      </c>
      <c r="J719" s="286" t="str">
        <f>Games!E46</f>
        <v/>
      </c>
      <c r="K719" s="287" t="str">
        <f t="shared" si="25"/>
        <v/>
      </c>
      <c r="L719" s="285" t="str">
        <f>IF(AND(Games!AN46=3,Games!AI46=2),"Team","")</f>
        <v/>
      </c>
      <c r="O719">
        <f>IF(Table3[[#This Row],[First Title]]="Started", (Table3[[#This Row],[Score]]+0)*2,Table3[[#This Row],[Score]]+0)</f>
        <v>0</v>
      </c>
      <c r="P719" s="2" t="str">
        <f>IF(Table3[[#This Row],[Helper]]&gt;191,"Gold",IF(Table3[[#This Row],[Helper]]&gt;171,"Silver",IF(Table3[[#This Row],[Helper]]&gt;141,"Bronze","")))</f>
        <v/>
      </c>
    </row>
    <row r="720" spans="9:16" x14ac:dyDescent="0.25">
      <c r="I720" s="285">
        <f>Games!D47</f>
        <v>0</v>
      </c>
      <c r="J720" s="286" t="str">
        <f>Games!E47</f>
        <v/>
      </c>
      <c r="K720" s="287" t="str">
        <f t="shared" si="25"/>
        <v/>
      </c>
      <c r="L720" s="285" t="str">
        <f>IF(AND(Games!AN47=3,Games!AI47=2),"Team","")</f>
        <v/>
      </c>
      <c r="O720">
        <f>IF(Table3[[#This Row],[First Title]]="Started", (Table3[[#This Row],[Score]]+0)*2,Table3[[#This Row],[Score]]+0)</f>
        <v>0</v>
      </c>
      <c r="P720" s="2" t="str">
        <f>IF(Table3[[#This Row],[Helper]]&gt;191,"Gold",IF(Table3[[#This Row],[Helper]]&gt;171,"Silver",IF(Table3[[#This Row],[Helper]]&gt;141,"Bronze","")))</f>
        <v/>
      </c>
    </row>
    <row r="721" spans="9:16" x14ac:dyDescent="0.25">
      <c r="I721" s="285">
        <f>Games!D48</f>
        <v>0</v>
      </c>
      <c r="J721" s="286" t="str">
        <f>Games!E48</f>
        <v/>
      </c>
      <c r="K721" s="287" t="str">
        <f t="shared" si="25"/>
        <v/>
      </c>
      <c r="L721" s="285" t="str">
        <f>IF(AND(Games!AN48=3,Games!AI48=2),"Team","")</f>
        <v/>
      </c>
      <c r="O721">
        <f>IF(Table3[[#This Row],[First Title]]="Started", (Table3[[#This Row],[Score]]+0)*2,Table3[[#This Row],[Score]]+0)</f>
        <v>0</v>
      </c>
      <c r="P721" s="2" t="str">
        <f>IF(Table3[[#This Row],[Helper]]&gt;191,"Gold",IF(Table3[[#This Row],[Helper]]&gt;171,"Silver",IF(Table3[[#This Row],[Helper]]&gt;141,"Bronze","")))</f>
        <v/>
      </c>
    </row>
    <row r="722" spans="9:16" x14ac:dyDescent="0.25">
      <c r="I722" s="285">
        <f>Games!D49</f>
        <v>0</v>
      </c>
      <c r="J722" s="286" t="str">
        <f>Games!E49</f>
        <v/>
      </c>
      <c r="K722" s="287" t="str">
        <f t="shared" si="25"/>
        <v/>
      </c>
      <c r="L722" s="285" t="str">
        <f>IF(AND(Games!AN49=3,Games!AI49=2),"Team","")</f>
        <v/>
      </c>
      <c r="O722">
        <f>IF(Table3[[#This Row],[First Title]]="Started", (Table3[[#This Row],[Score]]+0)*2,Table3[[#This Row],[Score]]+0)</f>
        <v>0</v>
      </c>
      <c r="P722" s="2" t="str">
        <f>IF(Table3[[#This Row],[Helper]]&gt;191,"Gold",IF(Table3[[#This Row],[Helper]]&gt;171,"Silver",IF(Table3[[#This Row],[Helper]]&gt;141,"Bronze","")))</f>
        <v/>
      </c>
    </row>
    <row r="723" spans="9:16" x14ac:dyDescent="0.25">
      <c r="I723" s="285">
        <f>Games!D50</f>
        <v>0</v>
      </c>
      <c r="J723" s="286" t="str">
        <f>Games!E50</f>
        <v/>
      </c>
      <c r="K723" s="287" t="str">
        <f t="shared" si="25"/>
        <v/>
      </c>
      <c r="L723" s="285" t="str">
        <f>IF(AND(Games!AN50=3,Games!AI50=2),"Team","")</f>
        <v/>
      </c>
      <c r="O723">
        <f>IF(Table3[[#This Row],[First Title]]="Started", (Table3[[#This Row],[Score]]+0)*2,Table3[[#This Row],[Score]]+0)</f>
        <v>0</v>
      </c>
      <c r="P723" s="2" t="str">
        <f>IF(Table3[[#This Row],[Helper]]&gt;191,"Gold",IF(Table3[[#This Row],[Helper]]&gt;171,"Silver",IF(Table3[[#This Row],[Helper]]&gt;141,"Bronze","")))</f>
        <v/>
      </c>
    </row>
    <row r="724" spans="9:16" x14ac:dyDescent="0.25">
      <c r="I724" s="285">
        <f>Games!D51</f>
        <v>0</v>
      </c>
      <c r="J724" s="286" t="str">
        <f>Games!E51</f>
        <v/>
      </c>
      <c r="K724" s="287" t="str">
        <f t="shared" si="25"/>
        <v/>
      </c>
      <c r="L724" s="285" t="str">
        <f>IF(AND(Games!AN51=3,Games!AI51=2),"Team","")</f>
        <v/>
      </c>
      <c r="O724">
        <f>IF(Table3[[#This Row],[First Title]]="Started", (Table3[[#This Row],[Score]]+0)*2,Table3[[#This Row],[Score]]+0)</f>
        <v>0</v>
      </c>
      <c r="P724" s="2" t="str">
        <f>IF(Table3[[#This Row],[Helper]]&gt;191,"Gold",IF(Table3[[#This Row],[Helper]]&gt;171,"Silver",IF(Table3[[#This Row],[Helper]]&gt;141,"Bronze","")))</f>
        <v/>
      </c>
    </row>
    <row r="725" spans="9:16" x14ac:dyDescent="0.25">
      <c r="I725" s="285">
        <f>Games!D52</f>
        <v>0</v>
      </c>
      <c r="J725" s="286" t="str">
        <f>Games!E52</f>
        <v/>
      </c>
      <c r="K725" s="287" t="str">
        <f t="shared" si="25"/>
        <v/>
      </c>
      <c r="L725" s="285" t="str">
        <f>IF(AND(Games!AN52=3,Games!AI52=2),"Team","")</f>
        <v/>
      </c>
      <c r="O725">
        <f>IF(Table3[[#This Row],[First Title]]="Started", (Table3[[#This Row],[Score]]+0)*2,Table3[[#This Row],[Score]]+0)</f>
        <v>0</v>
      </c>
      <c r="P725" s="2" t="str">
        <f>IF(Table3[[#This Row],[Helper]]&gt;191,"Gold",IF(Table3[[#This Row],[Helper]]&gt;171,"Silver",IF(Table3[[#This Row],[Helper]]&gt;141,"Bronze","")))</f>
        <v/>
      </c>
    </row>
    <row r="726" spans="9:16" x14ac:dyDescent="0.25">
      <c r="I726" s="285">
        <f>Games!D53</f>
        <v>0</v>
      </c>
      <c r="J726" s="286" t="str">
        <f>Games!E53</f>
        <v/>
      </c>
      <c r="K726" s="287" t="str">
        <f t="shared" si="25"/>
        <v/>
      </c>
      <c r="L726" s="285" t="str">
        <f>IF(AND(Games!AN53=3,Games!AI53=2),"Team","")</f>
        <v/>
      </c>
      <c r="O726">
        <f>IF(Table3[[#This Row],[First Title]]="Started", (Table3[[#This Row],[Score]]+0)*2,Table3[[#This Row],[Score]]+0)</f>
        <v>0</v>
      </c>
      <c r="P726" s="2" t="str">
        <f>IF(Table3[[#This Row],[Helper]]&gt;191,"Gold",IF(Table3[[#This Row],[Helper]]&gt;171,"Silver",IF(Table3[[#This Row],[Helper]]&gt;141,"Bronze","")))</f>
        <v/>
      </c>
    </row>
    <row r="727" spans="9:16" x14ac:dyDescent="0.25">
      <c r="I727" s="285">
        <f>Games!D54</f>
        <v>0</v>
      </c>
      <c r="J727" s="286" t="str">
        <f>Games!E54</f>
        <v/>
      </c>
      <c r="K727" s="287" t="str">
        <f t="shared" si="25"/>
        <v/>
      </c>
      <c r="L727" s="285" t="str">
        <f>IF(AND(Games!AN54=3,Games!AI54=2),"Team","")</f>
        <v/>
      </c>
      <c r="O727">
        <f>IF(Table3[[#This Row],[First Title]]="Started", (Table3[[#This Row],[Score]]+0)*2,Table3[[#This Row],[Score]]+0)</f>
        <v>0</v>
      </c>
      <c r="P727" s="2" t="str">
        <f>IF(Table3[[#This Row],[Helper]]&gt;191,"Gold",IF(Table3[[#This Row],[Helper]]&gt;171,"Silver",IF(Table3[[#This Row],[Helper]]&gt;141,"Bronze","")))</f>
        <v/>
      </c>
    </row>
    <row r="728" spans="9:16" x14ac:dyDescent="0.25">
      <c r="I728" s="285">
        <f>Games!D55</f>
        <v>0</v>
      </c>
      <c r="J728" s="286" t="str">
        <f>Games!E55</f>
        <v/>
      </c>
      <c r="K728" s="287" t="str">
        <f t="shared" si="25"/>
        <v/>
      </c>
      <c r="L728" s="285" t="str">
        <f>IF(AND(Games!AN55=3,Games!AI55=2),"Team","")</f>
        <v/>
      </c>
      <c r="O728">
        <f>IF(Table3[[#This Row],[First Title]]="Started", (Table3[[#This Row],[Score]]+0)*2,Table3[[#This Row],[Score]]+0)</f>
        <v>0</v>
      </c>
      <c r="P728" s="2" t="str">
        <f>IF(Table3[[#This Row],[Helper]]&gt;191,"Gold",IF(Table3[[#This Row],[Helper]]&gt;171,"Silver",IF(Table3[[#This Row],[Helper]]&gt;141,"Bronze","")))</f>
        <v/>
      </c>
    </row>
    <row r="729" spans="9:16" x14ac:dyDescent="0.25">
      <c r="I729" s="285">
        <f>Games!D56</f>
        <v>0</v>
      </c>
      <c r="J729" s="286" t="str">
        <f>Games!E56</f>
        <v/>
      </c>
      <c r="K729" s="287" t="str">
        <f t="shared" si="25"/>
        <v/>
      </c>
      <c r="L729" s="285" t="str">
        <f>IF(AND(Games!AN56=3,Games!AI56=2),"Team","")</f>
        <v/>
      </c>
      <c r="O729">
        <f>IF(Table3[[#This Row],[First Title]]="Started", (Table3[[#This Row],[Score]]+0)*2,Table3[[#This Row],[Score]]+0)</f>
        <v>0</v>
      </c>
      <c r="P729" s="2" t="str">
        <f>IF(Table3[[#This Row],[Helper]]&gt;191,"Gold",IF(Table3[[#This Row],[Helper]]&gt;171,"Silver",IF(Table3[[#This Row],[Helper]]&gt;141,"Bronze","")))</f>
        <v/>
      </c>
    </row>
    <row r="730" spans="9:16" x14ac:dyDescent="0.25">
      <c r="I730" s="285">
        <f>Games!D66</f>
        <v>0</v>
      </c>
      <c r="J730" s="286" t="str">
        <f>Games!E66</f>
        <v/>
      </c>
      <c r="K730" s="287" t="str">
        <f t="shared" ref="K730:K761" si="26">TrialDateDay2</f>
        <v/>
      </c>
      <c r="L730" s="285" t="str">
        <f>IF(AND(Games!AN66=3,Games!AI66=2),"Team","")</f>
        <v/>
      </c>
      <c r="O730">
        <f>IF(Table3[[#This Row],[First Title]]="Started", (Table3[[#This Row],[Score]]+0)*2,Table3[[#This Row],[Score]]+0)</f>
        <v>0</v>
      </c>
      <c r="P730" s="2" t="str">
        <f>IF(Table3[[#This Row],[Helper]]&gt;191,"Gold",IF(Table3[[#This Row],[Helper]]&gt;171,"Silver",IF(Table3[[#This Row],[Helper]]&gt;141,"Bronze","")))</f>
        <v/>
      </c>
    </row>
    <row r="731" spans="9:16" x14ac:dyDescent="0.25">
      <c r="I731" s="285">
        <f>Games!D67</f>
        <v>0</v>
      </c>
      <c r="J731" s="286" t="str">
        <f>Games!E67</f>
        <v/>
      </c>
      <c r="K731" s="287" t="str">
        <f t="shared" si="26"/>
        <v/>
      </c>
      <c r="L731" s="285" t="str">
        <f>IF(AND(Games!AN67=3,Games!AI67=2),"Team","")</f>
        <v/>
      </c>
      <c r="O731">
        <f>IF(Table3[[#This Row],[First Title]]="Started", (Table3[[#This Row],[Score]]+0)*2,Table3[[#This Row],[Score]]+0)</f>
        <v>0</v>
      </c>
      <c r="P731" s="2" t="str">
        <f>IF(Table3[[#This Row],[Helper]]&gt;191,"Gold",IF(Table3[[#This Row],[Helper]]&gt;171,"Silver",IF(Table3[[#This Row],[Helper]]&gt;141,"Bronze","")))</f>
        <v/>
      </c>
    </row>
    <row r="732" spans="9:16" x14ac:dyDescent="0.25">
      <c r="I732" s="285">
        <f>Games!D68</f>
        <v>0</v>
      </c>
      <c r="J732" s="286" t="str">
        <f>Games!E68</f>
        <v/>
      </c>
      <c r="K732" s="287" t="str">
        <f t="shared" si="26"/>
        <v/>
      </c>
      <c r="L732" s="285" t="str">
        <f>IF(AND(Games!AN68=3,Games!AI68=2),"Team","")</f>
        <v/>
      </c>
      <c r="O732">
        <f>IF(Table3[[#This Row],[First Title]]="Started", (Table3[[#This Row],[Score]]+0)*2,Table3[[#This Row],[Score]]+0)</f>
        <v>0</v>
      </c>
      <c r="P732" s="2" t="str">
        <f>IF(Table3[[#This Row],[Helper]]&gt;191,"Gold",IF(Table3[[#This Row],[Helper]]&gt;171,"Silver",IF(Table3[[#This Row],[Helper]]&gt;141,"Bronze","")))</f>
        <v/>
      </c>
    </row>
    <row r="733" spans="9:16" x14ac:dyDescent="0.25">
      <c r="I733" s="285">
        <f>Games!D69</f>
        <v>0</v>
      </c>
      <c r="J733" s="286" t="str">
        <f>Games!E69</f>
        <v/>
      </c>
      <c r="K733" s="287" t="str">
        <f t="shared" si="26"/>
        <v/>
      </c>
      <c r="L733" s="285" t="str">
        <f>IF(AND(Games!AN69=3,Games!AI69=2),"Team","")</f>
        <v/>
      </c>
      <c r="O733">
        <f>IF(Table3[[#This Row],[First Title]]="Started", (Table3[[#This Row],[Score]]+0)*2,Table3[[#This Row],[Score]]+0)</f>
        <v>0</v>
      </c>
      <c r="P733" s="2" t="str">
        <f>IF(Table3[[#This Row],[Helper]]&gt;191,"Gold",IF(Table3[[#This Row],[Helper]]&gt;171,"Silver",IF(Table3[[#This Row],[Helper]]&gt;141,"Bronze","")))</f>
        <v/>
      </c>
    </row>
    <row r="734" spans="9:16" x14ac:dyDescent="0.25">
      <c r="I734" s="285">
        <f>Games!D70</f>
        <v>0</v>
      </c>
      <c r="J734" s="286" t="str">
        <f>Games!E70</f>
        <v/>
      </c>
      <c r="K734" s="287" t="str">
        <f t="shared" si="26"/>
        <v/>
      </c>
      <c r="L734" s="285" t="str">
        <f>IF(AND(Games!AN70=3,Games!AI70=2),"Team","")</f>
        <v/>
      </c>
      <c r="O734">
        <f>IF(Table3[[#This Row],[First Title]]="Started", (Table3[[#This Row],[Score]]+0)*2,Table3[[#This Row],[Score]]+0)</f>
        <v>0</v>
      </c>
      <c r="P734" s="2" t="str">
        <f>IF(Table3[[#This Row],[Helper]]&gt;191,"Gold",IF(Table3[[#This Row],[Helper]]&gt;171,"Silver",IF(Table3[[#This Row],[Helper]]&gt;141,"Bronze","")))</f>
        <v/>
      </c>
    </row>
    <row r="735" spans="9:16" x14ac:dyDescent="0.25">
      <c r="I735" s="285">
        <f>Games!D71</f>
        <v>0</v>
      </c>
      <c r="J735" s="286" t="str">
        <f>Games!E71</f>
        <v/>
      </c>
      <c r="K735" s="287" t="str">
        <f t="shared" si="26"/>
        <v/>
      </c>
      <c r="L735" s="285" t="str">
        <f>IF(AND(Games!AN71=3,Games!AI71=2),"Team","")</f>
        <v/>
      </c>
      <c r="O735">
        <f>IF(Table3[[#This Row],[First Title]]="Started", (Table3[[#This Row],[Score]]+0)*2,Table3[[#This Row],[Score]]+0)</f>
        <v>0</v>
      </c>
      <c r="P735" s="2" t="str">
        <f>IF(Table3[[#This Row],[Helper]]&gt;191,"Gold",IF(Table3[[#This Row],[Helper]]&gt;171,"Silver",IF(Table3[[#This Row],[Helper]]&gt;141,"Bronze","")))</f>
        <v/>
      </c>
    </row>
    <row r="736" spans="9:16" x14ac:dyDescent="0.25">
      <c r="I736" s="285">
        <f>Games!D72</f>
        <v>0</v>
      </c>
      <c r="J736" s="286" t="str">
        <f>Games!E72</f>
        <v/>
      </c>
      <c r="K736" s="287" t="str">
        <f t="shared" si="26"/>
        <v/>
      </c>
      <c r="L736" s="285" t="str">
        <f>IF(AND(Games!AN72=3,Games!AI72=2),"Team","")</f>
        <v/>
      </c>
      <c r="O736">
        <f>IF(Table3[[#This Row],[First Title]]="Started", (Table3[[#This Row],[Score]]+0)*2,Table3[[#This Row],[Score]]+0)</f>
        <v>0</v>
      </c>
      <c r="P736" s="2" t="str">
        <f>IF(Table3[[#This Row],[Helper]]&gt;191,"Gold",IF(Table3[[#This Row],[Helper]]&gt;171,"Silver",IF(Table3[[#This Row],[Helper]]&gt;141,"Bronze","")))</f>
        <v/>
      </c>
    </row>
    <row r="737" spans="9:16" x14ac:dyDescent="0.25">
      <c r="I737" s="285">
        <f>Games!D73</f>
        <v>0</v>
      </c>
      <c r="J737" s="286" t="str">
        <f>Games!E73</f>
        <v/>
      </c>
      <c r="K737" s="287" t="str">
        <f t="shared" si="26"/>
        <v/>
      </c>
      <c r="L737" s="285" t="str">
        <f>IF(AND(Games!AN73=3,Games!AI73=2),"Team","")</f>
        <v/>
      </c>
      <c r="O737">
        <f>IF(Table3[[#This Row],[First Title]]="Started", (Table3[[#This Row],[Score]]+0)*2,Table3[[#This Row],[Score]]+0)</f>
        <v>0</v>
      </c>
      <c r="P737" s="2" t="str">
        <f>IF(Table3[[#This Row],[Helper]]&gt;191,"Gold",IF(Table3[[#This Row],[Helper]]&gt;171,"Silver",IF(Table3[[#This Row],[Helper]]&gt;141,"Bronze","")))</f>
        <v/>
      </c>
    </row>
    <row r="738" spans="9:16" x14ac:dyDescent="0.25">
      <c r="I738" s="285">
        <f>Games!D74</f>
        <v>0</v>
      </c>
      <c r="J738" s="286" t="str">
        <f>Games!E74</f>
        <v/>
      </c>
      <c r="K738" s="287" t="str">
        <f t="shared" si="26"/>
        <v/>
      </c>
      <c r="L738" s="285" t="str">
        <f>IF(AND(Games!AN74=3,Games!AI74=2),"Team","")</f>
        <v/>
      </c>
      <c r="O738">
        <f>IF(Table3[[#This Row],[First Title]]="Started", (Table3[[#This Row],[Score]]+0)*2,Table3[[#This Row],[Score]]+0)</f>
        <v>0</v>
      </c>
      <c r="P738" s="2" t="str">
        <f>IF(Table3[[#This Row],[Helper]]&gt;191,"Gold",IF(Table3[[#This Row],[Helper]]&gt;171,"Silver",IF(Table3[[#This Row],[Helper]]&gt;141,"Bronze","")))</f>
        <v/>
      </c>
    </row>
    <row r="739" spans="9:16" x14ac:dyDescent="0.25">
      <c r="I739" s="285">
        <f>Games!D75</f>
        <v>0</v>
      </c>
      <c r="J739" s="286" t="str">
        <f>Games!E75</f>
        <v/>
      </c>
      <c r="K739" s="287" t="str">
        <f t="shared" si="26"/>
        <v/>
      </c>
      <c r="L739" s="285" t="str">
        <f>IF(AND(Games!AN75=3,Games!AI75=2),"Team","")</f>
        <v/>
      </c>
      <c r="O739">
        <f>IF(Table3[[#This Row],[First Title]]="Started", (Table3[[#This Row],[Score]]+0)*2,Table3[[#This Row],[Score]]+0)</f>
        <v>0</v>
      </c>
      <c r="P739" s="2" t="str">
        <f>IF(Table3[[#This Row],[Helper]]&gt;191,"Gold",IF(Table3[[#This Row],[Helper]]&gt;171,"Silver",IF(Table3[[#This Row],[Helper]]&gt;141,"Bronze","")))</f>
        <v/>
      </c>
    </row>
    <row r="740" spans="9:16" x14ac:dyDescent="0.25">
      <c r="I740" s="285">
        <f>Games!D76</f>
        <v>0</v>
      </c>
      <c r="J740" s="286" t="str">
        <f>Games!E76</f>
        <v/>
      </c>
      <c r="K740" s="287" t="str">
        <f t="shared" si="26"/>
        <v/>
      </c>
      <c r="L740" s="285" t="str">
        <f>IF(AND(Games!AN76=3,Games!AI76=2),"Team","")</f>
        <v/>
      </c>
      <c r="O740">
        <f>IF(Table3[[#This Row],[First Title]]="Started", (Table3[[#This Row],[Score]]+0)*2,Table3[[#This Row],[Score]]+0)</f>
        <v>0</v>
      </c>
      <c r="P740" s="2" t="str">
        <f>IF(Table3[[#This Row],[Helper]]&gt;191,"Gold",IF(Table3[[#This Row],[Helper]]&gt;171,"Silver",IF(Table3[[#This Row],[Helper]]&gt;141,"Bronze","")))</f>
        <v/>
      </c>
    </row>
    <row r="741" spans="9:16" x14ac:dyDescent="0.25">
      <c r="I741" s="285">
        <f>Games!D77</f>
        <v>0</v>
      </c>
      <c r="J741" s="286" t="str">
        <f>Games!E77</f>
        <v/>
      </c>
      <c r="K741" s="287" t="str">
        <f t="shared" si="26"/>
        <v/>
      </c>
      <c r="L741" s="285" t="str">
        <f>IF(AND(Games!AN77=3,Games!AI77=2),"Team","")</f>
        <v/>
      </c>
      <c r="O741">
        <f>IF(Table3[[#This Row],[First Title]]="Started", (Table3[[#This Row],[Score]]+0)*2,Table3[[#This Row],[Score]]+0)</f>
        <v>0</v>
      </c>
      <c r="P741" s="2" t="str">
        <f>IF(Table3[[#This Row],[Helper]]&gt;191,"Gold",IF(Table3[[#This Row],[Helper]]&gt;171,"Silver",IF(Table3[[#This Row],[Helper]]&gt;141,"Bronze","")))</f>
        <v/>
      </c>
    </row>
    <row r="742" spans="9:16" x14ac:dyDescent="0.25">
      <c r="I742" s="285">
        <f>Games!D78</f>
        <v>0</v>
      </c>
      <c r="J742" s="286" t="str">
        <f>Games!E78</f>
        <v/>
      </c>
      <c r="K742" s="287" t="str">
        <f t="shared" si="26"/>
        <v/>
      </c>
      <c r="L742" s="285" t="str">
        <f>IF(AND(Games!AN78=3,Games!AI78=2),"Team","")</f>
        <v/>
      </c>
      <c r="O742">
        <f>IF(Table3[[#This Row],[First Title]]="Started", (Table3[[#This Row],[Score]]+0)*2,Table3[[#This Row],[Score]]+0)</f>
        <v>0</v>
      </c>
      <c r="P742" s="2" t="str">
        <f>IF(Table3[[#This Row],[Helper]]&gt;191,"Gold",IF(Table3[[#This Row],[Helper]]&gt;171,"Silver",IF(Table3[[#This Row],[Helper]]&gt;141,"Bronze","")))</f>
        <v/>
      </c>
    </row>
    <row r="743" spans="9:16" x14ac:dyDescent="0.25">
      <c r="I743" s="285">
        <f>Games!D79</f>
        <v>0</v>
      </c>
      <c r="J743" s="286" t="str">
        <f>Games!E79</f>
        <v/>
      </c>
      <c r="K743" s="287" t="str">
        <f t="shared" si="26"/>
        <v/>
      </c>
      <c r="L743" s="285" t="str">
        <f>IF(AND(Games!AN79=3,Games!AI79=2),"Team","")</f>
        <v/>
      </c>
      <c r="O743">
        <f>IF(Table3[[#This Row],[First Title]]="Started", (Table3[[#This Row],[Score]]+0)*2,Table3[[#This Row],[Score]]+0)</f>
        <v>0</v>
      </c>
      <c r="P743" s="2" t="str">
        <f>IF(Table3[[#This Row],[Helper]]&gt;191,"Gold",IF(Table3[[#This Row],[Helper]]&gt;171,"Silver",IF(Table3[[#This Row],[Helper]]&gt;141,"Bronze","")))</f>
        <v/>
      </c>
    </row>
    <row r="744" spans="9:16" x14ac:dyDescent="0.25">
      <c r="I744" s="285">
        <f>Games!D80</f>
        <v>0</v>
      </c>
      <c r="J744" s="286" t="str">
        <f>Games!E80</f>
        <v/>
      </c>
      <c r="K744" s="287" t="str">
        <f t="shared" si="26"/>
        <v/>
      </c>
      <c r="L744" s="285" t="str">
        <f>IF(AND(Games!AN80=3,Games!AI80=2),"Team","")</f>
        <v/>
      </c>
      <c r="O744">
        <f>IF(Table3[[#This Row],[First Title]]="Started", (Table3[[#This Row],[Score]]+0)*2,Table3[[#This Row],[Score]]+0)</f>
        <v>0</v>
      </c>
      <c r="P744" s="2" t="str">
        <f>IF(Table3[[#This Row],[Helper]]&gt;191,"Gold",IF(Table3[[#This Row],[Helper]]&gt;171,"Silver",IF(Table3[[#This Row],[Helper]]&gt;141,"Bronze","")))</f>
        <v/>
      </c>
    </row>
    <row r="745" spans="9:16" x14ac:dyDescent="0.25">
      <c r="I745" s="285">
        <f>Games!D81</f>
        <v>0</v>
      </c>
      <c r="J745" s="286" t="str">
        <f>Games!E81</f>
        <v/>
      </c>
      <c r="K745" s="287" t="str">
        <f t="shared" si="26"/>
        <v/>
      </c>
      <c r="L745" s="285" t="str">
        <f>IF(AND(Games!AN81=3,Games!AI81=2),"Team","")</f>
        <v/>
      </c>
      <c r="O745">
        <f>IF(Table3[[#This Row],[First Title]]="Started", (Table3[[#This Row],[Score]]+0)*2,Table3[[#This Row],[Score]]+0)</f>
        <v>0</v>
      </c>
      <c r="P745" s="2" t="str">
        <f>IF(Table3[[#This Row],[Helper]]&gt;191,"Gold",IF(Table3[[#This Row],[Helper]]&gt;171,"Silver",IF(Table3[[#This Row],[Helper]]&gt;141,"Bronze","")))</f>
        <v/>
      </c>
    </row>
    <row r="746" spans="9:16" x14ac:dyDescent="0.25">
      <c r="I746" s="285">
        <f>Games!D82</f>
        <v>0</v>
      </c>
      <c r="J746" s="286" t="str">
        <f>Games!E82</f>
        <v/>
      </c>
      <c r="K746" s="287" t="str">
        <f t="shared" si="26"/>
        <v/>
      </c>
      <c r="L746" s="285" t="str">
        <f>IF(AND(Games!AN82=3,Games!AI82=2),"Team","")</f>
        <v/>
      </c>
      <c r="O746">
        <f>IF(Table3[[#This Row],[First Title]]="Started", (Table3[[#This Row],[Score]]+0)*2,Table3[[#This Row],[Score]]+0)</f>
        <v>0</v>
      </c>
      <c r="P746" s="2" t="str">
        <f>IF(Table3[[#This Row],[Helper]]&gt;191,"Gold",IF(Table3[[#This Row],[Helper]]&gt;171,"Silver",IF(Table3[[#This Row],[Helper]]&gt;141,"Bronze","")))</f>
        <v/>
      </c>
    </row>
    <row r="747" spans="9:16" x14ac:dyDescent="0.25">
      <c r="I747" s="285">
        <f>Games!D83</f>
        <v>0</v>
      </c>
      <c r="J747" s="286" t="str">
        <f>Games!E83</f>
        <v/>
      </c>
      <c r="K747" s="287" t="str">
        <f t="shared" si="26"/>
        <v/>
      </c>
      <c r="L747" s="285" t="str">
        <f>IF(AND(Games!AN83=3,Games!AI83=2),"Team","")</f>
        <v/>
      </c>
      <c r="O747">
        <f>IF(Table3[[#This Row],[First Title]]="Started", (Table3[[#This Row],[Score]]+0)*2,Table3[[#This Row],[Score]]+0)</f>
        <v>0</v>
      </c>
      <c r="P747" s="2" t="str">
        <f>IF(Table3[[#This Row],[Helper]]&gt;191,"Gold",IF(Table3[[#This Row],[Helper]]&gt;171,"Silver",IF(Table3[[#This Row],[Helper]]&gt;141,"Bronze","")))</f>
        <v/>
      </c>
    </row>
    <row r="748" spans="9:16" x14ac:dyDescent="0.25">
      <c r="I748" s="285">
        <f>Games!D84</f>
        <v>0</v>
      </c>
      <c r="J748" s="286" t="str">
        <f>Games!E84</f>
        <v/>
      </c>
      <c r="K748" s="287" t="str">
        <f t="shared" si="26"/>
        <v/>
      </c>
      <c r="L748" s="285" t="str">
        <f>IF(AND(Games!AN84=3,Games!AI84=2),"Team","")</f>
        <v/>
      </c>
      <c r="O748">
        <f>IF(Table3[[#This Row],[First Title]]="Started", (Table3[[#This Row],[Score]]+0)*2,Table3[[#This Row],[Score]]+0)</f>
        <v>0</v>
      </c>
      <c r="P748" s="2" t="str">
        <f>IF(Table3[[#This Row],[Helper]]&gt;191,"Gold",IF(Table3[[#This Row],[Helper]]&gt;171,"Silver",IF(Table3[[#This Row],[Helper]]&gt;141,"Bronze","")))</f>
        <v/>
      </c>
    </row>
    <row r="749" spans="9:16" x14ac:dyDescent="0.25">
      <c r="I749" s="285">
        <f>Games!D85</f>
        <v>0</v>
      </c>
      <c r="J749" s="286" t="str">
        <f>Games!E85</f>
        <v/>
      </c>
      <c r="K749" s="287" t="str">
        <f t="shared" si="26"/>
        <v/>
      </c>
      <c r="L749" s="285" t="str">
        <f>IF(AND(Games!AN85=3,Games!AI85=2),"Team","")</f>
        <v/>
      </c>
      <c r="O749">
        <f>IF(Table3[[#This Row],[First Title]]="Started", (Table3[[#This Row],[Score]]+0)*2,Table3[[#This Row],[Score]]+0)</f>
        <v>0</v>
      </c>
      <c r="P749" s="2" t="str">
        <f>IF(Table3[[#This Row],[Helper]]&gt;191,"Gold",IF(Table3[[#This Row],[Helper]]&gt;171,"Silver",IF(Table3[[#This Row],[Helper]]&gt;141,"Bronze","")))</f>
        <v/>
      </c>
    </row>
    <row r="750" spans="9:16" x14ac:dyDescent="0.25">
      <c r="I750" s="285">
        <f>Games!D86</f>
        <v>0</v>
      </c>
      <c r="J750" s="286" t="str">
        <f>Games!E86</f>
        <v/>
      </c>
      <c r="K750" s="287" t="str">
        <f t="shared" si="26"/>
        <v/>
      </c>
      <c r="L750" s="285" t="str">
        <f>IF(AND(Games!AN86=3,Games!AI86=2),"Team","")</f>
        <v/>
      </c>
      <c r="O750">
        <f>IF(Table3[[#This Row],[First Title]]="Started", (Table3[[#This Row],[Score]]+0)*2,Table3[[#This Row],[Score]]+0)</f>
        <v>0</v>
      </c>
      <c r="P750" s="2" t="str">
        <f>IF(Table3[[#This Row],[Helper]]&gt;191,"Gold",IF(Table3[[#This Row],[Helper]]&gt;171,"Silver",IF(Table3[[#This Row],[Helper]]&gt;141,"Bronze","")))</f>
        <v/>
      </c>
    </row>
    <row r="751" spans="9:16" x14ac:dyDescent="0.25">
      <c r="I751" s="285">
        <f>Games!D87</f>
        <v>0</v>
      </c>
      <c r="J751" s="286" t="str">
        <f>Games!E87</f>
        <v/>
      </c>
      <c r="K751" s="287" t="str">
        <f t="shared" si="26"/>
        <v/>
      </c>
      <c r="L751" s="285" t="str">
        <f>IF(AND(Games!AN87=3,Games!AI87=2),"Team","")</f>
        <v/>
      </c>
      <c r="O751">
        <f>IF(Table3[[#This Row],[First Title]]="Started", (Table3[[#This Row],[Score]]+0)*2,Table3[[#This Row],[Score]]+0)</f>
        <v>0</v>
      </c>
      <c r="P751" s="2" t="str">
        <f>IF(Table3[[#This Row],[Helper]]&gt;191,"Gold",IF(Table3[[#This Row],[Helper]]&gt;171,"Silver",IF(Table3[[#This Row],[Helper]]&gt;141,"Bronze","")))</f>
        <v/>
      </c>
    </row>
    <row r="752" spans="9:16" x14ac:dyDescent="0.25">
      <c r="I752" s="285">
        <f>Games!D88</f>
        <v>0</v>
      </c>
      <c r="J752" s="286" t="str">
        <f>Games!E88</f>
        <v/>
      </c>
      <c r="K752" s="287" t="str">
        <f t="shared" si="26"/>
        <v/>
      </c>
      <c r="L752" s="285" t="str">
        <f>IF(AND(Games!AN88=3,Games!AI88=2),"Team","")</f>
        <v/>
      </c>
      <c r="O752">
        <f>IF(Table3[[#This Row],[First Title]]="Started", (Table3[[#This Row],[Score]]+0)*2,Table3[[#This Row],[Score]]+0)</f>
        <v>0</v>
      </c>
      <c r="P752" s="2" t="str">
        <f>IF(Table3[[#This Row],[Helper]]&gt;191,"Gold",IF(Table3[[#This Row],[Helper]]&gt;171,"Silver",IF(Table3[[#This Row],[Helper]]&gt;141,"Bronze","")))</f>
        <v/>
      </c>
    </row>
    <row r="753" spans="9:16" x14ac:dyDescent="0.25">
      <c r="I753" s="285">
        <f>Games!D89</f>
        <v>0</v>
      </c>
      <c r="J753" s="286" t="str">
        <f>Games!E89</f>
        <v/>
      </c>
      <c r="K753" s="287" t="str">
        <f t="shared" si="26"/>
        <v/>
      </c>
      <c r="L753" s="285" t="str">
        <f>IF(AND(Games!AN89=3,Games!AI89=2),"Team","")</f>
        <v/>
      </c>
      <c r="O753">
        <f>IF(Table3[[#This Row],[First Title]]="Started", (Table3[[#This Row],[Score]]+0)*2,Table3[[#This Row],[Score]]+0)</f>
        <v>0</v>
      </c>
      <c r="P753" s="2" t="str">
        <f>IF(Table3[[#This Row],[Helper]]&gt;191,"Gold",IF(Table3[[#This Row],[Helper]]&gt;171,"Silver",IF(Table3[[#This Row],[Helper]]&gt;141,"Bronze","")))</f>
        <v/>
      </c>
    </row>
    <row r="754" spans="9:16" x14ac:dyDescent="0.25">
      <c r="I754" s="285">
        <f>Games!D90</f>
        <v>0</v>
      </c>
      <c r="J754" s="286" t="str">
        <f>Games!E90</f>
        <v/>
      </c>
      <c r="K754" s="287" t="str">
        <f t="shared" si="26"/>
        <v/>
      </c>
      <c r="L754" s="285" t="str">
        <f>IF(AND(Games!AN90=3,Games!AI90=2),"Team","")</f>
        <v/>
      </c>
      <c r="O754">
        <f>IF(Table3[[#This Row],[First Title]]="Started", (Table3[[#This Row],[Score]]+0)*2,Table3[[#This Row],[Score]]+0)</f>
        <v>0</v>
      </c>
      <c r="P754" s="2" t="str">
        <f>IF(Table3[[#This Row],[Helper]]&gt;191,"Gold",IF(Table3[[#This Row],[Helper]]&gt;171,"Silver",IF(Table3[[#This Row],[Helper]]&gt;141,"Bronze","")))</f>
        <v/>
      </c>
    </row>
    <row r="755" spans="9:16" x14ac:dyDescent="0.25">
      <c r="I755" s="285">
        <f>Games!D91</f>
        <v>0</v>
      </c>
      <c r="J755" s="286" t="str">
        <f>Games!E91</f>
        <v/>
      </c>
      <c r="K755" s="287" t="str">
        <f t="shared" si="26"/>
        <v/>
      </c>
      <c r="L755" s="285" t="str">
        <f>IF(AND(Games!AN91=3,Games!AI91=2),"Team","")</f>
        <v/>
      </c>
      <c r="O755">
        <f>IF(Table3[[#This Row],[First Title]]="Started", (Table3[[#This Row],[Score]]+0)*2,Table3[[#This Row],[Score]]+0)</f>
        <v>0</v>
      </c>
      <c r="P755" s="2" t="str">
        <f>IF(Table3[[#This Row],[Helper]]&gt;191,"Gold",IF(Table3[[#This Row],[Helper]]&gt;171,"Silver",IF(Table3[[#This Row],[Helper]]&gt;141,"Bronze","")))</f>
        <v/>
      </c>
    </row>
    <row r="756" spans="9:16" x14ac:dyDescent="0.25">
      <c r="I756" s="285">
        <f>Games!D92</f>
        <v>0</v>
      </c>
      <c r="J756" s="286" t="str">
        <f>Games!E92</f>
        <v/>
      </c>
      <c r="K756" s="287" t="str">
        <f t="shared" si="26"/>
        <v/>
      </c>
      <c r="L756" s="285" t="str">
        <f>IF(AND(Games!AN92=3,Games!AI92=2),"Team","")</f>
        <v/>
      </c>
      <c r="O756">
        <f>IF(Table3[[#This Row],[First Title]]="Started", (Table3[[#This Row],[Score]]+0)*2,Table3[[#This Row],[Score]]+0)</f>
        <v>0</v>
      </c>
      <c r="P756" s="2" t="str">
        <f>IF(Table3[[#This Row],[Helper]]&gt;191,"Gold",IF(Table3[[#This Row],[Helper]]&gt;171,"Silver",IF(Table3[[#This Row],[Helper]]&gt;141,"Bronze","")))</f>
        <v/>
      </c>
    </row>
    <row r="757" spans="9:16" x14ac:dyDescent="0.25">
      <c r="I757" s="285">
        <f>Games!D93</f>
        <v>0</v>
      </c>
      <c r="J757" s="286" t="str">
        <f>Games!E93</f>
        <v/>
      </c>
      <c r="K757" s="287" t="str">
        <f t="shared" si="26"/>
        <v/>
      </c>
      <c r="L757" s="285" t="str">
        <f>IF(AND(Games!AN93=3,Games!AI93=2),"Team","")</f>
        <v/>
      </c>
      <c r="O757">
        <f>IF(Table3[[#This Row],[First Title]]="Started", (Table3[[#This Row],[Score]]+0)*2,Table3[[#This Row],[Score]]+0)</f>
        <v>0</v>
      </c>
      <c r="P757" s="2" t="str">
        <f>IF(Table3[[#This Row],[Helper]]&gt;191,"Gold",IF(Table3[[#This Row],[Helper]]&gt;171,"Silver",IF(Table3[[#This Row],[Helper]]&gt;141,"Bronze","")))</f>
        <v/>
      </c>
    </row>
    <row r="758" spans="9:16" x14ac:dyDescent="0.25">
      <c r="I758" s="285">
        <f>Games!D94</f>
        <v>0</v>
      </c>
      <c r="J758" s="286" t="str">
        <f>Games!E94</f>
        <v/>
      </c>
      <c r="K758" s="287" t="str">
        <f t="shared" si="26"/>
        <v/>
      </c>
      <c r="L758" s="285" t="str">
        <f>IF(AND(Games!AN94=3,Games!AI94=2),"Team","")</f>
        <v/>
      </c>
      <c r="O758">
        <f>IF(Table3[[#This Row],[First Title]]="Started", (Table3[[#This Row],[Score]]+0)*2,Table3[[#This Row],[Score]]+0)</f>
        <v>0</v>
      </c>
      <c r="P758" s="2" t="str">
        <f>IF(Table3[[#This Row],[Helper]]&gt;191,"Gold",IF(Table3[[#This Row],[Helper]]&gt;171,"Silver",IF(Table3[[#This Row],[Helper]]&gt;141,"Bronze","")))</f>
        <v/>
      </c>
    </row>
    <row r="759" spans="9:16" x14ac:dyDescent="0.25">
      <c r="I759" s="285">
        <f>Games!D95</f>
        <v>0</v>
      </c>
      <c r="J759" s="286" t="str">
        <f>Games!E95</f>
        <v/>
      </c>
      <c r="K759" s="287" t="str">
        <f t="shared" si="26"/>
        <v/>
      </c>
      <c r="L759" s="285" t="str">
        <f>IF(AND(Games!AN95=3,Games!AI95=2),"Team","")</f>
        <v/>
      </c>
      <c r="O759">
        <f>IF(Table3[[#This Row],[First Title]]="Started", (Table3[[#This Row],[Score]]+0)*2,Table3[[#This Row],[Score]]+0)</f>
        <v>0</v>
      </c>
      <c r="P759" s="2" t="str">
        <f>IF(Table3[[#This Row],[Helper]]&gt;191,"Gold",IF(Table3[[#This Row],[Helper]]&gt;171,"Silver",IF(Table3[[#This Row],[Helper]]&gt;141,"Bronze","")))</f>
        <v/>
      </c>
    </row>
    <row r="760" spans="9:16" x14ac:dyDescent="0.25">
      <c r="I760" s="285">
        <f>Games!D96</f>
        <v>0</v>
      </c>
      <c r="J760" s="286" t="str">
        <f>Games!E96</f>
        <v/>
      </c>
      <c r="K760" s="287" t="str">
        <f t="shared" si="26"/>
        <v/>
      </c>
      <c r="L760" s="285" t="str">
        <f>IF(AND(Games!AN96=3,Games!AI96=2),"Team","")</f>
        <v/>
      </c>
      <c r="O760">
        <f>IF(Table3[[#This Row],[First Title]]="Started", (Table3[[#This Row],[Score]]+0)*2,Table3[[#This Row],[Score]]+0)</f>
        <v>0</v>
      </c>
      <c r="P760" s="2" t="str">
        <f>IF(Table3[[#This Row],[Helper]]&gt;191,"Gold",IF(Table3[[#This Row],[Helper]]&gt;171,"Silver",IF(Table3[[#This Row],[Helper]]&gt;141,"Bronze","")))</f>
        <v/>
      </c>
    </row>
    <row r="761" spans="9:16" x14ac:dyDescent="0.25">
      <c r="I761" s="285">
        <f>Games!D97</f>
        <v>0</v>
      </c>
      <c r="J761" s="286" t="str">
        <f>Games!E97</f>
        <v/>
      </c>
      <c r="K761" s="287" t="str">
        <f t="shared" si="26"/>
        <v/>
      </c>
      <c r="L761" s="285" t="str">
        <f>IF(AND(Games!AN97=3,Games!AI97=2),"Team","")</f>
        <v/>
      </c>
      <c r="O761">
        <f>IF(Table3[[#This Row],[First Title]]="Started", (Table3[[#This Row],[Score]]+0)*2,Table3[[#This Row],[Score]]+0)</f>
        <v>0</v>
      </c>
      <c r="P761" s="2" t="str">
        <f>IF(Table3[[#This Row],[Helper]]&gt;191,"Gold",IF(Table3[[#This Row],[Helper]]&gt;171,"Silver",IF(Table3[[#This Row],[Helper]]&gt;141,"Bronze","")))</f>
        <v/>
      </c>
    </row>
    <row r="762" spans="9:16" x14ac:dyDescent="0.25">
      <c r="I762" s="285">
        <f>Games!D98</f>
        <v>0</v>
      </c>
      <c r="J762" s="286" t="str">
        <f>Games!E98</f>
        <v/>
      </c>
      <c r="K762" s="287" t="str">
        <f t="shared" ref="K762:K779" si="27">TrialDateDay2</f>
        <v/>
      </c>
      <c r="L762" s="285" t="str">
        <f>IF(AND(Games!AN98=3,Games!AI98=2),"Team","")</f>
        <v/>
      </c>
      <c r="O762">
        <f>IF(Table3[[#This Row],[First Title]]="Started", (Table3[[#This Row],[Score]]+0)*2,Table3[[#This Row],[Score]]+0)</f>
        <v>0</v>
      </c>
      <c r="P762" s="2" t="str">
        <f>IF(Table3[[#This Row],[Helper]]&gt;191,"Gold",IF(Table3[[#This Row],[Helper]]&gt;171,"Silver",IF(Table3[[#This Row],[Helper]]&gt;141,"Bronze","")))</f>
        <v/>
      </c>
    </row>
    <row r="763" spans="9:16" x14ac:dyDescent="0.25">
      <c r="I763" s="285">
        <f>Games!D99</f>
        <v>0</v>
      </c>
      <c r="J763" s="286" t="str">
        <f>Games!E99</f>
        <v/>
      </c>
      <c r="K763" s="287" t="str">
        <f t="shared" si="27"/>
        <v/>
      </c>
      <c r="L763" s="285" t="str">
        <f>IF(AND(Games!AN99=3,Games!AI99=2),"Team","")</f>
        <v/>
      </c>
      <c r="O763">
        <f>IF(Table3[[#This Row],[First Title]]="Started", (Table3[[#This Row],[Score]]+0)*2,Table3[[#This Row],[Score]]+0)</f>
        <v>0</v>
      </c>
      <c r="P763" s="2" t="str">
        <f>IF(Table3[[#This Row],[Helper]]&gt;191,"Gold",IF(Table3[[#This Row],[Helper]]&gt;171,"Silver",IF(Table3[[#This Row],[Helper]]&gt;141,"Bronze","")))</f>
        <v/>
      </c>
    </row>
    <row r="764" spans="9:16" x14ac:dyDescent="0.25">
      <c r="I764" s="285">
        <f>Games!D100</f>
        <v>0</v>
      </c>
      <c r="J764" s="286" t="str">
        <f>Games!E100</f>
        <v/>
      </c>
      <c r="K764" s="287" t="str">
        <f t="shared" si="27"/>
        <v/>
      </c>
      <c r="L764" s="285" t="str">
        <f>IF(AND(Games!AN100=3,Games!AI100=2),"Team","")</f>
        <v/>
      </c>
      <c r="O764">
        <f>IF(Table3[[#This Row],[First Title]]="Started", (Table3[[#This Row],[Score]]+0)*2,Table3[[#This Row],[Score]]+0)</f>
        <v>0</v>
      </c>
      <c r="P764" s="2" t="str">
        <f>IF(Table3[[#This Row],[Helper]]&gt;191,"Gold",IF(Table3[[#This Row],[Helper]]&gt;171,"Silver",IF(Table3[[#This Row],[Helper]]&gt;141,"Bronze","")))</f>
        <v/>
      </c>
    </row>
    <row r="765" spans="9:16" x14ac:dyDescent="0.25">
      <c r="I765" s="285">
        <f>Games!D101</f>
        <v>0</v>
      </c>
      <c r="J765" s="286" t="str">
        <f>Games!E101</f>
        <v/>
      </c>
      <c r="K765" s="287" t="str">
        <f t="shared" si="27"/>
        <v/>
      </c>
      <c r="L765" s="285" t="str">
        <f>IF(AND(Games!AN101=3,Games!AI101=2),"Team","")</f>
        <v/>
      </c>
      <c r="O765">
        <f>IF(Table3[[#This Row],[First Title]]="Started", (Table3[[#This Row],[Score]]+0)*2,Table3[[#This Row],[Score]]+0)</f>
        <v>0</v>
      </c>
      <c r="P765" s="2" t="str">
        <f>IF(Table3[[#This Row],[Helper]]&gt;191,"Gold",IF(Table3[[#This Row],[Helper]]&gt;171,"Silver",IF(Table3[[#This Row],[Helper]]&gt;141,"Bronze","")))</f>
        <v/>
      </c>
    </row>
    <row r="766" spans="9:16" x14ac:dyDescent="0.25">
      <c r="I766" s="285">
        <f>Games!D102</f>
        <v>0</v>
      </c>
      <c r="J766" s="286" t="str">
        <f>Games!E102</f>
        <v/>
      </c>
      <c r="K766" s="287" t="str">
        <f t="shared" si="27"/>
        <v/>
      </c>
      <c r="L766" s="285" t="str">
        <f>IF(AND(Games!AN102=3,Games!AI102=2),"Team","")</f>
        <v/>
      </c>
      <c r="O766">
        <f>IF(Table3[[#This Row],[First Title]]="Started", (Table3[[#This Row],[Score]]+0)*2,Table3[[#This Row],[Score]]+0)</f>
        <v>0</v>
      </c>
      <c r="P766" s="2" t="str">
        <f>IF(Table3[[#This Row],[Helper]]&gt;191,"Gold",IF(Table3[[#This Row],[Helper]]&gt;171,"Silver",IF(Table3[[#This Row],[Helper]]&gt;141,"Bronze","")))</f>
        <v/>
      </c>
    </row>
    <row r="767" spans="9:16" x14ac:dyDescent="0.25">
      <c r="I767" s="285">
        <f>Games!D103</f>
        <v>0</v>
      </c>
      <c r="J767" s="286" t="str">
        <f>Games!E103</f>
        <v/>
      </c>
      <c r="K767" s="287" t="str">
        <f t="shared" si="27"/>
        <v/>
      </c>
      <c r="L767" s="285" t="str">
        <f>IF(AND(Games!AN103=3,Games!AI103=2),"Team","")</f>
        <v/>
      </c>
      <c r="O767">
        <f>IF(Table3[[#This Row],[First Title]]="Started", (Table3[[#This Row],[Score]]+0)*2,Table3[[#This Row],[Score]]+0)</f>
        <v>0</v>
      </c>
      <c r="P767" s="2" t="str">
        <f>IF(Table3[[#This Row],[Helper]]&gt;191,"Gold",IF(Table3[[#This Row],[Helper]]&gt;171,"Silver",IF(Table3[[#This Row],[Helper]]&gt;141,"Bronze","")))</f>
        <v/>
      </c>
    </row>
    <row r="768" spans="9:16" x14ac:dyDescent="0.25">
      <c r="I768" s="285">
        <f>Games!D104</f>
        <v>0</v>
      </c>
      <c r="J768" s="286" t="str">
        <f>Games!E104</f>
        <v/>
      </c>
      <c r="K768" s="287" t="str">
        <f t="shared" si="27"/>
        <v/>
      </c>
      <c r="L768" s="285" t="str">
        <f>IF(AND(Games!AN104=3,Games!AI104=2),"Team","")</f>
        <v/>
      </c>
      <c r="O768">
        <f>IF(Table3[[#This Row],[First Title]]="Started", (Table3[[#This Row],[Score]]+0)*2,Table3[[#This Row],[Score]]+0)</f>
        <v>0</v>
      </c>
      <c r="P768" s="2" t="str">
        <f>IF(Table3[[#This Row],[Helper]]&gt;191,"Gold",IF(Table3[[#This Row],[Helper]]&gt;171,"Silver",IF(Table3[[#This Row],[Helper]]&gt;141,"Bronze","")))</f>
        <v/>
      </c>
    </row>
    <row r="769" spans="9:16" x14ac:dyDescent="0.25">
      <c r="I769" s="285">
        <f>Games!D105</f>
        <v>0</v>
      </c>
      <c r="J769" s="286" t="str">
        <f>Games!E105</f>
        <v/>
      </c>
      <c r="K769" s="287" t="str">
        <f t="shared" si="27"/>
        <v/>
      </c>
      <c r="L769" s="285" t="str">
        <f>IF(AND(Games!AN105=3,Games!AI105=2),"Team","")</f>
        <v/>
      </c>
      <c r="O769">
        <f>IF(Table3[[#This Row],[First Title]]="Started", (Table3[[#This Row],[Score]]+0)*2,Table3[[#This Row],[Score]]+0)</f>
        <v>0</v>
      </c>
      <c r="P769" s="2" t="str">
        <f>IF(Table3[[#This Row],[Helper]]&gt;191,"Gold",IF(Table3[[#This Row],[Helper]]&gt;171,"Silver",IF(Table3[[#This Row],[Helper]]&gt;141,"Bronze","")))</f>
        <v/>
      </c>
    </row>
    <row r="770" spans="9:16" x14ac:dyDescent="0.25">
      <c r="I770" s="285">
        <f>Games!D106</f>
        <v>0</v>
      </c>
      <c r="J770" s="286" t="str">
        <f>Games!E106</f>
        <v/>
      </c>
      <c r="K770" s="287" t="str">
        <f t="shared" si="27"/>
        <v/>
      </c>
      <c r="L770" s="285" t="str">
        <f>IF(AND(Games!AN106=3,Games!AI106=2),"Team","")</f>
        <v/>
      </c>
      <c r="O770">
        <f>IF(Table3[[#This Row],[First Title]]="Started", (Table3[[#This Row],[Score]]+0)*2,Table3[[#This Row],[Score]]+0)</f>
        <v>0</v>
      </c>
      <c r="P770" s="2" t="str">
        <f>IF(Table3[[#This Row],[Helper]]&gt;191,"Gold",IF(Table3[[#This Row],[Helper]]&gt;171,"Silver",IF(Table3[[#This Row],[Helper]]&gt;141,"Bronze","")))</f>
        <v/>
      </c>
    </row>
    <row r="771" spans="9:16" x14ac:dyDescent="0.25">
      <c r="I771" s="285">
        <f>Games!D107</f>
        <v>0</v>
      </c>
      <c r="J771" s="286" t="str">
        <f>Games!E107</f>
        <v/>
      </c>
      <c r="K771" s="287" t="str">
        <f t="shared" si="27"/>
        <v/>
      </c>
      <c r="L771" s="285" t="str">
        <f>IF(AND(Games!AN107=3,Games!AI107=2),"Team","")</f>
        <v/>
      </c>
      <c r="O771">
        <f>IF(Table3[[#This Row],[First Title]]="Started", (Table3[[#This Row],[Score]]+0)*2,Table3[[#This Row],[Score]]+0)</f>
        <v>0</v>
      </c>
      <c r="P771" s="2" t="str">
        <f>IF(Table3[[#This Row],[Helper]]&gt;191,"Gold",IF(Table3[[#This Row],[Helper]]&gt;171,"Silver",IF(Table3[[#This Row],[Helper]]&gt;141,"Bronze","")))</f>
        <v/>
      </c>
    </row>
    <row r="772" spans="9:16" x14ac:dyDescent="0.25">
      <c r="I772" s="285">
        <f>Games!D108</f>
        <v>0</v>
      </c>
      <c r="J772" s="286" t="str">
        <f>Games!E108</f>
        <v/>
      </c>
      <c r="K772" s="287" t="str">
        <f t="shared" si="27"/>
        <v/>
      </c>
      <c r="L772" s="285" t="str">
        <f>IF(AND(Games!AN108=3,Games!AI108=2),"Team","")</f>
        <v/>
      </c>
      <c r="O772">
        <f>IF(Table3[[#This Row],[First Title]]="Started", (Table3[[#This Row],[Score]]+0)*2,Table3[[#This Row],[Score]]+0)</f>
        <v>0</v>
      </c>
      <c r="P772" s="2" t="str">
        <f>IF(Table3[[#This Row],[Helper]]&gt;191,"Gold",IF(Table3[[#This Row],[Helper]]&gt;171,"Silver",IF(Table3[[#This Row],[Helper]]&gt;141,"Bronze","")))</f>
        <v/>
      </c>
    </row>
    <row r="773" spans="9:16" x14ac:dyDescent="0.25">
      <c r="I773" s="285">
        <f>Games!D109</f>
        <v>0</v>
      </c>
      <c r="J773" s="286" t="str">
        <f>Games!E109</f>
        <v/>
      </c>
      <c r="K773" s="287" t="str">
        <f t="shared" si="27"/>
        <v/>
      </c>
      <c r="L773" s="285" t="str">
        <f>IF(AND(Games!AN109=3,Games!AI109=2),"Team","")</f>
        <v/>
      </c>
      <c r="O773">
        <f>IF(Table3[[#This Row],[First Title]]="Started", (Table3[[#This Row],[Score]]+0)*2,Table3[[#This Row],[Score]]+0)</f>
        <v>0</v>
      </c>
      <c r="P773" s="2" t="str">
        <f>IF(Table3[[#This Row],[Helper]]&gt;191,"Gold",IF(Table3[[#This Row],[Helper]]&gt;171,"Silver",IF(Table3[[#This Row],[Helper]]&gt;141,"Bronze","")))</f>
        <v/>
      </c>
    </row>
    <row r="774" spans="9:16" x14ac:dyDescent="0.25">
      <c r="I774" s="285">
        <f>Games!D110</f>
        <v>0</v>
      </c>
      <c r="J774" s="286" t="str">
        <f>Games!E110</f>
        <v/>
      </c>
      <c r="K774" s="287" t="str">
        <f t="shared" si="27"/>
        <v/>
      </c>
      <c r="L774" s="285" t="str">
        <f>IF(AND(Games!AN110=3,Games!AI110=2),"Team","")</f>
        <v/>
      </c>
      <c r="O774">
        <f>IF(Table3[[#This Row],[First Title]]="Started", (Table3[[#This Row],[Score]]+0)*2,Table3[[#This Row],[Score]]+0)</f>
        <v>0</v>
      </c>
      <c r="P774" s="2" t="str">
        <f>IF(Table3[[#This Row],[Helper]]&gt;191,"Gold",IF(Table3[[#This Row],[Helper]]&gt;171,"Silver",IF(Table3[[#This Row],[Helper]]&gt;141,"Bronze","")))</f>
        <v/>
      </c>
    </row>
    <row r="775" spans="9:16" x14ac:dyDescent="0.25">
      <c r="I775" s="285">
        <f>Games!D111</f>
        <v>0</v>
      </c>
      <c r="J775" s="286" t="str">
        <f>Games!E111</f>
        <v/>
      </c>
      <c r="K775" s="287" t="str">
        <f t="shared" si="27"/>
        <v/>
      </c>
      <c r="L775" s="285" t="str">
        <f>IF(AND(Games!AN111=3,Games!AI111=2),"Team","")</f>
        <v/>
      </c>
      <c r="O775">
        <f>IF(Table3[[#This Row],[First Title]]="Started", (Table3[[#This Row],[Score]]+0)*2,Table3[[#This Row],[Score]]+0)</f>
        <v>0</v>
      </c>
      <c r="P775" s="2" t="str">
        <f>IF(Table3[[#This Row],[Helper]]&gt;191,"Gold",IF(Table3[[#This Row],[Helper]]&gt;171,"Silver",IF(Table3[[#This Row],[Helper]]&gt;141,"Bronze","")))</f>
        <v/>
      </c>
    </row>
    <row r="776" spans="9:16" x14ac:dyDescent="0.25">
      <c r="I776" s="285">
        <f>Games!D112</f>
        <v>0</v>
      </c>
      <c r="J776" s="286" t="str">
        <f>Games!E112</f>
        <v/>
      </c>
      <c r="K776" s="287" t="str">
        <f t="shared" si="27"/>
        <v/>
      </c>
      <c r="L776" s="285" t="str">
        <f>IF(AND(Games!AN112=3,Games!AI112=2),"Team","")</f>
        <v/>
      </c>
      <c r="O776">
        <f>IF(Table3[[#This Row],[First Title]]="Started", (Table3[[#This Row],[Score]]+0)*2,Table3[[#This Row],[Score]]+0)</f>
        <v>0</v>
      </c>
      <c r="P776" s="2" t="str">
        <f>IF(Table3[[#This Row],[Helper]]&gt;191,"Gold",IF(Table3[[#This Row],[Helper]]&gt;171,"Silver",IF(Table3[[#This Row],[Helper]]&gt;141,"Bronze","")))</f>
        <v/>
      </c>
    </row>
    <row r="777" spans="9:16" x14ac:dyDescent="0.25">
      <c r="I777" s="285">
        <f>Games!D113</f>
        <v>0</v>
      </c>
      <c r="J777" s="286" t="str">
        <f>Games!E113</f>
        <v/>
      </c>
      <c r="K777" s="287" t="str">
        <f t="shared" si="27"/>
        <v/>
      </c>
      <c r="L777" s="285" t="str">
        <f>IF(AND(Games!AN113=3,Games!AI113=2),"Team","")</f>
        <v/>
      </c>
      <c r="O777">
        <f>IF(Table3[[#This Row],[First Title]]="Started", (Table3[[#This Row],[Score]]+0)*2,Table3[[#This Row],[Score]]+0)</f>
        <v>0</v>
      </c>
      <c r="P777" s="2" t="str">
        <f>IF(Table3[[#This Row],[Helper]]&gt;191,"Gold",IF(Table3[[#This Row],[Helper]]&gt;171,"Silver",IF(Table3[[#This Row],[Helper]]&gt;141,"Bronze","")))</f>
        <v/>
      </c>
    </row>
    <row r="778" spans="9:16" x14ac:dyDescent="0.25">
      <c r="I778" s="285">
        <f>Games!D114</f>
        <v>0</v>
      </c>
      <c r="J778" s="286" t="str">
        <f>Games!E114</f>
        <v/>
      </c>
      <c r="K778" s="287" t="str">
        <f t="shared" si="27"/>
        <v/>
      </c>
      <c r="L778" s="285" t="str">
        <f>IF(AND(Games!AN114=3,Games!AI114=2),"Team","")</f>
        <v/>
      </c>
      <c r="O778">
        <f>IF(Table3[[#This Row],[First Title]]="Started", (Table3[[#This Row],[Score]]+0)*2,Table3[[#This Row],[Score]]+0)</f>
        <v>0</v>
      </c>
      <c r="P778" s="2" t="str">
        <f>IF(Table3[[#This Row],[Helper]]&gt;191,"Gold",IF(Table3[[#This Row],[Helper]]&gt;171,"Silver",IF(Table3[[#This Row],[Helper]]&gt;141,"Bronze","")))</f>
        <v/>
      </c>
    </row>
    <row r="779" spans="9:16" x14ac:dyDescent="0.25">
      <c r="I779" s="285">
        <f>Games!D115</f>
        <v>0</v>
      </c>
      <c r="J779" s="286" t="str">
        <f>Games!E115</f>
        <v/>
      </c>
      <c r="K779" s="287" t="str">
        <f t="shared" si="27"/>
        <v/>
      </c>
      <c r="L779" s="285" t="str">
        <f>IF(AND(Games!AN115=3,Games!AI115=2),"Team","")</f>
        <v/>
      </c>
      <c r="O779">
        <f>IF(Table3[[#This Row],[First Title]]="Started", (Table3[[#This Row],[Score]]+0)*2,Table3[[#This Row],[Score]]+0)</f>
        <v>0</v>
      </c>
      <c r="P779" s="2" t="str">
        <f>IF(Table3[[#This Row],[Helper]]&gt;191,"Gold",IF(Table3[[#This Row],[Helper]]&gt;171,"Silver",IF(Table3[[#This Row],[Helper]]&gt;141,"Bronze","")))</f>
        <v/>
      </c>
    </row>
  </sheetData>
  <sheetProtection algorithmName="SHA-512" hashValue="KhQf1/sGJcI478dyORFy6aoggD0OGj5fkF0VTwwQNXgjw4po8thW8YuYVEU2evkw7tvrfk15JL4QRz5gKXbSwA==" saltValue="OmDzu4nHM5Z/kmbarD7OOQ==" spinCount="100000" sheet="1" formatCells="0" formatColumns="0" formatRows="0" selectLockedCells="1" autoFilter="0"/>
  <sortState xmlns:xlrd2="http://schemas.microsoft.com/office/spreadsheetml/2017/richdata2" ref="U1:U14">
    <sortCondition ref="U1"/>
  </sortState>
  <mergeCells count="48">
    <mergeCell ref="L43:M43"/>
    <mergeCell ref="L55:M55"/>
    <mergeCell ref="I27:M27"/>
    <mergeCell ref="L38:M38"/>
    <mergeCell ref="L39:M39"/>
    <mergeCell ref="L40:M40"/>
    <mergeCell ref="L41:M41"/>
    <mergeCell ref="L42:M42"/>
    <mergeCell ref="L33:M33"/>
    <mergeCell ref="L34:M34"/>
    <mergeCell ref="L35:M35"/>
    <mergeCell ref="L36:M36"/>
    <mergeCell ref="L37:M37"/>
    <mergeCell ref="L28:M28"/>
    <mergeCell ref="L29:M29"/>
    <mergeCell ref="L31:M31"/>
    <mergeCell ref="N4:N5"/>
    <mergeCell ref="A1:S1"/>
    <mergeCell ref="A14:S14"/>
    <mergeCell ref="A13:S13"/>
    <mergeCell ref="J17:M17"/>
    <mergeCell ref="N17:N18"/>
    <mergeCell ref="B4:E4"/>
    <mergeCell ref="F4:I4"/>
    <mergeCell ref="J4:M4"/>
    <mergeCell ref="J2:M2"/>
    <mergeCell ref="C3:E3"/>
    <mergeCell ref="D2:H2"/>
    <mergeCell ref="L32:M32"/>
    <mergeCell ref="D15:H15"/>
    <mergeCell ref="D27:F27"/>
    <mergeCell ref="J15:M15"/>
    <mergeCell ref="B17:E17"/>
    <mergeCell ref="F17:I17"/>
    <mergeCell ref="L30:M30"/>
    <mergeCell ref="A26:B26"/>
    <mergeCell ref="L44:M44"/>
    <mergeCell ref="L45:M45"/>
    <mergeCell ref="L46:M46"/>
    <mergeCell ref="L47:M47"/>
    <mergeCell ref="L48:M48"/>
    <mergeCell ref="I58:N58"/>
    <mergeCell ref="L54:M54"/>
    <mergeCell ref="L49:M49"/>
    <mergeCell ref="L50:M50"/>
    <mergeCell ref="L51:M51"/>
    <mergeCell ref="L52:M52"/>
    <mergeCell ref="L53:M53"/>
  </mergeCells>
  <phoneticPr fontId="24" type="noConversion"/>
  <conditionalFormatting sqref="A13">
    <cfRule type="expression" dxfId="187" priority="6">
      <formula>$E$45+$F$45=0</formula>
    </cfRule>
  </conditionalFormatting>
  <conditionalFormatting sqref="B6:M9">
    <cfRule type="expression" dxfId="186" priority="5">
      <formula>$E$45&lt;&gt;0</formula>
    </cfRule>
  </conditionalFormatting>
  <conditionalFormatting sqref="B19:M22">
    <cfRule type="expression" dxfId="185" priority="4">
      <formula>$F$45&lt;&gt;0</formula>
    </cfRule>
  </conditionalFormatting>
  <conditionalFormatting sqref="Q6:S9">
    <cfRule type="expression" dxfId="184" priority="2">
      <formula>$E$45&lt;&gt;0</formula>
    </cfRule>
  </conditionalFormatting>
  <conditionalFormatting sqref="Q19:S22">
    <cfRule type="expression" dxfId="183" priority="1">
      <formula>$F$45&lt;&gt;0</formula>
    </cfRule>
  </conditionalFormatting>
  <dataValidations disablePrompts="1" count="2">
    <dataValidation type="list" allowBlank="1" showInputMessage="1" showErrorMessage="1" errorTitle="Champions" error="Only select a valid option" sqref="L29:M55" xr:uid="{3DBDD100-4410-4725-90EE-D3F44A6FC3A8}">
      <formula1>$U$2:$U$50</formula1>
    </dataValidation>
    <dataValidation type="list" allowBlank="1" showInputMessage="1" showErrorMessage="1" sqref="K29:K55" xr:uid="{6869CB80-B46B-4B33-88E8-24E9A192C97D}">
      <formula1>$W$2:$W$3</formula1>
    </dataValidation>
  </dataValidations>
  <printOptions horizontalCentered="1"/>
  <pageMargins left="0.7" right="0.7" top="0.75" bottom="0.75" header="0.3" footer="0.3"/>
  <pageSetup orientation="landscape" r:id="rId1"/>
  <headerFooter>
    <oddFooter>&amp;L&amp;8The use of this workbook is at the sole discretion of the trial organizer.  SDDA or its agents shall not be held liable for any errors in the data.</oddFooter>
  </headerFooter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76"/>
  <sheetViews>
    <sheetView zoomScaleNormal="100" zoomScalePageLayoutView="110" workbookViewId="0">
      <pane xSplit="4" ySplit="4" topLeftCell="F5" activePane="bottomRight" state="frozen"/>
      <selection sqref="A1:M1"/>
      <selection pane="topRight" sqref="A1:M1"/>
      <selection pane="bottomLeft" sqref="A1:M1"/>
      <selection pane="bottomRight" activeCell="B5" sqref="B5"/>
    </sheetView>
  </sheetViews>
  <sheetFormatPr defaultColWidth="10.7109375" defaultRowHeight="15" x14ac:dyDescent="0.25"/>
  <cols>
    <col min="1" max="1" width="5" customWidth="1"/>
    <col min="2" max="2" width="4.140625" customWidth="1"/>
    <col min="3" max="3" width="5.42578125" customWidth="1"/>
    <col min="4" max="4" width="14.42578125" customWidth="1"/>
    <col min="5" max="5" width="14.42578125" hidden="1" customWidth="1"/>
    <col min="6" max="6" width="3.42578125" bestFit="1" customWidth="1"/>
    <col min="7" max="7" width="5.42578125" style="2" customWidth="1"/>
    <col min="8" max="8" width="9" style="2" customWidth="1"/>
    <col min="9" max="9" width="3.5703125" style="2" customWidth="1"/>
    <col min="10" max="10" width="8.28515625" style="2" hidden="1" customWidth="1"/>
    <col min="11" max="11" width="4.28515625" style="2" bestFit="1" customWidth="1"/>
    <col min="12" max="12" width="8.28515625" style="2" hidden="1" customWidth="1"/>
    <col min="13" max="13" width="4.5703125" style="2" bestFit="1" customWidth="1"/>
    <col min="14" max="14" width="3" style="2" bestFit="1" customWidth="1"/>
    <col min="15" max="15" width="5.42578125" style="2" customWidth="1"/>
    <col min="16" max="16" width="9" style="2" customWidth="1"/>
    <col min="17" max="17" width="3.42578125" style="2" bestFit="1" customWidth="1"/>
    <col min="18" max="18" width="8.28515625" style="2" hidden="1" customWidth="1"/>
    <col min="19" max="19" width="6.85546875" style="2" bestFit="1" customWidth="1"/>
    <col min="20" max="20" width="8.28515625" style="2" hidden="1" customWidth="1"/>
    <col min="21" max="21" width="4.5703125" style="2" bestFit="1" customWidth="1"/>
    <col min="22" max="22" width="3" style="2" bestFit="1" customWidth="1"/>
    <col min="23" max="23" width="5.42578125" style="2" customWidth="1"/>
    <col min="24" max="24" width="9" style="2" customWidth="1"/>
    <col min="25" max="25" width="3.5703125" style="2" customWidth="1"/>
    <col min="26" max="26" width="8.28515625" style="2" hidden="1" customWidth="1"/>
    <col min="27" max="27" width="4.28515625" style="2" bestFit="1" customWidth="1"/>
    <col min="28" max="28" width="8.28515625" style="2" hidden="1" customWidth="1"/>
    <col min="29" max="29" width="4.5703125" style="2" bestFit="1" customWidth="1"/>
    <col min="30" max="30" width="5.42578125" style="2" bestFit="1" customWidth="1"/>
    <col min="31" max="31" width="6.5703125" style="2" hidden="1" customWidth="1"/>
    <col min="32" max="32" width="17.5703125" style="2" hidden="1" customWidth="1"/>
    <col min="33" max="33" width="7.5703125" style="2" hidden="1" customWidth="1"/>
    <col min="34" max="34" width="4.5703125" style="2" bestFit="1" customWidth="1"/>
    <col min="35" max="35" width="6.5703125" style="2" hidden="1" customWidth="1"/>
    <col min="36" max="36" width="29.140625" style="2" hidden="1" customWidth="1"/>
    <col min="37" max="37" width="6.5703125" style="2" hidden="1" customWidth="1"/>
    <col min="38" max="39" width="5.42578125" style="2" customWidth="1"/>
    <col min="40" max="42" width="5.42578125" style="2" hidden="1" customWidth="1"/>
    <col min="43" max="43" width="5.42578125" style="2" customWidth="1"/>
    <col min="44" max="44" width="6.28515625" style="2" hidden="1" customWidth="1"/>
    <col min="45" max="46" width="6.42578125" hidden="1" customWidth="1"/>
    <col min="47" max="47" width="20.5703125" customWidth="1"/>
    <col min="48" max="48" width="10.7109375" style="2" bestFit="1" customWidth="1"/>
    <col min="49" max="49" width="8.28515625" style="2" customWidth="1"/>
    <col min="50" max="50" width="9.140625" bestFit="1" customWidth="1"/>
    <col min="51" max="51" width="9.140625" hidden="1" customWidth="1"/>
    <col min="52" max="52" width="8.7109375" style="62" hidden="1" customWidth="1"/>
    <col min="53" max="53" width="8.42578125" style="62" hidden="1" customWidth="1"/>
    <col min="54" max="54" width="23.42578125" customWidth="1"/>
  </cols>
  <sheetData>
    <row r="1" spans="1:57" ht="11.25" customHeight="1" x14ac:dyDescent="0.25"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V1"/>
      <c r="AW1"/>
      <c r="AZ1"/>
      <c r="BA1"/>
    </row>
    <row r="2" spans="1:57" s="9" customFormat="1" ht="12.75" x14ac:dyDescent="0.2">
      <c r="A2" s="9" t="s">
        <v>624</v>
      </c>
      <c r="C2" s="9">
        <f>TrialNumber</f>
        <v>0</v>
      </c>
      <c r="D2" s="10"/>
      <c r="E2" s="10"/>
      <c r="F2" s="10"/>
      <c r="H2" s="10" t="s">
        <v>3506</v>
      </c>
      <c r="I2" s="398">
        <f>TrialVenue</f>
        <v>0</v>
      </c>
      <c r="J2" s="398"/>
      <c r="K2" s="398"/>
      <c r="L2" s="398"/>
      <c r="M2" s="398"/>
      <c r="N2" s="398"/>
      <c r="O2" s="398"/>
      <c r="P2" s="398"/>
      <c r="R2" s="10"/>
      <c r="S2" s="10"/>
      <c r="T2" s="10"/>
      <c r="U2" s="10"/>
      <c r="V2" s="10"/>
      <c r="X2" s="10" t="s">
        <v>10</v>
      </c>
      <c r="Y2" s="399" t="str">
        <f>TEXT(TrialDate, "mmm-dd-yyyy")</f>
        <v/>
      </c>
      <c r="Z2" s="399"/>
      <c r="AA2" s="399"/>
      <c r="AB2" s="399"/>
      <c r="AC2" s="399"/>
      <c r="AD2" s="399"/>
      <c r="AE2" s="38"/>
      <c r="AF2" s="10"/>
      <c r="AG2" s="38"/>
      <c r="AH2" s="38"/>
      <c r="AI2" s="38"/>
      <c r="AJ2" s="38"/>
      <c r="AK2" s="38"/>
      <c r="AL2" s="91"/>
      <c r="AN2" s="85"/>
      <c r="AO2" s="85"/>
      <c r="AP2" s="85"/>
      <c r="AR2" s="84"/>
      <c r="AS2" s="85"/>
      <c r="AT2" s="85"/>
      <c r="AU2" s="93" t="s">
        <v>10</v>
      </c>
      <c r="AV2" s="85" t="str">
        <f>TEXT(TrialDate, "mmm-dd-yyyy")</f>
        <v/>
      </c>
      <c r="AW2" s="85"/>
      <c r="AX2" s="85"/>
      <c r="AZ2" s="60"/>
      <c r="BA2" s="60"/>
      <c r="BB2" s="85"/>
    </row>
    <row r="3" spans="1:57" s="25" customFormat="1" ht="12" x14ac:dyDescent="0.25">
      <c r="A3" s="30"/>
      <c r="B3" s="395" t="s">
        <v>611</v>
      </c>
      <c r="C3" s="396"/>
      <c r="D3" s="397"/>
      <c r="E3" s="209"/>
      <c r="F3" s="31"/>
      <c r="G3" s="395" t="s">
        <v>30</v>
      </c>
      <c r="H3" s="396"/>
      <c r="I3" s="396"/>
      <c r="J3" s="396"/>
      <c r="K3" s="396"/>
      <c r="L3" s="396"/>
      <c r="M3" s="397"/>
      <c r="N3" s="31"/>
      <c r="O3" s="395" t="s">
        <v>31</v>
      </c>
      <c r="P3" s="396"/>
      <c r="Q3" s="396"/>
      <c r="R3" s="396"/>
      <c r="S3" s="396"/>
      <c r="T3" s="396"/>
      <c r="U3" s="397"/>
      <c r="V3" s="31"/>
      <c r="W3" s="395" t="s">
        <v>32</v>
      </c>
      <c r="X3" s="396"/>
      <c r="Y3" s="396"/>
      <c r="Z3" s="396"/>
      <c r="AA3" s="396"/>
      <c r="AB3" s="396"/>
      <c r="AC3" s="397"/>
      <c r="AD3" s="35"/>
      <c r="AE3" s="37"/>
      <c r="AF3" s="37"/>
      <c r="AG3" s="31"/>
      <c r="AH3" s="391" t="s">
        <v>651</v>
      </c>
      <c r="AI3" s="392"/>
      <c r="AJ3" s="392"/>
      <c r="AK3" s="392"/>
      <c r="AL3" s="393"/>
      <c r="AM3" s="391" t="s">
        <v>1560</v>
      </c>
      <c r="AN3" s="392"/>
      <c r="AO3" s="392"/>
      <c r="AP3" s="392"/>
      <c r="AQ3" s="393"/>
      <c r="AR3" s="94"/>
      <c r="AS3" s="94"/>
      <c r="AT3" s="94"/>
      <c r="AU3" s="94"/>
      <c r="AV3" s="94"/>
      <c r="AW3" s="94"/>
      <c r="AX3" s="94"/>
      <c r="AZ3" s="61"/>
      <c r="BA3" s="61"/>
      <c r="BB3" s="94"/>
    </row>
    <row r="4" spans="1:57" s="3" customFormat="1" ht="49.5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210" t="s">
        <v>8704</v>
      </c>
      <c r="F4" s="32" t="s">
        <v>660</v>
      </c>
      <c r="G4" s="26" t="s">
        <v>1131</v>
      </c>
      <c r="H4" s="7" t="s">
        <v>602</v>
      </c>
      <c r="I4" s="7" t="s">
        <v>603</v>
      </c>
      <c r="J4" s="24" t="s">
        <v>1132</v>
      </c>
      <c r="K4" s="24" t="s">
        <v>618</v>
      </c>
      <c r="L4" s="24" t="s">
        <v>601</v>
      </c>
      <c r="M4" s="28" t="s">
        <v>621</v>
      </c>
      <c r="N4" s="33" t="s">
        <v>661</v>
      </c>
      <c r="O4" s="26" t="s">
        <v>1134</v>
      </c>
      <c r="P4" s="7" t="s">
        <v>606</v>
      </c>
      <c r="Q4" s="7" t="s">
        <v>610</v>
      </c>
      <c r="R4" s="24" t="s">
        <v>608</v>
      </c>
      <c r="S4" s="24" t="s">
        <v>619</v>
      </c>
      <c r="T4" s="24" t="s">
        <v>609</v>
      </c>
      <c r="U4" s="28" t="s">
        <v>622</v>
      </c>
      <c r="V4" s="33" t="s">
        <v>662</v>
      </c>
      <c r="W4" s="26" t="s">
        <v>1133</v>
      </c>
      <c r="X4" s="7" t="s">
        <v>615</v>
      </c>
      <c r="Y4" s="7" t="s">
        <v>617</v>
      </c>
      <c r="Z4" s="24" t="s">
        <v>613</v>
      </c>
      <c r="AA4" s="24" t="s">
        <v>620</v>
      </c>
      <c r="AB4" s="24" t="s">
        <v>614</v>
      </c>
      <c r="AC4" s="28" t="s">
        <v>623</v>
      </c>
      <c r="AD4" s="32" t="s">
        <v>15153</v>
      </c>
      <c r="AE4" s="26" t="s">
        <v>654</v>
      </c>
      <c r="AF4" s="7" t="s">
        <v>655</v>
      </c>
      <c r="AG4" s="34" t="s">
        <v>650</v>
      </c>
      <c r="AH4" s="32" t="s">
        <v>653</v>
      </c>
      <c r="AI4" s="26" t="s">
        <v>656</v>
      </c>
      <c r="AJ4" s="7" t="s">
        <v>657</v>
      </c>
      <c r="AK4" s="26" t="s">
        <v>658</v>
      </c>
      <c r="AL4" s="90" t="s">
        <v>652</v>
      </c>
      <c r="AM4" s="26" t="s">
        <v>1562</v>
      </c>
      <c r="AN4" s="7" t="s">
        <v>1075</v>
      </c>
      <c r="AO4" s="7" t="s">
        <v>1076</v>
      </c>
      <c r="AP4" s="7" t="s">
        <v>1077</v>
      </c>
      <c r="AQ4" s="7" t="s">
        <v>1556</v>
      </c>
      <c r="AR4" s="7" t="s">
        <v>1557</v>
      </c>
      <c r="AS4" s="7" t="s">
        <v>1286</v>
      </c>
      <c r="AT4" s="7" t="s">
        <v>1287</v>
      </c>
      <c r="AU4" s="86" t="s">
        <v>1137</v>
      </c>
      <c r="AV4" s="7" t="s">
        <v>1145</v>
      </c>
      <c r="AW4" s="7" t="s">
        <v>1146</v>
      </c>
      <c r="AX4" s="86" t="s">
        <v>1147</v>
      </c>
      <c r="AZ4" s="63" t="s">
        <v>1172</v>
      </c>
      <c r="BA4" s="63" t="s">
        <v>1173</v>
      </c>
      <c r="BB4" s="86" t="s">
        <v>1561</v>
      </c>
      <c r="BC4" s="261" t="s">
        <v>15152</v>
      </c>
      <c r="BD4" s="261" t="s">
        <v>15154</v>
      </c>
      <c r="BE4" s="261" t="s">
        <v>15155</v>
      </c>
    </row>
    <row r="5" spans="1:57" s="6" customFormat="1" x14ac:dyDescent="0.2">
      <c r="A5" s="118">
        <v>1</v>
      </c>
      <c r="B5" s="119"/>
      <c r="C5" s="120"/>
      <c r="D5" s="102" t="str">
        <f>IF($C5="","",VLOOKUP($C5,'SDDA Dogs'!$A:$F,2,FALSE))</f>
        <v/>
      </c>
      <c r="E5" s="211">
        <f>--(_xlfn.ISFORMULA(D5))</f>
        <v>1</v>
      </c>
      <c r="F5" s="121" t="str">
        <f>IF($C5="","",IFERROR(VLOOKUP($C5,'SDDA Dogs'!$A:$O,7,FALSE),0))</f>
        <v/>
      </c>
      <c r="G5" s="136"/>
      <c r="H5" s="216"/>
      <c r="I5" s="123" t="str">
        <f>IF(OR(G5="",G5="NE",G5="E",G5="FEO"),"",(IF(G5&gt;=15,"Pass","Fail")))</f>
        <v/>
      </c>
      <c r="J5" s="124">
        <f t="shared" ref="J5:J34" si="0">IF(OR(AND($I5="Pass",$B5="A"),AND($I5="Fail",UseFail="Y",$B5="A")),$G5,0)+IF(OR(AND($I5="Pass",$B5="A"),AND($I5="Fail",UseFail="Y",$B5="A")),(MaxTmCSS-VALUE($H5)),0)</f>
        <v>0</v>
      </c>
      <c r="K5" s="123" t="str">
        <f>IF(AND($B5="A",$G5&lt;&gt;0,$H5&lt;&gt;0,J5&lt;&gt;0),(RANK(J5,J$5:J$34,0)),"")</f>
        <v/>
      </c>
      <c r="L5" s="124">
        <f t="shared" ref="L5:L34" si="1">IF(OR(AND($I5="Pass",$B5="W"),AND($I5="Fail",UseFail="Y",$B5="W")),$G5,0)+IF(OR(AND($I5="Pass",$B5="W"),AND($I5="Fail",UseFail="Y",$B5="W")),(MaxTmCSS-VALUE($H5)),0)</f>
        <v>0</v>
      </c>
      <c r="M5" s="123" t="str">
        <f>IF(AND($B5="W",$G5&lt;&gt;0,$H5&lt;&gt;0,L5&lt;&gt;0),(RANK(L5,L$5:L$34,0)),"")</f>
        <v/>
      </c>
      <c r="N5" s="125" t="str">
        <f>IF($C5="","",IFERROR(VLOOKUP($C5,'SDDA Dogs'!$A:$O,8,FALSE),0))</f>
        <v/>
      </c>
      <c r="O5" s="136"/>
      <c r="P5" s="216"/>
      <c r="Q5" s="123" t="str">
        <f>IF(OR(O5="",O5="NE",O5="E",O5="FEO"),"",(IF(O5&gt;=20,"Pass","Fail")))</f>
        <v/>
      </c>
      <c r="R5" s="124">
        <f t="shared" ref="R5:R34" si="2">IF(OR(AND($Q5="Pass",$B5="A"),AND($Q5="Fail",UseFail="Y",$B5="A")),$O5,0)+IF(OR(AND($Q5="Pass",$B5="A"),AND($Q5="Fail",UseFail="Y",$B5="A")),(MaxTmISS-VALUE($P5)),0)</f>
        <v>0</v>
      </c>
      <c r="S5" s="84" t="str">
        <f t="shared" ref="S5:S34" si="3">IF(AND($B5="A",$O5&lt;&gt;0,$P5&lt;&gt;0,R5&lt;&gt;0),(RANK(R5,R$5:R$34,0)),"")</f>
        <v/>
      </c>
      <c r="T5" s="124">
        <f t="shared" ref="T5:T34" si="4">IF(OR(AND($Q5="Pass",$B5="W"),AND($Q5="Fail",UseFail="Y",$B5="W")),$O5,0)+IF(OR(AND($Q5="Pass",$B5="W"),AND($Q5="Fail",UseFail="Y",$B5="W")),(MaxTmISS-VALUE($P5)),0)</f>
        <v>0</v>
      </c>
      <c r="U5" s="123" t="str">
        <f>IF(AND($B5="w",$O5&lt;&gt;0,$P5&lt;&gt;0,T5&lt;&gt;0),(RANK(T5,T$5:T$34,0)),"")</f>
        <v/>
      </c>
      <c r="V5" s="125" t="str">
        <f>IF($C5="","",IFERROR(VLOOKUP($C5,'SDDA Dogs'!$A:$O,9,FALSE),0))</f>
        <v/>
      </c>
      <c r="W5" s="136"/>
      <c r="X5" s="216"/>
      <c r="Y5" s="123" t="str">
        <f>IF(OR(W5="",W5="NE",W5="E",W5="FEO"),"",(IF(W5&gt;=15,"Pass","Fail")))</f>
        <v/>
      </c>
      <c r="Z5" s="124">
        <f t="shared" ref="Z5:Z34" si="5">IF(OR(AND($Y5="Pass",$B5="A"),AND($Y5="Fail",UseFail="Y",$B5="A")),$W5,0)+IF(OR(AND($Y5="Pass",$B5="A"),AND($Y5="Fail",UseFail="Y",$B5="A")),(MaxTmESS-VALUE($X5)),0)</f>
        <v>0</v>
      </c>
      <c r="AA5" s="123" t="str">
        <f>IF(AND($B5="A",$W5&lt;&gt;0,$X5&lt;&gt;0,Z5&lt;&gt;0),(RANK(Z5,Z$5:Z$34,0)),"")</f>
        <v/>
      </c>
      <c r="AB5" s="124">
        <f t="shared" ref="AB5:AB34" si="6">IF(OR(AND($Y5="Pass",$B5="w"),AND($Y5="Fail",UseFail="Y",$B5="w")),$W5,0)+IF(OR(AND($Y5="Pass",$B5="w"),AND($Y5="Fail",UseFail="Y",$B5="w")),(MaxTmESS-VALUE($X5)),0)</f>
        <v>0</v>
      </c>
      <c r="AC5" s="123" t="str">
        <f>IF(AND($B5="w",$W5&lt;&gt;0,$X5&lt;&gt;0,AB5&lt;&gt;0),(RANK(AB5,AB$5:AB$34,0)),"")</f>
        <v/>
      </c>
      <c r="AD5" s="126" t="str">
        <f>IF(AND(AM5=0,AQ5=1,I5="Pass",Q5="Pass",Y5="Pass"),G5+O5+W5,IF(AND(AM5=0,AQ5=1),SUM(BC5:BE5),""))</f>
        <v/>
      </c>
      <c r="AE5" s="127" t="str">
        <f t="shared" ref="AE5:AE34" si="7">IF(AND(ISNUMBER($K5),ISNUMBER($S5),ISNUMBER($AA5))=TRUE,$G5+$O5+$W5,"")</f>
        <v/>
      </c>
      <c r="AF5" s="335" t="str">
        <f t="shared" ref="AF5:AF34" si="8">IF(AND(ISNUMBER($K5),ISNUMBER($S5),ISNUMBER($AA5))=TRUE,$H5+$P5+$X5,"")</f>
        <v/>
      </c>
      <c r="AG5" s="128" t="str">
        <f>IF(ISNUMBER(AE5),(RANK(AE5,AE$5:AE$34,0)*10)+RANK(AF5,AF$5:AF$34,1),"")</f>
        <v/>
      </c>
      <c r="AH5" s="126" t="str">
        <f>IF(ISNUMBER(AG5),RANK(AG5,AG$5:AG$34,1),"")</f>
        <v/>
      </c>
      <c r="AI5" s="89" t="str">
        <f t="shared" ref="AI5:AI34" si="9">IF(AND(ISNUMBER($M5),ISNUMBER($U5),ISNUMBER($AC5))=TRUE,$G5+$O5+$W5,"")</f>
        <v/>
      </c>
      <c r="AJ5" s="122" t="str">
        <f t="shared" ref="AJ5:AJ34" si="10">IF(AND(ISNUMBER($M5),ISNUMBER($U5),ISNUMBER($AC5))=TRUE,$H5+$P5+$X5,"")</f>
        <v/>
      </c>
      <c r="AK5" s="123" t="str">
        <f>IF(ISNUMBER(AI5),(RANK(AI5,AI$5:AI$34,0)*10)+RANK(AJ5,AJ$5:AJ$34,1),"")</f>
        <v/>
      </c>
      <c r="AL5" s="129" t="str">
        <f>IF(ISNUMBER(AK5),RANK(AK5,AK$5:AK$34,1),"")</f>
        <v/>
      </c>
      <c r="AM5" s="127">
        <f t="shared" ref="AM5:AM34" si="11">MIN(F5,N5,V5)</f>
        <v>0</v>
      </c>
      <c r="AN5" s="123" t="str">
        <f t="shared" ref="AN5:AN34" si="12">IF(I5="Pass",F5+1,F5)</f>
        <v/>
      </c>
      <c r="AO5" s="123" t="str">
        <f t="shared" ref="AO5:AO34" si="13">IF(Q5="Pass", N5+1,N5)</f>
        <v/>
      </c>
      <c r="AP5" s="123" t="str">
        <f t="shared" ref="AP5:AP34" si="14">IF(Y5="Pass",V5+1,V5)</f>
        <v/>
      </c>
      <c r="AQ5" s="123">
        <f>MIN(AN5,AO5,AP5)</f>
        <v>0</v>
      </c>
      <c r="AR5" s="123"/>
      <c r="AS5" s="130"/>
      <c r="AT5" s="130"/>
      <c r="AU5" s="131" t="str">
        <f>IF(ISERROR(VLOOKUP(C5,'SDDA Dogs'!A:O,6,FALSE)),"",VLOOKUP(C5,'SDDA Dogs'!A:O,6,FALSE))</f>
        <v/>
      </c>
      <c r="AV5" s="123">
        <f t="shared" ref="AV5:AV34" si="15">IF(OR(ISNUMBER(G5),G5="e"),1,0)+IF(OR(ISNUMBER(O5),O5="e"),1,0)+IF(OR(ISNUMBER(W5),W5="e"),1,0)</f>
        <v>0</v>
      </c>
      <c r="AW5" s="123">
        <f t="shared" ref="AW5:AW34" si="16">IF(G5="FEO",1,0)+IF(O5="FEO",1,0)+IF(W5="FEO",1,0)</f>
        <v>0</v>
      </c>
      <c r="AX5" s="88">
        <f t="shared" ref="AX5:AX14" si="17">(AV5*TrialFeeStr)+(AW5*FeoFee)</f>
        <v>0</v>
      </c>
      <c r="AZ5" s="132">
        <f t="shared" ref="AZ5:AZ34" si="18">IF(AND(I5="Pass",Q5="Pass",Y5="Pass"),(G5+O5+W5)/((MinScoreCSS + MinScoreISS + MinScoreESS)*2),0)</f>
        <v>0</v>
      </c>
      <c r="BA5" s="132">
        <f t="shared" ref="BA5:BA34" si="19">IF(AND(I5="Pass",Q5="Pass",Y5="Pass"),(H5+P5+X5)/(MaxTmCSS+MaxTmESS+MaxTmISS),0)</f>
        <v>0</v>
      </c>
      <c r="BB5" s="133"/>
      <c r="BC5" s="262" t="str">
        <f>_xlfn.IFNA(IF(I5="Pass",IF(G5&gt;IFERROR(INDEX(DogInfo!A:B,MATCH(C5&amp;$BC$4,DogInfo!A:A,0),2),0),G5,INDEX(DogInfo!A:B,MATCH(C5&amp;$BC$4,DogInfo!A:A,0),2)),INDEX(DogInfo!A:B,MATCH(C5&amp;$BC$4,DogInfo!A:A,0),2)),"")</f>
        <v/>
      </c>
      <c r="BD5" s="262" t="str">
        <f>_xlfn.IFNA(IF(Q5="Pass",IF(O5&gt;IFERROR(INDEX(DogInfo!A:B,MATCH(C5&amp;$BD$4,DogInfo!A:A,0),2),0),O5,INDEX(DogInfo!A:B,MATCH(C5&amp;$BD$4,DogInfo!A:A,0),2)),INDEX(DogInfo!A:B,MATCH(C5&amp;$BD$4,DogInfo!A:A,0),2)),"")</f>
        <v/>
      </c>
      <c r="BE5" s="262" t="str">
        <f>_xlfn.IFNA(IF(Y5="Pass",IF(W5&gt;IFERROR(INDEX(DogInfo!A:B,MATCH(C5&amp;$BE$4,DogInfo!A:A,0),2),0),W5,INDEX(DogInfo!A:B,MATCH(C5&amp;$BE$4,DogInfo!A:A,0),2)),INDEX(DogInfo!A:B,MATCH(C5&amp;$BE$4,DogInfo!A:A,0),2)),"")</f>
        <v/>
      </c>
    </row>
    <row r="6" spans="1:57" s="9" customFormat="1" ht="12.75" x14ac:dyDescent="0.2">
      <c r="A6" s="99">
        <v>2</v>
      </c>
      <c r="B6" s="100"/>
      <c r="C6" s="120"/>
      <c r="D6" s="102" t="str">
        <f>IF($C6="","",VLOOKUP($C6,'SDDA Dogs'!$A:$F,2,FALSE))</f>
        <v/>
      </c>
      <c r="E6" s="211">
        <f t="shared" ref="E6:E34" si="20">--(_xlfn.ISFORMULA(D6))</f>
        <v>1</v>
      </c>
      <c r="F6" s="103" t="str">
        <f>IF($C6="","",IFERROR(VLOOKUP($C6,'SDDA Dogs'!$A:$O,7,FALSE),0))</f>
        <v/>
      </c>
      <c r="G6" s="137"/>
      <c r="H6" s="217"/>
      <c r="I6" s="84" t="str">
        <f t="shared" ref="I6:I34" si="21">IF(OR(G6="",G6="NE",G6="E",G6="FEO"),"",(IF(G6&gt;=15,"Pass","Fail")))</f>
        <v/>
      </c>
      <c r="J6" s="105">
        <f t="shared" si="0"/>
        <v>0</v>
      </c>
      <c r="K6" s="84" t="str">
        <f t="shared" ref="K6:K34" si="22">IF(AND($B6="A",$G6&lt;&gt;0,$H6&lt;&gt;0,J6&lt;&gt;0),(RANK(J6,J$5:J$34,0)),"")</f>
        <v/>
      </c>
      <c r="L6" s="105">
        <f t="shared" si="1"/>
        <v>0</v>
      </c>
      <c r="M6" s="84" t="str">
        <f t="shared" ref="M6:M34" si="23">IF(AND($B6="W",$G6&lt;&gt;0,$H6&lt;&gt;0,L6&lt;&gt;0),(RANK(L6,L$5:L$34,0)),"")</f>
        <v/>
      </c>
      <c r="N6" s="106" t="str">
        <f>IF($C6="","",IFERROR(VLOOKUP($C6,'SDDA Dogs'!$A:$O,8,FALSE),0))</f>
        <v/>
      </c>
      <c r="O6" s="136"/>
      <c r="P6" s="216"/>
      <c r="Q6" s="84" t="str">
        <f t="shared" ref="Q6:Q34" si="24">IF(OR(O6="",O6="NE",O6="E",O6="FEO"),"",(IF(O6&gt;=20,"Pass","Fail")))</f>
        <v/>
      </c>
      <c r="R6" s="105">
        <f t="shared" si="2"/>
        <v>0</v>
      </c>
      <c r="S6" s="84" t="str">
        <f t="shared" si="3"/>
        <v/>
      </c>
      <c r="T6" s="105">
        <f t="shared" si="4"/>
        <v>0</v>
      </c>
      <c r="U6" s="84" t="str">
        <f t="shared" ref="U6:U34" si="25">IF(AND($B6="w",$O6&lt;&gt;0,$P6&lt;&gt;0,T6&lt;&gt;0),(RANK(T6,T$5:T$34,0)),"")</f>
        <v/>
      </c>
      <c r="V6" s="106" t="str">
        <f>IF($C6="","",IFERROR(VLOOKUP($C6,'SDDA Dogs'!$A:$O,9,FALSE),0))</f>
        <v/>
      </c>
      <c r="W6" s="136"/>
      <c r="X6" s="216"/>
      <c r="Y6" s="84" t="str">
        <f t="shared" ref="Y6:Y34" si="26">IF(OR(W6="",W6="NE",W6="E",W6="FEO"),"",(IF(W6&gt;=15,"Pass","Fail")))</f>
        <v/>
      </c>
      <c r="Z6" s="105">
        <f t="shared" si="5"/>
        <v>0</v>
      </c>
      <c r="AA6" s="84" t="str">
        <f t="shared" ref="AA6:AA34" si="27">IF(AND($B6="A",$W6&lt;&gt;0,$X6&lt;&gt;0,Z6&lt;&gt;0),(RANK(Z6,Z$5:Z$34,0)),"")</f>
        <v/>
      </c>
      <c r="AB6" s="105">
        <f t="shared" si="6"/>
        <v>0</v>
      </c>
      <c r="AC6" s="84" t="str">
        <f t="shared" ref="AC6:AC34" si="28">IF(AND($B6="w",$W6&lt;&gt;0,$X6&lt;&gt;0,AB6&lt;&gt;0),(RANK(AB6,AB$5:AB$34,0)),"")</f>
        <v/>
      </c>
      <c r="AD6" s="126" t="str">
        <f t="shared" ref="AD6:AD34" si="29">IF(AND(AM6=0,AQ6=1,I6="Pass",Q6="Pass",Y6="Pass"),G6+O6+W6,IF(AND(AM6=0,AQ6=1),SUM(BC6:BE6),""))</f>
        <v/>
      </c>
      <c r="AE6" s="89" t="str">
        <f t="shared" si="7"/>
        <v/>
      </c>
      <c r="AF6" s="335" t="str">
        <f t="shared" si="8"/>
        <v/>
      </c>
      <c r="AG6" s="128" t="str">
        <f t="shared" ref="AG6:AG34" si="30">IF(ISNUMBER(AE6),(RANK(AE6,AE$5:AE$34,0)*10)+RANK(AF6,AF$5:AF$34,1),"")</f>
        <v/>
      </c>
      <c r="AH6" s="126" t="str">
        <f t="shared" ref="AH6:AH34" si="31">IF(ISNUMBER(AG6),RANK(AG6,AG$5:AG$34,1),"")</f>
        <v/>
      </c>
      <c r="AI6" s="89" t="str">
        <f t="shared" si="9"/>
        <v/>
      </c>
      <c r="AJ6" s="104" t="str">
        <f t="shared" si="10"/>
        <v/>
      </c>
      <c r="AK6" s="123" t="str">
        <f t="shared" ref="AK6:AK34" si="32">IF(ISNUMBER(AI6),(RANK(AI6,AI$5:AI$34,0)*10)+RANK(AJ6,AJ$5:AJ$34,1),"")</f>
        <v/>
      </c>
      <c r="AL6" s="129" t="str">
        <f t="shared" ref="AL6:AL34" si="33">IF(ISNUMBER(AK6),RANK(AK6,AK$5:AK$34,1),"")</f>
        <v/>
      </c>
      <c r="AM6" s="89">
        <f t="shared" si="11"/>
        <v>0</v>
      </c>
      <c r="AN6" s="84" t="str">
        <f t="shared" si="12"/>
        <v/>
      </c>
      <c r="AO6" s="84" t="str">
        <f t="shared" si="13"/>
        <v/>
      </c>
      <c r="AP6" s="84" t="str">
        <f t="shared" si="14"/>
        <v/>
      </c>
      <c r="AQ6" s="84">
        <f t="shared" ref="AQ6:AQ34" si="34">MIN(AN6,AO6,AP6)</f>
        <v>0</v>
      </c>
      <c r="AR6" s="84"/>
      <c r="AS6" s="85"/>
      <c r="AT6" s="85"/>
      <c r="AU6" s="87" t="str">
        <f>IF(ISERROR(VLOOKUP(C6,'SDDA Dogs'!A:O,6,FALSE)),"",VLOOKUP(C6,'SDDA Dogs'!A:O,6,FALSE))</f>
        <v/>
      </c>
      <c r="AV6" s="84">
        <f t="shared" si="15"/>
        <v>0</v>
      </c>
      <c r="AW6" s="84">
        <f t="shared" si="16"/>
        <v>0</v>
      </c>
      <c r="AX6" s="88">
        <f t="shared" si="17"/>
        <v>0</v>
      </c>
      <c r="AZ6" s="132">
        <f t="shared" si="18"/>
        <v>0</v>
      </c>
      <c r="BA6" s="132">
        <f t="shared" si="19"/>
        <v>0</v>
      </c>
      <c r="BB6" s="87"/>
      <c r="BC6" s="262" t="str">
        <f>_xlfn.IFNA(IF(I6="Pass",IF(G6&gt;IFERROR(INDEX(DogInfo!A:B,MATCH(C6&amp;$BC$4,DogInfo!A:A,0),2),0),G6,INDEX(DogInfo!A:B,MATCH(C6&amp;$BC$4,DogInfo!A:A,0),2)),INDEX(DogInfo!A:B,MATCH(C6&amp;$BC$4,DogInfo!A:A,0),2)),"")</f>
        <v/>
      </c>
      <c r="BD6" s="262" t="str">
        <f>_xlfn.IFNA(IF(Q6="Pass",IF(O6&gt;IFERROR(INDEX(DogInfo!A:B,MATCH(C6&amp;$BD$4,DogInfo!A:A,0),2),0),O6,INDEX(DogInfo!A:B,MATCH(C6&amp;$BD$4,DogInfo!A:A,0),2)),INDEX(DogInfo!A:B,MATCH(C6&amp;$BD$4,DogInfo!A:A,0),2)),"")</f>
        <v/>
      </c>
      <c r="BE6" s="262" t="str">
        <f>_xlfn.IFNA(IF(Y6="Pass",IF(W6&gt;IFERROR(INDEX(DogInfo!A:B,MATCH(C6&amp;$BE$4,DogInfo!A:A,0),2),0),W6,INDEX(DogInfo!A:B,MATCH(C6&amp;$BE$4,DogInfo!A:A,0),2)),INDEX(DogInfo!A:B,MATCH(C6&amp;$BE$4,DogInfo!A:A,0),2)),"")</f>
        <v/>
      </c>
    </row>
    <row r="7" spans="1:57" s="9" customFormat="1" ht="12.75" x14ac:dyDescent="0.2">
      <c r="A7" s="99">
        <v>3</v>
      </c>
      <c r="B7" s="100"/>
      <c r="C7" s="120"/>
      <c r="D7" s="102" t="str">
        <f>IF($C7="","",VLOOKUP($C7,'SDDA Dogs'!$A:$F,2,FALSE))</f>
        <v/>
      </c>
      <c r="E7" s="211">
        <f t="shared" si="20"/>
        <v>1</v>
      </c>
      <c r="F7" s="121" t="str">
        <f>IF($C7="","",IFERROR(VLOOKUP($C7,'SDDA Dogs'!$A:$O,7,FALSE),0))</f>
        <v/>
      </c>
      <c r="G7" s="137"/>
      <c r="H7" s="217"/>
      <c r="I7" s="84" t="str">
        <f t="shared" si="21"/>
        <v/>
      </c>
      <c r="J7" s="105">
        <f t="shared" si="0"/>
        <v>0</v>
      </c>
      <c r="K7" s="84" t="str">
        <f t="shared" si="22"/>
        <v/>
      </c>
      <c r="L7" s="105">
        <f t="shared" si="1"/>
        <v>0</v>
      </c>
      <c r="M7" s="84" t="str">
        <f t="shared" si="23"/>
        <v/>
      </c>
      <c r="N7" s="125" t="str">
        <f>IF($C7="","",IFERROR(VLOOKUP($C7,'SDDA Dogs'!$A:$O,8,FALSE),0))</f>
        <v/>
      </c>
      <c r="O7" s="137"/>
      <c r="P7" s="217"/>
      <c r="Q7" s="84" t="str">
        <f t="shared" si="24"/>
        <v/>
      </c>
      <c r="R7" s="105">
        <f t="shared" si="2"/>
        <v>0</v>
      </c>
      <c r="S7" s="84" t="str">
        <f t="shared" si="3"/>
        <v/>
      </c>
      <c r="T7" s="105">
        <f t="shared" si="4"/>
        <v>0</v>
      </c>
      <c r="U7" s="84" t="str">
        <f t="shared" si="25"/>
        <v/>
      </c>
      <c r="V7" s="125" t="str">
        <f>IF($C7="","",IFERROR(VLOOKUP($C7,'SDDA Dogs'!$A:$O,9,FALSE),0))</f>
        <v/>
      </c>
      <c r="W7" s="137"/>
      <c r="X7" s="217"/>
      <c r="Y7" s="84" t="str">
        <f t="shared" si="26"/>
        <v/>
      </c>
      <c r="Z7" s="105">
        <f t="shared" si="5"/>
        <v>0</v>
      </c>
      <c r="AA7" s="84" t="str">
        <f t="shared" si="27"/>
        <v/>
      </c>
      <c r="AB7" s="105">
        <f t="shared" si="6"/>
        <v>0</v>
      </c>
      <c r="AC7" s="84" t="str">
        <f t="shared" si="28"/>
        <v/>
      </c>
      <c r="AD7" s="126" t="str">
        <f t="shared" si="29"/>
        <v/>
      </c>
      <c r="AE7" s="89" t="str">
        <f t="shared" si="7"/>
        <v/>
      </c>
      <c r="AF7" s="104" t="str">
        <f t="shared" si="8"/>
        <v/>
      </c>
      <c r="AG7" s="128" t="str">
        <f t="shared" si="30"/>
        <v/>
      </c>
      <c r="AH7" s="126" t="str">
        <f t="shared" si="31"/>
        <v/>
      </c>
      <c r="AI7" s="89" t="str">
        <f t="shared" si="9"/>
        <v/>
      </c>
      <c r="AJ7" s="104" t="str">
        <f t="shared" si="10"/>
        <v/>
      </c>
      <c r="AK7" s="123" t="str">
        <f t="shared" si="32"/>
        <v/>
      </c>
      <c r="AL7" s="129" t="str">
        <f t="shared" si="33"/>
        <v/>
      </c>
      <c r="AM7" s="89">
        <f t="shared" si="11"/>
        <v>0</v>
      </c>
      <c r="AN7" s="84" t="str">
        <f t="shared" si="12"/>
        <v/>
      </c>
      <c r="AO7" s="84" t="str">
        <f t="shared" si="13"/>
        <v/>
      </c>
      <c r="AP7" s="84" t="str">
        <f t="shared" si="14"/>
        <v/>
      </c>
      <c r="AQ7" s="84">
        <f t="shared" si="34"/>
        <v>0</v>
      </c>
      <c r="AR7" s="84"/>
      <c r="AS7" s="85"/>
      <c r="AT7" s="85"/>
      <c r="AU7" s="87" t="str">
        <f>IF(ISERROR(VLOOKUP(C7,'SDDA Dogs'!A:O,6,FALSE)),"",VLOOKUP(C7,'SDDA Dogs'!A:O,6,FALSE))</f>
        <v/>
      </c>
      <c r="AV7" s="84">
        <f t="shared" si="15"/>
        <v>0</v>
      </c>
      <c r="AW7" s="84">
        <f t="shared" si="16"/>
        <v>0</v>
      </c>
      <c r="AX7" s="88">
        <f t="shared" si="17"/>
        <v>0</v>
      </c>
      <c r="AZ7" s="132">
        <f t="shared" si="18"/>
        <v>0</v>
      </c>
      <c r="BA7" s="132">
        <f t="shared" si="19"/>
        <v>0</v>
      </c>
      <c r="BB7" s="87"/>
      <c r="BC7" s="262" t="str">
        <f>_xlfn.IFNA(IF(I7="Pass",IF(G7&gt;IFERROR(INDEX(DogInfo!A:B,MATCH(C7&amp;$BC$4,DogInfo!A:A,0),2),0),G7,INDEX(DogInfo!A:B,MATCH(C7&amp;$BC$4,DogInfo!A:A,0),2)),INDEX(DogInfo!A:B,MATCH(C7&amp;$BC$4,DogInfo!A:A,0),2)),"")</f>
        <v/>
      </c>
      <c r="BD7" s="262" t="str">
        <f>_xlfn.IFNA(IF(Q7="Pass",IF(O7&gt;IFERROR(INDEX(DogInfo!A:B,MATCH(C7&amp;$BD$4,DogInfo!A:A,0),2),0),O7,INDEX(DogInfo!A:B,MATCH(C7&amp;$BD$4,DogInfo!A:A,0),2)),INDEX(DogInfo!A:B,MATCH(C7&amp;$BD$4,DogInfo!A:A,0),2)),"")</f>
        <v/>
      </c>
      <c r="BE7" s="262" t="str">
        <f>_xlfn.IFNA(IF(Y7="Pass",IF(W7&gt;IFERROR(INDEX(DogInfo!A:B,MATCH(C7&amp;$BE$4,DogInfo!A:A,0),2),0),W7,INDEX(DogInfo!A:B,MATCH(C7&amp;$BE$4,DogInfo!A:A,0),2)),INDEX(DogInfo!A:B,MATCH(C7&amp;$BE$4,DogInfo!A:A,0),2)),"")</f>
        <v/>
      </c>
    </row>
    <row r="8" spans="1:57" s="9" customFormat="1" ht="12.75" x14ac:dyDescent="0.2">
      <c r="A8" s="99">
        <v>4</v>
      </c>
      <c r="B8" s="100"/>
      <c r="C8" s="120"/>
      <c r="D8" s="102" t="str">
        <f>IF($C8="","",VLOOKUP($C8,'SDDA Dogs'!$A:$F,2,FALSE))</f>
        <v/>
      </c>
      <c r="E8" s="211">
        <f t="shared" si="20"/>
        <v>1</v>
      </c>
      <c r="F8" s="103" t="str">
        <f>IF($C8="","",IFERROR(VLOOKUP($C8,'SDDA Dogs'!$A:$O,7,FALSE),0))</f>
        <v/>
      </c>
      <c r="G8" s="137"/>
      <c r="H8" s="217"/>
      <c r="I8" s="84" t="str">
        <f t="shared" si="21"/>
        <v/>
      </c>
      <c r="J8" s="105">
        <f t="shared" si="0"/>
        <v>0</v>
      </c>
      <c r="K8" s="84" t="str">
        <f t="shared" si="22"/>
        <v/>
      </c>
      <c r="L8" s="105">
        <f t="shared" si="1"/>
        <v>0</v>
      </c>
      <c r="M8" s="84" t="str">
        <f t="shared" si="23"/>
        <v/>
      </c>
      <c r="N8" s="106" t="str">
        <f>IF($C8="","",IFERROR(VLOOKUP($C8,'SDDA Dogs'!$A:$O,8,FALSE),0))</f>
        <v/>
      </c>
      <c r="O8" s="137"/>
      <c r="P8" s="217"/>
      <c r="Q8" s="84" t="str">
        <f t="shared" si="24"/>
        <v/>
      </c>
      <c r="R8" s="105">
        <f t="shared" si="2"/>
        <v>0</v>
      </c>
      <c r="S8" s="84" t="str">
        <f t="shared" si="3"/>
        <v/>
      </c>
      <c r="T8" s="105">
        <f t="shared" si="4"/>
        <v>0</v>
      </c>
      <c r="U8" s="84" t="str">
        <f t="shared" si="25"/>
        <v/>
      </c>
      <c r="V8" s="106" t="str">
        <f>IF($C8="","",IFERROR(VLOOKUP($C8,'SDDA Dogs'!$A:$O,9,FALSE),0))</f>
        <v/>
      </c>
      <c r="W8" s="137"/>
      <c r="X8" s="217"/>
      <c r="Y8" s="84" t="str">
        <f t="shared" si="26"/>
        <v/>
      </c>
      <c r="Z8" s="105">
        <f t="shared" si="5"/>
        <v>0</v>
      </c>
      <c r="AA8" s="84" t="str">
        <f t="shared" si="27"/>
        <v/>
      </c>
      <c r="AB8" s="105">
        <f t="shared" si="6"/>
        <v>0</v>
      </c>
      <c r="AC8" s="84" t="str">
        <f t="shared" si="28"/>
        <v/>
      </c>
      <c r="AD8" s="126" t="str">
        <f t="shared" si="29"/>
        <v/>
      </c>
      <c r="AE8" s="89" t="str">
        <f t="shared" si="7"/>
        <v/>
      </c>
      <c r="AF8" s="104" t="str">
        <f t="shared" si="8"/>
        <v/>
      </c>
      <c r="AG8" s="128" t="str">
        <f t="shared" si="30"/>
        <v/>
      </c>
      <c r="AH8" s="126" t="str">
        <f t="shared" si="31"/>
        <v/>
      </c>
      <c r="AI8" s="89" t="str">
        <f t="shared" si="9"/>
        <v/>
      </c>
      <c r="AJ8" s="104" t="str">
        <f t="shared" si="10"/>
        <v/>
      </c>
      <c r="AK8" s="123" t="str">
        <f t="shared" si="32"/>
        <v/>
      </c>
      <c r="AL8" s="129" t="str">
        <f t="shared" si="33"/>
        <v/>
      </c>
      <c r="AM8" s="92">
        <f t="shared" si="11"/>
        <v>0</v>
      </c>
      <c r="AN8" s="84" t="str">
        <f t="shared" si="12"/>
        <v/>
      </c>
      <c r="AO8" s="84" t="str">
        <f t="shared" si="13"/>
        <v/>
      </c>
      <c r="AP8" s="84" t="str">
        <f t="shared" si="14"/>
        <v/>
      </c>
      <c r="AQ8" s="84">
        <f t="shared" si="34"/>
        <v>0</v>
      </c>
      <c r="AR8" s="84"/>
      <c r="AS8" s="85"/>
      <c r="AT8" s="85"/>
      <c r="AU8" s="87" t="str">
        <f>IF(ISERROR(VLOOKUP(C8,'SDDA Dogs'!A:O,6,FALSE)),"",VLOOKUP(C8,'SDDA Dogs'!A:O,6,FALSE))</f>
        <v/>
      </c>
      <c r="AV8" s="84">
        <f t="shared" si="15"/>
        <v>0</v>
      </c>
      <c r="AW8" s="84">
        <f t="shared" si="16"/>
        <v>0</v>
      </c>
      <c r="AX8" s="88">
        <f t="shared" si="17"/>
        <v>0</v>
      </c>
      <c r="AZ8" s="132">
        <f t="shared" si="18"/>
        <v>0</v>
      </c>
      <c r="BA8" s="132">
        <f t="shared" si="19"/>
        <v>0</v>
      </c>
      <c r="BB8" s="87"/>
      <c r="BC8" s="262" t="str">
        <f>_xlfn.IFNA(IF(I8="Pass",IF(G8&gt;IFERROR(INDEX(DogInfo!A:B,MATCH(C8&amp;$BC$4,DogInfo!A:A,0),2),0),G8,INDEX(DogInfo!A:B,MATCH(C8&amp;$BC$4,DogInfo!A:A,0),2)),INDEX(DogInfo!A:B,MATCH(C8&amp;$BC$4,DogInfo!A:A,0),2)),"")</f>
        <v/>
      </c>
      <c r="BD8" s="262" t="str">
        <f>_xlfn.IFNA(IF(Q8="Pass",IF(O8&gt;IFERROR(INDEX(DogInfo!A:B,MATCH(C8&amp;$BD$4,DogInfo!A:A,0),2),0),O8,INDEX(DogInfo!A:B,MATCH(C8&amp;$BD$4,DogInfo!A:A,0),2)),INDEX(DogInfo!A:B,MATCH(C8&amp;$BD$4,DogInfo!A:A,0),2)),"")</f>
        <v/>
      </c>
      <c r="BE8" s="262" t="str">
        <f>_xlfn.IFNA(IF(Y8="Pass",IF(W8&gt;IFERROR(INDEX(DogInfo!A:B,MATCH(C8&amp;$BE$4,DogInfo!A:A,0),2),0),W8,INDEX(DogInfo!A:B,MATCH(C8&amp;$BE$4,DogInfo!A:A,0),2)),INDEX(DogInfo!A:B,MATCH(C8&amp;$BE$4,DogInfo!A:A,0),2)),"")</f>
        <v/>
      </c>
    </row>
    <row r="9" spans="1:57" s="9" customFormat="1" ht="12.75" x14ac:dyDescent="0.2">
      <c r="A9" s="99">
        <v>5</v>
      </c>
      <c r="B9" s="100"/>
      <c r="C9" s="120"/>
      <c r="D9" s="102" t="str">
        <f>IF($C9="","",VLOOKUP($C9,'SDDA Dogs'!$A:$F,2,FALSE))</f>
        <v/>
      </c>
      <c r="E9" s="211">
        <f t="shared" si="20"/>
        <v>1</v>
      </c>
      <c r="F9" s="121" t="str">
        <f>IF($C9="","",IFERROR(VLOOKUP($C9,'SDDA Dogs'!$A:$O,7,FALSE),0))</f>
        <v/>
      </c>
      <c r="G9" s="137"/>
      <c r="H9" s="217"/>
      <c r="I9" s="84" t="str">
        <f t="shared" si="21"/>
        <v/>
      </c>
      <c r="J9" s="105">
        <f>IF(OR(AND($I9="Pass",$B9="A"),AND($I9="Fail",UseFail="Y",$B9="A")),$G9,0)+IF(OR(AND($I9="Pass",$B9="A"),AND($I9="Fail",UseFail="Y",$B9="A")),(MaxTmCSS-VALUE($H9)),0)</f>
        <v>0</v>
      </c>
      <c r="K9" s="84" t="str">
        <f>IF(AND($B9="A",$G9&lt;&gt;0,$H9&lt;&gt;0,J9&lt;&gt;0),(RANK(J9,J$5:J$34,0)),"")</f>
        <v/>
      </c>
      <c r="L9" s="105">
        <f>IF(OR(AND($I9="Pass",$B9="W"),AND($I9="Fail",UseFail="Y",$B9="W")),$G9,0)+IF(OR(AND($I9="Pass",$B9="W"),AND($I9="Fail",UseFail="Y",$B9="W")),(MaxTmCSS-VALUE($H9)),0)</f>
        <v>0</v>
      </c>
      <c r="M9" s="84" t="str">
        <f>IF(AND($B9="W",$G9&lt;&gt;0,$H9&lt;&gt;0,L9&lt;&gt;0),(RANK(L9,L$5:L$34,0)),"")</f>
        <v/>
      </c>
      <c r="N9" s="125" t="str">
        <f>IF($C9="","",IFERROR(VLOOKUP($C9,'SDDA Dogs'!$A:$O,8,FALSE),0))</f>
        <v/>
      </c>
      <c r="O9" s="137"/>
      <c r="P9" s="217"/>
      <c r="Q9" s="84" t="str">
        <f t="shared" si="24"/>
        <v/>
      </c>
      <c r="R9" s="105">
        <f>IF(OR(AND($Q9="Pass",$B9="A"),AND($Q9="Fail",UseFail="Y",$B9="A")),$O9,0)+IF(OR(AND($Q9="Pass",$B9="A"),AND($Q9="Fail",UseFail="Y",$B9="A")),(MaxTmISS-VALUE($P9)),0)</f>
        <v>0</v>
      </c>
      <c r="S9" s="84" t="str">
        <f t="shared" si="3"/>
        <v/>
      </c>
      <c r="T9" s="105">
        <f>IF(OR(AND($Q9="Pass",$B9="W"),AND($Q9="Fail",UseFail="Y",$B9="W")),$O9,0)+IF(OR(AND($Q9="Pass",$B9="W"),AND($Q9="Fail",UseFail="Y",$B9="W")),(MaxTmISS-VALUE($P9)),0)</f>
        <v>0</v>
      </c>
      <c r="U9" s="84" t="str">
        <f>IF(AND($B9="w",$O9&lt;&gt;0,$P9&lt;&gt;0,T9&lt;&gt;0),(RANK(T9,T$5:T$34,0)),"")</f>
        <v/>
      </c>
      <c r="V9" s="125" t="str">
        <f>IF($C9="","",IFERROR(VLOOKUP($C9,'SDDA Dogs'!$A:$O,9,FALSE),0))</f>
        <v/>
      </c>
      <c r="W9" s="137"/>
      <c r="X9" s="217"/>
      <c r="Y9" s="84" t="str">
        <f t="shared" si="26"/>
        <v/>
      </c>
      <c r="Z9" s="105">
        <f t="shared" si="5"/>
        <v>0</v>
      </c>
      <c r="AA9" s="84" t="str">
        <f>IF(AND($B9="A",$W9&lt;&gt;0,$X9&lt;&gt;0,Z9&lt;&gt;0),(RANK(Z9,Z$5:Z$34,0)),"")</f>
        <v/>
      </c>
      <c r="AB9" s="105">
        <f t="shared" si="6"/>
        <v>0</v>
      </c>
      <c r="AC9" s="84" t="str">
        <f>IF(AND($B9="w",$W9&lt;&gt;0,$X9&lt;&gt;0,AB9&lt;&gt;0),(RANK(AB9,AB$5:AB$34,0)),"")</f>
        <v/>
      </c>
      <c r="AD9" s="126" t="str">
        <f t="shared" si="29"/>
        <v/>
      </c>
      <c r="AE9" s="89" t="str">
        <f t="shared" si="7"/>
        <v/>
      </c>
      <c r="AF9" s="104" t="str">
        <f t="shared" si="8"/>
        <v/>
      </c>
      <c r="AG9" s="128" t="str">
        <f t="shared" si="30"/>
        <v/>
      </c>
      <c r="AH9" s="126" t="str">
        <f t="shared" si="31"/>
        <v/>
      </c>
      <c r="AI9" s="89" t="str">
        <f t="shared" si="9"/>
        <v/>
      </c>
      <c r="AJ9" s="104" t="str">
        <f t="shared" si="10"/>
        <v/>
      </c>
      <c r="AK9" s="123" t="str">
        <f t="shared" si="32"/>
        <v/>
      </c>
      <c r="AL9" s="129" t="str">
        <f t="shared" si="33"/>
        <v/>
      </c>
      <c r="AM9" s="89">
        <f t="shared" si="11"/>
        <v>0</v>
      </c>
      <c r="AN9" s="84" t="str">
        <f t="shared" si="12"/>
        <v/>
      </c>
      <c r="AO9" s="84" t="str">
        <f t="shared" si="13"/>
        <v/>
      </c>
      <c r="AP9" s="84" t="str">
        <f t="shared" si="14"/>
        <v/>
      </c>
      <c r="AQ9" s="84">
        <f t="shared" si="34"/>
        <v>0</v>
      </c>
      <c r="AR9" s="84"/>
      <c r="AS9" s="85"/>
      <c r="AT9" s="85"/>
      <c r="AU9" s="87" t="str">
        <f>IF(ISERROR(VLOOKUP(C9,'SDDA Dogs'!A:O,6,FALSE)),"",VLOOKUP(C9,'SDDA Dogs'!A:O,6,FALSE))</f>
        <v/>
      </c>
      <c r="AV9" s="84">
        <f t="shared" si="15"/>
        <v>0</v>
      </c>
      <c r="AW9" s="84">
        <f t="shared" si="16"/>
        <v>0</v>
      </c>
      <c r="AX9" s="88">
        <f t="shared" si="17"/>
        <v>0</v>
      </c>
      <c r="AZ9" s="132">
        <f t="shared" si="18"/>
        <v>0</v>
      </c>
      <c r="BA9" s="132">
        <f t="shared" si="19"/>
        <v>0</v>
      </c>
      <c r="BB9" s="87"/>
      <c r="BC9" s="262" t="str">
        <f>_xlfn.IFNA(IF(I9="Pass",IF(G9&gt;IFERROR(INDEX(DogInfo!A:B,MATCH(C9&amp;$BC$4,DogInfo!A:A,0),2),0),G9,INDEX(DogInfo!A:B,MATCH(C9&amp;$BC$4,DogInfo!A:A,0),2)),INDEX(DogInfo!A:B,MATCH(C9&amp;$BC$4,DogInfo!A:A,0),2)),"")</f>
        <v/>
      </c>
      <c r="BD9" s="262" t="str">
        <f>_xlfn.IFNA(IF(Q9="Pass",IF(O9&gt;IFERROR(INDEX(DogInfo!A:B,MATCH(C9&amp;$BD$4,DogInfo!A:A,0),2),0),O9,INDEX(DogInfo!A:B,MATCH(C9&amp;$BD$4,DogInfo!A:A,0),2)),INDEX(DogInfo!A:B,MATCH(C9&amp;$BD$4,DogInfo!A:A,0),2)),"")</f>
        <v/>
      </c>
      <c r="BE9" s="262" t="str">
        <f>_xlfn.IFNA(IF(Y9="Pass",IF(W9&gt;IFERROR(INDEX(DogInfo!A:B,MATCH(C9&amp;$BE$4,DogInfo!A:A,0),2),0),W9,INDEX(DogInfo!A:B,MATCH(C9&amp;$BE$4,DogInfo!A:A,0),2)),INDEX(DogInfo!A:B,MATCH(C9&amp;$BE$4,DogInfo!A:A,0),2)),"")</f>
        <v/>
      </c>
    </row>
    <row r="10" spans="1:57" s="9" customFormat="1" ht="12.75" x14ac:dyDescent="0.2">
      <c r="A10" s="99">
        <v>6</v>
      </c>
      <c r="B10" s="100"/>
      <c r="C10" s="120"/>
      <c r="D10" s="102" t="str">
        <f>IF($C10="","",VLOOKUP($C10,'SDDA Dogs'!$A:$F,2,FALSE))</f>
        <v/>
      </c>
      <c r="E10" s="211">
        <f t="shared" si="20"/>
        <v>1</v>
      </c>
      <c r="F10" s="103" t="str">
        <f>IF($C10="","",IFERROR(VLOOKUP($C10,'SDDA Dogs'!$A:$O,7,FALSE),0))</f>
        <v/>
      </c>
      <c r="G10" s="137"/>
      <c r="H10" s="217"/>
      <c r="I10" s="84" t="str">
        <f t="shared" si="21"/>
        <v/>
      </c>
      <c r="J10" s="105">
        <f>IF(OR(AND($I10="Pass",$B10="A"),AND($I10="Fail",UseFail="Y",$B10="A")),$G10,0)+IF(OR(AND($I10="Pass",$B10="A"),AND($I10="Fail",UseFail="Y",$B10="A")),(MaxTmCSS-VALUE($H10)),0)</f>
        <v>0</v>
      </c>
      <c r="K10" s="84" t="str">
        <f>IF(AND($B10="A",$G10&lt;&gt;0,$H10&lt;&gt;0,J10&lt;&gt;0),(RANK(J10,J$5:J$34,0)),"")</f>
        <v/>
      </c>
      <c r="L10" s="105">
        <f>IF(OR(AND($I10="Pass",$B10="W"),AND($I10="Fail",UseFail="Y",$B10="W")),$G10,0)+IF(OR(AND($I10="Pass",$B10="W"),AND($I10="Fail",UseFail="Y",$B10="W")),(MaxTmCSS-VALUE($H10)),0)</f>
        <v>0</v>
      </c>
      <c r="M10" s="84" t="str">
        <f>IF(AND($B10="W",$G10&lt;&gt;0,$H10&lt;&gt;0,L10&lt;&gt;0),(RANK(L10,L$5:L$34,0)),"")</f>
        <v/>
      </c>
      <c r="N10" s="106" t="str">
        <f>IF($C10="","",IFERROR(VLOOKUP($C10,'SDDA Dogs'!$A:$O,8,FALSE),0))</f>
        <v/>
      </c>
      <c r="O10" s="137"/>
      <c r="P10" s="217"/>
      <c r="Q10" s="84" t="str">
        <f t="shared" si="24"/>
        <v/>
      </c>
      <c r="R10" s="105">
        <f>IF(OR(AND($Q10="Pass",$B10="A"),AND($Q10="Fail",UseFail="Y",$B10="A")),$O10,0)+IF(OR(AND($Q10="Pass",$B10="A"),AND($Q10="Fail",UseFail="Y",$B10="A")),(MaxTmISS-VALUE($P10)),0)</f>
        <v>0</v>
      </c>
      <c r="S10" s="84" t="str">
        <f t="shared" si="3"/>
        <v/>
      </c>
      <c r="T10" s="105">
        <f>IF(OR(AND($Q10="Pass",$B10="W"),AND($Q10="Fail",UseFail="Y",$B10="W")),$O10,0)+IF(OR(AND($Q10="Pass",$B10="W"),AND($Q10="Fail",UseFail="Y",$B10="W")),(MaxTmISS-VALUE($P10)),0)</f>
        <v>0</v>
      </c>
      <c r="U10" s="84" t="str">
        <f>IF(AND($B10="w",$O10&lt;&gt;0,$P10&lt;&gt;0,T10&lt;&gt;0),(RANK(T10,T$5:T$34,0)),"")</f>
        <v/>
      </c>
      <c r="V10" s="106" t="str">
        <f>IF($C10="","",IFERROR(VLOOKUP($C10,'SDDA Dogs'!$A:$O,9,FALSE),0))</f>
        <v/>
      </c>
      <c r="W10" s="137"/>
      <c r="X10" s="217"/>
      <c r="Y10" s="84" t="str">
        <f t="shared" si="26"/>
        <v/>
      </c>
      <c r="Z10" s="105">
        <f>IF(OR(AND($Y10="Pass",$B10="A"),AND($Y10="Fail",UseFail="Y",$B10="A")),$W10,0)+IF(OR(AND($Y10="Pass",$B10="A"),AND($Y10="Fail",UseFail="Y",$B10="A")),(MaxTmESS-VALUE($X10)),0)</f>
        <v>0</v>
      </c>
      <c r="AA10" s="84" t="str">
        <f>IF(AND($B10="A",$W10&lt;&gt;0,$X10&lt;&gt;0,Z10&lt;&gt;0),(RANK(Z10,Z$5:Z$34,0)),"")</f>
        <v/>
      </c>
      <c r="AB10" s="105">
        <f>IF(OR(AND($Y10="Pass",$B10="w"),AND($Y10="Fail",UseFail="Y",$B10="w")),$W10,0)+IF(OR(AND($Y10="Pass",$B10="w"),AND($Y10="Fail",UseFail="Y",$B10="w")),(MaxTmESS-VALUE($X10)),0)</f>
        <v>0</v>
      </c>
      <c r="AC10" s="84" t="str">
        <f>IF(AND($B10="w",$W10&lt;&gt;0,$X10&lt;&gt;0,AB10&lt;&gt;0),(RANK(AB10,AB$5:AB$34,0)),"")</f>
        <v/>
      </c>
      <c r="AD10" s="126" t="str">
        <f t="shared" si="29"/>
        <v/>
      </c>
      <c r="AE10" s="89" t="str">
        <f t="shared" si="7"/>
        <v/>
      </c>
      <c r="AF10" s="104" t="str">
        <f t="shared" si="8"/>
        <v/>
      </c>
      <c r="AG10" s="128" t="str">
        <f t="shared" si="30"/>
        <v/>
      </c>
      <c r="AH10" s="126" t="str">
        <f t="shared" si="31"/>
        <v/>
      </c>
      <c r="AI10" s="89" t="str">
        <f t="shared" si="9"/>
        <v/>
      </c>
      <c r="AJ10" s="104" t="str">
        <f t="shared" si="10"/>
        <v/>
      </c>
      <c r="AK10" s="123" t="str">
        <f t="shared" si="32"/>
        <v/>
      </c>
      <c r="AL10" s="129" t="str">
        <f t="shared" si="33"/>
        <v/>
      </c>
      <c r="AM10" s="89">
        <f t="shared" si="11"/>
        <v>0</v>
      </c>
      <c r="AN10" s="84" t="str">
        <f t="shared" si="12"/>
        <v/>
      </c>
      <c r="AO10" s="84" t="str">
        <f t="shared" si="13"/>
        <v/>
      </c>
      <c r="AP10" s="84" t="str">
        <f t="shared" si="14"/>
        <v/>
      </c>
      <c r="AQ10" s="84">
        <f t="shared" si="34"/>
        <v>0</v>
      </c>
      <c r="AR10" s="84"/>
      <c r="AS10" s="85"/>
      <c r="AT10" s="85"/>
      <c r="AU10" s="87" t="str">
        <f>IF(ISERROR(VLOOKUP(C10,'SDDA Dogs'!A:O,6,FALSE)),"",VLOOKUP(C10,'SDDA Dogs'!A:O,6,FALSE))</f>
        <v/>
      </c>
      <c r="AV10" s="84">
        <f t="shared" si="15"/>
        <v>0</v>
      </c>
      <c r="AW10" s="84">
        <f t="shared" si="16"/>
        <v>0</v>
      </c>
      <c r="AX10" s="88">
        <f t="shared" si="17"/>
        <v>0</v>
      </c>
      <c r="AZ10" s="132">
        <f t="shared" si="18"/>
        <v>0</v>
      </c>
      <c r="BA10" s="132">
        <f t="shared" si="19"/>
        <v>0</v>
      </c>
      <c r="BB10" s="87"/>
      <c r="BC10" s="262" t="str">
        <f>_xlfn.IFNA(IF(I10="Pass",IF(G10&gt;IFERROR(INDEX(DogInfo!A:B,MATCH(C10&amp;$BC$4,DogInfo!A:A,0),2),0),G10,INDEX(DogInfo!A:B,MATCH(C10&amp;$BC$4,DogInfo!A:A,0),2)),INDEX(DogInfo!A:B,MATCH(C10&amp;$BC$4,DogInfo!A:A,0),2)),"")</f>
        <v/>
      </c>
      <c r="BD10" s="262" t="str">
        <f>_xlfn.IFNA(IF(Q10="Pass",IF(O10&gt;IFERROR(INDEX(DogInfo!A:B,MATCH(C10&amp;$BD$4,DogInfo!A:A,0),2),0),O10,INDEX(DogInfo!A:B,MATCH(C10&amp;$BD$4,DogInfo!A:A,0),2)),INDEX(DogInfo!A:B,MATCH(C10&amp;$BD$4,DogInfo!A:A,0),2)),"")</f>
        <v/>
      </c>
      <c r="BE10" s="262" t="str">
        <f>_xlfn.IFNA(IF(Y10="Pass",IF(W10&gt;IFERROR(INDEX(DogInfo!A:B,MATCH(C10&amp;$BE$4,DogInfo!A:A,0),2),0),W10,INDEX(DogInfo!A:B,MATCH(C10&amp;$BE$4,DogInfo!A:A,0),2)),INDEX(DogInfo!A:B,MATCH(C10&amp;$BE$4,DogInfo!A:A,0),2)),"")</f>
        <v/>
      </c>
    </row>
    <row r="11" spans="1:57" s="9" customFormat="1" ht="12.75" x14ac:dyDescent="0.2">
      <c r="A11" s="99">
        <v>7</v>
      </c>
      <c r="B11" s="100"/>
      <c r="C11" s="120"/>
      <c r="D11" s="102" t="str">
        <f>IF($C11="","",VLOOKUP($C11,'SDDA Dogs'!$A:$F,2,FALSE))</f>
        <v/>
      </c>
      <c r="E11" s="211">
        <f t="shared" si="20"/>
        <v>1</v>
      </c>
      <c r="F11" s="103" t="str">
        <f>IF($C11="","",IFERROR(VLOOKUP($C11,'SDDA Dogs'!$A:$O,7,FALSE),0))</f>
        <v/>
      </c>
      <c r="G11" s="137"/>
      <c r="H11" s="217"/>
      <c r="I11" s="84" t="str">
        <f t="shared" si="21"/>
        <v/>
      </c>
      <c r="J11" s="105">
        <f>IF(OR(AND($I11="Pass",$B11="A"),AND($I11="Fail",UseFail="Y",$B11="A")),$G11,0)+IF(OR(AND($I11="Pass",$B11="A"),AND($I11="Fail",UseFail="Y",$B11="A")),(MaxTmCSS-VALUE($H11)),0)</f>
        <v>0</v>
      </c>
      <c r="K11" s="84" t="str">
        <f>IF(AND($B11="A",$G11&lt;&gt;0,$H11&lt;&gt;0,J11&lt;&gt;0),(RANK(J11,J$5:J$34,0)),"")</f>
        <v/>
      </c>
      <c r="L11" s="105">
        <f>IF(OR(AND($I11="Pass",$B11="W"),AND($I11="Fail",UseFail="Y",$B11="W")),$G11,0)+IF(OR(AND($I11="Pass",$B11="W"),AND($I11="Fail",UseFail="Y",$B11="W")),(MaxTmCSS-VALUE($H11)),0)</f>
        <v>0</v>
      </c>
      <c r="M11" s="84" t="str">
        <f>IF(AND($B11="W",$G11&lt;&gt;0,$H11&lt;&gt;0,L11&lt;&gt;0),(RANK(L11,L$5:L$34,0)),"")</f>
        <v/>
      </c>
      <c r="N11" s="106" t="str">
        <f>IF($C11="","",IFERROR(VLOOKUP($C11,'SDDA Dogs'!$A:$O,8,FALSE),0))</f>
        <v/>
      </c>
      <c r="O11" s="137"/>
      <c r="P11" s="217"/>
      <c r="Q11" s="84" t="str">
        <f t="shared" si="24"/>
        <v/>
      </c>
      <c r="R11" s="105">
        <f>IF(OR(AND($Q11="Pass",$B11="A"),AND($Q11="Fail",UseFail="Y",$B11="A")),$O11,0)+IF(OR(AND($Q11="Pass",$B11="A"),AND($Q11="Fail",UseFail="Y",$B11="A")),(MaxTmISS-VALUE($P11)),0)</f>
        <v>0</v>
      </c>
      <c r="S11" s="84" t="str">
        <f t="shared" si="3"/>
        <v/>
      </c>
      <c r="T11" s="105">
        <f>IF(OR(AND($Q11="Pass",$B11="W"),AND($Q11="Fail",UseFail="Y",$B11="W")),$O11,0)+IF(OR(AND($Q11="Pass",$B11="W"),AND($Q11="Fail",UseFail="Y",$B11="W")),(MaxTmISS-VALUE($P11)),0)</f>
        <v>0</v>
      </c>
      <c r="U11" s="84" t="str">
        <f>IF(AND($B11="w",$O11&lt;&gt;0,$P11&lt;&gt;0,T11&lt;&gt;0),(RANK(T11,T$5:T$34,0)),"")</f>
        <v/>
      </c>
      <c r="V11" s="106" t="str">
        <f>IF($C11="","",IFERROR(VLOOKUP($C11,'SDDA Dogs'!$A:$O,9,FALSE),0))</f>
        <v/>
      </c>
      <c r="W11" s="137"/>
      <c r="X11" s="217"/>
      <c r="Y11" s="84" t="str">
        <f t="shared" si="26"/>
        <v/>
      </c>
      <c r="Z11" s="105">
        <f>IF(OR(AND($Y11="Pass",$B11="A"),AND($Y11="Fail",UseFail="Y",$B11="A")),$W11,0)+IF(OR(AND($Y11="Pass",$B11="A"),AND($Y11="Fail",UseFail="Y",$B11="A")),(MaxTmESS-VALUE($X11)),0)</f>
        <v>0</v>
      </c>
      <c r="AA11" s="84" t="str">
        <f>IF(AND($B11="A",$W11&lt;&gt;0,$X11&lt;&gt;0,Z11&lt;&gt;0),(RANK(Z11,Z$5:Z$34,0)),"")</f>
        <v/>
      </c>
      <c r="AB11" s="105">
        <f>IF(OR(AND($Y11="Pass",$B11="w"),AND($Y11="Fail",UseFail="Y",$B11="w")),$W11,0)+IF(OR(AND($Y11="Pass",$B11="w"),AND($Y11="Fail",UseFail="Y",$B11="w")),(MaxTmESS-VALUE($X11)),0)</f>
        <v>0</v>
      </c>
      <c r="AC11" s="84" t="str">
        <f>IF(AND($B11="w",$W11&lt;&gt;0,$X11&lt;&gt;0,AB11&lt;&gt;0),(RANK(AB11,AB$5:AB$34,0)),"")</f>
        <v/>
      </c>
      <c r="AD11" s="126" t="str">
        <f t="shared" si="29"/>
        <v/>
      </c>
      <c r="AE11" s="89" t="str">
        <f t="shared" si="7"/>
        <v/>
      </c>
      <c r="AF11" s="104" t="str">
        <f t="shared" si="8"/>
        <v/>
      </c>
      <c r="AG11" s="128" t="str">
        <f t="shared" si="30"/>
        <v/>
      </c>
      <c r="AH11" s="126" t="str">
        <f t="shared" si="31"/>
        <v/>
      </c>
      <c r="AI11" s="89" t="str">
        <f t="shared" si="9"/>
        <v/>
      </c>
      <c r="AJ11" s="104" t="str">
        <f t="shared" si="10"/>
        <v/>
      </c>
      <c r="AK11" s="123" t="str">
        <f t="shared" si="32"/>
        <v/>
      </c>
      <c r="AL11" s="129" t="str">
        <f t="shared" si="33"/>
        <v/>
      </c>
      <c r="AM11" s="89">
        <f t="shared" si="11"/>
        <v>0</v>
      </c>
      <c r="AN11" s="84" t="str">
        <f t="shared" si="12"/>
        <v/>
      </c>
      <c r="AO11" s="84" t="str">
        <f t="shared" si="13"/>
        <v/>
      </c>
      <c r="AP11" s="84" t="str">
        <f t="shared" si="14"/>
        <v/>
      </c>
      <c r="AQ11" s="84">
        <f t="shared" si="34"/>
        <v>0</v>
      </c>
      <c r="AR11" s="84"/>
      <c r="AS11" s="85"/>
      <c r="AT11" s="85"/>
      <c r="AU11" s="87" t="str">
        <f>IF(ISERROR(VLOOKUP(C11,'SDDA Dogs'!A:O,6,FALSE)),"",VLOOKUP(C11,'SDDA Dogs'!A:O,6,FALSE))</f>
        <v/>
      </c>
      <c r="AV11" s="84">
        <f t="shared" si="15"/>
        <v>0</v>
      </c>
      <c r="AW11" s="84">
        <f t="shared" si="16"/>
        <v>0</v>
      </c>
      <c r="AX11" s="88">
        <f t="shared" si="17"/>
        <v>0</v>
      </c>
      <c r="AZ11" s="132">
        <f t="shared" si="18"/>
        <v>0</v>
      </c>
      <c r="BA11" s="132">
        <f t="shared" si="19"/>
        <v>0</v>
      </c>
      <c r="BB11" s="87"/>
      <c r="BC11" s="262" t="str">
        <f>_xlfn.IFNA(IF(I11="Pass",IF(G11&gt;IFERROR(INDEX(DogInfo!A:B,MATCH(C11&amp;$BC$4,DogInfo!A:A,0),2),0),G11,INDEX(DogInfo!A:B,MATCH(C11&amp;$BC$4,DogInfo!A:A,0),2)),INDEX(DogInfo!A:B,MATCH(C11&amp;$BC$4,DogInfo!A:A,0),2)),"")</f>
        <v/>
      </c>
      <c r="BD11" s="262" t="str">
        <f>_xlfn.IFNA(IF(Q11="Pass",IF(O11&gt;IFERROR(INDEX(DogInfo!A:B,MATCH(C11&amp;$BD$4,DogInfo!A:A,0),2),0),O11,INDEX(DogInfo!A:B,MATCH(C11&amp;$BD$4,DogInfo!A:A,0),2)),INDEX(DogInfo!A:B,MATCH(C11&amp;$BD$4,DogInfo!A:A,0),2)),"")</f>
        <v/>
      </c>
      <c r="BE11" s="262" t="str">
        <f>_xlfn.IFNA(IF(Y11="Pass",IF(W11&gt;IFERROR(INDEX(DogInfo!A:B,MATCH(C11&amp;$BE$4,DogInfo!A:A,0),2),0),W11,INDEX(DogInfo!A:B,MATCH(C11&amp;$BE$4,DogInfo!A:A,0),2)),INDEX(DogInfo!A:B,MATCH(C11&amp;$BE$4,DogInfo!A:A,0),2)),"")</f>
        <v/>
      </c>
    </row>
    <row r="12" spans="1:57" s="9" customFormat="1" ht="12.75" x14ac:dyDescent="0.2">
      <c r="A12" s="99">
        <v>8</v>
      </c>
      <c r="B12" s="100"/>
      <c r="C12" s="120"/>
      <c r="D12" s="102" t="str">
        <f>IF($C12="","",VLOOKUP($C12,'SDDA Dogs'!$A:$F,2,FALSE))</f>
        <v/>
      </c>
      <c r="E12" s="211">
        <f t="shared" si="20"/>
        <v>1</v>
      </c>
      <c r="F12" s="103" t="str">
        <f>IF($C12="","",IFERROR(VLOOKUP($C12,'SDDA Dogs'!$A:$O,7,FALSE),0))</f>
        <v/>
      </c>
      <c r="G12" s="137"/>
      <c r="H12" s="217"/>
      <c r="I12" s="84" t="str">
        <f t="shared" si="21"/>
        <v/>
      </c>
      <c r="J12" s="105">
        <f>IF(OR(AND($I12="Pass",$B12="A"),AND($I12="Fail",UseFail="Y",$B12="A")),$G12,0)+IF(OR(AND($I12="Pass",$B12="A"),AND($I12="Fail",UseFail="Y",$B12="A")),(MaxTmCSS-VALUE($H12)),0)</f>
        <v>0</v>
      </c>
      <c r="K12" s="84" t="str">
        <f>IF(AND($B12="A",$G12&lt;&gt;0,$H12&lt;&gt;0,J12&lt;&gt;0),(RANK(J12,J$5:J$34,0)),"")</f>
        <v/>
      </c>
      <c r="L12" s="105">
        <f>IF(OR(AND($I12="Pass",$B12="W"),AND($I12="Fail",UseFail="Y",$B12="W")),$G12,0)+IF(OR(AND($I12="Pass",$B12="W"),AND($I12="Fail",UseFail="Y",$B12="W")),(MaxTmCSS-VALUE($H12)),0)</f>
        <v>0</v>
      </c>
      <c r="M12" s="84" t="str">
        <f>IF(AND($B12="W",$G12&lt;&gt;0,$H12&lt;&gt;0,L12&lt;&gt;0),(RANK(L12,L$5:L$34,0)),"")</f>
        <v/>
      </c>
      <c r="N12" s="106" t="str">
        <f>IF($C12="","",IFERROR(VLOOKUP($C12,'SDDA Dogs'!$A:$O,8,FALSE),0))</f>
        <v/>
      </c>
      <c r="O12" s="137"/>
      <c r="P12" s="217"/>
      <c r="Q12" s="84" t="str">
        <f t="shared" si="24"/>
        <v/>
      </c>
      <c r="R12" s="105">
        <f>IF(OR(AND($Q12="Pass",$B12="A"),AND($Q12="Fail",UseFail="Y",$B12="A")),$O12,0)+IF(OR(AND($Q12="Pass",$B12="A"),AND($Q12="Fail",UseFail="Y",$B12="A")),(MaxTmISS-VALUE($P12)),0)</f>
        <v>0</v>
      </c>
      <c r="S12" s="84" t="str">
        <f t="shared" si="3"/>
        <v/>
      </c>
      <c r="T12" s="105">
        <f>IF(OR(AND($Q12="Pass",$B12="W"),AND($Q12="Fail",UseFail="Y",$B12="W")),$O12,0)+IF(OR(AND($Q12="Pass",$B12="W"),AND($Q12="Fail",UseFail="Y",$B12="W")),(MaxTmISS-VALUE($P12)),0)</f>
        <v>0</v>
      </c>
      <c r="U12" s="84" t="str">
        <f>IF(AND($B12="w",$O12&lt;&gt;0,$P12&lt;&gt;0,T12&lt;&gt;0),(RANK(T12,T$5:T$34,0)),"")</f>
        <v/>
      </c>
      <c r="V12" s="106" t="str">
        <f>IF($C12="","",IFERROR(VLOOKUP($C12,'SDDA Dogs'!$A:$O,9,FALSE),0))</f>
        <v/>
      </c>
      <c r="W12" s="137"/>
      <c r="X12" s="217"/>
      <c r="Y12" s="84" t="str">
        <f t="shared" si="26"/>
        <v/>
      </c>
      <c r="Z12" s="105">
        <f>IF(OR(AND($Y12="Pass",$B12="A"),AND($Y12="Fail",UseFail="Y",$B12="A")),$W12,0)+IF(OR(AND($Y12="Pass",$B12="A"),AND($Y12="Fail",UseFail="Y",$B12="A")),(MaxTmESS-VALUE($X12)),0)</f>
        <v>0</v>
      </c>
      <c r="AA12" s="84" t="str">
        <f>IF(AND($B12="A",$W12&lt;&gt;0,$X12&lt;&gt;0,Z12&lt;&gt;0),(RANK(Z12,Z$5:Z$34,0)),"")</f>
        <v/>
      </c>
      <c r="AB12" s="105">
        <f>IF(OR(AND($Y12="Pass",$B12="w"),AND($Y12="Fail",UseFail="Y",$B12="w")),$W12,0)+IF(OR(AND($Y12="Pass",$B12="w"),AND($Y12="Fail",UseFail="Y",$B12="w")),(MaxTmESS-VALUE($X12)),0)</f>
        <v>0</v>
      </c>
      <c r="AC12" s="84" t="str">
        <f>IF(AND($B12="w",$W12&lt;&gt;0,$X12&lt;&gt;0,AB12&lt;&gt;0),(RANK(AB12,AB$5:AB$34,0)),"")</f>
        <v/>
      </c>
      <c r="AD12" s="126" t="str">
        <f t="shared" si="29"/>
        <v/>
      </c>
      <c r="AE12" s="89" t="str">
        <f t="shared" si="7"/>
        <v/>
      </c>
      <c r="AF12" s="104" t="str">
        <f t="shared" si="8"/>
        <v/>
      </c>
      <c r="AG12" s="128" t="str">
        <f t="shared" si="30"/>
        <v/>
      </c>
      <c r="AH12" s="126" t="str">
        <f t="shared" si="31"/>
        <v/>
      </c>
      <c r="AI12" s="89" t="str">
        <f t="shared" si="9"/>
        <v/>
      </c>
      <c r="AJ12" s="104" t="str">
        <f t="shared" si="10"/>
        <v/>
      </c>
      <c r="AK12" s="123" t="str">
        <f t="shared" si="32"/>
        <v/>
      </c>
      <c r="AL12" s="129" t="str">
        <f t="shared" si="33"/>
        <v/>
      </c>
      <c r="AM12" s="89">
        <f t="shared" si="11"/>
        <v>0</v>
      </c>
      <c r="AN12" s="84" t="str">
        <f t="shared" si="12"/>
        <v/>
      </c>
      <c r="AO12" s="84" t="str">
        <f t="shared" si="13"/>
        <v/>
      </c>
      <c r="AP12" s="84" t="str">
        <f t="shared" si="14"/>
        <v/>
      </c>
      <c r="AQ12" s="84">
        <f t="shared" si="34"/>
        <v>0</v>
      </c>
      <c r="AR12" s="84"/>
      <c r="AS12" s="85"/>
      <c r="AT12" s="85"/>
      <c r="AU12" s="87" t="str">
        <f>IF(ISERROR(VLOOKUP(C12,'SDDA Dogs'!A:O,6,FALSE)),"",VLOOKUP(C12,'SDDA Dogs'!A:O,6,FALSE))</f>
        <v/>
      </c>
      <c r="AV12" s="84">
        <f t="shared" si="15"/>
        <v>0</v>
      </c>
      <c r="AW12" s="84">
        <f t="shared" si="16"/>
        <v>0</v>
      </c>
      <c r="AX12" s="88">
        <f t="shared" si="17"/>
        <v>0</v>
      </c>
      <c r="AZ12" s="132">
        <f t="shared" si="18"/>
        <v>0</v>
      </c>
      <c r="BA12" s="132">
        <f t="shared" si="19"/>
        <v>0</v>
      </c>
      <c r="BB12" s="87"/>
      <c r="BC12" s="262" t="str">
        <f>_xlfn.IFNA(IF(I12="Pass",IF(G12&gt;IFERROR(INDEX(DogInfo!A:B,MATCH(C12&amp;$BC$4,DogInfo!A:A,0),2),0),G12,INDEX(DogInfo!A:B,MATCH(C12&amp;$BC$4,DogInfo!A:A,0),2)),INDEX(DogInfo!A:B,MATCH(C12&amp;$BC$4,DogInfo!A:A,0),2)),"")</f>
        <v/>
      </c>
      <c r="BD12" s="262" t="str">
        <f>_xlfn.IFNA(IF(Q12="Pass",IF(O12&gt;IFERROR(INDEX(DogInfo!A:B,MATCH(C12&amp;$BD$4,DogInfo!A:A,0),2),0),O12,INDEX(DogInfo!A:B,MATCH(C12&amp;$BD$4,DogInfo!A:A,0),2)),INDEX(DogInfo!A:B,MATCH(C12&amp;$BD$4,DogInfo!A:A,0),2)),"")</f>
        <v/>
      </c>
      <c r="BE12" s="262" t="str">
        <f>_xlfn.IFNA(IF(Y12="Pass",IF(W12&gt;IFERROR(INDEX(DogInfo!A:B,MATCH(C12&amp;$BE$4,DogInfo!A:A,0),2),0),W12,INDEX(DogInfo!A:B,MATCH(C12&amp;$BE$4,DogInfo!A:A,0),2)),INDEX(DogInfo!A:B,MATCH(C12&amp;$BE$4,DogInfo!A:A,0),2)),"")</f>
        <v/>
      </c>
    </row>
    <row r="13" spans="1:57" s="9" customFormat="1" ht="12.75" x14ac:dyDescent="0.2">
      <c r="A13" s="99">
        <v>9</v>
      </c>
      <c r="B13" s="100"/>
      <c r="C13" s="120"/>
      <c r="D13" s="102" t="str">
        <f>IF($C13="","",VLOOKUP($C13,'SDDA Dogs'!$A:$F,2,FALSE))</f>
        <v/>
      </c>
      <c r="E13" s="211">
        <f t="shared" si="20"/>
        <v>1</v>
      </c>
      <c r="F13" s="103" t="str">
        <f>IF($C13="","",IFERROR(VLOOKUP($C13,'SDDA Dogs'!$A:$O,7,FALSE),0))</f>
        <v/>
      </c>
      <c r="G13" s="137"/>
      <c r="H13" s="217"/>
      <c r="I13" s="84" t="str">
        <f t="shared" si="21"/>
        <v/>
      </c>
      <c r="J13" s="105">
        <f>IF(OR(AND($I13="Pass",$B13="A"),AND($I13="Fail",UseFail="Y",$B13="A")),$G13,0)+IF(OR(AND($I13="Pass",$B13="A"),AND($I13="Fail",UseFail="Y",$B13="A")),(MaxTmCSS-VALUE($H13)),0)</f>
        <v>0</v>
      </c>
      <c r="K13" s="84" t="str">
        <f>IF(AND($B13="A",$G13&lt;&gt;0,$H13&lt;&gt;0,J13&lt;&gt;0),(RANK(J13,J$5:J$34,0)),"")</f>
        <v/>
      </c>
      <c r="L13" s="105">
        <f>IF(OR(AND($I13="Pass",$B13="W"),AND($I13="Fail",UseFail="Y",$B13="W")),$G13,0)+IF(OR(AND($I13="Pass",$B13="W"),AND($I13="Fail",UseFail="Y",$B13="W")),(MaxTmCSS-VALUE($H13)),0)</f>
        <v>0</v>
      </c>
      <c r="M13" s="84" t="str">
        <f>IF(AND($B13="W",$G13&lt;&gt;0,$H13&lt;&gt;0,L13&lt;&gt;0),(RANK(L13,L$5:L$34,0)),"")</f>
        <v/>
      </c>
      <c r="N13" s="106" t="str">
        <f>IF($C13="","",IFERROR(VLOOKUP($C13,'SDDA Dogs'!$A:$O,8,FALSE),0))</f>
        <v/>
      </c>
      <c r="O13" s="137"/>
      <c r="P13" s="217"/>
      <c r="Q13" s="84" t="str">
        <f t="shared" si="24"/>
        <v/>
      </c>
      <c r="R13" s="105">
        <f>IF(OR(AND($Q13="Pass",$B13="A"),AND($Q13="Fail",UseFail="Y",$B13="A")),$O13,0)+IF(OR(AND($Q13="Pass",$B13="A"),AND($Q13="Fail",UseFail="Y",$B13="A")),(MaxTmISS-VALUE($P13)),0)</f>
        <v>0</v>
      </c>
      <c r="S13" s="84" t="str">
        <f t="shared" si="3"/>
        <v/>
      </c>
      <c r="T13" s="105">
        <f>IF(OR(AND($Q13="Pass",$B13="W"),AND($Q13="Fail",UseFail="Y",$B13="W")),$O13,0)+IF(OR(AND($Q13="Pass",$B13="W"),AND($Q13="Fail",UseFail="Y",$B13="W")),(MaxTmISS-VALUE($P13)),0)</f>
        <v>0</v>
      </c>
      <c r="U13" s="84" t="str">
        <f>IF(AND($B13="w",$O13&lt;&gt;0,$P13&lt;&gt;0,T13&lt;&gt;0),(RANK(T13,T$5:T$34,0)),"")</f>
        <v/>
      </c>
      <c r="V13" s="106" t="str">
        <f>IF($C13="","",IFERROR(VLOOKUP($C13,'SDDA Dogs'!$A:$O,9,FALSE),0))</f>
        <v/>
      </c>
      <c r="W13" s="137"/>
      <c r="X13" s="217"/>
      <c r="Y13" s="84" t="str">
        <f t="shared" si="26"/>
        <v/>
      </c>
      <c r="Z13" s="105">
        <f>IF(OR(AND($Y13="Pass",$B13="A"),AND($Y13="Fail",UseFail="Y",$B13="A")),$W13,0)+IF(OR(AND($Y13="Pass",$B13="A"),AND($Y13="Fail",UseFail="Y",$B13="A")),(MaxTmESS-VALUE($X13)),0)</f>
        <v>0</v>
      </c>
      <c r="AA13" s="84" t="str">
        <f>IF(AND($B13="A",$W13&lt;&gt;0,$X13&lt;&gt;0,Z13&lt;&gt;0),(RANK(Z13,Z$5:Z$34,0)),"")</f>
        <v/>
      </c>
      <c r="AB13" s="105">
        <f>IF(OR(AND($Y13="Pass",$B13="w"),AND($Y13="Fail",UseFail="Y",$B13="w")),$W13,0)+IF(OR(AND($Y13="Pass",$B13="w"),AND($Y13="Fail",UseFail="Y",$B13="w")),(MaxTmESS-VALUE($X13)),0)</f>
        <v>0</v>
      </c>
      <c r="AC13" s="84" t="str">
        <f>IF(AND($B13="w",$W13&lt;&gt;0,$X13&lt;&gt;0,AB13&lt;&gt;0),(RANK(AB13,AB$5:AB$34,0)),"")</f>
        <v/>
      </c>
      <c r="AD13" s="126" t="str">
        <f t="shared" si="29"/>
        <v/>
      </c>
      <c r="AE13" s="89" t="str">
        <f t="shared" si="7"/>
        <v/>
      </c>
      <c r="AF13" s="104" t="str">
        <f t="shared" si="8"/>
        <v/>
      </c>
      <c r="AG13" s="128" t="str">
        <f t="shared" si="30"/>
        <v/>
      </c>
      <c r="AH13" s="126" t="str">
        <f t="shared" si="31"/>
        <v/>
      </c>
      <c r="AI13" s="89" t="str">
        <f t="shared" si="9"/>
        <v/>
      </c>
      <c r="AJ13" s="104" t="str">
        <f t="shared" si="10"/>
        <v/>
      </c>
      <c r="AK13" s="123" t="str">
        <f t="shared" si="32"/>
        <v/>
      </c>
      <c r="AL13" s="129" t="str">
        <f t="shared" si="33"/>
        <v/>
      </c>
      <c r="AM13" s="89">
        <f t="shared" si="11"/>
        <v>0</v>
      </c>
      <c r="AN13" s="84" t="str">
        <f t="shared" si="12"/>
        <v/>
      </c>
      <c r="AO13" s="84" t="str">
        <f t="shared" si="13"/>
        <v/>
      </c>
      <c r="AP13" s="84" t="str">
        <f t="shared" si="14"/>
        <v/>
      </c>
      <c r="AQ13" s="84">
        <f t="shared" si="34"/>
        <v>0</v>
      </c>
      <c r="AR13" s="84"/>
      <c r="AS13" s="85"/>
      <c r="AT13" s="85"/>
      <c r="AU13" s="87" t="str">
        <f>IF(ISERROR(VLOOKUP(C13,'SDDA Dogs'!A:O,6,FALSE)),"",VLOOKUP(C13,'SDDA Dogs'!A:O,6,FALSE))</f>
        <v/>
      </c>
      <c r="AV13" s="84">
        <f t="shared" si="15"/>
        <v>0</v>
      </c>
      <c r="AW13" s="84">
        <f t="shared" si="16"/>
        <v>0</v>
      </c>
      <c r="AX13" s="88">
        <f t="shared" si="17"/>
        <v>0</v>
      </c>
      <c r="AZ13" s="132">
        <f t="shared" si="18"/>
        <v>0</v>
      </c>
      <c r="BA13" s="132">
        <f t="shared" si="19"/>
        <v>0</v>
      </c>
      <c r="BB13" s="87"/>
      <c r="BC13" s="262" t="str">
        <f>_xlfn.IFNA(IF(I13="Pass",IF(G13&gt;IFERROR(INDEX(DogInfo!A:B,MATCH(C13&amp;$BC$4,DogInfo!A:A,0),2),0),G13,INDEX(DogInfo!A:B,MATCH(C13&amp;$BC$4,DogInfo!A:A,0),2)),INDEX(DogInfo!A:B,MATCH(C13&amp;$BC$4,DogInfo!A:A,0),2)),"")</f>
        <v/>
      </c>
      <c r="BD13" s="262" t="str">
        <f>_xlfn.IFNA(IF(Q13="Pass",IF(O13&gt;IFERROR(INDEX(DogInfo!A:B,MATCH(C13&amp;$BD$4,DogInfo!A:A,0),2),0),O13,INDEX(DogInfo!A:B,MATCH(C13&amp;$BD$4,DogInfo!A:A,0),2)),INDEX(DogInfo!A:B,MATCH(C13&amp;$BD$4,DogInfo!A:A,0),2)),"")</f>
        <v/>
      </c>
      <c r="BE13" s="262" t="str">
        <f>_xlfn.IFNA(IF(Y13="Pass",IF(W13&gt;IFERROR(INDEX(DogInfo!A:B,MATCH(C13&amp;$BE$4,DogInfo!A:A,0),2),0),W13,INDEX(DogInfo!A:B,MATCH(C13&amp;$BE$4,DogInfo!A:A,0),2)),INDEX(DogInfo!A:B,MATCH(C13&amp;$BE$4,DogInfo!A:A,0),2)),"")</f>
        <v/>
      </c>
    </row>
    <row r="14" spans="1:57" s="9" customFormat="1" ht="12.75" x14ac:dyDescent="0.2">
      <c r="A14" s="99">
        <f t="shared" ref="A14:A34" si="35">A13+1</f>
        <v>10</v>
      </c>
      <c r="B14" s="100"/>
      <c r="C14" s="120"/>
      <c r="D14" s="102" t="str">
        <f>IF($C14="","",VLOOKUP($C14,'SDDA Dogs'!$A:$F,2,FALSE))</f>
        <v/>
      </c>
      <c r="E14" s="211">
        <f t="shared" si="20"/>
        <v>1</v>
      </c>
      <c r="F14" s="103" t="str">
        <f>IF($C14="","",IFERROR(VLOOKUP($C14,'SDDA Dogs'!$A:$O,7,FALSE),0))</f>
        <v/>
      </c>
      <c r="G14" s="137"/>
      <c r="H14" s="217"/>
      <c r="I14" s="84" t="str">
        <f t="shared" si="21"/>
        <v/>
      </c>
      <c r="J14" s="105">
        <f t="shared" si="0"/>
        <v>0</v>
      </c>
      <c r="K14" s="84" t="str">
        <f t="shared" si="22"/>
        <v/>
      </c>
      <c r="L14" s="105">
        <f t="shared" si="1"/>
        <v>0</v>
      </c>
      <c r="M14" s="84" t="str">
        <f t="shared" si="23"/>
        <v/>
      </c>
      <c r="N14" s="106" t="str">
        <f>IF($C14="","",IFERROR(VLOOKUP($C14,'SDDA Dogs'!$A:$O,8,FALSE),0))</f>
        <v/>
      </c>
      <c r="O14" s="137"/>
      <c r="P14" s="217"/>
      <c r="Q14" s="84" t="str">
        <f t="shared" si="24"/>
        <v/>
      </c>
      <c r="R14" s="105">
        <f t="shared" si="2"/>
        <v>0</v>
      </c>
      <c r="S14" s="84" t="str">
        <f t="shared" si="3"/>
        <v/>
      </c>
      <c r="T14" s="105">
        <f t="shared" si="4"/>
        <v>0</v>
      </c>
      <c r="U14" s="84" t="str">
        <f t="shared" si="25"/>
        <v/>
      </c>
      <c r="V14" s="106" t="str">
        <f>IF($C14="","",IFERROR(VLOOKUP($C14,'SDDA Dogs'!$A:$O,9,FALSE),0))</f>
        <v/>
      </c>
      <c r="W14" s="137"/>
      <c r="X14" s="217"/>
      <c r="Y14" s="84" t="str">
        <f t="shared" si="26"/>
        <v/>
      </c>
      <c r="Z14" s="105">
        <f t="shared" si="5"/>
        <v>0</v>
      </c>
      <c r="AA14" s="84" t="str">
        <f t="shared" si="27"/>
        <v/>
      </c>
      <c r="AB14" s="105">
        <f t="shared" si="6"/>
        <v>0</v>
      </c>
      <c r="AC14" s="84" t="str">
        <f t="shared" si="28"/>
        <v/>
      </c>
      <c r="AD14" s="126" t="str">
        <f t="shared" si="29"/>
        <v/>
      </c>
      <c r="AE14" s="89" t="str">
        <f t="shared" si="7"/>
        <v/>
      </c>
      <c r="AF14" s="104" t="str">
        <f t="shared" si="8"/>
        <v/>
      </c>
      <c r="AG14" s="128" t="str">
        <f t="shared" si="30"/>
        <v/>
      </c>
      <c r="AH14" s="126" t="str">
        <f t="shared" si="31"/>
        <v/>
      </c>
      <c r="AI14" s="89" t="str">
        <f t="shared" si="9"/>
        <v/>
      </c>
      <c r="AJ14" s="104" t="str">
        <f t="shared" si="10"/>
        <v/>
      </c>
      <c r="AK14" s="123" t="str">
        <f t="shared" si="32"/>
        <v/>
      </c>
      <c r="AL14" s="129" t="str">
        <f t="shared" si="33"/>
        <v/>
      </c>
      <c r="AM14" s="89">
        <f t="shared" si="11"/>
        <v>0</v>
      </c>
      <c r="AN14" s="84" t="str">
        <f t="shared" si="12"/>
        <v/>
      </c>
      <c r="AO14" s="84" t="str">
        <f t="shared" si="13"/>
        <v/>
      </c>
      <c r="AP14" s="84" t="str">
        <f t="shared" si="14"/>
        <v/>
      </c>
      <c r="AQ14" s="84">
        <f t="shared" si="34"/>
        <v>0</v>
      </c>
      <c r="AR14" s="84"/>
      <c r="AS14" s="85"/>
      <c r="AT14" s="85"/>
      <c r="AU14" s="87" t="str">
        <f>IF(ISERROR(VLOOKUP(C14,'SDDA Dogs'!A:O,6,FALSE)),"",VLOOKUP(C14,'SDDA Dogs'!A:O,6,FALSE))</f>
        <v/>
      </c>
      <c r="AV14" s="84">
        <f t="shared" si="15"/>
        <v>0</v>
      </c>
      <c r="AW14" s="84">
        <f t="shared" si="16"/>
        <v>0</v>
      </c>
      <c r="AX14" s="88">
        <f t="shared" si="17"/>
        <v>0</v>
      </c>
      <c r="AZ14" s="132">
        <f t="shared" si="18"/>
        <v>0</v>
      </c>
      <c r="BA14" s="132">
        <f t="shared" si="19"/>
        <v>0</v>
      </c>
      <c r="BB14" s="87"/>
      <c r="BC14" s="262" t="str">
        <f>_xlfn.IFNA(IF(I14="Pass",IF(G14&gt;IFERROR(INDEX(DogInfo!A:B,MATCH(C14&amp;$BC$4,DogInfo!A:A,0),2),0),G14,INDEX(DogInfo!A:B,MATCH(C14&amp;$BC$4,DogInfo!A:A,0),2)),INDEX(DogInfo!A:B,MATCH(C14&amp;$BC$4,DogInfo!A:A,0),2)),"")</f>
        <v/>
      </c>
      <c r="BD14" s="262" t="str">
        <f>_xlfn.IFNA(IF(Q14="Pass",IF(O14&gt;IFERROR(INDEX(DogInfo!A:B,MATCH(C14&amp;$BD$4,DogInfo!A:A,0),2),0),O14,INDEX(DogInfo!A:B,MATCH(C14&amp;$BD$4,DogInfo!A:A,0),2)),INDEX(DogInfo!A:B,MATCH(C14&amp;$BD$4,DogInfo!A:A,0),2)),"")</f>
        <v/>
      </c>
      <c r="BE14" s="262" t="str">
        <f>_xlfn.IFNA(IF(Y14="Pass",IF(W14&gt;IFERROR(INDEX(DogInfo!A:B,MATCH(C14&amp;$BE$4,DogInfo!A:A,0),2),0),W14,INDEX(DogInfo!A:B,MATCH(C14&amp;$BE$4,DogInfo!A:A,0),2)),INDEX(DogInfo!A:B,MATCH(C14&amp;$BE$4,DogInfo!A:A,0),2)),"")</f>
        <v/>
      </c>
    </row>
    <row r="15" spans="1:57" s="9" customFormat="1" ht="12.75" x14ac:dyDescent="0.2">
      <c r="A15" s="99">
        <f t="shared" si="35"/>
        <v>11</v>
      </c>
      <c r="B15" s="100"/>
      <c r="C15" s="120"/>
      <c r="D15" s="102" t="str">
        <f>IF($C15="","",VLOOKUP($C15,'SDDA Dogs'!$A:$F,2,FALSE))</f>
        <v/>
      </c>
      <c r="E15" s="211">
        <f t="shared" si="20"/>
        <v>1</v>
      </c>
      <c r="F15" s="103" t="str">
        <f>IF($C15="","",IFERROR(VLOOKUP($C15,'SDDA Dogs'!$A:$O,7,FALSE),0))</f>
        <v/>
      </c>
      <c r="G15" s="137"/>
      <c r="H15" s="217"/>
      <c r="I15" s="84" t="str">
        <f t="shared" si="21"/>
        <v/>
      </c>
      <c r="J15" s="105">
        <f t="shared" si="0"/>
        <v>0</v>
      </c>
      <c r="K15" s="84" t="str">
        <f t="shared" si="22"/>
        <v/>
      </c>
      <c r="L15" s="105">
        <f t="shared" si="1"/>
        <v>0</v>
      </c>
      <c r="M15" s="84" t="str">
        <f t="shared" si="23"/>
        <v/>
      </c>
      <c r="N15" s="106" t="str">
        <f>IF($C15="","",IFERROR(VLOOKUP($C15,'SDDA Dogs'!$A:$O,8,FALSE),0))</f>
        <v/>
      </c>
      <c r="O15" s="137"/>
      <c r="P15" s="217"/>
      <c r="Q15" s="84" t="str">
        <f t="shared" si="24"/>
        <v/>
      </c>
      <c r="R15" s="105">
        <f t="shared" si="2"/>
        <v>0</v>
      </c>
      <c r="S15" s="84" t="str">
        <f t="shared" si="3"/>
        <v/>
      </c>
      <c r="T15" s="105">
        <f t="shared" si="4"/>
        <v>0</v>
      </c>
      <c r="U15" s="84" t="str">
        <f t="shared" si="25"/>
        <v/>
      </c>
      <c r="V15" s="106" t="str">
        <f>IF($C15="","",IFERROR(VLOOKUP($C15,'SDDA Dogs'!$A:$O,9,FALSE),0))</f>
        <v/>
      </c>
      <c r="W15" s="137"/>
      <c r="X15" s="217"/>
      <c r="Y15" s="84" t="str">
        <f t="shared" si="26"/>
        <v/>
      </c>
      <c r="Z15" s="105">
        <f t="shared" si="5"/>
        <v>0</v>
      </c>
      <c r="AA15" s="84" t="str">
        <f t="shared" si="27"/>
        <v/>
      </c>
      <c r="AB15" s="105">
        <f t="shared" si="6"/>
        <v>0</v>
      </c>
      <c r="AC15" s="84" t="str">
        <f t="shared" si="28"/>
        <v/>
      </c>
      <c r="AD15" s="126" t="str">
        <f t="shared" si="29"/>
        <v/>
      </c>
      <c r="AE15" s="89" t="str">
        <f t="shared" si="7"/>
        <v/>
      </c>
      <c r="AF15" s="104" t="str">
        <f t="shared" si="8"/>
        <v/>
      </c>
      <c r="AG15" s="128" t="str">
        <f t="shared" si="30"/>
        <v/>
      </c>
      <c r="AH15" s="126" t="str">
        <f t="shared" si="31"/>
        <v/>
      </c>
      <c r="AI15" s="89" t="str">
        <f t="shared" si="9"/>
        <v/>
      </c>
      <c r="AJ15" s="104" t="str">
        <f t="shared" si="10"/>
        <v/>
      </c>
      <c r="AK15" s="123" t="str">
        <f t="shared" si="32"/>
        <v/>
      </c>
      <c r="AL15" s="129" t="str">
        <f t="shared" si="33"/>
        <v/>
      </c>
      <c r="AM15" s="89">
        <f t="shared" si="11"/>
        <v>0</v>
      </c>
      <c r="AN15" s="84" t="str">
        <f t="shared" si="12"/>
        <v/>
      </c>
      <c r="AO15" s="84" t="str">
        <f t="shared" si="13"/>
        <v/>
      </c>
      <c r="AP15" s="84" t="str">
        <f t="shared" si="14"/>
        <v/>
      </c>
      <c r="AQ15" s="84">
        <f t="shared" si="34"/>
        <v>0</v>
      </c>
      <c r="AR15" s="84"/>
      <c r="AS15" s="85"/>
      <c r="AT15" s="85"/>
      <c r="AU15" s="87" t="str">
        <f>IF(ISERROR(VLOOKUP(C15,'SDDA Dogs'!A:O,6,FALSE)),"",VLOOKUP(C15,'SDDA Dogs'!A:O,6,FALSE))</f>
        <v/>
      </c>
      <c r="AV15" s="84">
        <f t="shared" si="15"/>
        <v>0</v>
      </c>
      <c r="AW15" s="84">
        <f t="shared" si="16"/>
        <v>0</v>
      </c>
      <c r="AX15" s="88">
        <f t="shared" ref="AX15:AX34" si="36">(AV15*TrialFeeStr)+(AW15*FeoFee)</f>
        <v>0</v>
      </c>
      <c r="AZ15" s="132">
        <f t="shared" si="18"/>
        <v>0</v>
      </c>
      <c r="BA15" s="132">
        <f t="shared" si="19"/>
        <v>0</v>
      </c>
      <c r="BB15" s="87"/>
      <c r="BC15" s="262" t="str">
        <f>_xlfn.IFNA(IF(I15="Pass",IF(G15&gt;IFERROR(INDEX(DogInfo!A:B,MATCH(C15&amp;$BC$4,DogInfo!A:A,0),2),0),G15,INDEX(DogInfo!A:B,MATCH(C15&amp;$BC$4,DogInfo!A:A,0),2)),INDEX(DogInfo!A:B,MATCH(C15&amp;$BC$4,DogInfo!A:A,0),2)),"")</f>
        <v/>
      </c>
      <c r="BD15" s="262" t="str">
        <f>_xlfn.IFNA(IF(Q15="Pass",IF(O15&gt;IFERROR(INDEX(DogInfo!A:B,MATCH(C15&amp;$BD$4,DogInfo!A:A,0),2),0),O15,INDEX(DogInfo!A:B,MATCH(C15&amp;$BD$4,DogInfo!A:A,0),2)),INDEX(DogInfo!A:B,MATCH(C15&amp;$BD$4,DogInfo!A:A,0),2)),"")</f>
        <v/>
      </c>
      <c r="BE15" s="262" t="str">
        <f>_xlfn.IFNA(IF(Y15="Pass",IF(W15&gt;IFERROR(INDEX(DogInfo!A:B,MATCH(C15&amp;$BE$4,DogInfo!A:A,0),2),0),W15,INDEX(DogInfo!A:B,MATCH(C15&amp;$BE$4,DogInfo!A:A,0),2)),INDEX(DogInfo!A:B,MATCH(C15&amp;$BE$4,DogInfo!A:A,0),2)),"")</f>
        <v/>
      </c>
    </row>
    <row r="16" spans="1:57" s="9" customFormat="1" ht="12.75" x14ac:dyDescent="0.2">
      <c r="A16" s="99">
        <f t="shared" si="35"/>
        <v>12</v>
      </c>
      <c r="B16" s="100"/>
      <c r="C16" s="120"/>
      <c r="D16" s="102" t="str">
        <f>IF($C16="","",VLOOKUP($C16,'SDDA Dogs'!$A:$F,2,FALSE))</f>
        <v/>
      </c>
      <c r="E16" s="211">
        <f t="shared" si="20"/>
        <v>1</v>
      </c>
      <c r="F16" s="103" t="str">
        <f>IF($C16="","",IFERROR(VLOOKUP($C16,'SDDA Dogs'!$A:$O,7,FALSE),0))</f>
        <v/>
      </c>
      <c r="G16" s="137"/>
      <c r="H16" s="217"/>
      <c r="I16" s="84" t="str">
        <f t="shared" si="21"/>
        <v/>
      </c>
      <c r="J16" s="105">
        <f t="shared" si="0"/>
        <v>0</v>
      </c>
      <c r="K16" s="84" t="str">
        <f t="shared" si="22"/>
        <v/>
      </c>
      <c r="L16" s="105">
        <f t="shared" si="1"/>
        <v>0</v>
      </c>
      <c r="M16" s="84" t="str">
        <f t="shared" si="23"/>
        <v/>
      </c>
      <c r="N16" s="106" t="str">
        <f>IF($C16="","",IFERROR(VLOOKUP($C16,'SDDA Dogs'!$A:$O,8,FALSE),0))</f>
        <v/>
      </c>
      <c r="O16" s="137"/>
      <c r="P16" s="217"/>
      <c r="Q16" s="84" t="str">
        <f t="shared" si="24"/>
        <v/>
      </c>
      <c r="R16" s="105">
        <f t="shared" si="2"/>
        <v>0</v>
      </c>
      <c r="S16" s="84" t="str">
        <f t="shared" si="3"/>
        <v/>
      </c>
      <c r="T16" s="105">
        <f t="shared" si="4"/>
        <v>0</v>
      </c>
      <c r="U16" s="84" t="str">
        <f t="shared" si="25"/>
        <v/>
      </c>
      <c r="V16" s="106" t="str">
        <f>IF($C16="","",IFERROR(VLOOKUP($C16,'SDDA Dogs'!$A:$O,9,FALSE),0))</f>
        <v/>
      </c>
      <c r="W16" s="137"/>
      <c r="X16" s="217"/>
      <c r="Y16" s="84" t="str">
        <f t="shared" si="26"/>
        <v/>
      </c>
      <c r="Z16" s="105">
        <f t="shared" si="5"/>
        <v>0</v>
      </c>
      <c r="AA16" s="84" t="str">
        <f t="shared" si="27"/>
        <v/>
      </c>
      <c r="AB16" s="105">
        <f t="shared" si="6"/>
        <v>0</v>
      </c>
      <c r="AC16" s="84" t="str">
        <f t="shared" si="28"/>
        <v/>
      </c>
      <c r="AD16" s="126" t="str">
        <f t="shared" si="29"/>
        <v/>
      </c>
      <c r="AE16" s="89" t="str">
        <f t="shared" si="7"/>
        <v/>
      </c>
      <c r="AF16" s="104" t="str">
        <f t="shared" si="8"/>
        <v/>
      </c>
      <c r="AG16" s="128" t="str">
        <f t="shared" si="30"/>
        <v/>
      </c>
      <c r="AH16" s="126" t="str">
        <f t="shared" si="31"/>
        <v/>
      </c>
      <c r="AI16" s="89" t="str">
        <f t="shared" si="9"/>
        <v/>
      </c>
      <c r="AJ16" s="104" t="str">
        <f t="shared" si="10"/>
        <v/>
      </c>
      <c r="AK16" s="123" t="str">
        <f t="shared" si="32"/>
        <v/>
      </c>
      <c r="AL16" s="129" t="str">
        <f t="shared" si="33"/>
        <v/>
      </c>
      <c r="AM16" s="89">
        <f t="shared" si="11"/>
        <v>0</v>
      </c>
      <c r="AN16" s="84" t="str">
        <f t="shared" si="12"/>
        <v/>
      </c>
      <c r="AO16" s="84" t="str">
        <f t="shared" si="13"/>
        <v/>
      </c>
      <c r="AP16" s="84" t="str">
        <f t="shared" si="14"/>
        <v/>
      </c>
      <c r="AQ16" s="84">
        <f t="shared" si="34"/>
        <v>0</v>
      </c>
      <c r="AR16" s="84"/>
      <c r="AS16" s="85"/>
      <c r="AT16" s="85"/>
      <c r="AU16" s="87" t="str">
        <f>IF(ISERROR(VLOOKUP(C16,'SDDA Dogs'!A:O,6,FALSE)),"",VLOOKUP(C16,'SDDA Dogs'!A:O,6,FALSE))</f>
        <v/>
      </c>
      <c r="AV16" s="84">
        <f t="shared" si="15"/>
        <v>0</v>
      </c>
      <c r="AW16" s="84">
        <f t="shared" si="16"/>
        <v>0</v>
      </c>
      <c r="AX16" s="88">
        <f t="shared" si="36"/>
        <v>0</v>
      </c>
      <c r="AZ16" s="132">
        <f t="shared" si="18"/>
        <v>0</v>
      </c>
      <c r="BA16" s="132">
        <f t="shared" si="19"/>
        <v>0</v>
      </c>
      <c r="BB16" s="87"/>
      <c r="BC16" s="262" t="str">
        <f>_xlfn.IFNA(IF(I16="Pass",IF(G16&gt;IFERROR(INDEX(DogInfo!A:B,MATCH(C16&amp;$BC$4,DogInfo!A:A,0),2),0),G16,INDEX(DogInfo!A:B,MATCH(C16&amp;$BC$4,DogInfo!A:A,0),2)),INDEX(DogInfo!A:B,MATCH(C16&amp;$BC$4,DogInfo!A:A,0),2)),"")</f>
        <v/>
      </c>
      <c r="BD16" s="262" t="str">
        <f>_xlfn.IFNA(IF(Q16="Pass",IF(O16&gt;IFERROR(INDEX(DogInfo!A:B,MATCH(C16&amp;$BD$4,DogInfo!A:A,0),2),0),O16,INDEX(DogInfo!A:B,MATCH(C16&amp;$BD$4,DogInfo!A:A,0),2)),INDEX(DogInfo!A:B,MATCH(C16&amp;$BD$4,DogInfo!A:A,0),2)),"")</f>
        <v/>
      </c>
      <c r="BE16" s="262" t="str">
        <f>_xlfn.IFNA(IF(Y16="Pass",IF(W16&gt;IFERROR(INDEX(DogInfo!A:B,MATCH(C16&amp;$BE$4,DogInfo!A:A,0),2),0),W16,INDEX(DogInfo!A:B,MATCH(C16&amp;$BE$4,DogInfo!A:A,0),2)),INDEX(DogInfo!A:B,MATCH(C16&amp;$BE$4,DogInfo!A:A,0),2)),"")</f>
        <v/>
      </c>
    </row>
    <row r="17" spans="1:57" s="9" customFormat="1" ht="12.75" x14ac:dyDescent="0.2">
      <c r="A17" s="99">
        <f t="shared" si="35"/>
        <v>13</v>
      </c>
      <c r="B17" s="100"/>
      <c r="C17" s="120"/>
      <c r="D17" s="102" t="str">
        <f>IF($C17="","",VLOOKUP($C17,'SDDA Dogs'!$A:$F,2,FALSE))</f>
        <v/>
      </c>
      <c r="E17" s="211">
        <f t="shared" si="20"/>
        <v>1</v>
      </c>
      <c r="F17" s="103" t="str">
        <f>IF($C17="","",IFERROR(VLOOKUP($C17,'SDDA Dogs'!$A:$O,7,FALSE),0))</f>
        <v/>
      </c>
      <c r="G17" s="137"/>
      <c r="H17" s="217"/>
      <c r="I17" s="84" t="str">
        <f t="shared" si="21"/>
        <v/>
      </c>
      <c r="J17" s="105">
        <f t="shared" si="0"/>
        <v>0</v>
      </c>
      <c r="K17" s="84" t="str">
        <f t="shared" si="22"/>
        <v/>
      </c>
      <c r="L17" s="105">
        <f t="shared" si="1"/>
        <v>0</v>
      </c>
      <c r="M17" s="84" t="str">
        <f t="shared" si="23"/>
        <v/>
      </c>
      <c r="N17" s="106" t="str">
        <f>IF($C17="","",IFERROR(VLOOKUP($C17,'SDDA Dogs'!$A:$O,8,FALSE),0))</f>
        <v/>
      </c>
      <c r="O17" s="137"/>
      <c r="P17" s="217"/>
      <c r="Q17" s="84" t="str">
        <f t="shared" si="24"/>
        <v/>
      </c>
      <c r="R17" s="105">
        <f t="shared" si="2"/>
        <v>0</v>
      </c>
      <c r="S17" s="84" t="str">
        <f t="shared" si="3"/>
        <v/>
      </c>
      <c r="T17" s="105">
        <f t="shared" si="4"/>
        <v>0</v>
      </c>
      <c r="U17" s="84" t="str">
        <f t="shared" si="25"/>
        <v/>
      </c>
      <c r="V17" s="106" t="str">
        <f>IF($C17="","",IFERROR(VLOOKUP($C17,'SDDA Dogs'!$A:$O,9,FALSE),0))</f>
        <v/>
      </c>
      <c r="W17" s="137"/>
      <c r="X17" s="217"/>
      <c r="Y17" s="84" t="str">
        <f t="shared" si="26"/>
        <v/>
      </c>
      <c r="Z17" s="105">
        <f t="shared" si="5"/>
        <v>0</v>
      </c>
      <c r="AA17" s="84" t="str">
        <f t="shared" si="27"/>
        <v/>
      </c>
      <c r="AB17" s="105">
        <f t="shared" si="6"/>
        <v>0</v>
      </c>
      <c r="AC17" s="84" t="str">
        <f t="shared" si="28"/>
        <v/>
      </c>
      <c r="AD17" s="126" t="str">
        <f t="shared" si="29"/>
        <v/>
      </c>
      <c r="AE17" s="89" t="str">
        <f t="shared" si="7"/>
        <v/>
      </c>
      <c r="AF17" s="104" t="str">
        <f t="shared" si="8"/>
        <v/>
      </c>
      <c r="AG17" s="128" t="str">
        <f t="shared" si="30"/>
        <v/>
      </c>
      <c r="AH17" s="126" t="str">
        <f t="shared" si="31"/>
        <v/>
      </c>
      <c r="AI17" s="89" t="str">
        <f t="shared" si="9"/>
        <v/>
      </c>
      <c r="AJ17" s="104" t="str">
        <f t="shared" si="10"/>
        <v/>
      </c>
      <c r="AK17" s="123" t="str">
        <f t="shared" si="32"/>
        <v/>
      </c>
      <c r="AL17" s="129" t="str">
        <f t="shared" si="33"/>
        <v/>
      </c>
      <c r="AM17" s="89">
        <f t="shared" si="11"/>
        <v>0</v>
      </c>
      <c r="AN17" s="84" t="str">
        <f t="shared" si="12"/>
        <v/>
      </c>
      <c r="AO17" s="84" t="str">
        <f t="shared" si="13"/>
        <v/>
      </c>
      <c r="AP17" s="84" t="str">
        <f t="shared" si="14"/>
        <v/>
      </c>
      <c r="AQ17" s="84">
        <f t="shared" si="34"/>
        <v>0</v>
      </c>
      <c r="AR17" s="84"/>
      <c r="AS17" s="85"/>
      <c r="AT17" s="85"/>
      <c r="AU17" s="87" t="str">
        <f>IF(ISERROR(VLOOKUP(C17,'SDDA Dogs'!A:O,6,FALSE)),"",VLOOKUP(C17,'SDDA Dogs'!A:O,6,FALSE))</f>
        <v/>
      </c>
      <c r="AV17" s="84">
        <f t="shared" si="15"/>
        <v>0</v>
      </c>
      <c r="AW17" s="84">
        <f t="shared" si="16"/>
        <v>0</v>
      </c>
      <c r="AX17" s="88">
        <f t="shared" si="36"/>
        <v>0</v>
      </c>
      <c r="AZ17" s="132">
        <f t="shared" si="18"/>
        <v>0</v>
      </c>
      <c r="BA17" s="132">
        <f t="shared" si="19"/>
        <v>0</v>
      </c>
      <c r="BB17" s="87"/>
      <c r="BC17" s="262" t="str">
        <f>_xlfn.IFNA(IF(I17="Pass",IF(G17&gt;IFERROR(INDEX(DogInfo!A:B,MATCH(C17&amp;$BC$4,DogInfo!A:A,0),2),0),G17,INDEX(DogInfo!A:B,MATCH(C17&amp;$BC$4,DogInfo!A:A,0),2)),INDEX(DogInfo!A:B,MATCH(C17&amp;$BC$4,DogInfo!A:A,0),2)),"")</f>
        <v/>
      </c>
      <c r="BD17" s="262" t="str">
        <f>_xlfn.IFNA(IF(Q17="Pass",IF(O17&gt;IFERROR(INDEX(DogInfo!A:B,MATCH(C17&amp;$BD$4,DogInfo!A:A,0),2),0),O17,INDEX(DogInfo!A:B,MATCH(C17&amp;$BD$4,DogInfo!A:A,0),2)),INDEX(DogInfo!A:B,MATCH(C17&amp;$BD$4,DogInfo!A:A,0),2)),"")</f>
        <v/>
      </c>
      <c r="BE17" s="262" t="str">
        <f>_xlfn.IFNA(IF(Y17="Pass",IF(W17&gt;IFERROR(INDEX(DogInfo!A:B,MATCH(C17&amp;$BE$4,DogInfo!A:A,0),2),0),W17,INDEX(DogInfo!A:B,MATCH(C17&amp;$BE$4,DogInfo!A:A,0),2)),INDEX(DogInfo!A:B,MATCH(C17&amp;$BE$4,DogInfo!A:A,0),2)),"")</f>
        <v/>
      </c>
    </row>
    <row r="18" spans="1:57" s="9" customFormat="1" ht="12.75" x14ac:dyDescent="0.2">
      <c r="A18" s="99">
        <f t="shared" si="35"/>
        <v>14</v>
      </c>
      <c r="B18" s="100"/>
      <c r="C18" s="120"/>
      <c r="D18" s="102" t="str">
        <f>IF($C18="","",VLOOKUP($C18,'SDDA Dogs'!$A:$F,2,FALSE))</f>
        <v/>
      </c>
      <c r="E18" s="211">
        <f t="shared" si="20"/>
        <v>1</v>
      </c>
      <c r="F18" s="103" t="str">
        <f>IF($C18="","",IFERROR(VLOOKUP($C18,'SDDA Dogs'!$A:$O,7,FALSE),0))</f>
        <v/>
      </c>
      <c r="G18" s="137"/>
      <c r="H18" s="217"/>
      <c r="I18" s="84" t="str">
        <f t="shared" si="21"/>
        <v/>
      </c>
      <c r="J18" s="105">
        <f t="shared" si="0"/>
        <v>0</v>
      </c>
      <c r="K18" s="84" t="str">
        <f t="shared" si="22"/>
        <v/>
      </c>
      <c r="L18" s="105">
        <f t="shared" si="1"/>
        <v>0</v>
      </c>
      <c r="M18" s="84" t="str">
        <f t="shared" si="23"/>
        <v/>
      </c>
      <c r="N18" s="106" t="str">
        <f>IF($C18="","",IFERROR(VLOOKUP($C18,'SDDA Dogs'!$A:$O,8,FALSE),0))</f>
        <v/>
      </c>
      <c r="O18" s="137"/>
      <c r="P18" s="217"/>
      <c r="Q18" s="84" t="str">
        <f t="shared" si="24"/>
        <v/>
      </c>
      <c r="R18" s="105">
        <f t="shared" si="2"/>
        <v>0</v>
      </c>
      <c r="S18" s="84" t="str">
        <f t="shared" si="3"/>
        <v/>
      </c>
      <c r="T18" s="105">
        <f t="shared" si="4"/>
        <v>0</v>
      </c>
      <c r="U18" s="84" t="str">
        <f t="shared" si="25"/>
        <v/>
      </c>
      <c r="V18" s="106" t="str">
        <f>IF($C18="","",IFERROR(VLOOKUP($C18,'SDDA Dogs'!$A:$O,9,FALSE),0))</f>
        <v/>
      </c>
      <c r="W18" s="137"/>
      <c r="X18" s="217"/>
      <c r="Y18" s="84" t="str">
        <f t="shared" si="26"/>
        <v/>
      </c>
      <c r="Z18" s="105">
        <f t="shared" si="5"/>
        <v>0</v>
      </c>
      <c r="AA18" s="84" t="str">
        <f t="shared" si="27"/>
        <v/>
      </c>
      <c r="AB18" s="105">
        <f t="shared" si="6"/>
        <v>0</v>
      </c>
      <c r="AC18" s="84" t="str">
        <f t="shared" si="28"/>
        <v/>
      </c>
      <c r="AD18" s="126" t="str">
        <f t="shared" si="29"/>
        <v/>
      </c>
      <c r="AE18" s="89" t="str">
        <f t="shared" si="7"/>
        <v/>
      </c>
      <c r="AF18" s="104" t="str">
        <f t="shared" si="8"/>
        <v/>
      </c>
      <c r="AG18" s="128" t="str">
        <f t="shared" si="30"/>
        <v/>
      </c>
      <c r="AH18" s="126" t="str">
        <f t="shared" si="31"/>
        <v/>
      </c>
      <c r="AI18" s="89" t="str">
        <f t="shared" si="9"/>
        <v/>
      </c>
      <c r="AJ18" s="104" t="str">
        <f t="shared" si="10"/>
        <v/>
      </c>
      <c r="AK18" s="123" t="str">
        <f t="shared" si="32"/>
        <v/>
      </c>
      <c r="AL18" s="129" t="str">
        <f t="shared" si="33"/>
        <v/>
      </c>
      <c r="AM18" s="89">
        <f t="shared" si="11"/>
        <v>0</v>
      </c>
      <c r="AN18" s="84" t="str">
        <f t="shared" si="12"/>
        <v/>
      </c>
      <c r="AO18" s="84" t="str">
        <f t="shared" si="13"/>
        <v/>
      </c>
      <c r="AP18" s="84" t="str">
        <f t="shared" si="14"/>
        <v/>
      </c>
      <c r="AQ18" s="84">
        <f t="shared" si="34"/>
        <v>0</v>
      </c>
      <c r="AR18" s="84"/>
      <c r="AS18" s="85"/>
      <c r="AT18" s="85"/>
      <c r="AU18" s="87" t="str">
        <f>IF(ISERROR(VLOOKUP(C18,'SDDA Dogs'!A:O,6,FALSE)),"",VLOOKUP(C18,'SDDA Dogs'!A:O,6,FALSE))</f>
        <v/>
      </c>
      <c r="AV18" s="84">
        <f t="shared" si="15"/>
        <v>0</v>
      </c>
      <c r="AW18" s="84">
        <f t="shared" si="16"/>
        <v>0</v>
      </c>
      <c r="AX18" s="88">
        <f t="shared" si="36"/>
        <v>0</v>
      </c>
      <c r="AZ18" s="132">
        <f t="shared" si="18"/>
        <v>0</v>
      </c>
      <c r="BA18" s="132">
        <f t="shared" si="19"/>
        <v>0</v>
      </c>
      <c r="BB18" s="87"/>
      <c r="BC18" s="262" t="str">
        <f>_xlfn.IFNA(IF(I18="Pass",IF(G18&gt;IFERROR(INDEX(DogInfo!A:B,MATCH(C18&amp;$BC$4,DogInfo!A:A,0),2),0),G18,INDEX(DogInfo!A:B,MATCH(C18&amp;$BC$4,DogInfo!A:A,0),2)),INDEX(DogInfo!A:B,MATCH(C18&amp;$BC$4,DogInfo!A:A,0),2)),"")</f>
        <v/>
      </c>
      <c r="BD18" s="262" t="str">
        <f>_xlfn.IFNA(IF(Q18="Pass",IF(O18&gt;IFERROR(INDEX(DogInfo!A:B,MATCH(C18&amp;$BD$4,DogInfo!A:A,0),2),0),O18,INDEX(DogInfo!A:B,MATCH(C18&amp;$BD$4,DogInfo!A:A,0),2)),INDEX(DogInfo!A:B,MATCH(C18&amp;$BD$4,DogInfo!A:A,0),2)),"")</f>
        <v/>
      </c>
      <c r="BE18" s="262" t="str">
        <f>_xlfn.IFNA(IF(Y18="Pass",IF(W18&gt;IFERROR(INDEX(DogInfo!A:B,MATCH(C18&amp;$BE$4,DogInfo!A:A,0),2),0),W18,INDEX(DogInfo!A:B,MATCH(C18&amp;$BE$4,DogInfo!A:A,0),2)),INDEX(DogInfo!A:B,MATCH(C18&amp;$BE$4,DogInfo!A:A,0),2)),"")</f>
        <v/>
      </c>
    </row>
    <row r="19" spans="1:57" s="9" customFormat="1" ht="12.75" x14ac:dyDescent="0.2">
      <c r="A19" s="99">
        <f t="shared" si="35"/>
        <v>15</v>
      </c>
      <c r="B19" s="100"/>
      <c r="C19" s="120"/>
      <c r="D19" s="102" t="str">
        <f>IF($C19="","",VLOOKUP($C19,'SDDA Dogs'!$A:$F,2,FALSE))</f>
        <v/>
      </c>
      <c r="E19" s="211">
        <f t="shared" si="20"/>
        <v>1</v>
      </c>
      <c r="F19" s="103" t="str">
        <f>IF($C19="","",IFERROR(VLOOKUP($C19,'SDDA Dogs'!$A:$O,7,FALSE),0))</f>
        <v/>
      </c>
      <c r="G19" s="137"/>
      <c r="H19" s="217"/>
      <c r="I19" s="84" t="str">
        <f t="shared" si="21"/>
        <v/>
      </c>
      <c r="J19" s="105">
        <f t="shared" si="0"/>
        <v>0</v>
      </c>
      <c r="K19" s="84" t="str">
        <f t="shared" si="22"/>
        <v/>
      </c>
      <c r="L19" s="105">
        <f t="shared" si="1"/>
        <v>0</v>
      </c>
      <c r="M19" s="84" t="str">
        <f t="shared" si="23"/>
        <v/>
      </c>
      <c r="N19" s="106" t="str">
        <f>IF($C19="","",IFERROR(VLOOKUP($C19,'SDDA Dogs'!$A:$O,8,FALSE),0))</f>
        <v/>
      </c>
      <c r="O19" s="137"/>
      <c r="P19" s="217"/>
      <c r="Q19" s="84" t="str">
        <f t="shared" si="24"/>
        <v/>
      </c>
      <c r="R19" s="105">
        <f t="shared" si="2"/>
        <v>0</v>
      </c>
      <c r="S19" s="84" t="str">
        <f t="shared" si="3"/>
        <v/>
      </c>
      <c r="T19" s="105">
        <f t="shared" si="4"/>
        <v>0</v>
      </c>
      <c r="U19" s="84" t="str">
        <f t="shared" si="25"/>
        <v/>
      </c>
      <c r="V19" s="106" t="str">
        <f>IF($C19="","",IFERROR(VLOOKUP($C19,'SDDA Dogs'!$A:$O,9,FALSE),0))</f>
        <v/>
      </c>
      <c r="W19" s="137"/>
      <c r="X19" s="217"/>
      <c r="Y19" s="84" t="str">
        <f t="shared" si="26"/>
        <v/>
      </c>
      <c r="Z19" s="105">
        <f t="shared" si="5"/>
        <v>0</v>
      </c>
      <c r="AA19" s="84" t="str">
        <f t="shared" si="27"/>
        <v/>
      </c>
      <c r="AB19" s="105">
        <f t="shared" si="6"/>
        <v>0</v>
      </c>
      <c r="AC19" s="84" t="str">
        <f t="shared" si="28"/>
        <v/>
      </c>
      <c r="AD19" s="126" t="str">
        <f t="shared" si="29"/>
        <v/>
      </c>
      <c r="AE19" s="89" t="str">
        <f t="shared" si="7"/>
        <v/>
      </c>
      <c r="AF19" s="104" t="str">
        <f t="shared" si="8"/>
        <v/>
      </c>
      <c r="AG19" s="128" t="str">
        <f t="shared" si="30"/>
        <v/>
      </c>
      <c r="AH19" s="126" t="str">
        <f t="shared" si="31"/>
        <v/>
      </c>
      <c r="AI19" s="89" t="str">
        <f t="shared" si="9"/>
        <v/>
      </c>
      <c r="AJ19" s="104" t="str">
        <f t="shared" si="10"/>
        <v/>
      </c>
      <c r="AK19" s="123" t="str">
        <f t="shared" si="32"/>
        <v/>
      </c>
      <c r="AL19" s="129" t="str">
        <f t="shared" si="33"/>
        <v/>
      </c>
      <c r="AM19" s="89">
        <f t="shared" si="11"/>
        <v>0</v>
      </c>
      <c r="AN19" s="84" t="str">
        <f t="shared" si="12"/>
        <v/>
      </c>
      <c r="AO19" s="84" t="str">
        <f t="shared" si="13"/>
        <v/>
      </c>
      <c r="AP19" s="84" t="str">
        <f t="shared" si="14"/>
        <v/>
      </c>
      <c r="AQ19" s="84">
        <f t="shared" si="34"/>
        <v>0</v>
      </c>
      <c r="AR19" s="84"/>
      <c r="AS19" s="85"/>
      <c r="AT19" s="85"/>
      <c r="AU19" s="87" t="str">
        <f>IF(ISERROR(VLOOKUP(C19,'SDDA Dogs'!A:O,6,FALSE)),"",VLOOKUP(C19,'SDDA Dogs'!A:O,6,FALSE))</f>
        <v/>
      </c>
      <c r="AV19" s="84">
        <f t="shared" si="15"/>
        <v>0</v>
      </c>
      <c r="AW19" s="84">
        <f t="shared" si="16"/>
        <v>0</v>
      </c>
      <c r="AX19" s="88">
        <f t="shared" si="36"/>
        <v>0</v>
      </c>
      <c r="AZ19" s="132">
        <f t="shared" si="18"/>
        <v>0</v>
      </c>
      <c r="BA19" s="132">
        <f t="shared" si="19"/>
        <v>0</v>
      </c>
      <c r="BB19" s="87"/>
      <c r="BC19" s="262" t="str">
        <f>_xlfn.IFNA(IF(I19="Pass",IF(G19&gt;IFERROR(INDEX(DogInfo!A:B,MATCH(C19&amp;$BC$4,DogInfo!A:A,0),2),0),G19,INDEX(DogInfo!A:B,MATCH(C19&amp;$BC$4,DogInfo!A:A,0),2)),INDEX(DogInfo!A:B,MATCH(C19&amp;$BC$4,DogInfo!A:A,0),2)),"")</f>
        <v/>
      </c>
      <c r="BD19" s="262" t="str">
        <f>_xlfn.IFNA(IF(Q19="Pass",IF(O19&gt;IFERROR(INDEX(DogInfo!A:B,MATCH(C19&amp;$BD$4,DogInfo!A:A,0),2),0),O19,INDEX(DogInfo!A:B,MATCH(C19&amp;$BD$4,DogInfo!A:A,0),2)),INDEX(DogInfo!A:B,MATCH(C19&amp;$BD$4,DogInfo!A:A,0),2)),"")</f>
        <v/>
      </c>
      <c r="BE19" s="262" t="str">
        <f>_xlfn.IFNA(IF(Y19="Pass",IF(W19&gt;IFERROR(INDEX(DogInfo!A:B,MATCH(C19&amp;$BE$4,DogInfo!A:A,0),2),0),W19,INDEX(DogInfo!A:B,MATCH(C19&amp;$BE$4,DogInfo!A:A,0),2)),INDEX(DogInfo!A:B,MATCH(C19&amp;$BE$4,DogInfo!A:A,0),2)),"")</f>
        <v/>
      </c>
    </row>
    <row r="20" spans="1:57" s="9" customFormat="1" ht="12.75" x14ac:dyDescent="0.2">
      <c r="A20" s="99">
        <f t="shared" si="35"/>
        <v>16</v>
      </c>
      <c r="B20" s="100"/>
      <c r="C20" s="120"/>
      <c r="D20" s="102" t="str">
        <f>IF($C20="","",VLOOKUP($C20,'SDDA Dogs'!$A:$F,2,FALSE))</f>
        <v/>
      </c>
      <c r="E20" s="211">
        <f t="shared" si="20"/>
        <v>1</v>
      </c>
      <c r="F20" s="103" t="str">
        <f>IF($C20="","",IFERROR(VLOOKUP($C20,'SDDA Dogs'!$A:$O,7,FALSE),0))</f>
        <v/>
      </c>
      <c r="G20" s="137"/>
      <c r="H20" s="217"/>
      <c r="I20" s="84" t="str">
        <f t="shared" si="21"/>
        <v/>
      </c>
      <c r="J20" s="105">
        <f t="shared" si="0"/>
        <v>0</v>
      </c>
      <c r="K20" s="84" t="str">
        <f t="shared" si="22"/>
        <v/>
      </c>
      <c r="L20" s="105">
        <f t="shared" si="1"/>
        <v>0</v>
      </c>
      <c r="M20" s="84" t="str">
        <f t="shared" si="23"/>
        <v/>
      </c>
      <c r="N20" s="106" t="str">
        <f>IF($C20="","",IFERROR(VLOOKUP($C20,'SDDA Dogs'!$A:$O,8,FALSE),0))</f>
        <v/>
      </c>
      <c r="O20" s="137"/>
      <c r="P20" s="217"/>
      <c r="Q20" s="84" t="str">
        <f t="shared" si="24"/>
        <v/>
      </c>
      <c r="R20" s="105">
        <f t="shared" si="2"/>
        <v>0</v>
      </c>
      <c r="S20" s="84" t="str">
        <f t="shared" si="3"/>
        <v/>
      </c>
      <c r="T20" s="105">
        <f t="shared" si="4"/>
        <v>0</v>
      </c>
      <c r="U20" s="84" t="str">
        <f t="shared" si="25"/>
        <v/>
      </c>
      <c r="V20" s="106" t="str">
        <f>IF($C20="","",IFERROR(VLOOKUP($C20,'SDDA Dogs'!$A:$O,9,FALSE),0))</f>
        <v/>
      </c>
      <c r="W20" s="137"/>
      <c r="X20" s="217"/>
      <c r="Y20" s="84" t="str">
        <f t="shared" si="26"/>
        <v/>
      </c>
      <c r="Z20" s="105">
        <f t="shared" si="5"/>
        <v>0</v>
      </c>
      <c r="AA20" s="84" t="str">
        <f t="shared" si="27"/>
        <v/>
      </c>
      <c r="AB20" s="105">
        <f t="shared" si="6"/>
        <v>0</v>
      </c>
      <c r="AC20" s="84" t="str">
        <f t="shared" si="28"/>
        <v/>
      </c>
      <c r="AD20" s="126" t="str">
        <f t="shared" si="29"/>
        <v/>
      </c>
      <c r="AE20" s="89" t="str">
        <f t="shared" si="7"/>
        <v/>
      </c>
      <c r="AF20" s="104" t="str">
        <f t="shared" si="8"/>
        <v/>
      </c>
      <c r="AG20" s="128" t="str">
        <f t="shared" si="30"/>
        <v/>
      </c>
      <c r="AH20" s="126" t="str">
        <f t="shared" si="31"/>
        <v/>
      </c>
      <c r="AI20" s="89" t="str">
        <f t="shared" si="9"/>
        <v/>
      </c>
      <c r="AJ20" s="104" t="str">
        <f t="shared" si="10"/>
        <v/>
      </c>
      <c r="AK20" s="123" t="str">
        <f t="shared" si="32"/>
        <v/>
      </c>
      <c r="AL20" s="129" t="str">
        <f t="shared" si="33"/>
        <v/>
      </c>
      <c r="AM20" s="89">
        <f t="shared" si="11"/>
        <v>0</v>
      </c>
      <c r="AN20" s="84" t="str">
        <f t="shared" si="12"/>
        <v/>
      </c>
      <c r="AO20" s="84" t="str">
        <f t="shared" si="13"/>
        <v/>
      </c>
      <c r="AP20" s="84" t="str">
        <f t="shared" si="14"/>
        <v/>
      </c>
      <c r="AQ20" s="84">
        <f t="shared" si="34"/>
        <v>0</v>
      </c>
      <c r="AR20" s="84"/>
      <c r="AS20" s="85"/>
      <c r="AT20" s="85"/>
      <c r="AU20" s="87" t="str">
        <f>IF(ISERROR(VLOOKUP(C20,'SDDA Dogs'!A:O,6,FALSE)),"",VLOOKUP(C20,'SDDA Dogs'!A:O,6,FALSE))</f>
        <v/>
      </c>
      <c r="AV20" s="84">
        <f t="shared" si="15"/>
        <v>0</v>
      </c>
      <c r="AW20" s="84">
        <f t="shared" si="16"/>
        <v>0</v>
      </c>
      <c r="AX20" s="88">
        <f t="shared" si="36"/>
        <v>0</v>
      </c>
      <c r="AZ20" s="132">
        <f t="shared" si="18"/>
        <v>0</v>
      </c>
      <c r="BA20" s="132">
        <f t="shared" si="19"/>
        <v>0</v>
      </c>
      <c r="BB20" s="87"/>
      <c r="BC20" s="262" t="str">
        <f>_xlfn.IFNA(IF(I20="Pass",IF(G20&gt;IFERROR(INDEX(DogInfo!A:B,MATCH(C20&amp;$BC$4,DogInfo!A:A,0),2),0),G20,INDEX(DogInfo!A:B,MATCH(C20&amp;$BC$4,DogInfo!A:A,0),2)),INDEX(DogInfo!A:B,MATCH(C20&amp;$BC$4,DogInfo!A:A,0),2)),"")</f>
        <v/>
      </c>
      <c r="BD20" s="262" t="str">
        <f>_xlfn.IFNA(IF(Q20="Pass",IF(O20&gt;IFERROR(INDEX(DogInfo!A:B,MATCH(C20&amp;$BD$4,DogInfo!A:A,0),2),0),O20,INDEX(DogInfo!A:B,MATCH(C20&amp;$BD$4,DogInfo!A:A,0),2)),INDEX(DogInfo!A:B,MATCH(C20&amp;$BD$4,DogInfo!A:A,0),2)),"")</f>
        <v/>
      </c>
      <c r="BE20" s="262" t="str">
        <f>_xlfn.IFNA(IF(Y20="Pass",IF(W20&gt;IFERROR(INDEX(DogInfo!A:B,MATCH(C20&amp;$BE$4,DogInfo!A:A,0),2),0),W20,INDEX(DogInfo!A:B,MATCH(C20&amp;$BE$4,DogInfo!A:A,0),2)),INDEX(DogInfo!A:B,MATCH(C20&amp;$BE$4,DogInfo!A:A,0),2)),"")</f>
        <v/>
      </c>
    </row>
    <row r="21" spans="1:57" s="9" customFormat="1" ht="12.75" x14ac:dyDescent="0.2">
      <c r="A21" s="99">
        <f t="shared" si="35"/>
        <v>17</v>
      </c>
      <c r="B21" s="100"/>
      <c r="C21" s="120"/>
      <c r="D21" s="102" t="str">
        <f>IF($C21="","",VLOOKUP($C21,'SDDA Dogs'!$A:$F,2,FALSE))</f>
        <v/>
      </c>
      <c r="E21" s="211">
        <f t="shared" si="20"/>
        <v>1</v>
      </c>
      <c r="F21" s="103" t="str">
        <f>IF($C21="","",IFERROR(VLOOKUP($C21,'SDDA Dogs'!$A:$O,7,FALSE),0))</f>
        <v/>
      </c>
      <c r="G21" s="137"/>
      <c r="H21" s="217"/>
      <c r="I21" s="84" t="str">
        <f t="shared" si="21"/>
        <v/>
      </c>
      <c r="J21" s="105">
        <f t="shared" si="0"/>
        <v>0</v>
      </c>
      <c r="K21" s="84" t="str">
        <f t="shared" si="22"/>
        <v/>
      </c>
      <c r="L21" s="105">
        <f t="shared" si="1"/>
        <v>0</v>
      </c>
      <c r="M21" s="84" t="str">
        <f t="shared" si="23"/>
        <v/>
      </c>
      <c r="N21" s="106" t="str">
        <f>IF($C21="","",IFERROR(VLOOKUP($C21,'SDDA Dogs'!$A:$O,8,FALSE),0))</f>
        <v/>
      </c>
      <c r="O21" s="137"/>
      <c r="P21" s="217"/>
      <c r="Q21" s="84" t="str">
        <f t="shared" si="24"/>
        <v/>
      </c>
      <c r="R21" s="105">
        <f t="shared" si="2"/>
        <v>0</v>
      </c>
      <c r="S21" s="84" t="str">
        <f t="shared" si="3"/>
        <v/>
      </c>
      <c r="T21" s="105">
        <f t="shared" si="4"/>
        <v>0</v>
      </c>
      <c r="U21" s="84" t="str">
        <f t="shared" si="25"/>
        <v/>
      </c>
      <c r="V21" s="106" t="str">
        <f>IF($C21="","",IFERROR(VLOOKUP($C21,'SDDA Dogs'!$A:$O,9,FALSE),0))</f>
        <v/>
      </c>
      <c r="W21" s="137"/>
      <c r="X21" s="217"/>
      <c r="Y21" s="84" t="str">
        <f t="shared" si="26"/>
        <v/>
      </c>
      <c r="Z21" s="105">
        <f t="shared" si="5"/>
        <v>0</v>
      </c>
      <c r="AA21" s="84" t="str">
        <f t="shared" si="27"/>
        <v/>
      </c>
      <c r="AB21" s="105">
        <f t="shared" si="6"/>
        <v>0</v>
      </c>
      <c r="AC21" s="84" t="str">
        <f t="shared" si="28"/>
        <v/>
      </c>
      <c r="AD21" s="126" t="str">
        <f t="shared" si="29"/>
        <v/>
      </c>
      <c r="AE21" s="89" t="str">
        <f t="shared" si="7"/>
        <v/>
      </c>
      <c r="AF21" s="104" t="str">
        <f t="shared" si="8"/>
        <v/>
      </c>
      <c r="AG21" s="128" t="str">
        <f t="shared" si="30"/>
        <v/>
      </c>
      <c r="AH21" s="126" t="str">
        <f t="shared" si="31"/>
        <v/>
      </c>
      <c r="AI21" s="89" t="str">
        <f t="shared" si="9"/>
        <v/>
      </c>
      <c r="AJ21" s="104" t="str">
        <f t="shared" si="10"/>
        <v/>
      </c>
      <c r="AK21" s="123" t="str">
        <f t="shared" si="32"/>
        <v/>
      </c>
      <c r="AL21" s="129" t="str">
        <f t="shared" si="33"/>
        <v/>
      </c>
      <c r="AM21" s="89">
        <f t="shared" si="11"/>
        <v>0</v>
      </c>
      <c r="AN21" s="84" t="str">
        <f t="shared" si="12"/>
        <v/>
      </c>
      <c r="AO21" s="84" t="str">
        <f t="shared" si="13"/>
        <v/>
      </c>
      <c r="AP21" s="84" t="str">
        <f t="shared" si="14"/>
        <v/>
      </c>
      <c r="AQ21" s="84">
        <f t="shared" si="34"/>
        <v>0</v>
      </c>
      <c r="AR21" s="84"/>
      <c r="AS21" s="85"/>
      <c r="AT21" s="85"/>
      <c r="AU21" s="87" t="str">
        <f>IF(ISERROR(VLOOKUP(C21,'SDDA Dogs'!A:O,6,FALSE)),"",VLOOKUP(C21,'SDDA Dogs'!A:O,6,FALSE))</f>
        <v/>
      </c>
      <c r="AV21" s="84">
        <f t="shared" si="15"/>
        <v>0</v>
      </c>
      <c r="AW21" s="84">
        <f t="shared" si="16"/>
        <v>0</v>
      </c>
      <c r="AX21" s="88">
        <f t="shared" si="36"/>
        <v>0</v>
      </c>
      <c r="AZ21" s="132">
        <f t="shared" si="18"/>
        <v>0</v>
      </c>
      <c r="BA21" s="132">
        <f t="shared" si="19"/>
        <v>0</v>
      </c>
      <c r="BB21" s="87"/>
      <c r="BC21" s="262" t="str">
        <f>_xlfn.IFNA(IF(I21="Pass",IF(G21&gt;IFERROR(INDEX(DogInfo!A:B,MATCH(C21&amp;$BC$4,DogInfo!A:A,0),2),0),G21,INDEX(DogInfo!A:B,MATCH(C21&amp;$BC$4,DogInfo!A:A,0),2)),INDEX(DogInfo!A:B,MATCH(C21&amp;$BC$4,DogInfo!A:A,0),2)),"")</f>
        <v/>
      </c>
      <c r="BD21" s="262" t="str">
        <f>_xlfn.IFNA(IF(Q21="Pass",IF(O21&gt;IFERROR(INDEX(DogInfo!A:B,MATCH(C21&amp;$BD$4,DogInfo!A:A,0),2),0),O21,INDEX(DogInfo!A:B,MATCH(C21&amp;$BD$4,DogInfo!A:A,0),2)),INDEX(DogInfo!A:B,MATCH(C21&amp;$BD$4,DogInfo!A:A,0),2)),"")</f>
        <v/>
      </c>
      <c r="BE21" s="262" t="str">
        <f>_xlfn.IFNA(IF(Y21="Pass",IF(W21&gt;IFERROR(INDEX(DogInfo!A:B,MATCH(C21&amp;$BE$4,DogInfo!A:A,0),2),0),W21,INDEX(DogInfo!A:B,MATCH(C21&amp;$BE$4,DogInfo!A:A,0),2)),INDEX(DogInfo!A:B,MATCH(C21&amp;$BE$4,DogInfo!A:A,0),2)),"")</f>
        <v/>
      </c>
    </row>
    <row r="22" spans="1:57" s="9" customFormat="1" ht="12.75" x14ac:dyDescent="0.2">
      <c r="A22" s="99">
        <f t="shared" si="35"/>
        <v>18</v>
      </c>
      <c r="B22" s="100"/>
      <c r="C22" s="120"/>
      <c r="D22" s="102" t="str">
        <f>IF($C22="","",VLOOKUP($C22,'SDDA Dogs'!$A:$F,2,FALSE))</f>
        <v/>
      </c>
      <c r="E22" s="211">
        <f t="shared" si="20"/>
        <v>1</v>
      </c>
      <c r="F22" s="103" t="str">
        <f>IF($C22="","",IFERROR(VLOOKUP($C22,'SDDA Dogs'!$A:$O,7,FALSE),0))</f>
        <v/>
      </c>
      <c r="G22" s="137"/>
      <c r="H22" s="217"/>
      <c r="I22" s="84" t="str">
        <f t="shared" si="21"/>
        <v/>
      </c>
      <c r="J22" s="105">
        <f t="shared" si="0"/>
        <v>0</v>
      </c>
      <c r="K22" s="84" t="str">
        <f t="shared" si="22"/>
        <v/>
      </c>
      <c r="L22" s="105">
        <f t="shared" si="1"/>
        <v>0</v>
      </c>
      <c r="M22" s="84" t="str">
        <f t="shared" si="23"/>
        <v/>
      </c>
      <c r="N22" s="106" t="str">
        <f>IF($C22="","",IFERROR(VLOOKUP($C22,'SDDA Dogs'!$A:$O,8,FALSE),0))</f>
        <v/>
      </c>
      <c r="O22" s="137"/>
      <c r="P22" s="217"/>
      <c r="Q22" s="84" t="str">
        <f t="shared" si="24"/>
        <v/>
      </c>
      <c r="R22" s="105">
        <f t="shared" si="2"/>
        <v>0</v>
      </c>
      <c r="S22" s="84" t="str">
        <f t="shared" si="3"/>
        <v/>
      </c>
      <c r="T22" s="105">
        <f t="shared" si="4"/>
        <v>0</v>
      </c>
      <c r="U22" s="84" t="str">
        <f t="shared" si="25"/>
        <v/>
      </c>
      <c r="V22" s="106" t="str">
        <f>IF($C22="","",IFERROR(VLOOKUP($C22,'SDDA Dogs'!$A:$O,9,FALSE),0))</f>
        <v/>
      </c>
      <c r="W22" s="137"/>
      <c r="X22" s="217"/>
      <c r="Y22" s="84" t="str">
        <f t="shared" si="26"/>
        <v/>
      </c>
      <c r="Z22" s="105">
        <f t="shared" si="5"/>
        <v>0</v>
      </c>
      <c r="AA22" s="84" t="str">
        <f t="shared" si="27"/>
        <v/>
      </c>
      <c r="AB22" s="105">
        <f t="shared" si="6"/>
        <v>0</v>
      </c>
      <c r="AC22" s="84" t="str">
        <f t="shared" si="28"/>
        <v/>
      </c>
      <c r="AD22" s="126" t="str">
        <f t="shared" si="29"/>
        <v/>
      </c>
      <c r="AE22" s="89" t="str">
        <f t="shared" si="7"/>
        <v/>
      </c>
      <c r="AF22" s="104" t="str">
        <f t="shared" si="8"/>
        <v/>
      </c>
      <c r="AG22" s="128" t="str">
        <f t="shared" si="30"/>
        <v/>
      </c>
      <c r="AH22" s="126" t="str">
        <f t="shared" si="31"/>
        <v/>
      </c>
      <c r="AI22" s="89" t="str">
        <f t="shared" si="9"/>
        <v/>
      </c>
      <c r="AJ22" s="104" t="str">
        <f t="shared" si="10"/>
        <v/>
      </c>
      <c r="AK22" s="123" t="str">
        <f t="shared" si="32"/>
        <v/>
      </c>
      <c r="AL22" s="129" t="str">
        <f t="shared" si="33"/>
        <v/>
      </c>
      <c r="AM22" s="89">
        <f t="shared" si="11"/>
        <v>0</v>
      </c>
      <c r="AN22" s="84" t="str">
        <f t="shared" si="12"/>
        <v/>
      </c>
      <c r="AO22" s="84" t="str">
        <f t="shared" si="13"/>
        <v/>
      </c>
      <c r="AP22" s="84" t="str">
        <f t="shared" si="14"/>
        <v/>
      </c>
      <c r="AQ22" s="84">
        <f t="shared" si="34"/>
        <v>0</v>
      </c>
      <c r="AR22" s="84"/>
      <c r="AS22" s="85"/>
      <c r="AT22" s="85"/>
      <c r="AU22" s="87" t="str">
        <f>IF(ISERROR(VLOOKUP(C22,'SDDA Dogs'!A:O,6,FALSE)),"",VLOOKUP(C22,'SDDA Dogs'!A:O,6,FALSE))</f>
        <v/>
      </c>
      <c r="AV22" s="84">
        <f t="shared" si="15"/>
        <v>0</v>
      </c>
      <c r="AW22" s="84">
        <f t="shared" si="16"/>
        <v>0</v>
      </c>
      <c r="AX22" s="88">
        <f t="shared" si="36"/>
        <v>0</v>
      </c>
      <c r="AZ22" s="132">
        <f t="shared" si="18"/>
        <v>0</v>
      </c>
      <c r="BA22" s="132">
        <f t="shared" si="19"/>
        <v>0</v>
      </c>
      <c r="BB22" s="87"/>
      <c r="BC22" s="262" t="str">
        <f>_xlfn.IFNA(IF(I22="Pass",IF(G22&gt;IFERROR(INDEX(DogInfo!A:B,MATCH(C22&amp;$BC$4,DogInfo!A:A,0),2),0),G22,INDEX(DogInfo!A:B,MATCH(C22&amp;$BC$4,DogInfo!A:A,0),2)),INDEX(DogInfo!A:B,MATCH(C22&amp;$BC$4,DogInfo!A:A,0),2)),"")</f>
        <v/>
      </c>
      <c r="BD22" s="262" t="str">
        <f>_xlfn.IFNA(IF(Q22="Pass",IF(O22&gt;IFERROR(INDEX(DogInfo!A:B,MATCH(C22&amp;$BD$4,DogInfo!A:A,0),2),0),O22,INDEX(DogInfo!A:B,MATCH(C22&amp;$BD$4,DogInfo!A:A,0),2)),INDEX(DogInfo!A:B,MATCH(C22&amp;$BD$4,DogInfo!A:A,0),2)),"")</f>
        <v/>
      </c>
      <c r="BE22" s="262" t="str">
        <f>_xlfn.IFNA(IF(Y22="Pass",IF(W22&gt;IFERROR(INDEX(DogInfo!A:B,MATCH(C22&amp;$BE$4,DogInfo!A:A,0),2),0),W22,INDEX(DogInfo!A:B,MATCH(C22&amp;$BE$4,DogInfo!A:A,0),2)),INDEX(DogInfo!A:B,MATCH(C22&amp;$BE$4,DogInfo!A:A,0),2)),"")</f>
        <v/>
      </c>
    </row>
    <row r="23" spans="1:57" s="9" customFormat="1" ht="12.75" x14ac:dyDescent="0.2">
      <c r="A23" s="99">
        <f t="shared" si="35"/>
        <v>19</v>
      </c>
      <c r="B23" s="100"/>
      <c r="C23" s="120"/>
      <c r="D23" s="102" t="str">
        <f>IF($C23="","",VLOOKUP($C23,'SDDA Dogs'!$A:$F,2,FALSE))</f>
        <v/>
      </c>
      <c r="E23" s="211">
        <f t="shared" si="20"/>
        <v>1</v>
      </c>
      <c r="F23" s="103" t="str">
        <f>IF($C23="","",IFERROR(VLOOKUP($C23,'SDDA Dogs'!$A:$O,7,FALSE),0))</f>
        <v/>
      </c>
      <c r="G23" s="137"/>
      <c r="H23" s="217"/>
      <c r="I23" s="84" t="str">
        <f t="shared" si="21"/>
        <v/>
      </c>
      <c r="J23" s="105">
        <f t="shared" si="0"/>
        <v>0</v>
      </c>
      <c r="K23" s="84" t="str">
        <f t="shared" si="22"/>
        <v/>
      </c>
      <c r="L23" s="105">
        <f t="shared" si="1"/>
        <v>0</v>
      </c>
      <c r="M23" s="84" t="str">
        <f t="shared" si="23"/>
        <v/>
      </c>
      <c r="N23" s="106" t="str">
        <f>IF($C23="","",IFERROR(VLOOKUP($C23,'SDDA Dogs'!$A:$O,8,FALSE),0))</f>
        <v/>
      </c>
      <c r="O23" s="137"/>
      <c r="P23" s="217"/>
      <c r="Q23" s="84" t="str">
        <f t="shared" si="24"/>
        <v/>
      </c>
      <c r="R23" s="105">
        <f t="shared" si="2"/>
        <v>0</v>
      </c>
      <c r="S23" s="84" t="str">
        <f t="shared" si="3"/>
        <v/>
      </c>
      <c r="T23" s="105">
        <f t="shared" si="4"/>
        <v>0</v>
      </c>
      <c r="U23" s="84" t="str">
        <f t="shared" si="25"/>
        <v/>
      </c>
      <c r="V23" s="106" t="str">
        <f>IF($C23="","",IFERROR(VLOOKUP($C23,'SDDA Dogs'!$A:$O,9,FALSE),0))</f>
        <v/>
      </c>
      <c r="W23" s="137"/>
      <c r="X23" s="217"/>
      <c r="Y23" s="84" t="str">
        <f t="shared" si="26"/>
        <v/>
      </c>
      <c r="Z23" s="105">
        <f t="shared" si="5"/>
        <v>0</v>
      </c>
      <c r="AA23" s="84" t="str">
        <f t="shared" si="27"/>
        <v/>
      </c>
      <c r="AB23" s="105">
        <f t="shared" si="6"/>
        <v>0</v>
      </c>
      <c r="AC23" s="84" t="str">
        <f t="shared" si="28"/>
        <v/>
      </c>
      <c r="AD23" s="126" t="str">
        <f t="shared" si="29"/>
        <v/>
      </c>
      <c r="AE23" s="89" t="str">
        <f t="shared" si="7"/>
        <v/>
      </c>
      <c r="AF23" s="104" t="str">
        <f t="shared" si="8"/>
        <v/>
      </c>
      <c r="AG23" s="128" t="str">
        <f t="shared" si="30"/>
        <v/>
      </c>
      <c r="AH23" s="126" t="str">
        <f t="shared" si="31"/>
        <v/>
      </c>
      <c r="AI23" s="89" t="str">
        <f t="shared" si="9"/>
        <v/>
      </c>
      <c r="AJ23" s="104" t="str">
        <f t="shared" si="10"/>
        <v/>
      </c>
      <c r="AK23" s="123" t="str">
        <f t="shared" si="32"/>
        <v/>
      </c>
      <c r="AL23" s="129" t="str">
        <f t="shared" si="33"/>
        <v/>
      </c>
      <c r="AM23" s="89">
        <f t="shared" si="11"/>
        <v>0</v>
      </c>
      <c r="AN23" s="84" t="str">
        <f t="shared" si="12"/>
        <v/>
      </c>
      <c r="AO23" s="84" t="str">
        <f t="shared" si="13"/>
        <v/>
      </c>
      <c r="AP23" s="84" t="str">
        <f t="shared" si="14"/>
        <v/>
      </c>
      <c r="AQ23" s="84">
        <f t="shared" si="34"/>
        <v>0</v>
      </c>
      <c r="AR23" s="84"/>
      <c r="AS23" s="85"/>
      <c r="AT23" s="85"/>
      <c r="AU23" s="87" t="str">
        <f>IF(ISERROR(VLOOKUP(C23,'SDDA Dogs'!A:O,6,FALSE)),"",VLOOKUP(C23,'SDDA Dogs'!A:O,6,FALSE))</f>
        <v/>
      </c>
      <c r="AV23" s="84">
        <f t="shared" si="15"/>
        <v>0</v>
      </c>
      <c r="AW23" s="84">
        <f t="shared" si="16"/>
        <v>0</v>
      </c>
      <c r="AX23" s="88">
        <f t="shared" si="36"/>
        <v>0</v>
      </c>
      <c r="AZ23" s="132">
        <f t="shared" si="18"/>
        <v>0</v>
      </c>
      <c r="BA23" s="132">
        <f t="shared" si="19"/>
        <v>0</v>
      </c>
      <c r="BB23" s="87"/>
      <c r="BC23" s="262" t="str">
        <f>_xlfn.IFNA(IF(I23="Pass",IF(G23&gt;IFERROR(INDEX(DogInfo!A:B,MATCH(C23&amp;$BC$4,DogInfo!A:A,0),2),0),G23,INDEX(DogInfo!A:B,MATCH(C23&amp;$BC$4,DogInfo!A:A,0),2)),INDEX(DogInfo!A:B,MATCH(C23&amp;$BC$4,DogInfo!A:A,0),2)),"")</f>
        <v/>
      </c>
      <c r="BD23" s="262" t="str">
        <f>_xlfn.IFNA(IF(Q23="Pass",IF(O23&gt;IFERROR(INDEX(DogInfo!A:B,MATCH(C23&amp;$BD$4,DogInfo!A:A,0),2),0),O23,INDEX(DogInfo!A:B,MATCH(C23&amp;$BD$4,DogInfo!A:A,0),2)),INDEX(DogInfo!A:B,MATCH(C23&amp;$BD$4,DogInfo!A:A,0),2)),"")</f>
        <v/>
      </c>
      <c r="BE23" s="262" t="str">
        <f>_xlfn.IFNA(IF(Y23="Pass",IF(W23&gt;IFERROR(INDEX(DogInfo!A:B,MATCH(C23&amp;$BE$4,DogInfo!A:A,0),2),0),W23,INDEX(DogInfo!A:B,MATCH(C23&amp;$BE$4,DogInfo!A:A,0),2)),INDEX(DogInfo!A:B,MATCH(C23&amp;$BE$4,DogInfo!A:A,0),2)),"")</f>
        <v/>
      </c>
    </row>
    <row r="24" spans="1:57" s="9" customFormat="1" ht="12.75" x14ac:dyDescent="0.2">
      <c r="A24" s="99">
        <f t="shared" si="35"/>
        <v>20</v>
      </c>
      <c r="B24" s="100"/>
      <c r="C24" s="120"/>
      <c r="D24" s="102" t="str">
        <f>IF($C24="","",VLOOKUP($C24,'SDDA Dogs'!$A:$F,2,FALSE))</f>
        <v/>
      </c>
      <c r="E24" s="211">
        <f t="shared" si="20"/>
        <v>1</v>
      </c>
      <c r="F24" s="103" t="str">
        <f>IF($C24="","",IFERROR(VLOOKUP($C24,'SDDA Dogs'!$A:$O,7,FALSE),0))</f>
        <v/>
      </c>
      <c r="G24" s="137"/>
      <c r="H24" s="217"/>
      <c r="I24" s="84" t="str">
        <f t="shared" si="21"/>
        <v/>
      </c>
      <c r="J24" s="105">
        <f t="shared" si="0"/>
        <v>0</v>
      </c>
      <c r="K24" s="84" t="str">
        <f t="shared" si="22"/>
        <v/>
      </c>
      <c r="L24" s="105">
        <f t="shared" si="1"/>
        <v>0</v>
      </c>
      <c r="M24" s="84" t="str">
        <f t="shared" si="23"/>
        <v/>
      </c>
      <c r="N24" s="106" t="str">
        <f>IF($C24="","",IFERROR(VLOOKUP($C24,'SDDA Dogs'!$A:$O,8,FALSE),0))</f>
        <v/>
      </c>
      <c r="O24" s="137"/>
      <c r="P24" s="217"/>
      <c r="Q24" s="84" t="str">
        <f t="shared" si="24"/>
        <v/>
      </c>
      <c r="R24" s="105">
        <f t="shared" si="2"/>
        <v>0</v>
      </c>
      <c r="S24" s="84" t="str">
        <f t="shared" si="3"/>
        <v/>
      </c>
      <c r="T24" s="105">
        <f t="shared" si="4"/>
        <v>0</v>
      </c>
      <c r="U24" s="84" t="str">
        <f t="shared" si="25"/>
        <v/>
      </c>
      <c r="V24" s="106" t="str">
        <f>IF($C24="","",IFERROR(VLOOKUP($C24,'SDDA Dogs'!$A:$O,9,FALSE),0))</f>
        <v/>
      </c>
      <c r="W24" s="137"/>
      <c r="X24" s="217"/>
      <c r="Y24" s="84" t="str">
        <f t="shared" si="26"/>
        <v/>
      </c>
      <c r="Z24" s="105">
        <f t="shared" si="5"/>
        <v>0</v>
      </c>
      <c r="AA24" s="84" t="str">
        <f t="shared" si="27"/>
        <v/>
      </c>
      <c r="AB24" s="105">
        <f t="shared" si="6"/>
        <v>0</v>
      </c>
      <c r="AC24" s="84" t="str">
        <f t="shared" si="28"/>
        <v/>
      </c>
      <c r="AD24" s="126" t="str">
        <f t="shared" si="29"/>
        <v/>
      </c>
      <c r="AE24" s="89" t="str">
        <f t="shared" si="7"/>
        <v/>
      </c>
      <c r="AF24" s="104" t="str">
        <f t="shared" si="8"/>
        <v/>
      </c>
      <c r="AG24" s="128" t="str">
        <f t="shared" si="30"/>
        <v/>
      </c>
      <c r="AH24" s="126" t="str">
        <f t="shared" si="31"/>
        <v/>
      </c>
      <c r="AI24" s="89" t="str">
        <f t="shared" si="9"/>
        <v/>
      </c>
      <c r="AJ24" s="104" t="str">
        <f t="shared" si="10"/>
        <v/>
      </c>
      <c r="AK24" s="123" t="str">
        <f t="shared" si="32"/>
        <v/>
      </c>
      <c r="AL24" s="129" t="str">
        <f t="shared" si="33"/>
        <v/>
      </c>
      <c r="AM24" s="89">
        <f t="shared" si="11"/>
        <v>0</v>
      </c>
      <c r="AN24" s="84" t="str">
        <f t="shared" si="12"/>
        <v/>
      </c>
      <c r="AO24" s="84" t="str">
        <f t="shared" si="13"/>
        <v/>
      </c>
      <c r="AP24" s="84" t="str">
        <f t="shared" si="14"/>
        <v/>
      </c>
      <c r="AQ24" s="84">
        <f t="shared" si="34"/>
        <v>0</v>
      </c>
      <c r="AR24" s="84"/>
      <c r="AS24" s="85"/>
      <c r="AT24" s="85"/>
      <c r="AU24" s="87" t="str">
        <f>IF(ISERROR(VLOOKUP(C24,'SDDA Dogs'!A:O,6,FALSE)),"",VLOOKUP(C24,'SDDA Dogs'!A:O,6,FALSE))</f>
        <v/>
      </c>
      <c r="AV24" s="84">
        <f t="shared" si="15"/>
        <v>0</v>
      </c>
      <c r="AW24" s="84">
        <f t="shared" si="16"/>
        <v>0</v>
      </c>
      <c r="AX24" s="88">
        <f t="shared" si="36"/>
        <v>0</v>
      </c>
      <c r="AZ24" s="132">
        <f t="shared" si="18"/>
        <v>0</v>
      </c>
      <c r="BA24" s="132">
        <f t="shared" si="19"/>
        <v>0</v>
      </c>
      <c r="BB24" s="87"/>
      <c r="BC24" s="262" t="str">
        <f>_xlfn.IFNA(IF(I24="Pass",IF(G24&gt;IFERROR(INDEX(DogInfo!A:B,MATCH(C24&amp;$BC$4,DogInfo!A:A,0),2),0),G24,INDEX(DogInfo!A:B,MATCH(C24&amp;$BC$4,DogInfo!A:A,0),2)),INDEX(DogInfo!A:B,MATCH(C24&amp;$BC$4,DogInfo!A:A,0),2)),"")</f>
        <v/>
      </c>
      <c r="BD24" s="262" t="str">
        <f>_xlfn.IFNA(IF(Q24="Pass",IF(O24&gt;IFERROR(INDEX(DogInfo!A:B,MATCH(C24&amp;$BD$4,DogInfo!A:A,0),2),0),O24,INDEX(DogInfo!A:B,MATCH(C24&amp;$BD$4,DogInfo!A:A,0),2)),INDEX(DogInfo!A:B,MATCH(C24&amp;$BD$4,DogInfo!A:A,0),2)),"")</f>
        <v/>
      </c>
      <c r="BE24" s="262" t="str">
        <f>_xlfn.IFNA(IF(Y24="Pass",IF(W24&gt;IFERROR(INDEX(DogInfo!A:B,MATCH(C24&amp;$BE$4,DogInfo!A:A,0),2),0),W24,INDEX(DogInfo!A:B,MATCH(C24&amp;$BE$4,DogInfo!A:A,0),2)),INDEX(DogInfo!A:B,MATCH(C24&amp;$BE$4,DogInfo!A:A,0),2)),"")</f>
        <v/>
      </c>
    </row>
    <row r="25" spans="1:57" s="9" customFormat="1" ht="12.75" x14ac:dyDescent="0.2">
      <c r="A25" s="99">
        <f t="shared" si="35"/>
        <v>21</v>
      </c>
      <c r="B25" s="100"/>
      <c r="C25" s="120"/>
      <c r="D25" s="102" t="str">
        <f>IF($C25="","",VLOOKUP($C25,'SDDA Dogs'!$A:$F,2,FALSE))</f>
        <v/>
      </c>
      <c r="E25" s="211">
        <f t="shared" si="20"/>
        <v>1</v>
      </c>
      <c r="F25" s="103" t="str">
        <f>IF($C25="","",IFERROR(VLOOKUP($C25,'SDDA Dogs'!$A:$O,7,FALSE),0))</f>
        <v/>
      </c>
      <c r="G25" s="137"/>
      <c r="H25" s="217"/>
      <c r="I25" s="84" t="str">
        <f t="shared" si="21"/>
        <v/>
      </c>
      <c r="J25" s="105">
        <f t="shared" si="0"/>
        <v>0</v>
      </c>
      <c r="K25" s="84" t="str">
        <f t="shared" si="22"/>
        <v/>
      </c>
      <c r="L25" s="105">
        <f t="shared" si="1"/>
        <v>0</v>
      </c>
      <c r="M25" s="84" t="str">
        <f t="shared" si="23"/>
        <v/>
      </c>
      <c r="N25" s="106" t="str">
        <f>IF($C25="","",IFERROR(VLOOKUP($C25,'SDDA Dogs'!$A:$O,8,FALSE),0))</f>
        <v/>
      </c>
      <c r="O25" s="137"/>
      <c r="P25" s="217"/>
      <c r="Q25" s="84" t="str">
        <f t="shared" si="24"/>
        <v/>
      </c>
      <c r="R25" s="105">
        <f t="shared" si="2"/>
        <v>0</v>
      </c>
      <c r="S25" s="84" t="str">
        <f t="shared" si="3"/>
        <v/>
      </c>
      <c r="T25" s="105">
        <f t="shared" si="4"/>
        <v>0</v>
      </c>
      <c r="U25" s="84" t="str">
        <f t="shared" si="25"/>
        <v/>
      </c>
      <c r="V25" s="106" t="str">
        <f>IF($C25="","",IFERROR(VLOOKUP($C25,'SDDA Dogs'!$A:$O,9,FALSE),0))</f>
        <v/>
      </c>
      <c r="W25" s="137"/>
      <c r="X25" s="217"/>
      <c r="Y25" s="84" t="str">
        <f t="shared" si="26"/>
        <v/>
      </c>
      <c r="Z25" s="105">
        <f t="shared" si="5"/>
        <v>0</v>
      </c>
      <c r="AA25" s="84" t="str">
        <f t="shared" si="27"/>
        <v/>
      </c>
      <c r="AB25" s="105">
        <f t="shared" si="6"/>
        <v>0</v>
      </c>
      <c r="AC25" s="84" t="str">
        <f t="shared" si="28"/>
        <v/>
      </c>
      <c r="AD25" s="126" t="str">
        <f t="shared" si="29"/>
        <v/>
      </c>
      <c r="AE25" s="89" t="str">
        <f t="shared" si="7"/>
        <v/>
      </c>
      <c r="AF25" s="104" t="str">
        <f t="shared" si="8"/>
        <v/>
      </c>
      <c r="AG25" s="128" t="str">
        <f t="shared" si="30"/>
        <v/>
      </c>
      <c r="AH25" s="126" t="str">
        <f t="shared" si="31"/>
        <v/>
      </c>
      <c r="AI25" s="89" t="str">
        <f t="shared" si="9"/>
        <v/>
      </c>
      <c r="AJ25" s="104" t="str">
        <f t="shared" si="10"/>
        <v/>
      </c>
      <c r="AK25" s="123" t="str">
        <f t="shared" si="32"/>
        <v/>
      </c>
      <c r="AL25" s="129" t="str">
        <f t="shared" si="33"/>
        <v/>
      </c>
      <c r="AM25" s="89">
        <f t="shared" si="11"/>
        <v>0</v>
      </c>
      <c r="AN25" s="84" t="str">
        <f t="shared" si="12"/>
        <v/>
      </c>
      <c r="AO25" s="84" t="str">
        <f t="shared" si="13"/>
        <v/>
      </c>
      <c r="AP25" s="84" t="str">
        <f t="shared" si="14"/>
        <v/>
      </c>
      <c r="AQ25" s="84">
        <f t="shared" si="34"/>
        <v>0</v>
      </c>
      <c r="AR25" s="84"/>
      <c r="AS25" s="85"/>
      <c r="AT25" s="85"/>
      <c r="AU25" s="87" t="str">
        <f>IF(ISERROR(VLOOKUP(C25,'SDDA Dogs'!A:O,6,FALSE)),"",VLOOKUP(C25,'SDDA Dogs'!A:O,6,FALSE))</f>
        <v/>
      </c>
      <c r="AV25" s="84">
        <f t="shared" si="15"/>
        <v>0</v>
      </c>
      <c r="AW25" s="84">
        <f t="shared" si="16"/>
        <v>0</v>
      </c>
      <c r="AX25" s="88">
        <f t="shared" si="36"/>
        <v>0</v>
      </c>
      <c r="AZ25" s="132">
        <f t="shared" si="18"/>
        <v>0</v>
      </c>
      <c r="BA25" s="132">
        <f t="shared" si="19"/>
        <v>0</v>
      </c>
      <c r="BB25" s="87"/>
      <c r="BC25" s="262" t="str">
        <f>_xlfn.IFNA(IF(I25="Pass",IF(G25&gt;IFERROR(INDEX(DogInfo!A:B,MATCH(C25&amp;$BC$4,DogInfo!A:A,0),2),0),G25,INDEX(DogInfo!A:B,MATCH(C25&amp;$BC$4,DogInfo!A:A,0),2)),INDEX(DogInfo!A:B,MATCH(C25&amp;$BC$4,DogInfo!A:A,0),2)),"")</f>
        <v/>
      </c>
      <c r="BD25" s="262" t="str">
        <f>_xlfn.IFNA(IF(Q25="Pass",IF(O25&gt;IFERROR(INDEX(DogInfo!A:B,MATCH(C25&amp;$BD$4,DogInfo!A:A,0),2),0),O25,INDEX(DogInfo!A:B,MATCH(C25&amp;$BD$4,DogInfo!A:A,0),2)),INDEX(DogInfo!A:B,MATCH(C25&amp;$BD$4,DogInfo!A:A,0),2)),"")</f>
        <v/>
      </c>
      <c r="BE25" s="262" t="str">
        <f>_xlfn.IFNA(IF(Y25="Pass",IF(W25&gt;IFERROR(INDEX(DogInfo!A:B,MATCH(C25&amp;$BE$4,DogInfo!A:A,0),2),0),W25,INDEX(DogInfo!A:B,MATCH(C25&amp;$BE$4,DogInfo!A:A,0),2)),INDEX(DogInfo!A:B,MATCH(C25&amp;$BE$4,DogInfo!A:A,0),2)),"")</f>
        <v/>
      </c>
    </row>
    <row r="26" spans="1:57" s="9" customFormat="1" ht="12.75" x14ac:dyDescent="0.2">
      <c r="A26" s="99">
        <f t="shared" si="35"/>
        <v>22</v>
      </c>
      <c r="B26" s="100"/>
      <c r="C26" s="120"/>
      <c r="D26" s="102" t="str">
        <f>IF($C26="","",VLOOKUP($C26,'SDDA Dogs'!$A:$F,2,FALSE))</f>
        <v/>
      </c>
      <c r="E26" s="211">
        <f t="shared" si="20"/>
        <v>1</v>
      </c>
      <c r="F26" s="103" t="str">
        <f>IF($C26="","",IFERROR(VLOOKUP($C26,'SDDA Dogs'!$A:$O,7,FALSE),0))</f>
        <v/>
      </c>
      <c r="G26" s="137"/>
      <c r="H26" s="217"/>
      <c r="I26" s="84" t="str">
        <f t="shared" si="21"/>
        <v/>
      </c>
      <c r="J26" s="105">
        <f t="shared" si="0"/>
        <v>0</v>
      </c>
      <c r="K26" s="84" t="str">
        <f t="shared" si="22"/>
        <v/>
      </c>
      <c r="L26" s="105">
        <f t="shared" si="1"/>
        <v>0</v>
      </c>
      <c r="M26" s="84" t="str">
        <f t="shared" si="23"/>
        <v/>
      </c>
      <c r="N26" s="106" t="str">
        <f>IF($C26="","",IFERROR(VLOOKUP($C26,'SDDA Dogs'!$A:$O,8,FALSE),0))</f>
        <v/>
      </c>
      <c r="O26" s="137"/>
      <c r="P26" s="217"/>
      <c r="Q26" s="84" t="str">
        <f t="shared" si="24"/>
        <v/>
      </c>
      <c r="R26" s="105">
        <f t="shared" si="2"/>
        <v>0</v>
      </c>
      <c r="S26" s="84" t="str">
        <f t="shared" si="3"/>
        <v/>
      </c>
      <c r="T26" s="105">
        <f t="shared" si="4"/>
        <v>0</v>
      </c>
      <c r="U26" s="84" t="str">
        <f t="shared" si="25"/>
        <v/>
      </c>
      <c r="V26" s="106" t="str">
        <f>IF($C26="","",IFERROR(VLOOKUP($C26,'SDDA Dogs'!$A:$O,9,FALSE),0))</f>
        <v/>
      </c>
      <c r="W26" s="137"/>
      <c r="X26" s="217"/>
      <c r="Y26" s="84" t="str">
        <f t="shared" si="26"/>
        <v/>
      </c>
      <c r="Z26" s="105">
        <f t="shared" si="5"/>
        <v>0</v>
      </c>
      <c r="AA26" s="84" t="str">
        <f t="shared" si="27"/>
        <v/>
      </c>
      <c r="AB26" s="105">
        <f t="shared" si="6"/>
        <v>0</v>
      </c>
      <c r="AC26" s="84" t="str">
        <f t="shared" si="28"/>
        <v/>
      </c>
      <c r="AD26" s="126" t="str">
        <f t="shared" si="29"/>
        <v/>
      </c>
      <c r="AE26" s="89" t="str">
        <f t="shared" si="7"/>
        <v/>
      </c>
      <c r="AF26" s="104" t="str">
        <f t="shared" si="8"/>
        <v/>
      </c>
      <c r="AG26" s="128" t="str">
        <f t="shared" si="30"/>
        <v/>
      </c>
      <c r="AH26" s="126" t="str">
        <f t="shared" si="31"/>
        <v/>
      </c>
      <c r="AI26" s="89" t="str">
        <f t="shared" si="9"/>
        <v/>
      </c>
      <c r="AJ26" s="104" t="str">
        <f t="shared" si="10"/>
        <v/>
      </c>
      <c r="AK26" s="123" t="str">
        <f t="shared" si="32"/>
        <v/>
      </c>
      <c r="AL26" s="129" t="str">
        <f t="shared" si="33"/>
        <v/>
      </c>
      <c r="AM26" s="89">
        <f t="shared" si="11"/>
        <v>0</v>
      </c>
      <c r="AN26" s="84" t="str">
        <f t="shared" si="12"/>
        <v/>
      </c>
      <c r="AO26" s="84" t="str">
        <f t="shared" si="13"/>
        <v/>
      </c>
      <c r="AP26" s="84" t="str">
        <f t="shared" si="14"/>
        <v/>
      </c>
      <c r="AQ26" s="84">
        <f t="shared" si="34"/>
        <v>0</v>
      </c>
      <c r="AR26" s="84"/>
      <c r="AS26" s="85"/>
      <c r="AT26" s="85"/>
      <c r="AU26" s="87" t="str">
        <f>IF(ISERROR(VLOOKUP(C26,'SDDA Dogs'!A:O,6,FALSE)),"",VLOOKUP(C26,'SDDA Dogs'!A:O,6,FALSE))</f>
        <v/>
      </c>
      <c r="AV26" s="84">
        <f t="shared" si="15"/>
        <v>0</v>
      </c>
      <c r="AW26" s="84">
        <f t="shared" si="16"/>
        <v>0</v>
      </c>
      <c r="AX26" s="88">
        <f t="shared" si="36"/>
        <v>0</v>
      </c>
      <c r="AZ26" s="132">
        <f t="shared" si="18"/>
        <v>0</v>
      </c>
      <c r="BA26" s="132">
        <f t="shared" si="19"/>
        <v>0</v>
      </c>
      <c r="BB26" s="87"/>
      <c r="BC26" s="262" t="str">
        <f>_xlfn.IFNA(IF(I26="Pass",IF(G26&gt;IFERROR(INDEX(DogInfo!A:B,MATCH(C26&amp;$BC$4,DogInfo!A:A,0),2),0),G26,INDEX(DogInfo!A:B,MATCH(C26&amp;$BC$4,DogInfo!A:A,0),2)),INDEX(DogInfo!A:B,MATCH(C26&amp;$BC$4,DogInfo!A:A,0),2)),"")</f>
        <v/>
      </c>
      <c r="BD26" s="262" t="str">
        <f>_xlfn.IFNA(IF(Q26="Pass",IF(O26&gt;IFERROR(INDEX(DogInfo!A:B,MATCH(C26&amp;$BD$4,DogInfo!A:A,0),2),0),O26,INDEX(DogInfo!A:B,MATCH(C26&amp;$BD$4,DogInfo!A:A,0),2)),INDEX(DogInfo!A:B,MATCH(C26&amp;$BD$4,DogInfo!A:A,0),2)),"")</f>
        <v/>
      </c>
      <c r="BE26" s="262" t="str">
        <f>_xlfn.IFNA(IF(Y26="Pass",IF(W26&gt;IFERROR(INDEX(DogInfo!A:B,MATCH(C26&amp;$BE$4,DogInfo!A:A,0),2),0),W26,INDEX(DogInfo!A:B,MATCH(C26&amp;$BE$4,DogInfo!A:A,0),2)),INDEX(DogInfo!A:B,MATCH(C26&amp;$BE$4,DogInfo!A:A,0),2)),"")</f>
        <v/>
      </c>
    </row>
    <row r="27" spans="1:57" s="9" customFormat="1" ht="12.75" x14ac:dyDescent="0.2">
      <c r="A27" s="99">
        <f t="shared" si="35"/>
        <v>23</v>
      </c>
      <c r="B27" s="100"/>
      <c r="C27" s="120"/>
      <c r="D27" s="102" t="str">
        <f>IF($C27="","",VLOOKUP($C27,'SDDA Dogs'!$A:$F,2,FALSE))</f>
        <v/>
      </c>
      <c r="E27" s="211">
        <f t="shared" si="20"/>
        <v>1</v>
      </c>
      <c r="F27" s="103" t="str">
        <f>IF($C27="","",IFERROR(VLOOKUP($C27,'SDDA Dogs'!$A:$O,7,FALSE),0))</f>
        <v/>
      </c>
      <c r="G27" s="137"/>
      <c r="H27" s="217"/>
      <c r="I27" s="84" t="str">
        <f t="shared" si="21"/>
        <v/>
      </c>
      <c r="J27" s="105">
        <f t="shared" si="0"/>
        <v>0</v>
      </c>
      <c r="K27" s="84" t="str">
        <f t="shared" si="22"/>
        <v/>
      </c>
      <c r="L27" s="105">
        <f t="shared" si="1"/>
        <v>0</v>
      </c>
      <c r="M27" s="84" t="str">
        <f t="shared" si="23"/>
        <v/>
      </c>
      <c r="N27" s="106" t="str">
        <f>IF($C27="","",IFERROR(VLOOKUP($C27,'SDDA Dogs'!$A:$O,8,FALSE),0))</f>
        <v/>
      </c>
      <c r="O27" s="137"/>
      <c r="P27" s="217"/>
      <c r="Q27" s="84" t="str">
        <f t="shared" si="24"/>
        <v/>
      </c>
      <c r="R27" s="105">
        <f t="shared" si="2"/>
        <v>0</v>
      </c>
      <c r="S27" s="84" t="str">
        <f t="shared" si="3"/>
        <v/>
      </c>
      <c r="T27" s="105">
        <f t="shared" si="4"/>
        <v>0</v>
      </c>
      <c r="U27" s="84" t="str">
        <f t="shared" si="25"/>
        <v/>
      </c>
      <c r="V27" s="106" t="str">
        <f>IF($C27="","",IFERROR(VLOOKUP($C27,'SDDA Dogs'!$A:$O,9,FALSE),0))</f>
        <v/>
      </c>
      <c r="W27" s="137"/>
      <c r="X27" s="217"/>
      <c r="Y27" s="84" t="str">
        <f t="shared" si="26"/>
        <v/>
      </c>
      <c r="Z27" s="105">
        <f t="shared" si="5"/>
        <v>0</v>
      </c>
      <c r="AA27" s="84" t="str">
        <f t="shared" si="27"/>
        <v/>
      </c>
      <c r="AB27" s="105">
        <f t="shared" si="6"/>
        <v>0</v>
      </c>
      <c r="AC27" s="84" t="str">
        <f t="shared" si="28"/>
        <v/>
      </c>
      <c r="AD27" s="126" t="str">
        <f t="shared" si="29"/>
        <v/>
      </c>
      <c r="AE27" s="89" t="str">
        <f t="shared" si="7"/>
        <v/>
      </c>
      <c r="AF27" s="104" t="str">
        <f t="shared" si="8"/>
        <v/>
      </c>
      <c r="AG27" s="128" t="str">
        <f t="shared" si="30"/>
        <v/>
      </c>
      <c r="AH27" s="126" t="str">
        <f t="shared" si="31"/>
        <v/>
      </c>
      <c r="AI27" s="89" t="str">
        <f t="shared" si="9"/>
        <v/>
      </c>
      <c r="AJ27" s="104" t="str">
        <f t="shared" si="10"/>
        <v/>
      </c>
      <c r="AK27" s="123" t="str">
        <f t="shared" si="32"/>
        <v/>
      </c>
      <c r="AL27" s="129" t="str">
        <f t="shared" si="33"/>
        <v/>
      </c>
      <c r="AM27" s="89">
        <f t="shared" si="11"/>
        <v>0</v>
      </c>
      <c r="AN27" s="84" t="str">
        <f t="shared" si="12"/>
        <v/>
      </c>
      <c r="AO27" s="84" t="str">
        <f t="shared" si="13"/>
        <v/>
      </c>
      <c r="AP27" s="84" t="str">
        <f t="shared" si="14"/>
        <v/>
      </c>
      <c r="AQ27" s="84">
        <f t="shared" si="34"/>
        <v>0</v>
      </c>
      <c r="AR27" s="84"/>
      <c r="AS27" s="85"/>
      <c r="AT27" s="85"/>
      <c r="AU27" s="87" t="str">
        <f>IF(ISERROR(VLOOKUP(C27,'SDDA Dogs'!A:O,6,FALSE)),"",VLOOKUP(C27,'SDDA Dogs'!A:O,6,FALSE))</f>
        <v/>
      </c>
      <c r="AV27" s="84">
        <f t="shared" si="15"/>
        <v>0</v>
      </c>
      <c r="AW27" s="84">
        <f t="shared" si="16"/>
        <v>0</v>
      </c>
      <c r="AX27" s="88">
        <f t="shared" si="36"/>
        <v>0</v>
      </c>
      <c r="AZ27" s="132">
        <f t="shared" si="18"/>
        <v>0</v>
      </c>
      <c r="BA27" s="132">
        <f t="shared" si="19"/>
        <v>0</v>
      </c>
      <c r="BB27" s="87"/>
      <c r="BC27" s="262" t="str">
        <f>_xlfn.IFNA(IF(I27="Pass",IF(G27&gt;IFERROR(INDEX(DogInfo!A:B,MATCH(C27&amp;$BC$4,DogInfo!A:A,0),2),0),G27,INDEX(DogInfo!A:B,MATCH(C27&amp;$BC$4,DogInfo!A:A,0),2)),INDEX(DogInfo!A:B,MATCH(C27&amp;$BC$4,DogInfo!A:A,0),2)),"")</f>
        <v/>
      </c>
      <c r="BD27" s="262" t="str">
        <f>_xlfn.IFNA(IF(Q27="Pass",IF(O27&gt;IFERROR(INDEX(DogInfo!A:B,MATCH(C27&amp;$BD$4,DogInfo!A:A,0),2),0),O27,INDEX(DogInfo!A:B,MATCH(C27&amp;$BD$4,DogInfo!A:A,0),2)),INDEX(DogInfo!A:B,MATCH(C27&amp;$BD$4,DogInfo!A:A,0),2)),"")</f>
        <v/>
      </c>
      <c r="BE27" s="262" t="str">
        <f>_xlfn.IFNA(IF(Y27="Pass",IF(W27&gt;IFERROR(INDEX(DogInfo!A:B,MATCH(C27&amp;$BE$4,DogInfo!A:A,0),2),0),W27,INDEX(DogInfo!A:B,MATCH(C27&amp;$BE$4,DogInfo!A:A,0),2)),INDEX(DogInfo!A:B,MATCH(C27&amp;$BE$4,DogInfo!A:A,0),2)),"")</f>
        <v/>
      </c>
    </row>
    <row r="28" spans="1:57" s="9" customFormat="1" ht="12.75" x14ac:dyDescent="0.2">
      <c r="A28" s="99">
        <f t="shared" si="35"/>
        <v>24</v>
      </c>
      <c r="B28" s="100"/>
      <c r="C28" s="120"/>
      <c r="D28" s="102" t="str">
        <f>IF($C28="","",VLOOKUP($C28,'SDDA Dogs'!$A:$F,2,FALSE))</f>
        <v/>
      </c>
      <c r="E28" s="211">
        <f t="shared" si="20"/>
        <v>1</v>
      </c>
      <c r="F28" s="103" t="str">
        <f>IF($C28="","",IFERROR(VLOOKUP($C28,'SDDA Dogs'!$A:$O,7,FALSE),0))</f>
        <v/>
      </c>
      <c r="G28" s="137"/>
      <c r="H28" s="217"/>
      <c r="I28" s="84" t="str">
        <f t="shared" si="21"/>
        <v/>
      </c>
      <c r="J28" s="105">
        <f t="shared" si="0"/>
        <v>0</v>
      </c>
      <c r="K28" s="84" t="str">
        <f t="shared" si="22"/>
        <v/>
      </c>
      <c r="L28" s="105">
        <f t="shared" si="1"/>
        <v>0</v>
      </c>
      <c r="M28" s="84" t="str">
        <f t="shared" si="23"/>
        <v/>
      </c>
      <c r="N28" s="106" t="str">
        <f>IF($C28="","",IFERROR(VLOOKUP($C28,'SDDA Dogs'!$A:$O,8,FALSE),0))</f>
        <v/>
      </c>
      <c r="O28" s="137"/>
      <c r="P28" s="217"/>
      <c r="Q28" s="84" t="str">
        <f t="shared" si="24"/>
        <v/>
      </c>
      <c r="R28" s="105">
        <f t="shared" si="2"/>
        <v>0</v>
      </c>
      <c r="S28" s="84" t="str">
        <f t="shared" si="3"/>
        <v/>
      </c>
      <c r="T28" s="105">
        <f t="shared" si="4"/>
        <v>0</v>
      </c>
      <c r="U28" s="84" t="str">
        <f t="shared" si="25"/>
        <v/>
      </c>
      <c r="V28" s="106" t="str">
        <f>IF($C28="","",IFERROR(VLOOKUP($C28,'SDDA Dogs'!$A:$O,9,FALSE),0))</f>
        <v/>
      </c>
      <c r="W28" s="137"/>
      <c r="X28" s="217"/>
      <c r="Y28" s="84" t="str">
        <f t="shared" si="26"/>
        <v/>
      </c>
      <c r="Z28" s="105">
        <f t="shared" si="5"/>
        <v>0</v>
      </c>
      <c r="AA28" s="84" t="str">
        <f t="shared" si="27"/>
        <v/>
      </c>
      <c r="AB28" s="105">
        <f t="shared" si="6"/>
        <v>0</v>
      </c>
      <c r="AC28" s="84" t="str">
        <f t="shared" si="28"/>
        <v/>
      </c>
      <c r="AD28" s="126" t="str">
        <f t="shared" si="29"/>
        <v/>
      </c>
      <c r="AE28" s="89" t="str">
        <f t="shared" si="7"/>
        <v/>
      </c>
      <c r="AF28" s="104" t="str">
        <f t="shared" si="8"/>
        <v/>
      </c>
      <c r="AG28" s="128" t="str">
        <f t="shared" si="30"/>
        <v/>
      </c>
      <c r="AH28" s="126" t="str">
        <f t="shared" si="31"/>
        <v/>
      </c>
      <c r="AI28" s="89" t="str">
        <f t="shared" si="9"/>
        <v/>
      </c>
      <c r="AJ28" s="104" t="str">
        <f t="shared" si="10"/>
        <v/>
      </c>
      <c r="AK28" s="123" t="str">
        <f t="shared" si="32"/>
        <v/>
      </c>
      <c r="AL28" s="129" t="str">
        <f t="shared" si="33"/>
        <v/>
      </c>
      <c r="AM28" s="89">
        <f t="shared" si="11"/>
        <v>0</v>
      </c>
      <c r="AN28" s="84" t="str">
        <f t="shared" si="12"/>
        <v/>
      </c>
      <c r="AO28" s="84" t="str">
        <f t="shared" si="13"/>
        <v/>
      </c>
      <c r="AP28" s="84" t="str">
        <f t="shared" si="14"/>
        <v/>
      </c>
      <c r="AQ28" s="84">
        <f t="shared" si="34"/>
        <v>0</v>
      </c>
      <c r="AR28" s="84"/>
      <c r="AS28" s="85"/>
      <c r="AT28" s="85"/>
      <c r="AU28" s="87" t="str">
        <f>IF(ISERROR(VLOOKUP(C28,'SDDA Dogs'!A:O,6,FALSE)),"",VLOOKUP(C28,'SDDA Dogs'!A:O,6,FALSE))</f>
        <v/>
      </c>
      <c r="AV28" s="84">
        <f t="shared" si="15"/>
        <v>0</v>
      </c>
      <c r="AW28" s="84">
        <f t="shared" si="16"/>
        <v>0</v>
      </c>
      <c r="AX28" s="88">
        <f t="shared" si="36"/>
        <v>0</v>
      </c>
      <c r="AZ28" s="132">
        <f t="shared" si="18"/>
        <v>0</v>
      </c>
      <c r="BA28" s="132">
        <f t="shared" si="19"/>
        <v>0</v>
      </c>
      <c r="BB28" s="87"/>
      <c r="BC28" s="262" t="str">
        <f>_xlfn.IFNA(IF(I28="Pass",IF(G28&gt;IFERROR(INDEX(DogInfo!A:B,MATCH(C28&amp;$BC$4,DogInfo!A:A,0),2),0),G28,INDEX(DogInfo!A:B,MATCH(C28&amp;$BC$4,DogInfo!A:A,0),2)),INDEX(DogInfo!A:B,MATCH(C28&amp;$BC$4,DogInfo!A:A,0),2)),"")</f>
        <v/>
      </c>
      <c r="BD28" s="262" t="str">
        <f>_xlfn.IFNA(IF(Q28="Pass",IF(O28&gt;IFERROR(INDEX(DogInfo!A:B,MATCH(C28&amp;$BD$4,DogInfo!A:A,0),2),0),O28,INDEX(DogInfo!A:B,MATCH(C28&amp;$BD$4,DogInfo!A:A,0),2)),INDEX(DogInfo!A:B,MATCH(C28&amp;$BD$4,DogInfo!A:A,0),2)),"")</f>
        <v/>
      </c>
      <c r="BE28" s="262" t="str">
        <f>_xlfn.IFNA(IF(Y28="Pass",IF(W28&gt;IFERROR(INDEX(DogInfo!A:B,MATCH(C28&amp;$BE$4,DogInfo!A:A,0),2),0),W28,INDEX(DogInfo!A:B,MATCH(C28&amp;$BE$4,DogInfo!A:A,0),2)),INDEX(DogInfo!A:B,MATCH(C28&amp;$BE$4,DogInfo!A:A,0),2)),"")</f>
        <v/>
      </c>
    </row>
    <row r="29" spans="1:57" s="9" customFormat="1" ht="12.75" x14ac:dyDescent="0.2">
      <c r="A29" s="99">
        <f t="shared" si="35"/>
        <v>25</v>
      </c>
      <c r="B29" s="100"/>
      <c r="C29" s="120"/>
      <c r="D29" s="102" t="str">
        <f>IF($C29="","",VLOOKUP($C29,'SDDA Dogs'!$A:$F,2,FALSE))</f>
        <v/>
      </c>
      <c r="E29" s="211">
        <f t="shared" si="20"/>
        <v>1</v>
      </c>
      <c r="F29" s="103" t="str">
        <f>IF($C29="","",IFERROR(VLOOKUP($C29,'SDDA Dogs'!$A:$O,7,FALSE),0))</f>
        <v/>
      </c>
      <c r="G29" s="137"/>
      <c r="H29" s="217"/>
      <c r="I29" s="84" t="str">
        <f t="shared" si="21"/>
        <v/>
      </c>
      <c r="J29" s="105">
        <f t="shared" si="0"/>
        <v>0</v>
      </c>
      <c r="K29" s="84" t="str">
        <f t="shared" si="22"/>
        <v/>
      </c>
      <c r="L29" s="105">
        <f t="shared" si="1"/>
        <v>0</v>
      </c>
      <c r="M29" s="84" t="str">
        <f t="shared" si="23"/>
        <v/>
      </c>
      <c r="N29" s="106" t="str">
        <f>IF($C29="","",IFERROR(VLOOKUP($C29,'SDDA Dogs'!$A:$O,8,FALSE),0))</f>
        <v/>
      </c>
      <c r="O29" s="137"/>
      <c r="P29" s="217"/>
      <c r="Q29" s="84" t="str">
        <f t="shared" si="24"/>
        <v/>
      </c>
      <c r="R29" s="105">
        <f t="shared" si="2"/>
        <v>0</v>
      </c>
      <c r="S29" s="84" t="str">
        <f t="shared" si="3"/>
        <v/>
      </c>
      <c r="T29" s="105">
        <f t="shared" si="4"/>
        <v>0</v>
      </c>
      <c r="U29" s="84" t="str">
        <f t="shared" si="25"/>
        <v/>
      </c>
      <c r="V29" s="106" t="str">
        <f>IF($C29="","",IFERROR(VLOOKUP($C29,'SDDA Dogs'!$A:$O,9,FALSE),0))</f>
        <v/>
      </c>
      <c r="W29" s="137"/>
      <c r="X29" s="217"/>
      <c r="Y29" s="84" t="str">
        <f t="shared" si="26"/>
        <v/>
      </c>
      <c r="Z29" s="105">
        <f t="shared" si="5"/>
        <v>0</v>
      </c>
      <c r="AA29" s="84" t="str">
        <f t="shared" si="27"/>
        <v/>
      </c>
      <c r="AB29" s="105">
        <f t="shared" si="6"/>
        <v>0</v>
      </c>
      <c r="AC29" s="84" t="str">
        <f t="shared" si="28"/>
        <v/>
      </c>
      <c r="AD29" s="126" t="str">
        <f t="shared" si="29"/>
        <v/>
      </c>
      <c r="AE29" s="89" t="str">
        <f t="shared" si="7"/>
        <v/>
      </c>
      <c r="AF29" s="104" t="str">
        <f t="shared" si="8"/>
        <v/>
      </c>
      <c r="AG29" s="128" t="str">
        <f t="shared" si="30"/>
        <v/>
      </c>
      <c r="AH29" s="126" t="str">
        <f t="shared" si="31"/>
        <v/>
      </c>
      <c r="AI29" s="89" t="str">
        <f t="shared" si="9"/>
        <v/>
      </c>
      <c r="AJ29" s="104" t="str">
        <f t="shared" si="10"/>
        <v/>
      </c>
      <c r="AK29" s="123" t="str">
        <f t="shared" si="32"/>
        <v/>
      </c>
      <c r="AL29" s="129" t="str">
        <f t="shared" si="33"/>
        <v/>
      </c>
      <c r="AM29" s="89">
        <f t="shared" si="11"/>
        <v>0</v>
      </c>
      <c r="AN29" s="84" t="str">
        <f t="shared" si="12"/>
        <v/>
      </c>
      <c r="AO29" s="84" t="str">
        <f t="shared" si="13"/>
        <v/>
      </c>
      <c r="AP29" s="84" t="str">
        <f t="shared" si="14"/>
        <v/>
      </c>
      <c r="AQ29" s="84">
        <f t="shared" si="34"/>
        <v>0</v>
      </c>
      <c r="AR29" s="84"/>
      <c r="AS29" s="85"/>
      <c r="AT29" s="85"/>
      <c r="AU29" s="87" t="str">
        <f>IF(ISERROR(VLOOKUP(C29,'SDDA Dogs'!A:O,6,FALSE)),"",VLOOKUP(C29,'SDDA Dogs'!A:O,6,FALSE))</f>
        <v/>
      </c>
      <c r="AV29" s="84">
        <f t="shared" si="15"/>
        <v>0</v>
      </c>
      <c r="AW29" s="84">
        <f t="shared" si="16"/>
        <v>0</v>
      </c>
      <c r="AX29" s="88">
        <f t="shared" si="36"/>
        <v>0</v>
      </c>
      <c r="AZ29" s="132">
        <f t="shared" si="18"/>
        <v>0</v>
      </c>
      <c r="BA29" s="132">
        <f t="shared" si="19"/>
        <v>0</v>
      </c>
      <c r="BB29" s="87"/>
      <c r="BC29" s="262" t="str">
        <f>_xlfn.IFNA(IF(I29="Pass",IF(G29&gt;IFERROR(INDEX(DogInfo!A:B,MATCH(C29&amp;$BC$4,DogInfo!A:A,0),2),0),G29,INDEX(DogInfo!A:B,MATCH(C29&amp;$BC$4,DogInfo!A:A,0),2)),INDEX(DogInfo!A:B,MATCH(C29&amp;$BC$4,DogInfo!A:A,0),2)),"")</f>
        <v/>
      </c>
      <c r="BD29" s="262" t="str">
        <f>_xlfn.IFNA(IF(Q29="Pass",IF(O29&gt;IFERROR(INDEX(DogInfo!A:B,MATCH(C29&amp;$BD$4,DogInfo!A:A,0),2),0),O29,INDEX(DogInfo!A:B,MATCH(C29&amp;$BD$4,DogInfo!A:A,0),2)),INDEX(DogInfo!A:B,MATCH(C29&amp;$BD$4,DogInfo!A:A,0),2)),"")</f>
        <v/>
      </c>
      <c r="BE29" s="262" t="str">
        <f>_xlfn.IFNA(IF(Y29="Pass",IF(W29&gt;IFERROR(INDEX(DogInfo!A:B,MATCH(C29&amp;$BE$4,DogInfo!A:A,0),2),0),W29,INDEX(DogInfo!A:B,MATCH(C29&amp;$BE$4,DogInfo!A:A,0),2)),INDEX(DogInfo!A:B,MATCH(C29&amp;$BE$4,DogInfo!A:A,0),2)),"")</f>
        <v/>
      </c>
    </row>
    <row r="30" spans="1:57" s="9" customFormat="1" ht="12.75" x14ac:dyDescent="0.2">
      <c r="A30" s="99">
        <f t="shared" si="35"/>
        <v>26</v>
      </c>
      <c r="B30" s="100"/>
      <c r="C30" s="120"/>
      <c r="D30" s="102" t="str">
        <f>IF($C30="","",VLOOKUP($C30,'SDDA Dogs'!$A:$F,2,FALSE))</f>
        <v/>
      </c>
      <c r="E30" s="211">
        <f t="shared" si="20"/>
        <v>1</v>
      </c>
      <c r="F30" s="103" t="str">
        <f>IF($C30="","",IFERROR(VLOOKUP($C30,'SDDA Dogs'!$A:$O,7,FALSE),0))</f>
        <v/>
      </c>
      <c r="G30" s="137"/>
      <c r="H30" s="217"/>
      <c r="I30" s="84" t="str">
        <f t="shared" si="21"/>
        <v/>
      </c>
      <c r="J30" s="105">
        <f t="shared" si="0"/>
        <v>0</v>
      </c>
      <c r="K30" s="84" t="str">
        <f t="shared" si="22"/>
        <v/>
      </c>
      <c r="L30" s="105">
        <f t="shared" si="1"/>
        <v>0</v>
      </c>
      <c r="M30" s="84" t="str">
        <f t="shared" si="23"/>
        <v/>
      </c>
      <c r="N30" s="106" t="str">
        <f>IF($C30="","",IFERROR(VLOOKUP($C30,'SDDA Dogs'!$A:$O,8,FALSE),0))</f>
        <v/>
      </c>
      <c r="O30" s="137"/>
      <c r="P30" s="217"/>
      <c r="Q30" s="84" t="str">
        <f t="shared" si="24"/>
        <v/>
      </c>
      <c r="R30" s="105">
        <f t="shared" si="2"/>
        <v>0</v>
      </c>
      <c r="S30" s="84" t="str">
        <f t="shared" si="3"/>
        <v/>
      </c>
      <c r="T30" s="105">
        <f t="shared" si="4"/>
        <v>0</v>
      </c>
      <c r="U30" s="84" t="str">
        <f t="shared" si="25"/>
        <v/>
      </c>
      <c r="V30" s="106" t="str">
        <f>IF($C30="","",IFERROR(VLOOKUP($C30,'SDDA Dogs'!$A:$O,9,FALSE),0))</f>
        <v/>
      </c>
      <c r="W30" s="137"/>
      <c r="X30" s="217"/>
      <c r="Y30" s="84" t="str">
        <f t="shared" si="26"/>
        <v/>
      </c>
      <c r="Z30" s="105">
        <f t="shared" si="5"/>
        <v>0</v>
      </c>
      <c r="AA30" s="84" t="str">
        <f t="shared" si="27"/>
        <v/>
      </c>
      <c r="AB30" s="105">
        <f t="shared" si="6"/>
        <v>0</v>
      </c>
      <c r="AC30" s="84" t="str">
        <f t="shared" si="28"/>
        <v/>
      </c>
      <c r="AD30" s="126" t="str">
        <f t="shared" si="29"/>
        <v/>
      </c>
      <c r="AE30" s="89" t="str">
        <f t="shared" si="7"/>
        <v/>
      </c>
      <c r="AF30" s="104" t="str">
        <f t="shared" si="8"/>
        <v/>
      </c>
      <c r="AG30" s="128" t="str">
        <f t="shared" si="30"/>
        <v/>
      </c>
      <c r="AH30" s="126" t="str">
        <f t="shared" si="31"/>
        <v/>
      </c>
      <c r="AI30" s="89" t="str">
        <f t="shared" si="9"/>
        <v/>
      </c>
      <c r="AJ30" s="104" t="str">
        <f t="shared" si="10"/>
        <v/>
      </c>
      <c r="AK30" s="123" t="str">
        <f t="shared" si="32"/>
        <v/>
      </c>
      <c r="AL30" s="129" t="str">
        <f t="shared" si="33"/>
        <v/>
      </c>
      <c r="AM30" s="89">
        <f t="shared" si="11"/>
        <v>0</v>
      </c>
      <c r="AN30" s="84" t="str">
        <f t="shared" si="12"/>
        <v/>
      </c>
      <c r="AO30" s="84" t="str">
        <f t="shared" si="13"/>
        <v/>
      </c>
      <c r="AP30" s="84" t="str">
        <f t="shared" si="14"/>
        <v/>
      </c>
      <c r="AQ30" s="84">
        <f t="shared" si="34"/>
        <v>0</v>
      </c>
      <c r="AR30" s="84"/>
      <c r="AS30" s="85"/>
      <c r="AT30" s="85"/>
      <c r="AU30" s="87" t="str">
        <f>IF(ISERROR(VLOOKUP(C30,'SDDA Dogs'!A:O,6,FALSE)),"",VLOOKUP(C30,'SDDA Dogs'!A:O,6,FALSE))</f>
        <v/>
      </c>
      <c r="AV30" s="84">
        <f t="shared" si="15"/>
        <v>0</v>
      </c>
      <c r="AW30" s="84">
        <f t="shared" si="16"/>
        <v>0</v>
      </c>
      <c r="AX30" s="88">
        <f t="shared" si="36"/>
        <v>0</v>
      </c>
      <c r="AZ30" s="132">
        <f t="shared" si="18"/>
        <v>0</v>
      </c>
      <c r="BA30" s="132">
        <f t="shared" si="19"/>
        <v>0</v>
      </c>
      <c r="BB30" s="87"/>
      <c r="BC30" s="262" t="str">
        <f>_xlfn.IFNA(IF(I30="Pass",IF(G30&gt;IFERROR(INDEX(DogInfo!A:B,MATCH(C30&amp;$BC$4,DogInfo!A:A,0),2),0),G30,INDEX(DogInfo!A:B,MATCH(C30&amp;$BC$4,DogInfo!A:A,0),2)),INDEX(DogInfo!A:B,MATCH(C30&amp;$BC$4,DogInfo!A:A,0),2)),"")</f>
        <v/>
      </c>
      <c r="BD30" s="262" t="str">
        <f>_xlfn.IFNA(IF(Q30="Pass",IF(O30&gt;IFERROR(INDEX(DogInfo!A:B,MATCH(C30&amp;$BD$4,DogInfo!A:A,0),2),0),O30,INDEX(DogInfo!A:B,MATCH(C30&amp;$BD$4,DogInfo!A:A,0),2)),INDEX(DogInfo!A:B,MATCH(C30&amp;$BD$4,DogInfo!A:A,0),2)),"")</f>
        <v/>
      </c>
      <c r="BE30" s="262" t="str">
        <f>_xlfn.IFNA(IF(Y30="Pass",IF(W30&gt;IFERROR(INDEX(DogInfo!A:B,MATCH(C30&amp;$BE$4,DogInfo!A:A,0),2),0),W30,INDEX(DogInfo!A:B,MATCH(C30&amp;$BE$4,DogInfo!A:A,0),2)),INDEX(DogInfo!A:B,MATCH(C30&amp;$BE$4,DogInfo!A:A,0),2)),"")</f>
        <v/>
      </c>
    </row>
    <row r="31" spans="1:57" s="9" customFormat="1" ht="12.75" x14ac:dyDescent="0.2">
      <c r="A31" s="99">
        <f t="shared" si="35"/>
        <v>27</v>
      </c>
      <c r="B31" s="100"/>
      <c r="C31" s="120"/>
      <c r="D31" s="102" t="str">
        <f>IF($C31="","",VLOOKUP($C31,'SDDA Dogs'!$A:$F,2,FALSE))</f>
        <v/>
      </c>
      <c r="E31" s="211">
        <f t="shared" si="20"/>
        <v>1</v>
      </c>
      <c r="F31" s="103" t="str">
        <f>IF($C31="","",IFERROR(VLOOKUP($C31,'SDDA Dogs'!$A:$O,7,FALSE),0))</f>
        <v/>
      </c>
      <c r="G31" s="137"/>
      <c r="H31" s="217"/>
      <c r="I31" s="84" t="str">
        <f t="shared" si="21"/>
        <v/>
      </c>
      <c r="J31" s="105">
        <f t="shared" si="0"/>
        <v>0</v>
      </c>
      <c r="K31" s="84" t="str">
        <f t="shared" si="22"/>
        <v/>
      </c>
      <c r="L31" s="105">
        <f t="shared" si="1"/>
        <v>0</v>
      </c>
      <c r="M31" s="84" t="str">
        <f t="shared" si="23"/>
        <v/>
      </c>
      <c r="N31" s="106" t="str">
        <f>IF($C31="","",IFERROR(VLOOKUP($C31,'SDDA Dogs'!$A:$O,8,FALSE),0))</f>
        <v/>
      </c>
      <c r="O31" s="137"/>
      <c r="P31" s="217"/>
      <c r="Q31" s="84" t="str">
        <f t="shared" si="24"/>
        <v/>
      </c>
      <c r="R31" s="105">
        <f t="shared" si="2"/>
        <v>0</v>
      </c>
      <c r="S31" s="84" t="str">
        <f t="shared" si="3"/>
        <v/>
      </c>
      <c r="T31" s="105">
        <f t="shared" si="4"/>
        <v>0</v>
      </c>
      <c r="U31" s="84" t="str">
        <f t="shared" si="25"/>
        <v/>
      </c>
      <c r="V31" s="106" t="str">
        <f>IF($C31="","",IFERROR(VLOOKUP($C31,'SDDA Dogs'!$A:$O,9,FALSE),0))</f>
        <v/>
      </c>
      <c r="W31" s="137"/>
      <c r="X31" s="217"/>
      <c r="Y31" s="84" t="str">
        <f t="shared" si="26"/>
        <v/>
      </c>
      <c r="Z31" s="105">
        <f t="shared" si="5"/>
        <v>0</v>
      </c>
      <c r="AA31" s="84" t="str">
        <f t="shared" si="27"/>
        <v/>
      </c>
      <c r="AB31" s="105">
        <f t="shared" si="6"/>
        <v>0</v>
      </c>
      <c r="AC31" s="84" t="str">
        <f t="shared" si="28"/>
        <v/>
      </c>
      <c r="AD31" s="126" t="str">
        <f t="shared" si="29"/>
        <v/>
      </c>
      <c r="AE31" s="89" t="str">
        <f t="shared" si="7"/>
        <v/>
      </c>
      <c r="AF31" s="104" t="str">
        <f t="shared" si="8"/>
        <v/>
      </c>
      <c r="AG31" s="128" t="str">
        <f t="shared" si="30"/>
        <v/>
      </c>
      <c r="AH31" s="126" t="str">
        <f t="shared" si="31"/>
        <v/>
      </c>
      <c r="AI31" s="89" t="str">
        <f t="shared" si="9"/>
        <v/>
      </c>
      <c r="AJ31" s="104" t="str">
        <f t="shared" si="10"/>
        <v/>
      </c>
      <c r="AK31" s="123" t="str">
        <f t="shared" si="32"/>
        <v/>
      </c>
      <c r="AL31" s="129" t="str">
        <f t="shared" si="33"/>
        <v/>
      </c>
      <c r="AM31" s="89">
        <f t="shared" si="11"/>
        <v>0</v>
      </c>
      <c r="AN31" s="84" t="str">
        <f t="shared" si="12"/>
        <v/>
      </c>
      <c r="AO31" s="84" t="str">
        <f t="shared" si="13"/>
        <v/>
      </c>
      <c r="AP31" s="84" t="str">
        <f t="shared" si="14"/>
        <v/>
      </c>
      <c r="AQ31" s="84">
        <f t="shared" si="34"/>
        <v>0</v>
      </c>
      <c r="AR31" s="84"/>
      <c r="AS31" s="85"/>
      <c r="AT31" s="85"/>
      <c r="AU31" s="87" t="str">
        <f>IF(ISERROR(VLOOKUP(C31,'SDDA Dogs'!A:O,6,FALSE)),"",VLOOKUP(C31,'SDDA Dogs'!A:O,6,FALSE))</f>
        <v/>
      </c>
      <c r="AV31" s="84">
        <f t="shared" si="15"/>
        <v>0</v>
      </c>
      <c r="AW31" s="84">
        <f t="shared" si="16"/>
        <v>0</v>
      </c>
      <c r="AX31" s="88">
        <f t="shared" si="36"/>
        <v>0</v>
      </c>
      <c r="AZ31" s="132">
        <f t="shared" si="18"/>
        <v>0</v>
      </c>
      <c r="BA31" s="132">
        <f t="shared" si="19"/>
        <v>0</v>
      </c>
      <c r="BB31" s="87"/>
      <c r="BC31" s="262" t="str">
        <f>_xlfn.IFNA(IF(I31="Pass",IF(G31&gt;IFERROR(INDEX(DogInfo!A:B,MATCH(C31&amp;$BC$4,DogInfo!A:A,0),2),0),G31,INDEX(DogInfo!A:B,MATCH(C31&amp;$BC$4,DogInfo!A:A,0),2)),INDEX(DogInfo!A:B,MATCH(C31&amp;$BC$4,DogInfo!A:A,0),2)),"")</f>
        <v/>
      </c>
      <c r="BD31" s="262" t="str">
        <f>_xlfn.IFNA(IF(Q31="Pass",IF(O31&gt;IFERROR(INDEX(DogInfo!A:B,MATCH(C31&amp;$BD$4,DogInfo!A:A,0),2),0),O31,INDEX(DogInfo!A:B,MATCH(C31&amp;$BD$4,DogInfo!A:A,0),2)),INDEX(DogInfo!A:B,MATCH(C31&amp;$BD$4,DogInfo!A:A,0),2)),"")</f>
        <v/>
      </c>
      <c r="BE31" s="262" t="str">
        <f>_xlfn.IFNA(IF(Y31="Pass",IF(W31&gt;IFERROR(INDEX(DogInfo!A:B,MATCH(C31&amp;$BE$4,DogInfo!A:A,0),2),0),W31,INDEX(DogInfo!A:B,MATCH(C31&amp;$BE$4,DogInfo!A:A,0),2)),INDEX(DogInfo!A:B,MATCH(C31&amp;$BE$4,DogInfo!A:A,0),2)),"")</f>
        <v/>
      </c>
    </row>
    <row r="32" spans="1:57" s="9" customFormat="1" ht="12.75" x14ac:dyDescent="0.2">
      <c r="A32" s="99">
        <f t="shared" si="35"/>
        <v>28</v>
      </c>
      <c r="B32" s="100"/>
      <c r="C32" s="120"/>
      <c r="D32" s="102" t="str">
        <f>IF($C32="","",VLOOKUP($C32,'SDDA Dogs'!$A:$F,2,FALSE))</f>
        <v/>
      </c>
      <c r="E32" s="211">
        <f t="shared" si="20"/>
        <v>1</v>
      </c>
      <c r="F32" s="103" t="str">
        <f>IF($C32="","",IFERROR(VLOOKUP($C32,'SDDA Dogs'!$A:$O,7,FALSE),0))</f>
        <v/>
      </c>
      <c r="G32" s="137"/>
      <c r="H32" s="217"/>
      <c r="I32" s="84" t="str">
        <f t="shared" si="21"/>
        <v/>
      </c>
      <c r="J32" s="105">
        <f t="shared" si="0"/>
        <v>0</v>
      </c>
      <c r="K32" s="84" t="str">
        <f t="shared" si="22"/>
        <v/>
      </c>
      <c r="L32" s="105">
        <f t="shared" si="1"/>
        <v>0</v>
      </c>
      <c r="M32" s="84" t="str">
        <f t="shared" si="23"/>
        <v/>
      </c>
      <c r="N32" s="106" t="str">
        <f>IF($C32="","",IFERROR(VLOOKUP($C32,'SDDA Dogs'!$A:$O,8,FALSE),0))</f>
        <v/>
      </c>
      <c r="O32" s="137"/>
      <c r="P32" s="217"/>
      <c r="Q32" s="84" t="str">
        <f t="shared" si="24"/>
        <v/>
      </c>
      <c r="R32" s="105">
        <f t="shared" si="2"/>
        <v>0</v>
      </c>
      <c r="S32" s="84" t="str">
        <f t="shared" si="3"/>
        <v/>
      </c>
      <c r="T32" s="105">
        <f t="shared" si="4"/>
        <v>0</v>
      </c>
      <c r="U32" s="84" t="str">
        <f t="shared" si="25"/>
        <v/>
      </c>
      <c r="V32" s="106" t="str">
        <f>IF($C32="","",IFERROR(VLOOKUP($C32,'SDDA Dogs'!$A:$O,9,FALSE),0))</f>
        <v/>
      </c>
      <c r="W32" s="137"/>
      <c r="X32" s="217"/>
      <c r="Y32" s="84" t="str">
        <f t="shared" si="26"/>
        <v/>
      </c>
      <c r="Z32" s="105">
        <f t="shared" si="5"/>
        <v>0</v>
      </c>
      <c r="AA32" s="84" t="str">
        <f t="shared" si="27"/>
        <v/>
      </c>
      <c r="AB32" s="105">
        <f t="shared" si="6"/>
        <v>0</v>
      </c>
      <c r="AC32" s="84" t="str">
        <f t="shared" si="28"/>
        <v/>
      </c>
      <c r="AD32" s="126" t="str">
        <f t="shared" si="29"/>
        <v/>
      </c>
      <c r="AE32" s="89" t="str">
        <f t="shared" si="7"/>
        <v/>
      </c>
      <c r="AF32" s="104" t="str">
        <f t="shared" si="8"/>
        <v/>
      </c>
      <c r="AG32" s="128" t="str">
        <f t="shared" si="30"/>
        <v/>
      </c>
      <c r="AH32" s="126" t="str">
        <f t="shared" si="31"/>
        <v/>
      </c>
      <c r="AI32" s="89" t="str">
        <f t="shared" si="9"/>
        <v/>
      </c>
      <c r="AJ32" s="104" t="str">
        <f t="shared" si="10"/>
        <v/>
      </c>
      <c r="AK32" s="123" t="str">
        <f t="shared" si="32"/>
        <v/>
      </c>
      <c r="AL32" s="129" t="str">
        <f t="shared" si="33"/>
        <v/>
      </c>
      <c r="AM32" s="89">
        <f t="shared" si="11"/>
        <v>0</v>
      </c>
      <c r="AN32" s="84" t="str">
        <f t="shared" si="12"/>
        <v/>
      </c>
      <c r="AO32" s="84" t="str">
        <f t="shared" si="13"/>
        <v/>
      </c>
      <c r="AP32" s="84" t="str">
        <f t="shared" si="14"/>
        <v/>
      </c>
      <c r="AQ32" s="84">
        <f t="shared" si="34"/>
        <v>0</v>
      </c>
      <c r="AR32" s="84"/>
      <c r="AS32" s="85"/>
      <c r="AT32" s="85"/>
      <c r="AU32" s="87" t="str">
        <f>IF(ISERROR(VLOOKUP(C32,'SDDA Dogs'!A:O,6,FALSE)),"",VLOOKUP(C32,'SDDA Dogs'!A:O,6,FALSE))</f>
        <v/>
      </c>
      <c r="AV32" s="84">
        <f t="shared" si="15"/>
        <v>0</v>
      </c>
      <c r="AW32" s="84">
        <f t="shared" si="16"/>
        <v>0</v>
      </c>
      <c r="AX32" s="88">
        <f t="shared" si="36"/>
        <v>0</v>
      </c>
      <c r="AZ32" s="132">
        <f t="shared" si="18"/>
        <v>0</v>
      </c>
      <c r="BA32" s="132">
        <f t="shared" si="19"/>
        <v>0</v>
      </c>
      <c r="BB32" s="87"/>
      <c r="BC32" s="262" t="str">
        <f>_xlfn.IFNA(IF(I32="Pass",IF(G32&gt;IFERROR(INDEX(DogInfo!A:B,MATCH(C32&amp;$BC$4,DogInfo!A:A,0),2),0),G32,INDEX(DogInfo!A:B,MATCH(C32&amp;$BC$4,DogInfo!A:A,0),2)),INDEX(DogInfo!A:B,MATCH(C32&amp;$BC$4,DogInfo!A:A,0),2)),"")</f>
        <v/>
      </c>
      <c r="BD32" s="262" t="str">
        <f>_xlfn.IFNA(IF(Q32="Pass",IF(O32&gt;IFERROR(INDEX(DogInfo!A:B,MATCH(C32&amp;$BD$4,DogInfo!A:A,0),2),0),O32,INDEX(DogInfo!A:B,MATCH(C32&amp;$BD$4,DogInfo!A:A,0),2)),INDEX(DogInfo!A:B,MATCH(C32&amp;$BD$4,DogInfo!A:A,0),2)),"")</f>
        <v/>
      </c>
      <c r="BE32" s="262" t="str">
        <f>_xlfn.IFNA(IF(Y32="Pass",IF(W32&gt;IFERROR(INDEX(DogInfo!A:B,MATCH(C32&amp;$BE$4,DogInfo!A:A,0),2),0),W32,INDEX(DogInfo!A:B,MATCH(C32&amp;$BE$4,DogInfo!A:A,0),2)),INDEX(DogInfo!A:B,MATCH(C32&amp;$BE$4,DogInfo!A:A,0),2)),"")</f>
        <v/>
      </c>
    </row>
    <row r="33" spans="1:65" s="9" customFormat="1" ht="12.75" x14ac:dyDescent="0.2">
      <c r="A33" s="99">
        <f t="shared" si="35"/>
        <v>29</v>
      </c>
      <c r="B33" s="100"/>
      <c r="C33" s="120"/>
      <c r="D33" s="102" t="str">
        <f>IF($C33="","",VLOOKUP($C33,'SDDA Dogs'!$A:$F,2,FALSE))</f>
        <v/>
      </c>
      <c r="E33" s="211">
        <f t="shared" si="20"/>
        <v>1</v>
      </c>
      <c r="F33" s="103" t="str">
        <f>IF($C33="","",IFERROR(VLOOKUP($C33,'SDDA Dogs'!$A:$O,7,FALSE),0))</f>
        <v/>
      </c>
      <c r="G33" s="137"/>
      <c r="H33" s="217"/>
      <c r="I33" s="84" t="str">
        <f t="shared" si="21"/>
        <v/>
      </c>
      <c r="J33" s="105">
        <f t="shared" si="0"/>
        <v>0</v>
      </c>
      <c r="K33" s="84" t="str">
        <f t="shared" si="22"/>
        <v/>
      </c>
      <c r="L33" s="105">
        <f t="shared" si="1"/>
        <v>0</v>
      </c>
      <c r="M33" s="84" t="str">
        <f t="shared" si="23"/>
        <v/>
      </c>
      <c r="N33" s="106" t="str">
        <f>IF($C33="","",IFERROR(VLOOKUP($C33,'SDDA Dogs'!$A:$O,8,FALSE),0))</f>
        <v/>
      </c>
      <c r="O33" s="137"/>
      <c r="P33" s="217"/>
      <c r="Q33" s="84" t="str">
        <f t="shared" si="24"/>
        <v/>
      </c>
      <c r="R33" s="105">
        <f t="shared" si="2"/>
        <v>0</v>
      </c>
      <c r="S33" s="84" t="str">
        <f t="shared" si="3"/>
        <v/>
      </c>
      <c r="T33" s="105">
        <f t="shared" si="4"/>
        <v>0</v>
      </c>
      <c r="U33" s="84" t="str">
        <f t="shared" si="25"/>
        <v/>
      </c>
      <c r="V33" s="106" t="str">
        <f>IF($C33="","",IFERROR(VLOOKUP($C33,'SDDA Dogs'!$A:$O,9,FALSE),0))</f>
        <v/>
      </c>
      <c r="W33" s="137"/>
      <c r="X33" s="217"/>
      <c r="Y33" s="84" t="str">
        <f t="shared" si="26"/>
        <v/>
      </c>
      <c r="Z33" s="105">
        <f t="shared" si="5"/>
        <v>0</v>
      </c>
      <c r="AA33" s="84" t="str">
        <f t="shared" si="27"/>
        <v/>
      </c>
      <c r="AB33" s="105">
        <f t="shared" si="6"/>
        <v>0</v>
      </c>
      <c r="AC33" s="84" t="str">
        <f t="shared" si="28"/>
        <v/>
      </c>
      <c r="AD33" s="126" t="str">
        <f t="shared" si="29"/>
        <v/>
      </c>
      <c r="AE33" s="89" t="str">
        <f t="shared" si="7"/>
        <v/>
      </c>
      <c r="AF33" s="104" t="str">
        <f t="shared" si="8"/>
        <v/>
      </c>
      <c r="AG33" s="128" t="str">
        <f t="shared" si="30"/>
        <v/>
      </c>
      <c r="AH33" s="126" t="str">
        <f t="shared" si="31"/>
        <v/>
      </c>
      <c r="AI33" s="89" t="str">
        <f t="shared" si="9"/>
        <v/>
      </c>
      <c r="AJ33" s="104" t="str">
        <f t="shared" si="10"/>
        <v/>
      </c>
      <c r="AK33" s="123" t="str">
        <f t="shared" si="32"/>
        <v/>
      </c>
      <c r="AL33" s="129" t="str">
        <f t="shared" si="33"/>
        <v/>
      </c>
      <c r="AM33" s="89">
        <f t="shared" si="11"/>
        <v>0</v>
      </c>
      <c r="AN33" s="84" t="str">
        <f t="shared" si="12"/>
        <v/>
      </c>
      <c r="AO33" s="84" t="str">
        <f t="shared" si="13"/>
        <v/>
      </c>
      <c r="AP33" s="84" t="str">
        <f t="shared" si="14"/>
        <v/>
      </c>
      <c r="AQ33" s="84">
        <f t="shared" si="34"/>
        <v>0</v>
      </c>
      <c r="AR33" s="84"/>
      <c r="AS33" s="85"/>
      <c r="AT33" s="85"/>
      <c r="AU33" s="87" t="str">
        <f>IF(ISERROR(VLOOKUP(C33,'SDDA Dogs'!A:O,6,FALSE)),"",VLOOKUP(C33,'SDDA Dogs'!A:O,6,FALSE))</f>
        <v/>
      </c>
      <c r="AV33" s="84">
        <f t="shared" si="15"/>
        <v>0</v>
      </c>
      <c r="AW33" s="84">
        <f t="shared" si="16"/>
        <v>0</v>
      </c>
      <c r="AX33" s="88">
        <f t="shared" si="36"/>
        <v>0</v>
      </c>
      <c r="AZ33" s="132">
        <f t="shared" si="18"/>
        <v>0</v>
      </c>
      <c r="BA33" s="132">
        <f t="shared" si="19"/>
        <v>0</v>
      </c>
      <c r="BB33" s="87"/>
      <c r="BC33" s="262" t="str">
        <f>_xlfn.IFNA(IF(I33="Pass",IF(G33&gt;IFERROR(INDEX(DogInfo!A:B,MATCH(C33&amp;$BC$4,DogInfo!A:A,0),2),0),G33,INDEX(DogInfo!A:B,MATCH(C33&amp;$BC$4,DogInfo!A:A,0),2)),INDEX(DogInfo!A:B,MATCH(C33&amp;$BC$4,DogInfo!A:A,0),2)),"")</f>
        <v/>
      </c>
      <c r="BD33" s="262" t="str">
        <f>_xlfn.IFNA(IF(Q33="Pass",IF(O33&gt;IFERROR(INDEX(DogInfo!A:B,MATCH(C33&amp;$BD$4,DogInfo!A:A,0),2),0),O33,INDEX(DogInfo!A:B,MATCH(C33&amp;$BD$4,DogInfo!A:A,0),2)),INDEX(DogInfo!A:B,MATCH(C33&amp;$BD$4,DogInfo!A:A,0),2)),"")</f>
        <v/>
      </c>
      <c r="BE33" s="262" t="str">
        <f>_xlfn.IFNA(IF(Y33="Pass",IF(W33&gt;IFERROR(INDEX(DogInfo!A:B,MATCH(C33&amp;$BE$4,DogInfo!A:A,0),2),0),W33,INDEX(DogInfo!A:B,MATCH(C33&amp;$BE$4,DogInfo!A:A,0),2)),INDEX(DogInfo!A:B,MATCH(C33&amp;$BE$4,DogInfo!A:A,0),2)),"")</f>
        <v/>
      </c>
    </row>
    <row r="34" spans="1:65" s="9" customFormat="1" ht="12.75" x14ac:dyDescent="0.2">
      <c r="A34" s="99">
        <f t="shared" si="35"/>
        <v>30</v>
      </c>
      <c r="B34" s="100"/>
      <c r="C34" s="120"/>
      <c r="D34" s="102" t="str">
        <f>IF($C34="","",VLOOKUP($C34,'SDDA Dogs'!$A:$F,2,FALSE))</f>
        <v/>
      </c>
      <c r="E34" s="211">
        <f t="shared" si="20"/>
        <v>1</v>
      </c>
      <c r="F34" s="103" t="str">
        <f>IF($C34="","",IFERROR(VLOOKUP($C34,'SDDA Dogs'!$A:$O,7,FALSE),0))</f>
        <v/>
      </c>
      <c r="G34" s="137"/>
      <c r="H34" s="217"/>
      <c r="I34" s="84" t="str">
        <f t="shared" si="21"/>
        <v/>
      </c>
      <c r="J34" s="105">
        <f t="shared" si="0"/>
        <v>0</v>
      </c>
      <c r="K34" s="84" t="str">
        <f t="shared" si="22"/>
        <v/>
      </c>
      <c r="L34" s="105">
        <f t="shared" si="1"/>
        <v>0</v>
      </c>
      <c r="M34" s="84" t="str">
        <f t="shared" si="23"/>
        <v/>
      </c>
      <c r="N34" s="106" t="str">
        <f>IF($C34="","",IFERROR(VLOOKUP($C34,'SDDA Dogs'!$A:$O,8,FALSE),0))</f>
        <v/>
      </c>
      <c r="O34" s="137"/>
      <c r="P34" s="217"/>
      <c r="Q34" s="84" t="str">
        <f t="shared" si="24"/>
        <v/>
      </c>
      <c r="R34" s="105">
        <f t="shared" si="2"/>
        <v>0</v>
      </c>
      <c r="S34" s="84" t="str">
        <f t="shared" si="3"/>
        <v/>
      </c>
      <c r="T34" s="105">
        <f t="shared" si="4"/>
        <v>0</v>
      </c>
      <c r="U34" s="84" t="str">
        <f t="shared" si="25"/>
        <v/>
      </c>
      <c r="V34" s="106" t="str">
        <f>IF($C34="","",IFERROR(VLOOKUP($C34,'SDDA Dogs'!$A:$O,9,FALSE),0))</f>
        <v/>
      </c>
      <c r="W34" s="137"/>
      <c r="X34" s="217"/>
      <c r="Y34" s="84" t="str">
        <f t="shared" si="26"/>
        <v/>
      </c>
      <c r="Z34" s="105">
        <f t="shared" si="5"/>
        <v>0</v>
      </c>
      <c r="AA34" s="84" t="str">
        <f t="shared" si="27"/>
        <v/>
      </c>
      <c r="AB34" s="105">
        <f t="shared" si="6"/>
        <v>0</v>
      </c>
      <c r="AC34" s="84" t="str">
        <f t="shared" si="28"/>
        <v/>
      </c>
      <c r="AD34" s="126" t="str">
        <f t="shared" si="29"/>
        <v/>
      </c>
      <c r="AE34" s="89" t="str">
        <f t="shared" si="7"/>
        <v/>
      </c>
      <c r="AF34" s="104" t="str">
        <f t="shared" si="8"/>
        <v/>
      </c>
      <c r="AG34" s="128" t="str">
        <f t="shared" si="30"/>
        <v/>
      </c>
      <c r="AH34" s="126" t="str">
        <f t="shared" si="31"/>
        <v/>
      </c>
      <c r="AI34" s="89" t="str">
        <f t="shared" si="9"/>
        <v/>
      </c>
      <c r="AJ34" s="104" t="str">
        <f t="shared" si="10"/>
        <v/>
      </c>
      <c r="AK34" s="123" t="str">
        <f t="shared" si="32"/>
        <v/>
      </c>
      <c r="AL34" s="129" t="str">
        <f t="shared" si="33"/>
        <v/>
      </c>
      <c r="AM34" s="89">
        <f t="shared" si="11"/>
        <v>0</v>
      </c>
      <c r="AN34" s="84" t="str">
        <f t="shared" si="12"/>
        <v/>
      </c>
      <c r="AO34" s="84" t="str">
        <f t="shared" si="13"/>
        <v/>
      </c>
      <c r="AP34" s="84" t="str">
        <f t="shared" si="14"/>
        <v/>
      </c>
      <c r="AQ34" s="84">
        <f t="shared" si="34"/>
        <v>0</v>
      </c>
      <c r="AR34" s="84"/>
      <c r="AS34" s="85"/>
      <c r="AT34" s="85"/>
      <c r="AU34" s="87" t="str">
        <f>IF(ISERROR(VLOOKUP(C34,'SDDA Dogs'!A:O,6,FALSE)),"",VLOOKUP(C34,'SDDA Dogs'!A:O,6,FALSE))</f>
        <v/>
      </c>
      <c r="AV34" s="84">
        <f t="shared" si="15"/>
        <v>0</v>
      </c>
      <c r="AW34" s="84">
        <f t="shared" si="16"/>
        <v>0</v>
      </c>
      <c r="AX34" s="88">
        <f t="shared" si="36"/>
        <v>0</v>
      </c>
      <c r="AZ34" s="132">
        <f t="shared" si="18"/>
        <v>0</v>
      </c>
      <c r="BA34" s="132">
        <f t="shared" si="19"/>
        <v>0</v>
      </c>
      <c r="BB34" s="87"/>
      <c r="BC34" s="262" t="str">
        <f>_xlfn.IFNA(IF(I34="Pass",IF(G34&gt;IFERROR(INDEX(DogInfo!A:B,MATCH(C34&amp;$BC$4,DogInfo!A:A,0),2),0),G34,INDEX(DogInfo!A:B,MATCH(C34&amp;$BC$4,DogInfo!A:A,0),2)),INDEX(DogInfo!A:B,MATCH(C34&amp;$BC$4,DogInfo!A:A,0),2)),"")</f>
        <v/>
      </c>
      <c r="BD34" s="262" t="str">
        <f>_xlfn.IFNA(IF(Q34="Pass",IF(O34&gt;IFERROR(INDEX(DogInfo!A:B,MATCH(C34&amp;$BD$4,DogInfo!A:A,0),2),0),O34,INDEX(DogInfo!A:B,MATCH(C34&amp;$BD$4,DogInfo!A:A,0),2)),INDEX(DogInfo!A:B,MATCH(C34&amp;$BD$4,DogInfo!A:A,0),2)),"")</f>
        <v/>
      </c>
      <c r="BE34" s="262" t="str">
        <f>_xlfn.IFNA(IF(Y34="Pass",IF(W34&gt;IFERROR(INDEX(DogInfo!A:B,MATCH(C34&amp;$BE$4,DogInfo!A:A,0),2),0),W34,INDEX(DogInfo!A:B,MATCH(C34&amp;$BE$4,DogInfo!A:A,0),2)),INDEX(DogInfo!A:B,MATCH(C34&amp;$BE$4,DogInfo!A:A,0),2)),"")</f>
        <v/>
      </c>
    </row>
    <row r="35" spans="1:65" s="9" customFormat="1" ht="12.75" x14ac:dyDescent="0.2">
      <c r="A35" s="9" t="s">
        <v>1548</v>
      </c>
      <c r="E35" s="9">
        <f>SUM(E5:E34)</f>
        <v>30</v>
      </c>
      <c r="G35" s="57">
        <f>COUNT(G5:G34)+ COUNTIF(G5:G34,"E") + COUNTIF(G5:G34,"FEO")</f>
        <v>0</v>
      </c>
      <c r="H35" s="57"/>
      <c r="I35" s="57"/>
      <c r="J35" s="57"/>
      <c r="K35" s="57"/>
      <c r="L35" s="57"/>
      <c r="M35" s="57"/>
      <c r="N35" s="57"/>
      <c r="O35" s="57">
        <f>COUNT(O5:O34)+ COUNTIF(O5:O34,"E") + COUNTIF(O5:O34,"FEO")</f>
        <v>0</v>
      </c>
      <c r="P35" s="57"/>
      <c r="Q35" s="57"/>
      <c r="R35" s="57"/>
      <c r="S35" s="57"/>
      <c r="T35" s="57"/>
      <c r="U35" s="57"/>
      <c r="V35" s="57"/>
      <c r="W35" s="57">
        <f>COUNT(W5:W34)+ COUNTIF(W5:W34,"E") + COUNTIF(W5:W34,"FEO")</f>
        <v>0</v>
      </c>
      <c r="X35" s="57"/>
      <c r="Y35" s="10" t="s">
        <v>1549</v>
      </c>
      <c r="Z35" s="57"/>
      <c r="AA35" s="57"/>
      <c r="AB35" s="57"/>
      <c r="AC35" s="57"/>
      <c r="AD35" s="57"/>
      <c r="AE35" s="57"/>
      <c r="AF35" s="57"/>
      <c r="AG35" s="57"/>
      <c r="AH35" s="57">
        <f>G35+O35+W35</f>
        <v>0</v>
      </c>
      <c r="AI35" s="57"/>
      <c r="AJ35" s="57"/>
      <c r="AK35" s="57"/>
      <c r="AL35" s="57"/>
      <c r="AM35" s="57" t="s">
        <v>2455</v>
      </c>
      <c r="AN35" s="57"/>
      <c r="AO35" s="57"/>
      <c r="AP35" s="57"/>
      <c r="AQ35" s="57">
        <f>COUNTIFS(AM5:AM34,0,AQ5:AQ34,1)</f>
        <v>0</v>
      </c>
      <c r="AR35" s="57"/>
      <c r="AV35" s="57"/>
      <c r="AW35" s="57"/>
      <c r="AZ35" s="60"/>
      <c r="BA35" s="60"/>
    </row>
    <row r="36" spans="1:65" x14ac:dyDescent="0.25">
      <c r="A36" s="9" t="s">
        <v>9438</v>
      </c>
      <c r="D36" s="208" cm="1">
        <f t="array" ref="D36">30-SUM(--(_xlfn.ISFORMULA(D5:D34)))</f>
        <v>0</v>
      </c>
      <c r="E36" s="208"/>
    </row>
    <row r="41" spans="1:65" ht="19.5" thickBot="1" x14ac:dyDescent="0.35">
      <c r="A41" s="363" t="s">
        <v>1545</v>
      </c>
      <c r="B41" s="363"/>
      <c r="C41" s="363"/>
      <c r="D41" s="363"/>
      <c r="E41" s="363"/>
      <c r="F41" s="363"/>
      <c r="G41" s="363"/>
      <c r="H41" s="363"/>
      <c r="I41" s="363"/>
      <c r="J41" s="363"/>
      <c r="K41" s="363"/>
      <c r="L41" s="363"/>
      <c r="M41" s="363"/>
      <c r="N41" s="363"/>
      <c r="O41" s="363"/>
      <c r="P41" s="363"/>
      <c r="Q41" s="363"/>
      <c r="R41" s="363"/>
      <c r="S41" s="363"/>
      <c r="T41" s="363"/>
      <c r="U41" s="363"/>
      <c r="V41" s="363"/>
      <c r="W41" s="363"/>
      <c r="X41" s="363"/>
      <c r="Y41" s="363"/>
      <c r="Z41" s="363"/>
      <c r="AA41" s="363"/>
      <c r="AB41" s="363"/>
      <c r="AC41" s="363"/>
      <c r="AD41" s="363"/>
      <c r="AE41" s="363"/>
      <c r="AF41" s="363"/>
      <c r="AG41" s="363"/>
      <c r="AH41" s="363"/>
      <c r="AI41" s="363"/>
      <c r="AJ41" s="363"/>
      <c r="AK41" s="363"/>
      <c r="AL41" s="363"/>
      <c r="AM41" s="363"/>
      <c r="AN41" s="363"/>
      <c r="AO41" s="363"/>
      <c r="AP41" s="363"/>
      <c r="AQ41" s="363"/>
      <c r="AR41" s="95"/>
      <c r="AS41" s="95"/>
      <c r="AT41" s="95"/>
      <c r="AU41" s="394" t="s">
        <v>1545</v>
      </c>
      <c r="AV41" s="394"/>
      <c r="AW41" s="394"/>
      <c r="AX41" s="394"/>
      <c r="AY41" s="394"/>
      <c r="AZ41" s="394"/>
      <c r="BA41" s="394"/>
      <c r="BB41" s="394"/>
    </row>
    <row r="42" spans="1:65" ht="12" customHeight="1" thickTop="1" thickBot="1" x14ac:dyDescent="0.3">
      <c r="A42" s="9" t="s">
        <v>624</v>
      </c>
      <c r="B42" s="9"/>
      <c r="C42" s="9">
        <f>TrialNumberDay2</f>
        <v>0</v>
      </c>
      <c r="D42" s="10"/>
      <c r="E42" s="10"/>
      <c r="F42" s="10"/>
      <c r="G42" s="9"/>
      <c r="H42" s="10" t="s">
        <v>3506</v>
      </c>
      <c r="I42" s="398">
        <f>TrialVenue</f>
        <v>0</v>
      </c>
      <c r="J42" s="398"/>
      <c r="K42" s="398"/>
      <c r="L42" s="398"/>
      <c r="M42" s="398"/>
      <c r="N42" s="398"/>
      <c r="O42" s="398"/>
      <c r="P42" s="398"/>
      <c r="Q42" s="9"/>
      <c r="R42" s="10"/>
      <c r="S42" s="10"/>
      <c r="T42" s="10"/>
      <c r="U42" s="10"/>
      <c r="V42" s="10"/>
      <c r="W42" s="9"/>
      <c r="X42" s="10" t="s">
        <v>10</v>
      </c>
      <c r="Y42" s="399" t="str">
        <f>TEXT(TrialDateDay2,"mmm-dd-yyyy")</f>
        <v/>
      </c>
      <c r="Z42" s="399"/>
      <c r="AA42" s="399"/>
      <c r="AB42" s="399"/>
      <c r="AC42" s="399"/>
      <c r="AD42" s="399"/>
      <c r="AE42" s="38"/>
      <c r="AF42" s="10"/>
      <c r="AG42" s="38"/>
      <c r="AH42" s="400" t="s">
        <v>1546</v>
      </c>
      <c r="AI42" s="400"/>
      <c r="AJ42" s="400"/>
      <c r="AK42" s="400"/>
      <c r="AL42" s="401"/>
      <c r="AN42" s="85"/>
      <c r="AO42" s="85"/>
      <c r="AP42" s="85"/>
      <c r="AQ42" s="85"/>
      <c r="AR42" s="84"/>
      <c r="AS42" s="85"/>
      <c r="AT42" s="85"/>
      <c r="AU42" s="93" t="s">
        <v>10</v>
      </c>
      <c r="AV42" s="85" t="str">
        <f>TEXT(TrialDateDay2, "mmm-dd-yyyy")</f>
        <v/>
      </c>
      <c r="AW42" s="96"/>
      <c r="AX42" s="98" t="s">
        <v>1546</v>
      </c>
      <c r="BB42" s="73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</row>
    <row r="43" spans="1:65" ht="12" customHeight="1" thickTop="1" x14ac:dyDescent="0.25">
      <c r="A43" s="30"/>
      <c r="B43" s="395" t="s">
        <v>611</v>
      </c>
      <c r="C43" s="396"/>
      <c r="D43" s="397"/>
      <c r="E43" s="209"/>
      <c r="F43" s="31"/>
      <c r="G43" s="395" t="s">
        <v>30</v>
      </c>
      <c r="H43" s="396"/>
      <c r="I43" s="396"/>
      <c r="J43" s="396"/>
      <c r="K43" s="396"/>
      <c r="L43" s="396"/>
      <c r="M43" s="397"/>
      <c r="N43" s="31"/>
      <c r="O43" s="395" t="s">
        <v>31</v>
      </c>
      <c r="P43" s="396"/>
      <c r="Q43" s="396"/>
      <c r="R43" s="396"/>
      <c r="S43" s="396"/>
      <c r="T43" s="396"/>
      <c r="U43" s="397"/>
      <c r="V43" s="31"/>
      <c r="W43" s="395" t="s">
        <v>32</v>
      </c>
      <c r="X43" s="396"/>
      <c r="Y43" s="396"/>
      <c r="Z43" s="396"/>
      <c r="AA43" s="396"/>
      <c r="AB43" s="396"/>
      <c r="AC43" s="397"/>
      <c r="AD43" s="35"/>
      <c r="AE43" s="37"/>
      <c r="AF43" s="37"/>
      <c r="AG43" s="31"/>
      <c r="AH43" s="391" t="s">
        <v>651</v>
      </c>
      <c r="AI43" s="392"/>
      <c r="AJ43" s="392"/>
      <c r="AK43" s="392"/>
      <c r="AL43" s="393"/>
      <c r="AM43" s="391" t="s">
        <v>1560</v>
      </c>
      <c r="AN43" s="392"/>
      <c r="AO43" s="392"/>
      <c r="AP43" s="392"/>
      <c r="AQ43" s="393"/>
      <c r="AR43" s="94"/>
      <c r="AS43" s="94"/>
      <c r="AT43" s="94"/>
      <c r="AU43" s="94"/>
      <c r="AV43" s="94"/>
      <c r="AW43" s="94"/>
      <c r="AX43" s="97"/>
      <c r="AY43" s="25"/>
      <c r="AZ43" s="61"/>
      <c r="BA43" s="61"/>
      <c r="BB43" s="94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</row>
    <row r="44" spans="1:65" ht="60" x14ac:dyDescent="0.25">
      <c r="A44" s="29" t="s">
        <v>605</v>
      </c>
      <c r="B44" s="26" t="s">
        <v>604</v>
      </c>
      <c r="C44" s="7" t="s">
        <v>612</v>
      </c>
      <c r="D44" s="27" t="s">
        <v>2</v>
      </c>
      <c r="E44" s="210" t="s">
        <v>8704</v>
      </c>
      <c r="F44" s="32" t="s">
        <v>660</v>
      </c>
      <c r="G44" s="26" t="s">
        <v>1131</v>
      </c>
      <c r="H44" s="7" t="s">
        <v>602</v>
      </c>
      <c r="I44" s="7" t="s">
        <v>603</v>
      </c>
      <c r="J44" s="24" t="s">
        <v>1132</v>
      </c>
      <c r="K44" s="24" t="s">
        <v>618</v>
      </c>
      <c r="L44" s="24" t="s">
        <v>601</v>
      </c>
      <c r="M44" s="28" t="s">
        <v>621</v>
      </c>
      <c r="N44" s="33" t="s">
        <v>661</v>
      </c>
      <c r="O44" s="26" t="s">
        <v>1134</v>
      </c>
      <c r="P44" s="7" t="s">
        <v>606</v>
      </c>
      <c r="Q44" s="7" t="s">
        <v>610</v>
      </c>
      <c r="R44" s="24" t="s">
        <v>608</v>
      </c>
      <c r="S44" s="24" t="s">
        <v>619</v>
      </c>
      <c r="T44" s="24" t="s">
        <v>609</v>
      </c>
      <c r="U44" s="28" t="s">
        <v>622</v>
      </c>
      <c r="V44" s="33" t="s">
        <v>662</v>
      </c>
      <c r="W44" s="26" t="s">
        <v>1133</v>
      </c>
      <c r="X44" s="7" t="s">
        <v>615</v>
      </c>
      <c r="Y44" s="7" t="s">
        <v>617</v>
      </c>
      <c r="Z44" s="24" t="s">
        <v>613</v>
      </c>
      <c r="AA44" s="24" t="s">
        <v>620</v>
      </c>
      <c r="AB44" s="24" t="s">
        <v>614</v>
      </c>
      <c r="AC44" s="28" t="s">
        <v>623</v>
      </c>
      <c r="AD44" s="32" t="s">
        <v>15153</v>
      </c>
      <c r="AE44" s="26" t="s">
        <v>654</v>
      </c>
      <c r="AF44" s="7" t="s">
        <v>655</v>
      </c>
      <c r="AG44" s="34" t="s">
        <v>650</v>
      </c>
      <c r="AH44" s="32" t="s">
        <v>653</v>
      </c>
      <c r="AI44" s="26" t="s">
        <v>656</v>
      </c>
      <c r="AJ44" s="7" t="s">
        <v>657</v>
      </c>
      <c r="AK44" s="26" t="s">
        <v>658</v>
      </c>
      <c r="AL44" s="90" t="s">
        <v>652</v>
      </c>
      <c r="AM44" s="26" t="s">
        <v>1555</v>
      </c>
      <c r="AN44" s="7" t="s">
        <v>1075</v>
      </c>
      <c r="AO44" s="7" t="s">
        <v>1076</v>
      </c>
      <c r="AP44" s="7" t="s">
        <v>1077</v>
      </c>
      <c r="AQ44" s="7" t="s">
        <v>1556</v>
      </c>
      <c r="AR44" s="7"/>
      <c r="AS44" s="7" t="s">
        <v>1286</v>
      </c>
      <c r="AT44" s="7" t="s">
        <v>1287</v>
      </c>
      <c r="AU44" s="86" t="s">
        <v>1137</v>
      </c>
      <c r="AV44" s="7" t="s">
        <v>1145</v>
      </c>
      <c r="AW44" s="7" t="s">
        <v>1146</v>
      </c>
      <c r="AX44" s="86" t="s">
        <v>1147</v>
      </c>
      <c r="AY44" s="3"/>
      <c r="AZ44" s="63" t="s">
        <v>1172</v>
      </c>
      <c r="BA44" s="63" t="s">
        <v>1173</v>
      </c>
      <c r="BB44" s="86" t="s">
        <v>1561</v>
      </c>
      <c r="BC44" s="86" t="s">
        <v>15152</v>
      </c>
      <c r="BD44" s="86" t="s">
        <v>15154</v>
      </c>
      <c r="BE44" s="86" t="s">
        <v>15155</v>
      </c>
      <c r="BF44" s="3"/>
      <c r="BG44" s="3"/>
      <c r="BH44" s="3"/>
      <c r="BI44" s="3"/>
      <c r="BJ44" s="3"/>
      <c r="BK44" s="3"/>
      <c r="BL44" s="3"/>
      <c r="BM44" s="3"/>
    </row>
    <row r="45" spans="1:65" s="6" customFormat="1" ht="12.75" x14ac:dyDescent="0.2">
      <c r="A45" s="118">
        <v>1</v>
      </c>
      <c r="B45" s="119"/>
      <c r="C45" s="120"/>
      <c r="D45" s="102" t="str">
        <f>IF($C45="","",VLOOKUP($C45,'SDDA Dogs'!$A:$F,2,FALSE))</f>
        <v/>
      </c>
      <c r="E45" s="211">
        <f>--(_xlfn.ISFORMULA(D45))</f>
        <v>1</v>
      </c>
      <c r="F45" s="121" t="str">
        <f>IF($C45="","",IF(ISERROR(VLOOKUP($C45,$C$5:$AP$34,38,FALSE)=TRUE),VLOOKUP($C45,'SDDA Dogs'!$A:$O,7,FALSE),VLOOKUP($C45,$C$5:$AP$34,38,FALSE)))</f>
        <v/>
      </c>
      <c r="G45" s="136"/>
      <c r="H45" s="216"/>
      <c r="I45" s="123" t="str">
        <f>IF(OR(G45="",G45="NE",G45="E",G45="FEO"),"",(IF(G45&gt;=15,"Pass","Fail")))</f>
        <v/>
      </c>
      <c r="J45" s="124">
        <f t="shared" ref="J45:J52" si="37">IF(OR(AND($I45="Pass",$B45="A"),AND($I45="Fail",UseFail="Y",$B45="A")),$G45,0)+IF(OR(AND($I45="Pass",$B45="A"),AND($I45="Fail",UseFail="Y",$B45="A")),(MaxTmCSS-VALUE($H45)),0)</f>
        <v>0</v>
      </c>
      <c r="K45" s="123" t="str">
        <f t="shared" ref="K45:K50" si="38">IF(AND($B45="A",$G45&lt;&gt;0,$H45&lt;&gt;0,J45&lt;&gt;0),(RANK(J45,J$45:J$74,0)),"")</f>
        <v/>
      </c>
      <c r="L45" s="124">
        <f t="shared" ref="L45:L52" si="39">IF(OR(AND($I45="Pass",$B45="W"),AND($I45="Fail",UseFail="Y",$B45="W")),$G45,0)+IF(OR(AND($I45="Pass",$B45="W"),AND($I45="Fail",UseFail="Y",$B45="W")),(MaxTmCSS-VALUE($H45)),0)</f>
        <v>0</v>
      </c>
      <c r="M45" s="123" t="str">
        <f t="shared" ref="M45:M50" si="40">IF(AND($B45="W",$G45&lt;&gt;0,$H45&lt;&gt;0,L45&lt;&gt;0),(RANK(L45,L$45:L$74,0)),"")</f>
        <v/>
      </c>
      <c r="N45" s="125" t="str">
        <f>IF($C45="","",IF(ISERROR(VLOOKUP($C45,$C$5:$AP$34,39,FALSE)=TRUE),VLOOKUP($C45,'SDDA Dogs'!$A:$O,8,FALSE),VLOOKUP($C45,$C$5:$AP$34,39,FALSE)))</f>
        <v/>
      </c>
      <c r="O45" s="136"/>
      <c r="P45" s="216"/>
      <c r="Q45" s="123" t="str">
        <f>IF(OR(O45="",O45="NE",O45="E",O45="FEO"),"",(IF(O45&gt;=20,"Pass","Fail")))</f>
        <v/>
      </c>
      <c r="R45" s="124">
        <f t="shared" ref="R45:R52" si="41">IF(OR(AND($Q45="Pass",$B45="A"),AND($Q45="Fail",UseFail="Y",$B45="A")),$O45,0)+IF(OR(AND($Q45="Pass",$B45="A"),AND($Q45="Fail",UseFail="Y",$B45="A")),(MaxTmISS-VALUE($P45)),0)</f>
        <v>0</v>
      </c>
      <c r="S45" s="123" t="str">
        <f t="shared" ref="S45:S50" si="42">IF(AND($B45="A",$O45&lt;&gt;0,$P45&lt;&gt;0,R45&lt;&gt;0),(RANK(R45,R$45:R$74,0)),"")</f>
        <v/>
      </c>
      <c r="T45" s="124">
        <f t="shared" ref="T45:T52" si="43">IF(OR(AND($Q45="Pass",$B45="W"),AND($Q45="Fail",UseFail="Y",$B45="W")),$O45,0)+IF(OR(AND($Q45="Pass",$B45="W"),AND($Q45="Fail",UseFail="Y",$B45="W")),(MaxTmISS-VALUE($P45)),0)</f>
        <v>0</v>
      </c>
      <c r="U45" s="123" t="str">
        <f t="shared" ref="U45:U50" si="44">IF(AND($B45="w",$O45&lt;&gt;0,$P45&lt;&gt;0,T45&lt;&gt;0),(RANK(T45,T$45:T$74,0)),"")</f>
        <v/>
      </c>
      <c r="V45" s="125" t="str">
        <f>IF($C45="","",IF(ISERROR(VLOOKUP($C45,$C$5:$AP$34,40,FALSE)=TRUE),VLOOKUP($C45,'SDDA Dogs'!$A:$O,9,FALSE),VLOOKUP($C45,$C$5:$AP$34,40,FALSE)))</f>
        <v/>
      </c>
      <c r="W45" s="136"/>
      <c r="X45" s="216"/>
      <c r="Y45" s="123" t="str">
        <f>IF(OR(W45="",W45="NE",W45="E",W45="FEO"),"",(IF(W45&gt;=15,"Pass","Fail")))</f>
        <v/>
      </c>
      <c r="Z45" s="124">
        <f t="shared" ref="Z45:Z52" si="45">IF(OR(AND($Y45="Pass",$B45="A"),AND($Y45="Fail",UseFail="Y",$B45="A")),$W45,0)+IF(OR(AND($Y45="Pass",$B45="A"),AND($Y45="Fail",UseFail="Y",$B45="A")),(MaxTmESS-VALUE($X45)),0)</f>
        <v>0</v>
      </c>
      <c r="AA45" s="123" t="str">
        <f t="shared" ref="AA45:AA50" si="46">IF(AND($B45="A",$W45&lt;&gt;0,$X45&lt;&gt;0,Z45&lt;&gt;0),(RANK(Z45,Z$45:Z$74,0)),"")</f>
        <v/>
      </c>
      <c r="AB45" s="124">
        <f t="shared" ref="AB45:AB52" si="47">IF(OR(AND($Y45="Pass",$B45="w"),AND($Y45="Fail",UseFail="Y",$B45="w")),$W45,0)+IF(OR(AND($Y45="Pass",$B45="w"),AND($Y45="Fail",UseFail="Y",$B45="w")),(MaxTmESS-VALUE($X45)),0)</f>
        <v>0</v>
      </c>
      <c r="AC45" s="123" t="str">
        <f t="shared" ref="AC45:AC50" si="48">IF(AND($B45="w",$W45&lt;&gt;0,$X45&lt;&gt;0,AB45&lt;&gt;0),(RANK(AB45,AB$45:AB$74,0)),"")</f>
        <v/>
      </c>
      <c r="AD45" s="126" t="str">
        <f>IF(AND(AM45=0,AQ45=1,I45="Pass",Q45="Pass",Y45="Pass"),G45+O45+W45,IF(AND(AM45=0,AQ45=1),SUM(BC45:BE45),""))</f>
        <v/>
      </c>
      <c r="AE45" s="127" t="str">
        <f t="shared" ref="AE45:AE74" si="49">IF(AND(ISNUMBER($K45),ISNUMBER($S45),ISNUMBER($AA45))=TRUE,$G45+$O45+$W45,"")</f>
        <v/>
      </c>
      <c r="AF45" s="335" t="str">
        <f t="shared" ref="AF45:AF74" si="50">IF(AND(ISNUMBER($K45),ISNUMBER($S45),ISNUMBER($AA45))=TRUE,$H45+$P45+$X45,"")</f>
        <v/>
      </c>
      <c r="AG45" s="128" t="str">
        <f>IF(ISNUMBER(AE45),(RANK(AE45,AE$45:AE$74,0)*10)+RANK(AF45,AF$45:AF$74,1),"")</f>
        <v/>
      </c>
      <c r="AH45" s="126" t="str">
        <f>IF(ISNUMBER(AG45),RANK(AG45,AG$45:AG$74,1),"")</f>
        <v/>
      </c>
      <c r="AI45" s="89" t="str">
        <f t="shared" ref="AI45:AI74" si="51">IF(AND(ISNUMBER($M45),ISNUMBER($U45),ISNUMBER($AC45))=TRUE,$G45+$O45+$W45,"")</f>
        <v/>
      </c>
      <c r="AJ45" s="334" t="str">
        <f t="shared" ref="AJ45:AJ74" si="52">IF(AND(ISNUMBER($M45),ISNUMBER($U45),ISNUMBER($AC45))=TRUE,$H45+$P45+$X45,"")</f>
        <v/>
      </c>
      <c r="AK45" s="123" t="str">
        <f>IF(ISNUMBER(AI45),(RANK(AI45,AI$45:AI$74,0)*10)+RANK(AJ45,AJ$45:AJ$74,1),"")</f>
        <v/>
      </c>
      <c r="AL45" s="129" t="str">
        <f>IF(ISNUMBER(AK45),RANK(AK45,AK$45:AK$74,1),"")</f>
        <v/>
      </c>
      <c r="AM45" s="127">
        <f t="shared" ref="AM45:AM74" si="53">MIN(F45,N45,V45)</f>
        <v>0</v>
      </c>
      <c r="AN45" s="123" t="str">
        <f t="shared" ref="AN45:AN74" si="54">IF(I45="Pass",F45+1,F45)</f>
        <v/>
      </c>
      <c r="AO45" s="123" t="str">
        <f t="shared" ref="AO45:AO74" si="55">IF(Q45="Pass", N45+1,N45)</f>
        <v/>
      </c>
      <c r="AP45" s="123" t="str">
        <f t="shared" ref="AP45:AP74" si="56">IF(Y45="Pass",V45+1,V45)</f>
        <v/>
      </c>
      <c r="AQ45" s="123">
        <f>MIN(AN45,AO45,AP45)</f>
        <v>0</v>
      </c>
      <c r="AR45" s="123"/>
      <c r="AS45" s="130"/>
      <c r="AT45" s="130"/>
      <c r="AU45" s="131" t="str">
        <f>IF(ISERROR(VLOOKUP(C45,'SDDA Dogs'!A:O,6,FALSE)),"",VLOOKUP(C45,'SDDA Dogs'!A:O,6,FALSE))</f>
        <v/>
      </c>
      <c r="AV45" s="123">
        <f>IF(OR(ISNUMBER(G45),G45="e"),1,0)+IF(OR(ISNUMBER(O45),O45="e"),1,0)+IF(OR(ISNUMBER(W45),W45="e"),1,0)</f>
        <v>0</v>
      </c>
      <c r="AW45" s="123">
        <f>IF(G45="FEO",1,0)+IF(O45="FEO",1,0)+IF(W45="FEO",1,0)</f>
        <v>0</v>
      </c>
      <c r="AX45" s="88">
        <f t="shared" ref="AX45:AX49" si="57">(AV45*TrialFeeStr)+(AW45*FeoFee)</f>
        <v>0</v>
      </c>
      <c r="AZ45" s="132">
        <f t="shared" ref="AZ45:AZ74" si="58">IF(AND(I45="Pass",Q45="Pass",Y45="Pass"),(G45+O45+W45)/((MinScoreCSS + MinScoreISS + MinScoreESS)*2),0)</f>
        <v>0</v>
      </c>
      <c r="BA45" s="132">
        <f t="shared" ref="BA45:BA74" si="59">IF(AND(I45="Pass",Q45="Pass",Y45="Pass"),(H45+P45+X45)/(MaxTmCSS+MaxTmESS+MaxTmISS),0)</f>
        <v>0</v>
      </c>
      <c r="BB45" s="87"/>
      <c r="BC45" s="262">
        <f>_xlfn.IFNA(IF(I45="Pass",IF(AND(G45&gt;=IFERROR(INDEX($C$5:$W$34,MATCH(C45,$C$5:$C$34,0),5),0),G45&gt;=IFERROR(INDEX(DogInfo!A:B,MATCH(C45&amp;$BC$4,DogInfo!A:A,0),2),0)),G45,IF(AND(IFERROR(INDEX($C$5:$W$34,MATCH(C45,$C$5:$C$34,0),5),0)&gt;=O45,IFERROR(INDEX($C$5:$W$34,MATCH(C45,$C$5:$C$34,0),5),0)&gt;=IFERROR(INDEX(DogInfo!A:B,MATCH(C45&amp;$BC$4,DogInfo!A:A,0),2),0)),IFERROR(INDEX($C$5:$W$34,MATCH(C45,$C$5:$C$34,0),5),0),IF(AND(IFERROR(INDEX(DogInfo!A:B,MATCH(C45&amp;$BC$4,DogInfo!A:A,0),2),0)&gt;=IFERROR(INDEX($C$5:$W$34,MATCH(C45,$C$5:$C$34,0),5),0),IFERROR(INDEX(DogInfo!A:B,MATCH(C45&amp;$BC$4,DogInfo!A:A,0),2),0)&gt;=G45),IFERROR(INDEX(DogInfo!A:B,MATCH(C45&amp;$BC$4,DogInfo!A:A,0),2),0),"Error"))),IFERROR(INDEX($C$5:$BE$34,MATCH(C45,$C$5:$C$34,0),53),IFERROR(INDEX(DogInfo!A:B,MATCH(C45&amp;$BC$4,DogInfo!A:A,0),2),0))),"")</f>
        <v>0</v>
      </c>
      <c r="BD45" s="262">
        <f>_xlfn.IFNA(IF(Q45="Pass",IF(AND(O45&gt;=IFERROR(INDEX($C$5:$W$34,MATCH(C45,$C$5:$C$34,0),13),0),O45&gt;=IFERROR(INDEX(DogInfo!A:B,MATCH(C45&amp;$BD$4,DogInfo!A:A,0),2),0)),O45,IF(AND(IFERROR(INDEX($C$5:$W$34,MATCH(C45,$C$5:$C$34,0),13),0)&gt;=O45,IFERROR(INDEX($C$5:$W$34,MATCH(C45,$C$5:$C$34,0),13),0)&gt;=IFERROR(INDEX(DogInfo!A:B,MATCH(C45&amp;$BD$4,DogInfo!A:A,0),2),0)),IFERROR(INDEX($C$5:$W$34,MATCH(C45,$C$5:$C$34,0),13),0),IF(AND(IFERROR(INDEX(DogInfo!A:B,MATCH(C45&amp;$BD$4,DogInfo!A:A,0),2),0)&gt;=IFERROR(INDEX($C$5:$W$34,MATCH(C45,$C$5:$C$34,0),13),0),IFERROR(INDEX(DogInfo!A:B,MATCH(C45&amp;$BD$4,DogInfo!A:A,0),2),0)&gt;=O45),IFERROR(INDEX(DogInfo!A:B,MATCH(C45&amp;$BD$4,DogInfo!A:A,0),2),0),"Error"))),IFERROR(INDEX($C$5:$BE$34,MATCH(C45,$C$5:$C$34,0),54),IFERROR(INDEX(DogInfo!A:B,MATCH(C45&amp;$BD$4,DogInfo!A:A,0),2),0))),"")</f>
        <v>0</v>
      </c>
      <c r="BE45" s="262">
        <f>_xlfn.IFNA(IF(Y45="Pass",IF(AND(W45&gt;=IFERROR(INDEX($C$5:$W$34,MATCH(C45,$C$5:$C$34,0),21),0),O45&gt;=IFERROR(INDEX(DogInfo!A:B,MATCH(C45&amp;$BE$4,DogInfo!A:A,0),2),0)),W45,IF(AND(IFERROR(INDEX($C$5:$W$34,MATCH(C45,$C$5:$C$34,0),21),0)&gt;=W45,IFERROR(INDEX($C$5:$W$34,MATCH(C45,$C$5:$C$34,0),21),0)&gt;=IFERROR(INDEX(DogInfo!A:B,MATCH(C45&amp;$BE$4,DogInfo!A:A,0),2),0)),IFERROR(INDEX($C$5:$W$34,MATCH(C45,$C$5:$C$34,0),21),0),IF(AND(IFERROR(INDEX(DogInfo!A:B,MATCH(C45&amp;$BE$4,DogInfo!A:A,0),2),0)&gt;=IFERROR(INDEX($C$5:$W$34,MATCH(C45,$C$5:$C$34,0),21),0),IFERROR(INDEX(DogInfo!A:B,MATCH(C45&amp;$BE$4,DogInfo!A:A,0),2),0)&gt;=W45),IFERROR(INDEX(DogInfo!A:B,MATCH(C45&amp;$BE$4,DogInfo!A:A,0),2),0),"Error"))),IFERROR(INDEX($C$5:$BE$34,MATCH(C45,$C$5:$C$34,0),55),IFERROR(INDEX(DogInfo!A:B,MATCH(C45&amp;$BE$4,DogInfo!A:A,0),2),0))),"")</f>
        <v>0</v>
      </c>
    </row>
    <row r="46" spans="1:65" s="9" customFormat="1" ht="12.75" x14ac:dyDescent="0.2">
      <c r="A46" s="99">
        <v>2</v>
      </c>
      <c r="B46" s="100"/>
      <c r="C46" s="120"/>
      <c r="D46" s="102" t="str">
        <f>IF($C46="","",VLOOKUP($C46,'SDDA Dogs'!$A:$F,2,FALSE))</f>
        <v/>
      </c>
      <c r="E46" s="211">
        <f t="shared" ref="E46:E74" si="60">--(_xlfn.ISFORMULA(D46))</f>
        <v>1</v>
      </c>
      <c r="F46" s="121" t="str">
        <f>IF($C46="","",IF(ISERROR(VLOOKUP($C46,$C$5:$AP$34,38,FALSE)=TRUE),VLOOKUP($C46,'SDDA Dogs'!$A:$O,7,FALSE),VLOOKUP($C46,$C$5:$AP$34,38,FALSE)))</f>
        <v/>
      </c>
      <c r="G46" s="137"/>
      <c r="H46" s="216"/>
      <c r="I46" s="84" t="str">
        <f t="shared" ref="I46:I74" si="61">IF(OR(G46="",G46="NE",G46="E",G46="FEO"),"",(IF(G46&gt;=15,"Pass","Fail")))</f>
        <v/>
      </c>
      <c r="J46" s="105">
        <f t="shared" si="37"/>
        <v>0</v>
      </c>
      <c r="K46" s="84" t="str">
        <f t="shared" si="38"/>
        <v/>
      </c>
      <c r="L46" s="105">
        <f t="shared" si="39"/>
        <v>0</v>
      </c>
      <c r="M46" s="84" t="str">
        <f t="shared" si="40"/>
        <v/>
      </c>
      <c r="N46" s="125" t="str">
        <f>IF($C46="","",IF(ISERROR(VLOOKUP($C46,$C$5:$AP$34,39,FALSE)=TRUE),VLOOKUP($C46,'SDDA Dogs'!$A:$O,8,FALSE),VLOOKUP($C46,$C$5:$AP$34,39,FALSE)))</f>
        <v/>
      </c>
      <c r="O46" s="136"/>
      <c r="P46" s="216"/>
      <c r="Q46" s="84" t="str">
        <f t="shared" ref="Q46:Q74" si="62">IF(OR(O46="",O46="NE",O46="E",O46="FEO"),"",(IF(O46&gt;=20,"Pass","Fail")))</f>
        <v/>
      </c>
      <c r="R46" s="105">
        <f t="shared" si="41"/>
        <v>0</v>
      </c>
      <c r="S46" s="84" t="str">
        <f t="shared" si="42"/>
        <v/>
      </c>
      <c r="T46" s="105">
        <f t="shared" si="43"/>
        <v>0</v>
      </c>
      <c r="U46" s="84" t="str">
        <f t="shared" si="44"/>
        <v/>
      </c>
      <c r="V46" s="125" t="str">
        <f>IF($C46="","",IF(ISERROR(VLOOKUP($C46,$C$5:$AP$34,40,FALSE)=TRUE),VLOOKUP($C46,'SDDA Dogs'!$A:$O,9,FALSE),VLOOKUP($C46,$C$5:$AP$34,40,FALSE)))</f>
        <v/>
      </c>
      <c r="W46" s="136"/>
      <c r="X46" s="216"/>
      <c r="Y46" s="84" t="str">
        <f t="shared" ref="Y46:Y74" si="63">IF(OR(W46="",W46="NE",W46="E",W46="FEO"),"",(IF(W46&gt;=15,"Pass","Fail")))</f>
        <v/>
      </c>
      <c r="Z46" s="105">
        <f t="shared" si="45"/>
        <v>0</v>
      </c>
      <c r="AA46" s="84" t="str">
        <f t="shared" si="46"/>
        <v/>
      </c>
      <c r="AB46" s="105">
        <f t="shared" si="47"/>
        <v>0</v>
      </c>
      <c r="AC46" s="84" t="str">
        <f t="shared" si="48"/>
        <v/>
      </c>
      <c r="AD46" s="126" t="str">
        <f t="shared" ref="AD46:AD74" si="64">IF(AND(AM46=0,AQ46=1,I46="Pass",Q46="Pass",Y46="Pass"),G46+O46+W46,IF(AND(AM46=0,AQ46=1),SUM(BC46:BE46),""))</f>
        <v/>
      </c>
      <c r="AE46" s="89" t="str">
        <f t="shared" si="49"/>
        <v/>
      </c>
      <c r="AF46" s="335" t="str">
        <f t="shared" si="50"/>
        <v/>
      </c>
      <c r="AG46" s="128" t="str">
        <f t="shared" ref="AG46:AG74" si="65">IF(ISNUMBER(AE46),(RANK(AE46,AE$45:AE$74,0)*10)+RANK(AF46,AF$45:AF$74,1),"")</f>
        <v/>
      </c>
      <c r="AH46" s="126" t="str">
        <f t="shared" ref="AH46:AH74" si="66">IF(ISNUMBER(AG46),RANK(AG46,AG$45:AG$74,1),"")</f>
        <v/>
      </c>
      <c r="AI46" s="89" t="str">
        <f t="shared" si="51"/>
        <v/>
      </c>
      <c r="AJ46" s="334" t="str">
        <f t="shared" si="52"/>
        <v/>
      </c>
      <c r="AK46" s="123" t="str">
        <f t="shared" ref="AK46:AK74" si="67">IF(ISNUMBER(AI46),(RANK(AI46,AI$45:AI$74,0)*10)+RANK(AJ46,AJ$45:AJ$74,1),"")</f>
        <v/>
      </c>
      <c r="AL46" s="129" t="str">
        <f t="shared" ref="AL46:AL74" si="68">IF(ISNUMBER(AK46),RANK(AK46,AK$45:AK$74,1),"")</f>
        <v/>
      </c>
      <c r="AM46" s="89">
        <f t="shared" si="53"/>
        <v>0</v>
      </c>
      <c r="AN46" s="84" t="str">
        <f t="shared" si="54"/>
        <v/>
      </c>
      <c r="AO46" s="84" t="str">
        <f t="shared" si="55"/>
        <v/>
      </c>
      <c r="AP46" s="84" t="str">
        <f t="shared" si="56"/>
        <v/>
      </c>
      <c r="AQ46" s="84">
        <f t="shared" ref="AQ46:AQ74" si="69">MIN(AN46,AO46,AP46)</f>
        <v>0</v>
      </c>
      <c r="AR46" s="84"/>
      <c r="AS46" s="85"/>
      <c r="AT46" s="85"/>
      <c r="AU46" s="131" t="str">
        <f>IF(ISERROR(VLOOKUP(C46,'SDDA Dogs'!A:O,6,FALSE)),"",VLOOKUP(C46,'SDDA Dogs'!A:O,6,FALSE))</f>
        <v/>
      </c>
      <c r="AV46" s="84">
        <f t="shared" ref="AV46:AV74" si="70">IF(OR(ISNUMBER(G46),G46="e"),1,0)+IF(OR(ISNUMBER(O46),O46="e"),1,0)+IF(OR(ISNUMBER(W46),W46="e"),1,0)</f>
        <v>0</v>
      </c>
      <c r="AW46" s="84">
        <f t="shared" ref="AW46:AW74" si="71">IF(G46="FEO",1,0)+IF(O46="FEO",1,0)+IF(W46="FEO",1,0)</f>
        <v>0</v>
      </c>
      <c r="AX46" s="88">
        <f t="shared" si="57"/>
        <v>0</v>
      </c>
      <c r="AZ46" s="132">
        <f t="shared" si="58"/>
        <v>0</v>
      </c>
      <c r="BA46" s="132">
        <f t="shared" si="59"/>
        <v>0</v>
      </c>
      <c r="BB46" s="87"/>
      <c r="BC46" s="262">
        <f>_xlfn.IFNA(IF(I46="Pass",IF(AND(G46&gt;=IFERROR(INDEX($C$5:$W$34,MATCH(C46,$C$5:$C$34,0),5),0),G46&gt;=IFERROR(INDEX(DogInfo!A:B,MATCH(C46&amp;$BC$4,DogInfo!A:A,0),2),0)),G46,IF(AND(IFERROR(INDEX($C$5:$W$34,MATCH(C46,$C$5:$C$34,0),5),0)&gt;=O46,IFERROR(INDEX($C$5:$W$34,MATCH(C46,$C$5:$C$34,0),5),0)&gt;=IFERROR(INDEX(DogInfo!A:B,MATCH(C46&amp;$BC$4,DogInfo!A:A,0),2),0)),IFERROR(INDEX($C$5:$W$34,MATCH(C46,$C$5:$C$34,0),5),0),IF(AND(IFERROR(INDEX(DogInfo!A:B,MATCH(C46&amp;$BC$4,DogInfo!A:A,0),2),0)&gt;=IFERROR(INDEX($C$5:$W$34,MATCH(C46,$C$5:$C$34,0),5),0),IFERROR(INDEX(DogInfo!A:B,MATCH(C46&amp;$BC$4,DogInfo!A:A,0),2),0)&gt;=G46),IFERROR(INDEX(DogInfo!A:B,MATCH(C46&amp;$BC$4,DogInfo!A:A,0),2),0),"Error"))),IFERROR(INDEX($C$5:$BE$34,MATCH(C46,$C$5:$C$34,0),53),IFERROR(INDEX(DogInfo!A:B,MATCH(C46&amp;$BC$4,DogInfo!A:A,0),2),0))),"")</f>
        <v>0</v>
      </c>
      <c r="BD46" s="262">
        <f>_xlfn.IFNA(IF(Q46="Pass",IF(AND(O46&gt;=IFERROR(INDEX($C$5:$W$34,MATCH(C46,$C$5:$C$34,0),13),0),O46&gt;=IFERROR(INDEX(DogInfo!A:B,MATCH(C46&amp;$BD$4,DogInfo!A:A,0),2),0)),O46,IF(AND(IFERROR(INDEX($C$5:$W$34,MATCH(C46,$C$5:$C$34,0),13),0)&gt;=O46,IFERROR(INDEX($C$5:$W$34,MATCH(C46,$C$5:$C$34,0),13),0)&gt;=IFERROR(INDEX(DogInfo!A:B,MATCH(C46&amp;$BD$4,DogInfo!A:A,0),2),0)),IFERROR(INDEX($C$5:$W$34,MATCH(C46,$C$5:$C$34,0),13),0),IF(AND(IFERROR(INDEX(DogInfo!A:B,MATCH(C46&amp;$BD$4,DogInfo!A:A,0),2),0)&gt;=IFERROR(INDEX($C$5:$W$34,MATCH(C46,$C$5:$C$34,0),13),0),IFERROR(INDEX(DogInfo!A:B,MATCH(C46&amp;$BD$4,DogInfo!A:A,0),2),0)&gt;=O46),IFERROR(INDEX(DogInfo!A:B,MATCH(C46&amp;$BD$4,DogInfo!A:A,0),2),0),"Error"))),IFERROR(INDEX($C$5:$BE$34,MATCH(C46,$C$5:$C$34,0),54),IFERROR(INDEX(DogInfo!A:B,MATCH(C46&amp;$BD$4,DogInfo!A:A,0),2),0))),"")</f>
        <v>0</v>
      </c>
      <c r="BE46" s="262">
        <f>_xlfn.IFNA(IF(Y46="Pass",IF(AND(W46&gt;=IFERROR(INDEX($C$5:$W$34,MATCH(C46,$C$5:$C$34,0),21),0),O46&gt;=IFERROR(INDEX(DogInfo!A:B,MATCH(C46&amp;$BE$4,DogInfo!A:A,0),2),0)),W46,IF(AND(IFERROR(INDEX($C$5:$W$34,MATCH(C46,$C$5:$C$34,0),21),0)&gt;=W46,IFERROR(INDEX($C$5:$W$34,MATCH(C46,$C$5:$C$34,0),21),0)&gt;=IFERROR(INDEX(DogInfo!A:B,MATCH(C46&amp;$BE$4,DogInfo!A:A,0),2),0)),IFERROR(INDEX($C$5:$W$34,MATCH(C46,$C$5:$C$34,0),21),0),IF(AND(IFERROR(INDEX(DogInfo!A:B,MATCH(C46&amp;$BE$4,DogInfo!A:A,0),2),0)&gt;=IFERROR(INDEX($C$5:$W$34,MATCH(C46,$C$5:$C$34,0),21),0),IFERROR(INDEX(DogInfo!A:B,MATCH(C46&amp;$BE$4,DogInfo!A:A,0),2),0)&gt;=W46),IFERROR(INDEX(DogInfo!A:B,MATCH(C46&amp;$BE$4,DogInfo!A:A,0),2),0),"Error"))),IFERROR(INDEX($C$5:$BE$34,MATCH(C46,$C$5:$C$34,0),55),IFERROR(INDEX(DogInfo!A:B,MATCH(C46&amp;$BE$4,DogInfo!A:A,0),2),0))),"")</f>
        <v>0</v>
      </c>
    </row>
    <row r="47" spans="1:65" s="9" customFormat="1" ht="12.75" x14ac:dyDescent="0.2">
      <c r="A47" s="99">
        <v>3</v>
      </c>
      <c r="B47" s="100"/>
      <c r="C47" s="120"/>
      <c r="D47" s="102" t="str">
        <f>IF($C47="","",VLOOKUP($C47,'SDDA Dogs'!$A:$F,2,FALSE))</f>
        <v/>
      </c>
      <c r="E47" s="211">
        <f t="shared" si="60"/>
        <v>1</v>
      </c>
      <c r="F47" s="121" t="str">
        <f>IF($C47="","",IF(ISERROR(VLOOKUP($C47,$C$5:$AP$34,38,FALSE)=TRUE),VLOOKUP($C47,'SDDA Dogs'!$A:$O,7,FALSE),VLOOKUP($C47,$C$5:$AP$34,38,FALSE)))</f>
        <v/>
      </c>
      <c r="G47" s="137"/>
      <c r="H47" s="217"/>
      <c r="I47" s="84" t="str">
        <f t="shared" si="61"/>
        <v/>
      </c>
      <c r="J47" s="105">
        <f t="shared" si="37"/>
        <v>0</v>
      </c>
      <c r="K47" s="84" t="str">
        <f t="shared" si="38"/>
        <v/>
      </c>
      <c r="L47" s="105">
        <f t="shared" si="39"/>
        <v>0</v>
      </c>
      <c r="M47" s="84" t="str">
        <f t="shared" si="40"/>
        <v/>
      </c>
      <c r="N47" s="125" t="str">
        <f>IF($C47="","",IF(ISERROR(VLOOKUP($C47,$C$5:$AP$34,39,FALSE)=TRUE),VLOOKUP($C47,'SDDA Dogs'!$A:$O,8,FALSE),VLOOKUP($C47,$C$5:$AP$34,39,FALSE)))</f>
        <v/>
      </c>
      <c r="O47" s="137"/>
      <c r="P47" s="217"/>
      <c r="Q47" s="84" t="str">
        <f t="shared" si="62"/>
        <v/>
      </c>
      <c r="R47" s="105">
        <f t="shared" si="41"/>
        <v>0</v>
      </c>
      <c r="S47" s="84" t="str">
        <f t="shared" si="42"/>
        <v/>
      </c>
      <c r="T47" s="105">
        <f t="shared" si="43"/>
        <v>0</v>
      </c>
      <c r="U47" s="84" t="str">
        <f t="shared" si="44"/>
        <v/>
      </c>
      <c r="V47" s="125" t="str">
        <f>IF($C47="","",IF(ISERROR(VLOOKUP($C47,$C$5:$AP$34,40,FALSE)=TRUE),VLOOKUP($C47,'SDDA Dogs'!$A:$O,9,FALSE),VLOOKUP($C47,$C$5:$AP$34,40,FALSE)))</f>
        <v/>
      </c>
      <c r="W47" s="137"/>
      <c r="X47" s="217"/>
      <c r="Y47" s="84" t="str">
        <f t="shared" si="63"/>
        <v/>
      </c>
      <c r="Z47" s="105">
        <f t="shared" si="45"/>
        <v>0</v>
      </c>
      <c r="AA47" s="84" t="str">
        <f t="shared" si="46"/>
        <v/>
      </c>
      <c r="AB47" s="105">
        <f t="shared" si="47"/>
        <v>0</v>
      </c>
      <c r="AC47" s="84" t="str">
        <f t="shared" si="48"/>
        <v/>
      </c>
      <c r="AD47" s="126" t="str">
        <f t="shared" si="64"/>
        <v/>
      </c>
      <c r="AE47" s="89" t="str">
        <f t="shared" si="49"/>
        <v/>
      </c>
      <c r="AF47" s="104" t="str">
        <f t="shared" si="50"/>
        <v/>
      </c>
      <c r="AG47" s="128" t="str">
        <f t="shared" si="65"/>
        <v/>
      </c>
      <c r="AH47" s="126" t="str">
        <f t="shared" si="66"/>
        <v/>
      </c>
      <c r="AI47" s="89" t="str">
        <f t="shared" si="51"/>
        <v/>
      </c>
      <c r="AJ47" s="122" t="str">
        <f t="shared" si="52"/>
        <v/>
      </c>
      <c r="AK47" s="123" t="str">
        <f t="shared" si="67"/>
        <v/>
      </c>
      <c r="AL47" s="129" t="str">
        <f t="shared" si="68"/>
        <v/>
      </c>
      <c r="AM47" s="89">
        <f t="shared" si="53"/>
        <v>0</v>
      </c>
      <c r="AN47" s="84" t="str">
        <f t="shared" si="54"/>
        <v/>
      </c>
      <c r="AO47" s="84" t="str">
        <f t="shared" si="55"/>
        <v/>
      </c>
      <c r="AP47" s="84" t="str">
        <f t="shared" si="56"/>
        <v/>
      </c>
      <c r="AQ47" s="84">
        <f t="shared" si="69"/>
        <v>0</v>
      </c>
      <c r="AR47" s="84"/>
      <c r="AS47" s="85"/>
      <c r="AT47" s="85"/>
      <c r="AU47" s="131" t="str">
        <f>IF(ISERROR(VLOOKUP(C47,'SDDA Dogs'!A:O,6,FALSE)),"",VLOOKUP(C47,'SDDA Dogs'!A:O,6,FALSE))</f>
        <v/>
      </c>
      <c r="AV47" s="84">
        <f t="shared" si="70"/>
        <v>0</v>
      </c>
      <c r="AW47" s="84">
        <f t="shared" si="71"/>
        <v>0</v>
      </c>
      <c r="AX47" s="88">
        <f t="shared" si="57"/>
        <v>0</v>
      </c>
      <c r="AZ47" s="132">
        <f t="shared" si="58"/>
        <v>0</v>
      </c>
      <c r="BA47" s="132">
        <f t="shared" si="59"/>
        <v>0</v>
      </c>
      <c r="BB47" s="87"/>
      <c r="BC47" s="262">
        <f>_xlfn.IFNA(IF(I47="Pass",IF(AND(G47&gt;=IFERROR(INDEX($C$5:$W$34,MATCH(C47,$C$5:$C$34,0),5),0),G47&gt;=IFERROR(INDEX(DogInfo!A:B,MATCH(C47&amp;$BC$4,DogInfo!A:A,0),2),0)),G47,IF(AND(IFERROR(INDEX($C$5:$W$34,MATCH(C47,$C$5:$C$34,0),5),0)&gt;=O47,IFERROR(INDEX($C$5:$W$34,MATCH(C47,$C$5:$C$34,0),5),0)&gt;=IFERROR(INDEX(DogInfo!A:B,MATCH(C47&amp;$BC$4,DogInfo!A:A,0),2),0)),IFERROR(INDEX($C$5:$W$34,MATCH(C47,$C$5:$C$34,0),5),0),IF(AND(IFERROR(INDEX(DogInfo!A:B,MATCH(C47&amp;$BC$4,DogInfo!A:A,0),2),0)&gt;=IFERROR(INDEX($C$5:$W$34,MATCH(C47,$C$5:$C$34,0),5),0),IFERROR(INDEX(DogInfo!A:B,MATCH(C47&amp;$BC$4,DogInfo!A:A,0),2),0)&gt;=G47),IFERROR(INDEX(DogInfo!A:B,MATCH(C47&amp;$BC$4,DogInfo!A:A,0),2),0),"Error"))),IFERROR(INDEX($C$5:$BE$34,MATCH(C47,$C$5:$C$34,0),53),IFERROR(INDEX(DogInfo!A:B,MATCH(C47&amp;$BC$4,DogInfo!A:A,0),2),0))),"")</f>
        <v>0</v>
      </c>
      <c r="BD47" s="262">
        <f>_xlfn.IFNA(IF(Q47="Pass",IF(AND(O47&gt;=IFERROR(INDEX($C$5:$W$34,MATCH(C47,$C$5:$C$34,0),13),0),O47&gt;=IFERROR(INDEX(DogInfo!A:B,MATCH(C47&amp;$BD$4,DogInfo!A:A,0),2),0)),O47,IF(AND(IFERROR(INDEX($C$5:$W$34,MATCH(C47,$C$5:$C$34,0),13),0)&gt;=O47,IFERROR(INDEX($C$5:$W$34,MATCH(C47,$C$5:$C$34,0),13),0)&gt;=IFERROR(INDEX(DogInfo!A:B,MATCH(C47&amp;$BD$4,DogInfo!A:A,0),2),0)),IFERROR(INDEX($C$5:$W$34,MATCH(C47,$C$5:$C$34,0),13),0),IF(AND(IFERROR(INDEX(DogInfo!A:B,MATCH(C47&amp;$BD$4,DogInfo!A:A,0),2),0)&gt;=IFERROR(INDEX($C$5:$W$34,MATCH(C47,$C$5:$C$34,0),13),0),IFERROR(INDEX(DogInfo!A:B,MATCH(C47&amp;$BD$4,DogInfo!A:A,0),2),0)&gt;=O47),IFERROR(INDEX(DogInfo!A:B,MATCH(C47&amp;$BD$4,DogInfo!A:A,0),2),0),"Error"))),IFERROR(INDEX($C$5:$BE$34,MATCH(C47,$C$5:$C$34,0),54),IFERROR(INDEX(DogInfo!A:B,MATCH(C47&amp;$BD$4,DogInfo!A:A,0),2),0))),"")</f>
        <v>0</v>
      </c>
      <c r="BE47" s="262">
        <f>_xlfn.IFNA(IF(Y47="Pass",IF(AND(W47&gt;=IFERROR(INDEX($C$5:$W$34,MATCH(C47,$C$5:$C$34,0),21),0),O47&gt;=IFERROR(INDEX(DogInfo!A:B,MATCH(C47&amp;$BE$4,DogInfo!A:A,0),2),0)),W47,IF(AND(IFERROR(INDEX($C$5:$W$34,MATCH(C47,$C$5:$C$34,0),21),0)&gt;=W47,IFERROR(INDEX($C$5:$W$34,MATCH(C47,$C$5:$C$34,0),21),0)&gt;=IFERROR(INDEX(DogInfo!A:B,MATCH(C47&amp;$BE$4,DogInfo!A:A,0),2),0)),IFERROR(INDEX($C$5:$W$34,MATCH(C47,$C$5:$C$34,0),21),0),IF(AND(IFERROR(INDEX(DogInfo!A:B,MATCH(C47&amp;$BE$4,DogInfo!A:A,0),2),0)&gt;=IFERROR(INDEX($C$5:$W$34,MATCH(C47,$C$5:$C$34,0),21),0),IFERROR(INDEX(DogInfo!A:B,MATCH(C47&amp;$BE$4,DogInfo!A:A,0),2),0)&gt;=W47),IFERROR(INDEX(DogInfo!A:B,MATCH(C47&amp;$BE$4,DogInfo!A:A,0),2),0),"Error"))),IFERROR(INDEX($C$5:$BE$34,MATCH(C47,$C$5:$C$34,0),55),IFERROR(INDEX(DogInfo!A:B,MATCH(C47&amp;$BE$4,DogInfo!A:A,0),2),0))),"")</f>
        <v>0</v>
      </c>
    </row>
    <row r="48" spans="1:65" s="9" customFormat="1" ht="12.75" x14ac:dyDescent="0.2">
      <c r="A48" s="99">
        <v>4</v>
      </c>
      <c r="B48" s="100"/>
      <c r="C48" s="120"/>
      <c r="D48" s="102" t="str">
        <f>IF($C48="","",VLOOKUP($C48,'SDDA Dogs'!$A:$F,2,FALSE))</f>
        <v/>
      </c>
      <c r="E48" s="211">
        <f t="shared" si="60"/>
        <v>1</v>
      </c>
      <c r="F48" s="121" t="str">
        <f>IF($C48="","",IF(ISERROR(VLOOKUP($C48,$C$5:$AP$34,38,FALSE)=TRUE),VLOOKUP($C48,'SDDA Dogs'!$A:$O,7,FALSE),VLOOKUP($C48,$C$5:$AP$34,38,FALSE)))</f>
        <v/>
      </c>
      <c r="G48" s="137"/>
      <c r="H48" s="217"/>
      <c r="I48" s="84" t="str">
        <f t="shared" si="61"/>
        <v/>
      </c>
      <c r="J48" s="105">
        <f t="shared" si="37"/>
        <v>0</v>
      </c>
      <c r="K48" s="84" t="str">
        <f t="shared" si="38"/>
        <v/>
      </c>
      <c r="L48" s="105">
        <f t="shared" si="39"/>
        <v>0</v>
      </c>
      <c r="M48" s="84" t="str">
        <f t="shared" si="40"/>
        <v/>
      </c>
      <c r="N48" s="125" t="str">
        <f>IF($C48="","",IF(ISERROR(VLOOKUP($C48,$C$5:$AP$34,39,FALSE)=TRUE),VLOOKUP($C48,'SDDA Dogs'!$A:$O,8,FALSE),VLOOKUP($C48,$C$5:$AP$34,39,FALSE)))</f>
        <v/>
      </c>
      <c r="O48" s="137"/>
      <c r="P48" s="217"/>
      <c r="Q48" s="84" t="str">
        <f t="shared" si="62"/>
        <v/>
      </c>
      <c r="R48" s="105">
        <f t="shared" si="41"/>
        <v>0</v>
      </c>
      <c r="S48" s="84" t="str">
        <f t="shared" si="42"/>
        <v/>
      </c>
      <c r="T48" s="105">
        <f t="shared" si="43"/>
        <v>0</v>
      </c>
      <c r="U48" s="84" t="str">
        <f t="shared" si="44"/>
        <v/>
      </c>
      <c r="V48" s="125" t="str">
        <f>IF($C48="","",IF(ISERROR(VLOOKUP($C48,$C$5:$AP$34,40,FALSE)=TRUE),VLOOKUP($C48,'SDDA Dogs'!$A:$O,9,FALSE),VLOOKUP($C48,$C$5:$AP$34,40,FALSE)))</f>
        <v/>
      </c>
      <c r="W48" s="137"/>
      <c r="X48" s="217"/>
      <c r="Y48" s="84" t="str">
        <f t="shared" si="63"/>
        <v/>
      </c>
      <c r="Z48" s="105">
        <f t="shared" si="45"/>
        <v>0</v>
      </c>
      <c r="AA48" s="84" t="str">
        <f t="shared" si="46"/>
        <v/>
      </c>
      <c r="AB48" s="105">
        <f t="shared" si="47"/>
        <v>0</v>
      </c>
      <c r="AC48" s="84" t="str">
        <f t="shared" si="48"/>
        <v/>
      </c>
      <c r="AD48" s="126" t="str">
        <f t="shared" si="64"/>
        <v/>
      </c>
      <c r="AE48" s="89" t="str">
        <f t="shared" si="49"/>
        <v/>
      </c>
      <c r="AF48" s="104" t="str">
        <f t="shared" si="50"/>
        <v/>
      </c>
      <c r="AG48" s="128" t="str">
        <f t="shared" si="65"/>
        <v/>
      </c>
      <c r="AH48" s="126" t="str">
        <f t="shared" si="66"/>
        <v/>
      </c>
      <c r="AI48" s="89" t="str">
        <f t="shared" si="51"/>
        <v/>
      </c>
      <c r="AJ48" s="122" t="str">
        <f t="shared" si="52"/>
        <v/>
      </c>
      <c r="AK48" s="123" t="str">
        <f t="shared" si="67"/>
        <v/>
      </c>
      <c r="AL48" s="129" t="str">
        <f t="shared" si="68"/>
        <v/>
      </c>
      <c r="AM48" s="92">
        <f t="shared" si="53"/>
        <v>0</v>
      </c>
      <c r="AN48" s="84" t="str">
        <f t="shared" si="54"/>
        <v/>
      </c>
      <c r="AO48" s="84" t="str">
        <f t="shared" si="55"/>
        <v/>
      </c>
      <c r="AP48" s="84" t="str">
        <f t="shared" si="56"/>
        <v/>
      </c>
      <c r="AQ48" s="84">
        <f t="shared" si="69"/>
        <v>0</v>
      </c>
      <c r="AR48" s="84"/>
      <c r="AS48" s="85"/>
      <c r="AT48" s="85"/>
      <c r="AU48" s="131" t="str">
        <f>IF(ISERROR(VLOOKUP(C48,'SDDA Dogs'!A:O,6,FALSE)),"",VLOOKUP(C48,'SDDA Dogs'!A:O,6,FALSE))</f>
        <v/>
      </c>
      <c r="AV48" s="84">
        <f t="shared" si="70"/>
        <v>0</v>
      </c>
      <c r="AW48" s="84">
        <f t="shared" si="71"/>
        <v>0</v>
      </c>
      <c r="AX48" s="88">
        <f t="shared" si="57"/>
        <v>0</v>
      </c>
      <c r="AZ48" s="132">
        <f t="shared" si="58"/>
        <v>0</v>
      </c>
      <c r="BA48" s="132">
        <f t="shared" si="59"/>
        <v>0</v>
      </c>
      <c r="BB48" s="87"/>
      <c r="BC48" s="262">
        <f>_xlfn.IFNA(IF(I48="Pass",IF(AND(G48&gt;=IFERROR(INDEX($C$5:$W$34,MATCH(C48,$C$5:$C$34,0),5),0),G48&gt;=IFERROR(INDEX(DogInfo!A:B,MATCH(C48&amp;$BC$4,DogInfo!A:A,0),2),0)),G48,IF(AND(IFERROR(INDEX($C$5:$W$34,MATCH(C48,$C$5:$C$34,0),5),0)&gt;=O48,IFERROR(INDEX($C$5:$W$34,MATCH(C48,$C$5:$C$34,0),5),0)&gt;=IFERROR(INDEX(DogInfo!A:B,MATCH(C48&amp;$BC$4,DogInfo!A:A,0),2),0)),IFERROR(INDEX($C$5:$W$34,MATCH(C48,$C$5:$C$34,0),5),0),IF(AND(IFERROR(INDEX(DogInfo!A:B,MATCH(C48&amp;$BC$4,DogInfo!A:A,0),2),0)&gt;=IFERROR(INDEX($C$5:$W$34,MATCH(C48,$C$5:$C$34,0),5),0),IFERROR(INDEX(DogInfo!A:B,MATCH(C48&amp;$BC$4,DogInfo!A:A,0),2),0)&gt;=G48),IFERROR(INDEX(DogInfo!A:B,MATCH(C48&amp;$BC$4,DogInfo!A:A,0),2),0),"Error"))),IFERROR(INDEX($C$5:$BE$34,MATCH(C48,$C$5:$C$34,0),53),IFERROR(INDEX(DogInfo!A:B,MATCH(C48&amp;$BC$4,DogInfo!A:A,0),2),0))),"")</f>
        <v>0</v>
      </c>
      <c r="BD48" s="262">
        <f>_xlfn.IFNA(IF(Q48="Pass",IF(AND(O48&gt;=IFERROR(INDEX($C$5:$W$34,MATCH(C48,$C$5:$C$34,0),13),0),O48&gt;=IFERROR(INDEX(DogInfo!A:B,MATCH(C48&amp;$BD$4,DogInfo!A:A,0),2),0)),O48,IF(AND(IFERROR(INDEX($C$5:$W$34,MATCH(C48,$C$5:$C$34,0),13),0)&gt;=O48,IFERROR(INDEX($C$5:$W$34,MATCH(C48,$C$5:$C$34,0),13),0)&gt;=IFERROR(INDEX(DogInfo!A:B,MATCH(C48&amp;$BD$4,DogInfo!A:A,0),2),0)),IFERROR(INDEX($C$5:$W$34,MATCH(C48,$C$5:$C$34,0),13),0),IF(AND(IFERROR(INDEX(DogInfo!A:B,MATCH(C48&amp;$BD$4,DogInfo!A:A,0),2),0)&gt;=IFERROR(INDEX($C$5:$W$34,MATCH(C48,$C$5:$C$34,0),13),0),IFERROR(INDEX(DogInfo!A:B,MATCH(C48&amp;$BD$4,DogInfo!A:A,0),2),0)&gt;=O48),IFERROR(INDEX(DogInfo!A:B,MATCH(C48&amp;$BD$4,DogInfo!A:A,0),2),0),"Error"))),IFERROR(INDEX($C$5:$BE$34,MATCH(C48,$C$5:$C$34,0),54),IFERROR(INDEX(DogInfo!A:B,MATCH(C48&amp;$BD$4,DogInfo!A:A,0),2),0))),"")</f>
        <v>0</v>
      </c>
      <c r="BE48" s="262">
        <f>_xlfn.IFNA(IF(Y48="Pass",IF(AND(W48&gt;=IFERROR(INDEX($C$5:$W$34,MATCH(C48,$C$5:$C$34,0),21),0),O48&gt;=IFERROR(INDEX(DogInfo!A:B,MATCH(C48&amp;$BE$4,DogInfo!A:A,0),2),0)),W48,IF(AND(IFERROR(INDEX($C$5:$W$34,MATCH(C48,$C$5:$C$34,0),21),0)&gt;=W48,IFERROR(INDEX($C$5:$W$34,MATCH(C48,$C$5:$C$34,0),21),0)&gt;=IFERROR(INDEX(DogInfo!A:B,MATCH(C48&amp;$BE$4,DogInfo!A:A,0),2),0)),IFERROR(INDEX($C$5:$W$34,MATCH(C48,$C$5:$C$34,0),21),0),IF(AND(IFERROR(INDEX(DogInfo!A:B,MATCH(C48&amp;$BE$4,DogInfo!A:A,0),2),0)&gt;=IFERROR(INDEX($C$5:$W$34,MATCH(C48,$C$5:$C$34,0),21),0),IFERROR(INDEX(DogInfo!A:B,MATCH(C48&amp;$BE$4,DogInfo!A:A,0),2),0)&gt;=W48),IFERROR(INDEX(DogInfo!A:B,MATCH(C48&amp;$BE$4,DogInfo!A:A,0),2),0),"Error"))),IFERROR(INDEX($C$5:$BE$34,MATCH(C48,$C$5:$C$34,0),55),IFERROR(INDEX(DogInfo!A:B,MATCH(C48&amp;$BE$4,DogInfo!A:A,0),2),0))),"")</f>
        <v>0</v>
      </c>
    </row>
    <row r="49" spans="1:57" s="9" customFormat="1" ht="12.75" x14ac:dyDescent="0.2">
      <c r="A49" s="99">
        <v>5</v>
      </c>
      <c r="B49" s="100"/>
      <c r="C49" s="120"/>
      <c r="D49" s="102" t="str">
        <f>IF($C49="","",VLOOKUP($C49,'SDDA Dogs'!$A:$F,2,FALSE))</f>
        <v/>
      </c>
      <c r="E49" s="211">
        <f t="shared" si="60"/>
        <v>1</v>
      </c>
      <c r="F49" s="121" t="str">
        <f>IF($C49="","",IF(ISERROR(VLOOKUP($C49,$C$5:$AP$34,38,FALSE)=TRUE),VLOOKUP($C49,'SDDA Dogs'!$A:$O,7,FALSE),VLOOKUP($C49,$C$5:$AP$34,38,FALSE)))</f>
        <v/>
      </c>
      <c r="G49" s="137"/>
      <c r="H49" s="217"/>
      <c r="I49" s="84" t="str">
        <f t="shared" si="61"/>
        <v/>
      </c>
      <c r="J49" s="105">
        <f t="shared" si="37"/>
        <v>0</v>
      </c>
      <c r="K49" s="84" t="str">
        <f t="shared" si="38"/>
        <v/>
      </c>
      <c r="L49" s="105">
        <f t="shared" si="39"/>
        <v>0</v>
      </c>
      <c r="M49" s="84" t="str">
        <f t="shared" si="40"/>
        <v/>
      </c>
      <c r="N49" s="125" t="str">
        <f>IF($C49="","",IF(ISERROR(VLOOKUP($C49,$C$5:$AP$34,39,FALSE)=TRUE),VLOOKUP($C49,'SDDA Dogs'!$A:$O,8,FALSE),VLOOKUP($C49,$C$5:$AP$34,39,FALSE)))</f>
        <v/>
      </c>
      <c r="O49" s="137"/>
      <c r="P49" s="217"/>
      <c r="Q49" s="84" t="str">
        <f t="shared" si="62"/>
        <v/>
      </c>
      <c r="R49" s="105">
        <f t="shared" si="41"/>
        <v>0</v>
      </c>
      <c r="S49" s="84" t="str">
        <f t="shared" si="42"/>
        <v/>
      </c>
      <c r="T49" s="105">
        <f t="shared" si="43"/>
        <v>0</v>
      </c>
      <c r="U49" s="84" t="str">
        <f t="shared" si="44"/>
        <v/>
      </c>
      <c r="V49" s="125" t="str">
        <f>IF($C49="","",IF(ISERROR(VLOOKUP($C49,$C$5:$AP$34,40,FALSE)=TRUE),VLOOKUP($C49,'SDDA Dogs'!$A:$O,9,FALSE),VLOOKUP($C49,$C$5:$AP$34,40,FALSE)))</f>
        <v/>
      </c>
      <c r="W49" s="137"/>
      <c r="X49" s="217"/>
      <c r="Y49" s="84" t="str">
        <f t="shared" si="63"/>
        <v/>
      </c>
      <c r="Z49" s="105">
        <f t="shared" si="45"/>
        <v>0</v>
      </c>
      <c r="AA49" s="84" t="str">
        <f t="shared" si="46"/>
        <v/>
      </c>
      <c r="AB49" s="105">
        <f t="shared" si="47"/>
        <v>0</v>
      </c>
      <c r="AC49" s="84" t="str">
        <f t="shared" si="48"/>
        <v/>
      </c>
      <c r="AD49" s="126" t="str">
        <f t="shared" si="64"/>
        <v/>
      </c>
      <c r="AE49" s="89" t="str">
        <f t="shared" si="49"/>
        <v/>
      </c>
      <c r="AF49" s="104" t="str">
        <f t="shared" si="50"/>
        <v/>
      </c>
      <c r="AG49" s="128" t="str">
        <f t="shared" si="65"/>
        <v/>
      </c>
      <c r="AH49" s="126" t="str">
        <f t="shared" si="66"/>
        <v/>
      </c>
      <c r="AI49" s="89" t="str">
        <f t="shared" si="51"/>
        <v/>
      </c>
      <c r="AJ49" s="122" t="str">
        <f t="shared" si="52"/>
        <v/>
      </c>
      <c r="AK49" s="123" t="str">
        <f t="shared" si="67"/>
        <v/>
      </c>
      <c r="AL49" s="129" t="str">
        <f t="shared" si="68"/>
        <v/>
      </c>
      <c r="AM49" s="89">
        <f t="shared" si="53"/>
        <v>0</v>
      </c>
      <c r="AN49" s="84" t="str">
        <f t="shared" si="54"/>
        <v/>
      </c>
      <c r="AO49" s="84" t="str">
        <f t="shared" si="55"/>
        <v/>
      </c>
      <c r="AP49" s="84" t="str">
        <f t="shared" si="56"/>
        <v/>
      </c>
      <c r="AQ49" s="84">
        <f t="shared" si="69"/>
        <v>0</v>
      </c>
      <c r="AR49" s="84"/>
      <c r="AS49" s="85"/>
      <c r="AT49" s="85"/>
      <c r="AU49" s="131" t="str">
        <f>IF(ISERROR(VLOOKUP(C49,'SDDA Dogs'!A:O,6,FALSE)),"",VLOOKUP(C49,'SDDA Dogs'!A:O,6,FALSE))</f>
        <v/>
      </c>
      <c r="AV49" s="84">
        <f t="shared" si="70"/>
        <v>0</v>
      </c>
      <c r="AW49" s="84">
        <f t="shared" si="71"/>
        <v>0</v>
      </c>
      <c r="AX49" s="88">
        <f t="shared" si="57"/>
        <v>0</v>
      </c>
      <c r="AZ49" s="132">
        <f t="shared" si="58"/>
        <v>0</v>
      </c>
      <c r="BA49" s="132">
        <f t="shared" si="59"/>
        <v>0</v>
      </c>
      <c r="BB49" s="87"/>
      <c r="BC49" s="262">
        <f>_xlfn.IFNA(IF(I49="Pass",IF(AND(G49&gt;=IFERROR(INDEX($C$5:$W$34,MATCH(C49,$C$5:$C$34,0),5),0),G49&gt;=IFERROR(INDEX(DogInfo!A:B,MATCH(C49&amp;$BC$4,DogInfo!A:A,0),2),0)),G49,IF(AND(IFERROR(INDEX($C$5:$W$34,MATCH(C49,$C$5:$C$34,0),5),0)&gt;=O49,IFERROR(INDEX($C$5:$W$34,MATCH(C49,$C$5:$C$34,0),5),0)&gt;=IFERROR(INDEX(DogInfo!A:B,MATCH(C49&amp;$BC$4,DogInfo!A:A,0),2),0)),IFERROR(INDEX($C$5:$W$34,MATCH(C49,$C$5:$C$34,0),5),0),IF(AND(IFERROR(INDEX(DogInfo!A:B,MATCH(C49&amp;$BC$4,DogInfo!A:A,0),2),0)&gt;=IFERROR(INDEX($C$5:$W$34,MATCH(C49,$C$5:$C$34,0),5),0),IFERROR(INDEX(DogInfo!A:B,MATCH(C49&amp;$BC$4,DogInfo!A:A,0),2),0)&gt;=G49),IFERROR(INDEX(DogInfo!A:B,MATCH(C49&amp;$BC$4,DogInfo!A:A,0),2),0),"Error"))),IFERROR(INDEX($C$5:$BE$34,MATCH(C49,$C$5:$C$34,0),53),IFERROR(INDEX(DogInfo!A:B,MATCH(C49&amp;$BC$4,DogInfo!A:A,0),2),0))),"")</f>
        <v>0</v>
      </c>
      <c r="BD49" s="262">
        <f>_xlfn.IFNA(IF(Q49="Pass",IF(AND(O49&gt;=IFERROR(INDEX($C$5:$W$34,MATCH(C49,$C$5:$C$34,0),13),0),O49&gt;=IFERROR(INDEX(DogInfo!A:B,MATCH(C49&amp;$BD$4,DogInfo!A:A,0),2),0)),O49,IF(AND(IFERROR(INDEX($C$5:$W$34,MATCH(C49,$C$5:$C$34,0),13),0)&gt;=O49,IFERROR(INDEX($C$5:$W$34,MATCH(C49,$C$5:$C$34,0),13),0)&gt;=IFERROR(INDEX(DogInfo!A:B,MATCH(C49&amp;$BD$4,DogInfo!A:A,0),2),0)),IFERROR(INDEX($C$5:$W$34,MATCH(C49,$C$5:$C$34,0),13),0),IF(AND(IFERROR(INDEX(DogInfo!A:B,MATCH(C49&amp;$BD$4,DogInfo!A:A,0),2),0)&gt;=IFERROR(INDEX($C$5:$W$34,MATCH(C49,$C$5:$C$34,0),13),0),IFERROR(INDEX(DogInfo!A:B,MATCH(C49&amp;$BD$4,DogInfo!A:A,0),2),0)&gt;=O49),IFERROR(INDEX(DogInfo!A:B,MATCH(C49&amp;$BD$4,DogInfo!A:A,0),2),0),"Error"))),IFERROR(INDEX($C$5:$BE$34,MATCH(C49,$C$5:$C$34,0),54),IFERROR(INDEX(DogInfo!A:B,MATCH(C49&amp;$BD$4,DogInfo!A:A,0),2),0))),"")</f>
        <v>0</v>
      </c>
      <c r="BE49" s="262">
        <f>_xlfn.IFNA(IF(Y49="Pass",IF(AND(W49&gt;=IFERROR(INDEX($C$5:$W$34,MATCH(C49,$C$5:$C$34,0),21),0),O49&gt;=IFERROR(INDEX(DogInfo!A:B,MATCH(C49&amp;$BE$4,DogInfo!A:A,0),2),0)),W49,IF(AND(IFERROR(INDEX($C$5:$W$34,MATCH(C49,$C$5:$C$34,0),21),0)&gt;=W49,IFERROR(INDEX($C$5:$W$34,MATCH(C49,$C$5:$C$34,0),21),0)&gt;=IFERROR(INDEX(DogInfo!A:B,MATCH(C49&amp;$BE$4,DogInfo!A:A,0),2),0)),IFERROR(INDEX($C$5:$W$34,MATCH(C49,$C$5:$C$34,0),21),0),IF(AND(IFERROR(INDEX(DogInfo!A:B,MATCH(C49&amp;$BE$4,DogInfo!A:A,0),2),0)&gt;=IFERROR(INDEX($C$5:$W$34,MATCH(C49,$C$5:$C$34,0),21),0),IFERROR(INDEX(DogInfo!A:B,MATCH(C49&amp;$BE$4,DogInfo!A:A,0),2),0)&gt;=W49),IFERROR(INDEX(DogInfo!A:B,MATCH(C49&amp;$BE$4,DogInfo!A:A,0),2),0),"Error"))),IFERROR(INDEX($C$5:$BE$34,MATCH(C49,$C$5:$C$34,0),55),IFERROR(INDEX(DogInfo!A:B,MATCH(C49&amp;$BE$4,DogInfo!A:A,0),2),0))),"")</f>
        <v>0</v>
      </c>
    </row>
    <row r="50" spans="1:57" s="9" customFormat="1" ht="12.75" x14ac:dyDescent="0.2">
      <c r="A50" s="99">
        <v>6</v>
      </c>
      <c r="B50" s="100"/>
      <c r="C50" s="120"/>
      <c r="D50" s="102" t="str">
        <f>IF($C50="","",VLOOKUP($C50,'SDDA Dogs'!$A:$F,2,FALSE))</f>
        <v/>
      </c>
      <c r="E50" s="211">
        <f t="shared" si="60"/>
        <v>1</v>
      </c>
      <c r="F50" s="121" t="str">
        <f>IF($C50="","",IF(ISERROR(VLOOKUP($C50,$C$5:$AP$34,38,FALSE)=TRUE),VLOOKUP($C50,'SDDA Dogs'!$A:$O,7,FALSE),VLOOKUP($C50,$C$5:$AP$34,38,FALSE)))</f>
        <v/>
      </c>
      <c r="G50" s="137"/>
      <c r="H50" s="217"/>
      <c r="I50" s="84" t="str">
        <f t="shared" si="61"/>
        <v/>
      </c>
      <c r="J50" s="105">
        <f t="shared" si="37"/>
        <v>0</v>
      </c>
      <c r="K50" s="84" t="str">
        <f t="shared" si="38"/>
        <v/>
      </c>
      <c r="L50" s="105">
        <f t="shared" si="39"/>
        <v>0</v>
      </c>
      <c r="M50" s="84" t="str">
        <f t="shared" si="40"/>
        <v/>
      </c>
      <c r="N50" s="125" t="str">
        <f>IF($C50="","",IF(ISERROR(VLOOKUP($C50,$C$5:$AP$34,39,FALSE)=TRUE),VLOOKUP($C50,'SDDA Dogs'!$A:$O,8,FALSE),VLOOKUP($C50,$C$5:$AP$34,39,FALSE)))</f>
        <v/>
      </c>
      <c r="O50" s="137"/>
      <c r="P50" s="217"/>
      <c r="Q50" s="84" t="str">
        <f t="shared" si="62"/>
        <v/>
      </c>
      <c r="R50" s="105">
        <f t="shared" si="41"/>
        <v>0</v>
      </c>
      <c r="S50" s="84" t="str">
        <f t="shared" si="42"/>
        <v/>
      </c>
      <c r="T50" s="105">
        <f t="shared" si="43"/>
        <v>0</v>
      </c>
      <c r="U50" s="84" t="str">
        <f t="shared" si="44"/>
        <v/>
      </c>
      <c r="V50" s="125" t="str">
        <f>IF($C50="","",IF(ISERROR(VLOOKUP($C50,$C$5:$AP$34,40,FALSE)=TRUE),VLOOKUP($C50,'SDDA Dogs'!$A:$O,9,FALSE),VLOOKUP($C50,$C$5:$AP$34,40,FALSE)))</f>
        <v/>
      </c>
      <c r="W50" s="137"/>
      <c r="X50" s="217"/>
      <c r="Y50" s="84" t="str">
        <f t="shared" si="63"/>
        <v/>
      </c>
      <c r="Z50" s="105">
        <f t="shared" si="45"/>
        <v>0</v>
      </c>
      <c r="AA50" s="84" t="str">
        <f t="shared" si="46"/>
        <v/>
      </c>
      <c r="AB50" s="105">
        <f t="shared" si="47"/>
        <v>0</v>
      </c>
      <c r="AC50" s="84" t="str">
        <f t="shared" si="48"/>
        <v/>
      </c>
      <c r="AD50" s="126" t="str">
        <f t="shared" si="64"/>
        <v/>
      </c>
      <c r="AE50" s="89" t="str">
        <f t="shared" si="49"/>
        <v/>
      </c>
      <c r="AF50" s="104" t="str">
        <f t="shared" si="50"/>
        <v/>
      </c>
      <c r="AG50" s="128" t="str">
        <f t="shared" si="65"/>
        <v/>
      </c>
      <c r="AH50" s="126" t="str">
        <f t="shared" si="66"/>
        <v/>
      </c>
      <c r="AI50" s="89" t="str">
        <f t="shared" si="51"/>
        <v/>
      </c>
      <c r="AJ50" s="122" t="str">
        <f t="shared" si="52"/>
        <v/>
      </c>
      <c r="AK50" s="123" t="str">
        <f t="shared" si="67"/>
        <v/>
      </c>
      <c r="AL50" s="129" t="str">
        <f t="shared" si="68"/>
        <v/>
      </c>
      <c r="AM50" s="89">
        <f t="shared" si="53"/>
        <v>0</v>
      </c>
      <c r="AN50" s="84" t="str">
        <f t="shared" si="54"/>
        <v/>
      </c>
      <c r="AO50" s="84" t="str">
        <f t="shared" si="55"/>
        <v/>
      </c>
      <c r="AP50" s="84" t="str">
        <f t="shared" si="56"/>
        <v/>
      </c>
      <c r="AQ50" s="84">
        <f t="shared" si="69"/>
        <v>0</v>
      </c>
      <c r="AR50" s="84"/>
      <c r="AS50" s="85"/>
      <c r="AT50" s="85"/>
      <c r="AU50" s="131" t="str">
        <f>IF(ISERROR(VLOOKUP(C50,'SDDA Dogs'!A:O,6,FALSE)),"",VLOOKUP(C50,'SDDA Dogs'!A:O,6,FALSE))</f>
        <v/>
      </c>
      <c r="AV50" s="84">
        <f t="shared" si="70"/>
        <v>0</v>
      </c>
      <c r="AW50" s="84">
        <f t="shared" si="71"/>
        <v>0</v>
      </c>
      <c r="AX50" s="88">
        <f t="shared" ref="AX50:AX74" si="72">(AV50*TrialFeeStr)+(AW50*FeoFee)</f>
        <v>0</v>
      </c>
      <c r="AZ50" s="132">
        <f t="shared" si="58"/>
        <v>0</v>
      </c>
      <c r="BA50" s="132">
        <f t="shared" si="59"/>
        <v>0</v>
      </c>
      <c r="BB50" s="87"/>
      <c r="BC50" s="262">
        <f>_xlfn.IFNA(IF(I50="Pass",IF(AND(G50&gt;=IFERROR(INDEX($C$5:$W$34,MATCH(C50,$C$5:$C$34,0),5),0),G50&gt;=IFERROR(INDEX(DogInfo!A:B,MATCH(C50&amp;$BC$4,DogInfo!A:A,0),2),0)),G50,IF(AND(IFERROR(INDEX($C$5:$W$34,MATCH(C50,$C$5:$C$34,0),5),0)&gt;=O50,IFERROR(INDEX($C$5:$W$34,MATCH(C50,$C$5:$C$34,0),5),0)&gt;=IFERROR(INDEX(DogInfo!A:B,MATCH(C50&amp;$BC$4,DogInfo!A:A,0),2),0)),IFERROR(INDEX($C$5:$W$34,MATCH(C50,$C$5:$C$34,0),5),0),IF(AND(IFERROR(INDEX(DogInfo!A:B,MATCH(C50&amp;$BC$4,DogInfo!A:A,0),2),0)&gt;=IFERROR(INDEX($C$5:$W$34,MATCH(C50,$C$5:$C$34,0),5),0),IFERROR(INDEX(DogInfo!A:B,MATCH(C50&amp;$BC$4,DogInfo!A:A,0),2),0)&gt;=G50),IFERROR(INDEX(DogInfo!A:B,MATCH(C50&amp;$BC$4,DogInfo!A:A,0),2),0),"Error"))),IFERROR(INDEX($C$5:$BE$34,MATCH(C50,$C$5:$C$34,0),53),IFERROR(INDEX(DogInfo!A:B,MATCH(C50&amp;$BC$4,DogInfo!A:A,0),2),0))),"")</f>
        <v>0</v>
      </c>
      <c r="BD50" s="262">
        <f>_xlfn.IFNA(IF(Q50="Pass",IF(AND(O50&gt;=IFERROR(INDEX($C$5:$W$34,MATCH(C50,$C$5:$C$34,0),13),0),O50&gt;=IFERROR(INDEX(DogInfo!A:B,MATCH(C50&amp;$BD$4,DogInfo!A:A,0),2),0)),O50,IF(AND(IFERROR(INDEX($C$5:$W$34,MATCH(C50,$C$5:$C$34,0),13),0)&gt;=O50,IFERROR(INDEX($C$5:$W$34,MATCH(C50,$C$5:$C$34,0),13),0)&gt;=IFERROR(INDEX(DogInfo!A:B,MATCH(C50&amp;$BD$4,DogInfo!A:A,0),2),0)),IFERROR(INDEX($C$5:$W$34,MATCH(C50,$C$5:$C$34,0),13),0),IF(AND(IFERROR(INDEX(DogInfo!A:B,MATCH(C50&amp;$BD$4,DogInfo!A:A,0),2),0)&gt;=IFERROR(INDEX($C$5:$W$34,MATCH(C50,$C$5:$C$34,0),13),0),IFERROR(INDEX(DogInfo!A:B,MATCH(C50&amp;$BD$4,DogInfo!A:A,0),2),0)&gt;=O50),IFERROR(INDEX(DogInfo!A:B,MATCH(C50&amp;$BD$4,DogInfo!A:A,0),2),0),"Error"))),IFERROR(INDEX($C$5:$BE$34,MATCH(C50,$C$5:$C$34,0),54),IFERROR(INDEX(DogInfo!A:B,MATCH(C50&amp;$BD$4,DogInfo!A:A,0),2),0))),"")</f>
        <v>0</v>
      </c>
      <c r="BE50" s="262">
        <f>_xlfn.IFNA(IF(Y50="Pass",IF(AND(W50&gt;=IFERROR(INDEX($C$5:$W$34,MATCH(C50,$C$5:$C$34,0),21),0),O50&gt;=IFERROR(INDEX(DogInfo!A:B,MATCH(C50&amp;$BE$4,DogInfo!A:A,0),2),0)),W50,IF(AND(IFERROR(INDEX($C$5:$W$34,MATCH(C50,$C$5:$C$34,0),21),0)&gt;=W50,IFERROR(INDEX($C$5:$W$34,MATCH(C50,$C$5:$C$34,0),21),0)&gt;=IFERROR(INDEX(DogInfo!A:B,MATCH(C50&amp;$BE$4,DogInfo!A:A,0),2),0)),IFERROR(INDEX($C$5:$W$34,MATCH(C50,$C$5:$C$34,0),21),0),IF(AND(IFERROR(INDEX(DogInfo!A:B,MATCH(C50&amp;$BE$4,DogInfo!A:A,0),2),0)&gt;=IFERROR(INDEX($C$5:$W$34,MATCH(C50,$C$5:$C$34,0),21),0),IFERROR(INDEX(DogInfo!A:B,MATCH(C50&amp;$BE$4,DogInfo!A:A,0),2),0)&gt;=W50),IFERROR(INDEX(DogInfo!A:B,MATCH(C50&amp;$BE$4,DogInfo!A:A,0),2),0),"Error"))),IFERROR(INDEX($C$5:$BE$34,MATCH(C50,$C$5:$C$34,0),55),IFERROR(INDEX(DogInfo!A:B,MATCH(C50&amp;$BE$4,DogInfo!A:A,0),2),0))),"")</f>
        <v>0</v>
      </c>
    </row>
    <row r="51" spans="1:57" s="9" customFormat="1" ht="12.75" x14ac:dyDescent="0.2">
      <c r="A51" s="99">
        <v>7</v>
      </c>
      <c r="B51" s="100"/>
      <c r="C51" s="120"/>
      <c r="D51" s="102" t="str">
        <f>IF($C51="","",VLOOKUP($C51,'SDDA Dogs'!$A:$F,2,FALSE))</f>
        <v/>
      </c>
      <c r="E51" s="211">
        <f t="shared" si="60"/>
        <v>1</v>
      </c>
      <c r="F51" s="121" t="str">
        <f>IF($C51="","",IF(ISERROR(VLOOKUP($C51,$C$5:$AP$34,38,FALSE)=TRUE),VLOOKUP($C51,'SDDA Dogs'!$A:$O,7,FALSE),VLOOKUP($C51,$C$5:$AP$34,38,FALSE)))</f>
        <v/>
      </c>
      <c r="G51" s="137"/>
      <c r="H51" s="217"/>
      <c r="I51" s="84" t="str">
        <f>IF(OR(G51="",G51="NE",G51="E",G51="FEO"),"",(IF(G51&gt;=15,"Pass","Fail")))</f>
        <v/>
      </c>
      <c r="J51" s="105">
        <f t="shared" si="37"/>
        <v>0</v>
      </c>
      <c r="K51" s="84" t="str">
        <f>IF(AND($B51="A",$G51&lt;&gt;0,$H51&lt;&gt;0,J51&lt;&gt;0),(RANK(J51,J$45:J$74,0)),"")</f>
        <v/>
      </c>
      <c r="L51" s="105">
        <f t="shared" si="39"/>
        <v>0</v>
      </c>
      <c r="M51" s="84" t="str">
        <f>IF(AND($B51="W",$G51&lt;&gt;0,$H51&lt;&gt;0,L51&lt;&gt;0),(RANK(L51,L$45:L$74,0)),"")</f>
        <v/>
      </c>
      <c r="N51" s="125" t="str">
        <f>IF($C51="","",IF(ISERROR(VLOOKUP($C51,$C$5:$AP$34,39,FALSE)=TRUE),VLOOKUP($C51,'SDDA Dogs'!$A:$O,8,FALSE),VLOOKUP($C51,$C$5:$AP$34,39,FALSE)))</f>
        <v/>
      </c>
      <c r="O51" s="137"/>
      <c r="P51" s="217"/>
      <c r="Q51" s="84" t="str">
        <f>IF(OR(O51="",O51="NE",O51="E",O51="FEO"),"",(IF(O51&gt;=20,"Pass","Fail")))</f>
        <v/>
      </c>
      <c r="R51" s="105">
        <f t="shared" si="41"/>
        <v>0</v>
      </c>
      <c r="S51" s="84" t="str">
        <f>IF(AND($B51="A",$O51&lt;&gt;0,$P51&lt;&gt;0,R51&lt;&gt;0),(RANK(R51,R$45:R$74,0)),"")</f>
        <v/>
      </c>
      <c r="T51" s="105">
        <f t="shared" si="43"/>
        <v>0</v>
      </c>
      <c r="U51" s="84" t="str">
        <f>IF(AND($B51="w",$O51&lt;&gt;0,$P51&lt;&gt;0,T51&lt;&gt;0),(RANK(T51,T$45:T$74,0)),"")</f>
        <v/>
      </c>
      <c r="V51" s="125" t="str">
        <f>IF($C51="","",IF(ISERROR(VLOOKUP($C51,$C$5:$AP$34,40,FALSE)=TRUE),VLOOKUP($C51,'SDDA Dogs'!$A:$O,9,FALSE),VLOOKUP($C51,$C$5:$AP$34,40,FALSE)))</f>
        <v/>
      </c>
      <c r="W51" s="137"/>
      <c r="X51" s="217"/>
      <c r="Y51" s="84" t="str">
        <f>IF(OR(W51="",W51="NE",W51="E",W51="FEO"),"",(IF(W51&gt;=15,"Pass","Fail")))</f>
        <v/>
      </c>
      <c r="Z51" s="105">
        <f t="shared" si="45"/>
        <v>0</v>
      </c>
      <c r="AA51" s="84" t="str">
        <f>IF(AND($B51="A",$W51&lt;&gt;0,$X51&lt;&gt;0,Z51&lt;&gt;0),(RANK(Z51,Z$45:Z$74,0)),"")</f>
        <v/>
      </c>
      <c r="AB51" s="105">
        <f t="shared" si="47"/>
        <v>0</v>
      </c>
      <c r="AC51" s="84" t="str">
        <f>IF(AND($B51="w",$W51&lt;&gt;0,$X51&lt;&gt;0,AB51&lt;&gt;0),(RANK(AB51,AB$45:AB$74,0)),"")</f>
        <v/>
      </c>
      <c r="AD51" s="126" t="str">
        <f t="shared" si="64"/>
        <v/>
      </c>
      <c r="AE51" s="89" t="str">
        <f t="shared" si="49"/>
        <v/>
      </c>
      <c r="AF51" s="104" t="str">
        <f t="shared" si="50"/>
        <v/>
      </c>
      <c r="AG51" s="128" t="str">
        <f t="shared" si="65"/>
        <v/>
      </c>
      <c r="AH51" s="126" t="str">
        <f t="shared" si="66"/>
        <v/>
      </c>
      <c r="AI51" s="89" t="str">
        <f t="shared" si="51"/>
        <v/>
      </c>
      <c r="AJ51" s="122" t="str">
        <f t="shared" si="52"/>
        <v/>
      </c>
      <c r="AK51" s="123" t="str">
        <f t="shared" si="67"/>
        <v/>
      </c>
      <c r="AL51" s="129" t="str">
        <f t="shared" si="68"/>
        <v/>
      </c>
      <c r="AM51" s="89">
        <f>MIN(F51,N51,V51)</f>
        <v>0</v>
      </c>
      <c r="AN51" s="84" t="str">
        <f>IF(I51="Pass",F51+1,F51)</f>
        <v/>
      </c>
      <c r="AO51" s="84" t="str">
        <f>IF(Q51="Pass", N51+1,N51)</f>
        <v/>
      </c>
      <c r="AP51" s="84" t="str">
        <f>IF(Y51="Pass",V51+1,V51)</f>
        <v/>
      </c>
      <c r="AQ51" s="84">
        <f>MIN(AN51,AO51,AP51)</f>
        <v>0</v>
      </c>
      <c r="AR51" s="84"/>
      <c r="AS51" s="85"/>
      <c r="AT51" s="85"/>
      <c r="AU51" s="131" t="str">
        <f>IF(ISERROR(VLOOKUP(C51,'SDDA Dogs'!A:O,6,FALSE)),"",VLOOKUP(C51,'SDDA Dogs'!A:O,6,FALSE))</f>
        <v/>
      </c>
      <c r="AV51" s="84">
        <f>IF(OR(ISNUMBER(G51),G51="e"),1,0)+IF(OR(ISNUMBER(O51),O51="e"),1,0)+IF(OR(ISNUMBER(W51),W51="e"),1,0)</f>
        <v>0</v>
      </c>
      <c r="AW51" s="84">
        <f>IF(G51="FEO",1,0)+IF(O51="FEO",1,0)+IF(W51="FEO",1,0)</f>
        <v>0</v>
      </c>
      <c r="AX51" s="88">
        <f>(AV51*TrialFeeStr)+(AW51*FeoFee)</f>
        <v>0</v>
      </c>
      <c r="AZ51" s="132">
        <f t="shared" si="58"/>
        <v>0</v>
      </c>
      <c r="BA51" s="132">
        <f t="shared" si="59"/>
        <v>0</v>
      </c>
      <c r="BB51" s="87"/>
      <c r="BC51" s="262">
        <f>_xlfn.IFNA(IF(I51="Pass",IF(AND(G51&gt;=IFERROR(INDEX($C$5:$W$34,MATCH(C51,$C$5:$C$34,0),5),0),G51&gt;=IFERROR(INDEX(DogInfo!A:B,MATCH(C51&amp;$BC$4,DogInfo!A:A,0),2),0)),G51,IF(AND(IFERROR(INDEX($C$5:$W$34,MATCH(C51,$C$5:$C$34,0),5),0)&gt;=O51,IFERROR(INDEX($C$5:$W$34,MATCH(C51,$C$5:$C$34,0),5),0)&gt;=IFERROR(INDEX(DogInfo!A:B,MATCH(C51&amp;$BC$4,DogInfo!A:A,0),2),0)),IFERROR(INDEX($C$5:$W$34,MATCH(C51,$C$5:$C$34,0),5),0),IF(AND(IFERROR(INDEX(DogInfo!A:B,MATCH(C51&amp;$BC$4,DogInfo!A:A,0),2),0)&gt;=IFERROR(INDEX($C$5:$W$34,MATCH(C51,$C$5:$C$34,0),5),0),IFERROR(INDEX(DogInfo!A:B,MATCH(C51&amp;$BC$4,DogInfo!A:A,0),2),0)&gt;=G51),IFERROR(INDEX(DogInfo!A:B,MATCH(C51&amp;$BC$4,DogInfo!A:A,0),2),0),"Error"))),IFERROR(INDEX($C$5:$BE$34,MATCH(C51,$C$5:$C$34,0),53),IFERROR(INDEX(DogInfo!A:B,MATCH(C51&amp;$BC$4,DogInfo!A:A,0),2),0))),"")</f>
        <v>0</v>
      </c>
      <c r="BD51" s="262">
        <f>_xlfn.IFNA(IF(Q51="Pass",IF(AND(O51&gt;=IFERROR(INDEX($C$5:$W$34,MATCH(C51,$C$5:$C$34,0),13),0),O51&gt;=IFERROR(INDEX(DogInfo!A:B,MATCH(C51&amp;$BD$4,DogInfo!A:A,0),2),0)),O51,IF(AND(IFERROR(INDEX($C$5:$W$34,MATCH(C51,$C$5:$C$34,0),13),0)&gt;=O51,IFERROR(INDEX($C$5:$W$34,MATCH(C51,$C$5:$C$34,0),13),0)&gt;=IFERROR(INDEX(DogInfo!A:B,MATCH(C51&amp;$BD$4,DogInfo!A:A,0),2),0)),IFERROR(INDEX($C$5:$W$34,MATCH(C51,$C$5:$C$34,0),13),0),IF(AND(IFERROR(INDEX(DogInfo!A:B,MATCH(C51&amp;$BD$4,DogInfo!A:A,0),2),0)&gt;=IFERROR(INDEX($C$5:$W$34,MATCH(C51,$C$5:$C$34,0),13),0),IFERROR(INDEX(DogInfo!A:B,MATCH(C51&amp;$BD$4,DogInfo!A:A,0),2),0)&gt;=O51),IFERROR(INDEX(DogInfo!A:B,MATCH(C51&amp;$BD$4,DogInfo!A:A,0),2),0),"Error"))),IFERROR(INDEX($C$5:$BE$34,MATCH(C51,$C$5:$C$34,0),54),IFERROR(INDEX(DogInfo!A:B,MATCH(C51&amp;$BD$4,DogInfo!A:A,0),2),0))),"")</f>
        <v>0</v>
      </c>
      <c r="BE51" s="262">
        <f>_xlfn.IFNA(IF(Y51="Pass",IF(AND(W51&gt;=IFERROR(INDEX($C$5:$W$34,MATCH(C51,$C$5:$C$34,0),21),0),O51&gt;=IFERROR(INDEX(DogInfo!A:B,MATCH(C51&amp;$BE$4,DogInfo!A:A,0),2),0)),W51,IF(AND(IFERROR(INDEX($C$5:$W$34,MATCH(C51,$C$5:$C$34,0),21),0)&gt;=W51,IFERROR(INDEX($C$5:$W$34,MATCH(C51,$C$5:$C$34,0),21),0)&gt;=IFERROR(INDEX(DogInfo!A:B,MATCH(C51&amp;$BE$4,DogInfo!A:A,0),2),0)),IFERROR(INDEX($C$5:$W$34,MATCH(C51,$C$5:$C$34,0),21),0),IF(AND(IFERROR(INDEX(DogInfo!A:B,MATCH(C51&amp;$BE$4,DogInfo!A:A,0),2),0)&gt;=IFERROR(INDEX($C$5:$W$34,MATCH(C51,$C$5:$C$34,0),21),0),IFERROR(INDEX(DogInfo!A:B,MATCH(C51&amp;$BE$4,DogInfo!A:A,0),2),0)&gt;=W51),IFERROR(INDEX(DogInfo!A:B,MATCH(C51&amp;$BE$4,DogInfo!A:A,0),2),0),"Error"))),IFERROR(INDEX($C$5:$BE$34,MATCH(C51,$C$5:$C$34,0),55),IFERROR(INDEX(DogInfo!A:B,MATCH(C51&amp;$BE$4,DogInfo!A:A,0),2),0))),"")</f>
        <v>0</v>
      </c>
    </row>
    <row r="52" spans="1:57" s="9" customFormat="1" ht="12.75" x14ac:dyDescent="0.2">
      <c r="A52" s="99">
        <v>8</v>
      </c>
      <c r="B52" s="100"/>
      <c r="C52" s="120"/>
      <c r="D52" s="102" t="str">
        <f>IF($C52="","",VLOOKUP($C52,'SDDA Dogs'!$A:$F,2,FALSE))</f>
        <v/>
      </c>
      <c r="E52" s="211">
        <f t="shared" si="60"/>
        <v>1</v>
      </c>
      <c r="F52" s="121" t="str">
        <f>IF($C52="","",IF(ISERROR(VLOOKUP($C52,$C$5:$AP$34,38,FALSE)=TRUE),VLOOKUP($C52,'SDDA Dogs'!$A:$O,7,FALSE),VLOOKUP($C52,$C$5:$AP$34,38,FALSE)))</f>
        <v/>
      </c>
      <c r="G52" s="137"/>
      <c r="H52" s="217"/>
      <c r="I52" s="84" t="str">
        <f>IF(OR(G52="",G52="NE",G52="E",G52="FEO"),"",(IF(G52&gt;=15,"Pass","Fail")))</f>
        <v/>
      </c>
      <c r="J52" s="105">
        <f t="shared" si="37"/>
        <v>0</v>
      </c>
      <c r="K52" s="84" t="str">
        <f>IF(AND($B52="A",$G52&lt;&gt;0,$H52&lt;&gt;0,J52&lt;&gt;0),(RANK(J52,J$45:J$74,0)),"")</f>
        <v/>
      </c>
      <c r="L52" s="105">
        <f t="shared" si="39"/>
        <v>0</v>
      </c>
      <c r="M52" s="84" t="str">
        <f>IF(AND($B52="W",$G52&lt;&gt;0,$H52&lt;&gt;0,L52&lt;&gt;0),(RANK(L52,L$45:L$74,0)),"")</f>
        <v/>
      </c>
      <c r="N52" s="125" t="str">
        <f>IF($C52="","",IF(ISERROR(VLOOKUP($C52,$C$5:$AP$34,39,FALSE)=TRUE),VLOOKUP($C52,'SDDA Dogs'!$A:$O,8,FALSE),VLOOKUP($C52,$C$5:$AP$34,39,FALSE)))</f>
        <v/>
      </c>
      <c r="O52" s="137"/>
      <c r="P52" s="217"/>
      <c r="Q52" s="84" t="str">
        <f>IF(OR(O52="",O52="NE",O52="E",O52="FEO"),"",(IF(O52&gt;=20,"Pass","Fail")))</f>
        <v/>
      </c>
      <c r="R52" s="105">
        <f t="shared" si="41"/>
        <v>0</v>
      </c>
      <c r="S52" s="84" t="str">
        <f>IF(AND($B52="A",$O52&lt;&gt;0,$P52&lt;&gt;0,R52&lt;&gt;0),(RANK(R52,R$45:R$74,0)),"")</f>
        <v/>
      </c>
      <c r="T52" s="105">
        <f t="shared" si="43"/>
        <v>0</v>
      </c>
      <c r="U52" s="84" t="str">
        <f>IF(AND($B52="w",$O52&lt;&gt;0,$P52&lt;&gt;0,T52&lt;&gt;0),(RANK(T52,T$45:T$74,0)),"")</f>
        <v/>
      </c>
      <c r="V52" s="125" t="str">
        <f>IF($C52="","",IF(ISERROR(VLOOKUP($C52,$C$5:$AP$34,40,FALSE)=TRUE),VLOOKUP($C52,'SDDA Dogs'!$A:$O,9,FALSE),VLOOKUP($C52,$C$5:$AP$34,40,FALSE)))</f>
        <v/>
      </c>
      <c r="W52" s="137"/>
      <c r="X52" s="217"/>
      <c r="Y52" s="84" t="str">
        <f>IF(OR(W52="",W52="NE",W52="E",W52="FEO"),"",(IF(W52&gt;=15,"Pass","Fail")))</f>
        <v/>
      </c>
      <c r="Z52" s="105">
        <f t="shared" si="45"/>
        <v>0</v>
      </c>
      <c r="AA52" s="84" t="str">
        <f>IF(AND($B52="A",$W52&lt;&gt;0,$X52&lt;&gt;0,Z52&lt;&gt;0),(RANK(Z52,Z$45:Z$74,0)),"")</f>
        <v/>
      </c>
      <c r="AB52" s="105">
        <f t="shared" si="47"/>
        <v>0</v>
      </c>
      <c r="AC52" s="84" t="str">
        <f>IF(AND($B52="w",$W52&lt;&gt;0,$X52&lt;&gt;0,AB52&lt;&gt;0),(RANK(AB52,AB$45:AB$74,0)),"")</f>
        <v/>
      </c>
      <c r="AD52" s="126" t="str">
        <f t="shared" si="64"/>
        <v/>
      </c>
      <c r="AE52" s="89" t="str">
        <f t="shared" si="49"/>
        <v/>
      </c>
      <c r="AF52" s="104" t="str">
        <f t="shared" si="50"/>
        <v/>
      </c>
      <c r="AG52" s="128" t="str">
        <f t="shared" si="65"/>
        <v/>
      </c>
      <c r="AH52" s="126" t="str">
        <f t="shared" si="66"/>
        <v/>
      </c>
      <c r="AI52" s="89" t="str">
        <f t="shared" si="51"/>
        <v/>
      </c>
      <c r="AJ52" s="122" t="str">
        <f t="shared" si="52"/>
        <v/>
      </c>
      <c r="AK52" s="123" t="str">
        <f t="shared" si="67"/>
        <v/>
      </c>
      <c r="AL52" s="129" t="str">
        <f t="shared" si="68"/>
        <v/>
      </c>
      <c r="AM52" s="89">
        <f>MIN(F52,N52,V52)</f>
        <v>0</v>
      </c>
      <c r="AN52" s="84" t="str">
        <f>IF(I52="Pass",F52+1,F52)</f>
        <v/>
      </c>
      <c r="AO52" s="84" t="str">
        <f>IF(Q52="Pass", N52+1,N52)</f>
        <v/>
      </c>
      <c r="AP52" s="84" t="str">
        <f>IF(Y52="Pass",V52+1,V52)</f>
        <v/>
      </c>
      <c r="AQ52" s="84">
        <f>MIN(AN52,AO52,AP52)</f>
        <v>0</v>
      </c>
      <c r="AR52" s="84"/>
      <c r="AS52" s="85"/>
      <c r="AT52" s="85"/>
      <c r="AU52" s="131" t="str">
        <f>IF(ISERROR(VLOOKUP(C52,'SDDA Dogs'!A:O,6,FALSE)),"",VLOOKUP(C52,'SDDA Dogs'!A:O,6,FALSE))</f>
        <v/>
      </c>
      <c r="AV52" s="84">
        <f>IF(OR(ISNUMBER(G52),G52="e"),1,0)+IF(OR(ISNUMBER(O52),O52="e"),1,0)+IF(OR(ISNUMBER(W52),W52="e"),1,0)</f>
        <v>0</v>
      </c>
      <c r="AW52" s="84">
        <f>IF(G52="FEO",1,0)+IF(O52="FEO",1,0)+IF(W52="FEO",1,0)</f>
        <v>0</v>
      </c>
      <c r="AX52" s="88">
        <f>(AV52*TrialFeeStr)+(AW52*FeoFee)</f>
        <v>0</v>
      </c>
      <c r="AZ52" s="132">
        <f t="shared" si="58"/>
        <v>0</v>
      </c>
      <c r="BA52" s="132">
        <f t="shared" si="59"/>
        <v>0</v>
      </c>
      <c r="BB52" s="87"/>
      <c r="BC52" s="262">
        <f>_xlfn.IFNA(IF(I52="Pass",IF(AND(G52&gt;=IFERROR(INDEX($C$5:$W$34,MATCH(C52,$C$5:$C$34,0),5),0),G52&gt;=IFERROR(INDEX(DogInfo!A:B,MATCH(C52&amp;$BC$4,DogInfo!A:A,0),2),0)),G52,IF(AND(IFERROR(INDEX($C$5:$W$34,MATCH(C52,$C$5:$C$34,0),5),0)&gt;=O52,IFERROR(INDEX($C$5:$W$34,MATCH(C52,$C$5:$C$34,0),5),0)&gt;=IFERROR(INDEX(DogInfo!A:B,MATCH(C52&amp;$BC$4,DogInfo!A:A,0),2),0)),IFERROR(INDEX($C$5:$W$34,MATCH(C52,$C$5:$C$34,0),5),0),IF(AND(IFERROR(INDEX(DogInfo!A:B,MATCH(C52&amp;$BC$4,DogInfo!A:A,0),2),0)&gt;=IFERROR(INDEX($C$5:$W$34,MATCH(C52,$C$5:$C$34,0),5),0),IFERROR(INDEX(DogInfo!A:B,MATCH(C52&amp;$BC$4,DogInfo!A:A,0),2),0)&gt;=G52),IFERROR(INDEX(DogInfo!A:B,MATCH(C52&amp;$BC$4,DogInfo!A:A,0),2),0),"Error"))),IFERROR(INDEX($C$5:$BE$34,MATCH(C52,$C$5:$C$34,0),53),IFERROR(INDEX(DogInfo!A:B,MATCH(C52&amp;$BC$4,DogInfo!A:A,0),2),0))),"")</f>
        <v>0</v>
      </c>
      <c r="BD52" s="262">
        <f>_xlfn.IFNA(IF(Q52="Pass",IF(AND(O52&gt;=IFERROR(INDEX($C$5:$W$34,MATCH(C52,$C$5:$C$34,0),13),0),O52&gt;=IFERROR(INDEX(DogInfo!A:B,MATCH(C52&amp;$BD$4,DogInfo!A:A,0),2),0)),O52,IF(AND(IFERROR(INDEX($C$5:$W$34,MATCH(C52,$C$5:$C$34,0),13),0)&gt;=O52,IFERROR(INDEX($C$5:$W$34,MATCH(C52,$C$5:$C$34,0),13),0)&gt;=IFERROR(INDEX(DogInfo!A:B,MATCH(C52&amp;$BD$4,DogInfo!A:A,0),2),0)),IFERROR(INDEX($C$5:$W$34,MATCH(C52,$C$5:$C$34,0),13),0),IF(AND(IFERROR(INDEX(DogInfo!A:B,MATCH(C52&amp;$BD$4,DogInfo!A:A,0),2),0)&gt;=IFERROR(INDEX($C$5:$W$34,MATCH(C52,$C$5:$C$34,0),13),0),IFERROR(INDEX(DogInfo!A:B,MATCH(C52&amp;$BD$4,DogInfo!A:A,0),2),0)&gt;=O52),IFERROR(INDEX(DogInfo!A:B,MATCH(C52&amp;$BD$4,DogInfo!A:A,0),2),0),"Error"))),IFERROR(INDEX($C$5:$BE$34,MATCH(C52,$C$5:$C$34,0),54),IFERROR(INDEX(DogInfo!A:B,MATCH(C52&amp;$BD$4,DogInfo!A:A,0),2),0))),"")</f>
        <v>0</v>
      </c>
      <c r="BE52" s="262">
        <f>_xlfn.IFNA(IF(Y52="Pass",IF(AND(W52&gt;=IFERROR(INDEX($C$5:$W$34,MATCH(C52,$C$5:$C$34,0),21),0),O52&gt;=IFERROR(INDEX(DogInfo!A:B,MATCH(C52&amp;$BE$4,DogInfo!A:A,0),2),0)),W52,IF(AND(IFERROR(INDEX($C$5:$W$34,MATCH(C52,$C$5:$C$34,0),21),0)&gt;=W52,IFERROR(INDEX($C$5:$W$34,MATCH(C52,$C$5:$C$34,0),21),0)&gt;=IFERROR(INDEX(DogInfo!A:B,MATCH(C52&amp;$BE$4,DogInfo!A:A,0),2),0)),IFERROR(INDEX($C$5:$W$34,MATCH(C52,$C$5:$C$34,0),21),0),IF(AND(IFERROR(INDEX(DogInfo!A:B,MATCH(C52&amp;$BE$4,DogInfo!A:A,0),2),0)&gt;=IFERROR(INDEX($C$5:$W$34,MATCH(C52,$C$5:$C$34,0),21),0),IFERROR(INDEX(DogInfo!A:B,MATCH(C52&amp;$BE$4,DogInfo!A:A,0),2),0)&gt;=W52),IFERROR(INDEX(DogInfo!A:B,MATCH(C52&amp;$BE$4,DogInfo!A:A,0),2),0),"Error"))),IFERROR(INDEX($C$5:$BE$34,MATCH(C52,$C$5:$C$34,0),55),IFERROR(INDEX(DogInfo!A:B,MATCH(C52&amp;$BE$4,DogInfo!A:A,0),2),0))),"")</f>
        <v>0</v>
      </c>
    </row>
    <row r="53" spans="1:57" s="9" customFormat="1" ht="12.75" x14ac:dyDescent="0.2">
      <c r="A53" s="99">
        <v>9</v>
      </c>
      <c r="B53" s="100"/>
      <c r="C53" s="120"/>
      <c r="D53" s="102" t="str">
        <f>IF($C53="","",VLOOKUP($C53,'SDDA Dogs'!$A:$F,2,FALSE))</f>
        <v/>
      </c>
      <c r="E53" s="211">
        <f t="shared" si="60"/>
        <v>1</v>
      </c>
      <c r="F53" s="121" t="str">
        <f>IF($C53="","",IF(ISERROR(VLOOKUP($C53,$C$5:$AP$34,38,FALSE)=TRUE),VLOOKUP($C53,'SDDA Dogs'!$A:$O,7,FALSE),VLOOKUP($C53,$C$5:$AP$34,38,FALSE)))</f>
        <v/>
      </c>
      <c r="G53" s="137"/>
      <c r="H53" s="217"/>
      <c r="I53" s="84" t="str">
        <f t="shared" si="61"/>
        <v/>
      </c>
      <c r="J53" s="105">
        <f t="shared" ref="J53:J74" si="73">IF(OR(AND($I53="Pass",$B53="A"),AND($I53="Fail",UseFail="Y",$B53="A")),$G53,0)+IF(OR(AND($I53="Pass",$B53="A"),AND($I53="Fail",UseFail="Y",$B53="A")),(MaxTmCSS-VALUE($H53)),0)</f>
        <v>0</v>
      </c>
      <c r="K53" s="84" t="str">
        <f t="shared" ref="K53:K74" si="74">IF(AND($B53="A",$G53&lt;&gt;0,$H53&lt;&gt;0,J53&lt;&gt;0),(RANK(J53,J$45:J$74,0)),"")</f>
        <v/>
      </c>
      <c r="L53" s="105">
        <f t="shared" ref="L53:L74" si="75">IF(OR(AND($I53="Pass",$B53="W"),AND($I53="Fail",UseFail="Y",$B53="W")),$G53,0)+IF(OR(AND($I53="Pass",$B53="W"),AND($I53="Fail",UseFail="Y",$B53="W")),(MaxTmCSS-VALUE($H53)),0)</f>
        <v>0</v>
      </c>
      <c r="M53" s="84" t="str">
        <f t="shared" ref="M53:M74" si="76">IF(AND($B53="W",$G53&lt;&gt;0,$H53&lt;&gt;0,L53&lt;&gt;0),(RANK(L53,L$45:L$74,0)),"")</f>
        <v/>
      </c>
      <c r="N53" s="125" t="str">
        <f>IF($C53="","",IF(ISERROR(VLOOKUP($C53,$C$5:$AP$34,39,FALSE)=TRUE),VLOOKUP($C53,'SDDA Dogs'!$A:$O,8,FALSE),VLOOKUP($C53,$C$5:$AP$34,39,FALSE)))</f>
        <v/>
      </c>
      <c r="O53" s="137"/>
      <c r="P53" s="217"/>
      <c r="Q53" s="84" t="str">
        <f t="shared" si="62"/>
        <v/>
      </c>
      <c r="R53" s="105">
        <f t="shared" ref="R53:R74" si="77">IF(OR(AND($Q53="Pass",$B53="A"),AND($Q53="Fail",UseFail="Y",$B53="A")),$O53,0)+IF(OR(AND($Q53="Pass",$B53="A"),AND($Q53="Fail",UseFail="Y",$B53="A")),(MaxTmISS-VALUE($P53)),0)</f>
        <v>0</v>
      </c>
      <c r="S53" s="84" t="str">
        <f t="shared" ref="S53:S74" si="78">IF(AND($B53="A",$O53&lt;&gt;0,$P53&lt;&gt;0,R53&lt;&gt;0),(RANK(R53,R$45:R$74,0)),"")</f>
        <v/>
      </c>
      <c r="T53" s="105">
        <f t="shared" ref="T53:T74" si="79">IF(OR(AND($Q53="Pass",$B53="W"),AND($Q53="Fail",UseFail="Y",$B53="W")),$O53,0)+IF(OR(AND($Q53="Pass",$B53="W"),AND($Q53="Fail",UseFail="Y",$B53="W")),(MaxTmISS-VALUE($P53)),0)</f>
        <v>0</v>
      </c>
      <c r="U53" s="84" t="str">
        <f t="shared" ref="U53:U74" si="80">IF(AND($B53="w",$O53&lt;&gt;0,$P53&lt;&gt;0,T53&lt;&gt;0),(RANK(T53,T$45:T$74,0)),"")</f>
        <v/>
      </c>
      <c r="V53" s="125" t="str">
        <f>IF($C53="","",IF(ISERROR(VLOOKUP($C53,$C$5:$AP$34,40,FALSE)=TRUE),VLOOKUP($C53,'SDDA Dogs'!$A:$O,9,FALSE),VLOOKUP($C53,$C$5:$AP$34,40,FALSE)))</f>
        <v/>
      </c>
      <c r="W53" s="137"/>
      <c r="X53" s="217"/>
      <c r="Y53" s="84" t="str">
        <f t="shared" si="63"/>
        <v/>
      </c>
      <c r="Z53" s="105">
        <f t="shared" ref="Z53:Z74" si="81">IF(OR(AND($Y53="Pass",$B53="A"),AND($Y53="Fail",UseFail="Y",$B53="A")),$W53,0)+IF(OR(AND($Y53="Pass",$B53="A"),AND($Y53="Fail",UseFail="Y",$B53="A")),(MaxTmESS-VALUE($X53)),0)</f>
        <v>0</v>
      </c>
      <c r="AA53" s="84" t="str">
        <f t="shared" ref="AA53:AA74" si="82">IF(AND($B53="A",$W53&lt;&gt;0,$X53&lt;&gt;0,Z53&lt;&gt;0),(RANK(Z53,Z$45:Z$74,0)),"")</f>
        <v/>
      </c>
      <c r="AB53" s="105">
        <f t="shared" ref="AB53:AB74" si="83">IF(OR(AND($Y53="Pass",$B53="w"),AND($Y53="Fail",UseFail="Y",$B53="w")),$W53,0)+IF(OR(AND($Y53="Pass",$B53="w"),AND($Y53="Fail",UseFail="Y",$B53="w")),(MaxTmESS-VALUE($X53)),0)</f>
        <v>0</v>
      </c>
      <c r="AC53" s="84" t="str">
        <f t="shared" ref="AC53:AC74" si="84">IF(AND($B53="w",$W53&lt;&gt;0,$X53&lt;&gt;0,AB53&lt;&gt;0),(RANK(AB53,AB$45:AB$74,0)),"")</f>
        <v/>
      </c>
      <c r="AD53" s="126" t="str">
        <f t="shared" si="64"/>
        <v/>
      </c>
      <c r="AE53" s="89" t="str">
        <f t="shared" si="49"/>
        <v/>
      </c>
      <c r="AF53" s="104" t="str">
        <f t="shared" si="50"/>
        <v/>
      </c>
      <c r="AG53" s="128" t="str">
        <f t="shared" si="65"/>
        <v/>
      </c>
      <c r="AH53" s="126" t="str">
        <f t="shared" si="66"/>
        <v/>
      </c>
      <c r="AI53" s="89" t="str">
        <f t="shared" si="51"/>
        <v/>
      </c>
      <c r="AJ53" s="122" t="str">
        <f t="shared" si="52"/>
        <v/>
      </c>
      <c r="AK53" s="123" t="str">
        <f t="shared" si="67"/>
        <v/>
      </c>
      <c r="AL53" s="129" t="str">
        <f t="shared" si="68"/>
        <v/>
      </c>
      <c r="AM53" s="89">
        <f t="shared" si="53"/>
        <v>0</v>
      </c>
      <c r="AN53" s="84" t="str">
        <f t="shared" si="54"/>
        <v/>
      </c>
      <c r="AO53" s="84" t="str">
        <f t="shared" si="55"/>
        <v/>
      </c>
      <c r="AP53" s="84" t="str">
        <f t="shared" si="56"/>
        <v/>
      </c>
      <c r="AQ53" s="84">
        <f t="shared" si="69"/>
        <v>0</v>
      </c>
      <c r="AR53" s="84"/>
      <c r="AS53" s="85"/>
      <c r="AT53" s="85"/>
      <c r="AU53" s="87" t="str">
        <f>IF(ISERROR(VLOOKUP(C53,'SDDA Dogs'!A:O,6,FALSE)),"",VLOOKUP(C53,'SDDA Dogs'!A:O,6,FALSE))</f>
        <v/>
      </c>
      <c r="AV53" s="84">
        <f t="shared" si="70"/>
        <v>0</v>
      </c>
      <c r="AW53" s="84">
        <f t="shared" si="71"/>
        <v>0</v>
      </c>
      <c r="AX53" s="88">
        <f t="shared" si="72"/>
        <v>0</v>
      </c>
      <c r="AZ53" s="132">
        <f t="shared" si="58"/>
        <v>0</v>
      </c>
      <c r="BA53" s="132">
        <f t="shared" si="59"/>
        <v>0</v>
      </c>
      <c r="BB53" s="87"/>
      <c r="BC53" s="262">
        <f>_xlfn.IFNA(IF(I53="Pass",IF(AND(G53&gt;=IFERROR(INDEX($C$5:$W$34,MATCH(C53,$C$5:$C$34,0),5),0),G53&gt;=IFERROR(INDEX(DogInfo!A:B,MATCH(C53&amp;$BC$4,DogInfo!A:A,0),2),0)),G53,IF(AND(IFERROR(INDEX($C$5:$W$34,MATCH(C53,$C$5:$C$34,0),5),0)&gt;=O53,IFERROR(INDEX($C$5:$W$34,MATCH(C53,$C$5:$C$34,0),5),0)&gt;=IFERROR(INDEX(DogInfo!A:B,MATCH(C53&amp;$BC$4,DogInfo!A:A,0),2),0)),IFERROR(INDEX($C$5:$W$34,MATCH(C53,$C$5:$C$34,0),5),0),IF(AND(IFERROR(INDEX(DogInfo!A:B,MATCH(C53&amp;$BC$4,DogInfo!A:A,0),2),0)&gt;=IFERROR(INDEX($C$5:$W$34,MATCH(C53,$C$5:$C$34,0),5),0),IFERROR(INDEX(DogInfo!A:B,MATCH(C53&amp;$BC$4,DogInfo!A:A,0),2),0)&gt;=G53),IFERROR(INDEX(DogInfo!A:B,MATCH(C53&amp;$BC$4,DogInfo!A:A,0),2),0),"Error"))),IFERROR(INDEX($C$5:$BE$34,MATCH(C53,$C$5:$C$34,0),53),IFERROR(INDEX(DogInfo!A:B,MATCH(C53&amp;$BC$4,DogInfo!A:A,0),2),0))),"")</f>
        <v>0</v>
      </c>
      <c r="BD53" s="262">
        <f>_xlfn.IFNA(IF(Q53="Pass",IF(AND(O53&gt;=IFERROR(INDEX($C$5:$W$34,MATCH(C53,$C$5:$C$34,0),13),0),O53&gt;=IFERROR(INDEX(DogInfo!A:B,MATCH(C53&amp;$BD$4,DogInfo!A:A,0),2),0)),O53,IF(AND(IFERROR(INDEX($C$5:$W$34,MATCH(C53,$C$5:$C$34,0),13),0)&gt;=O53,IFERROR(INDEX($C$5:$W$34,MATCH(C53,$C$5:$C$34,0),13),0)&gt;=IFERROR(INDEX(DogInfo!A:B,MATCH(C53&amp;$BD$4,DogInfo!A:A,0),2),0)),IFERROR(INDEX($C$5:$W$34,MATCH(C53,$C$5:$C$34,0),13),0),IF(AND(IFERROR(INDEX(DogInfo!A:B,MATCH(C53&amp;$BD$4,DogInfo!A:A,0),2),0)&gt;=IFERROR(INDEX($C$5:$W$34,MATCH(C53,$C$5:$C$34,0),13),0),IFERROR(INDEX(DogInfo!A:B,MATCH(C53&amp;$BD$4,DogInfo!A:A,0),2),0)&gt;=O53),IFERROR(INDEX(DogInfo!A:B,MATCH(C53&amp;$BD$4,DogInfo!A:A,0),2),0),"Error"))),IFERROR(INDEX($C$5:$BE$34,MATCH(C53,$C$5:$C$34,0),54),IFERROR(INDEX(DogInfo!A:B,MATCH(C53&amp;$BD$4,DogInfo!A:A,0),2),0))),"")</f>
        <v>0</v>
      </c>
      <c r="BE53" s="262">
        <f>_xlfn.IFNA(IF(Y53="Pass",IF(AND(W53&gt;=IFERROR(INDEX($C$5:$W$34,MATCH(C53,$C$5:$C$34,0),21),0),O53&gt;=IFERROR(INDEX(DogInfo!A:B,MATCH(C53&amp;$BE$4,DogInfo!A:A,0),2),0)),W53,IF(AND(IFERROR(INDEX($C$5:$W$34,MATCH(C53,$C$5:$C$34,0),21),0)&gt;=W53,IFERROR(INDEX($C$5:$W$34,MATCH(C53,$C$5:$C$34,0),21),0)&gt;=IFERROR(INDEX(DogInfo!A:B,MATCH(C53&amp;$BE$4,DogInfo!A:A,0),2),0)),IFERROR(INDEX($C$5:$W$34,MATCH(C53,$C$5:$C$34,0),21),0),IF(AND(IFERROR(INDEX(DogInfo!A:B,MATCH(C53&amp;$BE$4,DogInfo!A:A,0),2),0)&gt;=IFERROR(INDEX($C$5:$W$34,MATCH(C53,$C$5:$C$34,0),21),0),IFERROR(INDEX(DogInfo!A:B,MATCH(C53&amp;$BE$4,DogInfo!A:A,0),2),0)&gt;=W53),IFERROR(INDEX(DogInfo!A:B,MATCH(C53&amp;$BE$4,DogInfo!A:A,0),2),0),"Error"))),IFERROR(INDEX($C$5:$BE$34,MATCH(C53,$C$5:$C$34,0),55),IFERROR(INDEX(DogInfo!A:B,MATCH(C53&amp;$BE$4,DogInfo!A:A,0),2),0))),"")</f>
        <v>0</v>
      </c>
    </row>
    <row r="54" spans="1:57" s="9" customFormat="1" ht="12.75" x14ac:dyDescent="0.2">
      <c r="A54" s="99">
        <f t="shared" ref="A54:A74" si="85">A53+1</f>
        <v>10</v>
      </c>
      <c r="B54" s="100"/>
      <c r="C54" s="120"/>
      <c r="D54" s="102" t="str">
        <f>IF($C54="","",VLOOKUP($C54,'SDDA Dogs'!$A:$F,2,FALSE))</f>
        <v/>
      </c>
      <c r="E54" s="211">
        <f t="shared" si="60"/>
        <v>1</v>
      </c>
      <c r="F54" s="121" t="str">
        <f>IF($C54="","",IF(ISERROR(VLOOKUP($C54,$C$5:$AP$34,38,FALSE)=TRUE),VLOOKUP($C54,'SDDA Dogs'!$A:$O,7,FALSE),VLOOKUP($C54,$C$5:$AP$34,38,FALSE)))</f>
        <v/>
      </c>
      <c r="G54" s="137"/>
      <c r="H54" s="217"/>
      <c r="I54" s="84" t="str">
        <f t="shared" si="61"/>
        <v/>
      </c>
      <c r="J54" s="105">
        <f t="shared" si="73"/>
        <v>0</v>
      </c>
      <c r="K54" s="84" t="str">
        <f t="shared" si="74"/>
        <v/>
      </c>
      <c r="L54" s="105">
        <f t="shared" si="75"/>
        <v>0</v>
      </c>
      <c r="M54" s="84" t="str">
        <f t="shared" si="76"/>
        <v/>
      </c>
      <c r="N54" s="125" t="str">
        <f>IF($C54="","",IF(ISERROR(VLOOKUP($C54,$C$5:$AP$34,39,FALSE)=TRUE),VLOOKUP($C54,'SDDA Dogs'!$A:$O,8,FALSE),VLOOKUP($C54,$C$5:$AP$34,39,FALSE)))</f>
        <v/>
      </c>
      <c r="O54" s="137"/>
      <c r="P54" s="217"/>
      <c r="Q54" s="84" t="str">
        <f t="shared" si="62"/>
        <v/>
      </c>
      <c r="R54" s="105">
        <f t="shared" si="77"/>
        <v>0</v>
      </c>
      <c r="S54" s="84" t="str">
        <f t="shared" si="78"/>
        <v/>
      </c>
      <c r="T54" s="105">
        <f t="shared" si="79"/>
        <v>0</v>
      </c>
      <c r="U54" s="84" t="str">
        <f t="shared" si="80"/>
        <v/>
      </c>
      <c r="V54" s="125" t="str">
        <f>IF($C54="","",IF(ISERROR(VLOOKUP($C54,$C$5:$AP$34,40,FALSE)=TRUE),VLOOKUP($C54,'SDDA Dogs'!$A:$O,9,FALSE),VLOOKUP($C54,$C$5:$AP$34,40,FALSE)))</f>
        <v/>
      </c>
      <c r="W54" s="137"/>
      <c r="X54" s="217"/>
      <c r="Y54" s="84" t="str">
        <f t="shared" si="63"/>
        <v/>
      </c>
      <c r="Z54" s="105">
        <f t="shared" si="81"/>
        <v>0</v>
      </c>
      <c r="AA54" s="84" t="str">
        <f t="shared" si="82"/>
        <v/>
      </c>
      <c r="AB54" s="105">
        <f t="shared" si="83"/>
        <v>0</v>
      </c>
      <c r="AC54" s="84" t="str">
        <f t="shared" si="84"/>
        <v/>
      </c>
      <c r="AD54" s="126" t="str">
        <f t="shared" si="64"/>
        <v/>
      </c>
      <c r="AE54" s="89" t="str">
        <f t="shared" si="49"/>
        <v/>
      </c>
      <c r="AF54" s="104" t="str">
        <f t="shared" si="50"/>
        <v/>
      </c>
      <c r="AG54" s="128" t="str">
        <f t="shared" si="65"/>
        <v/>
      </c>
      <c r="AH54" s="126" t="str">
        <f t="shared" si="66"/>
        <v/>
      </c>
      <c r="AI54" s="89" t="str">
        <f t="shared" si="51"/>
        <v/>
      </c>
      <c r="AJ54" s="122" t="str">
        <f t="shared" si="52"/>
        <v/>
      </c>
      <c r="AK54" s="123" t="str">
        <f t="shared" si="67"/>
        <v/>
      </c>
      <c r="AL54" s="129" t="str">
        <f t="shared" si="68"/>
        <v/>
      </c>
      <c r="AM54" s="89">
        <f t="shared" si="53"/>
        <v>0</v>
      </c>
      <c r="AN54" s="84" t="str">
        <f t="shared" si="54"/>
        <v/>
      </c>
      <c r="AO54" s="84" t="str">
        <f t="shared" si="55"/>
        <v/>
      </c>
      <c r="AP54" s="84" t="str">
        <f t="shared" si="56"/>
        <v/>
      </c>
      <c r="AQ54" s="84">
        <f t="shared" si="69"/>
        <v>0</v>
      </c>
      <c r="AR54" s="84"/>
      <c r="AS54" s="85"/>
      <c r="AT54" s="85"/>
      <c r="AU54" s="87" t="str">
        <f>IF(ISERROR(VLOOKUP(C54,'SDDA Dogs'!A:O,6,FALSE)),"",VLOOKUP(C54,'SDDA Dogs'!A:O,6,FALSE))</f>
        <v/>
      </c>
      <c r="AV54" s="84">
        <f t="shared" si="70"/>
        <v>0</v>
      </c>
      <c r="AW54" s="84">
        <f t="shared" si="71"/>
        <v>0</v>
      </c>
      <c r="AX54" s="88">
        <f t="shared" si="72"/>
        <v>0</v>
      </c>
      <c r="AZ54" s="132">
        <f t="shared" si="58"/>
        <v>0</v>
      </c>
      <c r="BA54" s="132">
        <f t="shared" si="59"/>
        <v>0</v>
      </c>
      <c r="BB54" s="87"/>
      <c r="BC54" s="262">
        <f>_xlfn.IFNA(IF(I54="Pass",IF(AND(G54&gt;=IFERROR(INDEX($C$5:$W$34,MATCH(C54,$C$5:$C$34,0),5),0),G54&gt;=IFERROR(INDEX(DogInfo!A:B,MATCH(C54&amp;$BC$4,DogInfo!A:A,0),2),0)),G54,IF(AND(IFERROR(INDEX($C$5:$W$34,MATCH(C54,$C$5:$C$34,0),5),0)&gt;=O54,IFERROR(INDEX($C$5:$W$34,MATCH(C54,$C$5:$C$34,0),5),0)&gt;=IFERROR(INDEX(DogInfo!A:B,MATCH(C54&amp;$BC$4,DogInfo!A:A,0),2),0)),IFERROR(INDEX($C$5:$W$34,MATCH(C54,$C$5:$C$34,0),5),0),IF(AND(IFERROR(INDEX(DogInfo!A:B,MATCH(C54&amp;$BC$4,DogInfo!A:A,0),2),0)&gt;=IFERROR(INDEX($C$5:$W$34,MATCH(C54,$C$5:$C$34,0),5),0),IFERROR(INDEX(DogInfo!A:B,MATCH(C54&amp;$BC$4,DogInfo!A:A,0),2),0)&gt;=G54),IFERROR(INDEX(DogInfo!A:B,MATCH(C54&amp;$BC$4,DogInfo!A:A,0),2),0),"Error"))),IFERROR(INDEX($C$5:$BE$34,MATCH(C54,$C$5:$C$34,0),53),IFERROR(INDEX(DogInfo!A:B,MATCH(C54&amp;$BC$4,DogInfo!A:A,0),2),0))),"")</f>
        <v>0</v>
      </c>
      <c r="BD54" s="262">
        <f>_xlfn.IFNA(IF(Q54="Pass",IF(AND(O54&gt;=IFERROR(INDEX($C$5:$W$34,MATCH(C54,$C$5:$C$34,0),13),0),O54&gt;=IFERROR(INDEX(DogInfo!A:B,MATCH(C54&amp;$BD$4,DogInfo!A:A,0),2),0)),O54,IF(AND(IFERROR(INDEX($C$5:$W$34,MATCH(C54,$C$5:$C$34,0),13),0)&gt;=O54,IFERROR(INDEX($C$5:$W$34,MATCH(C54,$C$5:$C$34,0),13),0)&gt;=IFERROR(INDEX(DogInfo!A:B,MATCH(C54&amp;$BD$4,DogInfo!A:A,0),2),0)),IFERROR(INDEX($C$5:$W$34,MATCH(C54,$C$5:$C$34,0),13),0),IF(AND(IFERROR(INDEX(DogInfo!A:B,MATCH(C54&amp;$BD$4,DogInfo!A:A,0),2),0)&gt;=IFERROR(INDEX($C$5:$W$34,MATCH(C54,$C$5:$C$34,0),13),0),IFERROR(INDEX(DogInfo!A:B,MATCH(C54&amp;$BD$4,DogInfo!A:A,0),2),0)&gt;=O54),IFERROR(INDEX(DogInfo!A:B,MATCH(C54&amp;$BD$4,DogInfo!A:A,0),2),0),"Error"))),IFERROR(INDEX($C$5:$BE$34,MATCH(C54,$C$5:$C$34,0),54),IFERROR(INDEX(DogInfo!A:B,MATCH(C54&amp;$BD$4,DogInfo!A:A,0),2),0))),"")</f>
        <v>0</v>
      </c>
      <c r="BE54" s="262">
        <f>_xlfn.IFNA(IF(Y54="Pass",IF(AND(W54&gt;=IFERROR(INDEX($C$5:$W$34,MATCH(C54,$C$5:$C$34,0),21),0),O54&gt;=IFERROR(INDEX(DogInfo!A:B,MATCH(C54&amp;$BE$4,DogInfo!A:A,0),2),0)),W54,IF(AND(IFERROR(INDEX($C$5:$W$34,MATCH(C54,$C$5:$C$34,0),21),0)&gt;=W54,IFERROR(INDEX($C$5:$W$34,MATCH(C54,$C$5:$C$34,0),21),0)&gt;=IFERROR(INDEX(DogInfo!A:B,MATCH(C54&amp;$BE$4,DogInfo!A:A,0),2),0)),IFERROR(INDEX($C$5:$W$34,MATCH(C54,$C$5:$C$34,0),21),0),IF(AND(IFERROR(INDEX(DogInfo!A:B,MATCH(C54&amp;$BE$4,DogInfo!A:A,0),2),0)&gt;=IFERROR(INDEX($C$5:$W$34,MATCH(C54,$C$5:$C$34,0),21),0),IFERROR(INDEX(DogInfo!A:B,MATCH(C54&amp;$BE$4,DogInfo!A:A,0),2),0)&gt;=W54),IFERROR(INDEX(DogInfo!A:B,MATCH(C54&amp;$BE$4,DogInfo!A:A,0),2),0),"Error"))),IFERROR(INDEX($C$5:$BE$34,MATCH(C54,$C$5:$C$34,0),55),IFERROR(INDEX(DogInfo!A:B,MATCH(C54&amp;$BE$4,DogInfo!A:A,0),2),0))),"")</f>
        <v>0</v>
      </c>
    </row>
    <row r="55" spans="1:57" s="9" customFormat="1" ht="12.75" x14ac:dyDescent="0.2">
      <c r="A55" s="99">
        <f t="shared" si="85"/>
        <v>11</v>
      </c>
      <c r="B55" s="100"/>
      <c r="C55" s="120"/>
      <c r="D55" s="102" t="str">
        <f>IF($C55="","",VLOOKUP($C55,'SDDA Dogs'!$A:$F,2,FALSE))</f>
        <v/>
      </c>
      <c r="E55" s="211">
        <f t="shared" si="60"/>
        <v>1</v>
      </c>
      <c r="F55" s="121" t="str">
        <f>IF($C55="","",IF(ISERROR(VLOOKUP($C55,$C$5:$AP$34,38,FALSE)=TRUE),VLOOKUP($C55,'SDDA Dogs'!$A:$O,7,FALSE),VLOOKUP($C55,$C$5:$AP$34,38,FALSE)))</f>
        <v/>
      </c>
      <c r="G55" s="137"/>
      <c r="H55" s="217"/>
      <c r="I55" s="84" t="str">
        <f t="shared" si="61"/>
        <v/>
      </c>
      <c r="J55" s="105">
        <f t="shared" si="73"/>
        <v>0</v>
      </c>
      <c r="K55" s="84" t="str">
        <f t="shared" si="74"/>
        <v/>
      </c>
      <c r="L55" s="105">
        <f t="shared" si="75"/>
        <v>0</v>
      </c>
      <c r="M55" s="84" t="str">
        <f t="shared" si="76"/>
        <v/>
      </c>
      <c r="N55" s="125" t="str">
        <f>IF($C55="","",IF(ISERROR(VLOOKUP($C55,$C$5:$AP$34,39,FALSE)=TRUE),VLOOKUP($C55,'SDDA Dogs'!$A:$O,8,FALSE),VLOOKUP($C55,$C$5:$AP$34,39,FALSE)))</f>
        <v/>
      </c>
      <c r="O55" s="137"/>
      <c r="P55" s="217"/>
      <c r="Q55" s="84" t="str">
        <f t="shared" si="62"/>
        <v/>
      </c>
      <c r="R55" s="105">
        <f t="shared" si="77"/>
        <v>0</v>
      </c>
      <c r="S55" s="84" t="str">
        <f t="shared" si="78"/>
        <v/>
      </c>
      <c r="T55" s="105">
        <f t="shared" si="79"/>
        <v>0</v>
      </c>
      <c r="U55" s="84" t="str">
        <f t="shared" si="80"/>
        <v/>
      </c>
      <c r="V55" s="125" t="str">
        <f>IF($C55="","",IF(ISERROR(VLOOKUP($C55,$C$5:$AP$34,40,FALSE)=TRUE),VLOOKUP($C55,'SDDA Dogs'!$A:$O,9,FALSE),VLOOKUP($C55,$C$5:$AP$34,40,FALSE)))</f>
        <v/>
      </c>
      <c r="W55" s="137"/>
      <c r="X55" s="217"/>
      <c r="Y55" s="84" t="str">
        <f t="shared" si="63"/>
        <v/>
      </c>
      <c r="Z55" s="105">
        <f t="shared" si="81"/>
        <v>0</v>
      </c>
      <c r="AA55" s="84" t="str">
        <f t="shared" si="82"/>
        <v/>
      </c>
      <c r="AB55" s="105">
        <f t="shared" si="83"/>
        <v>0</v>
      </c>
      <c r="AC55" s="84" t="str">
        <f t="shared" si="84"/>
        <v/>
      </c>
      <c r="AD55" s="126" t="str">
        <f t="shared" si="64"/>
        <v/>
      </c>
      <c r="AE55" s="89" t="str">
        <f t="shared" si="49"/>
        <v/>
      </c>
      <c r="AF55" s="104" t="str">
        <f t="shared" si="50"/>
        <v/>
      </c>
      <c r="AG55" s="128" t="str">
        <f t="shared" si="65"/>
        <v/>
      </c>
      <c r="AH55" s="126" t="str">
        <f t="shared" si="66"/>
        <v/>
      </c>
      <c r="AI55" s="89" t="str">
        <f t="shared" si="51"/>
        <v/>
      </c>
      <c r="AJ55" s="122" t="str">
        <f t="shared" si="52"/>
        <v/>
      </c>
      <c r="AK55" s="123" t="str">
        <f t="shared" si="67"/>
        <v/>
      </c>
      <c r="AL55" s="129" t="str">
        <f t="shared" si="68"/>
        <v/>
      </c>
      <c r="AM55" s="89">
        <f t="shared" si="53"/>
        <v>0</v>
      </c>
      <c r="AN55" s="84" t="str">
        <f t="shared" si="54"/>
        <v/>
      </c>
      <c r="AO55" s="84" t="str">
        <f t="shared" si="55"/>
        <v/>
      </c>
      <c r="AP55" s="84" t="str">
        <f t="shared" si="56"/>
        <v/>
      </c>
      <c r="AQ55" s="84">
        <f t="shared" si="69"/>
        <v>0</v>
      </c>
      <c r="AR55" s="84"/>
      <c r="AS55" s="85"/>
      <c r="AT55" s="85"/>
      <c r="AU55" s="87" t="str">
        <f>IF(ISERROR(VLOOKUP(C55,'SDDA Dogs'!A:O,6,FALSE)),"",VLOOKUP(C55,'SDDA Dogs'!A:O,6,FALSE))</f>
        <v/>
      </c>
      <c r="AV55" s="84">
        <f t="shared" si="70"/>
        <v>0</v>
      </c>
      <c r="AW55" s="84">
        <f t="shared" si="71"/>
        <v>0</v>
      </c>
      <c r="AX55" s="88">
        <f t="shared" si="72"/>
        <v>0</v>
      </c>
      <c r="AZ55" s="132">
        <f t="shared" si="58"/>
        <v>0</v>
      </c>
      <c r="BA55" s="132">
        <f t="shared" si="59"/>
        <v>0</v>
      </c>
      <c r="BB55" s="87"/>
      <c r="BC55" s="262">
        <f>_xlfn.IFNA(IF(I55="Pass",IF(AND(G55&gt;=IFERROR(INDEX($C$5:$W$34,MATCH(C55,$C$5:$C$34,0),5),0),G55&gt;=IFERROR(INDEX(DogInfo!A:B,MATCH(C55&amp;$BC$4,DogInfo!A:A,0),2),0)),G55,IF(AND(IFERROR(INDEX($C$5:$W$34,MATCH(C55,$C$5:$C$34,0),5),0)&gt;=O55,IFERROR(INDEX($C$5:$W$34,MATCH(C55,$C$5:$C$34,0),5),0)&gt;=IFERROR(INDEX(DogInfo!A:B,MATCH(C55&amp;$BC$4,DogInfo!A:A,0),2),0)),IFERROR(INDEX($C$5:$W$34,MATCH(C55,$C$5:$C$34,0),5),0),IF(AND(IFERROR(INDEX(DogInfo!A:B,MATCH(C55&amp;$BC$4,DogInfo!A:A,0),2),0)&gt;=IFERROR(INDEX($C$5:$W$34,MATCH(C55,$C$5:$C$34,0),5),0),IFERROR(INDEX(DogInfo!A:B,MATCH(C55&amp;$BC$4,DogInfo!A:A,0),2),0)&gt;=G55),IFERROR(INDEX(DogInfo!A:B,MATCH(C55&amp;$BC$4,DogInfo!A:A,0),2),0),"Error"))),IFERROR(INDEX($C$5:$BE$34,MATCH(C55,$C$5:$C$34,0),53),IFERROR(INDEX(DogInfo!A:B,MATCH(C55&amp;$BC$4,DogInfo!A:A,0),2),0))),"")</f>
        <v>0</v>
      </c>
      <c r="BD55" s="262">
        <f>_xlfn.IFNA(IF(Q55="Pass",IF(AND(O55&gt;=IFERROR(INDEX($C$5:$W$34,MATCH(C55,$C$5:$C$34,0),13),0),O55&gt;=IFERROR(INDEX(DogInfo!A:B,MATCH(C55&amp;$BD$4,DogInfo!A:A,0),2),0)),O55,IF(AND(IFERROR(INDEX($C$5:$W$34,MATCH(C55,$C$5:$C$34,0),13),0)&gt;=O55,IFERROR(INDEX($C$5:$W$34,MATCH(C55,$C$5:$C$34,0),13),0)&gt;=IFERROR(INDEX(DogInfo!A:B,MATCH(C55&amp;$BD$4,DogInfo!A:A,0),2),0)),IFERROR(INDEX($C$5:$W$34,MATCH(C55,$C$5:$C$34,0),13),0),IF(AND(IFERROR(INDEX(DogInfo!A:B,MATCH(C55&amp;$BD$4,DogInfo!A:A,0),2),0)&gt;=IFERROR(INDEX($C$5:$W$34,MATCH(C55,$C$5:$C$34,0),13),0),IFERROR(INDEX(DogInfo!A:B,MATCH(C55&amp;$BD$4,DogInfo!A:A,0),2),0)&gt;=O55),IFERROR(INDEX(DogInfo!A:B,MATCH(C55&amp;$BD$4,DogInfo!A:A,0),2),0),"Error"))),IFERROR(INDEX($C$5:$BE$34,MATCH(C55,$C$5:$C$34,0),54),IFERROR(INDEX(DogInfo!A:B,MATCH(C55&amp;$BD$4,DogInfo!A:A,0),2),0))),"")</f>
        <v>0</v>
      </c>
      <c r="BE55" s="262">
        <f>_xlfn.IFNA(IF(Y55="Pass",IF(AND(W55&gt;=IFERROR(INDEX($C$5:$W$34,MATCH(C55,$C$5:$C$34,0),21),0),O55&gt;=IFERROR(INDEX(DogInfo!A:B,MATCH(C55&amp;$BE$4,DogInfo!A:A,0),2),0)),W55,IF(AND(IFERROR(INDEX($C$5:$W$34,MATCH(C55,$C$5:$C$34,0),21),0)&gt;=W55,IFERROR(INDEX($C$5:$W$34,MATCH(C55,$C$5:$C$34,0),21),0)&gt;=IFERROR(INDEX(DogInfo!A:B,MATCH(C55&amp;$BE$4,DogInfo!A:A,0),2),0)),IFERROR(INDEX($C$5:$W$34,MATCH(C55,$C$5:$C$34,0),21),0),IF(AND(IFERROR(INDEX(DogInfo!A:B,MATCH(C55&amp;$BE$4,DogInfo!A:A,0),2),0)&gt;=IFERROR(INDEX($C$5:$W$34,MATCH(C55,$C$5:$C$34,0),21),0),IFERROR(INDEX(DogInfo!A:B,MATCH(C55&amp;$BE$4,DogInfo!A:A,0),2),0)&gt;=W55),IFERROR(INDEX(DogInfo!A:B,MATCH(C55&amp;$BE$4,DogInfo!A:A,0),2),0),"Error"))),IFERROR(INDEX($C$5:$BE$34,MATCH(C55,$C$5:$C$34,0),55),IFERROR(INDEX(DogInfo!A:B,MATCH(C55&amp;$BE$4,DogInfo!A:A,0),2),0))),"")</f>
        <v>0</v>
      </c>
    </row>
    <row r="56" spans="1:57" s="9" customFormat="1" ht="12.75" x14ac:dyDescent="0.2">
      <c r="A56" s="99">
        <f t="shared" si="85"/>
        <v>12</v>
      </c>
      <c r="B56" s="100"/>
      <c r="C56" s="120"/>
      <c r="D56" s="102" t="str">
        <f>IF($C56="","",VLOOKUP($C56,'SDDA Dogs'!$A:$F,2,FALSE))</f>
        <v/>
      </c>
      <c r="E56" s="211">
        <f t="shared" si="60"/>
        <v>1</v>
      </c>
      <c r="F56" s="121" t="str">
        <f>IF($C56="","",IF(ISERROR(VLOOKUP($C56,$C$5:$AP$34,38,FALSE)=TRUE),VLOOKUP($C56,'SDDA Dogs'!$A:$O,7,FALSE),VLOOKUP($C56,$C$5:$AP$34,38,FALSE)))</f>
        <v/>
      </c>
      <c r="G56" s="137"/>
      <c r="H56" s="217"/>
      <c r="I56" s="84" t="str">
        <f t="shared" si="61"/>
        <v/>
      </c>
      <c r="J56" s="105">
        <f t="shared" si="73"/>
        <v>0</v>
      </c>
      <c r="K56" s="84" t="str">
        <f t="shared" si="74"/>
        <v/>
      </c>
      <c r="L56" s="105">
        <f t="shared" si="75"/>
        <v>0</v>
      </c>
      <c r="M56" s="84" t="str">
        <f t="shared" si="76"/>
        <v/>
      </c>
      <c r="N56" s="125" t="str">
        <f>IF($C56="","",IF(ISERROR(VLOOKUP($C56,$C$5:$AP$34,39,FALSE)=TRUE),VLOOKUP($C56,'SDDA Dogs'!$A:$O,8,FALSE),VLOOKUP($C56,$C$5:$AP$34,39,FALSE)))</f>
        <v/>
      </c>
      <c r="O56" s="137"/>
      <c r="P56" s="217"/>
      <c r="Q56" s="84" t="str">
        <f t="shared" si="62"/>
        <v/>
      </c>
      <c r="R56" s="105">
        <f t="shared" si="77"/>
        <v>0</v>
      </c>
      <c r="S56" s="84" t="str">
        <f t="shared" si="78"/>
        <v/>
      </c>
      <c r="T56" s="105">
        <f t="shared" si="79"/>
        <v>0</v>
      </c>
      <c r="U56" s="84" t="str">
        <f t="shared" si="80"/>
        <v/>
      </c>
      <c r="V56" s="125" t="str">
        <f>IF($C56="","",IF(ISERROR(VLOOKUP($C56,$C$5:$AP$34,40,FALSE)=TRUE),VLOOKUP($C56,'SDDA Dogs'!$A:$O,9,FALSE),VLOOKUP($C56,$C$5:$AP$34,40,FALSE)))</f>
        <v/>
      </c>
      <c r="W56" s="137"/>
      <c r="X56" s="217"/>
      <c r="Y56" s="84" t="str">
        <f t="shared" si="63"/>
        <v/>
      </c>
      <c r="Z56" s="105">
        <f t="shared" si="81"/>
        <v>0</v>
      </c>
      <c r="AA56" s="84" t="str">
        <f t="shared" si="82"/>
        <v/>
      </c>
      <c r="AB56" s="105">
        <f t="shared" si="83"/>
        <v>0</v>
      </c>
      <c r="AC56" s="84" t="str">
        <f t="shared" si="84"/>
        <v/>
      </c>
      <c r="AD56" s="126" t="str">
        <f t="shared" si="64"/>
        <v/>
      </c>
      <c r="AE56" s="89" t="str">
        <f t="shared" si="49"/>
        <v/>
      </c>
      <c r="AF56" s="104" t="str">
        <f t="shared" si="50"/>
        <v/>
      </c>
      <c r="AG56" s="128" t="str">
        <f t="shared" si="65"/>
        <v/>
      </c>
      <c r="AH56" s="126" t="str">
        <f t="shared" si="66"/>
        <v/>
      </c>
      <c r="AI56" s="89" t="str">
        <f t="shared" si="51"/>
        <v/>
      </c>
      <c r="AJ56" s="122" t="str">
        <f t="shared" si="52"/>
        <v/>
      </c>
      <c r="AK56" s="123" t="str">
        <f t="shared" si="67"/>
        <v/>
      </c>
      <c r="AL56" s="129" t="str">
        <f t="shared" si="68"/>
        <v/>
      </c>
      <c r="AM56" s="89">
        <f t="shared" si="53"/>
        <v>0</v>
      </c>
      <c r="AN56" s="84" t="str">
        <f t="shared" si="54"/>
        <v/>
      </c>
      <c r="AO56" s="84" t="str">
        <f t="shared" si="55"/>
        <v/>
      </c>
      <c r="AP56" s="84" t="str">
        <f t="shared" si="56"/>
        <v/>
      </c>
      <c r="AQ56" s="84">
        <f t="shared" si="69"/>
        <v>0</v>
      </c>
      <c r="AR56" s="84"/>
      <c r="AS56" s="85"/>
      <c r="AT56" s="85"/>
      <c r="AU56" s="87" t="str">
        <f>IF(ISERROR(VLOOKUP(C56,'SDDA Dogs'!A:O,6,FALSE)),"",VLOOKUP(C56,'SDDA Dogs'!A:O,6,FALSE))</f>
        <v/>
      </c>
      <c r="AV56" s="84">
        <f t="shared" si="70"/>
        <v>0</v>
      </c>
      <c r="AW56" s="84">
        <f t="shared" si="71"/>
        <v>0</v>
      </c>
      <c r="AX56" s="88">
        <f t="shared" si="72"/>
        <v>0</v>
      </c>
      <c r="AZ56" s="132">
        <f t="shared" si="58"/>
        <v>0</v>
      </c>
      <c r="BA56" s="132">
        <f t="shared" si="59"/>
        <v>0</v>
      </c>
      <c r="BB56" s="87"/>
      <c r="BC56" s="262">
        <f>_xlfn.IFNA(IF(I56="Pass",IF(AND(G56&gt;=IFERROR(INDEX($C$5:$W$34,MATCH(C56,$C$5:$C$34,0),5),0),G56&gt;=IFERROR(INDEX(DogInfo!A:B,MATCH(C56&amp;$BC$4,DogInfo!A:A,0),2),0)),G56,IF(AND(IFERROR(INDEX($C$5:$W$34,MATCH(C56,$C$5:$C$34,0),5),0)&gt;=O56,IFERROR(INDEX($C$5:$W$34,MATCH(C56,$C$5:$C$34,0),5),0)&gt;=IFERROR(INDEX(DogInfo!A:B,MATCH(C56&amp;$BC$4,DogInfo!A:A,0),2),0)),IFERROR(INDEX($C$5:$W$34,MATCH(C56,$C$5:$C$34,0),5),0),IF(AND(IFERROR(INDEX(DogInfo!A:B,MATCH(C56&amp;$BC$4,DogInfo!A:A,0),2),0)&gt;=IFERROR(INDEX($C$5:$W$34,MATCH(C56,$C$5:$C$34,0),5),0),IFERROR(INDEX(DogInfo!A:B,MATCH(C56&amp;$BC$4,DogInfo!A:A,0),2),0)&gt;=G56),IFERROR(INDEX(DogInfo!A:B,MATCH(C56&amp;$BC$4,DogInfo!A:A,0),2),0),"Error"))),IFERROR(INDEX($C$5:$BE$34,MATCH(C56,$C$5:$C$34,0),53),IFERROR(INDEX(DogInfo!A:B,MATCH(C56&amp;$BC$4,DogInfo!A:A,0),2),0))),"")</f>
        <v>0</v>
      </c>
      <c r="BD56" s="262">
        <f>_xlfn.IFNA(IF(Q56="Pass",IF(AND(O56&gt;=IFERROR(INDEX($C$5:$W$34,MATCH(C56,$C$5:$C$34,0),13),0),O56&gt;=IFERROR(INDEX(DogInfo!A:B,MATCH(C56&amp;$BD$4,DogInfo!A:A,0),2),0)),O56,IF(AND(IFERROR(INDEX($C$5:$W$34,MATCH(C56,$C$5:$C$34,0),13),0)&gt;=O56,IFERROR(INDEX($C$5:$W$34,MATCH(C56,$C$5:$C$34,0),13),0)&gt;=IFERROR(INDEX(DogInfo!A:B,MATCH(C56&amp;$BD$4,DogInfo!A:A,0),2),0)),IFERROR(INDEX($C$5:$W$34,MATCH(C56,$C$5:$C$34,0),13),0),IF(AND(IFERROR(INDEX(DogInfo!A:B,MATCH(C56&amp;$BD$4,DogInfo!A:A,0),2),0)&gt;=IFERROR(INDEX($C$5:$W$34,MATCH(C56,$C$5:$C$34,0),13),0),IFERROR(INDEX(DogInfo!A:B,MATCH(C56&amp;$BD$4,DogInfo!A:A,0),2),0)&gt;=O56),IFERROR(INDEX(DogInfo!A:B,MATCH(C56&amp;$BD$4,DogInfo!A:A,0),2),0),"Error"))),IFERROR(INDEX($C$5:$BE$34,MATCH(C56,$C$5:$C$34,0),54),IFERROR(INDEX(DogInfo!A:B,MATCH(C56&amp;$BD$4,DogInfo!A:A,0),2),0))),"")</f>
        <v>0</v>
      </c>
      <c r="BE56" s="262">
        <f>_xlfn.IFNA(IF(Y56="Pass",IF(AND(W56&gt;=IFERROR(INDEX($C$5:$W$34,MATCH(C56,$C$5:$C$34,0),21),0),O56&gt;=IFERROR(INDEX(DogInfo!A:B,MATCH(C56&amp;$BE$4,DogInfo!A:A,0),2),0)),W56,IF(AND(IFERROR(INDEX($C$5:$W$34,MATCH(C56,$C$5:$C$34,0),21),0)&gt;=W56,IFERROR(INDEX($C$5:$W$34,MATCH(C56,$C$5:$C$34,0),21),0)&gt;=IFERROR(INDEX(DogInfo!A:B,MATCH(C56&amp;$BE$4,DogInfo!A:A,0),2),0)),IFERROR(INDEX($C$5:$W$34,MATCH(C56,$C$5:$C$34,0),21),0),IF(AND(IFERROR(INDEX(DogInfo!A:B,MATCH(C56&amp;$BE$4,DogInfo!A:A,0),2),0)&gt;=IFERROR(INDEX($C$5:$W$34,MATCH(C56,$C$5:$C$34,0),21),0),IFERROR(INDEX(DogInfo!A:B,MATCH(C56&amp;$BE$4,DogInfo!A:A,0),2),0)&gt;=W56),IFERROR(INDEX(DogInfo!A:B,MATCH(C56&amp;$BE$4,DogInfo!A:A,0),2),0),"Error"))),IFERROR(INDEX($C$5:$BE$34,MATCH(C56,$C$5:$C$34,0),55),IFERROR(INDEX(DogInfo!A:B,MATCH(C56&amp;$BE$4,DogInfo!A:A,0),2),0))),"")</f>
        <v>0</v>
      </c>
    </row>
    <row r="57" spans="1:57" s="9" customFormat="1" ht="12.75" x14ac:dyDescent="0.2">
      <c r="A57" s="99">
        <f t="shared" si="85"/>
        <v>13</v>
      </c>
      <c r="B57" s="100"/>
      <c r="C57" s="120"/>
      <c r="D57" s="102" t="str">
        <f>IF($C57="","",VLOOKUP($C57,'SDDA Dogs'!$A:$F,2,FALSE))</f>
        <v/>
      </c>
      <c r="E57" s="211">
        <f t="shared" si="60"/>
        <v>1</v>
      </c>
      <c r="F57" s="121" t="str">
        <f>IF($C57="","",IF(ISERROR(VLOOKUP($C57,$C$5:$AP$34,38,FALSE)=TRUE),VLOOKUP($C57,'SDDA Dogs'!$A:$O,7,FALSE),VLOOKUP($C57,$C$5:$AP$34,38,FALSE)))</f>
        <v/>
      </c>
      <c r="G57" s="137"/>
      <c r="H57" s="217"/>
      <c r="I57" s="84" t="str">
        <f t="shared" si="61"/>
        <v/>
      </c>
      <c r="J57" s="105">
        <f t="shared" si="73"/>
        <v>0</v>
      </c>
      <c r="K57" s="84" t="str">
        <f t="shared" si="74"/>
        <v/>
      </c>
      <c r="L57" s="105">
        <f t="shared" si="75"/>
        <v>0</v>
      </c>
      <c r="M57" s="84" t="str">
        <f t="shared" si="76"/>
        <v/>
      </c>
      <c r="N57" s="125" t="str">
        <f>IF($C57="","",IF(ISERROR(VLOOKUP($C57,$C$5:$AP$34,39,FALSE)=TRUE),VLOOKUP($C57,'SDDA Dogs'!$A:$O,8,FALSE),VLOOKUP($C57,$C$5:$AP$34,39,FALSE)))</f>
        <v/>
      </c>
      <c r="O57" s="137"/>
      <c r="P57" s="217"/>
      <c r="Q57" s="84" t="str">
        <f t="shared" si="62"/>
        <v/>
      </c>
      <c r="R57" s="105">
        <f t="shared" si="77"/>
        <v>0</v>
      </c>
      <c r="S57" s="84" t="str">
        <f t="shared" si="78"/>
        <v/>
      </c>
      <c r="T57" s="105">
        <f t="shared" si="79"/>
        <v>0</v>
      </c>
      <c r="U57" s="84" t="str">
        <f t="shared" si="80"/>
        <v/>
      </c>
      <c r="V57" s="125" t="str">
        <f>IF($C57="","",IF(ISERROR(VLOOKUP($C57,$C$5:$AP$34,40,FALSE)=TRUE),VLOOKUP($C57,'SDDA Dogs'!$A:$O,9,FALSE),VLOOKUP($C57,$C$5:$AP$34,40,FALSE)))</f>
        <v/>
      </c>
      <c r="W57" s="137"/>
      <c r="X57" s="217"/>
      <c r="Y57" s="84" t="str">
        <f t="shared" si="63"/>
        <v/>
      </c>
      <c r="Z57" s="105">
        <f t="shared" si="81"/>
        <v>0</v>
      </c>
      <c r="AA57" s="84" t="str">
        <f t="shared" si="82"/>
        <v/>
      </c>
      <c r="AB57" s="105">
        <f t="shared" si="83"/>
        <v>0</v>
      </c>
      <c r="AC57" s="84" t="str">
        <f t="shared" si="84"/>
        <v/>
      </c>
      <c r="AD57" s="126" t="str">
        <f t="shared" si="64"/>
        <v/>
      </c>
      <c r="AE57" s="89" t="str">
        <f t="shared" si="49"/>
        <v/>
      </c>
      <c r="AF57" s="104" t="str">
        <f t="shared" si="50"/>
        <v/>
      </c>
      <c r="AG57" s="128" t="str">
        <f t="shared" si="65"/>
        <v/>
      </c>
      <c r="AH57" s="126" t="str">
        <f t="shared" si="66"/>
        <v/>
      </c>
      <c r="AI57" s="89" t="str">
        <f t="shared" si="51"/>
        <v/>
      </c>
      <c r="AJ57" s="122" t="str">
        <f t="shared" si="52"/>
        <v/>
      </c>
      <c r="AK57" s="123" t="str">
        <f t="shared" si="67"/>
        <v/>
      </c>
      <c r="AL57" s="129" t="str">
        <f t="shared" si="68"/>
        <v/>
      </c>
      <c r="AM57" s="89">
        <f t="shared" si="53"/>
        <v>0</v>
      </c>
      <c r="AN57" s="84" t="str">
        <f t="shared" si="54"/>
        <v/>
      </c>
      <c r="AO57" s="84" t="str">
        <f t="shared" si="55"/>
        <v/>
      </c>
      <c r="AP57" s="84" t="str">
        <f t="shared" si="56"/>
        <v/>
      </c>
      <c r="AQ57" s="84">
        <f t="shared" si="69"/>
        <v>0</v>
      </c>
      <c r="AR57" s="84"/>
      <c r="AS57" s="85"/>
      <c r="AT57" s="85"/>
      <c r="AU57" s="87" t="str">
        <f>IF(ISERROR(VLOOKUP(C57,'SDDA Dogs'!A:O,6,FALSE)),"",VLOOKUP(C57,'SDDA Dogs'!A:O,6,FALSE))</f>
        <v/>
      </c>
      <c r="AV57" s="84">
        <f t="shared" si="70"/>
        <v>0</v>
      </c>
      <c r="AW57" s="84">
        <f t="shared" si="71"/>
        <v>0</v>
      </c>
      <c r="AX57" s="88">
        <f t="shared" si="72"/>
        <v>0</v>
      </c>
      <c r="AZ57" s="132">
        <f t="shared" si="58"/>
        <v>0</v>
      </c>
      <c r="BA57" s="132">
        <f t="shared" si="59"/>
        <v>0</v>
      </c>
      <c r="BB57" s="87"/>
      <c r="BC57" s="262">
        <f>_xlfn.IFNA(IF(I57="Pass",IF(AND(G57&gt;=IFERROR(INDEX($C$5:$W$34,MATCH(C57,$C$5:$C$34,0),5),0),G57&gt;=IFERROR(INDEX(DogInfo!A:B,MATCH(C57&amp;$BC$4,DogInfo!A:A,0),2),0)),G57,IF(AND(IFERROR(INDEX($C$5:$W$34,MATCH(C57,$C$5:$C$34,0),5),0)&gt;=O57,IFERROR(INDEX($C$5:$W$34,MATCH(C57,$C$5:$C$34,0),5),0)&gt;=IFERROR(INDEX(DogInfo!A:B,MATCH(C57&amp;$BC$4,DogInfo!A:A,0),2),0)),IFERROR(INDEX($C$5:$W$34,MATCH(C57,$C$5:$C$34,0),5),0),IF(AND(IFERROR(INDEX(DogInfo!A:B,MATCH(C57&amp;$BC$4,DogInfo!A:A,0),2),0)&gt;=IFERROR(INDEX($C$5:$W$34,MATCH(C57,$C$5:$C$34,0),5),0),IFERROR(INDEX(DogInfo!A:B,MATCH(C57&amp;$BC$4,DogInfo!A:A,0),2),0)&gt;=G57),IFERROR(INDEX(DogInfo!A:B,MATCH(C57&amp;$BC$4,DogInfo!A:A,0),2),0),"Error"))),IFERROR(INDEX($C$5:$BE$34,MATCH(C57,$C$5:$C$34,0),53),IFERROR(INDEX(DogInfo!A:B,MATCH(C57&amp;$BC$4,DogInfo!A:A,0),2),0))),"")</f>
        <v>0</v>
      </c>
      <c r="BD57" s="262">
        <f>_xlfn.IFNA(IF(Q57="Pass",IF(AND(O57&gt;=IFERROR(INDEX($C$5:$W$34,MATCH(C57,$C$5:$C$34,0),13),0),O57&gt;=IFERROR(INDEX(DogInfo!A:B,MATCH(C57&amp;$BD$4,DogInfo!A:A,0),2),0)),O57,IF(AND(IFERROR(INDEX($C$5:$W$34,MATCH(C57,$C$5:$C$34,0),13),0)&gt;=O57,IFERROR(INDEX($C$5:$W$34,MATCH(C57,$C$5:$C$34,0),13),0)&gt;=IFERROR(INDEX(DogInfo!A:B,MATCH(C57&amp;$BD$4,DogInfo!A:A,0),2),0)),IFERROR(INDEX($C$5:$W$34,MATCH(C57,$C$5:$C$34,0),13),0),IF(AND(IFERROR(INDEX(DogInfo!A:B,MATCH(C57&amp;$BD$4,DogInfo!A:A,0),2),0)&gt;=IFERROR(INDEX($C$5:$W$34,MATCH(C57,$C$5:$C$34,0),13),0),IFERROR(INDEX(DogInfo!A:B,MATCH(C57&amp;$BD$4,DogInfo!A:A,0),2),0)&gt;=O57),IFERROR(INDEX(DogInfo!A:B,MATCH(C57&amp;$BD$4,DogInfo!A:A,0),2),0),"Error"))),IFERROR(INDEX($C$5:$BE$34,MATCH(C57,$C$5:$C$34,0),54),IFERROR(INDEX(DogInfo!A:B,MATCH(C57&amp;$BD$4,DogInfo!A:A,0),2),0))),"")</f>
        <v>0</v>
      </c>
      <c r="BE57" s="262">
        <f>_xlfn.IFNA(IF(Y57="Pass",IF(AND(W57&gt;=IFERROR(INDEX($C$5:$W$34,MATCH(C57,$C$5:$C$34,0),21),0),O57&gt;=IFERROR(INDEX(DogInfo!A:B,MATCH(C57&amp;$BE$4,DogInfo!A:A,0),2),0)),W57,IF(AND(IFERROR(INDEX($C$5:$W$34,MATCH(C57,$C$5:$C$34,0),21),0)&gt;=W57,IFERROR(INDEX($C$5:$W$34,MATCH(C57,$C$5:$C$34,0),21),0)&gt;=IFERROR(INDEX(DogInfo!A:B,MATCH(C57&amp;$BE$4,DogInfo!A:A,0),2),0)),IFERROR(INDEX($C$5:$W$34,MATCH(C57,$C$5:$C$34,0),21),0),IF(AND(IFERROR(INDEX(DogInfo!A:B,MATCH(C57&amp;$BE$4,DogInfo!A:A,0),2),0)&gt;=IFERROR(INDEX($C$5:$W$34,MATCH(C57,$C$5:$C$34,0),21),0),IFERROR(INDEX(DogInfo!A:B,MATCH(C57&amp;$BE$4,DogInfo!A:A,0),2),0)&gt;=W57),IFERROR(INDEX(DogInfo!A:B,MATCH(C57&amp;$BE$4,DogInfo!A:A,0),2),0),"Error"))),IFERROR(INDEX($C$5:$BE$34,MATCH(C57,$C$5:$C$34,0),55),IFERROR(INDEX(DogInfo!A:B,MATCH(C57&amp;$BE$4,DogInfo!A:A,0),2),0))),"")</f>
        <v>0</v>
      </c>
    </row>
    <row r="58" spans="1:57" s="9" customFormat="1" ht="12.75" x14ac:dyDescent="0.2">
      <c r="A58" s="99">
        <f t="shared" si="85"/>
        <v>14</v>
      </c>
      <c r="B58" s="100"/>
      <c r="C58" s="120"/>
      <c r="D58" s="102" t="str">
        <f>IF($C58="","",VLOOKUP($C58,'SDDA Dogs'!$A:$F,2,FALSE))</f>
        <v/>
      </c>
      <c r="E58" s="211">
        <f t="shared" si="60"/>
        <v>1</v>
      </c>
      <c r="F58" s="121" t="str">
        <f>IF($C58="","",IF(ISERROR(VLOOKUP($C58,$C$5:$AP$34,38,FALSE)=TRUE),VLOOKUP($C58,'SDDA Dogs'!$A:$O,7,FALSE),VLOOKUP($C58,$C$5:$AP$34,38,FALSE)))</f>
        <v/>
      </c>
      <c r="G58" s="137"/>
      <c r="H58" s="217"/>
      <c r="I58" s="84" t="str">
        <f t="shared" si="61"/>
        <v/>
      </c>
      <c r="J58" s="105">
        <f t="shared" si="73"/>
        <v>0</v>
      </c>
      <c r="K58" s="84" t="str">
        <f t="shared" si="74"/>
        <v/>
      </c>
      <c r="L58" s="105">
        <f t="shared" si="75"/>
        <v>0</v>
      </c>
      <c r="M58" s="84" t="str">
        <f t="shared" si="76"/>
        <v/>
      </c>
      <c r="N58" s="125" t="str">
        <f>IF($C58="","",IF(ISERROR(VLOOKUP($C58,$C$5:$AP$34,39,FALSE)=TRUE),VLOOKUP($C58,'SDDA Dogs'!$A:$O,8,FALSE),VLOOKUP($C58,$C$5:$AP$34,39,FALSE)))</f>
        <v/>
      </c>
      <c r="O58" s="137"/>
      <c r="P58" s="217"/>
      <c r="Q58" s="84" t="str">
        <f t="shared" si="62"/>
        <v/>
      </c>
      <c r="R58" s="105">
        <f t="shared" si="77"/>
        <v>0</v>
      </c>
      <c r="S58" s="84" t="str">
        <f t="shared" si="78"/>
        <v/>
      </c>
      <c r="T58" s="105">
        <f t="shared" si="79"/>
        <v>0</v>
      </c>
      <c r="U58" s="84" t="str">
        <f t="shared" si="80"/>
        <v/>
      </c>
      <c r="V58" s="125" t="str">
        <f>IF($C58="","",IF(ISERROR(VLOOKUP($C58,$C$5:$AP$34,40,FALSE)=TRUE),VLOOKUP($C58,'SDDA Dogs'!$A:$O,9,FALSE),VLOOKUP($C58,$C$5:$AP$34,40,FALSE)))</f>
        <v/>
      </c>
      <c r="W58" s="137"/>
      <c r="X58" s="217"/>
      <c r="Y58" s="84" t="str">
        <f t="shared" si="63"/>
        <v/>
      </c>
      <c r="Z58" s="105">
        <f t="shared" si="81"/>
        <v>0</v>
      </c>
      <c r="AA58" s="84" t="str">
        <f t="shared" si="82"/>
        <v/>
      </c>
      <c r="AB58" s="105">
        <f t="shared" si="83"/>
        <v>0</v>
      </c>
      <c r="AC58" s="84" t="str">
        <f t="shared" si="84"/>
        <v/>
      </c>
      <c r="AD58" s="126" t="str">
        <f t="shared" si="64"/>
        <v/>
      </c>
      <c r="AE58" s="89" t="str">
        <f t="shared" si="49"/>
        <v/>
      </c>
      <c r="AF58" s="104" t="str">
        <f t="shared" si="50"/>
        <v/>
      </c>
      <c r="AG58" s="128" t="str">
        <f t="shared" si="65"/>
        <v/>
      </c>
      <c r="AH58" s="126" t="str">
        <f t="shared" si="66"/>
        <v/>
      </c>
      <c r="AI58" s="89" t="str">
        <f t="shared" si="51"/>
        <v/>
      </c>
      <c r="AJ58" s="122" t="str">
        <f t="shared" si="52"/>
        <v/>
      </c>
      <c r="AK58" s="123" t="str">
        <f t="shared" si="67"/>
        <v/>
      </c>
      <c r="AL58" s="129" t="str">
        <f t="shared" si="68"/>
        <v/>
      </c>
      <c r="AM58" s="89">
        <f t="shared" si="53"/>
        <v>0</v>
      </c>
      <c r="AN58" s="84" t="str">
        <f t="shared" si="54"/>
        <v/>
      </c>
      <c r="AO58" s="84" t="str">
        <f t="shared" si="55"/>
        <v/>
      </c>
      <c r="AP58" s="84" t="str">
        <f t="shared" si="56"/>
        <v/>
      </c>
      <c r="AQ58" s="84">
        <f t="shared" si="69"/>
        <v>0</v>
      </c>
      <c r="AR58" s="84"/>
      <c r="AS58" s="85"/>
      <c r="AT58" s="85"/>
      <c r="AU58" s="87" t="str">
        <f>IF(ISERROR(VLOOKUP(C58,'SDDA Dogs'!A:O,6,FALSE)),"",VLOOKUP(C58,'SDDA Dogs'!A:O,6,FALSE))</f>
        <v/>
      </c>
      <c r="AV58" s="84">
        <f t="shared" si="70"/>
        <v>0</v>
      </c>
      <c r="AW58" s="84">
        <f t="shared" si="71"/>
        <v>0</v>
      </c>
      <c r="AX58" s="88">
        <f t="shared" si="72"/>
        <v>0</v>
      </c>
      <c r="AZ58" s="132">
        <f t="shared" si="58"/>
        <v>0</v>
      </c>
      <c r="BA58" s="132">
        <f t="shared" si="59"/>
        <v>0</v>
      </c>
      <c r="BB58" s="87"/>
      <c r="BC58" s="262">
        <f>_xlfn.IFNA(IF(I58="Pass",IF(AND(G58&gt;=IFERROR(INDEX($C$5:$W$34,MATCH(C58,$C$5:$C$34,0),5),0),G58&gt;=IFERROR(INDEX(DogInfo!A:B,MATCH(C58&amp;$BC$4,DogInfo!A:A,0),2),0)),G58,IF(AND(IFERROR(INDEX($C$5:$W$34,MATCH(C58,$C$5:$C$34,0),5),0)&gt;=O58,IFERROR(INDEX($C$5:$W$34,MATCH(C58,$C$5:$C$34,0),5),0)&gt;=IFERROR(INDEX(DogInfo!A:B,MATCH(C58&amp;$BC$4,DogInfo!A:A,0),2),0)),IFERROR(INDEX($C$5:$W$34,MATCH(C58,$C$5:$C$34,0),5),0),IF(AND(IFERROR(INDEX(DogInfo!A:B,MATCH(C58&amp;$BC$4,DogInfo!A:A,0),2),0)&gt;=IFERROR(INDEX($C$5:$W$34,MATCH(C58,$C$5:$C$34,0),5),0),IFERROR(INDEX(DogInfo!A:B,MATCH(C58&amp;$BC$4,DogInfo!A:A,0),2),0)&gt;=G58),IFERROR(INDEX(DogInfo!A:B,MATCH(C58&amp;$BC$4,DogInfo!A:A,0),2),0),"Error"))),IFERROR(INDEX($C$5:$BE$34,MATCH(C58,$C$5:$C$34,0),53),IFERROR(INDEX(DogInfo!A:B,MATCH(C58&amp;$BC$4,DogInfo!A:A,0),2),0))),"")</f>
        <v>0</v>
      </c>
      <c r="BD58" s="262">
        <f>_xlfn.IFNA(IF(Q58="Pass",IF(AND(O58&gt;=IFERROR(INDEX($C$5:$W$34,MATCH(C58,$C$5:$C$34,0),13),0),O58&gt;=IFERROR(INDEX(DogInfo!A:B,MATCH(C58&amp;$BD$4,DogInfo!A:A,0),2),0)),O58,IF(AND(IFERROR(INDEX($C$5:$W$34,MATCH(C58,$C$5:$C$34,0),13),0)&gt;=O58,IFERROR(INDEX($C$5:$W$34,MATCH(C58,$C$5:$C$34,0),13),0)&gt;=IFERROR(INDEX(DogInfo!A:B,MATCH(C58&amp;$BD$4,DogInfo!A:A,0),2),0)),IFERROR(INDEX($C$5:$W$34,MATCH(C58,$C$5:$C$34,0),13),0),IF(AND(IFERROR(INDEX(DogInfo!A:B,MATCH(C58&amp;$BD$4,DogInfo!A:A,0),2),0)&gt;=IFERROR(INDEX($C$5:$W$34,MATCH(C58,$C$5:$C$34,0),13),0),IFERROR(INDEX(DogInfo!A:B,MATCH(C58&amp;$BD$4,DogInfo!A:A,0),2),0)&gt;=O58),IFERROR(INDEX(DogInfo!A:B,MATCH(C58&amp;$BD$4,DogInfo!A:A,0),2),0),"Error"))),IFERROR(INDEX($C$5:$BE$34,MATCH(C58,$C$5:$C$34,0),54),IFERROR(INDEX(DogInfo!A:B,MATCH(C58&amp;$BD$4,DogInfo!A:A,0),2),0))),"")</f>
        <v>0</v>
      </c>
      <c r="BE58" s="262">
        <f>_xlfn.IFNA(IF(Y58="Pass",IF(AND(W58&gt;=IFERROR(INDEX($C$5:$W$34,MATCH(C58,$C$5:$C$34,0),21),0),O58&gt;=IFERROR(INDEX(DogInfo!A:B,MATCH(C58&amp;$BE$4,DogInfo!A:A,0),2),0)),W58,IF(AND(IFERROR(INDEX($C$5:$W$34,MATCH(C58,$C$5:$C$34,0),21),0)&gt;=W58,IFERROR(INDEX($C$5:$W$34,MATCH(C58,$C$5:$C$34,0),21),0)&gt;=IFERROR(INDEX(DogInfo!A:B,MATCH(C58&amp;$BE$4,DogInfo!A:A,0),2),0)),IFERROR(INDEX($C$5:$W$34,MATCH(C58,$C$5:$C$34,0),21),0),IF(AND(IFERROR(INDEX(DogInfo!A:B,MATCH(C58&amp;$BE$4,DogInfo!A:A,0),2),0)&gt;=IFERROR(INDEX($C$5:$W$34,MATCH(C58,$C$5:$C$34,0),21),0),IFERROR(INDEX(DogInfo!A:B,MATCH(C58&amp;$BE$4,DogInfo!A:A,0),2),0)&gt;=W58),IFERROR(INDEX(DogInfo!A:B,MATCH(C58&amp;$BE$4,DogInfo!A:A,0),2),0),"Error"))),IFERROR(INDEX($C$5:$BE$34,MATCH(C58,$C$5:$C$34,0),55),IFERROR(INDEX(DogInfo!A:B,MATCH(C58&amp;$BE$4,DogInfo!A:A,0),2),0))),"")</f>
        <v>0</v>
      </c>
    </row>
    <row r="59" spans="1:57" s="9" customFormat="1" ht="12.75" x14ac:dyDescent="0.2">
      <c r="A59" s="99">
        <f t="shared" si="85"/>
        <v>15</v>
      </c>
      <c r="B59" s="100"/>
      <c r="C59" s="120"/>
      <c r="D59" s="102" t="str">
        <f>IF($C59="","",VLOOKUP($C59,'SDDA Dogs'!$A:$F,2,FALSE))</f>
        <v/>
      </c>
      <c r="E59" s="211">
        <f t="shared" si="60"/>
        <v>1</v>
      </c>
      <c r="F59" s="121" t="str">
        <f>IF($C59="","",IF(ISERROR(VLOOKUP($C59,$C$5:$AP$34,38,FALSE)=TRUE),VLOOKUP($C59,'SDDA Dogs'!$A:$O,7,FALSE),VLOOKUP($C59,$C$5:$AP$34,38,FALSE)))</f>
        <v/>
      </c>
      <c r="G59" s="137"/>
      <c r="H59" s="217"/>
      <c r="I59" s="84" t="str">
        <f t="shared" si="61"/>
        <v/>
      </c>
      <c r="J59" s="105">
        <f t="shared" si="73"/>
        <v>0</v>
      </c>
      <c r="K59" s="84" t="str">
        <f t="shared" si="74"/>
        <v/>
      </c>
      <c r="L59" s="105">
        <f t="shared" si="75"/>
        <v>0</v>
      </c>
      <c r="M59" s="84" t="str">
        <f t="shared" si="76"/>
        <v/>
      </c>
      <c r="N59" s="125" t="str">
        <f>IF($C59="","",IF(ISERROR(VLOOKUP($C59,$C$5:$AP$34,39,FALSE)=TRUE),VLOOKUP($C59,'SDDA Dogs'!$A:$O,8,FALSE),VLOOKUP($C59,$C$5:$AP$34,39,FALSE)))</f>
        <v/>
      </c>
      <c r="O59" s="137"/>
      <c r="P59" s="217"/>
      <c r="Q59" s="84" t="str">
        <f t="shared" si="62"/>
        <v/>
      </c>
      <c r="R59" s="105">
        <f t="shared" si="77"/>
        <v>0</v>
      </c>
      <c r="S59" s="84" t="str">
        <f t="shared" si="78"/>
        <v/>
      </c>
      <c r="T59" s="105">
        <f t="shared" si="79"/>
        <v>0</v>
      </c>
      <c r="U59" s="84" t="str">
        <f t="shared" si="80"/>
        <v/>
      </c>
      <c r="V59" s="125" t="str">
        <f>IF($C59="","",IF(ISERROR(VLOOKUP($C59,$C$5:$AP$34,40,FALSE)=TRUE),VLOOKUP($C59,'SDDA Dogs'!$A:$O,9,FALSE),VLOOKUP($C59,$C$5:$AP$34,40,FALSE)))</f>
        <v/>
      </c>
      <c r="W59" s="137"/>
      <c r="X59" s="217"/>
      <c r="Y59" s="84" t="str">
        <f t="shared" si="63"/>
        <v/>
      </c>
      <c r="Z59" s="105">
        <f t="shared" si="81"/>
        <v>0</v>
      </c>
      <c r="AA59" s="84" t="str">
        <f t="shared" si="82"/>
        <v/>
      </c>
      <c r="AB59" s="105">
        <f t="shared" si="83"/>
        <v>0</v>
      </c>
      <c r="AC59" s="84" t="str">
        <f t="shared" si="84"/>
        <v/>
      </c>
      <c r="AD59" s="126" t="str">
        <f t="shared" si="64"/>
        <v/>
      </c>
      <c r="AE59" s="89" t="str">
        <f t="shared" si="49"/>
        <v/>
      </c>
      <c r="AF59" s="104" t="str">
        <f t="shared" si="50"/>
        <v/>
      </c>
      <c r="AG59" s="128" t="str">
        <f t="shared" si="65"/>
        <v/>
      </c>
      <c r="AH59" s="126" t="str">
        <f t="shared" si="66"/>
        <v/>
      </c>
      <c r="AI59" s="89" t="str">
        <f t="shared" si="51"/>
        <v/>
      </c>
      <c r="AJ59" s="122" t="str">
        <f t="shared" si="52"/>
        <v/>
      </c>
      <c r="AK59" s="123" t="str">
        <f t="shared" si="67"/>
        <v/>
      </c>
      <c r="AL59" s="129" t="str">
        <f t="shared" si="68"/>
        <v/>
      </c>
      <c r="AM59" s="89">
        <f t="shared" si="53"/>
        <v>0</v>
      </c>
      <c r="AN59" s="84" t="str">
        <f t="shared" si="54"/>
        <v/>
      </c>
      <c r="AO59" s="84" t="str">
        <f t="shared" si="55"/>
        <v/>
      </c>
      <c r="AP59" s="84" t="str">
        <f t="shared" si="56"/>
        <v/>
      </c>
      <c r="AQ59" s="84">
        <f t="shared" si="69"/>
        <v>0</v>
      </c>
      <c r="AR59" s="84"/>
      <c r="AS59" s="85"/>
      <c r="AT59" s="85"/>
      <c r="AU59" s="87" t="str">
        <f>IF(ISERROR(VLOOKUP(C59,'SDDA Dogs'!A:O,6,FALSE)),"",VLOOKUP(C59,'SDDA Dogs'!A:O,6,FALSE))</f>
        <v/>
      </c>
      <c r="AV59" s="84">
        <f t="shared" si="70"/>
        <v>0</v>
      </c>
      <c r="AW59" s="84">
        <f t="shared" si="71"/>
        <v>0</v>
      </c>
      <c r="AX59" s="88">
        <f t="shared" si="72"/>
        <v>0</v>
      </c>
      <c r="AZ59" s="132">
        <f t="shared" si="58"/>
        <v>0</v>
      </c>
      <c r="BA59" s="132">
        <f t="shared" si="59"/>
        <v>0</v>
      </c>
      <c r="BB59" s="87"/>
      <c r="BC59" s="262">
        <f>_xlfn.IFNA(IF(I59="Pass",IF(AND(G59&gt;=IFERROR(INDEX($C$5:$W$34,MATCH(C59,$C$5:$C$34,0),5),0),G59&gt;=IFERROR(INDEX(DogInfo!A:B,MATCH(C59&amp;$BC$4,DogInfo!A:A,0),2),0)),G59,IF(AND(IFERROR(INDEX($C$5:$W$34,MATCH(C59,$C$5:$C$34,0),5),0)&gt;=O59,IFERROR(INDEX($C$5:$W$34,MATCH(C59,$C$5:$C$34,0),5),0)&gt;=IFERROR(INDEX(DogInfo!A:B,MATCH(C59&amp;$BC$4,DogInfo!A:A,0),2),0)),IFERROR(INDEX($C$5:$W$34,MATCH(C59,$C$5:$C$34,0),5),0),IF(AND(IFERROR(INDEX(DogInfo!A:B,MATCH(C59&amp;$BC$4,DogInfo!A:A,0),2),0)&gt;=IFERROR(INDEX($C$5:$W$34,MATCH(C59,$C$5:$C$34,0),5),0),IFERROR(INDEX(DogInfo!A:B,MATCH(C59&amp;$BC$4,DogInfo!A:A,0),2),0)&gt;=G59),IFERROR(INDEX(DogInfo!A:B,MATCH(C59&amp;$BC$4,DogInfo!A:A,0),2),0),"Error"))),IFERROR(INDEX($C$5:$BE$34,MATCH(C59,$C$5:$C$34,0),53),IFERROR(INDEX(DogInfo!A:B,MATCH(C59&amp;$BC$4,DogInfo!A:A,0),2),0))),"")</f>
        <v>0</v>
      </c>
      <c r="BD59" s="262">
        <f>_xlfn.IFNA(IF(Q59="Pass",IF(AND(O59&gt;=IFERROR(INDEX($C$5:$W$34,MATCH(C59,$C$5:$C$34,0),13),0),O59&gt;=IFERROR(INDEX(DogInfo!A:B,MATCH(C59&amp;$BD$4,DogInfo!A:A,0),2),0)),O59,IF(AND(IFERROR(INDEX($C$5:$W$34,MATCH(C59,$C$5:$C$34,0),13),0)&gt;=O59,IFERROR(INDEX($C$5:$W$34,MATCH(C59,$C$5:$C$34,0),13),0)&gt;=IFERROR(INDEX(DogInfo!A:B,MATCH(C59&amp;$BD$4,DogInfo!A:A,0),2),0)),IFERROR(INDEX($C$5:$W$34,MATCH(C59,$C$5:$C$34,0),13),0),IF(AND(IFERROR(INDEX(DogInfo!A:B,MATCH(C59&amp;$BD$4,DogInfo!A:A,0),2),0)&gt;=IFERROR(INDEX($C$5:$W$34,MATCH(C59,$C$5:$C$34,0),13),0),IFERROR(INDEX(DogInfo!A:B,MATCH(C59&amp;$BD$4,DogInfo!A:A,0),2),0)&gt;=O59),IFERROR(INDEX(DogInfo!A:B,MATCH(C59&amp;$BD$4,DogInfo!A:A,0),2),0),"Error"))),IFERROR(INDEX($C$5:$BE$34,MATCH(C59,$C$5:$C$34,0),54),IFERROR(INDEX(DogInfo!A:B,MATCH(C59&amp;$BD$4,DogInfo!A:A,0),2),0))),"")</f>
        <v>0</v>
      </c>
      <c r="BE59" s="262">
        <f>_xlfn.IFNA(IF(Y59="Pass",IF(AND(W59&gt;=IFERROR(INDEX($C$5:$W$34,MATCH(C59,$C$5:$C$34,0),21),0),O59&gt;=IFERROR(INDEX(DogInfo!A:B,MATCH(C59&amp;$BE$4,DogInfo!A:A,0),2),0)),W59,IF(AND(IFERROR(INDEX($C$5:$W$34,MATCH(C59,$C$5:$C$34,0),21),0)&gt;=W59,IFERROR(INDEX($C$5:$W$34,MATCH(C59,$C$5:$C$34,0),21),0)&gt;=IFERROR(INDEX(DogInfo!A:B,MATCH(C59&amp;$BE$4,DogInfo!A:A,0),2),0)),IFERROR(INDEX($C$5:$W$34,MATCH(C59,$C$5:$C$34,0),21),0),IF(AND(IFERROR(INDEX(DogInfo!A:B,MATCH(C59&amp;$BE$4,DogInfo!A:A,0),2),0)&gt;=IFERROR(INDEX($C$5:$W$34,MATCH(C59,$C$5:$C$34,0),21),0),IFERROR(INDEX(DogInfo!A:B,MATCH(C59&amp;$BE$4,DogInfo!A:A,0),2),0)&gt;=W59),IFERROR(INDEX(DogInfo!A:B,MATCH(C59&amp;$BE$4,DogInfo!A:A,0),2),0),"Error"))),IFERROR(INDEX($C$5:$BE$34,MATCH(C59,$C$5:$C$34,0),55),IFERROR(INDEX(DogInfo!A:B,MATCH(C59&amp;$BE$4,DogInfo!A:A,0),2),0))),"")</f>
        <v>0</v>
      </c>
    </row>
    <row r="60" spans="1:57" s="9" customFormat="1" ht="12.75" x14ac:dyDescent="0.2">
      <c r="A60" s="99">
        <f t="shared" si="85"/>
        <v>16</v>
      </c>
      <c r="B60" s="100"/>
      <c r="C60" s="120"/>
      <c r="D60" s="102" t="str">
        <f>IF($C60="","",VLOOKUP($C60,'SDDA Dogs'!$A:$F,2,FALSE))</f>
        <v/>
      </c>
      <c r="E60" s="211">
        <f t="shared" si="60"/>
        <v>1</v>
      </c>
      <c r="F60" s="121" t="str">
        <f>IF($C60="","",IF(ISERROR(VLOOKUP($C60,$C$5:$AP$34,38,FALSE)=TRUE),VLOOKUP($C60,'SDDA Dogs'!$A:$O,7,FALSE),VLOOKUP($C60,$C$5:$AP$34,38,FALSE)))</f>
        <v/>
      </c>
      <c r="G60" s="137"/>
      <c r="H60" s="217"/>
      <c r="I60" s="84" t="str">
        <f t="shared" si="61"/>
        <v/>
      </c>
      <c r="J60" s="105">
        <f t="shared" si="73"/>
        <v>0</v>
      </c>
      <c r="K60" s="84" t="str">
        <f t="shared" si="74"/>
        <v/>
      </c>
      <c r="L60" s="105">
        <f t="shared" si="75"/>
        <v>0</v>
      </c>
      <c r="M60" s="84" t="str">
        <f t="shared" si="76"/>
        <v/>
      </c>
      <c r="N60" s="125" t="str">
        <f>IF($C60="","",IF(ISERROR(VLOOKUP($C60,$C$5:$AP$34,39,FALSE)=TRUE),VLOOKUP($C60,'SDDA Dogs'!$A:$O,8,FALSE),VLOOKUP($C60,$C$5:$AP$34,39,FALSE)))</f>
        <v/>
      </c>
      <c r="O60" s="137"/>
      <c r="P60" s="217"/>
      <c r="Q60" s="84" t="str">
        <f t="shared" si="62"/>
        <v/>
      </c>
      <c r="R60" s="105">
        <f t="shared" si="77"/>
        <v>0</v>
      </c>
      <c r="S60" s="84" t="str">
        <f t="shared" si="78"/>
        <v/>
      </c>
      <c r="T60" s="105">
        <f t="shared" si="79"/>
        <v>0</v>
      </c>
      <c r="U60" s="84" t="str">
        <f t="shared" si="80"/>
        <v/>
      </c>
      <c r="V60" s="125" t="str">
        <f>IF($C60="","",IF(ISERROR(VLOOKUP($C60,$C$5:$AP$34,40,FALSE)=TRUE),VLOOKUP($C60,'SDDA Dogs'!$A:$O,9,FALSE),VLOOKUP($C60,$C$5:$AP$34,40,FALSE)))</f>
        <v/>
      </c>
      <c r="W60" s="137"/>
      <c r="X60" s="217"/>
      <c r="Y60" s="84" t="str">
        <f t="shared" si="63"/>
        <v/>
      </c>
      <c r="Z60" s="105">
        <f t="shared" si="81"/>
        <v>0</v>
      </c>
      <c r="AA60" s="84" t="str">
        <f t="shared" si="82"/>
        <v/>
      </c>
      <c r="AB60" s="105">
        <f t="shared" si="83"/>
        <v>0</v>
      </c>
      <c r="AC60" s="84" t="str">
        <f t="shared" si="84"/>
        <v/>
      </c>
      <c r="AD60" s="126" t="str">
        <f t="shared" si="64"/>
        <v/>
      </c>
      <c r="AE60" s="89" t="str">
        <f t="shared" si="49"/>
        <v/>
      </c>
      <c r="AF60" s="104" t="str">
        <f t="shared" si="50"/>
        <v/>
      </c>
      <c r="AG60" s="128" t="str">
        <f t="shared" si="65"/>
        <v/>
      </c>
      <c r="AH60" s="126" t="str">
        <f t="shared" si="66"/>
        <v/>
      </c>
      <c r="AI60" s="89" t="str">
        <f t="shared" si="51"/>
        <v/>
      </c>
      <c r="AJ60" s="122" t="str">
        <f t="shared" si="52"/>
        <v/>
      </c>
      <c r="AK60" s="123" t="str">
        <f t="shared" si="67"/>
        <v/>
      </c>
      <c r="AL60" s="129" t="str">
        <f t="shared" si="68"/>
        <v/>
      </c>
      <c r="AM60" s="89">
        <f t="shared" si="53"/>
        <v>0</v>
      </c>
      <c r="AN60" s="84" t="str">
        <f t="shared" si="54"/>
        <v/>
      </c>
      <c r="AO60" s="84" t="str">
        <f t="shared" si="55"/>
        <v/>
      </c>
      <c r="AP60" s="84" t="str">
        <f t="shared" si="56"/>
        <v/>
      </c>
      <c r="AQ60" s="84">
        <f t="shared" si="69"/>
        <v>0</v>
      </c>
      <c r="AR60" s="84"/>
      <c r="AS60" s="85"/>
      <c r="AT60" s="85"/>
      <c r="AU60" s="87" t="str">
        <f>IF(ISERROR(VLOOKUP(C60,'SDDA Dogs'!A:O,6,FALSE)),"",VLOOKUP(C60,'SDDA Dogs'!A:O,6,FALSE))</f>
        <v/>
      </c>
      <c r="AV60" s="84">
        <f t="shared" si="70"/>
        <v>0</v>
      </c>
      <c r="AW60" s="84">
        <f t="shared" si="71"/>
        <v>0</v>
      </c>
      <c r="AX60" s="88">
        <f t="shared" si="72"/>
        <v>0</v>
      </c>
      <c r="AZ60" s="132">
        <f t="shared" si="58"/>
        <v>0</v>
      </c>
      <c r="BA60" s="132">
        <f t="shared" si="59"/>
        <v>0</v>
      </c>
      <c r="BB60" s="87"/>
      <c r="BC60" s="262">
        <f>_xlfn.IFNA(IF(I60="Pass",IF(AND(G60&gt;=IFERROR(INDEX($C$5:$W$34,MATCH(C60,$C$5:$C$34,0),5),0),G60&gt;=IFERROR(INDEX(DogInfo!A:B,MATCH(C60&amp;$BC$4,DogInfo!A:A,0),2),0)),G60,IF(AND(IFERROR(INDEX($C$5:$W$34,MATCH(C60,$C$5:$C$34,0),5),0)&gt;=O60,IFERROR(INDEX($C$5:$W$34,MATCH(C60,$C$5:$C$34,0),5),0)&gt;=IFERROR(INDEX(DogInfo!A:B,MATCH(C60&amp;$BC$4,DogInfo!A:A,0),2),0)),IFERROR(INDEX($C$5:$W$34,MATCH(C60,$C$5:$C$34,0),5),0),IF(AND(IFERROR(INDEX(DogInfo!A:B,MATCH(C60&amp;$BC$4,DogInfo!A:A,0),2),0)&gt;=IFERROR(INDEX($C$5:$W$34,MATCH(C60,$C$5:$C$34,0),5),0),IFERROR(INDEX(DogInfo!A:B,MATCH(C60&amp;$BC$4,DogInfo!A:A,0),2),0)&gt;=G60),IFERROR(INDEX(DogInfo!A:B,MATCH(C60&amp;$BC$4,DogInfo!A:A,0),2),0),"Error"))),IFERROR(INDEX($C$5:$BE$34,MATCH(C60,$C$5:$C$34,0),53),IFERROR(INDEX(DogInfo!A:B,MATCH(C60&amp;$BC$4,DogInfo!A:A,0),2),0))),"")</f>
        <v>0</v>
      </c>
      <c r="BD60" s="262">
        <f>_xlfn.IFNA(IF(Q60="Pass",IF(AND(O60&gt;=IFERROR(INDEX($C$5:$W$34,MATCH(C60,$C$5:$C$34,0),13),0),O60&gt;=IFERROR(INDEX(DogInfo!A:B,MATCH(C60&amp;$BD$4,DogInfo!A:A,0),2),0)),O60,IF(AND(IFERROR(INDEX($C$5:$W$34,MATCH(C60,$C$5:$C$34,0),13),0)&gt;=O60,IFERROR(INDEX($C$5:$W$34,MATCH(C60,$C$5:$C$34,0),13),0)&gt;=IFERROR(INDEX(DogInfo!A:B,MATCH(C60&amp;$BD$4,DogInfo!A:A,0),2),0)),IFERROR(INDEX($C$5:$W$34,MATCH(C60,$C$5:$C$34,0),13),0),IF(AND(IFERROR(INDEX(DogInfo!A:B,MATCH(C60&amp;$BD$4,DogInfo!A:A,0),2),0)&gt;=IFERROR(INDEX($C$5:$W$34,MATCH(C60,$C$5:$C$34,0),13),0),IFERROR(INDEX(DogInfo!A:B,MATCH(C60&amp;$BD$4,DogInfo!A:A,0),2),0)&gt;=O60),IFERROR(INDEX(DogInfo!A:B,MATCH(C60&amp;$BD$4,DogInfo!A:A,0),2),0),"Error"))),IFERROR(INDEX($C$5:$BE$34,MATCH(C60,$C$5:$C$34,0),54),IFERROR(INDEX(DogInfo!A:B,MATCH(C60&amp;$BD$4,DogInfo!A:A,0),2),0))),"")</f>
        <v>0</v>
      </c>
      <c r="BE60" s="262">
        <f>_xlfn.IFNA(IF(Y60="Pass",IF(AND(W60&gt;=IFERROR(INDEX($C$5:$W$34,MATCH(C60,$C$5:$C$34,0),21),0),O60&gt;=IFERROR(INDEX(DogInfo!A:B,MATCH(C60&amp;$BE$4,DogInfo!A:A,0),2),0)),W60,IF(AND(IFERROR(INDEX($C$5:$W$34,MATCH(C60,$C$5:$C$34,0),21),0)&gt;=W60,IFERROR(INDEX($C$5:$W$34,MATCH(C60,$C$5:$C$34,0),21),0)&gt;=IFERROR(INDEX(DogInfo!A:B,MATCH(C60&amp;$BE$4,DogInfo!A:A,0),2),0)),IFERROR(INDEX($C$5:$W$34,MATCH(C60,$C$5:$C$34,0),21),0),IF(AND(IFERROR(INDEX(DogInfo!A:B,MATCH(C60&amp;$BE$4,DogInfo!A:A,0),2),0)&gt;=IFERROR(INDEX($C$5:$W$34,MATCH(C60,$C$5:$C$34,0),21),0),IFERROR(INDEX(DogInfo!A:B,MATCH(C60&amp;$BE$4,DogInfo!A:A,0),2),0)&gt;=W60),IFERROR(INDEX(DogInfo!A:B,MATCH(C60&amp;$BE$4,DogInfo!A:A,0),2),0),"Error"))),IFERROR(INDEX($C$5:$BE$34,MATCH(C60,$C$5:$C$34,0),55),IFERROR(INDEX(DogInfo!A:B,MATCH(C60&amp;$BE$4,DogInfo!A:A,0),2),0))),"")</f>
        <v>0</v>
      </c>
    </row>
    <row r="61" spans="1:57" s="9" customFormat="1" ht="12.75" x14ac:dyDescent="0.2">
      <c r="A61" s="99">
        <f t="shared" si="85"/>
        <v>17</v>
      </c>
      <c r="B61" s="100"/>
      <c r="C61" s="120"/>
      <c r="D61" s="102" t="str">
        <f>IF($C61="","",VLOOKUP($C61,'SDDA Dogs'!$A:$F,2,FALSE))</f>
        <v/>
      </c>
      <c r="E61" s="211">
        <f t="shared" si="60"/>
        <v>1</v>
      </c>
      <c r="F61" s="121" t="str">
        <f>IF($C61="","",IF(ISERROR(VLOOKUP($C61,$C$5:$AP$34,38,FALSE)=TRUE),VLOOKUP($C61,'SDDA Dogs'!$A:$O,7,FALSE),VLOOKUP($C61,$C$5:$AP$34,38,FALSE)))</f>
        <v/>
      </c>
      <c r="G61" s="137"/>
      <c r="H61" s="217"/>
      <c r="I61" s="84" t="str">
        <f t="shared" si="61"/>
        <v/>
      </c>
      <c r="J61" s="105">
        <f t="shared" si="73"/>
        <v>0</v>
      </c>
      <c r="K61" s="84" t="str">
        <f t="shared" si="74"/>
        <v/>
      </c>
      <c r="L61" s="105">
        <f t="shared" si="75"/>
        <v>0</v>
      </c>
      <c r="M61" s="84" t="str">
        <f t="shared" si="76"/>
        <v/>
      </c>
      <c r="N61" s="125" t="str">
        <f>IF($C61="","",IF(ISERROR(VLOOKUP($C61,$C$5:$AP$34,39,FALSE)=TRUE),VLOOKUP($C61,'SDDA Dogs'!$A:$O,8,FALSE),VLOOKUP($C61,$C$5:$AP$34,39,FALSE)))</f>
        <v/>
      </c>
      <c r="O61" s="137"/>
      <c r="P61" s="217"/>
      <c r="Q61" s="84" t="str">
        <f t="shared" si="62"/>
        <v/>
      </c>
      <c r="R61" s="105">
        <f t="shared" si="77"/>
        <v>0</v>
      </c>
      <c r="S61" s="84" t="str">
        <f t="shared" si="78"/>
        <v/>
      </c>
      <c r="T61" s="105">
        <f t="shared" si="79"/>
        <v>0</v>
      </c>
      <c r="U61" s="84" t="str">
        <f t="shared" si="80"/>
        <v/>
      </c>
      <c r="V61" s="125" t="str">
        <f>IF($C61="","",IF(ISERROR(VLOOKUP($C61,$C$5:$AP$34,40,FALSE)=TRUE),VLOOKUP($C61,'SDDA Dogs'!$A:$O,9,FALSE),VLOOKUP($C61,$C$5:$AP$34,40,FALSE)))</f>
        <v/>
      </c>
      <c r="W61" s="137"/>
      <c r="X61" s="217"/>
      <c r="Y61" s="84" t="str">
        <f t="shared" si="63"/>
        <v/>
      </c>
      <c r="Z61" s="105">
        <f t="shared" si="81"/>
        <v>0</v>
      </c>
      <c r="AA61" s="84" t="str">
        <f t="shared" si="82"/>
        <v/>
      </c>
      <c r="AB61" s="105">
        <f t="shared" si="83"/>
        <v>0</v>
      </c>
      <c r="AC61" s="84" t="str">
        <f t="shared" si="84"/>
        <v/>
      </c>
      <c r="AD61" s="126" t="str">
        <f t="shared" si="64"/>
        <v/>
      </c>
      <c r="AE61" s="89" t="str">
        <f t="shared" si="49"/>
        <v/>
      </c>
      <c r="AF61" s="104" t="str">
        <f t="shared" si="50"/>
        <v/>
      </c>
      <c r="AG61" s="128" t="str">
        <f t="shared" si="65"/>
        <v/>
      </c>
      <c r="AH61" s="126" t="str">
        <f t="shared" si="66"/>
        <v/>
      </c>
      <c r="AI61" s="89" t="str">
        <f t="shared" si="51"/>
        <v/>
      </c>
      <c r="AJ61" s="122" t="str">
        <f t="shared" si="52"/>
        <v/>
      </c>
      <c r="AK61" s="123" t="str">
        <f t="shared" si="67"/>
        <v/>
      </c>
      <c r="AL61" s="129" t="str">
        <f t="shared" si="68"/>
        <v/>
      </c>
      <c r="AM61" s="89">
        <f t="shared" si="53"/>
        <v>0</v>
      </c>
      <c r="AN61" s="84" t="str">
        <f t="shared" si="54"/>
        <v/>
      </c>
      <c r="AO61" s="84" t="str">
        <f t="shared" si="55"/>
        <v/>
      </c>
      <c r="AP61" s="84" t="str">
        <f t="shared" si="56"/>
        <v/>
      </c>
      <c r="AQ61" s="84">
        <f t="shared" si="69"/>
        <v>0</v>
      </c>
      <c r="AR61" s="84"/>
      <c r="AS61" s="85"/>
      <c r="AT61" s="85"/>
      <c r="AU61" s="87" t="str">
        <f>IF(ISERROR(VLOOKUP(C61,'SDDA Dogs'!A:O,6,FALSE)),"",VLOOKUP(C61,'SDDA Dogs'!A:O,6,FALSE))</f>
        <v/>
      </c>
      <c r="AV61" s="84">
        <f t="shared" si="70"/>
        <v>0</v>
      </c>
      <c r="AW61" s="84">
        <f t="shared" si="71"/>
        <v>0</v>
      </c>
      <c r="AX61" s="88">
        <f t="shared" si="72"/>
        <v>0</v>
      </c>
      <c r="AZ61" s="132">
        <f t="shared" si="58"/>
        <v>0</v>
      </c>
      <c r="BA61" s="132">
        <f t="shared" si="59"/>
        <v>0</v>
      </c>
      <c r="BB61" s="87"/>
      <c r="BC61" s="262">
        <f>_xlfn.IFNA(IF(I61="Pass",IF(AND(G61&gt;=IFERROR(INDEX($C$5:$W$34,MATCH(C61,$C$5:$C$34,0),5),0),G61&gt;=IFERROR(INDEX(DogInfo!A:B,MATCH(C61&amp;$BC$4,DogInfo!A:A,0),2),0)),G61,IF(AND(IFERROR(INDEX($C$5:$W$34,MATCH(C61,$C$5:$C$34,0),5),0)&gt;=O61,IFERROR(INDEX($C$5:$W$34,MATCH(C61,$C$5:$C$34,0),5),0)&gt;=IFERROR(INDEX(DogInfo!A:B,MATCH(C61&amp;$BC$4,DogInfo!A:A,0),2),0)),IFERROR(INDEX($C$5:$W$34,MATCH(C61,$C$5:$C$34,0),5),0),IF(AND(IFERROR(INDEX(DogInfo!A:B,MATCH(C61&amp;$BC$4,DogInfo!A:A,0),2),0)&gt;=IFERROR(INDEX($C$5:$W$34,MATCH(C61,$C$5:$C$34,0),5),0),IFERROR(INDEX(DogInfo!A:B,MATCH(C61&amp;$BC$4,DogInfo!A:A,0),2),0)&gt;=G61),IFERROR(INDEX(DogInfo!A:B,MATCH(C61&amp;$BC$4,DogInfo!A:A,0),2),0),"Error"))),IFERROR(INDEX($C$5:$BE$34,MATCH(C61,$C$5:$C$34,0),53),IFERROR(INDEX(DogInfo!A:B,MATCH(C61&amp;$BC$4,DogInfo!A:A,0),2),0))),"")</f>
        <v>0</v>
      </c>
      <c r="BD61" s="262">
        <f>_xlfn.IFNA(IF(Q61="Pass",IF(AND(O61&gt;=IFERROR(INDEX($C$5:$W$34,MATCH(C61,$C$5:$C$34,0),13),0),O61&gt;=IFERROR(INDEX(DogInfo!A:B,MATCH(C61&amp;$BD$4,DogInfo!A:A,0),2),0)),O61,IF(AND(IFERROR(INDEX($C$5:$W$34,MATCH(C61,$C$5:$C$34,0),13),0)&gt;=O61,IFERROR(INDEX($C$5:$W$34,MATCH(C61,$C$5:$C$34,0),13),0)&gt;=IFERROR(INDEX(DogInfo!A:B,MATCH(C61&amp;$BD$4,DogInfo!A:A,0),2),0)),IFERROR(INDEX($C$5:$W$34,MATCH(C61,$C$5:$C$34,0),13),0),IF(AND(IFERROR(INDEX(DogInfo!A:B,MATCH(C61&amp;$BD$4,DogInfo!A:A,0),2),0)&gt;=IFERROR(INDEX($C$5:$W$34,MATCH(C61,$C$5:$C$34,0),13),0),IFERROR(INDEX(DogInfo!A:B,MATCH(C61&amp;$BD$4,DogInfo!A:A,0),2),0)&gt;=O61),IFERROR(INDEX(DogInfo!A:B,MATCH(C61&amp;$BD$4,DogInfo!A:A,0),2),0),"Error"))),IFERROR(INDEX($C$5:$BE$34,MATCH(C61,$C$5:$C$34,0),54),IFERROR(INDEX(DogInfo!A:B,MATCH(C61&amp;$BD$4,DogInfo!A:A,0),2),0))),"")</f>
        <v>0</v>
      </c>
      <c r="BE61" s="262">
        <f>_xlfn.IFNA(IF(Y61="Pass",IF(AND(W61&gt;=IFERROR(INDEX($C$5:$W$34,MATCH(C61,$C$5:$C$34,0),21),0),O61&gt;=IFERROR(INDEX(DogInfo!A:B,MATCH(C61&amp;$BE$4,DogInfo!A:A,0),2),0)),W61,IF(AND(IFERROR(INDEX($C$5:$W$34,MATCH(C61,$C$5:$C$34,0),21),0)&gt;=W61,IFERROR(INDEX($C$5:$W$34,MATCH(C61,$C$5:$C$34,0),21),0)&gt;=IFERROR(INDEX(DogInfo!A:B,MATCH(C61&amp;$BE$4,DogInfo!A:A,0),2),0)),IFERROR(INDEX($C$5:$W$34,MATCH(C61,$C$5:$C$34,0),21),0),IF(AND(IFERROR(INDEX(DogInfo!A:B,MATCH(C61&amp;$BE$4,DogInfo!A:A,0),2),0)&gt;=IFERROR(INDEX($C$5:$W$34,MATCH(C61,$C$5:$C$34,0),21),0),IFERROR(INDEX(DogInfo!A:B,MATCH(C61&amp;$BE$4,DogInfo!A:A,0),2),0)&gt;=W61),IFERROR(INDEX(DogInfo!A:B,MATCH(C61&amp;$BE$4,DogInfo!A:A,0),2),0),"Error"))),IFERROR(INDEX($C$5:$BE$34,MATCH(C61,$C$5:$C$34,0),55),IFERROR(INDEX(DogInfo!A:B,MATCH(C61&amp;$BE$4,DogInfo!A:A,0),2),0))),"")</f>
        <v>0</v>
      </c>
    </row>
    <row r="62" spans="1:57" s="9" customFormat="1" ht="12.75" x14ac:dyDescent="0.2">
      <c r="A62" s="99">
        <f t="shared" si="85"/>
        <v>18</v>
      </c>
      <c r="B62" s="100"/>
      <c r="C62" s="120"/>
      <c r="D62" s="102" t="str">
        <f>IF($C62="","",VLOOKUP($C62,'SDDA Dogs'!$A:$F,2,FALSE))</f>
        <v/>
      </c>
      <c r="E62" s="211">
        <f t="shared" si="60"/>
        <v>1</v>
      </c>
      <c r="F62" s="121" t="str">
        <f>IF($C62="","",IF(ISERROR(VLOOKUP($C62,$C$5:$AP$34,38,FALSE)=TRUE),VLOOKUP($C62,'SDDA Dogs'!$A:$O,7,FALSE),VLOOKUP($C62,$C$5:$AP$34,38,FALSE)))</f>
        <v/>
      </c>
      <c r="G62" s="137"/>
      <c r="H62" s="217"/>
      <c r="I62" s="84" t="str">
        <f t="shared" si="61"/>
        <v/>
      </c>
      <c r="J62" s="105">
        <f t="shared" si="73"/>
        <v>0</v>
      </c>
      <c r="K62" s="84" t="str">
        <f t="shared" si="74"/>
        <v/>
      </c>
      <c r="L62" s="105">
        <f t="shared" si="75"/>
        <v>0</v>
      </c>
      <c r="M62" s="84" t="str">
        <f t="shared" si="76"/>
        <v/>
      </c>
      <c r="N62" s="125" t="str">
        <f>IF($C62="","",IF(ISERROR(VLOOKUP($C62,$C$5:$AP$34,39,FALSE)=TRUE),VLOOKUP($C62,'SDDA Dogs'!$A:$O,8,FALSE),VLOOKUP($C62,$C$5:$AP$34,39,FALSE)))</f>
        <v/>
      </c>
      <c r="O62" s="137"/>
      <c r="P62" s="217"/>
      <c r="Q62" s="84" t="str">
        <f t="shared" si="62"/>
        <v/>
      </c>
      <c r="R62" s="105">
        <f t="shared" si="77"/>
        <v>0</v>
      </c>
      <c r="S62" s="84" t="str">
        <f t="shared" si="78"/>
        <v/>
      </c>
      <c r="T62" s="105">
        <f t="shared" si="79"/>
        <v>0</v>
      </c>
      <c r="U62" s="84" t="str">
        <f t="shared" si="80"/>
        <v/>
      </c>
      <c r="V62" s="125" t="str">
        <f>IF($C62="","",IF(ISERROR(VLOOKUP($C62,$C$5:$AP$34,40,FALSE)=TRUE),VLOOKUP($C62,'SDDA Dogs'!$A:$O,9,FALSE),VLOOKUP($C62,$C$5:$AP$34,40,FALSE)))</f>
        <v/>
      </c>
      <c r="W62" s="137"/>
      <c r="X62" s="217"/>
      <c r="Y62" s="84" t="str">
        <f t="shared" si="63"/>
        <v/>
      </c>
      <c r="Z62" s="105">
        <f t="shared" si="81"/>
        <v>0</v>
      </c>
      <c r="AA62" s="84" t="str">
        <f t="shared" si="82"/>
        <v/>
      </c>
      <c r="AB62" s="105">
        <f t="shared" si="83"/>
        <v>0</v>
      </c>
      <c r="AC62" s="84" t="str">
        <f t="shared" si="84"/>
        <v/>
      </c>
      <c r="AD62" s="126" t="str">
        <f t="shared" si="64"/>
        <v/>
      </c>
      <c r="AE62" s="89" t="str">
        <f t="shared" si="49"/>
        <v/>
      </c>
      <c r="AF62" s="104" t="str">
        <f t="shared" si="50"/>
        <v/>
      </c>
      <c r="AG62" s="128" t="str">
        <f t="shared" si="65"/>
        <v/>
      </c>
      <c r="AH62" s="126" t="str">
        <f t="shared" si="66"/>
        <v/>
      </c>
      <c r="AI62" s="89" t="str">
        <f t="shared" si="51"/>
        <v/>
      </c>
      <c r="AJ62" s="122" t="str">
        <f t="shared" si="52"/>
        <v/>
      </c>
      <c r="AK62" s="123" t="str">
        <f t="shared" si="67"/>
        <v/>
      </c>
      <c r="AL62" s="129" t="str">
        <f t="shared" si="68"/>
        <v/>
      </c>
      <c r="AM62" s="89">
        <f t="shared" si="53"/>
        <v>0</v>
      </c>
      <c r="AN62" s="84" t="str">
        <f t="shared" si="54"/>
        <v/>
      </c>
      <c r="AO62" s="84" t="str">
        <f t="shared" si="55"/>
        <v/>
      </c>
      <c r="AP62" s="84" t="str">
        <f t="shared" si="56"/>
        <v/>
      </c>
      <c r="AQ62" s="84">
        <f t="shared" si="69"/>
        <v>0</v>
      </c>
      <c r="AR62" s="84"/>
      <c r="AS62" s="85"/>
      <c r="AT62" s="85"/>
      <c r="AU62" s="87" t="str">
        <f>IF(ISERROR(VLOOKUP(C62,'SDDA Dogs'!A:O,6,FALSE)),"",VLOOKUP(C62,'SDDA Dogs'!A:O,6,FALSE))</f>
        <v/>
      </c>
      <c r="AV62" s="84">
        <f t="shared" si="70"/>
        <v>0</v>
      </c>
      <c r="AW62" s="84">
        <f t="shared" si="71"/>
        <v>0</v>
      </c>
      <c r="AX62" s="88">
        <f t="shared" si="72"/>
        <v>0</v>
      </c>
      <c r="AZ62" s="132">
        <f t="shared" si="58"/>
        <v>0</v>
      </c>
      <c r="BA62" s="132">
        <f t="shared" si="59"/>
        <v>0</v>
      </c>
      <c r="BB62" s="87"/>
      <c r="BC62" s="262">
        <f>_xlfn.IFNA(IF(I62="Pass",IF(AND(G62&gt;=IFERROR(INDEX($C$5:$W$34,MATCH(C62,$C$5:$C$34,0),5),0),G62&gt;=IFERROR(INDEX(DogInfo!A:B,MATCH(C62&amp;$BC$4,DogInfo!A:A,0),2),0)),G62,IF(AND(IFERROR(INDEX($C$5:$W$34,MATCH(C62,$C$5:$C$34,0),5),0)&gt;=O62,IFERROR(INDEX($C$5:$W$34,MATCH(C62,$C$5:$C$34,0),5),0)&gt;=IFERROR(INDEX(DogInfo!A:B,MATCH(C62&amp;$BC$4,DogInfo!A:A,0),2),0)),IFERROR(INDEX($C$5:$W$34,MATCH(C62,$C$5:$C$34,0),5),0),IF(AND(IFERROR(INDEX(DogInfo!A:B,MATCH(C62&amp;$BC$4,DogInfo!A:A,0),2),0)&gt;=IFERROR(INDEX($C$5:$W$34,MATCH(C62,$C$5:$C$34,0),5),0),IFERROR(INDEX(DogInfo!A:B,MATCH(C62&amp;$BC$4,DogInfo!A:A,0),2),0)&gt;=G62),IFERROR(INDEX(DogInfo!A:B,MATCH(C62&amp;$BC$4,DogInfo!A:A,0),2),0),"Error"))),IFERROR(INDEX($C$5:$BE$34,MATCH(C62,$C$5:$C$34,0),53),IFERROR(INDEX(DogInfo!A:B,MATCH(C62&amp;$BC$4,DogInfo!A:A,0),2),0))),"")</f>
        <v>0</v>
      </c>
      <c r="BD62" s="262">
        <f>_xlfn.IFNA(IF(Q62="Pass",IF(AND(O62&gt;=IFERROR(INDEX($C$5:$W$34,MATCH(C62,$C$5:$C$34,0),13),0),O62&gt;=IFERROR(INDEX(DogInfo!A:B,MATCH(C62&amp;$BD$4,DogInfo!A:A,0),2),0)),O62,IF(AND(IFERROR(INDEX($C$5:$W$34,MATCH(C62,$C$5:$C$34,0),13),0)&gt;=O62,IFERROR(INDEX($C$5:$W$34,MATCH(C62,$C$5:$C$34,0),13),0)&gt;=IFERROR(INDEX(DogInfo!A:B,MATCH(C62&amp;$BD$4,DogInfo!A:A,0),2),0)),IFERROR(INDEX($C$5:$W$34,MATCH(C62,$C$5:$C$34,0),13),0),IF(AND(IFERROR(INDEX(DogInfo!A:B,MATCH(C62&amp;$BD$4,DogInfo!A:A,0),2),0)&gt;=IFERROR(INDEX($C$5:$W$34,MATCH(C62,$C$5:$C$34,0),13),0),IFERROR(INDEX(DogInfo!A:B,MATCH(C62&amp;$BD$4,DogInfo!A:A,0),2),0)&gt;=O62),IFERROR(INDEX(DogInfo!A:B,MATCH(C62&amp;$BD$4,DogInfo!A:A,0),2),0),"Error"))),IFERROR(INDEX($C$5:$BE$34,MATCH(C62,$C$5:$C$34,0),54),IFERROR(INDEX(DogInfo!A:B,MATCH(C62&amp;$BD$4,DogInfo!A:A,0),2),0))),"")</f>
        <v>0</v>
      </c>
      <c r="BE62" s="262">
        <f>_xlfn.IFNA(IF(Y62="Pass",IF(AND(W62&gt;=IFERROR(INDEX($C$5:$W$34,MATCH(C62,$C$5:$C$34,0),21),0),O62&gt;=IFERROR(INDEX(DogInfo!A:B,MATCH(C62&amp;$BE$4,DogInfo!A:A,0),2),0)),W62,IF(AND(IFERROR(INDEX($C$5:$W$34,MATCH(C62,$C$5:$C$34,0),21),0)&gt;=W62,IFERROR(INDEX($C$5:$W$34,MATCH(C62,$C$5:$C$34,0),21),0)&gt;=IFERROR(INDEX(DogInfo!A:B,MATCH(C62&amp;$BE$4,DogInfo!A:A,0),2),0)),IFERROR(INDEX($C$5:$W$34,MATCH(C62,$C$5:$C$34,0),21),0),IF(AND(IFERROR(INDEX(DogInfo!A:B,MATCH(C62&amp;$BE$4,DogInfo!A:A,0),2),0)&gt;=IFERROR(INDEX($C$5:$W$34,MATCH(C62,$C$5:$C$34,0),21),0),IFERROR(INDEX(DogInfo!A:B,MATCH(C62&amp;$BE$4,DogInfo!A:A,0),2),0)&gt;=W62),IFERROR(INDEX(DogInfo!A:B,MATCH(C62&amp;$BE$4,DogInfo!A:A,0),2),0),"Error"))),IFERROR(INDEX($C$5:$BE$34,MATCH(C62,$C$5:$C$34,0),55),IFERROR(INDEX(DogInfo!A:B,MATCH(C62&amp;$BE$4,DogInfo!A:A,0),2),0))),"")</f>
        <v>0</v>
      </c>
    </row>
    <row r="63" spans="1:57" s="9" customFormat="1" ht="12.75" x14ac:dyDescent="0.2">
      <c r="A63" s="99">
        <f t="shared" si="85"/>
        <v>19</v>
      </c>
      <c r="B63" s="100"/>
      <c r="C63" s="120"/>
      <c r="D63" s="102" t="str">
        <f>IF($C63="","",VLOOKUP($C63,'SDDA Dogs'!$A:$F,2,FALSE))</f>
        <v/>
      </c>
      <c r="E63" s="211">
        <f t="shared" si="60"/>
        <v>1</v>
      </c>
      <c r="F63" s="121" t="str">
        <f>IF($C63="","",IF(ISERROR(VLOOKUP($C63,$C$5:$AP$34,38,FALSE)=TRUE),VLOOKUP($C63,'SDDA Dogs'!$A:$O,7,FALSE),VLOOKUP($C63,$C$5:$AP$34,38,FALSE)))</f>
        <v/>
      </c>
      <c r="G63" s="137"/>
      <c r="H63" s="217"/>
      <c r="I63" s="84" t="str">
        <f t="shared" si="61"/>
        <v/>
      </c>
      <c r="J63" s="105">
        <f t="shared" si="73"/>
        <v>0</v>
      </c>
      <c r="K63" s="84" t="str">
        <f t="shared" si="74"/>
        <v/>
      </c>
      <c r="L63" s="105">
        <f t="shared" si="75"/>
        <v>0</v>
      </c>
      <c r="M63" s="84" t="str">
        <f t="shared" si="76"/>
        <v/>
      </c>
      <c r="N63" s="125" t="str">
        <f>IF($C63="","",IF(ISERROR(VLOOKUP($C63,$C$5:$AP$34,39,FALSE)=TRUE),VLOOKUP($C63,'SDDA Dogs'!$A:$O,8,FALSE),VLOOKUP($C63,$C$5:$AP$34,39,FALSE)))</f>
        <v/>
      </c>
      <c r="O63" s="137"/>
      <c r="P63" s="217"/>
      <c r="Q63" s="84" t="str">
        <f t="shared" si="62"/>
        <v/>
      </c>
      <c r="R63" s="105">
        <f t="shared" si="77"/>
        <v>0</v>
      </c>
      <c r="S63" s="84" t="str">
        <f t="shared" si="78"/>
        <v/>
      </c>
      <c r="T63" s="105">
        <f t="shared" si="79"/>
        <v>0</v>
      </c>
      <c r="U63" s="84" t="str">
        <f t="shared" si="80"/>
        <v/>
      </c>
      <c r="V63" s="125" t="str">
        <f>IF($C63="","",IF(ISERROR(VLOOKUP($C63,$C$5:$AP$34,40,FALSE)=TRUE),VLOOKUP($C63,'SDDA Dogs'!$A:$O,9,FALSE),VLOOKUP($C63,$C$5:$AP$34,40,FALSE)))</f>
        <v/>
      </c>
      <c r="W63" s="137"/>
      <c r="X63" s="217"/>
      <c r="Y63" s="84" t="str">
        <f t="shared" si="63"/>
        <v/>
      </c>
      <c r="Z63" s="105">
        <f t="shared" si="81"/>
        <v>0</v>
      </c>
      <c r="AA63" s="84" t="str">
        <f t="shared" si="82"/>
        <v/>
      </c>
      <c r="AB63" s="105">
        <f t="shared" si="83"/>
        <v>0</v>
      </c>
      <c r="AC63" s="84" t="str">
        <f t="shared" si="84"/>
        <v/>
      </c>
      <c r="AD63" s="126" t="str">
        <f t="shared" si="64"/>
        <v/>
      </c>
      <c r="AE63" s="89" t="str">
        <f t="shared" si="49"/>
        <v/>
      </c>
      <c r="AF63" s="104" t="str">
        <f t="shared" si="50"/>
        <v/>
      </c>
      <c r="AG63" s="128" t="str">
        <f t="shared" si="65"/>
        <v/>
      </c>
      <c r="AH63" s="126" t="str">
        <f t="shared" si="66"/>
        <v/>
      </c>
      <c r="AI63" s="89" t="str">
        <f t="shared" si="51"/>
        <v/>
      </c>
      <c r="AJ63" s="122" t="str">
        <f t="shared" si="52"/>
        <v/>
      </c>
      <c r="AK63" s="123" t="str">
        <f t="shared" si="67"/>
        <v/>
      </c>
      <c r="AL63" s="129" t="str">
        <f t="shared" si="68"/>
        <v/>
      </c>
      <c r="AM63" s="89">
        <f t="shared" si="53"/>
        <v>0</v>
      </c>
      <c r="AN63" s="84" t="str">
        <f t="shared" si="54"/>
        <v/>
      </c>
      <c r="AO63" s="84" t="str">
        <f t="shared" si="55"/>
        <v/>
      </c>
      <c r="AP63" s="84" t="str">
        <f t="shared" si="56"/>
        <v/>
      </c>
      <c r="AQ63" s="84">
        <f t="shared" si="69"/>
        <v>0</v>
      </c>
      <c r="AR63" s="84"/>
      <c r="AS63" s="85"/>
      <c r="AT63" s="85"/>
      <c r="AU63" s="87" t="str">
        <f>IF(ISERROR(VLOOKUP(C63,'SDDA Dogs'!A:O,6,FALSE)),"",VLOOKUP(C63,'SDDA Dogs'!A:O,6,FALSE))</f>
        <v/>
      </c>
      <c r="AV63" s="84">
        <f t="shared" si="70"/>
        <v>0</v>
      </c>
      <c r="AW63" s="84">
        <f t="shared" si="71"/>
        <v>0</v>
      </c>
      <c r="AX63" s="88">
        <f t="shared" si="72"/>
        <v>0</v>
      </c>
      <c r="AZ63" s="132">
        <f t="shared" si="58"/>
        <v>0</v>
      </c>
      <c r="BA63" s="132">
        <f t="shared" si="59"/>
        <v>0</v>
      </c>
      <c r="BB63" s="87"/>
      <c r="BC63" s="262">
        <f>_xlfn.IFNA(IF(I63="Pass",IF(AND(G63&gt;=IFERROR(INDEX($C$5:$W$34,MATCH(C63,$C$5:$C$34,0),5),0),G63&gt;=IFERROR(INDEX(DogInfo!A:B,MATCH(C63&amp;$BC$4,DogInfo!A:A,0),2),0)),G63,IF(AND(IFERROR(INDEX($C$5:$W$34,MATCH(C63,$C$5:$C$34,0),5),0)&gt;=O63,IFERROR(INDEX($C$5:$W$34,MATCH(C63,$C$5:$C$34,0),5),0)&gt;=IFERROR(INDEX(DogInfo!A:B,MATCH(C63&amp;$BC$4,DogInfo!A:A,0),2),0)),IFERROR(INDEX($C$5:$W$34,MATCH(C63,$C$5:$C$34,0),5),0),IF(AND(IFERROR(INDEX(DogInfo!A:B,MATCH(C63&amp;$BC$4,DogInfo!A:A,0),2),0)&gt;=IFERROR(INDEX($C$5:$W$34,MATCH(C63,$C$5:$C$34,0),5),0),IFERROR(INDEX(DogInfo!A:B,MATCH(C63&amp;$BC$4,DogInfo!A:A,0),2),0)&gt;=G63),IFERROR(INDEX(DogInfo!A:B,MATCH(C63&amp;$BC$4,DogInfo!A:A,0),2),0),"Error"))),IFERROR(INDEX($C$5:$BE$34,MATCH(C63,$C$5:$C$34,0),53),IFERROR(INDEX(DogInfo!A:B,MATCH(C63&amp;$BC$4,DogInfo!A:A,0),2),0))),"")</f>
        <v>0</v>
      </c>
      <c r="BD63" s="262">
        <f>_xlfn.IFNA(IF(Q63="Pass",IF(AND(O63&gt;=IFERROR(INDEX($C$5:$W$34,MATCH(C63,$C$5:$C$34,0),13),0),O63&gt;=IFERROR(INDEX(DogInfo!A:B,MATCH(C63&amp;$BD$4,DogInfo!A:A,0),2),0)),O63,IF(AND(IFERROR(INDEX($C$5:$W$34,MATCH(C63,$C$5:$C$34,0),13),0)&gt;=O63,IFERROR(INDEX($C$5:$W$34,MATCH(C63,$C$5:$C$34,0),13),0)&gt;=IFERROR(INDEX(DogInfo!A:B,MATCH(C63&amp;$BD$4,DogInfo!A:A,0),2),0)),IFERROR(INDEX($C$5:$W$34,MATCH(C63,$C$5:$C$34,0),13),0),IF(AND(IFERROR(INDEX(DogInfo!A:B,MATCH(C63&amp;$BD$4,DogInfo!A:A,0),2),0)&gt;=IFERROR(INDEX($C$5:$W$34,MATCH(C63,$C$5:$C$34,0),13),0),IFERROR(INDEX(DogInfo!A:B,MATCH(C63&amp;$BD$4,DogInfo!A:A,0),2),0)&gt;=O63),IFERROR(INDEX(DogInfo!A:B,MATCH(C63&amp;$BD$4,DogInfo!A:A,0),2),0),"Error"))),IFERROR(INDEX($C$5:$BE$34,MATCH(C63,$C$5:$C$34,0),54),IFERROR(INDEX(DogInfo!A:B,MATCH(C63&amp;$BD$4,DogInfo!A:A,0),2),0))),"")</f>
        <v>0</v>
      </c>
      <c r="BE63" s="262">
        <f>_xlfn.IFNA(IF(Y63="Pass",IF(AND(W63&gt;=IFERROR(INDEX($C$5:$W$34,MATCH(C63,$C$5:$C$34,0),21),0),O63&gt;=IFERROR(INDEX(DogInfo!A:B,MATCH(C63&amp;$BE$4,DogInfo!A:A,0),2),0)),W63,IF(AND(IFERROR(INDEX($C$5:$W$34,MATCH(C63,$C$5:$C$34,0),21),0)&gt;=W63,IFERROR(INDEX($C$5:$W$34,MATCH(C63,$C$5:$C$34,0),21),0)&gt;=IFERROR(INDEX(DogInfo!A:B,MATCH(C63&amp;$BE$4,DogInfo!A:A,0),2),0)),IFERROR(INDEX($C$5:$W$34,MATCH(C63,$C$5:$C$34,0),21),0),IF(AND(IFERROR(INDEX(DogInfo!A:B,MATCH(C63&amp;$BE$4,DogInfo!A:A,0),2),0)&gt;=IFERROR(INDEX($C$5:$W$34,MATCH(C63,$C$5:$C$34,0),21),0),IFERROR(INDEX(DogInfo!A:B,MATCH(C63&amp;$BE$4,DogInfo!A:A,0),2),0)&gt;=W63),IFERROR(INDEX(DogInfo!A:B,MATCH(C63&amp;$BE$4,DogInfo!A:A,0),2),0),"Error"))),IFERROR(INDEX($C$5:$BE$34,MATCH(C63,$C$5:$C$34,0),55),IFERROR(INDEX(DogInfo!A:B,MATCH(C63&amp;$BE$4,DogInfo!A:A,0),2),0))),"")</f>
        <v>0</v>
      </c>
    </row>
    <row r="64" spans="1:57" s="9" customFormat="1" ht="12.75" x14ac:dyDescent="0.2">
      <c r="A64" s="99">
        <f t="shared" si="85"/>
        <v>20</v>
      </c>
      <c r="B64" s="100"/>
      <c r="C64" s="120"/>
      <c r="D64" s="102" t="str">
        <f>IF($C64="","",VLOOKUP($C64,'SDDA Dogs'!$A:$F,2,FALSE))</f>
        <v/>
      </c>
      <c r="E64" s="211">
        <f t="shared" si="60"/>
        <v>1</v>
      </c>
      <c r="F64" s="121" t="str">
        <f>IF($C64="","",IF(ISERROR(VLOOKUP($C64,$C$5:$AP$34,38,FALSE)=TRUE),VLOOKUP($C64,'SDDA Dogs'!$A:$O,7,FALSE),VLOOKUP($C64,$C$5:$AP$34,38,FALSE)))</f>
        <v/>
      </c>
      <c r="G64" s="137"/>
      <c r="H64" s="217"/>
      <c r="I64" s="84" t="str">
        <f t="shared" si="61"/>
        <v/>
      </c>
      <c r="J64" s="105">
        <f t="shared" si="73"/>
        <v>0</v>
      </c>
      <c r="K64" s="84" t="str">
        <f t="shared" si="74"/>
        <v/>
      </c>
      <c r="L64" s="105">
        <f t="shared" si="75"/>
        <v>0</v>
      </c>
      <c r="M64" s="84" t="str">
        <f t="shared" si="76"/>
        <v/>
      </c>
      <c r="N64" s="125" t="str">
        <f>IF($C64="","",IF(ISERROR(VLOOKUP($C64,$C$5:$AP$34,39,FALSE)=TRUE),VLOOKUP($C64,'SDDA Dogs'!$A:$O,8,FALSE),VLOOKUP($C64,$C$5:$AP$34,39,FALSE)))</f>
        <v/>
      </c>
      <c r="O64" s="137"/>
      <c r="P64" s="217"/>
      <c r="Q64" s="84" t="str">
        <f t="shared" si="62"/>
        <v/>
      </c>
      <c r="R64" s="105">
        <f t="shared" si="77"/>
        <v>0</v>
      </c>
      <c r="S64" s="84" t="str">
        <f t="shared" si="78"/>
        <v/>
      </c>
      <c r="T64" s="105">
        <f t="shared" si="79"/>
        <v>0</v>
      </c>
      <c r="U64" s="84" t="str">
        <f t="shared" si="80"/>
        <v/>
      </c>
      <c r="V64" s="125" t="str">
        <f>IF($C64="","",IF(ISERROR(VLOOKUP($C64,$C$5:$AP$34,40,FALSE)=TRUE),VLOOKUP($C64,'SDDA Dogs'!$A:$O,9,FALSE),VLOOKUP($C64,$C$5:$AP$34,40,FALSE)))</f>
        <v/>
      </c>
      <c r="W64" s="137"/>
      <c r="X64" s="217"/>
      <c r="Y64" s="84" t="str">
        <f t="shared" si="63"/>
        <v/>
      </c>
      <c r="Z64" s="105">
        <f t="shared" si="81"/>
        <v>0</v>
      </c>
      <c r="AA64" s="84" t="str">
        <f t="shared" si="82"/>
        <v/>
      </c>
      <c r="AB64" s="105">
        <f t="shared" si="83"/>
        <v>0</v>
      </c>
      <c r="AC64" s="84" t="str">
        <f t="shared" si="84"/>
        <v/>
      </c>
      <c r="AD64" s="126" t="str">
        <f t="shared" si="64"/>
        <v/>
      </c>
      <c r="AE64" s="89" t="str">
        <f t="shared" si="49"/>
        <v/>
      </c>
      <c r="AF64" s="104" t="str">
        <f t="shared" si="50"/>
        <v/>
      </c>
      <c r="AG64" s="128" t="str">
        <f t="shared" si="65"/>
        <v/>
      </c>
      <c r="AH64" s="126" t="str">
        <f t="shared" si="66"/>
        <v/>
      </c>
      <c r="AI64" s="89" t="str">
        <f t="shared" si="51"/>
        <v/>
      </c>
      <c r="AJ64" s="122" t="str">
        <f t="shared" si="52"/>
        <v/>
      </c>
      <c r="AK64" s="123" t="str">
        <f t="shared" si="67"/>
        <v/>
      </c>
      <c r="AL64" s="129" t="str">
        <f t="shared" si="68"/>
        <v/>
      </c>
      <c r="AM64" s="89">
        <f t="shared" si="53"/>
        <v>0</v>
      </c>
      <c r="AN64" s="84" t="str">
        <f t="shared" si="54"/>
        <v/>
      </c>
      <c r="AO64" s="84" t="str">
        <f t="shared" si="55"/>
        <v/>
      </c>
      <c r="AP64" s="84" t="str">
        <f t="shared" si="56"/>
        <v/>
      </c>
      <c r="AQ64" s="84">
        <f t="shared" si="69"/>
        <v>0</v>
      </c>
      <c r="AR64" s="84"/>
      <c r="AS64" s="85"/>
      <c r="AT64" s="85"/>
      <c r="AU64" s="87" t="str">
        <f>IF(ISERROR(VLOOKUP(C64,'SDDA Dogs'!A:O,6,FALSE)),"",VLOOKUP(C64,'SDDA Dogs'!A:O,6,FALSE))</f>
        <v/>
      </c>
      <c r="AV64" s="84">
        <f t="shared" si="70"/>
        <v>0</v>
      </c>
      <c r="AW64" s="84">
        <f t="shared" si="71"/>
        <v>0</v>
      </c>
      <c r="AX64" s="88">
        <f t="shared" si="72"/>
        <v>0</v>
      </c>
      <c r="AZ64" s="132">
        <f t="shared" si="58"/>
        <v>0</v>
      </c>
      <c r="BA64" s="132">
        <f t="shared" si="59"/>
        <v>0</v>
      </c>
      <c r="BB64" s="87"/>
      <c r="BC64" s="262">
        <f>_xlfn.IFNA(IF(I64="Pass",IF(AND(G64&gt;=IFERROR(INDEX($C$5:$W$34,MATCH(C64,$C$5:$C$34,0),5),0),G64&gt;=IFERROR(INDEX(DogInfo!A:B,MATCH(C64&amp;$BC$4,DogInfo!A:A,0),2),0)),G64,IF(AND(IFERROR(INDEX($C$5:$W$34,MATCH(C64,$C$5:$C$34,0),5),0)&gt;=O64,IFERROR(INDEX($C$5:$W$34,MATCH(C64,$C$5:$C$34,0),5),0)&gt;=IFERROR(INDEX(DogInfo!A:B,MATCH(C64&amp;$BC$4,DogInfo!A:A,0),2),0)),IFERROR(INDEX($C$5:$W$34,MATCH(C64,$C$5:$C$34,0),5),0),IF(AND(IFERROR(INDEX(DogInfo!A:B,MATCH(C64&amp;$BC$4,DogInfo!A:A,0),2),0)&gt;=IFERROR(INDEX($C$5:$W$34,MATCH(C64,$C$5:$C$34,0),5),0),IFERROR(INDEX(DogInfo!A:B,MATCH(C64&amp;$BC$4,DogInfo!A:A,0),2),0)&gt;=G64),IFERROR(INDEX(DogInfo!A:B,MATCH(C64&amp;$BC$4,DogInfo!A:A,0),2),0),"Error"))),IFERROR(INDEX($C$5:$BE$34,MATCH(C64,$C$5:$C$34,0),53),IFERROR(INDEX(DogInfo!A:B,MATCH(C64&amp;$BC$4,DogInfo!A:A,0),2),0))),"")</f>
        <v>0</v>
      </c>
      <c r="BD64" s="262">
        <f>_xlfn.IFNA(IF(Q64="Pass",IF(AND(O64&gt;=IFERROR(INDEX($C$5:$W$34,MATCH(C64,$C$5:$C$34,0),13),0),O64&gt;=IFERROR(INDEX(DogInfo!A:B,MATCH(C64&amp;$BD$4,DogInfo!A:A,0),2),0)),O64,IF(AND(IFERROR(INDEX($C$5:$W$34,MATCH(C64,$C$5:$C$34,0),13),0)&gt;=O64,IFERROR(INDEX($C$5:$W$34,MATCH(C64,$C$5:$C$34,0),13),0)&gt;=IFERROR(INDEX(DogInfo!A:B,MATCH(C64&amp;$BD$4,DogInfo!A:A,0),2),0)),IFERROR(INDEX($C$5:$W$34,MATCH(C64,$C$5:$C$34,0),13),0),IF(AND(IFERROR(INDEX(DogInfo!A:B,MATCH(C64&amp;$BD$4,DogInfo!A:A,0),2),0)&gt;=IFERROR(INDEX($C$5:$W$34,MATCH(C64,$C$5:$C$34,0),13),0),IFERROR(INDEX(DogInfo!A:B,MATCH(C64&amp;$BD$4,DogInfo!A:A,0),2),0)&gt;=O64),IFERROR(INDEX(DogInfo!A:B,MATCH(C64&amp;$BD$4,DogInfo!A:A,0),2),0),"Error"))),IFERROR(INDEX($C$5:$BE$34,MATCH(C64,$C$5:$C$34,0),54),IFERROR(INDEX(DogInfo!A:B,MATCH(C64&amp;$BD$4,DogInfo!A:A,0),2),0))),"")</f>
        <v>0</v>
      </c>
      <c r="BE64" s="262">
        <f>_xlfn.IFNA(IF(Y64="Pass",IF(AND(W64&gt;=IFERROR(INDEX($C$5:$W$34,MATCH(C64,$C$5:$C$34,0),21),0),O64&gt;=IFERROR(INDEX(DogInfo!A:B,MATCH(C64&amp;$BE$4,DogInfo!A:A,0),2),0)),W64,IF(AND(IFERROR(INDEX($C$5:$W$34,MATCH(C64,$C$5:$C$34,0),21),0)&gt;=W64,IFERROR(INDEX($C$5:$W$34,MATCH(C64,$C$5:$C$34,0),21),0)&gt;=IFERROR(INDEX(DogInfo!A:B,MATCH(C64&amp;$BE$4,DogInfo!A:A,0),2),0)),IFERROR(INDEX($C$5:$W$34,MATCH(C64,$C$5:$C$34,0),21),0),IF(AND(IFERROR(INDEX(DogInfo!A:B,MATCH(C64&amp;$BE$4,DogInfo!A:A,0),2),0)&gt;=IFERROR(INDEX($C$5:$W$34,MATCH(C64,$C$5:$C$34,0),21),0),IFERROR(INDEX(DogInfo!A:B,MATCH(C64&amp;$BE$4,DogInfo!A:A,0),2),0)&gt;=W64),IFERROR(INDEX(DogInfo!A:B,MATCH(C64&amp;$BE$4,DogInfo!A:A,0),2),0),"Error"))),IFERROR(INDEX($C$5:$BE$34,MATCH(C64,$C$5:$C$34,0),55),IFERROR(INDEX(DogInfo!A:B,MATCH(C64&amp;$BE$4,DogInfo!A:A,0),2),0))),"")</f>
        <v>0</v>
      </c>
    </row>
    <row r="65" spans="1:57" s="9" customFormat="1" ht="12.75" x14ac:dyDescent="0.2">
      <c r="A65" s="99">
        <f t="shared" si="85"/>
        <v>21</v>
      </c>
      <c r="B65" s="100"/>
      <c r="C65" s="120"/>
      <c r="D65" s="102" t="str">
        <f>IF($C65="","",VLOOKUP($C65,'SDDA Dogs'!$A:$F,2,FALSE))</f>
        <v/>
      </c>
      <c r="E65" s="211">
        <f t="shared" si="60"/>
        <v>1</v>
      </c>
      <c r="F65" s="121" t="str">
        <f>IF($C65="","",IF(ISERROR(VLOOKUP($C65,$C$5:$AP$34,38,FALSE)=TRUE),VLOOKUP($C65,'SDDA Dogs'!$A:$O,7,FALSE),VLOOKUP($C65,$C$5:$AP$34,38,FALSE)))</f>
        <v/>
      </c>
      <c r="G65" s="137"/>
      <c r="H65" s="217"/>
      <c r="I65" s="84" t="str">
        <f t="shared" si="61"/>
        <v/>
      </c>
      <c r="J65" s="105">
        <f t="shared" si="73"/>
        <v>0</v>
      </c>
      <c r="K65" s="84" t="str">
        <f t="shared" si="74"/>
        <v/>
      </c>
      <c r="L65" s="105">
        <f t="shared" si="75"/>
        <v>0</v>
      </c>
      <c r="M65" s="84" t="str">
        <f t="shared" si="76"/>
        <v/>
      </c>
      <c r="N65" s="125" t="str">
        <f>IF($C65="","",IF(ISERROR(VLOOKUP($C65,$C$5:$AP$34,39,FALSE)=TRUE),VLOOKUP($C65,'SDDA Dogs'!$A:$O,8,FALSE),VLOOKUP($C65,$C$5:$AP$34,39,FALSE)))</f>
        <v/>
      </c>
      <c r="O65" s="137"/>
      <c r="P65" s="217"/>
      <c r="Q65" s="84" t="str">
        <f t="shared" si="62"/>
        <v/>
      </c>
      <c r="R65" s="105">
        <f t="shared" si="77"/>
        <v>0</v>
      </c>
      <c r="S65" s="84" t="str">
        <f t="shared" si="78"/>
        <v/>
      </c>
      <c r="T65" s="105">
        <f t="shared" si="79"/>
        <v>0</v>
      </c>
      <c r="U65" s="84" t="str">
        <f t="shared" si="80"/>
        <v/>
      </c>
      <c r="V65" s="125" t="str">
        <f>IF($C65="","",IF(ISERROR(VLOOKUP($C65,$C$5:$AP$34,40,FALSE)=TRUE),VLOOKUP($C65,'SDDA Dogs'!$A:$O,9,FALSE),VLOOKUP($C65,$C$5:$AP$34,40,FALSE)))</f>
        <v/>
      </c>
      <c r="W65" s="137"/>
      <c r="X65" s="217"/>
      <c r="Y65" s="84" t="str">
        <f t="shared" si="63"/>
        <v/>
      </c>
      <c r="Z65" s="105">
        <f t="shared" si="81"/>
        <v>0</v>
      </c>
      <c r="AA65" s="84" t="str">
        <f t="shared" si="82"/>
        <v/>
      </c>
      <c r="AB65" s="105">
        <f t="shared" si="83"/>
        <v>0</v>
      </c>
      <c r="AC65" s="84" t="str">
        <f t="shared" si="84"/>
        <v/>
      </c>
      <c r="AD65" s="126" t="str">
        <f t="shared" si="64"/>
        <v/>
      </c>
      <c r="AE65" s="89" t="str">
        <f t="shared" si="49"/>
        <v/>
      </c>
      <c r="AF65" s="104" t="str">
        <f t="shared" si="50"/>
        <v/>
      </c>
      <c r="AG65" s="128" t="str">
        <f t="shared" si="65"/>
        <v/>
      </c>
      <c r="AH65" s="126" t="str">
        <f t="shared" si="66"/>
        <v/>
      </c>
      <c r="AI65" s="89" t="str">
        <f t="shared" si="51"/>
        <v/>
      </c>
      <c r="AJ65" s="122" t="str">
        <f t="shared" si="52"/>
        <v/>
      </c>
      <c r="AK65" s="123" t="str">
        <f t="shared" si="67"/>
        <v/>
      </c>
      <c r="AL65" s="129" t="str">
        <f t="shared" si="68"/>
        <v/>
      </c>
      <c r="AM65" s="89">
        <f t="shared" si="53"/>
        <v>0</v>
      </c>
      <c r="AN65" s="84" t="str">
        <f t="shared" si="54"/>
        <v/>
      </c>
      <c r="AO65" s="84" t="str">
        <f t="shared" si="55"/>
        <v/>
      </c>
      <c r="AP65" s="84" t="str">
        <f t="shared" si="56"/>
        <v/>
      </c>
      <c r="AQ65" s="84">
        <f t="shared" si="69"/>
        <v>0</v>
      </c>
      <c r="AR65" s="84"/>
      <c r="AS65" s="85"/>
      <c r="AT65" s="85"/>
      <c r="AU65" s="87" t="str">
        <f>IF(ISERROR(VLOOKUP(C65,'SDDA Dogs'!A:O,6,FALSE)),"",VLOOKUP(C65,'SDDA Dogs'!A:O,6,FALSE))</f>
        <v/>
      </c>
      <c r="AV65" s="84">
        <f t="shared" si="70"/>
        <v>0</v>
      </c>
      <c r="AW65" s="84">
        <f t="shared" si="71"/>
        <v>0</v>
      </c>
      <c r="AX65" s="88">
        <f t="shared" si="72"/>
        <v>0</v>
      </c>
      <c r="AZ65" s="132">
        <f t="shared" si="58"/>
        <v>0</v>
      </c>
      <c r="BA65" s="132">
        <f t="shared" si="59"/>
        <v>0</v>
      </c>
      <c r="BB65" s="87"/>
      <c r="BC65" s="262">
        <f>_xlfn.IFNA(IF(I65="Pass",IF(AND(G65&gt;=IFERROR(INDEX($C$5:$W$34,MATCH(C65,$C$5:$C$34,0),5),0),G65&gt;=IFERROR(INDEX(DogInfo!A:B,MATCH(C65&amp;$BC$4,DogInfo!A:A,0),2),0)),G65,IF(AND(IFERROR(INDEX($C$5:$W$34,MATCH(C65,$C$5:$C$34,0),5),0)&gt;=O65,IFERROR(INDEX($C$5:$W$34,MATCH(C65,$C$5:$C$34,0),5),0)&gt;=IFERROR(INDEX(DogInfo!A:B,MATCH(C65&amp;$BC$4,DogInfo!A:A,0),2),0)),IFERROR(INDEX($C$5:$W$34,MATCH(C65,$C$5:$C$34,0),5),0),IF(AND(IFERROR(INDEX(DogInfo!A:B,MATCH(C65&amp;$BC$4,DogInfo!A:A,0),2),0)&gt;=IFERROR(INDEX($C$5:$W$34,MATCH(C65,$C$5:$C$34,0),5),0),IFERROR(INDEX(DogInfo!A:B,MATCH(C65&amp;$BC$4,DogInfo!A:A,0),2),0)&gt;=G65),IFERROR(INDEX(DogInfo!A:B,MATCH(C65&amp;$BC$4,DogInfo!A:A,0),2),0),"Error"))),IFERROR(INDEX($C$5:$BE$34,MATCH(C65,$C$5:$C$34,0),53),IFERROR(INDEX(DogInfo!A:B,MATCH(C65&amp;$BC$4,DogInfo!A:A,0),2),0))),"")</f>
        <v>0</v>
      </c>
      <c r="BD65" s="262">
        <f>_xlfn.IFNA(IF(Q65="Pass",IF(AND(O65&gt;=IFERROR(INDEX($C$5:$W$34,MATCH(C65,$C$5:$C$34,0),13),0),O65&gt;=IFERROR(INDEX(DogInfo!A:B,MATCH(C65&amp;$BD$4,DogInfo!A:A,0),2),0)),O65,IF(AND(IFERROR(INDEX($C$5:$W$34,MATCH(C65,$C$5:$C$34,0),13),0)&gt;=O65,IFERROR(INDEX($C$5:$W$34,MATCH(C65,$C$5:$C$34,0),13),0)&gt;=IFERROR(INDEX(DogInfo!A:B,MATCH(C65&amp;$BD$4,DogInfo!A:A,0),2),0)),IFERROR(INDEX($C$5:$W$34,MATCH(C65,$C$5:$C$34,0),13),0),IF(AND(IFERROR(INDEX(DogInfo!A:B,MATCH(C65&amp;$BD$4,DogInfo!A:A,0),2),0)&gt;=IFERROR(INDEX($C$5:$W$34,MATCH(C65,$C$5:$C$34,0),13),0),IFERROR(INDEX(DogInfo!A:B,MATCH(C65&amp;$BD$4,DogInfo!A:A,0),2),0)&gt;=O65),IFERROR(INDEX(DogInfo!A:B,MATCH(C65&amp;$BD$4,DogInfo!A:A,0),2),0),"Error"))),IFERROR(INDEX($C$5:$BE$34,MATCH(C65,$C$5:$C$34,0),54),IFERROR(INDEX(DogInfo!A:B,MATCH(C65&amp;$BD$4,DogInfo!A:A,0),2),0))),"")</f>
        <v>0</v>
      </c>
      <c r="BE65" s="262">
        <f>_xlfn.IFNA(IF(Y65="Pass",IF(AND(W65&gt;=IFERROR(INDEX($C$5:$W$34,MATCH(C65,$C$5:$C$34,0),21),0),O65&gt;=IFERROR(INDEX(DogInfo!A:B,MATCH(C65&amp;$BE$4,DogInfo!A:A,0),2),0)),W65,IF(AND(IFERROR(INDEX($C$5:$W$34,MATCH(C65,$C$5:$C$34,0),21),0)&gt;=W65,IFERROR(INDEX($C$5:$W$34,MATCH(C65,$C$5:$C$34,0),21),0)&gt;=IFERROR(INDEX(DogInfo!A:B,MATCH(C65&amp;$BE$4,DogInfo!A:A,0),2),0)),IFERROR(INDEX($C$5:$W$34,MATCH(C65,$C$5:$C$34,0),21),0),IF(AND(IFERROR(INDEX(DogInfo!A:B,MATCH(C65&amp;$BE$4,DogInfo!A:A,0),2),0)&gt;=IFERROR(INDEX($C$5:$W$34,MATCH(C65,$C$5:$C$34,0),21),0),IFERROR(INDEX(DogInfo!A:B,MATCH(C65&amp;$BE$4,DogInfo!A:A,0),2),0)&gt;=W65),IFERROR(INDEX(DogInfo!A:B,MATCH(C65&amp;$BE$4,DogInfo!A:A,0),2),0),"Error"))),IFERROR(INDEX($C$5:$BE$34,MATCH(C65,$C$5:$C$34,0),55),IFERROR(INDEX(DogInfo!A:B,MATCH(C65&amp;$BE$4,DogInfo!A:A,0),2),0))),"")</f>
        <v>0</v>
      </c>
    </row>
    <row r="66" spans="1:57" s="9" customFormat="1" ht="12.75" x14ac:dyDescent="0.2">
      <c r="A66" s="99">
        <f t="shared" si="85"/>
        <v>22</v>
      </c>
      <c r="B66" s="100"/>
      <c r="C66" s="120"/>
      <c r="D66" s="102" t="str">
        <f>IF($C66="","",VLOOKUP($C66,'SDDA Dogs'!$A:$F,2,FALSE))</f>
        <v/>
      </c>
      <c r="E66" s="211">
        <f t="shared" si="60"/>
        <v>1</v>
      </c>
      <c r="F66" s="121" t="str">
        <f>IF($C66="","",IF(ISERROR(VLOOKUP($C66,$C$5:$AP$34,38,FALSE)=TRUE),VLOOKUP($C66,'SDDA Dogs'!$A:$O,7,FALSE),VLOOKUP($C66,$C$5:$AP$34,38,FALSE)))</f>
        <v/>
      </c>
      <c r="G66" s="137"/>
      <c r="H66" s="217"/>
      <c r="I66" s="84" t="str">
        <f t="shared" si="61"/>
        <v/>
      </c>
      <c r="J66" s="105">
        <f t="shared" si="73"/>
        <v>0</v>
      </c>
      <c r="K66" s="84" t="str">
        <f t="shared" si="74"/>
        <v/>
      </c>
      <c r="L66" s="105">
        <f t="shared" si="75"/>
        <v>0</v>
      </c>
      <c r="M66" s="84" t="str">
        <f t="shared" si="76"/>
        <v/>
      </c>
      <c r="N66" s="125" t="str">
        <f>IF($C66="","",IF(ISERROR(VLOOKUP($C66,$C$5:$AP$34,39,FALSE)=TRUE),VLOOKUP($C66,'SDDA Dogs'!$A:$O,8,FALSE),VLOOKUP($C66,$C$5:$AP$34,39,FALSE)))</f>
        <v/>
      </c>
      <c r="O66" s="137"/>
      <c r="P66" s="217"/>
      <c r="Q66" s="84" t="str">
        <f t="shared" si="62"/>
        <v/>
      </c>
      <c r="R66" s="105">
        <f t="shared" si="77"/>
        <v>0</v>
      </c>
      <c r="S66" s="84" t="str">
        <f t="shared" si="78"/>
        <v/>
      </c>
      <c r="T66" s="105">
        <f t="shared" si="79"/>
        <v>0</v>
      </c>
      <c r="U66" s="84" t="str">
        <f t="shared" si="80"/>
        <v/>
      </c>
      <c r="V66" s="125" t="str">
        <f>IF($C66="","",IF(ISERROR(VLOOKUP($C66,$C$5:$AP$34,40,FALSE)=TRUE),VLOOKUP($C66,'SDDA Dogs'!$A:$O,9,FALSE),VLOOKUP($C66,$C$5:$AP$34,40,FALSE)))</f>
        <v/>
      </c>
      <c r="W66" s="137"/>
      <c r="X66" s="217"/>
      <c r="Y66" s="84" t="str">
        <f t="shared" si="63"/>
        <v/>
      </c>
      <c r="Z66" s="105">
        <f t="shared" si="81"/>
        <v>0</v>
      </c>
      <c r="AA66" s="84" t="str">
        <f t="shared" si="82"/>
        <v/>
      </c>
      <c r="AB66" s="105">
        <f t="shared" si="83"/>
        <v>0</v>
      </c>
      <c r="AC66" s="84" t="str">
        <f t="shared" si="84"/>
        <v/>
      </c>
      <c r="AD66" s="126" t="str">
        <f t="shared" si="64"/>
        <v/>
      </c>
      <c r="AE66" s="89" t="str">
        <f t="shared" si="49"/>
        <v/>
      </c>
      <c r="AF66" s="104" t="str">
        <f t="shared" si="50"/>
        <v/>
      </c>
      <c r="AG66" s="128" t="str">
        <f t="shared" si="65"/>
        <v/>
      </c>
      <c r="AH66" s="126" t="str">
        <f t="shared" si="66"/>
        <v/>
      </c>
      <c r="AI66" s="89" t="str">
        <f t="shared" si="51"/>
        <v/>
      </c>
      <c r="AJ66" s="122" t="str">
        <f t="shared" si="52"/>
        <v/>
      </c>
      <c r="AK66" s="123" t="str">
        <f t="shared" si="67"/>
        <v/>
      </c>
      <c r="AL66" s="129" t="str">
        <f t="shared" si="68"/>
        <v/>
      </c>
      <c r="AM66" s="89">
        <f t="shared" si="53"/>
        <v>0</v>
      </c>
      <c r="AN66" s="84" t="str">
        <f t="shared" si="54"/>
        <v/>
      </c>
      <c r="AO66" s="84" t="str">
        <f t="shared" si="55"/>
        <v/>
      </c>
      <c r="AP66" s="84" t="str">
        <f t="shared" si="56"/>
        <v/>
      </c>
      <c r="AQ66" s="84">
        <f t="shared" si="69"/>
        <v>0</v>
      </c>
      <c r="AR66" s="84"/>
      <c r="AS66" s="85"/>
      <c r="AT66" s="85"/>
      <c r="AU66" s="87" t="str">
        <f>IF(ISERROR(VLOOKUP(C66,'SDDA Dogs'!A:O,6,FALSE)),"",VLOOKUP(C66,'SDDA Dogs'!A:O,6,FALSE))</f>
        <v/>
      </c>
      <c r="AV66" s="84">
        <f t="shared" si="70"/>
        <v>0</v>
      </c>
      <c r="AW66" s="84">
        <f t="shared" si="71"/>
        <v>0</v>
      </c>
      <c r="AX66" s="88">
        <f t="shared" si="72"/>
        <v>0</v>
      </c>
      <c r="AZ66" s="132">
        <f t="shared" si="58"/>
        <v>0</v>
      </c>
      <c r="BA66" s="132">
        <f t="shared" si="59"/>
        <v>0</v>
      </c>
      <c r="BB66" s="87"/>
      <c r="BC66" s="262">
        <f>_xlfn.IFNA(IF(I66="Pass",IF(AND(G66&gt;=IFERROR(INDEX($C$5:$W$34,MATCH(C66,$C$5:$C$34,0),5),0),G66&gt;=IFERROR(INDEX(DogInfo!A:B,MATCH(C66&amp;$BC$4,DogInfo!A:A,0),2),0)),G66,IF(AND(IFERROR(INDEX($C$5:$W$34,MATCH(C66,$C$5:$C$34,0),5),0)&gt;=O66,IFERROR(INDEX($C$5:$W$34,MATCH(C66,$C$5:$C$34,0),5),0)&gt;=IFERROR(INDEX(DogInfo!A:B,MATCH(C66&amp;$BC$4,DogInfo!A:A,0),2),0)),IFERROR(INDEX($C$5:$W$34,MATCH(C66,$C$5:$C$34,0),5),0),IF(AND(IFERROR(INDEX(DogInfo!A:B,MATCH(C66&amp;$BC$4,DogInfo!A:A,0),2),0)&gt;=IFERROR(INDEX($C$5:$W$34,MATCH(C66,$C$5:$C$34,0),5),0),IFERROR(INDEX(DogInfo!A:B,MATCH(C66&amp;$BC$4,DogInfo!A:A,0),2),0)&gt;=G66),IFERROR(INDEX(DogInfo!A:B,MATCH(C66&amp;$BC$4,DogInfo!A:A,0),2),0),"Error"))),IFERROR(INDEX($C$5:$BE$34,MATCH(C66,$C$5:$C$34,0),53),IFERROR(INDEX(DogInfo!A:B,MATCH(C66&amp;$BC$4,DogInfo!A:A,0),2),0))),"")</f>
        <v>0</v>
      </c>
      <c r="BD66" s="262">
        <f>_xlfn.IFNA(IF(Q66="Pass",IF(AND(O66&gt;=IFERROR(INDEX($C$5:$W$34,MATCH(C66,$C$5:$C$34,0),13),0),O66&gt;=IFERROR(INDEX(DogInfo!A:B,MATCH(C66&amp;$BD$4,DogInfo!A:A,0),2),0)),O66,IF(AND(IFERROR(INDEX($C$5:$W$34,MATCH(C66,$C$5:$C$34,0),13),0)&gt;=O66,IFERROR(INDEX($C$5:$W$34,MATCH(C66,$C$5:$C$34,0),13),0)&gt;=IFERROR(INDEX(DogInfo!A:B,MATCH(C66&amp;$BD$4,DogInfo!A:A,0),2),0)),IFERROR(INDEX($C$5:$W$34,MATCH(C66,$C$5:$C$34,0),13),0),IF(AND(IFERROR(INDEX(DogInfo!A:B,MATCH(C66&amp;$BD$4,DogInfo!A:A,0),2),0)&gt;=IFERROR(INDEX($C$5:$W$34,MATCH(C66,$C$5:$C$34,0),13),0),IFERROR(INDEX(DogInfo!A:B,MATCH(C66&amp;$BD$4,DogInfo!A:A,0),2),0)&gt;=O66),IFERROR(INDEX(DogInfo!A:B,MATCH(C66&amp;$BD$4,DogInfo!A:A,0),2),0),"Error"))),IFERROR(INDEX($C$5:$BE$34,MATCH(C66,$C$5:$C$34,0),54),IFERROR(INDEX(DogInfo!A:B,MATCH(C66&amp;$BD$4,DogInfo!A:A,0),2),0))),"")</f>
        <v>0</v>
      </c>
      <c r="BE66" s="262">
        <f>_xlfn.IFNA(IF(Y66="Pass",IF(AND(W66&gt;=IFERROR(INDEX($C$5:$W$34,MATCH(C66,$C$5:$C$34,0),21),0),O66&gt;=IFERROR(INDEX(DogInfo!A:B,MATCH(C66&amp;$BE$4,DogInfo!A:A,0),2),0)),W66,IF(AND(IFERROR(INDEX($C$5:$W$34,MATCH(C66,$C$5:$C$34,0),21),0)&gt;=W66,IFERROR(INDEX($C$5:$W$34,MATCH(C66,$C$5:$C$34,0),21),0)&gt;=IFERROR(INDEX(DogInfo!A:B,MATCH(C66&amp;$BE$4,DogInfo!A:A,0),2),0)),IFERROR(INDEX($C$5:$W$34,MATCH(C66,$C$5:$C$34,0),21),0),IF(AND(IFERROR(INDEX(DogInfo!A:B,MATCH(C66&amp;$BE$4,DogInfo!A:A,0),2),0)&gt;=IFERROR(INDEX($C$5:$W$34,MATCH(C66,$C$5:$C$34,0),21),0),IFERROR(INDEX(DogInfo!A:B,MATCH(C66&amp;$BE$4,DogInfo!A:A,0),2),0)&gt;=W66),IFERROR(INDEX(DogInfo!A:B,MATCH(C66&amp;$BE$4,DogInfo!A:A,0),2),0),"Error"))),IFERROR(INDEX($C$5:$BE$34,MATCH(C66,$C$5:$C$34,0),55),IFERROR(INDEX(DogInfo!A:B,MATCH(C66&amp;$BE$4,DogInfo!A:A,0),2),0))),"")</f>
        <v>0</v>
      </c>
    </row>
    <row r="67" spans="1:57" s="9" customFormat="1" ht="12.75" x14ac:dyDescent="0.2">
      <c r="A67" s="99">
        <f t="shared" si="85"/>
        <v>23</v>
      </c>
      <c r="B67" s="100"/>
      <c r="C67" s="120"/>
      <c r="D67" s="102" t="str">
        <f>IF($C67="","",VLOOKUP($C67,'SDDA Dogs'!$A:$F,2,FALSE))</f>
        <v/>
      </c>
      <c r="E67" s="211">
        <f t="shared" si="60"/>
        <v>1</v>
      </c>
      <c r="F67" s="121" t="str">
        <f>IF($C67="","",IF(ISERROR(VLOOKUP($C67,$C$5:$AP$34,38,FALSE)=TRUE),VLOOKUP($C67,'SDDA Dogs'!$A:$O,7,FALSE),VLOOKUP($C67,$C$5:$AP$34,38,FALSE)))</f>
        <v/>
      </c>
      <c r="G67" s="137"/>
      <c r="H67" s="217"/>
      <c r="I67" s="84" t="str">
        <f t="shared" si="61"/>
        <v/>
      </c>
      <c r="J67" s="105">
        <f t="shared" si="73"/>
        <v>0</v>
      </c>
      <c r="K67" s="84" t="str">
        <f t="shared" si="74"/>
        <v/>
      </c>
      <c r="L67" s="105">
        <f t="shared" si="75"/>
        <v>0</v>
      </c>
      <c r="M67" s="84" t="str">
        <f t="shared" si="76"/>
        <v/>
      </c>
      <c r="N67" s="125" t="str">
        <f>IF($C67="","",IF(ISERROR(VLOOKUP($C67,$C$5:$AP$34,39,FALSE)=TRUE),VLOOKUP($C67,'SDDA Dogs'!$A:$O,8,FALSE),VLOOKUP($C67,$C$5:$AP$34,39,FALSE)))</f>
        <v/>
      </c>
      <c r="O67" s="137"/>
      <c r="P67" s="217"/>
      <c r="Q67" s="84" t="str">
        <f t="shared" si="62"/>
        <v/>
      </c>
      <c r="R67" s="105">
        <f t="shared" si="77"/>
        <v>0</v>
      </c>
      <c r="S67" s="84" t="str">
        <f t="shared" si="78"/>
        <v/>
      </c>
      <c r="T67" s="105">
        <f t="shared" si="79"/>
        <v>0</v>
      </c>
      <c r="U67" s="84" t="str">
        <f t="shared" si="80"/>
        <v/>
      </c>
      <c r="V67" s="125" t="str">
        <f>IF($C67="","",IF(ISERROR(VLOOKUP($C67,$C$5:$AP$34,40,FALSE)=TRUE),VLOOKUP($C67,'SDDA Dogs'!$A:$O,9,FALSE),VLOOKUP($C67,$C$5:$AP$34,40,FALSE)))</f>
        <v/>
      </c>
      <c r="W67" s="137"/>
      <c r="X67" s="217"/>
      <c r="Y67" s="84" t="str">
        <f t="shared" si="63"/>
        <v/>
      </c>
      <c r="Z67" s="105">
        <f t="shared" si="81"/>
        <v>0</v>
      </c>
      <c r="AA67" s="84" t="str">
        <f t="shared" si="82"/>
        <v/>
      </c>
      <c r="AB67" s="105">
        <f t="shared" si="83"/>
        <v>0</v>
      </c>
      <c r="AC67" s="84" t="str">
        <f t="shared" si="84"/>
        <v/>
      </c>
      <c r="AD67" s="126" t="str">
        <f t="shared" si="64"/>
        <v/>
      </c>
      <c r="AE67" s="89" t="str">
        <f t="shared" si="49"/>
        <v/>
      </c>
      <c r="AF67" s="104" t="str">
        <f t="shared" si="50"/>
        <v/>
      </c>
      <c r="AG67" s="128" t="str">
        <f t="shared" si="65"/>
        <v/>
      </c>
      <c r="AH67" s="126" t="str">
        <f t="shared" si="66"/>
        <v/>
      </c>
      <c r="AI67" s="89" t="str">
        <f t="shared" si="51"/>
        <v/>
      </c>
      <c r="AJ67" s="122" t="str">
        <f t="shared" si="52"/>
        <v/>
      </c>
      <c r="AK67" s="123" t="str">
        <f t="shared" si="67"/>
        <v/>
      </c>
      <c r="AL67" s="129" t="str">
        <f t="shared" si="68"/>
        <v/>
      </c>
      <c r="AM67" s="89">
        <f t="shared" si="53"/>
        <v>0</v>
      </c>
      <c r="AN67" s="84" t="str">
        <f t="shared" si="54"/>
        <v/>
      </c>
      <c r="AO67" s="84" t="str">
        <f t="shared" si="55"/>
        <v/>
      </c>
      <c r="AP67" s="84" t="str">
        <f t="shared" si="56"/>
        <v/>
      </c>
      <c r="AQ67" s="84">
        <f t="shared" si="69"/>
        <v>0</v>
      </c>
      <c r="AR67" s="84"/>
      <c r="AS67" s="85"/>
      <c r="AT67" s="85"/>
      <c r="AU67" s="87" t="str">
        <f>IF(ISERROR(VLOOKUP(C67,'SDDA Dogs'!A:O,6,FALSE)),"",VLOOKUP(C67,'SDDA Dogs'!A:O,6,FALSE))</f>
        <v/>
      </c>
      <c r="AV67" s="84">
        <f t="shared" si="70"/>
        <v>0</v>
      </c>
      <c r="AW67" s="84">
        <f t="shared" si="71"/>
        <v>0</v>
      </c>
      <c r="AX67" s="88">
        <f t="shared" si="72"/>
        <v>0</v>
      </c>
      <c r="AZ67" s="132">
        <f t="shared" si="58"/>
        <v>0</v>
      </c>
      <c r="BA67" s="132">
        <f t="shared" si="59"/>
        <v>0</v>
      </c>
      <c r="BB67" s="87"/>
      <c r="BC67" s="262">
        <f>_xlfn.IFNA(IF(I67="Pass",IF(AND(G67&gt;=IFERROR(INDEX($C$5:$W$34,MATCH(C67,$C$5:$C$34,0),5),0),G67&gt;=IFERROR(INDEX(DogInfo!A:B,MATCH(C67&amp;$BC$4,DogInfo!A:A,0),2),0)),G67,IF(AND(IFERROR(INDEX($C$5:$W$34,MATCH(C67,$C$5:$C$34,0),5),0)&gt;=O67,IFERROR(INDEX($C$5:$W$34,MATCH(C67,$C$5:$C$34,0),5),0)&gt;=IFERROR(INDEX(DogInfo!A:B,MATCH(C67&amp;$BC$4,DogInfo!A:A,0),2),0)),IFERROR(INDEX($C$5:$W$34,MATCH(C67,$C$5:$C$34,0),5),0),IF(AND(IFERROR(INDEX(DogInfo!A:B,MATCH(C67&amp;$BC$4,DogInfo!A:A,0),2),0)&gt;=IFERROR(INDEX($C$5:$W$34,MATCH(C67,$C$5:$C$34,0),5),0),IFERROR(INDEX(DogInfo!A:B,MATCH(C67&amp;$BC$4,DogInfo!A:A,0),2),0)&gt;=G67),IFERROR(INDEX(DogInfo!A:B,MATCH(C67&amp;$BC$4,DogInfo!A:A,0),2),0),"Error"))),IFERROR(INDEX($C$5:$BE$34,MATCH(C67,$C$5:$C$34,0),53),IFERROR(INDEX(DogInfo!A:B,MATCH(C67&amp;$BC$4,DogInfo!A:A,0),2),0))),"")</f>
        <v>0</v>
      </c>
      <c r="BD67" s="262">
        <f>_xlfn.IFNA(IF(Q67="Pass",IF(AND(O67&gt;=IFERROR(INDEX($C$5:$W$34,MATCH(C67,$C$5:$C$34,0),13),0),O67&gt;=IFERROR(INDEX(DogInfo!A:B,MATCH(C67&amp;$BD$4,DogInfo!A:A,0),2),0)),O67,IF(AND(IFERROR(INDEX($C$5:$W$34,MATCH(C67,$C$5:$C$34,0),13),0)&gt;=O67,IFERROR(INDEX($C$5:$W$34,MATCH(C67,$C$5:$C$34,0),13),0)&gt;=IFERROR(INDEX(DogInfo!A:B,MATCH(C67&amp;$BD$4,DogInfo!A:A,0),2),0)),IFERROR(INDEX($C$5:$W$34,MATCH(C67,$C$5:$C$34,0),13),0),IF(AND(IFERROR(INDEX(DogInfo!A:B,MATCH(C67&amp;$BD$4,DogInfo!A:A,0),2),0)&gt;=IFERROR(INDEX($C$5:$W$34,MATCH(C67,$C$5:$C$34,0),13),0),IFERROR(INDEX(DogInfo!A:B,MATCH(C67&amp;$BD$4,DogInfo!A:A,0),2),0)&gt;=O67),IFERROR(INDEX(DogInfo!A:B,MATCH(C67&amp;$BD$4,DogInfo!A:A,0),2),0),"Error"))),IFERROR(INDEX($C$5:$BE$34,MATCH(C67,$C$5:$C$34,0),54),IFERROR(INDEX(DogInfo!A:B,MATCH(C67&amp;$BD$4,DogInfo!A:A,0),2),0))),"")</f>
        <v>0</v>
      </c>
      <c r="BE67" s="262">
        <f>_xlfn.IFNA(IF(Y67="Pass",IF(AND(W67&gt;=IFERROR(INDEX($C$5:$W$34,MATCH(C67,$C$5:$C$34,0),21),0),O67&gt;=IFERROR(INDEX(DogInfo!A:B,MATCH(C67&amp;$BE$4,DogInfo!A:A,0),2),0)),W67,IF(AND(IFERROR(INDEX($C$5:$W$34,MATCH(C67,$C$5:$C$34,0),21),0)&gt;=W67,IFERROR(INDEX($C$5:$W$34,MATCH(C67,$C$5:$C$34,0),21),0)&gt;=IFERROR(INDEX(DogInfo!A:B,MATCH(C67&amp;$BE$4,DogInfo!A:A,0),2),0)),IFERROR(INDEX($C$5:$W$34,MATCH(C67,$C$5:$C$34,0),21),0),IF(AND(IFERROR(INDEX(DogInfo!A:B,MATCH(C67&amp;$BE$4,DogInfo!A:A,0),2),0)&gt;=IFERROR(INDEX($C$5:$W$34,MATCH(C67,$C$5:$C$34,0),21),0),IFERROR(INDEX(DogInfo!A:B,MATCH(C67&amp;$BE$4,DogInfo!A:A,0),2),0)&gt;=W67),IFERROR(INDEX(DogInfo!A:B,MATCH(C67&amp;$BE$4,DogInfo!A:A,0),2),0),"Error"))),IFERROR(INDEX($C$5:$BE$34,MATCH(C67,$C$5:$C$34,0),55),IFERROR(INDEX(DogInfo!A:B,MATCH(C67&amp;$BE$4,DogInfo!A:A,0),2),0))),"")</f>
        <v>0</v>
      </c>
    </row>
    <row r="68" spans="1:57" s="9" customFormat="1" ht="12.75" x14ac:dyDescent="0.2">
      <c r="A68" s="99">
        <f t="shared" si="85"/>
        <v>24</v>
      </c>
      <c r="B68" s="100"/>
      <c r="C68" s="120"/>
      <c r="D68" s="102" t="str">
        <f>IF($C68="","",VLOOKUP($C68,'SDDA Dogs'!$A:$F,2,FALSE))</f>
        <v/>
      </c>
      <c r="E68" s="211">
        <f t="shared" si="60"/>
        <v>1</v>
      </c>
      <c r="F68" s="121" t="str">
        <f>IF($C68="","",IF(ISERROR(VLOOKUP($C68,$C$5:$AP$34,38,FALSE)=TRUE),VLOOKUP($C68,'SDDA Dogs'!$A:$O,7,FALSE),VLOOKUP($C68,$C$5:$AP$34,38,FALSE)))</f>
        <v/>
      </c>
      <c r="G68" s="137"/>
      <c r="H68" s="217"/>
      <c r="I68" s="84" t="str">
        <f t="shared" si="61"/>
        <v/>
      </c>
      <c r="J68" s="105">
        <f t="shared" si="73"/>
        <v>0</v>
      </c>
      <c r="K68" s="84" t="str">
        <f t="shared" si="74"/>
        <v/>
      </c>
      <c r="L68" s="105">
        <f t="shared" si="75"/>
        <v>0</v>
      </c>
      <c r="M68" s="84" t="str">
        <f t="shared" si="76"/>
        <v/>
      </c>
      <c r="N68" s="125" t="str">
        <f>IF($C68="","",IF(ISERROR(VLOOKUP($C68,$C$5:$AP$34,39,FALSE)=TRUE),VLOOKUP($C68,'SDDA Dogs'!$A:$O,8,FALSE),VLOOKUP($C68,$C$5:$AP$34,39,FALSE)))</f>
        <v/>
      </c>
      <c r="O68" s="137"/>
      <c r="P68" s="217"/>
      <c r="Q68" s="84" t="str">
        <f t="shared" si="62"/>
        <v/>
      </c>
      <c r="R68" s="105">
        <f t="shared" si="77"/>
        <v>0</v>
      </c>
      <c r="S68" s="84" t="str">
        <f t="shared" si="78"/>
        <v/>
      </c>
      <c r="T68" s="105">
        <f t="shared" si="79"/>
        <v>0</v>
      </c>
      <c r="U68" s="84" t="str">
        <f t="shared" si="80"/>
        <v/>
      </c>
      <c r="V68" s="125" t="str">
        <f>IF($C68="","",IF(ISERROR(VLOOKUP($C68,$C$5:$AP$34,40,FALSE)=TRUE),VLOOKUP($C68,'SDDA Dogs'!$A:$O,9,FALSE),VLOOKUP($C68,$C$5:$AP$34,40,FALSE)))</f>
        <v/>
      </c>
      <c r="W68" s="137"/>
      <c r="X68" s="217"/>
      <c r="Y68" s="84" t="str">
        <f t="shared" si="63"/>
        <v/>
      </c>
      <c r="Z68" s="105">
        <f t="shared" si="81"/>
        <v>0</v>
      </c>
      <c r="AA68" s="84" t="str">
        <f t="shared" si="82"/>
        <v/>
      </c>
      <c r="AB68" s="105">
        <f t="shared" si="83"/>
        <v>0</v>
      </c>
      <c r="AC68" s="84" t="str">
        <f t="shared" si="84"/>
        <v/>
      </c>
      <c r="AD68" s="126" t="str">
        <f t="shared" si="64"/>
        <v/>
      </c>
      <c r="AE68" s="89" t="str">
        <f t="shared" si="49"/>
        <v/>
      </c>
      <c r="AF68" s="104" t="str">
        <f t="shared" si="50"/>
        <v/>
      </c>
      <c r="AG68" s="128" t="str">
        <f t="shared" si="65"/>
        <v/>
      </c>
      <c r="AH68" s="126" t="str">
        <f t="shared" si="66"/>
        <v/>
      </c>
      <c r="AI68" s="89" t="str">
        <f t="shared" si="51"/>
        <v/>
      </c>
      <c r="AJ68" s="122" t="str">
        <f t="shared" si="52"/>
        <v/>
      </c>
      <c r="AK68" s="123" t="str">
        <f t="shared" si="67"/>
        <v/>
      </c>
      <c r="AL68" s="129" t="str">
        <f t="shared" si="68"/>
        <v/>
      </c>
      <c r="AM68" s="89">
        <f t="shared" si="53"/>
        <v>0</v>
      </c>
      <c r="AN68" s="84" t="str">
        <f t="shared" si="54"/>
        <v/>
      </c>
      <c r="AO68" s="84" t="str">
        <f t="shared" si="55"/>
        <v/>
      </c>
      <c r="AP68" s="84" t="str">
        <f t="shared" si="56"/>
        <v/>
      </c>
      <c r="AQ68" s="84">
        <f t="shared" si="69"/>
        <v>0</v>
      </c>
      <c r="AR68" s="84"/>
      <c r="AS68" s="85"/>
      <c r="AT68" s="85"/>
      <c r="AU68" s="87" t="str">
        <f>IF(ISERROR(VLOOKUP(C68,'SDDA Dogs'!A:O,6,FALSE)),"",VLOOKUP(C68,'SDDA Dogs'!A:O,6,FALSE))</f>
        <v/>
      </c>
      <c r="AV68" s="84">
        <f t="shared" si="70"/>
        <v>0</v>
      </c>
      <c r="AW68" s="84">
        <f t="shared" si="71"/>
        <v>0</v>
      </c>
      <c r="AX68" s="88">
        <f t="shared" si="72"/>
        <v>0</v>
      </c>
      <c r="AZ68" s="132">
        <f t="shared" si="58"/>
        <v>0</v>
      </c>
      <c r="BA68" s="132">
        <f t="shared" si="59"/>
        <v>0</v>
      </c>
      <c r="BB68" s="87"/>
      <c r="BC68" s="262">
        <f>_xlfn.IFNA(IF(I68="Pass",IF(AND(G68&gt;=IFERROR(INDEX($C$5:$W$34,MATCH(C68,$C$5:$C$34,0),5),0),G68&gt;=IFERROR(INDEX(DogInfo!A:B,MATCH(C68&amp;$BC$4,DogInfo!A:A,0),2),0)),G68,IF(AND(IFERROR(INDEX($C$5:$W$34,MATCH(C68,$C$5:$C$34,0),5),0)&gt;=O68,IFERROR(INDEX($C$5:$W$34,MATCH(C68,$C$5:$C$34,0),5),0)&gt;=IFERROR(INDEX(DogInfo!A:B,MATCH(C68&amp;$BC$4,DogInfo!A:A,0),2),0)),IFERROR(INDEX($C$5:$W$34,MATCH(C68,$C$5:$C$34,0),5),0),IF(AND(IFERROR(INDEX(DogInfo!A:B,MATCH(C68&amp;$BC$4,DogInfo!A:A,0),2),0)&gt;=IFERROR(INDEX($C$5:$W$34,MATCH(C68,$C$5:$C$34,0),5),0),IFERROR(INDEX(DogInfo!A:B,MATCH(C68&amp;$BC$4,DogInfo!A:A,0),2),0)&gt;=G68),IFERROR(INDEX(DogInfo!A:B,MATCH(C68&amp;$BC$4,DogInfo!A:A,0),2),0),"Error"))),IFERROR(INDEX($C$5:$BE$34,MATCH(C68,$C$5:$C$34,0),53),IFERROR(INDEX(DogInfo!A:B,MATCH(C68&amp;$BC$4,DogInfo!A:A,0),2),0))),"")</f>
        <v>0</v>
      </c>
      <c r="BD68" s="262">
        <f>_xlfn.IFNA(IF(Q68="Pass",IF(AND(O68&gt;=IFERROR(INDEX($C$5:$W$34,MATCH(C68,$C$5:$C$34,0),13),0),O68&gt;=IFERROR(INDEX(DogInfo!A:B,MATCH(C68&amp;$BD$4,DogInfo!A:A,0),2),0)),O68,IF(AND(IFERROR(INDEX($C$5:$W$34,MATCH(C68,$C$5:$C$34,0),13),0)&gt;=O68,IFERROR(INDEX($C$5:$W$34,MATCH(C68,$C$5:$C$34,0),13),0)&gt;=IFERROR(INDEX(DogInfo!A:B,MATCH(C68&amp;$BD$4,DogInfo!A:A,0),2),0)),IFERROR(INDEX($C$5:$W$34,MATCH(C68,$C$5:$C$34,0),13),0),IF(AND(IFERROR(INDEX(DogInfo!A:B,MATCH(C68&amp;$BD$4,DogInfo!A:A,0),2),0)&gt;=IFERROR(INDEX($C$5:$W$34,MATCH(C68,$C$5:$C$34,0),13),0),IFERROR(INDEX(DogInfo!A:B,MATCH(C68&amp;$BD$4,DogInfo!A:A,0),2),0)&gt;=O68),IFERROR(INDEX(DogInfo!A:B,MATCH(C68&amp;$BD$4,DogInfo!A:A,0),2),0),"Error"))),IFERROR(INDEX($C$5:$BE$34,MATCH(C68,$C$5:$C$34,0),54),IFERROR(INDEX(DogInfo!A:B,MATCH(C68&amp;$BD$4,DogInfo!A:A,0),2),0))),"")</f>
        <v>0</v>
      </c>
      <c r="BE68" s="262">
        <f>_xlfn.IFNA(IF(Y68="Pass",IF(AND(W68&gt;=IFERROR(INDEX($C$5:$W$34,MATCH(C68,$C$5:$C$34,0),21),0),O68&gt;=IFERROR(INDEX(DogInfo!A:B,MATCH(C68&amp;$BE$4,DogInfo!A:A,0),2),0)),W68,IF(AND(IFERROR(INDEX($C$5:$W$34,MATCH(C68,$C$5:$C$34,0),21),0)&gt;=W68,IFERROR(INDEX($C$5:$W$34,MATCH(C68,$C$5:$C$34,0),21),0)&gt;=IFERROR(INDEX(DogInfo!A:B,MATCH(C68&amp;$BE$4,DogInfo!A:A,0),2),0)),IFERROR(INDEX($C$5:$W$34,MATCH(C68,$C$5:$C$34,0),21),0),IF(AND(IFERROR(INDEX(DogInfo!A:B,MATCH(C68&amp;$BE$4,DogInfo!A:A,0),2),0)&gt;=IFERROR(INDEX($C$5:$W$34,MATCH(C68,$C$5:$C$34,0),21),0),IFERROR(INDEX(DogInfo!A:B,MATCH(C68&amp;$BE$4,DogInfo!A:A,0),2),0)&gt;=W68),IFERROR(INDEX(DogInfo!A:B,MATCH(C68&amp;$BE$4,DogInfo!A:A,0),2),0),"Error"))),IFERROR(INDEX($C$5:$BE$34,MATCH(C68,$C$5:$C$34,0),55),IFERROR(INDEX(DogInfo!A:B,MATCH(C68&amp;$BE$4,DogInfo!A:A,0),2),0))),"")</f>
        <v>0</v>
      </c>
    </row>
    <row r="69" spans="1:57" s="9" customFormat="1" ht="12.75" x14ac:dyDescent="0.2">
      <c r="A69" s="99">
        <f t="shared" si="85"/>
        <v>25</v>
      </c>
      <c r="B69" s="100"/>
      <c r="C69" s="120"/>
      <c r="D69" s="102" t="str">
        <f>IF($C69="","",VLOOKUP($C69,'SDDA Dogs'!$A:$F,2,FALSE))</f>
        <v/>
      </c>
      <c r="E69" s="211">
        <f t="shared" si="60"/>
        <v>1</v>
      </c>
      <c r="F69" s="121" t="str">
        <f>IF($C69="","",IF(ISERROR(VLOOKUP($C69,$C$5:$AP$34,38,FALSE)=TRUE),VLOOKUP($C69,'SDDA Dogs'!$A:$O,7,FALSE),VLOOKUP($C69,$C$5:$AP$34,38,FALSE)))</f>
        <v/>
      </c>
      <c r="G69" s="137"/>
      <c r="H69" s="217"/>
      <c r="I69" s="84" t="str">
        <f t="shared" si="61"/>
        <v/>
      </c>
      <c r="J69" s="105">
        <f t="shared" si="73"/>
        <v>0</v>
      </c>
      <c r="K69" s="84" t="str">
        <f t="shared" si="74"/>
        <v/>
      </c>
      <c r="L69" s="105">
        <f t="shared" si="75"/>
        <v>0</v>
      </c>
      <c r="M69" s="84" t="str">
        <f t="shared" si="76"/>
        <v/>
      </c>
      <c r="N69" s="125" t="str">
        <f>IF($C69="","",IF(ISERROR(VLOOKUP($C69,$C$5:$AP$34,39,FALSE)=TRUE),VLOOKUP($C69,'SDDA Dogs'!$A:$O,8,FALSE),VLOOKUP($C69,$C$5:$AP$34,39,FALSE)))</f>
        <v/>
      </c>
      <c r="O69" s="137"/>
      <c r="P69" s="217"/>
      <c r="Q69" s="84" t="str">
        <f t="shared" si="62"/>
        <v/>
      </c>
      <c r="R69" s="105">
        <f t="shared" si="77"/>
        <v>0</v>
      </c>
      <c r="S69" s="84" t="str">
        <f t="shared" si="78"/>
        <v/>
      </c>
      <c r="T69" s="105">
        <f t="shared" si="79"/>
        <v>0</v>
      </c>
      <c r="U69" s="84" t="str">
        <f t="shared" si="80"/>
        <v/>
      </c>
      <c r="V69" s="125" t="str">
        <f>IF($C69="","",IF(ISERROR(VLOOKUP($C69,$C$5:$AP$34,40,FALSE)=TRUE),VLOOKUP($C69,'SDDA Dogs'!$A:$O,9,FALSE),VLOOKUP($C69,$C$5:$AP$34,40,FALSE)))</f>
        <v/>
      </c>
      <c r="W69" s="137"/>
      <c r="X69" s="217"/>
      <c r="Y69" s="84" t="str">
        <f t="shared" si="63"/>
        <v/>
      </c>
      <c r="Z69" s="105">
        <f t="shared" si="81"/>
        <v>0</v>
      </c>
      <c r="AA69" s="84" t="str">
        <f t="shared" si="82"/>
        <v/>
      </c>
      <c r="AB69" s="105">
        <f t="shared" si="83"/>
        <v>0</v>
      </c>
      <c r="AC69" s="84" t="str">
        <f t="shared" si="84"/>
        <v/>
      </c>
      <c r="AD69" s="126" t="str">
        <f t="shared" si="64"/>
        <v/>
      </c>
      <c r="AE69" s="89" t="str">
        <f t="shared" si="49"/>
        <v/>
      </c>
      <c r="AF69" s="104" t="str">
        <f t="shared" si="50"/>
        <v/>
      </c>
      <c r="AG69" s="128" t="str">
        <f t="shared" si="65"/>
        <v/>
      </c>
      <c r="AH69" s="126" t="str">
        <f t="shared" si="66"/>
        <v/>
      </c>
      <c r="AI69" s="89" t="str">
        <f t="shared" si="51"/>
        <v/>
      </c>
      <c r="AJ69" s="122" t="str">
        <f t="shared" si="52"/>
        <v/>
      </c>
      <c r="AK69" s="123" t="str">
        <f t="shared" si="67"/>
        <v/>
      </c>
      <c r="AL69" s="129" t="str">
        <f t="shared" si="68"/>
        <v/>
      </c>
      <c r="AM69" s="89">
        <f t="shared" si="53"/>
        <v>0</v>
      </c>
      <c r="AN69" s="84" t="str">
        <f t="shared" si="54"/>
        <v/>
      </c>
      <c r="AO69" s="84" t="str">
        <f t="shared" si="55"/>
        <v/>
      </c>
      <c r="AP69" s="84" t="str">
        <f t="shared" si="56"/>
        <v/>
      </c>
      <c r="AQ69" s="84">
        <f t="shared" si="69"/>
        <v>0</v>
      </c>
      <c r="AR69" s="84"/>
      <c r="AS69" s="85"/>
      <c r="AT69" s="85"/>
      <c r="AU69" s="87" t="str">
        <f>IF(ISERROR(VLOOKUP(C69,'SDDA Dogs'!A:O,6,FALSE)),"",VLOOKUP(C69,'SDDA Dogs'!A:O,6,FALSE))</f>
        <v/>
      </c>
      <c r="AV69" s="84">
        <f t="shared" si="70"/>
        <v>0</v>
      </c>
      <c r="AW69" s="84">
        <f t="shared" si="71"/>
        <v>0</v>
      </c>
      <c r="AX69" s="88">
        <f t="shared" si="72"/>
        <v>0</v>
      </c>
      <c r="AZ69" s="132">
        <f t="shared" si="58"/>
        <v>0</v>
      </c>
      <c r="BA69" s="132">
        <f t="shared" si="59"/>
        <v>0</v>
      </c>
      <c r="BB69" s="87"/>
      <c r="BC69" s="262">
        <f>_xlfn.IFNA(IF(I69="Pass",IF(AND(G69&gt;=IFERROR(INDEX($C$5:$W$34,MATCH(C69,$C$5:$C$34,0),5),0),G69&gt;=IFERROR(INDEX(DogInfo!A:B,MATCH(C69&amp;$BC$4,DogInfo!A:A,0),2),0)),G69,IF(AND(IFERROR(INDEX($C$5:$W$34,MATCH(C69,$C$5:$C$34,0),5),0)&gt;=O69,IFERROR(INDEX($C$5:$W$34,MATCH(C69,$C$5:$C$34,0),5),0)&gt;=IFERROR(INDEX(DogInfo!A:B,MATCH(C69&amp;$BC$4,DogInfo!A:A,0),2),0)),IFERROR(INDEX($C$5:$W$34,MATCH(C69,$C$5:$C$34,0),5),0),IF(AND(IFERROR(INDEX(DogInfo!A:B,MATCH(C69&amp;$BC$4,DogInfo!A:A,0),2),0)&gt;=IFERROR(INDEX($C$5:$W$34,MATCH(C69,$C$5:$C$34,0),5),0),IFERROR(INDEX(DogInfo!A:B,MATCH(C69&amp;$BC$4,DogInfo!A:A,0),2),0)&gt;=G69),IFERROR(INDEX(DogInfo!A:B,MATCH(C69&amp;$BC$4,DogInfo!A:A,0),2),0),"Error"))),IFERROR(INDEX($C$5:$BE$34,MATCH(C69,$C$5:$C$34,0),53),IFERROR(INDEX(DogInfo!A:B,MATCH(C69&amp;$BC$4,DogInfo!A:A,0),2),0))),"")</f>
        <v>0</v>
      </c>
      <c r="BD69" s="262">
        <f>_xlfn.IFNA(IF(Q69="Pass",IF(AND(O69&gt;=IFERROR(INDEX($C$5:$W$34,MATCH(C69,$C$5:$C$34,0),13),0),O69&gt;=IFERROR(INDEX(DogInfo!A:B,MATCH(C69&amp;$BD$4,DogInfo!A:A,0),2),0)),O69,IF(AND(IFERROR(INDEX($C$5:$W$34,MATCH(C69,$C$5:$C$34,0),13),0)&gt;=O69,IFERROR(INDEX($C$5:$W$34,MATCH(C69,$C$5:$C$34,0),13),0)&gt;=IFERROR(INDEX(DogInfo!A:B,MATCH(C69&amp;$BD$4,DogInfo!A:A,0),2),0)),IFERROR(INDEX($C$5:$W$34,MATCH(C69,$C$5:$C$34,0),13),0),IF(AND(IFERROR(INDEX(DogInfo!A:B,MATCH(C69&amp;$BD$4,DogInfo!A:A,0),2),0)&gt;=IFERROR(INDEX($C$5:$W$34,MATCH(C69,$C$5:$C$34,0),13),0),IFERROR(INDEX(DogInfo!A:B,MATCH(C69&amp;$BD$4,DogInfo!A:A,0),2),0)&gt;=O69),IFERROR(INDEX(DogInfo!A:B,MATCH(C69&amp;$BD$4,DogInfo!A:A,0),2),0),"Error"))),IFERROR(INDEX($C$5:$BE$34,MATCH(C69,$C$5:$C$34,0),54),IFERROR(INDEX(DogInfo!A:B,MATCH(C69&amp;$BD$4,DogInfo!A:A,0),2),0))),"")</f>
        <v>0</v>
      </c>
      <c r="BE69" s="262">
        <f>_xlfn.IFNA(IF(Y69="Pass",IF(AND(W69&gt;=IFERROR(INDEX($C$5:$W$34,MATCH(C69,$C$5:$C$34,0),21),0),O69&gt;=IFERROR(INDEX(DogInfo!A:B,MATCH(C69&amp;$BE$4,DogInfo!A:A,0),2),0)),W69,IF(AND(IFERROR(INDEX($C$5:$W$34,MATCH(C69,$C$5:$C$34,0),21),0)&gt;=W69,IFERROR(INDEX($C$5:$W$34,MATCH(C69,$C$5:$C$34,0),21),0)&gt;=IFERROR(INDEX(DogInfo!A:B,MATCH(C69&amp;$BE$4,DogInfo!A:A,0),2),0)),IFERROR(INDEX($C$5:$W$34,MATCH(C69,$C$5:$C$34,0),21),0),IF(AND(IFERROR(INDEX(DogInfo!A:B,MATCH(C69&amp;$BE$4,DogInfo!A:A,0),2),0)&gt;=IFERROR(INDEX($C$5:$W$34,MATCH(C69,$C$5:$C$34,0),21),0),IFERROR(INDEX(DogInfo!A:B,MATCH(C69&amp;$BE$4,DogInfo!A:A,0),2),0)&gt;=W69),IFERROR(INDEX(DogInfo!A:B,MATCH(C69&amp;$BE$4,DogInfo!A:A,0),2),0),"Error"))),IFERROR(INDEX($C$5:$BE$34,MATCH(C69,$C$5:$C$34,0),55),IFERROR(INDEX(DogInfo!A:B,MATCH(C69&amp;$BE$4,DogInfo!A:A,0),2),0))),"")</f>
        <v>0</v>
      </c>
    </row>
    <row r="70" spans="1:57" s="9" customFormat="1" ht="12.75" x14ac:dyDescent="0.2">
      <c r="A70" s="99">
        <f t="shared" si="85"/>
        <v>26</v>
      </c>
      <c r="B70" s="100"/>
      <c r="C70" s="120"/>
      <c r="D70" s="102" t="str">
        <f>IF($C70="","",VLOOKUP($C70,'SDDA Dogs'!$A:$F,2,FALSE))</f>
        <v/>
      </c>
      <c r="E70" s="211">
        <f t="shared" si="60"/>
        <v>1</v>
      </c>
      <c r="F70" s="121" t="str">
        <f>IF($C70="","",IF(ISERROR(VLOOKUP($C70,$C$5:$AP$34,38,FALSE)=TRUE),VLOOKUP($C70,'SDDA Dogs'!$A:$O,7,FALSE),VLOOKUP($C70,$C$5:$AP$34,38,FALSE)))</f>
        <v/>
      </c>
      <c r="G70" s="137"/>
      <c r="H70" s="217"/>
      <c r="I70" s="84" t="str">
        <f t="shared" si="61"/>
        <v/>
      </c>
      <c r="J70" s="105">
        <f t="shared" si="73"/>
        <v>0</v>
      </c>
      <c r="K70" s="84" t="str">
        <f t="shared" si="74"/>
        <v/>
      </c>
      <c r="L70" s="105">
        <f t="shared" si="75"/>
        <v>0</v>
      </c>
      <c r="M70" s="84" t="str">
        <f t="shared" si="76"/>
        <v/>
      </c>
      <c r="N70" s="125" t="str">
        <f>IF($C70="","",IF(ISERROR(VLOOKUP($C70,$C$5:$AP$34,39,FALSE)=TRUE),VLOOKUP($C70,'SDDA Dogs'!$A:$O,8,FALSE),VLOOKUP($C70,$C$5:$AP$34,39,FALSE)))</f>
        <v/>
      </c>
      <c r="O70" s="137"/>
      <c r="P70" s="217"/>
      <c r="Q70" s="84" t="str">
        <f t="shared" si="62"/>
        <v/>
      </c>
      <c r="R70" s="105">
        <f t="shared" si="77"/>
        <v>0</v>
      </c>
      <c r="S70" s="84" t="str">
        <f t="shared" si="78"/>
        <v/>
      </c>
      <c r="T70" s="105">
        <f t="shared" si="79"/>
        <v>0</v>
      </c>
      <c r="U70" s="84" t="str">
        <f t="shared" si="80"/>
        <v/>
      </c>
      <c r="V70" s="125" t="str">
        <f>IF($C70="","",IF(ISERROR(VLOOKUP($C70,$C$5:$AP$34,40,FALSE)=TRUE),VLOOKUP($C70,'SDDA Dogs'!$A:$O,9,FALSE),VLOOKUP($C70,$C$5:$AP$34,40,FALSE)))</f>
        <v/>
      </c>
      <c r="W70" s="137"/>
      <c r="X70" s="217"/>
      <c r="Y70" s="84" t="str">
        <f t="shared" si="63"/>
        <v/>
      </c>
      <c r="Z70" s="105">
        <f t="shared" si="81"/>
        <v>0</v>
      </c>
      <c r="AA70" s="84" t="str">
        <f t="shared" si="82"/>
        <v/>
      </c>
      <c r="AB70" s="105">
        <f t="shared" si="83"/>
        <v>0</v>
      </c>
      <c r="AC70" s="84" t="str">
        <f t="shared" si="84"/>
        <v/>
      </c>
      <c r="AD70" s="126" t="str">
        <f t="shared" si="64"/>
        <v/>
      </c>
      <c r="AE70" s="89" t="str">
        <f t="shared" si="49"/>
        <v/>
      </c>
      <c r="AF70" s="104" t="str">
        <f t="shared" si="50"/>
        <v/>
      </c>
      <c r="AG70" s="128" t="str">
        <f t="shared" si="65"/>
        <v/>
      </c>
      <c r="AH70" s="126" t="str">
        <f t="shared" si="66"/>
        <v/>
      </c>
      <c r="AI70" s="89" t="str">
        <f t="shared" si="51"/>
        <v/>
      </c>
      <c r="AJ70" s="122" t="str">
        <f t="shared" si="52"/>
        <v/>
      </c>
      <c r="AK70" s="123" t="str">
        <f t="shared" si="67"/>
        <v/>
      </c>
      <c r="AL70" s="129" t="str">
        <f t="shared" si="68"/>
        <v/>
      </c>
      <c r="AM70" s="89">
        <f t="shared" si="53"/>
        <v>0</v>
      </c>
      <c r="AN70" s="84" t="str">
        <f t="shared" si="54"/>
        <v/>
      </c>
      <c r="AO70" s="84" t="str">
        <f t="shared" si="55"/>
        <v/>
      </c>
      <c r="AP70" s="84" t="str">
        <f t="shared" si="56"/>
        <v/>
      </c>
      <c r="AQ70" s="84">
        <f t="shared" si="69"/>
        <v>0</v>
      </c>
      <c r="AR70" s="84"/>
      <c r="AS70" s="85"/>
      <c r="AT70" s="85"/>
      <c r="AU70" s="87" t="str">
        <f>IF(ISERROR(VLOOKUP(C70,'SDDA Dogs'!A:O,6,FALSE)),"",VLOOKUP(C70,'SDDA Dogs'!A:O,6,FALSE))</f>
        <v/>
      </c>
      <c r="AV70" s="84">
        <f t="shared" si="70"/>
        <v>0</v>
      </c>
      <c r="AW70" s="84">
        <f t="shared" si="71"/>
        <v>0</v>
      </c>
      <c r="AX70" s="88">
        <f t="shared" si="72"/>
        <v>0</v>
      </c>
      <c r="AZ70" s="132">
        <f t="shared" si="58"/>
        <v>0</v>
      </c>
      <c r="BA70" s="132">
        <f t="shared" si="59"/>
        <v>0</v>
      </c>
      <c r="BB70" s="87"/>
      <c r="BC70" s="262">
        <f>_xlfn.IFNA(IF(I70="Pass",IF(AND(G70&gt;=IFERROR(INDEX($C$5:$W$34,MATCH(C70,$C$5:$C$34,0),5),0),G70&gt;=IFERROR(INDEX(DogInfo!A:B,MATCH(C70&amp;$BC$4,DogInfo!A:A,0),2),0)),G70,IF(AND(IFERROR(INDEX($C$5:$W$34,MATCH(C70,$C$5:$C$34,0),5),0)&gt;=O70,IFERROR(INDEX($C$5:$W$34,MATCH(C70,$C$5:$C$34,0),5),0)&gt;=IFERROR(INDEX(DogInfo!A:B,MATCH(C70&amp;$BC$4,DogInfo!A:A,0),2),0)),IFERROR(INDEX($C$5:$W$34,MATCH(C70,$C$5:$C$34,0),5),0),IF(AND(IFERROR(INDEX(DogInfo!A:B,MATCH(C70&amp;$BC$4,DogInfo!A:A,0),2),0)&gt;=IFERROR(INDEX($C$5:$W$34,MATCH(C70,$C$5:$C$34,0),5),0),IFERROR(INDEX(DogInfo!A:B,MATCH(C70&amp;$BC$4,DogInfo!A:A,0),2),0)&gt;=G70),IFERROR(INDEX(DogInfo!A:B,MATCH(C70&amp;$BC$4,DogInfo!A:A,0),2),0),"Error"))),IFERROR(INDEX($C$5:$BE$34,MATCH(C70,$C$5:$C$34,0),53),IFERROR(INDEX(DogInfo!A:B,MATCH(C70&amp;$BC$4,DogInfo!A:A,0),2),0))),"")</f>
        <v>0</v>
      </c>
      <c r="BD70" s="262">
        <f>_xlfn.IFNA(IF(Q70="Pass",IF(AND(O70&gt;=IFERROR(INDEX($C$5:$W$34,MATCH(C70,$C$5:$C$34,0),13),0),O70&gt;=IFERROR(INDEX(DogInfo!A:B,MATCH(C70&amp;$BD$4,DogInfo!A:A,0),2),0)),O70,IF(AND(IFERROR(INDEX($C$5:$W$34,MATCH(C70,$C$5:$C$34,0),13),0)&gt;=O70,IFERROR(INDEX($C$5:$W$34,MATCH(C70,$C$5:$C$34,0),13),0)&gt;=IFERROR(INDEX(DogInfo!A:B,MATCH(C70&amp;$BD$4,DogInfo!A:A,0),2),0)),IFERROR(INDEX($C$5:$W$34,MATCH(C70,$C$5:$C$34,0),13),0),IF(AND(IFERROR(INDEX(DogInfo!A:B,MATCH(C70&amp;$BD$4,DogInfo!A:A,0),2),0)&gt;=IFERROR(INDEX($C$5:$W$34,MATCH(C70,$C$5:$C$34,0),13),0),IFERROR(INDEX(DogInfo!A:B,MATCH(C70&amp;$BD$4,DogInfo!A:A,0),2),0)&gt;=O70),IFERROR(INDEX(DogInfo!A:B,MATCH(C70&amp;$BD$4,DogInfo!A:A,0),2),0),"Error"))),IFERROR(INDEX($C$5:$BE$34,MATCH(C70,$C$5:$C$34,0),54),IFERROR(INDEX(DogInfo!A:B,MATCH(C70&amp;$BD$4,DogInfo!A:A,0),2),0))),"")</f>
        <v>0</v>
      </c>
      <c r="BE70" s="262">
        <f>_xlfn.IFNA(IF(Y70="Pass",IF(AND(W70&gt;=IFERROR(INDEX($C$5:$W$34,MATCH(C70,$C$5:$C$34,0),21),0),O70&gt;=IFERROR(INDEX(DogInfo!A:B,MATCH(C70&amp;$BE$4,DogInfo!A:A,0),2),0)),W70,IF(AND(IFERROR(INDEX($C$5:$W$34,MATCH(C70,$C$5:$C$34,0),21),0)&gt;=W70,IFERROR(INDEX($C$5:$W$34,MATCH(C70,$C$5:$C$34,0),21),0)&gt;=IFERROR(INDEX(DogInfo!A:B,MATCH(C70&amp;$BE$4,DogInfo!A:A,0),2),0)),IFERROR(INDEX($C$5:$W$34,MATCH(C70,$C$5:$C$34,0),21),0),IF(AND(IFERROR(INDEX(DogInfo!A:B,MATCH(C70&amp;$BE$4,DogInfo!A:A,0),2),0)&gt;=IFERROR(INDEX($C$5:$W$34,MATCH(C70,$C$5:$C$34,0),21),0),IFERROR(INDEX(DogInfo!A:B,MATCH(C70&amp;$BE$4,DogInfo!A:A,0),2),0)&gt;=W70),IFERROR(INDEX(DogInfo!A:B,MATCH(C70&amp;$BE$4,DogInfo!A:A,0),2),0),"Error"))),IFERROR(INDEX($C$5:$BE$34,MATCH(C70,$C$5:$C$34,0),55),IFERROR(INDEX(DogInfo!A:B,MATCH(C70&amp;$BE$4,DogInfo!A:A,0),2),0))),"")</f>
        <v>0</v>
      </c>
    </row>
    <row r="71" spans="1:57" s="9" customFormat="1" ht="12.75" x14ac:dyDescent="0.2">
      <c r="A71" s="99">
        <f t="shared" si="85"/>
        <v>27</v>
      </c>
      <c r="B71" s="100"/>
      <c r="C71" s="120"/>
      <c r="D71" s="102" t="str">
        <f>IF($C71="","",VLOOKUP($C71,'SDDA Dogs'!$A:$F,2,FALSE))</f>
        <v/>
      </c>
      <c r="E71" s="211">
        <f t="shared" si="60"/>
        <v>1</v>
      </c>
      <c r="F71" s="121" t="str">
        <f>IF($C71="","",IF(ISERROR(VLOOKUP($C71,$C$5:$AP$34,38,FALSE)=TRUE),VLOOKUP($C71,'SDDA Dogs'!$A:$O,7,FALSE),VLOOKUP($C71,$C$5:$AP$34,38,FALSE)))</f>
        <v/>
      </c>
      <c r="G71" s="137"/>
      <c r="H71" s="217"/>
      <c r="I71" s="84" t="str">
        <f t="shared" si="61"/>
        <v/>
      </c>
      <c r="J71" s="105">
        <f t="shared" si="73"/>
        <v>0</v>
      </c>
      <c r="K71" s="84" t="str">
        <f t="shared" si="74"/>
        <v/>
      </c>
      <c r="L71" s="105">
        <f t="shared" si="75"/>
        <v>0</v>
      </c>
      <c r="M71" s="84" t="str">
        <f t="shared" si="76"/>
        <v/>
      </c>
      <c r="N71" s="125" t="str">
        <f>IF($C71="","",IF(ISERROR(VLOOKUP($C71,$C$5:$AP$34,39,FALSE)=TRUE),VLOOKUP($C71,'SDDA Dogs'!$A:$O,8,FALSE),VLOOKUP($C71,$C$5:$AP$34,39,FALSE)))</f>
        <v/>
      </c>
      <c r="O71" s="137"/>
      <c r="P71" s="217"/>
      <c r="Q71" s="84" t="str">
        <f t="shared" si="62"/>
        <v/>
      </c>
      <c r="R71" s="105">
        <f t="shared" si="77"/>
        <v>0</v>
      </c>
      <c r="S71" s="84" t="str">
        <f t="shared" si="78"/>
        <v/>
      </c>
      <c r="T71" s="105">
        <f t="shared" si="79"/>
        <v>0</v>
      </c>
      <c r="U71" s="84" t="str">
        <f t="shared" si="80"/>
        <v/>
      </c>
      <c r="V71" s="125" t="str">
        <f>IF($C71="","",IF(ISERROR(VLOOKUP($C71,$C$5:$AP$34,40,FALSE)=TRUE),VLOOKUP($C71,'SDDA Dogs'!$A:$O,9,FALSE),VLOOKUP($C71,$C$5:$AP$34,40,FALSE)))</f>
        <v/>
      </c>
      <c r="W71" s="137"/>
      <c r="X71" s="217"/>
      <c r="Y71" s="84" t="str">
        <f t="shared" si="63"/>
        <v/>
      </c>
      <c r="Z71" s="105">
        <f t="shared" si="81"/>
        <v>0</v>
      </c>
      <c r="AA71" s="84" t="str">
        <f t="shared" si="82"/>
        <v/>
      </c>
      <c r="AB71" s="105">
        <f t="shared" si="83"/>
        <v>0</v>
      </c>
      <c r="AC71" s="84" t="str">
        <f t="shared" si="84"/>
        <v/>
      </c>
      <c r="AD71" s="126" t="str">
        <f t="shared" si="64"/>
        <v/>
      </c>
      <c r="AE71" s="89" t="str">
        <f t="shared" si="49"/>
        <v/>
      </c>
      <c r="AF71" s="104" t="str">
        <f t="shared" si="50"/>
        <v/>
      </c>
      <c r="AG71" s="128" t="str">
        <f t="shared" si="65"/>
        <v/>
      </c>
      <c r="AH71" s="126" t="str">
        <f t="shared" si="66"/>
        <v/>
      </c>
      <c r="AI71" s="89" t="str">
        <f t="shared" si="51"/>
        <v/>
      </c>
      <c r="AJ71" s="122" t="str">
        <f t="shared" si="52"/>
        <v/>
      </c>
      <c r="AK71" s="123" t="str">
        <f t="shared" si="67"/>
        <v/>
      </c>
      <c r="AL71" s="129" t="str">
        <f t="shared" si="68"/>
        <v/>
      </c>
      <c r="AM71" s="89">
        <f t="shared" si="53"/>
        <v>0</v>
      </c>
      <c r="AN71" s="84" t="str">
        <f t="shared" si="54"/>
        <v/>
      </c>
      <c r="AO71" s="84" t="str">
        <f t="shared" si="55"/>
        <v/>
      </c>
      <c r="AP71" s="84" t="str">
        <f t="shared" si="56"/>
        <v/>
      </c>
      <c r="AQ71" s="84">
        <f t="shared" si="69"/>
        <v>0</v>
      </c>
      <c r="AR71" s="84"/>
      <c r="AS71" s="85"/>
      <c r="AT71" s="85"/>
      <c r="AU71" s="87" t="str">
        <f>IF(ISERROR(VLOOKUP(C71,'SDDA Dogs'!A:O,6,FALSE)),"",VLOOKUP(C71,'SDDA Dogs'!A:O,6,FALSE))</f>
        <v/>
      </c>
      <c r="AV71" s="84">
        <f t="shared" si="70"/>
        <v>0</v>
      </c>
      <c r="AW71" s="84">
        <f t="shared" si="71"/>
        <v>0</v>
      </c>
      <c r="AX71" s="88">
        <f t="shared" si="72"/>
        <v>0</v>
      </c>
      <c r="AZ71" s="132">
        <f t="shared" si="58"/>
        <v>0</v>
      </c>
      <c r="BA71" s="132">
        <f t="shared" si="59"/>
        <v>0</v>
      </c>
      <c r="BB71" s="87"/>
      <c r="BC71" s="262">
        <f>_xlfn.IFNA(IF(I71="Pass",IF(AND(G71&gt;=IFERROR(INDEX($C$5:$W$34,MATCH(C71,$C$5:$C$34,0),5),0),G71&gt;=IFERROR(INDEX(DogInfo!A:B,MATCH(C71&amp;$BC$4,DogInfo!A:A,0),2),0)),G71,IF(AND(IFERROR(INDEX($C$5:$W$34,MATCH(C71,$C$5:$C$34,0),5),0)&gt;=O71,IFERROR(INDEX($C$5:$W$34,MATCH(C71,$C$5:$C$34,0),5),0)&gt;=IFERROR(INDEX(DogInfo!A:B,MATCH(C71&amp;$BC$4,DogInfo!A:A,0),2),0)),IFERROR(INDEX($C$5:$W$34,MATCH(C71,$C$5:$C$34,0),5),0),IF(AND(IFERROR(INDEX(DogInfo!A:B,MATCH(C71&amp;$BC$4,DogInfo!A:A,0),2),0)&gt;=IFERROR(INDEX($C$5:$W$34,MATCH(C71,$C$5:$C$34,0),5),0),IFERROR(INDEX(DogInfo!A:B,MATCH(C71&amp;$BC$4,DogInfo!A:A,0),2),0)&gt;=G71),IFERROR(INDEX(DogInfo!A:B,MATCH(C71&amp;$BC$4,DogInfo!A:A,0),2),0),"Error"))),IFERROR(INDEX($C$5:$BE$34,MATCH(C71,$C$5:$C$34,0),53),IFERROR(INDEX(DogInfo!A:B,MATCH(C71&amp;$BC$4,DogInfo!A:A,0),2),0))),"")</f>
        <v>0</v>
      </c>
      <c r="BD71" s="262">
        <f>_xlfn.IFNA(IF(Q71="Pass",IF(AND(O71&gt;=IFERROR(INDEX($C$5:$W$34,MATCH(C71,$C$5:$C$34,0),13),0),O71&gt;=IFERROR(INDEX(DogInfo!A:B,MATCH(C71&amp;$BD$4,DogInfo!A:A,0),2),0)),O71,IF(AND(IFERROR(INDEX($C$5:$W$34,MATCH(C71,$C$5:$C$34,0),13),0)&gt;=O71,IFERROR(INDEX($C$5:$W$34,MATCH(C71,$C$5:$C$34,0),13),0)&gt;=IFERROR(INDEX(DogInfo!A:B,MATCH(C71&amp;$BD$4,DogInfo!A:A,0),2),0)),IFERROR(INDEX($C$5:$W$34,MATCH(C71,$C$5:$C$34,0),13),0),IF(AND(IFERROR(INDEX(DogInfo!A:B,MATCH(C71&amp;$BD$4,DogInfo!A:A,0),2),0)&gt;=IFERROR(INDEX($C$5:$W$34,MATCH(C71,$C$5:$C$34,0),13),0),IFERROR(INDEX(DogInfo!A:B,MATCH(C71&amp;$BD$4,DogInfo!A:A,0),2),0)&gt;=O71),IFERROR(INDEX(DogInfo!A:B,MATCH(C71&amp;$BD$4,DogInfo!A:A,0),2),0),"Error"))),IFERROR(INDEX($C$5:$BE$34,MATCH(C71,$C$5:$C$34,0),54),IFERROR(INDEX(DogInfo!A:B,MATCH(C71&amp;$BD$4,DogInfo!A:A,0),2),0))),"")</f>
        <v>0</v>
      </c>
      <c r="BE71" s="262">
        <f>_xlfn.IFNA(IF(Y71="Pass",IF(AND(W71&gt;=IFERROR(INDEX($C$5:$W$34,MATCH(C71,$C$5:$C$34,0),21),0),O71&gt;=IFERROR(INDEX(DogInfo!A:B,MATCH(C71&amp;$BE$4,DogInfo!A:A,0),2),0)),W71,IF(AND(IFERROR(INDEX($C$5:$W$34,MATCH(C71,$C$5:$C$34,0),21),0)&gt;=W71,IFERROR(INDEX($C$5:$W$34,MATCH(C71,$C$5:$C$34,0),21),0)&gt;=IFERROR(INDEX(DogInfo!A:B,MATCH(C71&amp;$BE$4,DogInfo!A:A,0),2),0)),IFERROR(INDEX($C$5:$W$34,MATCH(C71,$C$5:$C$34,0),21),0),IF(AND(IFERROR(INDEX(DogInfo!A:B,MATCH(C71&amp;$BE$4,DogInfo!A:A,0),2),0)&gt;=IFERROR(INDEX($C$5:$W$34,MATCH(C71,$C$5:$C$34,0),21),0),IFERROR(INDEX(DogInfo!A:B,MATCH(C71&amp;$BE$4,DogInfo!A:A,0),2),0)&gt;=W71),IFERROR(INDEX(DogInfo!A:B,MATCH(C71&amp;$BE$4,DogInfo!A:A,0),2),0),"Error"))),IFERROR(INDEX($C$5:$BE$34,MATCH(C71,$C$5:$C$34,0),55),IFERROR(INDEX(DogInfo!A:B,MATCH(C71&amp;$BE$4,DogInfo!A:A,0),2),0))),"")</f>
        <v>0</v>
      </c>
    </row>
    <row r="72" spans="1:57" s="9" customFormat="1" ht="12.75" x14ac:dyDescent="0.2">
      <c r="A72" s="99">
        <f t="shared" si="85"/>
        <v>28</v>
      </c>
      <c r="B72" s="100"/>
      <c r="C72" s="120"/>
      <c r="D72" s="102" t="str">
        <f>IF($C72="","",VLOOKUP($C72,'SDDA Dogs'!$A:$F,2,FALSE))</f>
        <v/>
      </c>
      <c r="E72" s="211">
        <f t="shared" si="60"/>
        <v>1</v>
      </c>
      <c r="F72" s="121" t="str">
        <f>IF($C72="","",IF(ISERROR(VLOOKUP($C72,$C$5:$AP$34,38,FALSE)=TRUE),VLOOKUP($C72,'SDDA Dogs'!$A:$O,7,FALSE),VLOOKUP($C72,$C$5:$AP$34,38,FALSE)))</f>
        <v/>
      </c>
      <c r="G72" s="137"/>
      <c r="H72" s="217"/>
      <c r="I72" s="84" t="str">
        <f t="shared" si="61"/>
        <v/>
      </c>
      <c r="J72" s="105">
        <f t="shared" si="73"/>
        <v>0</v>
      </c>
      <c r="K72" s="84" t="str">
        <f t="shared" si="74"/>
        <v/>
      </c>
      <c r="L72" s="105">
        <f t="shared" si="75"/>
        <v>0</v>
      </c>
      <c r="M72" s="84" t="str">
        <f t="shared" si="76"/>
        <v/>
      </c>
      <c r="N72" s="125" t="str">
        <f>IF($C72="","",IF(ISERROR(VLOOKUP($C72,$C$5:$AP$34,39,FALSE)=TRUE),VLOOKUP($C72,'SDDA Dogs'!$A:$O,8,FALSE),VLOOKUP($C72,$C$5:$AP$34,39,FALSE)))</f>
        <v/>
      </c>
      <c r="O72" s="137"/>
      <c r="P72" s="217"/>
      <c r="Q72" s="84" t="str">
        <f t="shared" si="62"/>
        <v/>
      </c>
      <c r="R72" s="105">
        <f t="shared" si="77"/>
        <v>0</v>
      </c>
      <c r="S72" s="84" t="str">
        <f t="shared" si="78"/>
        <v/>
      </c>
      <c r="T72" s="105">
        <f t="shared" si="79"/>
        <v>0</v>
      </c>
      <c r="U72" s="84" t="str">
        <f t="shared" si="80"/>
        <v/>
      </c>
      <c r="V72" s="125" t="str">
        <f>IF($C72="","",IF(ISERROR(VLOOKUP($C72,$C$5:$AP$34,40,FALSE)=TRUE),VLOOKUP($C72,'SDDA Dogs'!$A:$O,9,FALSE),VLOOKUP($C72,$C$5:$AP$34,40,FALSE)))</f>
        <v/>
      </c>
      <c r="W72" s="137"/>
      <c r="X72" s="217"/>
      <c r="Y72" s="84" t="str">
        <f t="shared" si="63"/>
        <v/>
      </c>
      <c r="Z72" s="105">
        <f t="shared" si="81"/>
        <v>0</v>
      </c>
      <c r="AA72" s="84" t="str">
        <f t="shared" si="82"/>
        <v/>
      </c>
      <c r="AB72" s="105">
        <f t="shared" si="83"/>
        <v>0</v>
      </c>
      <c r="AC72" s="84" t="str">
        <f t="shared" si="84"/>
        <v/>
      </c>
      <c r="AD72" s="126" t="str">
        <f t="shared" si="64"/>
        <v/>
      </c>
      <c r="AE72" s="89" t="str">
        <f t="shared" si="49"/>
        <v/>
      </c>
      <c r="AF72" s="104" t="str">
        <f t="shared" si="50"/>
        <v/>
      </c>
      <c r="AG72" s="128" t="str">
        <f t="shared" si="65"/>
        <v/>
      </c>
      <c r="AH72" s="126" t="str">
        <f t="shared" si="66"/>
        <v/>
      </c>
      <c r="AI72" s="89" t="str">
        <f t="shared" si="51"/>
        <v/>
      </c>
      <c r="AJ72" s="122" t="str">
        <f t="shared" si="52"/>
        <v/>
      </c>
      <c r="AK72" s="123" t="str">
        <f t="shared" si="67"/>
        <v/>
      </c>
      <c r="AL72" s="129" t="str">
        <f t="shared" si="68"/>
        <v/>
      </c>
      <c r="AM72" s="89">
        <f t="shared" si="53"/>
        <v>0</v>
      </c>
      <c r="AN72" s="84" t="str">
        <f t="shared" si="54"/>
        <v/>
      </c>
      <c r="AO72" s="84" t="str">
        <f t="shared" si="55"/>
        <v/>
      </c>
      <c r="AP72" s="84" t="str">
        <f t="shared" si="56"/>
        <v/>
      </c>
      <c r="AQ72" s="84">
        <f t="shared" si="69"/>
        <v>0</v>
      </c>
      <c r="AR72" s="84"/>
      <c r="AS72" s="85"/>
      <c r="AT72" s="85"/>
      <c r="AU72" s="87" t="str">
        <f>IF(ISERROR(VLOOKUP(C72,'SDDA Dogs'!A:O,6,FALSE)),"",VLOOKUP(C72,'SDDA Dogs'!A:O,6,FALSE))</f>
        <v/>
      </c>
      <c r="AV72" s="84">
        <f t="shared" si="70"/>
        <v>0</v>
      </c>
      <c r="AW72" s="84">
        <f t="shared" si="71"/>
        <v>0</v>
      </c>
      <c r="AX72" s="88">
        <f t="shared" si="72"/>
        <v>0</v>
      </c>
      <c r="AZ72" s="132">
        <f t="shared" si="58"/>
        <v>0</v>
      </c>
      <c r="BA72" s="132">
        <f t="shared" si="59"/>
        <v>0</v>
      </c>
      <c r="BB72" s="87"/>
      <c r="BC72" s="262">
        <f>_xlfn.IFNA(IF(I72="Pass",IF(AND(G72&gt;=IFERROR(INDEX($C$5:$W$34,MATCH(C72,$C$5:$C$34,0),5),0),G72&gt;=IFERROR(INDEX(DogInfo!A:B,MATCH(C72&amp;$BC$4,DogInfo!A:A,0),2),0)),G72,IF(AND(IFERROR(INDEX($C$5:$W$34,MATCH(C72,$C$5:$C$34,0),5),0)&gt;=O72,IFERROR(INDEX($C$5:$W$34,MATCH(C72,$C$5:$C$34,0),5),0)&gt;=IFERROR(INDEX(DogInfo!A:B,MATCH(C72&amp;$BC$4,DogInfo!A:A,0),2),0)),IFERROR(INDEX($C$5:$W$34,MATCH(C72,$C$5:$C$34,0),5),0),IF(AND(IFERROR(INDEX(DogInfo!A:B,MATCH(C72&amp;$BC$4,DogInfo!A:A,0),2),0)&gt;=IFERROR(INDEX($C$5:$W$34,MATCH(C72,$C$5:$C$34,0),5),0),IFERROR(INDEX(DogInfo!A:B,MATCH(C72&amp;$BC$4,DogInfo!A:A,0),2),0)&gt;=G72),IFERROR(INDEX(DogInfo!A:B,MATCH(C72&amp;$BC$4,DogInfo!A:A,0),2),0),"Error"))),IFERROR(INDEX($C$5:$BE$34,MATCH(C72,$C$5:$C$34,0),53),IFERROR(INDEX(DogInfo!A:B,MATCH(C72&amp;$BC$4,DogInfo!A:A,0),2),0))),"")</f>
        <v>0</v>
      </c>
      <c r="BD72" s="262">
        <f>_xlfn.IFNA(IF(Q72="Pass",IF(AND(O72&gt;=IFERROR(INDEX($C$5:$W$34,MATCH(C72,$C$5:$C$34,0),13),0),O72&gt;=IFERROR(INDEX(DogInfo!A:B,MATCH(C72&amp;$BD$4,DogInfo!A:A,0),2),0)),O72,IF(AND(IFERROR(INDEX($C$5:$W$34,MATCH(C72,$C$5:$C$34,0),13),0)&gt;=O72,IFERROR(INDEX($C$5:$W$34,MATCH(C72,$C$5:$C$34,0),13),0)&gt;=IFERROR(INDEX(DogInfo!A:B,MATCH(C72&amp;$BD$4,DogInfo!A:A,0),2),0)),IFERROR(INDEX($C$5:$W$34,MATCH(C72,$C$5:$C$34,0),13),0),IF(AND(IFERROR(INDEX(DogInfo!A:B,MATCH(C72&amp;$BD$4,DogInfo!A:A,0),2),0)&gt;=IFERROR(INDEX($C$5:$W$34,MATCH(C72,$C$5:$C$34,0),13),0),IFERROR(INDEX(DogInfo!A:B,MATCH(C72&amp;$BD$4,DogInfo!A:A,0),2),0)&gt;=O72),IFERROR(INDEX(DogInfo!A:B,MATCH(C72&amp;$BD$4,DogInfo!A:A,0),2),0),"Error"))),IFERROR(INDEX($C$5:$BE$34,MATCH(C72,$C$5:$C$34,0),54),IFERROR(INDEX(DogInfo!A:B,MATCH(C72&amp;$BD$4,DogInfo!A:A,0),2),0))),"")</f>
        <v>0</v>
      </c>
      <c r="BE72" s="262">
        <f>_xlfn.IFNA(IF(Y72="Pass",IF(AND(W72&gt;=IFERROR(INDEX($C$5:$W$34,MATCH(C72,$C$5:$C$34,0),21),0),O72&gt;=IFERROR(INDEX(DogInfo!A:B,MATCH(C72&amp;$BE$4,DogInfo!A:A,0),2),0)),W72,IF(AND(IFERROR(INDEX($C$5:$W$34,MATCH(C72,$C$5:$C$34,0),21),0)&gt;=W72,IFERROR(INDEX($C$5:$W$34,MATCH(C72,$C$5:$C$34,0),21),0)&gt;=IFERROR(INDEX(DogInfo!A:B,MATCH(C72&amp;$BE$4,DogInfo!A:A,0),2),0)),IFERROR(INDEX($C$5:$W$34,MATCH(C72,$C$5:$C$34,0),21),0),IF(AND(IFERROR(INDEX(DogInfo!A:B,MATCH(C72&amp;$BE$4,DogInfo!A:A,0),2),0)&gt;=IFERROR(INDEX($C$5:$W$34,MATCH(C72,$C$5:$C$34,0),21),0),IFERROR(INDEX(DogInfo!A:B,MATCH(C72&amp;$BE$4,DogInfo!A:A,0),2),0)&gt;=W72),IFERROR(INDEX(DogInfo!A:B,MATCH(C72&amp;$BE$4,DogInfo!A:A,0),2),0),"Error"))),IFERROR(INDEX($C$5:$BE$34,MATCH(C72,$C$5:$C$34,0),55),IFERROR(INDEX(DogInfo!A:B,MATCH(C72&amp;$BE$4,DogInfo!A:A,0),2),0))),"")</f>
        <v>0</v>
      </c>
    </row>
    <row r="73" spans="1:57" s="9" customFormat="1" ht="12.75" x14ac:dyDescent="0.2">
      <c r="A73" s="99">
        <f t="shared" si="85"/>
        <v>29</v>
      </c>
      <c r="B73" s="100"/>
      <c r="C73" s="120"/>
      <c r="D73" s="102" t="str">
        <f>IF($C73="","",VLOOKUP($C73,'SDDA Dogs'!$A:$F,2,FALSE))</f>
        <v/>
      </c>
      <c r="E73" s="211">
        <f t="shared" si="60"/>
        <v>1</v>
      </c>
      <c r="F73" s="121" t="str">
        <f>IF($C73="","",IF(ISERROR(VLOOKUP($C73,$C$5:$AP$34,38,FALSE)=TRUE),VLOOKUP($C73,'SDDA Dogs'!$A:$O,7,FALSE),VLOOKUP($C73,$C$5:$AP$34,38,FALSE)))</f>
        <v/>
      </c>
      <c r="G73" s="137"/>
      <c r="H73" s="217"/>
      <c r="I73" s="84" t="str">
        <f t="shared" si="61"/>
        <v/>
      </c>
      <c r="J73" s="105">
        <f t="shared" si="73"/>
        <v>0</v>
      </c>
      <c r="K73" s="84" t="str">
        <f t="shared" si="74"/>
        <v/>
      </c>
      <c r="L73" s="105">
        <f t="shared" si="75"/>
        <v>0</v>
      </c>
      <c r="M73" s="84" t="str">
        <f t="shared" si="76"/>
        <v/>
      </c>
      <c r="N73" s="125" t="str">
        <f>IF($C73="","",IF(ISERROR(VLOOKUP($C73,$C$5:$AP$34,39,FALSE)=TRUE),VLOOKUP($C73,'SDDA Dogs'!$A:$O,8,FALSE),VLOOKUP($C73,$C$5:$AP$34,39,FALSE)))</f>
        <v/>
      </c>
      <c r="O73" s="137"/>
      <c r="P73" s="217"/>
      <c r="Q73" s="84" t="str">
        <f t="shared" si="62"/>
        <v/>
      </c>
      <c r="R73" s="105">
        <f t="shared" si="77"/>
        <v>0</v>
      </c>
      <c r="S73" s="84" t="str">
        <f t="shared" si="78"/>
        <v/>
      </c>
      <c r="T73" s="105">
        <f t="shared" si="79"/>
        <v>0</v>
      </c>
      <c r="U73" s="84" t="str">
        <f t="shared" si="80"/>
        <v/>
      </c>
      <c r="V73" s="125" t="str">
        <f>IF($C73="","",IF(ISERROR(VLOOKUP($C73,$C$5:$AP$34,40,FALSE)=TRUE),VLOOKUP($C73,'SDDA Dogs'!$A:$O,9,FALSE),VLOOKUP($C73,$C$5:$AP$34,40,FALSE)))</f>
        <v/>
      </c>
      <c r="W73" s="137"/>
      <c r="X73" s="217"/>
      <c r="Y73" s="84" t="str">
        <f t="shared" si="63"/>
        <v/>
      </c>
      <c r="Z73" s="105">
        <f t="shared" si="81"/>
        <v>0</v>
      </c>
      <c r="AA73" s="84" t="str">
        <f t="shared" si="82"/>
        <v/>
      </c>
      <c r="AB73" s="105">
        <f t="shared" si="83"/>
        <v>0</v>
      </c>
      <c r="AC73" s="84" t="str">
        <f t="shared" si="84"/>
        <v/>
      </c>
      <c r="AD73" s="126" t="str">
        <f t="shared" si="64"/>
        <v/>
      </c>
      <c r="AE73" s="89" t="str">
        <f t="shared" si="49"/>
        <v/>
      </c>
      <c r="AF73" s="104" t="str">
        <f t="shared" si="50"/>
        <v/>
      </c>
      <c r="AG73" s="128" t="str">
        <f t="shared" si="65"/>
        <v/>
      </c>
      <c r="AH73" s="126" t="str">
        <f t="shared" si="66"/>
        <v/>
      </c>
      <c r="AI73" s="89" t="str">
        <f t="shared" si="51"/>
        <v/>
      </c>
      <c r="AJ73" s="122" t="str">
        <f t="shared" si="52"/>
        <v/>
      </c>
      <c r="AK73" s="123" t="str">
        <f t="shared" si="67"/>
        <v/>
      </c>
      <c r="AL73" s="129" t="str">
        <f t="shared" si="68"/>
        <v/>
      </c>
      <c r="AM73" s="89">
        <f t="shared" si="53"/>
        <v>0</v>
      </c>
      <c r="AN73" s="84" t="str">
        <f t="shared" si="54"/>
        <v/>
      </c>
      <c r="AO73" s="84" t="str">
        <f t="shared" si="55"/>
        <v/>
      </c>
      <c r="AP73" s="84" t="str">
        <f t="shared" si="56"/>
        <v/>
      </c>
      <c r="AQ73" s="84">
        <f t="shared" si="69"/>
        <v>0</v>
      </c>
      <c r="AR73" s="84"/>
      <c r="AS73" s="85"/>
      <c r="AT73" s="85"/>
      <c r="AU73" s="87" t="str">
        <f>IF(ISERROR(VLOOKUP(C73,'SDDA Dogs'!A:O,6,FALSE)),"",VLOOKUP(C73,'SDDA Dogs'!A:O,6,FALSE))</f>
        <v/>
      </c>
      <c r="AV73" s="84">
        <f t="shared" si="70"/>
        <v>0</v>
      </c>
      <c r="AW73" s="84">
        <f t="shared" si="71"/>
        <v>0</v>
      </c>
      <c r="AX73" s="88">
        <f t="shared" si="72"/>
        <v>0</v>
      </c>
      <c r="AZ73" s="132">
        <f t="shared" si="58"/>
        <v>0</v>
      </c>
      <c r="BA73" s="132">
        <f t="shared" si="59"/>
        <v>0</v>
      </c>
      <c r="BB73" s="87"/>
      <c r="BC73" s="262">
        <f>_xlfn.IFNA(IF(I73="Pass",IF(AND(G73&gt;=IFERROR(INDEX($C$5:$W$34,MATCH(C73,$C$5:$C$34,0),5),0),G73&gt;=IFERROR(INDEX(DogInfo!A:B,MATCH(C73&amp;$BC$4,DogInfo!A:A,0),2),0)),G73,IF(AND(IFERROR(INDEX($C$5:$W$34,MATCH(C73,$C$5:$C$34,0),5),0)&gt;=O73,IFERROR(INDEX($C$5:$W$34,MATCH(C73,$C$5:$C$34,0),5),0)&gt;=IFERROR(INDEX(DogInfo!A:B,MATCH(C73&amp;$BC$4,DogInfo!A:A,0),2),0)),IFERROR(INDEX($C$5:$W$34,MATCH(C73,$C$5:$C$34,0),5),0),IF(AND(IFERROR(INDEX(DogInfo!A:B,MATCH(C73&amp;$BC$4,DogInfo!A:A,0),2),0)&gt;=IFERROR(INDEX($C$5:$W$34,MATCH(C73,$C$5:$C$34,0),5),0),IFERROR(INDEX(DogInfo!A:B,MATCH(C73&amp;$BC$4,DogInfo!A:A,0),2),0)&gt;=G73),IFERROR(INDEX(DogInfo!A:B,MATCH(C73&amp;$BC$4,DogInfo!A:A,0),2),0),"Error"))),IFERROR(INDEX($C$5:$BE$34,MATCH(C73,$C$5:$C$34,0),53),IFERROR(INDEX(DogInfo!A:B,MATCH(C73&amp;$BC$4,DogInfo!A:A,0),2),0))),"")</f>
        <v>0</v>
      </c>
      <c r="BD73" s="262">
        <f>_xlfn.IFNA(IF(Q73="Pass",IF(AND(O73&gt;=IFERROR(INDEX($C$5:$W$34,MATCH(C73,$C$5:$C$34,0),13),0),O73&gt;=IFERROR(INDEX(DogInfo!A:B,MATCH(C73&amp;$BD$4,DogInfo!A:A,0),2),0)),O73,IF(AND(IFERROR(INDEX($C$5:$W$34,MATCH(C73,$C$5:$C$34,0),13),0)&gt;=O73,IFERROR(INDEX($C$5:$W$34,MATCH(C73,$C$5:$C$34,0),13),0)&gt;=IFERROR(INDEX(DogInfo!A:B,MATCH(C73&amp;$BD$4,DogInfo!A:A,0),2),0)),IFERROR(INDEX($C$5:$W$34,MATCH(C73,$C$5:$C$34,0),13),0),IF(AND(IFERROR(INDEX(DogInfo!A:B,MATCH(C73&amp;$BD$4,DogInfo!A:A,0),2),0)&gt;=IFERROR(INDEX($C$5:$W$34,MATCH(C73,$C$5:$C$34,0),13),0),IFERROR(INDEX(DogInfo!A:B,MATCH(C73&amp;$BD$4,DogInfo!A:A,0),2),0)&gt;=O73),IFERROR(INDEX(DogInfo!A:B,MATCH(C73&amp;$BD$4,DogInfo!A:A,0),2),0),"Error"))),IFERROR(INDEX($C$5:$BE$34,MATCH(C73,$C$5:$C$34,0),54),IFERROR(INDEX(DogInfo!A:B,MATCH(C73&amp;$BD$4,DogInfo!A:A,0),2),0))),"")</f>
        <v>0</v>
      </c>
      <c r="BE73" s="262">
        <f>_xlfn.IFNA(IF(Y73="Pass",IF(AND(W73&gt;=IFERROR(INDEX($C$5:$W$34,MATCH(C73,$C$5:$C$34,0),21),0),O73&gt;=IFERROR(INDEX(DogInfo!A:B,MATCH(C73&amp;$BE$4,DogInfo!A:A,0),2),0)),W73,IF(AND(IFERROR(INDEX($C$5:$W$34,MATCH(C73,$C$5:$C$34,0),21),0)&gt;=W73,IFERROR(INDEX($C$5:$W$34,MATCH(C73,$C$5:$C$34,0),21),0)&gt;=IFERROR(INDEX(DogInfo!A:B,MATCH(C73&amp;$BE$4,DogInfo!A:A,0),2),0)),IFERROR(INDEX($C$5:$W$34,MATCH(C73,$C$5:$C$34,0),21),0),IF(AND(IFERROR(INDEX(DogInfo!A:B,MATCH(C73&amp;$BE$4,DogInfo!A:A,0),2),0)&gt;=IFERROR(INDEX($C$5:$W$34,MATCH(C73,$C$5:$C$34,0),21),0),IFERROR(INDEX(DogInfo!A:B,MATCH(C73&amp;$BE$4,DogInfo!A:A,0),2),0)&gt;=W73),IFERROR(INDEX(DogInfo!A:B,MATCH(C73&amp;$BE$4,DogInfo!A:A,0),2),0),"Error"))),IFERROR(INDEX($C$5:$BE$34,MATCH(C73,$C$5:$C$34,0),55),IFERROR(INDEX(DogInfo!A:B,MATCH(C73&amp;$BE$4,DogInfo!A:A,0),2),0))),"")</f>
        <v>0</v>
      </c>
    </row>
    <row r="74" spans="1:57" s="9" customFormat="1" ht="12.75" x14ac:dyDescent="0.2">
      <c r="A74" s="99">
        <f t="shared" si="85"/>
        <v>30</v>
      </c>
      <c r="B74" s="100"/>
      <c r="C74" s="120"/>
      <c r="D74" s="102" t="str">
        <f>IF($C74="","",VLOOKUP($C74,'SDDA Dogs'!$A:$F,2,FALSE))</f>
        <v/>
      </c>
      <c r="E74" s="211">
        <f t="shared" si="60"/>
        <v>1</v>
      </c>
      <c r="F74" s="121" t="str">
        <f>IF($C74="","",IF(ISERROR(VLOOKUP($C74,$C$5:$AP$34,38,FALSE)=TRUE),VLOOKUP($C74,'SDDA Dogs'!$A:$O,7,FALSE),VLOOKUP($C74,$C$5:$AP$34,38,FALSE)))</f>
        <v/>
      </c>
      <c r="G74" s="137"/>
      <c r="H74" s="217"/>
      <c r="I74" s="84" t="str">
        <f t="shared" si="61"/>
        <v/>
      </c>
      <c r="J74" s="105">
        <f t="shared" si="73"/>
        <v>0</v>
      </c>
      <c r="K74" s="84" t="str">
        <f t="shared" si="74"/>
        <v/>
      </c>
      <c r="L74" s="105">
        <f t="shared" si="75"/>
        <v>0</v>
      </c>
      <c r="M74" s="84" t="str">
        <f t="shared" si="76"/>
        <v/>
      </c>
      <c r="N74" s="125" t="str">
        <f>IF($C74="","",IF(ISERROR(VLOOKUP($C74,$C$5:$AP$34,39,FALSE)=TRUE),VLOOKUP($C74,'SDDA Dogs'!$A:$O,8,FALSE),VLOOKUP($C74,$C$5:$AP$34,39,FALSE)))</f>
        <v/>
      </c>
      <c r="O74" s="137"/>
      <c r="P74" s="217"/>
      <c r="Q74" s="84" t="str">
        <f t="shared" si="62"/>
        <v/>
      </c>
      <c r="R74" s="105">
        <f t="shared" si="77"/>
        <v>0</v>
      </c>
      <c r="S74" s="84" t="str">
        <f t="shared" si="78"/>
        <v/>
      </c>
      <c r="T74" s="105">
        <f t="shared" si="79"/>
        <v>0</v>
      </c>
      <c r="U74" s="84" t="str">
        <f t="shared" si="80"/>
        <v/>
      </c>
      <c r="V74" s="125" t="str">
        <f>IF($C74="","",IF(ISERROR(VLOOKUP($C74,$C$5:$AP$34,40,FALSE)=TRUE),VLOOKUP($C74,'SDDA Dogs'!$A:$O,9,FALSE),VLOOKUP($C74,$C$5:$AP$34,40,FALSE)))</f>
        <v/>
      </c>
      <c r="W74" s="137"/>
      <c r="X74" s="217"/>
      <c r="Y74" s="84" t="str">
        <f t="shared" si="63"/>
        <v/>
      </c>
      <c r="Z74" s="105">
        <f t="shared" si="81"/>
        <v>0</v>
      </c>
      <c r="AA74" s="84" t="str">
        <f t="shared" si="82"/>
        <v/>
      </c>
      <c r="AB74" s="105">
        <f t="shared" si="83"/>
        <v>0</v>
      </c>
      <c r="AC74" s="84" t="str">
        <f t="shared" si="84"/>
        <v/>
      </c>
      <c r="AD74" s="126" t="str">
        <f t="shared" si="64"/>
        <v/>
      </c>
      <c r="AE74" s="89" t="str">
        <f t="shared" si="49"/>
        <v/>
      </c>
      <c r="AF74" s="104" t="str">
        <f t="shared" si="50"/>
        <v/>
      </c>
      <c r="AG74" s="128" t="str">
        <f t="shared" si="65"/>
        <v/>
      </c>
      <c r="AH74" s="126" t="str">
        <f t="shared" si="66"/>
        <v/>
      </c>
      <c r="AI74" s="89" t="str">
        <f t="shared" si="51"/>
        <v/>
      </c>
      <c r="AJ74" s="122" t="str">
        <f t="shared" si="52"/>
        <v/>
      </c>
      <c r="AK74" s="123" t="str">
        <f t="shared" si="67"/>
        <v/>
      </c>
      <c r="AL74" s="129" t="str">
        <f t="shared" si="68"/>
        <v/>
      </c>
      <c r="AM74" s="89">
        <f t="shared" si="53"/>
        <v>0</v>
      </c>
      <c r="AN74" s="84" t="str">
        <f t="shared" si="54"/>
        <v/>
      </c>
      <c r="AO74" s="84" t="str">
        <f t="shared" si="55"/>
        <v/>
      </c>
      <c r="AP74" s="84" t="str">
        <f t="shared" si="56"/>
        <v/>
      </c>
      <c r="AQ74" s="84">
        <f t="shared" si="69"/>
        <v>0</v>
      </c>
      <c r="AR74" s="84"/>
      <c r="AS74" s="85"/>
      <c r="AT74" s="85"/>
      <c r="AU74" s="87" t="str">
        <f>IF(ISERROR(VLOOKUP(C74,'SDDA Dogs'!A:O,6,FALSE)),"",VLOOKUP(C74,'SDDA Dogs'!A:O,6,FALSE))</f>
        <v/>
      </c>
      <c r="AV74" s="84">
        <f t="shared" si="70"/>
        <v>0</v>
      </c>
      <c r="AW74" s="84">
        <f t="shared" si="71"/>
        <v>0</v>
      </c>
      <c r="AX74" s="88">
        <f t="shared" si="72"/>
        <v>0</v>
      </c>
      <c r="AZ74" s="132">
        <f t="shared" si="58"/>
        <v>0</v>
      </c>
      <c r="BA74" s="132">
        <f t="shared" si="59"/>
        <v>0</v>
      </c>
      <c r="BB74" s="87"/>
      <c r="BC74" s="262">
        <f>_xlfn.IFNA(IF(I74="Pass",IF(AND(G74&gt;=IFERROR(INDEX($C$5:$W$34,MATCH(C74,$C$5:$C$34,0),5),0),G74&gt;=IFERROR(INDEX(DogInfo!A:B,MATCH(C74&amp;$BC$4,DogInfo!A:A,0),2),0)),G74,IF(AND(IFERROR(INDEX($C$5:$W$34,MATCH(C74,$C$5:$C$34,0),5),0)&gt;=O74,IFERROR(INDEX($C$5:$W$34,MATCH(C74,$C$5:$C$34,0),5),0)&gt;=IFERROR(INDEX(DogInfo!A:B,MATCH(C74&amp;$BC$4,DogInfo!A:A,0),2),0)),IFERROR(INDEX($C$5:$W$34,MATCH(C74,$C$5:$C$34,0),5),0),IF(AND(IFERROR(INDEX(DogInfo!A:B,MATCH(C74&amp;$BC$4,DogInfo!A:A,0),2),0)&gt;=IFERROR(INDEX($C$5:$W$34,MATCH(C74,$C$5:$C$34,0),5),0),IFERROR(INDEX(DogInfo!A:B,MATCH(C74&amp;$BC$4,DogInfo!A:A,0),2),0)&gt;=G74),IFERROR(INDEX(DogInfo!A:B,MATCH(C74&amp;$BC$4,DogInfo!A:A,0),2),0),"Error"))),IFERROR(INDEX($C$5:$BE$34,MATCH(C74,$C$5:$C$34,0),53),IFERROR(INDEX(DogInfo!A:B,MATCH(C74&amp;$BC$4,DogInfo!A:A,0),2),0))),"")</f>
        <v>0</v>
      </c>
      <c r="BD74" s="262">
        <f>_xlfn.IFNA(IF(Q74="Pass",IF(AND(O74&gt;=IFERROR(INDEX($C$5:$W$34,MATCH(C74,$C$5:$C$34,0),13),0),O74&gt;=IFERROR(INDEX(DogInfo!A:B,MATCH(C74&amp;$BD$4,DogInfo!A:A,0),2),0)),O74,IF(AND(IFERROR(INDEX($C$5:$W$34,MATCH(C74,$C$5:$C$34,0),13),0)&gt;=O74,IFERROR(INDEX($C$5:$W$34,MATCH(C74,$C$5:$C$34,0),13),0)&gt;=IFERROR(INDEX(DogInfo!A:B,MATCH(C74&amp;$BD$4,DogInfo!A:A,0),2),0)),IFERROR(INDEX($C$5:$W$34,MATCH(C74,$C$5:$C$34,0),13),0),IF(AND(IFERROR(INDEX(DogInfo!A:B,MATCH(C74&amp;$BD$4,DogInfo!A:A,0),2),0)&gt;=IFERROR(INDEX($C$5:$W$34,MATCH(C74,$C$5:$C$34,0),13),0),IFERROR(INDEX(DogInfo!A:B,MATCH(C74&amp;$BD$4,DogInfo!A:A,0),2),0)&gt;=O74),IFERROR(INDEX(DogInfo!A:B,MATCH(C74&amp;$BD$4,DogInfo!A:A,0),2),0),"Error"))),IFERROR(INDEX($C$5:$BE$34,MATCH(C74,$C$5:$C$34,0),54),IFERROR(INDEX(DogInfo!A:B,MATCH(C74&amp;$BD$4,DogInfo!A:A,0),2),0))),"")</f>
        <v>0</v>
      </c>
      <c r="BE74" s="262">
        <f>_xlfn.IFNA(IF(Y74="Pass",IF(AND(W74&gt;=IFERROR(INDEX($C$5:$W$34,MATCH(C74,$C$5:$C$34,0),21),0),O74&gt;=IFERROR(INDEX(DogInfo!A:B,MATCH(C74&amp;$BE$4,DogInfo!A:A,0),2),0)),W74,IF(AND(IFERROR(INDEX($C$5:$W$34,MATCH(C74,$C$5:$C$34,0),21),0)&gt;=W74,IFERROR(INDEX($C$5:$W$34,MATCH(C74,$C$5:$C$34,0),21),0)&gt;=IFERROR(INDEX(DogInfo!A:B,MATCH(C74&amp;$BE$4,DogInfo!A:A,0),2),0)),IFERROR(INDEX($C$5:$W$34,MATCH(C74,$C$5:$C$34,0),21),0),IF(AND(IFERROR(INDEX(DogInfo!A:B,MATCH(C74&amp;$BE$4,DogInfo!A:A,0),2),0)&gt;=IFERROR(INDEX($C$5:$W$34,MATCH(C74,$C$5:$C$34,0),21),0),IFERROR(INDEX(DogInfo!A:B,MATCH(C74&amp;$BE$4,DogInfo!A:A,0),2),0)&gt;=W74),IFERROR(INDEX(DogInfo!A:B,MATCH(C74&amp;$BE$4,DogInfo!A:A,0),2),0),"Error"))),IFERROR(INDEX($C$5:$BE$34,MATCH(C74,$C$5:$C$34,0),55),IFERROR(INDEX(DogInfo!A:B,MATCH(C74&amp;$BE$4,DogInfo!A:A,0),2),0))),"")</f>
        <v>0</v>
      </c>
    </row>
    <row r="75" spans="1:57" s="9" customFormat="1" ht="12.75" x14ac:dyDescent="0.2">
      <c r="A75" s="9" t="s">
        <v>1548</v>
      </c>
      <c r="E75" s="9">
        <f>SUM(E45:E74)</f>
        <v>30</v>
      </c>
      <c r="G75" s="57">
        <f>COUNT(G45:G74)+ COUNTIF(G45:G74,"E") + COUNTIF(G45:G74,"FEO")</f>
        <v>0</v>
      </c>
      <c r="H75" s="57"/>
      <c r="I75" s="57"/>
      <c r="J75" s="57"/>
      <c r="K75" s="57"/>
      <c r="L75" s="57"/>
      <c r="M75" s="57"/>
      <c r="N75" s="57"/>
      <c r="O75" s="57">
        <f>COUNT(O45:O74)+ COUNTIF(O45:O74,"E") + COUNTIF(O45:O74,"FEO")</f>
        <v>0</v>
      </c>
      <c r="P75" s="57"/>
      <c r="Q75" s="57"/>
      <c r="R75" s="57"/>
      <c r="S75" s="57"/>
      <c r="T75" s="57"/>
      <c r="U75" s="57"/>
      <c r="V75" s="57"/>
      <c r="W75" s="57">
        <f>COUNT(W45:W74)+ COUNTIF(W45:W74,"E") + COUNTIF(W45:W74,"FEO")</f>
        <v>0</v>
      </c>
      <c r="X75" s="57"/>
      <c r="Y75" s="10" t="s">
        <v>1549</v>
      </c>
      <c r="Z75" s="57"/>
      <c r="AA75" s="57"/>
      <c r="AB75" s="57"/>
      <c r="AC75" s="57"/>
      <c r="AD75" s="57"/>
      <c r="AE75" s="57"/>
      <c r="AF75" s="57"/>
      <c r="AG75" s="57"/>
      <c r="AH75" s="57">
        <f>G75+O75+W75</f>
        <v>0</v>
      </c>
      <c r="AI75" s="57"/>
      <c r="AJ75" s="57"/>
      <c r="AK75" s="57"/>
      <c r="AL75" s="57"/>
      <c r="AM75" s="57" t="s">
        <v>2455</v>
      </c>
      <c r="AN75" s="57"/>
      <c r="AO75" s="57"/>
      <c r="AP75" s="57"/>
      <c r="AQ75" s="57">
        <f>COUNTIFS(AM45:AM74,0,AQ45:AQ74,1)</f>
        <v>0</v>
      </c>
      <c r="AR75" s="57"/>
      <c r="AV75" s="57"/>
      <c r="AW75" s="57"/>
      <c r="AZ75" s="60"/>
      <c r="BA75" s="60"/>
    </row>
    <row r="76" spans="1:57" x14ac:dyDescent="0.25">
      <c r="A76" s="9" t="s">
        <v>9438</v>
      </c>
      <c r="D76" s="208">
        <f>30-E75</f>
        <v>0</v>
      </c>
    </row>
  </sheetData>
  <sheetProtection algorithmName="SHA-512" hashValue="w+pI/z1gp8hCHSyOlogdAA1lzznLw+tp++7CLTsaB1q51/B8/EFvklHK5INvHxeq54Tsk0Lkm4wYCHAKscRyRw==" saltValue="q939oX6jjEkiCDcdnHBCHw==" spinCount="100000" sheet="1" selectLockedCells="1"/>
  <mergeCells count="19">
    <mergeCell ref="AM43:AQ43"/>
    <mergeCell ref="A41:AQ41"/>
    <mergeCell ref="I42:P42"/>
    <mergeCell ref="Y42:AD42"/>
    <mergeCell ref="B43:D43"/>
    <mergeCell ref="G43:M43"/>
    <mergeCell ref="O43:U43"/>
    <mergeCell ref="W43:AC43"/>
    <mergeCell ref="AH43:AL43"/>
    <mergeCell ref="AH42:AL42"/>
    <mergeCell ref="AM3:AQ3"/>
    <mergeCell ref="AU41:BB41"/>
    <mergeCell ref="B3:D3"/>
    <mergeCell ref="W3:AC3"/>
    <mergeCell ref="I2:P2"/>
    <mergeCell ref="Y2:AD2"/>
    <mergeCell ref="AH3:AL3"/>
    <mergeCell ref="G3:M3"/>
    <mergeCell ref="O3:U3"/>
  </mergeCells>
  <conditionalFormatting sqref="A46:C52">
    <cfRule type="expression" dxfId="182" priority="12">
      <formula>MOD(ROW(),2)=0</formula>
    </cfRule>
  </conditionalFormatting>
  <conditionalFormatting sqref="A44:D44 F44:AC44 AE44:AL44">
    <cfRule type="expression" dxfId="181" priority="223">
      <formula>(MOD(ROW(),2))=0</formula>
    </cfRule>
  </conditionalFormatting>
  <conditionalFormatting sqref="A54:D74">
    <cfRule type="expression" dxfId="180" priority="39">
      <formula>MOD(ROW(),2)=0</formula>
    </cfRule>
  </conditionalFormatting>
  <conditionalFormatting sqref="A5:XFD34 W53:AC74 O53:U74 G53:M74 AM53:AY74 A53:C53 D45:D53">
    <cfRule type="expression" dxfId="179" priority="248">
      <formula>MOD(ROW(),2)=0</formula>
    </cfRule>
  </conditionalFormatting>
  <conditionalFormatting sqref="B5:B34">
    <cfRule type="expression" dxfId="178" priority="233">
      <formula>AND(B5="a",AM5&gt;0)</formula>
    </cfRule>
  </conditionalFormatting>
  <conditionalFormatting sqref="B45:B74">
    <cfRule type="expression" dxfId="177" priority="19">
      <formula>AND(B45="a",AM45&gt;0)</formula>
    </cfRule>
  </conditionalFormatting>
  <conditionalFormatting sqref="C5:C34">
    <cfRule type="expression" dxfId="176" priority="6">
      <formula>AND(COUNTIF(C$5:C$34,C5)&gt;1,C5&gt;0)</formula>
    </cfRule>
  </conditionalFormatting>
  <conditionalFormatting sqref="C45">
    <cfRule type="expression" dxfId="175" priority="48">
      <formula>_xlfn.ISFORMULA(D45)=FALSE</formula>
    </cfRule>
  </conditionalFormatting>
  <conditionalFormatting sqref="C45:C74">
    <cfRule type="expression" dxfId="174" priority="5">
      <formula>AND(COUNTIF(C$45:C$74,C45)&gt;1,C45&gt;0)</formula>
    </cfRule>
  </conditionalFormatting>
  <conditionalFormatting sqref="C46:C52">
    <cfRule type="expression" dxfId="173" priority="25">
      <formula>_xlfn.ISFORMULA(D48)=FALSE</formula>
    </cfRule>
  </conditionalFormatting>
  <conditionalFormatting sqref="E45:E74">
    <cfRule type="expression" dxfId="172" priority="8">
      <formula>MOD(ROW(),2)=0</formula>
    </cfRule>
  </conditionalFormatting>
  <conditionalFormatting sqref="F45:AC45 W46:AC50 O46:U50 G46:M50 A45:C45 AM45:AW46 F46:F74 N46:N74 V46:V74">
    <cfRule type="expression" dxfId="171" priority="59">
      <formula>MOD(ROW(),2)=0</formula>
    </cfRule>
  </conditionalFormatting>
  <conditionalFormatting sqref="G5:G34">
    <cfRule type="top10" dxfId="170" priority="65" rank="1"/>
  </conditionalFormatting>
  <conditionalFormatting sqref="G45:G50 G53:G74">
    <cfRule type="top10" dxfId="169" priority="49" rank="1"/>
  </conditionalFormatting>
  <conditionalFormatting sqref="G51:G52">
    <cfRule type="top10" dxfId="168" priority="13" rank="1"/>
  </conditionalFormatting>
  <conditionalFormatting sqref="H5:H34">
    <cfRule type="top10" dxfId="167" priority="194" bottom="1" rank="1"/>
  </conditionalFormatting>
  <conditionalFormatting sqref="H51:H52">
    <cfRule type="top10" dxfId="166" priority="16" bottom="1" rank="1"/>
  </conditionalFormatting>
  <conditionalFormatting sqref="H53:H74 H45:H50">
    <cfRule type="top10" dxfId="165" priority="52" bottom="1" rank="1"/>
  </conditionalFormatting>
  <conditionalFormatting sqref="O5:O34">
    <cfRule type="top10" dxfId="164" priority="84" rank="1"/>
  </conditionalFormatting>
  <conditionalFormatting sqref="O51:O52">
    <cfRule type="top10" dxfId="163" priority="14" rank="1"/>
  </conditionalFormatting>
  <conditionalFormatting sqref="O53:O74 O45:O50">
    <cfRule type="top10" dxfId="162" priority="50" rank="1"/>
  </conditionalFormatting>
  <conditionalFormatting sqref="P5:P34">
    <cfRule type="top10" dxfId="161" priority="196" bottom="1" rank="1"/>
  </conditionalFormatting>
  <conditionalFormatting sqref="P51:P52">
    <cfRule type="top10" dxfId="160" priority="17" bottom="1" rank="1"/>
  </conditionalFormatting>
  <conditionalFormatting sqref="P53:P74 P45:P50">
    <cfRule type="top10" dxfId="159" priority="53" bottom="1" rank="1"/>
  </conditionalFormatting>
  <conditionalFormatting sqref="W5:W34">
    <cfRule type="top10" dxfId="158" priority="88" rank="1"/>
  </conditionalFormatting>
  <conditionalFormatting sqref="W51:W52">
    <cfRule type="top10" dxfId="157" priority="15" rank="1"/>
  </conditionalFormatting>
  <conditionalFormatting sqref="W53:W74 W45:W50">
    <cfRule type="top10" dxfId="156" priority="51" rank="1"/>
  </conditionalFormatting>
  <conditionalFormatting sqref="X5:X34">
    <cfRule type="top10" dxfId="155" priority="229" bottom="1" rank="1"/>
  </conditionalFormatting>
  <conditionalFormatting sqref="X51:X52">
    <cfRule type="top10" dxfId="154" priority="18" bottom="1" rank="1"/>
  </conditionalFormatting>
  <conditionalFormatting sqref="X53:X74 X45:X50">
    <cfRule type="top10" dxfId="153" priority="54" bottom="1" rank="1"/>
  </conditionalFormatting>
  <conditionalFormatting sqref="AD45:AL74">
    <cfRule type="expression" dxfId="152" priority="1">
      <formula>MOD(ROW(),2)=0</formula>
    </cfRule>
  </conditionalFormatting>
  <conditionalFormatting sqref="AH5:AH34">
    <cfRule type="cellIs" dxfId="151" priority="241" operator="equal">
      <formula>1</formula>
    </cfRule>
  </conditionalFormatting>
  <conditionalFormatting sqref="AH45:AH74">
    <cfRule type="cellIs" dxfId="150" priority="22" operator="equal">
      <formula>1</formula>
    </cfRule>
  </conditionalFormatting>
  <conditionalFormatting sqref="AI4:AJ4">
    <cfRule type="expression" dxfId="149" priority="268">
      <formula>(MOD(ROW(),2))=0</formula>
    </cfRule>
  </conditionalFormatting>
  <conditionalFormatting sqref="AL5:AL34">
    <cfRule type="cellIs" dxfId="148" priority="238" operator="equal">
      <formula>1</formula>
    </cfRule>
  </conditionalFormatting>
  <conditionalFormatting sqref="AL45:AL74">
    <cfRule type="cellIs" dxfId="147" priority="3" operator="equal">
      <formula>1</formula>
    </cfRule>
  </conditionalFormatting>
  <conditionalFormatting sqref="AM47:AT52 W51:AC52 O51:U52 G51:M52 AH47:AH74">
    <cfRule type="expression" dxfId="146" priority="23">
      <formula>MOD(ROW(),2)=0</formula>
    </cfRule>
  </conditionalFormatting>
  <conditionalFormatting sqref="AQ5:AR34">
    <cfRule type="expression" dxfId="145" priority="237">
      <formula>AND(AM5=0,AQ5=1)</formula>
    </cfRule>
  </conditionalFormatting>
  <conditionalFormatting sqref="AQ45:AR74">
    <cfRule type="expression" dxfId="144" priority="20">
      <formula>AND(AM45=0,AQ45=1)</formula>
    </cfRule>
  </conditionalFormatting>
  <conditionalFormatting sqref="AS44:BM44">
    <cfRule type="expression" dxfId="143" priority="191">
      <formula>(MOD(ROW(),2))=0</formula>
    </cfRule>
  </conditionalFormatting>
  <conditionalFormatting sqref="AU50:AY52">
    <cfRule type="expression" dxfId="142" priority="11">
      <formula>MOD(ROW(),2)=0</formula>
    </cfRule>
  </conditionalFormatting>
  <conditionalFormatting sqref="AX45:AY49 AU47:AW49">
    <cfRule type="expression" dxfId="141" priority="32">
      <formula>MOD(ROW(),2)=0</formula>
    </cfRule>
  </conditionalFormatting>
  <conditionalFormatting sqref="AZ45:XFD74">
    <cfRule type="expression" dxfId="140" priority="7">
      <formula>MOD(ROW(),2)=0</formula>
    </cfRule>
  </conditionalFormatting>
  <dataValidations count="7">
    <dataValidation type="time" allowBlank="1" showInputMessage="1" showErrorMessage="1" errorTitle="Time Error" error="Time cannot exceed 3:00 minutes (mm:ss.0)" sqref="H5:H34 H45:H74" xr:uid="{00000000-0002-0000-0200-000000000000}">
      <formula1>0</formula1>
      <formula2>0.00208333333333333</formula2>
    </dataValidation>
    <dataValidation type="custom" allowBlank="1" showInputMessage="1" showErrorMessage="1" errorTitle="Error in Stream" error="The stream is either (A)mateur or (W)orking." sqref="B5:B34 B45:B74" xr:uid="{00000000-0002-0000-0200-000002000000}">
      <formula1>OR(B5="A",B5="W")</formula1>
    </dataValidation>
    <dataValidation type="custom" allowBlank="1" showInputMessage="1" showErrorMessage="1" errorTitle="Score cell entry is invalid" error="Only 0, a valid score, &quot;e&quot;, &quot;ne&quot; or &quot;feo&quot; are allowed." sqref="G5:G34 G45:G74" xr:uid="{00000000-0002-0000-0200-000003000000}">
      <formula1>OR(AND(G5&gt;=15,G5&lt;=30),G5=0,G5="e",G5="ne",G5="feo")</formula1>
    </dataValidation>
    <dataValidation type="custom" allowBlank="1" showInputMessage="1" showErrorMessage="1" error="Only 0, a valid score, &quot;e&quot;, &quot;ne&quot; or &quot;feo&quot; are allowed." sqref="O5:O34 O45:O74" xr:uid="{00000000-0002-0000-0200-000004000000}">
      <formula1>OR(AND(O5&gt;=20,O5&lt;=40),O5=0,O5="NE",O5="E",O5="FEO")</formula1>
    </dataValidation>
    <dataValidation type="custom" allowBlank="1" showInputMessage="1" showErrorMessage="1" error="Only 0, a valid score, &quot;e&quot;,&quot;ne&quot; or &quot;feo&quot; are allowed." sqref="W5:W34 W45:W74" xr:uid="{00000000-0002-0000-0200-000005000000}">
      <formula1>OR(AND(W5&gt;=15,W5&lt;=30),W5=0, W5="NE",W5="E",W5="FEO")</formula1>
    </dataValidation>
    <dataValidation type="whole" allowBlank="1" showInputMessage="1" showErrorMessage="1" sqref="C5:C34 C45:C74" xr:uid="{00000000-0002-0000-0200-000006000000}">
      <formula1>0</formula1>
      <formula2>9999</formula2>
    </dataValidation>
    <dataValidation type="time" allowBlank="1" showInputMessage="1" showErrorMessage="1" errorTitle="Time Error" error="Time cannot exceed 5 minutes (mm:ss.0)" sqref="P5:P34 P45:P74 X5:X34 X45:X74" xr:uid="{A977C107-1530-4876-A98D-3A29CD1D35C4}">
      <formula1>0</formula1>
      <formula2>0.00347222222222222</formula2>
    </dataValidation>
  </dataValidations>
  <printOptions horizontalCentered="1"/>
  <pageMargins left="0.5" right="0.5" top="0.75" bottom="0.75" header="0.3" footer="0.3"/>
  <pageSetup fitToWidth="2" orientation="landscape" r:id="rId1"/>
  <headerFooter>
    <oddHeader>&amp;L&amp;G&amp;RScore Sheet Started</oddHeader>
    <oddFooter>&amp;L&amp;8The use of this workbook is at the sole discretion of the trial organizer.  SDDA or its agents shall not be held liable for any errors in the data.</oddFooter>
  </headerFooter>
  <colBreaks count="1" manualBreakCount="1">
    <brk id="46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204"/>
  <sheetViews>
    <sheetView zoomScale="70" zoomScaleNormal="70" zoomScalePageLayoutView="70" workbookViewId="0"/>
  </sheetViews>
  <sheetFormatPr defaultColWidth="10.7109375" defaultRowHeight="30" customHeight="1" x14ac:dyDescent="0.4"/>
  <cols>
    <col min="1" max="1" width="8.85546875" style="42" customWidth="1"/>
    <col min="2" max="2" width="15.28515625" style="42" customWidth="1"/>
    <col min="3" max="3" width="10.85546875" style="42" hidden="1" customWidth="1"/>
    <col min="4" max="7" width="14" style="42" customWidth="1"/>
    <col min="8" max="8" width="50.85546875" style="43" customWidth="1"/>
    <col min="9" max="9" width="29.28515625" style="43" customWidth="1"/>
    <col min="10" max="10" width="18.2851562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19" ht="30" customHeight="1" x14ac:dyDescent="0.4">
      <c r="A2" s="402" t="s">
        <v>1143</v>
      </c>
      <c r="B2" s="402"/>
      <c r="C2" s="43"/>
      <c r="D2" s="403" t="s">
        <v>1138</v>
      </c>
      <c r="E2" s="403"/>
      <c r="F2" s="403"/>
      <c r="G2" s="403"/>
      <c r="H2" s="403"/>
      <c r="I2" s="403"/>
      <c r="K2" s="23" t="s">
        <v>1143</v>
      </c>
      <c r="L2" s="403" t="s">
        <v>2492</v>
      </c>
      <c r="M2" s="403"/>
      <c r="N2" s="403"/>
      <c r="O2" s="403"/>
      <c r="P2" s="403"/>
      <c r="Q2" s="403"/>
      <c r="R2" s="403"/>
      <c r="S2" s="403"/>
    </row>
    <row r="3" spans="1:19" s="70" customFormat="1" ht="46.5" x14ac:dyDescent="0.35">
      <c r="A3" s="67" t="s">
        <v>605</v>
      </c>
      <c r="B3" s="67" t="s">
        <v>1139</v>
      </c>
      <c r="C3" s="68" t="s">
        <v>1140</v>
      </c>
      <c r="D3" s="67" t="s">
        <v>1142</v>
      </c>
      <c r="E3" s="67" t="s">
        <v>1135</v>
      </c>
      <c r="F3" s="67" t="s">
        <v>1188</v>
      </c>
      <c r="G3" s="67" t="s">
        <v>1136</v>
      </c>
      <c r="H3" s="69" t="s">
        <v>1207</v>
      </c>
      <c r="I3" s="69" t="s">
        <v>1137</v>
      </c>
      <c r="K3" s="67" t="s">
        <v>605</v>
      </c>
      <c r="L3" s="67" t="s">
        <v>2493</v>
      </c>
      <c r="M3" s="67" t="s">
        <v>2494</v>
      </c>
      <c r="N3" s="67" t="s">
        <v>1142</v>
      </c>
      <c r="O3" s="67" t="s">
        <v>1135</v>
      </c>
      <c r="P3" s="67" t="s">
        <v>1188</v>
      </c>
      <c r="Q3" s="67" t="s">
        <v>1136</v>
      </c>
      <c r="R3" s="69" t="s">
        <v>1207</v>
      </c>
      <c r="S3" s="69" t="s">
        <v>1137</v>
      </c>
    </row>
    <row r="4" spans="1:19" ht="30" customHeight="1" x14ac:dyDescent="0.45">
      <c r="A4" s="49">
        <v>1</v>
      </c>
      <c r="B4" s="49" t="str">
        <f>IF(OR(VLOOKUP(Table1[[#This Row],[Ln'#]],Started!A$5:AU$34,7,FALSE)="E",VLOOKUP(Table1[[#This Row],[Ln'#]],Started!A$5:AU$34,7,FALSE)="FEO"),"Entered or FEO","Not Entered")</f>
        <v>Not Entered</v>
      </c>
      <c r="C4" s="50" t="str">
        <f t="shared" ref="C4:C33" ca="1" si="0">IF(OR(B4="e",B4="FEO"),RAND(),"")</f>
        <v/>
      </c>
      <c r="D4" s="48"/>
      <c r="E4" s="48"/>
      <c r="F4" s="48"/>
      <c r="G4" s="48" t="str">
        <f>IF(Table1[[#This Row],[Status]]="Not Entered","",VLOOKUP(Table1[[#This Row],[Ln'#]],Started!$A$5:$AU$34,3,FALSE))</f>
        <v/>
      </c>
      <c r="H4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4" s="51" t="str">
        <f>IF(Table1[[#This Row],[Status]]="Not Entered","",VLOOKUP(Table1[[#This Row],[Ln'#]],Started!$A$5:$BB$34,47,FALSE))</f>
        <v/>
      </c>
      <c r="K4" s="49">
        <v>2</v>
      </c>
      <c r="L4" s="144" t="str">
        <f>IF(OR(VLOOKUP(Table131[[#This Row],[Ln'#]],Started!A$5:AU$34,7,FALSE)="E",VLOOKUP(Table131[[#This Row],[Ln'#]],Started!A$5:AU$34,7,FALSE)="FEO"),"x","")</f>
        <v/>
      </c>
      <c r="M4" s="144" t="str">
        <f>IF(OR(VLOOKUP(Table131[[#This Row],[Ln'#]],Started!A$5:AU$34,15,FALSE)="E",VLOOKUP(Table131[[#This Row],[Ln'#]],Started!A$5:AU$34,15,FALSE)="FEO"),"x","")</f>
        <v/>
      </c>
      <c r="N4" s="48"/>
      <c r="O4" s="48"/>
      <c r="P4" s="48"/>
      <c r="Q4" s="48" t="str">
        <f>IF(AND(Table131[[#This Row],[Status Container]]="",Table131[[#This Row],[Status Interior]]=""),"",VLOOKUP(Table131[[#This Row],[Ln'#]],Started!$A$5:$AU$34,3,FALSE))</f>
        <v/>
      </c>
      <c r="R4" s="51" t="str">
        <f>IF(Table131[[#This Row],[Dog ID]]="","",(VLOOKUP(Table131[[#This Row],[Dog ID]],Started!C$5:$D$34,2,FALSE)&amp;" - " &amp;VLOOKUP(Table131[[#This Row],[Dog ID]],'SDDA Dogs'!A:C,3,FALSE)))</f>
        <v/>
      </c>
      <c r="S4" s="51" t="str">
        <f>IF(Table131[[#This Row],[Dog ID]]="","",(VLOOKUP(Table131[[#This Row],[Dog ID]],Started!C$5:$AU35,45,FALSE)))</f>
        <v/>
      </c>
    </row>
    <row r="5" spans="1:19" ht="30" customHeight="1" x14ac:dyDescent="0.45">
      <c r="A5" s="49">
        <v>2</v>
      </c>
      <c r="B5" s="49" t="str">
        <f>IF(OR(VLOOKUP(Table1[[#This Row],[Ln'#]],Started!A$5:AU$34,7,FALSE)="E",VLOOKUP(Table1[[#This Row],[Ln'#]],Started!A$5:AU$34,7,FALSE)="FEO"),"Entered or FEO","Not Entered")</f>
        <v>Not Entered</v>
      </c>
      <c r="C5" s="50" t="str">
        <f t="shared" ca="1" si="0"/>
        <v/>
      </c>
      <c r="D5" s="48"/>
      <c r="E5" s="48"/>
      <c r="F5" s="48"/>
      <c r="G5" s="48" t="str">
        <f>IF(Table1[[#This Row],[Status]]="Not Entered","",VLOOKUP(Table1[[#This Row],[Ln'#]],Started!$A$5:$AU$34,3,FALSE))</f>
        <v/>
      </c>
      <c r="H5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5" s="51" t="str">
        <f>IF(Table1[[#This Row],[Status]]="Not Entered","",VLOOKUP(Table1[[#This Row],[Ln'#]],Started!$A$5:$BB$34,47,FALSE))</f>
        <v/>
      </c>
      <c r="K5" s="49">
        <v>3</v>
      </c>
      <c r="L5" s="144" t="str">
        <f>IF(OR(VLOOKUP(Table131[[#This Row],[Ln'#]],Started!A$5:AU$34,7,FALSE)="E",VLOOKUP(Table131[[#This Row],[Ln'#]],Started!A$5:AU$34,7,FALSE)="FEO"),"x","")</f>
        <v/>
      </c>
      <c r="M5" s="144" t="str">
        <f>IF(OR(VLOOKUP(Table131[[#This Row],[Ln'#]],Started!A$5:AU$34,15,FALSE)="E",VLOOKUP(Table131[[#This Row],[Ln'#]],Started!A$5:AU$34,15,FALSE)="FEO"),"x","")</f>
        <v/>
      </c>
      <c r="N5" s="48"/>
      <c r="O5" s="48"/>
      <c r="P5" s="48"/>
      <c r="Q5" s="48" t="str">
        <f>IF(AND(Table131[[#This Row],[Status Container]]="",Table131[[#This Row],[Status Interior]]=""),"",VLOOKUP(Table131[[#This Row],[Ln'#]],Started!$A$5:$AU$34,3,FALSE))</f>
        <v/>
      </c>
      <c r="R5" s="51" t="str">
        <f>IF(Table131[[#This Row],[Dog ID]]="","",(VLOOKUP(Table131[[#This Row],[Dog ID]],Started!C$5:$D$34,2,FALSE)&amp;" - " &amp;VLOOKUP(Table131[[#This Row],[Dog ID]],'SDDA Dogs'!A:C,3,FALSE)))</f>
        <v/>
      </c>
      <c r="S5" s="51" t="str">
        <f>IF(Table131[[#This Row],[Dog ID]]="","",(VLOOKUP(Table131[[#This Row],[Dog ID]],Started!C$5:$AU36,45,FALSE)))</f>
        <v/>
      </c>
    </row>
    <row r="6" spans="1:19" ht="30" customHeight="1" x14ac:dyDescent="0.45">
      <c r="A6" s="49">
        <v>3</v>
      </c>
      <c r="B6" s="49" t="str">
        <f>IF(OR(VLOOKUP(Table1[[#This Row],[Ln'#]],Started!A$5:AU$34,7,FALSE)="E",VLOOKUP(Table1[[#This Row],[Ln'#]],Started!A$5:AU$34,7,FALSE)="FEO"),"Entered or FEO","Not Entered")</f>
        <v>Not Entered</v>
      </c>
      <c r="C6" s="50" t="str">
        <f t="shared" ca="1" si="0"/>
        <v/>
      </c>
      <c r="D6" s="48"/>
      <c r="E6" s="48"/>
      <c r="F6" s="48"/>
      <c r="G6" s="48" t="str">
        <f>IF(Table1[[#This Row],[Status]]="Not Entered","",VLOOKUP(Table1[[#This Row],[Ln'#]],Started!$A$5:$AU$34,3,FALSE))</f>
        <v/>
      </c>
      <c r="H6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6" s="51" t="str">
        <f>IF(Table1[[#This Row],[Status]]="Not Entered","",VLOOKUP(Table1[[#This Row],[Ln'#]],Started!$A$5:$BB$34,47,FALSE))</f>
        <v/>
      </c>
      <c r="K6" s="49">
        <v>1</v>
      </c>
      <c r="L6" s="144" t="str">
        <f>IF(OR(VLOOKUP(Table131[[#This Row],[Ln'#]],Started!A$5:AU$34,7,FALSE)="E",VLOOKUP(Table131[[#This Row],[Ln'#]],Started!A$5:AU$34,7,FALSE)="FEO"),"x","")</f>
        <v/>
      </c>
      <c r="M6" s="144" t="str">
        <f>IF(OR(VLOOKUP(Table131[[#This Row],[Ln'#]],Started!A$5:AU$34,15,FALSE)="E",VLOOKUP(Table131[[#This Row],[Ln'#]],Started!A$5:AU$34,15,FALSE)="FEO"),"x","")</f>
        <v/>
      </c>
      <c r="N6" s="48"/>
      <c r="O6" s="48"/>
      <c r="P6" s="48"/>
      <c r="Q6" s="48" t="str">
        <f>IF(AND(Table131[[#This Row],[Status Container]]="",Table131[[#This Row],[Status Interior]]=""),"",VLOOKUP(Table131[[#This Row],[Ln'#]],Started!$A$5:$AU$34,3,FALSE))</f>
        <v/>
      </c>
      <c r="R6" s="51" t="str">
        <f>IF(Table131[[#This Row],[Dog ID]]="","",(VLOOKUP(Table131[[#This Row],[Dog ID]],Started!C$5:$D$34,2,FALSE)&amp;" - " &amp;VLOOKUP(Table131[[#This Row],[Dog ID]],'SDDA Dogs'!A:C,3,FALSE)))</f>
        <v/>
      </c>
      <c r="S6" s="51" t="str">
        <f>IF(Table131[[#This Row],[Dog ID]]="","",(VLOOKUP(Table131[[#This Row],[Dog ID]],Started!C$5:$AU37,45,FALSE)))</f>
        <v/>
      </c>
    </row>
    <row r="7" spans="1:19" ht="30" customHeight="1" x14ac:dyDescent="0.45">
      <c r="A7" s="49">
        <v>4</v>
      </c>
      <c r="B7" s="49" t="str">
        <f>IF(OR(VLOOKUP(Table1[[#This Row],[Ln'#]],Started!A$5:AU$34,7,FALSE)="E",VLOOKUP(Table1[[#This Row],[Ln'#]],Started!A$5:AU$34,7,FALSE)="FEO"),"Entered or FEO","Not Entered")</f>
        <v>Not Entered</v>
      </c>
      <c r="C7" s="50" t="str">
        <f t="shared" ca="1" si="0"/>
        <v/>
      </c>
      <c r="D7" s="48"/>
      <c r="E7" s="48"/>
      <c r="F7" s="48"/>
      <c r="G7" s="48" t="str">
        <f>IF(Table1[[#This Row],[Status]]="Not Entered","",VLOOKUP(Table1[[#This Row],[Ln'#]],Started!$A$5:$AU$34,3,FALSE))</f>
        <v/>
      </c>
      <c r="H7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7" s="51" t="str">
        <f>IF(Table1[[#This Row],[Status]]="Not Entered","",VLOOKUP(Table1[[#This Row],[Ln'#]],Started!$A$5:$BB$34,47,FALSE))</f>
        <v/>
      </c>
      <c r="K7" s="49">
        <v>4</v>
      </c>
      <c r="L7" s="144" t="str">
        <f>IF(OR(VLOOKUP(Table131[[#This Row],[Ln'#]],Started!A$5:AU$34,7,FALSE)="E",VLOOKUP(Table131[[#This Row],[Ln'#]],Started!A$5:AU$34,7,FALSE)="FEO"),"x","")</f>
        <v/>
      </c>
      <c r="M7" s="144" t="str">
        <f>IF(OR(VLOOKUP(Table131[[#This Row],[Ln'#]],Started!A$5:AU$34,15,FALSE)="E",VLOOKUP(Table131[[#This Row],[Ln'#]],Started!A$5:AU$34,15,FALSE)="FEO"),"x","")</f>
        <v/>
      </c>
      <c r="N7" s="48"/>
      <c r="O7" s="48"/>
      <c r="P7" s="48"/>
      <c r="Q7" s="48" t="str">
        <f>IF(AND(Table131[[#This Row],[Status Container]]="",Table131[[#This Row],[Status Interior]]=""),"",VLOOKUP(Table131[[#This Row],[Ln'#]],Started!$A$5:$AU$34,3,FALSE))</f>
        <v/>
      </c>
      <c r="R7" s="51" t="str">
        <f>IF(Table131[[#This Row],[Dog ID]]="","",(VLOOKUP(Table131[[#This Row],[Dog ID]],Started!C$5:$D$34,2,FALSE)&amp;" - " &amp;VLOOKUP(Table131[[#This Row],[Dog ID]],'SDDA Dogs'!A:C,3,FALSE)))</f>
        <v/>
      </c>
      <c r="S7" s="51" t="str">
        <f>IF(Table131[[#This Row],[Dog ID]]="","",(VLOOKUP(Table131[[#This Row],[Dog ID]],Started!C$5:$AU38,45,FALSE)))</f>
        <v/>
      </c>
    </row>
    <row r="8" spans="1:19" ht="30" customHeight="1" x14ac:dyDescent="0.45">
      <c r="A8" s="49">
        <v>5</v>
      </c>
      <c r="B8" s="49" t="str">
        <f>IF(OR(VLOOKUP(Table1[[#This Row],[Ln'#]],Started!A$5:AU$34,7,FALSE)="E",VLOOKUP(Table1[[#This Row],[Ln'#]],Started!A$5:AU$34,7,FALSE)="FEO"),"Entered or FEO","Not Entered")</f>
        <v>Not Entered</v>
      </c>
      <c r="C8" s="50" t="str">
        <f t="shared" ca="1" si="0"/>
        <v/>
      </c>
      <c r="D8" s="48"/>
      <c r="E8" s="48"/>
      <c r="F8" s="48"/>
      <c r="G8" s="48" t="str">
        <f>IF(Table1[[#This Row],[Status]]="Not Entered","",VLOOKUP(Table1[[#This Row],[Ln'#]],Started!$A$5:$AU$34,3,FALSE))</f>
        <v/>
      </c>
      <c r="H8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8" s="51" t="str">
        <f>IF(Table1[[#This Row],[Status]]="Not Entered","",VLOOKUP(Table1[[#This Row],[Ln'#]],Started!$A$5:$BB$34,47,FALSE))</f>
        <v/>
      </c>
      <c r="K8" s="49">
        <v>5</v>
      </c>
      <c r="L8" s="144" t="str">
        <f>IF(OR(VLOOKUP(Table131[[#This Row],[Ln'#]],Started!A$5:AU$34,7,FALSE)="E",VLOOKUP(Table131[[#This Row],[Ln'#]],Started!A$5:AU$34,7,FALSE)="FEO"),"x","")</f>
        <v/>
      </c>
      <c r="M8" s="144" t="str">
        <f>IF(OR(VLOOKUP(Table131[[#This Row],[Ln'#]],Started!A$5:AU$34,15,FALSE)="E",VLOOKUP(Table131[[#This Row],[Ln'#]],Started!A$5:AU$34,15,FALSE)="FEO"),"x","")</f>
        <v/>
      </c>
      <c r="N8" s="48"/>
      <c r="O8" s="48"/>
      <c r="P8" s="48"/>
      <c r="Q8" s="48" t="str">
        <f>IF(AND(Table131[[#This Row],[Status Container]]="",Table131[[#This Row],[Status Interior]]=""),"",VLOOKUP(Table131[[#This Row],[Ln'#]],Started!$A$5:$AU$34,3,FALSE))</f>
        <v/>
      </c>
      <c r="R8" s="51" t="str">
        <f>IF(Table131[[#This Row],[Dog ID]]="","",(VLOOKUP(Table131[[#This Row],[Dog ID]],Started!C$5:$D$34,2,FALSE)&amp;" - " &amp;VLOOKUP(Table131[[#This Row],[Dog ID]],'SDDA Dogs'!A:C,3,FALSE)))</f>
        <v/>
      </c>
      <c r="S8" s="51" t="str">
        <f>IF(Table131[[#This Row],[Dog ID]]="","",(VLOOKUP(Table131[[#This Row],[Dog ID]],Started!C$5:$AU39,45,FALSE)))</f>
        <v/>
      </c>
    </row>
    <row r="9" spans="1:19" ht="30" customHeight="1" x14ac:dyDescent="0.45">
      <c r="A9" s="49">
        <v>6</v>
      </c>
      <c r="B9" s="49" t="str">
        <f>IF(OR(VLOOKUP(Table1[[#This Row],[Ln'#]],Started!A$5:AU$34,7,FALSE)="E",VLOOKUP(Table1[[#This Row],[Ln'#]],Started!A$5:AU$34,7,FALSE)="FEO"),"Entered or FEO","Not Entered")</f>
        <v>Not Entered</v>
      </c>
      <c r="C9" s="50" t="str">
        <f t="shared" ca="1" si="0"/>
        <v/>
      </c>
      <c r="D9" s="48"/>
      <c r="E9" s="48"/>
      <c r="F9" s="48"/>
      <c r="G9" s="48" t="str">
        <f>IF(Table1[[#This Row],[Status]]="Not Entered","",VLOOKUP(Table1[[#This Row],[Ln'#]],Started!$A$5:$AU$34,3,FALSE))</f>
        <v/>
      </c>
      <c r="H9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9" s="51" t="str">
        <f>IF(Table1[[#This Row],[Status]]="Not Entered","",VLOOKUP(Table1[[#This Row],[Ln'#]],Started!$A$5:$BB$34,47,FALSE))</f>
        <v/>
      </c>
      <c r="K9" s="49">
        <v>6</v>
      </c>
      <c r="L9" s="144" t="str">
        <f>IF(OR(VLOOKUP(Table131[[#This Row],[Ln'#]],Started!A$5:AU$34,7,FALSE)="E",VLOOKUP(Table131[[#This Row],[Ln'#]],Started!A$5:AU$34,7,FALSE)="FEO"),"x","")</f>
        <v/>
      </c>
      <c r="M9" s="144" t="str">
        <f>IF(OR(VLOOKUP(Table131[[#This Row],[Ln'#]],Started!A$5:AU$34,15,FALSE)="E",VLOOKUP(Table131[[#This Row],[Ln'#]],Started!A$5:AU$34,15,FALSE)="FEO"),"x","")</f>
        <v/>
      </c>
      <c r="N9" s="48"/>
      <c r="O9" s="48"/>
      <c r="P9" s="48"/>
      <c r="Q9" s="48" t="str">
        <f>IF(AND(Table131[[#This Row],[Status Container]]="",Table131[[#This Row],[Status Interior]]=""),"",VLOOKUP(Table131[[#This Row],[Ln'#]],Started!$A$5:$AU$34,3,FALSE))</f>
        <v/>
      </c>
      <c r="R9" s="51" t="str">
        <f>IF(Table131[[#This Row],[Dog ID]]="","",(VLOOKUP(Table131[[#This Row],[Dog ID]],Started!C$5:$D$34,2,FALSE)&amp;" - " &amp;VLOOKUP(Table131[[#This Row],[Dog ID]],'SDDA Dogs'!A:C,3,FALSE)))</f>
        <v/>
      </c>
      <c r="S9" s="51" t="str">
        <f>IF(Table131[[#This Row],[Dog ID]]="","",(VLOOKUP(Table131[[#This Row],[Dog ID]],Started!C$5:$AU40,45,FALSE)))</f>
        <v/>
      </c>
    </row>
    <row r="10" spans="1:19" ht="30" customHeight="1" x14ac:dyDescent="0.45">
      <c r="A10" s="49">
        <v>7</v>
      </c>
      <c r="B10" s="49" t="str">
        <f>IF(OR(VLOOKUP(Table1[[#This Row],[Ln'#]],Started!A$5:AU$34,7,FALSE)="E",VLOOKUP(Table1[[#This Row],[Ln'#]],Started!A$5:AU$34,7,FALSE)="FEO"),"Entered or FEO","Not Entered")</f>
        <v>Not Entered</v>
      </c>
      <c r="C10" s="50" t="str">
        <f t="shared" ca="1" si="0"/>
        <v/>
      </c>
      <c r="D10" s="48"/>
      <c r="E10" s="48"/>
      <c r="F10" s="48"/>
      <c r="G10" s="48" t="str">
        <f>IF(Table1[[#This Row],[Status]]="Not Entered","",VLOOKUP(Table1[[#This Row],[Ln'#]],Started!$A$5:$AU$34,3,FALSE))</f>
        <v/>
      </c>
      <c r="H10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0" s="51" t="str">
        <f>IF(Table1[[#This Row],[Status]]="Not Entered","",VLOOKUP(Table1[[#This Row],[Ln'#]],Started!$A$5:$BB$34,47,FALSE))</f>
        <v/>
      </c>
      <c r="K10" s="49">
        <v>7</v>
      </c>
      <c r="L10" s="144" t="str">
        <f>IF(OR(VLOOKUP(Table131[[#This Row],[Ln'#]],Started!A$5:AU$34,7,FALSE)="E",VLOOKUP(Table131[[#This Row],[Ln'#]],Started!A$5:AU$34,7,FALSE)="FEO"),"x","")</f>
        <v/>
      </c>
      <c r="M10" s="144" t="str">
        <f>IF(OR(VLOOKUP(Table131[[#This Row],[Ln'#]],Started!A$5:AU$34,15,FALSE)="E",VLOOKUP(Table131[[#This Row],[Ln'#]],Started!A$5:AU$34,15,FALSE)="FEO"),"x","")</f>
        <v/>
      </c>
      <c r="N10" s="48"/>
      <c r="O10" s="48"/>
      <c r="P10" s="48"/>
      <c r="Q10" s="48" t="str">
        <f>IF(AND(Table131[[#This Row],[Status Container]]="",Table131[[#This Row],[Status Interior]]=""),"",VLOOKUP(Table131[[#This Row],[Ln'#]],Started!$A$5:$AU$34,3,FALSE))</f>
        <v/>
      </c>
      <c r="R10" s="51" t="str">
        <f>IF(Table131[[#This Row],[Dog ID]]="","",(VLOOKUP(Table131[[#This Row],[Dog ID]],Started!C$5:$D$34,2,FALSE)&amp;" - " &amp;VLOOKUP(Table131[[#This Row],[Dog ID]],'SDDA Dogs'!A:C,3,FALSE)))</f>
        <v/>
      </c>
      <c r="S10" s="51" t="str">
        <f>IF(Table131[[#This Row],[Dog ID]]="","",(VLOOKUP(Table131[[#This Row],[Dog ID]],Started!C$5:$AU41,45,FALSE)))</f>
        <v/>
      </c>
    </row>
    <row r="11" spans="1:19" ht="30" customHeight="1" x14ac:dyDescent="0.45">
      <c r="A11" s="49">
        <v>8</v>
      </c>
      <c r="B11" s="49" t="str">
        <f>IF(OR(VLOOKUP(Table1[[#This Row],[Ln'#]],Started!A$5:AU$34,7,FALSE)="E",VLOOKUP(Table1[[#This Row],[Ln'#]],Started!A$5:AU$34,7,FALSE)="FEO"),"Entered or FEO","Not Entered")</f>
        <v>Not Entered</v>
      </c>
      <c r="C11" s="50" t="str">
        <f t="shared" ca="1" si="0"/>
        <v/>
      </c>
      <c r="D11" s="48"/>
      <c r="E11" s="48"/>
      <c r="F11" s="48"/>
      <c r="G11" s="48" t="str">
        <f>IF(Table1[[#This Row],[Status]]="Not Entered","",VLOOKUP(Table1[[#This Row],[Ln'#]],Started!$A$5:$AU$34,3,FALSE))</f>
        <v/>
      </c>
      <c r="H11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1" s="51" t="str">
        <f>IF(Table1[[#This Row],[Status]]="Not Entered","",VLOOKUP(Table1[[#This Row],[Ln'#]],Started!$A$5:$BB$34,47,FALSE))</f>
        <v/>
      </c>
      <c r="K11" s="49">
        <v>8</v>
      </c>
      <c r="L11" s="144" t="str">
        <f>IF(OR(VLOOKUP(Table131[[#This Row],[Ln'#]],Started!A$5:AU$34,7,FALSE)="E",VLOOKUP(Table131[[#This Row],[Ln'#]],Started!A$5:AU$34,7,FALSE)="FEO"),"x","")</f>
        <v/>
      </c>
      <c r="M11" s="144" t="str">
        <f>IF(OR(VLOOKUP(Table131[[#This Row],[Ln'#]],Started!A$5:AU$34,15,FALSE)="E",VLOOKUP(Table131[[#This Row],[Ln'#]],Started!A$5:AU$34,15,FALSE)="FEO"),"x","")</f>
        <v/>
      </c>
      <c r="N11" s="48"/>
      <c r="O11" s="48"/>
      <c r="P11" s="48"/>
      <c r="Q11" s="48" t="str">
        <f>IF(AND(Table131[[#This Row],[Status Container]]="",Table131[[#This Row],[Status Interior]]=""),"",VLOOKUP(Table131[[#This Row],[Ln'#]],Started!$A$5:$AU$34,3,FALSE))</f>
        <v/>
      </c>
      <c r="R11" s="51" t="str">
        <f>IF(Table131[[#This Row],[Dog ID]]="","",(VLOOKUP(Table131[[#This Row],[Dog ID]],Started!C$5:$D$34,2,FALSE)&amp;" - " &amp;VLOOKUP(Table131[[#This Row],[Dog ID]],'SDDA Dogs'!A:C,3,FALSE)))</f>
        <v/>
      </c>
      <c r="S11" s="51" t="str">
        <f>IF(Table131[[#This Row],[Dog ID]]="","",(VLOOKUP(Table131[[#This Row],[Dog ID]],Started!C$5:$AU42,45,FALSE)))</f>
        <v/>
      </c>
    </row>
    <row r="12" spans="1:19" ht="30" customHeight="1" x14ac:dyDescent="0.45">
      <c r="A12" s="49">
        <v>9</v>
      </c>
      <c r="B12" s="49" t="str">
        <f>IF(OR(VLOOKUP(Table1[[#This Row],[Ln'#]],Started!A$5:AU$34,7,FALSE)="E",VLOOKUP(Table1[[#This Row],[Ln'#]],Started!A$5:AU$34,7,FALSE)="FEO"),"Entered or FEO","Not Entered")</f>
        <v>Not Entered</v>
      </c>
      <c r="C12" s="50" t="str">
        <f t="shared" ca="1" si="0"/>
        <v/>
      </c>
      <c r="D12" s="48"/>
      <c r="E12" s="48"/>
      <c r="F12" s="48"/>
      <c r="G12" s="48" t="str">
        <f>IF(Table1[[#This Row],[Status]]="Not Entered","",VLOOKUP(Table1[[#This Row],[Ln'#]],Started!$A$5:$AU$34,3,FALSE))</f>
        <v/>
      </c>
      <c r="H12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2" s="51" t="str">
        <f>IF(Table1[[#This Row],[Status]]="Not Entered","",VLOOKUP(Table1[[#This Row],[Ln'#]],Started!$A$5:$BB$34,47,FALSE))</f>
        <v/>
      </c>
      <c r="K12" s="49">
        <v>9</v>
      </c>
      <c r="L12" s="144" t="str">
        <f>IF(OR(VLOOKUP(Table131[[#This Row],[Ln'#]],Started!A$5:AU$34,7,FALSE)="E",VLOOKUP(Table131[[#This Row],[Ln'#]],Started!A$5:AU$34,7,FALSE)="FEO"),"x","")</f>
        <v/>
      </c>
      <c r="M12" s="144" t="str">
        <f>IF(OR(VLOOKUP(Table131[[#This Row],[Ln'#]],Started!A$5:AU$34,15,FALSE)="E",VLOOKUP(Table131[[#This Row],[Ln'#]],Started!A$5:AU$34,15,FALSE)="FEO"),"x","")</f>
        <v/>
      </c>
      <c r="N12" s="48"/>
      <c r="O12" s="48"/>
      <c r="P12" s="48"/>
      <c r="Q12" s="48" t="str">
        <f>IF(AND(Table131[[#This Row],[Status Container]]="",Table131[[#This Row],[Status Interior]]=""),"",VLOOKUP(Table131[[#This Row],[Ln'#]],Started!$A$5:$AU$34,3,FALSE))</f>
        <v/>
      </c>
      <c r="R12" s="51" t="str">
        <f>IF(Table131[[#This Row],[Dog ID]]="","",(VLOOKUP(Table131[[#This Row],[Dog ID]],Started!C$5:$D$34,2,FALSE)&amp;" - " &amp;VLOOKUP(Table131[[#This Row],[Dog ID]],'SDDA Dogs'!A:C,3,FALSE)))</f>
        <v/>
      </c>
      <c r="S12" s="51" t="str">
        <f>IF(Table131[[#This Row],[Dog ID]]="","",(VLOOKUP(Table131[[#This Row],[Dog ID]],Started!C$5:$AU43,45,FALSE)))</f>
        <v/>
      </c>
    </row>
    <row r="13" spans="1:19" ht="30" customHeight="1" x14ac:dyDescent="0.45">
      <c r="A13" s="49">
        <v>10</v>
      </c>
      <c r="B13" s="49" t="str">
        <f>IF(OR(VLOOKUP(Table1[[#This Row],[Ln'#]],Started!A$5:AU$34,7,FALSE)="E",VLOOKUP(Table1[[#This Row],[Ln'#]],Started!A$5:AU$34,7,FALSE)="FEO"),"Entered or FEO","Not Entered")</f>
        <v>Not Entered</v>
      </c>
      <c r="C13" s="50" t="str">
        <f t="shared" ca="1" si="0"/>
        <v/>
      </c>
      <c r="D13" s="48"/>
      <c r="E13" s="48"/>
      <c r="F13" s="48"/>
      <c r="G13" s="48" t="str">
        <f>IF(Table1[[#This Row],[Status]]="Not Entered","",VLOOKUP(Table1[[#This Row],[Ln'#]],Started!$A$5:$AU$34,3,FALSE))</f>
        <v/>
      </c>
      <c r="H13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3" s="51" t="str">
        <f>IF(Table1[[#This Row],[Status]]="Not Entered","",VLOOKUP(Table1[[#This Row],[Ln'#]],Started!$A$5:$BB$34,47,FALSE))</f>
        <v/>
      </c>
      <c r="K13" s="49">
        <v>10</v>
      </c>
      <c r="L13" s="144" t="str">
        <f>IF(OR(VLOOKUP(Table131[[#This Row],[Ln'#]],Started!A$5:AU$34,7,FALSE)="E",VLOOKUP(Table131[[#This Row],[Ln'#]],Started!A$5:AU$34,7,FALSE)="FEO"),"x","")</f>
        <v/>
      </c>
      <c r="M13" s="144" t="str">
        <f>IF(OR(VLOOKUP(Table131[[#This Row],[Ln'#]],Started!A$5:AU$34,15,FALSE)="E",VLOOKUP(Table131[[#This Row],[Ln'#]],Started!A$5:AU$34,15,FALSE)="FEO"),"x","")</f>
        <v/>
      </c>
      <c r="N13" s="48"/>
      <c r="O13" s="48"/>
      <c r="P13" s="48"/>
      <c r="Q13" s="48" t="str">
        <f>IF(AND(Table131[[#This Row],[Status Container]]="",Table131[[#This Row],[Status Interior]]=""),"",VLOOKUP(Table131[[#This Row],[Ln'#]],Started!$A$5:$AU$34,3,FALSE))</f>
        <v/>
      </c>
      <c r="R13" s="51" t="str">
        <f>IF(Table131[[#This Row],[Dog ID]]="","",(VLOOKUP(Table131[[#This Row],[Dog ID]],Started!C$5:$D$34,2,FALSE)&amp;" - " &amp;VLOOKUP(Table131[[#This Row],[Dog ID]],'SDDA Dogs'!A:C,3,FALSE)))</f>
        <v/>
      </c>
      <c r="S13" s="51" t="str">
        <f>IF(Table131[[#This Row],[Dog ID]]="","",(VLOOKUP(Table131[[#This Row],[Dog ID]],Started!C$5:$AU44,45,FALSE)))</f>
        <v/>
      </c>
    </row>
    <row r="14" spans="1:19" ht="30" customHeight="1" x14ac:dyDescent="0.45">
      <c r="A14" s="49">
        <v>11</v>
      </c>
      <c r="B14" s="49" t="str">
        <f>IF(OR(VLOOKUP(Table1[[#This Row],[Ln'#]],Started!A$5:AU$34,7,FALSE)="E",VLOOKUP(Table1[[#This Row],[Ln'#]],Started!A$5:AU$34,7,FALSE)="FEO"),"Entered or FEO","Not Entered")</f>
        <v>Not Entered</v>
      </c>
      <c r="C14" s="50" t="str">
        <f t="shared" ca="1" si="0"/>
        <v/>
      </c>
      <c r="D14" s="48"/>
      <c r="E14" s="48"/>
      <c r="F14" s="48"/>
      <c r="G14" s="48" t="str">
        <f>IF(Table1[[#This Row],[Status]]="Not Entered","",VLOOKUP(Table1[[#This Row],[Ln'#]],Started!$A$5:$AU$34,3,FALSE))</f>
        <v/>
      </c>
      <c r="H14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4" s="51" t="str">
        <f>IF(Table1[[#This Row],[Status]]="Not Entered","",VLOOKUP(Table1[[#This Row],[Ln'#]],Started!$A$5:$BB$34,47,FALSE))</f>
        <v/>
      </c>
      <c r="K14" s="49">
        <v>11</v>
      </c>
      <c r="L14" s="144" t="str">
        <f>IF(OR(VLOOKUP(Table131[[#This Row],[Ln'#]],Started!A$5:AU$34,7,FALSE)="E",VLOOKUP(Table131[[#This Row],[Ln'#]],Started!A$5:AU$34,7,FALSE)="FEO"),"x","")</f>
        <v/>
      </c>
      <c r="M14" s="144" t="str">
        <f>IF(OR(VLOOKUP(Table131[[#This Row],[Ln'#]],Started!A$5:AU$34,15,FALSE)="E",VLOOKUP(Table131[[#This Row],[Ln'#]],Started!A$5:AU$34,15,FALSE)="FEO"),"x","")</f>
        <v/>
      </c>
      <c r="N14" s="48"/>
      <c r="O14" s="48"/>
      <c r="P14" s="48"/>
      <c r="Q14" s="48" t="str">
        <f>IF(AND(Table131[[#This Row],[Status Container]]="",Table131[[#This Row],[Status Interior]]=""),"",VLOOKUP(Table131[[#This Row],[Ln'#]],Started!$A$5:$AU$34,3,FALSE))</f>
        <v/>
      </c>
      <c r="R14" s="51" t="str">
        <f>IF(Table131[[#This Row],[Dog ID]]="","",(VLOOKUP(Table131[[#This Row],[Dog ID]],Started!C$5:$D$34,2,FALSE)&amp;" - " &amp;VLOOKUP(Table131[[#This Row],[Dog ID]],'SDDA Dogs'!A:C,3,FALSE)))</f>
        <v/>
      </c>
      <c r="S14" s="51" t="str">
        <f>IF(Table131[[#This Row],[Dog ID]]="","",(VLOOKUP(Table131[[#This Row],[Dog ID]],Started!C$5:$AU45,45,FALSE)))</f>
        <v/>
      </c>
    </row>
    <row r="15" spans="1:19" ht="30" customHeight="1" x14ac:dyDescent="0.45">
      <c r="A15" s="49">
        <v>12</v>
      </c>
      <c r="B15" s="49" t="str">
        <f>IF(OR(VLOOKUP(Table1[[#This Row],[Ln'#]],Started!A$5:AU$34,7,FALSE)="E",VLOOKUP(Table1[[#This Row],[Ln'#]],Started!A$5:AU$34,7,FALSE)="FEO"),"Entered or FEO","Not Entered")</f>
        <v>Not Entered</v>
      </c>
      <c r="C15" s="50" t="str">
        <f t="shared" ca="1" si="0"/>
        <v/>
      </c>
      <c r="D15" s="48"/>
      <c r="E15" s="48"/>
      <c r="F15" s="48"/>
      <c r="G15" s="48" t="str">
        <f>IF(Table1[[#This Row],[Status]]="Not Entered","",VLOOKUP(Table1[[#This Row],[Ln'#]],Started!$A$5:$AU$34,3,FALSE))</f>
        <v/>
      </c>
      <c r="H15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5" s="51" t="str">
        <f>IF(Table1[[#This Row],[Status]]="Not Entered","",VLOOKUP(Table1[[#This Row],[Ln'#]],Started!$A$5:$BB$34,47,FALSE))</f>
        <v/>
      </c>
      <c r="K15" s="49">
        <v>12</v>
      </c>
      <c r="L15" s="144" t="str">
        <f>IF(OR(VLOOKUP(Table131[[#This Row],[Ln'#]],Started!A$5:AU$34,7,FALSE)="E",VLOOKUP(Table131[[#This Row],[Ln'#]],Started!A$5:AU$34,7,FALSE)="FEO"),"x","")</f>
        <v/>
      </c>
      <c r="M15" s="144" t="str">
        <f>IF(OR(VLOOKUP(Table131[[#This Row],[Ln'#]],Started!A$5:AU$34,15,FALSE)="E",VLOOKUP(Table131[[#This Row],[Ln'#]],Started!A$5:AU$34,15,FALSE)="FEO"),"x","")</f>
        <v/>
      </c>
      <c r="N15" s="48"/>
      <c r="O15" s="48"/>
      <c r="P15" s="48"/>
      <c r="Q15" s="48" t="str">
        <f>IF(AND(Table131[[#This Row],[Status Container]]="",Table131[[#This Row],[Status Interior]]=""),"",VLOOKUP(Table131[[#This Row],[Ln'#]],Started!$A$5:$AU$34,3,FALSE))</f>
        <v/>
      </c>
      <c r="R15" s="51" t="str">
        <f>IF(Table131[[#This Row],[Dog ID]]="","",(VLOOKUP(Table131[[#This Row],[Dog ID]],Started!C$5:$D$34,2,FALSE)&amp;" - " &amp;VLOOKUP(Table131[[#This Row],[Dog ID]],'SDDA Dogs'!A:C,3,FALSE)))</f>
        <v/>
      </c>
      <c r="S15" s="51" t="str">
        <f>IF(Table131[[#This Row],[Dog ID]]="","",(VLOOKUP(Table131[[#This Row],[Dog ID]],Started!C$5:$AU46,45,FALSE)))</f>
        <v/>
      </c>
    </row>
    <row r="16" spans="1:19" ht="30" customHeight="1" x14ac:dyDescent="0.45">
      <c r="A16" s="49">
        <v>13</v>
      </c>
      <c r="B16" s="49" t="str">
        <f>IF(OR(VLOOKUP(Table1[[#This Row],[Ln'#]],Started!A$5:AU$34,7,FALSE)="E",VLOOKUP(Table1[[#This Row],[Ln'#]],Started!A$5:AU$34,7,FALSE)="FEO"),"Entered or FEO","Not Entered")</f>
        <v>Not Entered</v>
      </c>
      <c r="C16" s="50" t="str">
        <f t="shared" ca="1" si="0"/>
        <v/>
      </c>
      <c r="D16" s="48"/>
      <c r="E16" s="48"/>
      <c r="F16" s="48"/>
      <c r="G16" s="48" t="str">
        <f>IF(Table1[[#This Row],[Status]]="Not Entered","",VLOOKUP(Table1[[#This Row],[Ln'#]],Started!$A$5:$AU$34,3,FALSE))</f>
        <v/>
      </c>
      <c r="H16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6" s="51" t="str">
        <f>IF(Table1[[#This Row],[Status]]="Not Entered","",VLOOKUP(Table1[[#This Row],[Ln'#]],Started!$A$5:$BB$34,47,FALSE))</f>
        <v/>
      </c>
      <c r="K16" s="49">
        <v>13</v>
      </c>
      <c r="L16" s="144" t="str">
        <f>IF(OR(VLOOKUP(Table131[[#This Row],[Ln'#]],Started!A$5:AU$34,7,FALSE)="E",VLOOKUP(Table131[[#This Row],[Ln'#]],Started!A$5:AU$34,7,FALSE)="FEO"),"x","")</f>
        <v/>
      </c>
      <c r="M16" s="144" t="str">
        <f>IF(OR(VLOOKUP(Table131[[#This Row],[Ln'#]],Started!A$5:AU$34,15,FALSE)="E",VLOOKUP(Table131[[#This Row],[Ln'#]],Started!A$5:AU$34,15,FALSE)="FEO"),"x","")</f>
        <v/>
      </c>
      <c r="N16" s="48"/>
      <c r="O16" s="48"/>
      <c r="P16" s="48"/>
      <c r="Q16" s="48" t="str">
        <f>IF(AND(Table131[[#This Row],[Status Container]]="",Table131[[#This Row],[Status Interior]]=""),"",VLOOKUP(Table131[[#This Row],[Ln'#]],Started!$A$5:$AU$34,3,FALSE))</f>
        <v/>
      </c>
      <c r="R16" s="51" t="str">
        <f>IF(Table131[[#This Row],[Dog ID]]="","",(VLOOKUP(Table131[[#This Row],[Dog ID]],Started!C$5:$D$34,2,FALSE)&amp;" - " &amp;VLOOKUP(Table131[[#This Row],[Dog ID]],'SDDA Dogs'!A:C,3,FALSE)))</f>
        <v/>
      </c>
      <c r="S16" s="51" t="str">
        <f>IF(Table131[[#This Row],[Dog ID]]="","",(VLOOKUP(Table131[[#This Row],[Dog ID]],Started!C$5:$AU47,45,FALSE)))</f>
        <v/>
      </c>
    </row>
    <row r="17" spans="1:19" ht="30" customHeight="1" x14ac:dyDescent="0.45">
      <c r="A17" s="49">
        <v>14</v>
      </c>
      <c r="B17" s="49" t="str">
        <f>IF(OR(VLOOKUP(Table1[[#This Row],[Ln'#]],Started!A$5:AU$34,7,FALSE)="E",VLOOKUP(Table1[[#This Row],[Ln'#]],Started!A$5:AU$34,7,FALSE)="FEO"),"Entered or FEO","Not Entered")</f>
        <v>Not Entered</v>
      </c>
      <c r="C17" s="50" t="str">
        <f t="shared" ca="1" si="0"/>
        <v/>
      </c>
      <c r="D17" s="48"/>
      <c r="E17" s="48"/>
      <c r="F17" s="48"/>
      <c r="G17" s="48" t="str">
        <f>IF(Table1[[#This Row],[Status]]="Not Entered","",VLOOKUP(Table1[[#This Row],[Ln'#]],Started!$A$5:$AU$34,3,FALSE))</f>
        <v/>
      </c>
      <c r="H17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7" s="51" t="str">
        <f>IF(Table1[[#This Row],[Status]]="Not Entered","",VLOOKUP(Table1[[#This Row],[Ln'#]],Started!$A$5:$BB$34,47,FALSE))</f>
        <v/>
      </c>
      <c r="K17" s="49">
        <v>14</v>
      </c>
      <c r="L17" s="144" t="str">
        <f>IF(OR(VLOOKUP(Table131[[#This Row],[Ln'#]],Started!A$5:AU$34,7,FALSE)="E",VLOOKUP(Table131[[#This Row],[Ln'#]],Started!A$5:AU$34,7,FALSE)="FEO"),"x","")</f>
        <v/>
      </c>
      <c r="M17" s="144" t="str">
        <f>IF(OR(VLOOKUP(Table131[[#This Row],[Ln'#]],Started!A$5:AU$34,15,FALSE)="E",VLOOKUP(Table131[[#This Row],[Ln'#]],Started!A$5:AU$34,15,FALSE)="FEO"),"x","")</f>
        <v/>
      </c>
      <c r="N17" s="48"/>
      <c r="O17" s="48"/>
      <c r="P17" s="48"/>
      <c r="Q17" s="48" t="str">
        <f>IF(AND(Table131[[#This Row],[Status Container]]="",Table131[[#This Row],[Status Interior]]=""),"",VLOOKUP(Table131[[#This Row],[Ln'#]],Started!$A$5:$AU$34,3,FALSE))</f>
        <v/>
      </c>
      <c r="R17" s="51" t="str">
        <f>IF(Table131[[#This Row],[Dog ID]]="","",(VLOOKUP(Table131[[#This Row],[Dog ID]],Started!C$5:$D$34,2,FALSE)&amp;" - " &amp;VLOOKUP(Table131[[#This Row],[Dog ID]],'SDDA Dogs'!A:C,3,FALSE)))</f>
        <v/>
      </c>
      <c r="S17" s="51" t="str">
        <f>IF(Table131[[#This Row],[Dog ID]]="","",(VLOOKUP(Table131[[#This Row],[Dog ID]],Started!C$5:$AU48,45,FALSE)))</f>
        <v/>
      </c>
    </row>
    <row r="18" spans="1:19" ht="30" customHeight="1" x14ac:dyDescent="0.45">
      <c r="A18" s="49">
        <v>15</v>
      </c>
      <c r="B18" s="49" t="str">
        <f>IF(OR(VLOOKUP(Table1[[#This Row],[Ln'#]],Started!A$5:AU$34,7,FALSE)="E",VLOOKUP(Table1[[#This Row],[Ln'#]],Started!A$5:AU$34,7,FALSE)="FEO"),"Entered or FEO","Not Entered")</f>
        <v>Not Entered</v>
      </c>
      <c r="C18" s="50" t="str">
        <f t="shared" ca="1" si="0"/>
        <v/>
      </c>
      <c r="D18" s="48"/>
      <c r="E18" s="48"/>
      <c r="F18" s="48"/>
      <c r="G18" s="48" t="str">
        <f>IF(Table1[[#This Row],[Status]]="Not Entered","",VLOOKUP(Table1[[#This Row],[Ln'#]],Started!$A$5:$AU$34,3,FALSE))</f>
        <v/>
      </c>
      <c r="H18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8" s="51" t="str">
        <f>IF(Table1[[#This Row],[Status]]="Not Entered","",VLOOKUP(Table1[[#This Row],[Ln'#]],Started!$A$5:$BB$34,47,FALSE))</f>
        <v/>
      </c>
      <c r="K18" s="49">
        <v>15</v>
      </c>
      <c r="L18" s="144" t="str">
        <f>IF(OR(VLOOKUP(Table131[[#This Row],[Ln'#]],Started!A$5:AU$34,7,FALSE)="E",VLOOKUP(Table131[[#This Row],[Ln'#]],Started!A$5:AU$34,7,FALSE)="FEO"),"x","")</f>
        <v/>
      </c>
      <c r="M18" s="144" t="str">
        <f>IF(OR(VLOOKUP(Table131[[#This Row],[Ln'#]],Started!A$5:AU$34,15,FALSE)="E",VLOOKUP(Table131[[#This Row],[Ln'#]],Started!A$5:AU$34,15,FALSE)="FEO"),"x","")</f>
        <v/>
      </c>
      <c r="N18" s="48"/>
      <c r="O18" s="48"/>
      <c r="P18" s="48"/>
      <c r="Q18" s="48" t="str">
        <f>IF(AND(Table131[[#This Row],[Status Container]]="",Table131[[#This Row],[Status Interior]]=""),"",VLOOKUP(Table131[[#This Row],[Ln'#]],Started!$A$5:$AU$34,3,FALSE))</f>
        <v/>
      </c>
      <c r="R18" s="51" t="str">
        <f>IF(Table131[[#This Row],[Dog ID]]="","",(VLOOKUP(Table131[[#This Row],[Dog ID]],Started!C$5:$D$34,2,FALSE)&amp;" - " &amp;VLOOKUP(Table131[[#This Row],[Dog ID]],'SDDA Dogs'!A:C,3,FALSE)))</f>
        <v/>
      </c>
      <c r="S18" s="51" t="str">
        <f>IF(Table131[[#This Row],[Dog ID]]="","",(VLOOKUP(Table131[[#This Row],[Dog ID]],Started!C$5:$AU49,45,FALSE)))</f>
        <v/>
      </c>
    </row>
    <row r="19" spans="1:19" ht="30" customHeight="1" x14ac:dyDescent="0.45">
      <c r="A19" s="49">
        <v>16</v>
      </c>
      <c r="B19" s="49" t="str">
        <f>IF(OR(VLOOKUP(Table1[[#This Row],[Ln'#]],Started!A$5:AU$34,7,FALSE)="E",VLOOKUP(Table1[[#This Row],[Ln'#]],Started!A$5:AU$34,7,FALSE)="FEO"),"Entered or FEO","Not Entered")</f>
        <v>Not Entered</v>
      </c>
      <c r="C19" s="50" t="str">
        <f t="shared" ca="1" si="0"/>
        <v/>
      </c>
      <c r="D19" s="48"/>
      <c r="E19" s="48"/>
      <c r="F19" s="48"/>
      <c r="G19" s="48" t="str">
        <f>IF(Table1[[#This Row],[Status]]="Not Entered","",VLOOKUP(Table1[[#This Row],[Ln'#]],Started!$A$5:$AU$34,3,FALSE))</f>
        <v/>
      </c>
      <c r="H19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9" s="51" t="str">
        <f>IF(Table1[[#This Row],[Status]]="Not Entered","",VLOOKUP(Table1[[#This Row],[Ln'#]],Started!$A$5:$BB$34,47,FALSE))</f>
        <v/>
      </c>
      <c r="K19" s="49">
        <v>16</v>
      </c>
      <c r="L19" s="144" t="str">
        <f>IF(OR(VLOOKUP(Table131[[#This Row],[Ln'#]],Started!A$5:AU$34,7,FALSE)="E",VLOOKUP(Table131[[#This Row],[Ln'#]],Started!A$5:AU$34,7,FALSE)="FEO"),"x","")</f>
        <v/>
      </c>
      <c r="M19" s="144" t="str">
        <f>IF(OR(VLOOKUP(Table131[[#This Row],[Ln'#]],Started!A$5:AU$34,15,FALSE)="E",VLOOKUP(Table131[[#This Row],[Ln'#]],Started!A$5:AU$34,15,FALSE)="FEO"),"x","")</f>
        <v/>
      </c>
      <c r="N19" s="48"/>
      <c r="O19" s="48"/>
      <c r="P19" s="48"/>
      <c r="Q19" s="48" t="str">
        <f>IF(AND(Table131[[#This Row],[Status Container]]="",Table131[[#This Row],[Status Interior]]=""),"",VLOOKUP(Table131[[#This Row],[Ln'#]],Started!$A$5:$AU$34,3,FALSE))</f>
        <v/>
      </c>
      <c r="R19" s="51" t="str">
        <f>IF(Table131[[#This Row],[Dog ID]]="","",(VLOOKUP(Table131[[#This Row],[Dog ID]],Started!C$5:$D$34,2,FALSE)&amp;" - " &amp;VLOOKUP(Table131[[#This Row],[Dog ID]],'SDDA Dogs'!A:C,3,FALSE)))</f>
        <v/>
      </c>
      <c r="S19" s="51" t="str">
        <f>IF(Table131[[#This Row],[Dog ID]]="","",(VLOOKUP(Table131[[#This Row],[Dog ID]],Started!C$5:$AU50,45,FALSE)))</f>
        <v/>
      </c>
    </row>
    <row r="20" spans="1:19" ht="30" customHeight="1" x14ac:dyDescent="0.45">
      <c r="A20" s="49">
        <v>17</v>
      </c>
      <c r="B20" s="49" t="str">
        <f>IF(OR(VLOOKUP(Table1[[#This Row],[Ln'#]],Started!A$5:AU$34,7,FALSE)="E",VLOOKUP(Table1[[#This Row],[Ln'#]],Started!A$5:AU$34,7,FALSE)="FEO"),"Entered or FEO","Not Entered")</f>
        <v>Not Entered</v>
      </c>
      <c r="C20" s="50" t="str">
        <f t="shared" ca="1" si="0"/>
        <v/>
      </c>
      <c r="D20" s="48"/>
      <c r="E20" s="48"/>
      <c r="F20" s="48"/>
      <c r="G20" s="48" t="str">
        <f>IF(Table1[[#This Row],[Status]]="Not Entered","",VLOOKUP(Table1[[#This Row],[Ln'#]],Started!$A$5:$AU$34,3,FALSE))</f>
        <v/>
      </c>
      <c r="H20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0" s="51" t="str">
        <f>IF(Table1[[#This Row],[Status]]="Not Entered","",VLOOKUP(Table1[[#This Row],[Ln'#]],Started!$A$5:$BB$34,47,FALSE))</f>
        <v/>
      </c>
      <c r="K20" s="49">
        <v>17</v>
      </c>
      <c r="L20" s="144" t="str">
        <f>IF(OR(VLOOKUP(Table131[[#This Row],[Ln'#]],Started!A$5:AU$34,7,FALSE)="E",VLOOKUP(Table131[[#This Row],[Ln'#]],Started!A$5:AU$34,7,FALSE)="FEO"),"x","")</f>
        <v/>
      </c>
      <c r="M20" s="144" t="str">
        <f>IF(OR(VLOOKUP(Table131[[#This Row],[Ln'#]],Started!A$5:AU$34,15,FALSE)="E",VLOOKUP(Table131[[#This Row],[Ln'#]],Started!A$5:AU$34,15,FALSE)="FEO"),"x","")</f>
        <v/>
      </c>
      <c r="N20" s="48"/>
      <c r="O20" s="48"/>
      <c r="P20" s="48"/>
      <c r="Q20" s="48" t="str">
        <f>IF(AND(Table131[[#This Row],[Status Container]]="",Table131[[#This Row],[Status Interior]]=""),"",VLOOKUP(Table131[[#This Row],[Ln'#]],Started!$A$5:$AU$34,3,FALSE))</f>
        <v/>
      </c>
      <c r="R20" s="51" t="str">
        <f>IF(Table131[[#This Row],[Dog ID]]="","",(VLOOKUP(Table131[[#This Row],[Dog ID]],Started!C$5:$D$34,2,FALSE)&amp;" - " &amp;VLOOKUP(Table131[[#This Row],[Dog ID]],'SDDA Dogs'!A:C,3,FALSE)))</f>
        <v/>
      </c>
      <c r="S20" s="51" t="str">
        <f>IF(Table131[[#This Row],[Dog ID]]="","",(VLOOKUP(Table131[[#This Row],[Dog ID]],Started!C$5:$AU51,45,FALSE)))</f>
        <v/>
      </c>
    </row>
    <row r="21" spans="1:19" ht="30" customHeight="1" x14ac:dyDescent="0.45">
      <c r="A21" s="49">
        <v>18</v>
      </c>
      <c r="B21" s="49" t="str">
        <f>IF(OR(VLOOKUP(Table1[[#This Row],[Ln'#]],Started!A$5:AU$34,7,FALSE)="E",VLOOKUP(Table1[[#This Row],[Ln'#]],Started!A$5:AU$34,7,FALSE)="FEO"),"Entered or FEO","Not Entered")</f>
        <v>Not Entered</v>
      </c>
      <c r="C21" s="50" t="str">
        <f t="shared" ca="1" si="0"/>
        <v/>
      </c>
      <c r="D21" s="48"/>
      <c r="E21" s="48"/>
      <c r="F21" s="48"/>
      <c r="G21" s="48" t="str">
        <f>IF(Table1[[#This Row],[Status]]="Not Entered","",VLOOKUP(Table1[[#This Row],[Ln'#]],Started!$A$5:$AU$34,3,FALSE))</f>
        <v/>
      </c>
      <c r="H21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1" s="51" t="str">
        <f>IF(Table1[[#This Row],[Status]]="Not Entered","",VLOOKUP(Table1[[#This Row],[Ln'#]],Started!$A$5:$BB$34,47,FALSE))</f>
        <v/>
      </c>
      <c r="K21" s="49">
        <v>18</v>
      </c>
      <c r="L21" s="144" t="str">
        <f>IF(OR(VLOOKUP(Table131[[#This Row],[Ln'#]],Started!A$5:AU$34,7,FALSE)="E",VLOOKUP(Table131[[#This Row],[Ln'#]],Started!A$5:AU$34,7,FALSE)="FEO"),"x","")</f>
        <v/>
      </c>
      <c r="M21" s="144" t="str">
        <f>IF(OR(VLOOKUP(Table131[[#This Row],[Ln'#]],Started!A$5:AU$34,15,FALSE)="E",VLOOKUP(Table131[[#This Row],[Ln'#]],Started!A$5:AU$34,15,FALSE)="FEO"),"x","")</f>
        <v/>
      </c>
      <c r="N21" s="48"/>
      <c r="O21" s="48"/>
      <c r="P21" s="48"/>
      <c r="Q21" s="48" t="str">
        <f>IF(AND(Table131[[#This Row],[Status Container]]="",Table131[[#This Row],[Status Interior]]=""),"",VLOOKUP(Table131[[#This Row],[Ln'#]],Started!$A$5:$AU$34,3,FALSE))</f>
        <v/>
      </c>
      <c r="R21" s="51" t="str">
        <f>IF(Table131[[#This Row],[Dog ID]]="","",(VLOOKUP(Table131[[#This Row],[Dog ID]],Started!C$5:$D$34,2,FALSE)&amp;" - " &amp;VLOOKUP(Table131[[#This Row],[Dog ID]],'SDDA Dogs'!A:C,3,FALSE)))</f>
        <v/>
      </c>
      <c r="S21" s="51" t="str">
        <f>IF(Table131[[#This Row],[Dog ID]]="","",(VLOOKUP(Table131[[#This Row],[Dog ID]],Started!C$5:$AU52,45,FALSE)))</f>
        <v/>
      </c>
    </row>
    <row r="22" spans="1:19" ht="30" customHeight="1" x14ac:dyDescent="0.45">
      <c r="A22" s="49">
        <v>19</v>
      </c>
      <c r="B22" s="49" t="str">
        <f>IF(OR(VLOOKUP(Table1[[#This Row],[Ln'#]],Started!A$5:AU$34,7,FALSE)="E",VLOOKUP(Table1[[#This Row],[Ln'#]],Started!A$5:AU$34,7,FALSE)="FEO"),"Entered or FEO","Not Entered")</f>
        <v>Not Entered</v>
      </c>
      <c r="C22" s="50" t="str">
        <f t="shared" ca="1" si="0"/>
        <v/>
      </c>
      <c r="D22" s="48"/>
      <c r="E22" s="48"/>
      <c r="F22" s="48"/>
      <c r="G22" s="48" t="str">
        <f>IF(Table1[[#This Row],[Status]]="Not Entered","",VLOOKUP(Table1[[#This Row],[Ln'#]],Started!$A$5:$AU$34,3,FALSE))</f>
        <v/>
      </c>
      <c r="H22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2" s="51" t="str">
        <f>IF(Table1[[#This Row],[Status]]="Not Entered","",VLOOKUP(Table1[[#This Row],[Ln'#]],Started!$A$5:$BB$34,47,FALSE))</f>
        <v/>
      </c>
      <c r="K22" s="49">
        <v>19</v>
      </c>
      <c r="L22" s="144" t="str">
        <f>IF(OR(VLOOKUP(Table131[[#This Row],[Ln'#]],Started!A$5:AU$34,7,FALSE)="E",VLOOKUP(Table131[[#This Row],[Ln'#]],Started!A$5:AU$34,7,FALSE)="FEO"),"x","")</f>
        <v/>
      </c>
      <c r="M22" s="144" t="str">
        <f>IF(OR(VLOOKUP(Table131[[#This Row],[Ln'#]],Started!A$5:AU$34,15,FALSE)="E",VLOOKUP(Table131[[#This Row],[Ln'#]],Started!A$5:AU$34,15,FALSE)="FEO"),"x","")</f>
        <v/>
      </c>
      <c r="N22" s="48"/>
      <c r="O22" s="48"/>
      <c r="P22" s="48"/>
      <c r="Q22" s="48" t="str">
        <f>IF(AND(Table131[[#This Row],[Status Container]]="",Table131[[#This Row],[Status Interior]]=""),"",VLOOKUP(Table131[[#This Row],[Ln'#]],Started!$A$5:$AU$34,3,FALSE))</f>
        <v/>
      </c>
      <c r="R22" s="51" t="str">
        <f>IF(Table131[[#This Row],[Dog ID]]="","",(VLOOKUP(Table131[[#This Row],[Dog ID]],Started!C$5:$D$34,2,FALSE)&amp;" - " &amp;VLOOKUP(Table131[[#This Row],[Dog ID]],'SDDA Dogs'!A:C,3,FALSE)))</f>
        <v/>
      </c>
      <c r="S22" s="51" t="str">
        <f>IF(Table131[[#This Row],[Dog ID]]="","",(VLOOKUP(Table131[[#This Row],[Dog ID]],Started!C$5:$AU53,45,FALSE)))</f>
        <v/>
      </c>
    </row>
    <row r="23" spans="1:19" ht="30" customHeight="1" x14ac:dyDescent="0.45">
      <c r="A23" s="49">
        <v>20</v>
      </c>
      <c r="B23" s="49" t="str">
        <f>IF(OR(VLOOKUP(Table1[[#This Row],[Ln'#]],Started!A$5:AU$34,7,FALSE)="E",VLOOKUP(Table1[[#This Row],[Ln'#]],Started!A$5:AU$34,7,FALSE)="FEO"),"Entered or FEO","Not Entered")</f>
        <v>Not Entered</v>
      </c>
      <c r="C23" s="50" t="str">
        <f t="shared" ca="1" si="0"/>
        <v/>
      </c>
      <c r="D23" s="48"/>
      <c r="E23" s="48"/>
      <c r="F23" s="48"/>
      <c r="G23" s="48" t="str">
        <f>IF(Table1[[#This Row],[Status]]="Not Entered","",VLOOKUP(Table1[[#This Row],[Ln'#]],Started!$A$5:$AU$34,3,FALSE))</f>
        <v/>
      </c>
      <c r="H23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3" s="51" t="str">
        <f>IF(Table1[[#This Row],[Status]]="Not Entered","",VLOOKUP(Table1[[#This Row],[Ln'#]],Started!$A$5:$BB$34,47,FALSE))</f>
        <v/>
      </c>
      <c r="K23" s="49">
        <v>20</v>
      </c>
      <c r="L23" s="144" t="str">
        <f>IF(OR(VLOOKUP(Table131[[#This Row],[Ln'#]],Started!A$5:AU$34,7,FALSE)="E",VLOOKUP(Table131[[#This Row],[Ln'#]],Started!A$5:AU$34,7,FALSE)="FEO"),"x","")</f>
        <v/>
      </c>
      <c r="M23" s="144" t="str">
        <f>IF(OR(VLOOKUP(Table131[[#This Row],[Ln'#]],Started!A$5:AU$34,15,FALSE)="E",VLOOKUP(Table131[[#This Row],[Ln'#]],Started!A$5:AU$34,15,FALSE)="FEO"),"x","")</f>
        <v/>
      </c>
      <c r="N23" s="48"/>
      <c r="O23" s="48"/>
      <c r="P23" s="48"/>
      <c r="Q23" s="48" t="str">
        <f>IF(AND(Table131[[#This Row],[Status Container]]="",Table131[[#This Row],[Status Interior]]=""),"",VLOOKUP(Table131[[#This Row],[Ln'#]],Started!$A$5:$AU$34,3,FALSE))</f>
        <v/>
      </c>
      <c r="R23" s="51" t="str">
        <f>IF(Table131[[#This Row],[Dog ID]]="","",(VLOOKUP(Table131[[#This Row],[Dog ID]],Started!C$5:$D$34,2,FALSE)&amp;" - " &amp;VLOOKUP(Table131[[#This Row],[Dog ID]],'SDDA Dogs'!A:C,3,FALSE)))</f>
        <v/>
      </c>
      <c r="S23" s="51" t="str">
        <f>IF(Table131[[#This Row],[Dog ID]]="","",(VLOOKUP(Table131[[#This Row],[Dog ID]],Started!C$5:$AU54,45,FALSE)))</f>
        <v/>
      </c>
    </row>
    <row r="24" spans="1:19" ht="30" customHeight="1" x14ac:dyDescent="0.45">
      <c r="A24" s="49">
        <v>21</v>
      </c>
      <c r="B24" s="49" t="str">
        <f>IF(OR(VLOOKUP(Table1[[#This Row],[Ln'#]],Started!A$5:AU$34,7,FALSE)="E",VLOOKUP(Table1[[#This Row],[Ln'#]],Started!A$5:AU$34,7,FALSE)="FEO"),"Entered or FEO","Not Entered")</f>
        <v>Not Entered</v>
      </c>
      <c r="C24" s="50" t="str">
        <f t="shared" ca="1" si="0"/>
        <v/>
      </c>
      <c r="D24" s="48"/>
      <c r="E24" s="48"/>
      <c r="F24" s="48"/>
      <c r="G24" s="48" t="str">
        <f>IF(Table1[[#This Row],[Status]]="Not Entered","",VLOOKUP(Table1[[#This Row],[Ln'#]],Started!$A$5:$AU$34,3,FALSE))</f>
        <v/>
      </c>
      <c r="H24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4" s="51" t="str">
        <f>IF(Table1[[#This Row],[Status]]="Not Entered","",VLOOKUP(Table1[[#This Row],[Ln'#]],Started!$A$5:$BB$34,47,FALSE))</f>
        <v/>
      </c>
      <c r="K24" s="49">
        <v>21</v>
      </c>
      <c r="L24" s="144" t="str">
        <f>IF(OR(VLOOKUP(Table131[[#This Row],[Ln'#]],Started!A$5:AU$34,7,FALSE)="E",VLOOKUP(Table131[[#This Row],[Ln'#]],Started!A$5:AU$34,7,FALSE)="FEO"),"x","")</f>
        <v/>
      </c>
      <c r="M24" s="144" t="str">
        <f>IF(OR(VLOOKUP(Table131[[#This Row],[Ln'#]],Started!A$5:AU$34,15,FALSE)="E",VLOOKUP(Table131[[#This Row],[Ln'#]],Started!A$5:AU$34,15,FALSE)="FEO"),"x","")</f>
        <v/>
      </c>
      <c r="N24" s="48"/>
      <c r="O24" s="48"/>
      <c r="P24" s="48"/>
      <c r="Q24" s="48" t="str">
        <f>IF(AND(Table131[[#This Row],[Status Container]]="",Table131[[#This Row],[Status Interior]]=""),"",VLOOKUP(Table131[[#This Row],[Ln'#]],Started!$A$5:$AU$34,3,FALSE))</f>
        <v/>
      </c>
      <c r="R24" s="51" t="str">
        <f>IF(Table131[[#This Row],[Dog ID]]="","",(VLOOKUP(Table131[[#This Row],[Dog ID]],Started!C$5:$D$34,2,FALSE)&amp;" - " &amp;VLOOKUP(Table131[[#This Row],[Dog ID]],'SDDA Dogs'!A:C,3,FALSE)))</f>
        <v/>
      </c>
      <c r="S24" s="51" t="str">
        <f>IF(Table131[[#This Row],[Dog ID]]="","",(VLOOKUP(Table131[[#This Row],[Dog ID]],Started!C$5:$AU55,45,FALSE)))</f>
        <v/>
      </c>
    </row>
    <row r="25" spans="1:19" ht="30" customHeight="1" x14ac:dyDescent="0.45">
      <c r="A25" s="49">
        <v>22</v>
      </c>
      <c r="B25" s="49" t="str">
        <f>IF(OR(VLOOKUP(Table1[[#This Row],[Ln'#]],Started!A$5:AU$34,7,FALSE)="E",VLOOKUP(Table1[[#This Row],[Ln'#]],Started!A$5:AU$34,7,FALSE)="FEO"),"Entered or FEO","Not Entered")</f>
        <v>Not Entered</v>
      </c>
      <c r="C25" s="50" t="str">
        <f t="shared" ca="1" si="0"/>
        <v/>
      </c>
      <c r="D25" s="48"/>
      <c r="E25" s="48"/>
      <c r="F25" s="48"/>
      <c r="G25" s="48" t="str">
        <f>IF(Table1[[#This Row],[Status]]="Not Entered","",VLOOKUP(Table1[[#This Row],[Ln'#]],Started!$A$5:$AU$34,3,FALSE))</f>
        <v/>
      </c>
      <c r="H25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5" s="51" t="str">
        <f>IF(Table1[[#This Row],[Status]]="Not Entered","",VLOOKUP(Table1[[#This Row],[Ln'#]],Started!$A$5:$BB$34,47,FALSE))</f>
        <v/>
      </c>
      <c r="K25" s="49">
        <v>22</v>
      </c>
      <c r="L25" s="144" t="str">
        <f>IF(OR(VLOOKUP(Table131[[#This Row],[Ln'#]],Started!A$5:AU$34,7,FALSE)="E",VLOOKUP(Table131[[#This Row],[Ln'#]],Started!A$5:AU$34,7,FALSE)="FEO"),"x","")</f>
        <v/>
      </c>
      <c r="M25" s="144" t="str">
        <f>IF(OR(VLOOKUP(Table131[[#This Row],[Ln'#]],Started!A$5:AU$34,15,FALSE)="E",VLOOKUP(Table131[[#This Row],[Ln'#]],Started!A$5:AU$34,15,FALSE)="FEO"),"x","")</f>
        <v/>
      </c>
      <c r="N25" s="48"/>
      <c r="O25" s="48"/>
      <c r="P25" s="48"/>
      <c r="Q25" s="48" t="str">
        <f>IF(AND(Table131[[#This Row],[Status Container]]="",Table131[[#This Row],[Status Interior]]=""),"",VLOOKUP(Table131[[#This Row],[Ln'#]],Started!$A$5:$AU$34,3,FALSE))</f>
        <v/>
      </c>
      <c r="R25" s="51" t="str">
        <f>IF(Table131[[#This Row],[Dog ID]]="","",(VLOOKUP(Table131[[#This Row],[Dog ID]],Started!C$5:$D$34,2,FALSE)&amp;" - " &amp;VLOOKUP(Table131[[#This Row],[Dog ID]],'SDDA Dogs'!A:C,3,FALSE)))</f>
        <v/>
      </c>
      <c r="S25" s="51" t="str">
        <f>IF(Table131[[#This Row],[Dog ID]]="","",(VLOOKUP(Table131[[#This Row],[Dog ID]],Started!C$5:$AU56,45,FALSE)))</f>
        <v/>
      </c>
    </row>
    <row r="26" spans="1:19" ht="30" customHeight="1" x14ac:dyDescent="0.45">
      <c r="A26" s="49">
        <v>23</v>
      </c>
      <c r="B26" s="49" t="str">
        <f>IF(OR(VLOOKUP(Table1[[#This Row],[Ln'#]],Started!A$5:AU$34,7,FALSE)="E",VLOOKUP(Table1[[#This Row],[Ln'#]],Started!A$5:AU$34,7,FALSE)="FEO"),"Entered or FEO","Not Entered")</f>
        <v>Not Entered</v>
      </c>
      <c r="C26" s="50" t="str">
        <f t="shared" ca="1" si="0"/>
        <v/>
      </c>
      <c r="D26" s="48"/>
      <c r="E26" s="48"/>
      <c r="F26" s="48"/>
      <c r="G26" s="48" t="str">
        <f>IF(Table1[[#This Row],[Status]]="Not Entered","",VLOOKUP(Table1[[#This Row],[Ln'#]],Started!$A$5:$AU$34,3,FALSE))</f>
        <v/>
      </c>
      <c r="H26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6" s="51" t="str">
        <f>IF(Table1[[#This Row],[Status]]="Not Entered","",VLOOKUP(Table1[[#This Row],[Ln'#]],Started!$A$5:$BB$34,47,FALSE))</f>
        <v/>
      </c>
      <c r="K26" s="49">
        <v>23</v>
      </c>
      <c r="L26" s="144" t="str">
        <f>IF(OR(VLOOKUP(Table131[[#This Row],[Ln'#]],Started!A$5:AU$34,7,FALSE)="E",VLOOKUP(Table131[[#This Row],[Ln'#]],Started!A$5:AU$34,7,FALSE)="FEO"),"x","")</f>
        <v/>
      </c>
      <c r="M26" s="144" t="str">
        <f>IF(OR(VLOOKUP(Table131[[#This Row],[Ln'#]],Started!A$5:AU$34,15,FALSE)="E",VLOOKUP(Table131[[#This Row],[Ln'#]],Started!A$5:AU$34,15,FALSE)="FEO"),"x","")</f>
        <v/>
      </c>
      <c r="N26" s="48"/>
      <c r="O26" s="48"/>
      <c r="P26" s="48"/>
      <c r="Q26" s="48" t="str">
        <f>IF(AND(Table131[[#This Row],[Status Container]]="",Table131[[#This Row],[Status Interior]]=""),"",VLOOKUP(Table131[[#This Row],[Ln'#]],Started!$A$5:$AU$34,3,FALSE))</f>
        <v/>
      </c>
      <c r="R26" s="51" t="str">
        <f>IF(Table131[[#This Row],[Dog ID]]="","",(VLOOKUP(Table131[[#This Row],[Dog ID]],Started!C$5:$D$34,2,FALSE)&amp;" - " &amp;VLOOKUP(Table131[[#This Row],[Dog ID]],'SDDA Dogs'!A:C,3,FALSE)))</f>
        <v/>
      </c>
      <c r="S26" s="51" t="str">
        <f>IF(Table131[[#This Row],[Dog ID]]="","",(VLOOKUP(Table131[[#This Row],[Dog ID]],Started!C$5:$AU57,45,FALSE)))</f>
        <v/>
      </c>
    </row>
    <row r="27" spans="1:19" ht="30" customHeight="1" x14ac:dyDescent="0.45">
      <c r="A27" s="49">
        <v>24</v>
      </c>
      <c r="B27" s="49" t="str">
        <f>IF(OR(VLOOKUP(Table1[[#This Row],[Ln'#]],Started!A$5:AU$34,7,FALSE)="E",VLOOKUP(Table1[[#This Row],[Ln'#]],Started!A$5:AU$34,7,FALSE)="FEO"),"Entered or FEO","Not Entered")</f>
        <v>Not Entered</v>
      </c>
      <c r="C27" s="50" t="str">
        <f t="shared" ca="1" si="0"/>
        <v/>
      </c>
      <c r="D27" s="48"/>
      <c r="E27" s="48"/>
      <c r="F27" s="48"/>
      <c r="G27" s="48" t="str">
        <f>IF(Table1[[#This Row],[Status]]="Not Entered","",VLOOKUP(Table1[[#This Row],[Ln'#]],Started!$A$5:$AU$34,3,FALSE))</f>
        <v/>
      </c>
      <c r="H27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7" s="51" t="str">
        <f>IF(Table1[[#This Row],[Status]]="Not Entered","",VLOOKUP(Table1[[#This Row],[Ln'#]],Started!$A$5:$BB$34,47,FALSE))</f>
        <v/>
      </c>
      <c r="K27" s="49">
        <v>24</v>
      </c>
      <c r="L27" s="144" t="str">
        <f>IF(OR(VLOOKUP(Table131[[#This Row],[Ln'#]],Started!A$5:AU$34,7,FALSE)="E",VLOOKUP(Table131[[#This Row],[Ln'#]],Started!A$5:AU$34,7,FALSE)="FEO"),"x","")</f>
        <v/>
      </c>
      <c r="M27" s="144" t="str">
        <f>IF(OR(VLOOKUP(Table131[[#This Row],[Ln'#]],Started!A$5:AU$34,15,FALSE)="E",VLOOKUP(Table131[[#This Row],[Ln'#]],Started!A$5:AU$34,15,FALSE)="FEO"),"x","")</f>
        <v/>
      </c>
      <c r="N27" s="48"/>
      <c r="O27" s="48"/>
      <c r="P27" s="48"/>
      <c r="Q27" s="48" t="str">
        <f>IF(AND(Table131[[#This Row],[Status Container]]="",Table131[[#This Row],[Status Interior]]=""),"",VLOOKUP(Table131[[#This Row],[Ln'#]],Started!$A$5:$AU$34,3,FALSE))</f>
        <v/>
      </c>
      <c r="R27" s="51" t="str">
        <f>IF(Table131[[#This Row],[Dog ID]]="","",(VLOOKUP(Table131[[#This Row],[Dog ID]],Started!C$5:$D$34,2,FALSE)&amp;" - " &amp;VLOOKUP(Table131[[#This Row],[Dog ID]],'SDDA Dogs'!A:C,3,FALSE)))</f>
        <v/>
      </c>
      <c r="S27" s="51" t="str">
        <f>IF(Table131[[#This Row],[Dog ID]]="","",(VLOOKUP(Table131[[#This Row],[Dog ID]],Started!C$5:$AU58,45,FALSE)))</f>
        <v/>
      </c>
    </row>
    <row r="28" spans="1:19" ht="30" customHeight="1" x14ac:dyDescent="0.45">
      <c r="A28" s="49">
        <v>25</v>
      </c>
      <c r="B28" s="49" t="str">
        <f>IF(OR(VLOOKUP(Table1[[#This Row],[Ln'#]],Started!A$5:AU$34,7,FALSE)="E",VLOOKUP(Table1[[#This Row],[Ln'#]],Started!A$5:AU$34,7,FALSE)="FEO"),"Entered or FEO","Not Entered")</f>
        <v>Not Entered</v>
      </c>
      <c r="C28" s="50" t="str">
        <f t="shared" ca="1" si="0"/>
        <v/>
      </c>
      <c r="D28" s="48"/>
      <c r="E28" s="48"/>
      <c r="F28" s="48"/>
      <c r="G28" s="48" t="str">
        <f>IF(Table1[[#This Row],[Status]]="Not Entered","",VLOOKUP(Table1[[#This Row],[Ln'#]],Started!$A$5:$AU$34,3,FALSE))</f>
        <v/>
      </c>
      <c r="H28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8" s="51" t="str">
        <f>IF(Table1[[#This Row],[Status]]="Not Entered","",VLOOKUP(Table1[[#This Row],[Ln'#]],Started!$A$5:$BB$34,47,FALSE))</f>
        <v/>
      </c>
      <c r="K28" s="49">
        <v>25</v>
      </c>
      <c r="L28" s="144" t="str">
        <f>IF(OR(VLOOKUP(Table131[[#This Row],[Ln'#]],Started!A$5:AU$34,7,FALSE)="E",VLOOKUP(Table131[[#This Row],[Ln'#]],Started!A$5:AU$34,7,FALSE)="FEO"),"x","")</f>
        <v/>
      </c>
      <c r="M28" s="144" t="str">
        <f>IF(OR(VLOOKUP(Table131[[#This Row],[Ln'#]],Started!A$5:AU$34,15,FALSE)="E",VLOOKUP(Table131[[#This Row],[Ln'#]],Started!A$5:AU$34,15,FALSE)="FEO"),"x","")</f>
        <v/>
      </c>
      <c r="N28" s="48"/>
      <c r="O28" s="48"/>
      <c r="P28" s="48"/>
      <c r="Q28" s="48" t="str">
        <f>IF(AND(Table131[[#This Row],[Status Container]]="",Table131[[#This Row],[Status Interior]]=""),"",VLOOKUP(Table131[[#This Row],[Ln'#]],Started!$A$5:$AU$34,3,FALSE))</f>
        <v/>
      </c>
      <c r="R28" s="51" t="str">
        <f>IF(Table131[[#This Row],[Dog ID]]="","",(VLOOKUP(Table131[[#This Row],[Dog ID]],Started!C$5:$D$34,2,FALSE)&amp;" - " &amp;VLOOKUP(Table131[[#This Row],[Dog ID]],'SDDA Dogs'!A:C,3,FALSE)))</f>
        <v/>
      </c>
      <c r="S28" s="51" t="str">
        <f>IF(Table131[[#This Row],[Dog ID]]="","",(VLOOKUP(Table131[[#This Row],[Dog ID]],Started!C$5:$AU59,45,FALSE)))</f>
        <v/>
      </c>
    </row>
    <row r="29" spans="1:19" ht="30" customHeight="1" x14ac:dyDescent="0.45">
      <c r="A29" s="49">
        <v>26</v>
      </c>
      <c r="B29" s="49" t="str">
        <f>IF(OR(VLOOKUP(Table1[[#This Row],[Ln'#]],Started!A$5:AU$34,7,FALSE)="E",VLOOKUP(Table1[[#This Row],[Ln'#]],Started!A$5:AU$34,7,FALSE)="FEO"),"Entered or FEO","Not Entered")</f>
        <v>Not Entered</v>
      </c>
      <c r="C29" s="50" t="str">
        <f t="shared" ca="1" si="0"/>
        <v/>
      </c>
      <c r="D29" s="48"/>
      <c r="E29" s="48"/>
      <c r="F29" s="48"/>
      <c r="G29" s="48" t="str">
        <f>IF(Table1[[#This Row],[Status]]="Not Entered","",VLOOKUP(Table1[[#This Row],[Ln'#]],Started!$A$5:$AU$34,3,FALSE))</f>
        <v/>
      </c>
      <c r="H29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9" s="51" t="str">
        <f>IF(Table1[[#This Row],[Status]]="Not Entered","",VLOOKUP(Table1[[#This Row],[Ln'#]],Started!$A$5:$BB$34,47,FALSE))</f>
        <v/>
      </c>
      <c r="K29" s="49">
        <v>26</v>
      </c>
      <c r="L29" s="144" t="str">
        <f>IF(OR(VLOOKUP(Table131[[#This Row],[Ln'#]],Started!A$5:AU$34,7,FALSE)="E",VLOOKUP(Table131[[#This Row],[Ln'#]],Started!A$5:AU$34,7,FALSE)="FEO"),"x","")</f>
        <v/>
      </c>
      <c r="M29" s="144" t="str">
        <f>IF(OR(VLOOKUP(Table131[[#This Row],[Ln'#]],Started!A$5:AU$34,15,FALSE)="E",VLOOKUP(Table131[[#This Row],[Ln'#]],Started!A$5:AU$34,15,FALSE)="FEO"),"x","")</f>
        <v/>
      </c>
      <c r="N29" s="48"/>
      <c r="O29" s="48"/>
      <c r="P29" s="48"/>
      <c r="Q29" s="48" t="str">
        <f>IF(AND(Table131[[#This Row],[Status Container]]="",Table131[[#This Row],[Status Interior]]=""),"",VLOOKUP(Table131[[#This Row],[Ln'#]],Started!$A$5:$AU$34,3,FALSE))</f>
        <v/>
      </c>
      <c r="R29" s="51" t="str">
        <f>IF(Table131[[#This Row],[Dog ID]]="","",(VLOOKUP(Table131[[#This Row],[Dog ID]],Started!C$5:$D$34,2,FALSE)&amp;" - " &amp;VLOOKUP(Table131[[#This Row],[Dog ID]],'SDDA Dogs'!A:C,3,FALSE)))</f>
        <v/>
      </c>
      <c r="S29" s="51" t="str">
        <f>IF(Table131[[#This Row],[Dog ID]]="","",(VLOOKUP(Table131[[#This Row],[Dog ID]],Started!C$5:$AU60,45,FALSE)))</f>
        <v/>
      </c>
    </row>
    <row r="30" spans="1:19" ht="30" customHeight="1" x14ac:dyDescent="0.45">
      <c r="A30" s="49">
        <v>27</v>
      </c>
      <c r="B30" s="49" t="str">
        <f>IF(OR(VLOOKUP(Table1[[#This Row],[Ln'#]],Started!A$5:AU$34,7,FALSE)="E",VLOOKUP(Table1[[#This Row],[Ln'#]],Started!A$5:AU$34,7,FALSE)="FEO"),"Entered or FEO","Not Entered")</f>
        <v>Not Entered</v>
      </c>
      <c r="C30" s="50" t="str">
        <f t="shared" ca="1" si="0"/>
        <v/>
      </c>
      <c r="D30" s="48"/>
      <c r="E30" s="48"/>
      <c r="F30" s="48"/>
      <c r="G30" s="48" t="str">
        <f>IF(Table1[[#This Row],[Status]]="Not Entered","",VLOOKUP(Table1[[#This Row],[Ln'#]],Started!$A$5:$AU$34,3,FALSE))</f>
        <v/>
      </c>
      <c r="H30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0" s="51" t="str">
        <f>IF(Table1[[#This Row],[Status]]="Not Entered","",VLOOKUP(Table1[[#This Row],[Ln'#]],Started!$A$5:$BB$34,47,FALSE))</f>
        <v/>
      </c>
      <c r="K30" s="49">
        <v>27</v>
      </c>
      <c r="L30" s="144" t="str">
        <f>IF(OR(VLOOKUP(Table131[[#This Row],[Ln'#]],Started!A$5:AU$34,7,FALSE)="E",VLOOKUP(Table131[[#This Row],[Ln'#]],Started!A$5:AU$34,7,FALSE)="FEO"),"x","")</f>
        <v/>
      </c>
      <c r="M30" s="144" t="str">
        <f>IF(OR(VLOOKUP(Table131[[#This Row],[Ln'#]],Started!A$5:AU$34,15,FALSE)="E",VLOOKUP(Table131[[#This Row],[Ln'#]],Started!A$5:AU$34,15,FALSE)="FEO"),"x","")</f>
        <v/>
      </c>
      <c r="N30" s="48"/>
      <c r="O30" s="48"/>
      <c r="P30" s="48"/>
      <c r="Q30" s="48" t="str">
        <f>IF(AND(Table131[[#This Row],[Status Container]]="",Table131[[#This Row],[Status Interior]]=""),"",VLOOKUP(Table131[[#This Row],[Ln'#]],Started!$A$5:$AU$34,3,FALSE))</f>
        <v/>
      </c>
      <c r="R30" s="51" t="str">
        <f>IF(Table131[[#This Row],[Dog ID]]="","",(VLOOKUP(Table131[[#This Row],[Dog ID]],Started!C$5:$D$34,2,FALSE)&amp;" - " &amp;VLOOKUP(Table131[[#This Row],[Dog ID]],'SDDA Dogs'!A:C,3,FALSE)))</f>
        <v/>
      </c>
      <c r="S30" s="51" t="str">
        <f>IF(Table131[[#This Row],[Dog ID]]="","",(VLOOKUP(Table131[[#This Row],[Dog ID]],Started!C$5:$AU61,45,FALSE)))</f>
        <v/>
      </c>
    </row>
    <row r="31" spans="1:19" ht="30" customHeight="1" x14ac:dyDescent="0.45">
      <c r="A31" s="49">
        <v>28</v>
      </c>
      <c r="B31" s="49" t="str">
        <f>IF(OR(VLOOKUP(Table1[[#This Row],[Ln'#]],Started!A$5:AU$34,7,FALSE)="E",VLOOKUP(Table1[[#This Row],[Ln'#]],Started!A$5:AU$34,7,FALSE)="FEO"),"Entered or FEO","Not Entered")</f>
        <v>Not Entered</v>
      </c>
      <c r="C31" s="50" t="str">
        <f t="shared" ca="1" si="0"/>
        <v/>
      </c>
      <c r="D31" s="48"/>
      <c r="E31" s="48"/>
      <c r="F31" s="48"/>
      <c r="G31" s="48" t="str">
        <f>IF(Table1[[#This Row],[Status]]="Not Entered","",VLOOKUP(Table1[[#This Row],[Ln'#]],Started!$A$5:$AU$34,3,FALSE))</f>
        <v/>
      </c>
      <c r="H31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1" s="51" t="str">
        <f>IF(Table1[[#This Row],[Status]]="Not Entered","",VLOOKUP(Table1[[#This Row],[Ln'#]],Started!$A$5:$BB$34,47,FALSE))</f>
        <v/>
      </c>
      <c r="K31" s="49">
        <v>28</v>
      </c>
      <c r="L31" s="144" t="str">
        <f>IF(OR(VLOOKUP(Table131[[#This Row],[Ln'#]],Started!A$5:AU$34,7,FALSE)="E",VLOOKUP(Table131[[#This Row],[Ln'#]],Started!A$5:AU$34,7,FALSE)="FEO"),"x","")</f>
        <v/>
      </c>
      <c r="M31" s="144" t="str">
        <f>IF(OR(VLOOKUP(Table131[[#This Row],[Ln'#]],Started!A$5:AU$34,15,FALSE)="E",VLOOKUP(Table131[[#This Row],[Ln'#]],Started!A$5:AU$34,15,FALSE)="FEO"),"x","")</f>
        <v/>
      </c>
      <c r="N31" s="48"/>
      <c r="O31" s="48"/>
      <c r="P31" s="48"/>
      <c r="Q31" s="48" t="str">
        <f>IF(AND(Table131[[#This Row],[Status Container]]="",Table131[[#This Row],[Status Interior]]=""),"",VLOOKUP(Table131[[#This Row],[Ln'#]],Started!$A$5:$AU$34,3,FALSE))</f>
        <v/>
      </c>
      <c r="R31" s="51" t="str">
        <f>IF(Table131[[#This Row],[Dog ID]]="","",(VLOOKUP(Table131[[#This Row],[Dog ID]],Started!C$5:$D$34,2,FALSE)&amp;" - " &amp;VLOOKUP(Table131[[#This Row],[Dog ID]],'SDDA Dogs'!A:C,3,FALSE)))</f>
        <v/>
      </c>
      <c r="S31" s="51" t="str">
        <f>IF(Table131[[#This Row],[Dog ID]]="","",(VLOOKUP(Table131[[#This Row],[Dog ID]],Started!C$5:$AU62,45,FALSE)))</f>
        <v/>
      </c>
    </row>
    <row r="32" spans="1:19" ht="30" customHeight="1" x14ac:dyDescent="0.45">
      <c r="A32" s="49">
        <v>29</v>
      </c>
      <c r="B32" s="49" t="str">
        <f>IF(OR(VLOOKUP(Table1[[#This Row],[Ln'#]],Started!A$5:AU$34,7,FALSE)="E",VLOOKUP(Table1[[#This Row],[Ln'#]],Started!A$5:AU$34,7,FALSE)="FEO"),"Entered or FEO","Not Entered")</f>
        <v>Not Entered</v>
      </c>
      <c r="C32" s="50" t="str">
        <f t="shared" ca="1" si="0"/>
        <v/>
      </c>
      <c r="D32" s="48"/>
      <c r="E32" s="48"/>
      <c r="F32" s="48"/>
      <c r="G32" s="48" t="str">
        <f>IF(Table1[[#This Row],[Status]]="Not Entered","",VLOOKUP(Table1[[#This Row],[Ln'#]],Started!$A$5:$AU$34,3,FALSE))</f>
        <v/>
      </c>
      <c r="H32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2" s="51" t="str">
        <f>IF(Table1[[#This Row],[Status]]="Not Entered","",VLOOKUP(Table1[[#This Row],[Ln'#]],Started!$A$5:$BB$34,47,FALSE))</f>
        <v/>
      </c>
      <c r="K32" s="49">
        <v>29</v>
      </c>
      <c r="L32" s="144" t="str">
        <f>IF(OR(VLOOKUP(Table131[[#This Row],[Ln'#]],Started!A$5:AU$34,7,FALSE)="E",VLOOKUP(Table131[[#This Row],[Ln'#]],Started!A$5:AU$34,7,FALSE)="FEO"),"x","")</f>
        <v/>
      </c>
      <c r="M32" s="144" t="str">
        <f>IF(OR(VLOOKUP(Table131[[#This Row],[Ln'#]],Started!A$5:AU$34,15,FALSE)="E",VLOOKUP(Table131[[#This Row],[Ln'#]],Started!A$5:AU$34,15,FALSE)="FEO"),"x","")</f>
        <v/>
      </c>
      <c r="N32" s="48"/>
      <c r="O32" s="48"/>
      <c r="P32" s="48"/>
      <c r="Q32" s="48" t="str">
        <f>IF(AND(Table131[[#This Row],[Status Container]]="",Table131[[#This Row],[Status Interior]]=""),"",VLOOKUP(Table131[[#This Row],[Ln'#]],Started!$A$5:$AU$34,3,FALSE))</f>
        <v/>
      </c>
      <c r="R32" s="51" t="str">
        <f>IF(Table131[[#This Row],[Dog ID]]="","",(VLOOKUP(Table131[[#This Row],[Dog ID]],Started!C$5:$D$34,2,FALSE)&amp;" - " &amp;VLOOKUP(Table131[[#This Row],[Dog ID]],'SDDA Dogs'!A:C,3,FALSE)))</f>
        <v/>
      </c>
      <c r="S32" s="51" t="str">
        <f>IF(Table131[[#This Row],[Dog ID]]="","",(VLOOKUP(Table131[[#This Row],[Dog ID]],Started!C$5:$AU63,45,FALSE)))</f>
        <v/>
      </c>
    </row>
    <row r="33" spans="1:19" ht="30" customHeight="1" x14ac:dyDescent="0.45">
      <c r="A33" s="49">
        <v>30</v>
      </c>
      <c r="B33" s="49" t="str">
        <f>IF(OR(VLOOKUP(Table1[[#This Row],[Ln'#]],Started!A$5:AU$34,7,FALSE)="E",VLOOKUP(Table1[[#This Row],[Ln'#]],Started!A$5:AU$34,7,FALSE)="FEO"),"Entered or FEO","Not Entered")</f>
        <v>Not Entered</v>
      </c>
      <c r="C33" s="50" t="str">
        <f t="shared" ca="1" si="0"/>
        <v/>
      </c>
      <c r="D33" s="48"/>
      <c r="E33" s="48"/>
      <c r="F33" s="48"/>
      <c r="G33" s="48" t="str">
        <f>IF(Table1[[#This Row],[Status]]="Not Entered","",VLOOKUP(Table1[[#This Row],[Ln'#]],Started!$A$5:$AU$34,3,FALSE))</f>
        <v/>
      </c>
      <c r="H33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3" s="51" t="str">
        <f>IF(Table1[[#This Row],[Status]]="Not Entered","",VLOOKUP(Table1[[#This Row],[Ln'#]],Started!$A$5:$BB$34,47,FALSE))</f>
        <v/>
      </c>
      <c r="K33" s="49">
        <v>30</v>
      </c>
      <c r="L33" s="144" t="str">
        <f>IF(OR(VLOOKUP(Table131[[#This Row],[Ln'#]],Started!A$5:AU$34,7,FALSE)="E",VLOOKUP(Table131[[#This Row],[Ln'#]],Started!A$5:AU$34,7,FALSE)="FEO"),"x","")</f>
        <v/>
      </c>
      <c r="M33" s="144" t="str">
        <f>IF(OR(VLOOKUP(Table131[[#This Row],[Ln'#]],Started!A$5:AU$34,15,FALSE)="E",VLOOKUP(Table131[[#This Row],[Ln'#]],Started!A$5:AU$34,15,FALSE)="FEO"),"x","")</f>
        <v/>
      </c>
      <c r="N33" s="48"/>
      <c r="O33" s="48"/>
      <c r="P33" s="48"/>
      <c r="Q33" s="48" t="str">
        <f>IF(AND(Table131[[#This Row],[Status Container]]="",Table131[[#This Row],[Status Interior]]=""),"",VLOOKUP(Table131[[#This Row],[Ln'#]],Started!$A$5:$AU$34,3,FALSE))</f>
        <v/>
      </c>
      <c r="R33" s="51" t="str">
        <f>IF(Table131[[#This Row],[Dog ID]]="","",(VLOOKUP(Table131[[#This Row],[Dog ID]],Started!C$5:$D$34,2,FALSE)&amp;" - " &amp;VLOOKUP(Table131[[#This Row],[Dog ID]],'SDDA Dogs'!A:C,3,FALSE)))</f>
        <v/>
      </c>
      <c r="S33" s="51" t="str">
        <f>IF(Table131[[#This Row],[Dog ID]]="","",(VLOOKUP(Table131[[#This Row],[Dog ID]],Started!C$5:$AU64,45,FALSE)))</f>
        <v/>
      </c>
    </row>
    <row r="34" spans="1:19" ht="30" customHeight="1" x14ac:dyDescent="0.4">
      <c r="A34" s="48"/>
      <c r="B34" s="48"/>
      <c r="C34" s="48"/>
      <c r="D34" s="48" t="s">
        <v>1141</v>
      </c>
      <c r="E34" s="48">
        <f>SUBTOTAL(102,Table1[Running Order])</f>
        <v>0</v>
      </c>
      <c r="F34" s="48"/>
      <c r="G34" s="48"/>
      <c r="H34" s="51"/>
      <c r="I34" s="51"/>
      <c r="K34" s="214"/>
      <c r="L34" s="214"/>
      <c r="M34" s="214"/>
      <c r="N34" s="214" t="s">
        <v>1141</v>
      </c>
      <c r="O34" s="214">
        <f>SUBTOTAL(102,Table131[Running Order])</f>
        <v>0</v>
      </c>
      <c r="P34" s="214"/>
      <c r="Q34" s="214"/>
      <c r="R34" s="215"/>
      <c r="S34" s="215"/>
    </row>
    <row r="36" spans="1:19" ht="30" customHeight="1" x14ac:dyDescent="0.4">
      <c r="A36" s="402" t="s">
        <v>1143</v>
      </c>
      <c r="B36" s="402"/>
      <c r="C36" s="43"/>
      <c r="D36" s="403" t="s">
        <v>1180</v>
      </c>
      <c r="E36" s="403"/>
      <c r="F36" s="403"/>
      <c r="G36" s="403"/>
      <c r="H36" s="403"/>
      <c r="I36" s="403"/>
      <c r="K36" s="23" t="s">
        <v>1143</v>
      </c>
      <c r="L36" s="403" t="s">
        <v>2495</v>
      </c>
      <c r="M36" s="403"/>
      <c r="N36" s="403"/>
      <c r="O36" s="403"/>
      <c r="P36" s="403"/>
      <c r="Q36" s="403"/>
      <c r="R36" s="403"/>
      <c r="S36" s="403"/>
    </row>
    <row r="37" spans="1:19" s="71" customFormat="1" ht="54" customHeight="1" x14ac:dyDescent="0.35">
      <c r="A37" s="67" t="s">
        <v>605</v>
      </c>
      <c r="B37" s="67" t="s">
        <v>1139</v>
      </c>
      <c r="C37" s="68" t="s">
        <v>1140</v>
      </c>
      <c r="D37" s="67" t="s">
        <v>1142</v>
      </c>
      <c r="E37" s="67" t="s">
        <v>1135</v>
      </c>
      <c r="F37" s="67" t="s">
        <v>1188</v>
      </c>
      <c r="G37" s="67" t="s">
        <v>1136</v>
      </c>
      <c r="H37" s="69" t="s">
        <v>1207</v>
      </c>
      <c r="I37" s="69" t="s">
        <v>1137</v>
      </c>
      <c r="K37" s="67" t="s">
        <v>605</v>
      </c>
      <c r="L37" s="67" t="s">
        <v>2493</v>
      </c>
      <c r="M37" s="67" t="s">
        <v>2496</v>
      </c>
      <c r="N37" s="67" t="s">
        <v>1142</v>
      </c>
      <c r="O37" s="67" t="s">
        <v>1135</v>
      </c>
      <c r="P37" s="67" t="s">
        <v>1188</v>
      </c>
      <c r="Q37" s="67" t="s">
        <v>1136</v>
      </c>
      <c r="R37" s="69" t="s">
        <v>1207</v>
      </c>
      <c r="S37" s="69" t="s">
        <v>1137</v>
      </c>
    </row>
    <row r="38" spans="1:19" ht="30" customHeight="1" x14ac:dyDescent="0.45">
      <c r="A38" s="49">
        <v>1</v>
      </c>
      <c r="B38" s="49" t="str">
        <f>IF(OR(VLOOKUP(Table17[[#This Row],[Ln'#]],Started!A$5:AU$34,15,FALSE)="E",VLOOKUP(Table17[[#This Row],[Ln'#]],Started!A$5:AU$34,15,FALSE)="FEO"),"Entered or FEO","Not Entered")</f>
        <v>Not Entered</v>
      </c>
      <c r="C38" s="50" t="str">
        <f t="shared" ref="C38:C67" ca="1" si="1">IF(OR(B38="e",B38="FEO"),RAND(),"")</f>
        <v/>
      </c>
      <c r="D38" s="48"/>
      <c r="E38" s="48"/>
      <c r="F38" s="48"/>
      <c r="G38" s="48" t="str">
        <f>IF(Table17[[#This Row],[Status]]="Not Entered","",VLOOKUP(Table17[[#This Row],[Ln'#]],Started!$A$5:$AU$34,3,FALSE))</f>
        <v/>
      </c>
      <c r="H38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38" s="51" t="str">
        <f>IF(Table17[[#This Row],[Status]]="Not Entered","",VLOOKUP(Table17[[#This Row],[Ln'#]],Started!$A$5:$BB$34,46,FALSE))</f>
        <v/>
      </c>
      <c r="K38" s="49">
        <v>1</v>
      </c>
      <c r="L38" s="144" t="str">
        <f>IF(OR(VLOOKUP(Table13130[[#This Row],[Ln'#]],Started!A$5:AU$34,7,FALSE)="E",VLOOKUP(Table13130[[#This Row],[Ln'#]],Started!A$5:AU$34,7,FALSE)="FEO"),"x","")</f>
        <v/>
      </c>
      <c r="M38" s="144" t="str">
        <f>IF(OR(VLOOKUP(Table13130[[#This Row],[Ln'#]],Started!A$5:AU$34,23,FALSE)="E",VLOOKUP(Table13130[[#This Row],[Ln'#]],Started!A$5:AU$34,23,FALSE)="FEO"),"x","")</f>
        <v/>
      </c>
      <c r="N38" s="48"/>
      <c r="O38" s="48"/>
      <c r="P38" s="48"/>
      <c r="Q38" s="48" t="str">
        <f>IF(AND(Table13130[[#This Row],[Status Container]]="",Table13130[[#This Row],[Status Exterior]]=""),"",VLOOKUP(Table13130[[#This Row],[Ln'#]],Started!$A$5:$AU$34,3,FALSE))</f>
        <v/>
      </c>
      <c r="R38" s="51" t="str">
        <f>IF(Table13130[[#This Row],[Dog ID]]="","",(VLOOKUP(Table13130[[#This Row],[Dog ID]],Started!C$5:$D$34,2,FALSE)&amp;" - " &amp;VLOOKUP(Table13130[[#This Row],[Dog ID]],'SDDA Dogs'!A:C,3,FALSE)))</f>
        <v/>
      </c>
      <c r="S38" s="51" t="str">
        <f>IF(Table13130[[#This Row],[Dog ID]]="","",(VLOOKUP(Table13130[[#This Row],[Dog ID]],Started!C$5:$AU34,44,FALSE)))</f>
        <v/>
      </c>
    </row>
    <row r="39" spans="1:19" ht="30" customHeight="1" x14ac:dyDescent="0.45">
      <c r="A39" s="49">
        <v>2</v>
      </c>
      <c r="B39" s="49" t="str">
        <f>IF(OR(VLOOKUP(Table17[[#This Row],[Ln'#]],Started!A$5:AU$34,15,FALSE)="E",VLOOKUP(Table17[[#This Row],[Ln'#]],Started!A$5:AU$34,15,FALSE)="FEO"),"Entered or FEO","Not Entered")</f>
        <v>Not Entered</v>
      </c>
      <c r="C39" s="50" t="str">
        <f t="shared" ca="1" si="1"/>
        <v/>
      </c>
      <c r="D39" s="48"/>
      <c r="E39" s="48"/>
      <c r="F39" s="48"/>
      <c r="G39" s="48" t="str">
        <f>IF(Table17[[#This Row],[Status]]="Not Entered","",VLOOKUP(Table17[[#This Row],[Ln'#]],Started!$A$5:$AU$34,3,FALSE))</f>
        <v/>
      </c>
      <c r="H39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39" s="51" t="str">
        <f>IF(Table17[[#This Row],[Status]]="Not Entered","",VLOOKUP(Table17[[#This Row],[Ln'#]],Started!$A$5:$BB$34,46,FALSE))</f>
        <v/>
      </c>
      <c r="K39" s="49">
        <v>2</v>
      </c>
      <c r="L39" s="144" t="str">
        <f>IF(OR(VLOOKUP(Table13130[[#This Row],[Ln'#]],Started!A$5:AU$34,7,FALSE)="E",VLOOKUP(Table13130[[#This Row],[Ln'#]],Started!A$5:AU$34,7,FALSE)="FEO"),"x","")</f>
        <v/>
      </c>
      <c r="M39" s="144" t="str">
        <f>IF(OR(VLOOKUP(Table13130[[#This Row],[Ln'#]],Started!A$5:AU$34,23,FALSE)="E",VLOOKUP(Table13130[[#This Row],[Ln'#]],Started!A$5:AU$34,23,FALSE)="FEO"),"x","")</f>
        <v/>
      </c>
      <c r="N39" s="48"/>
      <c r="O39" s="48"/>
      <c r="P39" s="48"/>
      <c r="Q39" s="48" t="str">
        <f>IF(AND(Table13130[[#This Row],[Status Container]]="",Table13130[[#This Row],[Status Exterior]]=""),"",VLOOKUP(Table13130[[#This Row],[Ln'#]],Started!$A$5:$AU$34,3,FALSE))</f>
        <v/>
      </c>
      <c r="R39" s="51" t="str">
        <f>IF(Table13130[[#This Row],[Dog ID]]="","",(VLOOKUP(Table13130[[#This Row],[Dog ID]],Started!C$5:$D$34,2,FALSE)&amp;" - " &amp;VLOOKUP(Table13130[[#This Row],[Dog ID]],'SDDA Dogs'!A:C,3,FALSE)))</f>
        <v/>
      </c>
      <c r="S39" s="51" t="str">
        <f>IF(Table13130[[#This Row],[Dog ID]]="","",(VLOOKUP(Table13130[[#This Row],[Dog ID]],Started!C$5:$AU35,44,FALSE)))</f>
        <v/>
      </c>
    </row>
    <row r="40" spans="1:19" ht="30" customHeight="1" x14ac:dyDescent="0.45">
      <c r="A40" s="49">
        <v>3</v>
      </c>
      <c r="B40" s="49" t="str">
        <f>IF(OR(VLOOKUP(Table17[[#This Row],[Ln'#]],Started!A$5:AU$34,15,FALSE)="E",VLOOKUP(Table17[[#This Row],[Ln'#]],Started!A$5:AU$34,15,FALSE)="FEO"),"Entered or FEO","Not Entered")</f>
        <v>Not Entered</v>
      </c>
      <c r="C40" s="50" t="str">
        <f t="shared" ca="1" si="1"/>
        <v/>
      </c>
      <c r="D40" s="48"/>
      <c r="E40" s="48"/>
      <c r="F40" s="48"/>
      <c r="G40" s="48" t="str">
        <f>IF(Table17[[#This Row],[Status]]="Not Entered","",VLOOKUP(Table17[[#This Row],[Ln'#]],Started!$A$5:$AU$34,3,FALSE))</f>
        <v/>
      </c>
      <c r="H40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0" s="51" t="str">
        <f>IF(Table17[[#This Row],[Status]]="Not Entered","",VLOOKUP(Table17[[#This Row],[Ln'#]],Started!$A$5:$BB$34,46,FALSE))</f>
        <v/>
      </c>
      <c r="K40" s="49">
        <v>3</v>
      </c>
      <c r="L40" s="144" t="str">
        <f>IF(OR(VLOOKUP(Table13130[[#This Row],[Ln'#]],Started!A$5:AU$34,7,FALSE)="E",VLOOKUP(Table13130[[#This Row],[Ln'#]],Started!A$5:AU$34,7,FALSE)="FEO"),"x","")</f>
        <v/>
      </c>
      <c r="M40" s="144" t="str">
        <f>IF(OR(VLOOKUP(Table13130[[#This Row],[Ln'#]],Started!A$5:AU$34,23,FALSE)="E",VLOOKUP(Table13130[[#This Row],[Ln'#]],Started!A$5:AU$34,23,FALSE)="FEO"),"x","")</f>
        <v/>
      </c>
      <c r="N40" s="48"/>
      <c r="O40" s="48"/>
      <c r="P40" s="48"/>
      <c r="Q40" s="48" t="str">
        <f>IF(AND(Table13130[[#This Row],[Status Container]]="",Table13130[[#This Row],[Status Exterior]]=""),"",VLOOKUP(Table13130[[#This Row],[Ln'#]],Started!$A$5:$AU$34,3,FALSE))</f>
        <v/>
      </c>
      <c r="R40" s="51" t="str">
        <f>IF(Table13130[[#This Row],[Dog ID]]="","",(VLOOKUP(Table13130[[#This Row],[Dog ID]],Started!C$5:$D$34,2,FALSE)&amp;" - " &amp;VLOOKUP(Table13130[[#This Row],[Dog ID]],'SDDA Dogs'!A:C,3,FALSE)))</f>
        <v/>
      </c>
      <c r="S40" s="51" t="str">
        <f>IF(Table13130[[#This Row],[Dog ID]]="","",(VLOOKUP(Table13130[[#This Row],[Dog ID]],Started!C$5:$AU36,44,FALSE)))</f>
        <v/>
      </c>
    </row>
    <row r="41" spans="1:19" ht="30" customHeight="1" x14ac:dyDescent="0.45">
      <c r="A41" s="49">
        <v>4</v>
      </c>
      <c r="B41" s="49" t="str">
        <f>IF(OR(VLOOKUP(Table17[[#This Row],[Ln'#]],Started!A$5:AU$34,15,FALSE)="E",VLOOKUP(Table17[[#This Row],[Ln'#]],Started!A$5:AU$34,15,FALSE)="FEO"),"Entered or FEO","Not Entered")</f>
        <v>Not Entered</v>
      </c>
      <c r="C41" s="50" t="str">
        <f t="shared" ca="1" si="1"/>
        <v/>
      </c>
      <c r="D41" s="48"/>
      <c r="E41" s="48"/>
      <c r="F41" s="48"/>
      <c r="G41" s="48" t="str">
        <f>IF(Table17[[#This Row],[Status]]="Not Entered","",VLOOKUP(Table17[[#This Row],[Ln'#]],Started!$A$5:$AU$34,3,FALSE))</f>
        <v/>
      </c>
      <c r="H41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1" s="51" t="str">
        <f>IF(Table17[[#This Row],[Status]]="Not Entered","",VLOOKUP(Table17[[#This Row],[Ln'#]],Started!$A$5:$BB$34,46,FALSE))</f>
        <v/>
      </c>
      <c r="K41" s="49">
        <v>4</v>
      </c>
      <c r="L41" s="144" t="str">
        <f>IF(OR(VLOOKUP(Table13130[[#This Row],[Ln'#]],Started!A$5:AU$34,7,FALSE)="E",VLOOKUP(Table13130[[#This Row],[Ln'#]],Started!A$5:AU$34,7,FALSE)="FEO"),"x","")</f>
        <v/>
      </c>
      <c r="M41" s="144" t="str">
        <f>IF(OR(VLOOKUP(Table13130[[#This Row],[Ln'#]],Started!A$5:AU$34,23,FALSE)="E",VLOOKUP(Table13130[[#This Row],[Ln'#]],Started!A$5:AU$34,23,FALSE)="FEO"),"x","")</f>
        <v/>
      </c>
      <c r="N41" s="48"/>
      <c r="O41" s="48"/>
      <c r="P41" s="48"/>
      <c r="Q41" s="48" t="str">
        <f>IF(AND(Table13130[[#This Row],[Status Container]]="",Table13130[[#This Row],[Status Exterior]]=""),"",VLOOKUP(Table13130[[#This Row],[Ln'#]],Started!$A$5:$AU$34,3,FALSE))</f>
        <v/>
      </c>
      <c r="R41" s="51" t="str">
        <f>IF(Table13130[[#This Row],[Dog ID]]="","",(VLOOKUP(Table13130[[#This Row],[Dog ID]],Started!C$5:$D$34,2,FALSE)&amp;" - " &amp;VLOOKUP(Table13130[[#This Row],[Dog ID]],'SDDA Dogs'!A:C,3,FALSE)))</f>
        <v/>
      </c>
      <c r="S41" s="51" t="str">
        <f>IF(Table13130[[#This Row],[Dog ID]]="","",(VLOOKUP(Table13130[[#This Row],[Dog ID]],Started!C$5:$AU37,44,FALSE)))</f>
        <v/>
      </c>
    </row>
    <row r="42" spans="1:19" ht="30" customHeight="1" x14ac:dyDescent="0.45">
      <c r="A42" s="49">
        <v>5</v>
      </c>
      <c r="B42" s="49" t="str">
        <f>IF(OR(VLOOKUP(Table17[[#This Row],[Ln'#]],Started!A$5:AU$34,15,FALSE)="E",VLOOKUP(Table17[[#This Row],[Ln'#]],Started!A$5:AU$34,15,FALSE)="FEO"),"Entered or FEO","Not Entered")</f>
        <v>Not Entered</v>
      </c>
      <c r="C42" s="50" t="str">
        <f t="shared" ca="1" si="1"/>
        <v/>
      </c>
      <c r="D42" s="48"/>
      <c r="E42" s="48"/>
      <c r="F42" s="48"/>
      <c r="G42" s="48" t="str">
        <f>IF(Table17[[#This Row],[Status]]="Not Entered","",VLOOKUP(Table17[[#This Row],[Ln'#]],Started!$A$5:$AU$34,3,FALSE))</f>
        <v/>
      </c>
      <c r="H42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2" s="51" t="str">
        <f>IF(Table17[[#This Row],[Status]]="Not Entered","",VLOOKUP(Table17[[#This Row],[Ln'#]],Started!$A$5:$BB$34,46,FALSE))</f>
        <v/>
      </c>
      <c r="K42" s="49">
        <v>5</v>
      </c>
      <c r="L42" s="144" t="str">
        <f>IF(OR(VLOOKUP(Table13130[[#This Row],[Ln'#]],Started!A$5:AU$34,7,FALSE)="E",VLOOKUP(Table13130[[#This Row],[Ln'#]],Started!A$5:AU$34,7,FALSE)="FEO"),"x","")</f>
        <v/>
      </c>
      <c r="M42" s="144" t="str">
        <f>IF(OR(VLOOKUP(Table13130[[#This Row],[Ln'#]],Started!A$5:AU$34,23,FALSE)="E",VLOOKUP(Table13130[[#This Row],[Ln'#]],Started!A$5:AU$34,23,FALSE)="FEO"),"x","")</f>
        <v/>
      </c>
      <c r="N42" s="48"/>
      <c r="O42" s="48"/>
      <c r="P42" s="48"/>
      <c r="Q42" s="48" t="str">
        <f>IF(AND(Table13130[[#This Row],[Status Container]]="",Table13130[[#This Row],[Status Exterior]]=""),"",VLOOKUP(Table13130[[#This Row],[Ln'#]],Started!$A$5:$AU$34,3,FALSE))</f>
        <v/>
      </c>
      <c r="R42" s="51" t="str">
        <f>IF(Table13130[[#This Row],[Dog ID]]="","",(VLOOKUP(Table13130[[#This Row],[Dog ID]],Started!C$5:$D$34,2,FALSE)&amp;" - " &amp;VLOOKUP(Table13130[[#This Row],[Dog ID]],'SDDA Dogs'!A:C,3,FALSE)))</f>
        <v/>
      </c>
      <c r="S42" s="51" t="str">
        <f>IF(Table13130[[#This Row],[Dog ID]]="","",(VLOOKUP(Table13130[[#This Row],[Dog ID]],Started!C$5:$AU38,44,FALSE)))</f>
        <v/>
      </c>
    </row>
    <row r="43" spans="1:19" ht="30" customHeight="1" x14ac:dyDescent="0.45">
      <c r="A43" s="49">
        <v>6</v>
      </c>
      <c r="B43" s="49" t="str">
        <f>IF(OR(VLOOKUP(Table17[[#This Row],[Ln'#]],Started!A$5:AU$34,15,FALSE)="E",VLOOKUP(Table17[[#This Row],[Ln'#]],Started!A$5:AU$34,15,FALSE)="FEO"),"Entered or FEO","Not Entered")</f>
        <v>Not Entered</v>
      </c>
      <c r="C43" s="50" t="str">
        <f t="shared" ca="1" si="1"/>
        <v/>
      </c>
      <c r="D43" s="48"/>
      <c r="E43" s="48"/>
      <c r="F43" s="48"/>
      <c r="G43" s="48" t="str">
        <f>IF(Table17[[#This Row],[Status]]="Not Entered","",VLOOKUP(Table17[[#This Row],[Ln'#]],Started!$A$5:$AU$34,3,FALSE))</f>
        <v/>
      </c>
      <c r="H43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3" s="51" t="str">
        <f>IF(Table17[[#This Row],[Status]]="Not Entered","",VLOOKUP(Table17[[#This Row],[Ln'#]],Started!$A$5:$BB$34,46,FALSE))</f>
        <v/>
      </c>
      <c r="K43" s="49">
        <v>6</v>
      </c>
      <c r="L43" s="144" t="str">
        <f>IF(OR(VLOOKUP(Table13130[[#This Row],[Ln'#]],Started!A$5:AU$34,7,FALSE)="E",VLOOKUP(Table13130[[#This Row],[Ln'#]],Started!A$5:AU$34,7,FALSE)="FEO"),"x","")</f>
        <v/>
      </c>
      <c r="M43" s="144" t="str">
        <f>IF(OR(VLOOKUP(Table13130[[#This Row],[Ln'#]],Started!A$5:AU$34,23,FALSE)="E",VLOOKUP(Table13130[[#This Row],[Ln'#]],Started!A$5:AU$34,23,FALSE)="FEO"),"x","")</f>
        <v/>
      </c>
      <c r="N43" s="48"/>
      <c r="O43" s="48"/>
      <c r="P43" s="48"/>
      <c r="Q43" s="48" t="str">
        <f>IF(AND(Table13130[[#This Row],[Status Container]]="",Table13130[[#This Row],[Status Exterior]]=""),"",VLOOKUP(Table13130[[#This Row],[Ln'#]],Started!$A$5:$AU$34,3,FALSE))</f>
        <v/>
      </c>
      <c r="R43" s="51" t="str">
        <f>IF(Table13130[[#This Row],[Dog ID]]="","",(VLOOKUP(Table13130[[#This Row],[Dog ID]],Started!C$5:$D$34,2,FALSE)&amp;" - " &amp;VLOOKUP(Table13130[[#This Row],[Dog ID]],'SDDA Dogs'!A:C,3,FALSE)))</f>
        <v/>
      </c>
      <c r="S43" s="51" t="str">
        <f>IF(Table13130[[#This Row],[Dog ID]]="","",(VLOOKUP(Table13130[[#This Row],[Dog ID]],Started!C$5:$AU39,44,FALSE)))</f>
        <v/>
      </c>
    </row>
    <row r="44" spans="1:19" ht="30" customHeight="1" x14ac:dyDescent="0.45">
      <c r="A44" s="49">
        <v>7</v>
      </c>
      <c r="B44" s="49" t="str">
        <f>IF(OR(VLOOKUP(Table17[[#This Row],[Ln'#]],Started!A$5:AU$34,15,FALSE)="E",VLOOKUP(Table17[[#This Row],[Ln'#]],Started!A$5:AU$34,15,FALSE)="FEO"),"Entered or FEO","Not Entered")</f>
        <v>Not Entered</v>
      </c>
      <c r="C44" s="50" t="str">
        <f t="shared" ca="1" si="1"/>
        <v/>
      </c>
      <c r="D44" s="48"/>
      <c r="E44" s="48"/>
      <c r="F44" s="48"/>
      <c r="G44" s="48" t="str">
        <f>IF(Table17[[#This Row],[Status]]="Not Entered","",VLOOKUP(Table17[[#This Row],[Ln'#]],Started!$A$5:$AU$34,3,FALSE))</f>
        <v/>
      </c>
      <c r="H44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4" s="51" t="str">
        <f>IF(Table17[[#This Row],[Status]]="Not Entered","",VLOOKUP(Table17[[#This Row],[Ln'#]],Started!$A$5:$BB$34,46,FALSE))</f>
        <v/>
      </c>
      <c r="K44" s="49">
        <v>7</v>
      </c>
      <c r="L44" s="144" t="str">
        <f>IF(OR(VLOOKUP(Table13130[[#This Row],[Ln'#]],Started!A$5:AU$34,7,FALSE)="E",VLOOKUP(Table13130[[#This Row],[Ln'#]],Started!A$5:AU$34,7,FALSE)="FEO"),"x","")</f>
        <v/>
      </c>
      <c r="M44" s="144" t="str">
        <f>IF(OR(VLOOKUP(Table13130[[#This Row],[Ln'#]],Started!A$5:AU$34,23,FALSE)="E",VLOOKUP(Table13130[[#This Row],[Ln'#]],Started!A$5:AU$34,23,FALSE)="FEO"),"x","")</f>
        <v/>
      </c>
      <c r="N44" s="48"/>
      <c r="O44" s="48"/>
      <c r="P44" s="48"/>
      <c r="Q44" s="48" t="str">
        <f>IF(AND(Table13130[[#This Row],[Status Container]]="",Table13130[[#This Row],[Status Exterior]]=""),"",VLOOKUP(Table13130[[#This Row],[Ln'#]],Started!$A$5:$AU$34,3,FALSE))</f>
        <v/>
      </c>
      <c r="R44" s="51" t="str">
        <f>IF(Table13130[[#This Row],[Dog ID]]="","",(VLOOKUP(Table13130[[#This Row],[Dog ID]],Started!C$5:$D$34,2,FALSE)&amp;" - " &amp;VLOOKUP(Table13130[[#This Row],[Dog ID]],'SDDA Dogs'!A:C,3,FALSE)))</f>
        <v/>
      </c>
      <c r="S44" s="51" t="str">
        <f>IF(Table13130[[#This Row],[Dog ID]]="","",(VLOOKUP(Table13130[[#This Row],[Dog ID]],Started!C$5:$AU40,44,FALSE)))</f>
        <v/>
      </c>
    </row>
    <row r="45" spans="1:19" ht="30" customHeight="1" x14ac:dyDescent="0.45">
      <c r="A45" s="49">
        <v>8</v>
      </c>
      <c r="B45" s="49" t="str">
        <f>IF(OR(VLOOKUP(Table17[[#This Row],[Ln'#]],Started!A$5:AU$34,15,FALSE)="E",VLOOKUP(Table17[[#This Row],[Ln'#]],Started!A$5:AU$34,15,FALSE)="FEO"),"Entered or FEO","Not Entered")</f>
        <v>Not Entered</v>
      </c>
      <c r="C45" s="50" t="str">
        <f t="shared" ca="1" si="1"/>
        <v/>
      </c>
      <c r="D45" s="48"/>
      <c r="E45" s="48"/>
      <c r="F45" s="48"/>
      <c r="G45" s="48" t="str">
        <f>IF(Table17[[#This Row],[Status]]="Not Entered","",VLOOKUP(Table17[[#This Row],[Ln'#]],Started!$A$5:$AU$34,3,FALSE))</f>
        <v/>
      </c>
      <c r="H45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5" s="51" t="str">
        <f>IF(Table17[[#This Row],[Status]]="Not Entered","",VLOOKUP(Table17[[#This Row],[Ln'#]],Started!$A$5:$BB$34,46,FALSE))</f>
        <v/>
      </c>
      <c r="K45" s="49">
        <v>8</v>
      </c>
      <c r="L45" s="144" t="str">
        <f>IF(OR(VLOOKUP(Table13130[[#This Row],[Ln'#]],Started!A$5:AU$34,7,FALSE)="E",VLOOKUP(Table13130[[#This Row],[Ln'#]],Started!A$5:AU$34,7,FALSE)="FEO"),"x","")</f>
        <v/>
      </c>
      <c r="M45" s="144" t="str">
        <f>IF(OR(VLOOKUP(Table13130[[#This Row],[Ln'#]],Started!A$5:AU$34,23,FALSE)="E",VLOOKUP(Table13130[[#This Row],[Ln'#]],Started!A$5:AU$34,23,FALSE)="FEO"),"x","")</f>
        <v/>
      </c>
      <c r="N45" s="48"/>
      <c r="O45" s="48"/>
      <c r="P45" s="48"/>
      <c r="Q45" s="48" t="str">
        <f>IF(AND(Table13130[[#This Row],[Status Container]]="",Table13130[[#This Row],[Status Exterior]]=""),"",VLOOKUP(Table13130[[#This Row],[Ln'#]],Started!$A$5:$AU$34,3,FALSE))</f>
        <v/>
      </c>
      <c r="R45" s="51" t="str">
        <f>IF(Table13130[[#This Row],[Dog ID]]="","",(VLOOKUP(Table13130[[#This Row],[Dog ID]],Started!C$5:$D$34,2,FALSE)&amp;" - " &amp;VLOOKUP(Table13130[[#This Row],[Dog ID]],'SDDA Dogs'!A:C,3,FALSE)))</f>
        <v/>
      </c>
      <c r="S45" s="51" t="str">
        <f>IF(Table13130[[#This Row],[Dog ID]]="","",(VLOOKUP(Table13130[[#This Row],[Dog ID]],Started!C$5:$AU41,44,FALSE)))</f>
        <v/>
      </c>
    </row>
    <row r="46" spans="1:19" ht="30" customHeight="1" x14ac:dyDescent="0.45">
      <c r="A46" s="49">
        <v>9</v>
      </c>
      <c r="B46" s="49" t="str">
        <f>IF(OR(VLOOKUP(Table17[[#This Row],[Ln'#]],Started!A$5:AU$34,15,FALSE)="E",VLOOKUP(Table17[[#This Row],[Ln'#]],Started!A$5:AU$34,15,FALSE)="FEO"),"Entered or FEO","Not Entered")</f>
        <v>Not Entered</v>
      </c>
      <c r="C46" s="50" t="str">
        <f t="shared" ca="1" si="1"/>
        <v/>
      </c>
      <c r="D46" s="48"/>
      <c r="E46" s="48"/>
      <c r="F46" s="48"/>
      <c r="G46" s="48" t="str">
        <f>IF(Table17[[#This Row],[Status]]="Not Entered","",VLOOKUP(Table17[[#This Row],[Ln'#]],Started!$A$5:$AU$34,3,FALSE))</f>
        <v/>
      </c>
      <c r="H46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6" s="51" t="str">
        <f>IF(Table17[[#This Row],[Status]]="Not Entered","",VLOOKUP(Table17[[#This Row],[Ln'#]],Started!$A$5:$BB$34,46,FALSE))</f>
        <v/>
      </c>
      <c r="K46" s="49">
        <v>9</v>
      </c>
      <c r="L46" s="144" t="str">
        <f>IF(OR(VLOOKUP(Table13130[[#This Row],[Ln'#]],Started!A$5:AU$34,7,FALSE)="E",VLOOKUP(Table13130[[#This Row],[Ln'#]],Started!A$5:AU$34,7,FALSE)="FEO"),"x","")</f>
        <v/>
      </c>
      <c r="M46" s="144" t="str">
        <f>IF(OR(VLOOKUP(Table13130[[#This Row],[Ln'#]],Started!A$5:AU$34,23,FALSE)="E",VLOOKUP(Table13130[[#This Row],[Ln'#]],Started!A$5:AU$34,23,FALSE)="FEO"),"x","")</f>
        <v/>
      </c>
      <c r="N46" s="48"/>
      <c r="O46" s="48"/>
      <c r="P46" s="48"/>
      <c r="Q46" s="48" t="str">
        <f>IF(AND(Table13130[[#This Row],[Status Container]]="",Table13130[[#This Row],[Status Exterior]]=""),"",VLOOKUP(Table13130[[#This Row],[Ln'#]],Started!$A$5:$AU$34,3,FALSE))</f>
        <v/>
      </c>
      <c r="R46" s="51" t="str">
        <f>IF(Table13130[[#This Row],[Dog ID]]="","",(VLOOKUP(Table13130[[#This Row],[Dog ID]],Started!C$5:$D$34,2,FALSE)&amp;" - " &amp;VLOOKUP(Table13130[[#This Row],[Dog ID]],'SDDA Dogs'!A:C,3,FALSE)))</f>
        <v/>
      </c>
      <c r="S46" s="51" t="str">
        <f>IF(Table13130[[#This Row],[Dog ID]]="","",(VLOOKUP(Table13130[[#This Row],[Dog ID]],Started!C$5:$AU42,44,FALSE)))</f>
        <v/>
      </c>
    </row>
    <row r="47" spans="1:19" ht="30" customHeight="1" x14ac:dyDescent="0.45">
      <c r="A47" s="49">
        <v>10</v>
      </c>
      <c r="B47" s="49" t="str">
        <f>IF(OR(VLOOKUP(Table17[[#This Row],[Ln'#]],Started!A$5:AU$34,15,FALSE)="E",VLOOKUP(Table17[[#This Row],[Ln'#]],Started!A$5:AU$34,15,FALSE)="FEO"),"Entered or FEO","Not Entered")</f>
        <v>Not Entered</v>
      </c>
      <c r="C47" s="50" t="str">
        <f t="shared" ca="1" si="1"/>
        <v/>
      </c>
      <c r="D47" s="48"/>
      <c r="E47" s="48"/>
      <c r="F47" s="48"/>
      <c r="G47" s="48" t="str">
        <f>IF(Table17[[#This Row],[Status]]="Not Entered","",VLOOKUP(Table17[[#This Row],[Ln'#]],Started!$A$5:$AU$34,3,FALSE))</f>
        <v/>
      </c>
      <c r="H47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7" s="51" t="str">
        <f>IF(Table17[[#This Row],[Status]]="Not Entered","",VLOOKUP(Table17[[#This Row],[Ln'#]],Started!$A$5:$BB$34,46,FALSE))</f>
        <v/>
      </c>
      <c r="K47" s="49">
        <v>10</v>
      </c>
      <c r="L47" s="144" t="str">
        <f>IF(OR(VLOOKUP(Table13130[[#This Row],[Ln'#]],Started!A$5:AU$34,7,FALSE)="E",VLOOKUP(Table13130[[#This Row],[Ln'#]],Started!A$5:AU$34,7,FALSE)="FEO"),"x","")</f>
        <v/>
      </c>
      <c r="M47" s="144" t="str">
        <f>IF(OR(VLOOKUP(Table13130[[#This Row],[Ln'#]],Started!A$5:AU$34,23,FALSE)="E",VLOOKUP(Table13130[[#This Row],[Ln'#]],Started!A$5:AU$34,23,FALSE)="FEO"),"x","")</f>
        <v/>
      </c>
      <c r="N47" s="48"/>
      <c r="O47" s="48"/>
      <c r="P47" s="48"/>
      <c r="Q47" s="48" t="str">
        <f>IF(AND(Table13130[[#This Row],[Status Container]]="",Table13130[[#This Row],[Status Exterior]]=""),"",VLOOKUP(Table13130[[#This Row],[Ln'#]],Started!$A$5:$AU$34,3,FALSE))</f>
        <v/>
      </c>
      <c r="R47" s="51" t="str">
        <f>IF(Table13130[[#This Row],[Dog ID]]="","",(VLOOKUP(Table13130[[#This Row],[Dog ID]],Started!C$5:$D$34,2,FALSE)&amp;" - " &amp;VLOOKUP(Table13130[[#This Row],[Dog ID]],'SDDA Dogs'!A:C,3,FALSE)))</f>
        <v/>
      </c>
      <c r="S47" s="51" t="str">
        <f>IF(Table13130[[#This Row],[Dog ID]]="","",(VLOOKUP(Table13130[[#This Row],[Dog ID]],Started!C$5:$AU43,44,FALSE)))</f>
        <v/>
      </c>
    </row>
    <row r="48" spans="1:19" ht="30" customHeight="1" x14ac:dyDescent="0.45">
      <c r="A48" s="49">
        <v>11</v>
      </c>
      <c r="B48" s="49" t="str">
        <f>IF(OR(VLOOKUP(Table17[[#This Row],[Ln'#]],Started!A$5:AU$34,15,FALSE)="E",VLOOKUP(Table17[[#This Row],[Ln'#]],Started!A$5:AU$34,15,FALSE)="FEO"),"Entered or FEO","Not Entered")</f>
        <v>Not Entered</v>
      </c>
      <c r="C48" s="50" t="str">
        <f t="shared" ca="1" si="1"/>
        <v/>
      </c>
      <c r="D48" s="48"/>
      <c r="E48" s="48"/>
      <c r="F48" s="48"/>
      <c r="G48" s="48" t="str">
        <f>IF(Table17[[#This Row],[Status]]="Not Entered","",VLOOKUP(Table17[[#This Row],[Ln'#]],Started!$A$5:$AU$34,3,FALSE))</f>
        <v/>
      </c>
      <c r="H48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8" s="51" t="str">
        <f>IF(Table17[[#This Row],[Status]]="Not Entered","",VLOOKUP(Table17[[#This Row],[Ln'#]],Started!$A$5:$BB$34,46,FALSE))</f>
        <v/>
      </c>
      <c r="K48" s="49">
        <v>11</v>
      </c>
      <c r="L48" s="144" t="str">
        <f>IF(OR(VLOOKUP(Table13130[[#This Row],[Ln'#]],Started!A$5:AU$34,7,FALSE)="E",VLOOKUP(Table13130[[#This Row],[Ln'#]],Started!A$5:AU$34,7,FALSE)="FEO"),"x","")</f>
        <v/>
      </c>
      <c r="M48" s="144" t="str">
        <f>IF(OR(VLOOKUP(Table13130[[#This Row],[Ln'#]],Started!A$5:AU$34,23,FALSE)="E",VLOOKUP(Table13130[[#This Row],[Ln'#]],Started!A$5:AU$34,23,FALSE)="FEO"),"x","")</f>
        <v/>
      </c>
      <c r="N48" s="48"/>
      <c r="O48" s="48"/>
      <c r="P48" s="48"/>
      <c r="Q48" s="48" t="str">
        <f>IF(AND(Table13130[[#This Row],[Status Container]]="",Table13130[[#This Row],[Status Exterior]]=""),"",VLOOKUP(Table13130[[#This Row],[Ln'#]],Started!$A$5:$AU$34,3,FALSE))</f>
        <v/>
      </c>
      <c r="R48" s="51" t="str">
        <f>IF(Table13130[[#This Row],[Dog ID]]="","",(VLOOKUP(Table13130[[#This Row],[Dog ID]],Started!C$5:$D$34,2,FALSE)&amp;" - " &amp;VLOOKUP(Table13130[[#This Row],[Dog ID]],'SDDA Dogs'!A:C,3,FALSE)))</f>
        <v/>
      </c>
      <c r="S48" s="51" t="str">
        <f>IF(Table13130[[#This Row],[Dog ID]]="","",(VLOOKUP(Table13130[[#This Row],[Dog ID]],Started!C$5:$AU44,44,FALSE)))</f>
        <v/>
      </c>
    </row>
    <row r="49" spans="1:19" ht="30" customHeight="1" x14ac:dyDescent="0.45">
      <c r="A49" s="49">
        <v>12</v>
      </c>
      <c r="B49" s="49" t="str">
        <f>IF(OR(VLOOKUP(Table17[[#This Row],[Ln'#]],Started!A$5:AU$34,15,FALSE)="E",VLOOKUP(Table17[[#This Row],[Ln'#]],Started!A$5:AU$34,15,FALSE)="FEO"),"Entered or FEO","Not Entered")</f>
        <v>Not Entered</v>
      </c>
      <c r="C49" s="50" t="str">
        <f t="shared" ca="1" si="1"/>
        <v/>
      </c>
      <c r="D49" s="48"/>
      <c r="E49" s="48"/>
      <c r="F49" s="48"/>
      <c r="G49" s="48" t="str">
        <f>IF(Table17[[#This Row],[Status]]="Not Entered","",VLOOKUP(Table17[[#This Row],[Ln'#]],Started!$A$5:$AU$34,3,FALSE))</f>
        <v/>
      </c>
      <c r="H49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9" s="51" t="str">
        <f>IF(Table17[[#This Row],[Status]]="Not Entered","",VLOOKUP(Table17[[#This Row],[Ln'#]],Started!$A$5:$BB$34,46,FALSE))</f>
        <v/>
      </c>
      <c r="K49" s="49">
        <v>12</v>
      </c>
      <c r="L49" s="144" t="str">
        <f>IF(OR(VLOOKUP(Table13130[[#This Row],[Ln'#]],Started!A$5:AU$34,7,FALSE)="E",VLOOKUP(Table13130[[#This Row],[Ln'#]],Started!A$5:AU$34,7,FALSE)="FEO"),"x","")</f>
        <v/>
      </c>
      <c r="M49" s="144" t="str">
        <f>IF(OR(VLOOKUP(Table13130[[#This Row],[Ln'#]],Started!A$5:AU$34,23,FALSE)="E",VLOOKUP(Table13130[[#This Row],[Ln'#]],Started!A$5:AU$34,23,FALSE)="FEO"),"x","")</f>
        <v/>
      </c>
      <c r="N49" s="48"/>
      <c r="O49" s="48"/>
      <c r="P49" s="48"/>
      <c r="Q49" s="48" t="str">
        <f>IF(AND(Table13130[[#This Row],[Status Container]]="",Table13130[[#This Row],[Status Exterior]]=""),"",VLOOKUP(Table13130[[#This Row],[Ln'#]],Started!$A$5:$AU$34,3,FALSE))</f>
        <v/>
      </c>
      <c r="R49" s="51" t="str">
        <f>IF(Table13130[[#This Row],[Dog ID]]="","",(VLOOKUP(Table13130[[#This Row],[Dog ID]],Started!C$5:$D$34,2,FALSE)&amp;" - " &amp;VLOOKUP(Table13130[[#This Row],[Dog ID]],'SDDA Dogs'!A:C,3,FALSE)))</f>
        <v/>
      </c>
      <c r="S49" s="51" t="str">
        <f>IF(Table13130[[#This Row],[Dog ID]]="","",(VLOOKUP(Table13130[[#This Row],[Dog ID]],Started!C$5:$AU45,44,FALSE)))</f>
        <v/>
      </c>
    </row>
    <row r="50" spans="1:19" ht="30" customHeight="1" x14ac:dyDescent="0.45">
      <c r="A50" s="49">
        <v>13</v>
      </c>
      <c r="B50" s="49" t="str">
        <f>IF(OR(VLOOKUP(Table17[[#This Row],[Ln'#]],Started!A$5:AU$34,15,FALSE)="E",VLOOKUP(Table17[[#This Row],[Ln'#]],Started!A$5:AU$34,15,FALSE)="FEO"),"Entered or FEO","Not Entered")</f>
        <v>Not Entered</v>
      </c>
      <c r="C50" s="50" t="str">
        <f t="shared" ca="1" si="1"/>
        <v/>
      </c>
      <c r="D50" s="48"/>
      <c r="E50" s="48"/>
      <c r="F50" s="48"/>
      <c r="G50" s="48" t="str">
        <f>IF(Table17[[#This Row],[Status]]="Not Entered","",VLOOKUP(Table17[[#This Row],[Ln'#]],Started!$A$5:$AU$34,3,FALSE))</f>
        <v/>
      </c>
      <c r="H50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0" s="51" t="str">
        <f>IF(Table17[[#This Row],[Status]]="Not Entered","",VLOOKUP(Table17[[#This Row],[Ln'#]],Started!$A$5:$BB$34,46,FALSE))</f>
        <v/>
      </c>
      <c r="K50" s="49">
        <v>13</v>
      </c>
      <c r="L50" s="144" t="str">
        <f>IF(OR(VLOOKUP(Table13130[[#This Row],[Ln'#]],Started!A$5:AU$34,7,FALSE)="E",VLOOKUP(Table13130[[#This Row],[Ln'#]],Started!A$5:AU$34,7,FALSE)="FEO"),"x","")</f>
        <v/>
      </c>
      <c r="M50" s="144" t="str">
        <f>IF(OR(VLOOKUP(Table13130[[#This Row],[Ln'#]],Started!A$5:AU$34,23,FALSE)="E",VLOOKUP(Table13130[[#This Row],[Ln'#]],Started!A$5:AU$34,23,FALSE)="FEO"),"x","")</f>
        <v/>
      </c>
      <c r="N50" s="48"/>
      <c r="O50" s="48"/>
      <c r="P50" s="48"/>
      <c r="Q50" s="48" t="str">
        <f>IF(AND(Table13130[[#This Row],[Status Container]]="",Table13130[[#This Row],[Status Exterior]]=""),"",VLOOKUP(Table13130[[#This Row],[Ln'#]],Started!$A$5:$AU$34,3,FALSE))</f>
        <v/>
      </c>
      <c r="R50" s="51" t="str">
        <f>IF(Table13130[[#This Row],[Dog ID]]="","",(VLOOKUP(Table13130[[#This Row],[Dog ID]],Started!C$5:$D$34,2,FALSE)&amp;" - " &amp;VLOOKUP(Table13130[[#This Row],[Dog ID]],'SDDA Dogs'!A:C,3,FALSE)))</f>
        <v/>
      </c>
      <c r="S50" s="51" t="str">
        <f>IF(Table13130[[#This Row],[Dog ID]]="","",(VLOOKUP(Table13130[[#This Row],[Dog ID]],Started!C$5:$AU46,44,FALSE)))</f>
        <v/>
      </c>
    </row>
    <row r="51" spans="1:19" ht="30" customHeight="1" x14ac:dyDescent="0.45">
      <c r="A51" s="49">
        <v>14</v>
      </c>
      <c r="B51" s="49" t="str">
        <f>IF(OR(VLOOKUP(Table17[[#This Row],[Ln'#]],Started!A$5:AU$34,15,FALSE)="E",VLOOKUP(Table17[[#This Row],[Ln'#]],Started!A$5:AU$34,15,FALSE)="FEO"),"Entered or FEO","Not Entered")</f>
        <v>Not Entered</v>
      </c>
      <c r="C51" s="50" t="str">
        <f t="shared" ca="1" si="1"/>
        <v/>
      </c>
      <c r="D51" s="48"/>
      <c r="E51" s="48"/>
      <c r="F51" s="48"/>
      <c r="G51" s="48" t="str">
        <f>IF(Table17[[#This Row],[Status]]="Not Entered","",VLOOKUP(Table17[[#This Row],[Ln'#]],Started!$A$5:$AU$34,3,FALSE))</f>
        <v/>
      </c>
      <c r="H51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1" s="51" t="str">
        <f>IF(Table17[[#This Row],[Status]]="Not Entered","",VLOOKUP(Table17[[#This Row],[Ln'#]],Started!$A$5:$BB$34,46,FALSE))</f>
        <v/>
      </c>
      <c r="K51" s="49">
        <v>14</v>
      </c>
      <c r="L51" s="144" t="str">
        <f>IF(OR(VLOOKUP(Table13130[[#This Row],[Ln'#]],Started!A$5:AU$34,7,FALSE)="E",VLOOKUP(Table13130[[#This Row],[Ln'#]],Started!A$5:AU$34,7,FALSE)="FEO"),"x","")</f>
        <v/>
      </c>
      <c r="M51" s="144" t="str">
        <f>IF(OR(VLOOKUP(Table13130[[#This Row],[Ln'#]],Started!A$5:AU$34,23,FALSE)="E",VLOOKUP(Table13130[[#This Row],[Ln'#]],Started!A$5:AU$34,23,FALSE)="FEO"),"x","")</f>
        <v/>
      </c>
      <c r="N51" s="48"/>
      <c r="O51" s="48"/>
      <c r="P51" s="48"/>
      <c r="Q51" s="48" t="str">
        <f>IF(AND(Table13130[[#This Row],[Status Container]]="",Table13130[[#This Row],[Status Exterior]]=""),"",VLOOKUP(Table13130[[#This Row],[Ln'#]],Started!$A$5:$AU$34,3,FALSE))</f>
        <v/>
      </c>
      <c r="R51" s="51" t="str">
        <f>IF(Table13130[[#This Row],[Dog ID]]="","",(VLOOKUP(Table13130[[#This Row],[Dog ID]],Started!C$5:$D$34,2,FALSE)&amp;" - " &amp;VLOOKUP(Table13130[[#This Row],[Dog ID]],'SDDA Dogs'!A:C,3,FALSE)))</f>
        <v/>
      </c>
      <c r="S51" s="51" t="str">
        <f>IF(Table13130[[#This Row],[Dog ID]]="","",(VLOOKUP(Table13130[[#This Row],[Dog ID]],Started!C$5:$AU47,44,FALSE)))</f>
        <v/>
      </c>
    </row>
    <row r="52" spans="1:19" ht="30" customHeight="1" x14ac:dyDescent="0.45">
      <c r="A52" s="49">
        <v>15</v>
      </c>
      <c r="B52" s="49" t="str">
        <f>IF(OR(VLOOKUP(Table17[[#This Row],[Ln'#]],Started!A$5:AU$34,15,FALSE)="E",VLOOKUP(Table17[[#This Row],[Ln'#]],Started!A$5:AU$34,15,FALSE)="FEO"),"Entered or FEO","Not Entered")</f>
        <v>Not Entered</v>
      </c>
      <c r="C52" s="50" t="str">
        <f t="shared" ca="1" si="1"/>
        <v/>
      </c>
      <c r="D52" s="48"/>
      <c r="E52" s="48"/>
      <c r="F52" s="48"/>
      <c r="G52" s="48" t="str">
        <f>IF(Table17[[#This Row],[Status]]="Not Entered","",VLOOKUP(Table17[[#This Row],[Ln'#]],Started!$A$5:$AU$34,3,FALSE))</f>
        <v/>
      </c>
      <c r="H52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2" s="51" t="str">
        <f>IF(Table17[[#This Row],[Status]]="Not Entered","",VLOOKUP(Table17[[#This Row],[Ln'#]],Started!$A$5:$BB$34,46,FALSE))</f>
        <v/>
      </c>
      <c r="K52" s="49">
        <v>15</v>
      </c>
      <c r="L52" s="144" t="str">
        <f>IF(OR(VLOOKUP(Table13130[[#This Row],[Ln'#]],Started!A$5:AU$34,7,FALSE)="E",VLOOKUP(Table13130[[#This Row],[Ln'#]],Started!A$5:AU$34,7,FALSE)="FEO"),"x","")</f>
        <v/>
      </c>
      <c r="M52" s="144" t="str">
        <f>IF(OR(VLOOKUP(Table13130[[#This Row],[Ln'#]],Started!A$5:AU$34,23,FALSE)="E",VLOOKUP(Table13130[[#This Row],[Ln'#]],Started!A$5:AU$34,23,FALSE)="FEO"),"x","")</f>
        <v/>
      </c>
      <c r="N52" s="48"/>
      <c r="O52" s="48"/>
      <c r="P52" s="48"/>
      <c r="Q52" s="48" t="str">
        <f>IF(AND(Table13130[[#This Row],[Status Container]]="",Table13130[[#This Row],[Status Exterior]]=""),"",VLOOKUP(Table13130[[#This Row],[Ln'#]],Started!$A$5:$AU$34,3,FALSE))</f>
        <v/>
      </c>
      <c r="R52" s="51" t="str">
        <f>IF(Table13130[[#This Row],[Dog ID]]="","",(VLOOKUP(Table13130[[#This Row],[Dog ID]],Started!C$5:$D$34,2,FALSE)&amp;" - " &amp;VLOOKUP(Table13130[[#This Row],[Dog ID]],'SDDA Dogs'!A:C,3,FALSE)))</f>
        <v/>
      </c>
      <c r="S52" s="51" t="str">
        <f>IF(Table13130[[#This Row],[Dog ID]]="","",(VLOOKUP(Table13130[[#This Row],[Dog ID]],Started!C$5:$AU48,44,FALSE)))</f>
        <v/>
      </c>
    </row>
    <row r="53" spans="1:19" ht="30" customHeight="1" x14ac:dyDescent="0.45">
      <c r="A53" s="49">
        <v>16</v>
      </c>
      <c r="B53" s="49" t="str">
        <f>IF(OR(VLOOKUP(Table17[[#This Row],[Ln'#]],Started!A$5:AU$34,15,FALSE)="E",VLOOKUP(Table17[[#This Row],[Ln'#]],Started!A$5:AU$34,15,FALSE)="FEO"),"Entered or FEO","Not Entered")</f>
        <v>Not Entered</v>
      </c>
      <c r="C53" s="50" t="str">
        <f t="shared" ca="1" si="1"/>
        <v/>
      </c>
      <c r="D53" s="48"/>
      <c r="E53" s="48"/>
      <c r="F53" s="48"/>
      <c r="G53" s="48" t="str">
        <f>IF(Table17[[#This Row],[Status]]="Not Entered","",VLOOKUP(Table17[[#This Row],[Ln'#]],Started!$A$5:$AU$34,3,FALSE))</f>
        <v/>
      </c>
      <c r="H53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3" s="51" t="str">
        <f>IF(Table17[[#This Row],[Status]]="Not Entered","",VLOOKUP(Table17[[#This Row],[Ln'#]],Started!$A$5:$BB$34,46,FALSE))</f>
        <v/>
      </c>
      <c r="K53" s="49">
        <v>16</v>
      </c>
      <c r="L53" s="144" t="str">
        <f>IF(OR(VLOOKUP(Table13130[[#This Row],[Ln'#]],Started!A$5:AU$34,7,FALSE)="E",VLOOKUP(Table13130[[#This Row],[Ln'#]],Started!A$5:AU$34,7,FALSE)="FEO"),"x","")</f>
        <v/>
      </c>
      <c r="M53" s="144" t="str">
        <f>IF(OR(VLOOKUP(Table13130[[#This Row],[Ln'#]],Started!A$5:AU$34,23,FALSE)="E",VLOOKUP(Table13130[[#This Row],[Ln'#]],Started!A$5:AU$34,23,FALSE)="FEO"),"x","")</f>
        <v/>
      </c>
      <c r="N53" s="48"/>
      <c r="O53" s="48"/>
      <c r="P53" s="48"/>
      <c r="Q53" s="48" t="str">
        <f>IF(AND(Table13130[[#This Row],[Status Container]]="",Table13130[[#This Row],[Status Exterior]]=""),"",VLOOKUP(Table13130[[#This Row],[Ln'#]],Started!$A$5:$AU$34,3,FALSE))</f>
        <v/>
      </c>
      <c r="R53" s="51" t="str">
        <f>IF(Table13130[[#This Row],[Dog ID]]="","",(VLOOKUP(Table13130[[#This Row],[Dog ID]],Started!C$5:$D$34,2,FALSE)&amp;" - " &amp;VLOOKUP(Table13130[[#This Row],[Dog ID]],'SDDA Dogs'!A:C,3,FALSE)))</f>
        <v/>
      </c>
      <c r="S53" s="51" t="str">
        <f>IF(Table13130[[#This Row],[Dog ID]]="","",(VLOOKUP(Table13130[[#This Row],[Dog ID]],Started!C$5:$AU49,44,FALSE)))</f>
        <v/>
      </c>
    </row>
    <row r="54" spans="1:19" ht="30" customHeight="1" x14ac:dyDescent="0.45">
      <c r="A54" s="49">
        <v>17</v>
      </c>
      <c r="B54" s="49" t="str">
        <f>IF(OR(VLOOKUP(Table17[[#This Row],[Ln'#]],Started!A$5:AU$34,15,FALSE)="E",VLOOKUP(Table17[[#This Row],[Ln'#]],Started!A$5:AU$34,15,FALSE)="FEO"),"Entered or FEO","Not Entered")</f>
        <v>Not Entered</v>
      </c>
      <c r="C54" s="50" t="str">
        <f t="shared" ca="1" si="1"/>
        <v/>
      </c>
      <c r="D54" s="48"/>
      <c r="E54" s="48"/>
      <c r="F54" s="48"/>
      <c r="G54" s="48" t="str">
        <f>IF(Table17[[#This Row],[Status]]="Not Entered","",VLOOKUP(Table17[[#This Row],[Ln'#]],Started!$A$5:$AU$34,3,FALSE))</f>
        <v/>
      </c>
      <c r="H54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4" s="51" t="str">
        <f>IF(Table17[[#This Row],[Status]]="Not Entered","",VLOOKUP(Table17[[#This Row],[Ln'#]],Started!$A$5:$BB$34,46,FALSE))</f>
        <v/>
      </c>
      <c r="K54" s="49">
        <v>17</v>
      </c>
      <c r="L54" s="144" t="str">
        <f>IF(OR(VLOOKUP(Table13130[[#This Row],[Ln'#]],Started!A$5:AU$34,7,FALSE)="E",VLOOKUP(Table13130[[#This Row],[Ln'#]],Started!A$5:AU$34,7,FALSE)="FEO"),"x","")</f>
        <v/>
      </c>
      <c r="M54" s="144" t="str">
        <f>IF(OR(VLOOKUP(Table13130[[#This Row],[Ln'#]],Started!A$5:AU$34,23,FALSE)="E",VLOOKUP(Table13130[[#This Row],[Ln'#]],Started!A$5:AU$34,23,FALSE)="FEO"),"x","")</f>
        <v/>
      </c>
      <c r="N54" s="48"/>
      <c r="O54" s="48"/>
      <c r="P54" s="48"/>
      <c r="Q54" s="48" t="str">
        <f>IF(AND(Table13130[[#This Row],[Status Container]]="",Table13130[[#This Row],[Status Exterior]]=""),"",VLOOKUP(Table13130[[#This Row],[Ln'#]],Started!$A$5:$AU$34,3,FALSE))</f>
        <v/>
      </c>
      <c r="R54" s="51" t="str">
        <f>IF(Table13130[[#This Row],[Dog ID]]="","",(VLOOKUP(Table13130[[#This Row],[Dog ID]],Started!C$5:$D$34,2,FALSE)&amp;" - " &amp;VLOOKUP(Table13130[[#This Row],[Dog ID]],'SDDA Dogs'!A:C,3,FALSE)))</f>
        <v/>
      </c>
      <c r="S54" s="51" t="str">
        <f>IF(Table13130[[#This Row],[Dog ID]]="","",(VLOOKUP(Table13130[[#This Row],[Dog ID]],Started!C$5:$AU50,44,FALSE)))</f>
        <v/>
      </c>
    </row>
    <row r="55" spans="1:19" ht="30" customHeight="1" x14ac:dyDescent="0.45">
      <c r="A55" s="49">
        <v>18</v>
      </c>
      <c r="B55" s="49" t="str">
        <f>IF(OR(VLOOKUP(Table17[[#This Row],[Ln'#]],Started!A$5:AU$34,15,FALSE)="E",VLOOKUP(Table17[[#This Row],[Ln'#]],Started!A$5:AU$34,15,FALSE)="FEO"),"Entered or FEO","Not Entered")</f>
        <v>Not Entered</v>
      </c>
      <c r="C55" s="50" t="str">
        <f t="shared" ca="1" si="1"/>
        <v/>
      </c>
      <c r="D55" s="48"/>
      <c r="E55" s="48"/>
      <c r="F55" s="48"/>
      <c r="G55" s="48" t="str">
        <f>IF(Table17[[#This Row],[Status]]="Not Entered","",VLOOKUP(Table17[[#This Row],[Ln'#]],Started!$A$5:$AU$34,3,FALSE))</f>
        <v/>
      </c>
      <c r="H55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5" s="51" t="str">
        <f>IF(Table17[[#This Row],[Status]]="Not Entered","",VLOOKUP(Table17[[#This Row],[Ln'#]],Started!$A$5:$BB$34,46,FALSE))</f>
        <v/>
      </c>
      <c r="K55" s="49">
        <v>18</v>
      </c>
      <c r="L55" s="144" t="str">
        <f>IF(OR(VLOOKUP(Table13130[[#This Row],[Ln'#]],Started!A$5:AU$34,7,FALSE)="E",VLOOKUP(Table13130[[#This Row],[Ln'#]],Started!A$5:AU$34,7,FALSE)="FEO"),"x","")</f>
        <v/>
      </c>
      <c r="M55" s="144" t="str">
        <f>IF(OR(VLOOKUP(Table13130[[#This Row],[Ln'#]],Started!A$5:AU$34,23,FALSE)="E",VLOOKUP(Table13130[[#This Row],[Ln'#]],Started!A$5:AU$34,23,FALSE)="FEO"),"x","")</f>
        <v/>
      </c>
      <c r="N55" s="48"/>
      <c r="O55" s="48"/>
      <c r="P55" s="48"/>
      <c r="Q55" s="48" t="str">
        <f>IF(AND(Table13130[[#This Row],[Status Container]]="",Table13130[[#This Row],[Status Exterior]]=""),"",VLOOKUP(Table13130[[#This Row],[Ln'#]],Started!$A$5:$AU$34,3,FALSE))</f>
        <v/>
      </c>
      <c r="R55" s="51" t="str">
        <f>IF(Table13130[[#This Row],[Dog ID]]="","",(VLOOKUP(Table13130[[#This Row],[Dog ID]],Started!C$5:$D$34,2,FALSE)&amp;" - " &amp;VLOOKUP(Table13130[[#This Row],[Dog ID]],'SDDA Dogs'!A:C,3,FALSE)))</f>
        <v/>
      </c>
      <c r="S55" s="51" t="str">
        <f>IF(Table13130[[#This Row],[Dog ID]]="","",(VLOOKUP(Table13130[[#This Row],[Dog ID]],Started!C$5:$AU51,44,FALSE)))</f>
        <v/>
      </c>
    </row>
    <row r="56" spans="1:19" ht="30" customHeight="1" x14ac:dyDescent="0.45">
      <c r="A56" s="49">
        <v>19</v>
      </c>
      <c r="B56" s="49" t="str">
        <f>IF(OR(VLOOKUP(Table17[[#This Row],[Ln'#]],Started!A$5:AU$34,15,FALSE)="E",VLOOKUP(Table17[[#This Row],[Ln'#]],Started!A$5:AU$34,15,FALSE)="FEO"),"Entered or FEO","Not Entered")</f>
        <v>Not Entered</v>
      </c>
      <c r="C56" s="50" t="str">
        <f t="shared" ca="1" si="1"/>
        <v/>
      </c>
      <c r="D56" s="48"/>
      <c r="E56" s="48"/>
      <c r="F56" s="48"/>
      <c r="G56" s="48" t="str">
        <f>IF(Table17[[#This Row],[Status]]="Not Entered","",VLOOKUP(Table17[[#This Row],[Ln'#]],Started!$A$5:$AU$34,3,FALSE))</f>
        <v/>
      </c>
      <c r="H56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6" s="51" t="str">
        <f>IF(Table17[[#This Row],[Status]]="Not Entered","",VLOOKUP(Table17[[#This Row],[Ln'#]],Started!$A$5:$BB$34,46,FALSE))</f>
        <v/>
      </c>
      <c r="K56" s="49">
        <v>19</v>
      </c>
      <c r="L56" s="144" t="str">
        <f>IF(OR(VLOOKUP(Table13130[[#This Row],[Ln'#]],Started!A$5:AU$34,7,FALSE)="E",VLOOKUP(Table13130[[#This Row],[Ln'#]],Started!A$5:AU$34,7,FALSE)="FEO"),"x","")</f>
        <v/>
      </c>
      <c r="M56" s="144" t="str">
        <f>IF(OR(VLOOKUP(Table13130[[#This Row],[Ln'#]],Started!A$5:AU$34,23,FALSE)="E",VLOOKUP(Table13130[[#This Row],[Ln'#]],Started!A$5:AU$34,23,FALSE)="FEO"),"x","")</f>
        <v/>
      </c>
      <c r="N56" s="48"/>
      <c r="O56" s="48"/>
      <c r="P56" s="48"/>
      <c r="Q56" s="48" t="str">
        <f>IF(AND(Table13130[[#This Row],[Status Container]]="",Table13130[[#This Row],[Status Exterior]]=""),"",VLOOKUP(Table13130[[#This Row],[Ln'#]],Started!$A$5:$AU$34,3,FALSE))</f>
        <v/>
      </c>
      <c r="R56" s="51" t="str">
        <f>IF(Table13130[[#This Row],[Dog ID]]="","",(VLOOKUP(Table13130[[#This Row],[Dog ID]],Started!C$5:$D$34,2,FALSE)&amp;" - " &amp;VLOOKUP(Table13130[[#This Row],[Dog ID]],'SDDA Dogs'!A:C,3,FALSE)))</f>
        <v/>
      </c>
      <c r="S56" s="51" t="str">
        <f>IF(Table13130[[#This Row],[Dog ID]]="","",(VLOOKUP(Table13130[[#This Row],[Dog ID]],Started!C$5:$AU52,44,FALSE)))</f>
        <v/>
      </c>
    </row>
    <row r="57" spans="1:19" ht="30" customHeight="1" x14ac:dyDescent="0.45">
      <c r="A57" s="49">
        <v>20</v>
      </c>
      <c r="B57" s="49" t="str">
        <f>IF(OR(VLOOKUP(Table17[[#This Row],[Ln'#]],Started!A$5:AU$34,15,FALSE)="E",VLOOKUP(Table17[[#This Row],[Ln'#]],Started!A$5:AU$34,15,FALSE)="FEO"),"Entered or FEO","Not Entered")</f>
        <v>Not Entered</v>
      </c>
      <c r="C57" s="50" t="str">
        <f t="shared" ca="1" si="1"/>
        <v/>
      </c>
      <c r="D57" s="48"/>
      <c r="E57" s="48"/>
      <c r="F57" s="48"/>
      <c r="G57" s="48" t="str">
        <f>IF(Table17[[#This Row],[Status]]="Not Entered","",VLOOKUP(Table17[[#This Row],[Ln'#]],Started!$A$5:$AU$34,3,FALSE))</f>
        <v/>
      </c>
      <c r="H57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7" s="51" t="str">
        <f>IF(Table17[[#This Row],[Status]]="Not Entered","",VLOOKUP(Table17[[#This Row],[Ln'#]],Started!$A$5:$BB$34,46,FALSE))</f>
        <v/>
      </c>
      <c r="K57" s="49">
        <v>20</v>
      </c>
      <c r="L57" s="144" t="str">
        <f>IF(OR(VLOOKUP(Table13130[[#This Row],[Ln'#]],Started!A$5:AU$34,7,FALSE)="E",VLOOKUP(Table13130[[#This Row],[Ln'#]],Started!A$5:AU$34,7,FALSE)="FEO"),"x","")</f>
        <v/>
      </c>
      <c r="M57" s="144" t="str">
        <f>IF(OR(VLOOKUP(Table13130[[#This Row],[Ln'#]],Started!A$5:AU$34,23,FALSE)="E",VLOOKUP(Table13130[[#This Row],[Ln'#]],Started!A$5:AU$34,23,FALSE)="FEO"),"x","")</f>
        <v/>
      </c>
      <c r="N57" s="48"/>
      <c r="O57" s="48"/>
      <c r="P57" s="48"/>
      <c r="Q57" s="48" t="str">
        <f>IF(AND(Table13130[[#This Row],[Status Container]]="",Table13130[[#This Row],[Status Exterior]]=""),"",VLOOKUP(Table13130[[#This Row],[Ln'#]],Started!$A$5:$AU$34,3,FALSE))</f>
        <v/>
      </c>
      <c r="R57" s="51" t="str">
        <f>IF(Table13130[[#This Row],[Dog ID]]="","",(VLOOKUP(Table13130[[#This Row],[Dog ID]],Started!C$5:$D$34,2,FALSE)&amp;" - " &amp;VLOOKUP(Table13130[[#This Row],[Dog ID]],'SDDA Dogs'!A:C,3,FALSE)))</f>
        <v/>
      </c>
      <c r="S57" s="51" t="str">
        <f>IF(Table13130[[#This Row],[Dog ID]]="","",(VLOOKUP(Table13130[[#This Row],[Dog ID]],Started!C$5:$AU53,44,FALSE)))</f>
        <v/>
      </c>
    </row>
    <row r="58" spans="1:19" ht="30" customHeight="1" x14ac:dyDescent="0.45">
      <c r="A58" s="49">
        <v>21</v>
      </c>
      <c r="B58" s="49" t="str">
        <f>IF(OR(VLOOKUP(Table17[[#This Row],[Ln'#]],Started!A$5:AU$34,15,FALSE)="E",VLOOKUP(Table17[[#This Row],[Ln'#]],Started!A$5:AU$34,15,FALSE)="FEO"),"Entered or FEO","Not Entered")</f>
        <v>Not Entered</v>
      </c>
      <c r="C58" s="50" t="str">
        <f t="shared" ca="1" si="1"/>
        <v/>
      </c>
      <c r="D58" s="48"/>
      <c r="E58" s="48"/>
      <c r="F58" s="48"/>
      <c r="G58" s="48" t="str">
        <f>IF(Table17[[#This Row],[Status]]="Not Entered","",VLOOKUP(Table17[[#This Row],[Ln'#]],Started!$A$5:$AU$34,3,FALSE))</f>
        <v/>
      </c>
      <c r="H58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8" s="51" t="str">
        <f>IF(Table17[[#This Row],[Status]]="Not Entered","",VLOOKUP(Table17[[#This Row],[Ln'#]],Started!$A$5:$BB$34,46,FALSE))</f>
        <v/>
      </c>
      <c r="K58" s="49">
        <v>21</v>
      </c>
      <c r="L58" s="144" t="str">
        <f>IF(OR(VLOOKUP(Table13130[[#This Row],[Ln'#]],Started!A$5:AU$34,7,FALSE)="E",VLOOKUP(Table13130[[#This Row],[Ln'#]],Started!A$5:AU$34,7,FALSE)="FEO"),"x","")</f>
        <v/>
      </c>
      <c r="M58" s="144" t="str">
        <f>IF(OR(VLOOKUP(Table13130[[#This Row],[Ln'#]],Started!A$5:AU$34,23,FALSE)="E",VLOOKUP(Table13130[[#This Row],[Ln'#]],Started!A$5:AU$34,23,FALSE)="FEO"),"x","")</f>
        <v/>
      </c>
      <c r="N58" s="48"/>
      <c r="O58" s="48"/>
      <c r="P58" s="48"/>
      <c r="Q58" s="48" t="str">
        <f>IF(AND(Table13130[[#This Row],[Status Container]]="",Table13130[[#This Row],[Status Exterior]]=""),"",VLOOKUP(Table13130[[#This Row],[Ln'#]],Started!$A$5:$AU$34,3,FALSE))</f>
        <v/>
      </c>
      <c r="R58" s="51" t="str">
        <f>IF(Table13130[[#This Row],[Dog ID]]="","",(VLOOKUP(Table13130[[#This Row],[Dog ID]],Started!C$5:$D$34,2,FALSE)&amp;" - " &amp;VLOOKUP(Table13130[[#This Row],[Dog ID]],'SDDA Dogs'!A:C,3,FALSE)))</f>
        <v/>
      </c>
      <c r="S58" s="51" t="str">
        <f>IF(Table13130[[#This Row],[Dog ID]]="","",(VLOOKUP(Table13130[[#This Row],[Dog ID]],Started!C$5:$AU54,44,FALSE)))</f>
        <v/>
      </c>
    </row>
    <row r="59" spans="1:19" ht="30" customHeight="1" x14ac:dyDescent="0.45">
      <c r="A59" s="49">
        <v>22</v>
      </c>
      <c r="B59" s="49" t="str">
        <f>IF(OR(VLOOKUP(Table17[[#This Row],[Ln'#]],Started!A$5:AU$34,15,FALSE)="E",VLOOKUP(Table17[[#This Row],[Ln'#]],Started!A$5:AU$34,15,FALSE)="FEO"),"Entered or FEO","Not Entered")</f>
        <v>Not Entered</v>
      </c>
      <c r="C59" s="50" t="str">
        <f t="shared" ca="1" si="1"/>
        <v/>
      </c>
      <c r="D59" s="48"/>
      <c r="E59" s="48"/>
      <c r="F59" s="48"/>
      <c r="G59" s="48" t="str">
        <f>IF(Table17[[#This Row],[Status]]="Not Entered","",VLOOKUP(Table17[[#This Row],[Ln'#]],Started!$A$5:$AU$34,3,FALSE))</f>
        <v/>
      </c>
      <c r="H59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9" s="51" t="str">
        <f>IF(Table17[[#This Row],[Status]]="Not Entered","",VLOOKUP(Table17[[#This Row],[Ln'#]],Started!$A$5:$BB$34,46,FALSE))</f>
        <v/>
      </c>
      <c r="K59" s="49">
        <v>22</v>
      </c>
      <c r="L59" s="144" t="str">
        <f>IF(OR(VLOOKUP(Table13130[[#This Row],[Ln'#]],Started!A$5:AU$34,7,FALSE)="E",VLOOKUP(Table13130[[#This Row],[Ln'#]],Started!A$5:AU$34,7,FALSE)="FEO"),"x","")</f>
        <v/>
      </c>
      <c r="M59" s="144" t="str">
        <f>IF(OR(VLOOKUP(Table13130[[#This Row],[Ln'#]],Started!A$5:AU$34,23,FALSE)="E",VLOOKUP(Table13130[[#This Row],[Ln'#]],Started!A$5:AU$34,23,FALSE)="FEO"),"x","")</f>
        <v/>
      </c>
      <c r="N59" s="48"/>
      <c r="O59" s="48"/>
      <c r="P59" s="48"/>
      <c r="Q59" s="48" t="str">
        <f>IF(AND(Table13130[[#This Row],[Status Container]]="",Table13130[[#This Row],[Status Exterior]]=""),"",VLOOKUP(Table13130[[#This Row],[Ln'#]],Started!$A$5:$AU$34,3,FALSE))</f>
        <v/>
      </c>
      <c r="R59" s="51" t="str">
        <f>IF(Table13130[[#This Row],[Dog ID]]="","",(VLOOKUP(Table13130[[#This Row],[Dog ID]],Started!C$5:$D$34,2,FALSE)&amp;" - " &amp;VLOOKUP(Table13130[[#This Row],[Dog ID]],'SDDA Dogs'!A:C,3,FALSE)))</f>
        <v/>
      </c>
      <c r="S59" s="51" t="str">
        <f>IF(Table13130[[#This Row],[Dog ID]]="","",(VLOOKUP(Table13130[[#This Row],[Dog ID]],Started!C$5:$AU55,44,FALSE)))</f>
        <v/>
      </c>
    </row>
    <row r="60" spans="1:19" ht="30" customHeight="1" x14ac:dyDescent="0.45">
      <c r="A60" s="49">
        <v>23</v>
      </c>
      <c r="B60" s="49" t="str">
        <f>IF(OR(VLOOKUP(Table17[[#This Row],[Ln'#]],Started!A$5:AU$34,15,FALSE)="E",VLOOKUP(Table17[[#This Row],[Ln'#]],Started!A$5:AU$34,15,FALSE)="FEO"),"Entered or FEO","Not Entered")</f>
        <v>Not Entered</v>
      </c>
      <c r="C60" s="50" t="str">
        <f t="shared" ca="1" si="1"/>
        <v/>
      </c>
      <c r="D60" s="48"/>
      <c r="E60" s="48"/>
      <c r="F60" s="48"/>
      <c r="G60" s="48" t="str">
        <f>IF(Table17[[#This Row],[Status]]="Not Entered","",VLOOKUP(Table17[[#This Row],[Ln'#]],Started!$A$5:$AU$34,3,FALSE))</f>
        <v/>
      </c>
      <c r="H60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0" s="51" t="str">
        <f>IF(Table17[[#This Row],[Status]]="Not Entered","",VLOOKUP(Table17[[#This Row],[Ln'#]],Started!$A$5:$BB$34,46,FALSE))</f>
        <v/>
      </c>
      <c r="K60" s="49">
        <v>23</v>
      </c>
      <c r="L60" s="144" t="str">
        <f>IF(OR(VLOOKUP(Table13130[[#This Row],[Ln'#]],Started!A$5:AU$34,7,FALSE)="E",VLOOKUP(Table13130[[#This Row],[Ln'#]],Started!A$5:AU$34,7,FALSE)="FEO"),"x","")</f>
        <v/>
      </c>
      <c r="M60" s="144" t="str">
        <f>IF(OR(VLOOKUP(Table13130[[#This Row],[Ln'#]],Started!A$5:AU$34,23,FALSE)="E",VLOOKUP(Table13130[[#This Row],[Ln'#]],Started!A$5:AU$34,23,FALSE)="FEO"),"x","")</f>
        <v/>
      </c>
      <c r="N60" s="48"/>
      <c r="O60" s="48"/>
      <c r="P60" s="48"/>
      <c r="Q60" s="48" t="str">
        <f>IF(AND(Table13130[[#This Row],[Status Container]]="",Table13130[[#This Row],[Status Exterior]]=""),"",VLOOKUP(Table13130[[#This Row],[Ln'#]],Started!$A$5:$AU$34,3,FALSE))</f>
        <v/>
      </c>
      <c r="R60" s="51" t="str">
        <f>IF(Table13130[[#This Row],[Dog ID]]="","",(VLOOKUP(Table13130[[#This Row],[Dog ID]],Started!C$5:$D$34,2,FALSE)&amp;" - " &amp;VLOOKUP(Table13130[[#This Row],[Dog ID]],'SDDA Dogs'!A:C,3,FALSE)))</f>
        <v/>
      </c>
      <c r="S60" s="51" t="str">
        <f>IF(Table13130[[#This Row],[Dog ID]]="","",(VLOOKUP(Table13130[[#This Row],[Dog ID]],Started!C$5:$AU56,44,FALSE)))</f>
        <v/>
      </c>
    </row>
    <row r="61" spans="1:19" ht="30" customHeight="1" x14ac:dyDescent="0.45">
      <c r="A61" s="49">
        <v>24</v>
      </c>
      <c r="B61" s="49" t="str">
        <f>IF(OR(VLOOKUP(Table17[[#This Row],[Ln'#]],Started!A$5:AU$34,15,FALSE)="E",VLOOKUP(Table17[[#This Row],[Ln'#]],Started!A$5:AU$34,15,FALSE)="FEO"),"Entered or FEO","Not Entered")</f>
        <v>Not Entered</v>
      </c>
      <c r="C61" s="50" t="str">
        <f t="shared" ca="1" si="1"/>
        <v/>
      </c>
      <c r="D61" s="48"/>
      <c r="E61" s="48"/>
      <c r="F61" s="48"/>
      <c r="G61" s="48" t="str">
        <f>IF(Table17[[#This Row],[Status]]="Not Entered","",VLOOKUP(Table17[[#This Row],[Ln'#]],Started!$A$5:$AU$34,3,FALSE))</f>
        <v/>
      </c>
      <c r="H61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1" s="51" t="str">
        <f>IF(Table17[[#This Row],[Status]]="Not Entered","",VLOOKUP(Table17[[#This Row],[Ln'#]],Started!$A$5:$BB$34,46,FALSE))</f>
        <v/>
      </c>
      <c r="K61" s="49">
        <v>24</v>
      </c>
      <c r="L61" s="144" t="str">
        <f>IF(OR(VLOOKUP(Table13130[[#This Row],[Ln'#]],Started!A$5:AU$34,7,FALSE)="E",VLOOKUP(Table13130[[#This Row],[Ln'#]],Started!A$5:AU$34,7,FALSE)="FEO"),"x","")</f>
        <v/>
      </c>
      <c r="M61" s="144" t="str">
        <f>IF(OR(VLOOKUP(Table13130[[#This Row],[Ln'#]],Started!A$5:AU$34,23,FALSE)="E",VLOOKUP(Table13130[[#This Row],[Ln'#]],Started!A$5:AU$34,23,FALSE)="FEO"),"x","")</f>
        <v/>
      </c>
      <c r="N61" s="48"/>
      <c r="O61" s="48"/>
      <c r="P61" s="48"/>
      <c r="Q61" s="48" t="str">
        <f>IF(AND(Table13130[[#This Row],[Status Container]]="",Table13130[[#This Row],[Status Exterior]]=""),"",VLOOKUP(Table13130[[#This Row],[Ln'#]],Started!$A$5:$AU$34,3,FALSE))</f>
        <v/>
      </c>
      <c r="R61" s="51" t="str">
        <f>IF(Table13130[[#This Row],[Dog ID]]="","",(VLOOKUP(Table13130[[#This Row],[Dog ID]],Started!C$5:$D$34,2,FALSE)&amp;" - " &amp;VLOOKUP(Table13130[[#This Row],[Dog ID]],'SDDA Dogs'!A:C,3,FALSE)))</f>
        <v/>
      </c>
      <c r="S61" s="51" t="str">
        <f>IF(Table13130[[#This Row],[Dog ID]]="","",(VLOOKUP(Table13130[[#This Row],[Dog ID]],Started!C$5:$AU57,44,FALSE)))</f>
        <v/>
      </c>
    </row>
    <row r="62" spans="1:19" ht="30" customHeight="1" x14ac:dyDescent="0.45">
      <c r="A62" s="49">
        <v>25</v>
      </c>
      <c r="B62" s="49" t="str">
        <f>IF(OR(VLOOKUP(Table17[[#This Row],[Ln'#]],Started!A$5:AU$34,15,FALSE)="E",VLOOKUP(Table17[[#This Row],[Ln'#]],Started!A$5:AU$34,15,FALSE)="FEO"),"Entered or FEO","Not Entered")</f>
        <v>Not Entered</v>
      </c>
      <c r="C62" s="50" t="str">
        <f t="shared" ca="1" si="1"/>
        <v/>
      </c>
      <c r="D62" s="48"/>
      <c r="E62" s="48"/>
      <c r="F62" s="48"/>
      <c r="G62" s="48" t="str">
        <f>IF(Table17[[#This Row],[Status]]="Not Entered","",VLOOKUP(Table17[[#This Row],[Ln'#]],Started!$A$5:$AU$34,3,FALSE))</f>
        <v/>
      </c>
      <c r="H62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2" s="51" t="str">
        <f>IF(Table17[[#This Row],[Status]]="Not Entered","",VLOOKUP(Table17[[#This Row],[Ln'#]],Started!$A$5:$BB$34,46,FALSE))</f>
        <v/>
      </c>
      <c r="K62" s="49">
        <v>25</v>
      </c>
      <c r="L62" s="144" t="str">
        <f>IF(OR(VLOOKUP(Table13130[[#This Row],[Ln'#]],Started!A$5:AU$34,7,FALSE)="E",VLOOKUP(Table13130[[#This Row],[Ln'#]],Started!A$5:AU$34,7,FALSE)="FEO"),"x","")</f>
        <v/>
      </c>
      <c r="M62" s="144" t="str">
        <f>IF(OR(VLOOKUP(Table13130[[#This Row],[Ln'#]],Started!A$5:AU$34,23,FALSE)="E",VLOOKUP(Table13130[[#This Row],[Ln'#]],Started!A$5:AU$34,23,FALSE)="FEO"),"x","")</f>
        <v/>
      </c>
      <c r="N62" s="48"/>
      <c r="O62" s="48"/>
      <c r="P62" s="48"/>
      <c r="Q62" s="48" t="str">
        <f>IF(AND(Table13130[[#This Row],[Status Container]]="",Table13130[[#This Row],[Status Exterior]]=""),"",VLOOKUP(Table13130[[#This Row],[Ln'#]],Started!$A$5:$AU$34,3,FALSE))</f>
        <v/>
      </c>
      <c r="R62" s="51" t="str">
        <f>IF(Table13130[[#This Row],[Dog ID]]="","",(VLOOKUP(Table13130[[#This Row],[Dog ID]],Started!C$5:$D$34,2,FALSE)&amp;" - " &amp;VLOOKUP(Table13130[[#This Row],[Dog ID]],'SDDA Dogs'!A:C,3,FALSE)))</f>
        <v/>
      </c>
      <c r="S62" s="51" t="str">
        <f>IF(Table13130[[#This Row],[Dog ID]]="","",(VLOOKUP(Table13130[[#This Row],[Dog ID]],Started!C$5:$AU58,44,FALSE)))</f>
        <v/>
      </c>
    </row>
    <row r="63" spans="1:19" ht="30" customHeight="1" x14ac:dyDescent="0.45">
      <c r="A63" s="49">
        <v>26</v>
      </c>
      <c r="B63" s="49" t="str">
        <f>IF(OR(VLOOKUP(Table17[[#This Row],[Ln'#]],Started!A$5:AU$34,15,FALSE)="E",VLOOKUP(Table17[[#This Row],[Ln'#]],Started!A$5:AU$34,15,FALSE)="FEO"),"Entered or FEO","Not Entered")</f>
        <v>Not Entered</v>
      </c>
      <c r="C63" s="50" t="str">
        <f t="shared" ca="1" si="1"/>
        <v/>
      </c>
      <c r="D63" s="48"/>
      <c r="E63" s="48"/>
      <c r="F63" s="48"/>
      <c r="G63" s="48" t="str">
        <f>IF(Table17[[#This Row],[Status]]="Not Entered","",VLOOKUP(Table17[[#This Row],[Ln'#]],Started!$A$5:$AU$34,3,FALSE))</f>
        <v/>
      </c>
      <c r="H63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3" s="51" t="str">
        <f>IF(Table17[[#This Row],[Status]]="Not Entered","",VLOOKUP(Table17[[#This Row],[Ln'#]],Started!$A$5:$BB$34,46,FALSE))</f>
        <v/>
      </c>
      <c r="K63" s="49">
        <v>26</v>
      </c>
      <c r="L63" s="144" t="str">
        <f>IF(OR(VLOOKUP(Table13130[[#This Row],[Ln'#]],Started!A$5:AU$34,7,FALSE)="E",VLOOKUP(Table13130[[#This Row],[Ln'#]],Started!A$5:AU$34,7,FALSE)="FEO"),"x","")</f>
        <v/>
      </c>
      <c r="M63" s="144" t="str">
        <f>IF(OR(VLOOKUP(Table13130[[#This Row],[Ln'#]],Started!A$5:AU$34,23,FALSE)="E",VLOOKUP(Table13130[[#This Row],[Ln'#]],Started!A$5:AU$34,23,FALSE)="FEO"),"x","")</f>
        <v/>
      </c>
      <c r="N63" s="48"/>
      <c r="O63" s="48"/>
      <c r="P63" s="48"/>
      <c r="Q63" s="48" t="str">
        <f>IF(AND(Table13130[[#This Row],[Status Container]]="",Table13130[[#This Row],[Status Exterior]]=""),"",VLOOKUP(Table13130[[#This Row],[Ln'#]],Started!$A$5:$AU$34,3,FALSE))</f>
        <v/>
      </c>
      <c r="R63" s="51" t="str">
        <f>IF(Table13130[[#This Row],[Dog ID]]="","",(VLOOKUP(Table13130[[#This Row],[Dog ID]],Started!C$5:$D$34,2,FALSE)&amp;" - " &amp;VLOOKUP(Table13130[[#This Row],[Dog ID]],'SDDA Dogs'!A:C,3,FALSE)))</f>
        <v/>
      </c>
      <c r="S63" s="51" t="str">
        <f>IF(Table13130[[#This Row],[Dog ID]]="","",(VLOOKUP(Table13130[[#This Row],[Dog ID]],Started!C$5:$AU59,44,FALSE)))</f>
        <v/>
      </c>
    </row>
    <row r="64" spans="1:19" ht="30" customHeight="1" x14ac:dyDescent="0.45">
      <c r="A64" s="49">
        <v>27</v>
      </c>
      <c r="B64" s="49" t="str">
        <f>IF(OR(VLOOKUP(Table17[[#This Row],[Ln'#]],Started!A$5:AU$34,15,FALSE)="E",VLOOKUP(Table17[[#This Row],[Ln'#]],Started!A$5:AU$34,15,FALSE)="FEO"),"Entered or FEO","Not Entered")</f>
        <v>Not Entered</v>
      </c>
      <c r="C64" s="50" t="str">
        <f t="shared" ca="1" si="1"/>
        <v/>
      </c>
      <c r="D64" s="48"/>
      <c r="E64" s="48"/>
      <c r="F64" s="48"/>
      <c r="G64" s="48" t="str">
        <f>IF(Table17[[#This Row],[Status]]="Not Entered","",VLOOKUP(Table17[[#This Row],[Ln'#]],Started!$A$5:$AU$34,3,FALSE))</f>
        <v/>
      </c>
      <c r="H64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4" s="51" t="str">
        <f>IF(Table17[[#This Row],[Status]]="Not Entered","",VLOOKUP(Table17[[#This Row],[Ln'#]],Started!$A$5:$BB$34,46,FALSE))</f>
        <v/>
      </c>
      <c r="K64" s="49">
        <v>27</v>
      </c>
      <c r="L64" s="144" t="str">
        <f>IF(OR(VLOOKUP(Table13130[[#This Row],[Ln'#]],Started!A$5:AU$34,7,FALSE)="E",VLOOKUP(Table13130[[#This Row],[Ln'#]],Started!A$5:AU$34,7,FALSE)="FEO"),"x","")</f>
        <v/>
      </c>
      <c r="M64" s="144" t="str">
        <f>IF(OR(VLOOKUP(Table13130[[#This Row],[Ln'#]],Started!A$5:AU$34,23,FALSE)="E",VLOOKUP(Table13130[[#This Row],[Ln'#]],Started!A$5:AU$34,23,FALSE)="FEO"),"x","")</f>
        <v/>
      </c>
      <c r="N64" s="48"/>
      <c r="O64" s="48"/>
      <c r="P64" s="48"/>
      <c r="Q64" s="48" t="str">
        <f>IF(AND(Table13130[[#This Row],[Status Container]]="",Table13130[[#This Row],[Status Exterior]]=""),"",VLOOKUP(Table13130[[#This Row],[Ln'#]],Started!$A$5:$AU$34,3,FALSE))</f>
        <v/>
      </c>
      <c r="R64" s="51" t="str">
        <f>IF(Table13130[[#This Row],[Dog ID]]="","",(VLOOKUP(Table13130[[#This Row],[Dog ID]],Started!C$5:$D$34,2,FALSE)&amp;" - " &amp;VLOOKUP(Table13130[[#This Row],[Dog ID]],'SDDA Dogs'!A:C,3,FALSE)))</f>
        <v/>
      </c>
      <c r="S64" s="51" t="str">
        <f>IF(Table13130[[#This Row],[Dog ID]]="","",(VLOOKUP(Table13130[[#This Row],[Dog ID]],Started!C$5:$AU60,44,FALSE)))</f>
        <v/>
      </c>
    </row>
    <row r="65" spans="1:19" ht="30" customHeight="1" x14ac:dyDescent="0.45">
      <c r="A65" s="49">
        <v>28</v>
      </c>
      <c r="B65" s="49" t="str">
        <f>IF(OR(VLOOKUP(Table17[[#This Row],[Ln'#]],Started!A$5:AU$34,15,FALSE)="E",VLOOKUP(Table17[[#This Row],[Ln'#]],Started!A$5:AU$34,15,FALSE)="FEO"),"Entered or FEO","Not Entered")</f>
        <v>Not Entered</v>
      </c>
      <c r="C65" s="50" t="str">
        <f t="shared" ca="1" si="1"/>
        <v/>
      </c>
      <c r="D65" s="48"/>
      <c r="E65" s="48"/>
      <c r="F65" s="48"/>
      <c r="G65" s="48" t="str">
        <f>IF(Table17[[#This Row],[Status]]="Not Entered","",VLOOKUP(Table17[[#This Row],[Ln'#]],Started!$A$5:$AU$34,3,FALSE))</f>
        <v/>
      </c>
      <c r="H65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5" s="51" t="str">
        <f>IF(Table17[[#This Row],[Status]]="Not Entered","",VLOOKUP(Table17[[#This Row],[Ln'#]],Started!$A$5:$BB$34,46,FALSE))</f>
        <v/>
      </c>
      <c r="K65" s="49">
        <v>28</v>
      </c>
      <c r="L65" s="144" t="str">
        <f>IF(OR(VLOOKUP(Table13130[[#This Row],[Ln'#]],Started!A$5:AU$34,7,FALSE)="E",VLOOKUP(Table13130[[#This Row],[Ln'#]],Started!A$5:AU$34,7,FALSE)="FEO"),"x","")</f>
        <v/>
      </c>
      <c r="M65" s="144" t="str">
        <f>IF(OR(VLOOKUP(Table13130[[#This Row],[Ln'#]],Started!A$5:AU$34,23,FALSE)="E",VLOOKUP(Table13130[[#This Row],[Ln'#]],Started!A$5:AU$34,23,FALSE)="FEO"),"x","")</f>
        <v/>
      </c>
      <c r="N65" s="48"/>
      <c r="O65" s="48"/>
      <c r="P65" s="48"/>
      <c r="Q65" s="48" t="str">
        <f>IF(AND(Table13130[[#This Row],[Status Container]]="",Table13130[[#This Row],[Status Exterior]]=""),"",VLOOKUP(Table13130[[#This Row],[Ln'#]],Started!$A$5:$AU$34,3,FALSE))</f>
        <v/>
      </c>
      <c r="R65" s="51" t="str">
        <f>IF(Table13130[[#This Row],[Dog ID]]="","",(VLOOKUP(Table13130[[#This Row],[Dog ID]],Started!C$5:$D$34,2,FALSE)&amp;" - " &amp;VLOOKUP(Table13130[[#This Row],[Dog ID]],'SDDA Dogs'!A:C,3,FALSE)))</f>
        <v/>
      </c>
      <c r="S65" s="51" t="str">
        <f>IF(Table13130[[#This Row],[Dog ID]]="","",(VLOOKUP(Table13130[[#This Row],[Dog ID]],Started!C$5:$AU61,44,FALSE)))</f>
        <v/>
      </c>
    </row>
    <row r="66" spans="1:19" ht="30" customHeight="1" x14ac:dyDescent="0.45">
      <c r="A66" s="49">
        <v>29</v>
      </c>
      <c r="B66" s="49" t="str">
        <f>IF(OR(VLOOKUP(Table17[[#This Row],[Ln'#]],Started!A$5:AU$34,15,FALSE)="E",VLOOKUP(Table17[[#This Row],[Ln'#]],Started!A$5:AU$34,15,FALSE)="FEO"),"Entered or FEO","Not Entered")</f>
        <v>Not Entered</v>
      </c>
      <c r="C66" s="50" t="str">
        <f t="shared" ca="1" si="1"/>
        <v/>
      </c>
      <c r="D66" s="48"/>
      <c r="E66" s="48"/>
      <c r="F66" s="48"/>
      <c r="G66" s="48" t="str">
        <f>IF(Table17[[#This Row],[Status]]="Not Entered","",VLOOKUP(Table17[[#This Row],[Ln'#]],Started!$A$5:$AU$34,3,FALSE))</f>
        <v/>
      </c>
      <c r="H66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6" s="51" t="str">
        <f>IF(Table17[[#This Row],[Status]]="Not Entered","",VLOOKUP(Table17[[#This Row],[Ln'#]],Started!$A$5:$BB$34,46,FALSE))</f>
        <v/>
      </c>
      <c r="K66" s="49">
        <v>29</v>
      </c>
      <c r="L66" s="144" t="str">
        <f>IF(OR(VLOOKUP(Table13130[[#This Row],[Ln'#]],Started!A$5:AU$34,7,FALSE)="E",VLOOKUP(Table13130[[#This Row],[Ln'#]],Started!A$5:AU$34,7,FALSE)="FEO"),"x","")</f>
        <v/>
      </c>
      <c r="M66" s="144" t="str">
        <f>IF(OR(VLOOKUP(Table13130[[#This Row],[Ln'#]],Started!A$5:AU$34,23,FALSE)="E",VLOOKUP(Table13130[[#This Row],[Ln'#]],Started!A$5:AU$34,23,FALSE)="FEO"),"x","")</f>
        <v/>
      </c>
      <c r="N66" s="48"/>
      <c r="O66" s="48"/>
      <c r="P66" s="48"/>
      <c r="Q66" s="48" t="str">
        <f>IF(AND(Table13130[[#This Row],[Status Container]]="",Table13130[[#This Row],[Status Exterior]]=""),"",VLOOKUP(Table13130[[#This Row],[Ln'#]],Started!$A$5:$AU$34,3,FALSE))</f>
        <v/>
      </c>
      <c r="R66" s="51" t="str">
        <f>IF(Table13130[[#This Row],[Dog ID]]="","",(VLOOKUP(Table13130[[#This Row],[Dog ID]],Started!C$5:$D$34,2,FALSE)&amp;" - " &amp;VLOOKUP(Table13130[[#This Row],[Dog ID]],'SDDA Dogs'!A:C,3,FALSE)))</f>
        <v/>
      </c>
      <c r="S66" s="51" t="str">
        <f>IF(Table13130[[#This Row],[Dog ID]]="","",(VLOOKUP(Table13130[[#This Row],[Dog ID]],Started!C$5:$AU62,44,FALSE)))</f>
        <v/>
      </c>
    </row>
    <row r="67" spans="1:19" ht="30" customHeight="1" x14ac:dyDescent="0.45">
      <c r="A67" s="49">
        <v>30</v>
      </c>
      <c r="B67" s="49" t="str">
        <f>IF(OR(VLOOKUP(Table17[[#This Row],[Ln'#]],Started!A$5:AU$34,15,FALSE)="E",VLOOKUP(Table17[[#This Row],[Ln'#]],Started!A$5:AU$34,15,FALSE)="FEO"),"Entered or FEO","Not Entered")</f>
        <v>Not Entered</v>
      </c>
      <c r="C67" s="50" t="str">
        <f t="shared" ca="1" si="1"/>
        <v/>
      </c>
      <c r="D67" s="48"/>
      <c r="E67" s="48"/>
      <c r="F67" s="48"/>
      <c r="G67" s="48" t="str">
        <f>IF(Table17[[#This Row],[Status]]="Not Entered","",VLOOKUP(Table17[[#This Row],[Ln'#]],Started!$A$5:$AU$34,3,FALSE))</f>
        <v/>
      </c>
      <c r="H67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7" s="51" t="str">
        <f>IF(Table17[[#This Row],[Status]]="Not Entered","",VLOOKUP(Table17[[#This Row],[Ln'#]],Started!$A$5:$BB$34,46,FALSE))</f>
        <v/>
      </c>
      <c r="K67" s="49">
        <v>30</v>
      </c>
      <c r="L67" s="144" t="str">
        <f>IF(OR(VLOOKUP(Table13130[[#This Row],[Ln'#]],Started!A$5:AU$34,7,FALSE)="E",VLOOKUP(Table13130[[#This Row],[Ln'#]],Started!A$5:AU$34,7,FALSE)="FEO"),"x","")</f>
        <v/>
      </c>
      <c r="M67" s="144" t="str">
        <f>IF(OR(VLOOKUP(Table13130[[#This Row],[Ln'#]],Started!A$5:AU$34,23,FALSE)="E",VLOOKUP(Table13130[[#This Row],[Ln'#]],Started!A$5:AU$34,23,FALSE)="FEO"),"x","")</f>
        <v/>
      </c>
      <c r="N67" s="48"/>
      <c r="O67" s="48"/>
      <c r="P67" s="48"/>
      <c r="Q67" s="48" t="str">
        <f>IF(AND(Table13130[[#This Row],[Status Container]]="",Table13130[[#This Row],[Status Exterior]]=""),"",VLOOKUP(Table13130[[#This Row],[Ln'#]],Started!$A$5:$AU$34,3,FALSE))</f>
        <v/>
      </c>
      <c r="R67" s="51" t="str">
        <f>IF(Table13130[[#This Row],[Dog ID]]="","",(VLOOKUP(Table13130[[#This Row],[Dog ID]],Started!C$5:$D$34,2,FALSE)&amp;" - " &amp;VLOOKUP(Table13130[[#This Row],[Dog ID]],'SDDA Dogs'!A:C,3,FALSE)))</f>
        <v/>
      </c>
      <c r="S67" s="51" t="str">
        <f>IF(Table13130[[#This Row],[Dog ID]]="","",(VLOOKUP(Table13130[[#This Row],[Dog ID]],Started!C$5:$AU63,44,FALSE)))</f>
        <v/>
      </c>
    </row>
    <row r="68" spans="1:19" ht="30" customHeight="1" x14ac:dyDescent="0.4">
      <c r="A68" s="48"/>
      <c r="B68" s="48"/>
      <c r="C68" s="48"/>
      <c r="D68" s="48" t="s">
        <v>1141</v>
      </c>
      <c r="E68" s="48">
        <f>SUBTOTAL(102,Table17[Running Order])</f>
        <v>0</v>
      </c>
      <c r="F68" s="48"/>
      <c r="G68" s="48"/>
      <c r="H68" s="51"/>
      <c r="I68" s="51"/>
      <c r="K68" s="145"/>
      <c r="L68" s="145"/>
      <c r="M68" s="145"/>
      <c r="N68" s="145" t="s">
        <v>1141</v>
      </c>
      <c r="O68" s="145">
        <f>SUBTOTAL(102,Table13130[Running Order])</f>
        <v>0</v>
      </c>
      <c r="P68" s="145"/>
      <c r="Q68" s="145"/>
      <c r="R68" s="146"/>
      <c r="S68" s="146"/>
    </row>
    <row r="70" spans="1:19" ht="30" customHeight="1" x14ac:dyDescent="0.4">
      <c r="A70" s="402" t="s">
        <v>1143</v>
      </c>
      <c r="B70" s="402"/>
      <c r="C70" s="43"/>
      <c r="D70" s="403" t="s">
        <v>1181</v>
      </c>
      <c r="E70" s="403"/>
      <c r="F70" s="403"/>
      <c r="G70" s="403"/>
      <c r="H70" s="403"/>
      <c r="I70" s="403"/>
    </row>
    <row r="71" spans="1:19" s="71" customFormat="1" ht="54" customHeight="1" x14ac:dyDescent="0.35">
      <c r="A71" s="67" t="s">
        <v>605</v>
      </c>
      <c r="B71" s="67" t="s">
        <v>1139</v>
      </c>
      <c r="C71" s="68" t="s">
        <v>1140</v>
      </c>
      <c r="D71" s="67" t="s">
        <v>1142</v>
      </c>
      <c r="E71" s="67" t="s">
        <v>1135</v>
      </c>
      <c r="F71" s="67" t="s">
        <v>1188</v>
      </c>
      <c r="G71" s="67" t="s">
        <v>1136</v>
      </c>
      <c r="H71" s="69" t="s">
        <v>1207</v>
      </c>
      <c r="I71" s="69" t="s">
        <v>1137</v>
      </c>
    </row>
    <row r="72" spans="1:19" ht="30" customHeight="1" x14ac:dyDescent="0.4">
      <c r="A72" s="49">
        <v>1</v>
      </c>
      <c r="B72" s="49" t="str">
        <f>IF(OR(VLOOKUP(Table1711[[#This Row],[Ln'#]],Started!A$5:AU$34,23,FALSE)="E",VLOOKUP(Table1711[[#This Row],[Ln'#]],Started!A$5:AU$34,23,FALSE)="FEO"),"Entered or FEO","Not Entered")</f>
        <v>Not Entered</v>
      </c>
      <c r="C72" s="50" t="str">
        <f t="shared" ref="C72:C101" ca="1" si="2">IF(OR(B72="e",B72="FEO"),RAND(),"")</f>
        <v/>
      </c>
      <c r="D72" s="48"/>
      <c r="E72" s="48"/>
      <c r="F72" s="48"/>
      <c r="G72" s="48" t="str">
        <f>IF(Table1711[[#This Row],[Status]]="Not Entered","",VLOOKUP(Table1711[[#This Row],[Ln'#]],Started!$A$5:$AU$34,3,FALSE))</f>
        <v/>
      </c>
      <c r="H72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2" s="51" t="str">
        <f>IF(Table1711[[#This Row],[Status]]="Not Entered","",VLOOKUP(Table1711[[#This Row],[Ln'#]],Started!$A$5:$BB$34,47,FALSE))</f>
        <v/>
      </c>
    </row>
    <row r="73" spans="1:19" ht="30" customHeight="1" x14ac:dyDescent="0.4">
      <c r="A73" s="49">
        <v>2</v>
      </c>
      <c r="B73" s="49" t="str">
        <f>IF(OR(VLOOKUP(Table1711[[#This Row],[Ln'#]],Started!A$5:AU$34,23,FALSE)="E",VLOOKUP(Table1711[[#This Row],[Ln'#]],Started!A$5:AU$34,23,FALSE)="FEO"),"Entered or FEO","Not Entered")</f>
        <v>Not Entered</v>
      </c>
      <c r="C73" s="50" t="str">
        <f t="shared" ca="1" si="2"/>
        <v/>
      </c>
      <c r="D73" s="48"/>
      <c r="E73" s="48"/>
      <c r="F73" s="48"/>
      <c r="G73" s="48" t="str">
        <f>IF(Table1711[[#This Row],[Status]]="Not Entered","",VLOOKUP(Table1711[[#This Row],[Ln'#]],Started!$A$5:$AU$34,3,FALSE))</f>
        <v/>
      </c>
      <c r="H73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3" s="51" t="str">
        <f>IF(Table1711[[#This Row],[Status]]="Not Entered","",VLOOKUP(Table1711[[#This Row],[Ln'#]],Started!$A$5:$BB$34,47,FALSE))</f>
        <v/>
      </c>
    </row>
    <row r="74" spans="1:19" ht="30" customHeight="1" x14ac:dyDescent="0.4">
      <c r="A74" s="49">
        <v>3</v>
      </c>
      <c r="B74" s="49" t="str">
        <f>IF(OR(VLOOKUP(Table1711[[#This Row],[Ln'#]],Started!A$5:AU$34,23,FALSE)="E",VLOOKUP(Table1711[[#This Row],[Ln'#]],Started!A$5:AU$34,23,FALSE)="FEO"),"Entered or FEO","Not Entered")</f>
        <v>Not Entered</v>
      </c>
      <c r="C74" s="50" t="str">
        <f t="shared" ca="1" si="2"/>
        <v/>
      </c>
      <c r="D74" s="48"/>
      <c r="E74" s="48"/>
      <c r="F74" s="48"/>
      <c r="G74" s="48" t="str">
        <f>IF(Table1711[[#This Row],[Status]]="Not Entered","",VLOOKUP(Table1711[[#This Row],[Ln'#]],Started!$A$5:$AU$34,3,FALSE))</f>
        <v/>
      </c>
      <c r="H74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4" s="51" t="str">
        <f>IF(Table1711[[#This Row],[Status]]="Not Entered","",VLOOKUP(Table1711[[#This Row],[Ln'#]],Started!$A$5:$BB$34,47,FALSE))</f>
        <v/>
      </c>
    </row>
    <row r="75" spans="1:19" ht="30" customHeight="1" x14ac:dyDescent="0.4">
      <c r="A75" s="49">
        <v>4</v>
      </c>
      <c r="B75" s="49" t="str">
        <f>IF(OR(VLOOKUP(Table1711[[#This Row],[Ln'#]],Started!A$5:AU$34,23,FALSE)="E",VLOOKUP(Table1711[[#This Row],[Ln'#]],Started!A$5:AU$34,23,FALSE)="FEO"),"Entered or FEO","Not Entered")</f>
        <v>Not Entered</v>
      </c>
      <c r="C75" s="50" t="str">
        <f t="shared" ca="1" si="2"/>
        <v/>
      </c>
      <c r="D75" s="48"/>
      <c r="E75" s="48"/>
      <c r="F75" s="48"/>
      <c r="G75" s="48" t="str">
        <f>IF(Table1711[[#This Row],[Status]]="Not Entered","",VLOOKUP(Table1711[[#This Row],[Ln'#]],Started!$A$5:$AU$34,3,FALSE))</f>
        <v/>
      </c>
      <c r="H75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5" s="51" t="str">
        <f>IF(Table1711[[#This Row],[Status]]="Not Entered","",VLOOKUP(Table1711[[#This Row],[Ln'#]],Started!$A$5:$BB$34,47,FALSE))</f>
        <v/>
      </c>
    </row>
    <row r="76" spans="1:19" ht="30" customHeight="1" x14ac:dyDescent="0.4">
      <c r="A76" s="49">
        <v>5</v>
      </c>
      <c r="B76" s="49" t="str">
        <f>IF(OR(VLOOKUP(Table1711[[#This Row],[Ln'#]],Started!A$5:AU$34,23,FALSE)="E",VLOOKUP(Table1711[[#This Row],[Ln'#]],Started!A$5:AU$34,23,FALSE)="FEO"),"Entered or FEO","Not Entered")</f>
        <v>Not Entered</v>
      </c>
      <c r="C76" s="50" t="str">
        <f t="shared" ca="1" si="2"/>
        <v/>
      </c>
      <c r="D76" s="48"/>
      <c r="E76" s="48"/>
      <c r="F76" s="48"/>
      <c r="G76" s="48" t="str">
        <f>IF(Table1711[[#This Row],[Status]]="Not Entered","",VLOOKUP(Table1711[[#This Row],[Ln'#]],Started!$A$5:$AU$34,3,FALSE))</f>
        <v/>
      </c>
      <c r="H76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6" s="51" t="str">
        <f>IF(Table1711[[#This Row],[Status]]="Not Entered","",VLOOKUP(Table1711[[#This Row],[Ln'#]],Started!$A$5:$BB$34,47,FALSE))</f>
        <v/>
      </c>
    </row>
    <row r="77" spans="1:19" ht="30" customHeight="1" x14ac:dyDescent="0.4">
      <c r="A77" s="49">
        <v>6</v>
      </c>
      <c r="B77" s="49" t="str">
        <f>IF(OR(VLOOKUP(Table1711[[#This Row],[Ln'#]],Started!A$5:AU$34,23,FALSE)="E",VLOOKUP(Table1711[[#This Row],[Ln'#]],Started!A$5:AU$34,23,FALSE)="FEO"),"Entered or FEO","Not Entered")</f>
        <v>Not Entered</v>
      </c>
      <c r="C77" s="50" t="str">
        <f t="shared" ca="1" si="2"/>
        <v/>
      </c>
      <c r="D77" s="48"/>
      <c r="E77" s="48"/>
      <c r="F77" s="48"/>
      <c r="G77" s="48" t="str">
        <f>IF(Table1711[[#This Row],[Status]]="Not Entered","",VLOOKUP(Table1711[[#This Row],[Ln'#]],Started!$A$5:$AU$34,3,FALSE))</f>
        <v/>
      </c>
      <c r="H77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7" s="51" t="str">
        <f>IF(Table1711[[#This Row],[Status]]="Not Entered","",VLOOKUP(Table1711[[#This Row],[Ln'#]],Started!$A$5:$BB$34,47,FALSE))</f>
        <v/>
      </c>
    </row>
    <row r="78" spans="1:19" ht="30" customHeight="1" x14ac:dyDescent="0.4">
      <c r="A78" s="49">
        <v>7</v>
      </c>
      <c r="B78" s="49" t="str">
        <f>IF(OR(VLOOKUP(Table1711[[#This Row],[Ln'#]],Started!A$5:AU$34,23,FALSE)="E",VLOOKUP(Table1711[[#This Row],[Ln'#]],Started!A$5:AU$34,23,FALSE)="FEO"),"Entered or FEO","Not Entered")</f>
        <v>Not Entered</v>
      </c>
      <c r="C78" s="50" t="str">
        <f t="shared" ca="1" si="2"/>
        <v/>
      </c>
      <c r="D78" s="48"/>
      <c r="E78" s="48"/>
      <c r="F78" s="48"/>
      <c r="G78" s="48" t="str">
        <f>IF(Table1711[[#This Row],[Status]]="Not Entered","",VLOOKUP(Table1711[[#This Row],[Ln'#]],Started!$A$5:$AU$34,3,FALSE))</f>
        <v/>
      </c>
      <c r="H78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8" s="51" t="str">
        <f>IF(Table1711[[#This Row],[Status]]="Not Entered","",VLOOKUP(Table1711[[#This Row],[Ln'#]],Started!$A$5:$BB$34,47,FALSE))</f>
        <v/>
      </c>
    </row>
    <row r="79" spans="1:19" ht="30" customHeight="1" x14ac:dyDescent="0.4">
      <c r="A79" s="49">
        <v>8</v>
      </c>
      <c r="B79" s="49" t="str">
        <f>IF(OR(VLOOKUP(Table1711[[#This Row],[Ln'#]],Started!A$5:AU$34,23,FALSE)="E",VLOOKUP(Table1711[[#This Row],[Ln'#]],Started!A$5:AU$34,23,FALSE)="FEO"),"Entered or FEO","Not Entered")</f>
        <v>Not Entered</v>
      </c>
      <c r="C79" s="50" t="str">
        <f t="shared" ca="1" si="2"/>
        <v/>
      </c>
      <c r="D79" s="48"/>
      <c r="E79" s="48"/>
      <c r="F79" s="48"/>
      <c r="G79" s="48" t="str">
        <f>IF(Table1711[[#This Row],[Status]]="Not Entered","",VLOOKUP(Table1711[[#This Row],[Ln'#]],Started!$A$5:$AU$34,3,FALSE))</f>
        <v/>
      </c>
      <c r="H79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9" s="51" t="str">
        <f>IF(Table1711[[#This Row],[Status]]="Not Entered","",VLOOKUP(Table1711[[#This Row],[Ln'#]],Started!$A$5:$BB$34,47,FALSE))</f>
        <v/>
      </c>
    </row>
    <row r="80" spans="1:19" ht="30" customHeight="1" x14ac:dyDescent="0.4">
      <c r="A80" s="49">
        <v>9</v>
      </c>
      <c r="B80" s="49" t="str">
        <f>IF(OR(VLOOKUP(Table1711[[#This Row],[Ln'#]],Started!A$5:AU$34,23,FALSE)="E",VLOOKUP(Table1711[[#This Row],[Ln'#]],Started!A$5:AU$34,23,FALSE)="FEO"),"Entered or FEO","Not Entered")</f>
        <v>Not Entered</v>
      </c>
      <c r="C80" s="50" t="str">
        <f t="shared" ca="1" si="2"/>
        <v/>
      </c>
      <c r="D80" s="48"/>
      <c r="E80" s="48"/>
      <c r="F80" s="48"/>
      <c r="G80" s="48" t="str">
        <f>IF(Table1711[[#This Row],[Status]]="Not Entered","",VLOOKUP(Table1711[[#This Row],[Ln'#]],Started!$A$5:$AU$34,3,FALSE))</f>
        <v/>
      </c>
      <c r="H80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0" s="51" t="str">
        <f>IF(Table1711[[#This Row],[Status]]="Not Entered","",VLOOKUP(Table1711[[#This Row],[Ln'#]],Started!$A$5:$BB$34,47,FALSE))</f>
        <v/>
      </c>
    </row>
    <row r="81" spans="1:9" ht="30" customHeight="1" x14ac:dyDescent="0.4">
      <c r="A81" s="49">
        <v>10</v>
      </c>
      <c r="B81" s="49" t="str">
        <f>IF(OR(VLOOKUP(Table1711[[#This Row],[Ln'#]],Started!A$5:AU$34,23,FALSE)="E",VLOOKUP(Table1711[[#This Row],[Ln'#]],Started!A$5:AU$34,23,FALSE)="FEO"),"Entered or FEO","Not Entered")</f>
        <v>Not Entered</v>
      </c>
      <c r="C81" s="50" t="str">
        <f t="shared" ca="1" si="2"/>
        <v/>
      </c>
      <c r="D81" s="48"/>
      <c r="E81" s="48"/>
      <c r="F81" s="48"/>
      <c r="G81" s="48" t="str">
        <f>IF(Table1711[[#This Row],[Status]]="Not Entered","",VLOOKUP(Table1711[[#This Row],[Ln'#]],Started!$A$5:$AU$34,3,FALSE))</f>
        <v/>
      </c>
      <c r="H81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1" s="51" t="str">
        <f>IF(Table1711[[#This Row],[Status]]="Not Entered","",VLOOKUP(Table1711[[#This Row],[Ln'#]],Started!$A$5:$BB$34,47,FALSE))</f>
        <v/>
      </c>
    </row>
    <row r="82" spans="1:9" ht="30" customHeight="1" x14ac:dyDescent="0.4">
      <c r="A82" s="49">
        <v>11</v>
      </c>
      <c r="B82" s="49" t="str">
        <f>IF(OR(VLOOKUP(Table1711[[#This Row],[Ln'#]],Started!A$5:AU$34,23,FALSE)="E",VLOOKUP(Table1711[[#This Row],[Ln'#]],Started!A$5:AU$34,23,FALSE)="FEO"),"Entered or FEO","Not Entered")</f>
        <v>Not Entered</v>
      </c>
      <c r="C82" s="50" t="str">
        <f t="shared" ca="1" si="2"/>
        <v/>
      </c>
      <c r="D82" s="48"/>
      <c r="E82" s="48"/>
      <c r="F82" s="48"/>
      <c r="G82" s="48" t="str">
        <f>IF(Table1711[[#This Row],[Status]]="Not Entered","",VLOOKUP(Table1711[[#This Row],[Ln'#]],Started!$A$5:$AU$34,3,FALSE))</f>
        <v/>
      </c>
      <c r="H82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2" s="51" t="str">
        <f>IF(Table1711[[#This Row],[Status]]="Not Entered","",VLOOKUP(Table1711[[#This Row],[Ln'#]],Started!$A$5:$BB$34,47,FALSE))</f>
        <v/>
      </c>
    </row>
    <row r="83" spans="1:9" ht="30" customHeight="1" x14ac:dyDescent="0.4">
      <c r="A83" s="49">
        <v>12</v>
      </c>
      <c r="B83" s="49" t="str">
        <f>IF(OR(VLOOKUP(Table1711[[#This Row],[Ln'#]],Started!A$5:AU$34,23,FALSE)="E",VLOOKUP(Table1711[[#This Row],[Ln'#]],Started!A$5:AU$34,23,FALSE)="FEO"),"Entered or FEO","Not Entered")</f>
        <v>Not Entered</v>
      </c>
      <c r="C83" s="50" t="str">
        <f t="shared" ca="1" si="2"/>
        <v/>
      </c>
      <c r="D83" s="48"/>
      <c r="E83" s="48"/>
      <c r="F83" s="48"/>
      <c r="G83" s="48" t="str">
        <f>IF(Table1711[[#This Row],[Status]]="Not Entered","",VLOOKUP(Table1711[[#This Row],[Ln'#]],Started!$A$5:$AU$34,3,FALSE))</f>
        <v/>
      </c>
      <c r="H83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3" s="51" t="str">
        <f>IF(Table1711[[#This Row],[Status]]="Not Entered","",VLOOKUP(Table1711[[#This Row],[Ln'#]],Started!$A$5:$BB$34,47,FALSE))</f>
        <v/>
      </c>
    </row>
    <row r="84" spans="1:9" ht="30" customHeight="1" x14ac:dyDescent="0.4">
      <c r="A84" s="49">
        <v>13</v>
      </c>
      <c r="B84" s="49" t="str">
        <f>IF(OR(VLOOKUP(Table1711[[#This Row],[Ln'#]],Started!A$5:AU$34,23,FALSE)="E",VLOOKUP(Table1711[[#This Row],[Ln'#]],Started!A$5:AU$34,23,FALSE)="FEO"),"Entered or FEO","Not Entered")</f>
        <v>Not Entered</v>
      </c>
      <c r="C84" s="50" t="str">
        <f t="shared" ca="1" si="2"/>
        <v/>
      </c>
      <c r="D84" s="48"/>
      <c r="E84" s="48"/>
      <c r="F84" s="48"/>
      <c r="G84" s="48" t="str">
        <f>IF(Table1711[[#This Row],[Status]]="Not Entered","",VLOOKUP(Table1711[[#This Row],[Ln'#]],Started!$A$5:$AU$34,3,FALSE))</f>
        <v/>
      </c>
      <c r="H84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4" s="51" t="str">
        <f>IF(Table1711[[#This Row],[Status]]="Not Entered","",VLOOKUP(Table1711[[#This Row],[Ln'#]],Started!$A$5:$BB$34,47,FALSE))</f>
        <v/>
      </c>
    </row>
    <row r="85" spans="1:9" ht="30" customHeight="1" x14ac:dyDescent="0.4">
      <c r="A85" s="49">
        <v>14</v>
      </c>
      <c r="B85" s="49" t="str">
        <f>IF(OR(VLOOKUP(Table1711[[#This Row],[Ln'#]],Started!A$5:AU$34,23,FALSE)="E",VLOOKUP(Table1711[[#This Row],[Ln'#]],Started!A$5:AU$34,23,FALSE)="FEO"),"Entered or FEO","Not Entered")</f>
        <v>Not Entered</v>
      </c>
      <c r="C85" s="50" t="str">
        <f t="shared" ca="1" si="2"/>
        <v/>
      </c>
      <c r="D85" s="48"/>
      <c r="E85" s="48"/>
      <c r="F85" s="48"/>
      <c r="G85" s="48" t="str">
        <f>IF(Table1711[[#This Row],[Status]]="Not Entered","",VLOOKUP(Table1711[[#This Row],[Ln'#]],Started!$A$5:$AU$34,3,FALSE))</f>
        <v/>
      </c>
      <c r="H85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5" s="51" t="str">
        <f>IF(Table1711[[#This Row],[Status]]="Not Entered","",VLOOKUP(Table1711[[#This Row],[Ln'#]],Started!$A$5:$BB$34,47,FALSE))</f>
        <v/>
      </c>
    </row>
    <row r="86" spans="1:9" ht="30" customHeight="1" x14ac:dyDescent="0.4">
      <c r="A86" s="49">
        <v>15</v>
      </c>
      <c r="B86" s="49" t="str">
        <f>IF(OR(VLOOKUP(Table1711[[#This Row],[Ln'#]],Started!A$5:AU$34,23,FALSE)="E",VLOOKUP(Table1711[[#This Row],[Ln'#]],Started!A$5:AU$34,23,FALSE)="FEO"),"Entered or FEO","Not Entered")</f>
        <v>Not Entered</v>
      </c>
      <c r="C86" s="50" t="str">
        <f t="shared" ca="1" si="2"/>
        <v/>
      </c>
      <c r="D86" s="48"/>
      <c r="E86" s="48"/>
      <c r="F86" s="48"/>
      <c r="G86" s="48" t="str">
        <f>IF(Table1711[[#This Row],[Status]]="Not Entered","",VLOOKUP(Table1711[[#This Row],[Ln'#]],Started!$A$5:$AU$34,3,FALSE))</f>
        <v/>
      </c>
      <c r="H86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6" s="51" t="str">
        <f>IF(Table1711[[#This Row],[Status]]="Not Entered","",VLOOKUP(Table1711[[#This Row],[Ln'#]],Started!$A$5:$BB$34,47,FALSE))</f>
        <v/>
      </c>
    </row>
    <row r="87" spans="1:9" ht="30" customHeight="1" x14ac:dyDescent="0.4">
      <c r="A87" s="49">
        <v>16</v>
      </c>
      <c r="B87" s="49" t="str">
        <f>IF(OR(VLOOKUP(Table1711[[#This Row],[Ln'#]],Started!A$5:AU$34,23,FALSE)="E",VLOOKUP(Table1711[[#This Row],[Ln'#]],Started!A$5:AU$34,23,FALSE)="FEO"),"Entered or FEO","Not Entered")</f>
        <v>Not Entered</v>
      </c>
      <c r="C87" s="50" t="str">
        <f t="shared" ca="1" si="2"/>
        <v/>
      </c>
      <c r="D87" s="48"/>
      <c r="E87" s="48"/>
      <c r="F87" s="48"/>
      <c r="G87" s="48" t="str">
        <f>IF(Table1711[[#This Row],[Status]]="Not Entered","",VLOOKUP(Table1711[[#This Row],[Ln'#]],Started!$A$5:$AU$34,3,FALSE))</f>
        <v/>
      </c>
      <c r="H87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7" s="51" t="str">
        <f>IF(Table1711[[#This Row],[Status]]="Not Entered","",VLOOKUP(Table1711[[#This Row],[Ln'#]],Started!$A$5:$BB$34,47,FALSE))</f>
        <v/>
      </c>
    </row>
    <row r="88" spans="1:9" ht="30" customHeight="1" x14ac:dyDescent="0.4">
      <c r="A88" s="49">
        <v>17</v>
      </c>
      <c r="B88" s="49" t="str">
        <f>IF(OR(VLOOKUP(Table1711[[#This Row],[Ln'#]],Started!A$5:AU$34,23,FALSE)="E",VLOOKUP(Table1711[[#This Row],[Ln'#]],Started!A$5:AU$34,23,FALSE)="FEO"),"Entered or FEO","Not Entered")</f>
        <v>Not Entered</v>
      </c>
      <c r="C88" s="50" t="str">
        <f t="shared" ca="1" si="2"/>
        <v/>
      </c>
      <c r="D88" s="48"/>
      <c r="E88" s="48"/>
      <c r="F88" s="48"/>
      <c r="G88" s="48" t="str">
        <f>IF(Table1711[[#This Row],[Status]]="Not Entered","",VLOOKUP(Table1711[[#This Row],[Ln'#]],Started!$A$5:$AU$34,3,FALSE))</f>
        <v/>
      </c>
      <c r="H88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8" s="51" t="str">
        <f>IF(Table1711[[#This Row],[Status]]="Not Entered","",VLOOKUP(Table1711[[#This Row],[Ln'#]],Started!$A$5:$BB$34,47,FALSE))</f>
        <v/>
      </c>
    </row>
    <row r="89" spans="1:9" ht="30" customHeight="1" x14ac:dyDescent="0.4">
      <c r="A89" s="49">
        <v>18</v>
      </c>
      <c r="B89" s="49" t="str">
        <f>IF(OR(VLOOKUP(Table1711[[#This Row],[Ln'#]],Started!A$5:AU$34,23,FALSE)="E",VLOOKUP(Table1711[[#This Row],[Ln'#]],Started!A$5:AU$34,23,FALSE)="FEO"),"Entered or FEO","Not Entered")</f>
        <v>Not Entered</v>
      </c>
      <c r="C89" s="50" t="str">
        <f t="shared" ca="1" si="2"/>
        <v/>
      </c>
      <c r="D89" s="48"/>
      <c r="E89" s="48"/>
      <c r="F89" s="48"/>
      <c r="G89" s="48" t="str">
        <f>IF(Table1711[[#This Row],[Status]]="Not Entered","",VLOOKUP(Table1711[[#This Row],[Ln'#]],Started!$A$5:$AU$34,3,FALSE))</f>
        <v/>
      </c>
      <c r="H89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9" s="51" t="str">
        <f>IF(Table1711[[#This Row],[Status]]="Not Entered","",VLOOKUP(Table1711[[#This Row],[Ln'#]],Started!$A$5:$BB$34,47,FALSE))</f>
        <v/>
      </c>
    </row>
    <row r="90" spans="1:9" ht="30" customHeight="1" x14ac:dyDescent="0.4">
      <c r="A90" s="49">
        <v>19</v>
      </c>
      <c r="B90" s="49" t="str">
        <f>IF(OR(VLOOKUP(Table1711[[#This Row],[Ln'#]],Started!A$5:AU$34,23,FALSE)="E",VLOOKUP(Table1711[[#This Row],[Ln'#]],Started!A$5:AU$34,23,FALSE)="FEO"),"Entered or FEO","Not Entered")</f>
        <v>Not Entered</v>
      </c>
      <c r="C90" s="50" t="str">
        <f t="shared" ca="1" si="2"/>
        <v/>
      </c>
      <c r="D90" s="48"/>
      <c r="E90" s="48"/>
      <c r="F90" s="48"/>
      <c r="G90" s="48" t="str">
        <f>IF(Table1711[[#This Row],[Status]]="Not Entered","",VLOOKUP(Table1711[[#This Row],[Ln'#]],Started!$A$5:$AU$34,3,FALSE))</f>
        <v/>
      </c>
      <c r="H90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0" s="51" t="str">
        <f>IF(Table1711[[#This Row],[Status]]="Not Entered","",VLOOKUP(Table1711[[#This Row],[Ln'#]],Started!$A$5:$BB$34,47,FALSE))</f>
        <v/>
      </c>
    </row>
    <row r="91" spans="1:9" ht="30" customHeight="1" x14ac:dyDescent="0.4">
      <c r="A91" s="49">
        <v>20</v>
      </c>
      <c r="B91" s="49" t="str">
        <f>IF(OR(VLOOKUP(Table1711[[#This Row],[Ln'#]],Started!A$5:AU$34,23,FALSE)="E",VLOOKUP(Table1711[[#This Row],[Ln'#]],Started!A$5:AU$34,23,FALSE)="FEO"),"Entered or FEO","Not Entered")</f>
        <v>Not Entered</v>
      </c>
      <c r="C91" s="50" t="str">
        <f t="shared" ca="1" si="2"/>
        <v/>
      </c>
      <c r="D91" s="48"/>
      <c r="E91" s="48"/>
      <c r="F91" s="48"/>
      <c r="G91" s="48" t="str">
        <f>IF(Table1711[[#This Row],[Status]]="Not Entered","",VLOOKUP(Table1711[[#This Row],[Ln'#]],Started!$A$5:$AU$34,3,FALSE))</f>
        <v/>
      </c>
      <c r="H91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1" s="51" t="str">
        <f>IF(Table1711[[#This Row],[Status]]="Not Entered","",VLOOKUP(Table1711[[#This Row],[Ln'#]],Started!$A$5:$BB$34,47,FALSE))</f>
        <v/>
      </c>
    </row>
    <row r="92" spans="1:9" ht="30" customHeight="1" x14ac:dyDescent="0.4">
      <c r="A92" s="49">
        <v>21</v>
      </c>
      <c r="B92" s="49" t="str">
        <f>IF(OR(VLOOKUP(Table1711[[#This Row],[Ln'#]],Started!A$5:AU$34,23,FALSE)="E",VLOOKUP(Table1711[[#This Row],[Ln'#]],Started!A$5:AU$34,23,FALSE)="FEO"),"Entered or FEO","Not Entered")</f>
        <v>Not Entered</v>
      </c>
      <c r="C92" s="50" t="str">
        <f t="shared" ca="1" si="2"/>
        <v/>
      </c>
      <c r="D92" s="48"/>
      <c r="E92" s="48"/>
      <c r="F92" s="48"/>
      <c r="G92" s="48" t="str">
        <f>IF(Table1711[[#This Row],[Status]]="Not Entered","",VLOOKUP(Table1711[[#This Row],[Ln'#]],Started!$A$5:$AU$34,3,FALSE))</f>
        <v/>
      </c>
      <c r="H92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2" s="51" t="str">
        <f>IF(Table1711[[#This Row],[Status]]="Not Entered","",VLOOKUP(Table1711[[#This Row],[Ln'#]],Started!$A$5:$BB$34,47,FALSE))</f>
        <v/>
      </c>
    </row>
    <row r="93" spans="1:9" ht="30" customHeight="1" x14ac:dyDescent="0.4">
      <c r="A93" s="49">
        <v>22</v>
      </c>
      <c r="B93" s="49" t="str">
        <f>IF(OR(VLOOKUP(Table1711[[#This Row],[Ln'#]],Started!A$5:AU$34,23,FALSE)="E",VLOOKUP(Table1711[[#This Row],[Ln'#]],Started!A$5:AU$34,23,FALSE)="FEO"),"Entered or FEO","Not Entered")</f>
        <v>Not Entered</v>
      </c>
      <c r="C93" s="50" t="str">
        <f t="shared" ca="1" si="2"/>
        <v/>
      </c>
      <c r="D93" s="48"/>
      <c r="E93" s="48"/>
      <c r="F93" s="48"/>
      <c r="G93" s="48" t="str">
        <f>IF(Table1711[[#This Row],[Status]]="Not Entered","",VLOOKUP(Table1711[[#This Row],[Ln'#]],Started!$A$5:$AU$34,3,FALSE))</f>
        <v/>
      </c>
      <c r="H93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3" s="51" t="str">
        <f>IF(Table1711[[#This Row],[Status]]="Not Entered","",VLOOKUP(Table1711[[#This Row],[Ln'#]],Started!$A$5:$BB$34,47,FALSE))</f>
        <v/>
      </c>
    </row>
    <row r="94" spans="1:9" ht="30" customHeight="1" x14ac:dyDescent="0.4">
      <c r="A94" s="49">
        <v>23</v>
      </c>
      <c r="B94" s="49" t="str">
        <f>IF(OR(VLOOKUP(Table1711[[#This Row],[Ln'#]],Started!A$5:AU$34,23,FALSE)="E",VLOOKUP(Table1711[[#This Row],[Ln'#]],Started!A$5:AU$34,23,FALSE)="FEO"),"Entered or FEO","Not Entered")</f>
        <v>Not Entered</v>
      </c>
      <c r="C94" s="50" t="str">
        <f t="shared" ca="1" si="2"/>
        <v/>
      </c>
      <c r="D94" s="48"/>
      <c r="E94" s="48"/>
      <c r="F94" s="48"/>
      <c r="G94" s="48" t="str">
        <f>IF(Table1711[[#This Row],[Status]]="Not Entered","",VLOOKUP(Table1711[[#This Row],[Ln'#]],Started!$A$5:$AU$34,3,FALSE))</f>
        <v/>
      </c>
      <c r="H94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4" s="51" t="str">
        <f>IF(Table1711[[#This Row],[Status]]="Not Entered","",VLOOKUP(Table1711[[#This Row],[Ln'#]],Started!$A$5:$BB$34,47,FALSE))</f>
        <v/>
      </c>
    </row>
    <row r="95" spans="1:9" ht="30" customHeight="1" x14ac:dyDescent="0.4">
      <c r="A95" s="49">
        <v>24</v>
      </c>
      <c r="B95" s="49" t="str">
        <f>IF(OR(VLOOKUP(Table1711[[#This Row],[Ln'#]],Started!A$5:AU$34,23,FALSE)="E",VLOOKUP(Table1711[[#This Row],[Ln'#]],Started!A$5:AU$34,23,FALSE)="FEO"),"Entered or FEO","Not Entered")</f>
        <v>Not Entered</v>
      </c>
      <c r="C95" s="50" t="str">
        <f t="shared" ca="1" si="2"/>
        <v/>
      </c>
      <c r="D95" s="48"/>
      <c r="E95" s="48"/>
      <c r="F95" s="48"/>
      <c r="G95" s="48" t="str">
        <f>IF(Table1711[[#This Row],[Status]]="Not Entered","",VLOOKUP(Table1711[[#This Row],[Ln'#]],Started!$A$5:$AU$34,3,FALSE))</f>
        <v/>
      </c>
      <c r="H95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5" s="51" t="str">
        <f>IF(Table1711[[#This Row],[Status]]="Not Entered","",VLOOKUP(Table1711[[#This Row],[Ln'#]],Started!$A$5:$BB$34,47,FALSE))</f>
        <v/>
      </c>
    </row>
    <row r="96" spans="1:9" ht="30" customHeight="1" x14ac:dyDescent="0.4">
      <c r="A96" s="49">
        <v>25</v>
      </c>
      <c r="B96" s="49" t="str">
        <f>IF(OR(VLOOKUP(Table1711[[#This Row],[Ln'#]],Started!A$5:AU$34,23,FALSE)="E",VLOOKUP(Table1711[[#This Row],[Ln'#]],Started!A$5:AU$34,23,FALSE)="FEO"),"Entered or FEO","Not Entered")</f>
        <v>Not Entered</v>
      </c>
      <c r="C96" s="50" t="str">
        <f t="shared" ca="1" si="2"/>
        <v/>
      </c>
      <c r="D96" s="48"/>
      <c r="E96" s="48"/>
      <c r="F96" s="48"/>
      <c r="G96" s="48" t="str">
        <f>IF(Table1711[[#This Row],[Status]]="Not Entered","",VLOOKUP(Table1711[[#This Row],[Ln'#]],Started!$A$5:$AU$34,3,FALSE))</f>
        <v/>
      </c>
      <c r="H96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6" s="51" t="str">
        <f>IF(Table1711[[#This Row],[Status]]="Not Entered","",VLOOKUP(Table1711[[#This Row],[Ln'#]],Started!$A$5:$BB$34,47,FALSE))</f>
        <v/>
      </c>
    </row>
    <row r="97" spans="1:19" ht="30" customHeight="1" x14ac:dyDescent="0.4">
      <c r="A97" s="49">
        <v>26</v>
      </c>
      <c r="B97" s="49" t="str">
        <f>IF(OR(VLOOKUP(Table1711[[#This Row],[Ln'#]],Started!A$5:AU$34,23,FALSE)="E",VLOOKUP(Table1711[[#This Row],[Ln'#]],Started!A$5:AU$34,23,FALSE)="FEO"),"Entered or FEO","Not Entered")</f>
        <v>Not Entered</v>
      </c>
      <c r="C97" s="50" t="str">
        <f t="shared" ca="1" si="2"/>
        <v/>
      </c>
      <c r="D97" s="48"/>
      <c r="E97" s="48"/>
      <c r="F97" s="48"/>
      <c r="G97" s="48" t="str">
        <f>IF(Table1711[[#This Row],[Status]]="Not Entered","",VLOOKUP(Table1711[[#This Row],[Ln'#]],Started!$A$5:$AU$34,3,FALSE))</f>
        <v/>
      </c>
      <c r="H97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7" s="51" t="str">
        <f>IF(Table1711[[#This Row],[Status]]="Not Entered","",VLOOKUP(Table1711[[#This Row],[Ln'#]],Started!$A$5:$BB$34,47,FALSE))</f>
        <v/>
      </c>
    </row>
    <row r="98" spans="1:19" ht="30" customHeight="1" x14ac:dyDescent="0.4">
      <c r="A98" s="49">
        <v>27</v>
      </c>
      <c r="B98" s="49" t="str">
        <f>IF(OR(VLOOKUP(Table1711[[#This Row],[Ln'#]],Started!A$5:AU$34,23,FALSE)="E",VLOOKUP(Table1711[[#This Row],[Ln'#]],Started!A$5:AU$34,23,FALSE)="FEO"),"Entered or FEO","Not Entered")</f>
        <v>Not Entered</v>
      </c>
      <c r="C98" s="50" t="str">
        <f t="shared" ca="1" si="2"/>
        <v/>
      </c>
      <c r="D98" s="48"/>
      <c r="E98" s="48"/>
      <c r="F98" s="48"/>
      <c r="G98" s="48" t="str">
        <f>IF(Table1711[[#This Row],[Status]]="Not Entered","",VLOOKUP(Table1711[[#This Row],[Ln'#]],Started!$A$5:$AU$34,3,FALSE))</f>
        <v/>
      </c>
      <c r="H98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8" s="51" t="str">
        <f>IF(Table1711[[#This Row],[Status]]="Not Entered","",VLOOKUP(Table1711[[#This Row],[Ln'#]],Started!$A$5:$BB$34,47,FALSE))</f>
        <v/>
      </c>
    </row>
    <row r="99" spans="1:19" ht="30" customHeight="1" x14ac:dyDescent="0.4">
      <c r="A99" s="49">
        <v>28</v>
      </c>
      <c r="B99" s="49" t="str">
        <f>IF(OR(VLOOKUP(Table1711[[#This Row],[Ln'#]],Started!A$5:AU$34,23,FALSE)="E",VLOOKUP(Table1711[[#This Row],[Ln'#]],Started!A$5:AU$34,23,FALSE)="FEO"),"Entered or FEO","Not Entered")</f>
        <v>Not Entered</v>
      </c>
      <c r="C99" s="50" t="str">
        <f t="shared" ca="1" si="2"/>
        <v/>
      </c>
      <c r="D99" s="48"/>
      <c r="E99" s="48"/>
      <c r="F99" s="48"/>
      <c r="G99" s="48" t="str">
        <f>IF(Table1711[[#This Row],[Status]]="Not Entered","",VLOOKUP(Table1711[[#This Row],[Ln'#]],Started!$A$5:$AU$34,3,FALSE))</f>
        <v/>
      </c>
      <c r="H99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9" s="51" t="str">
        <f>IF(Table1711[[#This Row],[Status]]="Not Entered","",VLOOKUP(Table1711[[#This Row],[Ln'#]],Started!$A$5:$BB$34,47,FALSE))</f>
        <v/>
      </c>
    </row>
    <row r="100" spans="1:19" ht="30" customHeight="1" x14ac:dyDescent="0.4">
      <c r="A100" s="49">
        <v>29</v>
      </c>
      <c r="B100" s="49" t="str">
        <f>IF(OR(VLOOKUP(Table1711[[#This Row],[Ln'#]],Started!A$5:AU$34,23,FALSE)="E",VLOOKUP(Table1711[[#This Row],[Ln'#]],Started!A$5:AU$34,23,FALSE)="FEO"),"Entered or FEO","Not Entered")</f>
        <v>Not Entered</v>
      </c>
      <c r="C100" s="50" t="str">
        <f t="shared" ca="1" si="2"/>
        <v/>
      </c>
      <c r="D100" s="48"/>
      <c r="E100" s="48"/>
      <c r="F100" s="48"/>
      <c r="G100" s="48" t="str">
        <f>IF(Table1711[[#This Row],[Status]]="Not Entered","",VLOOKUP(Table1711[[#This Row],[Ln'#]],Started!$A$5:$AU$34,3,FALSE))</f>
        <v/>
      </c>
      <c r="H100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100" s="51" t="str">
        <f>IF(Table1711[[#This Row],[Status]]="Not Entered","",VLOOKUP(Table1711[[#This Row],[Ln'#]],Started!$A$5:$BB$34,47,FALSE))</f>
        <v/>
      </c>
    </row>
    <row r="101" spans="1:19" ht="30" customHeight="1" x14ac:dyDescent="0.4">
      <c r="A101" s="49">
        <v>30</v>
      </c>
      <c r="B101" s="49" t="str">
        <f>IF(OR(VLOOKUP(Table1711[[#This Row],[Ln'#]],Started!A$5:AU$34,23,FALSE)="E",VLOOKUP(Table1711[[#This Row],[Ln'#]],Started!A$5:AU$34,23,FALSE)="FEO"),"Entered or FEO","Not Entered")</f>
        <v>Not Entered</v>
      </c>
      <c r="C101" s="50" t="str">
        <f t="shared" ca="1" si="2"/>
        <v/>
      </c>
      <c r="D101" s="48"/>
      <c r="E101" s="48"/>
      <c r="F101" s="48"/>
      <c r="G101" s="48" t="str">
        <f>IF(Table1711[[#This Row],[Status]]="Not Entered","",VLOOKUP(Table1711[[#This Row],[Ln'#]],Started!$A$5:$AU$34,3,FALSE))</f>
        <v/>
      </c>
      <c r="H101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101" s="51" t="str">
        <f>IF(Table1711[[#This Row],[Status]]="Not Entered","",VLOOKUP(Table1711[[#This Row],[Ln'#]],Started!$A$5:$BB$34,47,FALSE))</f>
        <v/>
      </c>
    </row>
    <row r="102" spans="1:19" ht="30" customHeight="1" x14ac:dyDescent="0.4">
      <c r="A102" s="48"/>
      <c r="B102" s="48"/>
      <c r="C102" s="48"/>
      <c r="D102" s="48" t="s">
        <v>1141</v>
      </c>
      <c r="E102" s="48">
        <f>SUBTOTAL(102,Table1711[Running Order])</f>
        <v>0</v>
      </c>
      <c r="F102" s="48"/>
      <c r="G102" s="48"/>
      <c r="H102" s="51"/>
      <c r="I102" s="51"/>
    </row>
    <row r="104" spans="1:19" ht="30" customHeight="1" x14ac:dyDescent="0.4">
      <c r="A104" s="402" t="s">
        <v>1143</v>
      </c>
      <c r="B104" s="402"/>
      <c r="C104" s="43"/>
      <c r="D104" s="403" t="s">
        <v>1563</v>
      </c>
      <c r="E104" s="403"/>
      <c r="F104" s="403"/>
      <c r="G104" s="403"/>
      <c r="H104" s="403"/>
      <c r="I104" s="403"/>
      <c r="K104" s="23" t="s">
        <v>1143</v>
      </c>
      <c r="L104" s="403" t="s">
        <v>2497</v>
      </c>
      <c r="M104" s="403"/>
      <c r="N104" s="403"/>
      <c r="O104" s="403"/>
      <c r="P104" s="403"/>
      <c r="Q104" s="403"/>
      <c r="R104" s="403"/>
      <c r="S104" s="403"/>
    </row>
    <row r="105" spans="1:19" ht="47.25" x14ac:dyDescent="0.4">
      <c r="A105" s="67" t="s">
        <v>605</v>
      </c>
      <c r="B105" s="67" t="s">
        <v>1139</v>
      </c>
      <c r="C105" s="68" t="s">
        <v>1140</v>
      </c>
      <c r="D105" s="67" t="s">
        <v>1142</v>
      </c>
      <c r="E105" s="67" t="s">
        <v>1135</v>
      </c>
      <c r="F105" s="67" t="s">
        <v>1188</v>
      </c>
      <c r="G105" s="67" t="s">
        <v>1136</v>
      </c>
      <c r="H105" s="69" t="s">
        <v>1207</v>
      </c>
      <c r="I105" s="69" t="s">
        <v>1137</v>
      </c>
      <c r="K105" s="67" t="s">
        <v>605</v>
      </c>
      <c r="L105" s="67" t="s">
        <v>2493</v>
      </c>
      <c r="M105" s="67" t="s">
        <v>2494</v>
      </c>
      <c r="N105" s="67" t="s">
        <v>1142</v>
      </c>
      <c r="O105" s="67" t="s">
        <v>1135</v>
      </c>
      <c r="P105" s="67" t="s">
        <v>1188</v>
      </c>
      <c r="Q105" s="67" t="s">
        <v>1136</v>
      </c>
      <c r="R105" s="69" t="s">
        <v>1207</v>
      </c>
      <c r="S105" s="69" t="s">
        <v>1137</v>
      </c>
    </row>
    <row r="106" spans="1:19" ht="30" customHeight="1" x14ac:dyDescent="0.45">
      <c r="A106" s="49">
        <v>1</v>
      </c>
      <c r="B106" s="49" t="str">
        <f>IF(OR(VLOOKUP(Table113[[#This Row],[Ln'#]],Started!A$45:AU$74,7,FALSE)="E",VLOOKUP(Table113[[#This Row],[Ln'#]],Started!A$45:AU$74,7,FALSE)="FEO"),"Entered or FEO","Not Entered")</f>
        <v>Not Entered</v>
      </c>
      <c r="C106" s="50" t="str">
        <f t="shared" ref="C106:C135" ca="1" si="3">IF(OR(B106="e",B106="FEO"),RAND(),"")</f>
        <v/>
      </c>
      <c r="D106" s="48"/>
      <c r="E106" s="48"/>
      <c r="F106" s="48"/>
      <c r="G106" s="48" t="str">
        <f>IF(Table113[[#This Row],[Status]]="Not Entered","",VLOOKUP(Table113[[#This Row],[Ln'#]],Started!$A$45:$AU$74,3,FALSE))</f>
        <v/>
      </c>
      <c r="H106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6" s="51" t="str">
        <f>IF(Table113[[#This Row],[Status]]="Not Entered","",VLOOKUP(Table113[[#This Row],[Ln'#]],Started!$A$45:$BB$74,47,FALSE))</f>
        <v/>
      </c>
      <c r="K106" s="49">
        <v>1</v>
      </c>
      <c r="L106" s="144" t="str">
        <f>IF(OR(VLOOKUP(Table13132[[#This Row],[Ln'#]],Started!A$45:AU$74,7,FALSE)="E",VLOOKUP(Table13132[[#This Row],[Ln'#]],Started!A$45:AU$74,7,FALSE)="FEO"),"x","")</f>
        <v/>
      </c>
      <c r="M106" s="144" t="str">
        <f>IF(OR(VLOOKUP(Table13132[[#This Row],[Ln'#]],Started!A$45:AU$74,15,FALSE)="E",VLOOKUP(Table13132[[#This Row],[Ln'#]],Started!A$45:AU$74,15,FALSE)="FEO"),"x","")</f>
        <v/>
      </c>
      <c r="N106" s="48"/>
      <c r="O106" s="48"/>
      <c r="P106" s="48"/>
      <c r="Q106" s="48" t="str">
        <f>IF(AND(Table13132[[#This Row],[Status Container]]="",Table13132[[#This Row],[Status Interior]]=""),"",VLOOKUP(Table13132[[#This Row],[Ln'#]],Started!$A$45:$AU$74,3,FALSE))</f>
        <v/>
      </c>
      <c r="R106" s="51" t="str">
        <f>IF(Table13132[[#This Row],[Dog ID]]="","",(VLOOKUP(Table13132[[#This Row],[Dog ID]],Started!C$45:$D$74,2,FALSE)&amp;" - " &amp;VLOOKUP(Table13132[[#This Row],[Dog ID]],'SDDA Dogs'!A:C,3,FALSE)))</f>
        <v/>
      </c>
      <c r="S106" s="51" t="str">
        <f>IF(Table13132[[#This Row],[Dog ID]]="","",(VLOOKUP(Table13132[[#This Row],[Dog ID]],Started!C$45:$AU74,45,FALSE)))</f>
        <v/>
      </c>
    </row>
    <row r="107" spans="1:19" ht="30" customHeight="1" x14ac:dyDescent="0.45">
      <c r="A107" s="49">
        <v>2</v>
      </c>
      <c r="B107" s="49" t="str">
        <f>IF(OR(VLOOKUP(Table113[[#This Row],[Ln'#]],Started!A$45:AU$74,7,FALSE)="E",VLOOKUP(Table113[[#This Row],[Ln'#]],Started!A$45:AU$74,7,FALSE)="FEO"),"Entered or FEO","Not Entered")</f>
        <v>Not Entered</v>
      </c>
      <c r="C107" s="50" t="str">
        <f t="shared" ca="1" si="3"/>
        <v/>
      </c>
      <c r="D107" s="48"/>
      <c r="E107" s="48"/>
      <c r="F107" s="48"/>
      <c r="G107" s="48" t="str">
        <f>IF(Table113[[#This Row],[Status]]="Not Entered","",VLOOKUP(Table113[[#This Row],[Ln'#]],Started!$A$45:$AU$74,3,FALSE))</f>
        <v/>
      </c>
      <c r="H107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7" s="51" t="str">
        <f>IF(Table113[[#This Row],[Status]]="Not Entered","",VLOOKUP(Table113[[#This Row],[Ln'#]],Started!$A$45:$BB$74,47,FALSE))</f>
        <v/>
      </c>
      <c r="K107" s="49">
        <v>2</v>
      </c>
      <c r="L107" s="144" t="str">
        <f>IF(OR(VLOOKUP(Table13132[[#This Row],[Ln'#]],Started!A$45:AU$74,7,FALSE)="E",VLOOKUP(Table13132[[#This Row],[Ln'#]],Started!A$45:AU$74,7,FALSE)="FEO"),"x","")</f>
        <v/>
      </c>
      <c r="M107" s="144" t="str">
        <f>IF(OR(VLOOKUP(Table13132[[#This Row],[Ln'#]],Started!A$45:AU$74,15,FALSE)="E",VLOOKUP(Table13132[[#This Row],[Ln'#]],Started!A$45:AU$74,15,FALSE)="FEO"),"x","")</f>
        <v/>
      </c>
      <c r="N107" s="48"/>
      <c r="O107" s="48"/>
      <c r="P107" s="48"/>
      <c r="Q107" s="48" t="str">
        <f>IF(AND(Table13132[[#This Row],[Status Container]]="",Table13132[[#This Row],[Status Interior]]=""),"",VLOOKUP(Table13132[[#This Row],[Ln'#]],Started!$A$45:$AU$74,3,FALSE))</f>
        <v/>
      </c>
      <c r="R107" s="51" t="str">
        <f>IF(Table13132[[#This Row],[Dog ID]]="","",(VLOOKUP(Table13132[[#This Row],[Dog ID]],Started!C$45:$D$74,2,FALSE)&amp;" - " &amp;VLOOKUP(Table13132[[#This Row],[Dog ID]],'SDDA Dogs'!A:C,3,FALSE)))</f>
        <v/>
      </c>
      <c r="S107" s="51" t="str">
        <f>IF(Table13132[[#This Row],[Dog ID]]="","",(VLOOKUP(Table13132[[#This Row],[Dog ID]],Started!C$45:$AU75,45,FALSE)))</f>
        <v/>
      </c>
    </row>
    <row r="108" spans="1:19" ht="30" customHeight="1" x14ac:dyDescent="0.45">
      <c r="A108" s="49">
        <v>3</v>
      </c>
      <c r="B108" s="49" t="str">
        <f>IF(OR(VLOOKUP(Table113[[#This Row],[Ln'#]],Started!A$45:AU$74,7,FALSE)="E",VLOOKUP(Table113[[#This Row],[Ln'#]],Started!A$45:AU$74,7,FALSE)="FEO"),"Entered or FEO","Not Entered")</f>
        <v>Not Entered</v>
      </c>
      <c r="C108" s="50" t="str">
        <f t="shared" ca="1" si="3"/>
        <v/>
      </c>
      <c r="D108" s="48"/>
      <c r="E108" s="48"/>
      <c r="F108" s="48"/>
      <c r="G108" s="48" t="str">
        <f>IF(Table113[[#This Row],[Status]]="Not Entered","",VLOOKUP(Table113[[#This Row],[Ln'#]],Started!$A$45:$AU$74,3,FALSE))</f>
        <v/>
      </c>
      <c r="H108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8" s="51" t="str">
        <f>IF(Table113[[#This Row],[Status]]="Not Entered","",VLOOKUP(Table113[[#This Row],[Ln'#]],Started!$A$45:$BB$74,47,FALSE))</f>
        <v/>
      </c>
      <c r="K108" s="49">
        <v>3</v>
      </c>
      <c r="L108" s="144" t="str">
        <f>IF(OR(VLOOKUP(Table13132[[#This Row],[Ln'#]],Started!A$45:AU$74,7,FALSE)="E",VLOOKUP(Table13132[[#This Row],[Ln'#]],Started!A$45:AU$74,7,FALSE)="FEO"),"x","")</f>
        <v/>
      </c>
      <c r="M108" s="144" t="str">
        <f>IF(OR(VLOOKUP(Table13132[[#This Row],[Ln'#]],Started!A$45:AU$74,15,FALSE)="E",VLOOKUP(Table13132[[#This Row],[Ln'#]],Started!A$45:AU$74,15,FALSE)="FEO"),"x","")</f>
        <v/>
      </c>
      <c r="N108" s="48"/>
      <c r="O108" s="48"/>
      <c r="P108" s="48"/>
      <c r="Q108" s="48" t="str">
        <f>IF(AND(Table13132[[#This Row],[Status Container]]="",Table13132[[#This Row],[Status Interior]]=""),"",VLOOKUP(Table13132[[#This Row],[Ln'#]],Started!$A$45:$AU$74,3,FALSE))</f>
        <v/>
      </c>
      <c r="R108" s="51" t="str">
        <f>IF(Table13132[[#This Row],[Dog ID]]="","",(VLOOKUP(Table13132[[#This Row],[Dog ID]],Started!C$45:$D$74,2,FALSE)&amp;" - " &amp;VLOOKUP(Table13132[[#This Row],[Dog ID]],'SDDA Dogs'!A:C,3,FALSE)))</f>
        <v/>
      </c>
      <c r="S108" s="51" t="str">
        <f>IF(Table13132[[#This Row],[Dog ID]]="","",(VLOOKUP(Table13132[[#This Row],[Dog ID]],Started!C$45:$AU76,45,FALSE)))</f>
        <v/>
      </c>
    </row>
    <row r="109" spans="1:19" ht="30" customHeight="1" x14ac:dyDescent="0.45">
      <c r="A109" s="49">
        <v>4</v>
      </c>
      <c r="B109" s="49" t="str">
        <f>IF(OR(VLOOKUP(Table113[[#This Row],[Ln'#]],Started!A$45:AU$74,7,FALSE)="E",VLOOKUP(Table113[[#This Row],[Ln'#]],Started!A$45:AU$74,7,FALSE)="FEO"),"Entered or FEO","Not Entered")</f>
        <v>Not Entered</v>
      </c>
      <c r="C109" s="50" t="str">
        <f t="shared" ca="1" si="3"/>
        <v/>
      </c>
      <c r="D109" s="48"/>
      <c r="E109" s="48"/>
      <c r="F109" s="48"/>
      <c r="G109" s="48" t="str">
        <f>IF(Table113[[#This Row],[Status]]="Not Entered","",VLOOKUP(Table113[[#This Row],[Ln'#]],Started!$A$45:$AU$74,3,FALSE))</f>
        <v/>
      </c>
      <c r="H109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9" s="51" t="str">
        <f>IF(Table113[[#This Row],[Status]]="Not Entered","",VLOOKUP(Table113[[#This Row],[Ln'#]],Started!$A$45:$BB$74,47,FALSE))</f>
        <v/>
      </c>
      <c r="K109" s="49">
        <v>4</v>
      </c>
      <c r="L109" s="144" t="str">
        <f>IF(OR(VLOOKUP(Table13132[[#This Row],[Ln'#]],Started!A$45:AU$74,7,FALSE)="E",VLOOKUP(Table13132[[#This Row],[Ln'#]],Started!A$45:AU$74,7,FALSE)="FEO"),"x","")</f>
        <v/>
      </c>
      <c r="M109" s="144" t="str">
        <f>IF(OR(VLOOKUP(Table13132[[#This Row],[Ln'#]],Started!A$45:AU$74,15,FALSE)="E",VLOOKUP(Table13132[[#This Row],[Ln'#]],Started!A$45:AU$74,15,FALSE)="FEO"),"x","")</f>
        <v/>
      </c>
      <c r="N109" s="48"/>
      <c r="O109" s="48"/>
      <c r="P109" s="48"/>
      <c r="Q109" s="48" t="str">
        <f>IF(AND(Table13132[[#This Row],[Status Container]]="",Table13132[[#This Row],[Status Interior]]=""),"",VLOOKUP(Table13132[[#This Row],[Ln'#]],Started!$A$45:$AU$74,3,FALSE))</f>
        <v/>
      </c>
      <c r="R109" s="51" t="str">
        <f>IF(Table13132[[#This Row],[Dog ID]]="","",(VLOOKUP(Table13132[[#This Row],[Dog ID]],Started!C$45:$D$74,2,FALSE)&amp;" - " &amp;VLOOKUP(Table13132[[#This Row],[Dog ID]],'SDDA Dogs'!A:C,3,FALSE)))</f>
        <v/>
      </c>
      <c r="S109" s="51" t="str">
        <f>IF(Table13132[[#This Row],[Dog ID]]="","",(VLOOKUP(Table13132[[#This Row],[Dog ID]],Started!C$45:$AU77,45,FALSE)))</f>
        <v/>
      </c>
    </row>
    <row r="110" spans="1:19" ht="30" customHeight="1" x14ac:dyDescent="0.45">
      <c r="A110" s="49">
        <v>5</v>
      </c>
      <c r="B110" s="49" t="str">
        <f>IF(OR(VLOOKUP(Table113[[#This Row],[Ln'#]],Started!A$45:AU$74,7,FALSE)="E",VLOOKUP(Table113[[#This Row],[Ln'#]],Started!A$45:AU$74,7,FALSE)="FEO"),"Entered or FEO","Not Entered")</f>
        <v>Not Entered</v>
      </c>
      <c r="C110" s="50" t="str">
        <f t="shared" ca="1" si="3"/>
        <v/>
      </c>
      <c r="D110" s="48"/>
      <c r="E110" s="48"/>
      <c r="F110" s="48"/>
      <c r="G110" s="48" t="str">
        <f>IF(Table113[[#This Row],[Status]]="Not Entered","",VLOOKUP(Table113[[#This Row],[Ln'#]],Started!$A$45:$AU$74,3,FALSE))</f>
        <v/>
      </c>
      <c r="H110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0" s="51" t="str">
        <f>IF(Table113[[#This Row],[Status]]="Not Entered","",VLOOKUP(Table113[[#This Row],[Ln'#]],Started!$A$45:$BB$74,47,FALSE))</f>
        <v/>
      </c>
      <c r="K110" s="49">
        <v>5</v>
      </c>
      <c r="L110" s="144" t="str">
        <f>IF(OR(VLOOKUP(Table13132[[#This Row],[Ln'#]],Started!A$45:AU$74,7,FALSE)="E",VLOOKUP(Table13132[[#This Row],[Ln'#]],Started!A$45:AU$74,7,FALSE)="FEO"),"x","")</f>
        <v/>
      </c>
      <c r="M110" s="144" t="str">
        <f>IF(OR(VLOOKUP(Table13132[[#This Row],[Ln'#]],Started!A$45:AU$74,15,FALSE)="E",VLOOKUP(Table13132[[#This Row],[Ln'#]],Started!A$45:AU$74,15,FALSE)="FEO"),"x","")</f>
        <v/>
      </c>
      <c r="N110" s="48"/>
      <c r="O110" s="48"/>
      <c r="P110" s="48"/>
      <c r="Q110" s="48" t="str">
        <f>IF(AND(Table13132[[#This Row],[Status Container]]="",Table13132[[#This Row],[Status Interior]]=""),"",VLOOKUP(Table13132[[#This Row],[Ln'#]],Started!$A$45:$AU$74,3,FALSE))</f>
        <v/>
      </c>
      <c r="R110" s="51" t="str">
        <f>IF(Table13132[[#This Row],[Dog ID]]="","",(VLOOKUP(Table13132[[#This Row],[Dog ID]],Started!C$45:$D$74,2,FALSE)&amp;" - " &amp;VLOOKUP(Table13132[[#This Row],[Dog ID]],'SDDA Dogs'!A:C,3,FALSE)))</f>
        <v/>
      </c>
      <c r="S110" s="51" t="str">
        <f>IF(Table13132[[#This Row],[Dog ID]]="","",(VLOOKUP(Table13132[[#This Row],[Dog ID]],Started!C$45:$AU78,45,FALSE)))</f>
        <v/>
      </c>
    </row>
    <row r="111" spans="1:19" ht="30" customHeight="1" x14ac:dyDescent="0.45">
      <c r="A111" s="49">
        <v>6</v>
      </c>
      <c r="B111" s="49" t="str">
        <f>IF(OR(VLOOKUP(Table113[[#This Row],[Ln'#]],Started!A$45:AU$74,7,FALSE)="E",VLOOKUP(Table113[[#This Row],[Ln'#]],Started!A$45:AU$74,7,FALSE)="FEO"),"Entered or FEO","Not Entered")</f>
        <v>Not Entered</v>
      </c>
      <c r="C111" s="50" t="str">
        <f t="shared" ca="1" si="3"/>
        <v/>
      </c>
      <c r="D111" s="48"/>
      <c r="E111" s="48"/>
      <c r="F111" s="48"/>
      <c r="G111" s="48" t="str">
        <f>IF(Table113[[#This Row],[Status]]="Not Entered","",VLOOKUP(Table113[[#This Row],[Ln'#]],Started!$A$45:$AU$74,3,FALSE))</f>
        <v/>
      </c>
      <c r="H111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1" s="51" t="str">
        <f>IF(Table113[[#This Row],[Status]]="Not Entered","",VLOOKUP(Table113[[#This Row],[Ln'#]],Started!$A$45:$BB$74,47,FALSE))</f>
        <v/>
      </c>
      <c r="K111" s="49">
        <v>6</v>
      </c>
      <c r="L111" s="144" t="str">
        <f>IF(OR(VLOOKUP(Table13132[[#This Row],[Ln'#]],Started!A$45:AU$74,7,FALSE)="E",VLOOKUP(Table13132[[#This Row],[Ln'#]],Started!A$45:AU$74,7,FALSE)="FEO"),"x","")</f>
        <v/>
      </c>
      <c r="M111" s="144" t="str">
        <f>IF(OR(VLOOKUP(Table13132[[#This Row],[Ln'#]],Started!A$45:AU$74,15,FALSE)="E",VLOOKUP(Table13132[[#This Row],[Ln'#]],Started!A$45:AU$74,15,FALSE)="FEO"),"x","")</f>
        <v/>
      </c>
      <c r="N111" s="48"/>
      <c r="O111" s="48"/>
      <c r="P111" s="48"/>
      <c r="Q111" s="48" t="str">
        <f>IF(AND(Table13132[[#This Row],[Status Container]]="",Table13132[[#This Row],[Status Interior]]=""),"",VLOOKUP(Table13132[[#This Row],[Ln'#]],Started!$A$45:$AU$74,3,FALSE))</f>
        <v/>
      </c>
      <c r="R111" s="51" t="str">
        <f>IF(Table13132[[#This Row],[Dog ID]]="","",(VLOOKUP(Table13132[[#This Row],[Dog ID]],Started!C$45:$D$74,2,FALSE)&amp;" - " &amp;VLOOKUP(Table13132[[#This Row],[Dog ID]],'SDDA Dogs'!A:C,3,FALSE)))</f>
        <v/>
      </c>
      <c r="S111" s="51" t="str">
        <f>IF(Table13132[[#This Row],[Dog ID]]="","",(VLOOKUP(Table13132[[#This Row],[Dog ID]],Started!C$45:$AU79,45,FALSE)))</f>
        <v/>
      </c>
    </row>
    <row r="112" spans="1:19" ht="30" customHeight="1" x14ac:dyDescent="0.45">
      <c r="A112" s="49">
        <v>7</v>
      </c>
      <c r="B112" s="49" t="str">
        <f>IF(OR(VLOOKUP(Table113[[#This Row],[Ln'#]],Started!A$45:AU$74,7,FALSE)="E",VLOOKUP(Table113[[#This Row],[Ln'#]],Started!A$45:AU$74,7,FALSE)="FEO"),"Entered or FEO","Not Entered")</f>
        <v>Not Entered</v>
      </c>
      <c r="C112" s="50" t="str">
        <f t="shared" ca="1" si="3"/>
        <v/>
      </c>
      <c r="D112" s="48"/>
      <c r="E112" s="48"/>
      <c r="F112" s="48"/>
      <c r="G112" s="48" t="str">
        <f>IF(Table113[[#This Row],[Status]]="Not Entered","",VLOOKUP(Table113[[#This Row],[Ln'#]],Started!$A$45:$AU$74,3,FALSE))</f>
        <v/>
      </c>
      <c r="H112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2" s="51" t="str">
        <f>IF(Table113[[#This Row],[Status]]="Not Entered","",VLOOKUP(Table113[[#This Row],[Ln'#]],Started!$A$45:$BB$74,47,FALSE))</f>
        <v/>
      </c>
      <c r="K112" s="49">
        <v>7</v>
      </c>
      <c r="L112" s="144" t="str">
        <f>IF(OR(VLOOKUP(Table13132[[#This Row],[Ln'#]],Started!A$45:AU$74,7,FALSE)="E",VLOOKUP(Table13132[[#This Row],[Ln'#]],Started!A$45:AU$74,7,FALSE)="FEO"),"x","")</f>
        <v/>
      </c>
      <c r="M112" s="144" t="str">
        <f>IF(OR(VLOOKUP(Table13132[[#This Row],[Ln'#]],Started!A$45:AU$74,15,FALSE)="E",VLOOKUP(Table13132[[#This Row],[Ln'#]],Started!A$45:AU$74,15,FALSE)="FEO"),"x","")</f>
        <v/>
      </c>
      <c r="N112" s="48"/>
      <c r="O112" s="48"/>
      <c r="P112" s="48"/>
      <c r="Q112" s="48" t="str">
        <f>IF(AND(Table13132[[#This Row],[Status Container]]="",Table13132[[#This Row],[Status Interior]]=""),"",VLOOKUP(Table13132[[#This Row],[Ln'#]],Started!$A$45:$AU$74,3,FALSE))</f>
        <v/>
      </c>
      <c r="R112" s="51" t="str">
        <f>IF(Table13132[[#This Row],[Dog ID]]="","",(VLOOKUP(Table13132[[#This Row],[Dog ID]],Started!C$45:$D$74,2,FALSE)&amp;" - " &amp;VLOOKUP(Table13132[[#This Row],[Dog ID]],'SDDA Dogs'!A:C,3,FALSE)))</f>
        <v/>
      </c>
      <c r="S112" s="51" t="str">
        <f>IF(Table13132[[#This Row],[Dog ID]]="","",(VLOOKUP(Table13132[[#This Row],[Dog ID]],Started!C$45:$AU80,45,FALSE)))</f>
        <v/>
      </c>
    </row>
    <row r="113" spans="1:19" ht="30" customHeight="1" x14ac:dyDescent="0.45">
      <c r="A113" s="49">
        <v>8</v>
      </c>
      <c r="B113" s="49" t="str">
        <f>IF(OR(VLOOKUP(Table113[[#This Row],[Ln'#]],Started!A$45:AU$74,7,FALSE)="E",VLOOKUP(Table113[[#This Row],[Ln'#]],Started!A$45:AU$74,7,FALSE)="FEO"),"Entered or FEO","Not Entered")</f>
        <v>Not Entered</v>
      </c>
      <c r="C113" s="50" t="str">
        <f t="shared" ca="1" si="3"/>
        <v/>
      </c>
      <c r="D113" s="48"/>
      <c r="E113" s="48"/>
      <c r="F113" s="48"/>
      <c r="G113" s="48" t="str">
        <f>IF(Table113[[#This Row],[Status]]="Not Entered","",VLOOKUP(Table113[[#This Row],[Ln'#]],Started!$A$45:$AU$74,3,FALSE))</f>
        <v/>
      </c>
      <c r="H113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3" s="51" t="str">
        <f>IF(Table113[[#This Row],[Status]]="Not Entered","",VLOOKUP(Table113[[#This Row],[Ln'#]],Started!$A$45:$BB$74,47,FALSE))</f>
        <v/>
      </c>
      <c r="K113" s="49">
        <v>8</v>
      </c>
      <c r="L113" s="144" t="str">
        <f>IF(OR(VLOOKUP(Table13132[[#This Row],[Ln'#]],Started!A$45:AU$74,7,FALSE)="E",VLOOKUP(Table13132[[#This Row],[Ln'#]],Started!A$45:AU$74,7,FALSE)="FEO"),"x","")</f>
        <v/>
      </c>
      <c r="M113" s="144" t="str">
        <f>IF(OR(VLOOKUP(Table13132[[#This Row],[Ln'#]],Started!A$45:AU$74,15,FALSE)="E",VLOOKUP(Table13132[[#This Row],[Ln'#]],Started!A$45:AU$74,15,FALSE)="FEO"),"x","")</f>
        <v/>
      </c>
      <c r="N113" s="48"/>
      <c r="O113" s="48"/>
      <c r="P113" s="48"/>
      <c r="Q113" s="48" t="str">
        <f>IF(AND(Table13132[[#This Row],[Status Container]]="",Table13132[[#This Row],[Status Interior]]=""),"",VLOOKUP(Table13132[[#This Row],[Ln'#]],Started!$A$45:$AU$74,3,FALSE))</f>
        <v/>
      </c>
      <c r="R113" s="51" t="str">
        <f>IF(Table13132[[#This Row],[Dog ID]]="","",(VLOOKUP(Table13132[[#This Row],[Dog ID]],Started!C$45:$D$74,2,FALSE)&amp;" - " &amp;VLOOKUP(Table13132[[#This Row],[Dog ID]],'SDDA Dogs'!A:C,3,FALSE)))</f>
        <v/>
      </c>
      <c r="S113" s="51" t="str">
        <f>IF(Table13132[[#This Row],[Dog ID]]="","",(VLOOKUP(Table13132[[#This Row],[Dog ID]],Started!C$45:$AU81,45,FALSE)))</f>
        <v/>
      </c>
    </row>
    <row r="114" spans="1:19" ht="30" customHeight="1" x14ac:dyDescent="0.45">
      <c r="A114" s="49">
        <v>9</v>
      </c>
      <c r="B114" s="49" t="str">
        <f>IF(OR(VLOOKUP(Table113[[#This Row],[Ln'#]],Started!A$45:AU$74,7,FALSE)="E",VLOOKUP(Table113[[#This Row],[Ln'#]],Started!A$45:AU$74,7,FALSE)="FEO"),"Entered or FEO","Not Entered")</f>
        <v>Not Entered</v>
      </c>
      <c r="C114" s="50" t="str">
        <f t="shared" ca="1" si="3"/>
        <v/>
      </c>
      <c r="D114" s="48"/>
      <c r="E114" s="48"/>
      <c r="F114" s="48"/>
      <c r="G114" s="48" t="str">
        <f>IF(Table113[[#This Row],[Status]]="Not Entered","",VLOOKUP(Table113[[#This Row],[Ln'#]],Started!$A$45:$AU$74,3,FALSE))</f>
        <v/>
      </c>
      <c r="H114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4" s="51" t="str">
        <f>IF(Table113[[#This Row],[Status]]="Not Entered","",VLOOKUP(Table113[[#This Row],[Ln'#]],Started!$A$45:$BB$74,47,FALSE))</f>
        <v/>
      </c>
      <c r="K114" s="49">
        <v>9</v>
      </c>
      <c r="L114" s="144" t="str">
        <f>IF(OR(VLOOKUP(Table13132[[#This Row],[Ln'#]],Started!A$45:AU$74,7,FALSE)="E",VLOOKUP(Table13132[[#This Row],[Ln'#]],Started!A$45:AU$74,7,FALSE)="FEO"),"x","")</f>
        <v/>
      </c>
      <c r="M114" s="144" t="str">
        <f>IF(OR(VLOOKUP(Table13132[[#This Row],[Ln'#]],Started!A$45:AU$74,15,FALSE)="E",VLOOKUP(Table13132[[#This Row],[Ln'#]],Started!A$45:AU$74,15,FALSE)="FEO"),"x","")</f>
        <v/>
      </c>
      <c r="N114" s="48"/>
      <c r="O114" s="48"/>
      <c r="P114" s="48"/>
      <c r="Q114" s="48" t="str">
        <f>IF(AND(Table13132[[#This Row],[Status Container]]="",Table13132[[#This Row],[Status Interior]]=""),"",VLOOKUP(Table13132[[#This Row],[Ln'#]],Started!$A$45:$AU$74,3,FALSE))</f>
        <v/>
      </c>
      <c r="R114" s="51" t="str">
        <f>IF(Table13132[[#This Row],[Dog ID]]="","",(VLOOKUP(Table13132[[#This Row],[Dog ID]],Started!C$45:$D$74,2,FALSE)&amp;" - " &amp;VLOOKUP(Table13132[[#This Row],[Dog ID]],'SDDA Dogs'!A:C,3,FALSE)))</f>
        <v/>
      </c>
      <c r="S114" s="51" t="str">
        <f>IF(Table13132[[#This Row],[Dog ID]]="","",(VLOOKUP(Table13132[[#This Row],[Dog ID]],Started!C$45:$AU82,45,FALSE)))</f>
        <v/>
      </c>
    </row>
    <row r="115" spans="1:19" ht="30" customHeight="1" x14ac:dyDescent="0.45">
      <c r="A115" s="49">
        <v>10</v>
      </c>
      <c r="B115" s="49" t="str">
        <f>IF(OR(VLOOKUP(Table113[[#This Row],[Ln'#]],Started!A$45:AU$74,7,FALSE)="E",VLOOKUP(Table113[[#This Row],[Ln'#]],Started!A$45:AU$74,7,FALSE)="FEO"),"Entered or FEO","Not Entered")</f>
        <v>Not Entered</v>
      </c>
      <c r="C115" s="50" t="str">
        <f t="shared" ca="1" si="3"/>
        <v/>
      </c>
      <c r="D115" s="48"/>
      <c r="E115" s="48"/>
      <c r="F115" s="48"/>
      <c r="G115" s="48" t="str">
        <f>IF(Table113[[#This Row],[Status]]="Not Entered","",VLOOKUP(Table113[[#This Row],[Ln'#]],Started!$A$45:$AU$74,3,FALSE))</f>
        <v/>
      </c>
      <c r="H115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5" s="51" t="str">
        <f>IF(Table113[[#This Row],[Status]]="Not Entered","",VLOOKUP(Table113[[#This Row],[Ln'#]],Started!$A$45:$BB$74,47,FALSE))</f>
        <v/>
      </c>
      <c r="K115" s="49">
        <v>10</v>
      </c>
      <c r="L115" s="144" t="str">
        <f>IF(OR(VLOOKUP(Table13132[[#This Row],[Ln'#]],Started!A$45:AU$74,7,FALSE)="E",VLOOKUP(Table13132[[#This Row],[Ln'#]],Started!A$45:AU$74,7,FALSE)="FEO"),"x","")</f>
        <v/>
      </c>
      <c r="M115" s="144" t="str">
        <f>IF(OR(VLOOKUP(Table13132[[#This Row],[Ln'#]],Started!A$45:AU$74,15,FALSE)="E",VLOOKUP(Table13132[[#This Row],[Ln'#]],Started!A$45:AU$74,15,FALSE)="FEO"),"x","")</f>
        <v/>
      </c>
      <c r="N115" s="48"/>
      <c r="O115" s="48"/>
      <c r="P115" s="48"/>
      <c r="Q115" s="48" t="str">
        <f>IF(AND(Table13132[[#This Row],[Status Container]]="",Table13132[[#This Row],[Status Interior]]=""),"",VLOOKUP(Table13132[[#This Row],[Ln'#]],Started!$A$45:$AU$74,3,FALSE))</f>
        <v/>
      </c>
      <c r="R115" s="51" t="str">
        <f>IF(Table13132[[#This Row],[Dog ID]]="","",(VLOOKUP(Table13132[[#This Row],[Dog ID]],Started!C$45:$D$74,2,FALSE)&amp;" - " &amp;VLOOKUP(Table13132[[#This Row],[Dog ID]],'SDDA Dogs'!A:C,3,FALSE)))</f>
        <v/>
      </c>
      <c r="S115" s="51" t="str">
        <f>IF(Table13132[[#This Row],[Dog ID]]="","",(VLOOKUP(Table13132[[#This Row],[Dog ID]],Started!C$45:$AU83,45,FALSE)))</f>
        <v/>
      </c>
    </row>
    <row r="116" spans="1:19" ht="30" customHeight="1" x14ac:dyDescent="0.45">
      <c r="A116" s="49">
        <v>11</v>
      </c>
      <c r="B116" s="49" t="str">
        <f>IF(OR(VLOOKUP(Table113[[#This Row],[Ln'#]],Started!A$45:AU$74,7,FALSE)="E",VLOOKUP(Table113[[#This Row],[Ln'#]],Started!A$45:AU$74,7,FALSE)="FEO"),"Entered or FEO","Not Entered")</f>
        <v>Not Entered</v>
      </c>
      <c r="C116" s="50" t="str">
        <f t="shared" ca="1" si="3"/>
        <v/>
      </c>
      <c r="D116" s="48"/>
      <c r="E116" s="48"/>
      <c r="F116" s="48"/>
      <c r="G116" s="48" t="str">
        <f>IF(Table113[[#This Row],[Status]]="Not Entered","",VLOOKUP(Table113[[#This Row],[Ln'#]],Started!$A$45:$AU$74,3,FALSE))</f>
        <v/>
      </c>
      <c r="H116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6" s="51" t="str">
        <f>IF(Table113[[#This Row],[Status]]="Not Entered","",VLOOKUP(Table113[[#This Row],[Ln'#]],Started!$A$45:$BB$74,47,FALSE))</f>
        <v/>
      </c>
      <c r="K116" s="49">
        <v>11</v>
      </c>
      <c r="L116" s="144" t="str">
        <f>IF(OR(VLOOKUP(Table13132[[#This Row],[Ln'#]],Started!A$45:AU$74,7,FALSE)="E",VLOOKUP(Table13132[[#This Row],[Ln'#]],Started!A$45:AU$74,7,FALSE)="FEO"),"x","")</f>
        <v/>
      </c>
      <c r="M116" s="144" t="str">
        <f>IF(OR(VLOOKUP(Table13132[[#This Row],[Ln'#]],Started!A$45:AU$74,15,FALSE)="E",VLOOKUP(Table13132[[#This Row],[Ln'#]],Started!A$45:AU$74,15,FALSE)="FEO"),"x","")</f>
        <v/>
      </c>
      <c r="N116" s="48"/>
      <c r="O116" s="48"/>
      <c r="P116" s="48"/>
      <c r="Q116" s="48" t="str">
        <f>IF(AND(Table13132[[#This Row],[Status Container]]="",Table13132[[#This Row],[Status Interior]]=""),"",VLOOKUP(Table13132[[#This Row],[Ln'#]],Started!$A$45:$AU$74,3,FALSE))</f>
        <v/>
      </c>
      <c r="R116" s="51" t="str">
        <f>IF(Table13132[[#This Row],[Dog ID]]="","",(VLOOKUP(Table13132[[#This Row],[Dog ID]],Started!C$45:$D$74,2,FALSE)&amp;" - " &amp;VLOOKUP(Table13132[[#This Row],[Dog ID]],'SDDA Dogs'!A:C,3,FALSE)))</f>
        <v/>
      </c>
      <c r="S116" s="51" t="str">
        <f>IF(Table13132[[#This Row],[Dog ID]]="","",(VLOOKUP(Table13132[[#This Row],[Dog ID]],Started!C$45:$AU84,45,FALSE)))</f>
        <v/>
      </c>
    </row>
    <row r="117" spans="1:19" ht="30" customHeight="1" x14ac:dyDescent="0.45">
      <c r="A117" s="49">
        <v>12</v>
      </c>
      <c r="B117" s="49" t="str">
        <f>IF(OR(VLOOKUP(Table113[[#This Row],[Ln'#]],Started!A$45:AU$74,7,FALSE)="E",VLOOKUP(Table113[[#This Row],[Ln'#]],Started!A$45:AU$74,7,FALSE)="FEO"),"Entered or FEO","Not Entered")</f>
        <v>Not Entered</v>
      </c>
      <c r="C117" s="50" t="str">
        <f t="shared" ca="1" si="3"/>
        <v/>
      </c>
      <c r="D117" s="48"/>
      <c r="E117" s="48"/>
      <c r="F117" s="48"/>
      <c r="G117" s="48" t="str">
        <f>IF(Table113[[#This Row],[Status]]="Not Entered","",VLOOKUP(Table113[[#This Row],[Ln'#]],Started!$A$45:$AU$74,3,FALSE))</f>
        <v/>
      </c>
      <c r="H117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7" s="51" t="str">
        <f>IF(Table113[[#This Row],[Status]]="Not Entered","",VLOOKUP(Table113[[#This Row],[Ln'#]],Started!$A$45:$BB$74,47,FALSE))</f>
        <v/>
      </c>
      <c r="K117" s="49">
        <v>12</v>
      </c>
      <c r="L117" s="144" t="str">
        <f>IF(OR(VLOOKUP(Table13132[[#This Row],[Ln'#]],Started!A$45:AU$74,7,FALSE)="E",VLOOKUP(Table13132[[#This Row],[Ln'#]],Started!A$45:AU$74,7,FALSE)="FEO"),"x","")</f>
        <v/>
      </c>
      <c r="M117" s="144" t="str">
        <f>IF(OR(VLOOKUP(Table13132[[#This Row],[Ln'#]],Started!A$45:AU$74,15,FALSE)="E",VLOOKUP(Table13132[[#This Row],[Ln'#]],Started!A$45:AU$74,15,FALSE)="FEO"),"x","")</f>
        <v/>
      </c>
      <c r="N117" s="48"/>
      <c r="O117" s="48"/>
      <c r="P117" s="48"/>
      <c r="Q117" s="48" t="str">
        <f>IF(AND(Table13132[[#This Row],[Status Container]]="",Table13132[[#This Row],[Status Interior]]=""),"",VLOOKUP(Table13132[[#This Row],[Ln'#]],Started!$A$45:$AU$74,3,FALSE))</f>
        <v/>
      </c>
      <c r="R117" s="51" t="str">
        <f>IF(Table13132[[#This Row],[Dog ID]]="","",(VLOOKUP(Table13132[[#This Row],[Dog ID]],Started!C$45:$D$74,2,FALSE)&amp;" - " &amp;VLOOKUP(Table13132[[#This Row],[Dog ID]],'SDDA Dogs'!A:C,3,FALSE)))</f>
        <v/>
      </c>
      <c r="S117" s="51" t="str">
        <f>IF(Table13132[[#This Row],[Dog ID]]="","",(VLOOKUP(Table13132[[#This Row],[Dog ID]],Started!C$45:$AU85,45,FALSE)))</f>
        <v/>
      </c>
    </row>
    <row r="118" spans="1:19" ht="30" customHeight="1" x14ac:dyDescent="0.45">
      <c r="A118" s="49">
        <v>13</v>
      </c>
      <c r="B118" s="49" t="str">
        <f>IF(OR(VLOOKUP(Table113[[#This Row],[Ln'#]],Started!A$45:AU$74,7,FALSE)="E",VLOOKUP(Table113[[#This Row],[Ln'#]],Started!A$45:AU$74,7,FALSE)="FEO"),"Entered or FEO","Not Entered")</f>
        <v>Not Entered</v>
      </c>
      <c r="C118" s="50" t="str">
        <f t="shared" ca="1" si="3"/>
        <v/>
      </c>
      <c r="D118" s="48"/>
      <c r="E118" s="48"/>
      <c r="F118" s="48"/>
      <c r="G118" s="48" t="str">
        <f>IF(Table113[[#This Row],[Status]]="Not Entered","",VLOOKUP(Table113[[#This Row],[Ln'#]],Started!$A$45:$AU$74,3,FALSE))</f>
        <v/>
      </c>
      <c r="H118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8" s="51" t="str">
        <f>IF(Table113[[#This Row],[Status]]="Not Entered","",VLOOKUP(Table113[[#This Row],[Ln'#]],Started!$A$45:$BB$74,47,FALSE))</f>
        <v/>
      </c>
      <c r="K118" s="49">
        <v>13</v>
      </c>
      <c r="L118" s="144" t="str">
        <f>IF(OR(VLOOKUP(Table13132[[#This Row],[Ln'#]],Started!A$45:AU$74,7,FALSE)="E",VLOOKUP(Table13132[[#This Row],[Ln'#]],Started!A$45:AU$74,7,FALSE)="FEO"),"x","")</f>
        <v/>
      </c>
      <c r="M118" s="144" t="str">
        <f>IF(OR(VLOOKUP(Table13132[[#This Row],[Ln'#]],Started!A$45:AU$74,15,FALSE)="E",VLOOKUP(Table13132[[#This Row],[Ln'#]],Started!A$45:AU$74,15,FALSE)="FEO"),"x","")</f>
        <v/>
      </c>
      <c r="N118" s="48"/>
      <c r="O118" s="48"/>
      <c r="P118" s="48"/>
      <c r="Q118" s="48" t="str">
        <f>IF(AND(Table13132[[#This Row],[Status Container]]="",Table13132[[#This Row],[Status Interior]]=""),"",VLOOKUP(Table13132[[#This Row],[Ln'#]],Started!$A$45:$AU$74,3,FALSE))</f>
        <v/>
      </c>
      <c r="R118" s="51" t="str">
        <f>IF(Table13132[[#This Row],[Dog ID]]="","",(VLOOKUP(Table13132[[#This Row],[Dog ID]],Started!C$45:$D$74,2,FALSE)&amp;" - " &amp;VLOOKUP(Table13132[[#This Row],[Dog ID]],'SDDA Dogs'!A:C,3,FALSE)))</f>
        <v/>
      </c>
      <c r="S118" s="51" t="str">
        <f>IF(Table13132[[#This Row],[Dog ID]]="","",(VLOOKUP(Table13132[[#This Row],[Dog ID]],Started!C$45:$AU86,45,FALSE)))</f>
        <v/>
      </c>
    </row>
    <row r="119" spans="1:19" ht="30" customHeight="1" x14ac:dyDescent="0.45">
      <c r="A119" s="49">
        <v>14</v>
      </c>
      <c r="B119" s="49" t="str">
        <f>IF(OR(VLOOKUP(Table113[[#This Row],[Ln'#]],Started!A$45:AU$74,7,FALSE)="E",VLOOKUP(Table113[[#This Row],[Ln'#]],Started!A$45:AU$74,7,FALSE)="FEO"),"Entered or FEO","Not Entered")</f>
        <v>Not Entered</v>
      </c>
      <c r="C119" s="50" t="str">
        <f t="shared" ca="1" si="3"/>
        <v/>
      </c>
      <c r="D119" s="48"/>
      <c r="E119" s="48"/>
      <c r="F119" s="48"/>
      <c r="G119" s="48" t="str">
        <f>IF(Table113[[#This Row],[Status]]="Not Entered","",VLOOKUP(Table113[[#This Row],[Ln'#]],Started!$A$45:$AU$74,3,FALSE))</f>
        <v/>
      </c>
      <c r="H119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9" s="51" t="str">
        <f>IF(Table113[[#This Row],[Status]]="Not Entered","",VLOOKUP(Table113[[#This Row],[Ln'#]],Started!$A$45:$BB$74,47,FALSE))</f>
        <v/>
      </c>
      <c r="K119" s="49">
        <v>14</v>
      </c>
      <c r="L119" s="144" t="str">
        <f>IF(OR(VLOOKUP(Table13132[[#This Row],[Ln'#]],Started!A$45:AU$74,7,FALSE)="E",VLOOKUP(Table13132[[#This Row],[Ln'#]],Started!A$45:AU$74,7,FALSE)="FEO"),"x","")</f>
        <v/>
      </c>
      <c r="M119" s="144" t="str">
        <f>IF(OR(VLOOKUP(Table13132[[#This Row],[Ln'#]],Started!A$45:AU$74,15,FALSE)="E",VLOOKUP(Table13132[[#This Row],[Ln'#]],Started!A$45:AU$74,15,FALSE)="FEO"),"x","")</f>
        <v/>
      </c>
      <c r="N119" s="48"/>
      <c r="O119" s="48"/>
      <c r="P119" s="48"/>
      <c r="Q119" s="48" t="str">
        <f>IF(AND(Table13132[[#This Row],[Status Container]]="",Table13132[[#This Row],[Status Interior]]=""),"",VLOOKUP(Table13132[[#This Row],[Ln'#]],Started!$A$45:$AU$74,3,FALSE))</f>
        <v/>
      </c>
      <c r="R119" s="51" t="str">
        <f>IF(Table13132[[#This Row],[Dog ID]]="","",(VLOOKUP(Table13132[[#This Row],[Dog ID]],Started!C$45:$D$74,2,FALSE)&amp;" - " &amp;VLOOKUP(Table13132[[#This Row],[Dog ID]],'SDDA Dogs'!A:C,3,FALSE)))</f>
        <v/>
      </c>
      <c r="S119" s="51" t="str">
        <f>IF(Table13132[[#This Row],[Dog ID]]="","",(VLOOKUP(Table13132[[#This Row],[Dog ID]],Started!C$45:$AU87,45,FALSE)))</f>
        <v/>
      </c>
    </row>
    <row r="120" spans="1:19" ht="30" customHeight="1" x14ac:dyDescent="0.45">
      <c r="A120" s="49">
        <v>15</v>
      </c>
      <c r="B120" s="49" t="str">
        <f>IF(OR(VLOOKUP(Table113[[#This Row],[Ln'#]],Started!A$45:AU$74,7,FALSE)="E",VLOOKUP(Table113[[#This Row],[Ln'#]],Started!A$45:AU$74,7,FALSE)="FEO"),"Entered or FEO","Not Entered")</f>
        <v>Not Entered</v>
      </c>
      <c r="C120" s="50" t="str">
        <f t="shared" ca="1" si="3"/>
        <v/>
      </c>
      <c r="D120" s="48"/>
      <c r="E120" s="48"/>
      <c r="F120" s="48"/>
      <c r="G120" s="48" t="str">
        <f>IF(Table113[[#This Row],[Status]]="Not Entered","",VLOOKUP(Table113[[#This Row],[Ln'#]],Started!$A$45:$AU$74,3,FALSE))</f>
        <v/>
      </c>
      <c r="H120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0" s="51" t="str">
        <f>IF(Table113[[#This Row],[Status]]="Not Entered","",VLOOKUP(Table113[[#This Row],[Ln'#]],Started!$A$45:$BB$74,47,FALSE))</f>
        <v/>
      </c>
      <c r="K120" s="49">
        <v>15</v>
      </c>
      <c r="L120" s="144" t="str">
        <f>IF(OR(VLOOKUP(Table13132[[#This Row],[Ln'#]],Started!A$45:AU$74,7,FALSE)="E",VLOOKUP(Table13132[[#This Row],[Ln'#]],Started!A$45:AU$74,7,FALSE)="FEO"),"x","")</f>
        <v/>
      </c>
      <c r="M120" s="144" t="str">
        <f>IF(OR(VLOOKUP(Table13132[[#This Row],[Ln'#]],Started!A$45:AU$74,15,FALSE)="E",VLOOKUP(Table13132[[#This Row],[Ln'#]],Started!A$45:AU$74,15,FALSE)="FEO"),"x","")</f>
        <v/>
      </c>
      <c r="N120" s="48"/>
      <c r="O120" s="48"/>
      <c r="P120" s="48"/>
      <c r="Q120" s="48" t="str">
        <f>IF(AND(Table13132[[#This Row],[Status Container]]="",Table13132[[#This Row],[Status Interior]]=""),"",VLOOKUP(Table13132[[#This Row],[Ln'#]],Started!$A$45:$AU$74,3,FALSE))</f>
        <v/>
      </c>
      <c r="R120" s="51" t="str">
        <f>IF(Table13132[[#This Row],[Dog ID]]="","",(VLOOKUP(Table13132[[#This Row],[Dog ID]],Started!C$45:$D$74,2,FALSE)&amp;" - " &amp;VLOOKUP(Table13132[[#This Row],[Dog ID]],'SDDA Dogs'!A:C,3,FALSE)))</f>
        <v/>
      </c>
      <c r="S120" s="51" t="str">
        <f>IF(Table13132[[#This Row],[Dog ID]]="","",(VLOOKUP(Table13132[[#This Row],[Dog ID]],Started!C$45:$AU88,45,FALSE)))</f>
        <v/>
      </c>
    </row>
    <row r="121" spans="1:19" ht="30" customHeight="1" x14ac:dyDescent="0.45">
      <c r="A121" s="49">
        <v>16</v>
      </c>
      <c r="B121" s="49" t="str">
        <f>IF(OR(VLOOKUP(Table113[[#This Row],[Ln'#]],Started!A$45:AU$74,7,FALSE)="E",VLOOKUP(Table113[[#This Row],[Ln'#]],Started!A$45:AU$74,7,FALSE)="FEO"),"Entered or FEO","Not Entered")</f>
        <v>Not Entered</v>
      </c>
      <c r="C121" s="50" t="str">
        <f t="shared" ca="1" si="3"/>
        <v/>
      </c>
      <c r="D121" s="48"/>
      <c r="E121" s="48"/>
      <c r="F121" s="48"/>
      <c r="G121" s="48" t="str">
        <f>IF(Table113[[#This Row],[Status]]="Not Entered","",VLOOKUP(Table113[[#This Row],[Ln'#]],Started!$A$45:$AU$74,3,FALSE))</f>
        <v/>
      </c>
      <c r="H121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1" s="51" t="str">
        <f>IF(Table113[[#This Row],[Status]]="Not Entered","",VLOOKUP(Table113[[#This Row],[Ln'#]],Started!$A$45:$BB$74,47,FALSE))</f>
        <v/>
      </c>
      <c r="K121" s="49">
        <v>16</v>
      </c>
      <c r="L121" s="144" t="str">
        <f>IF(OR(VLOOKUP(Table13132[[#This Row],[Ln'#]],Started!A$45:AU$74,7,FALSE)="E",VLOOKUP(Table13132[[#This Row],[Ln'#]],Started!A$45:AU$74,7,FALSE)="FEO"),"x","")</f>
        <v/>
      </c>
      <c r="M121" s="144" t="str">
        <f>IF(OR(VLOOKUP(Table13132[[#This Row],[Ln'#]],Started!A$45:AU$74,15,FALSE)="E",VLOOKUP(Table13132[[#This Row],[Ln'#]],Started!A$45:AU$74,15,FALSE)="FEO"),"x","")</f>
        <v/>
      </c>
      <c r="N121" s="48"/>
      <c r="O121" s="48"/>
      <c r="P121" s="48"/>
      <c r="Q121" s="48" t="str">
        <f>IF(AND(Table13132[[#This Row],[Status Container]]="",Table13132[[#This Row],[Status Interior]]=""),"",VLOOKUP(Table13132[[#This Row],[Ln'#]],Started!$A$45:$AU$74,3,FALSE))</f>
        <v/>
      </c>
      <c r="R121" s="51" t="str">
        <f>IF(Table13132[[#This Row],[Dog ID]]="","",(VLOOKUP(Table13132[[#This Row],[Dog ID]],Started!C$45:$D$74,2,FALSE)&amp;" - " &amp;VLOOKUP(Table13132[[#This Row],[Dog ID]],'SDDA Dogs'!A:C,3,FALSE)))</f>
        <v/>
      </c>
      <c r="S121" s="51" t="str">
        <f>IF(Table13132[[#This Row],[Dog ID]]="","",(VLOOKUP(Table13132[[#This Row],[Dog ID]],Started!C$45:$AU89,45,FALSE)))</f>
        <v/>
      </c>
    </row>
    <row r="122" spans="1:19" ht="30" customHeight="1" x14ac:dyDescent="0.45">
      <c r="A122" s="49">
        <v>17</v>
      </c>
      <c r="B122" s="49" t="str">
        <f>IF(OR(VLOOKUP(Table113[[#This Row],[Ln'#]],Started!A$45:AU$74,7,FALSE)="E",VLOOKUP(Table113[[#This Row],[Ln'#]],Started!A$45:AU$74,7,FALSE)="FEO"),"Entered or FEO","Not Entered")</f>
        <v>Not Entered</v>
      </c>
      <c r="C122" s="50" t="str">
        <f t="shared" ca="1" si="3"/>
        <v/>
      </c>
      <c r="D122" s="48"/>
      <c r="E122" s="48"/>
      <c r="F122" s="48"/>
      <c r="G122" s="48" t="str">
        <f>IF(Table113[[#This Row],[Status]]="Not Entered","",VLOOKUP(Table113[[#This Row],[Ln'#]],Started!$A$45:$AU$74,3,FALSE))</f>
        <v/>
      </c>
      <c r="H122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2" s="51" t="str">
        <f>IF(Table113[[#This Row],[Status]]="Not Entered","",VLOOKUP(Table113[[#This Row],[Ln'#]],Started!$A$45:$BB$74,47,FALSE))</f>
        <v/>
      </c>
      <c r="K122" s="49">
        <v>17</v>
      </c>
      <c r="L122" s="144" t="str">
        <f>IF(OR(VLOOKUP(Table13132[[#This Row],[Ln'#]],Started!A$45:AU$74,7,FALSE)="E",VLOOKUP(Table13132[[#This Row],[Ln'#]],Started!A$45:AU$74,7,FALSE)="FEO"),"x","")</f>
        <v/>
      </c>
      <c r="M122" s="144" t="str">
        <f>IF(OR(VLOOKUP(Table13132[[#This Row],[Ln'#]],Started!A$45:AU$74,15,FALSE)="E",VLOOKUP(Table13132[[#This Row],[Ln'#]],Started!A$45:AU$74,15,FALSE)="FEO"),"x","")</f>
        <v/>
      </c>
      <c r="N122" s="48"/>
      <c r="O122" s="48"/>
      <c r="P122" s="48"/>
      <c r="Q122" s="48" t="str">
        <f>IF(AND(Table13132[[#This Row],[Status Container]]="",Table13132[[#This Row],[Status Interior]]=""),"",VLOOKUP(Table13132[[#This Row],[Ln'#]],Started!$A$45:$AU$74,3,FALSE))</f>
        <v/>
      </c>
      <c r="R122" s="51" t="str">
        <f>IF(Table13132[[#This Row],[Dog ID]]="","",(VLOOKUP(Table13132[[#This Row],[Dog ID]],Started!C$45:$D$74,2,FALSE)&amp;" - " &amp;VLOOKUP(Table13132[[#This Row],[Dog ID]],'SDDA Dogs'!A:C,3,FALSE)))</f>
        <v/>
      </c>
      <c r="S122" s="51" t="str">
        <f>IF(Table13132[[#This Row],[Dog ID]]="","",(VLOOKUP(Table13132[[#This Row],[Dog ID]],Started!C$45:$AU90,45,FALSE)))</f>
        <v/>
      </c>
    </row>
    <row r="123" spans="1:19" ht="30" customHeight="1" x14ac:dyDescent="0.45">
      <c r="A123" s="49">
        <v>18</v>
      </c>
      <c r="B123" s="49" t="str">
        <f>IF(OR(VLOOKUP(Table113[[#This Row],[Ln'#]],Started!A$45:AU$74,7,FALSE)="E",VLOOKUP(Table113[[#This Row],[Ln'#]],Started!A$45:AU$74,7,FALSE)="FEO"),"Entered or FEO","Not Entered")</f>
        <v>Not Entered</v>
      </c>
      <c r="C123" s="50" t="str">
        <f t="shared" ca="1" si="3"/>
        <v/>
      </c>
      <c r="D123" s="48"/>
      <c r="E123" s="48"/>
      <c r="F123" s="48"/>
      <c r="G123" s="48" t="str">
        <f>IF(Table113[[#This Row],[Status]]="Not Entered","",VLOOKUP(Table113[[#This Row],[Ln'#]],Started!$A$45:$AU$74,3,FALSE))</f>
        <v/>
      </c>
      <c r="H123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3" s="51" t="str">
        <f>IF(Table113[[#This Row],[Status]]="Not Entered","",VLOOKUP(Table113[[#This Row],[Ln'#]],Started!$A$45:$BB$74,47,FALSE))</f>
        <v/>
      </c>
      <c r="K123" s="49">
        <v>18</v>
      </c>
      <c r="L123" s="144" t="str">
        <f>IF(OR(VLOOKUP(Table13132[[#This Row],[Ln'#]],Started!A$45:AU$74,7,FALSE)="E",VLOOKUP(Table13132[[#This Row],[Ln'#]],Started!A$45:AU$74,7,FALSE)="FEO"),"x","")</f>
        <v/>
      </c>
      <c r="M123" s="144" t="str">
        <f>IF(OR(VLOOKUP(Table13132[[#This Row],[Ln'#]],Started!A$45:AU$74,15,FALSE)="E",VLOOKUP(Table13132[[#This Row],[Ln'#]],Started!A$45:AU$74,15,FALSE)="FEO"),"x","")</f>
        <v/>
      </c>
      <c r="N123" s="48"/>
      <c r="O123" s="48"/>
      <c r="P123" s="48"/>
      <c r="Q123" s="48" t="str">
        <f>IF(AND(Table13132[[#This Row],[Status Container]]="",Table13132[[#This Row],[Status Interior]]=""),"",VLOOKUP(Table13132[[#This Row],[Ln'#]],Started!$A$45:$AU$74,3,FALSE))</f>
        <v/>
      </c>
      <c r="R123" s="51" t="str">
        <f>IF(Table13132[[#This Row],[Dog ID]]="","",(VLOOKUP(Table13132[[#This Row],[Dog ID]],Started!C$45:$D$74,2,FALSE)&amp;" - " &amp;VLOOKUP(Table13132[[#This Row],[Dog ID]],'SDDA Dogs'!A:C,3,FALSE)))</f>
        <v/>
      </c>
      <c r="S123" s="51" t="str">
        <f>IF(Table13132[[#This Row],[Dog ID]]="","",(VLOOKUP(Table13132[[#This Row],[Dog ID]],Started!C$45:$AU91,45,FALSE)))</f>
        <v/>
      </c>
    </row>
    <row r="124" spans="1:19" ht="30" customHeight="1" x14ac:dyDescent="0.45">
      <c r="A124" s="49">
        <v>19</v>
      </c>
      <c r="B124" s="49" t="str">
        <f>IF(OR(VLOOKUP(Table113[[#This Row],[Ln'#]],Started!A$45:AU$74,7,FALSE)="E",VLOOKUP(Table113[[#This Row],[Ln'#]],Started!A$45:AU$74,7,FALSE)="FEO"),"Entered or FEO","Not Entered")</f>
        <v>Not Entered</v>
      </c>
      <c r="C124" s="50" t="str">
        <f t="shared" ca="1" si="3"/>
        <v/>
      </c>
      <c r="D124" s="48"/>
      <c r="E124" s="48"/>
      <c r="F124" s="48"/>
      <c r="G124" s="48" t="str">
        <f>IF(Table113[[#This Row],[Status]]="Not Entered","",VLOOKUP(Table113[[#This Row],[Ln'#]],Started!$A$45:$AU$74,3,FALSE))</f>
        <v/>
      </c>
      <c r="H124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4" s="51" t="str">
        <f>IF(Table113[[#This Row],[Status]]="Not Entered","",VLOOKUP(Table113[[#This Row],[Ln'#]],Started!$A$45:$BB$74,47,FALSE))</f>
        <v/>
      </c>
      <c r="K124" s="49">
        <v>19</v>
      </c>
      <c r="L124" s="144" t="str">
        <f>IF(OR(VLOOKUP(Table13132[[#This Row],[Ln'#]],Started!A$45:AU$74,7,FALSE)="E",VLOOKUP(Table13132[[#This Row],[Ln'#]],Started!A$45:AU$74,7,FALSE)="FEO"),"x","")</f>
        <v/>
      </c>
      <c r="M124" s="144" t="str">
        <f>IF(OR(VLOOKUP(Table13132[[#This Row],[Ln'#]],Started!A$45:AU$74,15,FALSE)="E",VLOOKUP(Table13132[[#This Row],[Ln'#]],Started!A$45:AU$74,15,FALSE)="FEO"),"x","")</f>
        <v/>
      </c>
      <c r="N124" s="48"/>
      <c r="O124" s="48"/>
      <c r="P124" s="48"/>
      <c r="Q124" s="48" t="str">
        <f>IF(AND(Table13132[[#This Row],[Status Container]]="",Table13132[[#This Row],[Status Interior]]=""),"",VLOOKUP(Table13132[[#This Row],[Ln'#]],Started!$A$45:$AU$74,3,FALSE))</f>
        <v/>
      </c>
      <c r="R124" s="51" t="str">
        <f>IF(Table13132[[#This Row],[Dog ID]]="","",(VLOOKUP(Table13132[[#This Row],[Dog ID]],Started!C$45:$D$74,2,FALSE)&amp;" - " &amp;VLOOKUP(Table13132[[#This Row],[Dog ID]],'SDDA Dogs'!A:C,3,FALSE)))</f>
        <v/>
      </c>
      <c r="S124" s="51" t="str">
        <f>IF(Table13132[[#This Row],[Dog ID]]="","",(VLOOKUP(Table13132[[#This Row],[Dog ID]],Started!C$45:$AU92,45,FALSE)))</f>
        <v/>
      </c>
    </row>
    <row r="125" spans="1:19" ht="30" customHeight="1" x14ac:dyDescent="0.45">
      <c r="A125" s="49">
        <v>20</v>
      </c>
      <c r="B125" s="49" t="str">
        <f>IF(OR(VLOOKUP(Table113[[#This Row],[Ln'#]],Started!A$45:AU$74,7,FALSE)="E",VLOOKUP(Table113[[#This Row],[Ln'#]],Started!A$45:AU$74,7,FALSE)="FEO"),"Entered or FEO","Not Entered")</f>
        <v>Not Entered</v>
      </c>
      <c r="C125" s="50" t="str">
        <f t="shared" ca="1" si="3"/>
        <v/>
      </c>
      <c r="D125" s="48"/>
      <c r="E125" s="48"/>
      <c r="F125" s="48"/>
      <c r="G125" s="48" t="str">
        <f>IF(Table113[[#This Row],[Status]]="Not Entered","",VLOOKUP(Table113[[#This Row],[Ln'#]],Started!$A$45:$AU$74,3,FALSE))</f>
        <v/>
      </c>
      <c r="H125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5" s="51" t="str">
        <f>IF(Table113[[#This Row],[Status]]="Not Entered","",VLOOKUP(Table113[[#This Row],[Ln'#]],Started!$A$45:$BB$74,47,FALSE))</f>
        <v/>
      </c>
      <c r="K125" s="49">
        <v>20</v>
      </c>
      <c r="L125" s="144" t="str">
        <f>IF(OR(VLOOKUP(Table13132[[#This Row],[Ln'#]],Started!A$45:AU$74,7,FALSE)="E",VLOOKUP(Table13132[[#This Row],[Ln'#]],Started!A$45:AU$74,7,FALSE)="FEO"),"x","")</f>
        <v/>
      </c>
      <c r="M125" s="144" t="str">
        <f>IF(OR(VLOOKUP(Table13132[[#This Row],[Ln'#]],Started!A$45:AU$74,15,FALSE)="E",VLOOKUP(Table13132[[#This Row],[Ln'#]],Started!A$45:AU$74,15,FALSE)="FEO"),"x","")</f>
        <v/>
      </c>
      <c r="N125" s="48"/>
      <c r="O125" s="48"/>
      <c r="P125" s="48"/>
      <c r="Q125" s="48" t="str">
        <f>IF(AND(Table13132[[#This Row],[Status Container]]="",Table13132[[#This Row],[Status Interior]]=""),"",VLOOKUP(Table13132[[#This Row],[Ln'#]],Started!$A$45:$AU$74,3,FALSE))</f>
        <v/>
      </c>
      <c r="R125" s="51" t="str">
        <f>IF(Table13132[[#This Row],[Dog ID]]="","",(VLOOKUP(Table13132[[#This Row],[Dog ID]],Started!C$45:$D$74,2,FALSE)&amp;" - " &amp;VLOOKUP(Table13132[[#This Row],[Dog ID]],'SDDA Dogs'!A:C,3,FALSE)))</f>
        <v/>
      </c>
      <c r="S125" s="51" t="str">
        <f>IF(Table13132[[#This Row],[Dog ID]]="","",(VLOOKUP(Table13132[[#This Row],[Dog ID]],Started!C$45:$AU93,45,FALSE)))</f>
        <v/>
      </c>
    </row>
    <row r="126" spans="1:19" ht="30" customHeight="1" x14ac:dyDescent="0.45">
      <c r="A126" s="49">
        <v>21</v>
      </c>
      <c r="B126" s="49" t="str">
        <f>IF(OR(VLOOKUP(Table113[[#This Row],[Ln'#]],Started!A$45:AU$74,7,FALSE)="E",VLOOKUP(Table113[[#This Row],[Ln'#]],Started!A$45:AU$74,7,FALSE)="FEO"),"Entered or FEO","Not Entered")</f>
        <v>Not Entered</v>
      </c>
      <c r="C126" s="50" t="str">
        <f t="shared" ca="1" si="3"/>
        <v/>
      </c>
      <c r="D126" s="48"/>
      <c r="E126" s="48"/>
      <c r="F126" s="48"/>
      <c r="G126" s="48" t="str">
        <f>IF(Table113[[#This Row],[Status]]="Not Entered","",VLOOKUP(Table113[[#This Row],[Ln'#]],Started!$A$45:$AU$74,3,FALSE))</f>
        <v/>
      </c>
      <c r="H126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6" s="51" t="str">
        <f>IF(Table113[[#This Row],[Status]]="Not Entered","",VLOOKUP(Table113[[#This Row],[Ln'#]],Started!$A$45:$BB$74,47,FALSE))</f>
        <v/>
      </c>
      <c r="K126" s="49">
        <v>21</v>
      </c>
      <c r="L126" s="144" t="str">
        <f>IF(OR(VLOOKUP(Table13132[[#This Row],[Ln'#]],Started!A$45:AU$74,7,FALSE)="E",VLOOKUP(Table13132[[#This Row],[Ln'#]],Started!A$45:AU$74,7,FALSE)="FEO"),"x","")</f>
        <v/>
      </c>
      <c r="M126" s="144" t="str">
        <f>IF(OR(VLOOKUP(Table13132[[#This Row],[Ln'#]],Started!A$45:AU$74,15,FALSE)="E",VLOOKUP(Table13132[[#This Row],[Ln'#]],Started!A$45:AU$74,15,FALSE)="FEO"),"x","")</f>
        <v/>
      </c>
      <c r="N126" s="48"/>
      <c r="O126" s="48"/>
      <c r="P126" s="48"/>
      <c r="Q126" s="48" t="str">
        <f>IF(AND(Table13132[[#This Row],[Status Container]]="",Table13132[[#This Row],[Status Interior]]=""),"",VLOOKUP(Table13132[[#This Row],[Ln'#]],Started!$A$45:$AU$74,3,FALSE))</f>
        <v/>
      </c>
      <c r="R126" s="51" t="str">
        <f>IF(Table13132[[#This Row],[Dog ID]]="","",(VLOOKUP(Table13132[[#This Row],[Dog ID]],Started!C$45:$D$74,2,FALSE)&amp;" - " &amp;VLOOKUP(Table13132[[#This Row],[Dog ID]],'SDDA Dogs'!A:C,3,FALSE)))</f>
        <v/>
      </c>
      <c r="S126" s="51" t="str">
        <f>IF(Table13132[[#This Row],[Dog ID]]="","",(VLOOKUP(Table13132[[#This Row],[Dog ID]],Started!C$45:$AU94,45,FALSE)))</f>
        <v/>
      </c>
    </row>
    <row r="127" spans="1:19" ht="30" customHeight="1" x14ac:dyDescent="0.45">
      <c r="A127" s="49">
        <v>22</v>
      </c>
      <c r="B127" s="49" t="str">
        <f>IF(OR(VLOOKUP(Table113[[#This Row],[Ln'#]],Started!A$45:AU$74,7,FALSE)="E",VLOOKUP(Table113[[#This Row],[Ln'#]],Started!A$45:AU$74,7,FALSE)="FEO"),"Entered or FEO","Not Entered")</f>
        <v>Not Entered</v>
      </c>
      <c r="C127" s="50" t="str">
        <f t="shared" ca="1" si="3"/>
        <v/>
      </c>
      <c r="D127" s="48"/>
      <c r="E127" s="48"/>
      <c r="F127" s="48"/>
      <c r="G127" s="48" t="str">
        <f>IF(Table113[[#This Row],[Status]]="Not Entered","",VLOOKUP(Table113[[#This Row],[Ln'#]],Started!$A$45:$AU$74,3,FALSE))</f>
        <v/>
      </c>
      <c r="H127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7" s="51" t="str">
        <f>IF(Table113[[#This Row],[Status]]="Not Entered","",VLOOKUP(Table113[[#This Row],[Ln'#]],Started!$A$45:$BB$74,47,FALSE))</f>
        <v/>
      </c>
      <c r="K127" s="49">
        <v>22</v>
      </c>
      <c r="L127" s="144" t="str">
        <f>IF(OR(VLOOKUP(Table13132[[#This Row],[Ln'#]],Started!A$45:AU$74,7,FALSE)="E",VLOOKUP(Table13132[[#This Row],[Ln'#]],Started!A$45:AU$74,7,FALSE)="FEO"),"x","")</f>
        <v/>
      </c>
      <c r="M127" s="144" t="str">
        <f>IF(OR(VLOOKUP(Table13132[[#This Row],[Ln'#]],Started!A$45:AU$74,15,FALSE)="E",VLOOKUP(Table13132[[#This Row],[Ln'#]],Started!A$45:AU$74,15,FALSE)="FEO"),"x","")</f>
        <v/>
      </c>
      <c r="N127" s="48"/>
      <c r="O127" s="48"/>
      <c r="P127" s="48"/>
      <c r="Q127" s="48" t="str">
        <f>IF(AND(Table13132[[#This Row],[Status Container]]="",Table13132[[#This Row],[Status Interior]]=""),"",VLOOKUP(Table13132[[#This Row],[Ln'#]],Started!$A$45:$AU$74,3,FALSE))</f>
        <v/>
      </c>
      <c r="R127" s="51" t="str">
        <f>IF(Table13132[[#This Row],[Dog ID]]="","",(VLOOKUP(Table13132[[#This Row],[Dog ID]],Started!C$45:$D$74,2,FALSE)&amp;" - " &amp;VLOOKUP(Table13132[[#This Row],[Dog ID]],'SDDA Dogs'!A:C,3,FALSE)))</f>
        <v/>
      </c>
      <c r="S127" s="51" t="str">
        <f>IF(Table13132[[#This Row],[Dog ID]]="","",(VLOOKUP(Table13132[[#This Row],[Dog ID]],Started!C$45:$AU95,45,FALSE)))</f>
        <v/>
      </c>
    </row>
    <row r="128" spans="1:19" ht="30" customHeight="1" x14ac:dyDescent="0.45">
      <c r="A128" s="49">
        <v>23</v>
      </c>
      <c r="B128" s="49" t="str">
        <f>IF(OR(VLOOKUP(Table113[[#This Row],[Ln'#]],Started!A$45:AU$74,7,FALSE)="E",VLOOKUP(Table113[[#This Row],[Ln'#]],Started!A$45:AU$74,7,FALSE)="FEO"),"Entered or FEO","Not Entered")</f>
        <v>Not Entered</v>
      </c>
      <c r="C128" s="50" t="str">
        <f t="shared" ca="1" si="3"/>
        <v/>
      </c>
      <c r="D128" s="48"/>
      <c r="E128" s="48"/>
      <c r="F128" s="48"/>
      <c r="G128" s="48" t="str">
        <f>IF(Table113[[#This Row],[Status]]="Not Entered","",VLOOKUP(Table113[[#This Row],[Ln'#]],Started!$A$45:$AU$74,3,FALSE))</f>
        <v/>
      </c>
      <c r="H128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8" s="51" t="str">
        <f>IF(Table113[[#This Row],[Status]]="Not Entered","",VLOOKUP(Table113[[#This Row],[Ln'#]],Started!$A$45:$BB$74,47,FALSE))</f>
        <v/>
      </c>
      <c r="K128" s="49">
        <v>23</v>
      </c>
      <c r="L128" s="144" t="str">
        <f>IF(OR(VLOOKUP(Table13132[[#This Row],[Ln'#]],Started!A$45:AU$74,7,FALSE)="E",VLOOKUP(Table13132[[#This Row],[Ln'#]],Started!A$45:AU$74,7,FALSE)="FEO"),"x","")</f>
        <v/>
      </c>
      <c r="M128" s="144" t="str">
        <f>IF(OR(VLOOKUP(Table13132[[#This Row],[Ln'#]],Started!A$45:AU$74,15,FALSE)="E",VLOOKUP(Table13132[[#This Row],[Ln'#]],Started!A$45:AU$74,15,FALSE)="FEO"),"x","")</f>
        <v/>
      </c>
      <c r="N128" s="48"/>
      <c r="O128" s="48"/>
      <c r="P128" s="48"/>
      <c r="Q128" s="48" t="str">
        <f>IF(AND(Table13132[[#This Row],[Status Container]]="",Table13132[[#This Row],[Status Interior]]=""),"",VLOOKUP(Table13132[[#This Row],[Ln'#]],Started!$A$45:$AU$74,3,FALSE))</f>
        <v/>
      </c>
      <c r="R128" s="51" t="str">
        <f>IF(Table13132[[#This Row],[Dog ID]]="","",(VLOOKUP(Table13132[[#This Row],[Dog ID]],Started!C$45:$D$74,2,FALSE)&amp;" - " &amp;VLOOKUP(Table13132[[#This Row],[Dog ID]],'SDDA Dogs'!A:C,3,FALSE)))</f>
        <v/>
      </c>
      <c r="S128" s="51" t="str">
        <f>IF(Table13132[[#This Row],[Dog ID]]="","",(VLOOKUP(Table13132[[#This Row],[Dog ID]],Started!C$45:$AU96,45,FALSE)))</f>
        <v/>
      </c>
    </row>
    <row r="129" spans="1:19" ht="30" customHeight="1" x14ac:dyDescent="0.45">
      <c r="A129" s="49">
        <v>24</v>
      </c>
      <c r="B129" s="49" t="str">
        <f>IF(OR(VLOOKUP(Table113[[#This Row],[Ln'#]],Started!A$45:AU$74,7,FALSE)="E",VLOOKUP(Table113[[#This Row],[Ln'#]],Started!A$45:AU$74,7,FALSE)="FEO"),"Entered or FEO","Not Entered")</f>
        <v>Not Entered</v>
      </c>
      <c r="C129" s="50" t="str">
        <f t="shared" ca="1" si="3"/>
        <v/>
      </c>
      <c r="D129" s="48"/>
      <c r="E129" s="48"/>
      <c r="F129" s="48"/>
      <c r="G129" s="48" t="str">
        <f>IF(Table113[[#This Row],[Status]]="Not Entered","",VLOOKUP(Table113[[#This Row],[Ln'#]],Started!$A$45:$AU$74,3,FALSE))</f>
        <v/>
      </c>
      <c r="H129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9" s="51" t="str">
        <f>IF(Table113[[#This Row],[Status]]="Not Entered","",VLOOKUP(Table113[[#This Row],[Ln'#]],Started!$A$45:$BB$74,47,FALSE))</f>
        <v/>
      </c>
      <c r="K129" s="49">
        <v>24</v>
      </c>
      <c r="L129" s="144" t="str">
        <f>IF(OR(VLOOKUP(Table13132[[#This Row],[Ln'#]],Started!A$45:AU$74,7,FALSE)="E",VLOOKUP(Table13132[[#This Row],[Ln'#]],Started!A$45:AU$74,7,FALSE)="FEO"),"x","")</f>
        <v/>
      </c>
      <c r="M129" s="144" t="str">
        <f>IF(OR(VLOOKUP(Table13132[[#This Row],[Ln'#]],Started!A$45:AU$74,15,FALSE)="E",VLOOKUP(Table13132[[#This Row],[Ln'#]],Started!A$45:AU$74,15,FALSE)="FEO"),"x","")</f>
        <v/>
      </c>
      <c r="N129" s="48"/>
      <c r="O129" s="48"/>
      <c r="P129" s="48"/>
      <c r="Q129" s="48" t="str">
        <f>IF(AND(Table13132[[#This Row],[Status Container]]="",Table13132[[#This Row],[Status Interior]]=""),"",VLOOKUP(Table13132[[#This Row],[Ln'#]],Started!$A$45:$AU$74,3,FALSE))</f>
        <v/>
      </c>
      <c r="R129" s="51" t="str">
        <f>IF(Table13132[[#This Row],[Dog ID]]="","",(VLOOKUP(Table13132[[#This Row],[Dog ID]],Started!C$45:$D$74,2,FALSE)&amp;" - " &amp;VLOOKUP(Table13132[[#This Row],[Dog ID]],'SDDA Dogs'!A:C,3,FALSE)))</f>
        <v/>
      </c>
      <c r="S129" s="51" t="str">
        <f>IF(Table13132[[#This Row],[Dog ID]]="","",(VLOOKUP(Table13132[[#This Row],[Dog ID]],Started!C$45:$AU97,45,FALSE)))</f>
        <v/>
      </c>
    </row>
    <row r="130" spans="1:19" ht="30" customHeight="1" x14ac:dyDescent="0.45">
      <c r="A130" s="49">
        <v>25</v>
      </c>
      <c r="B130" s="49" t="str">
        <f>IF(OR(VLOOKUP(Table113[[#This Row],[Ln'#]],Started!A$45:AU$74,7,FALSE)="E",VLOOKUP(Table113[[#This Row],[Ln'#]],Started!A$45:AU$74,7,FALSE)="FEO"),"Entered or FEO","Not Entered")</f>
        <v>Not Entered</v>
      </c>
      <c r="C130" s="50" t="str">
        <f t="shared" ca="1" si="3"/>
        <v/>
      </c>
      <c r="D130" s="48"/>
      <c r="E130" s="48"/>
      <c r="F130" s="48"/>
      <c r="G130" s="48" t="str">
        <f>IF(Table113[[#This Row],[Status]]="Not Entered","",VLOOKUP(Table113[[#This Row],[Ln'#]],Started!$A$45:$AU$74,3,FALSE))</f>
        <v/>
      </c>
      <c r="H130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0" s="51" t="str">
        <f>IF(Table113[[#This Row],[Status]]="Not Entered","",VLOOKUP(Table113[[#This Row],[Ln'#]],Started!$A$45:$BB$74,47,FALSE))</f>
        <v/>
      </c>
      <c r="K130" s="49">
        <v>25</v>
      </c>
      <c r="L130" s="144" t="str">
        <f>IF(OR(VLOOKUP(Table13132[[#This Row],[Ln'#]],Started!A$45:AU$74,7,FALSE)="E",VLOOKUP(Table13132[[#This Row],[Ln'#]],Started!A$45:AU$74,7,FALSE)="FEO"),"x","")</f>
        <v/>
      </c>
      <c r="M130" s="144" t="str">
        <f>IF(OR(VLOOKUP(Table13132[[#This Row],[Ln'#]],Started!A$45:AU$74,15,FALSE)="E",VLOOKUP(Table13132[[#This Row],[Ln'#]],Started!A$45:AU$74,15,FALSE)="FEO"),"x","")</f>
        <v/>
      </c>
      <c r="N130" s="48"/>
      <c r="O130" s="48"/>
      <c r="P130" s="48"/>
      <c r="Q130" s="48" t="str">
        <f>IF(AND(Table13132[[#This Row],[Status Container]]="",Table13132[[#This Row],[Status Interior]]=""),"",VLOOKUP(Table13132[[#This Row],[Ln'#]],Started!$A$45:$AU$74,3,FALSE))</f>
        <v/>
      </c>
      <c r="R130" s="51" t="str">
        <f>IF(Table13132[[#This Row],[Dog ID]]="","",(VLOOKUP(Table13132[[#This Row],[Dog ID]],Started!C$45:$D$74,2,FALSE)&amp;" - " &amp;VLOOKUP(Table13132[[#This Row],[Dog ID]],'SDDA Dogs'!A:C,3,FALSE)))</f>
        <v/>
      </c>
      <c r="S130" s="51" t="str">
        <f>IF(Table13132[[#This Row],[Dog ID]]="","",(VLOOKUP(Table13132[[#This Row],[Dog ID]],Started!C$45:$AU98,45,FALSE)))</f>
        <v/>
      </c>
    </row>
    <row r="131" spans="1:19" ht="30" customHeight="1" x14ac:dyDescent="0.45">
      <c r="A131" s="49">
        <v>26</v>
      </c>
      <c r="B131" s="49" t="str">
        <f>IF(OR(VLOOKUP(Table113[[#This Row],[Ln'#]],Started!A$45:AU$74,7,FALSE)="E",VLOOKUP(Table113[[#This Row],[Ln'#]],Started!A$45:AU$74,7,FALSE)="FEO"),"Entered or FEO","Not Entered")</f>
        <v>Not Entered</v>
      </c>
      <c r="C131" s="50" t="str">
        <f t="shared" ca="1" si="3"/>
        <v/>
      </c>
      <c r="D131" s="48"/>
      <c r="E131" s="48"/>
      <c r="F131" s="48"/>
      <c r="G131" s="48" t="str">
        <f>IF(Table113[[#This Row],[Status]]="Not Entered","",VLOOKUP(Table113[[#This Row],[Ln'#]],Started!$A$45:$AU$74,3,FALSE))</f>
        <v/>
      </c>
      <c r="H131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1" s="51" t="str">
        <f>IF(Table113[[#This Row],[Status]]="Not Entered","",VLOOKUP(Table113[[#This Row],[Ln'#]],Started!$A$45:$BB$74,47,FALSE))</f>
        <v/>
      </c>
      <c r="K131" s="49">
        <v>26</v>
      </c>
      <c r="L131" s="144" t="str">
        <f>IF(OR(VLOOKUP(Table13132[[#This Row],[Ln'#]],Started!A$45:AU$74,7,FALSE)="E",VLOOKUP(Table13132[[#This Row],[Ln'#]],Started!A$45:AU$74,7,FALSE)="FEO"),"x","")</f>
        <v/>
      </c>
      <c r="M131" s="144" t="str">
        <f>IF(OR(VLOOKUP(Table13132[[#This Row],[Ln'#]],Started!A$45:AU$74,15,FALSE)="E",VLOOKUP(Table13132[[#This Row],[Ln'#]],Started!A$45:AU$74,15,FALSE)="FEO"),"x","")</f>
        <v/>
      </c>
      <c r="N131" s="48"/>
      <c r="O131" s="48"/>
      <c r="P131" s="48"/>
      <c r="Q131" s="48" t="str">
        <f>IF(AND(Table13132[[#This Row],[Status Container]]="",Table13132[[#This Row],[Status Interior]]=""),"",VLOOKUP(Table13132[[#This Row],[Ln'#]],Started!$A$45:$AU$74,3,FALSE))</f>
        <v/>
      </c>
      <c r="R131" s="51" t="str">
        <f>IF(Table13132[[#This Row],[Dog ID]]="","",(VLOOKUP(Table13132[[#This Row],[Dog ID]],Started!C$45:$D$74,2,FALSE)&amp;" - " &amp;VLOOKUP(Table13132[[#This Row],[Dog ID]],'SDDA Dogs'!A:C,3,FALSE)))</f>
        <v/>
      </c>
      <c r="S131" s="51" t="str">
        <f>IF(Table13132[[#This Row],[Dog ID]]="","",(VLOOKUP(Table13132[[#This Row],[Dog ID]],Started!C$45:$AU99,45,FALSE)))</f>
        <v/>
      </c>
    </row>
    <row r="132" spans="1:19" ht="30" customHeight="1" x14ac:dyDescent="0.45">
      <c r="A132" s="49">
        <v>27</v>
      </c>
      <c r="B132" s="49" t="str">
        <f>IF(OR(VLOOKUP(Table113[[#This Row],[Ln'#]],Started!A$45:AU$74,7,FALSE)="E",VLOOKUP(Table113[[#This Row],[Ln'#]],Started!A$45:AU$74,7,FALSE)="FEO"),"Entered or FEO","Not Entered")</f>
        <v>Not Entered</v>
      </c>
      <c r="C132" s="50" t="str">
        <f t="shared" ca="1" si="3"/>
        <v/>
      </c>
      <c r="D132" s="48"/>
      <c r="E132" s="48"/>
      <c r="F132" s="48"/>
      <c r="G132" s="48" t="str">
        <f>IF(Table113[[#This Row],[Status]]="Not Entered","",VLOOKUP(Table113[[#This Row],[Ln'#]],Started!$A$45:$AU$74,3,FALSE))</f>
        <v/>
      </c>
      <c r="H132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2" s="51" t="str">
        <f>IF(Table113[[#This Row],[Status]]="Not Entered","",VLOOKUP(Table113[[#This Row],[Ln'#]],Started!$A$45:$BB$74,47,FALSE))</f>
        <v/>
      </c>
      <c r="K132" s="49">
        <v>27</v>
      </c>
      <c r="L132" s="144" t="str">
        <f>IF(OR(VLOOKUP(Table13132[[#This Row],[Ln'#]],Started!A$45:AU$74,7,FALSE)="E",VLOOKUP(Table13132[[#This Row],[Ln'#]],Started!A$45:AU$74,7,FALSE)="FEO"),"x","")</f>
        <v/>
      </c>
      <c r="M132" s="144" t="str">
        <f>IF(OR(VLOOKUP(Table13132[[#This Row],[Ln'#]],Started!A$45:AU$74,15,FALSE)="E",VLOOKUP(Table13132[[#This Row],[Ln'#]],Started!A$45:AU$74,15,FALSE)="FEO"),"x","")</f>
        <v/>
      </c>
      <c r="N132" s="48"/>
      <c r="O132" s="48"/>
      <c r="P132" s="48"/>
      <c r="Q132" s="48" t="str">
        <f>IF(AND(Table13132[[#This Row],[Status Container]]="",Table13132[[#This Row],[Status Interior]]=""),"",VLOOKUP(Table13132[[#This Row],[Ln'#]],Started!$A$45:$AU$74,3,FALSE))</f>
        <v/>
      </c>
      <c r="R132" s="51" t="str">
        <f>IF(Table13132[[#This Row],[Dog ID]]="","",(VLOOKUP(Table13132[[#This Row],[Dog ID]],Started!C$45:$D$74,2,FALSE)&amp;" - " &amp;VLOOKUP(Table13132[[#This Row],[Dog ID]],'SDDA Dogs'!A:C,3,FALSE)))</f>
        <v/>
      </c>
      <c r="S132" s="51" t="str">
        <f>IF(Table13132[[#This Row],[Dog ID]]="","",(VLOOKUP(Table13132[[#This Row],[Dog ID]],Started!C$45:$AU100,45,FALSE)))</f>
        <v/>
      </c>
    </row>
    <row r="133" spans="1:19" ht="30" customHeight="1" x14ac:dyDescent="0.45">
      <c r="A133" s="49">
        <v>28</v>
      </c>
      <c r="B133" s="49" t="str">
        <f>IF(OR(VLOOKUP(Table113[[#This Row],[Ln'#]],Started!A$45:AU$74,7,FALSE)="E",VLOOKUP(Table113[[#This Row],[Ln'#]],Started!A$45:AU$74,7,FALSE)="FEO"),"Entered or FEO","Not Entered")</f>
        <v>Not Entered</v>
      </c>
      <c r="C133" s="50" t="str">
        <f t="shared" ca="1" si="3"/>
        <v/>
      </c>
      <c r="D133" s="48"/>
      <c r="E133" s="48"/>
      <c r="F133" s="48"/>
      <c r="G133" s="48" t="str">
        <f>IF(Table113[[#This Row],[Status]]="Not Entered","",VLOOKUP(Table113[[#This Row],[Ln'#]],Started!$A$45:$AU$74,3,FALSE))</f>
        <v/>
      </c>
      <c r="H133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3" s="51" t="str">
        <f>IF(Table113[[#This Row],[Status]]="Not Entered","",VLOOKUP(Table113[[#This Row],[Ln'#]],Started!$A$45:$BB$74,47,FALSE))</f>
        <v/>
      </c>
      <c r="K133" s="49">
        <v>28</v>
      </c>
      <c r="L133" s="144" t="str">
        <f>IF(OR(VLOOKUP(Table13132[[#This Row],[Ln'#]],Started!A$45:AU$74,7,FALSE)="E",VLOOKUP(Table13132[[#This Row],[Ln'#]],Started!A$45:AU$74,7,FALSE)="FEO"),"x","")</f>
        <v/>
      </c>
      <c r="M133" s="144" t="str">
        <f>IF(OR(VLOOKUP(Table13132[[#This Row],[Ln'#]],Started!A$45:AU$74,15,FALSE)="E",VLOOKUP(Table13132[[#This Row],[Ln'#]],Started!A$45:AU$74,15,FALSE)="FEO"),"x","")</f>
        <v/>
      </c>
      <c r="N133" s="48"/>
      <c r="O133" s="48"/>
      <c r="P133" s="48"/>
      <c r="Q133" s="48" t="str">
        <f>IF(AND(Table13132[[#This Row],[Status Container]]="",Table13132[[#This Row],[Status Interior]]=""),"",VLOOKUP(Table13132[[#This Row],[Ln'#]],Started!$A$45:$AU$74,3,FALSE))</f>
        <v/>
      </c>
      <c r="R133" s="51" t="str">
        <f>IF(Table13132[[#This Row],[Dog ID]]="","",(VLOOKUP(Table13132[[#This Row],[Dog ID]],Started!C$45:$D$74,2,FALSE)&amp;" - " &amp;VLOOKUP(Table13132[[#This Row],[Dog ID]],'SDDA Dogs'!A:C,3,FALSE)))</f>
        <v/>
      </c>
      <c r="S133" s="51" t="str">
        <f>IF(Table13132[[#This Row],[Dog ID]]="","",(VLOOKUP(Table13132[[#This Row],[Dog ID]],Started!C$45:$AU101,45,FALSE)))</f>
        <v/>
      </c>
    </row>
    <row r="134" spans="1:19" ht="30" customHeight="1" x14ac:dyDescent="0.45">
      <c r="A134" s="49">
        <v>29</v>
      </c>
      <c r="B134" s="49" t="str">
        <f>IF(OR(VLOOKUP(Table113[[#This Row],[Ln'#]],Started!A$45:AU$74,7,FALSE)="E",VLOOKUP(Table113[[#This Row],[Ln'#]],Started!A$45:AU$74,7,FALSE)="FEO"),"Entered or FEO","Not Entered")</f>
        <v>Not Entered</v>
      </c>
      <c r="C134" s="50" t="str">
        <f t="shared" ca="1" si="3"/>
        <v/>
      </c>
      <c r="D134" s="48"/>
      <c r="E134" s="48"/>
      <c r="F134" s="48"/>
      <c r="G134" s="48" t="str">
        <f>IF(Table113[[#This Row],[Status]]="Not Entered","",VLOOKUP(Table113[[#This Row],[Ln'#]],Started!$A$45:$AU$74,3,FALSE))</f>
        <v/>
      </c>
      <c r="H134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4" s="51" t="str">
        <f>IF(Table113[[#This Row],[Status]]="Not Entered","",VLOOKUP(Table113[[#This Row],[Ln'#]],Started!$A$45:$BB$74,47,FALSE))</f>
        <v/>
      </c>
      <c r="K134" s="49">
        <v>29</v>
      </c>
      <c r="L134" s="144" t="str">
        <f>IF(OR(VLOOKUP(Table13132[[#This Row],[Ln'#]],Started!A$45:AU$74,7,FALSE)="E",VLOOKUP(Table13132[[#This Row],[Ln'#]],Started!A$45:AU$74,7,FALSE)="FEO"),"x","")</f>
        <v/>
      </c>
      <c r="M134" s="144" t="str">
        <f>IF(OR(VLOOKUP(Table13132[[#This Row],[Ln'#]],Started!A$45:AU$74,15,FALSE)="E",VLOOKUP(Table13132[[#This Row],[Ln'#]],Started!A$45:AU$74,15,FALSE)="FEO"),"x","")</f>
        <v/>
      </c>
      <c r="N134" s="48"/>
      <c r="O134" s="48"/>
      <c r="P134" s="48"/>
      <c r="Q134" s="48" t="str">
        <f>IF(AND(Table13132[[#This Row],[Status Container]]="",Table13132[[#This Row],[Status Interior]]=""),"",VLOOKUP(Table13132[[#This Row],[Ln'#]],Started!$A$45:$AU$74,3,FALSE))</f>
        <v/>
      </c>
      <c r="R134" s="51" t="str">
        <f>IF(Table13132[[#This Row],[Dog ID]]="","",(VLOOKUP(Table13132[[#This Row],[Dog ID]],Started!C$45:$D$74,2,FALSE)&amp;" - " &amp;VLOOKUP(Table13132[[#This Row],[Dog ID]],'SDDA Dogs'!A:C,3,FALSE)))</f>
        <v/>
      </c>
      <c r="S134" s="51" t="str">
        <f>IF(Table13132[[#This Row],[Dog ID]]="","",(VLOOKUP(Table13132[[#This Row],[Dog ID]],Started!C$45:$AU102,45,FALSE)))</f>
        <v/>
      </c>
    </row>
    <row r="135" spans="1:19" ht="30" customHeight="1" x14ac:dyDescent="0.45">
      <c r="A135" s="49">
        <v>30</v>
      </c>
      <c r="B135" s="49" t="str">
        <f>IF(OR(VLOOKUP(Table113[[#This Row],[Ln'#]],Started!A$45:AU$74,7,FALSE)="E",VLOOKUP(Table113[[#This Row],[Ln'#]],Started!A$45:AU$74,7,FALSE)="FEO"),"Entered or FEO","Not Entered")</f>
        <v>Not Entered</v>
      </c>
      <c r="C135" s="50" t="str">
        <f t="shared" ca="1" si="3"/>
        <v/>
      </c>
      <c r="D135" s="48"/>
      <c r="E135" s="48"/>
      <c r="F135" s="48"/>
      <c r="G135" s="48" t="str">
        <f>IF(Table113[[#This Row],[Status]]="Not Entered","",VLOOKUP(Table113[[#This Row],[Ln'#]],Started!$A$45:$AU$74,3,FALSE))</f>
        <v/>
      </c>
      <c r="H135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5" s="51" t="str">
        <f>IF(Table113[[#This Row],[Status]]="Not Entered","",VLOOKUP(Table113[[#This Row],[Ln'#]],Started!$A$45:$BB$74,47,FALSE))</f>
        <v/>
      </c>
      <c r="K135" s="49">
        <v>30</v>
      </c>
      <c r="L135" s="144" t="str">
        <f>IF(OR(VLOOKUP(Table13132[[#This Row],[Ln'#]],Started!A$45:AU$74,7,FALSE)="E",VLOOKUP(Table13132[[#This Row],[Ln'#]],Started!A$45:AU$74,7,FALSE)="FEO"),"x","")</f>
        <v/>
      </c>
      <c r="M135" s="144" t="str">
        <f>IF(OR(VLOOKUP(Table13132[[#This Row],[Ln'#]],Started!A$45:AU$74,15,FALSE)="E",VLOOKUP(Table13132[[#This Row],[Ln'#]],Started!A$45:AU$74,15,FALSE)="FEO"),"x","")</f>
        <v/>
      </c>
      <c r="N135" s="48"/>
      <c r="O135" s="48"/>
      <c r="P135" s="48"/>
      <c r="Q135" s="48" t="str">
        <f>IF(AND(Table13132[[#This Row],[Status Container]]="",Table13132[[#This Row],[Status Interior]]=""),"",VLOOKUP(Table13132[[#This Row],[Ln'#]],Started!$A$45:$AU$74,3,FALSE))</f>
        <v/>
      </c>
      <c r="R135" s="51" t="str">
        <f>IF(Table13132[[#This Row],[Dog ID]]="","",(VLOOKUP(Table13132[[#This Row],[Dog ID]],Started!C$45:$D$74,2,FALSE)&amp;" - " &amp;VLOOKUP(Table13132[[#This Row],[Dog ID]],'SDDA Dogs'!A:C,3,FALSE)))</f>
        <v/>
      </c>
      <c r="S135" s="51" t="str">
        <f>IF(Table13132[[#This Row],[Dog ID]]="","",(VLOOKUP(Table13132[[#This Row],[Dog ID]],Started!C$45:$AU103,45,FALSE)))</f>
        <v/>
      </c>
    </row>
    <row r="136" spans="1:19" ht="30" customHeight="1" x14ac:dyDescent="0.4">
      <c r="A136" s="48"/>
      <c r="B136" s="48"/>
      <c r="C136" s="48"/>
      <c r="D136" s="48" t="s">
        <v>1141</v>
      </c>
      <c r="E136" s="48">
        <f>SUBTOTAL(102,Table113[Running Order])</f>
        <v>0</v>
      </c>
      <c r="F136" s="48"/>
      <c r="G136" s="48"/>
      <c r="H136" s="51"/>
      <c r="I136" s="51"/>
      <c r="K136" s="48"/>
      <c r="L136" s="48"/>
      <c r="M136" s="48"/>
      <c r="N136" s="48" t="s">
        <v>1141</v>
      </c>
      <c r="O136" s="48">
        <f>SUBTOTAL(102,Table13132[Running Order])</f>
        <v>0</v>
      </c>
      <c r="P136" s="48"/>
      <c r="Q136" s="48"/>
      <c r="R136" s="51"/>
      <c r="S136" s="51"/>
    </row>
    <row r="138" spans="1:19" ht="30" customHeight="1" x14ac:dyDescent="0.4">
      <c r="A138" s="402" t="s">
        <v>1143</v>
      </c>
      <c r="B138" s="402"/>
      <c r="C138" s="43"/>
      <c r="D138" s="403" t="s">
        <v>1564</v>
      </c>
      <c r="E138" s="403"/>
      <c r="F138" s="403"/>
      <c r="G138" s="403"/>
      <c r="H138" s="403"/>
      <c r="I138" s="403"/>
      <c r="K138" s="23" t="s">
        <v>1143</v>
      </c>
      <c r="L138" s="403" t="s">
        <v>2498</v>
      </c>
      <c r="M138" s="403"/>
      <c r="N138" s="403"/>
      <c r="O138" s="403"/>
      <c r="P138" s="403"/>
      <c r="Q138" s="403"/>
      <c r="R138" s="403"/>
      <c r="S138" s="403"/>
    </row>
    <row r="139" spans="1:19" ht="47.25" x14ac:dyDescent="0.4">
      <c r="A139" s="67" t="s">
        <v>605</v>
      </c>
      <c r="B139" s="67" t="s">
        <v>1139</v>
      </c>
      <c r="C139" s="68" t="s">
        <v>1140</v>
      </c>
      <c r="D139" s="67" t="s">
        <v>1142</v>
      </c>
      <c r="E139" s="67" t="s">
        <v>1135</v>
      </c>
      <c r="F139" s="67" t="s">
        <v>1188</v>
      </c>
      <c r="G139" s="67" t="s">
        <v>1136</v>
      </c>
      <c r="H139" s="69" t="s">
        <v>1207</v>
      </c>
      <c r="I139" s="69" t="s">
        <v>1137</v>
      </c>
      <c r="K139" s="67" t="s">
        <v>605</v>
      </c>
      <c r="L139" s="67" t="s">
        <v>2493</v>
      </c>
      <c r="M139" s="67" t="s">
        <v>2496</v>
      </c>
      <c r="N139" s="67" t="s">
        <v>1142</v>
      </c>
      <c r="O139" s="67" t="s">
        <v>1135</v>
      </c>
      <c r="P139" s="67" t="s">
        <v>1188</v>
      </c>
      <c r="Q139" s="67" t="s">
        <v>1136</v>
      </c>
      <c r="R139" s="69" t="s">
        <v>1207</v>
      </c>
      <c r="S139" s="69" t="s">
        <v>1137</v>
      </c>
    </row>
    <row r="140" spans="1:19" ht="30" customHeight="1" x14ac:dyDescent="0.45">
      <c r="A140" s="49">
        <v>1</v>
      </c>
      <c r="B140" s="49" t="str">
        <f>IF(OR(VLOOKUP(Table1714[[#This Row],[Ln'#]],Started!A$45:AU$74,15,FALSE)="E",VLOOKUP(Table1714[[#This Row],[Ln'#]],Started!A$45:AU$74,15,FALSE)="FEO"),"Entered or FEO","Not Entered")</f>
        <v>Not Entered</v>
      </c>
      <c r="C140" s="50" t="str">
        <f t="shared" ref="C140:C169" ca="1" si="4">IF(OR(B140="e",B140="FEO"),RAND(),"")</f>
        <v/>
      </c>
      <c r="D140" s="48"/>
      <c r="E140" s="48"/>
      <c r="F140" s="48"/>
      <c r="G140" s="48" t="str">
        <f>IF(Table1714[[#This Row],[Status]]="Not Entered","",VLOOKUP(Table1714[[#This Row],[Ln'#]],Started!$A$45:$AU$74,3,FALSE))</f>
        <v/>
      </c>
      <c r="H140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0" s="51" t="str">
        <f>IF(Table1714[[#This Row],[Status]]="Not Entered","",VLOOKUP(Table1714[[#This Row],[Ln'#]],Started!$A$45:$BB$74,47,FALSE))</f>
        <v/>
      </c>
      <c r="K140" s="49">
        <v>1</v>
      </c>
      <c r="L140" s="144" t="str">
        <f>IF(OR(VLOOKUP(Table1313033[[#This Row],[Ln'#]],Started!A$45:AU$74,7,FALSE)="E",VLOOKUP(Table1313033[[#This Row],[Ln'#]],Started!A$45:AU$74,7,FALSE)="FEO"),"x","")</f>
        <v/>
      </c>
      <c r="M140" s="144" t="str">
        <f>IF(OR(VLOOKUP(Table1313033[[#This Row],[Ln'#]],Started!A$45:AU$74,23,FALSE)="E",VLOOKUP(Table1313033[[#This Row],[Ln'#]],Started!A$45:AU$74,23,FALSE)="FEO"),"x","")</f>
        <v/>
      </c>
      <c r="N140" s="48"/>
      <c r="O140" s="48"/>
      <c r="P140" s="48"/>
      <c r="Q140" s="48" t="str">
        <f>IF(AND(Table1313033[[#This Row],[Status Container]]="",Table1313033[[#This Row],[Status Exterior]]=""),"",VLOOKUP(Table1313033[[#This Row],[Ln'#]],Started!$A$45:$AU$74,3,FALSE))</f>
        <v/>
      </c>
      <c r="R140" s="51" t="str">
        <f>IF(Table1313033[[#This Row],[Dog ID]]="","",(VLOOKUP(Table1313033[[#This Row],[Dog ID]],Started!C$45:$D$74,2,FALSE)&amp;" - " &amp;VLOOKUP(Table1313033[[#This Row],[Dog ID]],'SDDA Dogs'!A:C,3,FALSE)))</f>
        <v/>
      </c>
      <c r="S140" s="51" t="str">
        <f>IF(Table1313033[[#This Row],[Dog ID]]="","",(VLOOKUP(Table1313033[[#This Row],[Dog ID]],Started!C$45:$AU74,45,FALSE)))</f>
        <v/>
      </c>
    </row>
    <row r="141" spans="1:19" ht="30" customHeight="1" x14ac:dyDescent="0.45">
      <c r="A141" s="49">
        <v>2</v>
      </c>
      <c r="B141" s="49" t="str">
        <f>IF(OR(VLOOKUP(Table1714[[#This Row],[Ln'#]],Started!A$45:AU$74,15,FALSE)="E",VLOOKUP(Table1714[[#This Row],[Ln'#]],Started!A$45:AU$74,15,FALSE)="FEO"),"Entered or FEO","Not Entered")</f>
        <v>Not Entered</v>
      </c>
      <c r="C141" s="50" t="str">
        <f t="shared" ca="1" si="4"/>
        <v/>
      </c>
      <c r="D141" s="48"/>
      <c r="E141" s="48"/>
      <c r="F141" s="48"/>
      <c r="G141" s="48" t="str">
        <f>IF(Table1714[[#This Row],[Status]]="Not Entered","",VLOOKUP(Table1714[[#This Row],[Ln'#]],Started!$A$45:$AU$74,3,FALSE))</f>
        <v/>
      </c>
      <c r="H141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1" s="51" t="str">
        <f>IF(Table1714[[#This Row],[Status]]="Not Entered","",VLOOKUP(Table1714[[#This Row],[Ln'#]],Started!$A$45:$BB$74,47,FALSE))</f>
        <v/>
      </c>
      <c r="K141" s="49">
        <v>2</v>
      </c>
      <c r="L141" s="144" t="str">
        <f>IF(OR(VLOOKUP(Table1313033[[#This Row],[Ln'#]],Started!A$45:AU$74,7,FALSE)="E",VLOOKUP(Table1313033[[#This Row],[Ln'#]],Started!A$45:AU$74,7,FALSE)="FEO"),"x","")</f>
        <v/>
      </c>
      <c r="M141" s="144" t="str">
        <f>IF(OR(VLOOKUP(Table1313033[[#This Row],[Ln'#]],Started!A$45:AU$74,23,FALSE)="E",VLOOKUP(Table1313033[[#This Row],[Ln'#]],Started!A$45:AU$74,23,FALSE)="FEO"),"x","")</f>
        <v/>
      </c>
      <c r="N141" s="48"/>
      <c r="O141" s="48"/>
      <c r="P141" s="48"/>
      <c r="Q141" s="48" t="str">
        <f>IF(AND(Table1313033[[#This Row],[Status Container]]="",Table1313033[[#This Row],[Status Exterior]]=""),"",VLOOKUP(Table1313033[[#This Row],[Ln'#]],Started!$A$45:$AU$74,3,FALSE))</f>
        <v/>
      </c>
      <c r="R141" s="51" t="str">
        <f>IF(Table1313033[[#This Row],[Dog ID]]="","",(VLOOKUP(Table1313033[[#This Row],[Dog ID]],Started!C$45:$D$74,2,FALSE)&amp;" - " &amp;VLOOKUP(Table1313033[[#This Row],[Dog ID]],'SDDA Dogs'!A:C,3,FALSE)))</f>
        <v/>
      </c>
      <c r="S141" s="51" t="str">
        <f>IF(Table1313033[[#This Row],[Dog ID]]="","",(VLOOKUP(Table1313033[[#This Row],[Dog ID]],Started!C$45:$AU75,45,FALSE)))</f>
        <v/>
      </c>
    </row>
    <row r="142" spans="1:19" ht="30" customHeight="1" x14ac:dyDescent="0.45">
      <c r="A142" s="49">
        <v>3</v>
      </c>
      <c r="B142" s="49" t="str">
        <f>IF(OR(VLOOKUP(Table1714[[#This Row],[Ln'#]],Started!A$45:AU$74,15,FALSE)="E",VLOOKUP(Table1714[[#This Row],[Ln'#]],Started!A$45:AU$74,15,FALSE)="FEO"),"Entered or FEO","Not Entered")</f>
        <v>Not Entered</v>
      </c>
      <c r="C142" s="50" t="str">
        <f t="shared" ca="1" si="4"/>
        <v/>
      </c>
      <c r="D142" s="48"/>
      <c r="E142" s="48"/>
      <c r="F142" s="48"/>
      <c r="G142" s="48" t="str">
        <f>IF(Table1714[[#This Row],[Status]]="Not Entered","",VLOOKUP(Table1714[[#This Row],[Ln'#]],Started!$A$45:$AU$74,3,FALSE))</f>
        <v/>
      </c>
      <c r="H142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2" s="51" t="str">
        <f>IF(Table1714[[#This Row],[Status]]="Not Entered","",VLOOKUP(Table1714[[#This Row],[Ln'#]],Started!$A$45:$BB$74,47,FALSE))</f>
        <v/>
      </c>
      <c r="K142" s="49">
        <v>3</v>
      </c>
      <c r="L142" s="144" t="str">
        <f>IF(OR(VLOOKUP(Table1313033[[#This Row],[Ln'#]],Started!A$45:AU$74,7,FALSE)="E",VLOOKUP(Table1313033[[#This Row],[Ln'#]],Started!A$45:AU$74,7,FALSE)="FEO"),"x","")</f>
        <v/>
      </c>
      <c r="M142" s="144" t="str">
        <f>IF(OR(VLOOKUP(Table1313033[[#This Row],[Ln'#]],Started!A$45:AU$74,23,FALSE)="E",VLOOKUP(Table1313033[[#This Row],[Ln'#]],Started!A$45:AU$74,23,FALSE)="FEO"),"x","")</f>
        <v/>
      </c>
      <c r="N142" s="48"/>
      <c r="O142" s="48"/>
      <c r="P142" s="48"/>
      <c r="Q142" s="48" t="str">
        <f>IF(AND(Table1313033[[#This Row],[Status Container]]="",Table1313033[[#This Row],[Status Exterior]]=""),"",VLOOKUP(Table1313033[[#This Row],[Ln'#]],Started!$A$45:$AU$74,3,FALSE))</f>
        <v/>
      </c>
      <c r="R142" s="51" t="str">
        <f>IF(Table1313033[[#This Row],[Dog ID]]="","",(VLOOKUP(Table1313033[[#This Row],[Dog ID]],Started!C$45:$D$74,2,FALSE)&amp;" - " &amp;VLOOKUP(Table1313033[[#This Row],[Dog ID]],'SDDA Dogs'!A:C,3,FALSE)))</f>
        <v/>
      </c>
      <c r="S142" s="51" t="str">
        <f>IF(Table1313033[[#This Row],[Dog ID]]="","",(VLOOKUP(Table1313033[[#This Row],[Dog ID]],Started!C$45:$AU76,45,FALSE)))</f>
        <v/>
      </c>
    </row>
    <row r="143" spans="1:19" ht="30" customHeight="1" x14ac:dyDescent="0.45">
      <c r="A143" s="49">
        <v>4</v>
      </c>
      <c r="B143" s="49" t="str">
        <f>IF(OR(VLOOKUP(Table1714[[#This Row],[Ln'#]],Started!A$45:AU$74,15,FALSE)="E",VLOOKUP(Table1714[[#This Row],[Ln'#]],Started!A$45:AU$74,15,FALSE)="FEO"),"Entered or FEO","Not Entered")</f>
        <v>Not Entered</v>
      </c>
      <c r="C143" s="50" t="str">
        <f t="shared" ca="1" si="4"/>
        <v/>
      </c>
      <c r="D143" s="48"/>
      <c r="E143" s="48"/>
      <c r="F143" s="48"/>
      <c r="G143" s="48" t="str">
        <f>IF(Table1714[[#This Row],[Status]]="Not Entered","",VLOOKUP(Table1714[[#This Row],[Ln'#]],Started!$A$45:$AU$74,3,FALSE))</f>
        <v/>
      </c>
      <c r="H143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3" s="51" t="str">
        <f>IF(Table1714[[#This Row],[Status]]="Not Entered","",VLOOKUP(Table1714[[#This Row],[Ln'#]],Started!$A$45:$BB$74,47,FALSE))</f>
        <v/>
      </c>
      <c r="K143" s="49">
        <v>4</v>
      </c>
      <c r="L143" s="144" t="str">
        <f>IF(OR(VLOOKUP(Table1313033[[#This Row],[Ln'#]],Started!A$45:AU$74,7,FALSE)="E",VLOOKUP(Table1313033[[#This Row],[Ln'#]],Started!A$45:AU$74,7,FALSE)="FEO"),"x","")</f>
        <v/>
      </c>
      <c r="M143" s="144" t="str">
        <f>IF(OR(VLOOKUP(Table1313033[[#This Row],[Ln'#]],Started!A$45:AU$74,23,FALSE)="E",VLOOKUP(Table1313033[[#This Row],[Ln'#]],Started!A$45:AU$74,23,FALSE)="FEO"),"x","")</f>
        <v/>
      </c>
      <c r="N143" s="48"/>
      <c r="O143" s="48"/>
      <c r="P143" s="48"/>
      <c r="Q143" s="48" t="str">
        <f>IF(AND(Table1313033[[#This Row],[Status Container]]="",Table1313033[[#This Row],[Status Exterior]]=""),"",VLOOKUP(Table1313033[[#This Row],[Ln'#]],Started!$A$45:$AU$74,3,FALSE))</f>
        <v/>
      </c>
      <c r="R143" s="51" t="str">
        <f>IF(Table1313033[[#This Row],[Dog ID]]="","",(VLOOKUP(Table1313033[[#This Row],[Dog ID]],Started!C$45:$D$74,2,FALSE)&amp;" - " &amp;VLOOKUP(Table1313033[[#This Row],[Dog ID]],'SDDA Dogs'!A:C,3,FALSE)))</f>
        <v/>
      </c>
      <c r="S143" s="51" t="str">
        <f>IF(Table1313033[[#This Row],[Dog ID]]="","",(VLOOKUP(Table1313033[[#This Row],[Dog ID]],Started!C$45:$AU77,45,FALSE)))</f>
        <v/>
      </c>
    </row>
    <row r="144" spans="1:19" ht="30" customHeight="1" x14ac:dyDescent="0.45">
      <c r="A144" s="49">
        <v>5</v>
      </c>
      <c r="B144" s="49" t="str">
        <f>IF(OR(VLOOKUP(Table1714[[#This Row],[Ln'#]],Started!A$45:AU$74,15,FALSE)="E",VLOOKUP(Table1714[[#This Row],[Ln'#]],Started!A$45:AU$74,15,FALSE)="FEO"),"Entered or FEO","Not Entered")</f>
        <v>Not Entered</v>
      </c>
      <c r="C144" s="50" t="str">
        <f t="shared" ca="1" si="4"/>
        <v/>
      </c>
      <c r="D144" s="48"/>
      <c r="E144" s="48"/>
      <c r="F144" s="48"/>
      <c r="G144" s="48" t="str">
        <f>IF(Table1714[[#This Row],[Status]]="Not Entered","",VLOOKUP(Table1714[[#This Row],[Ln'#]],Started!$A$45:$AU$74,3,FALSE))</f>
        <v/>
      </c>
      <c r="H144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4" s="51" t="str">
        <f>IF(Table1714[[#This Row],[Status]]="Not Entered","",VLOOKUP(Table1714[[#This Row],[Ln'#]],Started!$A$45:$BB$74,47,FALSE))</f>
        <v/>
      </c>
      <c r="K144" s="49">
        <v>5</v>
      </c>
      <c r="L144" s="144" t="str">
        <f>IF(OR(VLOOKUP(Table1313033[[#This Row],[Ln'#]],Started!A$45:AU$74,7,FALSE)="E",VLOOKUP(Table1313033[[#This Row],[Ln'#]],Started!A$45:AU$74,7,FALSE)="FEO"),"x","")</f>
        <v/>
      </c>
      <c r="M144" s="144" t="str">
        <f>IF(OR(VLOOKUP(Table1313033[[#This Row],[Ln'#]],Started!A$45:AU$74,23,FALSE)="E",VLOOKUP(Table1313033[[#This Row],[Ln'#]],Started!A$45:AU$74,23,FALSE)="FEO"),"x","")</f>
        <v/>
      </c>
      <c r="N144" s="48"/>
      <c r="O144" s="48"/>
      <c r="P144" s="48"/>
      <c r="Q144" s="48" t="str">
        <f>IF(AND(Table1313033[[#This Row],[Status Container]]="",Table1313033[[#This Row],[Status Exterior]]=""),"",VLOOKUP(Table1313033[[#This Row],[Ln'#]],Started!$A$45:$AU$74,3,FALSE))</f>
        <v/>
      </c>
      <c r="R144" s="51" t="str">
        <f>IF(Table1313033[[#This Row],[Dog ID]]="","",(VLOOKUP(Table1313033[[#This Row],[Dog ID]],Started!C$45:$D$74,2,FALSE)&amp;" - " &amp;VLOOKUP(Table1313033[[#This Row],[Dog ID]],'SDDA Dogs'!A:C,3,FALSE)))</f>
        <v/>
      </c>
      <c r="S144" s="51" t="str">
        <f>IF(Table1313033[[#This Row],[Dog ID]]="","",(VLOOKUP(Table1313033[[#This Row],[Dog ID]],Started!C$45:$AU78,45,FALSE)))</f>
        <v/>
      </c>
    </row>
    <row r="145" spans="1:19" ht="30" customHeight="1" x14ac:dyDescent="0.45">
      <c r="A145" s="49">
        <v>6</v>
      </c>
      <c r="B145" s="49" t="str">
        <f>IF(OR(VLOOKUP(Table1714[[#This Row],[Ln'#]],Started!A$45:AU$74,15,FALSE)="E",VLOOKUP(Table1714[[#This Row],[Ln'#]],Started!A$45:AU$74,15,FALSE)="FEO"),"Entered or FEO","Not Entered")</f>
        <v>Not Entered</v>
      </c>
      <c r="C145" s="50" t="str">
        <f t="shared" ca="1" si="4"/>
        <v/>
      </c>
      <c r="D145" s="48"/>
      <c r="E145" s="48"/>
      <c r="F145" s="48"/>
      <c r="G145" s="48" t="str">
        <f>IF(Table1714[[#This Row],[Status]]="Not Entered","",VLOOKUP(Table1714[[#This Row],[Ln'#]],Started!$A$45:$AU$74,3,FALSE))</f>
        <v/>
      </c>
      <c r="H145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5" s="51" t="str">
        <f>IF(Table1714[[#This Row],[Status]]="Not Entered","",VLOOKUP(Table1714[[#This Row],[Ln'#]],Started!$A$45:$BB$74,47,FALSE))</f>
        <v/>
      </c>
      <c r="K145" s="49">
        <v>6</v>
      </c>
      <c r="L145" s="144" t="str">
        <f>IF(OR(VLOOKUP(Table1313033[[#This Row],[Ln'#]],Started!A$45:AU$74,7,FALSE)="E",VLOOKUP(Table1313033[[#This Row],[Ln'#]],Started!A$45:AU$74,7,FALSE)="FEO"),"x","")</f>
        <v/>
      </c>
      <c r="M145" s="144" t="str">
        <f>IF(OR(VLOOKUP(Table1313033[[#This Row],[Ln'#]],Started!A$45:AU$74,23,FALSE)="E",VLOOKUP(Table1313033[[#This Row],[Ln'#]],Started!A$45:AU$74,23,FALSE)="FEO"),"x","")</f>
        <v/>
      </c>
      <c r="N145" s="48"/>
      <c r="O145" s="48"/>
      <c r="P145" s="48"/>
      <c r="Q145" s="48" t="str">
        <f>IF(AND(Table1313033[[#This Row],[Status Container]]="",Table1313033[[#This Row],[Status Exterior]]=""),"",VLOOKUP(Table1313033[[#This Row],[Ln'#]],Started!$A$45:$AU$74,3,FALSE))</f>
        <v/>
      </c>
      <c r="R145" s="51" t="str">
        <f>IF(Table1313033[[#This Row],[Dog ID]]="","",(VLOOKUP(Table1313033[[#This Row],[Dog ID]],Started!C$45:$D$74,2,FALSE)&amp;" - " &amp;VLOOKUP(Table1313033[[#This Row],[Dog ID]],'SDDA Dogs'!A:C,3,FALSE)))</f>
        <v/>
      </c>
      <c r="S145" s="51" t="str">
        <f>IF(Table1313033[[#This Row],[Dog ID]]="","",(VLOOKUP(Table1313033[[#This Row],[Dog ID]],Started!C$45:$AU79,45,FALSE)))</f>
        <v/>
      </c>
    </row>
    <row r="146" spans="1:19" ht="30" customHeight="1" x14ac:dyDescent="0.45">
      <c r="A146" s="49">
        <v>7</v>
      </c>
      <c r="B146" s="49" t="str">
        <f>IF(OR(VLOOKUP(Table1714[[#This Row],[Ln'#]],Started!A$45:AU$74,15,FALSE)="E",VLOOKUP(Table1714[[#This Row],[Ln'#]],Started!A$45:AU$74,15,FALSE)="FEO"),"Entered or FEO","Not Entered")</f>
        <v>Not Entered</v>
      </c>
      <c r="C146" s="50" t="str">
        <f t="shared" ca="1" si="4"/>
        <v/>
      </c>
      <c r="D146" s="48"/>
      <c r="E146" s="48"/>
      <c r="F146" s="48"/>
      <c r="G146" s="48" t="str">
        <f>IF(Table1714[[#This Row],[Status]]="Not Entered","",VLOOKUP(Table1714[[#This Row],[Ln'#]],Started!$A$45:$AU$74,3,FALSE))</f>
        <v/>
      </c>
      <c r="H146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6" s="51" t="str">
        <f>IF(Table1714[[#This Row],[Status]]="Not Entered","",VLOOKUP(Table1714[[#This Row],[Ln'#]],Started!$A$45:$BB$74,47,FALSE))</f>
        <v/>
      </c>
      <c r="K146" s="49">
        <v>7</v>
      </c>
      <c r="L146" s="144" t="str">
        <f>IF(OR(VLOOKUP(Table1313033[[#This Row],[Ln'#]],Started!A$45:AU$74,7,FALSE)="E",VLOOKUP(Table1313033[[#This Row],[Ln'#]],Started!A$45:AU$74,7,FALSE)="FEO"),"x","")</f>
        <v/>
      </c>
      <c r="M146" s="144" t="str">
        <f>IF(OR(VLOOKUP(Table1313033[[#This Row],[Ln'#]],Started!A$45:AU$74,23,FALSE)="E",VLOOKUP(Table1313033[[#This Row],[Ln'#]],Started!A$45:AU$74,23,FALSE)="FEO"),"x","")</f>
        <v/>
      </c>
      <c r="N146" s="48"/>
      <c r="O146" s="48"/>
      <c r="P146" s="48"/>
      <c r="Q146" s="48" t="str">
        <f>IF(AND(Table1313033[[#This Row],[Status Container]]="",Table1313033[[#This Row],[Status Exterior]]=""),"",VLOOKUP(Table1313033[[#This Row],[Ln'#]],Started!$A$45:$AU$74,3,FALSE))</f>
        <v/>
      </c>
      <c r="R146" s="51" t="str">
        <f>IF(Table1313033[[#This Row],[Dog ID]]="","",(VLOOKUP(Table1313033[[#This Row],[Dog ID]],Started!C$45:$D$74,2,FALSE)&amp;" - " &amp;VLOOKUP(Table1313033[[#This Row],[Dog ID]],'SDDA Dogs'!A:C,3,FALSE)))</f>
        <v/>
      </c>
      <c r="S146" s="51" t="str">
        <f>IF(Table1313033[[#This Row],[Dog ID]]="","",(VLOOKUP(Table1313033[[#This Row],[Dog ID]],Started!C$45:$AU80,45,FALSE)))</f>
        <v/>
      </c>
    </row>
    <row r="147" spans="1:19" ht="30" customHeight="1" x14ac:dyDescent="0.45">
      <c r="A147" s="49">
        <v>8</v>
      </c>
      <c r="B147" s="49" t="str">
        <f>IF(OR(VLOOKUP(Table1714[[#This Row],[Ln'#]],Started!A$45:AU$74,15,FALSE)="E",VLOOKUP(Table1714[[#This Row],[Ln'#]],Started!A$45:AU$74,15,FALSE)="FEO"),"Entered or FEO","Not Entered")</f>
        <v>Not Entered</v>
      </c>
      <c r="C147" s="50" t="str">
        <f t="shared" ca="1" si="4"/>
        <v/>
      </c>
      <c r="D147" s="48"/>
      <c r="E147" s="48"/>
      <c r="F147" s="48"/>
      <c r="G147" s="48" t="str">
        <f>IF(Table1714[[#This Row],[Status]]="Not Entered","",VLOOKUP(Table1714[[#This Row],[Ln'#]],Started!$A$45:$AU$74,3,FALSE))</f>
        <v/>
      </c>
      <c r="H147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7" s="51" t="str">
        <f>IF(Table1714[[#This Row],[Status]]="Not Entered","",VLOOKUP(Table1714[[#This Row],[Ln'#]],Started!$A$45:$BB$74,47,FALSE))</f>
        <v/>
      </c>
      <c r="K147" s="49">
        <v>8</v>
      </c>
      <c r="L147" s="144" t="str">
        <f>IF(OR(VLOOKUP(Table1313033[[#This Row],[Ln'#]],Started!A$45:AU$74,7,FALSE)="E",VLOOKUP(Table1313033[[#This Row],[Ln'#]],Started!A$45:AU$74,7,FALSE)="FEO"),"x","")</f>
        <v/>
      </c>
      <c r="M147" s="144" t="str">
        <f>IF(OR(VLOOKUP(Table1313033[[#This Row],[Ln'#]],Started!A$45:AU$74,23,FALSE)="E",VLOOKUP(Table1313033[[#This Row],[Ln'#]],Started!A$45:AU$74,23,FALSE)="FEO"),"x","")</f>
        <v/>
      </c>
      <c r="N147" s="48"/>
      <c r="O147" s="48"/>
      <c r="P147" s="48"/>
      <c r="Q147" s="48" t="str">
        <f>IF(AND(Table1313033[[#This Row],[Status Container]]="",Table1313033[[#This Row],[Status Exterior]]=""),"",VLOOKUP(Table1313033[[#This Row],[Ln'#]],Started!$A$45:$AU$74,3,FALSE))</f>
        <v/>
      </c>
      <c r="R147" s="51" t="str">
        <f>IF(Table1313033[[#This Row],[Dog ID]]="","",(VLOOKUP(Table1313033[[#This Row],[Dog ID]],Started!C$45:$D$74,2,FALSE)&amp;" - " &amp;VLOOKUP(Table1313033[[#This Row],[Dog ID]],'SDDA Dogs'!A:C,3,FALSE)))</f>
        <v/>
      </c>
      <c r="S147" s="51" t="str">
        <f>IF(Table1313033[[#This Row],[Dog ID]]="","",(VLOOKUP(Table1313033[[#This Row],[Dog ID]],Started!C$45:$AU81,45,FALSE)))</f>
        <v/>
      </c>
    </row>
    <row r="148" spans="1:19" ht="30" customHeight="1" x14ac:dyDescent="0.45">
      <c r="A148" s="49">
        <v>9</v>
      </c>
      <c r="B148" s="49" t="str">
        <f>IF(OR(VLOOKUP(Table1714[[#This Row],[Ln'#]],Started!A$45:AU$74,15,FALSE)="E",VLOOKUP(Table1714[[#This Row],[Ln'#]],Started!A$45:AU$74,15,FALSE)="FEO"),"Entered or FEO","Not Entered")</f>
        <v>Not Entered</v>
      </c>
      <c r="C148" s="50" t="str">
        <f t="shared" ca="1" si="4"/>
        <v/>
      </c>
      <c r="D148" s="48"/>
      <c r="E148" s="48"/>
      <c r="F148" s="48"/>
      <c r="G148" s="48" t="str">
        <f>IF(Table1714[[#This Row],[Status]]="Not Entered","",VLOOKUP(Table1714[[#This Row],[Ln'#]],Started!$A$45:$AU$74,3,FALSE))</f>
        <v/>
      </c>
      <c r="H148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8" s="51" t="str">
        <f>IF(Table1714[[#This Row],[Status]]="Not Entered","",VLOOKUP(Table1714[[#This Row],[Ln'#]],Started!$A$45:$BB$74,47,FALSE))</f>
        <v/>
      </c>
      <c r="K148" s="49">
        <v>9</v>
      </c>
      <c r="L148" s="144" t="str">
        <f>IF(OR(VLOOKUP(Table1313033[[#This Row],[Ln'#]],Started!A$45:AU$74,7,FALSE)="E",VLOOKUP(Table1313033[[#This Row],[Ln'#]],Started!A$45:AU$74,7,FALSE)="FEO"),"x","")</f>
        <v/>
      </c>
      <c r="M148" s="144" t="str">
        <f>IF(OR(VLOOKUP(Table1313033[[#This Row],[Ln'#]],Started!A$45:AU$74,23,FALSE)="E",VLOOKUP(Table1313033[[#This Row],[Ln'#]],Started!A$45:AU$74,23,FALSE)="FEO"),"x","")</f>
        <v/>
      </c>
      <c r="N148" s="48"/>
      <c r="O148" s="48"/>
      <c r="P148" s="48"/>
      <c r="Q148" s="48" t="str">
        <f>IF(AND(Table1313033[[#This Row],[Status Container]]="",Table1313033[[#This Row],[Status Exterior]]=""),"",VLOOKUP(Table1313033[[#This Row],[Ln'#]],Started!$A$45:$AU$74,3,FALSE))</f>
        <v/>
      </c>
      <c r="R148" s="51" t="str">
        <f>IF(Table1313033[[#This Row],[Dog ID]]="","",(VLOOKUP(Table1313033[[#This Row],[Dog ID]],Started!C$45:$D$74,2,FALSE)&amp;" - " &amp;VLOOKUP(Table1313033[[#This Row],[Dog ID]],'SDDA Dogs'!A:C,3,FALSE)))</f>
        <v/>
      </c>
      <c r="S148" s="51" t="str">
        <f>IF(Table1313033[[#This Row],[Dog ID]]="","",(VLOOKUP(Table1313033[[#This Row],[Dog ID]],Started!C$45:$AU82,45,FALSE)))</f>
        <v/>
      </c>
    </row>
    <row r="149" spans="1:19" ht="30" customHeight="1" x14ac:dyDescent="0.45">
      <c r="A149" s="49">
        <v>10</v>
      </c>
      <c r="B149" s="49" t="str">
        <f>IF(OR(VLOOKUP(Table1714[[#This Row],[Ln'#]],Started!A$45:AU$74,15,FALSE)="E",VLOOKUP(Table1714[[#This Row],[Ln'#]],Started!A$45:AU$74,15,FALSE)="FEO"),"Entered or FEO","Not Entered")</f>
        <v>Not Entered</v>
      </c>
      <c r="C149" s="50" t="str">
        <f t="shared" ca="1" si="4"/>
        <v/>
      </c>
      <c r="D149" s="48"/>
      <c r="E149" s="48"/>
      <c r="F149" s="48"/>
      <c r="G149" s="48" t="str">
        <f>IF(Table1714[[#This Row],[Status]]="Not Entered","",VLOOKUP(Table1714[[#This Row],[Ln'#]],Started!$A$45:$AU$74,3,FALSE))</f>
        <v/>
      </c>
      <c r="H149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9" s="51" t="str">
        <f>IF(Table1714[[#This Row],[Status]]="Not Entered","",VLOOKUP(Table1714[[#This Row],[Ln'#]],Started!$A$45:$BB$74,47,FALSE))</f>
        <v/>
      </c>
      <c r="K149" s="49">
        <v>10</v>
      </c>
      <c r="L149" s="144" t="str">
        <f>IF(OR(VLOOKUP(Table1313033[[#This Row],[Ln'#]],Started!A$45:AU$74,7,FALSE)="E",VLOOKUP(Table1313033[[#This Row],[Ln'#]],Started!A$45:AU$74,7,FALSE)="FEO"),"x","")</f>
        <v/>
      </c>
      <c r="M149" s="144" t="str">
        <f>IF(OR(VLOOKUP(Table1313033[[#This Row],[Ln'#]],Started!A$45:AU$74,23,FALSE)="E",VLOOKUP(Table1313033[[#This Row],[Ln'#]],Started!A$45:AU$74,23,FALSE)="FEO"),"x","")</f>
        <v/>
      </c>
      <c r="N149" s="48"/>
      <c r="O149" s="48"/>
      <c r="P149" s="48"/>
      <c r="Q149" s="48" t="str">
        <f>IF(AND(Table1313033[[#This Row],[Status Container]]="",Table1313033[[#This Row],[Status Exterior]]=""),"",VLOOKUP(Table1313033[[#This Row],[Ln'#]],Started!$A$45:$AU$74,3,FALSE))</f>
        <v/>
      </c>
      <c r="R149" s="51" t="str">
        <f>IF(Table1313033[[#This Row],[Dog ID]]="","",(VLOOKUP(Table1313033[[#This Row],[Dog ID]],Started!C$45:$D$74,2,FALSE)&amp;" - " &amp;VLOOKUP(Table1313033[[#This Row],[Dog ID]],'SDDA Dogs'!A:C,3,FALSE)))</f>
        <v/>
      </c>
      <c r="S149" s="51" t="str">
        <f>IF(Table1313033[[#This Row],[Dog ID]]="","",(VLOOKUP(Table1313033[[#This Row],[Dog ID]],Started!C$45:$AU83,45,FALSE)))</f>
        <v/>
      </c>
    </row>
    <row r="150" spans="1:19" ht="30" customHeight="1" x14ac:dyDescent="0.45">
      <c r="A150" s="49">
        <v>11</v>
      </c>
      <c r="B150" s="49" t="str">
        <f>IF(OR(VLOOKUP(Table1714[[#This Row],[Ln'#]],Started!A$45:AU$74,15,FALSE)="E",VLOOKUP(Table1714[[#This Row],[Ln'#]],Started!A$45:AU$74,15,FALSE)="FEO"),"Entered or FEO","Not Entered")</f>
        <v>Not Entered</v>
      </c>
      <c r="C150" s="50" t="str">
        <f t="shared" ca="1" si="4"/>
        <v/>
      </c>
      <c r="D150" s="48"/>
      <c r="E150" s="48"/>
      <c r="F150" s="48"/>
      <c r="G150" s="48" t="str">
        <f>IF(Table1714[[#This Row],[Status]]="Not Entered","",VLOOKUP(Table1714[[#This Row],[Ln'#]],Started!$A$45:$AU$74,3,FALSE))</f>
        <v/>
      </c>
      <c r="H150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0" s="51" t="str">
        <f>IF(Table1714[[#This Row],[Status]]="Not Entered","",VLOOKUP(Table1714[[#This Row],[Ln'#]],Started!$A$45:$BB$74,47,FALSE))</f>
        <v/>
      </c>
      <c r="K150" s="49">
        <v>11</v>
      </c>
      <c r="L150" s="144" t="str">
        <f>IF(OR(VLOOKUP(Table1313033[[#This Row],[Ln'#]],Started!A$45:AU$74,7,FALSE)="E",VLOOKUP(Table1313033[[#This Row],[Ln'#]],Started!A$45:AU$74,7,FALSE)="FEO"),"x","")</f>
        <v/>
      </c>
      <c r="M150" s="144" t="str">
        <f>IF(OR(VLOOKUP(Table1313033[[#This Row],[Ln'#]],Started!A$45:AU$74,23,FALSE)="E",VLOOKUP(Table1313033[[#This Row],[Ln'#]],Started!A$45:AU$74,23,FALSE)="FEO"),"x","")</f>
        <v/>
      </c>
      <c r="N150" s="48"/>
      <c r="O150" s="48"/>
      <c r="P150" s="48"/>
      <c r="Q150" s="48" t="str">
        <f>IF(AND(Table1313033[[#This Row],[Status Container]]="",Table1313033[[#This Row],[Status Exterior]]=""),"",VLOOKUP(Table1313033[[#This Row],[Ln'#]],Started!$A$45:$AU$74,3,FALSE))</f>
        <v/>
      </c>
      <c r="R150" s="51" t="str">
        <f>IF(Table1313033[[#This Row],[Dog ID]]="","",(VLOOKUP(Table1313033[[#This Row],[Dog ID]],Started!C$45:$D$74,2,FALSE)&amp;" - " &amp;VLOOKUP(Table1313033[[#This Row],[Dog ID]],'SDDA Dogs'!A:C,3,FALSE)))</f>
        <v/>
      </c>
      <c r="S150" s="51" t="str">
        <f>IF(Table1313033[[#This Row],[Dog ID]]="","",(VLOOKUP(Table1313033[[#This Row],[Dog ID]],Started!C$45:$AU84,45,FALSE)))</f>
        <v/>
      </c>
    </row>
    <row r="151" spans="1:19" ht="30" customHeight="1" x14ac:dyDescent="0.45">
      <c r="A151" s="49">
        <v>12</v>
      </c>
      <c r="B151" s="49" t="str">
        <f>IF(OR(VLOOKUP(Table1714[[#This Row],[Ln'#]],Started!A$45:AU$74,15,FALSE)="E",VLOOKUP(Table1714[[#This Row],[Ln'#]],Started!A$45:AU$74,15,FALSE)="FEO"),"Entered or FEO","Not Entered")</f>
        <v>Not Entered</v>
      </c>
      <c r="C151" s="50" t="str">
        <f t="shared" ca="1" si="4"/>
        <v/>
      </c>
      <c r="D151" s="48"/>
      <c r="E151" s="48"/>
      <c r="F151" s="48"/>
      <c r="G151" s="48" t="str">
        <f>IF(Table1714[[#This Row],[Status]]="Not Entered","",VLOOKUP(Table1714[[#This Row],[Ln'#]],Started!$A$45:$AU$74,3,FALSE))</f>
        <v/>
      </c>
      <c r="H151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1" s="51" t="str">
        <f>IF(Table1714[[#This Row],[Status]]="Not Entered","",VLOOKUP(Table1714[[#This Row],[Ln'#]],Started!$A$45:$BB$74,47,FALSE))</f>
        <v/>
      </c>
      <c r="K151" s="49">
        <v>12</v>
      </c>
      <c r="L151" s="144" t="str">
        <f>IF(OR(VLOOKUP(Table1313033[[#This Row],[Ln'#]],Started!A$45:AU$74,7,FALSE)="E",VLOOKUP(Table1313033[[#This Row],[Ln'#]],Started!A$45:AU$74,7,FALSE)="FEO"),"x","")</f>
        <v/>
      </c>
      <c r="M151" s="144" t="str">
        <f>IF(OR(VLOOKUP(Table1313033[[#This Row],[Ln'#]],Started!A$45:AU$74,23,FALSE)="E",VLOOKUP(Table1313033[[#This Row],[Ln'#]],Started!A$45:AU$74,23,FALSE)="FEO"),"x","")</f>
        <v/>
      </c>
      <c r="N151" s="48"/>
      <c r="O151" s="48"/>
      <c r="P151" s="48"/>
      <c r="Q151" s="48" t="str">
        <f>IF(AND(Table1313033[[#This Row],[Status Container]]="",Table1313033[[#This Row],[Status Exterior]]=""),"",VLOOKUP(Table1313033[[#This Row],[Ln'#]],Started!$A$45:$AU$74,3,FALSE))</f>
        <v/>
      </c>
      <c r="R151" s="51" t="str">
        <f>IF(Table1313033[[#This Row],[Dog ID]]="","",(VLOOKUP(Table1313033[[#This Row],[Dog ID]],Started!C$45:$D$74,2,FALSE)&amp;" - " &amp;VLOOKUP(Table1313033[[#This Row],[Dog ID]],'SDDA Dogs'!A:C,3,FALSE)))</f>
        <v/>
      </c>
      <c r="S151" s="51" t="str">
        <f>IF(Table1313033[[#This Row],[Dog ID]]="","",(VLOOKUP(Table1313033[[#This Row],[Dog ID]],Started!C$45:$AU85,45,FALSE)))</f>
        <v/>
      </c>
    </row>
    <row r="152" spans="1:19" ht="30" customHeight="1" x14ac:dyDescent="0.45">
      <c r="A152" s="49">
        <v>13</v>
      </c>
      <c r="B152" s="49" t="str">
        <f>IF(OR(VLOOKUP(Table1714[[#This Row],[Ln'#]],Started!A$45:AU$74,15,FALSE)="E",VLOOKUP(Table1714[[#This Row],[Ln'#]],Started!A$45:AU$74,15,FALSE)="FEO"),"Entered or FEO","Not Entered")</f>
        <v>Not Entered</v>
      </c>
      <c r="C152" s="50" t="str">
        <f t="shared" ca="1" si="4"/>
        <v/>
      </c>
      <c r="D152" s="48"/>
      <c r="E152" s="48"/>
      <c r="F152" s="48"/>
      <c r="G152" s="48" t="str">
        <f>IF(Table1714[[#This Row],[Status]]="Not Entered","",VLOOKUP(Table1714[[#This Row],[Ln'#]],Started!$A$45:$AU$74,3,FALSE))</f>
        <v/>
      </c>
      <c r="H152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2" s="51" t="str">
        <f>IF(Table1714[[#This Row],[Status]]="Not Entered","",VLOOKUP(Table1714[[#This Row],[Ln'#]],Started!$A$45:$BB$74,47,FALSE))</f>
        <v/>
      </c>
      <c r="K152" s="49">
        <v>13</v>
      </c>
      <c r="L152" s="144" t="str">
        <f>IF(OR(VLOOKUP(Table1313033[[#This Row],[Ln'#]],Started!A$45:AU$74,7,FALSE)="E",VLOOKUP(Table1313033[[#This Row],[Ln'#]],Started!A$45:AU$74,7,FALSE)="FEO"),"x","")</f>
        <v/>
      </c>
      <c r="M152" s="144" t="str">
        <f>IF(OR(VLOOKUP(Table1313033[[#This Row],[Ln'#]],Started!A$45:AU$74,23,FALSE)="E",VLOOKUP(Table1313033[[#This Row],[Ln'#]],Started!A$45:AU$74,23,FALSE)="FEO"),"x","")</f>
        <v/>
      </c>
      <c r="N152" s="48"/>
      <c r="O152" s="48"/>
      <c r="P152" s="48"/>
      <c r="Q152" s="48" t="str">
        <f>IF(AND(Table1313033[[#This Row],[Status Container]]="",Table1313033[[#This Row],[Status Exterior]]=""),"",VLOOKUP(Table1313033[[#This Row],[Ln'#]],Started!$A$45:$AU$74,3,FALSE))</f>
        <v/>
      </c>
      <c r="R152" s="51" t="str">
        <f>IF(Table1313033[[#This Row],[Dog ID]]="","",(VLOOKUP(Table1313033[[#This Row],[Dog ID]],Started!C$45:$D$74,2,FALSE)&amp;" - " &amp;VLOOKUP(Table1313033[[#This Row],[Dog ID]],'SDDA Dogs'!A:C,3,FALSE)))</f>
        <v/>
      </c>
      <c r="S152" s="51" t="str">
        <f>IF(Table1313033[[#This Row],[Dog ID]]="","",(VLOOKUP(Table1313033[[#This Row],[Dog ID]],Started!C$45:$AU86,45,FALSE)))</f>
        <v/>
      </c>
    </row>
    <row r="153" spans="1:19" ht="30" customHeight="1" x14ac:dyDescent="0.45">
      <c r="A153" s="49">
        <v>14</v>
      </c>
      <c r="B153" s="49" t="str">
        <f>IF(OR(VLOOKUP(Table1714[[#This Row],[Ln'#]],Started!A$45:AU$74,15,FALSE)="E",VLOOKUP(Table1714[[#This Row],[Ln'#]],Started!A$45:AU$74,15,FALSE)="FEO"),"Entered or FEO","Not Entered")</f>
        <v>Not Entered</v>
      </c>
      <c r="C153" s="50" t="str">
        <f t="shared" ca="1" si="4"/>
        <v/>
      </c>
      <c r="D153" s="48"/>
      <c r="E153" s="48"/>
      <c r="F153" s="48"/>
      <c r="G153" s="48" t="str">
        <f>IF(Table1714[[#This Row],[Status]]="Not Entered","",VLOOKUP(Table1714[[#This Row],[Ln'#]],Started!$A$45:$AU$74,3,FALSE))</f>
        <v/>
      </c>
      <c r="H153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3" s="51" t="str">
        <f>IF(Table1714[[#This Row],[Status]]="Not Entered","",VLOOKUP(Table1714[[#This Row],[Ln'#]],Started!$A$45:$BB$74,47,FALSE))</f>
        <v/>
      </c>
      <c r="K153" s="49">
        <v>14</v>
      </c>
      <c r="L153" s="144" t="str">
        <f>IF(OR(VLOOKUP(Table1313033[[#This Row],[Ln'#]],Started!A$45:AU$74,7,FALSE)="E",VLOOKUP(Table1313033[[#This Row],[Ln'#]],Started!A$45:AU$74,7,FALSE)="FEO"),"x","")</f>
        <v/>
      </c>
      <c r="M153" s="144" t="str">
        <f>IF(OR(VLOOKUP(Table1313033[[#This Row],[Ln'#]],Started!A$45:AU$74,23,FALSE)="E",VLOOKUP(Table1313033[[#This Row],[Ln'#]],Started!A$45:AU$74,23,FALSE)="FEO"),"x","")</f>
        <v/>
      </c>
      <c r="N153" s="48"/>
      <c r="O153" s="48"/>
      <c r="P153" s="48"/>
      <c r="Q153" s="48" t="str">
        <f>IF(AND(Table1313033[[#This Row],[Status Container]]="",Table1313033[[#This Row],[Status Exterior]]=""),"",VLOOKUP(Table1313033[[#This Row],[Ln'#]],Started!$A$45:$AU$74,3,FALSE))</f>
        <v/>
      </c>
      <c r="R153" s="51" t="str">
        <f>IF(Table1313033[[#This Row],[Dog ID]]="","",(VLOOKUP(Table1313033[[#This Row],[Dog ID]],Started!C$45:$D$74,2,FALSE)&amp;" - " &amp;VLOOKUP(Table1313033[[#This Row],[Dog ID]],'SDDA Dogs'!A:C,3,FALSE)))</f>
        <v/>
      </c>
      <c r="S153" s="51" t="str">
        <f>IF(Table1313033[[#This Row],[Dog ID]]="","",(VLOOKUP(Table1313033[[#This Row],[Dog ID]],Started!C$45:$AU87,45,FALSE)))</f>
        <v/>
      </c>
    </row>
    <row r="154" spans="1:19" ht="30" customHeight="1" x14ac:dyDescent="0.45">
      <c r="A154" s="49">
        <v>15</v>
      </c>
      <c r="B154" s="49" t="str">
        <f>IF(OR(VLOOKUP(Table1714[[#This Row],[Ln'#]],Started!A$45:AU$74,15,FALSE)="E",VLOOKUP(Table1714[[#This Row],[Ln'#]],Started!A$45:AU$74,15,FALSE)="FEO"),"Entered or FEO","Not Entered")</f>
        <v>Not Entered</v>
      </c>
      <c r="C154" s="50" t="str">
        <f t="shared" ca="1" si="4"/>
        <v/>
      </c>
      <c r="D154" s="48"/>
      <c r="E154" s="48"/>
      <c r="F154" s="48"/>
      <c r="G154" s="48" t="str">
        <f>IF(Table1714[[#This Row],[Status]]="Not Entered","",VLOOKUP(Table1714[[#This Row],[Ln'#]],Started!$A$45:$AU$74,3,FALSE))</f>
        <v/>
      </c>
      <c r="H154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4" s="51" t="str">
        <f>IF(Table1714[[#This Row],[Status]]="Not Entered","",VLOOKUP(Table1714[[#This Row],[Ln'#]],Started!$A$45:$BB$74,47,FALSE))</f>
        <v/>
      </c>
      <c r="K154" s="49">
        <v>15</v>
      </c>
      <c r="L154" s="144" t="str">
        <f>IF(OR(VLOOKUP(Table1313033[[#This Row],[Ln'#]],Started!A$45:AU$74,7,FALSE)="E",VLOOKUP(Table1313033[[#This Row],[Ln'#]],Started!A$45:AU$74,7,FALSE)="FEO"),"x","")</f>
        <v/>
      </c>
      <c r="M154" s="144" t="str">
        <f>IF(OR(VLOOKUP(Table1313033[[#This Row],[Ln'#]],Started!A$45:AU$74,23,FALSE)="E",VLOOKUP(Table1313033[[#This Row],[Ln'#]],Started!A$45:AU$74,23,FALSE)="FEO"),"x","")</f>
        <v/>
      </c>
      <c r="N154" s="48"/>
      <c r="O154" s="48"/>
      <c r="P154" s="48"/>
      <c r="Q154" s="48" t="str">
        <f>IF(AND(Table1313033[[#This Row],[Status Container]]="",Table1313033[[#This Row],[Status Exterior]]=""),"",VLOOKUP(Table1313033[[#This Row],[Ln'#]],Started!$A$45:$AU$74,3,FALSE))</f>
        <v/>
      </c>
      <c r="R154" s="51" t="str">
        <f>IF(Table1313033[[#This Row],[Dog ID]]="","",(VLOOKUP(Table1313033[[#This Row],[Dog ID]],Started!C$45:$D$74,2,FALSE)&amp;" - " &amp;VLOOKUP(Table1313033[[#This Row],[Dog ID]],'SDDA Dogs'!A:C,3,FALSE)))</f>
        <v/>
      </c>
      <c r="S154" s="51" t="str">
        <f>IF(Table1313033[[#This Row],[Dog ID]]="","",(VLOOKUP(Table1313033[[#This Row],[Dog ID]],Started!C$45:$AU88,45,FALSE)))</f>
        <v/>
      </c>
    </row>
    <row r="155" spans="1:19" ht="30" customHeight="1" x14ac:dyDescent="0.45">
      <c r="A155" s="49">
        <v>16</v>
      </c>
      <c r="B155" s="49" t="str">
        <f>IF(OR(VLOOKUP(Table1714[[#This Row],[Ln'#]],Started!A$45:AU$74,15,FALSE)="E",VLOOKUP(Table1714[[#This Row],[Ln'#]],Started!A$45:AU$74,15,FALSE)="FEO"),"Entered or FEO","Not Entered")</f>
        <v>Not Entered</v>
      </c>
      <c r="C155" s="50" t="str">
        <f t="shared" ca="1" si="4"/>
        <v/>
      </c>
      <c r="D155" s="48"/>
      <c r="E155" s="48"/>
      <c r="F155" s="48"/>
      <c r="G155" s="48" t="str">
        <f>IF(Table1714[[#This Row],[Status]]="Not Entered","",VLOOKUP(Table1714[[#This Row],[Ln'#]],Started!$A$45:$AU$74,3,FALSE))</f>
        <v/>
      </c>
      <c r="H155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5" s="51" t="str">
        <f>IF(Table1714[[#This Row],[Status]]="Not Entered","",VLOOKUP(Table1714[[#This Row],[Ln'#]],Started!$A$45:$BB$74,47,FALSE))</f>
        <v/>
      </c>
      <c r="K155" s="49">
        <v>16</v>
      </c>
      <c r="L155" s="144" t="str">
        <f>IF(OR(VLOOKUP(Table1313033[[#This Row],[Ln'#]],Started!A$45:AU$74,7,FALSE)="E",VLOOKUP(Table1313033[[#This Row],[Ln'#]],Started!A$45:AU$74,7,FALSE)="FEO"),"x","")</f>
        <v/>
      </c>
      <c r="M155" s="144" t="str">
        <f>IF(OR(VLOOKUP(Table1313033[[#This Row],[Ln'#]],Started!A$45:AU$74,23,FALSE)="E",VLOOKUP(Table1313033[[#This Row],[Ln'#]],Started!A$45:AU$74,23,FALSE)="FEO"),"x","")</f>
        <v/>
      </c>
      <c r="N155" s="48"/>
      <c r="O155" s="48"/>
      <c r="P155" s="48"/>
      <c r="Q155" s="48" t="str">
        <f>IF(AND(Table1313033[[#This Row],[Status Container]]="",Table1313033[[#This Row],[Status Exterior]]=""),"",VLOOKUP(Table1313033[[#This Row],[Ln'#]],Started!$A$45:$AU$74,3,FALSE))</f>
        <v/>
      </c>
      <c r="R155" s="51" t="str">
        <f>IF(Table1313033[[#This Row],[Dog ID]]="","",(VLOOKUP(Table1313033[[#This Row],[Dog ID]],Started!C$45:$D$74,2,FALSE)&amp;" - " &amp;VLOOKUP(Table1313033[[#This Row],[Dog ID]],'SDDA Dogs'!A:C,3,FALSE)))</f>
        <v/>
      </c>
      <c r="S155" s="51" t="str">
        <f>IF(Table1313033[[#This Row],[Dog ID]]="","",(VLOOKUP(Table1313033[[#This Row],[Dog ID]],Started!C$45:$AU89,45,FALSE)))</f>
        <v/>
      </c>
    </row>
    <row r="156" spans="1:19" ht="30" customHeight="1" x14ac:dyDescent="0.45">
      <c r="A156" s="49">
        <v>17</v>
      </c>
      <c r="B156" s="49" t="str">
        <f>IF(OR(VLOOKUP(Table1714[[#This Row],[Ln'#]],Started!A$45:AU$74,15,FALSE)="E",VLOOKUP(Table1714[[#This Row],[Ln'#]],Started!A$45:AU$74,15,FALSE)="FEO"),"Entered or FEO","Not Entered")</f>
        <v>Not Entered</v>
      </c>
      <c r="C156" s="50" t="str">
        <f t="shared" ca="1" si="4"/>
        <v/>
      </c>
      <c r="D156" s="48"/>
      <c r="E156" s="48"/>
      <c r="F156" s="48"/>
      <c r="G156" s="48" t="str">
        <f>IF(Table1714[[#This Row],[Status]]="Not Entered","",VLOOKUP(Table1714[[#This Row],[Ln'#]],Started!$A$45:$AU$74,3,FALSE))</f>
        <v/>
      </c>
      <c r="H156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6" s="51" t="str">
        <f>IF(Table1714[[#This Row],[Status]]="Not Entered","",VLOOKUP(Table1714[[#This Row],[Ln'#]],Started!$A$45:$BB$74,47,FALSE))</f>
        <v/>
      </c>
      <c r="K156" s="49">
        <v>17</v>
      </c>
      <c r="L156" s="144" t="str">
        <f>IF(OR(VLOOKUP(Table1313033[[#This Row],[Ln'#]],Started!A$45:AU$74,7,FALSE)="E",VLOOKUP(Table1313033[[#This Row],[Ln'#]],Started!A$45:AU$74,7,FALSE)="FEO"),"x","")</f>
        <v/>
      </c>
      <c r="M156" s="144" t="str">
        <f>IF(OR(VLOOKUP(Table1313033[[#This Row],[Ln'#]],Started!A$45:AU$74,23,FALSE)="E",VLOOKUP(Table1313033[[#This Row],[Ln'#]],Started!A$45:AU$74,23,FALSE)="FEO"),"x","")</f>
        <v/>
      </c>
      <c r="N156" s="48"/>
      <c r="O156" s="48"/>
      <c r="P156" s="48"/>
      <c r="Q156" s="48" t="str">
        <f>IF(AND(Table1313033[[#This Row],[Status Container]]="",Table1313033[[#This Row],[Status Exterior]]=""),"",VLOOKUP(Table1313033[[#This Row],[Ln'#]],Started!$A$45:$AU$74,3,FALSE))</f>
        <v/>
      </c>
      <c r="R156" s="51" t="str">
        <f>IF(Table1313033[[#This Row],[Dog ID]]="","",(VLOOKUP(Table1313033[[#This Row],[Dog ID]],Started!C$45:$D$74,2,FALSE)&amp;" - " &amp;VLOOKUP(Table1313033[[#This Row],[Dog ID]],'SDDA Dogs'!A:C,3,FALSE)))</f>
        <v/>
      </c>
      <c r="S156" s="51" t="str">
        <f>IF(Table1313033[[#This Row],[Dog ID]]="","",(VLOOKUP(Table1313033[[#This Row],[Dog ID]],Started!C$45:$AU90,45,FALSE)))</f>
        <v/>
      </c>
    </row>
    <row r="157" spans="1:19" ht="30" customHeight="1" x14ac:dyDescent="0.45">
      <c r="A157" s="49">
        <v>18</v>
      </c>
      <c r="B157" s="49" t="str">
        <f>IF(OR(VLOOKUP(Table1714[[#This Row],[Ln'#]],Started!A$45:AU$74,15,FALSE)="E",VLOOKUP(Table1714[[#This Row],[Ln'#]],Started!A$45:AU$74,15,FALSE)="FEO"),"Entered or FEO","Not Entered")</f>
        <v>Not Entered</v>
      </c>
      <c r="C157" s="50" t="str">
        <f t="shared" ca="1" si="4"/>
        <v/>
      </c>
      <c r="D157" s="48"/>
      <c r="E157" s="48"/>
      <c r="F157" s="48"/>
      <c r="G157" s="48" t="str">
        <f>IF(Table1714[[#This Row],[Status]]="Not Entered","",VLOOKUP(Table1714[[#This Row],[Ln'#]],Started!$A$45:$AU$74,3,FALSE))</f>
        <v/>
      </c>
      <c r="H157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7" s="51" t="str">
        <f>IF(Table1714[[#This Row],[Status]]="Not Entered","",VLOOKUP(Table1714[[#This Row],[Ln'#]],Started!$A$45:$BB$74,47,FALSE))</f>
        <v/>
      </c>
      <c r="K157" s="49">
        <v>18</v>
      </c>
      <c r="L157" s="144" t="str">
        <f>IF(OR(VLOOKUP(Table1313033[[#This Row],[Ln'#]],Started!A$45:AU$74,7,FALSE)="E",VLOOKUP(Table1313033[[#This Row],[Ln'#]],Started!A$45:AU$74,7,FALSE)="FEO"),"x","")</f>
        <v/>
      </c>
      <c r="M157" s="144" t="str">
        <f>IF(OR(VLOOKUP(Table1313033[[#This Row],[Ln'#]],Started!A$45:AU$74,23,FALSE)="E",VLOOKUP(Table1313033[[#This Row],[Ln'#]],Started!A$45:AU$74,23,FALSE)="FEO"),"x","")</f>
        <v/>
      </c>
      <c r="N157" s="48"/>
      <c r="O157" s="48"/>
      <c r="P157" s="48"/>
      <c r="Q157" s="48" t="str">
        <f>IF(AND(Table1313033[[#This Row],[Status Container]]="",Table1313033[[#This Row],[Status Exterior]]=""),"",VLOOKUP(Table1313033[[#This Row],[Ln'#]],Started!$A$45:$AU$74,3,FALSE))</f>
        <v/>
      </c>
      <c r="R157" s="51" t="str">
        <f>IF(Table1313033[[#This Row],[Dog ID]]="","",(VLOOKUP(Table1313033[[#This Row],[Dog ID]],Started!C$45:$D$74,2,FALSE)&amp;" - " &amp;VLOOKUP(Table1313033[[#This Row],[Dog ID]],'SDDA Dogs'!A:C,3,FALSE)))</f>
        <v/>
      </c>
      <c r="S157" s="51" t="str">
        <f>IF(Table1313033[[#This Row],[Dog ID]]="","",(VLOOKUP(Table1313033[[#This Row],[Dog ID]],Started!C$45:$AU91,45,FALSE)))</f>
        <v/>
      </c>
    </row>
    <row r="158" spans="1:19" ht="30" customHeight="1" x14ac:dyDescent="0.45">
      <c r="A158" s="49">
        <v>19</v>
      </c>
      <c r="B158" s="49" t="str">
        <f>IF(OR(VLOOKUP(Table1714[[#This Row],[Ln'#]],Started!A$45:AU$74,15,FALSE)="E",VLOOKUP(Table1714[[#This Row],[Ln'#]],Started!A$45:AU$74,15,FALSE)="FEO"),"Entered or FEO","Not Entered")</f>
        <v>Not Entered</v>
      </c>
      <c r="C158" s="50" t="str">
        <f t="shared" ca="1" si="4"/>
        <v/>
      </c>
      <c r="D158" s="48"/>
      <c r="E158" s="48"/>
      <c r="F158" s="48"/>
      <c r="G158" s="48" t="str">
        <f>IF(Table1714[[#This Row],[Status]]="Not Entered","",VLOOKUP(Table1714[[#This Row],[Ln'#]],Started!$A$45:$AU$74,3,FALSE))</f>
        <v/>
      </c>
      <c r="H158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8" s="51" t="str">
        <f>IF(Table1714[[#This Row],[Status]]="Not Entered","",VLOOKUP(Table1714[[#This Row],[Ln'#]],Started!$A$45:$BB$74,47,FALSE))</f>
        <v/>
      </c>
      <c r="K158" s="49">
        <v>19</v>
      </c>
      <c r="L158" s="144" t="str">
        <f>IF(OR(VLOOKUP(Table1313033[[#This Row],[Ln'#]],Started!A$45:AU$74,7,FALSE)="E",VLOOKUP(Table1313033[[#This Row],[Ln'#]],Started!A$45:AU$74,7,FALSE)="FEO"),"x","")</f>
        <v/>
      </c>
      <c r="M158" s="144" t="str">
        <f>IF(OR(VLOOKUP(Table1313033[[#This Row],[Ln'#]],Started!A$45:AU$74,23,FALSE)="E",VLOOKUP(Table1313033[[#This Row],[Ln'#]],Started!A$45:AU$74,23,FALSE)="FEO"),"x","")</f>
        <v/>
      </c>
      <c r="N158" s="48"/>
      <c r="O158" s="48"/>
      <c r="P158" s="48"/>
      <c r="Q158" s="48" t="str">
        <f>IF(AND(Table1313033[[#This Row],[Status Container]]="",Table1313033[[#This Row],[Status Exterior]]=""),"",VLOOKUP(Table1313033[[#This Row],[Ln'#]],Started!$A$45:$AU$74,3,FALSE))</f>
        <v/>
      </c>
      <c r="R158" s="51" t="str">
        <f>IF(Table1313033[[#This Row],[Dog ID]]="","",(VLOOKUP(Table1313033[[#This Row],[Dog ID]],Started!C$45:$D$74,2,FALSE)&amp;" - " &amp;VLOOKUP(Table1313033[[#This Row],[Dog ID]],'SDDA Dogs'!A:C,3,FALSE)))</f>
        <v/>
      </c>
      <c r="S158" s="51" t="str">
        <f>IF(Table1313033[[#This Row],[Dog ID]]="","",(VLOOKUP(Table1313033[[#This Row],[Dog ID]],Started!C$45:$AU92,45,FALSE)))</f>
        <v/>
      </c>
    </row>
    <row r="159" spans="1:19" ht="30" customHeight="1" x14ac:dyDescent="0.45">
      <c r="A159" s="49">
        <v>20</v>
      </c>
      <c r="B159" s="49" t="str">
        <f>IF(OR(VLOOKUP(Table1714[[#This Row],[Ln'#]],Started!A$45:AU$74,15,FALSE)="E",VLOOKUP(Table1714[[#This Row],[Ln'#]],Started!A$45:AU$74,15,FALSE)="FEO"),"Entered or FEO","Not Entered")</f>
        <v>Not Entered</v>
      </c>
      <c r="C159" s="50" t="str">
        <f t="shared" ca="1" si="4"/>
        <v/>
      </c>
      <c r="D159" s="48"/>
      <c r="E159" s="48"/>
      <c r="F159" s="48"/>
      <c r="G159" s="48" t="str">
        <f>IF(Table1714[[#This Row],[Status]]="Not Entered","",VLOOKUP(Table1714[[#This Row],[Ln'#]],Started!$A$45:$AU$74,3,FALSE))</f>
        <v/>
      </c>
      <c r="H159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9" s="51" t="str">
        <f>IF(Table1714[[#This Row],[Status]]="Not Entered","",VLOOKUP(Table1714[[#This Row],[Ln'#]],Started!$A$45:$BB$74,47,FALSE))</f>
        <v/>
      </c>
      <c r="K159" s="49">
        <v>20</v>
      </c>
      <c r="L159" s="144" t="str">
        <f>IF(OR(VLOOKUP(Table1313033[[#This Row],[Ln'#]],Started!A$45:AU$74,7,FALSE)="E",VLOOKUP(Table1313033[[#This Row],[Ln'#]],Started!A$45:AU$74,7,FALSE)="FEO"),"x","")</f>
        <v/>
      </c>
      <c r="M159" s="144" t="str">
        <f>IF(OR(VLOOKUP(Table1313033[[#This Row],[Ln'#]],Started!A$45:AU$74,23,FALSE)="E",VLOOKUP(Table1313033[[#This Row],[Ln'#]],Started!A$45:AU$74,23,FALSE)="FEO"),"x","")</f>
        <v/>
      </c>
      <c r="N159" s="48"/>
      <c r="O159" s="48"/>
      <c r="P159" s="48"/>
      <c r="Q159" s="48" t="str">
        <f>IF(AND(Table1313033[[#This Row],[Status Container]]="",Table1313033[[#This Row],[Status Exterior]]=""),"",VLOOKUP(Table1313033[[#This Row],[Ln'#]],Started!$A$45:$AU$74,3,FALSE))</f>
        <v/>
      </c>
      <c r="R159" s="51" t="str">
        <f>IF(Table1313033[[#This Row],[Dog ID]]="","",(VLOOKUP(Table1313033[[#This Row],[Dog ID]],Started!C$45:$D$74,2,FALSE)&amp;" - " &amp;VLOOKUP(Table1313033[[#This Row],[Dog ID]],'SDDA Dogs'!A:C,3,FALSE)))</f>
        <v/>
      </c>
      <c r="S159" s="51" t="str">
        <f>IF(Table1313033[[#This Row],[Dog ID]]="","",(VLOOKUP(Table1313033[[#This Row],[Dog ID]],Started!C$45:$AU93,45,FALSE)))</f>
        <v/>
      </c>
    </row>
    <row r="160" spans="1:19" ht="30" customHeight="1" x14ac:dyDescent="0.45">
      <c r="A160" s="49">
        <v>21</v>
      </c>
      <c r="B160" s="49" t="str">
        <f>IF(OR(VLOOKUP(Table1714[[#This Row],[Ln'#]],Started!A$45:AU$74,15,FALSE)="E",VLOOKUP(Table1714[[#This Row],[Ln'#]],Started!A$45:AU$74,15,FALSE)="FEO"),"Entered or FEO","Not Entered")</f>
        <v>Not Entered</v>
      </c>
      <c r="C160" s="50" t="str">
        <f t="shared" ca="1" si="4"/>
        <v/>
      </c>
      <c r="D160" s="48"/>
      <c r="E160" s="48"/>
      <c r="F160" s="48"/>
      <c r="G160" s="48" t="str">
        <f>IF(Table1714[[#This Row],[Status]]="Not Entered","",VLOOKUP(Table1714[[#This Row],[Ln'#]],Started!$A$45:$AU$74,3,FALSE))</f>
        <v/>
      </c>
      <c r="H160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0" s="51" t="str">
        <f>IF(Table1714[[#This Row],[Status]]="Not Entered","",VLOOKUP(Table1714[[#This Row],[Ln'#]],Started!$A$45:$BB$74,47,FALSE))</f>
        <v/>
      </c>
      <c r="K160" s="49">
        <v>21</v>
      </c>
      <c r="L160" s="144" t="str">
        <f>IF(OR(VLOOKUP(Table1313033[[#This Row],[Ln'#]],Started!A$45:AU$74,7,FALSE)="E",VLOOKUP(Table1313033[[#This Row],[Ln'#]],Started!A$45:AU$74,7,FALSE)="FEO"),"x","")</f>
        <v/>
      </c>
      <c r="M160" s="144" t="str">
        <f>IF(OR(VLOOKUP(Table1313033[[#This Row],[Ln'#]],Started!A$45:AU$74,23,FALSE)="E",VLOOKUP(Table1313033[[#This Row],[Ln'#]],Started!A$45:AU$74,23,FALSE)="FEO"),"x","")</f>
        <v/>
      </c>
      <c r="N160" s="48"/>
      <c r="O160" s="48"/>
      <c r="P160" s="48"/>
      <c r="Q160" s="48" t="str">
        <f>IF(AND(Table1313033[[#This Row],[Status Container]]="",Table1313033[[#This Row],[Status Exterior]]=""),"",VLOOKUP(Table1313033[[#This Row],[Ln'#]],Started!$A$45:$AU$74,3,FALSE))</f>
        <v/>
      </c>
      <c r="R160" s="51" t="str">
        <f>IF(Table1313033[[#This Row],[Dog ID]]="","",(VLOOKUP(Table1313033[[#This Row],[Dog ID]],Started!C$45:$D$74,2,FALSE)&amp;" - " &amp;VLOOKUP(Table1313033[[#This Row],[Dog ID]],'SDDA Dogs'!A:C,3,FALSE)))</f>
        <v/>
      </c>
      <c r="S160" s="51" t="str">
        <f>IF(Table1313033[[#This Row],[Dog ID]]="","",(VLOOKUP(Table1313033[[#This Row],[Dog ID]],Started!C$45:$AU94,45,FALSE)))</f>
        <v/>
      </c>
    </row>
    <row r="161" spans="1:19" ht="30" customHeight="1" x14ac:dyDescent="0.45">
      <c r="A161" s="49">
        <v>22</v>
      </c>
      <c r="B161" s="49" t="str">
        <f>IF(OR(VLOOKUP(Table1714[[#This Row],[Ln'#]],Started!A$45:AU$74,15,FALSE)="E",VLOOKUP(Table1714[[#This Row],[Ln'#]],Started!A$45:AU$74,15,FALSE)="FEO"),"Entered or FEO","Not Entered")</f>
        <v>Not Entered</v>
      </c>
      <c r="C161" s="50" t="str">
        <f t="shared" ca="1" si="4"/>
        <v/>
      </c>
      <c r="D161" s="48"/>
      <c r="E161" s="48"/>
      <c r="F161" s="48"/>
      <c r="G161" s="48" t="str">
        <f>IF(Table1714[[#This Row],[Status]]="Not Entered","",VLOOKUP(Table1714[[#This Row],[Ln'#]],Started!$A$45:$AU$74,3,FALSE))</f>
        <v/>
      </c>
      <c r="H161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1" s="51" t="str">
        <f>IF(Table1714[[#This Row],[Status]]="Not Entered","",VLOOKUP(Table1714[[#This Row],[Ln'#]],Started!$A$45:$BB$74,47,FALSE))</f>
        <v/>
      </c>
      <c r="K161" s="49">
        <v>22</v>
      </c>
      <c r="L161" s="144" t="str">
        <f>IF(OR(VLOOKUP(Table1313033[[#This Row],[Ln'#]],Started!A$45:AU$74,7,FALSE)="E",VLOOKUP(Table1313033[[#This Row],[Ln'#]],Started!A$45:AU$74,7,FALSE)="FEO"),"x","")</f>
        <v/>
      </c>
      <c r="M161" s="144" t="str">
        <f>IF(OR(VLOOKUP(Table1313033[[#This Row],[Ln'#]],Started!A$45:AU$74,23,FALSE)="E",VLOOKUP(Table1313033[[#This Row],[Ln'#]],Started!A$45:AU$74,23,FALSE)="FEO"),"x","")</f>
        <v/>
      </c>
      <c r="N161" s="48"/>
      <c r="O161" s="48"/>
      <c r="P161" s="48"/>
      <c r="Q161" s="48" t="str">
        <f>IF(AND(Table1313033[[#This Row],[Status Container]]="",Table1313033[[#This Row],[Status Exterior]]=""),"",VLOOKUP(Table1313033[[#This Row],[Ln'#]],Started!$A$45:$AU$74,3,FALSE))</f>
        <v/>
      </c>
      <c r="R161" s="51" t="str">
        <f>IF(Table1313033[[#This Row],[Dog ID]]="","",(VLOOKUP(Table1313033[[#This Row],[Dog ID]],Started!C$45:$D$74,2,FALSE)&amp;" - " &amp;VLOOKUP(Table1313033[[#This Row],[Dog ID]],'SDDA Dogs'!A:C,3,FALSE)))</f>
        <v/>
      </c>
      <c r="S161" s="51" t="str">
        <f>IF(Table1313033[[#This Row],[Dog ID]]="","",(VLOOKUP(Table1313033[[#This Row],[Dog ID]],Started!C$45:$AU95,45,FALSE)))</f>
        <v/>
      </c>
    </row>
    <row r="162" spans="1:19" ht="30" customHeight="1" x14ac:dyDescent="0.45">
      <c r="A162" s="49">
        <v>23</v>
      </c>
      <c r="B162" s="49" t="str">
        <f>IF(OR(VLOOKUP(Table1714[[#This Row],[Ln'#]],Started!A$45:AU$74,15,FALSE)="E",VLOOKUP(Table1714[[#This Row],[Ln'#]],Started!A$45:AU$74,15,FALSE)="FEO"),"Entered or FEO","Not Entered")</f>
        <v>Not Entered</v>
      </c>
      <c r="C162" s="50" t="str">
        <f t="shared" ca="1" si="4"/>
        <v/>
      </c>
      <c r="D162" s="48"/>
      <c r="E162" s="48"/>
      <c r="F162" s="48"/>
      <c r="G162" s="48" t="str">
        <f>IF(Table1714[[#This Row],[Status]]="Not Entered","",VLOOKUP(Table1714[[#This Row],[Ln'#]],Started!$A$45:$AU$74,3,FALSE))</f>
        <v/>
      </c>
      <c r="H162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2" s="51" t="str">
        <f>IF(Table1714[[#This Row],[Status]]="Not Entered","",VLOOKUP(Table1714[[#This Row],[Ln'#]],Started!$A$45:$BB$74,47,FALSE))</f>
        <v/>
      </c>
      <c r="K162" s="49">
        <v>23</v>
      </c>
      <c r="L162" s="144" t="str">
        <f>IF(OR(VLOOKUP(Table1313033[[#This Row],[Ln'#]],Started!A$45:AU$74,7,FALSE)="E",VLOOKUP(Table1313033[[#This Row],[Ln'#]],Started!A$45:AU$74,7,FALSE)="FEO"),"x","")</f>
        <v/>
      </c>
      <c r="M162" s="144" t="str">
        <f>IF(OR(VLOOKUP(Table1313033[[#This Row],[Ln'#]],Started!A$45:AU$74,23,FALSE)="E",VLOOKUP(Table1313033[[#This Row],[Ln'#]],Started!A$45:AU$74,23,FALSE)="FEO"),"x","")</f>
        <v/>
      </c>
      <c r="N162" s="48"/>
      <c r="O162" s="48"/>
      <c r="P162" s="48"/>
      <c r="Q162" s="48" t="str">
        <f>IF(AND(Table1313033[[#This Row],[Status Container]]="",Table1313033[[#This Row],[Status Exterior]]=""),"",VLOOKUP(Table1313033[[#This Row],[Ln'#]],Started!$A$45:$AU$74,3,FALSE))</f>
        <v/>
      </c>
      <c r="R162" s="51" t="str">
        <f>IF(Table1313033[[#This Row],[Dog ID]]="","",(VLOOKUP(Table1313033[[#This Row],[Dog ID]],Started!C$45:$D$74,2,FALSE)&amp;" - " &amp;VLOOKUP(Table1313033[[#This Row],[Dog ID]],'SDDA Dogs'!A:C,3,FALSE)))</f>
        <v/>
      </c>
      <c r="S162" s="51" t="str">
        <f>IF(Table1313033[[#This Row],[Dog ID]]="","",(VLOOKUP(Table1313033[[#This Row],[Dog ID]],Started!C$45:$AU96,45,FALSE)))</f>
        <v/>
      </c>
    </row>
    <row r="163" spans="1:19" ht="30" customHeight="1" x14ac:dyDescent="0.45">
      <c r="A163" s="49">
        <v>24</v>
      </c>
      <c r="B163" s="49" t="str">
        <f>IF(OR(VLOOKUP(Table1714[[#This Row],[Ln'#]],Started!A$45:AU$74,15,FALSE)="E",VLOOKUP(Table1714[[#This Row],[Ln'#]],Started!A$45:AU$74,15,FALSE)="FEO"),"Entered or FEO","Not Entered")</f>
        <v>Not Entered</v>
      </c>
      <c r="C163" s="50" t="str">
        <f t="shared" ca="1" si="4"/>
        <v/>
      </c>
      <c r="D163" s="48"/>
      <c r="E163" s="48"/>
      <c r="F163" s="48"/>
      <c r="G163" s="48" t="str">
        <f>IF(Table1714[[#This Row],[Status]]="Not Entered","",VLOOKUP(Table1714[[#This Row],[Ln'#]],Started!$A$45:$AU$74,3,FALSE))</f>
        <v/>
      </c>
      <c r="H163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3" s="51" t="str">
        <f>IF(Table1714[[#This Row],[Status]]="Not Entered","",VLOOKUP(Table1714[[#This Row],[Ln'#]],Started!$A$45:$BB$74,47,FALSE))</f>
        <v/>
      </c>
      <c r="K163" s="49">
        <v>24</v>
      </c>
      <c r="L163" s="144" t="str">
        <f>IF(OR(VLOOKUP(Table1313033[[#This Row],[Ln'#]],Started!A$45:AU$74,7,FALSE)="E",VLOOKUP(Table1313033[[#This Row],[Ln'#]],Started!A$45:AU$74,7,FALSE)="FEO"),"x","")</f>
        <v/>
      </c>
      <c r="M163" s="144" t="str">
        <f>IF(OR(VLOOKUP(Table1313033[[#This Row],[Ln'#]],Started!A$45:AU$74,23,FALSE)="E",VLOOKUP(Table1313033[[#This Row],[Ln'#]],Started!A$45:AU$74,23,FALSE)="FEO"),"x","")</f>
        <v/>
      </c>
      <c r="N163" s="48"/>
      <c r="O163" s="48"/>
      <c r="P163" s="48"/>
      <c r="Q163" s="48" t="str">
        <f>IF(AND(Table1313033[[#This Row],[Status Container]]="",Table1313033[[#This Row],[Status Exterior]]=""),"",VLOOKUP(Table1313033[[#This Row],[Ln'#]],Started!$A$45:$AU$74,3,FALSE))</f>
        <v/>
      </c>
      <c r="R163" s="51" t="str">
        <f>IF(Table1313033[[#This Row],[Dog ID]]="","",(VLOOKUP(Table1313033[[#This Row],[Dog ID]],Started!C$45:$D$74,2,FALSE)&amp;" - " &amp;VLOOKUP(Table1313033[[#This Row],[Dog ID]],'SDDA Dogs'!A:C,3,FALSE)))</f>
        <v/>
      </c>
      <c r="S163" s="51" t="str">
        <f>IF(Table1313033[[#This Row],[Dog ID]]="","",(VLOOKUP(Table1313033[[#This Row],[Dog ID]],Started!C$45:$AU97,45,FALSE)))</f>
        <v/>
      </c>
    </row>
    <row r="164" spans="1:19" ht="30" customHeight="1" x14ac:dyDescent="0.45">
      <c r="A164" s="49">
        <v>25</v>
      </c>
      <c r="B164" s="49" t="str">
        <f>IF(OR(VLOOKUP(Table1714[[#This Row],[Ln'#]],Started!A$45:AU$74,15,FALSE)="E",VLOOKUP(Table1714[[#This Row],[Ln'#]],Started!A$45:AU$74,15,FALSE)="FEO"),"Entered or FEO","Not Entered")</f>
        <v>Not Entered</v>
      </c>
      <c r="C164" s="50" t="str">
        <f t="shared" ca="1" si="4"/>
        <v/>
      </c>
      <c r="D164" s="48"/>
      <c r="E164" s="48"/>
      <c r="F164" s="48"/>
      <c r="G164" s="48" t="str">
        <f>IF(Table1714[[#This Row],[Status]]="Not Entered","",VLOOKUP(Table1714[[#This Row],[Ln'#]],Started!$A$45:$AU$74,3,FALSE))</f>
        <v/>
      </c>
      <c r="H164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4" s="51" t="str">
        <f>IF(Table1714[[#This Row],[Status]]="Not Entered","",VLOOKUP(Table1714[[#This Row],[Ln'#]],Started!$A$45:$BB$74,47,FALSE))</f>
        <v/>
      </c>
      <c r="K164" s="49">
        <v>25</v>
      </c>
      <c r="L164" s="144" t="str">
        <f>IF(OR(VLOOKUP(Table1313033[[#This Row],[Ln'#]],Started!A$45:AU$74,7,FALSE)="E",VLOOKUP(Table1313033[[#This Row],[Ln'#]],Started!A$45:AU$74,7,FALSE)="FEO"),"x","")</f>
        <v/>
      </c>
      <c r="M164" s="144" t="str">
        <f>IF(OR(VLOOKUP(Table1313033[[#This Row],[Ln'#]],Started!A$45:AU$74,23,FALSE)="E",VLOOKUP(Table1313033[[#This Row],[Ln'#]],Started!A$45:AU$74,23,FALSE)="FEO"),"x","")</f>
        <v/>
      </c>
      <c r="N164" s="48"/>
      <c r="O164" s="48"/>
      <c r="P164" s="48"/>
      <c r="Q164" s="48" t="str">
        <f>IF(AND(Table1313033[[#This Row],[Status Container]]="",Table1313033[[#This Row],[Status Exterior]]=""),"",VLOOKUP(Table1313033[[#This Row],[Ln'#]],Started!$A$45:$AU$74,3,FALSE))</f>
        <v/>
      </c>
      <c r="R164" s="51" t="str">
        <f>IF(Table1313033[[#This Row],[Dog ID]]="","",(VLOOKUP(Table1313033[[#This Row],[Dog ID]],Started!C$45:$D$74,2,FALSE)&amp;" - " &amp;VLOOKUP(Table1313033[[#This Row],[Dog ID]],'SDDA Dogs'!A:C,3,FALSE)))</f>
        <v/>
      </c>
      <c r="S164" s="51" t="str">
        <f>IF(Table1313033[[#This Row],[Dog ID]]="","",(VLOOKUP(Table1313033[[#This Row],[Dog ID]],Started!C$45:$AU98,45,FALSE)))</f>
        <v/>
      </c>
    </row>
    <row r="165" spans="1:19" ht="30" customHeight="1" x14ac:dyDescent="0.45">
      <c r="A165" s="49">
        <v>26</v>
      </c>
      <c r="B165" s="49" t="str">
        <f>IF(OR(VLOOKUP(Table1714[[#This Row],[Ln'#]],Started!A$45:AU$74,15,FALSE)="E",VLOOKUP(Table1714[[#This Row],[Ln'#]],Started!A$45:AU$74,15,FALSE)="FEO"),"Entered or FEO","Not Entered")</f>
        <v>Not Entered</v>
      </c>
      <c r="C165" s="50" t="str">
        <f t="shared" ca="1" si="4"/>
        <v/>
      </c>
      <c r="D165" s="48"/>
      <c r="E165" s="48"/>
      <c r="F165" s="48"/>
      <c r="G165" s="48" t="str">
        <f>IF(Table1714[[#This Row],[Status]]="Not Entered","",VLOOKUP(Table1714[[#This Row],[Ln'#]],Started!$A$45:$AU$74,3,FALSE))</f>
        <v/>
      </c>
      <c r="H165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5" s="51" t="str">
        <f>IF(Table1714[[#This Row],[Status]]="Not Entered","",VLOOKUP(Table1714[[#This Row],[Ln'#]],Started!$A$45:$BB$74,47,FALSE))</f>
        <v/>
      </c>
      <c r="K165" s="49">
        <v>26</v>
      </c>
      <c r="L165" s="144" t="str">
        <f>IF(OR(VLOOKUP(Table1313033[[#This Row],[Ln'#]],Started!A$45:AU$74,7,FALSE)="E",VLOOKUP(Table1313033[[#This Row],[Ln'#]],Started!A$45:AU$74,7,FALSE)="FEO"),"x","")</f>
        <v/>
      </c>
      <c r="M165" s="144" t="str">
        <f>IF(OR(VLOOKUP(Table1313033[[#This Row],[Ln'#]],Started!A$45:AU$74,23,FALSE)="E",VLOOKUP(Table1313033[[#This Row],[Ln'#]],Started!A$45:AU$74,23,FALSE)="FEO"),"x","")</f>
        <v/>
      </c>
      <c r="N165" s="48"/>
      <c r="O165" s="48"/>
      <c r="P165" s="48"/>
      <c r="Q165" s="48" t="str">
        <f>IF(AND(Table1313033[[#This Row],[Status Container]]="",Table1313033[[#This Row],[Status Exterior]]=""),"",VLOOKUP(Table1313033[[#This Row],[Ln'#]],Started!$A$45:$AU$74,3,FALSE))</f>
        <v/>
      </c>
      <c r="R165" s="51" t="str">
        <f>IF(Table1313033[[#This Row],[Dog ID]]="","",(VLOOKUP(Table1313033[[#This Row],[Dog ID]],Started!C$45:$D$74,2,FALSE)&amp;" - " &amp;VLOOKUP(Table1313033[[#This Row],[Dog ID]],'SDDA Dogs'!A:C,3,FALSE)))</f>
        <v/>
      </c>
      <c r="S165" s="51" t="str">
        <f>IF(Table1313033[[#This Row],[Dog ID]]="","",(VLOOKUP(Table1313033[[#This Row],[Dog ID]],Started!C$45:$AU99,45,FALSE)))</f>
        <v/>
      </c>
    </row>
    <row r="166" spans="1:19" ht="30" customHeight="1" x14ac:dyDescent="0.45">
      <c r="A166" s="49">
        <v>27</v>
      </c>
      <c r="B166" s="49" t="str">
        <f>IF(OR(VLOOKUP(Table1714[[#This Row],[Ln'#]],Started!A$45:AU$74,15,FALSE)="E",VLOOKUP(Table1714[[#This Row],[Ln'#]],Started!A$45:AU$74,15,FALSE)="FEO"),"Entered or FEO","Not Entered")</f>
        <v>Not Entered</v>
      </c>
      <c r="C166" s="50" t="str">
        <f t="shared" ca="1" si="4"/>
        <v/>
      </c>
      <c r="D166" s="48"/>
      <c r="E166" s="48"/>
      <c r="F166" s="48"/>
      <c r="G166" s="48" t="str">
        <f>IF(Table1714[[#This Row],[Status]]="Not Entered","",VLOOKUP(Table1714[[#This Row],[Ln'#]],Started!$A$45:$AU$74,3,FALSE))</f>
        <v/>
      </c>
      <c r="H166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6" s="51" t="str">
        <f>IF(Table1714[[#This Row],[Status]]="Not Entered","",VLOOKUP(Table1714[[#This Row],[Ln'#]],Started!$A$45:$BB$74,47,FALSE))</f>
        <v/>
      </c>
      <c r="K166" s="49">
        <v>27</v>
      </c>
      <c r="L166" s="144" t="str">
        <f>IF(OR(VLOOKUP(Table1313033[[#This Row],[Ln'#]],Started!A$45:AU$74,7,FALSE)="E",VLOOKUP(Table1313033[[#This Row],[Ln'#]],Started!A$45:AU$74,7,FALSE)="FEO"),"x","")</f>
        <v/>
      </c>
      <c r="M166" s="144" t="str">
        <f>IF(OR(VLOOKUP(Table1313033[[#This Row],[Ln'#]],Started!A$45:AU$74,23,FALSE)="E",VLOOKUP(Table1313033[[#This Row],[Ln'#]],Started!A$45:AU$74,23,FALSE)="FEO"),"x","")</f>
        <v/>
      </c>
      <c r="N166" s="48"/>
      <c r="O166" s="48"/>
      <c r="P166" s="48"/>
      <c r="Q166" s="48" t="str">
        <f>IF(AND(Table1313033[[#This Row],[Status Container]]="",Table1313033[[#This Row],[Status Exterior]]=""),"",VLOOKUP(Table1313033[[#This Row],[Ln'#]],Started!$A$45:$AU$74,3,FALSE))</f>
        <v/>
      </c>
      <c r="R166" s="51" t="str">
        <f>IF(Table1313033[[#This Row],[Dog ID]]="","",(VLOOKUP(Table1313033[[#This Row],[Dog ID]],Started!C$45:$D$74,2,FALSE)&amp;" - " &amp;VLOOKUP(Table1313033[[#This Row],[Dog ID]],'SDDA Dogs'!A:C,3,FALSE)))</f>
        <v/>
      </c>
      <c r="S166" s="51" t="str">
        <f>IF(Table1313033[[#This Row],[Dog ID]]="","",(VLOOKUP(Table1313033[[#This Row],[Dog ID]],Started!C$45:$AU100,45,FALSE)))</f>
        <v/>
      </c>
    </row>
    <row r="167" spans="1:19" ht="30" customHeight="1" x14ac:dyDescent="0.45">
      <c r="A167" s="49">
        <v>28</v>
      </c>
      <c r="B167" s="49" t="str">
        <f>IF(OR(VLOOKUP(Table1714[[#This Row],[Ln'#]],Started!A$45:AU$74,15,FALSE)="E",VLOOKUP(Table1714[[#This Row],[Ln'#]],Started!A$45:AU$74,15,FALSE)="FEO"),"Entered or FEO","Not Entered")</f>
        <v>Not Entered</v>
      </c>
      <c r="C167" s="50" t="str">
        <f t="shared" ca="1" si="4"/>
        <v/>
      </c>
      <c r="D167" s="48"/>
      <c r="E167" s="48"/>
      <c r="F167" s="48"/>
      <c r="G167" s="48" t="str">
        <f>IF(Table1714[[#This Row],[Status]]="Not Entered","",VLOOKUP(Table1714[[#This Row],[Ln'#]],Started!$A$45:$AU$74,3,FALSE))</f>
        <v/>
      </c>
      <c r="H167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7" s="51" t="str">
        <f>IF(Table1714[[#This Row],[Status]]="Not Entered","",VLOOKUP(Table1714[[#This Row],[Ln'#]],Started!$A$45:$BB$74,47,FALSE))</f>
        <v/>
      </c>
      <c r="K167" s="49">
        <v>28</v>
      </c>
      <c r="L167" s="144" t="str">
        <f>IF(OR(VLOOKUP(Table1313033[[#This Row],[Ln'#]],Started!A$45:AU$74,7,FALSE)="E",VLOOKUP(Table1313033[[#This Row],[Ln'#]],Started!A$45:AU$74,7,FALSE)="FEO"),"x","")</f>
        <v/>
      </c>
      <c r="M167" s="144" t="str">
        <f>IF(OR(VLOOKUP(Table1313033[[#This Row],[Ln'#]],Started!A$45:AU$74,23,FALSE)="E",VLOOKUP(Table1313033[[#This Row],[Ln'#]],Started!A$45:AU$74,23,FALSE)="FEO"),"x","")</f>
        <v/>
      </c>
      <c r="N167" s="48"/>
      <c r="O167" s="48"/>
      <c r="P167" s="48"/>
      <c r="Q167" s="48" t="str">
        <f>IF(AND(Table1313033[[#This Row],[Status Container]]="",Table1313033[[#This Row],[Status Exterior]]=""),"",VLOOKUP(Table1313033[[#This Row],[Ln'#]],Started!$A$45:$AU$74,3,FALSE))</f>
        <v/>
      </c>
      <c r="R167" s="51" t="str">
        <f>IF(Table1313033[[#This Row],[Dog ID]]="","",(VLOOKUP(Table1313033[[#This Row],[Dog ID]],Started!C$45:$D$74,2,FALSE)&amp;" - " &amp;VLOOKUP(Table1313033[[#This Row],[Dog ID]],'SDDA Dogs'!A:C,3,FALSE)))</f>
        <v/>
      </c>
      <c r="S167" s="51" t="str">
        <f>IF(Table1313033[[#This Row],[Dog ID]]="","",(VLOOKUP(Table1313033[[#This Row],[Dog ID]],Started!C$45:$AU101,45,FALSE)))</f>
        <v/>
      </c>
    </row>
    <row r="168" spans="1:19" ht="30" customHeight="1" x14ac:dyDescent="0.45">
      <c r="A168" s="49">
        <v>29</v>
      </c>
      <c r="B168" s="49" t="str">
        <f>IF(OR(VLOOKUP(Table1714[[#This Row],[Ln'#]],Started!A$45:AU$74,15,FALSE)="E",VLOOKUP(Table1714[[#This Row],[Ln'#]],Started!A$45:AU$74,15,FALSE)="FEO"),"Entered or FEO","Not Entered")</f>
        <v>Not Entered</v>
      </c>
      <c r="C168" s="50" t="str">
        <f t="shared" ca="1" si="4"/>
        <v/>
      </c>
      <c r="D168" s="48"/>
      <c r="E168" s="48"/>
      <c r="F168" s="48"/>
      <c r="G168" s="48" t="str">
        <f>IF(Table1714[[#This Row],[Status]]="Not Entered","",VLOOKUP(Table1714[[#This Row],[Ln'#]],Started!$A$45:$AU$74,3,FALSE))</f>
        <v/>
      </c>
      <c r="H168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8" s="51" t="str">
        <f>IF(Table1714[[#This Row],[Status]]="Not Entered","",VLOOKUP(Table1714[[#This Row],[Ln'#]],Started!$A$45:$BB$74,47,FALSE))</f>
        <v/>
      </c>
      <c r="K168" s="49">
        <v>29</v>
      </c>
      <c r="L168" s="144" t="str">
        <f>IF(OR(VLOOKUP(Table1313033[[#This Row],[Ln'#]],Started!A$45:AU$74,7,FALSE)="E",VLOOKUP(Table1313033[[#This Row],[Ln'#]],Started!A$45:AU$74,7,FALSE)="FEO"),"x","")</f>
        <v/>
      </c>
      <c r="M168" s="144" t="str">
        <f>IF(OR(VLOOKUP(Table1313033[[#This Row],[Ln'#]],Started!A$45:AU$74,23,FALSE)="E",VLOOKUP(Table1313033[[#This Row],[Ln'#]],Started!A$45:AU$74,23,FALSE)="FEO"),"x","")</f>
        <v/>
      </c>
      <c r="N168" s="48"/>
      <c r="O168" s="48"/>
      <c r="P168" s="48"/>
      <c r="Q168" s="48" t="str">
        <f>IF(AND(Table1313033[[#This Row],[Status Container]]="",Table1313033[[#This Row],[Status Exterior]]=""),"",VLOOKUP(Table1313033[[#This Row],[Ln'#]],Started!$A$45:$AU$74,3,FALSE))</f>
        <v/>
      </c>
      <c r="R168" s="51" t="str">
        <f>IF(Table1313033[[#This Row],[Dog ID]]="","",(VLOOKUP(Table1313033[[#This Row],[Dog ID]],Started!C$45:$D$74,2,FALSE)&amp;" - " &amp;VLOOKUP(Table1313033[[#This Row],[Dog ID]],'SDDA Dogs'!A:C,3,FALSE)))</f>
        <v/>
      </c>
      <c r="S168" s="51" t="str">
        <f>IF(Table1313033[[#This Row],[Dog ID]]="","",(VLOOKUP(Table1313033[[#This Row],[Dog ID]],Started!C$45:$AU102,45,FALSE)))</f>
        <v/>
      </c>
    </row>
    <row r="169" spans="1:19" ht="30" customHeight="1" x14ac:dyDescent="0.45">
      <c r="A169" s="49">
        <v>30</v>
      </c>
      <c r="B169" s="49" t="str">
        <f>IF(OR(VLOOKUP(Table1714[[#This Row],[Ln'#]],Started!A$45:AU$74,15,FALSE)="E",VLOOKUP(Table1714[[#This Row],[Ln'#]],Started!A$45:AU$74,15,FALSE)="FEO"),"Entered or FEO","Not Entered")</f>
        <v>Not Entered</v>
      </c>
      <c r="C169" s="50" t="str">
        <f t="shared" ca="1" si="4"/>
        <v/>
      </c>
      <c r="D169" s="48"/>
      <c r="E169" s="48"/>
      <c r="F169" s="48"/>
      <c r="G169" s="48" t="str">
        <f>IF(Table1714[[#This Row],[Status]]="Not Entered","",VLOOKUP(Table1714[[#This Row],[Ln'#]],Started!$A$45:$AU$74,3,FALSE))</f>
        <v/>
      </c>
      <c r="H169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9" s="51" t="str">
        <f>IF(Table1714[[#This Row],[Status]]="Not Entered","",VLOOKUP(Table1714[[#This Row],[Ln'#]],Started!$A$45:$BB$74,47,FALSE))</f>
        <v/>
      </c>
      <c r="K169" s="49">
        <v>30</v>
      </c>
      <c r="L169" s="144" t="str">
        <f>IF(OR(VLOOKUP(Table1313033[[#This Row],[Ln'#]],Started!A$45:AU$74,7,FALSE)="E",VLOOKUP(Table1313033[[#This Row],[Ln'#]],Started!A$45:AU$74,7,FALSE)="FEO"),"x","")</f>
        <v/>
      </c>
      <c r="M169" s="144" t="str">
        <f>IF(OR(VLOOKUP(Table1313033[[#This Row],[Ln'#]],Started!A$45:AU$74,23,FALSE)="E",VLOOKUP(Table1313033[[#This Row],[Ln'#]],Started!A$45:AU$74,23,FALSE)="FEO"),"x","")</f>
        <v/>
      </c>
      <c r="N169" s="48"/>
      <c r="O169" s="48"/>
      <c r="P169" s="48"/>
      <c r="Q169" s="48" t="str">
        <f>IF(AND(Table1313033[[#This Row],[Status Container]]="",Table1313033[[#This Row],[Status Exterior]]=""),"",VLOOKUP(Table1313033[[#This Row],[Ln'#]],Started!$A$45:$AU$74,3,FALSE))</f>
        <v/>
      </c>
      <c r="R169" s="51" t="str">
        <f>IF(Table1313033[[#This Row],[Dog ID]]="","",(VLOOKUP(Table1313033[[#This Row],[Dog ID]],Started!C$45:$D$74,2,FALSE)&amp;" - " &amp;VLOOKUP(Table1313033[[#This Row],[Dog ID]],'SDDA Dogs'!A:C,3,FALSE)))</f>
        <v/>
      </c>
      <c r="S169" s="51" t="str">
        <f>IF(Table1313033[[#This Row],[Dog ID]]="","",(VLOOKUP(Table1313033[[#This Row],[Dog ID]],Started!C$45:$AU103,45,FALSE)))</f>
        <v/>
      </c>
    </row>
    <row r="170" spans="1:19" ht="30" customHeight="1" x14ac:dyDescent="0.4">
      <c r="A170" s="48"/>
      <c r="B170" s="48"/>
      <c r="C170" s="48"/>
      <c r="D170" s="48" t="s">
        <v>1141</v>
      </c>
      <c r="E170" s="48">
        <f>SUBTOTAL(102,Table1714[Running Order])</f>
        <v>0</v>
      </c>
      <c r="F170" s="48"/>
      <c r="G170" s="48"/>
      <c r="H170" s="51"/>
      <c r="I170" s="51"/>
      <c r="K170" s="145"/>
      <c r="L170" s="145"/>
      <c r="M170" s="145"/>
      <c r="N170" s="145" t="s">
        <v>1141</v>
      </c>
      <c r="O170" s="145">
        <f>SUBTOTAL(102,Table1313033[Running Order])</f>
        <v>0</v>
      </c>
      <c r="P170" s="145"/>
      <c r="Q170" s="145"/>
      <c r="R170" s="146"/>
      <c r="S170" s="146"/>
    </row>
    <row r="172" spans="1:19" ht="30" customHeight="1" x14ac:dyDescent="0.4">
      <c r="A172" s="402" t="s">
        <v>1143</v>
      </c>
      <c r="B172" s="402"/>
      <c r="C172" s="43"/>
      <c r="D172" s="403" t="s">
        <v>1565</v>
      </c>
      <c r="E172" s="403"/>
      <c r="F172" s="403"/>
      <c r="G172" s="403"/>
      <c r="H172" s="403"/>
      <c r="I172" s="403"/>
    </row>
    <row r="173" spans="1:19" ht="30" customHeight="1" x14ac:dyDescent="0.4">
      <c r="A173" s="67" t="s">
        <v>605</v>
      </c>
      <c r="B173" s="67" t="s">
        <v>1139</v>
      </c>
      <c r="C173" s="68" t="s">
        <v>1140</v>
      </c>
      <c r="D173" s="67" t="s">
        <v>1142</v>
      </c>
      <c r="E173" s="67" t="s">
        <v>1135</v>
      </c>
      <c r="F173" s="67" t="s">
        <v>1188</v>
      </c>
      <c r="G173" s="67" t="s">
        <v>1136</v>
      </c>
      <c r="H173" s="69" t="s">
        <v>1207</v>
      </c>
      <c r="I173" s="69" t="s">
        <v>1137</v>
      </c>
      <c r="K173" s="71"/>
      <c r="L173" s="71"/>
      <c r="M173" s="71"/>
      <c r="N173" s="71"/>
      <c r="O173" s="71"/>
      <c r="P173" s="71"/>
      <c r="Q173" s="71"/>
      <c r="R173" s="71"/>
      <c r="S173" s="71"/>
    </row>
    <row r="174" spans="1:19" ht="30" customHeight="1" x14ac:dyDescent="0.4">
      <c r="A174" s="49">
        <v>1</v>
      </c>
      <c r="B174" s="49" t="str">
        <f>IF(OR(VLOOKUP(Table171116[[#This Row],[Ln'#]],Started!A$45:AU$74,23,FALSE)="E",VLOOKUP(Table171116[[#This Row],[Ln'#]],Started!A$45:AU$74,23,FALSE)="FEO"),"Entered or FEO","Not Entered")</f>
        <v>Not Entered</v>
      </c>
      <c r="C174" s="50" t="str">
        <f t="shared" ref="C174:C203" ca="1" si="5">IF(OR(B174="e",B174="FEO"),RAND(),"")</f>
        <v/>
      </c>
      <c r="D174" s="48"/>
      <c r="E174" s="48"/>
      <c r="F174" s="48"/>
      <c r="G174" s="48" t="str">
        <f>IF(Table171116[[#This Row],[Status]]="Not Entered","",VLOOKUP(Table171116[[#This Row],[Ln'#]],Started!$A$45:$AU$74,3,FALSE))</f>
        <v/>
      </c>
      <c r="H174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4" s="51" t="str">
        <f>IF(Table171116[[#This Row],[Status]]="Not Entered","",VLOOKUP(Table171116[[#This Row],[Ln'#]],Started!$A$45:$BB$74,47,FALSE))</f>
        <v/>
      </c>
    </row>
    <row r="175" spans="1:19" ht="30" customHeight="1" x14ac:dyDescent="0.4">
      <c r="A175" s="49">
        <v>3</v>
      </c>
      <c r="B175" s="49" t="str">
        <f>IF(OR(VLOOKUP(Table171116[[#This Row],[Ln'#]],Started!A$45:AU$74,23,FALSE)="E",VLOOKUP(Table171116[[#This Row],[Ln'#]],Started!A$45:AU$74,23,FALSE)="FEO"),"Entered or FEO","Not Entered")</f>
        <v>Not Entered</v>
      </c>
      <c r="C175" s="50" t="str">
        <f t="shared" ca="1" si="5"/>
        <v/>
      </c>
      <c r="D175" s="48"/>
      <c r="E175" s="48"/>
      <c r="F175" s="48"/>
      <c r="G175" s="48" t="str">
        <f>IF(Table171116[[#This Row],[Status]]="Not Entered","",VLOOKUP(Table171116[[#This Row],[Ln'#]],Started!$A$45:$AU$74,3,FALSE))</f>
        <v/>
      </c>
      <c r="H175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5" s="51" t="str">
        <f>IF(Table171116[[#This Row],[Status]]="Not Entered","",VLOOKUP(Table171116[[#This Row],[Ln'#]],Started!$A$45:$BB$74,47,FALSE))</f>
        <v/>
      </c>
    </row>
    <row r="176" spans="1:19" ht="30" customHeight="1" x14ac:dyDescent="0.4">
      <c r="A176" s="49">
        <v>2</v>
      </c>
      <c r="B176" s="49" t="str">
        <f>IF(OR(VLOOKUP(Table171116[[#This Row],[Ln'#]],Started!A$45:AU$74,23,FALSE)="E",VLOOKUP(Table171116[[#This Row],[Ln'#]],Started!A$45:AU$74,23,FALSE)="FEO"),"Entered or FEO","Not Entered")</f>
        <v>Not Entered</v>
      </c>
      <c r="C176" s="50" t="str">
        <f t="shared" ca="1" si="5"/>
        <v/>
      </c>
      <c r="D176" s="48"/>
      <c r="E176" s="48"/>
      <c r="F176" s="48"/>
      <c r="G176" s="48" t="str">
        <f>IF(Table171116[[#This Row],[Status]]="Not Entered","",VLOOKUP(Table171116[[#This Row],[Ln'#]],Started!$A$45:$AU$74,3,FALSE))</f>
        <v/>
      </c>
      <c r="H176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6" s="51" t="str">
        <f>IF(Table171116[[#This Row],[Status]]="Not Entered","",VLOOKUP(Table171116[[#This Row],[Ln'#]],Started!$A$45:$BB$74,47,FALSE))</f>
        <v/>
      </c>
    </row>
    <row r="177" spans="1:9" ht="30" customHeight="1" x14ac:dyDescent="0.4">
      <c r="A177" s="49">
        <v>4</v>
      </c>
      <c r="B177" s="49" t="str">
        <f>IF(OR(VLOOKUP(Table171116[[#This Row],[Ln'#]],Started!A$45:AU$74,23,FALSE)="E",VLOOKUP(Table171116[[#This Row],[Ln'#]],Started!A$45:AU$74,23,FALSE)="FEO"),"Entered or FEO","Not Entered")</f>
        <v>Not Entered</v>
      </c>
      <c r="C177" s="50" t="str">
        <f t="shared" ca="1" si="5"/>
        <v/>
      </c>
      <c r="D177" s="48"/>
      <c r="E177" s="48"/>
      <c r="F177" s="48"/>
      <c r="G177" s="48" t="str">
        <f>IF(Table171116[[#This Row],[Status]]="Not Entered","",VLOOKUP(Table171116[[#This Row],[Ln'#]],Started!$A$45:$AU$74,3,FALSE))</f>
        <v/>
      </c>
      <c r="H177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7" s="51" t="str">
        <f>IF(Table171116[[#This Row],[Status]]="Not Entered","",VLOOKUP(Table171116[[#This Row],[Ln'#]],Started!$A$45:$BB$74,47,FALSE))</f>
        <v/>
      </c>
    </row>
    <row r="178" spans="1:9" ht="30" customHeight="1" x14ac:dyDescent="0.4">
      <c r="A178" s="49">
        <v>5</v>
      </c>
      <c r="B178" s="49" t="str">
        <f>IF(OR(VLOOKUP(Table171116[[#This Row],[Ln'#]],Started!A$45:AU$74,23,FALSE)="E",VLOOKUP(Table171116[[#This Row],[Ln'#]],Started!A$45:AU$74,23,FALSE)="FEO"),"Entered or FEO","Not Entered")</f>
        <v>Not Entered</v>
      </c>
      <c r="C178" s="50" t="str">
        <f t="shared" ca="1" si="5"/>
        <v/>
      </c>
      <c r="D178" s="48"/>
      <c r="E178" s="48"/>
      <c r="F178" s="48"/>
      <c r="G178" s="48" t="str">
        <f>IF(Table171116[[#This Row],[Status]]="Not Entered","",VLOOKUP(Table171116[[#This Row],[Ln'#]],Started!$A$45:$AU$74,3,FALSE))</f>
        <v/>
      </c>
      <c r="H178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8" s="51" t="str">
        <f>IF(Table171116[[#This Row],[Status]]="Not Entered","",VLOOKUP(Table171116[[#This Row],[Ln'#]],Started!$A$45:$BB$74,47,FALSE))</f>
        <v/>
      </c>
    </row>
    <row r="179" spans="1:9" ht="30" customHeight="1" x14ac:dyDescent="0.4">
      <c r="A179" s="49">
        <v>6</v>
      </c>
      <c r="B179" s="49" t="str">
        <f>IF(OR(VLOOKUP(Table171116[[#This Row],[Ln'#]],Started!A$45:AU$74,23,FALSE)="E",VLOOKUP(Table171116[[#This Row],[Ln'#]],Started!A$45:AU$74,23,FALSE)="FEO"),"Entered or FEO","Not Entered")</f>
        <v>Not Entered</v>
      </c>
      <c r="C179" s="50" t="str">
        <f t="shared" ca="1" si="5"/>
        <v/>
      </c>
      <c r="D179" s="48"/>
      <c r="E179" s="48"/>
      <c r="F179" s="48"/>
      <c r="G179" s="48" t="str">
        <f>IF(Table171116[[#This Row],[Status]]="Not Entered","",VLOOKUP(Table171116[[#This Row],[Ln'#]],Started!$A$45:$AU$74,3,FALSE))</f>
        <v/>
      </c>
      <c r="H179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9" s="51" t="str">
        <f>IF(Table171116[[#This Row],[Status]]="Not Entered","",VLOOKUP(Table171116[[#This Row],[Ln'#]],Started!$A$45:$BB$74,47,FALSE))</f>
        <v/>
      </c>
    </row>
    <row r="180" spans="1:9" ht="30" customHeight="1" x14ac:dyDescent="0.4">
      <c r="A180" s="49">
        <v>8</v>
      </c>
      <c r="B180" s="49" t="str">
        <f>IF(OR(VLOOKUP(Table171116[[#This Row],[Ln'#]],Started!A$45:AU$74,23,FALSE)="E",VLOOKUP(Table171116[[#This Row],[Ln'#]],Started!A$45:AU$74,23,FALSE)="FEO"),"Entered or FEO","Not Entered")</f>
        <v>Not Entered</v>
      </c>
      <c r="C180" s="50" t="str">
        <f t="shared" ca="1" si="5"/>
        <v/>
      </c>
      <c r="D180" s="48"/>
      <c r="E180" s="48"/>
      <c r="F180" s="48"/>
      <c r="G180" s="48" t="str">
        <f>IF(Table171116[[#This Row],[Status]]="Not Entered","",VLOOKUP(Table171116[[#This Row],[Ln'#]],Started!$A$45:$AU$74,3,FALSE))</f>
        <v/>
      </c>
      <c r="H180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0" s="51" t="str">
        <f>IF(Table171116[[#This Row],[Status]]="Not Entered","",VLOOKUP(Table171116[[#This Row],[Ln'#]],Started!$A$45:$BB$74,47,FALSE))</f>
        <v/>
      </c>
    </row>
    <row r="181" spans="1:9" ht="30" customHeight="1" x14ac:dyDescent="0.4">
      <c r="A181" s="49">
        <v>7</v>
      </c>
      <c r="B181" s="49" t="str">
        <f>IF(OR(VLOOKUP(Table171116[[#This Row],[Ln'#]],Started!A$45:AU$74,23,FALSE)="E",VLOOKUP(Table171116[[#This Row],[Ln'#]],Started!A$45:AU$74,23,FALSE)="FEO"),"Entered or FEO","Not Entered")</f>
        <v>Not Entered</v>
      </c>
      <c r="C181" s="50" t="str">
        <f t="shared" ca="1" si="5"/>
        <v/>
      </c>
      <c r="D181" s="48"/>
      <c r="E181" s="48"/>
      <c r="F181" s="48"/>
      <c r="G181" s="48" t="str">
        <f>IF(Table171116[[#This Row],[Status]]="Not Entered","",VLOOKUP(Table171116[[#This Row],[Ln'#]],Started!$A$45:$AU$74,3,FALSE))</f>
        <v/>
      </c>
      <c r="H181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1" s="51" t="str">
        <f>IF(Table171116[[#This Row],[Status]]="Not Entered","",VLOOKUP(Table171116[[#This Row],[Ln'#]],Started!$A$45:$BB$74,47,FALSE))</f>
        <v/>
      </c>
    </row>
    <row r="182" spans="1:9" ht="30" customHeight="1" x14ac:dyDescent="0.4">
      <c r="A182" s="49">
        <v>9</v>
      </c>
      <c r="B182" s="49" t="str">
        <f>IF(OR(VLOOKUP(Table171116[[#This Row],[Ln'#]],Started!A$45:AU$74,23,FALSE)="E",VLOOKUP(Table171116[[#This Row],[Ln'#]],Started!A$45:AU$74,23,FALSE)="FEO"),"Entered or FEO","Not Entered")</f>
        <v>Not Entered</v>
      </c>
      <c r="C182" s="50" t="str">
        <f t="shared" ca="1" si="5"/>
        <v/>
      </c>
      <c r="D182" s="48"/>
      <c r="E182" s="48"/>
      <c r="F182" s="48"/>
      <c r="G182" s="48" t="str">
        <f>IF(Table171116[[#This Row],[Status]]="Not Entered","",VLOOKUP(Table171116[[#This Row],[Ln'#]],Started!$A$45:$AU$74,3,FALSE))</f>
        <v/>
      </c>
      <c r="H182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2" s="51" t="str">
        <f>IF(Table171116[[#This Row],[Status]]="Not Entered","",VLOOKUP(Table171116[[#This Row],[Ln'#]],Started!$A$45:$BB$74,47,FALSE))</f>
        <v/>
      </c>
    </row>
    <row r="183" spans="1:9" ht="30" customHeight="1" x14ac:dyDescent="0.4">
      <c r="A183" s="49">
        <v>10</v>
      </c>
      <c r="B183" s="49" t="str">
        <f>IF(OR(VLOOKUP(Table171116[[#This Row],[Ln'#]],Started!A$45:AU$74,23,FALSE)="E",VLOOKUP(Table171116[[#This Row],[Ln'#]],Started!A$45:AU$74,23,FALSE)="FEO"),"Entered or FEO","Not Entered")</f>
        <v>Not Entered</v>
      </c>
      <c r="C183" s="50" t="str">
        <f t="shared" ca="1" si="5"/>
        <v/>
      </c>
      <c r="D183" s="48"/>
      <c r="E183" s="48"/>
      <c r="F183" s="48"/>
      <c r="G183" s="48" t="str">
        <f>IF(Table171116[[#This Row],[Status]]="Not Entered","",VLOOKUP(Table171116[[#This Row],[Ln'#]],Started!$A$45:$AU$74,3,FALSE))</f>
        <v/>
      </c>
      <c r="H183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3" s="51" t="str">
        <f>IF(Table171116[[#This Row],[Status]]="Not Entered","",VLOOKUP(Table171116[[#This Row],[Ln'#]],Started!$A$45:$BB$74,47,FALSE))</f>
        <v/>
      </c>
    </row>
    <row r="184" spans="1:9" ht="30" customHeight="1" x14ac:dyDescent="0.4">
      <c r="A184" s="49">
        <v>11</v>
      </c>
      <c r="B184" s="49" t="str">
        <f>IF(OR(VLOOKUP(Table171116[[#This Row],[Ln'#]],Started!A$45:AU$74,23,FALSE)="E",VLOOKUP(Table171116[[#This Row],[Ln'#]],Started!A$45:AU$74,23,FALSE)="FEO"),"Entered or FEO","Not Entered")</f>
        <v>Not Entered</v>
      </c>
      <c r="C184" s="50" t="str">
        <f t="shared" ca="1" si="5"/>
        <v/>
      </c>
      <c r="D184" s="48"/>
      <c r="E184" s="48"/>
      <c r="F184" s="48"/>
      <c r="G184" s="48" t="str">
        <f>IF(Table171116[[#This Row],[Status]]="Not Entered","",VLOOKUP(Table171116[[#This Row],[Ln'#]],Started!$A$45:$AU$74,3,FALSE))</f>
        <v/>
      </c>
      <c r="H184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4" s="51" t="str">
        <f>IF(Table171116[[#This Row],[Status]]="Not Entered","",VLOOKUP(Table171116[[#This Row],[Ln'#]],Started!$A$45:$BB$74,47,FALSE))</f>
        <v/>
      </c>
    </row>
    <row r="185" spans="1:9" ht="30" customHeight="1" x14ac:dyDescent="0.4">
      <c r="A185" s="49">
        <v>12</v>
      </c>
      <c r="B185" s="49" t="str">
        <f>IF(OR(VLOOKUP(Table171116[[#This Row],[Ln'#]],Started!A$45:AU$74,23,FALSE)="E",VLOOKUP(Table171116[[#This Row],[Ln'#]],Started!A$45:AU$74,23,FALSE)="FEO"),"Entered or FEO","Not Entered")</f>
        <v>Not Entered</v>
      </c>
      <c r="C185" s="50" t="str">
        <f t="shared" ca="1" si="5"/>
        <v/>
      </c>
      <c r="D185" s="48"/>
      <c r="E185" s="48"/>
      <c r="F185" s="48"/>
      <c r="G185" s="48" t="str">
        <f>IF(Table171116[[#This Row],[Status]]="Not Entered","",VLOOKUP(Table171116[[#This Row],[Ln'#]],Started!$A$45:$AU$74,3,FALSE))</f>
        <v/>
      </c>
      <c r="H185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5" s="51" t="str">
        <f>IF(Table171116[[#This Row],[Status]]="Not Entered","",VLOOKUP(Table171116[[#This Row],[Ln'#]],Started!$A$45:$BB$74,47,FALSE))</f>
        <v/>
      </c>
    </row>
    <row r="186" spans="1:9" ht="30" customHeight="1" x14ac:dyDescent="0.4">
      <c r="A186" s="49">
        <v>13</v>
      </c>
      <c r="B186" s="49" t="str">
        <f>IF(OR(VLOOKUP(Table171116[[#This Row],[Ln'#]],Started!A$45:AU$74,23,FALSE)="E",VLOOKUP(Table171116[[#This Row],[Ln'#]],Started!A$45:AU$74,23,FALSE)="FEO"),"Entered or FEO","Not Entered")</f>
        <v>Not Entered</v>
      </c>
      <c r="C186" s="50" t="str">
        <f t="shared" ca="1" si="5"/>
        <v/>
      </c>
      <c r="D186" s="48"/>
      <c r="E186" s="48"/>
      <c r="F186" s="48"/>
      <c r="G186" s="48" t="str">
        <f>IF(Table171116[[#This Row],[Status]]="Not Entered","",VLOOKUP(Table171116[[#This Row],[Ln'#]],Started!$A$45:$AU$74,3,FALSE))</f>
        <v/>
      </c>
      <c r="H186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6" s="51" t="str">
        <f>IF(Table171116[[#This Row],[Status]]="Not Entered","",VLOOKUP(Table171116[[#This Row],[Ln'#]],Started!$A$45:$BB$74,47,FALSE))</f>
        <v/>
      </c>
    </row>
    <row r="187" spans="1:9" ht="30" customHeight="1" x14ac:dyDescent="0.4">
      <c r="A187" s="49">
        <v>14</v>
      </c>
      <c r="B187" s="49" t="str">
        <f>IF(OR(VLOOKUP(Table171116[[#This Row],[Ln'#]],Started!A$45:AU$74,23,FALSE)="E",VLOOKUP(Table171116[[#This Row],[Ln'#]],Started!A$45:AU$74,23,FALSE)="FEO"),"Entered or FEO","Not Entered")</f>
        <v>Not Entered</v>
      </c>
      <c r="C187" s="50" t="str">
        <f t="shared" ca="1" si="5"/>
        <v/>
      </c>
      <c r="D187" s="48"/>
      <c r="E187" s="48"/>
      <c r="F187" s="48"/>
      <c r="G187" s="48" t="str">
        <f>IF(Table171116[[#This Row],[Status]]="Not Entered","",VLOOKUP(Table171116[[#This Row],[Ln'#]],Started!$A$45:$AU$74,3,FALSE))</f>
        <v/>
      </c>
      <c r="H187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7" s="51" t="str">
        <f>IF(Table171116[[#This Row],[Status]]="Not Entered","",VLOOKUP(Table171116[[#This Row],[Ln'#]],Started!$A$45:$BB$74,47,FALSE))</f>
        <v/>
      </c>
    </row>
    <row r="188" spans="1:9" ht="30" customHeight="1" x14ac:dyDescent="0.4">
      <c r="A188" s="49">
        <v>15</v>
      </c>
      <c r="B188" s="49" t="str">
        <f>IF(OR(VLOOKUP(Table171116[[#This Row],[Ln'#]],Started!A$45:AU$74,23,FALSE)="E",VLOOKUP(Table171116[[#This Row],[Ln'#]],Started!A$45:AU$74,23,FALSE)="FEO"),"Entered or FEO","Not Entered")</f>
        <v>Not Entered</v>
      </c>
      <c r="C188" s="50" t="str">
        <f t="shared" ca="1" si="5"/>
        <v/>
      </c>
      <c r="D188" s="48"/>
      <c r="E188" s="48"/>
      <c r="F188" s="48"/>
      <c r="G188" s="48" t="str">
        <f>IF(Table171116[[#This Row],[Status]]="Not Entered","",VLOOKUP(Table171116[[#This Row],[Ln'#]],Started!$A$45:$AU$74,3,FALSE))</f>
        <v/>
      </c>
      <c r="H188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8" s="51" t="str">
        <f>IF(Table171116[[#This Row],[Status]]="Not Entered","",VLOOKUP(Table171116[[#This Row],[Ln'#]],Started!$A$45:$BB$74,47,FALSE))</f>
        <v/>
      </c>
    </row>
    <row r="189" spans="1:9" ht="30" customHeight="1" x14ac:dyDescent="0.4">
      <c r="A189" s="49">
        <v>16</v>
      </c>
      <c r="B189" s="49" t="str">
        <f>IF(OR(VLOOKUP(Table171116[[#This Row],[Ln'#]],Started!A$45:AU$74,23,FALSE)="E",VLOOKUP(Table171116[[#This Row],[Ln'#]],Started!A$45:AU$74,23,FALSE)="FEO"),"Entered or FEO","Not Entered")</f>
        <v>Not Entered</v>
      </c>
      <c r="C189" s="50" t="str">
        <f t="shared" ca="1" si="5"/>
        <v/>
      </c>
      <c r="D189" s="48"/>
      <c r="E189" s="48"/>
      <c r="F189" s="48"/>
      <c r="G189" s="48" t="str">
        <f>IF(Table171116[[#This Row],[Status]]="Not Entered","",VLOOKUP(Table171116[[#This Row],[Ln'#]],Started!$A$45:$AU$74,3,FALSE))</f>
        <v/>
      </c>
      <c r="H189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9" s="51" t="str">
        <f>IF(Table171116[[#This Row],[Status]]="Not Entered","",VLOOKUP(Table171116[[#This Row],[Ln'#]],Started!$A$45:$BB$74,47,FALSE))</f>
        <v/>
      </c>
    </row>
    <row r="190" spans="1:9" ht="30" customHeight="1" x14ac:dyDescent="0.4">
      <c r="A190" s="49">
        <v>17</v>
      </c>
      <c r="B190" s="49" t="str">
        <f>IF(OR(VLOOKUP(Table171116[[#This Row],[Ln'#]],Started!A$45:AU$74,23,FALSE)="E",VLOOKUP(Table171116[[#This Row],[Ln'#]],Started!A$45:AU$74,23,FALSE)="FEO"),"Entered or FEO","Not Entered")</f>
        <v>Not Entered</v>
      </c>
      <c r="C190" s="50" t="str">
        <f t="shared" ca="1" si="5"/>
        <v/>
      </c>
      <c r="D190" s="48"/>
      <c r="E190" s="48"/>
      <c r="F190" s="48"/>
      <c r="G190" s="48" t="str">
        <f>IF(Table171116[[#This Row],[Status]]="Not Entered","",VLOOKUP(Table171116[[#This Row],[Ln'#]],Started!$A$45:$AU$74,3,FALSE))</f>
        <v/>
      </c>
      <c r="H190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0" s="51" t="str">
        <f>IF(Table171116[[#This Row],[Status]]="Not Entered","",VLOOKUP(Table171116[[#This Row],[Ln'#]],Started!$A$45:$BB$74,47,FALSE))</f>
        <v/>
      </c>
    </row>
    <row r="191" spans="1:9" ht="30" customHeight="1" x14ac:dyDescent="0.4">
      <c r="A191" s="49">
        <v>18</v>
      </c>
      <c r="B191" s="49" t="str">
        <f>IF(OR(VLOOKUP(Table171116[[#This Row],[Ln'#]],Started!A$45:AU$74,23,FALSE)="E",VLOOKUP(Table171116[[#This Row],[Ln'#]],Started!A$45:AU$74,23,FALSE)="FEO"),"Entered or FEO","Not Entered")</f>
        <v>Not Entered</v>
      </c>
      <c r="C191" s="50" t="str">
        <f t="shared" ca="1" si="5"/>
        <v/>
      </c>
      <c r="D191" s="48"/>
      <c r="E191" s="48"/>
      <c r="F191" s="48"/>
      <c r="G191" s="48" t="str">
        <f>IF(Table171116[[#This Row],[Status]]="Not Entered","",VLOOKUP(Table171116[[#This Row],[Ln'#]],Started!$A$45:$AU$74,3,FALSE))</f>
        <v/>
      </c>
      <c r="H191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1" s="51" t="str">
        <f>IF(Table171116[[#This Row],[Status]]="Not Entered","",VLOOKUP(Table171116[[#This Row],[Ln'#]],Started!$A$45:$BB$74,47,FALSE))</f>
        <v/>
      </c>
    </row>
    <row r="192" spans="1:9" ht="30" customHeight="1" x14ac:dyDescent="0.4">
      <c r="A192" s="49">
        <v>19</v>
      </c>
      <c r="B192" s="49" t="str">
        <f>IF(OR(VLOOKUP(Table171116[[#This Row],[Ln'#]],Started!A$45:AU$74,23,FALSE)="E",VLOOKUP(Table171116[[#This Row],[Ln'#]],Started!A$45:AU$74,23,FALSE)="FEO"),"Entered or FEO","Not Entered")</f>
        <v>Not Entered</v>
      </c>
      <c r="C192" s="50" t="str">
        <f t="shared" ca="1" si="5"/>
        <v/>
      </c>
      <c r="D192" s="48"/>
      <c r="E192" s="48"/>
      <c r="F192" s="48"/>
      <c r="G192" s="48" t="str">
        <f>IF(Table171116[[#This Row],[Status]]="Not Entered","",VLOOKUP(Table171116[[#This Row],[Ln'#]],Started!$A$45:$AU$74,3,FALSE))</f>
        <v/>
      </c>
      <c r="H192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2" s="51" t="str">
        <f>IF(Table171116[[#This Row],[Status]]="Not Entered","",VLOOKUP(Table171116[[#This Row],[Ln'#]],Started!$A$45:$BB$74,47,FALSE))</f>
        <v/>
      </c>
    </row>
    <row r="193" spans="1:9" ht="30" customHeight="1" x14ac:dyDescent="0.4">
      <c r="A193" s="49">
        <v>20</v>
      </c>
      <c r="B193" s="49" t="str">
        <f>IF(OR(VLOOKUP(Table171116[[#This Row],[Ln'#]],Started!A$45:AU$74,23,FALSE)="E",VLOOKUP(Table171116[[#This Row],[Ln'#]],Started!A$45:AU$74,23,FALSE)="FEO"),"Entered or FEO","Not Entered")</f>
        <v>Not Entered</v>
      </c>
      <c r="C193" s="50" t="str">
        <f t="shared" ca="1" si="5"/>
        <v/>
      </c>
      <c r="D193" s="48"/>
      <c r="E193" s="48"/>
      <c r="F193" s="48"/>
      <c r="G193" s="48" t="str">
        <f>IF(Table171116[[#This Row],[Status]]="Not Entered","",VLOOKUP(Table171116[[#This Row],[Ln'#]],Started!$A$45:$AU$74,3,FALSE))</f>
        <v/>
      </c>
      <c r="H193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3" s="51" t="str">
        <f>IF(Table171116[[#This Row],[Status]]="Not Entered","",VLOOKUP(Table171116[[#This Row],[Ln'#]],Started!$A$45:$BB$74,47,FALSE))</f>
        <v/>
      </c>
    </row>
    <row r="194" spans="1:9" ht="30" customHeight="1" x14ac:dyDescent="0.4">
      <c r="A194" s="49">
        <v>21</v>
      </c>
      <c r="B194" s="49" t="str">
        <f>IF(OR(VLOOKUP(Table171116[[#This Row],[Ln'#]],Started!A$45:AU$74,23,FALSE)="E",VLOOKUP(Table171116[[#This Row],[Ln'#]],Started!A$45:AU$74,23,FALSE)="FEO"),"Entered or FEO","Not Entered")</f>
        <v>Not Entered</v>
      </c>
      <c r="C194" s="50" t="str">
        <f t="shared" ca="1" si="5"/>
        <v/>
      </c>
      <c r="D194" s="48"/>
      <c r="E194" s="48"/>
      <c r="F194" s="48"/>
      <c r="G194" s="48" t="str">
        <f>IF(Table171116[[#This Row],[Status]]="Not Entered","",VLOOKUP(Table171116[[#This Row],[Ln'#]],Started!$A$45:$AU$74,3,FALSE))</f>
        <v/>
      </c>
      <c r="H194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4" s="51" t="str">
        <f>IF(Table171116[[#This Row],[Status]]="Not Entered","",VLOOKUP(Table171116[[#This Row],[Ln'#]],Started!$A$45:$BB$74,47,FALSE))</f>
        <v/>
      </c>
    </row>
    <row r="195" spans="1:9" ht="30" customHeight="1" x14ac:dyDescent="0.4">
      <c r="A195" s="49">
        <v>22</v>
      </c>
      <c r="B195" s="49" t="str">
        <f>IF(OR(VLOOKUP(Table171116[[#This Row],[Ln'#]],Started!A$45:AU$74,23,FALSE)="E",VLOOKUP(Table171116[[#This Row],[Ln'#]],Started!A$45:AU$74,23,FALSE)="FEO"),"Entered or FEO","Not Entered")</f>
        <v>Not Entered</v>
      </c>
      <c r="C195" s="50" t="str">
        <f t="shared" ca="1" si="5"/>
        <v/>
      </c>
      <c r="D195" s="48"/>
      <c r="E195" s="48"/>
      <c r="F195" s="48"/>
      <c r="G195" s="48" t="str">
        <f>IF(Table171116[[#This Row],[Status]]="Not Entered","",VLOOKUP(Table171116[[#This Row],[Ln'#]],Started!$A$45:$AU$74,3,FALSE))</f>
        <v/>
      </c>
      <c r="H195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5" s="51" t="str">
        <f>IF(Table171116[[#This Row],[Status]]="Not Entered","",VLOOKUP(Table171116[[#This Row],[Ln'#]],Started!$A$45:$BB$74,47,FALSE))</f>
        <v/>
      </c>
    </row>
    <row r="196" spans="1:9" ht="30" customHeight="1" x14ac:dyDescent="0.4">
      <c r="A196" s="49">
        <v>23</v>
      </c>
      <c r="B196" s="49" t="str">
        <f>IF(OR(VLOOKUP(Table171116[[#This Row],[Ln'#]],Started!A$45:AU$74,23,FALSE)="E",VLOOKUP(Table171116[[#This Row],[Ln'#]],Started!A$45:AU$74,23,FALSE)="FEO"),"Entered or FEO","Not Entered")</f>
        <v>Not Entered</v>
      </c>
      <c r="C196" s="50" t="str">
        <f t="shared" ca="1" si="5"/>
        <v/>
      </c>
      <c r="D196" s="48"/>
      <c r="E196" s="48"/>
      <c r="F196" s="48"/>
      <c r="G196" s="48" t="str">
        <f>IF(Table171116[[#This Row],[Status]]="Not Entered","",VLOOKUP(Table171116[[#This Row],[Ln'#]],Started!$A$45:$AU$74,3,FALSE))</f>
        <v/>
      </c>
      <c r="H196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6" s="51" t="str">
        <f>IF(Table171116[[#This Row],[Status]]="Not Entered","",VLOOKUP(Table171116[[#This Row],[Ln'#]],Started!$A$45:$BB$74,47,FALSE))</f>
        <v/>
      </c>
    </row>
    <row r="197" spans="1:9" ht="30" customHeight="1" x14ac:dyDescent="0.4">
      <c r="A197" s="49">
        <v>24</v>
      </c>
      <c r="B197" s="49" t="str">
        <f>IF(OR(VLOOKUP(Table171116[[#This Row],[Ln'#]],Started!A$45:AU$74,23,FALSE)="E",VLOOKUP(Table171116[[#This Row],[Ln'#]],Started!A$45:AU$74,23,FALSE)="FEO"),"Entered or FEO","Not Entered")</f>
        <v>Not Entered</v>
      </c>
      <c r="C197" s="50" t="str">
        <f t="shared" ca="1" si="5"/>
        <v/>
      </c>
      <c r="D197" s="48"/>
      <c r="E197" s="48"/>
      <c r="F197" s="48"/>
      <c r="G197" s="48" t="str">
        <f>IF(Table171116[[#This Row],[Status]]="Not Entered","",VLOOKUP(Table171116[[#This Row],[Ln'#]],Started!$A$45:$AU$74,3,FALSE))</f>
        <v/>
      </c>
      <c r="H197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7" s="51" t="str">
        <f>IF(Table171116[[#This Row],[Status]]="Not Entered","",VLOOKUP(Table171116[[#This Row],[Ln'#]],Started!$A$45:$BB$74,47,FALSE))</f>
        <v/>
      </c>
    </row>
    <row r="198" spans="1:9" ht="30" customHeight="1" x14ac:dyDescent="0.4">
      <c r="A198" s="49">
        <v>25</v>
      </c>
      <c r="B198" s="49" t="str">
        <f>IF(OR(VLOOKUP(Table171116[[#This Row],[Ln'#]],Started!A$45:AU$74,23,FALSE)="E",VLOOKUP(Table171116[[#This Row],[Ln'#]],Started!A$45:AU$74,23,FALSE)="FEO"),"Entered or FEO","Not Entered")</f>
        <v>Not Entered</v>
      </c>
      <c r="C198" s="50" t="str">
        <f t="shared" ca="1" si="5"/>
        <v/>
      </c>
      <c r="D198" s="48"/>
      <c r="E198" s="48"/>
      <c r="F198" s="48"/>
      <c r="G198" s="48" t="str">
        <f>IF(Table171116[[#This Row],[Status]]="Not Entered","",VLOOKUP(Table171116[[#This Row],[Ln'#]],Started!$A$45:$AU$74,3,FALSE))</f>
        <v/>
      </c>
      <c r="H198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8" s="51" t="str">
        <f>IF(Table171116[[#This Row],[Status]]="Not Entered","",VLOOKUP(Table171116[[#This Row],[Ln'#]],Started!$A$45:$BB$74,47,FALSE))</f>
        <v/>
      </c>
    </row>
    <row r="199" spans="1:9" ht="30" customHeight="1" x14ac:dyDescent="0.4">
      <c r="A199" s="49">
        <v>26</v>
      </c>
      <c r="B199" s="49" t="str">
        <f>IF(OR(VLOOKUP(Table171116[[#This Row],[Ln'#]],Started!A$45:AU$74,23,FALSE)="E",VLOOKUP(Table171116[[#This Row],[Ln'#]],Started!A$45:AU$74,23,FALSE)="FEO"),"Entered or FEO","Not Entered")</f>
        <v>Not Entered</v>
      </c>
      <c r="C199" s="50" t="str">
        <f t="shared" ca="1" si="5"/>
        <v/>
      </c>
      <c r="D199" s="48"/>
      <c r="E199" s="48"/>
      <c r="F199" s="48"/>
      <c r="G199" s="48" t="str">
        <f>IF(Table171116[[#This Row],[Status]]="Not Entered","",VLOOKUP(Table171116[[#This Row],[Ln'#]],Started!$A$45:$AU$74,3,FALSE))</f>
        <v/>
      </c>
      <c r="H199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9" s="51" t="str">
        <f>IF(Table171116[[#This Row],[Status]]="Not Entered","",VLOOKUP(Table171116[[#This Row],[Ln'#]],Started!$A$45:$BB$74,47,FALSE))</f>
        <v/>
      </c>
    </row>
    <row r="200" spans="1:9" ht="30" customHeight="1" x14ac:dyDescent="0.4">
      <c r="A200" s="49">
        <v>27</v>
      </c>
      <c r="B200" s="49" t="str">
        <f>IF(OR(VLOOKUP(Table171116[[#This Row],[Ln'#]],Started!A$45:AU$74,23,FALSE)="E",VLOOKUP(Table171116[[#This Row],[Ln'#]],Started!A$45:AU$74,23,FALSE)="FEO"),"Entered or FEO","Not Entered")</f>
        <v>Not Entered</v>
      </c>
      <c r="C200" s="50" t="str">
        <f t="shared" ca="1" si="5"/>
        <v/>
      </c>
      <c r="D200" s="48"/>
      <c r="E200" s="48"/>
      <c r="F200" s="48"/>
      <c r="G200" s="48" t="str">
        <f>IF(Table171116[[#This Row],[Status]]="Not Entered","",VLOOKUP(Table171116[[#This Row],[Ln'#]],Started!$A$45:$AU$74,3,FALSE))</f>
        <v/>
      </c>
      <c r="H200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0" s="51" t="str">
        <f>IF(Table171116[[#This Row],[Status]]="Not Entered","",VLOOKUP(Table171116[[#This Row],[Ln'#]],Started!$A$45:$BB$74,47,FALSE))</f>
        <v/>
      </c>
    </row>
    <row r="201" spans="1:9" ht="30" customHeight="1" x14ac:dyDescent="0.4">
      <c r="A201" s="49">
        <v>28</v>
      </c>
      <c r="B201" s="49" t="str">
        <f>IF(OR(VLOOKUP(Table171116[[#This Row],[Ln'#]],Started!A$45:AU$74,23,FALSE)="E",VLOOKUP(Table171116[[#This Row],[Ln'#]],Started!A$45:AU$74,23,FALSE)="FEO"),"Entered or FEO","Not Entered")</f>
        <v>Not Entered</v>
      </c>
      <c r="C201" s="50" t="str">
        <f t="shared" ca="1" si="5"/>
        <v/>
      </c>
      <c r="D201" s="48"/>
      <c r="E201" s="48"/>
      <c r="F201" s="48"/>
      <c r="G201" s="48" t="str">
        <f>IF(Table171116[[#This Row],[Status]]="Not Entered","",VLOOKUP(Table171116[[#This Row],[Ln'#]],Started!$A$45:$AU$74,3,FALSE))</f>
        <v/>
      </c>
      <c r="H201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1" s="51" t="str">
        <f>IF(Table171116[[#This Row],[Status]]="Not Entered","",VLOOKUP(Table171116[[#This Row],[Ln'#]],Started!$A$45:$BB$74,47,FALSE))</f>
        <v/>
      </c>
    </row>
    <row r="202" spans="1:9" ht="30" customHeight="1" x14ac:dyDescent="0.4">
      <c r="A202" s="49">
        <v>29</v>
      </c>
      <c r="B202" s="49" t="str">
        <f>IF(OR(VLOOKUP(Table171116[[#This Row],[Ln'#]],Started!A$45:AU$74,23,FALSE)="E",VLOOKUP(Table171116[[#This Row],[Ln'#]],Started!A$45:AU$74,23,FALSE)="FEO"),"Entered or FEO","Not Entered")</f>
        <v>Not Entered</v>
      </c>
      <c r="C202" s="50" t="str">
        <f t="shared" ca="1" si="5"/>
        <v/>
      </c>
      <c r="D202" s="48"/>
      <c r="E202" s="48"/>
      <c r="F202" s="48"/>
      <c r="G202" s="48" t="str">
        <f>IF(Table171116[[#This Row],[Status]]="Not Entered","",VLOOKUP(Table171116[[#This Row],[Ln'#]],Started!$A$45:$AU$74,3,FALSE))</f>
        <v/>
      </c>
      <c r="H202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2" s="51" t="str">
        <f>IF(Table171116[[#This Row],[Status]]="Not Entered","",VLOOKUP(Table171116[[#This Row],[Ln'#]],Started!$A$45:$BB$74,47,FALSE))</f>
        <v/>
      </c>
    </row>
    <row r="203" spans="1:9" ht="30" customHeight="1" x14ac:dyDescent="0.4">
      <c r="A203" s="49">
        <v>30</v>
      </c>
      <c r="B203" s="49" t="str">
        <f>IF(OR(VLOOKUP(Table171116[[#This Row],[Ln'#]],Started!A$45:AU$74,23,FALSE)="E",VLOOKUP(Table171116[[#This Row],[Ln'#]],Started!A$45:AU$74,23,FALSE)="FEO"),"Entered or FEO","Not Entered")</f>
        <v>Not Entered</v>
      </c>
      <c r="C203" s="50" t="str">
        <f t="shared" ca="1" si="5"/>
        <v/>
      </c>
      <c r="D203" s="48"/>
      <c r="E203" s="48"/>
      <c r="F203" s="48"/>
      <c r="G203" s="48" t="str">
        <f>IF(Table171116[[#This Row],[Status]]="Not Entered","",VLOOKUP(Table171116[[#This Row],[Ln'#]],Started!$A$45:$AU$74,3,FALSE))</f>
        <v/>
      </c>
      <c r="H203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3" s="51" t="str">
        <f>IF(Table171116[[#This Row],[Status]]="Not Entered","",VLOOKUP(Table171116[[#This Row],[Ln'#]],Started!$A$45:$BB$74,47,FALSE))</f>
        <v/>
      </c>
    </row>
    <row r="204" spans="1:9" ht="30" customHeight="1" x14ac:dyDescent="0.4">
      <c r="A204" s="48"/>
      <c r="B204" s="48"/>
      <c r="C204" s="48"/>
      <c r="D204" s="48" t="s">
        <v>1141</v>
      </c>
      <c r="E204" s="48">
        <f>SUBTOTAL(102,Table171116[Running Order])</f>
        <v>0</v>
      </c>
      <c r="F204" s="48"/>
      <c r="G204" s="48"/>
      <c r="H204" s="51"/>
      <c r="I204" s="51"/>
    </row>
  </sheetData>
  <sheetProtection selectLockedCells="1"/>
  <mergeCells count="16">
    <mergeCell ref="A172:B172"/>
    <mergeCell ref="D172:I172"/>
    <mergeCell ref="L2:S2"/>
    <mergeCell ref="A2:B2"/>
    <mergeCell ref="A36:B36"/>
    <mergeCell ref="A70:B70"/>
    <mergeCell ref="D2:I2"/>
    <mergeCell ref="D36:I36"/>
    <mergeCell ref="D70:I70"/>
    <mergeCell ref="L36:S36"/>
    <mergeCell ref="L104:S104"/>
    <mergeCell ref="L138:S138"/>
    <mergeCell ref="A104:B104"/>
    <mergeCell ref="D104:I104"/>
    <mergeCell ref="A138:B138"/>
    <mergeCell ref="D138:I138"/>
  </mergeCells>
  <phoneticPr fontId="24" type="noConversion"/>
  <printOptions horizontalCentered="1" gridLines="1"/>
  <pageMargins left="0.7" right="0.7" top="0.75" bottom="0.75" header="0.3" footer="0.3"/>
  <pageSetup scale="72" fitToHeight="0" orientation="landscape" r:id="rId1"/>
  <rowBreaks count="8" manualBreakCount="8">
    <brk id="34" max="16383" man="1"/>
    <brk id="35" max="16383" man="1"/>
    <brk id="68" max="16383" man="1"/>
    <brk id="69" max="16383" man="1"/>
    <brk id="102" max="16383" man="1"/>
    <brk id="136" max="16383" man="1"/>
    <brk id="170" max="16383" man="1"/>
    <brk id="204" max="16383" man="1"/>
  </rowBreaks>
  <colBreaks count="1" manualBreakCount="1">
    <brk id="10" max="1048575" man="1"/>
  </col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116"/>
  <sheetViews>
    <sheetView zoomScale="90" zoomScaleNormal="90" zoomScalePageLayoutView="125" workbookViewId="0">
      <pane xSplit="4" ySplit="4" topLeftCell="E5" activePane="bottomRight" state="frozen"/>
      <selection sqref="A1:M1"/>
      <selection pane="topRight" sqref="A1:M1"/>
      <selection pane="bottomLeft" sqref="A1:M1"/>
      <selection pane="bottomRight" activeCell="B5" sqref="B5"/>
    </sheetView>
  </sheetViews>
  <sheetFormatPr defaultColWidth="10.7109375" defaultRowHeight="15" x14ac:dyDescent="0.25"/>
  <cols>
    <col min="1" max="1" width="3.85546875" customWidth="1"/>
    <col min="2" max="2" width="4.85546875" customWidth="1"/>
    <col min="3" max="3" width="5.85546875" customWidth="1"/>
    <col min="4" max="4" width="14.28515625" customWidth="1"/>
    <col min="5" max="5" width="14.28515625" hidden="1" customWidth="1"/>
    <col min="6" max="6" width="3.85546875" customWidth="1"/>
    <col min="7" max="7" width="4.85546875" style="2" customWidth="1"/>
    <col min="8" max="8" width="8.140625" style="2" customWidth="1"/>
    <col min="9" max="9" width="4.85546875" style="2" customWidth="1"/>
    <col min="10" max="10" width="10.140625" style="2" hidden="1" customWidth="1"/>
    <col min="11" max="11" width="4.85546875" style="2" customWidth="1"/>
    <col min="12" max="12" width="9" style="2" hidden="1" customWidth="1"/>
    <col min="13" max="13" width="4.85546875" style="2" customWidth="1"/>
    <col min="14" max="14" width="3.85546875" style="2" customWidth="1"/>
    <col min="15" max="15" width="4.85546875" style="2" customWidth="1"/>
    <col min="16" max="16" width="8.140625" style="2" customWidth="1"/>
    <col min="17" max="17" width="4.85546875" style="2" customWidth="1"/>
    <col min="18" max="18" width="9" style="2" hidden="1" customWidth="1"/>
    <col min="19" max="19" width="4.85546875" style="2" customWidth="1"/>
    <col min="20" max="20" width="9" style="2" hidden="1" customWidth="1"/>
    <col min="21" max="21" width="4.85546875" style="2" customWidth="1"/>
    <col min="22" max="22" width="3.85546875" style="2" customWidth="1"/>
    <col min="23" max="23" width="4.85546875" style="2" customWidth="1"/>
    <col min="24" max="24" width="8.140625" style="2" customWidth="1"/>
    <col min="25" max="25" width="4.85546875" style="2" customWidth="1"/>
    <col min="26" max="26" width="9" style="2" hidden="1" customWidth="1"/>
    <col min="27" max="27" width="4.85546875" style="2" customWidth="1"/>
    <col min="28" max="28" width="9" style="2" hidden="1" customWidth="1"/>
    <col min="29" max="29" width="4.85546875" style="2" customWidth="1"/>
    <col min="30" max="30" width="5.85546875" style="2" customWidth="1"/>
    <col min="31" max="31" width="7" style="2" hidden="1" customWidth="1"/>
    <col min="32" max="32" width="6.140625" style="2" hidden="1" customWidth="1"/>
    <col min="33" max="33" width="8" style="2" hidden="1" customWidth="1"/>
    <col min="34" max="34" width="4.85546875" style="2" customWidth="1"/>
    <col min="35" max="36" width="7" style="2" hidden="1" customWidth="1"/>
    <col min="37" max="37" width="8.7109375" style="2" hidden="1" customWidth="1"/>
    <col min="38" max="38" width="4.85546875" style="2" customWidth="1"/>
    <col min="39" max="39" width="5.140625" style="2" customWidth="1"/>
    <col min="40" max="42" width="9.140625" style="2" hidden="1" customWidth="1"/>
    <col min="43" max="43" width="4.140625" style="2" customWidth="1"/>
    <col min="44" max="44" width="4.7109375" style="83" customWidth="1"/>
    <col min="45" max="46" width="7.7109375" customWidth="1"/>
    <col min="47" max="47" width="20.85546875" customWidth="1"/>
    <col min="48" max="49" width="7" style="2" customWidth="1"/>
    <col min="51" max="51" width="10.7109375" hidden="1" customWidth="1"/>
    <col min="52" max="53" width="10.7109375" style="62" hidden="1" customWidth="1"/>
    <col min="54" max="54" width="27.7109375" customWidth="1"/>
  </cols>
  <sheetData>
    <row r="1" spans="1:57" ht="12" hidden="1" customHeight="1" x14ac:dyDescent="0.25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/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</row>
    <row r="2" spans="1:57" s="9" customFormat="1" ht="12.75" x14ac:dyDescent="0.2">
      <c r="A2" s="9" t="s">
        <v>624</v>
      </c>
      <c r="C2" s="9">
        <f>TrialNumber</f>
        <v>0</v>
      </c>
      <c r="D2" s="10"/>
      <c r="E2" s="10"/>
      <c r="F2" s="10"/>
      <c r="H2" s="10" t="s">
        <v>3505</v>
      </c>
      <c r="I2" s="398">
        <f>TrialVenue</f>
        <v>0</v>
      </c>
      <c r="J2" s="398"/>
      <c r="K2" s="398"/>
      <c r="L2" s="398"/>
      <c r="M2" s="398"/>
      <c r="N2" s="398"/>
      <c r="O2" s="398"/>
      <c r="P2" s="398"/>
      <c r="R2" s="10"/>
      <c r="S2" s="10"/>
      <c r="T2" s="10"/>
      <c r="U2" s="10"/>
      <c r="V2" s="10"/>
      <c r="X2" s="10" t="s">
        <v>10</v>
      </c>
      <c r="Y2" s="399" t="str">
        <f>TEXT(TrialDate, "mmm-dd-yyyy")</f>
        <v/>
      </c>
      <c r="Z2" s="399"/>
      <c r="AA2" s="399"/>
      <c r="AB2" s="399"/>
      <c r="AC2" s="399"/>
      <c r="AD2" s="399"/>
      <c r="AE2" s="38"/>
      <c r="AF2" s="10"/>
      <c r="AG2" s="38"/>
      <c r="AH2" s="38"/>
      <c r="AI2" s="38"/>
      <c r="AJ2" s="38"/>
      <c r="AK2" s="38"/>
      <c r="AL2" s="38"/>
      <c r="AM2" s="57"/>
      <c r="AN2" s="57"/>
      <c r="AO2" s="57"/>
      <c r="AP2" s="57"/>
      <c r="AQ2" s="57"/>
      <c r="AR2" s="80"/>
      <c r="AS2" s="404"/>
      <c r="AT2" s="404"/>
      <c r="AU2" s="404"/>
      <c r="AV2" s="404"/>
      <c r="AW2" s="404"/>
      <c r="AX2" s="404"/>
      <c r="AZ2" s="60"/>
      <c r="BA2" s="60"/>
    </row>
    <row r="3" spans="1:57" s="25" customFormat="1" ht="12" x14ac:dyDescent="0.25">
      <c r="A3" s="30"/>
      <c r="B3" s="395" t="s">
        <v>611</v>
      </c>
      <c r="C3" s="396"/>
      <c r="D3" s="397"/>
      <c r="E3" s="209"/>
      <c r="F3" s="31"/>
      <c r="G3" s="395" t="s">
        <v>30</v>
      </c>
      <c r="H3" s="396"/>
      <c r="I3" s="396"/>
      <c r="J3" s="396"/>
      <c r="K3" s="396"/>
      <c r="L3" s="396"/>
      <c r="M3" s="397"/>
      <c r="N3" s="31"/>
      <c r="O3" s="395" t="s">
        <v>31</v>
      </c>
      <c r="P3" s="396"/>
      <c r="Q3" s="396"/>
      <c r="R3" s="396"/>
      <c r="S3" s="396"/>
      <c r="T3" s="396"/>
      <c r="U3" s="397"/>
      <c r="V3" s="31"/>
      <c r="W3" s="395" t="s">
        <v>32</v>
      </c>
      <c r="X3" s="396"/>
      <c r="Y3" s="396"/>
      <c r="Z3" s="396"/>
      <c r="AA3" s="396"/>
      <c r="AB3" s="396"/>
      <c r="AC3" s="397"/>
      <c r="AD3" s="35"/>
      <c r="AE3" s="37"/>
      <c r="AF3" s="37"/>
      <c r="AG3" s="31"/>
      <c r="AH3" s="391" t="s">
        <v>651</v>
      </c>
      <c r="AI3" s="392"/>
      <c r="AJ3" s="392"/>
      <c r="AK3" s="392"/>
      <c r="AL3" s="395"/>
      <c r="AM3" s="58"/>
      <c r="AN3" s="58"/>
      <c r="AO3" s="58"/>
      <c r="AP3" s="58"/>
      <c r="AQ3" s="58"/>
      <c r="AR3" s="81"/>
      <c r="AV3" s="58"/>
      <c r="AW3" s="58"/>
      <c r="AZ3" s="61"/>
      <c r="BA3" s="61"/>
    </row>
    <row r="4" spans="1:57" s="3" customFormat="1" ht="51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210" t="s">
        <v>12406</v>
      </c>
      <c r="F4" s="32" t="s">
        <v>660</v>
      </c>
      <c r="G4" s="26" t="s">
        <v>1131</v>
      </c>
      <c r="H4" s="7" t="s">
        <v>602</v>
      </c>
      <c r="I4" s="7" t="s">
        <v>603</v>
      </c>
      <c r="J4" s="24" t="s">
        <v>607</v>
      </c>
      <c r="K4" s="24" t="s">
        <v>618</v>
      </c>
      <c r="L4" s="24" t="s">
        <v>601</v>
      </c>
      <c r="M4" s="28" t="s">
        <v>621</v>
      </c>
      <c r="N4" s="33" t="s">
        <v>661</v>
      </c>
      <c r="O4" s="26" t="s">
        <v>1134</v>
      </c>
      <c r="P4" s="7" t="s">
        <v>606</v>
      </c>
      <c r="Q4" s="7" t="s">
        <v>610</v>
      </c>
      <c r="R4" s="24" t="s">
        <v>608</v>
      </c>
      <c r="S4" s="24" t="s">
        <v>619</v>
      </c>
      <c r="T4" s="24" t="s">
        <v>609</v>
      </c>
      <c r="U4" s="28" t="s">
        <v>622</v>
      </c>
      <c r="V4" s="33" t="s">
        <v>662</v>
      </c>
      <c r="W4" s="26" t="s">
        <v>1133</v>
      </c>
      <c r="X4" s="7" t="s">
        <v>615</v>
      </c>
      <c r="Y4" s="7" t="s">
        <v>617</v>
      </c>
      <c r="Z4" s="24" t="s">
        <v>613</v>
      </c>
      <c r="AA4" s="24" t="s">
        <v>620</v>
      </c>
      <c r="AB4" s="24" t="s">
        <v>614</v>
      </c>
      <c r="AC4" s="28" t="s">
        <v>623</v>
      </c>
      <c r="AD4" s="32" t="s">
        <v>15153</v>
      </c>
      <c r="AE4" s="26" t="s">
        <v>654</v>
      </c>
      <c r="AF4" s="7" t="s">
        <v>655</v>
      </c>
      <c r="AG4" s="34" t="s">
        <v>650</v>
      </c>
      <c r="AH4" s="32" t="s">
        <v>653</v>
      </c>
      <c r="AI4" s="26" t="s">
        <v>656</v>
      </c>
      <c r="AJ4" s="7" t="s">
        <v>657</v>
      </c>
      <c r="AK4" s="26" t="s">
        <v>658</v>
      </c>
      <c r="AL4" s="263" t="s">
        <v>652</v>
      </c>
      <c r="AM4" s="266" t="s">
        <v>1554</v>
      </c>
      <c r="AN4" s="266" t="s">
        <v>1569</v>
      </c>
      <c r="AO4" s="266" t="s">
        <v>1570</v>
      </c>
      <c r="AP4" s="266" t="s">
        <v>1571</v>
      </c>
      <c r="AQ4" s="266" t="s">
        <v>1553</v>
      </c>
      <c r="AR4" s="267" t="s">
        <v>16037</v>
      </c>
      <c r="AS4" s="266" t="s">
        <v>1286</v>
      </c>
      <c r="AT4" s="266" t="s">
        <v>1287</v>
      </c>
      <c r="AU4" s="268" t="s">
        <v>1137</v>
      </c>
      <c r="AV4" s="266" t="s">
        <v>1145</v>
      </c>
      <c r="AW4" s="266" t="s">
        <v>1146</v>
      </c>
      <c r="AX4" s="268" t="s">
        <v>1147</v>
      </c>
      <c r="AY4" s="268"/>
      <c r="AZ4" s="269" t="s">
        <v>1172</v>
      </c>
      <c r="BA4" s="269" t="s">
        <v>1173</v>
      </c>
      <c r="BB4" s="268" t="s">
        <v>1561</v>
      </c>
      <c r="BC4" s="261" t="s">
        <v>15191</v>
      </c>
      <c r="BD4" s="261" t="s">
        <v>15192</v>
      </c>
      <c r="BE4" s="261" t="s">
        <v>15193</v>
      </c>
    </row>
    <row r="5" spans="1:57" x14ac:dyDescent="0.25">
      <c r="A5" s="99">
        <v>1</v>
      </c>
      <c r="B5" s="100"/>
      <c r="C5" s="101"/>
      <c r="D5" s="102" t="str">
        <f>IF($C5="","",VLOOKUP($C5,'SDDA Dogs'!$A:$F,2,FALSE))</f>
        <v/>
      </c>
      <c r="E5" s="211">
        <f>-_xlfn.ISFORMULA(D5)</f>
        <v>-1</v>
      </c>
      <c r="F5" s="103" t="str">
        <f>IF($C5="","",VLOOKUP($C5,'SDDA Dogs'!$A:$O,10,FALSE))</f>
        <v/>
      </c>
      <c r="G5" s="137"/>
      <c r="H5" s="217"/>
      <c r="I5" s="84" t="str">
        <f t="shared" ref="I5:I54" si="0">IF(OR(G5="",G5="NE",G5="e",G5="feo"),"",(IF(G5&gt;=30,"Pass","Fail")))</f>
        <v/>
      </c>
      <c r="J5" s="105">
        <f t="shared" ref="J5:J54" si="1">IF(OR(AND($I5="Pass",$B5="A"),AND($I5="Fail",UseFail="Y",$B5="A")),$G5,0)+IF(OR(AND($I5="Pass",$B5="A"),AND($I5="Fail",UseFail="Y",$B5="A")),(MaxTmCSA-VALUE($H5)),0)</f>
        <v>0</v>
      </c>
      <c r="K5" s="84" t="str">
        <f>IF(AND($B5="A",$G5&lt;&gt;0,$H5&lt;&gt;0,J5&lt;&gt;0),(RANK(J5,J$5:J$54,0)),"")</f>
        <v/>
      </c>
      <c r="L5" s="105">
        <f t="shared" ref="L5:L54" si="2">IF(OR(AND($I5="Pass",$B5="W"),AND($I5="Fail",UseFail="Y",$B5="W")),$G5,0)+IF(OR(AND($I5="Pass",$B5="W"),AND($I5="Fail",UseFail="Y",$B5="W")),(MaxTmCSA-VALUE($H5)),0)</f>
        <v>0</v>
      </c>
      <c r="M5" s="84" t="str">
        <f>IF(AND($B5="W",$G5&lt;&gt;0,$H5&lt;&gt;0,L5&lt;&gt;0),(RANK(L5,L$5:L$54,0)),"")</f>
        <v/>
      </c>
      <c r="N5" s="106" t="str">
        <f>IF($C5="","",VLOOKUP($C5,'SDDA Dogs'!$A:$O,11,FALSE))</f>
        <v/>
      </c>
      <c r="O5" s="137"/>
      <c r="P5" s="217"/>
      <c r="Q5" s="84" t="str">
        <f t="shared" ref="Q5:Q54" si="3">IF(OR(O5="",O5="NE",O5="e",O5="feo"),"",(IF(O5&gt;=40,"Pass","Fail")))</f>
        <v/>
      </c>
      <c r="R5" s="105">
        <f t="shared" ref="R5:R54" si="4">IF(OR(AND($Q5="Pass",$B5="A"),AND($Q5="Fail",UseFail="Y",$B5="A")),$O5,0)+IF(OR(AND($Q5="Pass",$B5="A"),AND($Q5="Fail",UseFail="Y",$B5="A")),(MaxTmISA-VALUE($P5)),0)</f>
        <v>0</v>
      </c>
      <c r="S5" s="84" t="str">
        <f>IF(AND($B5="A",$O5&lt;&gt;0,$P5&lt;&gt;0,R5&lt;&gt;0),(RANK(R5,R$5:R$54,0)),"")</f>
        <v/>
      </c>
      <c r="T5" s="105">
        <f t="shared" ref="T5:T54" si="5">IF(OR(AND($Q5="Pass",$B5="W"),AND($Q5="Fail",UseFail="Y",$B5="W")),$O5,0)+IF(OR(AND($Q5="Pass",$B5="W"),AND($Q5="Fail",UseFail="Y",$B5="W")),(MaxTmISA-VALUE($P5)),0)</f>
        <v>0</v>
      </c>
      <c r="U5" s="84" t="str">
        <f>IF(AND($B5="w",$O5&lt;&gt;0,$P5&lt;&gt;0,T5&lt;&gt;0),(RANK(T5,T$5:T$54,0)),"")</f>
        <v/>
      </c>
      <c r="V5" s="106" t="str">
        <f>IF($C5="","",VLOOKUP($C5,'SDDA Dogs'!$A:$O,12,FALSE))</f>
        <v/>
      </c>
      <c r="W5" s="137"/>
      <c r="X5" s="217"/>
      <c r="Y5" s="84" t="str">
        <f t="shared" ref="Y5:Y54" si="6">IF(OR(W5="",W5="NE",W5="e",W5="feo"),"",(IF(W5&gt;=30,"Pass","Fail")))</f>
        <v/>
      </c>
      <c r="Z5" s="105">
        <f t="shared" ref="Z5:Z54" si="7">IF(OR(AND($Y5="Pass",$B5="A"),AND($Y5="Fail",UseFail="Y",$B5="A")),$W5,0)+IF(OR(AND($Y5="Pass",$B5="A"),AND($Y5="Fail",UseFail="Y",$B5="A")),(MaxTmESA-VALUE($X5)),0)</f>
        <v>0</v>
      </c>
      <c r="AA5" s="84" t="str">
        <f>IF(AND($B5="A",$W5&lt;&gt;0,$X5&lt;&gt;0,Z5&lt;&gt;0),(RANK(Z5,Z$5:Z$54,0)),"")</f>
        <v/>
      </c>
      <c r="AB5" s="105">
        <f t="shared" ref="AB5:AB54" si="8">IF(OR(AND($Y5="Pass",$B5="w"),AND($Y5="Fail",UseFail="Y",$B5="w")),$W5,0)+IF(OR(AND($Y5="Pass",$B5="w"),AND($Y5="Fail",UseFail="Y",$B5="w")),(MaxTmESA-VALUE($X5)),0)</f>
        <v>0</v>
      </c>
      <c r="AC5" s="84" t="str">
        <f>IF(AND($B5="w",$W5&lt;&gt;0,$X5&lt;&gt;0,AB5&lt;&gt;0),(RANK(AB5,AB$5:AB$54,0)),"")</f>
        <v/>
      </c>
      <c r="AD5" s="92" t="str">
        <f>IF(AND(AM5=0,AQ5=1,I5="Pass",Q5="Pass",Y5="Pass"),G5+O5+W5,IF(AND(AM5=0,AQ5=1),SUM(BC5:BE5),""))</f>
        <v/>
      </c>
      <c r="AE5" s="89" t="str">
        <f t="shared" ref="AE5:AE53" si="9">IF(AND(ISNUMBER($K5),ISNUMBER($S5),ISNUMBER($AA5))=TRUE,$G5+$O5+$W5,"")</f>
        <v/>
      </c>
      <c r="AF5" s="104" t="str">
        <f>IF(AND(ISNUMBER($K5),ISNUMBER($S5),ISNUMBER($AA5))=TRUE,$H5+$P5+$X5,"")</f>
        <v/>
      </c>
      <c r="AG5" s="107" t="str">
        <f>IF(ISNUMBER(AE5),(RANK(AE5,AE$5:AE$54,0)*10)+RANK(AF5,AF$5:AF$54,1),"")</f>
        <v/>
      </c>
      <c r="AH5" s="92" t="str">
        <f>IF(ISNUMBER(AG5),RANK(AG5,AG$5:AG$54,1),"")</f>
        <v/>
      </c>
      <c r="AI5" s="89" t="str">
        <f>IF(AND(ISNUMBER($M5),ISNUMBER($U5),ISNUMBER($AC5))=TRUE,$G5+$O5+$W5,"")</f>
        <v/>
      </c>
      <c r="AJ5" s="104" t="str">
        <f>IF(AND(ISNUMBER($M5),ISNUMBER($U5),ISNUMBER($AC5))=TRUE,$H5+$P5+$X5,"")</f>
        <v/>
      </c>
      <c r="AK5" s="84" t="str">
        <f>IF(ISNUMBER(AI5),(RANK(AI5,AI$5:AI$54,0)*10)+RANK(AJ5,AJ$5:AJ$54,1),"")</f>
        <v/>
      </c>
      <c r="AL5" s="264" t="str">
        <f>IF(ISNUMBER(AK5),RANK(AK5,AK$5:AK$54,1),"")</f>
        <v/>
      </c>
      <c r="AM5" s="270">
        <f>MIN(F5,N5,V5)</f>
        <v>0</v>
      </c>
      <c r="AN5" s="270" t="str">
        <f t="shared" ref="AN5:AN54" si="10">IF(I5="Pass",F5+1,F5)</f>
        <v/>
      </c>
      <c r="AO5" s="270" t="str">
        <f t="shared" ref="AO5:AO54" si="11">IF(Q5="Pass", N5+1,N5)</f>
        <v/>
      </c>
      <c r="AP5" s="270" t="str">
        <f t="shared" ref="AP5:AP54" si="12">IF(Y5="Pass",V5+1,V5)</f>
        <v/>
      </c>
      <c r="AQ5" s="270">
        <f>MIN(AN5,AO5,AP5)</f>
        <v>0</v>
      </c>
      <c r="AR5" s="271">
        <f>MIN(IFERROR(VLOOKUP($C5,'SDDA Dogs'!$A:$O,13,FALSE),0),IFERROR(VLOOKUP($C5,'SDDA Dogs'!$A:$O,14,FALSE),0),IFERROR(VLOOKUP($C5,'SDDA Dogs'!$A:$O,15,FALSE),0))</f>
        <v>0</v>
      </c>
      <c r="AS5" s="272"/>
      <c r="AT5" s="272"/>
      <c r="AU5" s="272" t="str">
        <f>IF(ISERROR(VLOOKUP(C5,'SDDA Dogs'!A:O,6,FALSE)),"",VLOOKUP(C5,'SDDA Dogs'!A:O,6,FALSE))</f>
        <v/>
      </c>
      <c r="AV5" s="270">
        <f t="shared" ref="AV5:AV54" si="13">IF(OR(ISNUMBER(G5),G5="e"),1,0)+IF(OR(ISNUMBER(O5),O5="e"),1,0)+IF(OR(ISNUMBER(W5),W5="e"),1,0)</f>
        <v>0</v>
      </c>
      <c r="AW5" s="270">
        <f t="shared" ref="AW5:AW54" si="14">IF(G5="FEO",1,0)+IF(O5="FEO",1,0)+IF(W5="FEO",1,0)</f>
        <v>0</v>
      </c>
      <c r="AX5" s="273">
        <f t="shared" ref="AX5:AX54" si="15">(AV5*TrialFeeAdv)+(AW5*FeoFee)</f>
        <v>0</v>
      </c>
      <c r="AY5" s="274"/>
      <c r="AZ5" s="275">
        <f t="shared" ref="AZ5:AZ36" si="16">IF(AND(I5="Pass",Q5="Pass",Y5="Pass"),(G5+O5+W5)/((MinScoreCSA + MinScoreISA + MinScoreESA)*2),0)</f>
        <v>0</v>
      </c>
      <c r="BA5" s="275">
        <f t="shared" ref="BA5:BA36" si="17">IF(AND(I5="Pass",Q5="Pass",Y5="Pass"),(H5+P5+X5)/(MaxTmCSA+MaxTmESA+MaxTmISA),0)</f>
        <v>0</v>
      </c>
      <c r="BB5" s="276"/>
      <c r="BC5" s="274" t="str">
        <f>_xlfn.IFNA(IF(I5="Pass",IF(G5&gt;IFERROR(INDEX(DogInfo!A:B,MATCH(C5&amp;$BC$4,DogInfo!A:A,0),2),0),G5,INDEX(DogInfo!A:B,MATCH(C5&amp;$BC$4,DogInfo!A:A,0),2)),INDEX(DogInfo!A:B,MATCH(C5&amp;$BC$4,DogInfo!A:A,0),2)),"")</f>
        <v/>
      </c>
      <c r="BD5" s="274" t="str">
        <f>_xlfn.IFNA(IF(Q5="Pass",IF(O5&gt;IFERROR(INDEX(DogInfo!A:B,MATCH(C5&amp;$BD$4,DogInfo!A:A,0),2),0),O5,INDEX(DogInfo!A:B,MATCH(C5&amp;$BD$4,DogInfo!A:A,0),2)),INDEX(DogInfo!A:B,MATCH(C5&amp;$BD$4,DogInfo!A:A,0),2)),"")</f>
        <v/>
      </c>
      <c r="BE5" s="274" t="str">
        <f>_xlfn.IFNA(IF(Y5="Pass",IF(W5&gt;IFERROR(INDEX(DogInfo!A:B,MATCH(C5&amp;$BE$4,DogInfo!A:A,0),2),0),W5,INDEX(DogInfo!A:B,MATCH(C5&amp;$BE$4,DogInfo!A:A,0),2)),INDEX(DogInfo!A:B,MATCH(C5&amp;$BE$4,DogInfo!A:A,0),2)),"")</f>
        <v/>
      </c>
    </row>
    <row r="6" spans="1:57" x14ac:dyDescent="0.25">
      <c r="A6" s="99">
        <v>2</v>
      </c>
      <c r="B6" s="239"/>
      <c r="C6" s="240"/>
      <c r="D6" s="102" t="str">
        <f>IF($C6="","",VLOOKUP($C6,'SDDA Dogs'!$A:$F,2,FALSE))</f>
        <v/>
      </c>
      <c r="E6" s="211">
        <f t="shared" ref="E6:E54" si="18">-_xlfn.ISFORMULA(D6)</f>
        <v>-1</v>
      </c>
      <c r="F6" s="103" t="str">
        <f>IF($C6="","",VLOOKUP($C6,'SDDA Dogs'!$A:$O,10,FALSE))</f>
        <v/>
      </c>
      <c r="G6" s="241"/>
      <c r="H6" s="242"/>
      <c r="I6" s="84" t="str">
        <f t="shared" si="0"/>
        <v/>
      </c>
      <c r="J6" s="105">
        <f t="shared" si="1"/>
        <v>0</v>
      </c>
      <c r="K6" s="84" t="str">
        <f t="shared" ref="K6:K54" si="19">IF(AND($B6="A",$G6&lt;&gt;0,$H6&lt;&gt;0,J6&lt;&gt;0),(RANK(J6,J$5:J$54,0)),"")</f>
        <v/>
      </c>
      <c r="L6" s="105">
        <f t="shared" si="2"/>
        <v>0</v>
      </c>
      <c r="M6" s="84" t="str">
        <f t="shared" ref="M6:M54" si="20">IF(AND($B6="W",$G6&lt;&gt;0,$H6&lt;&gt;0,L6&lt;&gt;0),(RANK(L6,L$5:L$54,0)),"")</f>
        <v/>
      </c>
      <c r="N6" s="106" t="str">
        <f>IF($C6="","",VLOOKUP($C6,'SDDA Dogs'!$A:$O,11,FALSE))</f>
        <v/>
      </c>
      <c r="O6" s="241"/>
      <c r="P6" s="242"/>
      <c r="Q6" s="84" t="str">
        <f t="shared" si="3"/>
        <v/>
      </c>
      <c r="R6" s="105">
        <f t="shared" si="4"/>
        <v>0</v>
      </c>
      <c r="S6" s="84" t="str">
        <f t="shared" ref="S6:S25" si="21">IF(AND($B6="A",$O6&lt;&gt;0,$P6&lt;&gt;0,R6&lt;&gt;0),(RANK(R6,R$5:R$54,0)),"")</f>
        <v/>
      </c>
      <c r="T6" s="105">
        <f t="shared" si="5"/>
        <v>0</v>
      </c>
      <c r="U6" s="84" t="str">
        <f t="shared" ref="U6:U28" si="22">IF(AND($B6="w",$O6&lt;&gt;0,$P6&lt;&gt;0,T6&lt;&gt;0),(RANK(T6,T$5:T$54,0)),"")</f>
        <v/>
      </c>
      <c r="V6" s="106" t="str">
        <f>IF($C6="","",VLOOKUP($C6,'SDDA Dogs'!$A:$O,12,FALSE))</f>
        <v/>
      </c>
      <c r="W6" s="241"/>
      <c r="X6" s="242"/>
      <c r="Y6" s="84" t="str">
        <f t="shared" si="6"/>
        <v/>
      </c>
      <c r="Z6" s="105">
        <f t="shared" si="7"/>
        <v>0</v>
      </c>
      <c r="AA6" s="84" t="str">
        <f t="shared" ref="AA6:AA25" si="23">IF(AND($B6="A",$W6&lt;&gt;0,$X6&lt;&gt;0,Z6&lt;&gt;0),(RANK(Z6,Z$5:Z$54,0)),"")</f>
        <v/>
      </c>
      <c r="AB6" s="105">
        <f t="shared" si="8"/>
        <v>0</v>
      </c>
      <c r="AC6" s="84" t="str">
        <f t="shared" ref="AC6:AC25" si="24">IF(AND($B6="w",$W6&lt;&gt;0,$X6&lt;&gt;0,AB6&lt;&gt;0),(RANK(AB6,AB$5:AB$54,0)),"")</f>
        <v/>
      </c>
      <c r="AD6" s="92" t="str">
        <f t="shared" ref="AD6:AD54" si="25">IF(AND(AM6=0,AQ6=1,I6="Pass",Q6="Pass",Y6="Pass"),G6+O6+W6,IF(AND(AM6=0,AQ6=1),SUM(BC6:BE6),""))</f>
        <v/>
      </c>
      <c r="AE6" s="89" t="str">
        <f t="shared" si="9"/>
        <v/>
      </c>
      <c r="AF6" s="104" t="str">
        <f t="shared" ref="AF6:AF25" si="26">IF(AND(ISNUMBER($K6),ISNUMBER($S6),ISNUMBER($AA6))=TRUE,$H6+$P6+$X6,"")</f>
        <v/>
      </c>
      <c r="AG6" s="107" t="str">
        <f t="shared" ref="AG6:AG25" si="27">IF(ISNUMBER(AE6),(RANK(AE6,AE$5:AE$54,0)*10)+RANK(AF6,AF$5:AF$54,1),"")</f>
        <v/>
      </c>
      <c r="AH6" s="92" t="str">
        <f t="shared" ref="AH6:AH25" si="28">IF(ISNUMBER(AG6),RANK(AG6,AG$5:AG$54,1),"")</f>
        <v/>
      </c>
      <c r="AI6" s="89" t="str">
        <f t="shared" ref="AI6:AI25" si="29">IF(AND(ISNUMBER($M6),ISNUMBER($U6),ISNUMBER($AC6))=TRUE,$G6+$O6+$W6,"")</f>
        <v/>
      </c>
      <c r="AJ6" s="104" t="str">
        <f t="shared" ref="AJ6:AJ25" si="30">IF(AND(ISNUMBER($M6),ISNUMBER($U6),ISNUMBER($AC6))=TRUE,$H6+$P6+$X6,"")</f>
        <v/>
      </c>
      <c r="AK6" s="84" t="str">
        <f t="shared" ref="AK6:AK25" si="31">IF(ISNUMBER(AI6),(RANK(AI6,AI$5:AI$54,0)*10)+RANK(AJ6,AJ$5:AJ$54,1),"")</f>
        <v/>
      </c>
      <c r="AL6" s="264" t="str">
        <f t="shared" ref="AL6:AL25" si="32">IF(ISNUMBER(AK6),RANK(AK6,AK$5:AK$54,1),"")</f>
        <v/>
      </c>
      <c r="AM6" s="270">
        <f t="shared" ref="AM6:AM25" si="33">MIN(F6,N6,V6)</f>
        <v>0</v>
      </c>
      <c r="AN6" s="270" t="str">
        <f t="shared" si="10"/>
        <v/>
      </c>
      <c r="AO6" s="270" t="str">
        <f t="shared" si="11"/>
        <v/>
      </c>
      <c r="AP6" s="270" t="str">
        <f t="shared" si="12"/>
        <v/>
      </c>
      <c r="AQ6" s="270">
        <f t="shared" ref="AQ6:AQ25" si="34">MIN(AN6,AO6,AP6)</f>
        <v>0</v>
      </c>
      <c r="AR6" s="271">
        <f>MIN(IFERROR(VLOOKUP($C6,'SDDA Dogs'!$A:$O,13,FALSE),0),IFERROR(VLOOKUP($C6,'SDDA Dogs'!$A:$O,14,FALSE),0),IFERROR(VLOOKUP($C6,'SDDA Dogs'!$A:$O,15,FALSE),0))</f>
        <v>0</v>
      </c>
      <c r="AS6" s="272"/>
      <c r="AT6" s="272"/>
      <c r="AU6" s="272" t="str">
        <f>IF(ISERROR(VLOOKUP(C6,'SDDA Dogs'!A:O,6,FALSE)),"",VLOOKUP(C6,'SDDA Dogs'!A:O,6,FALSE))</f>
        <v/>
      </c>
      <c r="AV6" s="270">
        <f t="shared" si="13"/>
        <v>0</v>
      </c>
      <c r="AW6" s="270">
        <f t="shared" si="14"/>
        <v>0</v>
      </c>
      <c r="AX6" s="273">
        <f t="shared" si="15"/>
        <v>0</v>
      </c>
      <c r="AY6" s="274"/>
      <c r="AZ6" s="275">
        <f t="shared" si="16"/>
        <v>0</v>
      </c>
      <c r="BA6" s="275">
        <f t="shared" si="17"/>
        <v>0</v>
      </c>
      <c r="BB6" s="276"/>
      <c r="BC6" s="274" t="str">
        <f>_xlfn.IFNA(IF(I6="Pass",IF(G6&gt;IFERROR(INDEX(DogInfo!A:B,MATCH(C6&amp;$BC$4,DogInfo!A:A,0),2),0),G6,INDEX(DogInfo!A:B,MATCH(C6&amp;$BC$4,DogInfo!A:A,0),2)),INDEX(DogInfo!A:B,MATCH(C6&amp;$BC$4,DogInfo!A:A,0),2)),"")</f>
        <v/>
      </c>
      <c r="BD6" s="274" t="str">
        <f>_xlfn.IFNA(IF(Q6="Pass",IF(O6&gt;IFERROR(INDEX(DogInfo!A:B,MATCH(C6&amp;$BD$4,DogInfo!A:A,0),2),0),O6,INDEX(DogInfo!A:B,MATCH(C6&amp;$BD$4,DogInfo!A:A,0),2)),INDEX(DogInfo!A:B,MATCH(C6&amp;$BD$4,DogInfo!A:A,0),2)),"")</f>
        <v/>
      </c>
      <c r="BE6" s="274" t="str">
        <f>_xlfn.IFNA(IF(Y6="Pass",IF(W6&gt;IFERROR(INDEX(DogInfo!A:B,MATCH(C6&amp;$BE$4,DogInfo!A:A,0),2),0),W6,INDEX(DogInfo!A:B,MATCH(C6&amp;$BE$4,DogInfo!A:A,0),2)),INDEX(DogInfo!A:B,MATCH(C6&amp;$BE$4,DogInfo!A:A,0),2)),"")</f>
        <v/>
      </c>
    </row>
    <row r="7" spans="1:57" x14ac:dyDescent="0.25">
      <c r="A7" s="99">
        <v>3</v>
      </c>
      <c r="B7" s="239"/>
      <c r="C7" s="240"/>
      <c r="D7" s="102" t="str">
        <f>IF($C7="","",VLOOKUP($C7,'SDDA Dogs'!$A:$F,2,FALSE))</f>
        <v/>
      </c>
      <c r="E7" s="211">
        <f t="shared" si="18"/>
        <v>-1</v>
      </c>
      <c r="F7" s="103" t="str">
        <f>IF($C7="","",VLOOKUP($C7,'SDDA Dogs'!$A:$O,10,FALSE))</f>
        <v/>
      </c>
      <c r="G7" s="241"/>
      <c r="H7" s="242"/>
      <c r="I7" s="84" t="str">
        <f t="shared" si="0"/>
        <v/>
      </c>
      <c r="J7" s="105">
        <f t="shared" si="1"/>
        <v>0</v>
      </c>
      <c r="K7" s="84" t="str">
        <f t="shared" si="19"/>
        <v/>
      </c>
      <c r="L7" s="105">
        <f t="shared" si="2"/>
        <v>0</v>
      </c>
      <c r="M7" s="84" t="str">
        <f t="shared" si="20"/>
        <v/>
      </c>
      <c r="N7" s="106" t="str">
        <f>IF($C7="","",VLOOKUP($C7,'SDDA Dogs'!$A:$O,11,FALSE))</f>
        <v/>
      </c>
      <c r="O7" s="241"/>
      <c r="P7" s="242"/>
      <c r="Q7" s="84" t="str">
        <f t="shared" si="3"/>
        <v/>
      </c>
      <c r="R7" s="105">
        <f t="shared" si="4"/>
        <v>0</v>
      </c>
      <c r="S7" s="84" t="str">
        <f t="shared" si="21"/>
        <v/>
      </c>
      <c r="T7" s="105">
        <f t="shared" si="5"/>
        <v>0</v>
      </c>
      <c r="U7" s="84" t="str">
        <f t="shared" si="22"/>
        <v/>
      </c>
      <c r="V7" s="106" t="str">
        <f>IF($C7="","",VLOOKUP($C7,'SDDA Dogs'!$A:$O,12,FALSE))</f>
        <v/>
      </c>
      <c r="W7" s="241"/>
      <c r="X7" s="242"/>
      <c r="Y7" s="84" t="str">
        <f t="shared" si="6"/>
        <v/>
      </c>
      <c r="Z7" s="105">
        <f t="shared" si="7"/>
        <v>0</v>
      </c>
      <c r="AA7" s="84" t="str">
        <f t="shared" si="23"/>
        <v/>
      </c>
      <c r="AB7" s="105">
        <f t="shared" si="8"/>
        <v>0</v>
      </c>
      <c r="AC7" s="84" t="str">
        <f t="shared" si="24"/>
        <v/>
      </c>
      <c r="AD7" s="92" t="str">
        <f t="shared" si="25"/>
        <v/>
      </c>
      <c r="AE7" s="89" t="str">
        <f t="shared" si="9"/>
        <v/>
      </c>
      <c r="AF7" s="104" t="str">
        <f t="shared" si="26"/>
        <v/>
      </c>
      <c r="AG7" s="107" t="str">
        <f t="shared" si="27"/>
        <v/>
      </c>
      <c r="AH7" s="92" t="str">
        <f t="shared" si="28"/>
        <v/>
      </c>
      <c r="AI7" s="89" t="str">
        <f t="shared" si="29"/>
        <v/>
      </c>
      <c r="AJ7" s="104" t="str">
        <f t="shared" si="30"/>
        <v/>
      </c>
      <c r="AK7" s="84" t="str">
        <f t="shared" si="31"/>
        <v/>
      </c>
      <c r="AL7" s="264" t="str">
        <f t="shared" si="32"/>
        <v/>
      </c>
      <c r="AM7" s="270">
        <f t="shared" si="33"/>
        <v>0</v>
      </c>
      <c r="AN7" s="270" t="str">
        <f t="shared" si="10"/>
        <v/>
      </c>
      <c r="AO7" s="270" t="str">
        <f t="shared" si="11"/>
        <v/>
      </c>
      <c r="AP7" s="270" t="str">
        <f t="shared" si="12"/>
        <v/>
      </c>
      <c r="AQ7" s="270">
        <f t="shared" si="34"/>
        <v>0</v>
      </c>
      <c r="AR7" s="271">
        <f>MIN(IFERROR(VLOOKUP($C7,'SDDA Dogs'!$A:$O,13,FALSE),0),IFERROR(VLOOKUP($C7,'SDDA Dogs'!$A:$O,14,FALSE),0),IFERROR(VLOOKUP($C7,'SDDA Dogs'!$A:$O,15,FALSE),0))</f>
        <v>0</v>
      </c>
      <c r="AS7" s="272"/>
      <c r="AT7" s="272"/>
      <c r="AU7" s="272" t="str">
        <f>IF(ISERROR(VLOOKUP(C7,'SDDA Dogs'!A:O,6,FALSE)),"",VLOOKUP(C7,'SDDA Dogs'!A:O,6,FALSE))</f>
        <v/>
      </c>
      <c r="AV7" s="270">
        <f t="shared" si="13"/>
        <v>0</v>
      </c>
      <c r="AW7" s="270">
        <f t="shared" si="14"/>
        <v>0</v>
      </c>
      <c r="AX7" s="273">
        <f t="shared" si="15"/>
        <v>0</v>
      </c>
      <c r="AY7" s="274"/>
      <c r="AZ7" s="275">
        <f t="shared" si="16"/>
        <v>0</v>
      </c>
      <c r="BA7" s="275">
        <f t="shared" si="17"/>
        <v>0</v>
      </c>
      <c r="BB7" s="276"/>
      <c r="BC7" s="274" t="str">
        <f>_xlfn.IFNA(IF(I7="Pass",IF(G7&gt;IFERROR(INDEX(DogInfo!A:B,MATCH(C7&amp;$BC$4,DogInfo!A:A,0),2),0),G7,INDEX(DogInfo!A:B,MATCH(C7&amp;$BC$4,DogInfo!A:A,0),2)),INDEX(DogInfo!A:B,MATCH(C7&amp;$BC$4,DogInfo!A:A,0),2)),"")</f>
        <v/>
      </c>
      <c r="BD7" s="274" t="str">
        <f>_xlfn.IFNA(IF(Q7="Pass",IF(O7&gt;IFERROR(INDEX(DogInfo!A:B,MATCH(C7&amp;$BD$4,DogInfo!A:A,0),2),0),O7,INDEX(DogInfo!A:B,MATCH(C7&amp;$BD$4,DogInfo!A:A,0),2)),INDEX(DogInfo!A:B,MATCH(C7&amp;$BD$4,DogInfo!A:A,0),2)),"")</f>
        <v/>
      </c>
      <c r="BE7" s="274" t="str">
        <f>_xlfn.IFNA(IF(Y7="Pass",IF(W7&gt;IFERROR(INDEX(DogInfo!A:B,MATCH(C7&amp;$BE$4,DogInfo!A:A,0),2),0),W7,INDEX(DogInfo!A:B,MATCH(C7&amp;$BE$4,DogInfo!A:A,0),2)),INDEX(DogInfo!A:B,MATCH(C7&amp;$BE$4,DogInfo!A:A,0),2)),"")</f>
        <v/>
      </c>
    </row>
    <row r="8" spans="1:57" x14ac:dyDescent="0.25">
      <c r="A8" s="99">
        <v>4</v>
      </c>
      <c r="B8" s="239"/>
      <c r="C8" s="240"/>
      <c r="D8" s="102" t="str">
        <f>IF($C8="","",VLOOKUP($C8,'SDDA Dogs'!$A:$F,2,FALSE))</f>
        <v/>
      </c>
      <c r="E8" s="211">
        <f t="shared" si="18"/>
        <v>-1</v>
      </c>
      <c r="F8" s="103" t="str">
        <f>IF($C8="","",VLOOKUP($C8,'SDDA Dogs'!$A:$O,10,FALSE))</f>
        <v/>
      </c>
      <c r="G8" s="241"/>
      <c r="H8" s="242"/>
      <c r="I8" s="84" t="str">
        <f t="shared" si="0"/>
        <v/>
      </c>
      <c r="J8" s="105">
        <f t="shared" si="1"/>
        <v>0</v>
      </c>
      <c r="K8" s="84" t="str">
        <f t="shared" si="19"/>
        <v/>
      </c>
      <c r="L8" s="105">
        <f t="shared" si="2"/>
        <v>0</v>
      </c>
      <c r="M8" s="84" t="str">
        <f t="shared" si="20"/>
        <v/>
      </c>
      <c r="N8" s="106" t="str">
        <f>IF($C8="","",VLOOKUP($C8,'SDDA Dogs'!$A:$O,11,FALSE))</f>
        <v/>
      </c>
      <c r="O8" s="241"/>
      <c r="P8" s="242"/>
      <c r="Q8" s="84" t="str">
        <f t="shared" si="3"/>
        <v/>
      </c>
      <c r="R8" s="105">
        <f t="shared" si="4"/>
        <v>0</v>
      </c>
      <c r="S8" s="84" t="str">
        <f t="shared" si="21"/>
        <v/>
      </c>
      <c r="T8" s="105">
        <f t="shared" si="5"/>
        <v>0</v>
      </c>
      <c r="U8" s="84" t="str">
        <f t="shared" si="22"/>
        <v/>
      </c>
      <c r="V8" s="106" t="str">
        <f>IF($C8="","",VLOOKUP($C8,'SDDA Dogs'!$A:$O,12,FALSE))</f>
        <v/>
      </c>
      <c r="W8" s="241"/>
      <c r="X8" s="242"/>
      <c r="Y8" s="84" t="str">
        <f t="shared" si="6"/>
        <v/>
      </c>
      <c r="Z8" s="105">
        <f t="shared" si="7"/>
        <v>0</v>
      </c>
      <c r="AA8" s="84" t="str">
        <f t="shared" si="23"/>
        <v/>
      </c>
      <c r="AB8" s="105">
        <f t="shared" si="8"/>
        <v>0</v>
      </c>
      <c r="AC8" s="84" t="str">
        <f t="shared" si="24"/>
        <v/>
      </c>
      <c r="AD8" s="92" t="str">
        <f t="shared" si="25"/>
        <v/>
      </c>
      <c r="AE8" s="89" t="str">
        <f t="shared" si="9"/>
        <v/>
      </c>
      <c r="AF8" s="104" t="str">
        <f t="shared" si="26"/>
        <v/>
      </c>
      <c r="AG8" s="107" t="str">
        <f t="shared" si="27"/>
        <v/>
      </c>
      <c r="AH8" s="92" t="str">
        <f t="shared" si="28"/>
        <v/>
      </c>
      <c r="AI8" s="89" t="str">
        <f t="shared" si="29"/>
        <v/>
      </c>
      <c r="AJ8" s="104" t="str">
        <f t="shared" si="30"/>
        <v/>
      </c>
      <c r="AK8" s="84" t="str">
        <f t="shared" si="31"/>
        <v/>
      </c>
      <c r="AL8" s="264" t="str">
        <f t="shared" si="32"/>
        <v/>
      </c>
      <c r="AM8" s="270">
        <f t="shared" si="33"/>
        <v>0</v>
      </c>
      <c r="AN8" s="270" t="str">
        <f t="shared" si="10"/>
        <v/>
      </c>
      <c r="AO8" s="270" t="str">
        <f t="shared" si="11"/>
        <v/>
      </c>
      <c r="AP8" s="270" t="str">
        <f t="shared" si="12"/>
        <v/>
      </c>
      <c r="AQ8" s="270">
        <f t="shared" si="34"/>
        <v>0</v>
      </c>
      <c r="AR8" s="271">
        <f>MIN(IFERROR(VLOOKUP($C8,'SDDA Dogs'!$A:$O,13,FALSE),0),IFERROR(VLOOKUP($C8,'SDDA Dogs'!$A:$O,14,FALSE),0),IFERROR(VLOOKUP($C8,'SDDA Dogs'!$A:$O,15,FALSE),0))</f>
        <v>0</v>
      </c>
      <c r="AS8" s="272"/>
      <c r="AT8" s="272"/>
      <c r="AU8" s="272" t="str">
        <f>IF(ISERROR(VLOOKUP(C8,'SDDA Dogs'!A:O,6,FALSE)),"",VLOOKUP(C8,'SDDA Dogs'!A:O,6,FALSE))</f>
        <v/>
      </c>
      <c r="AV8" s="270">
        <f t="shared" si="13"/>
        <v>0</v>
      </c>
      <c r="AW8" s="270">
        <f t="shared" si="14"/>
        <v>0</v>
      </c>
      <c r="AX8" s="273">
        <f t="shared" si="15"/>
        <v>0</v>
      </c>
      <c r="AY8" s="274"/>
      <c r="AZ8" s="275">
        <f t="shared" si="16"/>
        <v>0</v>
      </c>
      <c r="BA8" s="275">
        <f t="shared" si="17"/>
        <v>0</v>
      </c>
      <c r="BB8" s="276"/>
      <c r="BC8" s="274" t="str">
        <f>_xlfn.IFNA(IF(I8="Pass",IF(G8&gt;IFERROR(INDEX(DogInfo!A:B,MATCH(C8&amp;$BC$4,DogInfo!A:A,0),2),0),G8,INDEX(DogInfo!A:B,MATCH(C8&amp;$BC$4,DogInfo!A:A,0),2)),INDEX(DogInfo!A:B,MATCH(C8&amp;$BC$4,DogInfo!A:A,0),2)),"")</f>
        <v/>
      </c>
      <c r="BD8" s="274" t="str">
        <f>_xlfn.IFNA(IF(Q8="Pass",IF(O8&gt;IFERROR(INDEX(DogInfo!A:B,MATCH(C8&amp;$BD$4,DogInfo!A:A,0),2),0),O8,INDEX(DogInfo!A:B,MATCH(C8&amp;$BD$4,DogInfo!A:A,0),2)),INDEX(DogInfo!A:B,MATCH(C8&amp;$BD$4,DogInfo!A:A,0),2)),"")</f>
        <v/>
      </c>
      <c r="BE8" s="274" t="str">
        <f>_xlfn.IFNA(IF(Y8="Pass",IF(W8&gt;IFERROR(INDEX(DogInfo!A:B,MATCH(C8&amp;$BE$4,DogInfo!A:A,0),2),0),W8,INDEX(DogInfo!A:B,MATCH(C8&amp;$BE$4,DogInfo!A:A,0),2)),INDEX(DogInfo!A:B,MATCH(C8&amp;$BE$4,DogInfo!A:A,0),2)),"")</f>
        <v/>
      </c>
    </row>
    <row r="9" spans="1:57" x14ac:dyDescent="0.25">
      <c r="A9" s="99">
        <v>5</v>
      </c>
      <c r="B9" s="239"/>
      <c r="C9" s="240"/>
      <c r="D9" s="102" t="str">
        <f>IF($C9="","",VLOOKUP($C9,'SDDA Dogs'!$A:$F,2,FALSE))</f>
        <v/>
      </c>
      <c r="E9" s="211">
        <f t="shared" si="18"/>
        <v>-1</v>
      </c>
      <c r="F9" s="103" t="str">
        <f>IF($C9="","",VLOOKUP($C9,'SDDA Dogs'!$A:$O,10,FALSE))</f>
        <v/>
      </c>
      <c r="G9" s="241"/>
      <c r="H9" s="242"/>
      <c r="I9" s="84" t="str">
        <f t="shared" si="0"/>
        <v/>
      </c>
      <c r="J9" s="105">
        <f t="shared" si="1"/>
        <v>0</v>
      </c>
      <c r="K9" s="84" t="str">
        <f t="shared" si="19"/>
        <v/>
      </c>
      <c r="L9" s="105">
        <f t="shared" si="2"/>
        <v>0</v>
      </c>
      <c r="M9" s="84" t="str">
        <f t="shared" si="20"/>
        <v/>
      </c>
      <c r="N9" s="106" t="str">
        <f>IF($C9="","",VLOOKUP($C9,'SDDA Dogs'!$A:$O,11,FALSE))</f>
        <v/>
      </c>
      <c r="O9" s="241"/>
      <c r="P9" s="242"/>
      <c r="Q9" s="84" t="str">
        <f t="shared" si="3"/>
        <v/>
      </c>
      <c r="R9" s="105">
        <f t="shared" si="4"/>
        <v>0</v>
      </c>
      <c r="S9" s="84" t="str">
        <f t="shared" si="21"/>
        <v/>
      </c>
      <c r="T9" s="105">
        <f t="shared" si="5"/>
        <v>0</v>
      </c>
      <c r="U9" s="84" t="str">
        <f t="shared" si="22"/>
        <v/>
      </c>
      <c r="V9" s="106" t="str">
        <f>IF($C9="","",VLOOKUP($C9,'SDDA Dogs'!$A:$O,12,FALSE))</f>
        <v/>
      </c>
      <c r="W9" s="241"/>
      <c r="X9" s="242"/>
      <c r="Y9" s="84" t="str">
        <f t="shared" si="6"/>
        <v/>
      </c>
      <c r="Z9" s="105">
        <f t="shared" si="7"/>
        <v>0</v>
      </c>
      <c r="AA9" s="84" t="str">
        <f t="shared" si="23"/>
        <v/>
      </c>
      <c r="AB9" s="105">
        <f t="shared" si="8"/>
        <v>0</v>
      </c>
      <c r="AC9" s="84" t="str">
        <f t="shared" si="24"/>
        <v/>
      </c>
      <c r="AD9" s="92" t="str">
        <f t="shared" si="25"/>
        <v/>
      </c>
      <c r="AE9" s="89" t="str">
        <f t="shared" si="9"/>
        <v/>
      </c>
      <c r="AF9" s="104" t="str">
        <f t="shared" si="26"/>
        <v/>
      </c>
      <c r="AG9" s="107" t="str">
        <f t="shared" si="27"/>
        <v/>
      </c>
      <c r="AH9" s="92" t="str">
        <f t="shared" si="28"/>
        <v/>
      </c>
      <c r="AI9" s="89" t="str">
        <f t="shared" si="29"/>
        <v/>
      </c>
      <c r="AJ9" s="104" t="str">
        <f t="shared" si="30"/>
        <v/>
      </c>
      <c r="AK9" s="84" t="str">
        <f t="shared" si="31"/>
        <v/>
      </c>
      <c r="AL9" s="264" t="str">
        <f t="shared" si="32"/>
        <v/>
      </c>
      <c r="AM9" s="270">
        <f t="shared" si="33"/>
        <v>0</v>
      </c>
      <c r="AN9" s="270" t="str">
        <f t="shared" si="10"/>
        <v/>
      </c>
      <c r="AO9" s="270" t="str">
        <f t="shared" si="11"/>
        <v/>
      </c>
      <c r="AP9" s="270" t="str">
        <f t="shared" si="12"/>
        <v/>
      </c>
      <c r="AQ9" s="270">
        <f t="shared" si="34"/>
        <v>0</v>
      </c>
      <c r="AR9" s="271">
        <f>MIN(IFERROR(VLOOKUP($C9,'SDDA Dogs'!$A:$O,13,FALSE),0),IFERROR(VLOOKUP($C9,'SDDA Dogs'!$A:$O,14,FALSE),0),IFERROR(VLOOKUP($C9,'SDDA Dogs'!$A:$O,15,FALSE),0))</f>
        <v>0</v>
      </c>
      <c r="AS9" s="272"/>
      <c r="AT9" s="272"/>
      <c r="AU9" s="272" t="str">
        <f>IF(ISERROR(VLOOKUP(C9,'SDDA Dogs'!A:O,6,FALSE)),"",VLOOKUP(C9,'SDDA Dogs'!A:O,6,FALSE))</f>
        <v/>
      </c>
      <c r="AV9" s="270">
        <f t="shared" si="13"/>
        <v>0</v>
      </c>
      <c r="AW9" s="270">
        <f t="shared" si="14"/>
        <v>0</v>
      </c>
      <c r="AX9" s="273">
        <f t="shared" si="15"/>
        <v>0</v>
      </c>
      <c r="AY9" s="274"/>
      <c r="AZ9" s="275">
        <f t="shared" si="16"/>
        <v>0</v>
      </c>
      <c r="BA9" s="275">
        <f t="shared" si="17"/>
        <v>0</v>
      </c>
      <c r="BB9" s="276"/>
      <c r="BC9" s="274" t="str">
        <f>_xlfn.IFNA(IF(I9="Pass",IF(G9&gt;IFERROR(INDEX(DogInfo!A:B,MATCH(C9&amp;$BC$4,DogInfo!A:A,0),2),0),G9,INDEX(DogInfo!A:B,MATCH(C9&amp;$BC$4,DogInfo!A:A,0),2)),INDEX(DogInfo!A:B,MATCH(C9&amp;$BC$4,DogInfo!A:A,0),2)),"")</f>
        <v/>
      </c>
      <c r="BD9" s="274" t="str">
        <f>_xlfn.IFNA(IF(Q9="Pass",IF(O9&gt;IFERROR(INDEX(DogInfo!A:B,MATCH(C9&amp;$BD$4,DogInfo!A:A,0),2),0),O9,INDEX(DogInfo!A:B,MATCH(C9&amp;$BD$4,DogInfo!A:A,0),2)),INDEX(DogInfo!A:B,MATCH(C9&amp;$BD$4,DogInfo!A:A,0),2)),"")</f>
        <v/>
      </c>
      <c r="BE9" s="274" t="str">
        <f>_xlfn.IFNA(IF(Y9="Pass",IF(W9&gt;IFERROR(INDEX(DogInfo!A:B,MATCH(C9&amp;$BE$4,DogInfo!A:A,0),2),0),W9,INDEX(DogInfo!A:B,MATCH(C9&amp;$BE$4,DogInfo!A:A,0),2)),INDEX(DogInfo!A:B,MATCH(C9&amp;$BE$4,DogInfo!A:A,0),2)),"")</f>
        <v/>
      </c>
    </row>
    <row r="10" spans="1:57" x14ac:dyDescent="0.25">
      <c r="A10" s="99">
        <v>6</v>
      </c>
      <c r="B10" s="239"/>
      <c r="C10" s="240"/>
      <c r="D10" s="102" t="str">
        <f>IF($C10="","",VLOOKUP($C10,'SDDA Dogs'!$A:$F,2,FALSE))</f>
        <v/>
      </c>
      <c r="E10" s="211">
        <f t="shared" si="18"/>
        <v>-1</v>
      </c>
      <c r="F10" s="103" t="str">
        <f>IF($C10="","",VLOOKUP($C10,'SDDA Dogs'!$A:$O,10,FALSE))</f>
        <v/>
      </c>
      <c r="G10" s="241"/>
      <c r="H10" s="242"/>
      <c r="I10" s="84" t="str">
        <f t="shared" si="0"/>
        <v/>
      </c>
      <c r="J10" s="105">
        <f t="shared" si="1"/>
        <v>0</v>
      </c>
      <c r="K10" s="84" t="str">
        <f t="shared" si="19"/>
        <v/>
      </c>
      <c r="L10" s="105">
        <f t="shared" si="2"/>
        <v>0</v>
      </c>
      <c r="M10" s="84" t="str">
        <f t="shared" si="20"/>
        <v/>
      </c>
      <c r="N10" s="106" t="str">
        <f>IF($C10="","",VLOOKUP($C10,'SDDA Dogs'!$A:$O,11,FALSE))</f>
        <v/>
      </c>
      <c r="O10" s="241"/>
      <c r="P10" s="242"/>
      <c r="Q10" s="84" t="str">
        <f t="shared" si="3"/>
        <v/>
      </c>
      <c r="R10" s="105">
        <f t="shared" si="4"/>
        <v>0</v>
      </c>
      <c r="S10" s="84" t="str">
        <f t="shared" si="21"/>
        <v/>
      </c>
      <c r="T10" s="105">
        <f t="shared" si="5"/>
        <v>0</v>
      </c>
      <c r="U10" s="84" t="str">
        <f t="shared" si="22"/>
        <v/>
      </c>
      <c r="V10" s="106" t="str">
        <f>IF($C10="","",VLOOKUP($C10,'SDDA Dogs'!$A:$O,12,FALSE))</f>
        <v/>
      </c>
      <c r="W10" s="241"/>
      <c r="X10" s="242"/>
      <c r="Y10" s="84" t="str">
        <f t="shared" si="6"/>
        <v/>
      </c>
      <c r="Z10" s="105">
        <f t="shared" si="7"/>
        <v>0</v>
      </c>
      <c r="AA10" s="84" t="str">
        <f t="shared" si="23"/>
        <v/>
      </c>
      <c r="AB10" s="105">
        <f t="shared" si="8"/>
        <v>0</v>
      </c>
      <c r="AC10" s="84" t="str">
        <f t="shared" si="24"/>
        <v/>
      </c>
      <c r="AD10" s="92" t="str">
        <f t="shared" si="25"/>
        <v/>
      </c>
      <c r="AE10" s="89" t="str">
        <f t="shared" si="9"/>
        <v/>
      </c>
      <c r="AF10" s="104" t="str">
        <f t="shared" si="26"/>
        <v/>
      </c>
      <c r="AG10" s="107" t="str">
        <f t="shared" si="27"/>
        <v/>
      </c>
      <c r="AH10" s="92" t="str">
        <f t="shared" si="28"/>
        <v/>
      </c>
      <c r="AI10" s="89" t="str">
        <f t="shared" si="29"/>
        <v/>
      </c>
      <c r="AJ10" s="104" t="str">
        <f t="shared" si="30"/>
        <v/>
      </c>
      <c r="AK10" s="84" t="str">
        <f t="shared" si="31"/>
        <v/>
      </c>
      <c r="AL10" s="264" t="str">
        <f t="shared" si="32"/>
        <v/>
      </c>
      <c r="AM10" s="270">
        <f t="shared" si="33"/>
        <v>0</v>
      </c>
      <c r="AN10" s="270" t="str">
        <f t="shared" si="10"/>
        <v/>
      </c>
      <c r="AO10" s="270" t="str">
        <f t="shared" si="11"/>
        <v/>
      </c>
      <c r="AP10" s="270" t="str">
        <f t="shared" si="12"/>
        <v/>
      </c>
      <c r="AQ10" s="270">
        <f t="shared" si="34"/>
        <v>0</v>
      </c>
      <c r="AR10" s="271">
        <f>MIN(IFERROR(VLOOKUP($C10,'SDDA Dogs'!$A:$O,13,FALSE),0),IFERROR(VLOOKUP($C10,'SDDA Dogs'!$A:$O,14,FALSE),0),IFERROR(VLOOKUP($C10,'SDDA Dogs'!$A:$O,15,FALSE),0))</f>
        <v>0</v>
      </c>
      <c r="AS10" s="272"/>
      <c r="AT10" s="272"/>
      <c r="AU10" s="272" t="str">
        <f>IF(ISERROR(VLOOKUP(C10,'SDDA Dogs'!A:O,6,FALSE)),"",VLOOKUP(C10,'SDDA Dogs'!A:O,6,FALSE))</f>
        <v/>
      </c>
      <c r="AV10" s="270">
        <f t="shared" si="13"/>
        <v>0</v>
      </c>
      <c r="AW10" s="270">
        <f t="shared" si="14"/>
        <v>0</v>
      </c>
      <c r="AX10" s="273">
        <f t="shared" si="15"/>
        <v>0</v>
      </c>
      <c r="AY10" s="274"/>
      <c r="AZ10" s="275">
        <f t="shared" si="16"/>
        <v>0</v>
      </c>
      <c r="BA10" s="275">
        <f t="shared" si="17"/>
        <v>0</v>
      </c>
      <c r="BB10" s="276"/>
      <c r="BC10" s="274" t="str">
        <f>_xlfn.IFNA(IF(I10="Pass",IF(G10&gt;IFERROR(INDEX(DogInfo!A:B,MATCH(C10&amp;$BC$4,DogInfo!A:A,0),2),0),G10,INDEX(DogInfo!A:B,MATCH(C10&amp;$BC$4,DogInfo!A:A,0),2)),INDEX(DogInfo!A:B,MATCH(C10&amp;$BC$4,DogInfo!A:A,0),2)),"")</f>
        <v/>
      </c>
      <c r="BD10" s="274" t="str">
        <f>_xlfn.IFNA(IF(Q10="Pass",IF(O10&gt;IFERROR(INDEX(DogInfo!A:B,MATCH(C10&amp;$BD$4,DogInfo!A:A,0),2),0),O10,INDEX(DogInfo!A:B,MATCH(C10&amp;$BD$4,DogInfo!A:A,0),2)),INDEX(DogInfo!A:B,MATCH(C10&amp;$BD$4,DogInfo!A:A,0),2)),"")</f>
        <v/>
      </c>
      <c r="BE10" s="274" t="str">
        <f>_xlfn.IFNA(IF(Y10="Pass",IF(W10&gt;IFERROR(INDEX(DogInfo!A:B,MATCH(C10&amp;$BE$4,DogInfo!A:A,0),2),0),W10,INDEX(DogInfo!A:B,MATCH(C10&amp;$BE$4,DogInfo!A:A,0),2)),INDEX(DogInfo!A:B,MATCH(C10&amp;$BE$4,DogInfo!A:A,0),2)),"")</f>
        <v/>
      </c>
    </row>
    <row r="11" spans="1:57" x14ac:dyDescent="0.25">
      <c r="A11" s="99">
        <v>7</v>
      </c>
      <c r="B11" s="239"/>
      <c r="C11" s="240"/>
      <c r="D11" s="102" t="str">
        <f>IF($C11="","",VLOOKUP($C11,'SDDA Dogs'!$A:$F,2,FALSE))</f>
        <v/>
      </c>
      <c r="E11" s="211">
        <f t="shared" si="18"/>
        <v>-1</v>
      </c>
      <c r="F11" s="103" t="str">
        <f>IF($C11="","",VLOOKUP($C11,'SDDA Dogs'!$A:$O,10,FALSE))</f>
        <v/>
      </c>
      <c r="G11" s="241"/>
      <c r="H11" s="242"/>
      <c r="I11" s="84" t="str">
        <f t="shared" si="0"/>
        <v/>
      </c>
      <c r="J11" s="105">
        <f t="shared" si="1"/>
        <v>0</v>
      </c>
      <c r="K11" s="84" t="str">
        <f t="shared" si="19"/>
        <v/>
      </c>
      <c r="L11" s="105">
        <f t="shared" si="2"/>
        <v>0</v>
      </c>
      <c r="M11" s="84" t="str">
        <f t="shared" si="20"/>
        <v/>
      </c>
      <c r="N11" s="106" t="str">
        <f>IF($C11="","",VLOOKUP($C11,'SDDA Dogs'!$A:$O,11,FALSE))</f>
        <v/>
      </c>
      <c r="O11" s="241"/>
      <c r="P11" s="242"/>
      <c r="Q11" s="84" t="str">
        <f t="shared" si="3"/>
        <v/>
      </c>
      <c r="R11" s="105">
        <f t="shared" si="4"/>
        <v>0</v>
      </c>
      <c r="S11" s="84" t="str">
        <f t="shared" si="21"/>
        <v/>
      </c>
      <c r="T11" s="105">
        <f t="shared" si="5"/>
        <v>0</v>
      </c>
      <c r="U11" s="84" t="str">
        <f t="shared" si="22"/>
        <v/>
      </c>
      <c r="V11" s="106" t="str">
        <f>IF($C11="","",VLOOKUP($C11,'SDDA Dogs'!$A:$O,12,FALSE))</f>
        <v/>
      </c>
      <c r="W11" s="241"/>
      <c r="X11" s="242"/>
      <c r="Y11" s="84" t="str">
        <f t="shared" si="6"/>
        <v/>
      </c>
      <c r="Z11" s="105">
        <f t="shared" si="7"/>
        <v>0</v>
      </c>
      <c r="AA11" s="84" t="str">
        <f t="shared" si="23"/>
        <v/>
      </c>
      <c r="AB11" s="105">
        <f t="shared" si="8"/>
        <v>0</v>
      </c>
      <c r="AC11" s="84" t="str">
        <f t="shared" si="24"/>
        <v/>
      </c>
      <c r="AD11" s="92" t="str">
        <f t="shared" si="25"/>
        <v/>
      </c>
      <c r="AE11" s="89" t="str">
        <f t="shared" si="9"/>
        <v/>
      </c>
      <c r="AF11" s="104" t="str">
        <f t="shared" si="26"/>
        <v/>
      </c>
      <c r="AG11" s="107" t="str">
        <f t="shared" si="27"/>
        <v/>
      </c>
      <c r="AH11" s="92" t="str">
        <f t="shared" si="28"/>
        <v/>
      </c>
      <c r="AI11" s="89" t="str">
        <f t="shared" si="29"/>
        <v/>
      </c>
      <c r="AJ11" s="104" t="str">
        <f t="shared" si="30"/>
        <v/>
      </c>
      <c r="AK11" s="84" t="str">
        <f t="shared" si="31"/>
        <v/>
      </c>
      <c r="AL11" s="264" t="str">
        <f t="shared" si="32"/>
        <v/>
      </c>
      <c r="AM11" s="270">
        <f t="shared" si="33"/>
        <v>0</v>
      </c>
      <c r="AN11" s="270" t="str">
        <f t="shared" si="10"/>
        <v/>
      </c>
      <c r="AO11" s="270" t="str">
        <f t="shared" si="11"/>
        <v/>
      </c>
      <c r="AP11" s="270" t="str">
        <f t="shared" si="12"/>
        <v/>
      </c>
      <c r="AQ11" s="270">
        <f t="shared" si="34"/>
        <v>0</v>
      </c>
      <c r="AR11" s="271">
        <f>MIN(IFERROR(VLOOKUP($C11,'SDDA Dogs'!$A:$O,13,FALSE),0),IFERROR(VLOOKUP($C11,'SDDA Dogs'!$A:$O,14,FALSE),0),IFERROR(VLOOKUP($C11,'SDDA Dogs'!$A:$O,15,FALSE),0))</f>
        <v>0</v>
      </c>
      <c r="AS11" s="272"/>
      <c r="AT11" s="272"/>
      <c r="AU11" s="272" t="str">
        <f>IF(ISERROR(VLOOKUP(C11,'SDDA Dogs'!A:O,6,FALSE)),"",VLOOKUP(C11,'SDDA Dogs'!A:O,6,FALSE))</f>
        <v/>
      </c>
      <c r="AV11" s="270">
        <f t="shared" si="13"/>
        <v>0</v>
      </c>
      <c r="AW11" s="270">
        <f t="shared" si="14"/>
        <v>0</v>
      </c>
      <c r="AX11" s="273">
        <f t="shared" si="15"/>
        <v>0</v>
      </c>
      <c r="AY11" s="274"/>
      <c r="AZ11" s="275">
        <f t="shared" si="16"/>
        <v>0</v>
      </c>
      <c r="BA11" s="275">
        <f t="shared" si="17"/>
        <v>0</v>
      </c>
      <c r="BB11" s="276"/>
      <c r="BC11" s="274" t="str">
        <f>_xlfn.IFNA(IF(I11="Pass",IF(G11&gt;IFERROR(INDEX(DogInfo!A:B,MATCH(C11&amp;$BC$4,DogInfo!A:A,0),2),0),G11,INDEX(DogInfo!A:B,MATCH(C11&amp;$BC$4,DogInfo!A:A,0),2)),INDEX(DogInfo!A:B,MATCH(C11&amp;$BC$4,DogInfo!A:A,0),2)),"")</f>
        <v/>
      </c>
      <c r="BD11" s="274" t="str">
        <f>_xlfn.IFNA(IF(Q11="Pass",IF(O11&gt;IFERROR(INDEX(DogInfo!A:B,MATCH(C11&amp;$BD$4,DogInfo!A:A,0),2),0),O11,INDEX(DogInfo!A:B,MATCH(C11&amp;$BD$4,DogInfo!A:A,0),2)),INDEX(DogInfo!A:B,MATCH(C11&amp;$BD$4,DogInfo!A:A,0),2)),"")</f>
        <v/>
      </c>
      <c r="BE11" s="274" t="str">
        <f>_xlfn.IFNA(IF(Y11="Pass",IF(W11&gt;IFERROR(INDEX(DogInfo!A:B,MATCH(C11&amp;$BE$4,DogInfo!A:A,0),2),0),W11,INDEX(DogInfo!A:B,MATCH(C11&amp;$BE$4,DogInfo!A:A,0),2)),INDEX(DogInfo!A:B,MATCH(C11&amp;$BE$4,DogInfo!A:A,0),2)),"")</f>
        <v/>
      </c>
    </row>
    <row r="12" spans="1:57" x14ac:dyDescent="0.25">
      <c r="A12" s="99">
        <v>8</v>
      </c>
      <c r="B12" s="239"/>
      <c r="C12" s="240"/>
      <c r="D12" s="102" t="str">
        <f>IF($C12="","",VLOOKUP($C12,'SDDA Dogs'!$A:$F,2,FALSE))</f>
        <v/>
      </c>
      <c r="E12" s="211">
        <f t="shared" si="18"/>
        <v>-1</v>
      </c>
      <c r="F12" s="103" t="str">
        <f>IF($C12="","",VLOOKUP($C12,'SDDA Dogs'!$A:$O,10,FALSE))</f>
        <v/>
      </c>
      <c r="G12" s="241"/>
      <c r="H12" s="242"/>
      <c r="I12" s="84" t="str">
        <f t="shared" si="0"/>
        <v/>
      </c>
      <c r="J12" s="105">
        <f t="shared" si="1"/>
        <v>0</v>
      </c>
      <c r="K12" s="84" t="str">
        <f t="shared" si="19"/>
        <v/>
      </c>
      <c r="L12" s="105">
        <f t="shared" si="2"/>
        <v>0</v>
      </c>
      <c r="M12" s="84" t="str">
        <f t="shared" si="20"/>
        <v/>
      </c>
      <c r="N12" s="106" t="str">
        <f>IF($C12="","",VLOOKUP($C12,'SDDA Dogs'!$A:$O,11,FALSE))</f>
        <v/>
      </c>
      <c r="O12" s="241"/>
      <c r="P12" s="242"/>
      <c r="Q12" s="84" t="str">
        <f t="shared" si="3"/>
        <v/>
      </c>
      <c r="R12" s="105">
        <f t="shared" si="4"/>
        <v>0</v>
      </c>
      <c r="S12" s="84" t="str">
        <f t="shared" si="21"/>
        <v/>
      </c>
      <c r="T12" s="105">
        <f t="shared" si="5"/>
        <v>0</v>
      </c>
      <c r="U12" s="84" t="str">
        <f t="shared" si="22"/>
        <v/>
      </c>
      <c r="V12" s="106" t="str">
        <f>IF($C12="","",VLOOKUP($C12,'SDDA Dogs'!$A:$O,12,FALSE))</f>
        <v/>
      </c>
      <c r="W12" s="241"/>
      <c r="X12" s="242"/>
      <c r="Y12" s="84" t="str">
        <f t="shared" si="6"/>
        <v/>
      </c>
      <c r="Z12" s="105">
        <f t="shared" si="7"/>
        <v>0</v>
      </c>
      <c r="AA12" s="84" t="str">
        <f t="shared" si="23"/>
        <v/>
      </c>
      <c r="AB12" s="105">
        <f t="shared" si="8"/>
        <v>0</v>
      </c>
      <c r="AC12" s="84" t="str">
        <f t="shared" si="24"/>
        <v/>
      </c>
      <c r="AD12" s="92" t="str">
        <f t="shared" si="25"/>
        <v/>
      </c>
      <c r="AE12" s="89" t="str">
        <f t="shared" si="9"/>
        <v/>
      </c>
      <c r="AF12" s="104" t="str">
        <f t="shared" si="26"/>
        <v/>
      </c>
      <c r="AG12" s="107" t="str">
        <f t="shared" si="27"/>
        <v/>
      </c>
      <c r="AH12" s="92" t="str">
        <f t="shared" si="28"/>
        <v/>
      </c>
      <c r="AI12" s="89" t="str">
        <f t="shared" si="29"/>
        <v/>
      </c>
      <c r="AJ12" s="104" t="str">
        <f t="shared" si="30"/>
        <v/>
      </c>
      <c r="AK12" s="84" t="str">
        <f t="shared" si="31"/>
        <v/>
      </c>
      <c r="AL12" s="264" t="str">
        <f t="shared" si="32"/>
        <v/>
      </c>
      <c r="AM12" s="270">
        <f t="shared" si="33"/>
        <v>0</v>
      </c>
      <c r="AN12" s="270" t="str">
        <f t="shared" si="10"/>
        <v/>
      </c>
      <c r="AO12" s="270" t="str">
        <f t="shared" si="11"/>
        <v/>
      </c>
      <c r="AP12" s="270" t="str">
        <f t="shared" si="12"/>
        <v/>
      </c>
      <c r="AQ12" s="270">
        <f t="shared" si="34"/>
        <v>0</v>
      </c>
      <c r="AR12" s="271">
        <f>MIN(IFERROR(VLOOKUP($C12,'SDDA Dogs'!$A:$O,13,FALSE),0),IFERROR(VLOOKUP($C12,'SDDA Dogs'!$A:$O,14,FALSE),0),IFERROR(VLOOKUP($C12,'SDDA Dogs'!$A:$O,15,FALSE),0))</f>
        <v>0</v>
      </c>
      <c r="AS12" s="272"/>
      <c r="AT12" s="272"/>
      <c r="AU12" s="272" t="str">
        <f>IF(ISERROR(VLOOKUP(C12,'SDDA Dogs'!A:O,6,FALSE)),"",VLOOKUP(C12,'SDDA Dogs'!A:O,6,FALSE))</f>
        <v/>
      </c>
      <c r="AV12" s="270">
        <f t="shared" si="13"/>
        <v>0</v>
      </c>
      <c r="AW12" s="270">
        <f t="shared" si="14"/>
        <v>0</v>
      </c>
      <c r="AX12" s="273">
        <f t="shared" si="15"/>
        <v>0</v>
      </c>
      <c r="AY12" s="274"/>
      <c r="AZ12" s="275">
        <f t="shared" si="16"/>
        <v>0</v>
      </c>
      <c r="BA12" s="275">
        <f t="shared" si="17"/>
        <v>0</v>
      </c>
      <c r="BB12" s="276"/>
      <c r="BC12" s="274" t="str">
        <f>_xlfn.IFNA(IF(I12="Pass",IF(G12&gt;IFERROR(INDEX(DogInfo!A:B,MATCH(C12&amp;$BC$4,DogInfo!A:A,0),2),0),G12,INDEX(DogInfo!A:B,MATCH(C12&amp;$BC$4,DogInfo!A:A,0),2)),INDEX(DogInfo!A:B,MATCH(C12&amp;$BC$4,DogInfo!A:A,0),2)),"")</f>
        <v/>
      </c>
      <c r="BD12" s="274" t="str">
        <f>_xlfn.IFNA(IF(Q12="Pass",IF(O12&gt;IFERROR(INDEX(DogInfo!A:B,MATCH(C12&amp;$BD$4,DogInfo!A:A,0),2),0),O12,INDEX(DogInfo!A:B,MATCH(C12&amp;$BD$4,DogInfo!A:A,0),2)),INDEX(DogInfo!A:B,MATCH(C12&amp;$BD$4,DogInfo!A:A,0),2)),"")</f>
        <v/>
      </c>
      <c r="BE12" s="274" t="str">
        <f>_xlfn.IFNA(IF(Y12="Pass",IF(W12&gt;IFERROR(INDEX(DogInfo!A:B,MATCH(C12&amp;$BE$4,DogInfo!A:A,0),2),0),W12,INDEX(DogInfo!A:B,MATCH(C12&amp;$BE$4,DogInfo!A:A,0),2)),INDEX(DogInfo!A:B,MATCH(C12&amp;$BE$4,DogInfo!A:A,0),2)),"")</f>
        <v/>
      </c>
    </row>
    <row r="13" spans="1:57" ht="15" customHeight="1" x14ac:dyDescent="0.25">
      <c r="A13" s="99">
        <v>9</v>
      </c>
      <c r="B13" s="239"/>
      <c r="C13" s="240"/>
      <c r="D13" s="102" t="str">
        <f>IF($C13="","",VLOOKUP($C13,'SDDA Dogs'!$A:$F,2,FALSE))</f>
        <v/>
      </c>
      <c r="E13" s="211">
        <f t="shared" si="18"/>
        <v>-1</v>
      </c>
      <c r="F13" s="103" t="str">
        <f>IF($C13="","",VLOOKUP($C13,'SDDA Dogs'!$A:$O,10,FALSE))</f>
        <v/>
      </c>
      <c r="G13" s="241"/>
      <c r="H13" s="242"/>
      <c r="I13" s="84" t="str">
        <f t="shared" si="0"/>
        <v/>
      </c>
      <c r="J13" s="105">
        <f t="shared" si="1"/>
        <v>0</v>
      </c>
      <c r="K13" s="84" t="str">
        <f t="shared" si="19"/>
        <v/>
      </c>
      <c r="L13" s="105">
        <f t="shared" si="2"/>
        <v>0</v>
      </c>
      <c r="M13" s="84" t="str">
        <f t="shared" si="20"/>
        <v/>
      </c>
      <c r="N13" s="106" t="str">
        <f>IF($C13="","",VLOOKUP($C13,'SDDA Dogs'!$A:$O,11,FALSE))</f>
        <v/>
      </c>
      <c r="O13" s="241"/>
      <c r="P13" s="242"/>
      <c r="Q13" s="84" t="str">
        <f t="shared" si="3"/>
        <v/>
      </c>
      <c r="R13" s="105">
        <f t="shared" si="4"/>
        <v>0</v>
      </c>
      <c r="S13" s="84" t="str">
        <f t="shared" si="21"/>
        <v/>
      </c>
      <c r="T13" s="105">
        <f t="shared" si="5"/>
        <v>0</v>
      </c>
      <c r="U13" s="84" t="str">
        <f t="shared" si="22"/>
        <v/>
      </c>
      <c r="V13" s="106" t="str">
        <f>IF($C13="","",VLOOKUP($C13,'SDDA Dogs'!$A:$O,12,FALSE))</f>
        <v/>
      </c>
      <c r="W13" s="241"/>
      <c r="X13" s="242"/>
      <c r="Y13" s="84" t="str">
        <f t="shared" si="6"/>
        <v/>
      </c>
      <c r="Z13" s="105">
        <f t="shared" si="7"/>
        <v>0</v>
      </c>
      <c r="AA13" s="84" t="str">
        <f t="shared" si="23"/>
        <v/>
      </c>
      <c r="AB13" s="105">
        <f t="shared" si="8"/>
        <v>0</v>
      </c>
      <c r="AC13" s="84" t="str">
        <f t="shared" si="24"/>
        <v/>
      </c>
      <c r="AD13" s="92" t="str">
        <f t="shared" si="25"/>
        <v/>
      </c>
      <c r="AE13" s="89" t="str">
        <f t="shared" si="9"/>
        <v/>
      </c>
      <c r="AF13" s="104" t="str">
        <f t="shared" si="26"/>
        <v/>
      </c>
      <c r="AG13" s="107" t="str">
        <f t="shared" si="27"/>
        <v/>
      </c>
      <c r="AH13" s="92" t="str">
        <f t="shared" si="28"/>
        <v/>
      </c>
      <c r="AI13" s="89" t="str">
        <f t="shared" si="29"/>
        <v/>
      </c>
      <c r="AJ13" s="104" t="str">
        <f t="shared" si="30"/>
        <v/>
      </c>
      <c r="AK13" s="84" t="str">
        <f t="shared" si="31"/>
        <v/>
      </c>
      <c r="AL13" s="264" t="str">
        <f t="shared" si="32"/>
        <v/>
      </c>
      <c r="AM13" s="270">
        <f t="shared" si="33"/>
        <v>0</v>
      </c>
      <c r="AN13" s="270" t="str">
        <f t="shared" si="10"/>
        <v/>
      </c>
      <c r="AO13" s="270" t="str">
        <f t="shared" si="11"/>
        <v/>
      </c>
      <c r="AP13" s="270" t="str">
        <f t="shared" si="12"/>
        <v/>
      </c>
      <c r="AQ13" s="270">
        <f t="shared" si="34"/>
        <v>0</v>
      </c>
      <c r="AR13" s="271">
        <f>MIN(IFERROR(VLOOKUP($C13,'SDDA Dogs'!$A:$O,13,FALSE),0),IFERROR(VLOOKUP($C13,'SDDA Dogs'!$A:$O,14,FALSE),0),IFERROR(VLOOKUP($C13,'SDDA Dogs'!$A:$O,15,FALSE),0))</f>
        <v>0</v>
      </c>
      <c r="AS13" s="272"/>
      <c r="AT13" s="272"/>
      <c r="AU13" s="272" t="str">
        <f>IF(ISERROR(VLOOKUP(C13,'SDDA Dogs'!A:O,6,FALSE)),"",VLOOKUP(C13,'SDDA Dogs'!A:O,6,FALSE))</f>
        <v/>
      </c>
      <c r="AV13" s="270">
        <f t="shared" si="13"/>
        <v>0</v>
      </c>
      <c r="AW13" s="270">
        <f t="shared" si="14"/>
        <v>0</v>
      </c>
      <c r="AX13" s="273">
        <f t="shared" si="15"/>
        <v>0</v>
      </c>
      <c r="AY13" s="274"/>
      <c r="AZ13" s="275">
        <f t="shared" si="16"/>
        <v>0</v>
      </c>
      <c r="BA13" s="275">
        <f t="shared" si="17"/>
        <v>0</v>
      </c>
      <c r="BB13" s="276"/>
      <c r="BC13" s="274" t="str">
        <f>_xlfn.IFNA(IF(I13="Pass",IF(G13&gt;IFERROR(INDEX(DogInfo!A:B,MATCH(C13&amp;$BC$4,DogInfo!A:A,0),2),0),G13,INDEX(DogInfo!A:B,MATCH(C13&amp;$BC$4,DogInfo!A:A,0),2)),INDEX(DogInfo!A:B,MATCH(C13&amp;$BC$4,DogInfo!A:A,0),2)),"")</f>
        <v/>
      </c>
      <c r="BD13" s="274" t="str">
        <f>_xlfn.IFNA(IF(Q13="Pass",IF(O13&gt;IFERROR(INDEX(DogInfo!A:B,MATCH(C13&amp;$BD$4,DogInfo!A:A,0),2),0),O13,INDEX(DogInfo!A:B,MATCH(C13&amp;$BD$4,DogInfo!A:A,0),2)),INDEX(DogInfo!A:B,MATCH(C13&amp;$BD$4,DogInfo!A:A,0),2)),"")</f>
        <v/>
      </c>
      <c r="BE13" s="274" t="str">
        <f>_xlfn.IFNA(IF(Y13="Pass",IF(W13&gt;IFERROR(INDEX(DogInfo!A:B,MATCH(C13&amp;$BE$4,DogInfo!A:A,0),2),0),W13,INDEX(DogInfo!A:B,MATCH(C13&amp;$BE$4,DogInfo!A:A,0),2)),INDEX(DogInfo!A:B,MATCH(C13&amp;$BE$4,DogInfo!A:A,0),2)),"")</f>
        <v/>
      </c>
    </row>
    <row r="14" spans="1:57" x14ac:dyDescent="0.25">
      <c r="A14" s="99">
        <v>10</v>
      </c>
      <c r="B14" s="239"/>
      <c r="C14" s="240"/>
      <c r="D14" s="102" t="str">
        <f>IF($C14="","",VLOOKUP($C14,'SDDA Dogs'!$A:$F,2,FALSE))</f>
        <v/>
      </c>
      <c r="E14" s="211">
        <f t="shared" si="18"/>
        <v>-1</v>
      </c>
      <c r="F14" s="103" t="str">
        <f>IF($C14="","",VLOOKUP($C14,'SDDA Dogs'!$A:$O,10,FALSE))</f>
        <v/>
      </c>
      <c r="G14" s="241"/>
      <c r="H14" s="242"/>
      <c r="I14" s="84" t="str">
        <f t="shared" si="0"/>
        <v/>
      </c>
      <c r="J14" s="105">
        <f t="shared" si="1"/>
        <v>0</v>
      </c>
      <c r="K14" s="84" t="str">
        <f t="shared" si="19"/>
        <v/>
      </c>
      <c r="L14" s="105">
        <f t="shared" si="2"/>
        <v>0</v>
      </c>
      <c r="M14" s="84" t="str">
        <f t="shared" si="20"/>
        <v/>
      </c>
      <c r="N14" s="106" t="str">
        <f>IF($C14="","",VLOOKUP($C14,'SDDA Dogs'!$A:$O,11,FALSE))</f>
        <v/>
      </c>
      <c r="O14" s="241"/>
      <c r="P14" s="242"/>
      <c r="Q14" s="84" t="str">
        <f t="shared" si="3"/>
        <v/>
      </c>
      <c r="R14" s="105">
        <f t="shared" si="4"/>
        <v>0</v>
      </c>
      <c r="S14" s="84" t="str">
        <f t="shared" si="21"/>
        <v/>
      </c>
      <c r="T14" s="105">
        <f t="shared" si="5"/>
        <v>0</v>
      </c>
      <c r="U14" s="84" t="str">
        <f t="shared" si="22"/>
        <v/>
      </c>
      <c r="V14" s="106" t="str">
        <f>IF($C14="","",VLOOKUP($C14,'SDDA Dogs'!$A:$O,12,FALSE))</f>
        <v/>
      </c>
      <c r="W14" s="241"/>
      <c r="X14" s="242"/>
      <c r="Y14" s="84" t="str">
        <f t="shared" si="6"/>
        <v/>
      </c>
      <c r="Z14" s="105">
        <f t="shared" si="7"/>
        <v>0</v>
      </c>
      <c r="AA14" s="84" t="str">
        <f t="shared" si="23"/>
        <v/>
      </c>
      <c r="AB14" s="105">
        <f t="shared" si="8"/>
        <v>0</v>
      </c>
      <c r="AC14" s="84" t="str">
        <f t="shared" si="24"/>
        <v/>
      </c>
      <c r="AD14" s="92" t="str">
        <f t="shared" si="25"/>
        <v/>
      </c>
      <c r="AE14" s="89" t="str">
        <f t="shared" si="9"/>
        <v/>
      </c>
      <c r="AF14" s="104" t="str">
        <f t="shared" si="26"/>
        <v/>
      </c>
      <c r="AG14" s="107" t="str">
        <f t="shared" si="27"/>
        <v/>
      </c>
      <c r="AH14" s="92" t="str">
        <f t="shared" si="28"/>
        <v/>
      </c>
      <c r="AI14" s="89" t="str">
        <f t="shared" si="29"/>
        <v/>
      </c>
      <c r="AJ14" s="104" t="str">
        <f t="shared" si="30"/>
        <v/>
      </c>
      <c r="AK14" s="84" t="str">
        <f t="shared" si="31"/>
        <v/>
      </c>
      <c r="AL14" s="264" t="str">
        <f t="shared" si="32"/>
        <v/>
      </c>
      <c r="AM14" s="270">
        <f t="shared" si="33"/>
        <v>0</v>
      </c>
      <c r="AN14" s="270" t="str">
        <f t="shared" si="10"/>
        <v/>
      </c>
      <c r="AO14" s="270" t="str">
        <f t="shared" si="11"/>
        <v/>
      </c>
      <c r="AP14" s="270" t="str">
        <f t="shared" si="12"/>
        <v/>
      </c>
      <c r="AQ14" s="270">
        <f t="shared" si="34"/>
        <v>0</v>
      </c>
      <c r="AR14" s="271">
        <f>MIN(IFERROR(VLOOKUP($C14,'SDDA Dogs'!$A:$O,13,FALSE),0),IFERROR(VLOOKUP($C14,'SDDA Dogs'!$A:$O,14,FALSE),0),IFERROR(VLOOKUP($C14,'SDDA Dogs'!$A:$O,15,FALSE),0))</f>
        <v>0</v>
      </c>
      <c r="AS14" s="272"/>
      <c r="AT14" s="272"/>
      <c r="AU14" s="272" t="str">
        <f>IF(ISERROR(VLOOKUP(C14,'SDDA Dogs'!A:O,6,FALSE)),"",VLOOKUP(C14,'SDDA Dogs'!A:O,6,FALSE))</f>
        <v/>
      </c>
      <c r="AV14" s="270">
        <f t="shared" si="13"/>
        <v>0</v>
      </c>
      <c r="AW14" s="270">
        <f t="shared" si="14"/>
        <v>0</v>
      </c>
      <c r="AX14" s="273">
        <f t="shared" si="15"/>
        <v>0</v>
      </c>
      <c r="AY14" s="274"/>
      <c r="AZ14" s="275">
        <f t="shared" si="16"/>
        <v>0</v>
      </c>
      <c r="BA14" s="275">
        <f t="shared" si="17"/>
        <v>0</v>
      </c>
      <c r="BB14" s="276"/>
      <c r="BC14" s="274" t="str">
        <f>_xlfn.IFNA(IF(I14="Pass",IF(G14&gt;IFERROR(INDEX(DogInfo!A:B,MATCH(C14&amp;$BC$4,DogInfo!A:A,0),2),0),G14,INDEX(DogInfo!A:B,MATCH(C14&amp;$BC$4,DogInfo!A:A,0),2)),INDEX(DogInfo!A:B,MATCH(C14&amp;$BC$4,DogInfo!A:A,0),2)),"")</f>
        <v/>
      </c>
      <c r="BD14" s="274" t="str">
        <f>_xlfn.IFNA(IF(Q14="Pass",IF(O14&gt;IFERROR(INDEX(DogInfo!A:B,MATCH(C14&amp;$BD$4,DogInfo!A:A,0),2),0),O14,INDEX(DogInfo!A:B,MATCH(C14&amp;$BD$4,DogInfo!A:A,0),2)),INDEX(DogInfo!A:B,MATCH(C14&amp;$BD$4,DogInfo!A:A,0),2)),"")</f>
        <v/>
      </c>
      <c r="BE14" s="274" t="str">
        <f>_xlfn.IFNA(IF(Y14="Pass",IF(W14&gt;IFERROR(INDEX(DogInfo!A:B,MATCH(C14&amp;$BE$4,DogInfo!A:A,0),2),0),W14,INDEX(DogInfo!A:B,MATCH(C14&amp;$BE$4,DogInfo!A:A,0),2)),INDEX(DogInfo!A:B,MATCH(C14&amp;$BE$4,DogInfo!A:A,0),2)),"")</f>
        <v/>
      </c>
    </row>
    <row r="15" spans="1:57" x14ac:dyDescent="0.25">
      <c r="A15" s="99">
        <v>11</v>
      </c>
      <c r="B15" s="239"/>
      <c r="C15" s="240"/>
      <c r="D15" s="102" t="str">
        <f>IF($C15="","",VLOOKUP($C15,'SDDA Dogs'!$A:$F,2,FALSE))</f>
        <v/>
      </c>
      <c r="E15" s="211">
        <f t="shared" si="18"/>
        <v>-1</v>
      </c>
      <c r="F15" s="103" t="str">
        <f>IF($C15="","",VLOOKUP($C15,'SDDA Dogs'!$A:$O,10,FALSE))</f>
        <v/>
      </c>
      <c r="G15" s="241"/>
      <c r="H15" s="242"/>
      <c r="I15" s="84" t="str">
        <f t="shared" si="0"/>
        <v/>
      </c>
      <c r="J15" s="105">
        <f t="shared" si="1"/>
        <v>0</v>
      </c>
      <c r="K15" s="84" t="str">
        <f t="shared" si="19"/>
        <v/>
      </c>
      <c r="L15" s="105">
        <f t="shared" si="2"/>
        <v>0</v>
      </c>
      <c r="M15" s="84" t="str">
        <f t="shared" si="20"/>
        <v/>
      </c>
      <c r="N15" s="106" t="str">
        <f>IF($C15="","",VLOOKUP($C15,'SDDA Dogs'!$A:$O,11,FALSE))</f>
        <v/>
      </c>
      <c r="O15" s="241"/>
      <c r="P15" s="242"/>
      <c r="Q15" s="84" t="str">
        <f t="shared" si="3"/>
        <v/>
      </c>
      <c r="R15" s="105">
        <f t="shared" si="4"/>
        <v>0</v>
      </c>
      <c r="S15" s="84" t="str">
        <f t="shared" si="21"/>
        <v/>
      </c>
      <c r="T15" s="105">
        <f t="shared" si="5"/>
        <v>0</v>
      </c>
      <c r="U15" s="84" t="str">
        <f t="shared" si="22"/>
        <v/>
      </c>
      <c r="V15" s="106" t="str">
        <f>IF($C15="","",VLOOKUP($C15,'SDDA Dogs'!$A:$O,12,FALSE))</f>
        <v/>
      </c>
      <c r="W15" s="241"/>
      <c r="X15" s="242"/>
      <c r="Y15" s="84" t="str">
        <f t="shared" si="6"/>
        <v/>
      </c>
      <c r="Z15" s="105">
        <f t="shared" si="7"/>
        <v>0</v>
      </c>
      <c r="AA15" s="84" t="str">
        <f t="shared" si="23"/>
        <v/>
      </c>
      <c r="AB15" s="105">
        <f t="shared" si="8"/>
        <v>0</v>
      </c>
      <c r="AC15" s="84" t="str">
        <f t="shared" si="24"/>
        <v/>
      </c>
      <c r="AD15" s="92" t="str">
        <f t="shared" si="25"/>
        <v/>
      </c>
      <c r="AE15" s="89" t="str">
        <f t="shared" si="9"/>
        <v/>
      </c>
      <c r="AF15" s="104" t="str">
        <f t="shared" si="26"/>
        <v/>
      </c>
      <c r="AG15" s="107" t="str">
        <f t="shared" si="27"/>
        <v/>
      </c>
      <c r="AH15" s="92" t="str">
        <f t="shared" si="28"/>
        <v/>
      </c>
      <c r="AI15" s="89" t="str">
        <f t="shared" si="29"/>
        <v/>
      </c>
      <c r="AJ15" s="104" t="str">
        <f t="shared" si="30"/>
        <v/>
      </c>
      <c r="AK15" s="84" t="str">
        <f t="shared" si="31"/>
        <v/>
      </c>
      <c r="AL15" s="264" t="str">
        <f t="shared" si="32"/>
        <v/>
      </c>
      <c r="AM15" s="270">
        <f t="shared" si="33"/>
        <v>0</v>
      </c>
      <c r="AN15" s="270" t="str">
        <f t="shared" si="10"/>
        <v/>
      </c>
      <c r="AO15" s="270" t="str">
        <f t="shared" si="11"/>
        <v/>
      </c>
      <c r="AP15" s="270" t="str">
        <f t="shared" si="12"/>
        <v/>
      </c>
      <c r="AQ15" s="270">
        <f t="shared" si="34"/>
        <v>0</v>
      </c>
      <c r="AR15" s="271">
        <f>MIN(IFERROR(VLOOKUP($C15,'SDDA Dogs'!$A:$O,13,FALSE),0),IFERROR(VLOOKUP($C15,'SDDA Dogs'!$A:$O,14,FALSE),0),IFERROR(VLOOKUP($C15,'SDDA Dogs'!$A:$O,15,FALSE),0))</f>
        <v>0</v>
      </c>
      <c r="AS15" s="272"/>
      <c r="AT15" s="272"/>
      <c r="AU15" s="272" t="str">
        <f>IF(ISERROR(VLOOKUP(C15,'SDDA Dogs'!A:O,6,FALSE)),"",VLOOKUP(C15,'SDDA Dogs'!A:O,6,FALSE))</f>
        <v/>
      </c>
      <c r="AV15" s="270">
        <f t="shared" si="13"/>
        <v>0</v>
      </c>
      <c r="AW15" s="270">
        <f t="shared" si="14"/>
        <v>0</v>
      </c>
      <c r="AX15" s="273">
        <f t="shared" si="15"/>
        <v>0</v>
      </c>
      <c r="AY15" s="274"/>
      <c r="AZ15" s="275">
        <f t="shared" si="16"/>
        <v>0</v>
      </c>
      <c r="BA15" s="275">
        <f t="shared" si="17"/>
        <v>0</v>
      </c>
      <c r="BB15" s="276"/>
      <c r="BC15" s="274" t="str">
        <f>_xlfn.IFNA(IF(I15="Pass",IF(G15&gt;IFERROR(INDEX(DogInfo!A:B,MATCH(C15&amp;$BC$4,DogInfo!A:A,0),2),0),G15,INDEX(DogInfo!A:B,MATCH(C15&amp;$BC$4,DogInfo!A:A,0),2)),INDEX(DogInfo!A:B,MATCH(C15&amp;$BC$4,DogInfo!A:A,0),2)),"")</f>
        <v/>
      </c>
      <c r="BD15" s="274" t="str">
        <f>_xlfn.IFNA(IF(Q15="Pass",IF(O15&gt;IFERROR(INDEX(DogInfo!A:B,MATCH(C15&amp;$BD$4,DogInfo!A:A,0),2),0),O15,INDEX(DogInfo!A:B,MATCH(C15&amp;$BD$4,DogInfo!A:A,0),2)),INDEX(DogInfo!A:B,MATCH(C15&amp;$BD$4,DogInfo!A:A,0),2)),"")</f>
        <v/>
      </c>
      <c r="BE15" s="274" t="str">
        <f>_xlfn.IFNA(IF(Y15="Pass",IF(W15&gt;IFERROR(INDEX(DogInfo!A:B,MATCH(C15&amp;$BE$4,DogInfo!A:A,0),2),0),W15,INDEX(DogInfo!A:B,MATCH(C15&amp;$BE$4,DogInfo!A:A,0),2)),INDEX(DogInfo!A:B,MATCH(C15&amp;$BE$4,DogInfo!A:A,0),2)),"")</f>
        <v/>
      </c>
    </row>
    <row r="16" spans="1:57" x14ac:dyDescent="0.25">
      <c r="A16" s="99">
        <v>12</v>
      </c>
      <c r="B16" s="239"/>
      <c r="C16" s="240"/>
      <c r="D16" s="102" t="str">
        <f>IF($C16="","",VLOOKUP($C16,'SDDA Dogs'!$A:$F,2,FALSE))</f>
        <v/>
      </c>
      <c r="E16" s="211">
        <f t="shared" si="18"/>
        <v>-1</v>
      </c>
      <c r="F16" s="103" t="str">
        <f>IF($C16="","",VLOOKUP($C16,'SDDA Dogs'!$A:$O,10,FALSE))</f>
        <v/>
      </c>
      <c r="G16" s="241"/>
      <c r="H16" s="242"/>
      <c r="I16" s="84" t="str">
        <f t="shared" si="0"/>
        <v/>
      </c>
      <c r="J16" s="105">
        <f t="shared" si="1"/>
        <v>0</v>
      </c>
      <c r="K16" s="84" t="str">
        <f t="shared" si="19"/>
        <v/>
      </c>
      <c r="L16" s="105">
        <f t="shared" si="2"/>
        <v>0</v>
      </c>
      <c r="M16" s="84" t="str">
        <f t="shared" si="20"/>
        <v/>
      </c>
      <c r="N16" s="106" t="str">
        <f>IF($C16="","",VLOOKUP($C16,'SDDA Dogs'!$A:$O,11,FALSE))</f>
        <v/>
      </c>
      <c r="O16" s="241"/>
      <c r="P16" s="242"/>
      <c r="Q16" s="84" t="str">
        <f t="shared" si="3"/>
        <v/>
      </c>
      <c r="R16" s="105">
        <f t="shared" si="4"/>
        <v>0</v>
      </c>
      <c r="S16" s="84" t="str">
        <f t="shared" si="21"/>
        <v/>
      </c>
      <c r="T16" s="105">
        <f t="shared" si="5"/>
        <v>0</v>
      </c>
      <c r="U16" s="84" t="str">
        <f t="shared" si="22"/>
        <v/>
      </c>
      <c r="V16" s="106" t="str">
        <f>IF($C16="","",VLOOKUP($C16,'SDDA Dogs'!$A:$O,12,FALSE))</f>
        <v/>
      </c>
      <c r="W16" s="241"/>
      <c r="X16" s="242"/>
      <c r="Y16" s="84" t="str">
        <f t="shared" si="6"/>
        <v/>
      </c>
      <c r="Z16" s="105">
        <f t="shared" si="7"/>
        <v>0</v>
      </c>
      <c r="AA16" s="84" t="str">
        <f t="shared" si="23"/>
        <v/>
      </c>
      <c r="AB16" s="105">
        <f t="shared" si="8"/>
        <v>0</v>
      </c>
      <c r="AC16" s="84" t="str">
        <f t="shared" si="24"/>
        <v/>
      </c>
      <c r="AD16" s="92" t="str">
        <f t="shared" si="25"/>
        <v/>
      </c>
      <c r="AE16" s="89" t="str">
        <f t="shared" si="9"/>
        <v/>
      </c>
      <c r="AF16" s="104" t="str">
        <f t="shared" si="26"/>
        <v/>
      </c>
      <c r="AG16" s="107" t="str">
        <f t="shared" si="27"/>
        <v/>
      </c>
      <c r="AH16" s="92" t="str">
        <f t="shared" si="28"/>
        <v/>
      </c>
      <c r="AI16" s="89" t="str">
        <f t="shared" si="29"/>
        <v/>
      </c>
      <c r="AJ16" s="104" t="str">
        <f t="shared" si="30"/>
        <v/>
      </c>
      <c r="AK16" s="84" t="str">
        <f t="shared" si="31"/>
        <v/>
      </c>
      <c r="AL16" s="264" t="str">
        <f t="shared" si="32"/>
        <v/>
      </c>
      <c r="AM16" s="270">
        <f t="shared" si="33"/>
        <v>0</v>
      </c>
      <c r="AN16" s="270" t="str">
        <f t="shared" si="10"/>
        <v/>
      </c>
      <c r="AO16" s="270" t="str">
        <f t="shared" si="11"/>
        <v/>
      </c>
      <c r="AP16" s="270" t="str">
        <f t="shared" si="12"/>
        <v/>
      </c>
      <c r="AQ16" s="270">
        <f t="shared" si="34"/>
        <v>0</v>
      </c>
      <c r="AR16" s="271">
        <f>MIN(IFERROR(VLOOKUP($C16,'SDDA Dogs'!$A:$O,13,FALSE),0),IFERROR(VLOOKUP($C16,'SDDA Dogs'!$A:$O,14,FALSE),0),IFERROR(VLOOKUP($C16,'SDDA Dogs'!$A:$O,15,FALSE),0))</f>
        <v>0</v>
      </c>
      <c r="AS16" s="272"/>
      <c r="AT16" s="272"/>
      <c r="AU16" s="272" t="str">
        <f>IF(ISERROR(VLOOKUP(C16,'SDDA Dogs'!A:O,6,FALSE)),"",VLOOKUP(C16,'SDDA Dogs'!A:O,6,FALSE))</f>
        <v/>
      </c>
      <c r="AV16" s="270">
        <f t="shared" si="13"/>
        <v>0</v>
      </c>
      <c r="AW16" s="270">
        <f t="shared" si="14"/>
        <v>0</v>
      </c>
      <c r="AX16" s="273">
        <f t="shared" si="15"/>
        <v>0</v>
      </c>
      <c r="AY16" s="274"/>
      <c r="AZ16" s="275">
        <f t="shared" si="16"/>
        <v>0</v>
      </c>
      <c r="BA16" s="275">
        <f t="shared" si="17"/>
        <v>0</v>
      </c>
      <c r="BB16" s="276"/>
      <c r="BC16" s="274" t="str">
        <f>_xlfn.IFNA(IF(I16="Pass",IF(G16&gt;IFERROR(INDEX(DogInfo!A:B,MATCH(C16&amp;$BC$4,DogInfo!A:A,0),2),0),G16,INDEX(DogInfo!A:B,MATCH(C16&amp;$BC$4,DogInfo!A:A,0),2)),INDEX(DogInfo!A:B,MATCH(C16&amp;$BC$4,DogInfo!A:A,0),2)),"")</f>
        <v/>
      </c>
      <c r="BD16" s="274" t="str">
        <f>_xlfn.IFNA(IF(Q16="Pass",IF(O16&gt;IFERROR(INDEX(DogInfo!A:B,MATCH(C16&amp;$BD$4,DogInfo!A:A,0),2),0),O16,INDEX(DogInfo!A:B,MATCH(C16&amp;$BD$4,DogInfo!A:A,0),2)),INDEX(DogInfo!A:B,MATCH(C16&amp;$BD$4,DogInfo!A:A,0),2)),"")</f>
        <v/>
      </c>
      <c r="BE16" s="274" t="str">
        <f>_xlfn.IFNA(IF(Y16="Pass",IF(W16&gt;IFERROR(INDEX(DogInfo!A:B,MATCH(C16&amp;$BE$4,DogInfo!A:A,0),2),0),W16,INDEX(DogInfo!A:B,MATCH(C16&amp;$BE$4,DogInfo!A:A,0),2)),INDEX(DogInfo!A:B,MATCH(C16&amp;$BE$4,DogInfo!A:A,0),2)),"")</f>
        <v/>
      </c>
    </row>
    <row r="17" spans="1:57" x14ac:dyDescent="0.25">
      <c r="A17" s="99">
        <v>13</v>
      </c>
      <c r="B17" s="239"/>
      <c r="C17" s="240"/>
      <c r="D17" s="102" t="str">
        <f>IF($C17="","",VLOOKUP($C17,'SDDA Dogs'!$A:$F,2,FALSE))</f>
        <v/>
      </c>
      <c r="E17" s="211">
        <f t="shared" si="18"/>
        <v>-1</v>
      </c>
      <c r="F17" s="103" t="str">
        <f>IF($C17="","",VLOOKUP($C17,'SDDA Dogs'!$A:$O,10,FALSE))</f>
        <v/>
      </c>
      <c r="G17" s="241"/>
      <c r="H17" s="242"/>
      <c r="I17" s="84" t="str">
        <f t="shared" si="0"/>
        <v/>
      </c>
      <c r="J17" s="105">
        <f t="shared" si="1"/>
        <v>0</v>
      </c>
      <c r="K17" s="84" t="str">
        <f t="shared" si="19"/>
        <v/>
      </c>
      <c r="L17" s="105">
        <f t="shared" si="2"/>
        <v>0</v>
      </c>
      <c r="M17" s="84" t="str">
        <f t="shared" si="20"/>
        <v/>
      </c>
      <c r="N17" s="106" t="str">
        <f>IF($C17="","",VLOOKUP($C17,'SDDA Dogs'!$A:$O,11,FALSE))</f>
        <v/>
      </c>
      <c r="O17" s="241"/>
      <c r="P17" s="242"/>
      <c r="Q17" s="84" t="str">
        <f t="shared" si="3"/>
        <v/>
      </c>
      <c r="R17" s="105">
        <f t="shared" si="4"/>
        <v>0</v>
      </c>
      <c r="S17" s="84" t="str">
        <f t="shared" si="21"/>
        <v/>
      </c>
      <c r="T17" s="105">
        <f t="shared" si="5"/>
        <v>0</v>
      </c>
      <c r="U17" s="84" t="str">
        <f t="shared" si="22"/>
        <v/>
      </c>
      <c r="V17" s="106" t="str">
        <f>IF($C17="","",VLOOKUP($C17,'SDDA Dogs'!$A:$O,12,FALSE))</f>
        <v/>
      </c>
      <c r="W17" s="241"/>
      <c r="X17" s="242"/>
      <c r="Y17" s="84" t="str">
        <f t="shared" si="6"/>
        <v/>
      </c>
      <c r="Z17" s="105">
        <f t="shared" si="7"/>
        <v>0</v>
      </c>
      <c r="AA17" s="84" t="str">
        <f t="shared" si="23"/>
        <v/>
      </c>
      <c r="AB17" s="105">
        <f t="shared" si="8"/>
        <v>0</v>
      </c>
      <c r="AC17" s="84" t="str">
        <f t="shared" si="24"/>
        <v/>
      </c>
      <c r="AD17" s="92" t="str">
        <f t="shared" si="25"/>
        <v/>
      </c>
      <c r="AE17" s="89" t="str">
        <f t="shared" si="9"/>
        <v/>
      </c>
      <c r="AF17" s="104" t="str">
        <f t="shared" si="26"/>
        <v/>
      </c>
      <c r="AG17" s="107" t="str">
        <f t="shared" si="27"/>
        <v/>
      </c>
      <c r="AH17" s="92" t="str">
        <f t="shared" si="28"/>
        <v/>
      </c>
      <c r="AI17" s="89" t="str">
        <f t="shared" si="29"/>
        <v/>
      </c>
      <c r="AJ17" s="104" t="str">
        <f t="shared" si="30"/>
        <v/>
      </c>
      <c r="AK17" s="84" t="str">
        <f t="shared" si="31"/>
        <v/>
      </c>
      <c r="AL17" s="264" t="str">
        <f t="shared" si="32"/>
        <v/>
      </c>
      <c r="AM17" s="270">
        <f t="shared" si="33"/>
        <v>0</v>
      </c>
      <c r="AN17" s="270" t="str">
        <f t="shared" si="10"/>
        <v/>
      </c>
      <c r="AO17" s="270" t="str">
        <f t="shared" si="11"/>
        <v/>
      </c>
      <c r="AP17" s="270" t="str">
        <f t="shared" si="12"/>
        <v/>
      </c>
      <c r="AQ17" s="270">
        <f t="shared" si="34"/>
        <v>0</v>
      </c>
      <c r="AR17" s="271">
        <f>MIN(IFERROR(VLOOKUP($C17,'SDDA Dogs'!$A:$O,13,FALSE),0),IFERROR(VLOOKUP($C17,'SDDA Dogs'!$A:$O,14,FALSE),0),IFERROR(VLOOKUP($C17,'SDDA Dogs'!$A:$O,15,FALSE),0))</f>
        <v>0</v>
      </c>
      <c r="AS17" s="272"/>
      <c r="AT17" s="272"/>
      <c r="AU17" s="272" t="str">
        <f>IF(ISERROR(VLOOKUP(C17,'SDDA Dogs'!A:O,6,FALSE)),"",VLOOKUP(C17,'SDDA Dogs'!A:O,6,FALSE))</f>
        <v/>
      </c>
      <c r="AV17" s="270">
        <f t="shared" si="13"/>
        <v>0</v>
      </c>
      <c r="AW17" s="270">
        <f t="shared" si="14"/>
        <v>0</v>
      </c>
      <c r="AX17" s="273">
        <f t="shared" si="15"/>
        <v>0</v>
      </c>
      <c r="AY17" s="274"/>
      <c r="AZ17" s="275">
        <f t="shared" si="16"/>
        <v>0</v>
      </c>
      <c r="BA17" s="275">
        <f t="shared" si="17"/>
        <v>0</v>
      </c>
      <c r="BB17" s="276"/>
      <c r="BC17" s="274" t="str">
        <f>_xlfn.IFNA(IF(I17="Pass",IF(G17&gt;IFERROR(INDEX(DogInfo!A:B,MATCH(C17&amp;$BC$4,DogInfo!A:A,0),2),0),G17,INDEX(DogInfo!A:B,MATCH(C17&amp;$BC$4,DogInfo!A:A,0),2)),INDEX(DogInfo!A:B,MATCH(C17&amp;$BC$4,DogInfo!A:A,0),2)),"")</f>
        <v/>
      </c>
      <c r="BD17" s="274" t="str">
        <f>_xlfn.IFNA(IF(Q17="Pass",IF(O17&gt;IFERROR(INDEX(DogInfo!A:B,MATCH(C17&amp;$BD$4,DogInfo!A:A,0),2),0),O17,INDEX(DogInfo!A:B,MATCH(C17&amp;$BD$4,DogInfo!A:A,0),2)),INDEX(DogInfo!A:B,MATCH(C17&amp;$BD$4,DogInfo!A:A,0),2)),"")</f>
        <v/>
      </c>
      <c r="BE17" s="274" t="str">
        <f>_xlfn.IFNA(IF(Y17="Pass",IF(W17&gt;IFERROR(INDEX(DogInfo!A:B,MATCH(C17&amp;$BE$4,DogInfo!A:A,0),2),0),W17,INDEX(DogInfo!A:B,MATCH(C17&amp;$BE$4,DogInfo!A:A,0),2)),INDEX(DogInfo!A:B,MATCH(C17&amp;$BE$4,DogInfo!A:A,0),2)),"")</f>
        <v/>
      </c>
    </row>
    <row r="18" spans="1:57" x14ac:dyDescent="0.25">
      <c r="A18" s="99">
        <v>14</v>
      </c>
      <c r="B18" s="239"/>
      <c r="C18" s="240"/>
      <c r="D18" s="102" t="str">
        <f>IF($C18="","",VLOOKUP($C18,'SDDA Dogs'!$A:$F,2,FALSE))</f>
        <v/>
      </c>
      <c r="E18" s="211">
        <f t="shared" si="18"/>
        <v>-1</v>
      </c>
      <c r="F18" s="103" t="str">
        <f>IF($C18="","",VLOOKUP($C18,'SDDA Dogs'!$A:$O,10,FALSE))</f>
        <v/>
      </c>
      <c r="G18" s="241"/>
      <c r="H18" s="242"/>
      <c r="I18" s="84" t="str">
        <f t="shared" si="0"/>
        <v/>
      </c>
      <c r="J18" s="105">
        <f t="shared" si="1"/>
        <v>0</v>
      </c>
      <c r="K18" s="84" t="str">
        <f t="shared" si="19"/>
        <v/>
      </c>
      <c r="L18" s="105">
        <f t="shared" si="2"/>
        <v>0</v>
      </c>
      <c r="M18" s="84" t="str">
        <f t="shared" si="20"/>
        <v/>
      </c>
      <c r="N18" s="106" t="str">
        <f>IF($C18="","",VLOOKUP($C18,'SDDA Dogs'!$A:$O,11,FALSE))</f>
        <v/>
      </c>
      <c r="O18" s="241"/>
      <c r="P18" s="242"/>
      <c r="Q18" s="84" t="str">
        <f t="shared" si="3"/>
        <v/>
      </c>
      <c r="R18" s="105">
        <f t="shared" si="4"/>
        <v>0</v>
      </c>
      <c r="S18" s="84" t="str">
        <f t="shared" si="21"/>
        <v/>
      </c>
      <c r="T18" s="105">
        <f t="shared" si="5"/>
        <v>0</v>
      </c>
      <c r="U18" s="84" t="str">
        <f t="shared" si="22"/>
        <v/>
      </c>
      <c r="V18" s="106" t="str">
        <f>IF($C18="","",VLOOKUP($C18,'SDDA Dogs'!$A:$O,12,FALSE))</f>
        <v/>
      </c>
      <c r="W18" s="241"/>
      <c r="X18" s="242"/>
      <c r="Y18" s="84" t="str">
        <f t="shared" si="6"/>
        <v/>
      </c>
      <c r="Z18" s="105">
        <f t="shared" si="7"/>
        <v>0</v>
      </c>
      <c r="AA18" s="84" t="str">
        <f t="shared" si="23"/>
        <v/>
      </c>
      <c r="AB18" s="105">
        <f t="shared" si="8"/>
        <v>0</v>
      </c>
      <c r="AC18" s="84" t="str">
        <f t="shared" si="24"/>
        <v/>
      </c>
      <c r="AD18" s="92" t="str">
        <f t="shared" si="25"/>
        <v/>
      </c>
      <c r="AE18" s="89" t="str">
        <f t="shared" si="9"/>
        <v/>
      </c>
      <c r="AF18" s="104" t="str">
        <f t="shared" si="26"/>
        <v/>
      </c>
      <c r="AG18" s="107" t="str">
        <f t="shared" si="27"/>
        <v/>
      </c>
      <c r="AH18" s="92" t="str">
        <f t="shared" si="28"/>
        <v/>
      </c>
      <c r="AI18" s="89" t="str">
        <f t="shared" si="29"/>
        <v/>
      </c>
      <c r="AJ18" s="104" t="str">
        <f t="shared" si="30"/>
        <v/>
      </c>
      <c r="AK18" s="84" t="str">
        <f t="shared" si="31"/>
        <v/>
      </c>
      <c r="AL18" s="264" t="str">
        <f t="shared" si="32"/>
        <v/>
      </c>
      <c r="AM18" s="270">
        <f t="shared" si="33"/>
        <v>0</v>
      </c>
      <c r="AN18" s="270" t="str">
        <f t="shared" si="10"/>
        <v/>
      </c>
      <c r="AO18" s="270" t="str">
        <f t="shared" si="11"/>
        <v/>
      </c>
      <c r="AP18" s="270" t="str">
        <f t="shared" si="12"/>
        <v/>
      </c>
      <c r="AQ18" s="270">
        <f t="shared" si="34"/>
        <v>0</v>
      </c>
      <c r="AR18" s="271">
        <f>MIN(IFERROR(VLOOKUP($C18,'SDDA Dogs'!$A:$O,13,FALSE),0),IFERROR(VLOOKUP($C18,'SDDA Dogs'!$A:$O,14,FALSE),0),IFERROR(VLOOKUP($C18,'SDDA Dogs'!$A:$O,15,FALSE),0))</f>
        <v>0</v>
      </c>
      <c r="AS18" s="272"/>
      <c r="AT18" s="272"/>
      <c r="AU18" s="272" t="str">
        <f>IF(ISERROR(VLOOKUP(C18,'SDDA Dogs'!A:O,6,FALSE)),"",VLOOKUP(C18,'SDDA Dogs'!A:O,6,FALSE))</f>
        <v/>
      </c>
      <c r="AV18" s="270">
        <f t="shared" si="13"/>
        <v>0</v>
      </c>
      <c r="AW18" s="270">
        <f t="shared" si="14"/>
        <v>0</v>
      </c>
      <c r="AX18" s="273">
        <f t="shared" si="15"/>
        <v>0</v>
      </c>
      <c r="AY18" s="274"/>
      <c r="AZ18" s="275">
        <f t="shared" si="16"/>
        <v>0</v>
      </c>
      <c r="BA18" s="275">
        <f t="shared" si="17"/>
        <v>0</v>
      </c>
      <c r="BB18" s="276"/>
      <c r="BC18" s="274" t="str">
        <f>_xlfn.IFNA(IF(I18="Pass",IF(G18&gt;IFERROR(INDEX(DogInfo!A:B,MATCH(C18&amp;$BC$4,DogInfo!A:A,0),2),0),G18,INDEX(DogInfo!A:B,MATCH(C18&amp;$BC$4,DogInfo!A:A,0),2)),INDEX(DogInfo!A:B,MATCH(C18&amp;$BC$4,DogInfo!A:A,0),2)),"")</f>
        <v/>
      </c>
      <c r="BD18" s="274" t="str">
        <f>_xlfn.IFNA(IF(Q18="Pass",IF(O18&gt;IFERROR(INDEX(DogInfo!A:B,MATCH(C18&amp;$BD$4,DogInfo!A:A,0),2),0),O18,INDEX(DogInfo!A:B,MATCH(C18&amp;$BD$4,DogInfo!A:A,0),2)),INDEX(DogInfo!A:B,MATCH(C18&amp;$BD$4,DogInfo!A:A,0),2)),"")</f>
        <v/>
      </c>
      <c r="BE18" s="274" t="str">
        <f>_xlfn.IFNA(IF(Y18="Pass",IF(W18&gt;IFERROR(INDEX(DogInfo!A:B,MATCH(C18&amp;$BE$4,DogInfo!A:A,0),2),0),W18,INDEX(DogInfo!A:B,MATCH(C18&amp;$BE$4,DogInfo!A:A,0),2)),INDEX(DogInfo!A:B,MATCH(C18&amp;$BE$4,DogInfo!A:A,0),2)),"")</f>
        <v/>
      </c>
    </row>
    <row r="19" spans="1:57" x14ac:dyDescent="0.25">
      <c r="A19" s="99">
        <v>15</v>
      </c>
      <c r="B19" s="239"/>
      <c r="C19" s="240"/>
      <c r="D19" s="102" t="str">
        <f>IF($C19="","",VLOOKUP($C19,'SDDA Dogs'!$A:$F,2,FALSE))</f>
        <v/>
      </c>
      <c r="E19" s="211">
        <f t="shared" si="18"/>
        <v>-1</v>
      </c>
      <c r="F19" s="103" t="str">
        <f>IF($C19="","",VLOOKUP($C19,'SDDA Dogs'!$A:$O,10,FALSE))</f>
        <v/>
      </c>
      <c r="G19" s="241"/>
      <c r="H19" s="242"/>
      <c r="I19" s="84" t="str">
        <f t="shared" si="0"/>
        <v/>
      </c>
      <c r="J19" s="105">
        <f t="shared" si="1"/>
        <v>0</v>
      </c>
      <c r="K19" s="84" t="str">
        <f t="shared" si="19"/>
        <v/>
      </c>
      <c r="L19" s="105">
        <f t="shared" si="2"/>
        <v>0</v>
      </c>
      <c r="M19" s="84" t="str">
        <f t="shared" si="20"/>
        <v/>
      </c>
      <c r="N19" s="106" t="str">
        <f>IF($C19="","",VLOOKUP($C19,'SDDA Dogs'!$A:$O,11,FALSE))</f>
        <v/>
      </c>
      <c r="O19" s="241"/>
      <c r="P19" s="242"/>
      <c r="Q19" s="84" t="str">
        <f t="shared" si="3"/>
        <v/>
      </c>
      <c r="R19" s="105">
        <f t="shared" si="4"/>
        <v>0</v>
      </c>
      <c r="S19" s="84" t="str">
        <f t="shared" si="21"/>
        <v/>
      </c>
      <c r="T19" s="105">
        <f t="shared" si="5"/>
        <v>0</v>
      </c>
      <c r="U19" s="84" t="str">
        <f t="shared" si="22"/>
        <v/>
      </c>
      <c r="V19" s="106" t="str">
        <f>IF($C19="","",VLOOKUP($C19,'SDDA Dogs'!$A:$O,12,FALSE))</f>
        <v/>
      </c>
      <c r="W19" s="241"/>
      <c r="X19" s="242"/>
      <c r="Y19" s="84" t="str">
        <f t="shared" si="6"/>
        <v/>
      </c>
      <c r="Z19" s="105">
        <f t="shared" si="7"/>
        <v>0</v>
      </c>
      <c r="AA19" s="84" t="str">
        <f t="shared" si="23"/>
        <v/>
      </c>
      <c r="AB19" s="105">
        <f t="shared" si="8"/>
        <v>0</v>
      </c>
      <c r="AC19" s="84" t="str">
        <f t="shared" si="24"/>
        <v/>
      </c>
      <c r="AD19" s="92" t="str">
        <f t="shared" si="25"/>
        <v/>
      </c>
      <c r="AE19" s="89" t="str">
        <f t="shared" si="9"/>
        <v/>
      </c>
      <c r="AF19" s="104" t="str">
        <f t="shared" si="26"/>
        <v/>
      </c>
      <c r="AG19" s="107" t="str">
        <f t="shared" si="27"/>
        <v/>
      </c>
      <c r="AH19" s="92" t="str">
        <f t="shared" si="28"/>
        <v/>
      </c>
      <c r="AI19" s="89" t="str">
        <f t="shared" si="29"/>
        <v/>
      </c>
      <c r="AJ19" s="104" t="str">
        <f t="shared" si="30"/>
        <v/>
      </c>
      <c r="AK19" s="84" t="str">
        <f t="shared" si="31"/>
        <v/>
      </c>
      <c r="AL19" s="264" t="str">
        <f t="shared" si="32"/>
        <v/>
      </c>
      <c r="AM19" s="270">
        <f t="shared" si="33"/>
        <v>0</v>
      </c>
      <c r="AN19" s="270" t="str">
        <f t="shared" si="10"/>
        <v/>
      </c>
      <c r="AO19" s="270" t="str">
        <f t="shared" si="11"/>
        <v/>
      </c>
      <c r="AP19" s="270" t="str">
        <f t="shared" si="12"/>
        <v/>
      </c>
      <c r="AQ19" s="270">
        <f t="shared" si="34"/>
        <v>0</v>
      </c>
      <c r="AR19" s="271">
        <f>MIN(IFERROR(VLOOKUP($C19,'SDDA Dogs'!$A:$O,13,FALSE),0),IFERROR(VLOOKUP($C19,'SDDA Dogs'!$A:$O,14,FALSE),0),IFERROR(VLOOKUP($C19,'SDDA Dogs'!$A:$O,15,FALSE),0))</f>
        <v>0</v>
      </c>
      <c r="AS19" s="272"/>
      <c r="AT19" s="272"/>
      <c r="AU19" s="272" t="str">
        <f>IF(ISERROR(VLOOKUP(C19,'SDDA Dogs'!A:O,6,FALSE)),"",VLOOKUP(C19,'SDDA Dogs'!A:O,6,FALSE))</f>
        <v/>
      </c>
      <c r="AV19" s="270">
        <f t="shared" si="13"/>
        <v>0</v>
      </c>
      <c r="AW19" s="270">
        <f t="shared" si="14"/>
        <v>0</v>
      </c>
      <c r="AX19" s="273">
        <f t="shared" si="15"/>
        <v>0</v>
      </c>
      <c r="AY19" s="274"/>
      <c r="AZ19" s="275">
        <f t="shared" si="16"/>
        <v>0</v>
      </c>
      <c r="BA19" s="275">
        <f t="shared" si="17"/>
        <v>0</v>
      </c>
      <c r="BB19" s="276"/>
      <c r="BC19" s="274" t="str">
        <f>_xlfn.IFNA(IF(I19="Pass",IF(G19&gt;IFERROR(INDEX(DogInfo!A:B,MATCH(C19&amp;$BC$4,DogInfo!A:A,0),2),0),G19,INDEX(DogInfo!A:B,MATCH(C19&amp;$BC$4,DogInfo!A:A,0),2)),INDEX(DogInfo!A:B,MATCH(C19&amp;$BC$4,DogInfo!A:A,0),2)),"")</f>
        <v/>
      </c>
      <c r="BD19" s="274" t="str">
        <f>_xlfn.IFNA(IF(Q19="Pass",IF(O19&gt;IFERROR(INDEX(DogInfo!A:B,MATCH(C19&amp;$BD$4,DogInfo!A:A,0),2),0),O19,INDEX(DogInfo!A:B,MATCH(C19&amp;$BD$4,DogInfo!A:A,0),2)),INDEX(DogInfo!A:B,MATCH(C19&amp;$BD$4,DogInfo!A:A,0),2)),"")</f>
        <v/>
      </c>
      <c r="BE19" s="274" t="str">
        <f>_xlfn.IFNA(IF(Y19="Pass",IF(W19&gt;IFERROR(INDEX(DogInfo!A:B,MATCH(C19&amp;$BE$4,DogInfo!A:A,0),2),0),W19,INDEX(DogInfo!A:B,MATCH(C19&amp;$BE$4,DogInfo!A:A,0),2)),INDEX(DogInfo!A:B,MATCH(C19&amp;$BE$4,DogInfo!A:A,0),2)),"")</f>
        <v/>
      </c>
    </row>
    <row r="20" spans="1:57" x14ac:dyDescent="0.25">
      <c r="A20" s="99">
        <v>16</v>
      </c>
      <c r="B20" s="239"/>
      <c r="C20" s="240"/>
      <c r="D20" s="102" t="str">
        <f>IF($C20="","",VLOOKUP($C20,'SDDA Dogs'!$A:$F,2,FALSE))</f>
        <v/>
      </c>
      <c r="E20" s="211">
        <f t="shared" si="18"/>
        <v>-1</v>
      </c>
      <c r="F20" s="103" t="str">
        <f>IF($C20="","",VLOOKUP($C20,'SDDA Dogs'!$A:$O,10,FALSE))</f>
        <v/>
      </c>
      <c r="G20" s="241"/>
      <c r="H20" s="242"/>
      <c r="I20" s="84" t="str">
        <f t="shared" si="0"/>
        <v/>
      </c>
      <c r="J20" s="105">
        <f t="shared" si="1"/>
        <v>0</v>
      </c>
      <c r="K20" s="84" t="str">
        <f t="shared" si="19"/>
        <v/>
      </c>
      <c r="L20" s="105">
        <f t="shared" si="2"/>
        <v>0</v>
      </c>
      <c r="M20" s="84" t="str">
        <f t="shared" si="20"/>
        <v/>
      </c>
      <c r="N20" s="106" t="str">
        <f>IF($C20="","",VLOOKUP($C20,'SDDA Dogs'!$A:$O,11,FALSE))</f>
        <v/>
      </c>
      <c r="O20" s="241"/>
      <c r="P20" s="242"/>
      <c r="Q20" s="84" t="str">
        <f t="shared" si="3"/>
        <v/>
      </c>
      <c r="R20" s="105">
        <f t="shared" si="4"/>
        <v>0</v>
      </c>
      <c r="S20" s="84" t="str">
        <f t="shared" si="21"/>
        <v/>
      </c>
      <c r="T20" s="105">
        <f t="shared" si="5"/>
        <v>0</v>
      </c>
      <c r="U20" s="84" t="str">
        <f t="shared" si="22"/>
        <v/>
      </c>
      <c r="V20" s="106" t="str">
        <f>IF($C20="","",VLOOKUP($C20,'SDDA Dogs'!$A:$O,12,FALSE))</f>
        <v/>
      </c>
      <c r="W20" s="241"/>
      <c r="X20" s="242"/>
      <c r="Y20" s="84" t="str">
        <f t="shared" si="6"/>
        <v/>
      </c>
      <c r="Z20" s="105">
        <f t="shared" si="7"/>
        <v>0</v>
      </c>
      <c r="AA20" s="84" t="str">
        <f t="shared" si="23"/>
        <v/>
      </c>
      <c r="AB20" s="105">
        <f t="shared" si="8"/>
        <v>0</v>
      </c>
      <c r="AC20" s="84" t="str">
        <f t="shared" si="24"/>
        <v/>
      </c>
      <c r="AD20" s="92" t="str">
        <f t="shared" si="25"/>
        <v/>
      </c>
      <c r="AE20" s="89" t="str">
        <f t="shared" si="9"/>
        <v/>
      </c>
      <c r="AF20" s="104" t="str">
        <f t="shared" si="26"/>
        <v/>
      </c>
      <c r="AG20" s="107" t="str">
        <f t="shared" si="27"/>
        <v/>
      </c>
      <c r="AH20" s="92" t="str">
        <f t="shared" si="28"/>
        <v/>
      </c>
      <c r="AI20" s="89" t="str">
        <f t="shared" si="29"/>
        <v/>
      </c>
      <c r="AJ20" s="104" t="str">
        <f t="shared" si="30"/>
        <v/>
      </c>
      <c r="AK20" s="84" t="str">
        <f t="shared" si="31"/>
        <v/>
      </c>
      <c r="AL20" s="264" t="str">
        <f t="shared" si="32"/>
        <v/>
      </c>
      <c r="AM20" s="270">
        <f t="shared" si="33"/>
        <v>0</v>
      </c>
      <c r="AN20" s="270" t="str">
        <f t="shared" si="10"/>
        <v/>
      </c>
      <c r="AO20" s="270" t="str">
        <f t="shared" si="11"/>
        <v/>
      </c>
      <c r="AP20" s="270" t="str">
        <f t="shared" si="12"/>
        <v/>
      </c>
      <c r="AQ20" s="270">
        <f t="shared" si="34"/>
        <v>0</v>
      </c>
      <c r="AR20" s="271">
        <f>MIN(IFERROR(VLOOKUP($C20,'SDDA Dogs'!$A:$O,13,FALSE),0),IFERROR(VLOOKUP($C20,'SDDA Dogs'!$A:$O,14,FALSE),0),IFERROR(VLOOKUP($C20,'SDDA Dogs'!$A:$O,15,FALSE),0))</f>
        <v>0</v>
      </c>
      <c r="AS20" s="272"/>
      <c r="AT20" s="272"/>
      <c r="AU20" s="272" t="str">
        <f>IF(ISERROR(VLOOKUP(C20,'SDDA Dogs'!A:O,6,FALSE)),"",VLOOKUP(C20,'SDDA Dogs'!A:O,6,FALSE))</f>
        <v/>
      </c>
      <c r="AV20" s="270">
        <f t="shared" si="13"/>
        <v>0</v>
      </c>
      <c r="AW20" s="270">
        <f t="shared" si="14"/>
        <v>0</v>
      </c>
      <c r="AX20" s="273">
        <f t="shared" si="15"/>
        <v>0</v>
      </c>
      <c r="AY20" s="274"/>
      <c r="AZ20" s="275">
        <f t="shared" si="16"/>
        <v>0</v>
      </c>
      <c r="BA20" s="275">
        <f t="shared" si="17"/>
        <v>0</v>
      </c>
      <c r="BB20" s="276"/>
      <c r="BC20" s="274" t="str">
        <f>_xlfn.IFNA(IF(I20="Pass",IF(G20&gt;IFERROR(INDEX(DogInfo!A:B,MATCH(C20&amp;$BC$4,DogInfo!A:A,0),2),0),G20,INDEX(DogInfo!A:B,MATCH(C20&amp;$BC$4,DogInfo!A:A,0),2)),INDEX(DogInfo!A:B,MATCH(C20&amp;$BC$4,DogInfo!A:A,0),2)),"")</f>
        <v/>
      </c>
      <c r="BD20" s="274" t="str">
        <f>_xlfn.IFNA(IF(Q20="Pass",IF(O20&gt;IFERROR(INDEX(DogInfo!A:B,MATCH(C20&amp;$BD$4,DogInfo!A:A,0),2),0),O20,INDEX(DogInfo!A:B,MATCH(C20&amp;$BD$4,DogInfo!A:A,0),2)),INDEX(DogInfo!A:B,MATCH(C20&amp;$BD$4,DogInfo!A:A,0),2)),"")</f>
        <v/>
      </c>
      <c r="BE20" s="274" t="str">
        <f>_xlfn.IFNA(IF(Y20="Pass",IF(W20&gt;IFERROR(INDEX(DogInfo!A:B,MATCH(C20&amp;$BE$4,DogInfo!A:A,0),2),0),W20,INDEX(DogInfo!A:B,MATCH(C20&amp;$BE$4,DogInfo!A:A,0),2)),INDEX(DogInfo!A:B,MATCH(C20&amp;$BE$4,DogInfo!A:A,0),2)),"")</f>
        <v/>
      </c>
    </row>
    <row r="21" spans="1:57" x14ac:dyDescent="0.25">
      <c r="A21" s="99">
        <v>17</v>
      </c>
      <c r="B21" s="239"/>
      <c r="C21" s="240"/>
      <c r="D21" s="102" t="str">
        <f>IF($C21="","",VLOOKUP($C21,'SDDA Dogs'!$A:$F,2,FALSE))</f>
        <v/>
      </c>
      <c r="E21" s="211">
        <f t="shared" si="18"/>
        <v>-1</v>
      </c>
      <c r="F21" s="103" t="str">
        <f>IF($C21="","",VLOOKUP($C21,'SDDA Dogs'!$A:$O,10,FALSE))</f>
        <v/>
      </c>
      <c r="G21" s="241"/>
      <c r="H21" s="242"/>
      <c r="I21" s="84" t="str">
        <f t="shared" si="0"/>
        <v/>
      </c>
      <c r="J21" s="105">
        <f t="shared" si="1"/>
        <v>0</v>
      </c>
      <c r="K21" s="84" t="str">
        <f t="shared" si="19"/>
        <v/>
      </c>
      <c r="L21" s="105">
        <f t="shared" si="2"/>
        <v>0</v>
      </c>
      <c r="M21" s="84" t="str">
        <f t="shared" si="20"/>
        <v/>
      </c>
      <c r="N21" s="106" t="str">
        <f>IF($C21="","",VLOOKUP($C21,'SDDA Dogs'!$A:$O,11,FALSE))</f>
        <v/>
      </c>
      <c r="O21" s="241"/>
      <c r="P21" s="242"/>
      <c r="Q21" s="84" t="str">
        <f t="shared" si="3"/>
        <v/>
      </c>
      <c r="R21" s="105">
        <f t="shared" si="4"/>
        <v>0</v>
      </c>
      <c r="S21" s="84" t="str">
        <f t="shared" si="21"/>
        <v/>
      </c>
      <c r="T21" s="105">
        <f t="shared" si="5"/>
        <v>0</v>
      </c>
      <c r="U21" s="84" t="str">
        <f t="shared" si="22"/>
        <v/>
      </c>
      <c r="V21" s="106" t="str">
        <f>IF($C21="","",VLOOKUP($C21,'SDDA Dogs'!$A:$O,12,FALSE))</f>
        <v/>
      </c>
      <c r="W21" s="241"/>
      <c r="X21" s="242"/>
      <c r="Y21" s="84" t="str">
        <f t="shared" si="6"/>
        <v/>
      </c>
      <c r="Z21" s="105">
        <f t="shared" si="7"/>
        <v>0</v>
      </c>
      <c r="AA21" s="84" t="str">
        <f t="shared" si="23"/>
        <v/>
      </c>
      <c r="AB21" s="105">
        <f t="shared" si="8"/>
        <v>0</v>
      </c>
      <c r="AC21" s="84" t="str">
        <f t="shared" si="24"/>
        <v/>
      </c>
      <c r="AD21" s="92" t="str">
        <f t="shared" si="25"/>
        <v/>
      </c>
      <c r="AE21" s="89" t="str">
        <f t="shared" si="9"/>
        <v/>
      </c>
      <c r="AF21" s="104" t="str">
        <f t="shared" si="26"/>
        <v/>
      </c>
      <c r="AG21" s="107" t="str">
        <f t="shared" si="27"/>
        <v/>
      </c>
      <c r="AH21" s="92" t="str">
        <f t="shared" si="28"/>
        <v/>
      </c>
      <c r="AI21" s="89" t="str">
        <f t="shared" si="29"/>
        <v/>
      </c>
      <c r="AJ21" s="104" t="str">
        <f t="shared" si="30"/>
        <v/>
      </c>
      <c r="AK21" s="84" t="str">
        <f t="shared" si="31"/>
        <v/>
      </c>
      <c r="AL21" s="264" t="str">
        <f t="shared" si="32"/>
        <v/>
      </c>
      <c r="AM21" s="270">
        <f t="shared" si="33"/>
        <v>0</v>
      </c>
      <c r="AN21" s="270" t="str">
        <f t="shared" si="10"/>
        <v/>
      </c>
      <c r="AO21" s="270" t="str">
        <f t="shared" si="11"/>
        <v/>
      </c>
      <c r="AP21" s="270" t="str">
        <f t="shared" si="12"/>
        <v/>
      </c>
      <c r="AQ21" s="270">
        <f t="shared" si="34"/>
        <v>0</v>
      </c>
      <c r="AR21" s="271">
        <f>MIN(IFERROR(VLOOKUP($C21,'SDDA Dogs'!$A:$O,13,FALSE),0),IFERROR(VLOOKUP($C21,'SDDA Dogs'!$A:$O,14,FALSE),0),IFERROR(VLOOKUP($C21,'SDDA Dogs'!$A:$O,15,FALSE),0))</f>
        <v>0</v>
      </c>
      <c r="AS21" s="272"/>
      <c r="AT21" s="272"/>
      <c r="AU21" s="272" t="str">
        <f>IF(ISERROR(VLOOKUP(C21,'SDDA Dogs'!A:O,6,FALSE)),"",VLOOKUP(C21,'SDDA Dogs'!A:O,6,FALSE))</f>
        <v/>
      </c>
      <c r="AV21" s="270">
        <f t="shared" si="13"/>
        <v>0</v>
      </c>
      <c r="AW21" s="270">
        <f t="shared" si="14"/>
        <v>0</v>
      </c>
      <c r="AX21" s="273">
        <f t="shared" si="15"/>
        <v>0</v>
      </c>
      <c r="AY21" s="274"/>
      <c r="AZ21" s="275">
        <f t="shared" si="16"/>
        <v>0</v>
      </c>
      <c r="BA21" s="275">
        <f t="shared" si="17"/>
        <v>0</v>
      </c>
      <c r="BB21" s="276"/>
      <c r="BC21" s="274" t="str">
        <f>_xlfn.IFNA(IF(I21="Pass",IF(G21&gt;IFERROR(INDEX(DogInfo!A:B,MATCH(C21&amp;$BC$4,DogInfo!A:A,0),2),0),G21,INDEX(DogInfo!A:B,MATCH(C21&amp;$BC$4,DogInfo!A:A,0),2)),INDEX(DogInfo!A:B,MATCH(C21&amp;$BC$4,DogInfo!A:A,0),2)),"")</f>
        <v/>
      </c>
      <c r="BD21" s="274" t="str">
        <f>_xlfn.IFNA(IF(Q21="Pass",IF(O21&gt;IFERROR(INDEX(DogInfo!A:B,MATCH(C21&amp;$BD$4,DogInfo!A:A,0),2),0),O21,INDEX(DogInfo!A:B,MATCH(C21&amp;$BD$4,DogInfo!A:A,0),2)),INDEX(DogInfo!A:B,MATCH(C21&amp;$BD$4,DogInfo!A:A,0),2)),"")</f>
        <v/>
      </c>
      <c r="BE21" s="274" t="str">
        <f>_xlfn.IFNA(IF(Y21="Pass",IF(W21&gt;IFERROR(INDEX(DogInfo!A:B,MATCH(C21&amp;$BE$4,DogInfo!A:A,0),2),0),W21,INDEX(DogInfo!A:B,MATCH(C21&amp;$BE$4,DogInfo!A:A,0),2)),INDEX(DogInfo!A:B,MATCH(C21&amp;$BE$4,DogInfo!A:A,0),2)),"")</f>
        <v/>
      </c>
    </row>
    <row r="22" spans="1:57" x14ac:dyDescent="0.25">
      <c r="A22" s="99">
        <v>18</v>
      </c>
      <c r="B22" s="239"/>
      <c r="C22" s="240"/>
      <c r="D22" s="102" t="str">
        <f>IF($C22="","",VLOOKUP($C22,'SDDA Dogs'!$A:$F,2,FALSE))</f>
        <v/>
      </c>
      <c r="E22" s="211">
        <f t="shared" si="18"/>
        <v>-1</v>
      </c>
      <c r="F22" s="103" t="str">
        <f>IF($C22="","",VLOOKUP($C22,'SDDA Dogs'!$A:$O,10,FALSE))</f>
        <v/>
      </c>
      <c r="G22" s="241"/>
      <c r="H22" s="242"/>
      <c r="I22" s="84" t="str">
        <f t="shared" si="0"/>
        <v/>
      </c>
      <c r="J22" s="105">
        <f t="shared" si="1"/>
        <v>0</v>
      </c>
      <c r="K22" s="84" t="str">
        <f t="shared" si="19"/>
        <v/>
      </c>
      <c r="L22" s="105">
        <f t="shared" si="2"/>
        <v>0</v>
      </c>
      <c r="M22" s="84" t="str">
        <f t="shared" si="20"/>
        <v/>
      </c>
      <c r="N22" s="106" t="str">
        <f>IF($C22="","",VLOOKUP($C22,'SDDA Dogs'!$A:$O,11,FALSE))</f>
        <v/>
      </c>
      <c r="O22" s="241"/>
      <c r="P22" s="242"/>
      <c r="Q22" s="84" t="str">
        <f t="shared" si="3"/>
        <v/>
      </c>
      <c r="R22" s="105">
        <f t="shared" si="4"/>
        <v>0</v>
      </c>
      <c r="S22" s="84" t="str">
        <f t="shared" si="21"/>
        <v/>
      </c>
      <c r="T22" s="105">
        <f t="shared" si="5"/>
        <v>0</v>
      </c>
      <c r="U22" s="84" t="str">
        <f t="shared" si="22"/>
        <v/>
      </c>
      <c r="V22" s="106" t="str">
        <f>IF($C22="","",VLOOKUP($C22,'SDDA Dogs'!$A:$O,12,FALSE))</f>
        <v/>
      </c>
      <c r="W22" s="241"/>
      <c r="X22" s="242"/>
      <c r="Y22" s="84" t="str">
        <f t="shared" si="6"/>
        <v/>
      </c>
      <c r="Z22" s="105">
        <f t="shared" si="7"/>
        <v>0</v>
      </c>
      <c r="AA22" s="84" t="str">
        <f t="shared" si="23"/>
        <v/>
      </c>
      <c r="AB22" s="105">
        <f t="shared" si="8"/>
        <v>0</v>
      </c>
      <c r="AC22" s="84" t="str">
        <f t="shared" si="24"/>
        <v/>
      </c>
      <c r="AD22" s="92" t="str">
        <f t="shared" si="25"/>
        <v/>
      </c>
      <c r="AE22" s="89" t="str">
        <f t="shared" si="9"/>
        <v/>
      </c>
      <c r="AF22" s="104" t="str">
        <f t="shared" si="26"/>
        <v/>
      </c>
      <c r="AG22" s="107" t="str">
        <f t="shared" si="27"/>
        <v/>
      </c>
      <c r="AH22" s="92" t="str">
        <f t="shared" si="28"/>
        <v/>
      </c>
      <c r="AI22" s="89" t="str">
        <f t="shared" si="29"/>
        <v/>
      </c>
      <c r="AJ22" s="104" t="str">
        <f t="shared" si="30"/>
        <v/>
      </c>
      <c r="AK22" s="84" t="str">
        <f t="shared" si="31"/>
        <v/>
      </c>
      <c r="AL22" s="264" t="str">
        <f t="shared" si="32"/>
        <v/>
      </c>
      <c r="AM22" s="270">
        <f t="shared" si="33"/>
        <v>0</v>
      </c>
      <c r="AN22" s="270" t="str">
        <f t="shared" si="10"/>
        <v/>
      </c>
      <c r="AO22" s="270" t="str">
        <f t="shared" si="11"/>
        <v/>
      </c>
      <c r="AP22" s="270" t="str">
        <f t="shared" si="12"/>
        <v/>
      </c>
      <c r="AQ22" s="270">
        <f t="shared" si="34"/>
        <v>0</v>
      </c>
      <c r="AR22" s="271">
        <f>MIN(IFERROR(VLOOKUP($C22,'SDDA Dogs'!$A:$O,13,FALSE),0),IFERROR(VLOOKUP($C22,'SDDA Dogs'!$A:$O,14,FALSE),0),IFERROR(VLOOKUP($C22,'SDDA Dogs'!$A:$O,15,FALSE),0))</f>
        <v>0</v>
      </c>
      <c r="AS22" s="272"/>
      <c r="AT22" s="272"/>
      <c r="AU22" s="272" t="str">
        <f>IF(ISERROR(VLOOKUP(C22,'SDDA Dogs'!A:O,6,FALSE)),"",VLOOKUP(C22,'SDDA Dogs'!A:O,6,FALSE))</f>
        <v/>
      </c>
      <c r="AV22" s="270">
        <f t="shared" si="13"/>
        <v>0</v>
      </c>
      <c r="AW22" s="270">
        <f t="shared" si="14"/>
        <v>0</v>
      </c>
      <c r="AX22" s="273">
        <f t="shared" si="15"/>
        <v>0</v>
      </c>
      <c r="AY22" s="274"/>
      <c r="AZ22" s="275">
        <f t="shared" si="16"/>
        <v>0</v>
      </c>
      <c r="BA22" s="275">
        <f t="shared" si="17"/>
        <v>0</v>
      </c>
      <c r="BB22" s="276"/>
      <c r="BC22" s="274" t="str">
        <f>_xlfn.IFNA(IF(I22="Pass",IF(G22&gt;IFERROR(INDEX(DogInfo!A:B,MATCH(C22&amp;$BC$4,DogInfo!A:A,0),2),0),G22,INDEX(DogInfo!A:B,MATCH(C22&amp;$BC$4,DogInfo!A:A,0),2)),INDEX(DogInfo!A:B,MATCH(C22&amp;$BC$4,DogInfo!A:A,0),2)),"")</f>
        <v/>
      </c>
      <c r="BD22" s="274" t="str">
        <f>_xlfn.IFNA(IF(Q22="Pass",IF(O22&gt;IFERROR(INDEX(DogInfo!A:B,MATCH(C22&amp;$BD$4,DogInfo!A:A,0),2),0),O22,INDEX(DogInfo!A:B,MATCH(C22&amp;$BD$4,DogInfo!A:A,0),2)),INDEX(DogInfo!A:B,MATCH(C22&amp;$BD$4,DogInfo!A:A,0),2)),"")</f>
        <v/>
      </c>
      <c r="BE22" s="274" t="str">
        <f>_xlfn.IFNA(IF(Y22="Pass",IF(W22&gt;IFERROR(INDEX(DogInfo!A:B,MATCH(C22&amp;$BE$4,DogInfo!A:A,0),2),0),W22,INDEX(DogInfo!A:B,MATCH(C22&amp;$BE$4,DogInfo!A:A,0),2)),INDEX(DogInfo!A:B,MATCH(C22&amp;$BE$4,DogInfo!A:A,0),2)),"")</f>
        <v/>
      </c>
    </row>
    <row r="23" spans="1:57" x14ac:dyDescent="0.25">
      <c r="A23" s="99">
        <v>19</v>
      </c>
      <c r="B23" s="239"/>
      <c r="C23" s="240"/>
      <c r="D23" s="102" t="str">
        <f>IF($C23="","",VLOOKUP($C23,'SDDA Dogs'!$A:$F,2,FALSE))</f>
        <v/>
      </c>
      <c r="E23" s="211">
        <f t="shared" si="18"/>
        <v>-1</v>
      </c>
      <c r="F23" s="103" t="str">
        <f>IF($C23="","",VLOOKUP($C23,'SDDA Dogs'!$A:$O,10,FALSE))</f>
        <v/>
      </c>
      <c r="G23" s="241"/>
      <c r="H23" s="242"/>
      <c r="I23" s="84" t="str">
        <f t="shared" si="0"/>
        <v/>
      </c>
      <c r="J23" s="105">
        <f t="shared" si="1"/>
        <v>0</v>
      </c>
      <c r="K23" s="84" t="str">
        <f t="shared" si="19"/>
        <v/>
      </c>
      <c r="L23" s="105">
        <f t="shared" si="2"/>
        <v>0</v>
      </c>
      <c r="M23" s="84" t="str">
        <f t="shared" si="20"/>
        <v/>
      </c>
      <c r="N23" s="106" t="str">
        <f>IF($C23="","",VLOOKUP($C23,'SDDA Dogs'!$A:$O,11,FALSE))</f>
        <v/>
      </c>
      <c r="O23" s="241"/>
      <c r="P23" s="242"/>
      <c r="Q23" s="84" t="str">
        <f t="shared" si="3"/>
        <v/>
      </c>
      <c r="R23" s="105">
        <f t="shared" si="4"/>
        <v>0</v>
      </c>
      <c r="S23" s="84" t="str">
        <f t="shared" si="21"/>
        <v/>
      </c>
      <c r="T23" s="105">
        <f t="shared" si="5"/>
        <v>0</v>
      </c>
      <c r="U23" s="84" t="str">
        <f t="shared" si="22"/>
        <v/>
      </c>
      <c r="V23" s="106" t="str">
        <f>IF($C23="","",VLOOKUP($C23,'SDDA Dogs'!$A:$O,12,FALSE))</f>
        <v/>
      </c>
      <c r="W23" s="241"/>
      <c r="X23" s="242"/>
      <c r="Y23" s="84" t="str">
        <f t="shared" si="6"/>
        <v/>
      </c>
      <c r="Z23" s="105">
        <f t="shared" si="7"/>
        <v>0</v>
      </c>
      <c r="AA23" s="84" t="str">
        <f t="shared" si="23"/>
        <v/>
      </c>
      <c r="AB23" s="105">
        <f t="shared" si="8"/>
        <v>0</v>
      </c>
      <c r="AC23" s="84" t="str">
        <f t="shared" si="24"/>
        <v/>
      </c>
      <c r="AD23" s="92" t="str">
        <f t="shared" si="25"/>
        <v/>
      </c>
      <c r="AE23" s="89" t="str">
        <f t="shared" si="9"/>
        <v/>
      </c>
      <c r="AF23" s="104" t="str">
        <f t="shared" si="26"/>
        <v/>
      </c>
      <c r="AG23" s="107" t="str">
        <f t="shared" si="27"/>
        <v/>
      </c>
      <c r="AH23" s="92" t="str">
        <f t="shared" si="28"/>
        <v/>
      </c>
      <c r="AI23" s="89" t="str">
        <f t="shared" si="29"/>
        <v/>
      </c>
      <c r="AJ23" s="104" t="str">
        <f t="shared" si="30"/>
        <v/>
      </c>
      <c r="AK23" s="84" t="str">
        <f t="shared" si="31"/>
        <v/>
      </c>
      <c r="AL23" s="264" t="str">
        <f t="shared" si="32"/>
        <v/>
      </c>
      <c r="AM23" s="270">
        <f t="shared" si="33"/>
        <v>0</v>
      </c>
      <c r="AN23" s="270" t="str">
        <f t="shared" si="10"/>
        <v/>
      </c>
      <c r="AO23" s="270" t="str">
        <f t="shared" si="11"/>
        <v/>
      </c>
      <c r="AP23" s="270" t="str">
        <f t="shared" si="12"/>
        <v/>
      </c>
      <c r="AQ23" s="270">
        <f t="shared" si="34"/>
        <v>0</v>
      </c>
      <c r="AR23" s="271">
        <f>MIN(IFERROR(VLOOKUP($C23,'SDDA Dogs'!$A:$O,13,FALSE),0),IFERROR(VLOOKUP($C23,'SDDA Dogs'!$A:$O,14,FALSE),0),IFERROR(VLOOKUP($C23,'SDDA Dogs'!$A:$O,15,FALSE),0))</f>
        <v>0</v>
      </c>
      <c r="AS23" s="272"/>
      <c r="AT23" s="272"/>
      <c r="AU23" s="272" t="str">
        <f>IF(ISERROR(VLOOKUP(C23,'SDDA Dogs'!A:O,6,FALSE)),"",VLOOKUP(C23,'SDDA Dogs'!A:O,6,FALSE))</f>
        <v/>
      </c>
      <c r="AV23" s="270">
        <f t="shared" si="13"/>
        <v>0</v>
      </c>
      <c r="AW23" s="270">
        <f t="shared" si="14"/>
        <v>0</v>
      </c>
      <c r="AX23" s="273">
        <f t="shared" si="15"/>
        <v>0</v>
      </c>
      <c r="AY23" s="274"/>
      <c r="AZ23" s="275">
        <f t="shared" si="16"/>
        <v>0</v>
      </c>
      <c r="BA23" s="275">
        <f t="shared" si="17"/>
        <v>0</v>
      </c>
      <c r="BB23" s="276"/>
      <c r="BC23" s="274" t="str">
        <f>_xlfn.IFNA(IF(I23="Pass",IF(G23&gt;IFERROR(INDEX(DogInfo!A:B,MATCH(C23&amp;$BC$4,DogInfo!A:A,0),2),0),G23,INDEX(DogInfo!A:B,MATCH(C23&amp;$BC$4,DogInfo!A:A,0),2)),INDEX(DogInfo!A:B,MATCH(C23&amp;$BC$4,DogInfo!A:A,0),2)),"")</f>
        <v/>
      </c>
      <c r="BD23" s="274" t="str">
        <f>_xlfn.IFNA(IF(Q23="Pass",IF(O23&gt;IFERROR(INDEX(DogInfo!A:B,MATCH(C23&amp;$BD$4,DogInfo!A:A,0),2),0),O23,INDEX(DogInfo!A:B,MATCH(C23&amp;$BD$4,DogInfo!A:A,0),2)),INDEX(DogInfo!A:B,MATCH(C23&amp;$BD$4,DogInfo!A:A,0),2)),"")</f>
        <v/>
      </c>
      <c r="BE23" s="274" t="str">
        <f>_xlfn.IFNA(IF(Y23="Pass",IF(W23&gt;IFERROR(INDEX(DogInfo!A:B,MATCH(C23&amp;$BE$4,DogInfo!A:A,0),2),0),W23,INDEX(DogInfo!A:B,MATCH(C23&amp;$BE$4,DogInfo!A:A,0),2)),INDEX(DogInfo!A:B,MATCH(C23&amp;$BE$4,DogInfo!A:A,0),2)),"")</f>
        <v/>
      </c>
    </row>
    <row r="24" spans="1:57" x14ac:dyDescent="0.25">
      <c r="A24" s="99">
        <v>20</v>
      </c>
      <c r="B24" s="239"/>
      <c r="C24" s="240"/>
      <c r="D24" s="102" t="str">
        <f>IF($C24="","",VLOOKUP($C24,'SDDA Dogs'!$A:$F,2,FALSE))</f>
        <v/>
      </c>
      <c r="E24" s="211">
        <f t="shared" si="18"/>
        <v>-1</v>
      </c>
      <c r="F24" s="103" t="str">
        <f>IF($C24="","",VLOOKUP($C24,'SDDA Dogs'!$A:$O,10,FALSE))</f>
        <v/>
      </c>
      <c r="G24" s="241"/>
      <c r="H24" s="242"/>
      <c r="I24" s="84" t="str">
        <f t="shared" si="0"/>
        <v/>
      </c>
      <c r="J24" s="105">
        <f t="shared" si="1"/>
        <v>0</v>
      </c>
      <c r="K24" s="84" t="str">
        <f t="shared" si="19"/>
        <v/>
      </c>
      <c r="L24" s="105">
        <f t="shared" si="2"/>
        <v>0</v>
      </c>
      <c r="M24" s="84" t="str">
        <f t="shared" si="20"/>
        <v/>
      </c>
      <c r="N24" s="106" t="str">
        <f>IF($C24="","",VLOOKUP($C24,'SDDA Dogs'!$A:$O,11,FALSE))</f>
        <v/>
      </c>
      <c r="O24" s="241"/>
      <c r="P24" s="242"/>
      <c r="Q24" s="84" t="str">
        <f t="shared" si="3"/>
        <v/>
      </c>
      <c r="R24" s="105">
        <f t="shared" si="4"/>
        <v>0</v>
      </c>
      <c r="S24" s="84" t="str">
        <f t="shared" si="21"/>
        <v/>
      </c>
      <c r="T24" s="105">
        <f t="shared" si="5"/>
        <v>0</v>
      </c>
      <c r="U24" s="84" t="str">
        <f t="shared" si="22"/>
        <v/>
      </c>
      <c r="V24" s="106" t="str">
        <f>IF($C24="","",VLOOKUP($C24,'SDDA Dogs'!$A:$O,12,FALSE))</f>
        <v/>
      </c>
      <c r="W24" s="241"/>
      <c r="X24" s="242"/>
      <c r="Y24" s="84" t="str">
        <f t="shared" si="6"/>
        <v/>
      </c>
      <c r="Z24" s="105">
        <f t="shared" si="7"/>
        <v>0</v>
      </c>
      <c r="AA24" s="84" t="str">
        <f t="shared" si="23"/>
        <v/>
      </c>
      <c r="AB24" s="105">
        <f t="shared" si="8"/>
        <v>0</v>
      </c>
      <c r="AC24" s="84" t="str">
        <f t="shared" si="24"/>
        <v/>
      </c>
      <c r="AD24" s="92" t="str">
        <f t="shared" si="25"/>
        <v/>
      </c>
      <c r="AE24" s="89" t="str">
        <f t="shared" si="9"/>
        <v/>
      </c>
      <c r="AF24" s="104" t="str">
        <f t="shared" si="26"/>
        <v/>
      </c>
      <c r="AG24" s="107" t="str">
        <f t="shared" si="27"/>
        <v/>
      </c>
      <c r="AH24" s="92" t="str">
        <f t="shared" si="28"/>
        <v/>
      </c>
      <c r="AI24" s="89" t="str">
        <f t="shared" si="29"/>
        <v/>
      </c>
      <c r="AJ24" s="104" t="str">
        <f t="shared" si="30"/>
        <v/>
      </c>
      <c r="AK24" s="84" t="str">
        <f t="shared" si="31"/>
        <v/>
      </c>
      <c r="AL24" s="264" t="str">
        <f t="shared" si="32"/>
        <v/>
      </c>
      <c r="AM24" s="270">
        <f t="shared" si="33"/>
        <v>0</v>
      </c>
      <c r="AN24" s="270" t="str">
        <f t="shared" si="10"/>
        <v/>
      </c>
      <c r="AO24" s="270" t="str">
        <f t="shared" si="11"/>
        <v/>
      </c>
      <c r="AP24" s="270" t="str">
        <f t="shared" si="12"/>
        <v/>
      </c>
      <c r="AQ24" s="270">
        <f t="shared" si="34"/>
        <v>0</v>
      </c>
      <c r="AR24" s="271">
        <f>MIN(IFERROR(VLOOKUP($C24,'SDDA Dogs'!$A:$O,13,FALSE),0),IFERROR(VLOOKUP($C24,'SDDA Dogs'!$A:$O,14,FALSE),0),IFERROR(VLOOKUP($C24,'SDDA Dogs'!$A:$O,15,FALSE),0))</f>
        <v>0</v>
      </c>
      <c r="AS24" s="272"/>
      <c r="AT24" s="272"/>
      <c r="AU24" s="272" t="str">
        <f>IF(ISERROR(VLOOKUP(C24,'SDDA Dogs'!A:O,6,FALSE)),"",VLOOKUP(C24,'SDDA Dogs'!A:O,6,FALSE))</f>
        <v/>
      </c>
      <c r="AV24" s="270">
        <f t="shared" si="13"/>
        <v>0</v>
      </c>
      <c r="AW24" s="270">
        <f t="shared" si="14"/>
        <v>0</v>
      </c>
      <c r="AX24" s="273">
        <f t="shared" si="15"/>
        <v>0</v>
      </c>
      <c r="AY24" s="274"/>
      <c r="AZ24" s="275">
        <f t="shared" si="16"/>
        <v>0</v>
      </c>
      <c r="BA24" s="275">
        <f t="shared" si="17"/>
        <v>0</v>
      </c>
      <c r="BB24" s="276"/>
      <c r="BC24" s="274" t="str">
        <f>_xlfn.IFNA(IF(I24="Pass",IF(G24&gt;IFERROR(INDEX(DogInfo!A:B,MATCH(C24&amp;$BC$4,DogInfo!A:A,0),2),0),G24,INDEX(DogInfo!A:B,MATCH(C24&amp;$BC$4,DogInfo!A:A,0),2)),INDEX(DogInfo!A:B,MATCH(C24&amp;$BC$4,DogInfo!A:A,0),2)),"")</f>
        <v/>
      </c>
      <c r="BD24" s="274" t="str">
        <f>_xlfn.IFNA(IF(Q24="Pass",IF(O24&gt;IFERROR(INDEX(DogInfo!A:B,MATCH(C24&amp;$BD$4,DogInfo!A:A,0),2),0),O24,INDEX(DogInfo!A:B,MATCH(C24&amp;$BD$4,DogInfo!A:A,0),2)),INDEX(DogInfo!A:B,MATCH(C24&amp;$BD$4,DogInfo!A:A,0),2)),"")</f>
        <v/>
      </c>
      <c r="BE24" s="274" t="str">
        <f>_xlfn.IFNA(IF(Y24="Pass",IF(W24&gt;IFERROR(INDEX(DogInfo!A:B,MATCH(C24&amp;$BE$4,DogInfo!A:A,0),2),0),W24,INDEX(DogInfo!A:B,MATCH(C24&amp;$BE$4,DogInfo!A:A,0),2)),INDEX(DogInfo!A:B,MATCH(C24&amp;$BE$4,DogInfo!A:A,0),2)),"")</f>
        <v/>
      </c>
    </row>
    <row r="25" spans="1:57" x14ac:dyDescent="0.25">
      <c r="A25" s="99">
        <v>21</v>
      </c>
      <c r="B25" s="239"/>
      <c r="C25" s="240"/>
      <c r="D25" s="102" t="str">
        <f>IF($C25="","",VLOOKUP($C25,'SDDA Dogs'!$A:$F,2,FALSE))</f>
        <v/>
      </c>
      <c r="E25" s="211">
        <f t="shared" si="18"/>
        <v>-1</v>
      </c>
      <c r="F25" s="103" t="str">
        <f>IF($C25="","",VLOOKUP($C25,'SDDA Dogs'!$A:$O,10,FALSE))</f>
        <v/>
      </c>
      <c r="G25" s="241"/>
      <c r="H25" s="242"/>
      <c r="I25" s="84" t="str">
        <f t="shared" si="0"/>
        <v/>
      </c>
      <c r="J25" s="105">
        <f t="shared" si="1"/>
        <v>0</v>
      </c>
      <c r="K25" s="84" t="str">
        <f t="shared" si="19"/>
        <v/>
      </c>
      <c r="L25" s="105">
        <f t="shared" si="2"/>
        <v>0</v>
      </c>
      <c r="M25" s="84" t="str">
        <f t="shared" si="20"/>
        <v/>
      </c>
      <c r="N25" s="106" t="str">
        <f>IF($C25="","",VLOOKUP($C25,'SDDA Dogs'!$A:$O,11,FALSE))</f>
        <v/>
      </c>
      <c r="O25" s="241"/>
      <c r="P25" s="242"/>
      <c r="Q25" s="84" t="str">
        <f t="shared" si="3"/>
        <v/>
      </c>
      <c r="R25" s="105">
        <f t="shared" si="4"/>
        <v>0</v>
      </c>
      <c r="S25" s="84" t="str">
        <f t="shared" si="21"/>
        <v/>
      </c>
      <c r="T25" s="105">
        <f t="shared" si="5"/>
        <v>0</v>
      </c>
      <c r="U25" s="84" t="str">
        <f t="shared" si="22"/>
        <v/>
      </c>
      <c r="V25" s="106" t="str">
        <f>IF($C25="","",VLOOKUP($C25,'SDDA Dogs'!$A:$O,12,FALSE))</f>
        <v/>
      </c>
      <c r="W25" s="241"/>
      <c r="X25" s="242"/>
      <c r="Y25" s="84" t="str">
        <f t="shared" si="6"/>
        <v/>
      </c>
      <c r="Z25" s="105">
        <f t="shared" si="7"/>
        <v>0</v>
      </c>
      <c r="AA25" s="84" t="str">
        <f t="shared" si="23"/>
        <v/>
      </c>
      <c r="AB25" s="105">
        <f t="shared" si="8"/>
        <v>0</v>
      </c>
      <c r="AC25" s="84" t="str">
        <f t="shared" si="24"/>
        <v/>
      </c>
      <c r="AD25" s="92" t="str">
        <f t="shared" si="25"/>
        <v/>
      </c>
      <c r="AE25" s="89" t="str">
        <f t="shared" si="9"/>
        <v/>
      </c>
      <c r="AF25" s="104" t="str">
        <f t="shared" si="26"/>
        <v/>
      </c>
      <c r="AG25" s="107" t="str">
        <f t="shared" si="27"/>
        <v/>
      </c>
      <c r="AH25" s="92" t="str">
        <f t="shared" si="28"/>
        <v/>
      </c>
      <c r="AI25" s="89" t="str">
        <f t="shared" si="29"/>
        <v/>
      </c>
      <c r="AJ25" s="104" t="str">
        <f t="shared" si="30"/>
        <v/>
      </c>
      <c r="AK25" s="84" t="str">
        <f t="shared" si="31"/>
        <v/>
      </c>
      <c r="AL25" s="264" t="str">
        <f t="shared" si="32"/>
        <v/>
      </c>
      <c r="AM25" s="270">
        <f t="shared" si="33"/>
        <v>0</v>
      </c>
      <c r="AN25" s="270" t="str">
        <f t="shared" si="10"/>
        <v/>
      </c>
      <c r="AO25" s="270" t="str">
        <f t="shared" si="11"/>
        <v/>
      </c>
      <c r="AP25" s="270" t="str">
        <f t="shared" si="12"/>
        <v/>
      </c>
      <c r="AQ25" s="270">
        <f t="shared" si="34"/>
        <v>0</v>
      </c>
      <c r="AR25" s="271">
        <f>MIN(IFERROR(VLOOKUP($C25,'SDDA Dogs'!$A:$O,13,FALSE),0),IFERROR(VLOOKUP($C25,'SDDA Dogs'!$A:$O,14,FALSE),0),IFERROR(VLOOKUP($C25,'SDDA Dogs'!$A:$O,15,FALSE),0))</f>
        <v>0</v>
      </c>
      <c r="AS25" s="272"/>
      <c r="AT25" s="272"/>
      <c r="AU25" s="272" t="str">
        <f>IF(ISERROR(VLOOKUP(C25,'SDDA Dogs'!A:O,6,FALSE)),"",VLOOKUP(C25,'SDDA Dogs'!A:O,6,FALSE))</f>
        <v/>
      </c>
      <c r="AV25" s="270">
        <f t="shared" si="13"/>
        <v>0</v>
      </c>
      <c r="AW25" s="270">
        <f t="shared" si="14"/>
        <v>0</v>
      </c>
      <c r="AX25" s="273">
        <f t="shared" si="15"/>
        <v>0</v>
      </c>
      <c r="AY25" s="274"/>
      <c r="AZ25" s="275">
        <f t="shared" si="16"/>
        <v>0</v>
      </c>
      <c r="BA25" s="275">
        <f t="shared" si="17"/>
        <v>0</v>
      </c>
      <c r="BB25" s="276"/>
      <c r="BC25" s="274" t="str">
        <f>_xlfn.IFNA(IF(I25="Pass",IF(G25&gt;IFERROR(INDEX(DogInfo!A:B,MATCH(C25&amp;$BC$4,DogInfo!A:A,0),2),0),G25,INDEX(DogInfo!A:B,MATCH(C25&amp;$BC$4,DogInfo!A:A,0),2)),INDEX(DogInfo!A:B,MATCH(C25&amp;$BC$4,DogInfo!A:A,0),2)),"")</f>
        <v/>
      </c>
      <c r="BD25" s="274" t="str">
        <f>_xlfn.IFNA(IF(Q25="Pass",IF(O25&gt;IFERROR(INDEX(DogInfo!A:B,MATCH(C25&amp;$BD$4,DogInfo!A:A,0),2),0),O25,INDEX(DogInfo!A:B,MATCH(C25&amp;$BD$4,DogInfo!A:A,0),2)),INDEX(DogInfo!A:B,MATCH(C25&amp;$BD$4,DogInfo!A:A,0),2)),"")</f>
        <v/>
      </c>
      <c r="BE25" s="274" t="str">
        <f>_xlfn.IFNA(IF(Y25="Pass",IF(W25&gt;IFERROR(INDEX(DogInfo!A:B,MATCH(C25&amp;$BE$4,DogInfo!A:A,0),2),0),W25,INDEX(DogInfo!A:B,MATCH(C25&amp;$BE$4,DogInfo!A:A,0),2)),INDEX(DogInfo!A:B,MATCH(C25&amp;$BE$4,DogInfo!A:A,0),2)),"")</f>
        <v/>
      </c>
    </row>
    <row r="26" spans="1:57" x14ac:dyDescent="0.25">
      <c r="A26" s="99">
        <v>22</v>
      </c>
      <c r="B26" s="100"/>
      <c r="C26" s="101"/>
      <c r="D26" s="102" t="str">
        <f>IF($C26="","",VLOOKUP($C26,'SDDA Dogs'!$A:$F,2,FALSE))</f>
        <v/>
      </c>
      <c r="E26" s="211">
        <f t="shared" si="18"/>
        <v>-1</v>
      </c>
      <c r="F26" s="103" t="str">
        <f>IF($C26="","",VLOOKUP($C26,'SDDA Dogs'!$A:$O,10,FALSE))</f>
        <v/>
      </c>
      <c r="G26" s="241"/>
      <c r="H26" s="217"/>
      <c r="I26" s="84" t="str">
        <f t="shared" si="0"/>
        <v/>
      </c>
      <c r="J26" s="105">
        <f t="shared" si="1"/>
        <v>0</v>
      </c>
      <c r="K26" s="84" t="str">
        <f t="shared" si="19"/>
        <v/>
      </c>
      <c r="L26" s="105">
        <f t="shared" si="2"/>
        <v>0</v>
      </c>
      <c r="M26" s="84" t="str">
        <f t="shared" si="20"/>
        <v/>
      </c>
      <c r="N26" s="106" t="str">
        <f>IF($C26="","",VLOOKUP($C26,'SDDA Dogs'!$A:$O,11,FALSE))</f>
        <v/>
      </c>
      <c r="O26" s="137"/>
      <c r="P26" s="217"/>
      <c r="Q26" s="84" t="str">
        <f t="shared" si="3"/>
        <v/>
      </c>
      <c r="R26" s="105">
        <f t="shared" si="4"/>
        <v>0</v>
      </c>
      <c r="S26" s="84" t="str">
        <f t="shared" ref="S26:S54" si="35">IF(AND($B26="A",$O26&lt;&gt;0,$P26&lt;&gt;0,R26&lt;&gt;0),(RANK(R26,R$5:R$54,0)),"")</f>
        <v/>
      </c>
      <c r="T26" s="105">
        <f t="shared" si="5"/>
        <v>0</v>
      </c>
      <c r="U26" s="84" t="str">
        <f t="shared" si="22"/>
        <v/>
      </c>
      <c r="V26" s="106" t="str">
        <f>IF($C26="","",VLOOKUP($C26,'SDDA Dogs'!$A:$O,12,FALSE))</f>
        <v/>
      </c>
      <c r="W26" s="137"/>
      <c r="X26" s="217"/>
      <c r="Y26" s="84" t="str">
        <f t="shared" si="6"/>
        <v/>
      </c>
      <c r="Z26" s="105">
        <f t="shared" si="7"/>
        <v>0</v>
      </c>
      <c r="AA26" s="84" t="str">
        <f t="shared" ref="AA26:AA54" si="36">IF(AND($B26="A",$W26&lt;&gt;0,$X26&lt;&gt;0,Z26&lt;&gt;0),(RANK(Z26,Z$5:Z$54,0)),"")</f>
        <v/>
      </c>
      <c r="AB26" s="105">
        <f t="shared" si="8"/>
        <v>0</v>
      </c>
      <c r="AC26" s="84" t="str">
        <f t="shared" ref="AC26:AC54" si="37">IF(AND($B26="w",$W26&lt;&gt;0,$X26&lt;&gt;0,AB26&lt;&gt;0),(RANK(AB26,AB$5:AB$54,0)),"")</f>
        <v/>
      </c>
      <c r="AD26" s="92" t="str">
        <f t="shared" si="25"/>
        <v/>
      </c>
      <c r="AE26" s="89" t="str">
        <f t="shared" si="9"/>
        <v/>
      </c>
      <c r="AF26" s="104" t="str">
        <f t="shared" ref="AF26:AF54" si="38">IF(AND(ISNUMBER($K26),ISNUMBER($S26),ISNUMBER($AA26))=TRUE,$H26+$P26+$X26,"")</f>
        <v/>
      </c>
      <c r="AG26" s="107" t="str">
        <f t="shared" ref="AG26:AG54" si="39">IF(ISNUMBER(AE26),(RANK(AE26,AE$5:AE$54,0)*10)+RANK(AF26,AF$5:AF$54,1),"")</f>
        <v/>
      </c>
      <c r="AH26" s="92" t="str">
        <f t="shared" ref="AH26:AH54" si="40">IF(ISNUMBER(AG26),RANK(AG26,AG$5:AG$54,1),"")</f>
        <v/>
      </c>
      <c r="AI26" s="89" t="str">
        <f t="shared" ref="AI26:AI54" si="41">IF(AND(ISNUMBER($M26),ISNUMBER($U26),ISNUMBER($AC26))=TRUE,$G26+$O26+$W26,"")</f>
        <v/>
      </c>
      <c r="AJ26" s="104" t="str">
        <f t="shared" ref="AJ26:AJ54" si="42">IF(AND(ISNUMBER($M26),ISNUMBER($U26),ISNUMBER($AC26))=TRUE,$H26+$P26+$X26,"")</f>
        <v/>
      </c>
      <c r="AK26" s="84" t="str">
        <f t="shared" ref="AK26:AK54" si="43">IF(ISNUMBER(AI26),(RANK(AI26,AI$5:AI$54,0)*10)+RANK(AJ26,AJ$5:AJ$54,1),"")</f>
        <v/>
      </c>
      <c r="AL26" s="264" t="str">
        <f t="shared" ref="AL26:AL54" si="44">IF(ISNUMBER(AK26),RANK(AK26,AK$5:AK$54,1),"")</f>
        <v/>
      </c>
      <c r="AM26" s="270">
        <f t="shared" ref="AM26:AM54" si="45">MIN(F26,N26,V26)</f>
        <v>0</v>
      </c>
      <c r="AN26" s="270" t="str">
        <f t="shared" si="10"/>
        <v/>
      </c>
      <c r="AO26" s="270" t="str">
        <f t="shared" si="11"/>
        <v/>
      </c>
      <c r="AP26" s="270" t="str">
        <f t="shared" si="12"/>
        <v/>
      </c>
      <c r="AQ26" s="270">
        <f t="shared" ref="AQ26:AQ54" si="46">MIN(AN26,AO26,AP26)</f>
        <v>0</v>
      </c>
      <c r="AR26" s="271">
        <f>MIN(IFERROR(VLOOKUP($C26,'SDDA Dogs'!$A:$O,13,FALSE),0),IFERROR(VLOOKUP($C26,'SDDA Dogs'!$A:$O,14,FALSE),0),IFERROR(VLOOKUP($C26,'SDDA Dogs'!$A:$O,15,FALSE),0))</f>
        <v>0</v>
      </c>
      <c r="AS26" s="272"/>
      <c r="AT26" s="272"/>
      <c r="AU26" s="272" t="str">
        <f>IF(ISERROR(VLOOKUP(C26,'SDDA Dogs'!A:O,6,FALSE)),"",VLOOKUP(C26,'SDDA Dogs'!A:O,6,FALSE))</f>
        <v/>
      </c>
      <c r="AV26" s="270">
        <f t="shared" si="13"/>
        <v>0</v>
      </c>
      <c r="AW26" s="270">
        <f t="shared" si="14"/>
        <v>0</v>
      </c>
      <c r="AX26" s="273">
        <f t="shared" si="15"/>
        <v>0</v>
      </c>
      <c r="AY26" s="274"/>
      <c r="AZ26" s="275">
        <f t="shared" si="16"/>
        <v>0</v>
      </c>
      <c r="BA26" s="275">
        <f t="shared" si="17"/>
        <v>0</v>
      </c>
      <c r="BB26" s="276"/>
      <c r="BC26" s="274" t="str">
        <f>_xlfn.IFNA(IF(I26="Pass",IF(G26&gt;IFERROR(INDEX(DogInfo!A:B,MATCH(C26&amp;$BC$4,DogInfo!A:A,0),2),0),G26,INDEX(DogInfo!A:B,MATCH(C26&amp;$BC$4,DogInfo!A:A,0),2)),INDEX(DogInfo!A:B,MATCH(C26&amp;$BC$4,DogInfo!A:A,0),2)),"")</f>
        <v/>
      </c>
      <c r="BD26" s="274" t="str">
        <f>_xlfn.IFNA(IF(Q26="Pass",IF(O26&gt;IFERROR(INDEX(DogInfo!A:B,MATCH(C26&amp;$BD$4,DogInfo!A:A,0),2),0),O26,INDEX(DogInfo!A:B,MATCH(C26&amp;$BD$4,DogInfo!A:A,0),2)),INDEX(DogInfo!A:B,MATCH(C26&amp;$BD$4,DogInfo!A:A,0),2)),"")</f>
        <v/>
      </c>
      <c r="BE26" s="274" t="str">
        <f>_xlfn.IFNA(IF(Y26="Pass",IF(W26&gt;IFERROR(INDEX(DogInfo!A:B,MATCH(C26&amp;$BE$4,DogInfo!A:A,0),2),0),W26,INDEX(DogInfo!A:B,MATCH(C26&amp;$BE$4,DogInfo!A:A,0),2)),INDEX(DogInfo!A:B,MATCH(C26&amp;$BE$4,DogInfo!A:A,0),2)),"")</f>
        <v/>
      </c>
    </row>
    <row r="27" spans="1:57" x14ac:dyDescent="0.25">
      <c r="A27" s="99">
        <v>23</v>
      </c>
      <c r="B27" s="100"/>
      <c r="C27" s="101"/>
      <c r="D27" s="102" t="str">
        <f>IF($C27="","",VLOOKUP($C27,'SDDA Dogs'!$A:$F,2,FALSE))</f>
        <v/>
      </c>
      <c r="E27" s="211">
        <f t="shared" si="18"/>
        <v>-1</v>
      </c>
      <c r="F27" s="103" t="str">
        <f>IF($C27="","",VLOOKUP($C27,'SDDA Dogs'!$A:$O,10,FALSE))</f>
        <v/>
      </c>
      <c r="G27" s="241"/>
      <c r="H27" s="217"/>
      <c r="I27" s="84" t="str">
        <f t="shared" si="0"/>
        <v/>
      </c>
      <c r="J27" s="105">
        <f t="shared" si="1"/>
        <v>0</v>
      </c>
      <c r="K27" s="84" t="str">
        <f t="shared" si="19"/>
        <v/>
      </c>
      <c r="L27" s="105">
        <f t="shared" si="2"/>
        <v>0</v>
      </c>
      <c r="M27" s="84" t="str">
        <f t="shared" si="20"/>
        <v/>
      </c>
      <c r="N27" s="106" t="str">
        <f>IF($C27="","",VLOOKUP($C27,'SDDA Dogs'!$A:$O,11,FALSE))</f>
        <v/>
      </c>
      <c r="O27" s="137"/>
      <c r="P27" s="217"/>
      <c r="Q27" s="84" t="str">
        <f t="shared" si="3"/>
        <v/>
      </c>
      <c r="R27" s="105">
        <f t="shared" si="4"/>
        <v>0</v>
      </c>
      <c r="S27" s="84" t="str">
        <f t="shared" si="35"/>
        <v/>
      </c>
      <c r="T27" s="105">
        <f t="shared" si="5"/>
        <v>0</v>
      </c>
      <c r="U27" s="84" t="str">
        <f t="shared" si="22"/>
        <v/>
      </c>
      <c r="V27" s="106" t="str">
        <f>IF($C27="","",VLOOKUP($C27,'SDDA Dogs'!$A:$O,12,FALSE))</f>
        <v/>
      </c>
      <c r="W27" s="137"/>
      <c r="X27" s="217"/>
      <c r="Y27" s="84" t="str">
        <f t="shared" si="6"/>
        <v/>
      </c>
      <c r="Z27" s="105">
        <f t="shared" si="7"/>
        <v>0</v>
      </c>
      <c r="AA27" s="84" t="str">
        <f t="shared" si="36"/>
        <v/>
      </c>
      <c r="AB27" s="105">
        <f t="shared" si="8"/>
        <v>0</v>
      </c>
      <c r="AC27" s="84" t="str">
        <f t="shared" si="37"/>
        <v/>
      </c>
      <c r="AD27" s="92" t="str">
        <f t="shared" si="25"/>
        <v/>
      </c>
      <c r="AE27" s="89" t="str">
        <f t="shared" si="9"/>
        <v/>
      </c>
      <c r="AF27" s="104" t="str">
        <f t="shared" si="38"/>
        <v/>
      </c>
      <c r="AG27" s="107" t="str">
        <f t="shared" si="39"/>
        <v/>
      </c>
      <c r="AH27" s="92" t="str">
        <f t="shared" si="40"/>
        <v/>
      </c>
      <c r="AI27" s="89" t="str">
        <f t="shared" si="41"/>
        <v/>
      </c>
      <c r="AJ27" s="104" t="str">
        <f t="shared" si="42"/>
        <v/>
      </c>
      <c r="AK27" s="84" t="str">
        <f t="shared" si="43"/>
        <v/>
      </c>
      <c r="AL27" s="264" t="str">
        <f t="shared" si="44"/>
        <v/>
      </c>
      <c r="AM27" s="270">
        <f t="shared" si="45"/>
        <v>0</v>
      </c>
      <c r="AN27" s="270" t="str">
        <f t="shared" si="10"/>
        <v/>
      </c>
      <c r="AO27" s="270" t="str">
        <f t="shared" si="11"/>
        <v/>
      </c>
      <c r="AP27" s="270" t="str">
        <f t="shared" si="12"/>
        <v/>
      </c>
      <c r="AQ27" s="270">
        <f t="shared" si="46"/>
        <v>0</v>
      </c>
      <c r="AR27" s="271">
        <f>MIN(IFERROR(VLOOKUP($C27,'SDDA Dogs'!$A:$O,13,FALSE),0),IFERROR(VLOOKUP($C27,'SDDA Dogs'!$A:$O,14,FALSE),0),IFERROR(VLOOKUP($C27,'SDDA Dogs'!$A:$O,15,FALSE),0))</f>
        <v>0</v>
      </c>
      <c r="AS27" s="272"/>
      <c r="AT27" s="272"/>
      <c r="AU27" s="272" t="str">
        <f>IF(ISERROR(VLOOKUP(C27,'SDDA Dogs'!A:O,6,FALSE)),"",VLOOKUP(C27,'SDDA Dogs'!A:O,6,FALSE))</f>
        <v/>
      </c>
      <c r="AV27" s="270">
        <f t="shared" si="13"/>
        <v>0</v>
      </c>
      <c r="AW27" s="270">
        <f t="shared" si="14"/>
        <v>0</v>
      </c>
      <c r="AX27" s="273">
        <f t="shared" si="15"/>
        <v>0</v>
      </c>
      <c r="AY27" s="274"/>
      <c r="AZ27" s="275">
        <f t="shared" si="16"/>
        <v>0</v>
      </c>
      <c r="BA27" s="275">
        <f t="shared" si="17"/>
        <v>0</v>
      </c>
      <c r="BB27" s="276"/>
      <c r="BC27" s="274" t="str">
        <f>_xlfn.IFNA(IF(I27="Pass",IF(G27&gt;IFERROR(INDEX(DogInfo!A:B,MATCH(C27&amp;$BC$4,DogInfo!A:A,0),2),0),G27,INDEX(DogInfo!A:B,MATCH(C27&amp;$BC$4,DogInfo!A:A,0),2)),INDEX(DogInfo!A:B,MATCH(C27&amp;$BC$4,DogInfo!A:A,0),2)),"")</f>
        <v/>
      </c>
      <c r="BD27" s="274" t="str">
        <f>_xlfn.IFNA(IF(Q27="Pass",IF(O27&gt;IFERROR(INDEX(DogInfo!A:B,MATCH(C27&amp;$BD$4,DogInfo!A:A,0),2),0),O27,INDEX(DogInfo!A:B,MATCH(C27&amp;$BD$4,DogInfo!A:A,0),2)),INDEX(DogInfo!A:B,MATCH(C27&amp;$BD$4,DogInfo!A:A,0),2)),"")</f>
        <v/>
      </c>
      <c r="BE27" s="274" t="str">
        <f>_xlfn.IFNA(IF(Y27="Pass",IF(W27&gt;IFERROR(INDEX(DogInfo!A:B,MATCH(C27&amp;$BE$4,DogInfo!A:A,0),2),0),W27,INDEX(DogInfo!A:B,MATCH(C27&amp;$BE$4,DogInfo!A:A,0),2)),INDEX(DogInfo!A:B,MATCH(C27&amp;$BE$4,DogInfo!A:A,0),2)),"")</f>
        <v/>
      </c>
    </row>
    <row r="28" spans="1:57" x14ac:dyDescent="0.25">
      <c r="A28" s="99">
        <v>24</v>
      </c>
      <c r="B28" s="100"/>
      <c r="C28" s="101"/>
      <c r="D28" s="102" t="str">
        <f>IF($C28="","",VLOOKUP($C28,'SDDA Dogs'!$A:$F,2,FALSE))</f>
        <v/>
      </c>
      <c r="E28" s="211">
        <f t="shared" si="18"/>
        <v>-1</v>
      </c>
      <c r="F28" s="103" t="str">
        <f>IF($C28="","",VLOOKUP($C28,'SDDA Dogs'!$A:$O,10,FALSE))</f>
        <v/>
      </c>
      <c r="G28" s="241"/>
      <c r="H28" s="217"/>
      <c r="I28" s="84" t="str">
        <f t="shared" si="0"/>
        <v/>
      </c>
      <c r="J28" s="105">
        <f t="shared" si="1"/>
        <v>0</v>
      </c>
      <c r="K28" s="84" t="str">
        <f t="shared" si="19"/>
        <v/>
      </c>
      <c r="L28" s="105">
        <f t="shared" si="2"/>
        <v>0</v>
      </c>
      <c r="M28" s="84" t="str">
        <f t="shared" si="20"/>
        <v/>
      </c>
      <c r="N28" s="106" t="str">
        <f>IF($C28="","",VLOOKUP($C28,'SDDA Dogs'!$A:$O,11,FALSE))</f>
        <v/>
      </c>
      <c r="O28" s="137"/>
      <c r="P28" s="217"/>
      <c r="Q28" s="84" t="str">
        <f t="shared" si="3"/>
        <v/>
      </c>
      <c r="R28" s="105">
        <f t="shared" si="4"/>
        <v>0</v>
      </c>
      <c r="S28" s="84" t="str">
        <f t="shared" si="35"/>
        <v/>
      </c>
      <c r="T28" s="105">
        <f t="shared" si="5"/>
        <v>0</v>
      </c>
      <c r="U28" s="84" t="str">
        <f t="shared" si="22"/>
        <v/>
      </c>
      <c r="V28" s="106" t="str">
        <f>IF($C28="","",VLOOKUP($C28,'SDDA Dogs'!$A:$O,12,FALSE))</f>
        <v/>
      </c>
      <c r="W28" s="137"/>
      <c r="X28" s="217"/>
      <c r="Y28" s="84" t="str">
        <f t="shared" si="6"/>
        <v/>
      </c>
      <c r="Z28" s="105">
        <f t="shared" si="7"/>
        <v>0</v>
      </c>
      <c r="AA28" s="84" t="str">
        <f t="shared" si="36"/>
        <v/>
      </c>
      <c r="AB28" s="105">
        <f t="shared" si="8"/>
        <v>0</v>
      </c>
      <c r="AC28" s="84" t="str">
        <f t="shared" si="37"/>
        <v/>
      </c>
      <c r="AD28" s="92" t="str">
        <f t="shared" si="25"/>
        <v/>
      </c>
      <c r="AE28" s="89" t="str">
        <f t="shared" si="9"/>
        <v/>
      </c>
      <c r="AF28" s="104" t="str">
        <f t="shared" si="38"/>
        <v/>
      </c>
      <c r="AG28" s="107" t="str">
        <f t="shared" si="39"/>
        <v/>
      </c>
      <c r="AH28" s="92" t="str">
        <f t="shared" si="40"/>
        <v/>
      </c>
      <c r="AI28" s="89" t="str">
        <f t="shared" si="41"/>
        <v/>
      </c>
      <c r="AJ28" s="104" t="str">
        <f t="shared" si="42"/>
        <v/>
      </c>
      <c r="AK28" s="84" t="str">
        <f t="shared" si="43"/>
        <v/>
      </c>
      <c r="AL28" s="264" t="str">
        <f t="shared" si="44"/>
        <v/>
      </c>
      <c r="AM28" s="270">
        <f t="shared" si="45"/>
        <v>0</v>
      </c>
      <c r="AN28" s="270" t="str">
        <f t="shared" si="10"/>
        <v/>
      </c>
      <c r="AO28" s="270" t="str">
        <f t="shared" si="11"/>
        <v/>
      </c>
      <c r="AP28" s="270" t="str">
        <f t="shared" si="12"/>
        <v/>
      </c>
      <c r="AQ28" s="270">
        <f t="shared" si="46"/>
        <v>0</v>
      </c>
      <c r="AR28" s="271">
        <f>MIN(IFERROR(VLOOKUP($C28,'SDDA Dogs'!$A:$O,13,FALSE),0),IFERROR(VLOOKUP($C28,'SDDA Dogs'!$A:$O,14,FALSE),0),IFERROR(VLOOKUP($C28,'SDDA Dogs'!$A:$O,15,FALSE),0))</f>
        <v>0</v>
      </c>
      <c r="AS28" s="272"/>
      <c r="AT28" s="272"/>
      <c r="AU28" s="272" t="str">
        <f>IF(ISERROR(VLOOKUP(C28,'SDDA Dogs'!A:O,6,FALSE)),"",VLOOKUP(C28,'SDDA Dogs'!A:O,6,FALSE))</f>
        <v/>
      </c>
      <c r="AV28" s="270">
        <f t="shared" si="13"/>
        <v>0</v>
      </c>
      <c r="AW28" s="270">
        <f t="shared" si="14"/>
        <v>0</v>
      </c>
      <c r="AX28" s="273">
        <f t="shared" si="15"/>
        <v>0</v>
      </c>
      <c r="AY28" s="274"/>
      <c r="AZ28" s="275">
        <f t="shared" si="16"/>
        <v>0</v>
      </c>
      <c r="BA28" s="275">
        <f t="shared" si="17"/>
        <v>0</v>
      </c>
      <c r="BB28" s="276"/>
      <c r="BC28" s="274" t="str">
        <f>_xlfn.IFNA(IF(I28="Pass",IF(G28&gt;IFERROR(INDEX(DogInfo!A:B,MATCH(C28&amp;$BC$4,DogInfo!A:A,0),2),0),G28,INDEX(DogInfo!A:B,MATCH(C28&amp;$BC$4,DogInfo!A:A,0),2)),INDEX(DogInfo!A:B,MATCH(C28&amp;$BC$4,DogInfo!A:A,0),2)),"")</f>
        <v/>
      </c>
      <c r="BD28" s="274" t="str">
        <f>_xlfn.IFNA(IF(Q28="Pass",IF(O28&gt;IFERROR(INDEX(DogInfo!A:B,MATCH(C28&amp;$BD$4,DogInfo!A:A,0),2),0),O28,INDEX(DogInfo!A:B,MATCH(C28&amp;$BD$4,DogInfo!A:A,0),2)),INDEX(DogInfo!A:B,MATCH(C28&amp;$BD$4,DogInfo!A:A,0),2)),"")</f>
        <v/>
      </c>
      <c r="BE28" s="274" t="str">
        <f>_xlfn.IFNA(IF(Y28="Pass",IF(W28&gt;IFERROR(INDEX(DogInfo!A:B,MATCH(C28&amp;$BE$4,DogInfo!A:A,0),2),0),W28,INDEX(DogInfo!A:B,MATCH(C28&amp;$BE$4,DogInfo!A:A,0),2)),INDEX(DogInfo!A:B,MATCH(C28&amp;$BE$4,DogInfo!A:A,0),2)),"")</f>
        <v/>
      </c>
    </row>
    <row r="29" spans="1:57" x14ac:dyDescent="0.25">
      <c r="A29" s="99">
        <v>25</v>
      </c>
      <c r="B29" s="100"/>
      <c r="C29" s="101"/>
      <c r="D29" s="102" t="str">
        <f>IF($C29="","",VLOOKUP($C29,'SDDA Dogs'!$A:$F,2,FALSE))</f>
        <v/>
      </c>
      <c r="E29" s="211">
        <f t="shared" si="18"/>
        <v>-1</v>
      </c>
      <c r="F29" s="103" t="str">
        <f>IF($C29="","",VLOOKUP($C29,'SDDA Dogs'!$A:$O,10,FALSE))</f>
        <v/>
      </c>
      <c r="G29" s="241"/>
      <c r="H29" s="217"/>
      <c r="I29" s="84" t="str">
        <f t="shared" si="0"/>
        <v/>
      </c>
      <c r="J29" s="105">
        <f t="shared" si="1"/>
        <v>0</v>
      </c>
      <c r="K29" s="84" t="str">
        <f t="shared" si="19"/>
        <v/>
      </c>
      <c r="L29" s="105">
        <f t="shared" si="2"/>
        <v>0</v>
      </c>
      <c r="M29" s="84" t="str">
        <f t="shared" si="20"/>
        <v/>
      </c>
      <c r="N29" s="106" t="str">
        <f>IF($C29="","",VLOOKUP($C29,'SDDA Dogs'!$A:$O,11,FALSE))</f>
        <v/>
      </c>
      <c r="O29" s="137"/>
      <c r="P29" s="217"/>
      <c r="Q29" s="84" t="str">
        <f t="shared" si="3"/>
        <v/>
      </c>
      <c r="R29" s="105">
        <f t="shared" si="4"/>
        <v>0</v>
      </c>
      <c r="S29" s="84" t="str">
        <f t="shared" si="35"/>
        <v/>
      </c>
      <c r="T29" s="105">
        <f t="shared" si="5"/>
        <v>0</v>
      </c>
      <c r="U29" s="84" t="str">
        <f t="shared" ref="U29:U54" si="47">IF(AND($B29="w",$O29&lt;&gt;0,$P29&lt;&gt;0,T29&lt;&gt;0),(RANK(T29,T$5:T$54,0)),"")</f>
        <v/>
      </c>
      <c r="V29" s="106" t="str">
        <f>IF($C29="","",VLOOKUP($C29,'SDDA Dogs'!$A:$O,12,FALSE))</f>
        <v/>
      </c>
      <c r="W29" s="137"/>
      <c r="X29" s="217"/>
      <c r="Y29" s="84" t="str">
        <f t="shared" si="6"/>
        <v/>
      </c>
      <c r="Z29" s="105">
        <f t="shared" si="7"/>
        <v>0</v>
      </c>
      <c r="AA29" s="84" t="str">
        <f t="shared" si="36"/>
        <v/>
      </c>
      <c r="AB29" s="105">
        <f t="shared" si="8"/>
        <v>0</v>
      </c>
      <c r="AC29" s="84" t="str">
        <f t="shared" si="37"/>
        <v/>
      </c>
      <c r="AD29" s="92" t="str">
        <f t="shared" si="25"/>
        <v/>
      </c>
      <c r="AE29" s="89" t="str">
        <f t="shared" si="9"/>
        <v/>
      </c>
      <c r="AF29" s="104" t="str">
        <f t="shared" si="38"/>
        <v/>
      </c>
      <c r="AG29" s="107" t="str">
        <f t="shared" si="39"/>
        <v/>
      </c>
      <c r="AH29" s="92" t="str">
        <f t="shared" si="40"/>
        <v/>
      </c>
      <c r="AI29" s="89" t="str">
        <f t="shared" si="41"/>
        <v/>
      </c>
      <c r="AJ29" s="104" t="str">
        <f t="shared" si="42"/>
        <v/>
      </c>
      <c r="AK29" s="84" t="str">
        <f t="shared" si="43"/>
        <v/>
      </c>
      <c r="AL29" s="265" t="str">
        <f t="shared" si="44"/>
        <v/>
      </c>
      <c r="AM29" s="270">
        <f t="shared" si="45"/>
        <v>0</v>
      </c>
      <c r="AN29" s="270" t="str">
        <f t="shared" si="10"/>
        <v/>
      </c>
      <c r="AO29" s="270" t="str">
        <f t="shared" si="11"/>
        <v/>
      </c>
      <c r="AP29" s="270" t="str">
        <f t="shared" si="12"/>
        <v/>
      </c>
      <c r="AQ29" s="270">
        <f t="shared" si="46"/>
        <v>0</v>
      </c>
      <c r="AR29" s="271">
        <f>MIN(IFERROR(VLOOKUP($C29,'SDDA Dogs'!$A:$O,13,FALSE),0),IFERROR(VLOOKUP($C29,'SDDA Dogs'!$A:$O,14,FALSE),0),IFERROR(VLOOKUP($C29,'SDDA Dogs'!$A:$O,15,FALSE),0))</f>
        <v>0</v>
      </c>
      <c r="AS29" s="272"/>
      <c r="AT29" s="272"/>
      <c r="AU29" s="272" t="str">
        <f>IF(ISERROR(VLOOKUP(C29,'SDDA Dogs'!A:O,6,FALSE)),"",VLOOKUP(C29,'SDDA Dogs'!A:O,6,FALSE))</f>
        <v/>
      </c>
      <c r="AV29" s="270">
        <f t="shared" si="13"/>
        <v>0</v>
      </c>
      <c r="AW29" s="270">
        <f t="shared" si="14"/>
        <v>0</v>
      </c>
      <c r="AX29" s="273">
        <f t="shared" si="15"/>
        <v>0</v>
      </c>
      <c r="AY29" s="274"/>
      <c r="AZ29" s="275">
        <f t="shared" si="16"/>
        <v>0</v>
      </c>
      <c r="BA29" s="275">
        <f t="shared" si="17"/>
        <v>0</v>
      </c>
      <c r="BB29" s="276"/>
      <c r="BC29" s="274" t="str">
        <f>_xlfn.IFNA(IF(I29="Pass",IF(G29&gt;IFERROR(INDEX(DogInfo!A:B,MATCH(C29&amp;$BC$4,DogInfo!A:A,0),2),0),G29,INDEX(DogInfo!A:B,MATCH(C29&amp;$BC$4,DogInfo!A:A,0),2)),INDEX(DogInfo!A:B,MATCH(C29&amp;$BC$4,DogInfo!A:A,0),2)),"")</f>
        <v/>
      </c>
      <c r="BD29" s="274" t="str">
        <f>_xlfn.IFNA(IF(Q29="Pass",IF(O29&gt;IFERROR(INDEX(DogInfo!A:B,MATCH(C29&amp;$BD$4,DogInfo!A:A,0),2),0),O29,INDEX(DogInfo!A:B,MATCH(C29&amp;$BD$4,DogInfo!A:A,0),2)),INDEX(DogInfo!A:B,MATCH(C29&amp;$BD$4,DogInfo!A:A,0),2)),"")</f>
        <v/>
      </c>
      <c r="BE29" s="274" t="str">
        <f>_xlfn.IFNA(IF(Y29="Pass",IF(W29&gt;IFERROR(INDEX(DogInfo!A:B,MATCH(C29&amp;$BE$4,DogInfo!A:A,0),2),0),W29,INDEX(DogInfo!A:B,MATCH(C29&amp;$BE$4,DogInfo!A:A,0),2)),INDEX(DogInfo!A:B,MATCH(C29&amp;$BE$4,DogInfo!A:A,0),2)),"")</f>
        <v/>
      </c>
    </row>
    <row r="30" spans="1:57" x14ac:dyDescent="0.25">
      <c r="A30" s="99">
        <v>26</v>
      </c>
      <c r="B30" s="100"/>
      <c r="C30" s="101"/>
      <c r="D30" s="102" t="str">
        <f>IF($C30="","",VLOOKUP($C30,'SDDA Dogs'!$A:$F,2,FALSE))</f>
        <v/>
      </c>
      <c r="E30" s="211">
        <f t="shared" si="18"/>
        <v>-1</v>
      </c>
      <c r="F30" s="103" t="str">
        <f>IF($C30="","",VLOOKUP($C30,'SDDA Dogs'!$A:$O,10,FALSE))</f>
        <v/>
      </c>
      <c r="G30" s="241"/>
      <c r="H30" s="217"/>
      <c r="I30" s="84" t="str">
        <f t="shared" si="0"/>
        <v/>
      </c>
      <c r="J30" s="105">
        <f t="shared" si="1"/>
        <v>0</v>
      </c>
      <c r="K30" s="84" t="str">
        <f t="shared" si="19"/>
        <v/>
      </c>
      <c r="L30" s="105">
        <f t="shared" si="2"/>
        <v>0</v>
      </c>
      <c r="M30" s="84" t="str">
        <f t="shared" si="20"/>
        <v/>
      </c>
      <c r="N30" s="106" t="str">
        <f>IF($C30="","",VLOOKUP($C30,'SDDA Dogs'!$A:$O,11,FALSE))</f>
        <v/>
      </c>
      <c r="O30" s="137"/>
      <c r="P30" s="217"/>
      <c r="Q30" s="84" t="str">
        <f t="shared" si="3"/>
        <v/>
      </c>
      <c r="R30" s="105">
        <f t="shared" si="4"/>
        <v>0</v>
      </c>
      <c r="S30" s="84" t="str">
        <f t="shared" si="35"/>
        <v/>
      </c>
      <c r="T30" s="105">
        <f t="shared" si="5"/>
        <v>0</v>
      </c>
      <c r="U30" s="84" t="str">
        <f t="shared" si="47"/>
        <v/>
      </c>
      <c r="V30" s="106" t="str">
        <f>IF($C30="","",VLOOKUP($C30,'SDDA Dogs'!$A:$O,12,FALSE))</f>
        <v/>
      </c>
      <c r="W30" s="137"/>
      <c r="X30" s="217"/>
      <c r="Y30" s="84" t="str">
        <f t="shared" si="6"/>
        <v/>
      </c>
      <c r="Z30" s="105">
        <f t="shared" si="7"/>
        <v>0</v>
      </c>
      <c r="AA30" s="84" t="str">
        <f t="shared" si="36"/>
        <v/>
      </c>
      <c r="AB30" s="105">
        <f t="shared" si="8"/>
        <v>0</v>
      </c>
      <c r="AC30" s="84" t="str">
        <f t="shared" si="37"/>
        <v/>
      </c>
      <c r="AD30" s="92" t="str">
        <f t="shared" si="25"/>
        <v/>
      </c>
      <c r="AE30" s="89" t="str">
        <f t="shared" si="9"/>
        <v/>
      </c>
      <c r="AF30" s="104" t="str">
        <f t="shared" si="38"/>
        <v/>
      </c>
      <c r="AG30" s="107" t="str">
        <f t="shared" si="39"/>
        <v/>
      </c>
      <c r="AH30" s="92" t="str">
        <f t="shared" si="40"/>
        <v/>
      </c>
      <c r="AI30" s="89" t="str">
        <f t="shared" si="41"/>
        <v/>
      </c>
      <c r="AJ30" s="104" t="str">
        <f t="shared" si="42"/>
        <v/>
      </c>
      <c r="AK30" s="84" t="str">
        <f t="shared" si="43"/>
        <v/>
      </c>
      <c r="AL30" s="265" t="str">
        <f t="shared" si="44"/>
        <v/>
      </c>
      <c r="AM30" s="270">
        <f t="shared" si="45"/>
        <v>0</v>
      </c>
      <c r="AN30" s="270" t="str">
        <f t="shared" si="10"/>
        <v/>
      </c>
      <c r="AO30" s="270" t="str">
        <f t="shared" si="11"/>
        <v/>
      </c>
      <c r="AP30" s="270" t="str">
        <f t="shared" si="12"/>
        <v/>
      </c>
      <c r="AQ30" s="270">
        <f t="shared" si="46"/>
        <v>0</v>
      </c>
      <c r="AR30" s="271">
        <f>MIN(IFERROR(VLOOKUP($C30,'SDDA Dogs'!$A:$O,13,FALSE),0),IFERROR(VLOOKUP($C30,'SDDA Dogs'!$A:$O,14,FALSE),0),IFERROR(VLOOKUP($C30,'SDDA Dogs'!$A:$O,15,FALSE),0))</f>
        <v>0</v>
      </c>
      <c r="AS30" s="272"/>
      <c r="AT30" s="272"/>
      <c r="AU30" s="272" t="str">
        <f>IF(ISERROR(VLOOKUP(C30,'SDDA Dogs'!A:O,6,FALSE)),"",VLOOKUP(C30,'SDDA Dogs'!A:O,6,FALSE))</f>
        <v/>
      </c>
      <c r="AV30" s="270">
        <f t="shared" si="13"/>
        <v>0</v>
      </c>
      <c r="AW30" s="270">
        <f t="shared" si="14"/>
        <v>0</v>
      </c>
      <c r="AX30" s="273">
        <f t="shared" si="15"/>
        <v>0</v>
      </c>
      <c r="AY30" s="274"/>
      <c r="AZ30" s="275">
        <f t="shared" si="16"/>
        <v>0</v>
      </c>
      <c r="BA30" s="275">
        <f t="shared" si="17"/>
        <v>0</v>
      </c>
      <c r="BB30" s="276"/>
      <c r="BC30" s="274" t="str">
        <f>_xlfn.IFNA(IF(I30="Pass",IF(G30&gt;IFERROR(INDEX(DogInfo!A:B,MATCH(C30&amp;$BC$4,DogInfo!A:A,0),2),0),G30,INDEX(DogInfo!A:B,MATCH(C30&amp;$BC$4,DogInfo!A:A,0),2)),INDEX(DogInfo!A:B,MATCH(C30&amp;$BC$4,DogInfo!A:A,0),2)),"")</f>
        <v/>
      </c>
      <c r="BD30" s="274" t="str">
        <f>_xlfn.IFNA(IF(Q30="Pass",IF(O30&gt;IFERROR(INDEX(DogInfo!A:B,MATCH(C30&amp;$BD$4,DogInfo!A:A,0),2),0),O30,INDEX(DogInfo!A:B,MATCH(C30&amp;$BD$4,DogInfo!A:A,0),2)),INDEX(DogInfo!A:B,MATCH(C30&amp;$BD$4,DogInfo!A:A,0),2)),"")</f>
        <v/>
      </c>
      <c r="BE30" s="274" t="str">
        <f>_xlfn.IFNA(IF(Y30="Pass",IF(W30&gt;IFERROR(INDEX(DogInfo!A:B,MATCH(C30&amp;$BE$4,DogInfo!A:A,0),2),0),W30,INDEX(DogInfo!A:B,MATCH(C30&amp;$BE$4,DogInfo!A:A,0),2)),INDEX(DogInfo!A:B,MATCH(C30&amp;$BE$4,DogInfo!A:A,0),2)),"")</f>
        <v/>
      </c>
    </row>
    <row r="31" spans="1:57" x14ac:dyDescent="0.25">
      <c r="A31" s="99">
        <v>27</v>
      </c>
      <c r="B31" s="100"/>
      <c r="C31" s="101"/>
      <c r="D31" s="102" t="str">
        <f>IF($C31="","",VLOOKUP($C31,'SDDA Dogs'!$A:$F,2,FALSE))</f>
        <v/>
      </c>
      <c r="E31" s="211">
        <f t="shared" si="18"/>
        <v>-1</v>
      </c>
      <c r="F31" s="103" t="str">
        <f>IF($C31="","",VLOOKUP($C31,'SDDA Dogs'!$A:$O,10,FALSE))</f>
        <v/>
      </c>
      <c r="G31" s="241"/>
      <c r="H31" s="217"/>
      <c r="I31" s="84" t="str">
        <f t="shared" si="0"/>
        <v/>
      </c>
      <c r="J31" s="105">
        <f t="shared" si="1"/>
        <v>0</v>
      </c>
      <c r="K31" s="84" t="str">
        <f t="shared" si="19"/>
        <v/>
      </c>
      <c r="L31" s="105">
        <f t="shared" si="2"/>
        <v>0</v>
      </c>
      <c r="M31" s="84" t="str">
        <f t="shared" si="20"/>
        <v/>
      </c>
      <c r="N31" s="106" t="str">
        <f>IF($C31="","",VLOOKUP($C31,'SDDA Dogs'!$A:$O,11,FALSE))</f>
        <v/>
      </c>
      <c r="O31" s="137"/>
      <c r="P31" s="217"/>
      <c r="Q31" s="84" t="str">
        <f t="shared" si="3"/>
        <v/>
      </c>
      <c r="R31" s="105">
        <f t="shared" si="4"/>
        <v>0</v>
      </c>
      <c r="S31" s="84" t="str">
        <f t="shared" si="35"/>
        <v/>
      </c>
      <c r="T31" s="105">
        <f t="shared" si="5"/>
        <v>0</v>
      </c>
      <c r="U31" s="84" t="str">
        <f t="shared" si="47"/>
        <v/>
      </c>
      <c r="V31" s="106" t="str">
        <f>IF($C31="","",VLOOKUP($C31,'SDDA Dogs'!$A:$O,12,FALSE))</f>
        <v/>
      </c>
      <c r="W31" s="137"/>
      <c r="X31" s="217"/>
      <c r="Y31" s="84" t="str">
        <f t="shared" si="6"/>
        <v/>
      </c>
      <c r="Z31" s="105">
        <f t="shared" si="7"/>
        <v>0</v>
      </c>
      <c r="AA31" s="84" t="str">
        <f t="shared" si="36"/>
        <v/>
      </c>
      <c r="AB31" s="105">
        <f t="shared" si="8"/>
        <v>0</v>
      </c>
      <c r="AC31" s="84" t="str">
        <f t="shared" si="37"/>
        <v/>
      </c>
      <c r="AD31" s="92" t="str">
        <f t="shared" si="25"/>
        <v/>
      </c>
      <c r="AE31" s="89" t="str">
        <f t="shared" si="9"/>
        <v/>
      </c>
      <c r="AF31" s="104" t="str">
        <f t="shared" si="38"/>
        <v/>
      </c>
      <c r="AG31" s="107" t="str">
        <f t="shared" si="39"/>
        <v/>
      </c>
      <c r="AH31" s="92" t="str">
        <f t="shared" si="40"/>
        <v/>
      </c>
      <c r="AI31" s="89" t="str">
        <f t="shared" si="41"/>
        <v/>
      </c>
      <c r="AJ31" s="104" t="str">
        <f t="shared" si="42"/>
        <v/>
      </c>
      <c r="AK31" s="84" t="str">
        <f t="shared" si="43"/>
        <v/>
      </c>
      <c r="AL31" s="265" t="str">
        <f t="shared" si="44"/>
        <v/>
      </c>
      <c r="AM31" s="270">
        <f t="shared" si="45"/>
        <v>0</v>
      </c>
      <c r="AN31" s="270" t="str">
        <f t="shared" si="10"/>
        <v/>
      </c>
      <c r="AO31" s="270" t="str">
        <f t="shared" si="11"/>
        <v/>
      </c>
      <c r="AP31" s="270" t="str">
        <f t="shared" si="12"/>
        <v/>
      </c>
      <c r="AQ31" s="270">
        <f t="shared" si="46"/>
        <v>0</v>
      </c>
      <c r="AR31" s="271">
        <f>MIN(IFERROR(VLOOKUP($C31,'SDDA Dogs'!$A:$O,13,FALSE),0),IFERROR(VLOOKUP($C31,'SDDA Dogs'!$A:$O,14,FALSE),0),IFERROR(VLOOKUP($C31,'SDDA Dogs'!$A:$O,15,FALSE),0))</f>
        <v>0</v>
      </c>
      <c r="AS31" s="272"/>
      <c r="AT31" s="272"/>
      <c r="AU31" s="272" t="str">
        <f>IF(ISERROR(VLOOKUP(C31,'SDDA Dogs'!A:O,6,FALSE)),"",VLOOKUP(C31,'SDDA Dogs'!A:O,6,FALSE))</f>
        <v/>
      </c>
      <c r="AV31" s="270">
        <f t="shared" si="13"/>
        <v>0</v>
      </c>
      <c r="AW31" s="270">
        <f t="shared" si="14"/>
        <v>0</v>
      </c>
      <c r="AX31" s="273">
        <f t="shared" si="15"/>
        <v>0</v>
      </c>
      <c r="AY31" s="274"/>
      <c r="AZ31" s="275">
        <f t="shared" si="16"/>
        <v>0</v>
      </c>
      <c r="BA31" s="275">
        <f t="shared" si="17"/>
        <v>0</v>
      </c>
      <c r="BB31" s="276"/>
      <c r="BC31" s="274" t="str">
        <f>_xlfn.IFNA(IF(I31="Pass",IF(G31&gt;IFERROR(INDEX(DogInfo!A:B,MATCH(C31&amp;$BC$4,DogInfo!A:A,0),2),0),G31,INDEX(DogInfo!A:B,MATCH(C31&amp;$BC$4,DogInfo!A:A,0),2)),INDEX(DogInfo!A:B,MATCH(C31&amp;$BC$4,DogInfo!A:A,0),2)),"")</f>
        <v/>
      </c>
      <c r="BD31" s="274" t="str">
        <f>_xlfn.IFNA(IF(Q31="Pass",IF(O31&gt;IFERROR(INDEX(DogInfo!A:B,MATCH(C31&amp;$BD$4,DogInfo!A:A,0),2),0),O31,INDEX(DogInfo!A:B,MATCH(C31&amp;$BD$4,DogInfo!A:A,0),2)),INDEX(DogInfo!A:B,MATCH(C31&amp;$BD$4,DogInfo!A:A,0),2)),"")</f>
        <v/>
      </c>
      <c r="BE31" s="274" t="str">
        <f>_xlfn.IFNA(IF(Y31="Pass",IF(W31&gt;IFERROR(INDEX(DogInfo!A:B,MATCH(C31&amp;$BE$4,DogInfo!A:A,0),2),0),W31,INDEX(DogInfo!A:B,MATCH(C31&amp;$BE$4,DogInfo!A:A,0),2)),INDEX(DogInfo!A:B,MATCH(C31&amp;$BE$4,DogInfo!A:A,0),2)),"")</f>
        <v/>
      </c>
    </row>
    <row r="32" spans="1:57" x14ac:dyDescent="0.25">
      <c r="A32" s="99">
        <v>28</v>
      </c>
      <c r="B32" s="100"/>
      <c r="C32" s="101"/>
      <c r="D32" s="102" t="str">
        <f>IF($C32="","",VLOOKUP($C32,'SDDA Dogs'!$A:$F,2,FALSE))</f>
        <v/>
      </c>
      <c r="E32" s="211">
        <f t="shared" si="18"/>
        <v>-1</v>
      </c>
      <c r="F32" s="103" t="str">
        <f>IF($C32="","",VLOOKUP($C32,'SDDA Dogs'!$A:$O,10,FALSE))</f>
        <v/>
      </c>
      <c r="G32" s="241"/>
      <c r="H32" s="217"/>
      <c r="I32" s="84" t="str">
        <f t="shared" si="0"/>
        <v/>
      </c>
      <c r="J32" s="105">
        <f t="shared" si="1"/>
        <v>0</v>
      </c>
      <c r="K32" s="84" t="str">
        <f t="shared" si="19"/>
        <v/>
      </c>
      <c r="L32" s="105">
        <f t="shared" si="2"/>
        <v>0</v>
      </c>
      <c r="M32" s="84" t="str">
        <f t="shared" si="20"/>
        <v/>
      </c>
      <c r="N32" s="106" t="str">
        <f>IF($C32="","",VLOOKUP($C32,'SDDA Dogs'!$A:$O,11,FALSE))</f>
        <v/>
      </c>
      <c r="O32" s="137"/>
      <c r="P32" s="217"/>
      <c r="Q32" s="84" t="str">
        <f t="shared" si="3"/>
        <v/>
      </c>
      <c r="R32" s="105">
        <f t="shared" si="4"/>
        <v>0</v>
      </c>
      <c r="S32" s="84" t="str">
        <f t="shared" si="35"/>
        <v/>
      </c>
      <c r="T32" s="105">
        <f t="shared" si="5"/>
        <v>0</v>
      </c>
      <c r="U32" s="84" t="str">
        <f t="shared" si="47"/>
        <v/>
      </c>
      <c r="V32" s="106" t="str">
        <f>IF($C32="","",VLOOKUP($C32,'SDDA Dogs'!$A:$O,12,FALSE))</f>
        <v/>
      </c>
      <c r="W32" s="137"/>
      <c r="X32" s="217"/>
      <c r="Y32" s="84" t="str">
        <f t="shared" si="6"/>
        <v/>
      </c>
      <c r="Z32" s="105">
        <f t="shared" si="7"/>
        <v>0</v>
      </c>
      <c r="AA32" s="84" t="str">
        <f t="shared" si="36"/>
        <v/>
      </c>
      <c r="AB32" s="105">
        <f t="shared" si="8"/>
        <v>0</v>
      </c>
      <c r="AC32" s="84" t="str">
        <f t="shared" si="37"/>
        <v/>
      </c>
      <c r="AD32" s="92" t="str">
        <f t="shared" si="25"/>
        <v/>
      </c>
      <c r="AE32" s="89" t="str">
        <f t="shared" si="9"/>
        <v/>
      </c>
      <c r="AF32" s="104" t="str">
        <f t="shared" si="38"/>
        <v/>
      </c>
      <c r="AG32" s="107" t="str">
        <f t="shared" si="39"/>
        <v/>
      </c>
      <c r="AH32" s="92" t="str">
        <f t="shared" si="40"/>
        <v/>
      </c>
      <c r="AI32" s="89" t="str">
        <f t="shared" si="41"/>
        <v/>
      </c>
      <c r="AJ32" s="104" t="str">
        <f t="shared" si="42"/>
        <v/>
      </c>
      <c r="AK32" s="84" t="str">
        <f t="shared" si="43"/>
        <v/>
      </c>
      <c r="AL32" s="265" t="str">
        <f t="shared" si="44"/>
        <v/>
      </c>
      <c r="AM32" s="270">
        <f t="shared" si="45"/>
        <v>0</v>
      </c>
      <c r="AN32" s="270" t="str">
        <f t="shared" si="10"/>
        <v/>
      </c>
      <c r="AO32" s="270" t="str">
        <f t="shared" si="11"/>
        <v/>
      </c>
      <c r="AP32" s="270" t="str">
        <f t="shared" si="12"/>
        <v/>
      </c>
      <c r="AQ32" s="270">
        <f t="shared" si="46"/>
        <v>0</v>
      </c>
      <c r="AR32" s="271">
        <f>MIN(IFERROR(VLOOKUP($C32,'SDDA Dogs'!$A:$O,13,FALSE),0),IFERROR(VLOOKUP($C32,'SDDA Dogs'!$A:$O,14,FALSE),0),IFERROR(VLOOKUP($C32,'SDDA Dogs'!$A:$O,15,FALSE),0))</f>
        <v>0</v>
      </c>
      <c r="AS32" s="272"/>
      <c r="AT32" s="272"/>
      <c r="AU32" s="272" t="str">
        <f>IF(ISERROR(VLOOKUP(C32,'SDDA Dogs'!A:O,6,FALSE)),"",VLOOKUP(C32,'SDDA Dogs'!A:O,6,FALSE))</f>
        <v/>
      </c>
      <c r="AV32" s="270">
        <f t="shared" si="13"/>
        <v>0</v>
      </c>
      <c r="AW32" s="270">
        <f t="shared" si="14"/>
        <v>0</v>
      </c>
      <c r="AX32" s="273">
        <f t="shared" si="15"/>
        <v>0</v>
      </c>
      <c r="AY32" s="274"/>
      <c r="AZ32" s="275">
        <f t="shared" si="16"/>
        <v>0</v>
      </c>
      <c r="BA32" s="275">
        <f t="shared" si="17"/>
        <v>0</v>
      </c>
      <c r="BB32" s="276"/>
      <c r="BC32" s="274" t="str">
        <f>_xlfn.IFNA(IF(I32="Pass",IF(G32&gt;IFERROR(INDEX(DogInfo!A:B,MATCH(C32&amp;$BC$4,DogInfo!A:A,0),2),0),G32,INDEX(DogInfo!A:B,MATCH(C32&amp;$BC$4,DogInfo!A:A,0),2)),INDEX(DogInfo!A:B,MATCH(C32&amp;$BC$4,DogInfo!A:A,0),2)),"")</f>
        <v/>
      </c>
      <c r="BD32" s="274" t="str">
        <f>_xlfn.IFNA(IF(Q32="Pass",IF(O32&gt;IFERROR(INDEX(DogInfo!A:B,MATCH(C32&amp;$BD$4,DogInfo!A:A,0),2),0),O32,INDEX(DogInfo!A:B,MATCH(C32&amp;$BD$4,DogInfo!A:A,0),2)),INDEX(DogInfo!A:B,MATCH(C32&amp;$BD$4,DogInfo!A:A,0),2)),"")</f>
        <v/>
      </c>
      <c r="BE32" s="274" t="str">
        <f>_xlfn.IFNA(IF(Y32="Pass",IF(W32&gt;IFERROR(INDEX(DogInfo!A:B,MATCH(C32&amp;$BE$4,DogInfo!A:A,0),2),0),W32,INDEX(DogInfo!A:B,MATCH(C32&amp;$BE$4,DogInfo!A:A,0),2)),INDEX(DogInfo!A:B,MATCH(C32&amp;$BE$4,DogInfo!A:A,0),2)),"")</f>
        <v/>
      </c>
    </row>
    <row r="33" spans="1:57" x14ac:dyDescent="0.25">
      <c r="A33" s="99">
        <v>29</v>
      </c>
      <c r="B33" s="100"/>
      <c r="C33" s="101"/>
      <c r="D33" s="102" t="str">
        <f>IF($C33="","",VLOOKUP($C33,'SDDA Dogs'!$A:$F,2,FALSE))</f>
        <v/>
      </c>
      <c r="E33" s="211">
        <f t="shared" si="18"/>
        <v>-1</v>
      </c>
      <c r="F33" s="103" t="str">
        <f>IF($C33="","",VLOOKUP($C33,'SDDA Dogs'!$A:$O,10,FALSE))</f>
        <v/>
      </c>
      <c r="G33" s="241"/>
      <c r="H33" s="217"/>
      <c r="I33" s="84" t="str">
        <f t="shared" si="0"/>
        <v/>
      </c>
      <c r="J33" s="105">
        <f t="shared" si="1"/>
        <v>0</v>
      </c>
      <c r="K33" s="84" t="str">
        <f t="shared" si="19"/>
        <v/>
      </c>
      <c r="L33" s="105">
        <f t="shared" si="2"/>
        <v>0</v>
      </c>
      <c r="M33" s="84" t="str">
        <f t="shared" si="20"/>
        <v/>
      </c>
      <c r="N33" s="106" t="str">
        <f>IF($C33="","",VLOOKUP($C33,'SDDA Dogs'!$A:$O,11,FALSE))</f>
        <v/>
      </c>
      <c r="O33" s="137"/>
      <c r="P33" s="217"/>
      <c r="Q33" s="84" t="str">
        <f t="shared" si="3"/>
        <v/>
      </c>
      <c r="R33" s="105">
        <f t="shared" si="4"/>
        <v>0</v>
      </c>
      <c r="S33" s="84" t="str">
        <f t="shared" si="35"/>
        <v/>
      </c>
      <c r="T33" s="105">
        <f t="shared" si="5"/>
        <v>0</v>
      </c>
      <c r="U33" s="84" t="str">
        <f t="shared" si="47"/>
        <v/>
      </c>
      <c r="V33" s="106" t="str">
        <f>IF($C33="","",VLOOKUP($C33,'SDDA Dogs'!$A:$O,12,FALSE))</f>
        <v/>
      </c>
      <c r="W33" s="137"/>
      <c r="X33" s="217"/>
      <c r="Y33" s="84" t="str">
        <f t="shared" si="6"/>
        <v/>
      </c>
      <c r="Z33" s="105">
        <f t="shared" si="7"/>
        <v>0</v>
      </c>
      <c r="AA33" s="84" t="str">
        <f t="shared" si="36"/>
        <v/>
      </c>
      <c r="AB33" s="105">
        <f t="shared" si="8"/>
        <v>0</v>
      </c>
      <c r="AC33" s="84" t="str">
        <f t="shared" si="37"/>
        <v/>
      </c>
      <c r="AD33" s="92" t="str">
        <f t="shared" si="25"/>
        <v/>
      </c>
      <c r="AE33" s="89" t="str">
        <f t="shared" si="9"/>
        <v/>
      </c>
      <c r="AF33" s="104" t="str">
        <f t="shared" si="38"/>
        <v/>
      </c>
      <c r="AG33" s="107" t="str">
        <f t="shared" si="39"/>
        <v/>
      </c>
      <c r="AH33" s="92" t="str">
        <f t="shared" si="40"/>
        <v/>
      </c>
      <c r="AI33" s="89" t="str">
        <f t="shared" si="41"/>
        <v/>
      </c>
      <c r="AJ33" s="104" t="str">
        <f t="shared" si="42"/>
        <v/>
      </c>
      <c r="AK33" s="84" t="str">
        <f t="shared" si="43"/>
        <v/>
      </c>
      <c r="AL33" s="265" t="str">
        <f t="shared" si="44"/>
        <v/>
      </c>
      <c r="AM33" s="270">
        <f t="shared" si="45"/>
        <v>0</v>
      </c>
      <c r="AN33" s="270" t="str">
        <f t="shared" si="10"/>
        <v/>
      </c>
      <c r="AO33" s="270" t="str">
        <f t="shared" si="11"/>
        <v/>
      </c>
      <c r="AP33" s="270" t="str">
        <f t="shared" si="12"/>
        <v/>
      </c>
      <c r="AQ33" s="270">
        <f t="shared" si="46"/>
        <v>0</v>
      </c>
      <c r="AR33" s="271">
        <f>MIN(IFERROR(VLOOKUP($C33,'SDDA Dogs'!$A:$O,13,FALSE),0),IFERROR(VLOOKUP($C33,'SDDA Dogs'!$A:$O,14,FALSE),0),IFERROR(VLOOKUP($C33,'SDDA Dogs'!$A:$O,15,FALSE),0))</f>
        <v>0</v>
      </c>
      <c r="AS33" s="272"/>
      <c r="AT33" s="272"/>
      <c r="AU33" s="272" t="str">
        <f>IF(ISERROR(VLOOKUP(C33,'SDDA Dogs'!A:O,6,FALSE)),"",VLOOKUP(C33,'SDDA Dogs'!A:O,6,FALSE))</f>
        <v/>
      </c>
      <c r="AV33" s="270">
        <f t="shared" si="13"/>
        <v>0</v>
      </c>
      <c r="AW33" s="270">
        <f t="shared" si="14"/>
        <v>0</v>
      </c>
      <c r="AX33" s="273">
        <f t="shared" si="15"/>
        <v>0</v>
      </c>
      <c r="AY33" s="274"/>
      <c r="AZ33" s="275">
        <f t="shared" si="16"/>
        <v>0</v>
      </c>
      <c r="BA33" s="275">
        <f t="shared" si="17"/>
        <v>0</v>
      </c>
      <c r="BB33" s="276"/>
      <c r="BC33" s="274" t="str">
        <f>_xlfn.IFNA(IF(I33="Pass",IF(G33&gt;IFERROR(INDEX(DogInfo!A:B,MATCH(C33&amp;$BC$4,DogInfo!A:A,0),2),0),G33,INDEX(DogInfo!A:B,MATCH(C33&amp;$BC$4,DogInfo!A:A,0),2)),INDEX(DogInfo!A:B,MATCH(C33&amp;$BC$4,DogInfo!A:A,0),2)),"")</f>
        <v/>
      </c>
      <c r="BD33" s="274" t="str">
        <f>_xlfn.IFNA(IF(Q33="Pass",IF(O33&gt;IFERROR(INDEX(DogInfo!A:B,MATCH(C33&amp;$BD$4,DogInfo!A:A,0),2),0),O33,INDEX(DogInfo!A:B,MATCH(C33&amp;$BD$4,DogInfo!A:A,0),2)),INDEX(DogInfo!A:B,MATCH(C33&amp;$BD$4,DogInfo!A:A,0),2)),"")</f>
        <v/>
      </c>
      <c r="BE33" s="274" t="str">
        <f>_xlfn.IFNA(IF(Y33="Pass",IF(W33&gt;IFERROR(INDEX(DogInfo!A:B,MATCH(C33&amp;$BE$4,DogInfo!A:A,0),2),0),W33,INDEX(DogInfo!A:B,MATCH(C33&amp;$BE$4,DogInfo!A:A,0),2)),INDEX(DogInfo!A:B,MATCH(C33&amp;$BE$4,DogInfo!A:A,0),2)),"")</f>
        <v/>
      </c>
    </row>
    <row r="34" spans="1:57" x14ac:dyDescent="0.25">
      <c r="A34" s="99">
        <v>30</v>
      </c>
      <c r="B34" s="100"/>
      <c r="C34" s="101"/>
      <c r="D34" s="102" t="str">
        <f>IF($C34="","",VLOOKUP($C34,'SDDA Dogs'!$A:$F,2,FALSE))</f>
        <v/>
      </c>
      <c r="E34" s="211">
        <f t="shared" si="18"/>
        <v>-1</v>
      </c>
      <c r="F34" s="103" t="str">
        <f>IF($C34="","",VLOOKUP($C34,'SDDA Dogs'!$A:$O,10,FALSE))</f>
        <v/>
      </c>
      <c r="G34" s="137"/>
      <c r="H34" s="217"/>
      <c r="I34" s="84" t="str">
        <f t="shared" si="0"/>
        <v/>
      </c>
      <c r="J34" s="105">
        <f t="shared" si="1"/>
        <v>0</v>
      </c>
      <c r="K34" s="84" t="str">
        <f t="shared" si="19"/>
        <v/>
      </c>
      <c r="L34" s="105">
        <f t="shared" si="2"/>
        <v>0</v>
      </c>
      <c r="M34" s="84" t="str">
        <f t="shared" si="20"/>
        <v/>
      </c>
      <c r="N34" s="106" t="str">
        <f>IF($C34="","",VLOOKUP($C34,'SDDA Dogs'!$A:$O,11,FALSE))</f>
        <v/>
      </c>
      <c r="O34" s="137"/>
      <c r="P34" s="217"/>
      <c r="Q34" s="84" t="str">
        <f t="shared" si="3"/>
        <v/>
      </c>
      <c r="R34" s="105">
        <f t="shared" si="4"/>
        <v>0</v>
      </c>
      <c r="S34" s="84" t="str">
        <f t="shared" si="35"/>
        <v/>
      </c>
      <c r="T34" s="105">
        <f t="shared" si="5"/>
        <v>0</v>
      </c>
      <c r="U34" s="84" t="str">
        <f t="shared" si="47"/>
        <v/>
      </c>
      <c r="V34" s="106" t="str">
        <f>IF($C34="","",VLOOKUP($C34,'SDDA Dogs'!$A:$O,12,FALSE))</f>
        <v/>
      </c>
      <c r="W34" s="137"/>
      <c r="X34" s="217"/>
      <c r="Y34" s="84" t="str">
        <f t="shared" si="6"/>
        <v/>
      </c>
      <c r="Z34" s="105">
        <f t="shared" si="7"/>
        <v>0</v>
      </c>
      <c r="AA34" s="84" t="str">
        <f t="shared" si="36"/>
        <v/>
      </c>
      <c r="AB34" s="105">
        <f t="shared" si="8"/>
        <v>0</v>
      </c>
      <c r="AC34" s="84" t="str">
        <f t="shared" si="37"/>
        <v/>
      </c>
      <c r="AD34" s="92" t="str">
        <f t="shared" si="25"/>
        <v/>
      </c>
      <c r="AE34" s="89" t="str">
        <f t="shared" si="9"/>
        <v/>
      </c>
      <c r="AF34" s="104" t="str">
        <f t="shared" si="38"/>
        <v/>
      </c>
      <c r="AG34" s="107" t="str">
        <f t="shared" si="39"/>
        <v/>
      </c>
      <c r="AH34" s="92" t="str">
        <f t="shared" si="40"/>
        <v/>
      </c>
      <c r="AI34" s="89" t="str">
        <f t="shared" si="41"/>
        <v/>
      </c>
      <c r="AJ34" s="104" t="str">
        <f t="shared" si="42"/>
        <v/>
      </c>
      <c r="AK34" s="84" t="str">
        <f t="shared" si="43"/>
        <v/>
      </c>
      <c r="AL34" s="265" t="str">
        <f t="shared" si="44"/>
        <v/>
      </c>
      <c r="AM34" s="270">
        <f t="shared" si="45"/>
        <v>0</v>
      </c>
      <c r="AN34" s="270" t="str">
        <f t="shared" si="10"/>
        <v/>
      </c>
      <c r="AO34" s="270" t="str">
        <f t="shared" si="11"/>
        <v/>
      </c>
      <c r="AP34" s="270" t="str">
        <f t="shared" si="12"/>
        <v/>
      </c>
      <c r="AQ34" s="270">
        <f t="shared" si="46"/>
        <v>0</v>
      </c>
      <c r="AR34" s="271">
        <f>MIN(IFERROR(VLOOKUP($C34,'SDDA Dogs'!$A:$O,13,FALSE),0),IFERROR(VLOOKUP($C34,'SDDA Dogs'!$A:$O,14,FALSE),0),IFERROR(VLOOKUP($C34,'SDDA Dogs'!$A:$O,15,FALSE),0))</f>
        <v>0</v>
      </c>
      <c r="AS34" s="272"/>
      <c r="AT34" s="272"/>
      <c r="AU34" s="272" t="str">
        <f>IF(ISERROR(VLOOKUP(C34,'SDDA Dogs'!A:O,6,FALSE)),"",VLOOKUP(C34,'SDDA Dogs'!A:O,6,FALSE))</f>
        <v/>
      </c>
      <c r="AV34" s="270">
        <f t="shared" si="13"/>
        <v>0</v>
      </c>
      <c r="AW34" s="270">
        <f t="shared" si="14"/>
        <v>0</v>
      </c>
      <c r="AX34" s="273">
        <f t="shared" si="15"/>
        <v>0</v>
      </c>
      <c r="AY34" s="274"/>
      <c r="AZ34" s="275">
        <f t="shared" si="16"/>
        <v>0</v>
      </c>
      <c r="BA34" s="275">
        <f t="shared" si="17"/>
        <v>0</v>
      </c>
      <c r="BB34" s="276"/>
      <c r="BC34" s="274" t="str">
        <f>_xlfn.IFNA(IF(I34="Pass",IF(G34&gt;IFERROR(INDEX(DogInfo!A:B,MATCH(C34&amp;$BC$4,DogInfo!A:A,0),2),0),G34,INDEX(DogInfo!A:B,MATCH(C34&amp;$BC$4,DogInfo!A:A,0),2)),INDEX(DogInfo!A:B,MATCH(C34&amp;$BC$4,DogInfo!A:A,0),2)),"")</f>
        <v/>
      </c>
      <c r="BD34" s="274" t="str">
        <f>_xlfn.IFNA(IF(Q34="Pass",IF(O34&gt;IFERROR(INDEX(DogInfo!A:B,MATCH(C34&amp;$BD$4,DogInfo!A:A,0),2),0),O34,INDEX(DogInfo!A:B,MATCH(C34&amp;$BD$4,DogInfo!A:A,0),2)),INDEX(DogInfo!A:B,MATCH(C34&amp;$BD$4,DogInfo!A:A,0),2)),"")</f>
        <v/>
      </c>
      <c r="BE34" s="274" t="str">
        <f>_xlfn.IFNA(IF(Y34="Pass",IF(W34&gt;IFERROR(INDEX(DogInfo!A:B,MATCH(C34&amp;$BE$4,DogInfo!A:A,0),2),0),W34,INDEX(DogInfo!A:B,MATCH(C34&amp;$BE$4,DogInfo!A:A,0),2)),INDEX(DogInfo!A:B,MATCH(C34&amp;$BE$4,DogInfo!A:A,0),2)),"")</f>
        <v/>
      </c>
    </row>
    <row r="35" spans="1:57" x14ac:dyDescent="0.25">
      <c r="A35" s="99">
        <v>31</v>
      </c>
      <c r="B35" s="100"/>
      <c r="C35" s="101"/>
      <c r="D35" s="102" t="str">
        <f>IF($C35="","",VLOOKUP($C35,'SDDA Dogs'!$A:$F,2,FALSE))</f>
        <v/>
      </c>
      <c r="E35" s="211">
        <f t="shared" si="18"/>
        <v>-1</v>
      </c>
      <c r="F35" s="103" t="str">
        <f>IF($C35="","",VLOOKUP($C35,'SDDA Dogs'!$A:$O,10,FALSE))</f>
        <v/>
      </c>
      <c r="G35" s="137"/>
      <c r="H35" s="217"/>
      <c r="I35" s="84" t="str">
        <f t="shared" si="0"/>
        <v/>
      </c>
      <c r="J35" s="105">
        <f t="shared" si="1"/>
        <v>0</v>
      </c>
      <c r="K35" s="84" t="str">
        <f t="shared" si="19"/>
        <v/>
      </c>
      <c r="L35" s="105">
        <f t="shared" si="2"/>
        <v>0</v>
      </c>
      <c r="M35" s="84" t="str">
        <f t="shared" si="20"/>
        <v/>
      </c>
      <c r="N35" s="106" t="str">
        <f>IF($C35="","",VLOOKUP($C35,'SDDA Dogs'!$A:$O,11,FALSE))</f>
        <v/>
      </c>
      <c r="O35" s="137"/>
      <c r="P35" s="217"/>
      <c r="Q35" s="84" t="str">
        <f t="shared" si="3"/>
        <v/>
      </c>
      <c r="R35" s="105">
        <f t="shared" si="4"/>
        <v>0</v>
      </c>
      <c r="S35" s="84" t="str">
        <f t="shared" si="35"/>
        <v/>
      </c>
      <c r="T35" s="105">
        <f t="shared" si="5"/>
        <v>0</v>
      </c>
      <c r="U35" s="84" t="str">
        <f t="shared" si="47"/>
        <v/>
      </c>
      <c r="V35" s="106" t="str">
        <f>IF($C35="","",VLOOKUP($C35,'SDDA Dogs'!$A:$O,12,FALSE))</f>
        <v/>
      </c>
      <c r="W35" s="137"/>
      <c r="X35" s="217"/>
      <c r="Y35" s="84" t="str">
        <f t="shared" si="6"/>
        <v/>
      </c>
      <c r="Z35" s="105">
        <f t="shared" si="7"/>
        <v>0</v>
      </c>
      <c r="AA35" s="84" t="str">
        <f t="shared" si="36"/>
        <v/>
      </c>
      <c r="AB35" s="105">
        <f t="shared" si="8"/>
        <v>0</v>
      </c>
      <c r="AC35" s="84" t="str">
        <f t="shared" si="37"/>
        <v/>
      </c>
      <c r="AD35" s="92" t="str">
        <f t="shared" si="25"/>
        <v/>
      </c>
      <c r="AE35" s="89" t="str">
        <f t="shared" si="9"/>
        <v/>
      </c>
      <c r="AF35" s="104" t="str">
        <f t="shared" si="38"/>
        <v/>
      </c>
      <c r="AG35" s="107" t="str">
        <f t="shared" si="39"/>
        <v/>
      </c>
      <c r="AH35" s="92" t="str">
        <f t="shared" si="40"/>
        <v/>
      </c>
      <c r="AI35" s="89" t="str">
        <f t="shared" si="41"/>
        <v/>
      </c>
      <c r="AJ35" s="104" t="str">
        <f t="shared" si="42"/>
        <v/>
      </c>
      <c r="AK35" s="84" t="str">
        <f t="shared" si="43"/>
        <v/>
      </c>
      <c r="AL35" s="265" t="str">
        <f t="shared" si="44"/>
        <v/>
      </c>
      <c r="AM35" s="270">
        <f t="shared" si="45"/>
        <v>0</v>
      </c>
      <c r="AN35" s="270" t="str">
        <f t="shared" si="10"/>
        <v/>
      </c>
      <c r="AO35" s="270" t="str">
        <f t="shared" si="11"/>
        <v/>
      </c>
      <c r="AP35" s="270" t="str">
        <f t="shared" si="12"/>
        <v/>
      </c>
      <c r="AQ35" s="270">
        <f t="shared" si="46"/>
        <v>0</v>
      </c>
      <c r="AR35" s="271">
        <f>MIN(IFERROR(VLOOKUP($C35,'SDDA Dogs'!$A:$O,13,FALSE),0),IFERROR(VLOOKUP($C35,'SDDA Dogs'!$A:$O,14,FALSE),0),IFERROR(VLOOKUP($C35,'SDDA Dogs'!$A:$O,15,FALSE),0))</f>
        <v>0</v>
      </c>
      <c r="AS35" s="272"/>
      <c r="AT35" s="272"/>
      <c r="AU35" s="272" t="str">
        <f>IF(ISERROR(VLOOKUP(C35,'SDDA Dogs'!A:O,6,FALSE)),"",VLOOKUP(C35,'SDDA Dogs'!A:O,6,FALSE))</f>
        <v/>
      </c>
      <c r="AV35" s="270">
        <f t="shared" si="13"/>
        <v>0</v>
      </c>
      <c r="AW35" s="270">
        <f t="shared" si="14"/>
        <v>0</v>
      </c>
      <c r="AX35" s="273">
        <f t="shared" si="15"/>
        <v>0</v>
      </c>
      <c r="AY35" s="274"/>
      <c r="AZ35" s="275">
        <f t="shared" si="16"/>
        <v>0</v>
      </c>
      <c r="BA35" s="275">
        <f t="shared" si="17"/>
        <v>0</v>
      </c>
      <c r="BB35" s="276"/>
      <c r="BC35" s="274" t="str">
        <f>_xlfn.IFNA(IF(I35="Pass",IF(G35&gt;IFERROR(INDEX(DogInfo!A:B,MATCH(C35&amp;$BC$4,DogInfo!A:A,0),2),0),G35,INDEX(DogInfo!A:B,MATCH(C35&amp;$BC$4,DogInfo!A:A,0),2)),INDEX(DogInfo!A:B,MATCH(C35&amp;$BC$4,DogInfo!A:A,0),2)),"")</f>
        <v/>
      </c>
      <c r="BD35" s="274" t="str">
        <f>_xlfn.IFNA(IF(Q35="Pass",IF(O35&gt;IFERROR(INDEX(DogInfo!A:B,MATCH(C35&amp;$BD$4,DogInfo!A:A,0),2),0),O35,INDEX(DogInfo!A:B,MATCH(C35&amp;$BD$4,DogInfo!A:A,0),2)),INDEX(DogInfo!A:B,MATCH(C35&amp;$BD$4,DogInfo!A:A,0),2)),"")</f>
        <v/>
      </c>
      <c r="BE35" s="274" t="str">
        <f>_xlfn.IFNA(IF(Y35="Pass",IF(W35&gt;IFERROR(INDEX(DogInfo!A:B,MATCH(C35&amp;$BE$4,DogInfo!A:A,0),2),0),W35,INDEX(DogInfo!A:B,MATCH(C35&amp;$BE$4,DogInfo!A:A,0),2)),INDEX(DogInfo!A:B,MATCH(C35&amp;$BE$4,DogInfo!A:A,0),2)),"")</f>
        <v/>
      </c>
    </row>
    <row r="36" spans="1:57" x14ac:dyDescent="0.25">
      <c r="A36" s="99">
        <v>32</v>
      </c>
      <c r="B36" s="100"/>
      <c r="C36" s="101"/>
      <c r="D36" s="102" t="str">
        <f>IF($C36="","",VLOOKUP($C36,'SDDA Dogs'!$A:$F,2,FALSE))</f>
        <v/>
      </c>
      <c r="E36" s="211">
        <f t="shared" si="18"/>
        <v>-1</v>
      </c>
      <c r="F36" s="103" t="str">
        <f>IF($C36="","",VLOOKUP($C36,'SDDA Dogs'!$A:$O,10,FALSE))</f>
        <v/>
      </c>
      <c r="G36" s="137"/>
      <c r="H36" s="217"/>
      <c r="I36" s="84" t="str">
        <f t="shared" si="0"/>
        <v/>
      </c>
      <c r="J36" s="105">
        <f t="shared" si="1"/>
        <v>0</v>
      </c>
      <c r="K36" s="84" t="str">
        <f t="shared" si="19"/>
        <v/>
      </c>
      <c r="L36" s="105">
        <f t="shared" si="2"/>
        <v>0</v>
      </c>
      <c r="M36" s="84" t="str">
        <f t="shared" si="20"/>
        <v/>
      </c>
      <c r="N36" s="106" t="str">
        <f>IF($C36="","",VLOOKUP($C36,'SDDA Dogs'!$A:$O,11,FALSE))</f>
        <v/>
      </c>
      <c r="O36" s="137"/>
      <c r="P36" s="217"/>
      <c r="Q36" s="84" t="str">
        <f t="shared" si="3"/>
        <v/>
      </c>
      <c r="R36" s="105">
        <f t="shared" si="4"/>
        <v>0</v>
      </c>
      <c r="S36" s="84" t="str">
        <f t="shared" si="35"/>
        <v/>
      </c>
      <c r="T36" s="105">
        <f t="shared" si="5"/>
        <v>0</v>
      </c>
      <c r="U36" s="84" t="str">
        <f t="shared" si="47"/>
        <v/>
      </c>
      <c r="V36" s="106" t="str">
        <f>IF($C36="","",VLOOKUP($C36,'SDDA Dogs'!$A:$O,12,FALSE))</f>
        <v/>
      </c>
      <c r="W36" s="137"/>
      <c r="X36" s="217"/>
      <c r="Y36" s="84" t="str">
        <f t="shared" si="6"/>
        <v/>
      </c>
      <c r="Z36" s="105">
        <f t="shared" si="7"/>
        <v>0</v>
      </c>
      <c r="AA36" s="84" t="str">
        <f t="shared" si="36"/>
        <v/>
      </c>
      <c r="AB36" s="105">
        <f t="shared" si="8"/>
        <v>0</v>
      </c>
      <c r="AC36" s="84" t="str">
        <f t="shared" si="37"/>
        <v/>
      </c>
      <c r="AD36" s="92" t="str">
        <f t="shared" si="25"/>
        <v/>
      </c>
      <c r="AE36" s="89" t="str">
        <f t="shared" si="9"/>
        <v/>
      </c>
      <c r="AF36" s="104" t="str">
        <f t="shared" si="38"/>
        <v/>
      </c>
      <c r="AG36" s="107" t="str">
        <f t="shared" si="39"/>
        <v/>
      </c>
      <c r="AH36" s="92" t="str">
        <f t="shared" si="40"/>
        <v/>
      </c>
      <c r="AI36" s="89" t="str">
        <f t="shared" si="41"/>
        <v/>
      </c>
      <c r="AJ36" s="104" t="str">
        <f t="shared" si="42"/>
        <v/>
      </c>
      <c r="AK36" s="84" t="str">
        <f t="shared" si="43"/>
        <v/>
      </c>
      <c r="AL36" s="265" t="str">
        <f t="shared" si="44"/>
        <v/>
      </c>
      <c r="AM36" s="270">
        <f t="shared" si="45"/>
        <v>0</v>
      </c>
      <c r="AN36" s="270" t="str">
        <f t="shared" si="10"/>
        <v/>
      </c>
      <c r="AO36" s="270" t="str">
        <f t="shared" si="11"/>
        <v/>
      </c>
      <c r="AP36" s="270" t="str">
        <f t="shared" si="12"/>
        <v/>
      </c>
      <c r="AQ36" s="270">
        <f t="shared" si="46"/>
        <v>0</v>
      </c>
      <c r="AR36" s="271">
        <f>MIN(IFERROR(VLOOKUP($C36,'SDDA Dogs'!$A:$O,13,FALSE),0),IFERROR(VLOOKUP($C36,'SDDA Dogs'!$A:$O,14,FALSE),0),IFERROR(VLOOKUP($C36,'SDDA Dogs'!$A:$O,15,FALSE),0))</f>
        <v>0</v>
      </c>
      <c r="AS36" s="272"/>
      <c r="AT36" s="272"/>
      <c r="AU36" s="272" t="str">
        <f>IF(ISERROR(VLOOKUP(C36,'SDDA Dogs'!A:O,6,FALSE)),"",VLOOKUP(C36,'SDDA Dogs'!A:O,6,FALSE))</f>
        <v/>
      </c>
      <c r="AV36" s="270">
        <f t="shared" si="13"/>
        <v>0</v>
      </c>
      <c r="AW36" s="270">
        <f t="shared" si="14"/>
        <v>0</v>
      </c>
      <c r="AX36" s="273">
        <f t="shared" si="15"/>
        <v>0</v>
      </c>
      <c r="AY36" s="274"/>
      <c r="AZ36" s="275">
        <f t="shared" si="16"/>
        <v>0</v>
      </c>
      <c r="BA36" s="275">
        <f t="shared" si="17"/>
        <v>0</v>
      </c>
      <c r="BB36" s="276"/>
      <c r="BC36" s="274" t="str">
        <f>_xlfn.IFNA(IF(I36="Pass",IF(G36&gt;IFERROR(INDEX(DogInfo!A:B,MATCH(C36&amp;$BC$4,DogInfo!A:A,0),2),0),G36,INDEX(DogInfo!A:B,MATCH(C36&amp;$BC$4,DogInfo!A:A,0),2)),INDEX(DogInfo!A:B,MATCH(C36&amp;$BC$4,DogInfo!A:A,0),2)),"")</f>
        <v/>
      </c>
      <c r="BD36" s="274" t="str">
        <f>_xlfn.IFNA(IF(Q36="Pass",IF(O36&gt;IFERROR(INDEX(DogInfo!A:B,MATCH(C36&amp;$BD$4,DogInfo!A:A,0),2),0),O36,INDEX(DogInfo!A:B,MATCH(C36&amp;$BD$4,DogInfo!A:A,0),2)),INDEX(DogInfo!A:B,MATCH(C36&amp;$BD$4,DogInfo!A:A,0),2)),"")</f>
        <v/>
      </c>
      <c r="BE36" s="274" t="str">
        <f>_xlfn.IFNA(IF(Y36="Pass",IF(W36&gt;IFERROR(INDEX(DogInfo!A:B,MATCH(C36&amp;$BE$4,DogInfo!A:A,0),2),0),W36,INDEX(DogInfo!A:B,MATCH(C36&amp;$BE$4,DogInfo!A:A,0),2)),INDEX(DogInfo!A:B,MATCH(C36&amp;$BE$4,DogInfo!A:A,0),2)),"")</f>
        <v/>
      </c>
    </row>
    <row r="37" spans="1:57" x14ac:dyDescent="0.25">
      <c r="A37" s="99">
        <v>33</v>
      </c>
      <c r="B37" s="100"/>
      <c r="C37" s="101"/>
      <c r="D37" s="102" t="str">
        <f>IF($C37="","",VLOOKUP($C37,'SDDA Dogs'!$A:$F,2,FALSE))</f>
        <v/>
      </c>
      <c r="E37" s="211">
        <f t="shared" si="18"/>
        <v>-1</v>
      </c>
      <c r="F37" s="103" t="str">
        <f>IF($C37="","",VLOOKUP($C37,'SDDA Dogs'!$A:$O,10,FALSE))</f>
        <v/>
      </c>
      <c r="G37" s="137"/>
      <c r="H37" s="217"/>
      <c r="I37" s="84" t="str">
        <f t="shared" si="0"/>
        <v/>
      </c>
      <c r="J37" s="105">
        <f t="shared" si="1"/>
        <v>0</v>
      </c>
      <c r="K37" s="84" t="str">
        <f t="shared" si="19"/>
        <v/>
      </c>
      <c r="L37" s="105">
        <f t="shared" si="2"/>
        <v>0</v>
      </c>
      <c r="M37" s="84" t="str">
        <f t="shared" si="20"/>
        <v/>
      </c>
      <c r="N37" s="106" t="str">
        <f>IF($C37="","",VLOOKUP($C37,'SDDA Dogs'!$A:$O,11,FALSE))</f>
        <v/>
      </c>
      <c r="O37" s="137"/>
      <c r="P37" s="217"/>
      <c r="Q37" s="84" t="str">
        <f t="shared" si="3"/>
        <v/>
      </c>
      <c r="R37" s="105">
        <f t="shared" si="4"/>
        <v>0</v>
      </c>
      <c r="S37" s="84" t="str">
        <f t="shared" si="35"/>
        <v/>
      </c>
      <c r="T37" s="105">
        <f t="shared" si="5"/>
        <v>0</v>
      </c>
      <c r="U37" s="84" t="str">
        <f t="shared" si="47"/>
        <v/>
      </c>
      <c r="V37" s="106" t="str">
        <f>IF($C37="","",VLOOKUP($C37,'SDDA Dogs'!$A:$O,12,FALSE))</f>
        <v/>
      </c>
      <c r="W37" s="137"/>
      <c r="X37" s="217"/>
      <c r="Y37" s="84" t="str">
        <f t="shared" si="6"/>
        <v/>
      </c>
      <c r="Z37" s="105">
        <f t="shared" si="7"/>
        <v>0</v>
      </c>
      <c r="AA37" s="84" t="str">
        <f t="shared" si="36"/>
        <v/>
      </c>
      <c r="AB37" s="105">
        <f t="shared" si="8"/>
        <v>0</v>
      </c>
      <c r="AC37" s="84" t="str">
        <f t="shared" si="37"/>
        <v/>
      </c>
      <c r="AD37" s="92" t="str">
        <f t="shared" si="25"/>
        <v/>
      </c>
      <c r="AE37" s="89" t="str">
        <f t="shared" si="9"/>
        <v/>
      </c>
      <c r="AF37" s="104" t="str">
        <f t="shared" si="38"/>
        <v/>
      </c>
      <c r="AG37" s="107" t="str">
        <f t="shared" si="39"/>
        <v/>
      </c>
      <c r="AH37" s="92" t="str">
        <f t="shared" si="40"/>
        <v/>
      </c>
      <c r="AI37" s="89" t="str">
        <f t="shared" si="41"/>
        <v/>
      </c>
      <c r="AJ37" s="104" t="str">
        <f t="shared" si="42"/>
        <v/>
      </c>
      <c r="AK37" s="84" t="str">
        <f t="shared" si="43"/>
        <v/>
      </c>
      <c r="AL37" s="265" t="str">
        <f t="shared" si="44"/>
        <v/>
      </c>
      <c r="AM37" s="270">
        <f t="shared" si="45"/>
        <v>0</v>
      </c>
      <c r="AN37" s="270" t="str">
        <f t="shared" si="10"/>
        <v/>
      </c>
      <c r="AO37" s="270" t="str">
        <f t="shared" si="11"/>
        <v/>
      </c>
      <c r="AP37" s="270" t="str">
        <f t="shared" si="12"/>
        <v/>
      </c>
      <c r="AQ37" s="270">
        <f t="shared" si="46"/>
        <v>0</v>
      </c>
      <c r="AR37" s="271">
        <f>MIN(IFERROR(VLOOKUP($C37,'SDDA Dogs'!$A:$O,13,FALSE),0),IFERROR(VLOOKUP($C37,'SDDA Dogs'!$A:$O,14,FALSE),0),IFERROR(VLOOKUP($C37,'SDDA Dogs'!$A:$O,15,FALSE),0))</f>
        <v>0</v>
      </c>
      <c r="AS37" s="272"/>
      <c r="AT37" s="272"/>
      <c r="AU37" s="272" t="str">
        <f>IF(ISERROR(VLOOKUP(C37,'SDDA Dogs'!A:O,6,FALSE)),"",VLOOKUP(C37,'SDDA Dogs'!A:O,6,FALSE))</f>
        <v/>
      </c>
      <c r="AV37" s="270">
        <f t="shared" si="13"/>
        <v>0</v>
      </c>
      <c r="AW37" s="270">
        <f t="shared" si="14"/>
        <v>0</v>
      </c>
      <c r="AX37" s="273">
        <f t="shared" si="15"/>
        <v>0</v>
      </c>
      <c r="AY37" s="274"/>
      <c r="AZ37" s="275">
        <f t="shared" ref="AZ37:AZ54" si="48">IF(AND(I37="Pass",Q37="Pass",Y37="Pass"),(G37+O37+W37)/((MinScoreCSA + MinScoreISA + MinScoreESA)*2),0)</f>
        <v>0</v>
      </c>
      <c r="BA37" s="275">
        <f t="shared" ref="BA37:BA54" si="49">IF(AND(I37="Pass",Q37="Pass",Y37="Pass"),(H37+P37+X37)/(MaxTmCSA+MaxTmESA+MaxTmISA),0)</f>
        <v>0</v>
      </c>
      <c r="BB37" s="276"/>
      <c r="BC37" s="274" t="str">
        <f>_xlfn.IFNA(IF(I37="Pass",IF(G37&gt;IFERROR(INDEX(DogInfo!A:B,MATCH(C37&amp;$BC$4,DogInfo!A:A,0),2),0),G37,INDEX(DogInfo!A:B,MATCH(C37&amp;$BC$4,DogInfo!A:A,0),2)),INDEX(DogInfo!A:B,MATCH(C37&amp;$BC$4,DogInfo!A:A,0),2)),"")</f>
        <v/>
      </c>
      <c r="BD37" s="274" t="str">
        <f>_xlfn.IFNA(IF(Q37="Pass",IF(O37&gt;IFERROR(INDEX(DogInfo!A:B,MATCH(C37&amp;$BD$4,DogInfo!A:A,0),2),0),O37,INDEX(DogInfo!A:B,MATCH(C37&amp;$BD$4,DogInfo!A:A,0),2)),INDEX(DogInfo!A:B,MATCH(C37&amp;$BD$4,DogInfo!A:A,0),2)),"")</f>
        <v/>
      </c>
      <c r="BE37" s="274" t="str">
        <f>_xlfn.IFNA(IF(Y37="Pass",IF(W37&gt;IFERROR(INDEX(DogInfo!A:B,MATCH(C37&amp;$BE$4,DogInfo!A:A,0),2),0),W37,INDEX(DogInfo!A:B,MATCH(C37&amp;$BE$4,DogInfo!A:A,0),2)),INDEX(DogInfo!A:B,MATCH(C37&amp;$BE$4,DogInfo!A:A,0),2)),"")</f>
        <v/>
      </c>
    </row>
    <row r="38" spans="1:57" x14ac:dyDescent="0.25">
      <c r="A38" s="99">
        <v>34</v>
      </c>
      <c r="B38" s="100"/>
      <c r="C38" s="101"/>
      <c r="D38" s="102" t="str">
        <f>IF($C38="","",VLOOKUP($C38,'SDDA Dogs'!$A:$F,2,FALSE))</f>
        <v/>
      </c>
      <c r="E38" s="211">
        <f t="shared" si="18"/>
        <v>-1</v>
      </c>
      <c r="F38" s="103" t="str">
        <f>IF($C38="","",VLOOKUP($C38,'SDDA Dogs'!$A:$O,10,FALSE))</f>
        <v/>
      </c>
      <c r="G38" s="137"/>
      <c r="H38" s="217"/>
      <c r="I38" s="84" t="str">
        <f t="shared" si="0"/>
        <v/>
      </c>
      <c r="J38" s="105">
        <f t="shared" si="1"/>
        <v>0</v>
      </c>
      <c r="K38" s="84" t="str">
        <f t="shared" si="19"/>
        <v/>
      </c>
      <c r="L38" s="105">
        <f t="shared" si="2"/>
        <v>0</v>
      </c>
      <c r="M38" s="84" t="str">
        <f t="shared" si="20"/>
        <v/>
      </c>
      <c r="N38" s="106" t="str">
        <f>IF($C38="","",VLOOKUP($C38,'SDDA Dogs'!$A:$O,11,FALSE))</f>
        <v/>
      </c>
      <c r="O38" s="137"/>
      <c r="P38" s="217"/>
      <c r="Q38" s="84" t="str">
        <f t="shared" si="3"/>
        <v/>
      </c>
      <c r="R38" s="105">
        <f t="shared" si="4"/>
        <v>0</v>
      </c>
      <c r="S38" s="84" t="str">
        <f t="shared" si="35"/>
        <v/>
      </c>
      <c r="T38" s="105">
        <f t="shared" si="5"/>
        <v>0</v>
      </c>
      <c r="U38" s="84" t="str">
        <f t="shared" si="47"/>
        <v/>
      </c>
      <c r="V38" s="106" t="str">
        <f>IF($C38="","",VLOOKUP($C38,'SDDA Dogs'!$A:$O,12,FALSE))</f>
        <v/>
      </c>
      <c r="W38" s="137"/>
      <c r="X38" s="217"/>
      <c r="Y38" s="84" t="str">
        <f t="shared" si="6"/>
        <v/>
      </c>
      <c r="Z38" s="105">
        <f t="shared" si="7"/>
        <v>0</v>
      </c>
      <c r="AA38" s="84" t="str">
        <f t="shared" si="36"/>
        <v/>
      </c>
      <c r="AB38" s="105">
        <f t="shared" si="8"/>
        <v>0</v>
      </c>
      <c r="AC38" s="84" t="str">
        <f t="shared" si="37"/>
        <v/>
      </c>
      <c r="AD38" s="92" t="str">
        <f t="shared" si="25"/>
        <v/>
      </c>
      <c r="AE38" s="89" t="str">
        <f t="shared" si="9"/>
        <v/>
      </c>
      <c r="AF38" s="104" t="str">
        <f t="shared" si="38"/>
        <v/>
      </c>
      <c r="AG38" s="107" t="str">
        <f t="shared" si="39"/>
        <v/>
      </c>
      <c r="AH38" s="92" t="str">
        <f t="shared" si="40"/>
        <v/>
      </c>
      <c r="AI38" s="89" t="str">
        <f t="shared" si="41"/>
        <v/>
      </c>
      <c r="AJ38" s="104" t="str">
        <f t="shared" si="42"/>
        <v/>
      </c>
      <c r="AK38" s="84" t="str">
        <f t="shared" si="43"/>
        <v/>
      </c>
      <c r="AL38" s="265" t="str">
        <f t="shared" si="44"/>
        <v/>
      </c>
      <c r="AM38" s="270">
        <f t="shared" si="45"/>
        <v>0</v>
      </c>
      <c r="AN38" s="270" t="str">
        <f t="shared" si="10"/>
        <v/>
      </c>
      <c r="AO38" s="270" t="str">
        <f t="shared" si="11"/>
        <v/>
      </c>
      <c r="AP38" s="270" t="str">
        <f t="shared" si="12"/>
        <v/>
      </c>
      <c r="AQ38" s="270">
        <f t="shared" si="46"/>
        <v>0</v>
      </c>
      <c r="AR38" s="271">
        <f>MIN(IFERROR(VLOOKUP($C38,'SDDA Dogs'!$A:$O,13,FALSE),0),IFERROR(VLOOKUP($C38,'SDDA Dogs'!$A:$O,14,FALSE),0),IFERROR(VLOOKUP($C38,'SDDA Dogs'!$A:$O,15,FALSE),0))</f>
        <v>0</v>
      </c>
      <c r="AS38" s="272"/>
      <c r="AT38" s="272"/>
      <c r="AU38" s="272" t="str">
        <f>IF(ISERROR(VLOOKUP(C38,'SDDA Dogs'!A:O,6,FALSE)),"",VLOOKUP(C38,'SDDA Dogs'!A:O,6,FALSE))</f>
        <v/>
      </c>
      <c r="AV38" s="270">
        <f t="shared" si="13"/>
        <v>0</v>
      </c>
      <c r="AW38" s="270">
        <f t="shared" si="14"/>
        <v>0</v>
      </c>
      <c r="AX38" s="273">
        <f t="shared" si="15"/>
        <v>0</v>
      </c>
      <c r="AY38" s="274"/>
      <c r="AZ38" s="275">
        <f t="shared" si="48"/>
        <v>0</v>
      </c>
      <c r="BA38" s="275">
        <f t="shared" si="49"/>
        <v>0</v>
      </c>
      <c r="BB38" s="276"/>
      <c r="BC38" s="274" t="str">
        <f>_xlfn.IFNA(IF(I38="Pass",IF(G38&gt;IFERROR(INDEX(DogInfo!A:B,MATCH(C38&amp;$BC$4,DogInfo!A:A,0),2),0),G38,INDEX(DogInfo!A:B,MATCH(C38&amp;$BC$4,DogInfo!A:A,0),2)),INDEX(DogInfo!A:B,MATCH(C38&amp;$BC$4,DogInfo!A:A,0),2)),"")</f>
        <v/>
      </c>
      <c r="BD38" s="274" t="str">
        <f>_xlfn.IFNA(IF(Q38="Pass",IF(O38&gt;IFERROR(INDEX(DogInfo!A:B,MATCH(C38&amp;$BD$4,DogInfo!A:A,0),2),0),O38,INDEX(DogInfo!A:B,MATCH(C38&amp;$BD$4,DogInfo!A:A,0),2)),INDEX(DogInfo!A:B,MATCH(C38&amp;$BD$4,DogInfo!A:A,0),2)),"")</f>
        <v/>
      </c>
      <c r="BE38" s="274" t="str">
        <f>_xlfn.IFNA(IF(Y38="Pass",IF(W38&gt;IFERROR(INDEX(DogInfo!A:B,MATCH(C38&amp;$BE$4,DogInfo!A:A,0),2),0),W38,INDEX(DogInfo!A:B,MATCH(C38&amp;$BE$4,DogInfo!A:A,0),2)),INDEX(DogInfo!A:B,MATCH(C38&amp;$BE$4,DogInfo!A:A,0),2)),"")</f>
        <v/>
      </c>
    </row>
    <row r="39" spans="1:57" x14ac:dyDescent="0.25">
      <c r="A39" s="99">
        <v>35</v>
      </c>
      <c r="B39" s="100"/>
      <c r="C39" s="101"/>
      <c r="D39" s="102" t="str">
        <f>IF($C39="","",VLOOKUP($C39,'SDDA Dogs'!$A:$F,2,FALSE))</f>
        <v/>
      </c>
      <c r="E39" s="211">
        <f t="shared" si="18"/>
        <v>-1</v>
      </c>
      <c r="F39" s="103" t="str">
        <f>IF($C39="","",VLOOKUP($C39,'SDDA Dogs'!$A:$O,10,FALSE))</f>
        <v/>
      </c>
      <c r="G39" s="137"/>
      <c r="H39" s="217"/>
      <c r="I39" s="84" t="str">
        <f t="shared" si="0"/>
        <v/>
      </c>
      <c r="J39" s="105">
        <f t="shared" si="1"/>
        <v>0</v>
      </c>
      <c r="K39" s="84" t="str">
        <f t="shared" si="19"/>
        <v/>
      </c>
      <c r="L39" s="105">
        <f t="shared" si="2"/>
        <v>0</v>
      </c>
      <c r="M39" s="84" t="str">
        <f t="shared" si="20"/>
        <v/>
      </c>
      <c r="N39" s="106" t="str">
        <f>IF($C39="","",VLOOKUP($C39,'SDDA Dogs'!$A:$O,11,FALSE))</f>
        <v/>
      </c>
      <c r="O39" s="137"/>
      <c r="P39" s="217"/>
      <c r="Q39" s="84" t="str">
        <f t="shared" si="3"/>
        <v/>
      </c>
      <c r="R39" s="105">
        <f t="shared" si="4"/>
        <v>0</v>
      </c>
      <c r="S39" s="84" t="str">
        <f t="shared" si="35"/>
        <v/>
      </c>
      <c r="T39" s="105">
        <f t="shared" si="5"/>
        <v>0</v>
      </c>
      <c r="U39" s="84" t="str">
        <f t="shared" si="47"/>
        <v/>
      </c>
      <c r="V39" s="106" t="str">
        <f>IF($C39="","",VLOOKUP($C39,'SDDA Dogs'!$A:$O,12,FALSE))</f>
        <v/>
      </c>
      <c r="W39" s="137"/>
      <c r="X39" s="217"/>
      <c r="Y39" s="84" t="str">
        <f t="shared" si="6"/>
        <v/>
      </c>
      <c r="Z39" s="105">
        <f t="shared" si="7"/>
        <v>0</v>
      </c>
      <c r="AA39" s="84" t="str">
        <f t="shared" si="36"/>
        <v/>
      </c>
      <c r="AB39" s="105">
        <f t="shared" si="8"/>
        <v>0</v>
      </c>
      <c r="AC39" s="84" t="str">
        <f t="shared" si="37"/>
        <v/>
      </c>
      <c r="AD39" s="92" t="str">
        <f t="shared" si="25"/>
        <v/>
      </c>
      <c r="AE39" s="89" t="str">
        <f t="shared" si="9"/>
        <v/>
      </c>
      <c r="AF39" s="104" t="str">
        <f t="shared" si="38"/>
        <v/>
      </c>
      <c r="AG39" s="107" t="str">
        <f t="shared" si="39"/>
        <v/>
      </c>
      <c r="AH39" s="92" t="str">
        <f t="shared" si="40"/>
        <v/>
      </c>
      <c r="AI39" s="89" t="str">
        <f t="shared" si="41"/>
        <v/>
      </c>
      <c r="AJ39" s="104" t="str">
        <f t="shared" si="42"/>
        <v/>
      </c>
      <c r="AK39" s="84" t="str">
        <f t="shared" si="43"/>
        <v/>
      </c>
      <c r="AL39" s="265" t="str">
        <f t="shared" si="44"/>
        <v/>
      </c>
      <c r="AM39" s="270">
        <f t="shared" si="45"/>
        <v>0</v>
      </c>
      <c r="AN39" s="270" t="str">
        <f t="shared" si="10"/>
        <v/>
      </c>
      <c r="AO39" s="270" t="str">
        <f t="shared" si="11"/>
        <v/>
      </c>
      <c r="AP39" s="270" t="str">
        <f t="shared" si="12"/>
        <v/>
      </c>
      <c r="AQ39" s="270">
        <f t="shared" si="46"/>
        <v>0</v>
      </c>
      <c r="AR39" s="271">
        <f>MIN(IFERROR(VLOOKUP($C39,'SDDA Dogs'!$A:$O,13,FALSE),0),IFERROR(VLOOKUP($C39,'SDDA Dogs'!$A:$O,14,FALSE),0),IFERROR(VLOOKUP($C39,'SDDA Dogs'!$A:$O,15,FALSE),0))</f>
        <v>0</v>
      </c>
      <c r="AS39" s="272"/>
      <c r="AT39" s="272"/>
      <c r="AU39" s="272" t="str">
        <f>IF(ISERROR(VLOOKUP(C39,'SDDA Dogs'!A:O,6,FALSE)),"",VLOOKUP(C39,'SDDA Dogs'!A:O,6,FALSE))</f>
        <v/>
      </c>
      <c r="AV39" s="270">
        <f t="shared" si="13"/>
        <v>0</v>
      </c>
      <c r="AW39" s="270">
        <f t="shared" si="14"/>
        <v>0</v>
      </c>
      <c r="AX39" s="273">
        <f t="shared" si="15"/>
        <v>0</v>
      </c>
      <c r="AY39" s="274"/>
      <c r="AZ39" s="275">
        <f t="shared" si="48"/>
        <v>0</v>
      </c>
      <c r="BA39" s="275">
        <f t="shared" si="49"/>
        <v>0</v>
      </c>
      <c r="BB39" s="276"/>
      <c r="BC39" s="274" t="str">
        <f>_xlfn.IFNA(IF(I39="Pass",IF(G39&gt;IFERROR(INDEX(DogInfo!A:B,MATCH(C39&amp;$BC$4,DogInfo!A:A,0),2),0),G39,INDEX(DogInfo!A:B,MATCH(C39&amp;$BC$4,DogInfo!A:A,0),2)),INDEX(DogInfo!A:B,MATCH(C39&amp;$BC$4,DogInfo!A:A,0),2)),"")</f>
        <v/>
      </c>
      <c r="BD39" s="274" t="str">
        <f>_xlfn.IFNA(IF(Q39="Pass",IF(O39&gt;IFERROR(INDEX(DogInfo!A:B,MATCH(C39&amp;$BD$4,DogInfo!A:A,0),2),0),O39,INDEX(DogInfo!A:B,MATCH(C39&amp;$BD$4,DogInfo!A:A,0),2)),INDEX(DogInfo!A:B,MATCH(C39&amp;$BD$4,DogInfo!A:A,0),2)),"")</f>
        <v/>
      </c>
      <c r="BE39" s="274" t="str">
        <f>_xlfn.IFNA(IF(Y39="Pass",IF(W39&gt;IFERROR(INDEX(DogInfo!A:B,MATCH(C39&amp;$BE$4,DogInfo!A:A,0),2),0),W39,INDEX(DogInfo!A:B,MATCH(C39&amp;$BE$4,DogInfo!A:A,0),2)),INDEX(DogInfo!A:B,MATCH(C39&amp;$BE$4,DogInfo!A:A,0),2)),"")</f>
        <v/>
      </c>
    </row>
    <row r="40" spans="1:57" x14ac:dyDescent="0.25">
      <c r="A40" s="99">
        <v>36</v>
      </c>
      <c r="B40" s="100"/>
      <c r="C40" s="101"/>
      <c r="D40" s="102" t="str">
        <f>IF($C40="","",VLOOKUP($C40,'SDDA Dogs'!$A:$F,2,FALSE))</f>
        <v/>
      </c>
      <c r="E40" s="211">
        <f t="shared" si="18"/>
        <v>-1</v>
      </c>
      <c r="F40" s="103" t="str">
        <f>IF($C40="","",VLOOKUP($C40,'SDDA Dogs'!$A:$O,10,FALSE))</f>
        <v/>
      </c>
      <c r="G40" s="137"/>
      <c r="H40" s="217"/>
      <c r="I40" s="84" t="str">
        <f t="shared" si="0"/>
        <v/>
      </c>
      <c r="J40" s="105">
        <f t="shared" si="1"/>
        <v>0</v>
      </c>
      <c r="K40" s="84" t="str">
        <f t="shared" si="19"/>
        <v/>
      </c>
      <c r="L40" s="105">
        <f t="shared" si="2"/>
        <v>0</v>
      </c>
      <c r="M40" s="84" t="str">
        <f t="shared" si="20"/>
        <v/>
      </c>
      <c r="N40" s="106" t="str">
        <f>IF($C40="","",VLOOKUP($C40,'SDDA Dogs'!$A:$O,11,FALSE))</f>
        <v/>
      </c>
      <c r="O40" s="137"/>
      <c r="P40" s="217"/>
      <c r="Q40" s="84" t="str">
        <f t="shared" si="3"/>
        <v/>
      </c>
      <c r="R40" s="105">
        <f t="shared" si="4"/>
        <v>0</v>
      </c>
      <c r="S40" s="84" t="str">
        <f t="shared" si="35"/>
        <v/>
      </c>
      <c r="T40" s="105">
        <f t="shared" si="5"/>
        <v>0</v>
      </c>
      <c r="U40" s="84" t="str">
        <f t="shared" si="47"/>
        <v/>
      </c>
      <c r="V40" s="106" t="str">
        <f>IF($C40="","",VLOOKUP($C40,'SDDA Dogs'!$A:$O,12,FALSE))</f>
        <v/>
      </c>
      <c r="W40" s="137"/>
      <c r="X40" s="217"/>
      <c r="Y40" s="84" t="str">
        <f t="shared" si="6"/>
        <v/>
      </c>
      <c r="Z40" s="105">
        <f t="shared" si="7"/>
        <v>0</v>
      </c>
      <c r="AA40" s="84" t="str">
        <f t="shared" si="36"/>
        <v/>
      </c>
      <c r="AB40" s="105">
        <f t="shared" si="8"/>
        <v>0</v>
      </c>
      <c r="AC40" s="84" t="str">
        <f t="shared" si="37"/>
        <v/>
      </c>
      <c r="AD40" s="92" t="str">
        <f t="shared" si="25"/>
        <v/>
      </c>
      <c r="AE40" s="89" t="str">
        <f t="shared" si="9"/>
        <v/>
      </c>
      <c r="AF40" s="104" t="str">
        <f t="shared" si="38"/>
        <v/>
      </c>
      <c r="AG40" s="107" t="str">
        <f t="shared" si="39"/>
        <v/>
      </c>
      <c r="AH40" s="92" t="str">
        <f t="shared" si="40"/>
        <v/>
      </c>
      <c r="AI40" s="89" t="str">
        <f t="shared" si="41"/>
        <v/>
      </c>
      <c r="AJ40" s="104" t="str">
        <f t="shared" si="42"/>
        <v/>
      </c>
      <c r="AK40" s="84" t="str">
        <f t="shared" si="43"/>
        <v/>
      </c>
      <c r="AL40" s="265" t="str">
        <f t="shared" si="44"/>
        <v/>
      </c>
      <c r="AM40" s="270">
        <f t="shared" si="45"/>
        <v>0</v>
      </c>
      <c r="AN40" s="270" t="str">
        <f t="shared" si="10"/>
        <v/>
      </c>
      <c r="AO40" s="270" t="str">
        <f t="shared" si="11"/>
        <v/>
      </c>
      <c r="AP40" s="270" t="str">
        <f t="shared" si="12"/>
        <v/>
      </c>
      <c r="AQ40" s="270">
        <f t="shared" si="46"/>
        <v>0</v>
      </c>
      <c r="AR40" s="271">
        <f>MIN(IFERROR(VLOOKUP($C40,'SDDA Dogs'!$A:$O,13,FALSE),0),IFERROR(VLOOKUP($C40,'SDDA Dogs'!$A:$O,14,FALSE),0),IFERROR(VLOOKUP($C40,'SDDA Dogs'!$A:$O,15,FALSE),0))</f>
        <v>0</v>
      </c>
      <c r="AS40" s="272"/>
      <c r="AT40" s="272"/>
      <c r="AU40" s="272" t="str">
        <f>IF(ISERROR(VLOOKUP(C40,'SDDA Dogs'!A:O,6,FALSE)),"",VLOOKUP(C40,'SDDA Dogs'!A:O,6,FALSE))</f>
        <v/>
      </c>
      <c r="AV40" s="270">
        <f t="shared" si="13"/>
        <v>0</v>
      </c>
      <c r="AW40" s="270">
        <f t="shared" si="14"/>
        <v>0</v>
      </c>
      <c r="AX40" s="273">
        <f t="shared" si="15"/>
        <v>0</v>
      </c>
      <c r="AY40" s="274"/>
      <c r="AZ40" s="275">
        <f t="shared" si="48"/>
        <v>0</v>
      </c>
      <c r="BA40" s="275">
        <f t="shared" si="49"/>
        <v>0</v>
      </c>
      <c r="BB40" s="276"/>
      <c r="BC40" s="274" t="str">
        <f>_xlfn.IFNA(IF(I40="Pass",IF(G40&gt;IFERROR(INDEX(DogInfo!A:B,MATCH(C40&amp;$BC$4,DogInfo!A:A,0),2),0),G40,INDEX(DogInfo!A:B,MATCH(C40&amp;$BC$4,DogInfo!A:A,0),2)),INDEX(DogInfo!A:B,MATCH(C40&amp;$BC$4,DogInfo!A:A,0),2)),"")</f>
        <v/>
      </c>
      <c r="BD40" s="274" t="str">
        <f>_xlfn.IFNA(IF(Q40="Pass",IF(O40&gt;IFERROR(INDEX(DogInfo!A:B,MATCH(C40&amp;$BD$4,DogInfo!A:A,0),2),0),O40,INDEX(DogInfo!A:B,MATCH(C40&amp;$BD$4,DogInfo!A:A,0),2)),INDEX(DogInfo!A:B,MATCH(C40&amp;$BD$4,DogInfo!A:A,0),2)),"")</f>
        <v/>
      </c>
      <c r="BE40" s="274" t="str">
        <f>_xlfn.IFNA(IF(Y40="Pass",IF(W40&gt;IFERROR(INDEX(DogInfo!A:B,MATCH(C40&amp;$BE$4,DogInfo!A:A,0),2),0),W40,INDEX(DogInfo!A:B,MATCH(C40&amp;$BE$4,DogInfo!A:A,0),2)),INDEX(DogInfo!A:B,MATCH(C40&amp;$BE$4,DogInfo!A:A,0),2)),"")</f>
        <v/>
      </c>
    </row>
    <row r="41" spans="1:57" x14ac:dyDescent="0.25">
      <c r="A41" s="99">
        <v>37</v>
      </c>
      <c r="B41" s="100"/>
      <c r="C41" s="101"/>
      <c r="D41" s="102" t="str">
        <f>IF($C41="","",VLOOKUP($C41,'SDDA Dogs'!$A:$F,2,FALSE))</f>
        <v/>
      </c>
      <c r="E41" s="211">
        <f t="shared" si="18"/>
        <v>-1</v>
      </c>
      <c r="F41" s="103" t="str">
        <f>IF($C41="","",VLOOKUP($C41,'SDDA Dogs'!$A:$O,10,FALSE))</f>
        <v/>
      </c>
      <c r="G41" s="137"/>
      <c r="H41" s="217"/>
      <c r="I41" s="84" t="str">
        <f t="shared" si="0"/>
        <v/>
      </c>
      <c r="J41" s="105">
        <f t="shared" si="1"/>
        <v>0</v>
      </c>
      <c r="K41" s="84" t="str">
        <f t="shared" si="19"/>
        <v/>
      </c>
      <c r="L41" s="105">
        <f t="shared" si="2"/>
        <v>0</v>
      </c>
      <c r="M41" s="84" t="str">
        <f t="shared" si="20"/>
        <v/>
      </c>
      <c r="N41" s="106" t="str">
        <f>IF($C41="","",VLOOKUP($C41,'SDDA Dogs'!$A:$O,11,FALSE))</f>
        <v/>
      </c>
      <c r="O41" s="137"/>
      <c r="P41" s="217"/>
      <c r="Q41" s="84" t="str">
        <f t="shared" si="3"/>
        <v/>
      </c>
      <c r="R41" s="105">
        <f t="shared" si="4"/>
        <v>0</v>
      </c>
      <c r="S41" s="84" t="str">
        <f t="shared" si="35"/>
        <v/>
      </c>
      <c r="T41" s="105">
        <f t="shared" si="5"/>
        <v>0</v>
      </c>
      <c r="U41" s="84" t="str">
        <f t="shared" si="47"/>
        <v/>
      </c>
      <c r="V41" s="106" t="str">
        <f>IF($C41="","",VLOOKUP($C41,'SDDA Dogs'!$A:$O,12,FALSE))</f>
        <v/>
      </c>
      <c r="W41" s="137"/>
      <c r="X41" s="217"/>
      <c r="Y41" s="84" t="str">
        <f t="shared" si="6"/>
        <v/>
      </c>
      <c r="Z41" s="105">
        <f t="shared" si="7"/>
        <v>0</v>
      </c>
      <c r="AA41" s="84" t="str">
        <f t="shared" si="36"/>
        <v/>
      </c>
      <c r="AB41" s="105">
        <f t="shared" si="8"/>
        <v>0</v>
      </c>
      <c r="AC41" s="84" t="str">
        <f t="shared" si="37"/>
        <v/>
      </c>
      <c r="AD41" s="92" t="str">
        <f t="shared" si="25"/>
        <v/>
      </c>
      <c r="AE41" s="89" t="str">
        <f t="shared" si="9"/>
        <v/>
      </c>
      <c r="AF41" s="104" t="str">
        <f t="shared" si="38"/>
        <v/>
      </c>
      <c r="AG41" s="107" t="str">
        <f t="shared" si="39"/>
        <v/>
      </c>
      <c r="AH41" s="92" t="str">
        <f t="shared" si="40"/>
        <v/>
      </c>
      <c r="AI41" s="89" t="str">
        <f t="shared" si="41"/>
        <v/>
      </c>
      <c r="AJ41" s="104" t="str">
        <f t="shared" si="42"/>
        <v/>
      </c>
      <c r="AK41" s="84" t="str">
        <f t="shared" si="43"/>
        <v/>
      </c>
      <c r="AL41" s="265" t="str">
        <f t="shared" si="44"/>
        <v/>
      </c>
      <c r="AM41" s="270">
        <f t="shared" si="45"/>
        <v>0</v>
      </c>
      <c r="AN41" s="270" t="str">
        <f t="shared" si="10"/>
        <v/>
      </c>
      <c r="AO41" s="270" t="str">
        <f t="shared" si="11"/>
        <v/>
      </c>
      <c r="AP41" s="270" t="str">
        <f t="shared" si="12"/>
        <v/>
      </c>
      <c r="AQ41" s="270">
        <f t="shared" si="46"/>
        <v>0</v>
      </c>
      <c r="AR41" s="271">
        <f>MIN(IFERROR(VLOOKUP($C41,'SDDA Dogs'!$A:$O,13,FALSE),0),IFERROR(VLOOKUP($C41,'SDDA Dogs'!$A:$O,14,FALSE),0),IFERROR(VLOOKUP($C41,'SDDA Dogs'!$A:$O,15,FALSE),0))</f>
        <v>0</v>
      </c>
      <c r="AS41" s="272"/>
      <c r="AT41" s="272"/>
      <c r="AU41" s="272" t="str">
        <f>IF(ISERROR(VLOOKUP(C41,'SDDA Dogs'!A:O,6,FALSE)),"",VLOOKUP(C41,'SDDA Dogs'!A:O,6,FALSE))</f>
        <v/>
      </c>
      <c r="AV41" s="270">
        <f t="shared" si="13"/>
        <v>0</v>
      </c>
      <c r="AW41" s="270">
        <f t="shared" si="14"/>
        <v>0</v>
      </c>
      <c r="AX41" s="273">
        <f t="shared" si="15"/>
        <v>0</v>
      </c>
      <c r="AY41" s="274"/>
      <c r="AZ41" s="275">
        <f t="shared" si="48"/>
        <v>0</v>
      </c>
      <c r="BA41" s="275">
        <f t="shared" si="49"/>
        <v>0</v>
      </c>
      <c r="BB41" s="276"/>
      <c r="BC41" s="274" t="str">
        <f>_xlfn.IFNA(IF(I41="Pass",IF(G41&gt;IFERROR(INDEX(DogInfo!A:B,MATCH(C41&amp;$BC$4,DogInfo!A:A,0),2),0),G41,INDEX(DogInfo!A:B,MATCH(C41&amp;$BC$4,DogInfo!A:A,0),2)),INDEX(DogInfo!A:B,MATCH(C41&amp;$BC$4,DogInfo!A:A,0),2)),"")</f>
        <v/>
      </c>
      <c r="BD41" s="274" t="str">
        <f>_xlfn.IFNA(IF(Q41="Pass",IF(O41&gt;IFERROR(INDEX(DogInfo!A:B,MATCH(C41&amp;$BD$4,DogInfo!A:A,0),2),0),O41,INDEX(DogInfo!A:B,MATCH(C41&amp;$BD$4,DogInfo!A:A,0),2)),INDEX(DogInfo!A:B,MATCH(C41&amp;$BD$4,DogInfo!A:A,0),2)),"")</f>
        <v/>
      </c>
      <c r="BE41" s="274" t="str">
        <f>_xlfn.IFNA(IF(Y41="Pass",IF(W41&gt;IFERROR(INDEX(DogInfo!A:B,MATCH(C41&amp;$BE$4,DogInfo!A:A,0),2),0),W41,INDEX(DogInfo!A:B,MATCH(C41&amp;$BE$4,DogInfo!A:A,0),2)),INDEX(DogInfo!A:B,MATCH(C41&amp;$BE$4,DogInfo!A:A,0),2)),"")</f>
        <v/>
      </c>
    </row>
    <row r="42" spans="1:57" x14ac:dyDescent="0.25">
      <c r="A42" s="99">
        <v>38</v>
      </c>
      <c r="B42" s="100"/>
      <c r="C42" s="101"/>
      <c r="D42" s="102" t="str">
        <f>IF($C42="","",VLOOKUP($C42,'SDDA Dogs'!$A:$F,2,FALSE))</f>
        <v/>
      </c>
      <c r="E42" s="211">
        <f t="shared" si="18"/>
        <v>-1</v>
      </c>
      <c r="F42" s="103" t="str">
        <f>IF($C42="","",VLOOKUP($C42,'SDDA Dogs'!$A:$O,10,FALSE))</f>
        <v/>
      </c>
      <c r="G42" s="137"/>
      <c r="H42" s="217"/>
      <c r="I42" s="84" t="str">
        <f t="shared" si="0"/>
        <v/>
      </c>
      <c r="J42" s="105">
        <f t="shared" si="1"/>
        <v>0</v>
      </c>
      <c r="K42" s="84" t="str">
        <f t="shared" si="19"/>
        <v/>
      </c>
      <c r="L42" s="105">
        <f t="shared" si="2"/>
        <v>0</v>
      </c>
      <c r="M42" s="84" t="str">
        <f t="shared" si="20"/>
        <v/>
      </c>
      <c r="N42" s="106" t="str">
        <f>IF($C42="","",VLOOKUP($C42,'SDDA Dogs'!$A:$O,11,FALSE))</f>
        <v/>
      </c>
      <c r="O42" s="137"/>
      <c r="P42" s="217"/>
      <c r="Q42" s="84" t="str">
        <f t="shared" si="3"/>
        <v/>
      </c>
      <c r="R42" s="105">
        <f t="shared" si="4"/>
        <v>0</v>
      </c>
      <c r="S42" s="84" t="str">
        <f t="shared" si="35"/>
        <v/>
      </c>
      <c r="T42" s="105">
        <f t="shared" si="5"/>
        <v>0</v>
      </c>
      <c r="U42" s="84" t="str">
        <f t="shared" si="47"/>
        <v/>
      </c>
      <c r="V42" s="106" t="str">
        <f>IF($C42="","",VLOOKUP($C42,'SDDA Dogs'!$A:$O,12,FALSE))</f>
        <v/>
      </c>
      <c r="W42" s="137"/>
      <c r="X42" s="217"/>
      <c r="Y42" s="84" t="str">
        <f t="shared" si="6"/>
        <v/>
      </c>
      <c r="Z42" s="105">
        <f t="shared" si="7"/>
        <v>0</v>
      </c>
      <c r="AA42" s="84" t="str">
        <f t="shared" si="36"/>
        <v/>
      </c>
      <c r="AB42" s="105">
        <f t="shared" si="8"/>
        <v>0</v>
      </c>
      <c r="AC42" s="84" t="str">
        <f t="shared" si="37"/>
        <v/>
      </c>
      <c r="AD42" s="92" t="str">
        <f t="shared" si="25"/>
        <v/>
      </c>
      <c r="AE42" s="89" t="str">
        <f t="shared" si="9"/>
        <v/>
      </c>
      <c r="AF42" s="104" t="str">
        <f t="shared" si="38"/>
        <v/>
      </c>
      <c r="AG42" s="107" t="str">
        <f t="shared" si="39"/>
        <v/>
      </c>
      <c r="AH42" s="92" t="str">
        <f t="shared" si="40"/>
        <v/>
      </c>
      <c r="AI42" s="89" t="str">
        <f t="shared" si="41"/>
        <v/>
      </c>
      <c r="AJ42" s="104" t="str">
        <f t="shared" si="42"/>
        <v/>
      </c>
      <c r="AK42" s="84" t="str">
        <f t="shared" si="43"/>
        <v/>
      </c>
      <c r="AL42" s="265" t="str">
        <f t="shared" si="44"/>
        <v/>
      </c>
      <c r="AM42" s="270">
        <f t="shared" si="45"/>
        <v>0</v>
      </c>
      <c r="AN42" s="270" t="str">
        <f t="shared" si="10"/>
        <v/>
      </c>
      <c r="AO42" s="270" t="str">
        <f t="shared" si="11"/>
        <v/>
      </c>
      <c r="AP42" s="270" t="str">
        <f t="shared" si="12"/>
        <v/>
      </c>
      <c r="AQ42" s="270">
        <f t="shared" si="46"/>
        <v>0</v>
      </c>
      <c r="AR42" s="271">
        <f>MIN(IFERROR(VLOOKUP($C42,'SDDA Dogs'!$A:$O,13,FALSE),0),IFERROR(VLOOKUP($C42,'SDDA Dogs'!$A:$O,14,FALSE),0),IFERROR(VLOOKUP($C42,'SDDA Dogs'!$A:$O,15,FALSE),0))</f>
        <v>0</v>
      </c>
      <c r="AS42" s="272"/>
      <c r="AT42" s="272"/>
      <c r="AU42" s="272" t="str">
        <f>IF(ISERROR(VLOOKUP(C42,'SDDA Dogs'!A:O,6,FALSE)),"",VLOOKUP(C42,'SDDA Dogs'!A:O,6,FALSE))</f>
        <v/>
      </c>
      <c r="AV42" s="270">
        <f t="shared" si="13"/>
        <v>0</v>
      </c>
      <c r="AW42" s="270">
        <f t="shared" si="14"/>
        <v>0</v>
      </c>
      <c r="AX42" s="273">
        <f t="shared" si="15"/>
        <v>0</v>
      </c>
      <c r="AY42" s="274"/>
      <c r="AZ42" s="275">
        <f t="shared" si="48"/>
        <v>0</v>
      </c>
      <c r="BA42" s="275">
        <f t="shared" si="49"/>
        <v>0</v>
      </c>
      <c r="BB42" s="276"/>
      <c r="BC42" s="274" t="str">
        <f>_xlfn.IFNA(IF(I42="Pass",IF(G42&gt;IFERROR(INDEX(DogInfo!A:B,MATCH(C42&amp;$BC$4,DogInfo!A:A,0),2),0),G42,INDEX(DogInfo!A:B,MATCH(C42&amp;$BC$4,DogInfo!A:A,0),2)),INDEX(DogInfo!A:B,MATCH(C42&amp;$BC$4,DogInfo!A:A,0),2)),"")</f>
        <v/>
      </c>
      <c r="BD42" s="274" t="str">
        <f>_xlfn.IFNA(IF(Q42="Pass",IF(O42&gt;IFERROR(INDEX(DogInfo!A:B,MATCH(C42&amp;$BD$4,DogInfo!A:A,0),2),0),O42,INDEX(DogInfo!A:B,MATCH(C42&amp;$BD$4,DogInfo!A:A,0),2)),INDEX(DogInfo!A:B,MATCH(C42&amp;$BD$4,DogInfo!A:A,0),2)),"")</f>
        <v/>
      </c>
      <c r="BE42" s="274" t="str">
        <f>_xlfn.IFNA(IF(Y42="Pass",IF(W42&gt;IFERROR(INDEX(DogInfo!A:B,MATCH(C42&amp;$BE$4,DogInfo!A:A,0),2),0),W42,INDEX(DogInfo!A:B,MATCH(C42&amp;$BE$4,DogInfo!A:A,0),2)),INDEX(DogInfo!A:B,MATCH(C42&amp;$BE$4,DogInfo!A:A,0),2)),"")</f>
        <v/>
      </c>
    </row>
    <row r="43" spans="1:57" x14ac:dyDescent="0.25">
      <c r="A43" s="99">
        <v>39</v>
      </c>
      <c r="B43" s="100"/>
      <c r="C43" s="101"/>
      <c r="D43" s="102" t="str">
        <f>IF($C43="","",VLOOKUP($C43,'SDDA Dogs'!$A:$F,2,FALSE))</f>
        <v/>
      </c>
      <c r="E43" s="211">
        <f t="shared" si="18"/>
        <v>-1</v>
      </c>
      <c r="F43" s="103" t="str">
        <f>IF($C43="","",VLOOKUP($C43,'SDDA Dogs'!$A:$O,10,FALSE))</f>
        <v/>
      </c>
      <c r="G43" s="137"/>
      <c r="H43" s="217"/>
      <c r="I43" s="84" t="str">
        <f t="shared" si="0"/>
        <v/>
      </c>
      <c r="J43" s="105">
        <f t="shared" si="1"/>
        <v>0</v>
      </c>
      <c r="K43" s="84" t="str">
        <f t="shared" si="19"/>
        <v/>
      </c>
      <c r="L43" s="105">
        <f t="shared" si="2"/>
        <v>0</v>
      </c>
      <c r="M43" s="84" t="str">
        <f t="shared" si="20"/>
        <v/>
      </c>
      <c r="N43" s="106" t="str">
        <f>IF($C43="","",VLOOKUP($C43,'SDDA Dogs'!$A:$O,11,FALSE))</f>
        <v/>
      </c>
      <c r="O43" s="137"/>
      <c r="P43" s="217"/>
      <c r="Q43" s="84" t="str">
        <f t="shared" si="3"/>
        <v/>
      </c>
      <c r="R43" s="105">
        <f t="shared" si="4"/>
        <v>0</v>
      </c>
      <c r="S43" s="84" t="str">
        <f t="shared" si="35"/>
        <v/>
      </c>
      <c r="T43" s="105">
        <f t="shared" si="5"/>
        <v>0</v>
      </c>
      <c r="U43" s="84" t="str">
        <f t="shared" si="47"/>
        <v/>
      </c>
      <c r="V43" s="106" t="str">
        <f>IF($C43="","",VLOOKUP($C43,'SDDA Dogs'!$A:$O,12,FALSE))</f>
        <v/>
      </c>
      <c r="W43" s="137"/>
      <c r="X43" s="217"/>
      <c r="Y43" s="84" t="str">
        <f t="shared" si="6"/>
        <v/>
      </c>
      <c r="Z43" s="105">
        <f t="shared" si="7"/>
        <v>0</v>
      </c>
      <c r="AA43" s="84" t="str">
        <f t="shared" si="36"/>
        <v/>
      </c>
      <c r="AB43" s="105">
        <f t="shared" si="8"/>
        <v>0</v>
      </c>
      <c r="AC43" s="84" t="str">
        <f t="shared" si="37"/>
        <v/>
      </c>
      <c r="AD43" s="92" t="str">
        <f t="shared" si="25"/>
        <v/>
      </c>
      <c r="AE43" s="89" t="str">
        <f t="shared" si="9"/>
        <v/>
      </c>
      <c r="AF43" s="104" t="str">
        <f t="shared" si="38"/>
        <v/>
      </c>
      <c r="AG43" s="107" t="str">
        <f t="shared" si="39"/>
        <v/>
      </c>
      <c r="AH43" s="92" t="str">
        <f t="shared" si="40"/>
        <v/>
      </c>
      <c r="AI43" s="89" t="str">
        <f t="shared" si="41"/>
        <v/>
      </c>
      <c r="AJ43" s="104" t="str">
        <f t="shared" si="42"/>
        <v/>
      </c>
      <c r="AK43" s="84" t="str">
        <f t="shared" si="43"/>
        <v/>
      </c>
      <c r="AL43" s="265" t="str">
        <f t="shared" si="44"/>
        <v/>
      </c>
      <c r="AM43" s="270">
        <f t="shared" si="45"/>
        <v>0</v>
      </c>
      <c r="AN43" s="270" t="str">
        <f t="shared" si="10"/>
        <v/>
      </c>
      <c r="AO43" s="270" t="str">
        <f t="shared" si="11"/>
        <v/>
      </c>
      <c r="AP43" s="270" t="str">
        <f t="shared" si="12"/>
        <v/>
      </c>
      <c r="AQ43" s="270">
        <f t="shared" si="46"/>
        <v>0</v>
      </c>
      <c r="AR43" s="271">
        <f>MIN(IFERROR(VLOOKUP($C43,'SDDA Dogs'!$A:$O,13,FALSE),0),IFERROR(VLOOKUP($C43,'SDDA Dogs'!$A:$O,14,FALSE),0),IFERROR(VLOOKUP($C43,'SDDA Dogs'!$A:$O,15,FALSE),0))</f>
        <v>0</v>
      </c>
      <c r="AS43" s="272"/>
      <c r="AT43" s="272"/>
      <c r="AU43" s="272" t="str">
        <f>IF(ISERROR(VLOOKUP(C43,'SDDA Dogs'!A:O,6,FALSE)),"",VLOOKUP(C43,'SDDA Dogs'!A:O,6,FALSE))</f>
        <v/>
      </c>
      <c r="AV43" s="270">
        <f t="shared" si="13"/>
        <v>0</v>
      </c>
      <c r="AW43" s="270">
        <f t="shared" si="14"/>
        <v>0</v>
      </c>
      <c r="AX43" s="273">
        <f t="shared" si="15"/>
        <v>0</v>
      </c>
      <c r="AY43" s="274"/>
      <c r="AZ43" s="275">
        <f t="shared" si="48"/>
        <v>0</v>
      </c>
      <c r="BA43" s="275">
        <f t="shared" si="49"/>
        <v>0</v>
      </c>
      <c r="BB43" s="276"/>
      <c r="BC43" s="274" t="str">
        <f>_xlfn.IFNA(IF(I43="Pass",IF(G43&gt;IFERROR(INDEX(DogInfo!A:B,MATCH(C43&amp;$BC$4,DogInfo!A:A,0),2),0),G43,INDEX(DogInfo!A:B,MATCH(C43&amp;$BC$4,DogInfo!A:A,0),2)),INDEX(DogInfo!A:B,MATCH(C43&amp;$BC$4,DogInfo!A:A,0),2)),"")</f>
        <v/>
      </c>
      <c r="BD43" s="274" t="str">
        <f>_xlfn.IFNA(IF(Q43="Pass",IF(O43&gt;IFERROR(INDEX(DogInfo!A:B,MATCH(C43&amp;$BD$4,DogInfo!A:A,0),2),0),O43,INDEX(DogInfo!A:B,MATCH(C43&amp;$BD$4,DogInfo!A:A,0),2)),INDEX(DogInfo!A:B,MATCH(C43&amp;$BD$4,DogInfo!A:A,0),2)),"")</f>
        <v/>
      </c>
      <c r="BE43" s="274" t="str">
        <f>_xlfn.IFNA(IF(Y43="Pass",IF(W43&gt;IFERROR(INDEX(DogInfo!A:B,MATCH(C43&amp;$BE$4,DogInfo!A:A,0),2),0),W43,INDEX(DogInfo!A:B,MATCH(C43&amp;$BE$4,DogInfo!A:A,0),2)),INDEX(DogInfo!A:B,MATCH(C43&amp;$BE$4,DogInfo!A:A,0),2)),"")</f>
        <v/>
      </c>
    </row>
    <row r="44" spans="1:57" x14ac:dyDescent="0.25">
      <c r="A44" s="99">
        <v>40</v>
      </c>
      <c r="B44" s="100"/>
      <c r="C44" s="101"/>
      <c r="D44" s="102" t="str">
        <f>IF($C44="","",VLOOKUP($C44,'SDDA Dogs'!$A:$F,2,FALSE))</f>
        <v/>
      </c>
      <c r="E44" s="211">
        <f t="shared" si="18"/>
        <v>-1</v>
      </c>
      <c r="F44" s="103" t="str">
        <f>IF($C44="","",VLOOKUP($C44,'SDDA Dogs'!$A:$O,10,FALSE))</f>
        <v/>
      </c>
      <c r="G44" s="137"/>
      <c r="H44" s="217"/>
      <c r="I44" s="84" t="str">
        <f t="shared" si="0"/>
        <v/>
      </c>
      <c r="J44" s="105">
        <f t="shared" si="1"/>
        <v>0</v>
      </c>
      <c r="K44" s="84" t="str">
        <f t="shared" si="19"/>
        <v/>
      </c>
      <c r="L44" s="105">
        <f t="shared" si="2"/>
        <v>0</v>
      </c>
      <c r="M44" s="84" t="str">
        <f t="shared" si="20"/>
        <v/>
      </c>
      <c r="N44" s="106" t="str">
        <f>IF($C44="","",VLOOKUP($C44,'SDDA Dogs'!$A:$O,11,FALSE))</f>
        <v/>
      </c>
      <c r="O44" s="137"/>
      <c r="P44" s="217"/>
      <c r="Q44" s="84" t="str">
        <f t="shared" si="3"/>
        <v/>
      </c>
      <c r="R44" s="105">
        <f t="shared" si="4"/>
        <v>0</v>
      </c>
      <c r="S44" s="84" t="str">
        <f t="shared" si="35"/>
        <v/>
      </c>
      <c r="T44" s="105">
        <f t="shared" si="5"/>
        <v>0</v>
      </c>
      <c r="U44" s="84" t="str">
        <f t="shared" si="47"/>
        <v/>
      </c>
      <c r="V44" s="106" t="str">
        <f>IF($C44="","",VLOOKUP($C44,'SDDA Dogs'!$A:$O,12,FALSE))</f>
        <v/>
      </c>
      <c r="W44" s="137"/>
      <c r="X44" s="217"/>
      <c r="Y44" s="84" t="str">
        <f t="shared" si="6"/>
        <v/>
      </c>
      <c r="Z44" s="105">
        <f t="shared" si="7"/>
        <v>0</v>
      </c>
      <c r="AA44" s="84" t="str">
        <f t="shared" si="36"/>
        <v/>
      </c>
      <c r="AB44" s="105">
        <f t="shared" si="8"/>
        <v>0</v>
      </c>
      <c r="AC44" s="84" t="str">
        <f t="shared" si="37"/>
        <v/>
      </c>
      <c r="AD44" s="92" t="str">
        <f t="shared" si="25"/>
        <v/>
      </c>
      <c r="AE44" s="89" t="str">
        <f t="shared" si="9"/>
        <v/>
      </c>
      <c r="AF44" s="104" t="str">
        <f t="shared" si="38"/>
        <v/>
      </c>
      <c r="AG44" s="107" t="str">
        <f t="shared" si="39"/>
        <v/>
      </c>
      <c r="AH44" s="92" t="str">
        <f t="shared" si="40"/>
        <v/>
      </c>
      <c r="AI44" s="89" t="str">
        <f t="shared" si="41"/>
        <v/>
      </c>
      <c r="AJ44" s="104" t="str">
        <f t="shared" si="42"/>
        <v/>
      </c>
      <c r="AK44" s="84" t="str">
        <f t="shared" si="43"/>
        <v/>
      </c>
      <c r="AL44" s="265" t="str">
        <f t="shared" si="44"/>
        <v/>
      </c>
      <c r="AM44" s="270">
        <f t="shared" si="45"/>
        <v>0</v>
      </c>
      <c r="AN44" s="270" t="str">
        <f t="shared" si="10"/>
        <v/>
      </c>
      <c r="AO44" s="270" t="str">
        <f t="shared" si="11"/>
        <v/>
      </c>
      <c r="AP44" s="270" t="str">
        <f t="shared" si="12"/>
        <v/>
      </c>
      <c r="AQ44" s="270">
        <f t="shared" si="46"/>
        <v>0</v>
      </c>
      <c r="AR44" s="271">
        <f>MIN(IFERROR(VLOOKUP($C44,'SDDA Dogs'!$A:$O,13,FALSE),0),IFERROR(VLOOKUP($C44,'SDDA Dogs'!$A:$O,14,FALSE),0),IFERROR(VLOOKUP($C44,'SDDA Dogs'!$A:$O,15,FALSE),0))</f>
        <v>0</v>
      </c>
      <c r="AS44" s="272"/>
      <c r="AT44" s="272"/>
      <c r="AU44" s="272" t="str">
        <f>IF(ISERROR(VLOOKUP(C44,'SDDA Dogs'!A:O,6,FALSE)),"",VLOOKUP(C44,'SDDA Dogs'!A:O,6,FALSE))</f>
        <v/>
      </c>
      <c r="AV44" s="270">
        <f t="shared" si="13"/>
        <v>0</v>
      </c>
      <c r="AW44" s="270">
        <f t="shared" si="14"/>
        <v>0</v>
      </c>
      <c r="AX44" s="273">
        <f t="shared" si="15"/>
        <v>0</v>
      </c>
      <c r="AY44" s="274"/>
      <c r="AZ44" s="275">
        <f t="shared" si="48"/>
        <v>0</v>
      </c>
      <c r="BA44" s="275">
        <f t="shared" si="49"/>
        <v>0</v>
      </c>
      <c r="BB44" s="276"/>
      <c r="BC44" s="274" t="str">
        <f>_xlfn.IFNA(IF(I44="Pass",IF(G44&gt;IFERROR(INDEX(DogInfo!A:B,MATCH(C44&amp;$BC$4,DogInfo!A:A,0),2),0),G44,INDEX(DogInfo!A:B,MATCH(C44&amp;$BC$4,DogInfo!A:A,0),2)),INDEX(DogInfo!A:B,MATCH(C44&amp;$BC$4,DogInfo!A:A,0),2)),"")</f>
        <v/>
      </c>
      <c r="BD44" s="274" t="str">
        <f>_xlfn.IFNA(IF(Q44="Pass",IF(O44&gt;IFERROR(INDEX(DogInfo!A:B,MATCH(C44&amp;$BD$4,DogInfo!A:A,0),2),0),O44,INDEX(DogInfo!A:B,MATCH(C44&amp;$BD$4,DogInfo!A:A,0),2)),INDEX(DogInfo!A:B,MATCH(C44&amp;$BD$4,DogInfo!A:A,0),2)),"")</f>
        <v/>
      </c>
      <c r="BE44" s="274" t="str">
        <f>_xlfn.IFNA(IF(Y44="Pass",IF(W44&gt;IFERROR(INDEX(DogInfo!A:B,MATCH(C44&amp;$BE$4,DogInfo!A:A,0),2),0),W44,INDEX(DogInfo!A:B,MATCH(C44&amp;$BE$4,DogInfo!A:A,0),2)),INDEX(DogInfo!A:B,MATCH(C44&amp;$BE$4,DogInfo!A:A,0),2)),"")</f>
        <v/>
      </c>
    </row>
    <row r="45" spans="1:57" x14ac:dyDescent="0.25">
      <c r="A45" s="99">
        <v>41</v>
      </c>
      <c r="B45" s="100"/>
      <c r="C45" s="101"/>
      <c r="D45" s="102" t="str">
        <f>IF($C45="","",VLOOKUP($C45,'SDDA Dogs'!$A:$F,2,FALSE))</f>
        <v/>
      </c>
      <c r="E45" s="211">
        <f t="shared" si="18"/>
        <v>-1</v>
      </c>
      <c r="F45" s="103" t="str">
        <f>IF($C45="","",VLOOKUP($C45,'SDDA Dogs'!$A:$O,10,FALSE))</f>
        <v/>
      </c>
      <c r="G45" s="137"/>
      <c r="H45" s="217"/>
      <c r="I45" s="84" t="str">
        <f t="shared" si="0"/>
        <v/>
      </c>
      <c r="J45" s="105">
        <f t="shared" si="1"/>
        <v>0</v>
      </c>
      <c r="K45" s="84" t="str">
        <f t="shared" si="19"/>
        <v/>
      </c>
      <c r="L45" s="105">
        <f t="shared" si="2"/>
        <v>0</v>
      </c>
      <c r="M45" s="84" t="str">
        <f t="shared" si="20"/>
        <v/>
      </c>
      <c r="N45" s="106" t="str">
        <f>IF($C45="","",VLOOKUP($C45,'SDDA Dogs'!$A:$O,11,FALSE))</f>
        <v/>
      </c>
      <c r="O45" s="137"/>
      <c r="P45" s="217"/>
      <c r="Q45" s="84" t="str">
        <f t="shared" si="3"/>
        <v/>
      </c>
      <c r="R45" s="105">
        <f t="shared" si="4"/>
        <v>0</v>
      </c>
      <c r="S45" s="84" t="str">
        <f t="shared" si="35"/>
        <v/>
      </c>
      <c r="T45" s="105">
        <f t="shared" si="5"/>
        <v>0</v>
      </c>
      <c r="U45" s="84" t="str">
        <f t="shared" si="47"/>
        <v/>
      </c>
      <c r="V45" s="106" t="str">
        <f>IF($C45="","",VLOOKUP($C45,'SDDA Dogs'!$A:$O,12,FALSE))</f>
        <v/>
      </c>
      <c r="W45" s="137"/>
      <c r="X45" s="217"/>
      <c r="Y45" s="84" t="str">
        <f t="shared" si="6"/>
        <v/>
      </c>
      <c r="Z45" s="105">
        <f t="shared" si="7"/>
        <v>0</v>
      </c>
      <c r="AA45" s="84" t="str">
        <f t="shared" si="36"/>
        <v/>
      </c>
      <c r="AB45" s="105">
        <f t="shared" si="8"/>
        <v>0</v>
      </c>
      <c r="AC45" s="84" t="str">
        <f t="shared" si="37"/>
        <v/>
      </c>
      <c r="AD45" s="92" t="str">
        <f t="shared" si="25"/>
        <v/>
      </c>
      <c r="AE45" s="89" t="str">
        <f t="shared" si="9"/>
        <v/>
      </c>
      <c r="AF45" s="104" t="str">
        <f t="shared" si="38"/>
        <v/>
      </c>
      <c r="AG45" s="107" t="str">
        <f t="shared" si="39"/>
        <v/>
      </c>
      <c r="AH45" s="92" t="str">
        <f t="shared" si="40"/>
        <v/>
      </c>
      <c r="AI45" s="89" t="str">
        <f t="shared" si="41"/>
        <v/>
      </c>
      <c r="AJ45" s="104" t="str">
        <f t="shared" si="42"/>
        <v/>
      </c>
      <c r="AK45" s="84" t="str">
        <f t="shared" si="43"/>
        <v/>
      </c>
      <c r="AL45" s="265" t="str">
        <f t="shared" si="44"/>
        <v/>
      </c>
      <c r="AM45" s="270">
        <f t="shared" si="45"/>
        <v>0</v>
      </c>
      <c r="AN45" s="270" t="str">
        <f t="shared" si="10"/>
        <v/>
      </c>
      <c r="AO45" s="270" t="str">
        <f t="shared" si="11"/>
        <v/>
      </c>
      <c r="AP45" s="270" t="str">
        <f t="shared" si="12"/>
        <v/>
      </c>
      <c r="AQ45" s="270">
        <f t="shared" si="46"/>
        <v>0</v>
      </c>
      <c r="AR45" s="271">
        <f>MIN(IFERROR(VLOOKUP($C45,'SDDA Dogs'!$A:$O,13,FALSE),0),IFERROR(VLOOKUP($C45,'SDDA Dogs'!$A:$O,14,FALSE),0),IFERROR(VLOOKUP($C45,'SDDA Dogs'!$A:$O,15,FALSE),0))</f>
        <v>0</v>
      </c>
      <c r="AS45" s="272"/>
      <c r="AT45" s="272"/>
      <c r="AU45" s="272" t="str">
        <f>IF(ISERROR(VLOOKUP(C45,'SDDA Dogs'!A:O,6,FALSE)),"",VLOOKUP(C45,'SDDA Dogs'!A:O,6,FALSE))</f>
        <v/>
      </c>
      <c r="AV45" s="270">
        <f t="shared" si="13"/>
        <v>0</v>
      </c>
      <c r="AW45" s="270">
        <f t="shared" si="14"/>
        <v>0</v>
      </c>
      <c r="AX45" s="273">
        <f t="shared" si="15"/>
        <v>0</v>
      </c>
      <c r="AY45" s="274"/>
      <c r="AZ45" s="275">
        <f t="shared" si="48"/>
        <v>0</v>
      </c>
      <c r="BA45" s="275">
        <f t="shared" si="49"/>
        <v>0</v>
      </c>
      <c r="BB45" s="276"/>
      <c r="BC45" s="274" t="str">
        <f>_xlfn.IFNA(IF(I45="Pass",IF(G45&gt;IFERROR(INDEX(DogInfo!A:B,MATCH(C45&amp;$BC$4,DogInfo!A:A,0),2),0),G45,INDEX(DogInfo!A:B,MATCH(C45&amp;$BC$4,DogInfo!A:A,0),2)),INDEX(DogInfo!A:B,MATCH(C45&amp;$BC$4,DogInfo!A:A,0),2)),"")</f>
        <v/>
      </c>
      <c r="BD45" s="274" t="str">
        <f>_xlfn.IFNA(IF(Q45="Pass",IF(O45&gt;IFERROR(INDEX(DogInfo!A:B,MATCH(C45&amp;$BD$4,DogInfo!A:A,0),2),0),O45,INDEX(DogInfo!A:B,MATCH(C45&amp;$BD$4,DogInfo!A:A,0),2)),INDEX(DogInfo!A:B,MATCH(C45&amp;$BD$4,DogInfo!A:A,0),2)),"")</f>
        <v/>
      </c>
      <c r="BE45" s="274" t="str">
        <f>_xlfn.IFNA(IF(Y45="Pass",IF(W45&gt;IFERROR(INDEX(DogInfo!A:B,MATCH(C45&amp;$BE$4,DogInfo!A:A,0),2),0),W45,INDEX(DogInfo!A:B,MATCH(C45&amp;$BE$4,DogInfo!A:A,0),2)),INDEX(DogInfo!A:B,MATCH(C45&amp;$BE$4,DogInfo!A:A,0),2)),"")</f>
        <v/>
      </c>
    </row>
    <row r="46" spans="1:57" x14ac:dyDescent="0.25">
      <c r="A46" s="99">
        <v>42</v>
      </c>
      <c r="B46" s="100"/>
      <c r="C46" s="101"/>
      <c r="D46" s="102" t="str">
        <f>IF($C46="","",VLOOKUP($C46,'SDDA Dogs'!$A:$F,2,FALSE))</f>
        <v/>
      </c>
      <c r="E46" s="211">
        <f t="shared" si="18"/>
        <v>-1</v>
      </c>
      <c r="F46" s="103" t="str">
        <f>IF($C46="","",VLOOKUP($C46,'SDDA Dogs'!$A:$O,10,FALSE))</f>
        <v/>
      </c>
      <c r="G46" s="137"/>
      <c r="H46" s="217"/>
      <c r="I46" s="84" t="str">
        <f t="shared" si="0"/>
        <v/>
      </c>
      <c r="J46" s="105">
        <f t="shared" si="1"/>
        <v>0</v>
      </c>
      <c r="K46" s="84" t="str">
        <f t="shared" si="19"/>
        <v/>
      </c>
      <c r="L46" s="105">
        <f t="shared" si="2"/>
        <v>0</v>
      </c>
      <c r="M46" s="84" t="str">
        <f t="shared" si="20"/>
        <v/>
      </c>
      <c r="N46" s="106" t="str">
        <f>IF($C46="","",VLOOKUP($C46,'SDDA Dogs'!$A:$O,11,FALSE))</f>
        <v/>
      </c>
      <c r="O46" s="137"/>
      <c r="P46" s="217"/>
      <c r="Q46" s="84" t="str">
        <f t="shared" si="3"/>
        <v/>
      </c>
      <c r="R46" s="105">
        <f t="shared" si="4"/>
        <v>0</v>
      </c>
      <c r="S46" s="84" t="str">
        <f t="shared" si="35"/>
        <v/>
      </c>
      <c r="T46" s="105">
        <f t="shared" si="5"/>
        <v>0</v>
      </c>
      <c r="U46" s="84" t="str">
        <f t="shared" si="47"/>
        <v/>
      </c>
      <c r="V46" s="106" t="str">
        <f>IF($C46="","",VLOOKUP($C46,'SDDA Dogs'!$A:$O,12,FALSE))</f>
        <v/>
      </c>
      <c r="W46" s="137"/>
      <c r="X46" s="217"/>
      <c r="Y46" s="84" t="str">
        <f t="shared" si="6"/>
        <v/>
      </c>
      <c r="Z46" s="105">
        <f t="shared" si="7"/>
        <v>0</v>
      </c>
      <c r="AA46" s="84" t="str">
        <f t="shared" si="36"/>
        <v/>
      </c>
      <c r="AB46" s="105">
        <f t="shared" si="8"/>
        <v>0</v>
      </c>
      <c r="AC46" s="84" t="str">
        <f t="shared" si="37"/>
        <v/>
      </c>
      <c r="AD46" s="92" t="str">
        <f t="shared" si="25"/>
        <v/>
      </c>
      <c r="AE46" s="89" t="str">
        <f t="shared" si="9"/>
        <v/>
      </c>
      <c r="AF46" s="104" t="str">
        <f t="shared" si="38"/>
        <v/>
      </c>
      <c r="AG46" s="107" t="str">
        <f t="shared" si="39"/>
        <v/>
      </c>
      <c r="AH46" s="92" t="str">
        <f t="shared" si="40"/>
        <v/>
      </c>
      <c r="AI46" s="89" t="str">
        <f t="shared" si="41"/>
        <v/>
      </c>
      <c r="AJ46" s="104" t="str">
        <f t="shared" si="42"/>
        <v/>
      </c>
      <c r="AK46" s="84" t="str">
        <f t="shared" si="43"/>
        <v/>
      </c>
      <c r="AL46" s="265" t="str">
        <f t="shared" si="44"/>
        <v/>
      </c>
      <c r="AM46" s="270">
        <f t="shared" si="45"/>
        <v>0</v>
      </c>
      <c r="AN46" s="270" t="str">
        <f t="shared" si="10"/>
        <v/>
      </c>
      <c r="AO46" s="270" t="str">
        <f t="shared" si="11"/>
        <v/>
      </c>
      <c r="AP46" s="270" t="str">
        <f t="shared" si="12"/>
        <v/>
      </c>
      <c r="AQ46" s="270">
        <f t="shared" si="46"/>
        <v>0</v>
      </c>
      <c r="AR46" s="271">
        <f>MIN(IFERROR(VLOOKUP($C46,'SDDA Dogs'!$A:$O,13,FALSE),0),IFERROR(VLOOKUP($C46,'SDDA Dogs'!$A:$O,14,FALSE),0),IFERROR(VLOOKUP($C46,'SDDA Dogs'!$A:$O,15,FALSE),0))</f>
        <v>0</v>
      </c>
      <c r="AS46" s="272"/>
      <c r="AT46" s="272"/>
      <c r="AU46" s="272" t="str">
        <f>IF(ISERROR(VLOOKUP(C46,'SDDA Dogs'!A:O,6,FALSE)),"",VLOOKUP(C46,'SDDA Dogs'!A:O,6,FALSE))</f>
        <v/>
      </c>
      <c r="AV46" s="270">
        <f t="shared" si="13"/>
        <v>0</v>
      </c>
      <c r="AW46" s="270">
        <f t="shared" si="14"/>
        <v>0</v>
      </c>
      <c r="AX46" s="273">
        <f t="shared" si="15"/>
        <v>0</v>
      </c>
      <c r="AY46" s="274"/>
      <c r="AZ46" s="275">
        <f t="shared" si="48"/>
        <v>0</v>
      </c>
      <c r="BA46" s="275">
        <f t="shared" si="49"/>
        <v>0</v>
      </c>
      <c r="BB46" s="276"/>
      <c r="BC46" s="274" t="str">
        <f>_xlfn.IFNA(IF(I46="Pass",IF(G46&gt;IFERROR(INDEX(DogInfo!A:B,MATCH(C46&amp;$BC$4,DogInfo!A:A,0),2),0),G46,INDEX(DogInfo!A:B,MATCH(C46&amp;$BC$4,DogInfo!A:A,0),2)),INDEX(DogInfo!A:B,MATCH(C46&amp;$BC$4,DogInfo!A:A,0),2)),"")</f>
        <v/>
      </c>
      <c r="BD46" s="274" t="str">
        <f>_xlfn.IFNA(IF(Q46="Pass",IF(O46&gt;IFERROR(INDEX(DogInfo!A:B,MATCH(C46&amp;$BD$4,DogInfo!A:A,0),2),0),O46,INDEX(DogInfo!A:B,MATCH(C46&amp;$BD$4,DogInfo!A:A,0),2)),INDEX(DogInfo!A:B,MATCH(C46&amp;$BD$4,DogInfo!A:A,0),2)),"")</f>
        <v/>
      </c>
      <c r="BE46" s="274" t="str">
        <f>_xlfn.IFNA(IF(Y46="Pass",IF(W46&gt;IFERROR(INDEX(DogInfo!A:B,MATCH(C46&amp;$BE$4,DogInfo!A:A,0),2),0),W46,INDEX(DogInfo!A:B,MATCH(C46&amp;$BE$4,DogInfo!A:A,0),2)),INDEX(DogInfo!A:B,MATCH(C46&amp;$BE$4,DogInfo!A:A,0),2)),"")</f>
        <v/>
      </c>
    </row>
    <row r="47" spans="1:57" x14ac:dyDescent="0.25">
      <c r="A47" s="99">
        <v>43</v>
      </c>
      <c r="B47" s="100"/>
      <c r="C47" s="101"/>
      <c r="D47" s="102" t="str">
        <f>IF($C47="","",VLOOKUP($C47,'SDDA Dogs'!$A:$F,2,FALSE))</f>
        <v/>
      </c>
      <c r="E47" s="211">
        <f t="shared" si="18"/>
        <v>-1</v>
      </c>
      <c r="F47" s="103" t="str">
        <f>IF($C47="","",VLOOKUP($C47,'SDDA Dogs'!$A:$O,10,FALSE))</f>
        <v/>
      </c>
      <c r="G47" s="137"/>
      <c r="H47" s="217"/>
      <c r="I47" s="84" t="str">
        <f t="shared" si="0"/>
        <v/>
      </c>
      <c r="J47" s="105">
        <f t="shared" si="1"/>
        <v>0</v>
      </c>
      <c r="K47" s="84" t="str">
        <f t="shared" si="19"/>
        <v/>
      </c>
      <c r="L47" s="105">
        <f t="shared" si="2"/>
        <v>0</v>
      </c>
      <c r="M47" s="84" t="str">
        <f t="shared" si="20"/>
        <v/>
      </c>
      <c r="N47" s="106" t="str">
        <f>IF($C47="","",VLOOKUP($C47,'SDDA Dogs'!$A:$O,11,FALSE))</f>
        <v/>
      </c>
      <c r="O47" s="137"/>
      <c r="P47" s="217"/>
      <c r="Q47" s="84" t="str">
        <f t="shared" si="3"/>
        <v/>
      </c>
      <c r="R47" s="105">
        <f t="shared" si="4"/>
        <v>0</v>
      </c>
      <c r="S47" s="84" t="str">
        <f t="shared" si="35"/>
        <v/>
      </c>
      <c r="T47" s="105">
        <f t="shared" si="5"/>
        <v>0</v>
      </c>
      <c r="U47" s="84" t="str">
        <f t="shared" si="47"/>
        <v/>
      </c>
      <c r="V47" s="106" t="str">
        <f>IF($C47="","",VLOOKUP($C47,'SDDA Dogs'!$A:$O,12,FALSE))</f>
        <v/>
      </c>
      <c r="W47" s="137"/>
      <c r="X47" s="217"/>
      <c r="Y47" s="84" t="str">
        <f t="shared" si="6"/>
        <v/>
      </c>
      <c r="Z47" s="105">
        <f t="shared" si="7"/>
        <v>0</v>
      </c>
      <c r="AA47" s="84" t="str">
        <f t="shared" si="36"/>
        <v/>
      </c>
      <c r="AB47" s="105">
        <f t="shared" si="8"/>
        <v>0</v>
      </c>
      <c r="AC47" s="84" t="str">
        <f t="shared" si="37"/>
        <v/>
      </c>
      <c r="AD47" s="92" t="str">
        <f t="shared" si="25"/>
        <v/>
      </c>
      <c r="AE47" s="89" t="str">
        <f t="shared" si="9"/>
        <v/>
      </c>
      <c r="AF47" s="104" t="str">
        <f t="shared" si="38"/>
        <v/>
      </c>
      <c r="AG47" s="107" t="str">
        <f t="shared" si="39"/>
        <v/>
      </c>
      <c r="AH47" s="92" t="str">
        <f t="shared" si="40"/>
        <v/>
      </c>
      <c r="AI47" s="89" t="str">
        <f t="shared" si="41"/>
        <v/>
      </c>
      <c r="AJ47" s="104" t="str">
        <f t="shared" si="42"/>
        <v/>
      </c>
      <c r="AK47" s="84" t="str">
        <f t="shared" si="43"/>
        <v/>
      </c>
      <c r="AL47" s="265" t="str">
        <f t="shared" si="44"/>
        <v/>
      </c>
      <c r="AM47" s="270">
        <f t="shared" si="45"/>
        <v>0</v>
      </c>
      <c r="AN47" s="270" t="str">
        <f t="shared" si="10"/>
        <v/>
      </c>
      <c r="AO47" s="270" t="str">
        <f t="shared" si="11"/>
        <v/>
      </c>
      <c r="AP47" s="270" t="str">
        <f t="shared" si="12"/>
        <v/>
      </c>
      <c r="AQ47" s="270">
        <f t="shared" si="46"/>
        <v>0</v>
      </c>
      <c r="AR47" s="271">
        <f>MIN(IFERROR(VLOOKUP($C47,'SDDA Dogs'!$A:$O,13,FALSE),0),IFERROR(VLOOKUP($C47,'SDDA Dogs'!$A:$O,14,FALSE),0),IFERROR(VLOOKUP($C47,'SDDA Dogs'!$A:$O,15,FALSE),0))</f>
        <v>0</v>
      </c>
      <c r="AS47" s="272"/>
      <c r="AT47" s="272"/>
      <c r="AU47" s="272" t="str">
        <f>IF(ISERROR(VLOOKUP(C47,'SDDA Dogs'!A:O,6,FALSE)),"",VLOOKUP(C47,'SDDA Dogs'!A:O,6,FALSE))</f>
        <v/>
      </c>
      <c r="AV47" s="270">
        <f t="shared" si="13"/>
        <v>0</v>
      </c>
      <c r="AW47" s="270">
        <f t="shared" si="14"/>
        <v>0</v>
      </c>
      <c r="AX47" s="273">
        <f t="shared" si="15"/>
        <v>0</v>
      </c>
      <c r="AY47" s="274"/>
      <c r="AZ47" s="275">
        <f t="shared" si="48"/>
        <v>0</v>
      </c>
      <c r="BA47" s="275">
        <f t="shared" si="49"/>
        <v>0</v>
      </c>
      <c r="BB47" s="276"/>
      <c r="BC47" s="274" t="str">
        <f>_xlfn.IFNA(IF(I47="Pass",IF(G47&gt;IFERROR(INDEX(DogInfo!A:B,MATCH(C47&amp;$BC$4,DogInfo!A:A,0),2),0),G47,INDEX(DogInfo!A:B,MATCH(C47&amp;$BC$4,DogInfo!A:A,0),2)),INDEX(DogInfo!A:B,MATCH(C47&amp;$BC$4,DogInfo!A:A,0),2)),"")</f>
        <v/>
      </c>
      <c r="BD47" s="274" t="str">
        <f>_xlfn.IFNA(IF(Q47="Pass",IF(O47&gt;IFERROR(INDEX(DogInfo!A:B,MATCH(C47&amp;$BD$4,DogInfo!A:A,0),2),0),O47,INDEX(DogInfo!A:B,MATCH(C47&amp;$BD$4,DogInfo!A:A,0),2)),INDEX(DogInfo!A:B,MATCH(C47&amp;$BD$4,DogInfo!A:A,0),2)),"")</f>
        <v/>
      </c>
      <c r="BE47" s="274" t="str">
        <f>_xlfn.IFNA(IF(Y47="Pass",IF(W47&gt;IFERROR(INDEX(DogInfo!A:B,MATCH(C47&amp;$BE$4,DogInfo!A:A,0),2),0),W47,INDEX(DogInfo!A:B,MATCH(C47&amp;$BE$4,DogInfo!A:A,0),2)),INDEX(DogInfo!A:B,MATCH(C47&amp;$BE$4,DogInfo!A:A,0),2)),"")</f>
        <v/>
      </c>
    </row>
    <row r="48" spans="1:57" x14ac:dyDescent="0.25">
      <c r="A48" s="99">
        <v>44</v>
      </c>
      <c r="B48" s="100"/>
      <c r="C48" s="101"/>
      <c r="D48" s="102" t="str">
        <f>IF($C48="","",VLOOKUP($C48,'SDDA Dogs'!$A:$F,2,FALSE))</f>
        <v/>
      </c>
      <c r="E48" s="211">
        <f t="shared" si="18"/>
        <v>-1</v>
      </c>
      <c r="F48" s="103" t="str">
        <f>IF($C48="","",VLOOKUP($C48,'SDDA Dogs'!$A:$O,10,FALSE))</f>
        <v/>
      </c>
      <c r="G48" s="137"/>
      <c r="H48" s="217"/>
      <c r="I48" s="84" t="str">
        <f t="shared" si="0"/>
        <v/>
      </c>
      <c r="J48" s="105">
        <f t="shared" si="1"/>
        <v>0</v>
      </c>
      <c r="K48" s="84" t="str">
        <f t="shared" si="19"/>
        <v/>
      </c>
      <c r="L48" s="105">
        <f t="shared" si="2"/>
        <v>0</v>
      </c>
      <c r="M48" s="84" t="str">
        <f t="shared" si="20"/>
        <v/>
      </c>
      <c r="N48" s="106" t="str">
        <f>IF($C48="","",VLOOKUP($C48,'SDDA Dogs'!$A:$O,11,FALSE))</f>
        <v/>
      </c>
      <c r="O48" s="137"/>
      <c r="P48" s="217"/>
      <c r="Q48" s="84" t="str">
        <f t="shared" si="3"/>
        <v/>
      </c>
      <c r="R48" s="105">
        <f t="shared" si="4"/>
        <v>0</v>
      </c>
      <c r="S48" s="84" t="str">
        <f t="shared" si="35"/>
        <v/>
      </c>
      <c r="T48" s="105">
        <f t="shared" si="5"/>
        <v>0</v>
      </c>
      <c r="U48" s="84" t="str">
        <f t="shared" si="47"/>
        <v/>
      </c>
      <c r="V48" s="106" t="str">
        <f>IF($C48="","",VLOOKUP($C48,'SDDA Dogs'!$A:$O,12,FALSE))</f>
        <v/>
      </c>
      <c r="W48" s="137"/>
      <c r="X48" s="217"/>
      <c r="Y48" s="84" t="str">
        <f t="shared" si="6"/>
        <v/>
      </c>
      <c r="Z48" s="105">
        <f t="shared" si="7"/>
        <v>0</v>
      </c>
      <c r="AA48" s="84" t="str">
        <f t="shared" si="36"/>
        <v/>
      </c>
      <c r="AB48" s="105">
        <f t="shared" si="8"/>
        <v>0</v>
      </c>
      <c r="AC48" s="84" t="str">
        <f t="shared" si="37"/>
        <v/>
      </c>
      <c r="AD48" s="92" t="str">
        <f t="shared" si="25"/>
        <v/>
      </c>
      <c r="AE48" s="89" t="str">
        <f t="shared" si="9"/>
        <v/>
      </c>
      <c r="AF48" s="104" t="str">
        <f t="shared" si="38"/>
        <v/>
      </c>
      <c r="AG48" s="107" t="str">
        <f t="shared" si="39"/>
        <v/>
      </c>
      <c r="AH48" s="92" t="str">
        <f t="shared" si="40"/>
        <v/>
      </c>
      <c r="AI48" s="89" t="str">
        <f t="shared" si="41"/>
        <v/>
      </c>
      <c r="AJ48" s="104" t="str">
        <f t="shared" si="42"/>
        <v/>
      </c>
      <c r="AK48" s="84" t="str">
        <f t="shared" si="43"/>
        <v/>
      </c>
      <c r="AL48" s="265" t="str">
        <f t="shared" si="44"/>
        <v/>
      </c>
      <c r="AM48" s="270">
        <f t="shared" si="45"/>
        <v>0</v>
      </c>
      <c r="AN48" s="270" t="str">
        <f t="shared" si="10"/>
        <v/>
      </c>
      <c r="AO48" s="270" t="str">
        <f t="shared" si="11"/>
        <v/>
      </c>
      <c r="AP48" s="270" t="str">
        <f t="shared" si="12"/>
        <v/>
      </c>
      <c r="AQ48" s="270">
        <f t="shared" si="46"/>
        <v>0</v>
      </c>
      <c r="AR48" s="271">
        <f>MIN(IFERROR(VLOOKUP($C48,'SDDA Dogs'!$A:$O,13,FALSE),0),IFERROR(VLOOKUP($C48,'SDDA Dogs'!$A:$O,14,FALSE),0),IFERROR(VLOOKUP($C48,'SDDA Dogs'!$A:$O,15,FALSE),0))</f>
        <v>0</v>
      </c>
      <c r="AS48" s="272"/>
      <c r="AT48" s="272"/>
      <c r="AU48" s="272" t="str">
        <f>IF(ISERROR(VLOOKUP(C48,'SDDA Dogs'!A:O,6,FALSE)),"",VLOOKUP(C48,'SDDA Dogs'!A:O,6,FALSE))</f>
        <v/>
      </c>
      <c r="AV48" s="270">
        <f t="shared" si="13"/>
        <v>0</v>
      </c>
      <c r="AW48" s="270">
        <f t="shared" si="14"/>
        <v>0</v>
      </c>
      <c r="AX48" s="273">
        <f t="shared" si="15"/>
        <v>0</v>
      </c>
      <c r="AY48" s="274"/>
      <c r="AZ48" s="275">
        <f t="shared" si="48"/>
        <v>0</v>
      </c>
      <c r="BA48" s="275">
        <f t="shared" si="49"/>
        <v>0</v>
      </c>
      <c r="BB48" s="276"/>
      <c r="BC48" s="274" t="str">
        <f>_xlfn.IFNA(IF(I48="Pass",IF(G48&gt;IFERROR(INDEX(DogInfo!A:B,MATCH(C48&amp;$BC$4,DogInfo!A:A,0),2),0),G48,INDEX(DogInfo!A:B,MATCH(C48&amp;$BC$4,DogInfo!A:A,0),2)),INDEX(DogInfo!A:B,MATCH(C48&amp;$BC$4,DogInfo!A:A,0),2)),"")</f>
        <v/>
      </c>
      <c r="BD48" s="274" t="str">
        <f>_xlfn.IFNA(IF(Q48="Pass",IF(O48&gt;IFERROR(INDEX(DogInfo!A:B,MATCH(C48&amp;$BD$4,DogInfo!A:A,0),2),0),O48,INDEX(DogInfo!A:B,MATCH(C48&amp;$BD$4,DogInfo!A:A,0),2)),INDEX(DogInfo!A:B,MATCH(C48&amp;$BD$4,DogInfo!A:A,0),2)),"")</f>
        <v/>
      </c>
      <c r="BE48" s="274" t="str">
        <f>_xlfn.IFNA(IF(Y48="Pass",IF(W48&gt;IFERROR(INDEX(DogInfo!A:B,MATCH(C48&amp;$BE$4,DogInfo!A:A,0),2),0),W48,INDEX(DogInfo!A:B,MATCH(C48&amp;$BE$4,DogInfo!A:A,0),2)),INDEX(DogInfo!A:B,MATCH(C48&amp;$BE$4,DogInfo!A:A,0),2)),"")</f>
        <v/>
      </c>
    </row>
    <row r="49" spans="1:57" x14ac:dyDescent="0.25">
      <c r="A49" s="99">
        <v>45</v>
      </c>
      <c r="B49" s="100"/>
      <c r="C49" s="101"/>
      <c r="D49" s="102" t="str">
        <f>IF($C49="","",VLOOKUP($C49,'SDDA Dogs'!$A:$F,2,FALSE))</f>
        <v/>
      </c>
      <c r="E49" s="211">
        <f t="shared" si="18"/>
        <v>-1</v>
      </c>
      <c r="F49" s="103" t="str">
        <f>IF($C49="","",VLOOKUP($C49,'SDDA Dogs'!$A:$O,10,FALSE))</f>
        <v/>
      </c>
      <c r="G49" s="137"/>
      <c r="H49" s="217"/>
      <c r="I49" s="84" t="str">
        <f t="shared" si="0"/>
        <v/>
      </c>
      <c r="J49" s="105">
        <f t="shared" si="1"/>
        <v>0</v>
      </c>
      <c r="K49" s="84" t="str">
        <f t="shared" si="19"/>
        <v/>
      </c>
      <c r="L49" s="105">
        <f t="shared" si="2"/>
        <v>0</v>
      </c>
      <c r="M49" s="84" t="str">
        <f t="shared" si="20"/>
        <v/>
      </c>
      <c r="N49" s="106" t="str">
        <f>IF($C49="","",VLOOKUP($C49,'SDDA Dogs'!$A:$O,11,FALSE))</f>
        <v/>
      </c>
      <c r="O49" s="137"/>
      <c r="P49" s="217"/>
      <c r="Q49" s="84" t="str">
        <f t="shared" si="3"/>
        <v/>
      </c>
      <c r="R49" s="105">
        <f t="shared" si="4"/>
        <v>0</v>
      </c>
      <c r="S49" s="84" t="str">
        <f t="shared" si="35"/>
        <v/>
      </c>
      <c r="T49" s="105">
        <f t="shared" si="5"/>
        <v>0</v>
      </c>
      <c r="U49" s="84" t="str">
        <f t="shared" si="47"/>
        <v/>
      </c>
      <c r="V49" s="106" t="str">
        <f>IF($C49="","",VLOOKUP($C49,'SDDA Dogs'!$A:$O,12,FALSE))</f>
        <v/>
      </c>
      <c r="W49" s="137"/>
      <c r="X49" s="217"/>
      <c r="Y49" s="84" t="str">
        <f t="shared" si="6"/>
        <v/>
      </c>
      <c r="Z49" s="105">
        <f t="shared" si="7"/>
        <v>0</v>
      </c>
      <c r="AA49" s="84" t="str">
        <f t="shared" si="36"/>
        <v/>
      </c>
      <c r="AB49" s="105">
        <f t="shared" si="8"/>
        <v>0</v>
      </c>
      <c r="AC49" s="84" t="str">
        <f t="shared" si="37"/>
        <v/>
      </c>
      <c r="AD49" s="92" t="str">
        <f t="shared" si="25"/>
        <v/>
      </c>
      <c r="AE49" s="89" t="str">
        <f t="shared" si="9"/>
        <v/>
      </c>
      <c r="AF49" s="104" t="str">
        <f t="shared" si="38"/>
        <v/>
      </c>
      <c r="AG49" s="107" t="str">
        <f t="shared" si="39"/>
        <v/>
      </c>
      <c r="AH49" s="92" t="str">
        <f t="shared" si="40"/>
        <v/>
      </c>
      <c r="AI49" s="89" t="str">
        <f t="shared" si="41"/>
        <v/>
      </c>
      <c r="AJ49" s="104" t="str">
        <f t="shared" si="42"/>
        <v/>
      </c>
      <c r="AK49" s="84" t="str">
        <f t="shared" si="43"/>
        <v/>
      </c>
      <c r="AL49" s="265" t="str">
        <f t="shared" si="44"/>
        <v/>
      </c>
      <c r="AM49" s="270">
        <f t="shared" si="45"/>
        <v>0</v>
      </c>
      <c r="AN49" s="270" t="str">
        <f t="shared" si="10"/>
        <v/>
      </c>
      <c r="AO49" s="270" t="str">
        <f t="shared" si="11"/>
        <v/>
      </c>
      <c r="AP49" s="270" t="str">
        <f t="shared" si="12"/>
        <v/>
      </c>
      <c r="AQ49" s="270">
        <f t="shared" si="46"/>
        <v>0</v>
      </c>
      <c r="AR49" s="271">
        <f>MIN(IFERROR(VLOOKUP($C49,'SDDA Dogs'!$A:$O,13,FALSE),0),IFERROR(VLOOKUP($C49,'SDDA Dogs'!$A:$O,14,FALSE),0),IFERROR(VLOOKUP($C49,'SDDA Dogs'!$A:$O,15,FALSE),0))</f>
        <v>0</v>
      </c>
      <c r="AS49" s="272"/>
      <c r="AT49" s="272"/>
      <c r="AU49" s="272" t="str">
        <f>IF(ISERROR(VLOOKUP(C49,'SDDA Dogs'!A:O,6,FALSE)),"",VLOOKUP(C49,'SDDA Dogs'!A:O,6,FALSE))</f>
        <v/>
      </c>
      <c r="AV49" s="270">
        <f t="shared" si="13"/>
        <v>0</v>
      </c>
      <c r="AW49" s="270">
        <f t="shared" si="14"/>
        <v>0</v>
      </c>
      <c r="AX49" s="273">
        <f t="shared" si="15"/>
        <v>0</v>
      </c>
      <c r="AY49" s="274"/>
      <c r="AZ49" s="275">
        <f t="shared" si="48"/>
        <v>0</v>
      </c>
      <c r="BA49" s="275">
        <f t="shared" si="49"/>
        <v>0</v>
      </c>
      <c r="BB49" s="276"/>
      <c r="BC49" s="274" t="str">
        <f>_xlfn.IFNA(IF(I49="Pass",IF(G49&gt;IFERROR(INDEX(DogInfo!A:B,MATCH(C49&amp;$BC$4,DogInfo!A:A,0),2),0),G49,INDEX(DogInfo!A:B,MATCH(C49&amp;$BC$4,DogInfo!A:A,0),2)),INDEX(DogInfo!A:B,MATCH(C49&amp;$BC$4,DogInfo!A:A,0),2)),"")</f>
        <v/>
      </c>
      <c r="BD49" s="274" t="str">
        <f>_xlfn.IFNA(IF(Q49="Pass",IF(O49&gt;IFERROR(INDEX(DogInfo!A:B,MATCH(C49&amp;$BD$4,DogInfo!A:A,0),2),0),O49,INDEX(DogInfo!A:B,MATCH(C49&amp;$BD$4,DogInfo!A:A,0),2)),INDEX(DogInfo!A:B,MATCH(C49&amp;$BD$4,DogInfo!A:A,0),2)),"")</f>
        <v/>
      </c>
      <c r="BE49" s="274" t="str">
        <f>_xlfn.IFNA(IF(Y49="Pass",IF(W49&gt;IFERROR(INDEX(DogInfo!A:B,MATCH(C49&amp;$BE$4,DogInfo!A:A,0),2),0),W49,INDEX(DogInfo!A:B,MATCH(C49&amp;$BE$4,DogInfo!A:A,0),2)),INDEX(DogInfo!A:B,MATCH(C49&amp;$BE$4,DogInfo!A:A,0),2)),"")</f>
        <v/>
      </c>
    </row>
    <row r="50" spans="1:57" x14ac:dyDescent="0.25">
      <c r="A50" s="99">
        <v>46</v>
      </c>
      <c r="B50" s="100"/>
      <c r="C50" s="101"/>
      <c r="D50" s="102" t="str">
        <f>IF($C50="","",VLOOKUP($C50,'SDDA Dogs'!$A:$F,2,FALSE))</f>
        <v/>
      </c>
      <c r="E50" s="211">
        <f t="shared" si="18"/>
        <v>-1</v>
      </c>
      <c r="F50" s="103" t="str">
        <f>IF($C50="","",VLOOKUP($C50,'SDDA Dogs'!$A:$O,10,FALSE))</f>
        <v/>
      </c>
      <c r="G50" s="137"/>
      <c r="H50" s="217"/>
      <c r="I50" s="84" t="str">
        <f t="shared" si="0"/>
        <v/>
      </c>
      <c r="J50" s="105">
        <f t="shared" si="1"/>
        <v>0</v>
      </c>
      <c r="K50" s="84" t="str">
        <f t="shared" si="19"/>
        <v/>
      </c>
      <c r="L50" s="105">
        <f t="shared" si="2"/>
        <v>0</v>
      </c>
      <c r="M50" s="84" t="str">
        <f t="shared" si="20"/>
        <v/>
      </c>
      <c r="N50" s="106" t="str">
        <f>IF($C50="","",VLOOKUP($C50,'SDDA Dogs'!$A:$O,11,FALSE))</f>
        <v/>
      </c>
      <c r="O50" s="137"/>
      <c r="P50" s="217"/>
      <c r="Q50" s="84" t="str">
        <f t="shared" si="3"/>
        <v/>
      </c>
      <c r="R50" s="105">
        <f t="shared" si="4"/>
        <v>0</v>
      </c>
      <c r="S50" s="84" t="str">
        <f t="shared" si="35"/>
        <v/>
      </c>
      <c r="T50" s="105">
        <f t="shared" si="5"/>
        <v>0</v>
      </c>
      <c r="U50" s="84" t="str">
        <f t="shared" si="47"/>
        <v/>
      </c>
      <c r="V50" s="106" t="str">
        <f>IF($C50="","",VLOOKUP($C50,'SDDA Dogs'!$A:$O,12,FALSE))</f>
        <v/>
      </c>
      <c r="W50" s="137"/>
      <c r="X50" s="217"/>
      <c r="Y50" s="84" t="str">
        <f t="shared" si="6"/>
        <v/>
      </c>
      <c r="Z50" s="105">
        <f t="shared" si="7"/>
        <v>0</v>
      </c>
      <c r="AA50" s="84" t="str">
        <f t="shared" si="36"/>
        <v/>
      </c>
      <c r="AB50" s="105">
        <f t="shared" si="8"/>
        <v>0</v>
      </c>
      <c r="AC50" s="84" t="str">
        <f t="shared" si="37"/>
        <v/>
      </c>
      <c r="AD50" s="92" t="str">
        <f t="shared" si="25"/>
        <v/>
      </c>
      <c r="AE50" s="89" t="str">
        <f t="shared" si="9"/>
        <v/>
      </c>
      <c r="AF50" s="104" t="str">
        <f t="shared" si="38"/>
        <v/>
      </c>
      <c r="AG50" s="107" t="str">
        <f t="shared" si="39"/>
        <v/>
      </c>
      <c r="AH50" s="92" t="str">
        <f t="shared" si="40"/>
        <v/>
      </c>
      <c r="AI50" s="89" t="str">
        <f t="shared" si="41"/>
        <v/>
      </c>
      <c r="AJ50" s="104" t="str">
        <f t="shared" si="42"/>
        <v/>
      </c>
      <c r="AK50" s="84" t="str">
        <f t="shared" si="43"/>
        <v/>
      </c>
      <c r="AL50" s="265" t="str">
        <f t="shared" si="44"/>
        <v/>
      </c>
      <c r="AM50" s="270">
        <f t="shared" si="45"/>
        <v>0</v>
      </c>
      <c r="AN50" s="270" t="str">
        <f t="shared" si="10"/>
        <v/>
      </c>
      <c r="AO50" s="270" t="str">
        <f t="shared" si="11"/>
        <v/>
      </c>
      <c r="AP50" s="270" t="str">
        <f t="shared" si="12"/>
        <v/>
      </c>
      <c r="AQ50" s="270">
        <f t="shared" si="46"/>
        <v>0</v>
      </c>
      <c r="AR50" s="271">
        <f>MIN(IFERROR(VLOOKUP($C50,'SDDA Dogs'!$A:$O,13,FALSE),0),IFERROR(VLOOKUP($C50,'SDDA Dogs'!$A:$O,14,FALSE),0),IFERROR(VLOOKUP($C50,'SDDA Dogs'!$A:$O,15,FALSE),0))</f>
        <v>0</v>
      </c>
      <c r="AS50" s="272"/>
      <c r="AT50" s="272"/>
      <c r="AU50" s="272" t="str">
        <f>IF(ISERROR(VLOOKUP(C50,'SDDA Dogs'!A:O,6,FALSE)),"",VLOOKUP(C50,'SDDA Dogs'!A:O,6,FALSE))</f>
        <v/>
      </c>
      <c r="AV50" s="270">
        <f t="shared" si="13"/>
        <v>0</v>
      </c>
      <c r="AW50" s="270">
        <f t="shared" si="14"/>
        <v>0</v>
      </c>
      <c r="AX50" s="273">
        <f t="shared" si="15"/>
        <v>0</v>
      </c>
      <c r="AY50" s="274"/>
      <c r="AZ50" s="275">
        <f t="shared" si="48"/>
        <v>0</v>
      </c>
      <c r="BA50" s="275">
        <f t="shared" si="49"/>
        <v>0</v>
      </c>
      <c r="BB50" s="276"/>
      <c r="BC50" s="274" t="str">
        <f>_xlfn.IFNA(IF(I50="Pass",IF(G50&gt;IFERROR(INDEX(DogInfo!A:B,MATCH(C50&amp;$BC$4,DogInfo!A:A,0),2),0),G50,INDEX(DogInfo!A:B,MATCH(C50&amp;$BC$4,DogInfo!A:A,0),2)),INDEX(DogInfo!A:B,MATCH(C50&amp;$BC$4,DogInfo!A:A,0),2)),"")</f>
        <v/>
      </c>
      <c r="BD50" s="274" t="str">
        <f>_xlfn.IFNA(IF(Q50="Pass",IF(O50&gt;IFERROR(INDEX(DogInfo!A:B,MATCH(C50&amp;$BD$4,DogInfo!A:A,0),2),0),O50,INDEX(DogInfo!A:B,MATCH(C50&amp;$BD$4,DogInfo!A:A,0),2)),INDEX(DogInfo!A:B,MATCH(C50&amp;$BD$4,DogInfo!A:A,0),2)),"")</f>
        <v/>
      </c>
      <c r="BE50" s="274" t="str">
        <f>_xlfn.IFNA(IF(Y50="Pass",IF(W50&gt;IFERROR(INDEX(DogInfo!A:B,MATCH(C50&amp;$BE$4,DogInfo!A:A,0),2),0),W50,INDEX(DogInfo!A:B,MATCH(C50&amp;$BE$4,DogInfo!A:A,0),2)),INDEX(DogInfo!A:B,MATCH(C50&amp;$BE$4,DogInfo!A:A,0),2)),"")</f>
        <v/>
      </c>
    </row>
    <row r="51" spans="1:57" x14ac:dyDescent="0.25">
      <c r="A51" s="99">
        <v>47</v>
      </c>
      <c r="B51" s="100"/>
      <c r="C51" s="101"/>
      <c r="D51" s="102" t="str">
        <f>IF($C51="","",VLOOKUP($C51,'SDDA Dogs'!$A:$F,2,FALSE))</f>
        <v/>
      </c>
      <c r="E51" s="211">
        <f t="shared" si="18"/>
        <v>-1</v>
      </c>
      <c r="F51" s="103" t="str">
        <f>IF($C51="","",VLOOKUP($C51,'SDDA Dogs'!$A:$O,10,FALSE))</f>
        <v/>
      </c>
      <c r="G51" s="137"/>
      <c r="H51" s="217"/>
      <c r="I51" s="84" t="str">
        <f t="shared" si="0"/>
        <v/>
      </c>
      <c r="J51" s="105">
        <f t="shared" si="1"/>
        <v>0</v>
      </c>
      <c r="K51" s="84" t="str">
        <f t="shared" si="19"/>
        <v/>
      </c>
      <c r="L51" s="105">
        <f t="shared" si="2"/>
        <v>0</v>
      </c>
      <c r="M51" s="84" t="str">
        <f t="shared" si="20"/>
        <v/>
      </c>
      <c r="N51" s="106" t="str">
        <f>IF($C51="","",VLOOKUP($C51,'SDDA Dogs'!$A:$O,11,FALSE))</f>
        <v/>
      </c>
      <c r="O51" s="137"/>
      <c r="P51" s="217"/>
      <c r="Q51" s="84" t="str">
        <f t="shared" si="3"/>
        <v/>
      </c>
      <c r="R51" s="105">
        <f t="shared" si="4"/>
        <v>0</v>
      </c>
      <c r="S51" s="84" t="str">
        <f t="shared" si="35"/>
        <v/>
      </c>
      <c r="T51" s="105">
        <f t="shared" si="5"/>
        <v>0</v>
      </c>
      <c r="U51" s="84" t="str">
        <f t="shared" si="47"/>
        <v/>
      </c>
      <c r="V51" s="106" t="str">
        <f>IF($C51="","",VLOOKUP($C51,'SDDA Dogs'!$A:$O,12,FALSE))</f>
        <v/>
      </c>
      <c r="W51" s="137"/>
      <c r="X51" s="217"/>
      <c r="Y51" s="84" t="str">
        <f t="shared" si="6"/>
        <v/>
      </c>
      <c r="Z51" s="105">
        <f t="shared" si="7"/>
        <v>0</v>
      </c>
      <c r="AA51" s="84" t="str">
        <f t="shared" si="36"/>
        <v/>
      </c>
      <c r="AB51" s="105">
        <f t="shared" si="8"/>
        <v>0</v>
      </c>
      <c r="AC51" s="84" t="str">
        <f t="shared" si="37"/>
        <v/>
      </c>
      <c r="AD51" s="92" t="str">
        <f t="shared" si="25"/>
        <v/>
      </c>
      <c r="AE51" s="89" t="str">
        <f t="shared" si="9"/>
        <v/>
      </c>
      <c r="AF51" s="104" t="str">
        <f t="shared" si="38"/>
        <v/>
      </c>
      <c r="AG51" s="107" t="str">
        <f t="shared" si="39"/>
        <v/>
      </c>
      <c r="AH51" s="92" t="str">
        <f t="shared" si="40"/>
        <v/>
      </c>
      <c r="AI51" s="89" t="str">
        <f t="shared" si="41"/>
        <v/>
      </c>
      <c r="AJ51" s="104" t="str">
        <f t="shared" si="42"/>
        <v/>
      </c>
      <c r="AK51" s="84" t="str">
        <f t="shared" si="43"/>
        <v/>
      </c>
      <c r="AL51" s="265" t="str">
        <f t="shared" si="44"/>
        <v/>
      </c>
      <c r="AM51" s="270">
        <f t="shared" si="45"/>
        <v>0</v>
      </c>
      <c r="AN51" s="270" t="str">
        <f t="shared" si="10"/>
        <v/>
      </c>
      <c r="AO51" s="270" t="str">
        <f t="shared" si="11"/>
        <v/>
      </c>
      <c r="AP51" s="270" t="str">
        <f t="shared" si="12"/>
        <v/>
      </c>
      <c r="AQ51" s="270">
        <f t="shared" si="46"/>
        <v>0</v>
      </c>
      <c r="AR51" s="271">
        <f>MIN(IFERROR(VLOOKUP($C51,'SDDA Dogs'!$A:$O,13,FALSE),0),IFERROR(VLOOKUP($C51,'SDDA Dogs'!$A:$O,14,FALSE),0),IFERROR(VLOOKUP($C51,'SDDA Dogs'!$A:$O,15,FALSE),0))</f>
        <v>0</v>
      </c>
      <c r="AS51" s="272"/>
      <c r="AT51" s="272"/>
      <c r="AU51" s="272" t="str">
        <f>IF(ISERROR(VLOOKUP(C51,'SDDA Dogs'!A:O,6,FALSE)),"",VLOOKUP(C51,'SDDA Dogs'!A:O,6,FALSE))</f>
        <v/>
      </c>
      <c r="AV51" s="270">
        <f t="shared" si="13"/>
        <v>0</v>
      </c>
      <c r="AW51" s="270">
        <f t="shared" si="14"/>
        <v>0</v>
      </c>
      <c r="AX51" s="273">
        <f t="shared" si="15"/>
        <v>0</v>
      </c>
      <c r="AY51" s="274"/>
      <c r="AZ51" s="275">
        <f t="shared" si="48"/>
        <v>0</v>
      </c>
      <c r="BA51" s="275">
        <f t="shared" si="49"/>
        <v>0</v>
      </c>
      <c r="BB51" s="276"/>
      <c r="BC51" s="274" t="str">
        <f>_xlfn.IFNA(IF(I51="Pass",IF(G51&gt;IFERROR(INDEX(DogInfo!A:B,MATCH(C51&amp;$BC$4,DogInfo!A:A,0),2),0),G51,INDEX(DogInfo!A:B,MATCH(C51&amp;$BC$4,DogInfo!A:A,0),2)),INDEX(DogInfo!A:B,MATCH(C51&amp;$BC$4,DogInfo!A:A,0),2)),"")</f>
        <v/>
      </c>
      <c r="BD51" s="274" t="str">
        <f>_xlfn.IFNA(IF(Q51="Pass",IF(O51&gt;IFERROR(INDEX(DogInfo!A:B,MATCH(C51&amp;$BD$4,DogInfo!A:A,0),2),0),O51,INDEX(DogInfo!A:B,MATCH(C51&amp;$BD$4,DogInfo!A:A,0),2)),INDEX(DogInfo!A:B,MATCH(C51&amp;$BD$4,DogInfo!A:A,0),2)),"")</f>
        <v/>
      </c>
      <c r="BE51" s="274" t="str">
        <f>_xlfn.IFNA(IF(Y51="Pass",IF(W51&gt;IFERROR(INDEX(DogInfo!A:B,MATCH(C51&amp;$BE$4,DogInfo!A:A,0),2),0),W51,INDEX(DogInfo!A:B,MATCH(C51&amp;$BE$4,DogInfo!A:A,0),2)),INDEX(DogInfo!A:B,MATCH(C51&amp;$BE$4,DogInfo!A:A,0),2)),"")</f>
        <v/>
      </c>
    </row>
    <row r="52" spans="1:57" x14ac:dyDescent="0.25">
      <c r="A52" s="99">
        <v>48</v>
      </c>
      <c r="B52" s="100"/>
      <c r="C52" s="101"/>
      <c r="D52" s="102" t="str">
        <f>IF($C52="","",VLOOKUP($C52,'SDDA Dogs'!$A:$F,2,FALSE))</f>
        <v/>
      </c>
      <c r="E52" s="211">
        <f t="shared" si="18"/>
        <v>-1</v>
      </c>
      <c r="F52" s="103" t="str">
        <f>IF($C52="","",VLOOKUP($C52,'SDDA Dogs'!$A:$O,10,FALSE))</f>
        <v/>
      </c>
      <c r="G52" s="137"/>
      <c r="H52" s="217"/>
      <c r="I52" s="84" t="str">
        <f t="shared" si="0"/>
        <v/>
      </c>
      <c r="J52" s="105">
        <f t="shared" si="1"/>
        <v>0</v>
      </c>
      <c r="K52" s="84" t="str">
        <f t="shared" si="19"/>
        <v/>
      </c>
      <c r="L52" s="105">
        <f t="shared" si="2"/>
        <v>0</v>
      </c>
      <c r="M52" s="84" t="str">
        <f t="shared" si="20"/>
        <v/>
      </c>
      <c r="N52" s="106" t="str">
        <f>IF($C52="","",VLOOKUP($C52,'SDDA Dogs'!$A:$O,11,FALSE))</f>
        <v/>
      </c>
      <c r="O52" s="137"/>
      <c r="P52" s="217"/>
      <c r="Q52" s="84" t="str">
        <f t="shared" si="3"/>
        <v/>
      </c>
      <c r="R52" s="105">
        <f t="shared" si="4"/>
        <v>0</v>
      </c>
      <c r="S52" s="84" t="str">
        <f t="shared" si="35"/>
        <v/>
      </c>
      <c r="T52" s="105">
        <f t="shared" si="5"/>
        <v>0</v>
      </c>
      <c r="U52" s="84" t="str">
        <f t="shared" si="47"/>
        <v/>
      </c>
      <c r="V52" s="106" t="str">
        <f>IF($C52="","",VLOOKUP($C52,'SDDA Dogs'!$A:$O,12,FALSE))</f>
        <v/>
      </c>
      <c r="W52" s="137"/>
      <c r="X52" s="217"/>
      <c r="Y52" s="84" t="str">
        <f t="shared" si="6"/>
        <v/>
      </c>
      <c r="Z52" s="105">
        <f t="shared" si="7"/>
        <v>0</v>
      </c>
      <c r="AA52" s="84" t="str">
        <f t="shared" si="36"/>
        <v/>
      </c>
      <c r="AB52" s="105">
        <f t="shared" si="8"/>
        <v>0</v>
      </c>
      <c r="AC52" s="84" t="str">
        <f t="shared" si="37"/>
        <v/>
      </c>
      <c r="AD52" s="92" t="str">
        <f t="shared" si="25"/>
        <v/>
      </c>
      <c r="AE52" s="89" t="str">
        <f t="shared" si="9"/>
        <v/>
      </c>
      <c r="AF52" s="104" t="str">
        <f t="shared" si="38"/>
        <v/>
      </c>
      <c r="AG52" s="107" t="str">
        <f t="shared" si="39"/>
        <v/>
      </c>
      <c r="AH52" s="92" t="str">
        <f t="shared" si="40"/>
        <v/>
      </c>
      <c r="AI52" s="89" t="str">
        <f t="shared" si="41"/>
        <v/>
      </c>
      <c r="AJ52" s="104" t="str">
        <f t="shared" si="42"/>
        <v/>
      </c>
      <c r="AK52" s="84" t="str">
        <f t="shared" si="43"/>
        <v/>
      </c>
      <c r="AL52" s="265" t="str">
        <f t="shared" si="44"/>
        <v/>
      </c>
      <c r="AM52" s="270">
        <f t="shared" si="45"/>
        <v>0</v>
      </c>
      <c r="AN52" s="270" t="str">
        <f t="shared" si="10"/>
        <v/>
      </c>
      <c r="AO52" s="270" t="str">
        <f t="shared" si="11"/>
        <v/>
      </c>
      <c r="AP52" s="270" t="str">
        <f t="shared" si="12"/>
        <v/>
      </c>
      <c r="AQ52" s="270">
        <f t="shared" si="46"/>
        <v>0</v>
      </c>
      <c r="AR52" s="271">
        <f>MIN(IFERROR(VLOOKUP($C52,'SDDA Dogs'!$A:$O,13,FALSE),0),IFERROR(VLOOKUP($C52,'SDDA Dogs'!$A:$O,14,FALSE),0),IFERROR(VLOOKUP($C52,'SDDA Dogs'!$A:$O,15,FALSE),0))</f>
        <v>0</v>
      </c>
      <c r="AS52" s="272"/>
      <c r="AT52" s="272"/>
      <c r="AU52" s="272" t="str">
        <f>IF(ISERROR(VLOOKUP(C52,'SDDA Dogs'!A:O,6,FALSE)),"",VLOOKUP(C52,'SDDA Dogs'!A:O,6,FALSE))</f>
        <v/>
      </c>
      <c r="AV52" s="270">
        <f t="shared" si="13"/>
        <v>0</v>
      </c>
      <c r="AW52" s="270">
        <f t="shared" si="14"/>
        <v>0</v>
      </c>
      <c r="AX52" s="273">
        <f t="shared" si="15"/>
        <v>0</v>
      </c>
      <c r="AY52" s="274"/>
      <c r="AZ52" s="275">
        <f t="shared" si="48"/>
        <v>0</v>
      </c>
      <c r="BA52" s="275">
        <f t="shared" si="49"/>
        <v>0</v>
      </c>
      <c r="BB52" s="276"/>
      <c r="BC52" s="274" t="str">
        <f>_xlfn.IFNA(IF(I52="Pass",IF(G52&gt;IFERROR(INDEX(DogInfo!A:B,MATCH(C52&amp;$BC$4,DogInfo!A:A,0),2),0),G52,INDEX(DogInfo!A:B,MATCH(C52&amp;$BC$4,DogInfo!A:A,0),2)),INDEX(DogInfo!A:B,MATCH(C52&amp;$BC$4,DogInfo!A:A,0),2)),"")</f>
        <v/>
      </c>
      <c r="BD52" s="274" t="str">
        <f>_xlfn.IFNA(IF(Q52="Pass",IF(O52&gt;IFERROR(INDEX(DogInfo!A:B,MATCH(C52&amp;$BD$4,DogInfo!A:A,0),2),0),O52,INDEX(DogInfo!A:B,MATCH(C52&amp;$BD$4,DogInfo!A:A,0),2)),INDEX(DogInfo!A:B,MATCH(C52&amp;$BD$4,DogInfo!A:A,0),2)),"")</f>
        <v/>
      </c>
      <c r="BE52" s="274" t="str">
        <f>_xlfn.IFNA(IF(Y52="Pass",IF(W52&gt;IFERROR(INDEX(DogInfo!A:B,MATCH(C52&amp;$BE$4,DogInfo!A:A,0),2),0),W52,INDEX(DogInfo!A:B,MATCH(C52&amp;$BE$4,DogInfo!A:A,0),2)),INDEX(DogInfo!A:B,MATCH(C52&amp;$BE$4,DogInfo!A:A,0),2)),"")</f>
        <v/>
      </c>
    </row>
    <row r="53" spans="1:57" x14ac:dyDescent="0.25">
      <c r="A53" s="99">
        <v>49</v>
      </c>
      <c r="B53" s="100"/>
      <c r="C53" s="101"/>
      <c r="D53" s="102" t="str">
        <f>IF($C53="","",VLOOKUP($C53,'SDDA Dogs'!$A:$F,2,FALSE))</f>
        <v/>
      </c>
      <c r="E53" s="211">
        <f t="shared" si="18"/>
        <v>-1</v>
      </c>
      <c r="F53" s="103" t="str">
        <f>IF($C53="","",VLOOKUP($C53,'SDDA Dogs'!$A:$O,10,FALSE))</f>
        <v/>
      </c>
      <c r="G53" s="137"/>
      <c r="H53" s="217"/>
      <c r="I53" s="84" t="str">
        <f t="shared" si="0"/>
        <v/>
      </c>
      <c r="J53" s="105">
        <f t="shared" si="1"/>
        <v>0</v>
      </c>
      <c r="K53" s="84" t="str">
        <f t="shared" si="19"/>
        <v/>
      </c>
      <c r="L53" s="105">
        <f t="shared" si="2"/>
        <v>0</v>
      </c>
      <c r="M53" s="84" t="str">
        <f t="shared" si="20"/>
        <v/>
      </c>
      <c r="N53" s="106" t="str">
        <f>IF($C53="","",VLOOKUP($C53,'SDDA Dogs'!$A:$O,11,FALSE))</f>
        <v/>
      </c>
      <c r="O53" s="137"/>
      <c r="P53" s="217"/>
      <c r="Q53" s="84" t="str">
        <f t="shared" si="3"/>
        <v/>
      </c>
      <c r="R53" s="105">
        <f t="shared" si="4"/>
        <v>0</v>
      </c>
      <c r="S53" s="84" t="str">
        <f t="shared" si="35"/>
        <v/>
      </c>
      <c r="T53" s="105">
        <f t="shared" si="5"/>
        <v>0</v>
      </c>
      <c r="U53" s="84" t="str">
        <f t="shared" si="47"/>
        <v/>
      </c>
      <c r="V53" s="106" t="str">
        <f>IF($C53="","",VLOOKUP($C53,'SDDA Dogs'!$A:$O,12,FALSE))</f>
        <v/>
      </c>
      <c r="W53" s="137"/>
      <c r="X53" s="217"/>
      <c r="Y53" s="84" t="str">
        <f t="shared" si="6"/>
        <v/>
      </c>
      <c r="Z53" s="105">
        <f t="shared" si="7"/>
        <v>0</v>
      </c>
      <c r="AA53" s="84" t="str">
        <f t="shared" si="36"/>
        <v/>
      </c>
      <c r="AB53" s="105">
        <f t="shared" si="8"/>
        <v>0</v>
      </c>
      <c r="AC53" s="84" t="str">
        <f t="shared" si="37"/>
        <v/>
      </c>
      <c r="AD53" s="92" t="str">
        <f t="shared" si="25"/>
        <v/>
      </c>
      <c r="AE53" s="89" t="str">
        <f t="shared" si="9"/>
        <v/>
      </c>
      <c r="AF53" s="104" t="str">
        <f t="shared" si="38"/>
        <v/>
      </c>
      <c r="AG53" s="107" t="str">
        <f t="shared" si="39"/>
        <v/>
      </c>
      <c r="AH53" s="92" t="str">
        <f t="shared" si="40"/>
        <v/>
      </c>
      <c r="AI53" s="89" t="str">
        <f t="shared" si="41"/>
        <v/>
      </c>
      <c r="AJ53" s="104" t="str">
        <f t="shared" si="42"/>
        <v/>
      </c>
      <c r="AK53" s="84" t="str">
        <f t="shared" si="43"/>
        <v/>
      </c>
      <c r="AL53" s="265" t="str">
        <f t="shared" si="44"/>
        <v/>
      </c>
      <c r="AM53" s="270">
        <f t="shared" si="45"/>
        <v>0</v>
      </c>
      <c r="AN53" s="270" t="str">
        <f t="shared" si="10"/>
        <v/>
      </c>
      <c r="AO53" s="270" t="str">
        <f t="shared" si="11"/>
        <v/>
      </c>
      <c r="AP53" s="270" t="str">
        <f t="shared" si="12"/>
        <v/>
      </c>
      <c r="AQ53" s="270">
        <f t="shared" si="46"/>
        <v>0</v>
      </c>
      <c r="AR53" s="271">
        <f>MIN(IFERROR(VLOOKUP($C53,'SDDA Dogs'!$A:$O,13,FALSE),0),IFERROR(VLOOKUP($C53,'SDDA Dogs'!$A:$O,14,FALSE),0),IFERROR(VLOOKUP($C53,'SDDA Dogs'!$A:$O,15,FALSE),0))</f>
        <v>0</v>
      </c>
      <c r="AS53" s="272"/>
      <c r="AT53" s="272"/>
      <c r="AU53" s="272" t="str">
        <f>IF(ISERROR(VLOOKUP(C53,'SDDA Dogs'!A:O,6,FALSE)),"",VLOOKUP(C53,'SDDA Dogs'!A:O,6,FALSE))</f>
        <v/>
      </c>
      <c r="AV53" s="270">
        <f t="shared" si="13"/>
        <v>0</v>
      </c>
      <c r="AW53" s="270">
        <f t="shared" si="14"/>
        <v>0</v>
      </c>
      <c r="AX53" s="273">
        <f t="shared" si="15"/>
        <v>0</v>
      </c>
      <c r="AY53" s="274"/>
      <c r="AZ53" s="275">
        <f t="shared" si="48"/>
        <v>0</v>
      </c>
      <c r="BA53" s="275">
        <f t="shared" si="49"/>
        <v>0</v>
      </c>
      <c r="BB53" s="276"/>
      <c r="BC53" s="274" t="str">
        <f>_xlfn.IFNA(IF(I53="Pass",IF(G53&gt;IFERROR(INDEX(DogInfo!A:B,MATCH(C53&amp;$BC$4,DogInfo!A:A,0),2),0),G53,INDEX(DogInfo!A:B,MATCH(C53&amp;$BC$4,DogInfo!A:A,0),2)),INDEX(DogInfo!A:B,MATCH(C53&amp;$BC$4,DogInfo!A:A,0),2)),"")</f>
        <v/>
      </c>
      <c r="BD53" s="274" t="str">
        <f>_xlfn.IFNA(IF(Q53="Pass",IF(O53&gt;IFERROR(INDEX(DogInfo!A:B,MATCH(C53&amp;$BD$4,DogInfo!A:A,0),2),0),O53,INDEX(DogInfo!A:B,MATCH(C53&amp;$BD$4,DogInfo!A:A,0),2)),INDEX(DogInfo!A:B,MATCH(C53&amp;$BD$4,DogInfo!A:A,0),2)),"")</f>
        <v/>
      </c>
      <c r="BE53" s="274" t="str">
        <f>_xlfn.IFNA(IF(Y53="Pass",IF(W53&gt;IFERROR(INDEX(DogInfo!A:B,MATCH(C53&amp;$BE$4,DogInfo!A:A,0),2),0),W53,INDEX(DogInfo!A:B,MATCH(C53&amp;$BE$4,DogInfo!A:A,0),2)),INDEX(DogInfo!A:B,MATCH(C53&amp;$BE$4,DogInfo!A:A,0),2)),"")</f>
        <v/>
      </c>
    </row>
    <row r="54" spans="1:57" x14ac:dyDescent="0.25">
      <c r="A54" s="99">
        <v>50</v>
      </c>
      <c r="B54" s="100"/>
      <c r="C54" s="101"/>
      <c r="D54" s="102" t="str">
        <f>IF($C54="","",VLOOKUP($C54,'SDDA Dogs'!$A:$F,2,FALSE))</f>
        <v/>
      </c>
      <c r="E54" s="211">
        <f t="shared" si="18"/>
        <v>-1</v>
      </c>
      <c r="F54" s="103" t="str">
        <f>IF($C54="","",VLOOKUP($C54,'SDDA Dogs'!$A:$O,10,FALSE))</f>
        <v/>
      </c>
      <c r="G54" s="137"/>
      <c r="H54" s="217"/>
      <c r="I54" s="84" t="str">
        <f t="shared" si="0"/>
        <v/>
      </c>
      <c r="J54" s="105">
        <f t="shared" si="1"/>
        <v>0</v>
      </c>
      <c r="K54" s="84" t="str">
        <f t="shared" si="19"/>
        <v/>
      </c>
      <c r="L54" s="105">
        <f t="shared" si="2"/>
        <v>0</v>
      </c>
      <c r="M54" s="84" t="str">
        <f t="shared" si="20"/>
        <v/>
      </c>
      <c r="N54" s="106" t="str">
        <f>IF($C54="","",VLOOKUP($C54,'SDDA Dogs'!$A:$O,11,FALSE))</f>
        <v/>
      </c>
      <c r="O54" s="137"/>
      <c r="P54" s="217"/>
      <c r="Q54" s="84" t="str">
        <f t="shared" si="3"/>
        <v/>
      </c>
      <c r="R54" s="105">
        <f t="shared" si="4"/>
        <v>0</v>
      </c>
      <c r="S54" s="84" t="str">
        <f t="shared" si="35"/>
        <v/>
      </c>
      <c r="T54" s="105">
        <f t="shared" si="5"/>
        <v>0</v>
      </c>
      <c r="U54" s="84" t="str">
        <f t="shared" si="47"/>
        <v/>
      </c>
      <c r="V54" s="106" t="str">
        <f>IF($C54="","",VLOOKUP($C54,'SDDA Dogs'!$A:$O,12,FALSE))</f>
        <v/>
      </c>
      <c r="W54" s="137"/>
      <c r="X54" s="217"/>
      <c r="Y54" s="84" t="str">
        <f t="shared" si="6"/>
        <v/>
      </c>
      <c r="Z54" s="105">
        <f t="shared" si="7"/>
        <v>0</v>
      </c>
      <c r="AA54" s="84" t="str">
        <f t="shared" si="36"/>
        <v/>
      </c>
      <c r="AB54" s="105">
        <f t="shared" si="8"/>
        <v>0</v>
      </c>
      <c r="AC54" s="84" t="str">
        <f t="shared" si="37"/>
        <v/>
      </c>
      <c r="AD54" s="92" t="str">
        <f t="shared" si="25"/>
        <v/>
      </c>
      <c r="AE54" s="89" t="str">
        <f>IF(AND(ISNUMBER($K54),ISNUMBER($S54),ISNUMBER($AA54))=TRUE,$G54+$O54+$W54,"")</f>
        <v/>
      </c>
      <c r="AF54" s="104" t="str">
        <f t="shared" si="38"/>
        <v/>
      </c>
      <c r="AG54" s="107" t="str">
        <f t="shared" si="39"/>
        <v/>
      </c>
      <c r="AH54" s="92" t="str">
        <f t="shared" si="40"/>
        <v/>
      </c>
      <c r="AI54" s="89" t="str">
        <f t="shared" si="41"/>
        <v/>
      </c>
      <c r="AJ54" s="104" t="str">
        <f t="shared" si="42"/>
        <v/>
      </c>
      <c r="AK54" s="84" t="str">
        <f t="shared" si="43"/>
        <v/>
      </c>
      <c r="AL54" s="265" t="str">
        <f t="shared" si="44"/>
        <v/>
      </c>
      <c r="AM54" s="270">
        <f t="shared" si="45"/>
        <v>0</v>
      </c>
      <c r="AN54" s="270" t="str">
        <f t="shared" si="10"/>
        <v/>
      </c>
      <c r="AO54" s="270" t="str">
        <f t="shared" si="11"/>
        <v/>
      </c>
      <c r="AP54" s="270" t="str">
        <f t="shared" si="12"/>
        <v/>
      </c>
      <c r="AQ54" s="270">
        <f t="shared" si="46"/>
        <v>0</v>
      </c>
      <c r="AR54" s="271">
        <f>MIN(IFERROR(VLOOKUP($C54,'SDDA Dogs'!$A:$O,13,FALSE),0),IFERROR(VLOOKUP($C54,'SDDA Dogs'!$A:$O,14,FALSE),0),IFERROR(VLOOKUP($C54,'SDDA Dogs'!$A:$O,15,FALSE),0))</f>
        <v>0</v>
      </c>
      <c r="AS54" s="272"/>
      <c r="AT54" s="272"/>
      <c r="AU54" s="272" t="str">
        <f>IF(ISERROR(VLOOKUP(C54,'SDDA Dogs'!A:O,6,FALSE)),"",VLOOKUP(C54,'SDDA Dogs'!A:O,6,FALSE))</f>
        <v/>
      </c>
      <c r="AV54" s="270">
        <f t="shared" si="13"/>
        <v>0</v>
      </c>
      <c r="AW54" s="270">
        <f t="shared" si="14"/>
        <v>0</v>
      </c>
      <c r="AX54" s="273">
        <f t="shared" si="15"/>
        <v>0</v>
      </c>
      <c r="AY54" s="274"/>
      <c r="AZ54" s="275">
        <f t="shared" si="48"/>
        <v>0</v>
      </c>
      <c r="BA54" s="275">
        <f t="shared" si="49"/>
        <v>0</v>
      </c>
      <c r="BB54" s="276"/>
      <c r="BC54" s="274" t="str">
        <f>_xlfn.IFNA(IF(I54="Pass",IF(G54&gt;IFERROR(INDEX(DogInfo!A:B,MATCH(C54&amp;$BC$4,DogInfo!A:A,0),2),0),G54,INDEX(DogInfo!A:B,MATCH(C54&amp;$BC$4,DogInfo!A:A,0),2)),INDEX(DogInfo!A:B,MATCH(C54&amp;$BC$4,DogInfo!A:A,0),2)),"")</f>
        <v/>
      </c>
      <c r="BD54" s="274" t="str">
        <f>_xlfn.IFNA(IF(Q54="Pass",IF(O54&gt;IFERROR(INDEX(DogInfo!A:B,MATCH(C54&amp;$BD$4,DogInfo!A:A,0),2),0),O54,INDEX(DogInfo!A:B,MATCH(C54&amp;$BD$4,DogInfo!A:A,0),2)),INDEX(DogInfo!A:B,MATCH(C54&amp;$BD$4,DogInfo!A:A,0),2)),"")</f>
        <v/>
      </c>
      <c r="BE54" s="274" t="str">
        <f>_xlfn.IFNA(IF(Y54="Pass",IF(W54&gt;IFERROR(INDEX(DogInfo!A:B,MATCH(C54&amp;$BE$4,DogInfo!A:A,0),2),0),W54,INDEX(DogInfo!A:B,MATCH(C54&amp;$BE$4,DogInfo!A:A,0),2)),INDEX(DogInfo!A:B,MATCH(C54&amp;$BE$4,DogInfo!A:A,0),2)),"")</f>
        <v/>
      </c>
    </row>
    <row r="55" spans="1:57" x14ac:dyDescent="0.25">
      <c r="A55" s="9" t="s">
        <v>1548</v>
      </c>
      <c r="B55" s="9"/>
      <c r="C55" s="9"/>
      <c r="D55" s="9"/>
      <c r="E55" s="9"/>
      <c r="F55" s="9"/>
      <c r="G55" s="57">
        <f>COUNT(G5:G54)+ COUNTIF(G5:G54,"E") + COUNTIF(G5:G54,"FEO")</f>
        <v>0</v>
      </c>
      <c r="H55" s="57"/>
      <c r="I55" s="57"/>
      <c r="J55" s="57"/>
      <c r="K55" s="57"/>
      <c r="L55" s="57"/>
      <c r="M55" s="57"/>
      <c r="N55" s="57"/>
      <c r="O55" s="57">
        <f>COUNT(O5:O54)+ COUNTIF(O5:O54,"E") + COUNTIF(O5:O54,"FEO")</f>
        <v>0</v>
      </c>
      <c r="P55" s="57"/>
      <c r="Q55" s="57"/>
      <c r="R55" s="57"/>
      <c r="S55" s="57"/>
      <c r="T55" s="57"/>
      <c r="U55" s="57"/>
      <c r="V55" s="57"/>
      <c r="W55" s="57">
        <f>COUNT(W5:W54)+ COUNTIF(W5:W54,"E") + COUNTIF(W5:W54,"FEO")</f>
        <v>0</v>
      </c>
      <c r="X55" s="57"/>
      <c r="Y55" s="10" t="s">
        <v>1549</v>
      </c>
      <c r="Z55" s="57"/>
      <c r="AA55" s="57"/>
      <c r="AB55" s="57"/>
      <c r="AC55" s="57"/>
      <c r="AD55" s="57"/>
      <c r="AE55" s="57"/>
      <c r="AF55" s="57"/>
      <c r="AG55" s="57"/>
      <c r="AH55" s="57">
        <f>G55+O55+W55</f>
        <v>0</v>
      </c>
      <c r="AI55" s="57"/>
      <c r="AJ55" s="57"/>
      <c r="AK55" s="57"/>
      <c r="AL55" s="57"/>
      <c r="AM55" s="57" t="s">
        <v>2455</v>
      </c>
      <c r="AN55" s="57"/>
      <c r="AO55" s="57"/>
      <c r="AP55" s="57"/>
      <c r="AQ55" s="57">
        <f>COUNTIFS(AM5:AM54,0,AQ5:AQ54,1)</f>
        <v>0</v>
      </c>
    </row>
    <row r="56" spans="1:57" x14ac:dyDescent="0.25">
      <c r="A56" t="s">
        <v>9438</v>
      </c>
      <c r="D56">
        <f>50+SUM(E5:E54)</f>
        <v>0</v>
      </c>
    </row>
    <row r="62" spans="1:57" s="9" customFormat="1" ht="12.75" x14ac:dyDescent="0.2">
      <c r="A62" s="9" t="s">
        <v>624</v>
      </c>
      <c r="C62" s="9">
        <f>TrialNumberDay2</f>
        <v>0</v>
      </c>
      <c r="D62" s="10"/>
      <c r="E62" s="10"/>
      <c r="F62" s="10"/>
      <c r="H62" s="10" t="s">
        <v>3505</v>
      </c>
      <c r="I62" s="398">
        <f>TrialVenue</f>
        <v>0</v>
      </c>
      <c r="J62" s="398"/>
      <c r="K62" s="398"/>
      <c r="L62" s="398"/>
      <c r="M62" s="398"/>
      <c r="N62" s="398"/>
      <c r="O62" s="398"/>
      <c r="P62" s="398"/>
      <c r="R62" s="10"/>
      <c r="S62" s="10"/>
      <c r="T62" s="10"/>
      <c r="U62" s="10"/>
      <c r="V62" s="10"/>
      <c r="X62" s="10" t="s">
        <v>10</v>
      </c>
      <c r="Y62" s="399" t="str">
        <f>TEXT(TrialDateDay2, "mmm-dd-yyyy")</f>
        <v/>
      </c>
      <c r="Z62" s="399"/>
      <c r="AA62" s="399"/>
      <c r="AB62" s="399"/>
      <c r="AC62" s="399"/>
      <c r="AD62" s="399"/>
      <c r="AE62" s="38"/>
      <c r="AF62" s="10"/>
      <c r="AG62" s="38"/>
      <c r="AH62" s="38"/>
      <c r="AI62" s="38"/>
      <c r="AJ62" s="38"/>
      <c r="AK62" s="38"/>
      <c r="AL62" s="38"/>
      <c r="AM62" s="57"/>
      <c r="AN62" s="57"/>
      <c r="AO62" s="57"/>
      <c r="AP62" s="57"/>
      <c r="AQ62" s="57"/>
      <c r="AR62" s="80"/>
      <c r="AS62" s="404"/>
      <c r="AT62" s="404"/>
      <c r="AU62" s="404"/>
      <c r="AV62" s="404"/>
      <c r="AW62" s="404"/>
      <c r="AX62" s="404"/>
      <c r="AZ62" s="60"/>
      <c r="BA62" s="60"/>
    </row>
    <row r="63" spans="1:57" s="25" customFormat="1" ht="12" x14ac:dyDescent="0.25">
      <c r="A63" s="30"/>
      <c r="B63" s="395" t="s">
        <v>611</v>
      </c>
      <c r="C63" s="396"/>
      <c r="D63" s="397"/>
      <c r="E63" s="209"/>
      <c r="F63" s="31"/>
      <c r="G63" s="395" t="s">
        <v>30</v>
      </c>
      <c r="H63" s="396"/>
      <c r="I63" s="396"/>
      <c r="J63" s="396"/>
      <c r="K63" s="396"/>
      <c r="L63" s="396"/>
      <c r="M63" s="397"/>
      <c r="N63" s="31"/>
      <c r="O63" s="395" t="s">
        <v>31</v>
      </c>
      <c r="P63" s="396"/>
      <c r="Q63" s="396"/>
      <c r="R63" s="396"/>
      <c r="S63" s="396"/>
      <c r="T63" s="396"/>
      <c r="U63" s="397"/>
      <c r="V63" s="31"/>
      <c r="W63" s="395" t="s">
        <v>32</v>
      </c>
      <c r="X63" s="396"/>
      <c r="Y63" s="396"/>
      <c r="Z63" s="396"/>
      <c r="AA63" s="396"/>
      <c r="AB63" s="396"/>
      <c r="AC63" s="397"/>
      <c r="AD63" s="35"/>
      <c r="AE63" s="37"/>
      <c r="AF63" s="37"/>
      <c r="AG63" s="31"/>
      <c r="AH63" s="391" t="s">
        <v>651</v>
      </c>
      <c r="AI63" s="392"/>
      <c r="AJ63" s="392"/>
      <c r="AK63" s="392"/>
      <c r="AL63" s="395"/>
      <c r="AM63" s="58"/>
      <c r="AN63" s="58"/>
      <c r="AO63" s="58"/>
      <c r="AP63" s="58"/>
      <c r="AQ63" s="58"/>
      <c r="AR63" s="81"/>
      <c r="AV63" s="58"/>
      <c r="AW63" s="58"/>
      <c r="AZ63" s="61"/>
      <c r="BA63" s="61"/>
    </row>
    <row r="64" spans="1:57" s="3" customFormat="1" ht="51" customHeight="1" x14ac:dyDescent="0.25">
      <c r="A64" s="29" t="s">
        <v>605</v>
      </c>
      <c r="B64" s="26" t="s">
        <v>604</v>
      </c>
      <c r="C64" s="7" t="s">
        <v>612</v>
      </c>
      <c r="D64" s="27" t="s">
        <v>2</v>
      </c>
      <c r="E64" s="210" t="s">
        <v>12406</v>
      </c>
      <c r="F64" s="32" t="s">
        <v>660</v>
      </c>
      <c r="G64" s="26" t="s">
        <v>1131</v>
      </c>
      <c r="H64" s="7" t="s">
        <v>602</v>
      </c>
      <c r="I64" s="7" t="s">
        <v>603</v>
      </c>
      <c r="J64" s="24" t="s">
        <v>607</v>
      </c>
      <c r="K64" s="24" t="s">
        <v>618</v>
      </c>
      <c r="L64" s="24" t="s">
        <v>601</v>
      </c>
      <c r="M64" s="28" t="s">
        <v>621</v>
      </c>
      <c r="N64" s="33" t="s">
        <v>661</v>
      </c>
      <c r="O64" s="26" t="s">
        <v>1134</v>
      </c>
      <c r="P64" s="7" t="s">
        <v>606</v>
      </c>
      <c r="Q64" s="7" t="s">
        <v>610</v>
      </c>
      <c r="R64" s="24" t="s">
        <v>608</v>
      </c>
      <c r="S64" s="24" t="s">
        <v>619</v>
      </c>
      <c r="T64" s="24" t="s">
        <v>609</v>
      </c>
      <c r="U64" s="28" t="s">
        <v>622</v>
      </c>
      <c r="V64" s="33" t="s">
        <v>662</v>
      </c>
      <c r="W64" s="26" t="s">
        <v>1133</v>
      </c>
      <c r="X64" s="7" t="s">
        <v>615</v>
      </c>
      <c r="Y64" s="7" t="s">
        <v>617</v>
      </c>
      <c r="Z64" s="24" t="s">
        <v>613</v>
      </c>
      <c r="AA64" s="24" t="s">
        <v>620</v>
      </c>
      <c r="AB64" s="24" t="s">
        <v>614</v>
      </c>
      <c r="AC64" s="28" t="s">
        <v>623</v>
      </c>
      <c r="AD64" s="32" t="s">
        <v>15153</v>
      </c>
      <c r="AE64" s="26" t="s">
        <v>654</v>
      </c>
      <c r="AF64" s="7" t="s">
        <v>655</v>
      </c>
      <c r="AG64" s="34" t="s">
        <v>650</v>
      </c>
      <c r="AH64" s="32" t="s">
        <v>653</v>
      </c>
      <c r="AI64" s="26" t="s">
        <v>656</v>
      </c>
      <c r="AJ64" s="7" t="s">
        <v>657</v>
      </c>
      <c r="AK64" s="26" t="s">
        <v>658</v>
      </c>
      <c r="AL64" s="263" t="s">
        <v>652</v>
      </c>
      <c r="AM64" s="266" t="s">
        <v>1554</v>
      </c>
      <c r="AN64" s="266" t="s">
        <v>1075</v>
      </c>
      <c r="AO64" s="266" t="s">
        <v>1076</v>
      </c>
      <c r="AP64" s="266" t="s">
        <v>1077</v>
      </c>
      <c r="AQ64" s="266" t="s">
        <v>1553</v>
      </c>
      <c r="AR64" s="267" t="s">
        <v>16037</v>
      </c>
      <c r="AS64" s="266" t="s">
        <v>1286</v>
      </c>
      <c r="AT64" s="266" t="s">
        <v>1287</v>
      </c>
      <c r="AU64" s="268" t="s">
        <v>1137</v>
      </c>
      <c r="AV64" s="266" t="s">
        <v>1145</v>
      </c>
      <c r="AW64" s="266" t="s">
        <v>1146</v>
      </c>
      <c r="AX64" s="268" t="s">
        <v>1147</v>
      </c>
      <c r="AY64" s="268"/>
      <c r="AZ64" s="269" t="s">
        <v>1172</v>
      </c>
      <c r="BA64" s="269" t="s">
        <v>1173</v>
      </c>
      <c r="BB64" s="268" t="s">
        <v>1561</v>
      </c>
      <c r="BC64" s="261" t="s">
        <v>15191</v>
      </c>
      <c r="BD64" s="261" t="s">
        <v>15192</v>
      </c>
      <c r="BE64" s="261" t="s">
        <v>15193</v>
      </c>
    </row>
    <row r="65" spans="1:57" x14ac:dyDescent="0.25">
      <c r="A65" s="99">
        <v>1</v>
      </c>
      <c r="B65" s="100"/>
      <c r="C65" s="101"/>
      <c r="D65" s="102" t="str">
        <f>IF($C65="","",VLOOKUP($C65,'SDDA Dogs'!$A:$F,2,FALSE))</f>
        <v/>
      </c>
      <c r="E65" s="211">
        <f>-_xlfn.ISFORMULA(D65)</f>
        <v>-1</v>
      </c>
      <c r="F65" s="103" t="str">
        <f>IF($C65="","",IF(ISERROR(VLOOKUP($C65,$C$5:$AP$54,38,FALSE)=TRUE),VLOOKUP($C65,'SDDA Dogs'!$A:$O,10,FALSE),VLOOKUP($C65,$C$5:$AP$54,38,FALSE)))</f>
        <v/>
      </c>
      <c r="G65" s="137"/>
      <c r="H65" s="217"/>
      <c r="I65" s="84" t="str">
        <f>IF(OR(G65="",G65="NE",G65="e",G65="feo"),"",(IF(G65&gt;=30,"Pass","Fail")))</f>
        <v/>
      </c>
      <c r="J65" s="105">
        <f t="shared" ref="J65:J114" si="50">IF(OR(AND($I65="Pass",$B65="A"),AND($I65="Fail",UseFail="Y",$B65="A")),$G65,0)+IF(OR(AND($I65="Pass",$B65="A"),AND($I65="Fail",UseFail="Y",$B65="A")),(MaxTmCSA-VALUE($H65)),0)</f>
        <v>0</v>
      </c>
      <c r="K65" s="84" t="str">
        <f>IF(AND($B65="A",$G65&lt;&gt;0,$H65&lt;&gt;0,J65&lt;&gt;0),(RANK(J65,J$65:J$114,0)),"")</f>
        <v/>
      </c>
      <c r="L65" s="105">
        <f t="shared" ref="L65:L114" si="51">IF(OR(AND($I65="Pass",$B65="W"),AND($I65="Fail",UseFail="Y",$B65="W")),$G65,0)+IF(OR(AND($I65="Pass",$B65="W"),AND($I65="Fail",UseFail="Y",$B65="W")),(MaxTmCSA-VALUE($H65)),0)</f>
        <v>0</v>
      </c>
      <c r="M65" s="84" t="str">
        <f>IF(AND($B65="W",$G65&lt;&gt;0,$H65&lt;&gt;0,L65&lt;&gt;0),(RANK(L65,L$65:L$114,0)),"")</f>
        <v/>
      </c>
      <c r="N65" s="106" t="str">
        <f>IF($C65="","",IF(ISERROR(VLOOKUP($C65,$C$5:$AP$54,39,FALSE)=TRUE),VLOOKUP($C65,'SDDA Dogs'!$A:$O,11,FALSE),VLOOKUP($C65,$C$5:$AP$54,39,FALSE)))</f>
        <v/>
      </c>
      <c r="O65" s="137"/>
      <c r="P65" s="217"/>
      <c r="Q65" s="84" t="str">
        <f>IF(OR(O65="",O65="NE",O65="e",O65="feo"),"",(IF(O65&gt;=40,"Pass","Fail")))</f>
        <v/>
      </c>
      <c r="R65" s="105">
        <f t="shared" ref="R65:R114" si="52">IF(OR(AND($Q65="Pass",$B65="A"),AND($Q65="Fail",UseFail="Y",$B65="A")),$O65,0)+IF(OR(AND($Q65="Pass",$B65="A"),AND($Q65="Fail",UseFail="Y",$B65="A")),(MaxTmISA-VALUE($P65)),0)</f>
        <v>0</v>
      </c>
      <c r="S65" s="84" t="str">
        <f>IF(AND($B65="A",$O65&lt;&gt;0,$P65&lt;&gt;0,R65&lt;&gt;0),(RANK(R65,R$65:R$114,0)),"")</f>
        <v/>
      </c>
      <c r="T65" s="105">
        <f t="shared" ref="T65:T114" si="53">IF(OR(AND($Q65="Pass",$B65="W"),AND($Q65="Fail",UseFail="Y",$B65="W")),$O65,0)+IF(OR(AND($Q65="Pass",$B65="W"),AND($Q65="Fail",UseFail="Y",$B65="W")),(MaxTmISA-VALUE($P65)),0)</f>
        <v>0</v>
      </c>
      <c r="U65" s="84" t="str">
        <f>IF(AND($B65="w",$O65&lt;&gt;0,$P65&lt;&gt;0,T65&lt;&gt;0),(RANK(T65,T$65:T$114,0)),"")</f>
        <v/>
      </c>
      <c r="V65" s="106" t="str">
        <f>IF($C65="","",IF(ISERROR(VLOOKUP($C65,$C$5:$AP$54,40,FALSE)=TRUE),VLOOKUP($C65,'SDDA Dogs'!$A:$O,12,FALSE),VLOOKUP($C65,$C$5:$AP$54,40,FALSE)))</f>
        <v/>
      </c>
      <c r="W65" s="137"/>
      <c r="X65" s="217"/>
      <c r="Y65" s="84" t="str">
        <f>IF(OR(W65="",W65="NE",W65="e",W65="feo"),"",(IF(W65&gt;=30,"Pass","Fail")))</f>
        <v/>
      </c>
      <c r="Z65" s="105">
        <f t="shared" ref="Z65:Z114" si="54">IF(OR(AND($Y65="Pass",$B65="A"),AND($Y65="Fail",UseFail="Y",$B65="A")),$W65,0)+IF(OR(AND($Y65="Pass",$B65="A"),AND($Y65="Fail",UseFail="Y",$B65="A")),(MaxTmESA-VALUE($X65)),0)</f>
        <v>0</v>
      </c>
      <c r="AA65" s="84" t="str">
        <f>IF(AND($B65="A",$W65&lt;&gt;0,$X65&lt;&gt;0,Z65&lt;&gt;0),(RANK(Z65,Z$65:Z$114,0)),"")</f>
        <v/>
      </c>
      <c r="AB65" s="105">
        <f t="shared" ref="AB65:AB114" si="55">IF(OR(AND($Y65="Pass",$B65="w"),AND($Y65="Fail",UseFail="Y",$B65="w")),$W65,0)+IF(OR(AND($Y65="Pass",$B65="w"),AND($Y65="Fail",UseFail="Y",$B65="w")),(MaxTmESA-VALUE($X65)),0)</f>
        <v>0</v>
      </c>
      <c r="AC65" s="84" t="str">
        <f>IF(AND($B65="w",$W65&lt;&gt;0,$X65&lt;&gt;0,AB65&lt;&gt;0),(RANK(AB65,AB$65:AB$114,0)),"")</f>
        <v/>
      </c>
      <c r="AD65" s="92" t="str">
        <f>IF(AND(AM65=0,AQ65=1,I65="Pass",Q65="Pass",Y65="Pass"),G65+O65+W65,IF(AND(AM65=0,AQ65=1),SUM(BC65:BE65),""))</f>
        <v/>
      </c>
      <c r="AE65" s="89" t="str">
        <f>IF(AND(ISNUMBER($K65),ISNUMBER($S65),ISNUMBER($AA65))=TRUE,$G65+$O65+$W65,"")</f>
        <v/>
      </c>
      <c r="AF65" s="104" t="str">
        <f>IF(AND(ISNUMBER($K65),ISNUMBER($S65),ISNUMBER($AA65))=TRUE,$H65+$P65+$X65,"")</f>
        <v/>
      </c>
      <c r="AG65" s="107" t="str">
        <f>IF(ISNUMBER(AE65),(RANK(AE65,AE$65:AE$114,0)*10)+RANK(AF65,AF$65:AF$114,1),"")</f>
        <v/>
      </c>
      <c r="AH65" s="92" t="str">
        <f>IF(ISNUMBER(AG65),RANK(AG65,AG$65:AG$114,1),"")</f>
        <v/>
      </c>
      <c r="AI65" s="89" t="str">
        <f>IF(AND(ISNUMBER($M65),ISNUMBER($U65),ISNUMBER($AC65))=TRUE,$G65+$O65+$W65,"")</f>
        <v/>
      </c>
      <c r="AJ65" s="104" t="str">
        <f>IF(AND(ISNUMBER($M65),ISNUMBER($U65),ISNUMBER($AC65))=TRUE,$H65+$P65+$X65,"")</f>
        <v/>
      </c>
      <c r="AK65" s="84" t="str">
        <f>IF(ISNUMBER(AI65),(RANK(AI65,AI$65:AI$114,0)*10)+RANK(AJ65,AJ$65:AJ$114,1),"")</f>
        <v/>
      </c>
      <c r="AL65" s="264" t="str">
        <f>IF(ISNUMBER(AK65),RANK(AK65,AK$65:AK$114,1),"")</f>
        <v/>
      </c>
      <c r="AM65" s="270">
        <f t="shared" ref="AM65:AM114" si="56">MIN(F65,N65,V65)</f>
        <v>0</v>
      </c>
      <c r="AN65" s="270" t="str">
        <f t="shared" ref="AN65:AN114" si="57">IF(I65="Pass",F65+1,F65)</f>
        <v/>
      </c>
      <c r="AO65" s="270" t="str">
        <f t="shared" ref="AO65:AO114" si="58">IF(Q65="Pass", N65+1,N65)</f>
        <v/>
      </c>
      <c r="AP65" s="270" t="str">
        <f t="shared" ref="AP65:AP114" si="59">IF(Y65="Pass",V65+1,V65)</f>
        <v/>
      </c>
      <c r="AQ65" s="270">
        <f t="shared" ref="AQ65:AQ114" si="60">MIN(AN65,AO65,AP65)</f>
        <v>0</v>
      </c>
      <c r="AR65" s="271">
        <f>MIN(IFERROR(VLOOKUP($C65,'SDDA Dogs'!$A:$O,13,FALSE),0),IFERROR(VLOOKUP($C65,'SDDA Dogs'!$A:$O,14,FALSE),0),IFERROR(VLOOKUP($C65,'SDDA Dogs'!$A:$O,15,FALSE),0))</f>
        <v>0</v>
      </c>
      <c r="AS65" s="272"/>
      <c r="AT65" s="272"/>
      <c r="AU65" s="272" t="str">
        <f>IF(ISERROR(VLOOKUP(C65,'SDDA Dogs'!A:O,6,FALSE)),"",VLOOKUP(C65,'SDDA Dogs'!A:O,6,FALSE))</f>
        <v/>
      </c>
      <c r="AV65" s="270">
        <f>IF(OR(ISNUMBER(G65),G65="e"),1,0)+IF(OR(ISNUMBER(O65),O65="e"),1,0)+IF(OR(ISNUMBER(W65),W65="e"),1,0)</f>
        <v>0</v>
      </c>
      <c r="AW65" s="270">
        <f>IF(G65="FEO",1,0)+IF(O65="FEO",1,0)+IF(W65="FEO",1,0)</f>
        <v>0</v>
      </c>
      <c r="AX65" s="273">
        <f t="shared" ref="AX65:AX114" si="61">(AV65*TrialFeeAdv)+(AW65*FeoFee)</f>
        <v>0</v>
      </c>
      <c r="AY65" s="274"/>
      <c r="AZ65" s="275">
        <f t="shared" ref="AZ65:AZ96" si="62">IF(AND(I65="Pass",Q65="Pass",Y65="Pass"),(G65+O65+W65)/((MinScoreCSA + MinScoreISA + MinScoreESA)*2),0)</f>
        <v>0</v>
      </c>
      <c r="BA65" s="275">
        <f t="shared" ref="BA65:BA96" si="63">IF(AND(I65="Pass",Q65="Pass",Y65="Pass"),(H65+P65+X65)/(MaxTmCSA+MaxTmESA+MaxTmISA),0)</f>
        <v>0</v>
      </c>
      <c r="BB65" s="276"/>
      <c r="BC65" s="274">
        <f>_xlfn.IFNA(IF(I65="Pass",IF(AND(G65&gt;=IFERROR(INDEX($C$5:$W$54,MATCH(C65,$C$5:$C$54,0),5),0),G65&gt;=IFERROR(INDEX(DogInfo!A:B,MATCH(C65&amp;$BC$4,DogInfo!A:A,0),2),0)),G65,IF(AND(IFERROR(INDEX($C$5:$W$54,MATCH(C65,$C$5:$C$54,0),5),0)&gt;=O65,IFERROR(INDEX($C$5:$W$54,MATCH(C65,$C$5:$C$54,0),5),0)&gt;=IFERROR(INDEX(DogInfo!A:B,MATCH(C65&amp;$BC$4,DogInfo!A:A,0),2),0)),IFERROR(INDEX($C$5:$W$54,MATCH(C65,$C$5:$C$54,0),5),0),IF(AND(IFERROR(INDEX(DogInfo!A:B,MATCH(C65&amp;$BC$4,DogInfo!A:A,0),2),0)&gt;=IFERROR(INDEX($C$5:$W$54,MATCH(C65,$C$5:$C$54,0),5),0),IFERROR(INDEX(DogInfo!A:B,MATCH(C65&amp;$BC$4,DogInfo!A:A,0),2),0)&gt;=G65),IFERROR(INDEX(DogInfo!A:B,MATCH(C65&amp;$BC$4,DogInfo!A:A,0),2),0),"Error"))),IFERROR(INDEX($C$5:$BE$54,MATCH(C65,$C$5:$C$54,0),53),IFERROR(INDEX(DogInfo!A:B,MATCH(C65&amp;$BC$4,DogInfo!A:A,0),2),0))),"")</f>
        <v>0</v>
      </c>
      <c r="BD65" s="274">
        <f>_xlfn.IFNA(IF(Q65="Pass",IF(AND(O65&gt;=IFERROR(INDEX($C$5:$W$54,MATCH(C65,$C$5:$C$54,0),13),0),O65&gt;=IFERROR(INDEX(DogInfo!A:B,MATCH(C65&amp;$BD$4,DogInfo!A:A,0),2),0)),O65,IF(AND(IFERROR(INDEX($C$5:$W$54,MATCH(C65,$C$5:$C$54,0),13),0)&gt;=O65,IFERROR(INDEX($C$5:$W$54,MATCH(C65,$C$5:$C$54,0),13),0)&gt;=IFERROR(INDEX(DogInfo!A:B,MATCH(C65&amp;$BD$4,DogInfo!A:A,0),2),0)),IFERROR(INDEX($C$5:$W$54,MATCH(C65,$C$5:$C$54,0),13),0),IF(AND(IFERROR(INDEX(DogInfo!A:B,MATCH(C65&amp;$BD$4,DogInfo!A:A,0),2),0)&gt;=IFERROR(INDEX($C$5:$W$54,MATCH(C65,$C$5:$C$54,0),13),0),IFERROR(INDEX(DogInfo!A:B,MATCH(C65&amp;$BD$4,DogInfo!A:A,0),2),0)&gt;=O65),IFERROR(INDEX(DogInfo!A:B,MATCH(C65&amp;$BD$4,DogInfo!A:A,0),2),0),"Error"))),IFERROR(INDEX($C$5:$BE$54,MATCH(C65,$C$5:$C$54,0),54),IFERROR(INDEX(DogInfo!A:B,MATCH(C65&amp;$BD$4,DogInfo!A:A,0),2),0))),"")</f>
        <v>0</v>
      </c>
      <c r="BE65" s="274">
        <f>_xlfn.IFNA(IF(Y65="Pass",IF(AND(W65&gt;=IFERROR(INDEX($C$5:$W$54,MATCH(C65,$C$5:$C$54,0),21),0),O65&gt;=IFERROR(INDEX(DogInfo!A:B,MATCH(C65&amp;$BE$4,DogInfo!A:A,0),2),0)),W65,IF(AND(IFERROR(INDEX($C$5:$W$54,MATCH(C65,$C$5:$C$54,0),21),0)&gt;=W65,IFERROR(INDEX($C$5:$W$54,MATCH(C65,$C$5:$C$54,0),21),0)&gt;=IFERROR(INDEX(DogInfo!A:B,MATCH(C65&amp;$BE$4,DogInfo!A:A,0),2),0)),IFERROR(INDEX($C$5:$W$54,MATCH(C65,$C$5:$C$54,0),21),0),IF(AND(IFERROR(INDEX(DogInfo!A:B,MATCH(C65&amp;$BE$4,DogInfo!A:A,0),2),0)&gt;=IFERROR(INDEX($C$5:$W$54,MATCH(C65,$C$5:$C$54,0),21),0),IFERROR(INDEX(DogInfo!A:B,MATCH(C65&amp;$BE$4,DogInfo!A:A,0),2),0)&gt;=W65),IFERROR(INDEX(DogInfo!A:B,MATCH(C65&amp;$BE$4,DogInfo!A:A,0),2),0),"Error"))),IFERROR(INDEX($C$5:$BE$54,MATCH(C65,$C$5:$C$54,0),55),IFERROR(INDEX(DogInfo!A:B,MATCH(C65&amp;$BE$4,DogInfo!A:A,0),2),0))),"")</f>
        <v>0</v>
      </c>
    </row>
    <row r="66" spans="1:57" x14ac:dyDescent="0.25">
      <c r="A66" s="99">
        <v>2</v>
      </c>
      <c r="B66" s="100"/>
      <c r="C66" s="240"/>
      <c r="D66" s="102" t="str">
        <f>IF($C66="","",VLOOKUP($C66,'SDDA Dogs'!$A:$F,2,FALSE))</f>
        <v/>
      </c>
      <c r="E66" s="211">
        <f t="shared" ref="E66:E85" si="64">-_xlfn.ISFORMULA(D66)</f>
        <v>-1</v>
      </c>
      <c r="F66" s="103" t="str">
        <f>IF($C66="","",IF(ISERROR(VLOOKUP($C66,$C$5:$AP$54,38,FALSE)=TRUE),VLOOKUP($C66,'SDDA Dogs'!$A:$O,10,FALSE),VLOOKUP($C66,$C$5:$AP$54,38,FALSE)))</f>
        <v/>
      </c>
      <c r="G66" s="241"/>
      <c r="H66" s="242"/>
      <c r="I66" s="84" t="str">
        <f t="shared" ref="I66:I85" si="65">IF(OR(G66="",G66="NE",G66="e",G66="feo"),"",(IF(G66&gt;=30,"Pass","Fail")))</f>
        <v/>
      </c>
      <c r="J66" s="105">
        <f t="shared" si="50"/>
        <v>0</v>
      </c>
      <c r="K66" s="84" t="str">
        <f t="shared" ref="K66:K85" si="66">IF(AND($B66="A",$G66&lt;&gt;0,$H66&lt;&gt;0,J66&lt;&gt;0),(RANK(J66,J$65:J$114,0)),"")</f>
        <v/>
      </c>
      <c r="L66" s="105">
        <f t="shared" si="51"/>
        <v>0</v>
      </c>
      <c r="M66" s="84" t="str">
        <f t="shared" ref="M66:M85" si="67">IF(AND($B66="W",$G66&lt;&gt;0,$H66&lt;&gt;0,L66&lt;&gt;0),(RANK(L66,L$65:L$114,0)),"")</f>
        <v/>
      </c>
      <c r="N66" s="106" t="str">
        <f>IF($C66="","",IF(ISERROR(VLOOKUP($C66,$C$5:$AP$54,39,FALSE)=TRUE),VLOOKUP($C66,'SDDA Dogs'!$A:$O,11,FALSE),VLOOKUP($C66,$C$5:$AP$54,39,FALSE)))</f>
        <v/>
      </c>
      <c r="O66" s="241"/>
      <c r="P66" s="242"/>
      <c r="Q66" s="84" t="str">
        <f t="shared" ref="Q66:Q85" si="68">IF(OR(O66="",O66="NE",O66="e",O66="feo"),"",(IF(O66&gt;=40,"Pass","Fail")))</f>
        <v/>
      </c>
      <c r="R66" s="105">
        <f t="shared" si="52"/>
        <v>0</v>
      </c>
      <c r="S66" s="84" t="str">
        <f t="shared" ref="S66:S85" si="69">IF(AND($B66="A",$O66&lt;&gt;0,$P66&lt;&gt;0,R66&lt;&gt;0),(RANK(R66,R$65:R$114,0)),"")</f>
        <v/>
      </c>
      <c r="T66" s="105">
        <f t="shared" si="53"/>
        <v>0</v>
      </c>
      <c r="U66" s="84" t="str">
        <f t="shared" ref="U66:U85" si="70">IF(AND($B66="w",$O66&lt;&gt;0,$P66&lt;&gt;0,T66&lt;&gt;0),(RANK(T66,T$65:T$114,0)),"")</f>
        <v/>
      </c>
      <c r="V66" s="106" t="str">
        <f>IF($C66="","",IF(ISERROR(VLOOKUP($C66,$C$5:$AP$54,40,FALSE)=TRUE),VLOOKUP($C66,'SDDA Dogs'!$A:$O,12,FALSE),VLOOKUP($C66,$C$5:$AP$54,40,FALSE)))</f>
        <v/>
      </c>
      <c r="W66" s="241"/>
      <c r="X66" s="242"/>
      <c r="Y66" s="84" t="str">
        <f t="shared" ref="Y66:Y85" si="71">IF(OR(W66="",W66="NE",W66="e",W66="feo"),"",(IF(W66&gt;=30,"Pass","Fail")))</f>
        <v/>
      </c>
      <c r="Z66" s="105">
        <f t="shared" si="54"/>
        <v>0</v>
      </c>
      <c r="AA66" s="84" t="str">
        <f t="shared" ref="AA66:AA85" si="72">IF(AND($B66="A",$W66&lt;&gt;0,$X66&lt;&gt;0,Z66&lt;&gt;0),(RANK(Z66,Z$65:Z$114,0)),"")</f>
        <v/>
      </c>
      <c r="AB66" s="105">
        <f t="shared" si="55"/>
        <v>0</v>
      </c>
      <c r="AC66" s="84" t="str">
        <f t="shared" ref="AC66:AC85" si="73">IF(AND($B66="w",$W66&lt;&gt;0,$X66&lt;&gt;0,AB66&lt;&gt;0),(RANK(AB66,AB$65:AB$114,0)),"")</f>
        <v/>
      </c>
      <c r="AD66" s="92" t="str">
        <f t="shared" ref="AD66:AD114" si="74">IF(AND(AM66=0,AQ66=1,I66="Pass",Q66="Pass",Y66="Pass"),G66+O66+W66,IF(AND(AM66=0,AQ66=1),SUM(BC66:BE66),""))</f>
        <v/>
      </c>
      <c r="AE66" s="89" t="str">
        <f t="shared" ref="AE66:AE85" si="75">IF(AND(ISNUMBER($K66),ISNUMBER($S66),ISNUMBER($AA66))=TRUE,$G66+$O66+$W66,"")</f>
        <v/>
      </c>
      <c r="AF66" s="104" t="str">
        <f t="shared" ref="AF66:AF85" si="76">IF(AND(ISNUMBER($K66),ISNUMBER($S66),ISNUMBER($AA66))=TRUE,$H66+$P66+$X66,"")</f>
        <v/>
      </c>
      <c r="AG66" s="107" t="str">
        <f t="shared" ref="AG66:AG85" si="77">IF(ISNUMBER(AE66),(RANK(AE66,AE$65:AE$114,0)*10)+RANK(AF66,AF$65:AF$114,1),"")</f>
        <v/>
      </c>
      <c r="AH66" s="92" t="str">
        <f t="shared" ref="AH66:AH85" si="78">IF(ISNUMBER(AG66),RANK(AG66,AG$65:AG$114,1),"")</f>
        <v/>
      </c>
      <c r="AI66" s="89" t="str">
        <f t="shared" ref="AI66:AI85" si="79">IF(AND(ISNUMBER($M66),ISNUMBER($U66),ISNUMBER($AC66))=TRUE,$G66+$O66+$W66,"")</f>
        <v/>
      </c>
      <c r="AJ66" s="104" t="str">
        <f t="shared" ref="AJ66:AJ85" si="80">IF(AND(ISNUMBER($M66),ISNUMBER($U66),ISNUMBER($AC66))=TRUE,$H66+$P66+$X66,"")</f>
        <v/>
      </c>
      <c r="AK66" s="84" t="str">
        <f t="shared" ref="AK66:AK85" si="81">IF(ISNUMBER(AI66),(RANK(AI66,AI$65:AI$114,0)*10)+RANK(AJ66,AJ$65:AJ$114,1),"")</f>
        <v/>
      </c>
      <c r="AL66" s="264" t="str">
        <f t="shared" ref="AL66:AL85" si="82">IF(ISNUMBER(AK66),RANK(AK66,AK$65:AK$114,1),"")</f>
        <v/>
      </c>
      <c r="AM66" s="270">
        <f t="shared" si="56"/>
        <v>0</v>
      </c>
      <c r="AN66" s="270" t="str">
        <f t="shared" ref="AN66:AN85" si="83">IF(I66="Pass",F66+1,F66)</f>
        <v/>
      </c>
      <c r="AO66" s="270" t="str">
        <f t="shared" ref="AO66:AO85" si="84">IF(Q66="Pass", N66+1,N66)</f>
        <v/>
      </c>
      <c r="AP66" s="270" t="str">
        <f t="shared" ref="AP66:AP85" si="85">IF(Y66="Pass",V66+1,V66)</f>
        <v/>
      </c>
      <c r="AQ66" s="270">
        <f t="shared" ref="AQ66:AQ85" si="86">MIN(AN66,AO66,AP66)</f>
        <v>0</v>
      </c>
      <c r="AR66" s="271">
        <f>MIN(IFERROR(VLOOKUP($C66,'SDDA Dogs'!$A:$O,13,FALSE),0),IFERROR(VLOOKUP($C66,'SDDA Dogs'!$A:$O,14,FALSE),0),IFERROR(VLOOKUP($C66,'SDDA Dogs'!$A:$O,15,FALSE),0))</f>
        <v>0</v>
      </c>
      <c r="AS66" s="272"/>
      <c r="AT66" s="272"/>
      <c r="AU66" s="272" t="str">
        <f>IF(ISERROR(VLOOKUP(C66,'SDDA Dogs'!A:O,6,FALSE)),"",VLOOKUP(C66,'SDDA Dogs'!A:O,6,FALSE))</f>
        <v/>
      </c>
      <c r="AV66" s="270">
        <f t="shared" ref="AV66:AV85" si="87">IF(OR(ISNUMBER(G66),G66="e"),1,0)+IF(OR(ISNUMBER(O66),O66="e"),1,0)+IF(OR(ISNUMBER(W66),W66="e"),1,0)</f>
        <v>0</v>
      </c>
      <c r="AW66" s="270">
        <f t="shared" ref="AW66:AW85" si="88">IF(G66="FEO",1,0)+IF(O66="FEO",1,0)+IF(W66="FEO",1,0)</f>
        <v>0</v>
      </c>
      <c r="AX66" s="273">
        <f t="shared" ref="AX66:AX85" si="89">(AV66*TrialFeeAdv)+(AW66*FeoFee)</f>
        <v>0</v>
      </c>
      <c r="AY66" s="274"/>
      <c r="AZ66" s="275">
        <f t="shared" si="62"/>
        <v>0</v>
      </c>
      <c r="BA66" s="275">
        <f t="shared" si="63"/>
        <v>0</v>
      </c>
      <c r="BB66" s="276"/>
      <c r="BC66" s="274">
        <f>_xlfn.IFNA(IF(I66="Pass",IF(AND(G66&gt;=IFERROR(INDEX($C$5:$W$54,MATCH(C66,$C$5:$C$54,0),5),0),G66&gt;=IFERROR(INDEX(DogInfo!A:B,MATCH(C66&amp;$BC$4,DogInfo!A:A,0),2),0)),G66,IF(AND(IFERROR(INDEX($C$5:$W$54,MATCH(C66,$C$5:$C$54,0),5),0)&gt;=O66,IFERROR(INDEX($C$5:$W$54,MATCH(C66,$C$5:$C$54,0),5),0)&gt;=IFERROR(INDEX(DogInfo!A:B,MATCH(C66&amp;$BC$4,DogInfo!A:A,0),2),0)),IFERROR(INDEX($C$5:$W$54,MATCH(C66,$C$5:$C$54,0),5),0),IF(AND(IFERROR(INDEX(DogInfo!A:B,MATCH(C66&amp;$BC$4,DogInfo!A:A,0),2),0)&gt;=IFERROR(INDEX($C$5:$W$54,MATCH(C66,$C$5:$C$54,0),5),0),IFERROR(INDEX(DogInfo!A:B,MATCH(C66&amp;$BC$4,DogInfo!A:A,0),2),0)&gt;=G66),IFERROR(INDEX(DogInfo!A:B,MATCH(C66&amp;$BC$4,DogInfo!A:A,0),2),0),"Error"))),IFERROR(INDEX($C$5:$BE$54,MATCH(C66,$C$5:$C$54,0),53),IFERROR(INDEX(DogInfo!A:B,MATCH(C66&amp;$BC$4,DogInfo!A:A,0),2),0))),"")</f>
        <v>0</v>
      </c>
      <c r="BD66" s="274">
        <f>_xlfn.IFNA(IF(Q66="Pass",IF(AND(O66&gt;=IFERROR(INDEX($C$5:$W$54,MATCH(C66,$C$5:$C$54,0),13),0),O66&gt;=IFERROR(INDEX(DogInfo!A:B,MATCH(C66&amp;$BD$4,DogInfo!A:A,0),2),0)),O66,IF(AND(IFERROR(INDEX($C$5:$W$54,MATCH(C66,$C$5:$C$54,0),13),0)&gt;=O66,IFERROR(INDEX($C$5:$W$54,MATCH(C66,$C$5:$C$54,0),13),0)&gt;=IFERROR(INDEX(DogInfo!A:B,MATCH(C66&amp;$BD$4,DogInfo!A:A,0),2),0)),IFERROR(INDEX($C$5:$W$54,MATCH(C66,$C$5:$C$54,0),13),0),IF(AND(IFERROR(INDEX(DogInfo!A:B,MATCH(C66&amp;$BD$4,DogInfo!A:A,0),2),0)&gt;=IFERROR(INDEX($C$5:$W$54,MATCH(C66,$C$5:$C$54,0),13),0),IFERROR(INDEX(DogInfo!A:B,MATCH(C66&amp;$BD$4,DogInfo!A:A,0),2),0)&gt;=O66),IFERROR(INDEX(DogInfo!A:B,MATCH(C66&amp;$BD$4,DogInfo!A:A,0),2),0),"Error"))),IFERROR(INDEX($C$5:$BE$54,MATCH(C66,$C$5:$C$54,0),54),IFERROR(INDEX(DogInfo!A:B,MATCH(C66&amp;$BD$4,DogInfo!A:A,0),2),0))),"")</f>
        <v>0</v>
      </c>
      <c r="BE66" s="274">
        <f>_xlfn.IFNA(IF(Y66="Pass",IF(AND(W66&gt;=IFERROR(INDEX($C$5:$W$54,MATCH(C66,$C$5:$C$54,0),21),0),O66&gt;=IFERROR(INDEX(DogInfo!A:B,MATCH(C66&amp;$BE$4,DogInfo!A:A,0),2),0)),W66,IF(AND(IFERROR(INDEX($C$5:$W$54,MATCH(C66,$C$5:$C$54,0),21),0)&gt;=W66,IFERROR(INDEX($C$5:$W$54,MATCH(C66,$C$5:$C$54,0),21),0)&gt;=IFERROR(INDEX(DogInfo!A:B,MATCH(C66&amp;$BE$4,DogInfo!A:A,0),2),0)),IFERROR(INDEX($C$5:$W$54,MATCH(C66,$C$5:$C$54,0),21),0),IF(AND(IFERROR(INDEX(DogInfo!A:B,MATCH(C66&amp;$BE$4,DogInfo!A:A,0),2),0)&gt;=IFERROR(INDEX($C$5:$W$54,MATCH(C66,$C$5:$C$54,0),21),0),IFERROR(INDEX(DogInfo!A:B,MATCH(C66&amp;$BE$4,DogInfo!A:A,0),2),0)&gt;=W66),IFERROR(INDEX(DogInfo!A:B,MATCH(C66&amp;$BE$4,DogInfo!A:A,0),2),0),"Error"))),IFERROR(INDEX($C$5:$BE$54,MATCH(C66,$C$5:$C$54,0),55),IFERROR(INDEX(DogInfo!A:B,MATCH(C66&amp;$BE$4,DogInfo!A:A,0),2),0))),"")</f>
        <v>0</v>
      </c>
    </row>
    <row r="67" spans="1:57" x14ac:dyDescent="0.25">
      <c r="A67" s="99">
        <v>3</v>
      </c>
      <c r="B67" s="100"/>
      <c r="C67" s="240"/>
      <c r="D67" s="102" t="str">
        <f>IF($C67="","",VLOOKUP($C67,'SDDA Dogs'!$A:$F,2,FALSE))</f>
        <v/>
      </c>
      <c r="E67" s="211">
        <f t="shared" si="64"/>
        <v>-1</v>
      </c>
      <c r="F67" s="103" t="str">
        <f>IF($C67="","",IF(ISERROR(VLOOKUP($C67,$C$5:$AP$54,38,FALSE)=TRUE),VLOOKUP($C67,'SDDA Dogs'!$A:$O,10,FALSE),VLOOKUP($C67,$C$5:$AP$54,38,FALSE)))</f>
        <v/>
      </c>
      <c r="G67" s="241"/>
      <c r="H67" s="242"/>
      <c r="I67" s="84" t="str">
        <f t="shared" si="65"/>
        <v/>
      </c>
      <c r="J67" s="105">
        <f t="shared" si="50"/>
        <v>0</v>
      </c>
      <c r="K67" s="84" t="str">
        <f t="shared" si="66"/>
        <v/>
      </c>
      <c r="L67" s="105">
        <f t="shared" si="51"/>
        <v>0</v>
      </c>
      <c r="M67" s="84" t="str">
        <f t="shared" si="67"/>
        <v/>
      </c>
      <c r="N67" s="106" t="str">
        <f>IF($C67="","",IF(ISERROR(VLOOKUP($C67,$C$5:$AP$54,39,FALSE)=TRUE),VLOOKUP($C67,'SDDA Dogs'!$A:$O,11,FALSE),VLOOKUP($C67,$C$5:$AP$54,39,FALSE)))</f>
        <v/>
      </c>
      <c r="O67" s="241"/>
      <c r="P67" s="242"/>
      <c r="Q67" s="84" t="str">
        <f t="shared" si="68"/>
        <v/>
      </c>
      <c r="R67" s="105">
        <f t="shared" si="52"/>
        <v>0</v>
      </c>
      <c r="S67" s="84" t="str">
        <f t="shared" si="69"/>
        <v/>
      </c>
      <c r="T67" s="105">
        <f t="shared" si="53"/>
        <v>0</v>
      </c>
      <c r="U67" s="84" t="str">
        <f t="shared" si="70"/>
        <v/>
      </c>
      <c r="V67" s="106" t="str">
        <f>IF($C67="","",IF(ISERROR(VLOOKUP($C67,$C$5:$AP$54,40,FALSE)=TRUE),VLOOKUP($C67,'SDDA Dogs'!$A:$O,12,FALSE),VLOOKUP($C67,$C$5:$AP$54,40,FALSE)))</f>
        <v/>
      </c>
      <c r="W67" s="241"/>
      <c r="X67" s="242"/>
      <c r="Y67" s="84" t="str">
        <f t="shared" si="71"/>
        <v/>
      </c>
      <c r="Z67" s="105">
        <f t="shared" si="54"/>
        <v>0</v>
      </c>
      <c r="AA67" s="84" t="str">
        <f t="shared" si="72"/>
        <v/>
      </c>
      <c r="AB67" s="105">
        <f t="shared" si="55"/>
        <v>0</v>
      </c>
      <c r="AC67" s="84" t="str">
        <f t="shared" si="73"/>
        <v/>
      </c>
      <c r="AD67" s="92" t="str">
        <f t="shared" si="74"/>
        <v/>
      </c>
      <c r="AE67" s="89" t="str">
        <f t="shared" si="75"/>
        <v/>
      </c>
      <c r="AF67" s="104" t="str">
        <f t="shared" si="76"/>
        <v/>
      </c>
      <c r="AG67" s="107" t="str">
        <f t="shared" si="77"/>
        <v/>
      </c>
      <c r="AH67" s="92" t="str">
        <f t="shared" si="78"/>
        <v/>
      </c>
      <c r="AI67" s="89" t="str">
        <f t="shared" si="79"/>
        <v/>
      </c>
      <c r="AJ67" s="104" t="str">
        <f t="shared" si="80"/>
        <v/>
      </c>
      <c r="AK67" s="84" t="str">
        <f t="shared" si="81"/>
        <v/>
      </c>
      <c r="AL67" s="264" t="str">
        <f t="shared" si="82"/>
        <v/>
      </c>
      <c r="AM67" s="270">
        <f t="shared" si="56"/>
        <v>0</v>
      </c>
      <c r="AN67" s="270" t="str">
        <f t="shared" si="83"/>
        <v/>
      </c>
      <c r="AO67" s="270" t="str">
        <f t="shared" si="84"/>
        <v/>
      </c>
      <c r="AP67" s="270" t="str">
        <f t="shared" si="85"/>
        <v/>
      </c>
      <c r="AQ67" s="270">
        <f t="shared" si="86"/>
        <v>0</v>
      </c>
      <c r="AR67" s="271">
        <f>MIN(IFERROR(VLOOKUP($C67,'SDDA Dogs'!$A:$O,13,FALSE),0),IFERROR(VLOOKUP($C67,'SDDA Dogs'!$A:$O,14,FALSE),0),IFERROR(VLOOKUP($C67,'SDDA Dogs'!$A:$O,15,FALSE),0))</f>
        <v>0</v>
      </c>
      <c r="AS67" s="272"/>
      <c r="AT67" s="272"/>
      <c r="AU67" s="272" t="str">
        <f>IF(ISERROR(VLOOKUP(C67,'SDDA Dogs'!A:O,6,FALSE)),"",VLOOKUP(C67,'SDDA Dogs'!A:O,6,FALSE))</f>
        <v/>
      </c>
      <c r="AV67" s="270">
        <f t="shared" si="87"/>
        <v>0</v>
      </c>
      <c r="AW67" s="270">
        <f t="shared" si="88"/>
        <v>0</v>
      </c>
      <c r="AX67" s="273">
        <f t="shared" si="89"/>
        <v>0</v>
      </c>
      <c r="AY67" s="274"/>
      <c r="AZ67" s="275">
        <f t="shared" si="62"/>
        <v>0</v>
      </c>
      <c r="BA67" s="275">
        <f t="shared" si="63"/>
        <v>0</v>
      </c>
      <c r="BB67" s="276"/>
      <c r="BC67" s="274">
        <f>_xlfn.IFNA(IF(I67="Pass",IF(AND(G67&gt;=IFERROR(INDEX($C$5:$W$54,MATCH(C67,$C$5:$C$54,0),5),0),G67&gt;=IFERROR(INDEX(DogInfo!A:B,MATCH(C67&amp;$BC$4,DogInfo!A:A,0),2),0)),G67,IF(AND(IFERROR(INDEX($C$5:$W$54,MATCH(C67,$C$5:$C$54,0),5),0)&gt;=O67,IFERROR(INDEX($C$5:$W$54,MATCH(C67,$C$5:$C$54,0),5),0)&gt;=IFERROR(INDEX(DogInfo!A:B,MATCH(C67&amp;$BC$4,DogInfo!A:A,0),2),0)),IFERROR(INDEX($C$5:$W$54,MATCH(C67,$C$5:$C$54,0),5),0),IF(AND(IFERROR(INDEX(DogInfo!A:B,MATCH(C67&amp;$BC$4,DogInfo!A:A,0),2),0)&gt;=IFERROR(INDEX($C$5:$W$54,MATCH(C67,$C$5:$C$54,0),5),0),IFERROR(INDEX(DogInfo!A:B,MATCH(C67&amp;$BC$4,DogInfo!A:A,0),2),0)&gt;=G67),IFERROR(INDEX(DogInfo!A:B,MATCH(C67&amp;$BC$4,DogInfo!A:A,0),2),0),"Error"))),IFERROR(INDEX($C$5:$BE$54,MATCH(C67,$C$5:$C$54,0),53),IFERROR(INDEX(DogInfo!A:B,MATCH(C67&amp;$BC$4,DogInfo!A:A,0),2),0))),"")</f>
        <v>0</v>
      </c>
      <c r="BD67" s="274">
        <f>_xlfn.IFNA(IF(Q67="Pass",IF(AND(O67&gt;=IFERROR(INDEX($C$5:$W$54,MATCH(C67,$C$5:$C$54,0),13),0),O67&gt;=IFERROR(INDEX(DogInfo!A:B,MATCH(C67&amp;$BD$4,DogInfo!A:A,0),2),0)),O67,IF(AND(IFERROR(INDEX($C$5:$W$54,MATCH(C67,$C$5:$C$54,0),13),0)&gt;=O67,IFERROR(INDEX($C$5:$W$54,MATCH(C67,$C$5:$C$54,0),13),0)&gt;=IFERROR(INDEX(DogInfo!A:B,MATCH(C67&amp;$BD$4,DogInfo!A:A,0),2),0)),IFERROR(INDEX($C$5:$W$54,MATCH(C67,$C$5:$C$54,0),13),0),IF(AND(IFERROR(INDEX(DogInfo!A:B,MATCH(C67&amp;$BD$4,DogInfo!A:A,0),2),0)&gt;=IFERROR(INDEX($C$5:$W$54,MATCH(C67,$C$5:$C$54,0),13),0),IFERROR(INDEX(DogInfo!A:B,MATCH(C67&amp;$BD$4,DogInfo!A:A,0),2),0)&gt;=O67),IFERROR(INDEX(DogInfo!A:B,MATCH(C67&amp;$BD$4,DogInfo!A:A,0),2),0),"Error"))),IFERROR(INDEX($C$5:$BE$54,MATCH(C67,$C$5:$C$54,0),54),IFERROR(INDEX(DogInfo!A:B,MATCH(C67&amp;$BD$4,DogInfo!A:A,0),2),0))),"")</f>
        <v>0</v>
      </c>
      <c r="BE67" s="274">
        <f>_xlfn.IFNA(IF(Y67="Pass",IF(AND(W67&gt;=IFERROR(INDEX($C$5:$W$54,MATCH(C67,$C$5:$C$54,0),21),0),O67&gt;=IFERROR(INDEX(DogInfo!A:B,MATCH(C67&amp;$BE$4,DogInfo!A:A,0),2),0)),W67,IF(AND(IFERROR(INDEX($C$5:$W$54,MATCH(C67,$C$5:$C$54,0),21),0)&gt;=W67,IFERROR(INDEX($C$5:$W$54,MATCH(C67,$C$5:$C$54,0),21),0)&gt;=IFERROR(INDEX(DogInfo!A:B,MATCH(C67&amp;$BE$4,DogInfo!A:A,0),2),0)),IFERROR(INDEX($C$5:$W$54,MATCH(C67,$C$5:$C$54,0),21),0),IF(AND(IFERROR(INDEX(DogInfo!A:B,MATCH(C67&amp;$BE$4,DogInfo!A:A,0),2),0)&gt;=IFERROR(INDEX($C$5:$W$54,MATCH(C67,$C$5:$C$54,0),21),0),IFERROR(INDEX(DogInfo!A:B,MATCH(C67&amp;$BE$4,DogInfo!A:A,0),2),0)&gt;=W67),IFERROR(INDEX(DogInfo!A:B,MATCH(C67&amp;$BE$4,DogInfo!A:A,0),2),0),"Error"))),IFERROR(INDEX($C$5:$BE$54,MATCH(C67,$C$5:$C$54,0),55),IFERROR(INDEX(DogInfo!A:B,MATCH(C67&amp;$BE$4,DogInfo!A:A,0),2),0))),"")</f>
        <v>0</v>
      </c>
    </row>
    <row r="68" spans="1:57" x14ac:dyDescent="0.25">
      <c r="A68" s="99">
        <v>4</v>
      </c>
      <c r="B68" s="100"/>
      <c r="C68" s="240"/>
      <c r="D68" s="102" t="str">
        <f>IF($C68="","",VLOOKUP($C68,'SDDA Dogs'!$A:$F,2,FALSE))</f>
        <v/>
      </c>
      <c r="E68" s="211">
        <f t="shared" si="64"/>
        <v>-1</v>
      </c>
      <c r="F68" s="103" t="str">
        <f>IF($C68="","",IF(ISERROR(VLOOKUP($C68,$C$5:$AP$54,38,FALSE)=TRUE),VLOOKUP($C68,'SDDA Dogs'!$A:$O,10,FALSE),VLOOKUP($C68,$C$5:$AP$54,38,FALSE)))</f>
        <v/>
      </c>
      <c r="G68" s="241"/>
      <c r="H68" s="242"/>
      <c r="I68" s="84" t="str">
        <f t="shared" si="65"/>
        <v/>
      </c>
      <c r="J68" s="105">
        <f t="shared" si="50"/>
        <v>0</v>
      </c>
      <c r="K68" s="84" t="str">
        <f t="shared" si="66"/>
        <v/>
      </c>
      <c r="L68" s="105">
        <f t="shared" si="51"/>
        <v>0</v>
      </c>
      <c r="M68" s="84" t="str">
        <f t="shared" si="67"/>
        <v/>
      </c>
      <c r="N68" s="106" t="str">
        <f>IF($C68="","",IF(ISERROR(VLOOKUP($C68,$C$5:$AP$54,39,FALSE)=TRUE),VLOOKUP($C68,'SDDA Dogs'!$A:$O,11,FALSE),VLOOKUP($C68,$C$5:$AP$54,39,FALSE)))</f>
        <v/>
      </c>
      <c r="O68" s="241"/>
      <c r="P68" s="242"/>
      <c r="Q68" s="84" t="str">
        <f t="shared" si="68"/>
        <v/>
      </c>
      <c r="R68" s="105">
        <f t="shared" si="52"/>
        <v>0</v>
      </c>
      <c r="S68" s="84" t="str">
        <f t="shared" si="69"/>
        <v/>
      </c>
      <c r="T68" s="105">
        <f t="shared" si="53"/>
        <v>0</v>
      </c>
      <c r="U68" s="84" t="str">
        <f t="shared" si="70"/>
        <v/>
      </c>
      <c r="V68" s="106" t="str">
        <f>IF($C68="","",IF(ISERROR(VLOOKUP($C68,$C$5:$AP$54,40,FALSE)=TRUE),VLOOKUP($C68,'SDDA Dogs'!$A:$O,12,FALSE),VLOOKUP($C68,$C$5:$AP$54,40,FALSE)))</f>
        <v/>
      </c>
      <c r="W68" s="241"/>
      <c r="X68" s="242"/>
      <c r="Y68" s="84" t="str">
        <f t="shared" si="71"/>
        <v/>
      </c>
      <c r="Z68" s="105">
        <f t="shared" si="54"/>
        <v>0</v>
      </c>
      <c r="AA68" s="84" t="str">
        <f t="shared" si="72"/>
        <v/>
      </c>
      <c r="AB68" s="105">
        <f t="shared" si="55"/>
        <v>0</v>
      </c>
      <c r="AC68" s="84" t="str">
        <f t="shared" si="73"/>
        <v/>
      </c>
      <c r="AD68" s="92" t="str">
        <f t="shared" si="74"/>
        <v/>
      </c>
      <c r="AE68" s="89" t="str">
        <f t="shared" si="75"/>
        <v/>
      </c>
      <c r="AF68" s="104" t="str">
        <f t="shared" si="76"/>
        <v/>
      </c>
      <c r="AG68" s="107" t="str">
        <f t="shared" si="77"/>
        <v/>
      </c>
      <c r="AH68" s="92" t="str">
        <f t="shared" si="78"/>
        <v/>
      </c>
      <c r="AI68" s="89" t="str">
        <f t="shared" si="79"/>
        <v/>
      </c>
      <c r="AJ68" s="104" t="str">
        <f t="shared" si="80"/>
        <v/>
      </c>
      <c r="AK68" s="84" t="str">
        <f t="shared" si="81"/>
        <v/>
      </c>
      <c r="AL68" s="264" t="str">
        <f t="shared" si="82"/>
        <v/>
      </c>
      <c r="AM68" s="270">
        <f t="shared" si="56"/>
        <v>0</v>
      </c>
      <c r="AN68" s="270" t="str">
        <f t="shared" si="83"/>
        <v/>
      </c>
      <c r="AO68" s="270" t="str">
        <f t="shared" si="84"/>
        <v/>
      </c>
      <c r="AP68" s="270" t="str">
        <f t="shared" si="85"/>
        <v/>
      </c>
      <c r="AQ68" s="270">
        <f t="shared" si="86"/>
        <v>0</v>
      </c>
      <c r="AR68" s="271">
        <f>MIN(IFERROR(VLOOKUP($C68,'SDDA Dogs'!$A:$O,13,FALSE),0),IFERROR(VLOOKUP($C68,'SDDA Dogs'!$A:$O,14,FALSE),0),IFERROR(VLOOKUP($C68,'SDDA Dogs'!$A:$O,15,FALSE),0))</f>
        <v>0</v>
      </c>
      <c r="AS68" s="272"/>
      <c r="AT68" s="272"/>
      <c r="AU68" s="272" t="str">
        <f>IF(ISERROR(VLOOKUP(C68,'SDDA Dogs'!A:O,6,FALSE)),"",VLOOKUP(C68,'SDDA Dogs'!A:O,6,FALSE))</f>
        <v/>
      </c>
      <c r="AV68" s="270">
        <f t="shared" si="87"/>
        <v>0</v>
      </c>
      <c r="AW68" s="270">
        <f t="shared" si="88"/>
        <v>0</v>
      </c>
      <c r="AX68" s="273">
        <f t="shared" si="89"/>
        <v>0</v>
      </c>
      <c r="AY68" s="274"/>
      <c r="AZ68" s="275">
        <f t="shared" si="62"/>
        <v>0</v>
      </c>
      <c r="BA68" s="275">
        <f t="shared" si="63"/>
        <v>0</v>
      </c>
      <c r="BB68" s="276"/>
      <c r="BC68" s="274">
        <f>_xlfn.IFNA(IF(I68="Pass",IF(AND(G68&gt;=IFERROR(INDEX($C$5:$W$54,MATCH(C68,$C$5:$C$54,0),5),0),G68&gt;=IFERROR(INDEX(DogInfo!A:B,MATCH(C68&amp;$BC$4,DogInfo!A:A,0),2),0)),G68,IF(AND(IFERROR(INDEX($C$5:$W$54,MATCH(C68,$C$5:$C$54,0),5),0)&gt;=O68,IFERROR(INDEX($C$5:$W$54,MATCH(C68,$C$5:$C$54,0),5),0)&gt;=IFERROR(INDEX(DogInfo!A:B,MATCH(C68&amp;$BC$4,DogInfo!A:A,0),2),0)),IFERROR(INDEX($C$5:$W$54,MATCH(C68,$C$5:$C$54,0),5),0),IF(AND(IFERROR(INDEX(DogInfo!A:B,MATCH(C68&amp;$BC$4,DogInfo!A:A,0),2),0)&gt;=IFERROR(INDEX($C$5:$W$54,MATCH(C68,$C$5:$C$54,0),5),0),IFERROR(INDEX(DogInfo!A:B,MATCH(C68&amp;$BC$4,DogInfo!A:A,0),2),0)&gt;=G68),IFERROR(INDEX(DogInfo!A:B,MATCH(C68&amp;$BC$4,DogInfo!A:A,0),2),0),"Error"))),IFERROR(INDEX($C$5:$BE$54,MATCH(C68,$C$5:$C$54,0),53),IFERROR(INDEX(DogInfo!A:B,MATCH(C68&amp;$BC$4,DogInfo!A:A,0),2),0))),"")</f>
        <v>0</v>
      </c>
      <c r="BD68" s="274">
        <f>_xlfn.IFNA(IF(Q68="Pass",IF(AND(O68&gt;=IFERROR(INDEX($C$5:$W$54,MATCH(C68,$C$5:$C$54,0),13),0),O68&gt;=IFERROR(INDEX(DogInfo!A:B,MATCH(C68&amp;$BD$4,DogInfo!A:A,0),2),0)),O68,IF(AND(IFERROR(INDEX($C$5:$W$54,MATCH(C68,$C$5:$C$54,0),13),0)&gt;=O68,IFERROR(INDEX($C$5:$W$54,MATCH(C68,$C$5:$C$54,0),13),0)&gt;=IFERROR(INDEX(DogInfo!A:B,MATCH(C68&amp;$BD$4,DogInfo!A:A,0),2),0)),IFERROR(INDEX($C$5:$W$54,MATCH(C68,$C$5:$C$54,0),13),0),IF(AND(IFERROR(INDEX(DogInfo!A:B,MATCH(C68&amp;$BD$4,DogInfo!A:A,0),2),0)&gt;=IFERROR(INDEX($C$5:$W$54,MATCH(C68,$C$5:$C$54,0),13),0),IFERROR(INDEX(DogInfo!A:B,MATCH(C68&amp;$BD$4,DogInfo!A:A,0),2),0)&gt;=O68),IFERROR(INDEX(DogInfo!A:B,MATCH(C68&amp;$BD$4,DogInfo!A:A,0),2),0),"Error"))),IFERROR(INDEX($C$5:$BE$54,MATCH(C68,$C$5:$C$54,0),54),IFERROR(INDEX(DogInfo!A:B,MATCH(C68&amp;$BD$4,DogInfo!A:A,0),2),0))),"")</f>
        <v>0</v>
      </c>
      <c r="BE68" s="274">
        <f>_xlfn.IFNA(IF(Y68="Pass",IF(AND(W68&gt;=IFERROR(INDEX($C$5:$W$54,MATCH(C68,$C$5:$C$54,0),21),0),O68&gt;=IFERROR(INDEX(DogInfo!A:B,MATCH(C68&amp;$BE$4,DogInfo!A:A,0),2),0)),W68,IF(AND(IFERROR(INDEX($C$5:$W$54,MATCH(C68,$C$5:$C$54,0),21),0)&gt;=W68,IFERROR(INDEX($C$5:$W$54,MATCH(C68,$C$5:$C$54,0),21),0)&gt;=IFERROR(INDEX(DogInfo!A:B,MATCH(C68&amp;$BE$4,DogInfo!A:A,0),2),0)),IFERROR(INDEX($C$5:$W$54,MATCH(C68,$C$5:$C$54,0),21),0),IF(AND(IFERROR(INDEX(DogInfo!A:B,MATCH(C68&amp;$BE$4,DogInfo!A:A,0),2),0)&gt;=IFERROR(INDEX($C$5:$W$54,MATCH(C68,$C$5:$C$54,0),21),0),IFERROR(INDEX(DogInfo!A:B,MATCH(C68&amp;$BE$4,DogInfo!A:A,0),2),0)&gt;=W68),IFERROR(INDEX(DogInfo!A:B,MATCH(C68&amp;$BE$4,DogInfo!A:A,0),2),0),"Error"))),IFERROR(INDEX($C$5:$BE$54,MATCH(C68,$C$5:$C$54,0),55),IFERROR(INDEX(DogInfo!A:B,MATCH(C68&amp;$BE$4,DogInfo!A:A,0),2),0))),"")</f>
        <v>0</v>
      </c>
    </row>
    <row r="69" spans="1:57" x14ac:dyDescent="0.25">
      <c r="A69" s="99">
        <v>5</v>
      </c>
      <c r="B69" s="100"/>
      <c r="C69" s="240"/>
      <c r="D69" s="102" t="str">
        <f>IF($C69="","",VLOOKUP($C69,'SDDA Dogs'!$A:$F,2,FALSE))</f>
        <v/>
      </c>
      <c r="E69" s="211">
        <f t="shared" si="64"/>
        <v>-1</v>
      </c>
      <c r="F69" s="103" t="str">
        <f>IF($C69="","",IF(ISERROR(VLOOKUP($C69,$C$5:$AP$54,38,FALSE)=TRUE),VLOOKUP($C69,'SDDA Dogs'!$A:$O,10,FALSE),VLOOKUP($C69,$C$5:$AP$54,38,FALSE)))</f>
        <v/>
      </c>
      <c r="G69" s="241"/>
      <c r="H69" s="242"/>
      <c r="I69" s="84" t="str">
        <f t="shared" si="65"/>
        <v/>
      </c>
      <c r="J69" s="105">
        <f t="shared" si="50"/>
        <v>0</v>
      </c>
      <c r="K69" s="84" t="str">
        <f t="shared" si="66"/>
        <v/>
      </c>
      <c r="L69" s="105">
        <f t="shared" si="51"/>
        <v>0</v>
      </c>
      <c r="M69" s="84" t="str">
        <f t="shared" si="67"/>
        <v/>
      </c>
      <c r="N69" s="106" t="str">
        <f>IF($C69="","",IF(ISERROR(VLOOKUP($C69,$C$5:$AP$54,39,FALSE)=TRUE),VLOOKUP($C69,'SDDA Dogs'!$A:$O,11,FALSE),VLOOKUP($C69,$C$5:$AP$54,39,FALSE)))</f>
        <v/>
      </c>
      <c r="O69" s="241"/>
      <c r="P69" s="242"/>
      <c r="Q69" s="84" t="str">
        <f t="shared" si="68"/>
        <v/>
      </c>
      <c r="R69" s="105">
        <f t="shared" si="52"/>
        <v>0</v>
      </c>
      <c r="S69" s="84" t="str">
        <f t="shared" si="69"/>
        <v/>
      </c>
      <c r="T69" s="105">
        <f t="shared" si="53"/>
        <v>0</v>
      </c>
      <c r="U69" s="84" t="str">
        <f t="shared" si="70"/>
        <v/>
      </c>
      <c r="V69" s="106" t="str">
        <f>IF($C69="","",IF(ISERROR(VLOOKUP($C69,$C$5:$AP$54,40,FALSE)=TRUE),VLOOKUP($C69,'SDDA Dogs'!$A:$O,12,FALSE),VLOOKUP($C69,$C$5:$AP$54,40,FALSE)))</f>
        <v/>
      </c>
      <c r="W69" s="241"/>
      <c r="X69" s="242"/>
      <c r="Y69" s="84" t="str">
        <f t="shared" si="71"/>
        <v/>
      </c>
      <c r="Z69" s="105">
        <f t="shared" si="54"/>
        <v>0</v>
      </c>
      <c r="AA69" s="84" t="str">
        <f t="shared" si="72"/>
        <v/>
      </c>
      <c r="AB69" s="105">
        <f t="shared" si="55"/>
        <v>0</v>
      </c>
      <c r="AC69" s="84" t="str">
        <f t="shared" si="73"/>
        <v/>
      </c>
      <c r="AD69" s="92" t="str">
        <f t="shared" si="74"/>
        <v/>
      </c>
      <c r="AE69" s="89" t="str">
        <f t="shared" si="75"/>
        <v/>
      </c>
      <c r="AF69" s="104" t="str">
        <f t="shared" si="76"/>
        <v/>
      </c>
      <c r="AG69" s="107" t="str">
        <f t="shared" si="77"/>
        <v/>
      </c>
      <c r="AH69" s="92" t="str">
        <f t="shared" si="78"/>
        <v/>
      </c>
      <c r="AI69" s="89" t="str">
        <f t="shared" si="79"/>
        <v/>
      </c>
      <c r="AJ69" s="104" t="str">
        <f t="shared" si="80"/>
        <v/>
      </c>
      <c r="AK69" s="84" t="str">
        <f t="shared" si="81"/>
        <v/>
      </c>
      <c r="AL69" s="264" t="str">
        <f t="shared" si="82"/>
        <v/>
      </c>
      <c r="AM69" s="270">
        <f t="shared" si="56"/>
        <v>0</v>
      </c>
      <c r="AN69" s="270" t="str">
        <f t="shared" si="83"/>
        <v/>
      </c>
      <c r="AO69" s="270" t="str">
        <f t="shared" si="84"/>
        <v/>
      </c>
      <c r="AP69" s="270" t="str">
        <f t="shared" si="85"/>
        <v/>
      </c>
      <c r="AQ69" s="270">
        <f t="shared" si="86"/>
        <v>0</v>
      </c>
      <c r="AR69" s="271">
        <f>MIN(IFERROR(VLOOKUP($C69,'SDDA Dogs'!$A:$O,13,FALSE),0),IFERROR(VLOOKUP($C69,'SDDA Dogs'!$A:$O,14,FALSE),0),IFERROR(VLOOKUP($C69,'SDDA Dogs'!$A:$O,15,FALSE),0))</f>
        <v>0</v>
      </c>
      <c r="AS69" s="272"/>
      <c r="AT69" s="272"/>
      <c r="AU69" s="272" t="str">
        <f>IF(ISERROR(VLOOKUP(C69,'SDDA Dogs'!A:O,6,FALSE)),"",VLOOKUP(C69,'SDDA Dogs'!A:O,6,FALSE))</f>
        <v/>
      </c>
      <c r="AV69" s="270">
        <f t="shared" si="87"/>
        <v>0</v>
      </c>
      <c r="AW69" s="270">
        <f t="shared" si="88"/>
        <v>0</v>
      </c>
      <c r="AX69" s="273">
        <f t="shared" si="89"/>
        <v>0</v>
      </c>
      <c r="AY69" s="274"/>
      <c r="AZ69" s="275">
        <f t="shared" si="62"/>
        <v>0</v>
      </c>
      <c r="BA69" s="275">
        <f t="shared" si="63"/>
        <v>0</v>
      </c>
      <c r="BB69" s="276"/>
      <c r="BC69" s="274">
        <f>_xlfn.IFNA(IF(I69="Pass",IF(AND(G69&gt;=IFERROR(INDEX($C$5:$W$54,MATCH(C69,$C$5:$C$54,0),5),0),G69&gt;=IFERROR(INDEX(DogInfo!A:B,MATCH(C69&amp;$BC$4,DogInfo!A:A,0),2),0)),G69,IF(AND(IFERROR(INDEX($C$5:$W$54,MATCH(C69,$C$5:$C$54,0),5),0)&gt;=O69,IFERROR(INDEX($C$5:$W$54,MATCH(C69,$C$5:$C$54,0),5),0)&gt;=IFERROR(INDEX(DogInfo!A:B,MATCH(C69&amp;$BC$4,DogInfo!A:A,0),2),0)),IFERROR(INDEX($C$5:$W$54,MATCH(C69,$C$5:$C$54,0),5),0),IF(AND(IFERROR(INDEX(DogInfo!A:B,MATCH(C69&amp;$BC$4,DogInfo!A:A,0),2),0)&gt;=IFERROR(INDEX($C$5:$W$54,MATCH(C69,$C$5:$C$54,0),5),0),IFERROR(INDEX(DogInfo!A:B,MATCH(C69&amp;$BC$4,DogInfo!A:A,0),2),0)&gt;=G69),IFERROR(INDEX(DogInfo!A:B,MATCH(C69&amp;$BC$4,DogInfo!A:A,0),2),0),"Error"))),IFERROR(INDEX($C$5:$BE$54,MATCH(C69,$C$5:$C$54,0),53),IFERROR(INDEX(DogInfo!A:B,MATCH(C69&amp;$BC$4,DogInfo!A:A,0),2),0))),"")</f>
        <v>0</v>
      </c>
      <c r="BD69" s="274">
        <f>_xlfn.IFNA(IF(Q69="Pass",IF(AND(O69&gt;=IFERROR(INDEX($C$5:$W$54,MATCH(C69,$C$5:$C$54,0),13),0),O69&gt;=IFERROR(INDEX(DogInfo!A:B,MATCH(C69&amp;$BD$4,DogInfo!A:A,0),2),0)),O69,IF(AND(IFERROR(INDEX($C$5:$W$54,MATCH(C69,$C$5:$C$54,0),13),0)&gt;=O69,IFERROR(INDEX($C$5:$W$54,MATCH(C69,$C$5:$C$54,0),13),0)&gt;=IFERROR(INDEX(DogInfo!A:B,MATCH(C69&amp;$BD$4,DogInfo!A:A,0),2),0)),IFERROR(INDEX($C$5:$W$54,MATCH(C69,$C$5:$C$54,0),13),0),IF(AND(IFERROR(INDEX(DogInfo!A:B,MATCH(C69&amp;$BD$4,DogInfo!A:A,0),2),0)&gt;=IFERROR(INDEX($C$5:$W$54,MATCH(C69,$C$5:$C$54,0),13),0),IFERROR(INDEX(DogInfo!A:B,MATCH(C69&amp;$BD$4,DogInfo!A:A,0),2),0)&gt;=O69),IFERROR(INDEX(DogInfo!A:B,MATCH(C69&amp;$BD$4,DogInfo!A:A,0),2),0),"Error"))),IFERROR(INDEX($C$5:$BE$54,MATCH(C69,$C$5:$C$54,0),54),IFERROR(INDEX(DogInfo!A:B,MATCH(C69&amp;$BD$4,DogInfo!A:A,0),2),0))),"")</f>
        <v>0</v>
      </c>
      <c r="BE69" s="274">
        <f>_xlfn.IFNA(IF(Y69="Pass",IF(AND(W69&gt;=IFERROR(INDEX($C$5:$W$54,MATCH(C69,$C$5:$C$54,0),21),0),O69&gt;=IFERROR(INDEX(DogInfo!A:B,MATCH(C69&amp;$BE$4,DogInfo!A:A,0),2),0)),W69,IF(AND(IFERROR(INDEX($C$5:$W$54,MATCH(C69,$C$5:$C$54,0),21),0)&gt;=W69,IFERROR(INDEX($C$5:$W$54,MATCH(C69,$C$5:$C$54,0),21),0)&gt;=IFERROR(INDEX(DogInfo!A:B,MATCH(C69&amp;$BE$4,DogInfo!A:A,0),2),0)),IFERROR(INDEX($C$5:$W$54,MATCH(C69,$C$5:$C$54,0),21),0),IF(AND(IFERROR(INDEX(DogInfo!A:B,MATCH(C69&amp;$BE$4,DogInfo!A:A,0),2),0)&gt;=IFERROR(INDEX($C$5:$W$54,MATCH(C69,$C$5:$C$54,0),21),0),IFERROR(INDEX(DogInfo!A:B,MATCH(C69&amp;$BE$4,DogInfo!A:A,0),2),0)&gt;=W69),IFERROR(INDEX(DogInfo!A:B,MATCH(C69&amp;$BE$4,DogInfo!A:A,0),2),0),"Error"))),IFERROR(INDEX($C$5:$BE$54,MATCH(C69,$C$5:$C$54,0),55),IFERROR(INDEX(DogInfo!A:B,MATCH(C69&amp;$BE$4,DogInfo!A:A,0),2),0))),"")</f>
        <v>0</v>
      </c>
    </row>
    <row r="70" spans="1:57" x14ac:dyDescent="0.25">
      <c r="A70" s="99">
        <v>6</v>
      </c>
      <c r="B70" s="100"/>
      <c r="C70" s="240"/>
      <c r="D70" s="102" t="str">
        <f>IF($C70="","",VLOOKUP($C70,'SDDA Dogs'!$A:$F,2,FALSE))</f>
        <v/>
      </c>
      <c r="E70" s="211">
        <f t="shared" si="64"/>
        <v>-1</v>
      </c>
      <c r="F70" s="103" t="str">
        <f>IF($C70="","",IF(ISERROR(VLOOKUP($C70,$C$5:$AP$54,38,FALSE)=TRUE),VLOOKUP($C70,'SDDA Dogs'!$A:$O,10,FALSE),VLOOKUP($C70,$C$5:$AP$54,38,FALSE)))</f>
        <v/>
      </c>
      <c r="G70" s="241"/>
      <c r="H70" s="242"/>
      <c r="I70" s="84" t="str">
        <f t="shared" si="65"/>
        <v/>
      </c>
      <c r="J70" s="105">
        <f t="shared" si="50"/>
        <v>0</v>
      </c>
      <c r="K70" s="84" t="str">
        <f t="shared" si="66"/>
        <v/>
      </c>
      <c r="L70" s="105">
        <f t="shared" si="51"/>
        <v>0</v>
      </c>
      <c r="M70" s="84" t="str">
        <f t="shared" si="67"/>
        <v/>
      </c>
      <c r="N70" s="106" t="str">
        <f>IF($C70="","",IF(ISERROR(VLOOKUP($C70,$C$5:$AP$54,39,FALSE)=TRUE),VLOOKUP($C70,'SDDA Dogs'!$A:$O,11,FALSE),VLOOKUP($C70,$C$5:$AP$54,39,FALSE)))</f>
        <v/>
      </c>
      <c r="O70" s="241"/>
      <c r="P70" s="242"/>
      <c r="Q70" s="84" t="str">
        <f t="shared" si="68"/>
        <v/>
      </c>
      <c r="R70" s="105">
        <f t="shared" si="52"/>
        <v>0</v>
      </c>
      <c r="S70" s="84" t="str">
        <f t="shared" si="69"/>
        <v/>
      </c>
      <c r="T70" s="105">
        <f t="shared" si="53"/>
        <v>0</v>
      </c>
      <c r="U70" s="84" t="str">
        <f t="shared" si="70"/>
        <v/>
      </c>
      <c r="V70" s="106" t="str">
        <f>IF($C70="","",IF(ISERROR(VLOOKUP($C70,$C$5:$AP$54,40,FALSE)=TRUE),VLOOKUP($C70,'SDDA Dogs'!$A:$O,12,FALSE),VLOOKUP($C70,$C$5:$AP$54,40,FALSE)))</f>
        <v/>
      </c>
      <c r="W70" s="241"/>
      <c r="X70" s="242"/>
      <c r="Y70" s="84" t="str">
        <f t="shared" si="71"/>
        <v/>
      </c>
      <c r="Z70" s="105">
        <f t="shared" si="54"/>
        <v>0</v>
      </c>
      <c r="AA70" s="84" t="str">
        <f t="shared" si="72"/>
        <v/>
      </c>
      <c r="AB70" s="105">
        <f t="shared" si="55"/>
        <v>0</v>
      </c>
      <c r="AC70" s="84" t="str">
        <f t="shared" si="73"/>
        <v/>
      </c>
      <c r="AD70" s="92" t="str">
        <f t="shared" si="74"/>
        <v/>
      </c>
      <c r="AE70" s="89" t="str">
        <f t="shared" si="75"/>
        <v/>
      </c>
      <c r="AF70" s="104" t="str">
        <f t="shared" si="76"/>
        <v/>
      </c>
      <c r="AG70" s="107" t="str">
        <f t="shared" si="77"/>
        <v/>
      </c>
      <c r="AH70" s="92" t="str">
        <f t="shared" si="78"/>
        <v/>
      </c>
      <c r="AI70" s="89" t="str">
        <f t="shared" si="79"/>
        <v/>
      </c>
      <c r="AJ70" s="104" t="str">
        <f t="shared" si="80"/>
        <v/>
      </c>
      <c r="AK70" s="84" t="str">
        <f t="shared" si="81"/>
        <v/>
      </c>
      <c r="AL70" s="264" t="str">
        <f t="shared" si="82"/>
        <v/>
      </c>
      <c r="AM70" s="270">
        <f t="shared" si="56"/>
        <v>0</v>
      </c>
      <c r="AN70" s="270" t="str">
        <f t="shared" si="83"/>
        <v/>
      </c>
      <c r="AO70" s="270" t="str">
        <f t="shared" si="84"/>
        <v/>
      </c>
      <c r="AP70" s="270" t="str">
        <f t="shared" si="85"/>
        <v/>
      </c>
      <c r="AQ70" s="270">
        <f t="shared" si="86"/>
        <v>0</v>
      </c>
      <c r="AR70" s="271">
        <f>MIN(IFERROR(VLOOKUP($C70,'SDDA Dogs'!$A:$O,13,FALSE),0),IFERROR(VLOOKUP($C70,'SDDA Dogs'!$A:$O,14,FALSE),0),IFERROR(VLOOKUP($C70,'SDDA Dogs'!$A:$O,15,FALSE),0))</f>
        <v>0</v>
      </c>
      <c r="AS70" s="272"/>
      <c r="AT70" s="272"/>
      <c r="AU70" s="272" t="str">
        <f>IF(ISERROR(VLOOKUP(C70,'SDDA Dogs'!A:O,6,FALSE)),"",VLOOKUP(C70,'SDDA Dogs'!A:O,6,FALSE))</f>
        <v/>
      </c>
      <c r="AV70" s="270">
        <f t="shared" si="87"/>
        <v>0</v>
      </c>
      <c r="AW70" s="270">
        <f t="shared" si="88"/>
        <v>0</v>
      </c>
      <c r="AX70" s="273">
        <f t="shared" si="89"/>
        <v>0</v>
      </c>
      <c r="AY70" s="274"/>
      <c r="AZ70" s="275">
        <f t="shared" si="62"/>
        <v>0</v>
      </c>
      <c r="BA70" s="275">
        <f t="shared" si="63"/>
        <v>0</v>
      </c>
      <c r="BB70" s="276"/>
      <c r="BC70" s="274">
        <f>_xlfn.IFNA(IF(I70="Pass",IF(AND(G70&gt;=IFERROR(INDEX($C$5:$W$54,MATCH(C70,$C$5:$C$54,0),5),0),G70&gt;=IFERROR(INDEX(DogInfo!A:B,MATCH(C70&amp;$BC$4,DogInfo!A:A,0),2),0)),G70,IF(AND(IFERROR(INDEX($C$5:$W$54,MATCH(C70,$C$5:$C$54,0),5),0)&gt;=O70,IFERROR(INDEX($C$5:$W$54,MATCH(C70,$C$5:$C$54,0),5),0)&gt;=IFERROR(INDEX(DogInfo!A:B,MATCH(C70&amp;$BC$4,DogInfo!A:A,0),2),0)),IFERROR(INDEX($C$5:$W$54,MATCH(C70,$C$5:$C$54,0),5),0),IF(AND(IFERROR(INDEX(DogInfo!A:B,MATCH(C70&amp;$BC$4,DogInfo!A:A,0),2),0)&gt;=IFERROR(INDEX($C$5:$W$54,MATCH(C70,$C$5:$C$54,0),5),0),IFERROR(INDEX(DogInfo!A:B,MATCH(C70&amp;$BC$4,DogInfo!A:A,0),2),0)&gt;=G70),IFERROR(INDEX(DogInfo!A:B,MATCH(C70&amp;$BC$4,DogInfo!A:A,0),2),0),"Error"))),IFERROR(INDEX($C$5:$BE$54,MATCH(C70,$C$5:$C$54,0),53),IFERROR(INDEX(DogInfo!A:B,MATCH(C70&amp;$BC$4,DogInfo!A:A,0),2),0))),"")</f>
        <v>0</v>
      </c>
      <c r="BD70" s="274">
        <f>_xlfn.IFNA(IF(Q70="Pass",IF(AND(O70&gt;=IFERROR(INDEX($C$5:$W$54,MATCH(C70,$C$5:$C$54,0),13),0),O70&gt;=IFERROR(INDEX(DogInfo!A:B,MATCH(C70&amp;$BD$4,DogInfo!A:A,0),2),0)),O70,IF(AND(IFERROR(INDEX($C$5:$W$54,MATCH(C70,$C$5:$C$54,0),13),0)&gt;=O70,IFERROR(INDEX($C$5:$W$54,MATCH(C70,$C$5:$C$54,0),13),0)&gt;=IFERROR(INDEX(DogInfo!A:B,MATCH(C70&amp;$BD$4,DogInfo!A:A,0),2),0)),IFERROR(INDEX($C$5:$W$54,MATCH(C70,$C$5:$C$54,0),13),0),IF(AND(IFERROR(INDEX(DogInfo!A:B,MATCH(C70&amp;$BD$4,DogInfo!A:A,0),2),0)&gt;=IFERROR(INDEX($C$5:$W$54,MATCH(C70,$C$5:$C$54,0),13),0),IFERROR(INDEX(DogInfo!A:B,MATCH(C70&amp;$BD$4,DogInfo!A:A,0),2),0)&gt;=O70),IFERROR(INDEX(DogInfo!A:B,MATCH(C70&amp;$BD$4,DogInfo!A:A,0),2),0),"Error"))),IFERROR(INDEX($C$5:$BE$54,MATCH(C70,$C$5:$C$54,0),54),IFERROR(INDEX(DogInfo!A:B,MATCH(C70&amp;$BD$4,DogInfo!A:A,0),2),0))),"")</f>
        <v>0</v>
      </c>
      <c r="BE70" s="274">
        <f>_xlfn.IFNA(IF(Y70="Pass",IF(AND(W70&gt;=IFERROR(INDEX($C$5:$W$54,MATCH(C70,$C$5:$C$54,0),21),0),O70&gt;=IFERROR(INDEX(DogInfo!A:B,MATCH(C70&amp;$BE$4,DogInfo!A:A,0),2),0)),W70,IF(AND(IFERROR(INDEX($C$5:$W$54,MATCH(C70,$C$5:$C$54,0),21),0)&gt;=W70,IFERROR(INDEX($C$5:$W$54,MATCH(C70,$C$5:$C$54,0),21),0)&gt;=IFERROR(INDEX(DogInfo!A:B,MATCH(C70&amp;$BE$4,DogInfo!A:A,0),2),0)),IFERROR(INDEX($C$5:$W$54,MATCH(C70,$C$5:$C$54,0),21),0),IF(AND(IFERROR(INDEX(DogInfo!A:B,MATCH(C70&amp;$BE$4,DogInfo!A:A,0),2),0)&gt;=IFERROR(INDEX($C$5:$W$54,MATCH(C70,$C$5:$C$54,0),21),0),IFERROR(INDEX(DogInfo!A:B,MATCH(C70&amp;$BE$4,DogInfo!A:A,0),2),0)&gt;=W70),IFERROR(INDEX(DogInfo!A:B,MATCH(C70&amp;$BE$4,DogInfo!A:A,0),2),0),"Error"))),IFERROR(INDEX($C$5:$BE$54,MATCH(C70,$C$5:$C$54,0),55),IFERROR(INDEX(DogInfo!A:B,MATCH(C70&amp;$BE$4,DogInfo!A:A,0),2),0))),"")</f>
        <v>0</v>
      </c>
    </row>
    <row r="71" spans="1:57" x14ac:dyDescent="0.25">
      <c r="A71" s="99">
        <v>7</v>
      </c>
      <c r="B71" s="100"/>
      <c r="C71" s="240"/>
      <c r="D71" s="102" t="str">
        <f>IF($C71="","",VLOOKUP($C71,'SDDA Dogs'!$A:$F,2,FALSE))</f>
        <v/>
      </c>
      <c r="E71" s="211">
        <f t="shared" si="64"/>
        <v>-1</v>
      </c>
      <c r="F71" s="103" t="str">
        <f>IF($C71="","",IF(ISERROR(VLOOKUP($C71,$C$5:$AP$54,38,FALSE)=TRUE),VLOOKUP($C71,'SDDA Dogs'!$A:$O,10,FALSE),VLOOKUP($C71,$C$5:$AP$54,38,FALSE)))</f>
        <v/>
      </c>
      <c r="G71" s="241"/>
      <c r="H71" s="242"/>
      <c r="I71" s="84" t="str">
        <f t="shared" si="65"/>
        <v/>
      </c>
      <c r="J71" s="105">
        <f t="shared" si="50"/>
        <v>0</v>
      </c>
      <c r="K71" s="84" t="str">
        <f t="shared" si="66"/>
        <v/>
      </c>
      <c r="L71" s="105">
        <f t="shared" si="51"/>
        <v>0</v>
      </c>
      <c r="M71" s="84" t="str">
        <f t="shared" si="67"/>
        <v/>
      </c>
      <c r="N71" s="106" t="str">
        <f>IF($C71="","",IF(ISERROR(VLOOKUP($C71,$C$5:$AP$54,39,FALSE)=TRUE),VLOOKUP($C71,'SDDA Dogs'!$A:$O,11,FALSE),VLOOKUP($C71,$C$5:$AP$54,39,FALSE)))</f>
        <v/>
      </c>
      <c r="O71" s="241"/>
      <c r="P71" s="242"/>
      <c r="Q71" s="84" t="str">
        <f t="shared" si="68"/>
        <v/>
      </c>
      <c r="R71" s="105">
        <f t="shared" si="52"/>
        <v>0</v>
      </c>
      <c r="S71" s="84" t="str">
        <f t="shared" si="69"/>
        <v/>
      </c>
      <c r="T71" s="105">
        <f t="shared" si="53"/>
        <v>0</v>
      </c>
      <c r="U71" s="84" t="str">
        <f t="shared" si="70"/>
        <v/>
      </c>
      <c r="V71" s="106" t="str">
        <f>IF($C71="","",IF(ISERROR(VLOOKUP($C71,$C$5:$AP$54,40,FALSE)=TRUE),VLOOKUP($C71,'SDDA Dogs'!$A:$O,12,FALSE),VLOOKUP($C71,$C$5:$AP$54,40,FALSE)))</f>
        <v/>
      </c>
      <c r="W71" s="241"/>
      <c r="X71" s="242"/>
      <c r="Y71" s="84" t="str">
        <f t="shared" si="71"/>
        <v/>
      </c>
      <c r="Z71" s="105">
        <f t="shared" si="54"/>
        <v>0</v>
      </c>
      <c r="AA71" s="84" t="str">
        <f t="shared" si="72"/>
        <v/>
      </c>
      <c r="AB71" s="105">
        <f t="shared" si="55"/>
        <v>0</v>
      </c>
      <c r="AC71" s="84" t="str">
        <f t="shared" si="73"/>
        <v/>
      </c>
      <c r="AD71" s="92" t="str">
        <f t="shared" si="74"/>
        <v/>
      </c>
      <c r="AE71" s="89" t="str">
        <f t="shared" si="75"/>
        <v/>
      </c>
      <c r="AF71" s="104" t="str">
        <f t="shared" si="76"/>
        <v/>
      </c>
      <c r="AG71" s="107" t="str">
        <f t="shared" si="77"/>
        <v/>
      </c>
      <c r="AH71" s="92" t="str">
        <f t="shared" si="78"/>
        <v/>
      </c>
      <c r="AI71" s="89" t="str">
        <f t="shared" si="79"/>
        <v/>
      </c>
      <c r="AJ71" s="104" t="str">
        <f t="shared" si="80"/>
        <v/>
      </c>
      <c r="AK71" s="84" t="str">
        <f t="shared" si="81"/>
        <v/>
      </c>
      <c r="AL71" s="264" t="str">
        <f t="shared" si="82"/>
        <v/>
      </c>
      <c r="AM71" s="270">
        <f t="shared" si="56"/>
        <v>0</v>
      </c>
      <c r="AN71" s="270" t="str">
        <f t="shared" si="83"/>
        <v/>
      </c>
      <c r="AO71" s="270" t="str">
        <f t="shared" si="84"/>
        <v/>
      </c>
      <c r="AP71" s="270" t="str">
        <f t="shared" si="85"/>
        <v/>
      </c>
      <c r="AQ71" s="270">
        <f t="shared" si="86"/>
        <v>0</v>
      </c>
      <c r="AR71" s="271">
        <f>MIN(IFERROR(VLOOKUP($C71,'SDDA Dogs'!$A:$O,13,FALSE),0),IFERROR(VLOOKUP($C71,'SDDA Dogs'!$A:$O,14,FALSE),0),IFERROR(VLOOKUP($C71,'SDDA Dogs'!$A:$O,15,FALSE),0))</f>
        <v>0</v>
      </c>
      <c r="AS71" s="272"/>
      <c r="AT71" s="272"/>
      <c r="AU71" s="272" t="str">
        <f>IF(ISERROR(VLOOKUP(C71,'SDDA Dogs'!A:O,6,FALSE)),"",VLOOKUP(C71,'SDDA Dogs'!A:O,6,FALSE))</f>
        <v/>
      </c>
      <c r="AV71" s="270">
        <f t="shared" si="87"/>
        <v>0</v>
      </c>
      <c r="AW71" s="270">
        <f t="shared" si="88"/>
        <v>0</v>
      </c>
      <c r="AX71" s="273">
        <f t="shared" si="89"/>
        <v>0</v>
      </c>
      <c r="AY71" s="274"/>
      <c r="AZ71" s="275">
        <f t="shared" si="62"/>
        <v>0</v>
      </c>
      <c r="BA71" s="275">
        <f t="shared" si="63"/>
        <v>0</v>
      </c>
      <c r="BB71" s="276"/>
      <c r="BC71" s="274">
        <f>_xlfn.IFNA(IF(I71="Pass",IF(AND(G71&gt;=IFERROR(INDEX($C$5:$W$54,MATCH(C71,$C$5:$C$54,0),5),0),G71&gt;=IFERROR(INDEX(DogInfo!A:B,MATCH(C71&amp;$BC$4,DogInfo!A:A,0),2),0)),G71,IF(AND(IFERROR(INDEX($C$5:$W$54,MATCH(C71,$C$5:$C$54,0),5),0)&gt;=O71,IFERROR(INDEX($C$5:$W$54,MATCH(C71,$C$5:$C$54,0),5),0)&gt;=IFERROR(INDEX(DogInfo!A:B,MATCH(C71&amp;$BC$4,DogInfo!A:A,0),2),0)),IFERROR(INDEX($C$5:$W$54,MATCH(C71,$C$5:$C$54,0),5),0),IF(AND(IFERROR(INDEX(DogInfo!A:B,MATCH(C71&amp;$BC$4,DogInfo!A:A,0),2),0)&gt;=IFERROR(INDEX($C$5:$W$54,MATCH(C71,$C$5:$C$54,0),5),0),IFERROR(INDEX(DogInfo!A:B,MATCH(C71&amp;$BC$4,DogInfo!A:A,0),2),0)&gt;=G71),IFERROR(INDEX(DogInfo!A:B,MATCH(C71&amp;$BC$4,DogInfo!A:A,0),2),0),"Error"))),IFERROR(INDEX($C$5:$BE$54,MATCH(C71,$C$5:$C$54,0),53),IFERROR(INDEX(DogInfo!A:B,MATCH(C71&amp;$BC$4,DogInfo!A:A,0),2),0))),"")</f>
        <v>0</v>
      </c>
      <c r="BD71" s="274">
        <f>_xlfn.IFNA(IF(Q71="Pass",IF(AND(O71&gt;=IFERROR(INDEX($C$5:$W$54,MATCH(C71,$C$5:$C$54,0),13),0),O71&gt;=IFERROR(INDEX(DogInfo!A:B,MATCH(C71&amp;$BD$4,DogInfo!A:A,0),2),0)),O71,IF(AND(IFERROR(INDEX($C$5:$W$54,MATCH(C71,$C$5:$C$54,0),13),0)&gt;=O71,IFERROR(INDEX($C$5:$W$54,MATCH(C71,$C$5:$C$54,0),13),0)&gt;=IFERROR(INDEX(DogInfo!A:B,MATCH(C71&amp;$BD$4,DogInfo!A:A,0),2),0)),IFERROR(INDEX($C$5:$W$54,MATCH(C71,$C$5:$C$54,0),13),0),IF(AND(IFERROR(INDEX(DogInfo!A:B,MATCH(C71&amp;$BD$4,DogInfo!A:A,0),2),0)&gt;=IFERROR(INDEX($C$5:$W$54,MATCH(C71,$C$5:$C$54,0),13),0),IFERROR(INDEX(DogInfo!A:B,MATCH(C71&amp;$BD$4,DogInfo!A:A,0),2),0)&gt;=O71),IFERROR(INDEX(DogInfo!A:B,MATCH(C71&amp;$BD$4,DogInfo!A:A,0),2),0),"Error"))),IFERROR(INDEX($C$5:$BE$54,MATCH(C71,$C$5:$C$54,0),54),IFERROR(INDEX(DogInfo!A:B,MATCH(C71&amp;$BD$4,DogInfo!A:A,0),2),0))),"")</f>
        <v>0</v>
      </c>
      <c r="BE71" s="274">
        <f>_xlfn.IFNA(IF(Y71="Pass",IF(AND(W71&gt;=IFERROR(INDEX($C$5:$W$54,MATCH(C71,$C$5:$C$54,0),21),0),O71&gt;=IFERROR(INDEX(DogInfo!A:B,MATCH(C71&amp;$BE$4,DogInfo!A:A,0),2),0)),W71,IF(AND(IFERROR(INDEX($C$5:$W$54,MATCH(C71,$C$5:$C$54,0),21),0)&gt;=W71,IFERROR(INDEX($C$5:$W$54,MATCH(C71,$C$5:$C$54,0),21),0)&gt;=IFERROR(INDEX(DogInfo!A:B,MATCH(C71&amp;$BE$4,DogInfo!A:A,0),2),0)),IFERROR(INDEX($C$5:$W$54,MATCH(C71,$C$5:$C$54,0),21),0),IF(AND(IFERROR(INDEX(DogInfo!A:B,MATCH(C71&amp;$BE$4,DogInfo!A:A,0),2),0)&gt;=IFERROR(INDEX($C$5:$W$54,MATCH(C71,$C$5:$C$54,0),21),0),IFERROR(INDEX(DogInfo!A:B,MATCH(C71&amp;$BE$4,DogInfo!A:A,0),2),0)&gt;=W71),IFERROR(INDEX(DogInfo!A:B,MATCH(C71&amp;$BE$4,DogInfo!A:A,0),2),0),"Error"))),IFERROR(INDEX($C$5:$BE$54,MATCH(C71,$C$5:$C$54,0),55),IFERROR(INDEX(DogInfo!A:B,MATCH(C71&amp;$BE$4,DogInfo!A:A,0),2),0))),"")</f>
        <v>0</v>
      </c>
    </row>
    <row r="72" spans="1:57" x14ac:dyDescent="0.25">
      <c r="A72" s="99">
        <v>8</v>
      </c>
      <c r="B72" s="100"/>
      <c r="C72" s="240"/>
      <c r="D72" s="102" t="str">
        <f>IF($C72="","",VLOOKUP($C72,'SDDA Dogs'!$A:$F,2,FALSE))</f>
        <v/>
      </c>
      <c r="E72" s="211">
        <f t="shared" si="64"/>
        <v>-1</v>
      </c>
      <c r="F72" s="103" t="str">
        <f>IF($C72="","",IF(ISERROR(VLOOKUP($C72,$C$5:$AP$54,38,FALSE)=TRUE),VLOOKUP($C72,'SDDA Dogs'!$A:$O,10,FALSE),VLOOKUP($C72,$C$5:$AP$54,38,FALSE)))</f>
        <v/>
      </c>
      <c r="G72" s="241"/>
      <c r="H72" s="242"/>
      <c r="I72" s="84" t="str">
        <f t="shared" si="65"/>
        <v/>
      </c>
      <c r="J72" s="105">
        <f t="shared" si="50"/>
        <v>0</v>
      </c>
      <c r="K72" s="84" t="str">
        <f t="shared" si="66"/>
        <v/>
      </c>
      <c r="L72" s="105">
        <f t="shared" si="51"/>
        <v>0</v>
      </c>
      <c r="M72" s="84" t="str">
        <f t="shared" si="67"/>
        <v/>
      </c>
      <c r="N72" s="106" t="str">
        <f>IF($C72="","",IF(ISERROR(VLOOKUP($C72,$C$5:$AP$54,39,FALSE)=TRUE),VLOOKUP($C72,'SDDA Dogs'!$A:$O,11,FALSE),VLOOKUP($C72,$C$5:$AP$54,39,FALSE)))</f>
        <v/>
      </c>
      <c r="O72" s="241"/>
      <c r="P72" s="242"/>
      <c r="Q72" s="84" t="str">
        <f t="shared" si="68"/>
        <v/>
      </c>
      <c r="R72" s="105">
        <f t="shared" si="52"/>
        <v>0</v>
      </c>
      <c r="S72" s="84" t="str">
        <f t="shared" si="69"/>
        <v/>
      </c>
      <c r="T72" s="105">
        <f t="shared" si="53"/>
        <v>0</v>
      </c>
      <c r="U72" s="84" t="str">
        <f t="shared" si="70"/>
        <v/>
      </c>
      <c r="V72" s="106" t="str">
        <f>IF($C72="","",IF(ISERROR(VLOOKUP($C72,$C$5:$AP$54,40,FALSE)=TRUE),VLOOKUP($C72,'SDDA Dogs'!$A:$O,12,FALSE),VLOOKUP($C72,$C$5:$AP$54,40,FALSE)))</f>
        <v/>
      </c>
      <c r="W72" s="241"/>
      <c r="X72" s="242"/>
      <c r="Y72" s="84" t="str">
        <f t="shared" si="71"/>
        <v/>
      </c>
      <c r="Z72" s="105">
        <f t="shared" si="54"/>
        <v>0</v>
      </c>
      <c r="AA72" s="84" t="str">
        <f t="shared" si="72"/>
        <v/>
      </c>
      <c r="AB72" s="105">
        <f t="shared" si="55"/>
        <v>0</v>
      </c>
      <c r="AC72" s="84" t="str">
        <f t="shared" si="73"/>
        <v/>
      </c>
      <c r="AD72" s="92" t="str">
        <f t="shared" si="74"/>
        <v/>
      </c>
      <c r="AE72" s="89" t="str">
        <f t="shared" si="75"/>
        <v/>
      </c>
      <c r="AF72" s="104" t="str">
        <f t="shared" si="76"/>
        <v/>
      </c>
      <c r="AG72" s="107" t="str">
        <f t="shared" si="77"/>
        <v/>
      </c>
      <c r="AH72" s="92" t="str">
        <f t="shared" si="78"/>
        <v/>
      </c>
      <c r="AI72" s="89" t="str">
        <f t="shared" si="79"/>
        <v/>
      </c>
      <c r="AJ72" s="104" t="str">
        <f t="shared" si="80"/>
        <v/>
      </c>
      <c r="AK72" s="84" t="str">
        <f t="shared" si="81"/>
        <v/>
      </c>
      <c r="AL72" s="264" t="str">
        <f t="shared" si="82"/>
        <v/>
      </c>
      <c r="AM72" s="270">
        <f t="shared" si="56"/>
        <v>0</v>
      </c>
      <c r="AN72" s="270" t="str">
        <f t="shared" si="83"/>
        <v/>
      </c>
      <c r="AO72" s="270" t="str">
        <f t="shared" si="84"/>
        <v/>
      </c>
      <c r="AP72" s="270" t="str">
        <f t="shared" si="85"/>
        <v/>
      </c>
      <c r="AQ72" s="270">
        <f t="shared" si="86"/>
        <v>0</v>
      </c>
      <c r="AR72" s="271">
        <f>MIN(IFERROR(VLOOKUP($C72,'SDDA Dogs'!$A:$O,13,FALSE),0),IFERROR(VLOOKUP($C72,'SDDA Dogs'!$A:$O,14,FALSE),0),IFERROR(VLOOKUP($C72,'SDDA Dogs'!$A:$O,15,FALSE),0))</f>
        <v>0</v>
      </c>
      <c r="AS72" s="272"/>
      <c r="AT72" s="272"/>
      <c r="AU72" s="272" t="str">
        <f>IF(ISERROR(VLOOKUP(C72,'SDDA Dogs'!A:O,6,FALSE)),"",VLOOKUP(C72,'SDDA Dogs'!A:O,6,FALSE))</f>
        <v/>
      </c>
      <c r="AV72" s="270">
        <f t="shared" si="87"/>
        <v>0</v>
      </c>
      <c r="AW72" s="270">
        <f t="shared" si="88"/>
        <v>0</v>
      </c>
      <c r="AX72" s="273">
        <f t="shared" si="89"/>
        <v>0</v>
      </c>
      <c r="AY72" s="274"/>
      <c r="AZ72" s="275">
        <f t="shared" si="62"/>
        <v>0</v>
      </c>
      <c r="BA72" s="275">
        <f t="shared" si="63"/>
        <v>0</v>
      </c>
      <c r="BB72" s="276"/>
      <c r="BC72" s="274">
        <f>_xlfn.IFNA(IF(I72="Pass",IF(AND(G72&gt;=IFERROR(INDEX($C$5:$W$54,MATCH(C72,$C$5:$C$54,0),5),0),G72&gt;=IFERROR(INDEX(DogInfo!A:B,MATCH(C72&amp;$BC$4,DogInfo!A:A,0),2),0)),G72,IF(AND(IFERROR(INDEX($C$5:$W$54,MATCH(C72,$C$5:$C$54,0),5),0)&gt;=O72,IFERROR(INDEX($C$5:$W$54,MATCH(C72,$C$5:$C$54,0),5),0)&gt;=IFERROR(INDEX(DogInfo!A:B,MATCH(C72&amp;$BC$4,DogInfo!A:A,0),2),0)),IFERROR(INDEX($C$5:$W$54,MATCH(C72,$C$5:$C$54,0),5),0),IF(AND(IFERROR(INDEX(DogInfo!A:B,MATCH(C72&amp;$BC$4,DogInfo!A:A,0),2),0)&gt;=IFERROR(INDEX($C$5:$W$54,MATCH(C72,$C$5:$C$54,0),5),0),IFERROR(INDEX(DogInfo!A:B,MATCH(C72&amp;$BC$4,DogInfo!A:A,0),2),0)&gt;=G72),IFERROR(INDEX(DogInfo!A:B,MATCH(C72&amp;$BC$4,DogInfo!A:A,0),2),0),"Error"))),IFERROR(INDEX($C$5:$BE$54,MATCH(C72,$C$5:$C$54,0),53),IFERROR(INDEX(DogInfo!A:B,MATCH(C72&amp;$BC$4,DogInfo!A:A,0),2),0))),"")</f>
        <v>0</v>
      </c>
      <c r="BD72" s="274">
        <f>_xlfn.IFNA(IF(Q72="Pass",IF(AND(O72&gt;=IFERROR(INDEX($C$5:$W$54,MATCH(C72,$C$5:$C$54,0),13),0),O72&gt;=IFERROR(INDEX(DogInfo!A:B,MATCH(C72&amp;$BD$4,DogInfo!A:A,0),2),0)),O72,IF(AND(IFERROR(INDEX($C$5:$W$54,MATCH(C72,$C$5:$C$54,0),13),0)&gt;=O72,IFERROR(INDEX($C$5:$W$54,MATCH(C72,$C$5:$C$54,0),13),0)&gt;=IFERROR(INDEX(DogInfo!A:B,MATCH(C72&amp;$BD$4,DogInfo!A:A,0),2),0)),IFERROR(INDEX($C$5:$W$54,MATCH(C72,$C$5:$C$54,0),13),0),IF(AND(IFERROR(INDEX(DogInfo!A:B,MATCH(C72&amp;$BD$4,DogInfo!A:A,0),2),0)&gt;=IFERROR(INDEX($C$5:$W$54,MATCH(C72,$C$5:$C$54,0),13),0),IFERROR(INDEX(DogInfo!A:B,MATCH(C72&amp;$BD$4,DogInfo!A:A,0),2),0)&gt;=O72),IFERROR(INDEX(DogInfo!A:B,MATCH(C72&amp;$BD$4,DogInfo!A:A,0),2),0),"Error"))),IFERROR(INDEX($C$5:$BE$54,MATCH(C72,$C$5:$C$54,0),54),IFERROR(INDEX(DogInfo!A:B,MATCH(C72&amp;$BD$4,DogInfo!A:A,0),2),0))),"")</f>
        <v>0</v>
      </c>
      <c r="BE72" s="274">
        <f>_xlfn.IFNA(IF(Y72="Pass",IF(AND(W72&gt;=IFERROR(INDEX($C$5:$W$54,MATCH(C72,$C$5:$C$54,0),21),0),O72&gt;=IFERROR(INDEX(DogInfo!A:B,MATCH(C72&amp;$BE$4,DogInfo!A:A,0),2),0)),W72,IF(AND(IFERROR(INDEX($C$5:$W$54,MATCH(C72,$C$5:$C$54,0),21),0)&gt;=W72,IFERROR(INDEX($C$5:$W$54,MATCH(C72,$C$5:$C$54,0),21),0)&gt;=IFERROR(INDEX(DogInfo!A:B,MATCH(C72&amp;$BE$4,DogInfo!A:A,0),2),0)),IFERROR(INDEX($C$5:$W$54,MATCH(C72,$C$5:$C$54,0),21),0),IF(AND(IFERROR(INDEX(DogInfo!A:B,MATCH(C72&amp;$BE$4,DogInfo!A:A,0),2),0)&gt;=IFERROR(INDEX($C$5:$W$54,MATCH(C72,$C$5:$C$54,0),21),0),IFERROR(INDEX(DogInfo!A:B,MATCH(C72&amp;$BE$4,DogInfo!A:A,0),2),0)&gt;=W72),IFERROR(INDEX(DogInfo!A:B,MATCH(C72&amp;$BE$4,DogInfo!A:A,0),2),0),"Error"))),IFERROR(INDEX($C$5:$BE$54,MATCH(C72,$C$5:$C$54,0),55),IFERROR(INDEX(DogInfo!A:B,MATCH(C72&amp;$BE$4,DogInfo!A:A,0),2),0))),"")</f>
        <v>0</v>
      </c>
    </row>
    <row r="73" spans="1:57" x14ac:dyDescent="0.25">
      <c r="A73" s="99">
        <v>9</v>
      </c>
      <c r="B73" s="100"/>
      <c r="C73" s="240"/>
      <c r="D73" s="102" t="str">
        <f>IF($C73="","",VLOOKUP($C73,'SDDA Dogs'!$A:$F,2,FALSE))</f>
        <v/>
      </c>
      <c r="E73" s="211">
        <f t="shared" si="64"/>
        <v>-1</v>
      </c>
      <c r="F73" s="103" t="str">
        <f>IF($C73="","",IF(ISERROR(VLOOKUP($C73,$C$5:$AP$54,38,FALSE)=TRUE),VLOOKUP($C73,'SDDA Dogs'!$A:$O,10,FALSE),VLOOKUP($C73,$C$5:$AP$54,38,FALSE)))</f>
        <v/>
      </c>
      <c r="G73" s="241"/>
      <c r="H73" s="242"/>
      <c r="I73" s="84" t="str">
        <f t="shared" si="65"/>
        <v/>
      </c>
      <c r="J73" s="105">
        <f t="shared" si="50"/>
        <v>0</v>
      </c>
      <c r="K73" s="84" t="str">
        <f t="shared" si="66"/>
        <v/>
      </c>
      <c r="L73" s="105">
        <f t="shared" si="51"/>
        <v>0</v>
      </c>
      <c r="M73" s="84" t="str">
        <f t="shared" si="67"/>
        <v/>
      </c>
      <c r="N73" s="106" t="str">
        <f>IF($C73="","",IF(ISERROR(VLOOKUP($C73,$C$5:$AP$54,39,FALSE)=TRUE),VLOOKUP($C73,'SDDA Dogs'!$A:$O,11,FALSE),VLOOKUP($C73,$C$5:$AP$54,39,FALSE)))</f>
        <v/>
      </c>
      <c r="O73" s="241"/>
      <c r="P73" s="242"/>
      <c r="Q73" s="84" t="str">
        <f t="shared" si="68"/>
        <v/>
      </c>
      <c r="R73" s="105">
        <f t="shared" si="52"/>
        <v>0</v>
      </c>
      <c r="S73" s="84" t="str">
        <f t="shared" si="69"/>
        <v/>
      </c>
      <c r="T73" s="105">
        <f t="shared" si="53"/>
        <v>0</v>
      </c>
      <c r="U73" s="84" t="str">
        <f t="shared" si="70"/>
        <v/>
      </c>
      <c r="V73" s="106" t="str">
        <f>IF($C73="","",IF(ISERROR(VLOOKUP($C73,$C$5:$AP$54,40,FALSE)=TRUE),VLOOKUP($C73,'SDDA Dogs'!$A:$O,12,FALSE),VLOOKUP($C73,$C$5:$AP$54,40,FALSE)))</f>
        <v/>
      </c>
      <c r="W73" s="241"/>
      <c r="X73" s="242"/>
      <c r="Y73" s="84" t="str">
        <f t="shared" si="71"/>
        <v/>
      </c>
      <c r="Z73" s="105">
        <f t="shared" si="54"/>
        <v>0</v>
      </c>
      <c r="AA73" s="84" t="str">
        <f t="shared" si="72"/>
        <v/>
      </c>
      <c r="AB73" s="105">
        <f t="shared" si="55"/>
        <v>0</v>
      </c>
      <c r="AC73" s="84" t="str">
        <f t="shared" si="73"/>
        <v/>
      </c>
      <c r="AD73" s="92" t="str">
        <f t="shared" si="74"/>
        <v/>
      </c>
      <c r="AE73" s="89" t="str">
        <f t="shared" si="75"/>
        <v/>
      </c>
      <c r="AF73" s="104" t="str">
        <f t="shared" si="76"/>
        <v/>
      </c>
      <c r="AG73" s="107" t="str">
        <f t="shared" si="77"/>
        <v/>
      </c>
      <c r="AH73" s="92" t="str">
        <f t="shared" si="78"/>
        <v/>
      </c>
      <c r="AI73" s="89" t="str">
        <f t="shared" si="79"/>
        <v/>
      </c>
      <c r="AJ73" s="104" t="str">
        <f t="shared" si="80"/>
        <v/>
      </c>
      <c r="AK73" s="84" t="str">
        <f t="shared" si="81"/>
        <v/>
      </c>
      <c r="AL73" s="264" t="str">
        <f t="shared" si="82"/>
        <v/>
      </c>
      <c r="AM73" s="270">
        <f t="shared" si="56"/>
        <v>0</v>
      </c>
      <c r="AN73" s="270" t="str">
        <f t="shared" si="83"/>
        <v/>
      </c>
      <c r="AO73" s="270" t="str">
        <f t="shared" si="84"/>
        <v/>
      </c>
      <c r="AP73" s="270" t="str">
        <f t="shared" si="85"/>
        <v/>
      </c>
      <c r="AQ73" s="270">
        <f t="shared" si="86"/>
        <v>0</v>
      </c>
      <c r="AR73" s="271">
        <f>MIN(IFERROR(VLOOKUP($C73,'SDDA Dogs'!$A:$O,13,FALSE),0),IFERROR(VLOOKUP($C73,'SDDA Dogs'!$A:$O,14,FALSE),0),IFERROR(VLOOKUP($C73,'SDDA Dogs'!$A:$O,15,FALSE),0))</f>
        <v>0</v>
      </c>
      <c r="AS73" s="272"/>
      <c r="AT73" s="272"/>
      <c r="AU73" s="272" t="str">
        <f>IF(ISERROR(VLOOKUP(C73,'SDDA Dogs'!A:O,6,FALSE)),"",VLOOKUP(C73,'SDDA Dogs'!A:O,6,FALSE))</f>
        <v/>
      </c>
      <c r="AV73" s="270">
        <f t="shared" si="87"/>
        <v>0</v>
      </c>
      <c r="AW73" s="270">
        <f t="shared" si="88"/>
        <v>0</v>
      </c>
      <c r="AX73" s="273">
        <f t="shared" si="89"/>
        <v>0</v>
      </c>
      <c r="AY73" s="274"/>
      <c r="AZ73" s="275">
        <f t="shared" si="62"/>
        <v>0</v>
      </c>
      <c r="BA73" s="275">
        <f t="shared" si="63"/>
        <v>0</v>
      </c>
      <c r="BB73" s="276"/>
      <c r="BC73" s="274">
        <f>_xlfn.IFNA(IF(I73="Pass",IF(AND(G73&gt;=IFERROR(INDEX($C$5:$W$54,MATCH(C73,$C$5:$C$54,0),5),0),G73&gt;=IFERROR(INDEX(DogInfo!A:B,MATCH(C73&amp;$BC$4,DogInfo!A:A,0),2),0)),G73,IF(AND(IFERROR(INDEX($C$5:$W$54,MATCH(C73,$C$5:$C$54,0),5),0)&gt;=O73,IFERROR(INDEX($C$5:$W$54,MATCH(C73,$C$5:$C$54,0),5),0)&gt;=IFERROR(INDEX(DogInfo!A:B,MATCH(C73&amp;$BC$4,DogInfo!A:A,0),2),0)),IFERROR(INDEX($C$5:$W$54,MATCH(C73,$C$5:$C$54,0),5),0),IF(AND(IFERROR(INDEX(DogInfo!A:B,MATCH(C73&amp;$BC$4,DogInfo!A:A,0),2),0)&gt;=IFERROR(INDEX($C$5:$W$54,MATCH(C73,$C$5:$C$54,0),5),0),IFERROR(INDEX(DogInfo!A:B,MATCH(C73&amp;$BC$4,DogInfo!A:A,0),2),0)&gt;=G73),IFERROR(INDEX(DogInfo!A:B,MATCH(C73&amp;$BC$4,DogInfo!A:A,0),2),0),"Error"))),IFERROR(INDEX($C$5:$BE$54,MATCH(C73,$C$5:$C$54,0),53),IFERROR(INDEX(DogInfo!A:B,MATCH(C73&amp;$BC$4,DogInfo!A:A,0),2),0))),"")</f>
        <v>0</v>
      </c>
      <c r="BD73" s="274">
        <f>_xlfn.IFNA(IF(Q73="Pass",IF(AND(O73&gt;=IFERROR(INDEX($C$5:$W$54,MATCH(C73,$C$5:$C$54,0),13),0),O73&gt;=IFERROR(INDEX(DogInfo!A:B,MATCH(C73&amp;$BD$4,DogInfo!A:A,0),2),0)),O73,IF(AND(IFERROR(INDEX($C$5:$W$54,MATCH(C73,$C$5:$C$54,0),13),0)&gt;=O73,IFERROR(INDEX($C$5:$W$54,MATCH(C73,$C$5:$C$54,0),13),0)&gt;=IFERROR(INDEX(DogInfo!A:B,MATCH(C73&amp;$BD$4,DogInfo!A:A,0),2),0)),IFERROR(INDEX($C$5:$W$54,MATCH(C73,$C$5:$C$54,0),13),0),IF(AND(IFERROR(INDEX(DogInfo!A:B,MATCH(C73&amp;$BD$4,DogInfo!A:A,0),2),0)&gt;=IFERROR(INDEX($C$5:$W$54,MATCH(C73,$C$5:$C$54,0),13),0),IFERROR(INDEX(DogInfo!A:B,MATCH(C73&amp;$BD$4,DogInfo!A:A,0),2),0)&gt;=O73),IFERROR(INDEX(DogInfo!A:B,MATCH(C73&amp;$BD$4,DogInfo!A:A,0),2),0),"Error"))),IFERROR(INDEX($C$5:$BE$54,MATCH(C73,$C$5:$C$54,0),54),IFERROR(INDEX(DogInfo!A:B,MATCH(C73&amp;$BD$4,DogInfo!A:A,0),2),0))),"")</f>
        <v>0</v>
      </c>
      <c r="BE73" s="274">
        <f>_xlfn.IFNA(IF(Y73="Pass",IF(AND(W73&gt;=IFERROR(INDEX($C$5:$W$54,MATCH(C73,$C$5:$C$54,0),21),0),O73&gt;=IFERROR(INDEX(DogInfo!A:B,MATCH(C73&amp;$BE$4,DogInfo!A:A,0),2),0)),W73,IF(AND(IFERROR(INDEX($C$5:$W$54,MATCH(C73,$C$5:$C$54,0),21),0)&gt;=W73,IFERROR(INDEX($C$5:$W$54,MATCH(C73,$C$5:$C$54,0),21),0)&gt;=IFERROR(INDEX(DogInfo!A:B,MATCH(C73&amp;$BE$4,DogInfo!A:A,0),2),0)),IFERROR(INDEX($C$5:$W$54,MATCH(C73,$C$5:$C$54,0),21),0),IF(AND(IFERROR(INDEX(DogInfo!A:B,MATCH(C73&amp;$BE$4,DogInfo!A:A,0),2),0)&gt;=IFERROR(INDEX($C$5:$W$54,MATCH(C73,$C$5:$C$54,0),21),0),IFERROR(INDEX(DogInfo!A:B,MATCH(C73&amp;$BE$4,DogInfo!A:A,0),2),0)&gt;=W73),IFERROR(INDEX(DogInfo!A:B,MATCH(C73&amp;$BE$4,DogInfo!A:A,0),2),0),"Error"))),IFERROR(INDEX($C$5:$BE$54,MATCH(C73,$C$5:$C$54,0),55),IFERROR(INDEX(DogInfo!A:B,MATCH(C73&amp;$BE$4,DogInfo!A:A,0),2),0))),"")</f>
        <v>0</v>
      </c>
    </row>
    <row r="74" spans="1:57" x14ac:dyDescent="0.25">
      <c r="A74" s="99">
        <v>10</v>
      </c>
      <c r="B74" s="100"/>
      <c r="C74" s="240"/>
      <c r="D74" s="102" t="str">
        <f>IF($C74="","",VLOOKUP($C74,'SDDA Dogs'!$A:$F,2,FALSE))</f>
        <v/>
      </c>
      <c r="E74" s="211">
        <f t="shared" si="64"/>
        <v>-1</v>
      </c>
      <c r="F74" s="103" t="str">
        <f>IF($C74="","",IF(ISERROR(VLOOKUP($C74,$C$5:$AP$54,38,FALSE)=TRUE),VLOOKUP($C74,'SDDA Dogs'!$A:$O,10,FALSE),VLOOKUP($C74,$C$5:$AP$54,38,FALSE)))</f>
        <v/>
      </c>
      <c r="G74" s="241"/>
      <c r="H74" s="242"/>
      <c r="I74" s="84" t="str">
        <f t="shared" si="65"/>
        <v/>
      </c>
      <c r="J74" s="105">
        <f t="shared" si="50"/>
        <v>0</v>
      </c>
      <c r="K74" s="84" t="str">
        <f t="shared" si="66"/>
        <v/>
      </c>
      <c r="L74" s="105">
        <f t="shared" si="51"/>
        <v>0</v>
      </c>
      <c r="M74" s="84" t="str">
        <f t="shared" si="67"/>
        <v/>
      </c>
      <c r="N74" s="106" t="str">
        <f>IF($C74="","",IF(ISERROR(VLOOKUP($C74,$C$5:$AP$54,39,FALSE)=TRUE),VLOOKUP($C74,'SDDA Dogs'!$A:$O,11,FALSE),VLOOKUP($C74,$C$5:$AP$54,39,FALSE)))</f>
        <v/>
      </c>
      <c r="O74" s="241"/>
      <c r="P74" s="242"/>
      <c r="Q74" s="84" t="str">
        <f t="shared" si="68"/>
        <v/>
      </c>
      <c r="R74" s="105">
        <f t="shared" si="52"/>
        <v>0</v>
      </c>
      <c r="S74" s="84" t="str">
        <f t="shared" si="69"/>
        <v/>
      </c>
      <c r="T74" s="105">
        <f t="shared" si="53"/>
        <v>0</v>
      </c>
      <c r="U74" s="84" t="str">
        <f t="shared" si="70"/>
        <v/>
      </c>
      <c r="V74" s="106" t="str">
        <f>IF($C74="","",IF(ISERROR(VLOOKUP($C74,$C$5:$AP$54,40,FALSE)=TRUE),VLOOKUP($C74,'SDDA Dogs'!$A:$O,12,FALSE),VLOOKUP($C74,$C$5:$AP$54,40,FALSE)))</f>
        <v/>
      </c>
      <c r="W74" s="241"/>
      <c r="X74" s="242"/>
      <c r="Y74" s="84" t="str">
        <f t="shared" si="71"/>
        <v/>
      </c>
      <c r="Z74" s="105">
        <f t="shared" si="54"/>
        <v>0</v>
      </c>
      <c r="AA74" s="84" t="str">
        <f t="shared" si="72"/>
        <v/>
      </c>
      <c r="AB74" s="105">
        <f t="shared" si="55"/>
        <v>0</v>
      </c>
      <c r="AC74" s="84" t="str">
        <f t="shared" si="73"/>
        <v/>
      </c>
      <c r="AD74" s="92" t="str">
        <f t="shared" si="74"/>
        <v/>
      </c>
      <c r="AE74" s="89" t="str">
        <f t="shared" si="75"/>
        <v/>
      </c>
      <c r="AF74" s="104" t="str">
        <f t="shared" si="76"/>
        <v/>
      </c>
      <c r="AG74" s="107" t="str">
        <f t="shared" si="77"/>
        <v/>
      </c>
      <c r="AH74" s="92" t="str">
        <f t="shared" si="78"/>
        <v/>
      </c>
      <c r="AI74" s="89" t="str">
        <f t="shared" si="79"/>
        <v/>
      </c>
      <c r="AJ74" s="104" t="str">
        <f t="shared" si="80"/>
        <v/>
      </c>
      <c r="AK74" s="84" t="str">
        <f t="shared" si="81"/>
        <v/>
      </c>
      <c r="AL74" s="264" t="str">
        <f t="shared" si="82"/>
        <v/>
      </c>
      <c r="AM74" s="270">
        <f t="shared" si="56"/>
        <v>0</v>
      </c>
      <c r="AN74" s="270" t="str">
        <f t="shared" si="83"/>
        <v/>
      </c>
      <c r="AO74" s="270" t="str">
        <f t="shared" si="84"/>
        <v/>
      </c>
      <c r="AP74" s="270" t="str">
        <f t="shared" si="85"/>
        <v/>
      </c>
      <c r="AQ74" s="270">
        <f t="shared" si="86"/>
        <v>0</v>
      </c>
      <c r="AR74" s="271">
        <f>MIN(IFERROR(VLOOKUP($C74,'SDDA Dogs'!$A:$O,13,FALSE),0),IFERROR(VLOOKUP($C74,'SDDA Dogs'!$A:$O,14,FALSE),0),IFERROR(VLOOKUP($C74,'SDDA Dogs'!$A:$O,15,FALSE),0))</f>
        <v>0</v>
      </c>
      <c r="AS74" s="272"/>
      <c r="AT74" s="272"/>
      <c r="AU74" s="272" t="str">
        <f>IF(ISERROR(VLOOKUP(C74,'SDDA Dogs'!A:O,6,FALSE)),"",VLOOKUP(C74,'SDDA Dogs'!A:O,6,FALSE))</f>
        <v/>
      </c>
      <c r="AV74" s="270">
        <f t="shared" si="87"/>
        <v>0</v>
      </c>
      <c r="AW74" s="270">
        <f t="shared" si="88"/>
        <v>0</v>
      </c>
      <c r="AX74" s="273">
        <f t="shared" si="89"/>
        <v>0</v>
      </c>
      <c r="AY74" s="274"/>
      <c r="AZ74" s="275">
        <f t="shared" si="62"/>
        <v>0</v>
      </c>
      <c r="BA74" s="275">
        <f t="shared" si="63"/>
        <v>0</v>
      </c>
      <c r="BB74" s="276"/>
      <c r="BC74" s="274">
        <f>_xlfn.IFNA(IF(I74="Pass",IF(AND(G74&gt;=IFERROR(INDEX($C$5:$W$54,MATCH(C74,$C$5:$C$54,0),5),0),G74&gt;=IFERROR(INDEX(DogInfo!A:B,MATCH(C74&amp;$BC$4,DogInfo!A:A,0),2),0)),G74,IF(AND(IFERROR(INDEX($C$5:$W$54,MATCH(C74,$C$5:$C$54,0),5),0)&gt;=O74,IFERROR(INDEX($C$5:$W$54,MATCH(C74,$C$5:$C$54,0),5),0)&gt;=IFERROR(INDEX(DogInfo!A:B,MATCH(C74&amp;$BC$4,DogInfo!A:A,0),2),0)),IFERROR(INDEX($C$5:$W$54,MATCH(C74,$C$5:$C$54,0),5),0),IF(AND(IFERROR(INDEX(DogInfo!A:B,MATCH(C74&amp;$BC$4,DogInfo!A:A,0),2),0)&gt;=IFERROR(INDEX($C$5:$W$54,MATCH(C74,$C$5:$C$54,0),5),0),IFERROR(INDEX(DogInfo!A:B,MATCH(C74&amp;$BC$4,DogInfo!A:A,0),2),0)&gt;=G74),IFERROR(INDEX(DogInfo!A:B,MATCH(C74&amp;$BC$4,DogInfo!A:A,0),2),0),"Error"))),IFERROR(INDEX($C$5:$BE$54,MATCH(C74,$C$5:$C$54,0),53),IFERROR(INDEX(DogInfo!A:B,MATCH(C74&amp;$BC$4,DogInfo!A:A,0),2),0))),"")</f>
        <v>0</v>
      </c>
      <c r="BD74" s="274">
        <f>_xlfn.IFNA(IF(Q74="Pass",IF(AND(O74&gt;=IFERROR(INDEX($C$5:$W$54,MATCH(C74,$C$5:$C$54,0),13),0),O74&gt;=IFERROR(INDEX(DogInfo!A:B,MATCH(C74&amp;$BD$4,DogInfo!A:A,0),2),0)),O74,IF(AND(IFERROR(INDEX($C$5:$W$54,MATCH(C74,$C$5:$C$54,0),13),0)&gt;=O74,IFERROR(INDEX($C$5:$W$54,MATCH(C74,$C$5:$C$54,0),13),0)&gt;=IFERROR(INDEX(DogInfo!A:B,MATCH(C74&amp;$BD$4,DogInfo!A:A,0),2),0)),IFERROR(INDEX($C$5:$W$54,MATCH(C74,$C$5:$C$54,0),13),0),IF(AND(IFERROR(INDEX(DogInfo!A:B,MATCH(C74&amp;$BD$4,DogInfo!A:A,0),2),0)&gt;=IFERROR(INDEX($C$5:$W$54,MATCH(C74,$C$5:$C$54,0),13),0),IFERROR(INDEX(DogInfo!A:B,MATCH(C74&amp;$BD$4,DogInfo!A:A,0),2),0)&gt;=O74),IFERROR(INDEX(DogInfo!A:B,MATCH(C74&amp;$BD$4,DogInfo!A:A,0),2),0),"Error"))),IFERROR(INDEX($C$5:$BE$54,MATCH(C74,$C$5:$C$54,0),54),IFERROR(INDEX(DogInfo!A:B,MATCH(C74&amp;$BD$4,DogInfo!A:A,0),2),0))),"")</f>
        <v>0</v>
      </c>
      <c r="BE74" s="274">
        <f>_xlfn.IFNA(IF(Y74="Pass",IF(AND(W74&gt;=IFERROR(INDEX($C$5:$W$54,MATCH(C74,$C$5:$C$54,0),21),0),O74&gt;=IFERROR(INDEX(DogInfo!A:B,MATCH(C74&amp;$BE$4,DogInfo!A:A,0),2),0)),W74,IF(AND(IFERROR(INDEX($C$5:$W$54,MATCH(C74,$C$5:$C$54,0),21),0)&gt;=W74,IFERROR(INDEX($C$5:$W$54,MATCH(C74,$C$5:$C$54,0),21),0)&gt;=IFERROR(INDEX(DogInfo!A:B,MATCH(C74&amp;$BE$4,DogInfo!A:A,0),2),0)),IFERROR(INDEX($C$5:$W$54,MATCH(C74,$C$5:$C$54,0),21),0),IF(AND(IFERROR(INDEX(DogInfo!A:B,MATCH(C74&amp;$BE$4,DogInfo!A:A,0),2),0)&gt;=IFERROR(INDEX($C$5:$W$54,MATCH(C74,$C$5:$C$54,0),21),0),IFERROR(INDEX(DogInfo!A:B,MATCH(C74&amp;$BE$4,DogInfo!A:A,0),2),0)&gt;=W74),IFERROR(INDEX(DogInfo!A:B,MATCH(C74&amp;$BE$4,DogInfo!A:A,0),2),0),"Error"))),IFERROR(INDEX($C$5:$BE$54,MATCH(C74,$C$5:$C$54,0),55),IFERROR(INDEX(DogInfo!A:B,MATCH(C74&amp;$BE$4,DogInfo!A:A,0),2),0))),"")</f>
        <v>0</v>
      </c>
    </row>
    <row r="75" spans="1:57" x14ac:dyDescent="0.25">
      <c r="A75" s="99">
        <v>11</v>
      </c>
      <c r="B75" s="100"/>
      <c r="C75" s="240"/>
      <c r="D75" s="102" t="str">
        <f>IF($C75="","",VLOOKUP($C75,'SDDA Dogs'!$A:$F,2,FALSE))</f>
        <v/>
      </c>
      <c r="E75" s="211">
        <f t="shared" si="64"/>
        <v>-1</v>
      </c>
      <c r="F75" s="103" t="str">
        <f>IF($C75="","",IF(ISERROR(VLOOKUP($C75,$C$5:$AP$54,38,FALSE)=TRUE),VLOOKUP($C75,'SDDA Dogs'!$A:$O,10,FALSE),VLOOKUP($C75,$C$5:$AP$54,38,FALSE)))</f>
        <v/>
      </c>
      <c r="G75" s="241"/>
      <c r="H75" s="242"/>
      <c r="I75" s="84" t="str">
        <f t="shared" si="65"/>
        <v/>
      </c>
      <c r="J75" s="105">
        <f t="shared" si="50"/>
        <v>0</v>
      </c>
      <c r="K75" s="84" t="str">
        <f t="shared" si="66"/>
        <v/>
      </c>
      <c r="L75" s="105">
        <f t="shared" si="51"/>
        <v>0</v>
      </c>
      <c r="M75" s="84" t="str">
        <f t="shared" si="67"/>
        <v/>
      </c>
      <c r="N75" s="106" t="str">
        <f>IF($C75="","",IF(ISERROR(VLOOKUP($C75,$C$5:$AP$54,39,FALSE)=TRUE),VLOOKUP($C75,'SDDA Dogs'!$A:$O,11,FALSE),VLOOKUP($C75,$C$5:$AP$54,39,FALSE)))</f>
        <v/>
      </c>
      <c r="O75" s="241"/>
      <c r="P75" s="242"/>
      <c r="Q75" s="84" t="str">
        <f t="shared" si="68"/>
        <v/>
      </c>
      <c r="R75" s="105">
        <f t="shared" si="52"/>
        <v>0</v>
      </c>
      <c r="S75" s="84" t="str">
        <f t="shared" si="69"/>
        <v/>
      </c>
      <c r="T75" s="105">
        <f t="shared" si="53"/>
        <v>0</v>
      </c>
      <c r="U75" s="84" t="str">
        <f t="shared" si="70"/>
        <v/>
      </c>
      <c r="V75" s="106" t="str">
        <f>IF($C75="","",IF(ISERROR(VLOOKUP($C75,$C$5:$AP$54,40,FALSE)=TRUE),VLOOKUP($C75,'SDDA Dogs'!$A:$O,12,FALSE),VLOOKUP($C75,$C$5:$AP$54,40,FALSE)))</f>
        <v/>
      </c>
      <c r="W75" s="241"/>
      <c r="X75" s="242"/>
      <c r="Y75" s="84" t="str">
        <f t="shared" si="71"/>
        <v/>
      </c>
      <c r="Z75" s="105">
        <f t="shared" si="54"/>
        <v>0</v>
      </c>
      <c r="AA75" s="84" t="str">
        <f t="shared" si="72"/>
        <v/>
      </c>
      <c r="AB75" s="105">
        <f t="shared" si="55"/>
        <v>0</v>
      </c>
      <c r="AC75" s="84" t="str">
        <f t="shared" si="73"/>
        <v/>
      </c>
      <c r="AD75" s="92" t="str">
        <f t="shared" si="74"/>
        <v/>
      </c>
      <c r="AE75" s="89" t="str">
        <f t="shared" si="75"/>
        <v/>
      </c>
      <c r="AF75" s="104" t="str">
        <f t="shared" si="76"/>
        <v/>
      </c>
      <c r="AG75" s="107" t="str">
        <f t="shared" si="77"/>
        <v/>
      </c>
      <c r="AH75" s="92" t="str">
        <f t="shared" si="78"/>
        <v/>
      </c>
      <c r="AI75" s="89" t="str">
        <f t="shared" si="79"/>
        <v/>
      </c>
      <c r="AJ75" s="104" t="str">
        <f t="shared" si="80"/>
        <v/>
      </c>
      <c r="AK75" s="84" t="str">
        <f t="shared" si="81"/>
        <v/>
      </c>
      <c r="AL75" s="264" t="str">
        <f t="shared" si="82"/>
        <v/>
      </c>
      <c r="AM75" s="270">
        <f t="shared" si="56"/>
        <v>0</v>
      </c>
      <c r="AN75" s="270" t="str">
        <f t="shared" si="83"/>
        <v/>
      </c>
      <c r="AO75" s="270" t="str">
        <f t="shared" si="84"/>
        <v/>
      </c>
      <c r="AP75" s="270" t="str">
        <f t="shared" si="85"/>
        <v/>
      </c>
      <c r="AQ75" s="270">
        <f t="shared" si="86"/>
        <v>0</v>
      </c>
      <c r="AR75" s="271">
        <f>MIN(IFERROR(VLOOKUP($C75,'SDDA Dogs'!$A:$O,13,FALSE),0),IFERROR(VLOOKUP($C75,'SDDA Dogs'!$A:$O,14,FALSE),0),IFERROR(VLOOKUP($C75,'SDDA Dogs'!$A:$O,15,FALSE),0))</f>
        <v>0</v>
      </c>
      <c r="AS75" s="272"/>
      <c r="AT75" s="272"/>
      <c r="AU75" s="272" t="str">
        <f>IF(ISERROR(VLOOKUP(C75,'SDDA Dogs'!A:O,6,FALSE)),"",VLOOKUP(C75,'SDDA Dogs'!A:O,6,FALSE))</f>
        <v/>
      </c>
      <c r="AV75" s="270">
        <f t="shared" si="87"/>
        <v>0</v>
      </c>
      <c r="AW75" s="270">
        <f t="shared" si="88"/>
        <v>0</v>
      </c>
      <c r="AX75" s="273">
        <f t="shared" si="89"/>
        <v>0</v>
      </c>
      <c r="AY75" s="274"/>
      <c r="AZ75" s="275">
        <f t="shared" si="62"/>
        <v>0</v>
      </c>
      <c r="BA75" s="275">
        <f t="shared" si="63"/>
        <v>0</v>
      </c>
      <c r="BB75" s="276"/>
      <c r="BC75" s="274">
        <f>_xlfn.IFNA(IF(I75="Pass",IF(AND(G75&gt;=IFERROR(INDEX($C$5:$W$54,MATCH(C75,$C$5:$C$54,0),5),0),G75&gt;=IFERROR(INDEX(DogInfo!A:B,MATCH(C75&amp;$BC$4,DogInfo!A:A,0),2),0)),G75,IF(AND(IFERROR(INDEX($C$5:$W$54,MATCH(C75,$C$5:$C$54,0),5),0)&gt;=O75,IFERROR(INDEX($C$5:$W$54,MATCH(C75,$C$5:$C$54,0),5),0)&gt;=IFERROR(INDEX(DogInfo!A:B,MATCH(C75&amp;$BC$4,DogInfo!A:A,0),2),0)),IFERROR(INDEX($C$5:$W$54,MATCH(C75,$C$5:$C$54,0),5),0),IF(AND(IFERROR(INDEX(DogInfo!A:B,MATCH(C75&amp;$BC$4,DogInfo!A:A,0),2),0)&gt;=IFERROR(INDEX($C$5:$W$54,MATCH(C75,$C$5:$C$54,0),5),0),IFERROR(INDEX(DogInfo!A:B,MATCH(C75&amp;$BC$4,DogInfo!A:A,0),2),0)&gt;=G75),IFERROR(INDEX(DogInfo!A:B,MATCH(C75&amp;$BC$4,DogInfo!A:A,0),2),0),"Error"))),IFERROR(INDEX($C$5:$BE$54,MATCH(C75,$C$5:$C$54,0),53),IFERROR(INDEX(DogInfo!A:B,MATCH(C75&amp;$BC$4,DogInfo!A:A,0),2),0))),"")</f>
        <v>0</v>
      </c>
      <c r="BD75" s="274">
        <f>_xlfn.IFNA(IF(Q75="Pass",IF(AND(O75&gt;=IFERROR(INDEX($C$5:$W$54,MATCH(C75,$C$5:$C$54,0),13),0),O75&gt;=IFERROR(INDEX(DogInfo!A:B,MATCH(C75&amp;$BD$4,DogInfo!A:A,0),2),0)),O75,IF(AND(IFERROR(INDEX($C$5:$W$54,MATCH(C75,$C$5:$C$54,0),13),0)&gt;=O75,IFERROR(INDEX($C$5:$W$54,MATCH(C75,$C$5:$C$54,0),13),0)&gt;=IFERROR(INDEX(DogInfo!A:B,MATCH(C75&amp;$BD$4,DogInfo!A:A,0),2),0)),IFERROR(INDEX($C$5:$W$54,MATCH(C75,$C$5:$C$54,0),13),0),IF(AND(IFERROR(INDEX(DogInfo!A:B,MATCH(C75&amp;$BD$4,DogInfo!A:A,0),2),0)&gt;=IFERROR(INDEX($C$5:$W$54,MATCH(C75,$C$5:$C$54,0),13),0),IFERROR(INDEX(DogInfo!A:B,MATCH(C75&amp;$BD$4,DogInfo!A:A,0),2),0)&gt;=O75),IFERROR(INDEX(DogInfo!A:B,MATCH(C75&amp;$BD$4,DogInfo!A:A,0),2),0),"Error"))),IFERROR(INDEX($C$5:$BE$54,MATCH(C75,$C$5:$C$54,0),54),IFERROR(INDEX(DogInfo!A:B,MATCH(C75&amp;$BD$4,DogInfo!A:A,0),2),0))),"")</f>
        <v>0</v>
      </c>
      <c r="BE75" s="274">
        <f>_xlfn.IFNA(IF(Y75="Pass",IF(AND(W75&gt;=IFERROR(INDEX($C$5:$W$54,MATCH(C75,$C$5:$C$54,0),21),0),O75&gt;=IFERROR(INDEX(DogInfo!A:B,MATCH(C75&amp;$BE$4,DogInfo!A:A,0),2),0)),W75,IF(AND(IFERROR(INDEX($C$5:$W$54,MATCH(C75,$C$5:$C$54,0),21),0)&gt;=W75,IFERROR(INDEX($C$5:$W$54,MATCH(C75,$C$5:$C$54,0),21),0)&gt;=IFERROR(INDEX(DogInfo!A:B,MATCH(C75&amp;$BE$4,DogInfo!A:A,0),2),0)),IFERROR(INDEX($C$5:$W$54,MATCH(C75,$C$5:$C$54,0),21),0),IF(AND(IFERROR(INDEX(DogInfo!A:B,MATCH(C75&amp;$BE$4,DogInfo!A:A,0),2),0)&gt;=IFERROR(INDEX($C$5:$W$54,MATCH(C75,$C$5:$C$54,0),21),0),IFERROR(INDEX(DogInfo!A:B,MATCH(C75&amp;$BE$4,DogInfo!A:A,0),2),0)&gt;=W75),IFERROR(INDEX(DogInfo!A:B,MATCH(C75&amp;$BE$4,DogInfo!A:A,0),2),0),"Error"))),IFERROR(INDEX($C$5:$BE$54,MATCH(C75,$C$5:$C$54,0),55),IFERROR(INDEX(DogInfo!A:B,MATCH(C75&amp;$BE$4,DogInfo!A:A,0),2),0))),"")</f>
        <v>0</v>
      </c>
    </row>
    <row r="76" spans="1:57" x14ac:dyDescent="0.25">
      <c r="A76" s="99">
        <v>12</v>
      </c>
      <c r="B76" s="100"/>
      <c r="C76" s="240"/>
      <c r="D76" s="102" t="str">
        <f>IF($C76="","",VLOOKUP($C76,'SDDA Dogs'!$A:$F,2,FALSE))</f>
        <v/>
      </c>
      <c r="E76" s="211">
        <f t="shared" si="64"/>
        <v>-1</v>
      </c>
      <c r="F76" s="103" t="str">
        <f>IF($C76="","",IF(ISERROR(VLOOKUP($C76,$C$5:$AP$54,38,FALSE)=TRUE),VLOOKUP($C76,'SDDA Dogs'!$A:$O,10,FALSE),VLOOKUP($C76,$C$5:$AP$54,38,FALSE)))</f>
        <v/>
      </c>
      <c r="G76" s="241"/>
      <c r="H76" s="242"/>
      <c r="I76" s="84" t="str">
        <f t="shared" si="65"/>
        <v/>
      </c>
      <c r="J76" s="105">
        <f t="shared" si="50"/>
        <v>0</v>
      </c>
      <c r="K76" s="84" t="str">
        <f t="shared" si="66"/>
        <v/>
      </c>
      <c r="L76" s="105">
        <f t="shared" si="51"/>
        <v>0</v>
      </c>
      <c r="M76" s="84" t="str">
        <f t="shared" si="67"/>
        <v/>
      </c>
      <c r="N76" s="106" t="str">
        <f>IF($C76="","",IF(ISERROR(VLOOKUP($C76,$C$5:$AP$54,39,FALSE)=TRUE),VLOOKUP($C76,'SDDA Dogs'!$A:$O,11,FALSE),VLOOKUP($C76,$C$5:$AP$54,39,FALSE)))</f>
        <v/>
      </c>
      <c r="O76" s="241"/>
      <c r="P76" s="242"/>
      <c r="Q76" s="84" t="str">
        <f t="shared" si="68"/>
        <v/>
      </c>
      <c r="R76" s="105">
        <f t="shared" si="52"/>
        <v>0</v>
      </c>
      <c r="S76" s="84" t="str">
        <f t="shared" si="69"/>
        <v/>
      </c>
      <c r="T76" s="105">
        <f t="shared" si="53"/>
        <v>0</v>
      </c>
      <c r="U76" s="84" t="str">
        <f t="shared" si="70"/>
        <v/>
      </c>
      <c r="V76" s="106" t="str">
        <f>IF($C76="","",IF(ISERROR(VLOOKUP($C76,$C$5:$AP$54,40,FALSE)=TRUE),VLOOKUP($C76,'SDDA Dogs'!$A:$O,12,FALSE),VLOOKUP($C76,$C$5:$AP$54,40,FALSE)))</f>
        <v/>
      </c>
      <c r="W76" s="241"/>
      <c r="X76" s="242"/>
      <c r="Y76" s="84" t="str">
        <f t="shared" si="71"/>
        <v/>
      </c>
      <c r="Z76" s="105">
        <f t="shared" si="54"/>
        <v>0</v>
      </c>
      <c r="AA76" s="84" t="str">
        <f t="shared" si="72"/>
        <v/>
      </c>
      <c r="AB76" s="105">
        <f t="shared" si="55"/>
        <v>0</v>
      </c>
      <c r="AC76" s="84" t="str">
        <f t="shared" si="73"/>
        <v/>
      </c>
      <c r="AD76" s="92" t="str">
        <f t="shared" si="74"/>
        <v/>
      </c>
      <c r="AE76" s="89" t="str">
        <f t="shared" si="75"/>
        <v/>
      </c>
      <c r="AF76" s="104" t="str">
        <f t="shared" si="76"/>
        <v/>
      </c>
      <c r="AG76" s="107" t="str">
        <f t="shared" si="77"/>
        <v/>
      </c>
      <c r="AH76" s="92" t="str">
        <f t="shared" si="78"/>
        <v/>
      </c>
      <c r="AI76" s="89" t="str">
        <f t="shared" si="79"/>
        <v/>
      </c>
      <c r="AJ76" s="104" t="str">
        <f t="shared" si="80"/>
        <v/>
      </c>
      <c r="AK76" s="84" t="str">
        <f t="shared" si="81"/>
        <v/>
      </c>
      <c r="AL76" s="264" t="str">
        <f t="shared" si="82"/>
        <v/>
      </c>
      <c r="AM76" s="270">
        <f t="shared" si="56"/>
        <v>0</v>
      </c>
      <c r="AN76" s="270" t="str">
        <f t="shared" si="83"/>
        <v/>
      </c>
      <c r="AO76" s="270" t="str">
        <f t="shared" si="84"/>
        <v/>
      </c>
      <c r="AP76" s="270" t="str">
        <f t="shared" si="85"/>
        <v/>
      </c>
      <c r="AQ76" s="270">
        <f t="shared" si="86"/>
        <v>0</v>
      </c>
      <c r="AR76" s="271">
        <f>MIN(IFERROR(VLOOKUP($C76,'SDDA Dogs'!$A:$O,13,FALSE),0),IFERROR(VLOOKUP($C76,'SDDA Dogs'!$A:$O,14,FALSE),0),IFERROR(VLOOKUP($C76,'SDDA Dogs'!$A:$O,15,FALSE),0))</f>
        <v>0</v>
      </c>
      <c r="AS76" s="272"/>
      <c r="AT76" s="272"/>
      <c r="AU76" s="272" t="str">
        <f>IF(ISERROR(VLOOKUP(C76,'SDDA Dogs'!A:O,6,FALSE)),"",VLOOKUP(C76,'SDDA Dogs'!A:O,6,FALSE))</f>
        <v/>
      </c>
      <c r="AV76" s="270">
        <f t="shared" si="87"/>
        <v>0</v>
      </c>
      <c r="AW76" s="270">
        <f t="shared" si="88"/>
        <v>0</v>
      </c>
      <c r="AX76" s="273">
        <f t="shared" si="89"/>
        <v>0</v>
      </c>
      <c r="AY76" s="274"/>
      <c r="AZ76" s="275">
        <f t="shared" si="62"/>
        <v>0</v>
      </c>
      <c r="BA76" s="275">
        <f t="shared" si="63"/>
        <v>0</v>
      </c>
      <c r="BB76" s="276"/>
      <c r="BC76" s="274">
        <f>_xlfn.IFNA(IF(I76="Pass",IF(AND(G76&gt;=IFERROR(INDEX($C$5:$W$54,MATCH(C76,$C$5:$C$54,0),5),0),G76&gt;=IFERROR(INDEX(DogInfo!A:B,MATCH(C76&amp;$BC$4,DogInfo!A:A,0),2),0)),G76,IF(AND(IFERROR(INDEX($C$5:$W$54,MATCH(C76,$C$5:$C$54,0),5),0)&gt;=O76,IFERROR(INDEX($C$5:$W$54,MATCH(C76,$C$5:$C$54,0),5),0)&gt;=IFERROR(INDEX(DogInfo!A:B,MATCH(C76&amp;$BC$4,DogInfo!A:A,0),2),0)),IFERROR(INDEX($C$5:$W$54,MATCH(C76,$C$5:$C$54,0),5),0),IF(AND(IFERROR(INDEX(DogInfo!A:B,MATCH(C76&amp;$BC$4,DogInfo!A:A,0),2),0)&gt;=IFERROR(INDEX($C$5:$W$54,MATCH(C76,$C$5:$C$54,0),5),0),IFERROR(INDEX(DogInfo!A:B,MATCH(C76&amp;$BC$4,DogInfo!A:A,0),2),0)&gt;=G76),IFERROR(INDEX(DogInfo!A:B,MATCH(C76&amp;$BC$4,DogInfo!A:A,0),2),0),"Error"))),IFERROR(INDEX($C$5:$BE$54,MATCH(C76,$C$5:$C$54,0),53),IFERROR(INDEX(DogInfo!A:B,MATCH(C76&amp;$BC$4,DogInfo!A:A,0),2),0))),"")</f>
        <v>0</v>
      </c>
      <c r="BD76" s="274">
        <f>_xlfn.IFNA(IF(Q76="Pass",IF(AND(O76&gt;=IFERROR(INDEX($C$5:$W$54,MATCH(C76,$C$5:$C$54,0),13),0),O76&gt;=IFERROR(INDEX(DogInfo!A:B,MATCH(C76&amp;$BD$4,DogInfo!A:A,0),2),0)),O76,IF(AND(IFERROR(INDEX($C$5:$W$54,MATCH(C76,$C$5:$C$54,0),13),0)&gt;=O76,IFERROR(INDEX($C$5:$W$54,MATCH(C76,$C$5:$C$54,0),13),0)&gt;=IFERROR(INDEX(DogInfo!A:B,MATCH(C76&amp;$BD$4,DogInfo!A:A,0),2),0)),IFERROR(INDEX($C$5:$W$54,MATCH(C76,$C$5:$C$54,0),13),0),IF(AND(IFERROR(INDEX(DogInfo!A:B,MATCH(C76&amp;$BD$4,DogInfo!A:A,0),2),0)&gt;=IFERROR(INDEX($C$5:$W$54,MATCH(C76,$C$5:$C$54,0),13),0),IFERROR(INDEX(DogInfo!A:B,MATCH(C76&amp;$BD$4,DogInfo!A:A,0),2),0)&gt;=O76),IFERROR(INDEX(DogInfo!A:B,MATCH(C76&amp;$BD$4,DogInfo!A:A,0),2),0),"Error"))),IFERROR(INDEX($C$5:$BE$54,MATCH(C76,$C$5:$C$54,0),54),IFERROR(INDEX(DogInfo!A:B,MATCH(C76&amp;$BD$4,DogInfo!A:A,0),2),0))),"")</f>
        <v>0</v>
      </c>
      <c r="BE76" s="274">
        <f>_xlfn.IFNA(IF(Y76="Pass",IF(AND(W76&gt;=IFERROR(INDEX($C$5:$W$54,MATCH(C76,$C$5:$C$54,0),21),0),O76&gt;=IFERROR(INDEX(DogInfo!A:B,MATCH(C76&amp;$BE$4,DogInfo!A:A,0),2),0)),W76,IF(AND(IFERROR(INDEX($C$5:$W$54,MATCH(C76,$C$5:$C$54,0),21),0)&gt;=W76,IFERROR(INDEX($C$5:$W$54,MATCH(C76,$C$5:$C$54,0),21),0)&gt;=IFERROR(INDEX(DogInfo!A:B,MATCH(C76&amp;$BE$4,DogInfo!A:A,0),2),0)),IFERROR(INDEX($C$5:$W$54,MATCH(C76,$C$5:$C$54,0),21),0),IF(AND(IFERROR(INDEX(DogInfo!A:B,MATCH(C76&amp;$BE$4,DogInfo!A:A,0),2),0)&gt;=IFERROR(INDEX($C$5:$W$54,MATCH(C76,$C$5:$C$54,0),21),0),IFERROR(INDEX(DogInfo!A:B,MATCH(C76&amp;$BE$4,DogInfo!A:A,0),2),0)&gt;=W76),IFERROR(INDEX(DogInfo!A:B,MATCH(C76&amp;$BE$4,DogInfo!A:A,0),2),0),"Error"))),IFERROR(INDEX($C$5:$BE$54,MATCH(C76,$C$5:$C$54,0),55),IFERROR(INDEX(DogInfo!A:B,MATCH(C76&amp;$BE$4,DogInfo!A:A,0),2),0))),"")</f>
        <v>0</v>
      </c>
    </row>
    <row r="77" spans="1:57" x14ac:dyDescent="0.25">
      <c r="A77" s="99">
        <v>13</v>
      </c>
      <c r="B77" s="100"/>
      <c r="C77" s="240"/>
      <c r="D77" s="102" t="str">
        <f>IF($C77="","",VLOOKUP($C77,'SDDA Dogs'!$A:$F,2,FALSE))</f>
        <v/>
      </c>
      <c r="E77" s="211">
        <f t="shared" si="64"/>
        <v>-1</v>
      </c>
      <c r="F77" s="103" t="str">
        <f>IF($C77="","",IF(ISERROR(VLOOKUP($C77,$C$5:$AP$54,38,FALSE)=TRUE),VLOOKUP($C77,'SDDA Dogs'!$A:$O,10,FALSE),VLOOKUP($C77,$C$5:$AP$54,38,FALSE)))</f>
        <v/>
      </c>
      <c r="G77" s="241"/>
      <c r="H77" s="242"/>
      <c r="I77" s="84" t="str">
        <f t="shared" si="65"/>
        <v/>
      </c>
      <c r="J77" s="105">
        <f t="shared" si="50"/>
        <v>0</v>
      </c>
      <c r="K77" s="84" t="str">
        <f t="shared" si="66"/>
        <v/>
      </c>
      <c r="L77" s="105">
        <f t="shared" si="51"/>
        <v>0</v>
      </c>
      <c r="M77" s="84" t="str">
        <f t="shared" si="67"/>
        <v/>
      </c>
      <c r="N77" s="106" t="str">
        <f>IF($C77="","",IF(ISERROR(VLOOKUP($C77,$C$5:$AP$54,39,FALSE)=TRUE),VLOOKUP($C77,'SDDA Dogs'!$A:$O,11,FALSE),VLOOKUP($C77,$C$5:$AP$54,39,FALSE)))</f>
        <v/>
      </c>
      <c r="O77" s="241"/>
      <c r="P77" s="242"/>
      <c r="Q77" s="84" t="str">
        <f t="shared" si="68"/>
        <v/>
      </c>
      <c r="R77" s="105">
        <f t="shared" si="52"/>
        <v>0</v>
      </c>
      <c r="S77" s="84" t="str">
        <f t="shared" si="69"/>
        <v/>
      </c>
      <c r="T77" s="105">
        <f t="shared" si="53"/>
        <v>0</v>
      </c>
      <c r="U77" s="84" t="str">
        <f t="shared" si="70"/>
        <v/>
      </c>
      <c r="V77" s="106" t="str">
        <f>IF($C77="","",IF(ISERROR(VLOOKUP($C77,$C$5:$AP$54,40,FALSE)=TRUE),VLOOKUP($C77,'SDDA Dogs'!$A:$O,12,FALSE),VLOOKUP($C77,$C$5:$AP$54,40,FALSE)))</f>
        <v/>
      </c>
      <c r="W77" s="241"/>
      <c r="X77" s="242"/>
      <c r="Y77" s="84" t="str">
        <f t="shared" si="71"/>
        <v/>
      </c>
      <c r="Z77" s="105">
        <f t="shared" si="54"/>
        <v>0</v>
      </c>
      <c r="AA77" s="84" t="str">
        <f t="shared" si="72"/>
        <v/>
      </c>
      <c r="AB77" s="105">
        <f t="shared" si="55"/>
        <v>0</v>
      </c>
      <c r="AC77" s="84" t="str">
        <f t="shared" si="73"/>
        <v/>
      </c>
      <c r="AD77" s="92" t="str">
        <f t="shared" si="74"/>
        <v/>
      </c>
      <c r="AE77" s="89" t="str">
        <f t="shared" si="75"/>
        <v/>
      </c>
      <c r="AF77" s="104" t="str">
        <f t="shared" si="76"/>
        <v/>
      </c>
      <c r="AG77" s="107" t="str">
        <f t="shared" si="77"/>
        <v/>
      </c>
      <c r="AH77" s="92" t="str">
        <f t="shared" si="78"/>
        <v/>
      </c>
      <c r="AI77" s="89" t="str">
        <f t="shared" si="79"/>
        <v/>
      </c>
      <c r="AJ77" s="104" t="str">
        <f t="shared" si="80"/>
        <v/>
      </c>
      <c r="AK77" s="84" t="str">
        <f t="shared" si="81"/>
        <v/>
      </c>
      <c r="AL77" s="264" t="str">
        <f t="shared" si="82"/>
        <v/>
      </c>
      <c r="AM77" s="270">
        <f t="shared" si="56"/>
        <v>0</v>
      </c>
      <c r="AN77" s="270" t="str">
        <f t="shared" si="83"/>
        <v/>
      </c>
      <c r="AO77" s="270" t="str">
        <f t="shared" si="84"/>
        <v/>
      </c>
      <c r="AP77" s="270" t="str">
        <f t="shared" si="85"/>
        <v/>
      </c>
      <c r="AQ77" s="270">
        <f t="shared" si="86"/>
        <v>0</v>
      </c>
      <c r="AR77" s="271">
        <f>MIN(IFERROR(VLOOKUP($C77,'SDDA Dogs'!$A:$O,13,FALSE),0),IFERROR(VLOOKUP($C77,'SDDA Dogs'!$A:$O,14,FALSE),0),IFERROR(VLOOKUP($C77,'SDDA Dogs'!$A:$O,15,FALSE),0))</f>
        <v>0</v>
      </c>
      <c r="AS77" s="272"/>
      <c r="AT77" s="272"/>
      <c r="AU77" s="272" t="str">
        <f>IF(ISERROR(VLOOKUP(C77,'SDDA Dogs'!A:O,6,FALSE)),"",VLOOKUP(C77,'SDDA Dogs'!A:O,6,FALSE))</f>
        <v/>
      </c>
      <c r="AV77" s="270">
        <f t="shared" si="87"/>
        <v>0</v>
      </c>
      <c r="AW77" s="270">
        <f t="shared" si="88"/>
        <v>0</v>
      </c>
      <c r="AX77" s="273">
        <f t="shared" si="89"/>
        <v>0</v>
      </c>
      <c r="AY77" s="274"/>
      <c r="AZ77" s="275">
        <f t="shared" si="62"/>
        <v>0</v>
      </c>
      <c r="BA77" s="275">
        <f t="shared" si="63"/>
        <v>0</v>
      </c>
      <c r="BB77" s="276"/>
      <c r="BC77" s="274">
        <f>_xlfn.IFNA(IF(I77="Pass",IF(AND(G77&gt;=IFERROR(INDEX($C$5:$W$54,MATCH(C77,$C$5:$C$54,0),5),0),G77&gt;=IFERROR(INDEX(DogInfo!A:B,MATCH(C77&amp;$BC$4,DogInfo!A:A,0),2),0)),G77,IF(AND(IFERROR(INDEX($C$5:$W$54,MATCH(C77,$C$5:$C$54,0),5),0)&gt;=O77,IFERROR(INDEX($C$5:$W$54,MATCH(C77,$C$5:$C$54,0),5),0)&gt;=IFERROR(INDEX(DogInfo!A:B,MATCH(C77&amp;$BC$4,DogInfo!A:A,0),2),0)),IFERROR(INDEX($C$5:$W$54,MATCH(C77,$C$5:$C$54,0),5),0),IF(AND(IFERROR(INDEX(DogInfo!A:B,MATCH(C77&amp;$BC$4,DogInfo!A:A,0),2),0)&gt;=IFERROR(INDEX($C$5:$W$54,MATCH(C77,$C$5:$C$54,0),5),0),IFERROR(INDEX(DogInfo!A:B,MATCH(C77&amp;$BC$4,DogInfo!A:A,0),2),0)&gt;=G77),IFERROR(INDEX(DogInfo!A:B,MATCH(C77&amp;$BC$4,DogInfo!A:A,0),2),0),"Error"))),IFERROR(INDEX($C$5:$BE$54,MATCH(C77,$C$5:$C$54,0),53),IFERROR(INDEX(DogInfo!A:B,MATCH(C77&amp;$BC$4,DogInfo!A:A,0),2),0))),"")</f>
        <v>0</v>
      </c>
      <c r="BD77" s="274">
        <f>_xlfn.IFNA(IF(Q77="Pass",IF(AND(O77&gt;=IFERROR(INDEX($C$5:$W$54,MATCH(C77,$C$5:$C$54,0),13),0),O77&gt;=IFERROR(INDEX(DogInfo!A:B,MATCH(C77&amp;$BD$4,DogInfo!A:A,0),2),0)),O77,IF(AND(IFERROR(INDEX($C$5:$W$54,MATCH(C77,$C$5:$C$54,0),13),0)&gt;=O77,IFERROR(INDEX($C$5:$W$54,MATCH(C77,$C$5:$C$54,0),13),0)&gt;=IFERROR(INDEX(DogInfo!A:B,MATCH(C77&amp;$BD$4,DogInfo!A:A,0),2),0)),IFERROR(INDEX($C$5:$W$54,MATCH(C77,$C$5:$C$54,0),13),0),IF(AND(IFERROR(INDEX(DogInfo!A:B,MATCH(C77&amp;$BD$4,DogInfo!A:A,0),2),0)&gt;=IFERROR(INDEX($C$5:$W$54,MATCH(C77,$C$5:$C$54,0),13),0),IFERROR(INDEX(DogInfo!A:B,MATCH(C77&amp;$BD$4,DogInfo!A:A,0),2),0)&gt;=O77),IFERROR(INDEX(DogInfo!A:B,MATCH(C77&amp;$BD$4,DogInfo!A:A,0),2),0),"Error"))),IFERROR(INDEX($C$5:$BE$54,MATCH(C77,$C$5:$C$54,0),54),IFERROR(INDEX(DogInfo!A:B,MATCH(C77&amp;$BD$4,DogInfo!A:A,0),2),0))),"")</f>
        <v>0</v>
      </c>
      <c r="BE77" s="274">
        <f>_xlfn.IFNA(IF(Y77="Pass",IF(AND(W77&gt;=IFERROR(INDEX($C$5:$W$54,MATCH(C77,$C$5:$C$54,0),21),0),O77&gt;=IFERROR(INDEX(DogInfo!A:B,MATCH(C77&amp;$BE$4,DogInfo!A:A,0),2),0)),W77,IF(AND(IFERROR(INDEX($C$5:$W$54,MATCH(C77,$C$5:$C$54,0),21),0)&gt;=W77,IFERROR(INDEX($C$5:$W$54,MATCH(C77,$C$5:$C$54,0),21),0)&gt;=IFERROR(INDEX(DogInfo!A:B,MATCH(C77&amp;$BE$4,DogInfo!A:A,0),2),0)),IFERROR(INDEX($C$5:$W$54,MATCH(C77,$C$5:$C$54,0),21),0),IF(AND(IFERROR(INDEX(DogInfo!A:B,MATCH(C77&amp;$BE$4,DogInfo!A:A,0),2),0)&gt;=IFERROR(INDEX($C$5:$W$54,MATCH(C77,$C$5:$C$54,0),21),0),IFERROR(INDEX(DogInfo!A:B,MATCH(C77&amp;$BE$4,DogInfo!A:A,0),2),0)&gt;=W77),IFERROR(INDEX(DogInfo!A:B,MATCH(C77&amp;$BE$4,DogInfo!A:A,0),2),0),"Error"))),IFERROR(INDEX($C$5:$BE$54,MATCH(C77,$C$5:$C$54,0),55),IFERROR(INDEX(DogInfo!A:B,MATCH(C77&amp;$BE$4,DogInfo!A:A,0),2),0))),"")</f>
        <v>0</v>
      </c>
    </row>
    <row r="78" spans="1:57" x14ac:dyDescent="0.25">
      <c r="A78" s="99">
        <v>14</v>
      </c>
      <c r="B78" s="100"/>
      <c r="C78" s="240"/>
      <c r="D78" s="102" t="str">
        <f>IF($C78="","",VLOOKUP($C78,'SDDA Dogs'!$A:$F,2,FALSE))</f>
        <v/>
      </c>
      <c r="E78" s="211">
        <f t="shared" si="64"/>
        <v>-1</v>
      </c>
      <c r="F78" s="103" t="str">
        <f>IF($C78="","",IF(ISERROR(VLOOKUP($C78,$C$5:$AP$54,38,FALSE)=TRUE),VLOOKUP($C78,'SDDA Dogs'!$A:$O,10,FALSE),VLOOKUP($C78,$C$5:$AP$54,38,FALSE)))</f>
        <v/>
      </c>
      <c r="G78" s="241"/>
      <c r="H78" s="242"/>
      <c r="I78" s="84" t="str">
        <f t="shared" si="65"/>
        <v/>
      </c>
      <c r="J78" s="105">
        <f t="shared" si="50"/>
        <v>0</v>
      </c>
      <c r="K78" s="84" t="str">
        <f t="shared" si="66"/>
        <v/>
      </c>
      <c r="L78" s="105">
        <f t="shared" si="51"/>
        <v>0</v>
      </c>
      <c r="M78" s="84" t="str">
        <f t="shared" si="67"/>
        <v/>
      </c>
      <c r="N78" s="106" t="str">
        <f>IF($C78="","",IF(ISERROR(VLOOKUP($C78,$C$5:$AP$54,39,FALSE)=TRUE),VLOOKUP($C78,'SDDA Dogs'!$A:$O,11,FALSE),VLOOKUP($C78,$C$5:$AP$54,39,FALSE)))</f>
        <v/>
      </c>
      <c r="O78" s="241"/>
      <c r="P78" s="242"/>
      <c r="Q78" s="84" t="str">
        <f t="shared" si="68"/>
        <v/>
      </c>
      <c r="R78" s="105">
        <f t="shared" si="52"/>
        <v>0</v>
      </c>
      <c r="S78" s="84" t="str">
        <f t="shared" si="69"/>
        <v/>
      </c>
      <c r="T78" s="105">
        <f t="shared" si="53"/>
        <v>0</v>
      </c>
      <c r="U78" s="84" t="str">
        <f t="shared" si="70"/>
        <v/>
      </c>
      <c r="V78" s="106" t="str">
        <f>IF($C78="","",IF(ISERROR(VLOOKUP($C78,$C$5:$AP$54,40,FALSE)=TRUE),VLOOKUP($C78,'SDDA Dogs'!$A:$O,12,FALSE),VLOOKUP($C78,$C$5:$AP$54,40,FALSE)))</f>
        <v/>
      </c>
      <c r="W78" s="241"/>
      <c r="X78" s="242"/>
      <c r="Y78" s="84" t="str">
        <f t="shared" si="71"/>
        <v/>
      </c>
      <c r="Z78" s="105">
        <f t="shared" si="54"/>
        <v>0</v>
      </c>
      <c r="AA78" s="84" t="str">
        <f t="shared" si="72"/>
        <v/>
      </c>
      <c r="AB78" s="105">
        <f t="shared" si="55"/>
        <v>0</v>
      </c>
      <c r="AC78" s="84" t="str">
        <f t="shared" si="73"/>
        <v/>
      </c>
      <c r="AD78" s="92" t="str">
        <f t="shared" si="74"/>
        <v/>
      </c>
      <c r="AE78" s="89" t="str">
        <f t="shared" si="75"/>
        <v/>
      </c>
      <c r="AF78" s="104" t="str">
        <f t="shared" si="76"/>
        <v/>
      </c>
      <c r="AG78" s="107" t="str">
        <f t="shared" si="77"/>
        <v/>
      </c>
      <c r="AH78" s="92" t="str">
        <f t="shared" si="78"/>
        <v/>
      </c>
      <c r="AI78" s="89" t="str">
        <f t="shared" si="79"/>
        <v/>
      </c>
      <c r="AJ78" s="104" t="str">
        <f t="shared" si="80"/>
        <v/>
      </c>
      <c r="AK78" s="84" t="str">
        <f t="shared" si="81"/>
        <v/>
      </c>
      <c r="AL78" s="264" t="str">
        <f t="shared" si="82"/>
        <v/>
      </c>
      <c r="AM78" s="270">
        <f t="shared" si="56"/>
        <v>0</v>
      </c>
      <c r="AN78" s="270" t="str">
        <f t="shared" si="83"/>
        <v/>
      </c>
      <c r="AO78" s="270" t="str">
        <f t="shared" si="84"/>
        <v/>
      </c>
      <c r="AP78" s="270" t="str">
        <f t="shared" si="85"/>
        <v/>
      </c>
      <c r="AQ78" s="270">
        <f t="shared" si="86"/>
        <v>0</v>
      </c>
      <c r="AR78" s="271">
        <f>MIN(IFERROR(VLOOKUP($C78,'SDDA Dogs'!$A:$O,13,FALSE),0),IFERROR(VLOOKUP($C78,'SDDA Dogs'!$A:$O,14,FALSE),0),IFERROR(VLOOKUP($C78,'SDDA Dogs'!$A:$O,15,FALSE),0))</f>
        <v>0</v>
      </c>
      <c r="AS78" s="272"/>
      <c r="AT78" s="272"/>
      <c r="AU78" s="272" t="str">
        <f>IF(ISERROR(VLOOKUP(C78,'SDDA Dogs'!A:O,6,FALSE)),"",VLOOKUP(C78,'SDDA Dogs'!A:O,6,FALSE))</f>
        <v/>
      </c>
      <c r="AV78" s="270">
        <f t="shared" si="87"/>
        <v>0</v>
      </c>
      <c r="AW78" s="270">
        <f t="shared" si="88"/>
        <v>0</v>
      </c>
      <c r="AX78" s="273">
        <f t="shared" si="89"/>
        <v>0</v>
      </c>
      <c r="AY78" s="274"/>
      <c r="AZ78" s="275">
        <f t="shared" si="62"/>
        <v>0</v>
      </c>
      <c r="BA78" s="275">
        <f t="shared" si="63"/>
        <v>0</v>
      </c>
      <c r="BB78" s="276"/>
      <c r="BC78" s="274">
        <f>_xlfn.IFNA(IF(I78="Pass",IF(AND(G78&gt;=IFERROR(INDEX($C$5:$W$54,MATCH(C78,$C$5:$C$54,0),5),0),G78&gt;=IFERROR(INDEX(DogInfo!A:B,MATCH(C78&amp;$BC$4,DogInfo!A:A,0),2),0)),G78,IF(AND(IFERROR(INDEX($C$5:$W$54,MATCH(C78,$C$5:$C$54,0),5),0)&gt;=O78,IFERROR(INDEX($C$5:$W$54,MATCH(C78,$C$5:$C$54,0),5),0)&gt;=IFERROR(INDEX(DogInfo!A:B,MATCH(C78&amp;$BC$4,DogInfo!A:A,0),2),0)),IFERROR(INDEX($C$5:$W$54,MATCH(C78,$C$5:$C$54,0),5),0),IF(AND(IFERROR(INDEX(DogInfo!A:B,MATCH(C78&amp;$BC$4,DogInfo!A:A,0),2),0)&gt;=IFERROR(INDEX($C$5:$W$54,MATCH(C78,$C$5:$C$54,0),5),0),IFERROR(INDEX(DogInfo!A:B,MATCH(C78&amp;$BC$4,DogInfo!A:A,0),2),0)&gt;=G78),IFERROR(INDEX(DogInfo!A:B,MATCH(C78&amp;$BC$4,DogInfo!A:A,0),2),0),"Error"))),IFERROR(INDEX($C$5:$BE$54,MATCH(C78,$C$5:$C$54,0),53),IFERROR(INDEX(DogInfo!A:B,MATCH(C78&amp;$BC$4,DogInfo!A:A,0),2),0))),"")</f>
        <v>0</v>
      </c>
      <c r="BD78" s="274">
        <f>_xlfn.IFNA(IF(Q78="Pass",IF(AND(O78&gt;=IFERROR(INDEX($C$5:$W$54,MATCH(C78,$C$5:$C$54,0),13),0),O78&gt;=IFERROR(INDEX(DogInfo!A:B,MATCH(C78&amp;$BD$4,DogInfo!A:A,0),2),0)),O78,IF(AND(IFERROR(INDEX($C$5:$W$54,MATCH(C78,$C$5:$C$54,0),13),0)&gt;=O78,IFERROR(INDEX($C$5:$W$54,MATCH(C78,$C$5:$C$54,0),13),0)&gt;=IFERROR(INDEX(DogInfo!A:B,MATCH(C78&amp;$BD$4,DogInfo!A:A,0),2),0)),IFERROR(INDEX($C$5:$W$54,MATCH(C78,$C$5:$C$54,0),13),0),IF(AND(IFERROR(INDEX(DogInfo!A:B,MATCH(C78&amp;$BD$4,DogInfo!A:A,0),2),0)&gt;=IFERROR(INDEX($C$5:$W$54,MATCH(C78,$C$5:$C$54,0),13),0),IFERROR(INDEX(DogInfo!A:B,MATCH(C78&amp;$BD$4,DogInfo!A:A,0),2),0)&gt;=O78),IFERROR(INDEX(DogInfo!A:B,MATCH(C78&amp;$BD$4,DogInfo!A:A,0),2),0),"Error"))),IFERROR(INDEX($C$5:$BE$54,MATCH(C78,$C$5:$C$54,0),54),IFERROR(INDEX(DogInfo!A:B,MATCH(C78&amp;$BD$4,DogInfo!A:A,0),2),0))),"")</f>
        <v>0</v>
      </c>
      <c r="BE78" s="274">
        <f>_xlfn.IFNA(IF(Y78="Pass",IF(AND(W78&gt;=IFERROR(INDEX($C$5:$W$54,MATCH(C78,$C$5:$C$54,0),21),0),O78&gt;=IFERROR(INDEX(DogInfo!A:B,MATCH(C78&amp;$BE$4,DogInfo!A:A,0),2),0)),W78,IF(AND(IFERROR(INDEX($C$5:$W$54,MATCH(C78,$C$5:$C$54,0),21),0)&gt;=W78,IFERROR(INDEX($C$5:$W$54,MATCH(C78,$C$5:$C$54,0),21),0)&gt;=IFERROR(INDEX(DogInfo!A:B,MATCH(C78&amp;$BE$4,DogInfo!A:A,0),2),0)),IFERROR(INDEX($C$5:$W$54,MATCH(C78,$C$5:$C$54,0),21),0),IF(AND(IFERROR(INDEX(DogInfo!A:B,MATCH(C78&amp;$BE$4,DogInfo!A:A,0),2),0)&gt;=IFERROR(INDEX($C$5:$W$54,MATCH(C78,$C$5:$C$54,0),21),0),IFERROR(INDEX(DogInfo!A:B,MATCH(C78&amp;$BE$4,DogInfo!A:A,0),2),0)&gt;=W78),IFERROR(INDEX(DogInfo!A:B,MATCH(C78&amp;$BE$4,DogInfo!A:A,0),2),0),"Error"))),IFERROR(INDEX($C$5:$BE$54,MATCH(C78,$C$5:$C$54,0),55),IFERROR(INDEX(DogInfo!A:B,MATCH(C78&amp;$BE$4,DogInfo!A:A,0),2),0))),"")</f>
        <v>0</v>
      </c>
    </row>
    <row r="79" spans="1:57" x14ac:dyDescent="0.25">
      <c r="A79" s="99">
        <v>15</v>
      </c>
      <c r="B79" s="100"/>
      <c r="C79" s="240"/>
      <c r="D79" s="102" t="str">
        <f>IF($C79="","",VLOOKUP($C79,'SDDA Dogs'!$A:$F,2,FALSE))</f>
        <v/>
      </c>
      <c r="E79" s="211">
        <f t="shared" si="64"/>
        <v>-1</v>
      </c>
      <c r="F79" s="103" t="str">
        <f>IF($C79="","",IF(ISERROR(VLOOKUP($C79,$C$5:$AP$54,38,FALSE)=TRUE),VLOOKUP($C79,'SDDA Dogs'!$A:$O,10,FALSE),VLOOKUP($C79,$C$5:$AP$54,38,FALSE)))</f>
        <v/>
      </c>
      <c r="G79" s="241"/>
      <c r="H79" s="242"/>
      <c r="I79" s="84" t="str">
        <f t="shared" si="65"/>
        <v/>
      </c>
      <c r="J79" s="105">
        <f t="shared" si="50"/>
        <v>0</v>
      </c>
      <c r="K79" s="84" t="str">
        <f t="shared" si="66"/>
        <v/>
      </c>
      <c r="L79" s="105">
        <f t="shared" si="51"/>
        <v>0</v>
      </c>
      <c r="M79" s="84" t="str">
        <f t="shared" si="67"/>
        <v/>
      </c>
      <c r="N79" s="106" t="str">
        <f>IF($C79="","",IF(ISERROR(VLOOKUP($C79,$C$5:$AP$54,39,FALSE)=TRUE),VLOOKUP($C79,'SDDA Dogs'!$A:$O,11,FALSE),VLOOKUP($C79,$C$5:$AP$54,39,FALSE)))</f>
        <v/>
      </c>
      <c r="O79" s="241"/>
      <c r="P79" s="242"/>
      <c r="Q79" s="84" t="str">
        <f t="shared" si="68"/>
        <v/>
      </c>
      <c r="R79" s="105">
        <f t="shared" si="52"/>
        <v>0</v>
      </c>
      <c r="S79" s="84" t="str">
        <f t="shared" si="69"/>
        <v/>
      </c>
      <c r="T79" s="105">
        <f t="shared" si="53"/>
        <v>0</v>
      </c>
      <c r="U79" s="84" t="str">
        <f t="shared" si="70"/>
        <v/>
      </c>
      <c r="V79" s="106" t="str">
        <f>IF($C79="","",IF(ISERROR(VLOOKUP($C79,$C$5:$AP$54,40,FALSE)=TRUE),VLOOKUP($C79,'SDDA Dogs'!$A:$O,12,FALSE),VLOOKUP($C79,$C$5:$AP$54,40,FALSE)))</f>
        <v/>
      </c>
      <c r="W79" s="241"/>
      <c r="X79" s="242"/>
      <c r="Y79" s="84" t="str">
        <f t="shared" si="71"/>
        <v/>
      </c>
      <c r="Z79" s="105">
        <f t="shared" si="54"/>
        <v>0</v>
      </c>
      <c r="AA79" s="84" t="str">
        <f t="shared" si="72"/>
        <v/>
      </c>
      <c r="AB79" s="105">
        <f t="shared" si="55"/>
        <v>0</v>
      </c>
      <c r="AC79" s="84" t="str">
        <f t="shared" si="73"/>
        <v/>
      </c>
      <c r="AD79" s="92" t="str">
        <f t="shared" si="74"/>
        <v/>
      </c>
      <c r="AE79" s="89" t="str">
        <f t="shared" si="75"/>
        <v/>
      </c>
      <c r="AF79" s="104" t="str">
        <f t="shared" si="76"/>
        <v/>
      </c>
      <c r="AG79" s="107" t="str">
        <f t="shared" si="77"/>
        <v/>
      </c>
      <c r="AH79" s="92" t="str">
        <f t="shared" si="78"/>
        <v/>
      </c>
      <c r="AI79" s="89" t="str">
        <f t="shared" si="79"/>
        <v/>
      </c>
      <c r="AJ79" s="104" t="str">
        <f t="shared" si="80"/>
        <v/>
      </c>
      <c r="AK79" s="84" t="str">
        <f t="shared" si="81"/>
        <v/>
      </c>
      <c r="AL79" s="264" t="str">
        <f t="shared" si="82"/>
        <v/>
      </c>
      <c r="AM79" s="270">
        <f t="shared" si="56"/>
        <v>0</v>
      </c>
      <c r="AN79" s="270" t="str">
        <f t="shared" si="83"/>
        <v/>
      </c>
      <c r="AO79" s="270" t="str">
        <f t="shared" si="84"/>
        <v/>
      </c>
      <c r="AP79" s="270" t="str">
        <f t="shared" si="85"/>
        <v/>
      </c>
      <c r="AQ79" s="270">
        <f t="shared" si="86"/>
        <v>0</v>
      </c>
      <c r="AR79" s="271">
        <f>MIN(IFERROR(VLOOKUP($C79,'SDDA Dogs'!$A:$O,13,FALSE),0),IFERROR(VLOOKUP($C79,'SDDA Dogs'!$A:$O,14,FALSE),0),IFERROR(VLOOKUP($C79,'SDDA Dogs'!$A:$O,15,FALSE),0))</f>
        <v>0</v>
      </c>
      <c r="AS79" s="272"/>
      <c r="AT79" s="272"/>
      <c r="AU79" s="272" t="str">
        <f>IF(ISERROR(VLOOKUP(C79,'SDDA Dogs'!A:O,6,FALSE)),"",VLOOKUP(C79,'SDDA Dogs'!A:O,6,FALSE))</f>
        <v/>
      </c>
      <c r="AV79" s="270">
        <f t="shared" si="87"/>
        <v>0</v>
      </c>
      <c r="AW79" s="270">
        <f t="shared" si="88"/>
        <v>0</v>
      </c>
      <c r="AX79" s="273">
        <f t="shared" si="89"/>
        <v>0</v>
      </c>
      <c r="AY79" s="274"/>
      <c r="AZ79" s="275">
        <f t="shared" si="62"/>
        <v>0</v>
      </c>
      <c r="BA79" s="275">
        <f t="shared" si="63"/>
        <v>0</v>
      </c>
      <c r="BB79" s="276"/>
      <c r="BC79" s="274">
        <f>_xlfn.IFNA(IF(I79="Pass",IF(AND(G79&gt;=IFERROR(INDEX($C$5:$W$54,MATCH(C79,$C$5:$C$54,0),5),0),G79&gt;=IFERROR(INDEX(DogInfo!A:B,MATCH(C79&amp;$BC$4,DogInfo!A:A,0),2),0)),G79,IF(AND(IFERROR(INDEX($C$5:$W$54,MATCH(C79,$C$5:$C$54,0),5),0)&gt;=O79,IFERROR(INDEX($C$5:$W$54,MATCH(C79,$C$5:$C$54,0),5),0)&gt;=IFERROR(INDEX(DogInfo!A:B,MATCH(C79&amp;$BC$4,DogInfo!A:A,0),2),0)),IFERROR(INDEX($C$5:$W$54,MATCH(C79,$C$5:$C$54,0),5),0),IF(AND(IFERROR(INDEX(DogInfo!A:B,MATCH(C79&amp;$BC$4,DogInfo!A:A,0),2),0)&gt;=IFERROR(INDEX($C$5:$W$54,MATCH(C79,$C$5:$C$54,0),5),0),IFERROR(INDEX(DogInfo!A:B,MATCH(C79&amp;$BC$4,DogInfo!A:A,0),2),0)&gt;=G79),IFERROR(INDEX(DogInfo!A:B,MATCH(C79&amp;$BC$4,DogInfo!A:A,0),2),0),"Error"))),IFERROR(INDEX($C$5:$BE$54,MATCH(C79,$C$5:$C$54,0),53),IFERROR(INDEX(DogInfo!A:B,MATCH(C79&amp;$BC$4,DogInfo!A:A,0),2),0))),"")</f>
        <v>0</v>
      </c>
      <c r="BD79" s="274">
        <f>_xlfn.IFNA(IF(Q79="Pass",IF(AND(O79&gt;=IFERROR(INDEX($C$5:$W$54,MATCH(C79,$C$5:$C$54,0),13),0),O79&gt;=IFERROR(INDEX(DogInfo!A:B,MATCH(C79&amp;$BD$4,DogInfo!A:A,0),2),0)),O79,IF(AND(IFERROR(INDEX($C$5:$W$54,MATCH(C79,$C$5:$C$54,0),13),0)&gt;=O79,IFERROR(INDEX($C$5:$W$54,MATCH(C79,$C$5:$C$54,0),13),0)&gt;=IFERROR(INDEX(DogInfo!A:B,MATCH(C79&amp;$BD$4,DogInfo!A:A,0),2),0)),IFERROR(INDEX($C$5:$W$54,MATCH(C79,$C$5:$C$54,0),13),0),IF(AND(IFERROR(INDEX(DogInfo!A:B,MATCH(C79&amp;$BD$4,DogInfo!A:A,0),2),0)&gt;=IFERROR(INDEX($C$5:$W$54,MATCH(C79,$C$5:$C$54,0),13),0),IFERROR(INDEX(DogInfo!A:B,MATCH(C79&amp;$BD$4,DogInfo!A:A,0),2),0)&gt;=O79),IFERROR(INDEX(DogInfo!A:B,MATCH(C79&amp;$BD$4,DogInfo!A:A,0),2),0),"Error"))),IFERROR(INDEX($C$5:$BE$54,MATCH(C79,$C$5:$C$54,0),54),IFERROR(INDEX(DogInfo!A:B,MATCH(C79&amp;$BD$4,DogInfo!A:A,0),2),0))),"")</f>
        <v>0</v>
      </c>
      <c r="BE79" s="274">
        <f>_xlfn.IFNA(IF(Y79="Pass",IF(AND(W79&gt;=IFERROR(INDEX($C$5:$W$54,MATCH(C79,$C$5:$C$54,0),21),0),O79&gt;=IFERROR(INDEX(DogInfo!A:B,MATCH(C79&amp;$BE$4,DogInfo!A:A,0),2),0)),W79,IF(AND(IFERROR(INDEX($C$5:$W$54,MATCH(C79,$C$5:$C$54,0),21),0)&gt;=W79,IFERROR(INDEX($C$5:$W$54,MATCH(C79,$C$5:$C$54,0),21),0)&gt;=IFERROR(INDEX(DogInfo!A:B,MATCH(C79&amp;$BE$4,DogInfo!A:A,0),2),0)),IFERROR(INDEX($C$5:$W$54,MATCH(C79,$C$5:$C$54,0),21),0),IF(AND(IFERROR(INDEX(DogInfo!A:B,MATCH(C79&amp;$BE$4,DogInfo!A:A,0),2),0)&gt;=IFERROR(INDEX($C$5:$W$54,MATCH(C79,$C$5:$C$54,0),21),0),IFERROR(INDEX(DogInfo!A:B,MATCH(C79&amp;$BE$4,DogInfo!A:A,0),2),0)&gt;=W79),IFERROR(INDEX(DogInfo!A:B,MATCH(C79&amp;$BE$4,DogInfo!A:A,0),2),0),"Error"))),IFERROR(INDEX($C$5:$BE$54,MATCH(C79,$C$5:$C$54,0),55),IFERROR(INDEX(DogInfo!A:B,MATCH(C79&amp;$BE$4,DogInfo!A:A,0),2),0))),"")</f>
        <v>0</v>
      </c>
    </row>
    <row r="80" spans="1:57" x14ac:dyDescent="0.25">
      <c r="A80" s="99">
        <v>16</v>
      </c>
      <c r="B80" s="100"/>
      <c r="C80" s="240"/>
      <c r="D80" s="102" t="str">
        <f>IF($C80="","",VLOOKUP($C80,'SDDA Dogs'!$A:$F,2,FALSE))</f>
        <v/>
      </c>
      <c r="E80" s="211">
        <f t="shared" si="64"/>
        <v>-1</v>
      </c>
      <c r="F80" s="103" t="str">
        <f>IF($C80="","",IF(ISERROR(VLOOKUP($C80,$C$5:$AP$54,38,FALSE)=TRUE),VLOOKUP($C80,'SDDA Dogs'!$A:$O,10,FALSE),VLOOKUP($C80,$C$5:$AP$54,38,FALSE)))</f>
        <v/>
      </c>
      <c r="G80" s="241"/>
      <c r="H80" s="242"/>
      <c r="I80" s="84" t="str">
        <f t="shared" si="65"/>
        <v/>
      </c>
      <c r="J80" s="105">
        <f t="shared" si="50"/>
        <v>0</v>
      </c>
      <c r="K80" s="84" t="str">
        <f t="shared" si="66"/>
        <v/>
      </c>
      <c r="L80" s="105">
        <f t="shared" si="51"/>
        <v>0</v>
      </c>
      <c r="M80" s="84" t="str">
        <f t="shared" si="67"/>
        <v/>
      </c>
      <c r="N80" s="106" t="str">
        <f>IF($C80="","",IF(ISERROR(VLOOKUP($C80,$C$5:$AP$54,39,FALSE)=TRUE),VLOOKUP($C80,'SDDA Dogs'!$A:$O,11,FALSE),VLOOKUP($C80,$C$5:$AP$54,39,FALSE)))</f>
        <v/>
      </c>
      <c r="O80" s="241"/>
      <c r="P80" s="242"/>
      <c r="Q80" s="84" t="str">
        <f t="shared" si="68"/>
        <v/>
      </c>
      <c r="R80" s="105">
        <f t="shared" si="52"/>
        <v>0</v>
      </c>
      <c r="S80" s="84" t="str">
        <f t="shared" si="69"/>
        <v/>
      </c>
      <c r="T80" s="105">
        <f t="shared" si="53"/>
        <v>0</v>
      </c>
      <c r="U80" s="84" t="str">
        <f t="shared" si="70"/>
        <v/>
      </c>
      <c r="V80" s="106" t="str">
        <f>IF($C80="","",IF(ISERROR(VLOOKUP($C80,$C$5:$AP$54,40,FALSE)=TRUE),VLOOKUP($C80,'SDDA Dogs'!$A:$O,12,FALSE),VLOOKUP($C80,$C$5:$AP$54,40,FALSE)))</f>
        <v/>
      </c>
      <c r="W80" s="241"/>
      <c r="X80" s="242"/>
      <c r="Y80" s="84" t="str">
        <f t="shared" si="71"/>
        <v/>
      </c>
      <c r="Z80" s="105">
        <f t="shared" si="54"/>
        <v>0</v>
      </c>
      <c r="AA80" s="84" t="str">
        <f t="shared" si="72"/>
        <v/>
      </c>
      <c r="AB80" s="105">
        <f t="shared" si="55"/>
        <v>0</v>
      </c>
      <c r="AC80" s="84" t="str">
        <f t="shared" si="73"/>
        <v/>
      </c>
      <c r="AD80" s="92" t="str">
        <f t="shared" si="74"/>
        <v/>
      </c>
      <c r="AE80" s="89" t="str">
        <f t="shared" si="75"/>
        <v/>
      </c>
      <c r="AF80" s="104" t="str">
        <f t="shared" si="76"/>
        <v/>
      </c>
      <c r="AG80" s="107" t="str">
        <f t="shared" si="77"/>
        <v/>
      </c>
      <c r="AH80" s="92" t="str">
        <f t="shared" si="78"/>
        <v/>
      </c>
      <c r="AI80" s="89" t="str">
        <f t="shared" si="79"/>
        <v/>
      </c>
      <c r="AJ80" s="104" t="str">
        <f t="shared" si="80"/>
        <v/>
      </c>
      <c r="AK80" s="84" t="str">
        <f t="shared" si="81"/>
        <v/>
      </c>
      <c r="AL80" s="264" t="str">
        <f t="shared" si="82"/>
        <v/>
      </c>
      <c r="AM80" s="270">
        <f t="shared" si="56"/>
        <v>0</v>
      </c>
      <c r="AN80" s="270" t="str">
        <f t="shared" si="83"/>
        <v/>
      </c>
      <c r="AO80" s="270" t="str">
        <f t="shared" si="84"/>
        <v/>
      </c>
      <c r="AP80" s="270" t="str">
        <f t="shared" si="85"/>
        <v/>
      </c>
      <c r="AQ80" s="270">
        <f t="shared" si="86"/>
        <v>0</v>
      </c>
      <c r="AR80" s="271">
        <f>MIN(IFERROR(VLOOKUP($C80,'SDDA Dogs'!$A:$O,13,FALSE),0),IFERROR(VLOOKUP($C80,'SDDA Dogs'!$A:$O,14,FALSE),0),IFERROR(VLOOKUP($C80,'SDDA Dogs'!$A:$O,15,FALSE),0))</f>
        <v>0</v>
      </c>
      <c r="AS80" s="272"/>
      <c r="AT80" s="272"/>
      <c r="AU80" s="272" t="str">
        <f>IF(ISERROR(VLOOKUP(C80,'SDDA Dogs'!A:O,6,FALSE)),"",VLOOKUP(C80,'SDDA Dogs'!A:O,6,FALSE))</f>
        <v/>
      </c>
      <c r="AV80" s="270">
        <f t="shared" si="87"/>
        <v>0</v>
      </c>
      <c r="AW80" s="270">
        <f t="shared" si="88"/>
        <v>0</v>
      </c>
      <c r="AX80" s="273">
        <f t="shared" si="89"/>
        <v>0</v>
      </c>
      <c r="AY80" s="274"/>
      <c r="AZ80" s="275">
        <f t="shared" si="62"/>
        <v>0</v>
      </c>
      <c r="BA80" s="275">
        <f t="shared" si="63"/>
        <v>0</v>
      </c>
      <c r="BB80" s="276"/>
      <c r="BC80" s="274">
        <f>_xlfn.IFNA(IF(I80="Pass",IF(AND(G80&gt;=IFERROR(INDEX($C$5:$W$54,MATCH(C80,$C$5:$C$54,0),5),0),G80&gt;=IFERROR(INDEX(DogInfo!A:B,MATCH(C80&amp;$BC$4,DogInfo!A:A,0),2),0)),G80,IF(AND(IFERROR(INDEX($C$5:$W$54,MATCH(C80,$C$5:$C$54,0),5),0)&gt;=O80,IFERROR(INDEX($C$5:$W$54,MATCH(C80,$C$5:$C$54,0),5),0)&gt;=IFERROR(INDEX(DogInfo!A:B,MATCH(C80&amp;$BC$4,DogInfo!A:A,0),2),0)),IFERROR(INDEX($C$5:$W$54,MATCH(C80,$C$5:$C$54,0),5),0),IF(AND(IFERROR(INDEX(DogInfo!A:B,MATCH(C80&amp;$BC$4,DogInfo!A:A,0),2),0)&gt;=IFERROR(INDEX($C$5:$W$54,MATCH(C80,$C$5:$C$54,0),5),0),IFERROR(INDEX(DogInfo!A:B,MATCH(C80&amp;$BC$4,DogInfo!A:A,0),2),0)&gt;=G80),IFERROR(INDEX(DogInfo!A:B,MATCH(C80&amp;$BC$4,DogInfo!A:A,0),2),0),"Error"))),IFERROR(INDEX($C$5:$BE$54,MATCH(C80,$C$5:$C$54,0),53),IFERROR(INDEX(DogInfo!A:B,MATCH(C80&amp;$BC$4,DogInfo!A:A,0),2),0))),"")</f>
        <v>0</v>
      </c>
      <c r="BD80" s="274">
        <f>_xlfn.IFNA(IF(Q80="Pass",IF(AND(O80&gt;=IFERROR(INDEX($C$5:$W$54,MATCH(C80,$C$5:$C$54,0),13),0),O80&gt;=IFERROR(INDEX(DogInfo!A:B,MATCH(C80&amp;$BD$4,DogInfo!A:A,0),2),0)),O80,IF(AND(IFERROR(INDEX($C$5:$W$54,MATCH(C80,$C$5:$C$54,0),13),0)&gt;=O80,IFERROR(INDEX($C$5:$W$54,MATCH(C80,$C$5:$C$54,0),13),0)&gt;=IFERROR(INDEX(DogInfo!A:B,MATCH(C80&amp;$BD$4,DogInfo!A:A,0),2),0)),IFERROR(INDEX($C$5:$W$54,MATCH(C80,$C$5:$C$54,0),13),0),IF(AND(IFERROR(INDEX(DogInfo!A:B,MATCH(C80&amp;$BD$4,DogInfo!A:A,0),2),0)&gt;=IFERROR(INDEX($C$5:$W$54,MATCH(C80,$C$5:$C$54,0),13),0),IFERROR(INDEX(DogInfo!A:B,MATCH(C80&amp;$BD$4,DogInfo!A:A,0),2),0)&gt;=O80),IFERROR(INDEX(DogInfo!A:B,MATCH(C80&amp;$BD$4,DogInfo!A:A,0),2),0),"Error"))),IFERROR(INDEX($C$5:$BE$54,MATCH(C80,$C$5:$C$54,0),54),IFERROR(INDEX(DogInfo!A:B,MATCH(C80&amp;$BD$4,DogInfo!A:A,0),2),0))),"")</f>
        <v>0</v>
      </c>
      <c r="BE80" s="274">
        <f>_xlfn.IFNA(IF(Y80="Pass",IF(AND(W80&gt;=IFERROR(INDEX($C$5:$W$54,MATCH(C80,$C$5:$C$54,0),21),0),O80&gt;=IFERROR(INDEX(DogInfo!A:B,MATCH(C80&amp;$BE$4,DogInfo!A:A,0),2),0)),W80,IF(AND(IFERROR(INDEX($C$5:$W$54,MATCH(C80,$C$5:$C$54,0),21),0)&gt;=W80,IFERROR(INDEX($C$5:$W$54,MATCH(C80,$C$5:$C$54,0),21),0)&gt;=IFERROR(INDEX(DogInfo!A:B,MATCH(C80&amp;$BE$4,DogInfo!A:A,0),2),0)),IFERROR(INDEX($C$5:$W$54,MATCH(C80,$C$5:$C$54,0),21),0),IF(AND(IFERROR(INDEX(DogInfo!A:B,MATCH(C80&amp;$BE$4,DogInfo!A:A,0),2),0)&gt;=IFERROR(INDEX($C$5:$W$54,MATCH(C80,$C$5:$C$54,0),21),0),IFERROR(INDEX(DogInfo!A:B,MATCH(C80&amp;$BE$4,DogInfo!A:A,0),2),0)&gt;=W80),IFERROR(INDEX(DogInfo!A:B,MATCH(C80&amp;$BE$4,DogInfo!A:A,0),2),0),"Error"))),IFERROR(INDEX($C$5:$BE$54,MATCH(C80,$C$5:$C$54,0),55),IFERROR(INDEX(DogInfo!A:B,MATCH(C80&amp;$BE$4,DogInfo!A:A,0),2),0))),"")</f>
        <v>0</v>
      </c>
    </row>
    <row r="81" spans="1:57" x14ac:dyDescent="0.25">
      <c r="A81" s="99">
        <v>17</v>
      </c>
      <c r="B81" s="100"/>
      <c r="C81" s="240"/>
      <c r="D81" s="102" t="str">
        <f>IF($C81="","",VLOOKUP($C81,'SDDA Dogs'!$A:$F,2,FALSE))</f>
        <v/>
      </c>
      <c r="E81" s="211">
        <f t="shared" si="64"/>
        <v>-1</v>
      </c>
      <c r="F81" s="103" t="str">
        <f>IF($C81="","",IF(ISERROR(VLOOKUP($C81,$C$5:$AP$54,38,FALSE)=TRUE),VLOOKUP($C81,'SDDA Dogs'!$A:$O,10,FALSE),VLOOKUP($C81,$C$5:$AP$54,38,FALSE)))</f>
        <v/>
      </c>
      <c r="G81" s="241"/>
      <c r="H81" s="242"/>
      <c r="I81" s="84" t="str">
        <f t="shared" si="65"/>
        <v/>
      </c>
      <c r="J81" s="105">
        <f t="shared" si="50"/>
        <v>0</v>
      </c>
      <c r="K81" s="84" t="str">
        <f t="shared" si="66"/>
        <v/>
      </c>
      <c r="L81" s="105">
        <f t="shared" si="51"/>
        <v>0</v>
      </c>
      <c r="M81" s="84" t="str">
        <f t="shared" si="67"/>
        <v/>
      </c>
      <c r="N81" s="106" t="str">
        <f>IF($C81="","",IF(ISERROR(VLOOKUP($C81,$C$5:$AP$54,39,FALSE)=TRUE),VLOOKUP($C81,'SDDA Dogs'!$A:$O,11,FALSE),VLOOKUP($C81,$C$5:$AP$54,39,FALSE)))</f>
        <v/>
      </c>
      <c r="O81" s="241"/>
      <c r="P81" s="242"/>
      <c r="Q81" s="84" t="str">
        <f t="shared" si="68"/>
        <v/>
      </c>
      <c r="R81" s="105">
        <f t="shared" si="52"/>
        <v>0</v>
      </c>
      <c r="S81" s="84" t="str">
        <f t="shared" si="69"/>
        <v/>
      </c>
      <c r="T81" s="105">
        <f t="shared" si="53"/>
        <v>0</v>
      </c>
      <c r="U81" s="84" t="str">
        <f t="shared" si="70"/>
        <v/>
      </c>
      <c r="V81" s="106" t="str">
        <f>IF($C81="","",IF(ISERROR(VLOOKUP($C81,$C$5:$AP$54,40,FALSE)=TRUE),VLOOKUP($C81,'SDDA Dogs'!$A:$O,12,FALSE),VLOOKUP($C81,$C$5:$AP$54,40,FALSE)))</f>
        <v/>
      </c>
      <c r="W81" s="241"/>
      <c r="X81" s="242"/>
      <c r="Y81" s="84" t="str">
        <f t="shared" si="71"/>
        <v/>
      </c>
      <c r="Z81" s="105">
        <f t="shared" si="54"/>
        <v>0</v>
      </c>
      <c r="AA81" s="84" t="str">
        <f t="shared" si="72"/>
        <v/>
      </c>
      <c r="AB81" s="105">
        <f t="shared" si="55"/>
        <v>0</v>
      </c>
      <c r="AC81" s="84" t="str">
        <f t="shared" si="73"/>
        <v/>
      </c>
      <c r="AD81" s="92" t="str">
        <f t="shared" si="74"/>
        <v/>
      </c>
      <c r="AE81" s="89" t="str">
        <f t="shared" si="75"/>
        <v/>
      </c>
      <c r="AF81" s="104" t="str">
        <f t="shared" si="76"/>
        <v/>
      </c>
      <c r="AG81" s="107" t="str">
        <f t="shared" si="77"/>
        <v/>
      </c>
      <c r="AH81" s="92" t="str">
        <f t="shared" si="78"/>
        <v/>
      </c>
      <c r="AI81" s="89" t="str">
        <f t="shared" si="79"/>
        <v/>
      </c>
      <c r="AJ81" s="104" t="str">
        <f t="shared" si="80"/>
        <v/>
      </c>
      <c r="AK81" s="84" t="str">
        <f t="shared" si="81"/>
        <v/>
      </c>
      <c r="AL81" s="264" t="str">
        <f t="shared" si="82"/>
        <v/>
      </c>
      <c r="AM81" s="270">
        <f t="shared" si="56"/>
        <v>0</v>
      </c>
      <c r="AN81" s="270" t="str">
        <f t="shared" si="83"/>
        <v/>
      </c>
      <c r="AO81" s="270" t="str">
        <f t="shared" si="84"/>
        <v/>
      </c>
      <c r="AP81" s="270" t="str">
        <f t="shared" si="85"/>
        <v/>
      </c>
      <c r="AQ81" s="270">
        <f t="shared" si="86"/>
        <v>0</v>
      </c>
      <c r="AR81" s="271">
        <f>MIN(IFERROR(VLOOKUP($C81,'SDDA Dogs'!$A:$O,13,FALSE),0),IFERROR(VLOOKUP($C81,'SDDA Dogs'!$A:$O,14,FALSE),0),IFERROR(VLOOKUP($C81,'SDDA Dogs'!$A:$O,15,FALSE),0))</f>
        <v>0</v>
      </c>
      <c r="AS81" s="272"/>
      <c r="AT81" s="272"/>
      <c r="AU81" s="272" t="str">
        <f>IF(ISERROR(VLOOKUP(C81,'SDDA Dogs'!A:O,6,FALSE)),"",VLOOKUP(C81,'SDDA Dogs'!A:O,6,FALSE))</f>
        <v/>
      </c>
      <c r="AV81" s="270">
        <f t="shared" si="87"/>
        <v>0</v>
      </c>
      <c r="AW81" s="270">
        <f t="shared" si="88"/>
        <v>0</v>
      </c>
      <c r="AX81" s="273">
        <f t="shared" si="89"/>
        <v>0</v>
      </c>
      <c r="AY81" s="274"/>
      <c r="AZ81" s="275">
        <f t="shared" si="62"/>
        <v>0</v>
      </c>
      <c r="BA81" s="275">
        <f t="shared" si="63"/>
        <v>0</v>
      </c>
      <c r="BB81" s="276"/>
      <c r="BC81" s="274">
        <f>_xlfn.IFNA(IF(I81="Pass",IF(AND(G81&gt;=IFERROR(INDEX($C$5:$W$54,MATCH(C81,$C$5:$C$54,0),5),0),G81&gt;=IFERROR(INDEX(DogInfo!A:B,MATCH(C81&amp;$BC$4,DogInfo!A:A,0),2),0)),G81,IF(AND(IFERROR(INDEX($C$5:$W$54,MATCH(C81,$C$5:$C$54,0),5),0)&gt;=O81,IFERROR(INDEX($C$5:$W$54,MATCH(C81,$C$5:$C$54,0),5),0)&gt;=IFERROR(INDEX(DogInfo!A:B,MATCH(C81&amp;$BC$4,DogInfo!A:A,0),2),0)),IFERROR(INDEX($C$5:$W$54,MATCH(C81,$C$5:$C$54,0),5),0),IF(AND(IFERROR(INDEX(DogInfo!A:B,MATCH(C81&amp;$BC$4,DogInfo!A:A,0),2),0)&gt;=IFERROR(INDEX($C$5:$W$54,MATCH(C81,$C$5:$C$54,0),5),0),IFERROR(INDEX(DogInfo!A:B,MATCH(C81&amp;$BC$4,DogInfo!A:A,0),2),0)&gt;=G81),IFERROR(INDEX(DogInfo!A:B,MATCH(C81&amp;$BC$4,DogInfo!A:A,0),2),0),"Error"))),IFERROR(INDEX($C$5:$BE$54,MATCH(C81,$C$5:$C$54,0),53),IFERROR(INDEX(DogInfo!A:B,MATCH(C81&amp;$BC$4,DogInfo!A:A,0),2),0))),"")</f>
        <v>0</v>
      </c>
      <c r="BD81" s="274">
        <f>_xlfn.IFNA(IF(Q81="Pass",IF(AND(O81&gt;=IFERROR(INDEX($C$5:$W$54,MATCH(C81,$C$5:$C$54,0),13),0),O81&gt;=IFERROR(INDEX(DogInfo!A:B,MATCH(C81&amp;$BD$4,DogInfo!A:A,0),2),0)),O81,IF(AND(IFERROR(INDEX($C$5:$W$54,MATCH(C81,$C$5:$C$54,0),13),0)&gt;=O81,IFERROR(INDEX($C$5:$W$54,MATCH(C81,$C$5:$C$54,0),13),0)&gt;=IFERROR(INDEX(DogInfo!A:B,MATCH(C81&amp;$BD$4,DogInfo!A:A,0),2),0)),IFERROR(INDEX($C$5:$W$54,MATCH(C81,$C$5:$C$54,0),13),0),IF(AND(IFERROR(INDEX(DogInfo!A:B,MATCH(C81&amp;$BD$4,DogInfo!A:A,0),2),0)&gt;=IFERROR(INDEX($C$5:$W$54,MATCH(C81,$C$5:$C$54,0),13),0),IFERROR(INDEX(DogInfo!A:B,MATCH(C81&amp;$BD$4,DogInfo!A:A,0),2),0)&gt;=O81),IFERROR(INDEX(DogInfo!A:B,MATCH(C81&amp;$BD$4,DogInfo!A:A,0),2),0),"Error"))),IFERROR(INDEX($C$5:$BE$54,MATCH(C81,$C$5:$C$54,0),54),IFERROR(INDEX(DogInfo!A:B,MATCH(C81&amp;$BD$4,DogInfo!A:A,0),2),0))),"")</f>
        <v>0</v>
      </c>
      <c r="BE81" s="274">
        <f>_xlfn.IFNA(IF(Y81="Pass",IF(AND(W81&gt;=IFERROR(INDEX($C$5:$W$54,MATCH(C81,$C$5:$C$54,0),21),0),O81&gt;=IFERROR(INDEX(DogInfo!A:B,MATCH(C81&amp;$BE$4,DogInfo!A:A,0),2),0)),W81,IF(AND(IFERROR(INDEX($C$5:$W$54,MATCH(C81,$C$5:$C$54,0),21),0)&gt;=W81,IFERROR(INDEX($C$5:$W$54,MATCH(C81,$C$5:$C$54,0),21),0)&gt;=IFERROR(INDEX(DogInfo!A:B,MATCH(C81&amp;$BE$4,DogInfo!A:A,0),2),0)),IFERROR(INDEX($C$5:$W$54,MATCH(C81,$C$5:$C$54,0),21),0),IF(AND(IFERROR(INDEX(DogInfo!A:B,MATCH(C81&amp;$BE$4,DogInfo!A:A,0),2),0)&gt;=IFERROR(INDEX($C$5:$W$54,MATCH(C81,$C$5:$C$54,0),21),0),IFERROR(INDEX(DogInfo!A:B,MATCH(C81&amp;$BE$4,DogInfo!A:A,0),2),0)&gt;=W81),IFERROR(INDEX(DogInfo!A:B,MATCH(C81&amp;$BE$4,DogInfo!A:A,0),2),0),"Error"))),IFERROR(INDEX($C$5:$BE$54,MATCH(C81,$C$5:$C$54,0),55),IFERROR(INDEX(DogInfo!A:B,MATCH(C81&amp;$BE$4,DogInfo!A:A,0),2),0))),"")</f>
        <v>0</v>
      </c>
    </row>
    <row r="82" spans="1:57" x14ac:dyDescent="0.25">
      <c r="A82" s="99">
        <v>18</v>
      </c>
      <c r="B82" s="100"/>
      <c r="C82" s="240"/>
      <c r="D82" s="102" t="str">
        <f>IF($C82="","",VLOOKUP($C82,'SDDA Dogs'!$A:$F,2,FALSE))</f>
        <v/>
      </c>
      <c r="E82" s="211">
        <f t="shared" si="64"/>
        <v>-1</v>
      </c>
      <c r="F82" s="103" t="str">
        <f>IF($C82="","",IF(ISERROR(VLOOKUP($C82,$C$5:$AP$54,38,FALSE)=TRUE),VLOOKUP($C82,'SDDA Dogs'!$A:$O,10,FALSE),VLOOKUP($C82,$C$5:$AP$54,38,FALSE)))</f>
        <v/>
      </c>
      <c r="G82" s="241"/>
      <c r="H82" s="242"/>
      <c r="I82" s="84" t="str">
        <f t="shared" si="65"/>
        <v/>
      </c>
      <c r="J82" s="105">
        <f t="shared" si="50"/>
        <v>0</v>
      </c>
      <c r="K82" s="84" t="str">
        <f t="shared" si="66"/>
        <v/>
      </c>
      <c r="L82" s="105">
        <f t="shared" si="51"/>
        <v>0</v>
      </c>
      <c r="M82" s="84" t="str">
        <f t="shared" si="67"/>
        <v/>
      </c>
      <c r="N82" s="106" t="str">
        <f>IF($C82="","",IF(ISERROR(VLOOKUP($C82,$C$5:$AP$54,39,FALSE)=TRUE),VLOOKUP($C82,'SDDA Dogs'!$A:$O,11,FALSE),VLOOKUP($C82,$C$5:$AP$54,39,FALSE)))</f>
        <v/>
      </c>
      <c r="O82" s="241"/>
      <c r="P82" s="242"/>
      <c r="Q82" s="84" t="str">
        <f t="shared" si="68"/>
        <v/>
      </c>
      <c r="R82" s="105">
        <f t="shared" si="52"/>
        <v>0</v>
      </c>
      <c r="S82" s="84" t="str">
        <f t="shared" si="69"/>
        <v/>
      </c>
      <c r="T82" s="105">
        <f t="shared" si="53"/>
        <v>0</v>
      </c>
      <c r="U82" s="84" t="str">
        <f t="shared" si="70"/>
        <v/>
      </c>
      <c r="V82" s="106" t="str">
        <f>IF($C82="","",IF(ISERROR(VLOOKUP($C82,$C$5:$AP$54,40,FALSE)=TRUE),VLOOKUP($C82,'SDDA Dogs'!$A:$O,12,FALSE),VLOOKUP($C82,$C$5:$AP$54,40,FALSE)))</f>
        <v/>
      </c>
      <c r="W82" s="241"/>
      <c r="X82" s="242"/>
      <c r="Y82" s="84" t="str">
        <f t="shared" si="71"/>
        <v/>
      </c>
      <c r="Z82" s="105">
        <f t="shared" si="54"/>
        <v>0</v>
      </c>
      <c r="AA82" s="84" t="str">
        <f t="shared" si="72"/>
        <v/>
      </c>
      <c r="AB82" s="105">
        <f t="shared" si="55"/>
        <v>0</v>
      </c>
      <c r="AC82" s="84" t="str">
        <f t="shared" si="73"/>
        <v/>
      </c>
      <c r="AD82" s="92" t="str">
        <f t="shared" si="74"/>
        <v/>
      </c>
      <c r="AE82" s="89" t="str">
        <f t="shared" si="75"/>
        <v/>
      </c>
      <c r="AF82" s="104" t="str">
        <f t="shared" si="76"/>
        <v/>
      </c>
      <c r="AG82" s="107" t="str">
        <f t="shared" si="77"/>
        <v/>
      </c>
      <c r="AH82" s="92" t="str">
        <f t="shared" si="78"/>
        <v/>
      </c>
      <c r="AI82" s="89" t="str">
        <f t="shared" si="79"/>
        <v/>
      </c>
      <c r="AJ82" s="104" t="str">
        <f t="shared" si="80"/>
        <v/>
      </c>
      <c r="AK82" s="84" t="str">
        <f t="shared" si="81"/>
        <v/>
      </c>
      <c r="AL82" s="264" t="str">
        <f t="shared" si="82"/>
        <v/>
      </c>
      <c r="AM82" s="270">
        <f t="shared" si="56"/>
        <v>0</v>
      </c>
      <c r="AN82" s="270" t="str">
        <f t="shared" si="83"/>
        <v/>
      </c>
      <c r="AO82" s="270" t="str">
        <f t="shared" si="84"/>
        <v/>
      </c>
      <c r="AP82" s="270" t="str">
        <f t="shared" si="85"/>
        <v/>
      </c>
      <c r="AQ82" s="270">
        <f t="shared" si="86"/>
        <v>0</v>
      </c>
      <c r="AR82" s="271">
        <f>MIN(IFERROR(VLOOKUP($C82,'SDDA Dogs'!$A:$O,13,FALSE),0),IFERROR(VLOOKUP($C82,'SDDA Dogs'!$A:$O,14,FALSE),0),IFERROR(VLOOKUP($C82,'SDDA Dogs'!$A:$O,15,FALSE),0))</f>
        <v>0</v>
      </c>
      <c r="AS82" s="272"/>
      <c r="AT82" s="272"/>
      <c r="AU82" s="272" t="str">
        <f>IF(ISERROR(VLOOKUP(C82,'SDDA Dogs'!A:O,6,FALSE)),"",VLOOKUP(C82,'SDDA Dogs'!A:O,6,FALSE))</f>
        <v/>
      </c>
      <c r="AV82" s="270">
        <f t="shared" si="87"/>
        <v>0</v>
      </c>
      <c r="AW82" s="270">
        <f t="shared" si="88"/>
        <v>0</v>
      </c>
      <c r="AX82" s="273">
        <f t="shared" si="89"/>
        <v>0</v>
      </c>
      <c r="AY82" s="274"/>
      <c r="AZ82" s="275">
        <f t="shared" si="62"/>
        <v>0</v>
      </c>
      <c r="BA82" s="275">
        <f t="shared" si="63"/>
        <v>0</v>
      </c>
      <c r="BB82" s="276"/>
      <c r="BC82" s="274">
        <f>_xlfn.IFNA(IF(I82="Pass",IF(AND(G82&gt;=IFERROR(INDEX($C$5:$W$54,MATCH(C82,$C$5:$C$54,0),5),0),G82&gt;=IFERROR(INDEX(DogInfo!A:B,MATCH(C82&amp;$BC$4,DogInfo!A:A,0),2),0)),G82,IF(AND(IFERROR(INDEX($C$5:$W$54,MATCH(C82,$C$5:$C$54,0),5),0)&gt;=O82,IFERROR(INDEX($C$5:$W$54,MATCH(C82,$C$5:$C$54,0),5),0)&gt;=IFERROR(INDEX(DogInfo!A:B,MATCH(C82&amp;$BC$4,DogInfo!A:A,0),2),0)),IFERROR(INDEX($C$5:$W$54,MATCH(C82,$C$5:$C$54,0),5),0),IF(AND(IFERROR(INDEX(DogInfo!A:B,MATCH(C82&amp;$BC$4,DogInfo!A:A,0),2),0)&gt;=IFERROR(INDEX($C$5:$W$54,MATCH(C82,$C$5:$C$54,0),5),0),IFERROR(INDEX(DogInfo!A:B,MATCH(C82&amp;$BC$4,DogInfo!A:A,0),2),0)&gt;=G82),IFERROR(INDEX(DogInfo!A:B,MATCH(C82&amp;$BC$4,DogInfo!A:A,0),2),0),"Error"))),IFERROR(INDEX($C$5:$BE$54,MATCH(C82,$C$5:$C$54,0),53),IFERROR(INDEX(DogInfo!A:B,MATCH(C82&amp;$BC$4,DogInfo!A:A,0),2),0))),"")</f>
        <v>0</v>
      </c>
      <c r="BD82" s="274">
        <f>_xlfn.IFNA(IF(Q82="Pass",IF(AND(O82&gt;=IFERROR(INDEX($C$5:$W$54,MATCH(C82,$C$5:$C$54,0),13),0),O82&gt;=IFERROR(INDEX(DogInfo!A:B,MATCH(C82&amp;$BD$4,DogInfo!A:A,0),2),0)),O82,IF(AND(IFERROR(INDEX($C$5:$W$54,MATCH(C82,$C$5:$C$54,0),13),0)&gt;=O82,IFERROR(INDEX($C$5:$W$54,MATCH(C82,$C$5:$C$54,0),13),0)&gt;=IFERROR(INDEX(DogInfo!A:B,MATCH(C82&amp;$BD$4,DogInfo!A:A,0),2),0)),IFERROR(INDEX($C$5:$W$54,MATCH(C82,$C$5:$C$54,0),13),0),IF(AND(IFERROR(INDEX(DogInfo!A:B,MATCH(C82&amp;$BD$4,DogInfo!A:A,0),2),0)&gt;=IFERROR(INDEX($C$5:$W$54,MATCH(C82,$C$5:$C$54,0),13),0),IFERROR(INDEX(DogInfo!A:B,MATCH(C82&amp;$BD$4,DogInfo!A:A,0),2),0)&gt;=O82),IFERROR(INDEX(DogInfo!A:B,MATCH(C82&amp;$BD$4,DogInfo!A:A,0),2),0),"Error"))),IFERROR(INDEX($C$5:$BE$54,MATCH(C82,$C$5:$C$54,0),54),IFERROR(INDEX(DogInfo!A:B,MATCH(C82&amp;$BD$4,DogInfo!A:A,0),2),0))),"")</f>
        <v>0</v>
      </c>
      <c r="BE82" s="274">
        <f>_xlfn.IFNA(IF(Y82="Pass",IF(AND(W82&gt;=IFERROR(INDEX($C$5:$W$54,MATCH(C82,$C$5:$C$54,0),21),0),O82&gt;=IFERROR(INDEX(DogInfo!A:B,MATCH(C82&amp;$BE$4,DogInfo!A:A,0),2),0)),W82,IF(AND(IFERROR(INDEX($C$5:$W$54,MATCH(C82,$C$5:$C$54,0),21),0)&gt;=W82,IFERROR(INDEX($C$5:$W$54,MATCH(C82,$C$5:$C$54,0),21),0)&gt;=IFERROR(INDEX(DogInfo!A:B,MATCH(C82&amp;$BE$4,DogInfo!A:A,0),2),0)),IFERROR(INDEX($C$5:$W$54,MATCH(C82,$C$5:$C$54,0),21),0),IF(AND(IFERROR(INDEX(DogInfo!A:B,MATCH(C82&amp;$BE$4,DogInfo!A:A,0),2),0)&gt;=IFERROR(INDEX($C$5:$W$54,MATCH(C82,$C$5:$C$54,0),21),0),IFERROR(INDEX(DogInfo!A:B,MATCH(C82&amp;$BE$4,DogInfo!A:A,0),2),0)&gt;=W82),IFERROR(INDEX(DogInfo!A:B,MATCH(C82&amp;$BE$4,DogInfo!A:A,0),2),0),"Error"))),IFERROR(INDEX($C$5:$BE$54,MATCH(C82,$C$5:$C$54,0),55),IFERROR(INDEX(DogInfo!A:B,MATCH(C82&amp;$BE$4,DogInfo!A:A,0),2),0))),"")</f>
        <v>0</v>
      </c>
    </row>
    <row r="83" spans="1:57" x14ac:dyDescent="0.25">
      <c r="A83" s="99">
        <v>19</v>
      </c>
      <c r="B83" s="100"/>
      <c r="C83" s="240"/>
      <c r="D83" s="102" t="str">
        <f>IF($C83="","",VLOOKUP($C83,'SDDA Dogs'!$A:$F,2,FALSE))</f>
        <v/>
      </c>
      <c r="E83" s="211">
        <f t="shared" si="64"/>
        <v>-1</v>
      </c>
      <c r="F83" s="103" t="str">
        <f>IF($C83="","",IF(ISERROR(VLOOKUP($C83,$C$5:$AP$54,38,FALSE)=TRUE),VLOOKUP($C83,'SDDA Dogs'!$A:$O,10,FALSE),VLOOKUP($C83,$C$5:$AP$54,38,FALSE)))</f>
        <v/>
      </c>
      <c r="G83" s="241"/>
      <c r="H83" s="242"/>
      <c r="I83" s="84" t="str">
        <f t="shared" si="65"/>
        <v/>
      </c>
      <c r="J83" s="105">
        <f t="shared" si="50"/>
        <v>0</v>
      </c>
      <c r="K83" s="84" t="str">
        <f t="shared" si="66"/>
        <v/>
      </c>
      <c r="L83" s="105">
        <f t="shared" si="51"/>
        <v>0</v>
      </c>
      <c r="M83" s="84" t="str">
        <f t="shared" si="67"/>
        <v/>
      </c>
      <c r="N83" s="106" t="str">
        <f>IF($C83="","",IF(ISERROR(VLOOKUP($C83,$C$5:$AP$54,39,FALSE)=TRUE),VLOOKUP($C83,'SDDA Dogs'!$A:$O,11,FALSE),VLOOKUP($C83,$C$5:$AP$54,39,FALSE)))</f>
        <v/>
      </c>
      <c r="O83" s="241"/>
      <c r="P83" s="242"/>
      <c r="Q83" s="84" t="str">
        <f t="shared" si="68"/>
        <v/>
      </c>
      <c r="R83" s="105">
        <f t="shared" si="52"/>
        <v>0</v>
      </c>
      <c r="S83" s="84" t="str">
        <f t="shared" si="69"/>
        <v/>
      </c>
      <c r="T83" s="105">
        <f t="shared" si="53"/>
        <v>0</v>
      </c>
      <c r="U83" s="84" t="str">
        <f t="shared" si="70"/>
        <v/>
      </c>
      <c r="V83" s="106" t="str">
        <f>IF($C83="","",IF(ISERROR(VLOOKUP($C83,$C$5:$AP$54,40,FALSE)=TRUE),VLOOKUP($C83,'SDDA Dogs'!$A:$O,12,FALSE),VLOOKUP($C83,$C$5:$AP$54,40,FALSE)))</f>
        <v/>
      </c>
      <c r="W83" s="241"/>
      <c r="X83" s="242"/>
      <c r="Y83" s="84" t="str">
        <f t="shared" si="71"/>
        <v/>
      </c>
      <c r="Z83" s="105">
        <f t="shared" si="54"/>
        <v>0</v>
      </c>
      <c r="AA83" s="84" t="str">
        <f t="shared" si="72"/>
        <v/>
      </c>
      <c r="AB83" s="105">
        <f t="shared" si="55"/>
        <v>0</v>
      </c>
      <c r="AC83" s="84" t="str">
        <f t="shared" si="73"/>
        <v/>
      </c>
      <c r="AD83" s="92" t="str">
        <f t="shared" si="74"/>
        <v/>
      </c>
      <c r="AE83" s="89" t="str">
        <f t="shared" si="75"/>
        <v/>
      </c>
      <c r="AF83" s="104" t="str">
        <f t="shared" si="76"/>
        <v/>
      </c>
      <c r="AG83" s="107" t="str">
        <f t="shared" si="77"/>
        <v/>
      </c>
      <c r="AH83" s="92" t="str">
        <f t="shared" si="78"/>
        <v/>
      </c>
      <c r="AI83" s="89" t="str">
        <f t="shared" si="79"/>
        <v/>
      </c>
      <c r="AJ83" s="104" t="str">
        <f t="shared" si="80"/>
        <v/>
      </c>
      <c r="AK83" s="84" t="str">
        <f t="shared" si="81"/>
        <v/>
      </c>
      <c r="AL83" s="264" t="str">
        <f t="shared" si="82"/>
        <v/>
      </c>
      <c r="AM83" s="270">
        <f t="shared" si="56"/>
        <v>0</v>
      </c>
      <c r="AN83" s="270" t="str">
        <f t="shared" si="83"/>
        <v/>
      </c>
      <c r="AO83" s="270" t="str">
        <f t="shared" si="84"/>
        <v/>
      </c>
      <c r="AP83" s="270" t="str">
        <f t="shared" si="85"/>
        <v/>
      </c>
      <c r="AQ83" s="270">
        <f t="shared" si="86"/>
        <v>0</v>
      </c>
      <c r="AR83" s="271">
        <f>MIN(IFERROR(VLOOKUP($C83,'SDDA Dogs'!$A:$O,13,FALSE),0),IFERROR(VLOOKUP($C83,'SDDA Dogs'!$A:$O,14,FALSE),0),IFERROR(VLOOKUP($C83,'SDDA Dogs'!$A:$O,15,FALSE),0))</f>
        <v>0</v>
      </c>
      <c r="AS83" s="272"/>
      <c r="AT83" s="272"/>
      <c r="AU83" s="272" t="str">
        <f>IF(ISERROR(VLOOKUP(C83,'SDDA Dogs'!A:O,6,FALSE)),"",VLOOKUP(C83,'SDDA Dogs'!A:O,6,FALSE))</f>
        <v/>
      </c>
      <c r="AV83" s="270">
        <f t="shared" si="87"/>
        <v>0</v>
      </c>
      <c r="AW83" s="270">
        <f t="shared" si="88"/>
        <v>0</v>
      </c>
      <c r="AX83" s="273">
        <f t="shared" si="89"/>
        <v>0</v>
      </c>
      <c r="AY83" s="274"/>
      <c r="AZ83" s="275">
        <f t="shared" si="62"/>
        <v>0</v>
      </c>
      <c r="BA83" s="275">
        <f t="shared" si="63"/>
        <v>0</v>
      </c>
      <c r="BB83" s="276"/>
      <c r="BC83" s="274">
        <f>_xlfn.IFNA(IF(I83="Pass",IF(AND(G83&gt;=IFERROR(INDEX($C$5:$W$54,MATCH(C83,$C$5:$C$54,0),5),0),G83&gt;=IFERROR(INDEX(DogInfo!A:B,MATCH(C83&amp;$BC$4,DogInfo!A:A,0),2),0)),G83,IF(AND(IFERROR(INDEX($C$5:$W$54,MATCH(C83,$C$5:$C$54,0),5),0)&gt;=O83,IFERROR(INDEX($C$5:$W$54,MATCH(C83,$C$5:$C$54,0),5),0)&gt;=IFERROR(INDEX(DogInfo!A:B,MATCH(C83&amp;$BC$4,DogInfo!A:A,0),2),0)),IFERROR(INDEX($C$5:$W$54,MATCH(C83,$C$5:$C$54,0),5),0),IF(AND(IFERROR(INDEX(DogInfo!A:B,MATCH(C83&amp;$BC$4,DogInfo!A:A,0),2),0)&gt;=IFERROR(INDEX($C$5:$W$54,MATCH(C83,$C$5:$C$54,0),5),0),IFERROR(INDEX(DogInfo!A:B,MATCH(C83&amp;$BC$4,DogInfo!A:A,0),2),0)&gt;=G83),IFERROR(INDEX(DogInfo!A:B,MATCH(C83&amp;$BC$4,DogInfo!A:A,0),2),0),"Error"))),IFERROR(INDEX($C$5:$BE$54,MATCH(C83,$C$5:$C$54,0),53),IFERROR(INDEX(DogInfo!A:B,MATCH(C83&amp;$BC$4,DogInfo!A:A,0),2),0))),"")</f>
        <v>0</v>
      </c>
      <c r="BD83" s="274">
        <f>_xlfn.IFNA(IF(Q83="Pass",IF(AND(O83&gt;=IFERROR(INDEX($C$5:$W$54,MATCH(C83,$C$5:$C$54,0),13),0),O83&gt;=IFERROR(INDEX(DogInfo!A:B,MATCH(C83&amp;$BD$4,DogInfo!A:A,0),2),0)),O83,IF(AND(IFERROR(INDEX($C$5:$W$54,MATCH(C83,$C$5:$C$54,0),13),0)&gt;=O83,IFERROR(INDEX($C$5:$W$54,MATCH(C83,$C$5:$C$54,0),13),0)&gt;=IFERROR(INDEX(DogInfo!A:B,MATCH(C83&amp;$BD$4,DogInfo!A:A,0),2),0)),IFERROR(INDEX($C$5:$W$54,MATCH(C83,$C$5:$C$54,0),13),0),IF(AND(IFERROR(INDEX(DogInfo!A:B,MATCH(C83&amp;$BD$4,DogInfo!A:A,0),2),0)&gt;=IFERROR(INDEX($C$5:$W$54,MATCH(C83,$C$5:$C$54,0),13),0),IFERROR(INDEX(DogInfo!A:B,MATCH(C83&amp;$BD$4,DogInfo!A:A,0),2),0)&gt;=O83),IFERROR(INDEX(DogInfo!A:B,MATCH(C83&amp;$BD$4,DogInfo!A:A,0),2),0),"Error"))),IFERROR(INDEX($C$5:$BE$54,MATCH(C83,$C$5:$C$54,0),54),IFERROR(INDEX(DogInfo!A:B,MATCH(C83&amp;$BD$4,DogInfo!A:A,0),2),0))),"")</f>
        <v>0</v>
      </c>
      <c r="BE83" s="274">
        <f>_xlfn.IFNA(IF(Y83="Pass",IF(AND(W83&gt;=IFERROR(INDEX($C$5:$W$54,MATCH(C83,$C$5:$C$54,0),21),0),O83&gt;=IFERROR(INDEX(DogInfo!A:B,MATCH(C83&amp;$BE$4,DogInfo!A:A,0),2),0)),W83,IF(AND(IFERROR(INDEX($C$5:$W$54,MATCH(C83,$C$5:$C$54,0),21),0)&gt;=W83,IFERROR(INDEX($C$5:$W$54,MATCH(C83,$C$5:$C$54,0),21),0)&gt;=IFERROR(INDEX(DogInfo!A:B,MATCH(C83&amp;$BE$4,DogInfo!A:A,0),2),0)),IFERROR(INDEX($C$5:$W$54,MATCH(C83,$C$5:$C$54,0),21),0),IF(AND(IFERROR(INDEX(DogInfo!A:B,MATCH(C83&amp;$BE$4,DogInfo!A:A,0),2),0)&gt;=IFERROR(INDEX($C$5:$W$54,MATCH(C83,$C$5:$C$54,0),21),0),IFERROR(INDEX(DogInfo!A:B,MATCH(C83&amp;$BE$4,DogInfo!A:A,0),2),0)&gt;=W83),IFERROR(INDEX(DogInfo!A:B,MATCH(C83&amp;$BE$4,DogInfo!A:A,0),2),0),"Error"))),IFERROR(INDEX($C$5:$BE$54,MATCH(C83,$C$5:$C$54,0),55),IFERROR(INDEX(DogInfo!A:B,MATCH(C83&amp;$BE$4,DogInfo!A:A,0),2),0))),"")</f>
        <v>0</v>
      </c>
    </row>
    <row r="84" spans="1:57" x14ac:dyDescent="0.25">
      <c r="A84" s="99">
        <v>20</v>
      </c>
      <c r="B84" s="100"/>
      <c r="C84" s="240"/>
      <c r="D84" s="102" t="str">
        <f>IF($C84="","",VLOOKUP($C84,'SDDA Dogs'!$A:$F,2,FALSE))</f>
        <v/>
      </c>
      <c r="E84" s="211">
        <f t="shared" si="64"/>
        <v>-1</v>
      </c>
      <c r="F84" s="103" t="str">
        <f>IF($C84="","",IF(ISERROR(VLOOKUP($C84,$C$5:$AP$54,38,FALSE)=TRUE),VLOOKUP($C84,'SDDA Dogs'!$A:$O,10,FALSE),VLOOKUP($C84,$C$5:$AP$54,38,FALSE)))</f>
        <v/>
      </c>
      <c r="G84" s="241"/>
      <c r="H84" s="242"/>
      <c r="I84" s="84" t="str">
        <f t="shared" si="65"/>
        <v/>
      </c>
      <c r="J84" s="105">
        <f t="shared" si="50"/>
        <v>0</v>
      </c>
      <c r="K84" s="84" t="str">
        <f t="shared" si="66"/>
        <v/>
      </c>
      <c r="L84" s="105">
        <f t="shared" si="51"/>
        <v>0</v>
      </c>
      <c r="M84" s="84" t="str">
        <f t="shared" si="67"/>
        <v/>
      </c>
      <c r="N84" s="106" t="str">
        <f>IF($C84="","",IF(ISERROR(VLOOKUP($C84,$C$5:$AP$54,39,FALSE)=TRUE),VLOOKUP($C84,'SDDA Dogs'!$A:$O,11,FALSE),VLOOKUP($C84,$C$5:$AP$54,39,FALSE)))</f>
        <v/>
      </c>
      <c r="O84" s="241"/>
      <c r="P84" s="242"/>
      <c r="Q84" s="84" t="str">
        <f t="shared" si="68"/>
        <v/>
      </c>
      <c r="R84" s="105">
        <f t="shared" si="52"/>
        <v>0</v>
      </c>
      <c r="S84" s="84" t="str">
        <f t="shared" si="69"/>
        <v/>
      </c>
      <c r="T84" s="105">
        <f t="shared" si="53"/>
        <v>0</v>
      </c>
      <c r="U84" s="84" t="str">
        <f t="shared" si="70"/>
        <v/>
      </c>
      <c r="V84" s="106" t="str">
        <f>IF($C84="","",IF(ISERROR(VLOOKUP($C84,$C$5:$AP$54,40,FALSE)=TRUE),VLOOKUP($C84,'SDDA Dogs'!$A:$O,12,FALSE),VLOOKUP($C84,$C$5:$AP$54,40,FALSE)))</f>
        <v/>
      </c>
      <c r="W84" s="241"/>
      <c r="X84" s="242"/>
      <c r="Y84" s="84" t="str">
        <f t="shared" si="71"/>
        <v/>
      </c>
      <c r="Z84" s="105">
        <f t="shared" si="54"/>
        <v>0</v>
      </c>
      <c r="AA84" s="84" t="str">
        <f t="shared" si="72"/>
        <v/>
      </c>
      <c r="AB84" s="105">
        <f t="shared" si="55"/>
        <v>0</v>
      </c>
      <c r="AC84" s="84" t="str">
        <f t="shared" si="73"/>
        <v/>
      </c>
      <c r="AD84" s="92" t="str">
        <f t="shared" si="74"/>
        <v/>
      </c>
      <c r="AE84" s="89" t="str">
        <f t="shared" si="75"/>
        <v/>
      </c>
      <c r="AF84" s="104" t="str">
        <f t="shared" si="76"/>
        <v/>
      </c>
      <c r="AG84" s="107" t="str">
        <f t="shared" si="77"/>
        <v/>
      </c>
      <c r="AH84" s="92" t="str">
        <f t="shared" si="78"/>
        <v/>
      </c>
      <c r="AI84" s="89" t="str">
        <f t="shared" si="79"/>
        <v/>
      </c>
      <c r="AJ84" s="104" t="str">
        <f t="shared" si="80"/>
        <v/>
      </c>
      <c r="AK84" s="84" t="str">
        <f t="shared" si="81"/>
        <v/>
      </c>
      <c r="AL84" s="264" t="str">
        <f t="shared" si="82"/>
        <v/>
      </c>
      <c r="AM84" s="270">
        <f t="shared" si="56"/>
        <v>0</v>
      </c>
      <c r="AN84" s="270" t="str">
        <f t="shared" si="83"/>
        <v/>
      </c>
      <c r="AO84" s="270" t="str">
        <f t="shared" si="84"/>
        <v/>
      </c>
      <c r="AP84" s="270" t="str">
        <f t="shared" si="85"/>
        <v/>
      </c>
      <c r="AQ84" s="270">
        <f t="shared" si="86"/>
        <v>0</v>
      </c>
      <c r="AR84" s="271">
        <f>MIN(IFERROR(VLOOKUP($C84,'SDDA Dogs'!$A:$O,13,FALSE),0),IFERROR(VLOOKUP($C84,'SDDA Dogs'!$A:$O,14,FALSE),0),IFERROR(VLOOKUP($C84,'SDDA Dogs'!$A:$O,15,FALSE),0))</f>
        <v>0</v>
      </c>
      <c r="AS84" s="272"/>
      <c r="AT84" s="272"/>
      <c r="AU84" s="272" t="str">
        <f>IF(ISERROR(VLOOKUP(C84,'SDDA Dogs'!A:O,6,FALSE)),"",VLOOKUP(C84,'SDDA Dogs'!A:O,6,FALSE))</f>
        <v/>
      </c>
      <c r="AV84" s="270">
        <f t="shared" si="87"/>
        <v>0</v>
      </c>
      <c r="AW84" s="270">
        <f t="shared" si="88"/>
        <v>0</v>
      </c>
      <c r="AX84" s="273">
        <f t="shared" si="89"/>
        <v>0</v>
      </c>
      <c r="AY84" s="274"/>
      <c r="AZ84" s="275">
        <f t="shared" si="62"/>
        <v>0</v>
      </c>
      <c r="BA84" s="275">
        <f t="shared" si="63"/>
        <v>0</v>
      </c>
      <c r="BB84" s="276"/>
      <c r="BC84" s="274">
        <f>_xlfn.IFNA(IF(I84="Pass",IF(AND(G84&gt;=IFERROR(INDEX($C$5:$W$54,MATCH(C84,$C$5:$C$54,0),5),0),G84&gt;=IFERROR(INDEX(DogInfo!A:B,MATCH(C84&amp;$BC$4,DogInfo!A:A,0),2),0)),G84,IF(AND(IFERROR(INDEX($C$5:$W$54,MATCH(C84,$C$5:$C$54,0),5),0)&gt;=O84,IFERROR(INDEX($C$5:$W$54,MATCH(C84,$C$5:$C$54,0),5),0)&gt;=IFERROR(INDEX(DogInfo!A:B,MATCH(C84&amp;$BC$4,DogInfo!A:A,0),2),0)),IFERROR(INDEX($C$5:$W$54,MATCH(C84,$C$5:$C$54,0),5),0),IF(AND(IFERROR(INDEX(DogInfo!A:B,MATCH(C84&amp;$BC$4,DogInfo!A:A,0),2),0)&gt;=IFERROR(INDEX($C$5:$W$54,MATCH(C84,$C$5:$C$54,0),5),0),IFERROR(INDEX(DogInfo!A:B,MATCH(C84&amp;$BC$4,DogInfo!A:A,0),2),0)&gt;=G84),IFERROR(INDEX(DogInfo!A:B,MATCH(C84&amp;$BC$4,DogInfo!A:A,0),2),0),"Error"))),IFERROR(INDEX($C$5:$BE$54,MATCH(C84,$C$5:$C$54,0),53),IFERROR(INDEX(DogInfo!A:B,MATCH(C84&amp;$BC$4,DogInfo!A:A,0),2),0))),"")</f>
        <v>0</v>
      </c>
      <c r="BD84" s="274">
        <f>_xlfn.IFNA(IF(Q84="Pass",IF(AND(O84&gt;=IFERROR(INDEX($C$5:$W$54,MATCH(C84,$C$5:$C$54,0),13),0),O84&gt;=IFERROR(INDEX(DogInfo!A:B,MATCH(C84&amp;$BD$4,DogInfo!A:A,0),2),0)),O84,IF(AND(IFERROR(INDEX($C$5:$W$54,MATCH(C84,$C$5:$C$54,0),13),0)&gt;=O84,IFERROR(INDEX($C$5:$W$54,MATCH(C84,$C$5:$C$54,0),13),0)&gt;=IFERROR(INDEX(DogInfo!A:B,MATCH(C84&amp;$BD$4,DogInfo!A:A,0),2),0)),IFERROR(INDEX($C$5:$W$54,MATCH(C84,$C$5:$C$54,0),13),0),IF(AND(IFERROR(INDEX(DogInfo!A:B,MATCH(C84&amp;$BD$4,DogInfo!A:A,0),2),0)&gt;=IFERROR(INDEX($C$5:$W$54,MATCH(C84,$C$5:$C$54,0),13),0),IFERROR(INDEX(DogInfo!A:B,MATCH(C84&amp;$BD$4,DogInfo!A:A,0),2),0)&gt;=O84),IFERROR(INDEX(DogInfo!A:B,MATCH(C84&amp;$BD$4,DogInfo!A:A,0),2),0),"Error"))),IFERROR(INDEX($C$5:$BE$54,MATCH(C84,$C$5:$C$54,0),54),IFERROR(INDEX(DogInfo!A:B,MATCH(C84&amp;$BD$4,DogInfo!A:A,0),2),0))),"")</f>
        <v>0</v>
      </c>
      <c r="BE84" s="274">
        <f>_xlfn.IFNA(IF(Y84="Pass",IF(AND(W84&gt;=IFERROR(INDEX($C$5:$W$54,MATCH(C84,$C$5:$C$54,0),21),0),O84&gt;=IFERROR(INDEX(DogInfo!A:B,MATCH(C84&amp;$BE$4,DogInfo!A:A,0),2),0)),W84,IF(AND(IFERROR(INDEX($C$5:$W$54,MATCH(C84,$C$5:$C$54,0),21),0)&gt;=W84,IFERROR(INDEX($C$5:$W$54,MATCH(C84,$C$5:$C$54,0),21),0)&gt;=IFERROR(INDEX(DogInfo!A:B,MATCH(C84&amp;$BE$4,DogInfo!A:A,0),2),0)),IFERROR(INDEX($C$5:$W$54,MATCH(C84,$C$5:$C$54,0),21),0),IF(AND(IFERROR(INDEX(DogInfo!A:B,MATCH(C84&amp;$BE$4,DogInfo!A:A,0),2),0)&gt;=IFERROR(INDEX($C$5:$W$54,MATCH(C84,$C$5:$C$54,0),21),0),IFERROR(INDEX(DogInfo!A:B,MATCH(C84&amp;$BE$4,DogInfo!A:A,0),2),0)&gt;=W84),IFERROR(INDEX(DogInfo!A:B,MATCH(C84&amp;$BE$4,DogInfo!A:A,0),2),0),"Error"))),IFERROR(INDEX($C$5:$BE$54,MATCH(C84,$C$5:$C$54,0),55),IFERROR(INDEX(DogInfo!A:B,MATCH(C84&amp;$BE$4,DogInfo!A:A,0),2),0))),"")</f>
        <v>0</v>
      </c>
    </row>
    <row r="85" spans="1:57" x14ac:dyDescent="0.25">
      <c r="A85" s="99">
        <v>21</v>
      </c>
      <c r="B85" s="100"/>
      <c r="C85" s="240"/>
      <c r="D85" s="102" t="str">
        <f>IF($C85="","",VLOOKUP($C85,'SDDA Dogs'!$A:$F,2,FALSE))</f>
        <v/>
      </c>
      <c r="E85" s="211">
        <f t="shared" si="64"/>
        <v>-1</v>
      </c>
      <c r="F85" s="103" t="str">
        <f>IF($C85="","",IF(ISERROR(VLOOKUP($C85,$C$5:$AP$54,38,FALSE)=TRUE),VLOOKUP($C85,'SDDA Dogs'!$A:$O,10,FALSE),VLOOKUP($C85,$C$5:$AP$54,38,FALSE)))</f>
        <v/>
      </c>
      <c r="G85" s="241"/>
      <c r="H85" s="242"/>
      <c r="I85" s="84" t="str">
        <f t="shared" si="65"/>
        <v/>
      </c>
      <c r="J85" s="105">
        <f t="shared" si="50"/>
        <v>0</v>
      </c>
      <c r="K85" s="84" t="str">
        <f t="shared" si="66"/>
        <v/>
      </c>
      <c r="L85" s="105">
        <f t="shared" si="51"/>
        <v>0</v>
      </c>
      <c r="M85" s="84" t="str">
        <f t="shared" si="67"/>
        <v/>
      </c>
      <c r="N85" s="106" t="str">
        <f>IF($C85="","",IF(ISERROR(VLOOKUP($C85,$C$5:$AP$54,39,FALSE)=TRUE),VLOOKUP($C85,'SDDA Dogs'!$A:$O,11,FALSE),VLOOKUP($C85,$C$5:$AP$54,39,FALSE)))</f>
        <v/>
      </c>
      <c r="O85" s="241"/>
      <c r="P85" s="242"/>
      <c r="Q85" s="84" t="str">
        <f t="shared" si="68"/>
        <v/>
      </c>
      <c r="R85" s="105">
        <f t="shared" si="52"/>
        <v>0</v>
      </c>
      <c r="S85" s="84" t="str">
        <f t="shared" si="69"/>
        <v/>
      </c>
      <c r="T85" s="105">
        <f t="shared" si="53"/>
        <v>0</v>
      </c>
      <c r="U85" s="84" t="str">
        <f t="shared" si="70"/>
        <v/>
      </c>
      <c r="V85" s="106" t="str">
        <f>IF($C85="","",IF(ISERROR(VLOOKUP($C85,$C$5:$AP$54,40,FALSE)=TRUE),VLOOKUP($C85,'SDDA Dogs'!$A:$O,12,FALSE),VLOOKUP($C85,$C$5:$AP$54,40,FALSE)))</f>
        <v/>
      </c>
      <c r="W85" s="241"/>
      <c r="X85" s="242"/>
      <c r="Y85" s="84" t="str">
        <f t="shared" si="71"/>
        <v/>
      </c>
      <c r="Z85" s="105">
        <f t="shared" si="54"/>
        <v>0</v>
      </c>
      <c r="AA85" s="84" t="str">
        <f t="shared" si="72"/>
        <v/>
      </c>
      <c r="AB85" s="105">
        <f t="shared" si="55"/>
        <v>0</v>
      </c>
      <c r="AC85" s="84" t="str">
        <f t="shared" si="73"/>
        <v/>
      </c>
      <c r="AD85" s="92" t="str">
        <f t="shared" si="74"/>
        <v/>
      </c>
      <c r="AE85" s="89" t="str">
        <f t="shared" si="75"/>
        <v/>
      </c>
      <c r="AF85" s="104" t="str">
        <f t="shared" si="76"/>
        <v/>
      </c>
      <c r="AG85" s="107" t="str">
        <f t="shared" si="77"/>
        <v/>
      </c>
      <c r="AH85" s="92" t="str">
        <f t="shared" si="78"/>
        <v/>
      </c>
      <c r="AI85" s="89" t="str">
        <f t="shared" si="79"/>
        <v/>
      </c>
      <c r="AJ85" s="104" t="str">
        <f t="shared" si="80"/>
        <v/>
      </c>
      <c r="AK85" s="84" t="str">
        <f t="shared" si="81"/>
        <v/>
      </c>
      <c r="AL85" s="264" t="str">
        <f t="shared" si="82"/>
        <v/>
      </c>
      <c r="AM85" s="270">
        <f t="shared" si="56"/>
        <v>0</v>
      </c>
      <c r="AN85" s="270" t="str">
        <f t="shared" si="83"/>
        <v/>
      </c>
      <c r="AO85" s="270" t="str">
        <f t="shared" si="84"/>
        <v/>
      </c>
      <c r="AP85" s="270" t="str">
        <f t="shared" si="85"/>
        <v/>
      </c>
      <c r="AQ85" s="270">
        <f t="shared" si="86"/>
        <v>0</v>
      </c>
      <c r="AR85" s="271">
        <f>MIN(IFERROR(VLOOKUP($C85,'SDDA Dogs'!$A:$O,13,FALSE),0),IFERROR(VLOOKUP($C85,'SDDA Dogs'!$A:$O,14,FALSE),0),IFERROR(VLOOKUP($C85,'SDDA Dogs'!$A:$O,15,FALSE),0))</f>
        <v>0</v>
      </c>
      <c r="AS85" s="272"/>
      <c r="AT85" s="272"/>
      <c r="AU85" s="272" t="str">
        <f>IF(ISERROR(VLOOKUP(C85,'SDDA Dogs'!A:O,6,FALSE)),"",VLOOKUP(C85,'SDDA Dogs'!A:O,6,FALSE))</f>
        <v/>
      </c>
      <c r="AV85" s="270">
        <f t="shared" si="87"/>
        <v>0</v>
      </c>
      <c r="AW85" s="270">
        <f t="shared" si="88"/>
        <v>0</v>
      </c>
      <c r="AX85" s="273">
        <f t="shared" si="89"/>
        <v>0</v>
      </c>
      <c r="AY85" s="274"/>
      <c r="AZ85" s="275">
        <f t="shared" si="62"/>
        <v>0</v>
      </c>
      <c r="BA85" s="275">
        <f t="shared" si="63"/>
        <v>0</v>
      </c>
      <c r="BB85" s="276"/>
      <c r="BC85" s="274">
        <f>_xlfn.IFNA(IF(I85="Pass",IF(AND(G85&gt;=IFERROR(INDEX($C$5:$W$54,MATCH(C85,$C$5:$C$54,0),5),0),G85&gt;=IFERROR(INDEX(DogInfo!A:B,MATCH(C85&amp;$BC$4,DogInfo!A:A,0),2),0)),G85,IF(AND(IFERROR(INDEX($C$5:$W$54,MATCH(C85,$C$5:$C$54,0),5),0)&gt;=O85,IFERROR(INDEX($C$5:$W$54,MATCH(C85,$C$5:$C$54,0),5),0)&gt;=IFERROR(INDEX(DogInfo!A:B,MATCH(C85&amp;$BC$4,DogInfo!A:A,0),2),0)),IFERROR(INDEX($C$5:$W$54,MATCH(C85,$C$5:$C$54,0),5),0),IF(AND(IFERROR(INDEX(DogInfo!A:B,MATCH(C85&amp;$BC$4,DogInfo!A:A,0),2),0)&gt;=IFERROR(INDEX($C$5:$W$54,MATCH(C85,$C$5:$C$54,0),5),0),IFERROR(INDEX(DogInfo!A:B,MATCH(C85&amp;$BC$4,DogInfo!A:A,0),2),0)&gt;=G85),IFERROR(INDEX(DogInfo!A:B,MATCH(C85&amp;$BC$4,DogInfo!A:A,0),2),0),"Error"))),IFERROR(INDEX($C$5:$BE$54,MATCH(C85,$C$5:$C$54,0),53),IFERROR(INDEX(DogInfo!A:B,MATCH(C85&amp;$BC$4,DogInfo!A:A,0),2),0))),"")</f>
        <v>0</v>
      </c>
      <c r="BD85" s="274">
        <f>_xlfn.IFNA(IF(Q85="Pass",IF(AND(O85&gt;=IFERROR(INDEX($C$5:$W$54,MATCH(C85,$C$5:$C$54,0),13),0),O85&gt;=IFERROR(INDEX(DogInfo!A:B,MATCH(C85&amp;$BD$4,DogInfo!A:A,0),2),0)),O85,IF(AND(IFERROR(INDEX($C$5:$W$54,MATCH(C85,$C$5:$C$54,0),13),0)&gt;=O85,IFERROR(INDEX($C$5:$W$54,MATCH(C85,$C$5:$C$54,0),13),0)&gt;=IFERROR(INDEX(DogInfo!A:B,MATCH(C85&amp;$BD$4,DogInfo!A:A,0),2),0)),IFERROR(INDEX($C$5:$W$54,MATCH(C85,$C$5:$C$54,0),13),0),IF(AND(IFERROR(INDEX(DogInfo!A:B,MATCH(C85&amp;$BD$4,DogInfo!A:A,0),2),0)&gt;=IFERROR(INDEX($C$5:$W$54,MATCH(C85,$C$5:$C$54,0),13),0),IFERROR(INDEX(DogInfo!A:B,MATCH(C85&amp;$BD$4,DogInfo!A:A,0),2),0)&gt;=O85),IFERROR(INDEX(DogInfo!A:B,MATCH(C85&amp;$BD$4,DogInfo!A:A,0),2),0),"Error"))),IFERROR(INDEX($C$5:$BE$54,MATCH(C85,$C$5:$C$54,0),54),IFERROR(INDEX(DogInfo!A:B,MATCH(C85&amp;$BD$4,DogInfo!A:A,0),2),0))),"")</f>
        <v>0</v>
      </c>
      <c r="BE85" s="274">
        <f>_xlfn.IFNA(IF(Y85="Pass",IF(AND(W85&gt;=IFERROR(INDEX($C$5:$W$54,MATCH(C85,$C$5:$C$54,0),21),0),O85&gt;=IFERROR(INDEX(DogInfo!A:B,MATCH(C85&amp;$BE$4,DogInfo!A:A,0),2),0)),W85,IF(AND(IFERROR(INDEX($C$5:$W$54,MATCH(C85,$C$5:$C$54,0),21),0)&gt;=W85,IFERROR(INDEX($C$5:$W$54,MATCH(C85,$C$5:$C$54,0),21),0)&gt;=IFERROR(INDEX(DogInfo!A:B,MATCH(C85&amp;$BE$4,DogInfo!A:A,0),2),0)),IFERROR(INDEX($C$5:$W$54,MATCH(C85,$C$5:$C$54,0),21),0),IF(AND(IFERROR(INDEX(DogInfo!A:B,MATCH(C85&amp;$BE$4,DogInfo!A:A,0),2),0)&gt;=IFERROR(INDEX($C$5:$W$54,MATCH(C85,$C$5:$C$54,0),21),0),IFERROR(INDEX(DogInfo!A:B,MATCH(C85&amp;$BE$4,DogInfo!A:A,0),2),0)&gt;=W85),IFERROR(INDEX(DogInfo!A:B,MATCH(C85&amp;$BE$4,DogInfo!A:A,0),2),0),"Error"))),IFERROR(INDEX($C$5:$BE$54,MATCH(C85,$C$5:$C$54,0),55),IFERROR(INDEX(DogInfo!A:B,MATCH(C85&amp;$BE$4,DogInfo!A:A,0),2),0))),"")</f>
        <v>0</v>
      </c>
    </row>
    <row r="86" spans="1:57" x14ac:dyDescent="0.25">
      <c r="A86" s="99">
        <v>22</v>
      </c>
      <c r="B86" s="100"/>
      <c r="C86" s="101"/>
      <c r="D86" s="102" t="str">
        <f>IF($C86="","",VLOOKUP($C86,'SDDA Dogs'!$A:$F,2,FALSE))</f>
        <v/>
      </c>
      <c r="E86" s="211">
        <f t="shared" ref="E86:E114" si="90">-_xlfn.ISFORMULA(D86)</f>
        <v>-1</v>
      </c>
      <c r="F86" s="103" t="str">
        <f>IF($C86="","",IF(ISERROR(VLOOKUP($C86,$C$5:$AP$54,38,FALSE)=TRUE),VLOOKUP($C86,'SDDA Dogs'!$A:$O,10,FALSE),VLOOKUP($C86,$C$5:$AP$54,38,FALSE)))</f>
        <v/>
      </c>
      <c r="G86" s="137"/>
      <c r="H86" s="217"/>
      <c r="I86" s="84" t="str">
        <f t="shared" ref="I86:I114" si="91">IF(OR(G86="",G86="NE",G86="e",G86="feo"),"",(IF(G86&gt;=30,"Pass","Fail")))</f>
        <v/>
      </c>
      <c r="J86" s="105">
        <f t="shared" si="50"/>
        <v>0</v>
      </c>
      <c r="K86" s="84" t="str">
        <f t="shared" ref="K86:K114" si="92">IF(AND($B86="A",$G86&lt;&gt;0,$H86&lt;&gt;0,J86&lt;&gt;0),(RANK(J86,J$65:J$114,0)),"")</f>
        <v/>
      </c>
      <c r="L86" s="105">
        <f t="shared" si="51"/>
        <v>0</v>
      </c>
      <c r="M86" s="84" t="str">
        <f t="shared" ref="M86:M114" si="93">IF(AND($B86="W",$G86&lt;&gt;0,$H86&lt;&gt;0,L86&lt;&gt;0),(RANK(L86,L$65:L$114,0)),"")</f>
        <v/>
      </c>
      <c r="N86" s="106" t="str">
        <f>IF($C86="","",IF(ISERROR(VLOOKUP($C86,$C$5:$AP$54,39,FALSE)=TRUE),VLOOKUP($C86,'SDDA Dogs'!$A:$O,11,FALSE),VLOOKUP($C86,$C$5:$AP$54,39,FALSE)))</f>
        <v/>
      </c>
      <c r="O86" s="137"/>
      <c r="P86" s="217"/>
      <c r="Q86" s="84" t="str">
        <f t="shared" ref="Q86:Q114" si="94">IF(OR(O86="",O86="NE",O86="e",O86="feo"),"",(IF(O86&gt;=40,"Pass","Fail")))</f>
        <v/>
      </c>
      <c r="R86" s="105">
        <f t="shared" si="52"/>
        <v>0</v>
      </c>
      <c r="S86" s="84" t="str">
        <f t="shared" ref="S86:S114" si="95">IF(AND($B86="A",$O86&lt;&gt;0,$P86&lt;&gt;0,R86&lt;&gt;0),(RANK(R86,R$65:R$114,0)),"")</f>
        <v/>
      </c>
      <c r="T86" s="105">
        <f t="shared" si="53"/>
        <v>0</v>
      </c>
      <c r="U86" s="84" t="str">
        <f t="shared" ref="U86:U114" si="96">IF(AND($B86="w",$O86&lt;&gt;0,$P86&lt;&gt;0,T86&lt;&gt;0),(RANK(T86,T$65:T$114,0)),"")</f>
        <v/>
      </c>
      <c r="V86" s="106" t="str">
        <f>IF($C86="","",IF(ISERROR(VLOOKUP($C86,$C$5:$AP$54,40,FALSE)=TRUE),VLOOKUP($C86,'SDDA Dogs'!$A:$O,12,FALSE),VLOOKUP($C86,$C$5:$AP$54,40,FALSE)))</f>
        <v/>
      </c>
      <c r="W86" s="137"/>
      <c r="X86" s="217"/>
      <c r="Y86" s="84" t="str">
        <f t="shared" ref="Y86:Y114" si="97">IF(OR(W86="",W86="NE",W86="e",W86="feo"),"",(IF(W86&gt;=30,"Pass","Fail")))</f>
        <v/>
      </c>
      <c r="Z86" s="105">
        <f t="shared" si="54"/>
        <v>0</v>
      </c>
      <c r="AA86" s="84" t="str">
        <f t="shared" ref="AA86:AA114" si="98">IF(AND($B86="A",$W86&lt;&gt;0,$X86&lt;&gt;0,Z86&lt;&gt;0),(RANK(Z86,Z$65:Z$114,0)),"")</f>
        <v/>
      </c>
      <c r="AB86" s="105">
        <f t="shared" si="55"/>
        <v>0</v>
      </c>
      <c r="AC86" s="84" t="str">
        <f t="shared" ref="AC86:AC114" si="99">IF(AND($B86="w",$W86&lt;&gt;0,$X86&lt;&gt;0,AB86&lt;&gt;0),(RANK(AB86,AB$65:AB$114,0)),"")</f>
        <v/>
      </c>
      <c r="AD86" s="92" t="str">
        <f t="shared" si="74"/>
        <v/>
      </c>
      <c r="AE86" s="89" t="str">
        <f t="shared" ref="AE86:AE114" si="100">IF(AND(ISNUMBER($K86),ISNUMBER($S86),ISNUMBER($AA86))=TRUE,$G86+$O86+$W86,"")</f>
        <v/>
      </c>
      <c r="AF86" s="104" t="str">
        <f t="shared" ref="AF86:AF114" si="101">IF(AND(ISNUMBER($K86),ISNUMBER($S86),ISNUMBER($AA86))=TRUE,$H86+$P86+$X86,"")</f>
        <v/>
      </c>
      <c r="AG86" s="107" t="str">
        <f t="shared" ref="AG86:AG114" si="102">IF(ISNUMBER(AE86),(RANK(AE86,AE$65:AE$114,0)*10)+RANK(AF86,AF$65:AF$114,1),"")</f>
        <v/>
      </c>
      <c r="AH86" s="92" t="str">
        <f t="shared" ref="AH86:AH114" si="103">IF(ISNUMBER(AG86),RANK(AG86,AG$65:AG$114,1),"")</f>
        <v/>
      </c>
      <c r="AI86" s="89" t="str">
        <f t="shared" ref="AI86:AI114" si="104">IF(AND(ISNUMBER($M86),ISNUMBER($U86),ISNUMBER($AC86))=TRUE,$G86+$O86+$W86,"")</f>
        <v/>
      </c>
      <c r="AJ86" s="104" t="str">
        <f t="shared" ref="AJ86:AJ114" si="105">IF(AND(ISNUMBER($M86),ISNUMBER($U86),ISNUMBER($AC86))=TRUE,$H86+$P86+$X86,"")</f>
        <v/>
      </c>
      <c r="AK86" s="84" t="str">
        <f t="shared" ref="AK86:AK114" si="106">IF(ISNUMBER(AI86),(RANK(AI86,AI$65:AI$114,0)*10)+RANK(AJ86,AJ$65:AJ$114,1),"")</f>
        <v/>
      </c>
      <c r="AL86" s="264" t="str">
        <f t="shared" ref="AL86:AL114" si="107">IF(ISNUMBER(AK86),RANK(AK86,AK$65:AK$114,1),"")</f>
        <v/>
      </c>
      <c r="AM86" s="270">
        <f t="shared" si="56"/>
        <v>0</v>
      </c>
      <c r="AN86" s="270" t="str">
        <f t="shared" si="57"/>
        <v/>
      </c>
      <c r="AO86" s="270" t="str">
        <f t="shared" si="58"/>
        <v/>
      </c>
      <c r="AP86" s="270" t="str">
        <f t="shared" si="59"/>
        <v/>
      </c>
      <c r="AQ86" s="270">
        <f t="shared" si="60"/>
        <v>0</v>
      </c>
      <c r="AR86" s="271">
        <f>MIN(IFERROR(VLOOKUP($C86,'SDDA Dogs'!$A:$O,13,FALSE),0),IFERROR(VLOOKUP($C86,'SDDA Dogs'!$A:$O,14,FALSE),0),IFERROR(VLOOKUP($C86,'SDDA Dogs'!$A:$O,15,FALSE),0))</f>
        <v>0</v>
      </c>
      <c r="AS86" s="272"/>
      <c r="AT86" s="272"/>
      <c r="AU86" s="272" t="str">
        <f>IF(ISERROR(VLOOKUP(C86,'SDDA Dogs'!A:O,6,FALSE)),"",VLOOKUP(C86,'SDDA Dogs'!A:O,6,FALSE))</f>
        <v/>
      </c>
      <c r="AV86" s="270">
        <f t="shared" ref="AV86:AV114" si="108">IF(OR(ISNUMBER(G86),G86="e"),1,0)+IF(OR(ISNUMBER(O86),O86="e"),1,0)+IF(OR(ISNUMBER(W86),W86="e"),1,0)</f>
        <v>0</v>
      </c>
      <c r="AW86" s="270">
        <f t="shared" ref="AW86:AW114" si="109">IF(G86="FEO",1,0)+IF(O86="FEO",1,0)+IF(W86="FEO",1,0)</f>
        <v>0</v>
      </c>
      <c r="AX86" s="273">
        <f t="shared" si="61"/>
        <v>0</v>
      </c>
      <c r="AY86" s="274"/>
      <c r="AZ86" s="275">
        <f t="shared" si="62"/>
        <v>0</v>
      </c>
      <c r="BA86" s="275">
        <f t="shared" si="63"/>
        <v>0</v>
      </c>
      <c r="BB86" s="276"/>
      <c r="BC86" s="274">
        <f>_xlfn.IFNA(IF(I86="Pass",IF(AND(G86&gt;=IFERROR(INDEX($C$5:$W$54,MATCH(C86,$C$5:$C$54,0),5),0),G86&gt;=IFERROR(INDEX(DogInfo!A:B,MATCH(C86&amp;$BC$4,DogInfo!A:A,0),2),0)),G86,IF(AND(IFERROR(INDEX($C$5:$W$54,MATCH(C86,$C$5:$C$54,0),5),0)&gt;=O86,IFERROR(INDEX($C$5:$W$54,MATCH(C86,$C$5:$C$54,0),5),0)&gt;=IFERROR(INDEX(DogInfo!A:B,MATCH(C86&amp;$BC$4,DogInfo!A:A,0),2),0)),IFERROR(INDEX($C$5:$W$54,MATCH(C86,$C$5:$C$54,0),5),0),IF(AND(IFERROR(INDEX(DogInfo!A:B,MATCH(C86&amp;$BC$4,DogInfo!A:A,0),2),0)&gt;=IFERROR(INDEX($C$5:$W$54,MATCH(C86,$C$5:$C$54,0),5),0),IFERROR(INDEX(DogInfo!A:B,MATCH(C86&amp;$BC$4,DogInfo!A:A,0),2),0)&gt;=G86),IFERROR(INDEX(DogInfo!A:B,MATCH(C86&amp;$BC$4,DogInfo!A:A,0),2),0),"Error"))),IFERROR(INDEX($C$5:$BE$54,MATCH(C86,$C$5:$C$54,0),53),IFERROR(INDEX(DogInfo!A:B,MATCH(C86&amp;$BC$4,DogInfo!A:A,0),2),0))),"")</f>
        <v>0</v>
      </c>
      <c r="BD86" s="274">
        <f>_xlfn.IFNA(IF(Q86="Pass",IF(AND(O86&gt;=IFERROR(INDEX($C$5:$W$54,MATCH(C86,$C$5:$C$54,0),13),0),O86&gt;=IFERROR(INDEX(DogInfo!A:B,MATCH(C86&amp;$BD$4,DogInfo!A:A,0),2),0)),O86,IF(AND(IFERROR(INDEX($C$5:$W$54,MATCH(C86,$C$5:$C$54,0),13),0)&gt;=O86,IFERROR(INDEX($C$5:$W$54,MATCH(C86,$C$5:$C$54,0),13),0)&gt;=IFERROR(INDEX(DogInfo!A:B,MATCH(C86&amp;$BD$4,DogInfo!A:A,0),2),0)),IFERROR(INDEX($C$5:$W$54,MATCH(C86,$C$5:$C$54,0),13),0),IF(AND(IFERROR(INDEX(DogInfo!A:B,MATCH(C86&amp;$BD$4,DogInfo!A:A,0),2),0)&gt;=IFERROR(INDEX($C$5:$W$54,MATCH(C86,$C$5:$C$54,0),13),0),IFERROR(INDEX(DogInfo!A:B,MATCH(C86&amp;$BD$4,DogInfo!A:A,0),2),0)&gt;=O86),IFERROR(INDEX(DogInfo!A:B,MATCH(C86&amp;$BD$4,DogInfo!A:A,0),2),0),"Error"))),IFERROR(INDEX($C$5:$BE$54,MATCH(C86,$C$5:$C$54,0),54),IFERROR(INDEX(DogInfo!A:B,MATCH(C86&amp;$BD$4,DogInfo!A:A,0),2),0))),"")</f>
        <v>0</v>
      </c>
      <c r="BE86" s="274">
        <f>_xlfn.IFNA(IF(Y86="Pass",IF(AND(W86&gt;=IFERROR(INDEX($C$5:$W$54,MATCH(C86,$C$5:$C$54,0),21),0),O86&gt;=IFERROR(INDEX(DogInfo!A:B,MATCH(C86&amp;$BE$4,DogInfo!A:A,0),2),0)),W86,IF(AND(IFERROR(INDEX($C$5:$W$54,MATCH(C86,$C$5:$C$54,0),21),0)&gt;=W86,IFERROR(INDEX($C$5:$W$54,MATCH(C86,$C$5:$C$54,0),21),0)&gt;=IFERROR(INDEX(DogInfo!A:B,MATCH(C86&amp;$BE$4,DogInfo!A:A,0),2),0)),IFERROR(INDEX($C$5:$W$54,MATCH(C86,$C$5:$C$54,0),21),0),IF(AND(IFERROR(INDEX(DogInfo!A:B,MATCH(C86&amp;$BE$4,DogInfo!A:A,0),2),0)&gt;=IFERROR(INDEX($C$5:$W$54,MATCH(C86,$C$5:$C$54,0),21),0),IFERROR(INDEX(DogInfo!A:B,MATCH(C86&amp;$BE$4,DogInfo!A:A,0),2),0)&gt;=W86),IFERROR(INDEX(DogInfo!A:B,MATCH(C86&amp;$BE$4,DogInfo!A:A,0),2),0),"Error"))),IFERROR(INDEX($C$5:$BE$54,MATCH(C86,$C$5:$C$54,0),55),IFERROR(INDEX(DogInfo!A:B,MATCH(C86&amp;$BE$4,DogInfo!A:A,0),2),0))),"")</f>
        <v>0</v>
      </c>
    </row>
    <row r="87" spans="1:57" x14ac:dyDescent="0.25">
      <c r="A87" s="99">
        <v>23</v>
      </c>
      <c r="B87" s="100"/>
      <c r="C87" s="101"/>
      <c r="D87" s="102" t="str">
        <f>IF($C87="","",VLOOKUP($C87,'SDDA Dogs'!$A:$F,2,FALSE))</f>
        <v/>
      </c>
      <c r="E87" s="211">
        <f t="shared" si="90"/>
        <v>-1</v>
      </c>
      <c r="F87" s="103" t="str">
        <f>IF($C87="","",IF(ISERROR(VLOOKUP($C87,$C$5:$AP$54,38,FALSE)=TRUE),VLOOKUP($C87,'SDDA Dogs'!$A:$O,10,FALSE),VLOOKUP($C87,$C$5:$AP$54,38,FALSE)))</f>
        <v/>
      </c>
      <c r="G87" s="137"/>
      <c r="H87" s="217"/>
      <c r="I87" s="84" t="str">
        <f t="shared" si="91"/>
        <v/>
      </c>
      <c r="J87" s="105">
        <f t="shared" si="50"/>
        <v>0</v>
      </c>
      <c r="K87" s="84" t="str">
        <f t="shared" si="92"/>
        <v/>
      </c>
      <c r="L87" s="105">
        <f t="shared" si="51"/>
        <v>0</v>
      </c>
      <c r="M87" s="84" t="str">
        <f t="shared" si="93"/>
        <v/>
      </c>
      <c r="N87" s="106" t="str">
        <f>IF($C87="","",IF(ISERROR(VLOOKUP($C87,$C$5:$AP$54,39,FALSE)=TRUE),VLOOKUP($C87,'SDDA Dogs'!$A:$O,11,FALSE),VLOOKUP($C87,$C$5:$AP$54,39,FALSE)))</f>
        <v/>
      </c>
      <c r="O87" s="137"/>
      <c r="P87" s="217"/>
      <c r="Q87" s="84" t="str">
        <f t="shared" si="94"/>
        <v/>
      </c>
      <c r="R87" s="105">
        <f t="shared" si="52"/>
        <v>0</v>
      </c>
      <c r="S87" s="84" t="str">
        <f t="shared" si="95"/>
        <v/>
      </c>
      <c r="T87" s="105">
        <f t="shared" si="53"/>
        <v>0</v>
      </c>
      <c r="U87" s="84" t="str">
        <f t="shared" si="96"/>
        <v/>
      </c>
      <c r="V87" s="106" t="str">
        <f>IF($C87="","",IF(ISERROR(VLOOKUP($C87,$C$5:$AP$54,40,FALSE)=TRUE),VLOOKUP($C87,'SDDA Dogs'!$A:$O,12,FALSE),VLOOKUP($C87,$C$5:$AP$54,40,FALSE)))</f>
        <v/>
      </c>
      <c r="W87" s="137"/>
      <c r="X87" s="217"/>
      <c r="Y87" s="84" t="str">
        <f t="shared" si="97"/>
        <v/>
      </c>
      <c r="Z87" s="105">
        <f t="shared" si="54"/>
        <v>0</v>
      </c>
      <c r="AA87" s="84" t="str">
        <f t="shared" si="98"/>
        <v/>
      </c>
      <c r="AB87" s="105">
        <f t="shared" si="55"/>
        <v>0</v>
      </c>
      <c r="AC87" s="84" t="str">
        <f t="shared" si="99"/>
        <v/>
      </c>
      <c r="AD87" s="92" t="str">
        <f t="shared" si="74"/>
        <v/>
      </c>
      <c r="AE87" s="89" t="str">
        <f t="shared" si="100"/>
        <v/>
      </c>
      <c r="AF87" s="104" t="str">
        <f t="shared" si="101"/>
        <v/>
      </c>
      <c r="AG87" s="107" t="str">
        <f t="shared" si="102"/>
        <v/>
      </c>
      <c r="AH87" s="92" t="str">
        <f t="shared" si="103"/>
        <v/>
      </c>
      <c r="AI87" s="89" t="str">
        <f t="shared" si="104"/>
        <v/>
      </c>
      <c r="AJ87" s="104" t="str">
        <f t="shared" si="105"/>
        <v/>
      </c>
      <c r="AK87" s="84" t="str">
        <f t="shared" si="106"/>
        <v/>
      </c>
      <c r="AL87" s="264" t="str">
        <f t="shared" si="107"/>
        <v/>
      </c>
      <c r="AM87" s="270">
        <f t="shared" si="56"/>
        <v>0</v>
      </c>
      <c r="AN87" s="270" t="str">
        <f t="shared" si="57"/>
        <v/>
      </c>
      <c r="AO87" s="270" t="str">
        <f t="shared" si="58"/>
        <v/>
      </c>
      <c r="AP87" s="270" t="str">
        <f t="shared" si="59"/>
        <v/>
      </c>
      <c r="AQ87" s="270">
        <f t="shared" si="60"/>
        <v>0</v>
      </c>
      <c r="AR87" s="271">
        <f>MIN(IFERROR(VLOOKUP($C87,'SDDA Dogs'!$A:$O,13,FALSE),0),IFERROR(VLOOKUP($C87,'SDDA Dogs'!$A:$O,14,FALSE),0),IFERROR(VLOOKUP($C87,'SDDA Dogs'!$A:$O,15,FALSE),0))</f>
        <v>0</v>
      </c>
      <c r="AS87" s="272"/>
      <c r="AT87" s="272"/>
      <c r="AU87" s="272" t="str">
        <f>IF(ISERROR(VLOOKUP(C87,'SDDA Dogs'!A:O,6,FALSE)),"",VLOOKUP(C87,'SDDA Dogs'!A:O,6,FALSE))</f>
        <v/>
      </c>
      <c r="AV87" s="270">
        <f t="shared" si="108"/>
        <v>0</v>
      </c>
      <c r="AW87" s="270">
        <f t="shared" si="109"/>
        <v>0</v>
      </c>
      <c r="AX87" s="273">
        <f t="shared" si="61"/>
        <v>0</v>
      </c>
      <c r="AY87" s="274"/>
      <c r="AZ87" s="275">
        <f t="shared" si="62"/>
        <v>0</v>
      </c>
      <c r="BA87" s="275">
        <f t="shared" si="63"/>
        <v>0</v>
      </c>
      <c r="BB87" s="276"/>
      <c r="BC87" s="274">
        <f>_xlfn.IFNA(IF(I87="Pass",IF(AND(G87&gt;=IFERROR(INDEX($C$5:$W$54,MATCH(C87,$C$5:$C$54,0),5),0),G87&gt;=IFERROR(INDEX(DogInfo!A:B,MATCH(C87&amp;$BC$4,DogInfo!A:A,0),2),0)),G87,IF(AND(IFERROR(INDEX($C$5:$W$54,MATCH(C87,$C$5:$C$54,0),5),0)&gt;=O87,IFERROR(INDEX($C$5:$W$54,MATCH(C87,$C$5:$C$54,0),5),0)&gt;=IFERROR(INDEX(DogInfo!A:B,MATCH(C87&amp;$BC$4,DogInfo!A:A,0),2),0)),IFERROR(INDEX($C$5:$W$54,MATCH(C87,$C$5:$C$54,0),5),0),IF(AND(IFERROR(INDEX(DogInfo!A:B,MATCH(C87&amp;$BC$4,DogInfo!A:A,0),2),0)&gt;=IFERROR(INDEX($C$5:$W$54,MATCH(C87,$C$5:$C$54,0),5),0),IFERROR(INDEX(DogInfo!A:B,MATCH(C87&amp;$BC$4,DogInfo!A:A,0),2),0)&gt;=G87),IFERROR(INDEX(DogInfo!A:B,MATCH(C87&amp;$BC$4,DogInfo!A:A,0),2),0),"Error"))),IFERROR(INDEX($C$5:$BE$54,MATCH(C87,$C$5:$C$54,0),53),IFERROR(INDEX(DogInfo!A:B,MATCH(C87&amp;$BC$4,DogInfo!A:A,0),2),0))),"")</f>
        <v>0</v>
      </c>
      <c r="BD87" s="274">
        <f>_xlfn.IFNA(IF(Q87="Pass",IF(AND(O87&gt;=IFERROR(INDEX($C$5:$W$54,MATCH(C87,$C$5:$C$54,0),13),0),O87&gt;=IFERROR(INDEX(DogInfo!A:B,MATCH(C87&amp;$BD$4,DogInfo!A:A,0),2),0)),O87,IF(AND(IFERROR(INDEX($C$5:$W$54,MATCH(C87,$C$5:$C$54,0),13),0)&gt;=O87,IFERROR(INDEX($C$5:$W$54,MATCH(C87,$C$5:$C$54,0),13),0)&gt;=IFERROR(INDEX(DogInfo!A:B,MATCH(C87&amp;$BD$4,DogInfo!A:A,0),2),0)),IFERROR(INDEX($C$5:$W$54,MATCH(C87,$C$5:$C$54,0),13),0),IF(AND(IFERROR(INDEX(DogInfo!A:B,MATCH(C87&amp;$BD$4,DogInfo!A:A,0),2),0)&gt;=IFERROR(INDEX($C$5:$W$54,MATCH(C87,$C$5:$C$54,0),13),0),IFERROR(INDEX(DogInfo!A:B,MATCH(C87&amp;$BD$4,DogInfo!A:A,0),2),0)&gt;=O87),IFERROR(INDEX(DogInfo!A:B,MATCH(C87&amp;$BD$4,DogInfo!A:A,0),2),0),"Error"))),IFERROR(INDEX($C$5:$BE$54,MATCH(C87,$C$5:$C$54,0),54),IFERROR(INDEX(DogInfo!A:B,MATCH(C87&amp;$BD$4,DogInfo!A:A,0),2),0))),"")</f>
        <v>0</v>
      </c>
      <c r="BE87" s="274">
        <f>_xlfn.IFNA(IF(Y87="Pass",IF(AND(W87&gt;=IFERROR(INDEX($C$5:$W$54,MATCH(C87,$C$5:$C$54,0),21),0),O87&gt;=IFERROR(INDEX(DogInfo!A:B,MATCH(C87&amp;$BE$4,DogInfo!A:A,0),2),0)),W87,IF(AND(IFERROR(INDEX($C$5:$W$54,MATCH(C87,$C$5:$C$54,0),21),0)&gt;=W87,IFERROR(INDEX($C$5:$W$54,MATCH(C87,$C$5:$C$54,0),21),0)&gt;=IFERROR(INDEX(DogInfo!A:B,MATCH(C87&amp;$BE$4,DogInfo!A:A,0),2),0)),IFERROR(INDEX($C$5:$W$54,MATCH(C87,$C$5:$C$54,0),21),0),IF(AND(IFERROR(INDEX(DogInfo!A:B,MATCH(C87&amp;$BE$4,DogInfo!A:A,0),2),0)&gt;=IFERROR(INDEX($C$5:$W$54,MATCH(C87,$C$5:$C$54,0),21),0),IFERROR(INDEX(DogInfo!A:B,MATCH(C87&amp;$BE$4,DogInfo!A:A,0),2),0)&gt;=W87),IFERROR(INDEX(DogInfo!A:B,MATCH(C87&amp;$BE$4,DogInfo!A:A,0),2),0),"Error"))),IFERROR(INDEX($C$5:$BE$54,MATCH(C87,$C$5:$C$54,0),55),IFERROR(INDEX(DogInfo!A:B,MATCH(C87&amp;$BE$4,DogInfo!A:A,0),2),0))),"")</f>
        <v>0</v>
      </c>
    </row>
    <row r="88" spans="1:57" x14ac:dyDescent="0.25">
      <c r="A88" s="99">
        <v>24</v>
      </c>
      <c r="B88" s="100"/>
      <c r="C88" s="101"/>
      <c r="D88" s="102" t="str">
        <f>IF($C88="","",VLOOKUP($C88,'SDDA Dogs'!$A:$F,2,FALSE))</f>
        <v/>
      </c>
      <c r="E88" s="211">
        <f t="shared" si="90"/>
        <v>-1</v>
      </c>
      <c r="F88" s="103" t="str">
        <f>IF($C88="","",IF(ISERROR(VLOOKUP($C88,$C$5:$AP$54,38,FALSE)=TRUE),VLOOKUP($C88,'SDDA Dogs'!$A:$O,10,FALSE),VLOOKUP($C88,$C$5:$AP$54,38,FALSE)))</f>
        <v/>
      </c>
      <c r="G88" s="137"/>
      <c r="H88" s="217"/>
      <c r="I88" s="84" t="str">
        <f t="shared" si="91"/>
        <v/>
      </c>
      <c r="J88" s="105">
        <f t="shared" si="50"/>
        <v>0</v>
      </c>
      <c r="K88" s="84" t="str">
        <f t="shared" si="92"/>
        <v/>
      </c>
      <c r="L88" s="105">
        <f t="shared" si="51"/>
        <v>0</v>
      </c>
      <c r="M88" s="84" t="str">
        <f t="shared" si="93"/>
        <v/>
      </c>
      <c r="N88" s="106" t="str">
        <f>IF($C88="","",IF(ISERROR(VLOOKUP($C88,$C$5:$AP$54,39,FALSE)=TRUE),VLOOKUP($C88,'SDDA Dogs'!$A:$O,11,FALSE),VLOOKUP($C88,$C$5:$AP$54,39,FALSE)))</f>
        <v/>
      </c>
      <c r="O88" s="137"/>
      <c r="P88" s="217"/>
      <c r="Q88" s="84" t="str">
        <f t="shared" si="94"/>
        <v/>
      </c>
      <c r="R88" s="105">
        <f t="shared" si="52"/>
        <v>0</v>
      </c>
      <c r="S88" s="84" t="str">
        <f t="shared" si="95"/>
        <v/>
      </c>
      <c r="T88" s="105">
        <f t="shared" si="53"/>
        <v>0</v>
      </c>
      <c r="U88" s="84" t="str">
        <f t="shared" si="96"/>
        <v/>
      </c>
      <c r="V88" s="106" t="str">
        <f>IF($C88="","",IF(ISERROR(VLOOKUP($C88,$C$5:$AP$54,40,FALSE)=TRUE),VLOOKUP($C88,'SDDA Dogs'!$A:$O,12,FALSE),VLOOKUP($C88,$C$5:$AP$54,40,FALSE)))</f>
        <v/>
      </c>
      <c r="W88" s="137"/>
      <c r="X88" s="217"/>
      <c r="Y88" s="84" t="str">
        <f t="shared" si="97"/>
        <v/>
      </c>
      <c r="Z88" s="105">
        <f t="shared" si="54"/>
        <v>0</v>
      </c>
      <c r="AA88" s="84" t="str">
        <f t="shared" si="98"/>
        <v/>
      </c>
      <c r="AB88" s="105">
        <f t="shared" si="55"/>
        <v>0</v>
      </c>
      <c r="AC88" s="84" t="str">
        <f t="shared" si="99"/>
        <v/>
      </c>
      <c r="AD88" s="92" t="str">
        <f t="shared" si="74"/>
        <v/>
      </c>
      <c r="AE88" s="89" t="str">
        <f t="shared" si="100"/>
        <v/>
      </c>
      <c r="AF88" s="104" t="str">
        <f t="shared" si="101"/>
        <v/>
      </c>
      <c r="AG88" s="107" t="str">
        <f t="shared" si="102"/>
        <v/>
      </c>
      <c r="AH88" s="92" t="str">
        <f t="shared" si="103"/>
        <v/>
      </c>
      <c r="AI88" s="89" t="str">
        <f t="shared" si="104"/>
        <v/>
      </c>
      <c r="AJ88" s="104" t="str">
        <f t="shared" si="105"/>
        <v/>
      </c>
      <c r="AK88" s="84" t="str">
        <f t="shared" si="106"/>
        <v/>
      </c>
      <c r="AL88" s="264" t="str">
        <f t="shared" si="107"/>
        <v/>
      </c>
      <c r="AM88" s="270">
        <f t="shared" si="56"/>
        <v>0</v>
      </c>
      <c r="AN88" s="270" t="str">
        <f t="shared" si="57"/>
        <v/>
      </c>
      <c r="AO88" s="270" t="str">
        <f t="shared" si="58"/>
        <v/>
      </c>
      <c r="AP88" s="270" t="str">
        <f t="shared" si="59"/>
        <v/>
      </c>
      <c r="AQ88" s="270">
        <f t="shared" si="60"/>
        <v>0</v>
      </c>
      <c r="AR88" s="271">
        <f>MIN(IFERROR(VLOOKUP($C88,'SDDA Dogs'!$A:$O,13,FALSE),0),IFERROR(VLOOKUP($C88,'SDDA Dogs'!$A:$O,14,FALSE),0),IFERROR(VLOOKUP($C88,'SDDA Dogs'!$A:$O,15,FALSE),0))</f>
        <v>0</v>
      </c>
      <c r="AS88" s="272"/>
      <c r="AT88" s="272"/>
      <c r="AU88" s="272" t="str">
        <f>IF(ISERROR(VLOOKUP(C88,'SDDA Dogs'!A:O,6,FALSE)),"",VLOOKUP(C88,'SDDA Dogs'!A:O,6,FALSE))</f>
        <v/>
      </c>
      <c r="AV88" s="270">
        <f t="shared" si="108"/>
        <v>0</v>
      </c>
      <c r="AW88" s="270">
        <f t="shared" si="109"/>
        <v>0</v>
      </c>
      <c r="AX88" s="273">
        <f t="shared" si="61"/>
        <v>0</v>
      </c>
      <c r="AY88" s="274"/>
      <c r="AZ88" s="275">
        <f t="shared" si="62"/>
        <v>0</v>
      </c>
      <c r="BA88" s="275">
        <f t="shared" si="63"/>
        <v>0</v>
      </c>
      <c r="BB88" s="276"/>
      <c r="BC88" s="274">
        <f>_xlfn.IFNA(IF(I88="Pass",IF(AND(G88&gt;=IFERROR(INDEX($C$5:$W$54,MATCH(C88,$C$5:$C$54,0),5),0),G88&gt;=IFERROR(INDEX(DogInfo!A:B,MATCH(C88&amp;$BC$4,DogInfo!A:A,0),2),0)),G88,IF(AND(IFERROR(INDEX($C$5:$W$54,MATCH(C88,$C$5:$C$54,0),5),0)&gt;=O88,IFERROR(INDEX($C$5:$W$54,MATCH(C88,$C$5:$C$54,0),5),0)&gt;=IFERROR(INDEX(DogInfo!A:B,MATCH(C88&amp;$BC$4,DogInfo!A:A,0),2),0)),IFERROR(INDEX($C$5:$W$54,MATCH(C88,$C$5:$C$54,0),5),0),IF(AND(IFERROR(INDEX(DogInfo!A:B,MATCH(C88&amp;$BC$4,DogInfo!A:A,0),2),0)&gt;=IFERROR(INDEX($C$5:$W$54,MATCH(C88,$C$5:$C$54,0),5),0),IFERROR(INDEX(DogInfo!A:B,MATCH(C88&amp;$BC$4,DogInfo!A:A,0),2),0)&gt;=G88),IFERROR(INDEX(DogInfo!A:B,MATCH(C88&amp;$BC$4,DogInfo!A:A,0),2),0),"Error"))),IFERROR(INDEX($C$5:$BE$54,MATCH(C88,$C$5:$C$54,0),53),IFERROR(INDEX(DogInfo!A:B,MATCH(C88&amp;$BC$4,DogInfo!A:A,0),2),0))),"")</f>
        <v>0</v>
      </c>
      <c r="BD88" s="274">
        <f>_xlfn.IFNA(IF(Q88="Pass",IF(AND(O88&gt;=IFERROR(INDEX($C$5:$W$54,MATCH(C88,$C$5:$C$54,0),13),0),O88&gt;=IFERROR(INDEX(DogInfo!A:B,MATCH(C88&amp;$BD$4,DogInfo!A:A,0),2),0)),O88,IF(AND(IFERROR(INDEX($C$5:$W$54,MATCH(C88,$C$5:$C$54,0),13),0)&gt;=O88,IFERROR(INDEX($C$5:$W$54,MATCH(C88,$C$5:$C$54,0),13),0)&gt;=IFERROR(INDEX(DogInfo!A:B,MATCH(C88&amp;$BD$4,DogInfo!A:A,0),2),0)),IFERROR(INDEX($C$5:$W$54,MATCH(C88,$C$5:$C$54,0),13),0),IF(AND(IFERROR(INDEX(DogInfo!A:B,MATCH(C88&amp;$BD$4,DogInfo!A:A,0),2),0)&gt;=IFERROR(INDEX($C$5:$W$54,MATCH(C88,$C$5:$C$54,0),13),0),IFERROR(INDEX(DogInfo!A:B,MATCH(C88&amp;$BD$4,DogInfo!A:A,0),2),0)&gt;=O88),IFERROR(INDEX(DogInfo!A:B,MATCH(C88&amp;$BD$4,DogInfo!A:A,0),2),0),"Error"))),IFERROR(INDEX($C$5:$BE$54,MATCH(C88,$C$5:$C$54,0),54),IFERROR(INDEX(DogInfo!A:B,MATCH(C88&amp;$BD$4,DogInfo!A:A,0),2),0))),"")</f>
        <v>0</v>
      </c>
      <c r="BE88" s="274">
        <f>_xlfn.IFNA(IF(Y88="Pass",IF(AND(W88&gt;=IFERROR(INDEX($C$5:$W$54,MATCH(C88,$C$5:$C$54,0),21),0),O88&gt;=IFERROR(INDEX(DogInfo!A:B,MATCH(C88&amp;$BE$4,DogInfo!A:A,0),2),0)),W88,IF(AND(IFERROR(INDEX($C$5:$W$54,MATCH(C88,$C$5:$C$54,0),21),0)&gt;=W88,IFERROR(INDEX($C$5:$W$54,MATCH(C88,$C$5:$C$54,0),21),0)&gt;=IFERROR(INDEX(DogInfo!A:B,MATCH(C88&amp;$BE$4,DogInfo!A:A,0),2),0)),IFERROR(INDEX($C$5:$W$54,MATCH(C88,$C$5:$C$54,0),21),0),IF(AND(IFERROR(INDEX(DogInfo!A:B,MATCH(C88&amp;$BE$4,DogInfo!A:A,0),2),0)&gt;=IFERROR(INDEX($C$5:$W$54,MATCH(C88,$C$5:$C$54,0),21),0),IFERROR(INDEX(DogInfo!A:B,MATCH(C88&amp;$BE$4,DogInfo!A:A,0),2),0)&gt;=W88),IFERROR(INDEX(DogInfo!A:B,MATCH(C88&amp;$BE$4,DogInfo!A:A,0),2),0),"Error"))),IFERROR(INDEX($C$5:$BE$54,MATCH(C88,$C$5:$C$54,0),55),IFERROR(INDEX(DogInfo!A:B,MATCH(C88&amp;$BE$4,DogInfo!A:A,0),2),0))),"")</f>
        <v>0</v>
      </c>
    </row>
    <row r="89" spans="1:57" x14ac:dyDescent="0.25">
      <c r="A89" s="99">
        <v>25</v>
      </c>
      <c r="B89" s="100"/>
      <c r="C89" s="101"/>
      <c r="D89" s="102" t="str">
        <f>IF($C89="","",VLOOKUP($C89,'SDDA Dogs'!$A:$F,2,FALSE))</f>
        <v/>
      </c>
      <c r="E89" s="211">
        <f t="shared" si="90"/>
        <v>-1</v>
      </c>
      <c r="F89" s="103" t="str">
        <f>IF($C89="","",IF(ISERROR(VLOOKUP($C89,$C$5:$AP$54,38,FALSE)=TRUE),VLOOKUP($C89,'SDDA Dogs'!$A:$O,10,FALSE),VLOOKUP($C89,$C$5:$AP$54,38,FALSE)))</f>
        <v/>
      </c>
      <c r="G89" s="137"/>
      <c r="H89" s="217"/>
      <c r="I89" s="84" t="str">
        <f t="shared" si="91"/>
        <v/>
      </c>
      <c r="J89" s="105">
        <f t="shared" si="50"/>
        <v>0</v>
      </c>
      <c r="K89" s="84" t="str">
        <f t="shared" si="92"/>
        <v/>
      </c>
      <c r="L89" s="105">
        <f t="shared" si="51"/>
        <v>0</v>
      </c>
      <c r="M89" s="84" t="str">
        <f t="shared" si="93"/>
        <v/>
      </c>
      <c r="N89" s="106" t="str">
        <f>IF($C89="","",IF(ISERROR(VLOOKUP($C89,$C$5:$AP$54,39,FALSE)=TRUE),VLOOKUP($C89,'SDDA Dogs'!$A:$O,11,FALSE),VLOOKUP($C89,$C$5:$AP$54,39,FALSE)))</f>
        <v/>
      </c>
      <c r="O89" s="137"/>
      <c r="P89" s="217"/>
      <c r="Q89" s="84" t="str">
        <f t="shared" si="94"/>
        <v/>
      </c>
      <c r="R89" s="105">
        <f t="shared" si="52"/>
        <v>0</v>
      </c>
      <c r="S89" s="84" t="str">
        <f t="shared" si="95"/>
        <v/>
      </c>
      <c r="T89" s="105">
        <f t="shared" si="53"/>
        <v>0</v>
      </c>
      <c r="U89" s="84" t="str">
        <f t="shared" si="96"/>
        <v/>
      </c>
      <c r="V89" s="106" t="str">
        <f>IF($C89="","",IF(ISERROR(VLOOKUP($C89,$C$5:$AP$54,40,FALSE)=TRUE),VLOOKUP($C89,'SDDA Dogs'!$A:$O,12,FALSE),VLOOKUP($C89,$C$5:$AP$54,40,FALSE)))</f>
        <v/>
      </c>
      <c r="W89" s="137"/>
      <c r="X89" s="217"/>
      <c r="Y89" s="84" t="str">
        <f t="shared" si="97"/>
        <v/>
      </c>
      <c r="Z89" s="105">
        <f t="shared" si="54"/>
        <v>0</v>
      </c>
      <c r="AA89" s="84" t="str">
        <f t="shared" si="98"/>
        <v/>
      </c>
      <c r="AB89" s="105">
        <f t="shared" si="55"/>
        <v>0</v>
      </c>
      <c r="AC89" s="84" t="str">
        <f t="shared" si="99"/>
        <v/>
      </c>
      <c r="AD89" s="92" t="str">
        <f t="shared" si="74"/>
        <v/>
      </c>
      <c r="AE89" s="89" t="str">
        <f t="shared" si="100"/>
        <v/>
      </c>
      <c r="AF89" s="104" t="str">
        <f t="shared" si="101"/>
        <v/>
      </c>
      <c r="AG89" s="107" t="str">
        <f t="shared" si="102"/>
        <v/>
      </c>
      <c r="AH89" s="92" t="str">
        <f t="shared" si="103"/>
        <v/>
      </c>
      <c r="AI89" s="89" t="str">
        <f t="shared" si="104"/>
        <v/>
      </c>
      <c r="AJ89" s="104" t="str">
        <f t="shared" si="105"/>
        <v/>
      </c>
      <c r="AK89" s="84" t="str">
        <f t="shared" si="106"/>
        <v/>
      </c>
      <c r="AL89" s="265" t="str">
        <f t="shared" si="107"/>
        <v/>
      </c>
      <c r="AM89" s="270">
        <f t="shared" si="56"/>
        <v>0</v>
      </c>
      <c r="AN89" s="270" t="str">
        <f t="shared" si="57"/>
        <v/>
      </c>
      <c r="AO89" s="270" t="str">
        <f t="shared" si="58"/>
        <v/>
      </c>
      <c r="AP89" s="270" t="str">
        <f t="shared" si="59"/>
        <v/>
      </c>
      <c r="AQ89" s="270">
        <f t="shared" si="60"/>
        <v>0</v>
      </c>
      <c r="AR89" s="271">
        <f>MIN(IFERROR(VLOOKUP($C89,'SDDA Dogs'!$A:$O,13,FALSE),0),IFERROR(VLOOKUP($C89,'SDDA Dogs'!$A:$O,14,FALSE),0),IFERROR(VLOOKUP($C89,'SDDA Dogs'!$A:$O,15,FALSE),0))</f>
        <v>0</v>
      </c>
      <c r="AS89" s="272"/>
      <c r="AT89" s="272"/>
      <c r="AU89" s="272" t="str">
        <f>IF(ISERROR(VLOOKUP(C89,'SDDA Dogs'!A:O,6,FALSE)),"",VLOOKUP(C89,'SDDA Dogs'!A:O,6,FALSE))</f>
        <v/>
      </c>
      <c r="AV89" s="270">
        <f t="shared" si="108"/>
        <v>0</v>
      </c>
      <c r="AW89" s="270">
        <f t="shared" si="109"/>
        <v>0</v>
      </c>
      <c r="AX89" s="273">
        <f t="shared" si="61"/>
        <v>0</v>
      </c>
      <c r="AY89" s="274"/>
      <c r="AZ89" s="275">
        <f t="shared" si="62"/>
        <v>0</v>
      </c>
      <c r="BA89" s="275">
        <f t="shared" si="63"/>
        <v>0</v>
      </c>
      <c r="BB89" s="276"/>
      <c r="BC89" s="274">
        <f>_xlfn.IFNA(IF(I89="Pass",IF(AND(G89&gt;=IFERROR(INDEX($C$5:$W$54,MATCH(C89,$C$5:$C$54,0),5),0),G89&gt;=IFERROR(INDEX(DogInfo!A:B,MATCH(C89&amp;$BC$4,DogInfo!A:A,0),2),0)),G89,IF(AND(IFERROR(INDEX($C$5:$W$54,MATCH(C89,$C$5:$C$54,0),5),0)&gt;=O89,IFERROR(INDEX($C$5:$W$54,MATCH(C89,$C$5:$C$54,0),5),0)&gt;=IFERROR(INDEX(DogInfo!A:B,MATCH(C89&amp;$BC$4,DogInfo!A:A,0),2),0)),IFERROR(INDEX($C$5:$W$54,MATCH(C89,$C$5:$C$54,0),5),0),IF(AND(IFERROR(INDEX(DogInfo!A:B,MATCH(C89&amp;$BC$4,DogInfo!A:A,0),2),0)&gt;=IFERROR(INDEX($C$5:$W$54,MATCH(C89,$C$5:$C$54,0),5),0),IFERROR(INDEX(DogInfo!A:B,MATCH(C89&amp;$BC$4,DogInfo!A:A,0),2),0)&gt;=G89),IFERROR(INDEX(DogInfo!A:B,MATCH(C89&amp;$BC$4,DogInfo!A:A,0),2),0),"Error"))),IFERROR(INDEX($C$5:$BE$54,MATCH(C89,$C$5:$C$54,0),53),IFERROR(INDEX(DogInfo!A:B,MATCH(C89&amp;$BC$4,DogInfo!A:A,0),2),0))),"")</f>
        <v>0</v>
      </c>
      <c r="BD89" s="274">
        <f>_xlfn.IFNA(IF(Q89="Pass",IF(AND(O89&gt;=IFERROR(INDEX($C$5:$W$54,MATCH(C89,$C$5:$C$54,0),13),0),O89&gt;=IFERROR(INDEX(DogInfo!A:B,MATCH(C89&amp;$BD$4,DogInfo!A:A,0),2),0)),O89,IF(AND(IFERROR(INDEX($C$5:$W$54,MATCH(C89,$C$5:$C$54,0),13),0)&gt;=O89,IFERROR(INDEX($C$5:$W$54,MATCH(C89,$C$5:$C$54,0),13),0)&gt;=IFERROR(INDEX(DogInfo!A:B,MATCH(C89&amp;$BD$4,DogInfo!A:A,0),2),0)),IFERROR(INDEX($C$5:$W$54,MATCH(C89,$C$5:$C$54,0),13),0),IF(AND(IFERROR(INDEX(DogInfo!A:B,MATCH(C89&amp;$BD$4,DogInfo!A:A,0),2),0)&gt;=IFERROR(INDEX($C$5:$W$54,MATCH(C89,$C$5:$C$54,0),13),0),IFERROR(INDEX(DogInfo!A:B,MATCH(C89&amp;$BD$4,DogInfo!A:A,0),2),0)&gt;=O89),IFERROR(INDEX(DogInfo!A:B,MATCH(C89&amp;$BD$4,DogInfo!A:A,0),2),0),"Error"))),IFERROR(INDEX($C$5:$BE$54,MATCH(C89,$C$5:$C$54,0),54),IFERROR(INDEX(DogInfo!A:B,MATCH(C89&amp;$BD$4,DogInfo!A:A,0),2),0))),"")</f>
        <v>0</v>
      </c>
      <c r="BE89" s="274">
        <f>_xlfn.IFNA(IF(Y89="Pass",IF(AND(W89&gt;=IFERROR(INDEX($C$5:$W$54,MATCH(C89,$C$5:$C$54,0),21),0),O89&gt;=IFERROR(INDEX(DogInfo!A:B,MATCH(C89&amp;$BE$4,DogInfo!A:A,0),2),0)),W89,IF(AND(IFERROR(INDEX($C$5:$W$54,MATCH(C89,$C$5:$C$54,0),21),0)&gt;=W89,IFERROR(INDEX($C$5:$W$54,MATCH(C89,$C$5:$C$54,0),21),0)&gt;=IFERROR(INDEX(DogInfo!A:B,MATCH(C89&amp;$BE$4,DogInfo!A:A,0),2),0)),IFERROR(INDEX($C$5:$W$54,MATCH(C89,$C$5:$C$54,0),21),0),IF(AND(IFERROR(INDEX(DogInfo!A:B,MATCH(C89&amp;$BE$4,DogInfo!A:A,0),2),0)&gt;=IFERROR(INDEX($C$5:$W$54,MATCH(C89,$C$5:$C$54,0),21),0),IFERROR(INDEX(DogInfo!A:B,MATCH(C89&amp;$BE$4,DogInfo!A:A,0),2),0)&gt;=W89),IFERROR(INDEX(DogInfo!A:B,MATCH(C89&amp;$BE$4,DogInfo!A:A,0),2),0),"Error"))),IFERROR(INDEX($C$5:$BE$54,MATCH(C89,$C$5:$C$54,0),55),IFERROR(INDEX(DogInfo!A:B,MATCH(C89&amp;$BE$4,DogInfo!A:A,0),2),0))),"")</f>
        <v>0</v>
      </c>
    </row>
    <row r="90" spans="1:57" x14ac:dyDescent="0.25">
      <c r="A90" s="99">
        <v>26</v>
      </c>
      <c r="B90" s="100"/>
      <c r="C90" s="101"/>
      <c r="D90" s="102" t="str">
        <f>IF($C90="","",VLOOKUP($C90,'SDDA Dogs'!$A:$F,2,FALSE))</f>
        <v/>
      </c>
      <c r="E90" s="211">
        <f t="shared" si="90"/>
        <v>-1</v>
      </c>
      <c r="F90" s="103" t="str">
        <f>IF($C90="","",IF(ISERROR(VLOOKUP($C90,$C$5:$AP$54,38,FALSE)=TRUE),VLOOKUP($C90,'SDDA Dogs'!$A:$O,10,FALSE),VLOOKUP($C90,$C$5:$AP$54,38,FALSE)))</f>
        <v/>
      </c>
      <c r="G90" s="137"/>
      <c r="H90" s="217"/>
      <c r="I90" s="84" t="str">
        <f t="shared" si="91"/>
        <v/>
      </c>
      <c r="J90" s="105">
        <f t="shared" si="50"/>
        <v>0</v>
      </c>
      <c r="K90" s="84" t="str">
        <f t="shared" si="92"/>
        <v/>
      </c>
      <c r="L90" s="105">
        <f t="shared" si="51"/>
        <v>0</v>
      </c>
      <c r="M90" s="84" t="str">
        <f t="shared" si="93"/>
        <v/>
      </c>
      <c r="N90" s="106" t="str">
        <f>IF($C90="","",IF(ISERROR(VLOOKUP($C90,$C$5:$AP$54,39,FALSE)=TRUE),VLOOKUP($C90,'SDDA Dogs'!$A:$O,11,FALSE),VLOOKUP($C90,$C$5:$AP$54,39,FALSE)))</f>
        <v/>
      </c>
      <c r="O90" s="137"/>
      <c r="P90" s="217"/>
      <c r="Q90" s="84" t="str">
        <f t="shared" si="94"/>
        <v/>
      </c>
      <c r="R90" s="105">
        <f t="shared" si="52"/>
        <v>0</v>
      </c>
      <c r="S90" s="84" t="str">
        <f t="shared" si="95"/>
        <v/>
      </c>
      <c r="T90" s="105">
        <f t="shared" si="53"/>
        <v>0</v>
      </c>
      <c r="U90" s="84" t="str">
        <f t="shared" si="96"/>
        <v/>
      </c>
      <c r="V90" s="106" t="str">
        <f>IF($C90="","",IF(ISERROR(VLOOKUP($C90,$C$5:$AP$54,40,FALSE)=TRUE),VLOOKUP($C90,'SDDA Dogs'!$A:$O,12,FALSE),VLOOKUP($C90,$C$5:$AP$54,40,FALSE)))</f>
        <v/>
      </c>
      <c r="W90" s="137"/>
      <c r="X90" s="217"/>
      <c r="Y90" s="84" t="str">
        <f t="shared" si="97"/>
        <v/>
      </c>
      <c r="Z90" s="105">
        <f t="shared" si="54"/>
        <v>0</v>
      </c>
      <c r="AA90" s="84" t="str">
        <f t="shared" si="98"/>
        <v/>
      </c>
      <c r="AB90" s="105">
        <f t="shared" si="55"/>
        <v>0</v>
      </c>
      <c r="AC90" s="84" t="str">
        <f t="shared" si="99"/>
        <v/>
      </c>
      <c r="AD90" s="92" t="str">
        <f t="shared" si="74"/>
        <v/>
      </c>
      <c r="AE90" s="89" t="str">
        <f t="shared" si="100"/>
        <v/>
      </c>
      <c r="AF90" s="104" t="str">
        <f t="shared" si="101"/>
        <v/>
      </c>
      <c r="AG90" s="107" t="str">
        <f t="shared" si="102"/>
        <v/>
      </c>
      <c r="AH90" s="92" t="str">
        <f t="shared" si="103"/>
        <v/>
      </c>
      <c r="AI90" s="89" t="str">
        <f t="shared" si="104"/>
        <v/>
      </c>
      <c r="AJ90" s="104" t="str">
        <f t="shared" si="105"/>
        <v/>
      </c>
      <c r="AK90" s="84" t="str">
        <f t="shared" si="106"/>
        <v/>
      </c>
      <c r="AL90" s="265" t="str">
        <f t="shared" si="107"/>
        <v/>
      </c>
      <c r="AM90" s="270">
        <f t="shared" si="56"/>
        <v>0</v>
      </c>
      <c r="AN90" s="270" t="str">
        <f t="shared" si="57"/>
        <v/>
      </c>
      <c r="AO90" s="270" t="str">
        <f t="shared" si="58"/>
        <v/>
      </c>
      <c r="AP90" s="270" t="str">
        <f t="shared" si="59"/>
        <v/>
      </c>
      <c r="AQ90" s="270">
        <f t="shared" si="60"/>
        <v>0</v>
      </c>
      <c r="AR90" s="271">
        <f>MIN(IFERROR(VLOOKUP($C90,'SDDA Dogs'!$A:$O,13,FALSE),0),IFERROR(VLOOKUP($C90,'SDDA Dogs'!$A:$O,14,FALSE),0),IFERROR(VLOOKUP($C90,'SDDA Dogs'!$A:$O,15,FALSE),0))</f>
        <v>0</v>
      </c>
      <c r="AS90" s="272"/>
      <c r="AT90" s="272"/>
      <c r="AU90" s="272" t="str">
        <f>IF(ISERROR(VLOOKUP(C90,'SDDA Dogs'!A:O,6,FALSE)),"",VLOOKUP(C90,'SDDA Dogs'!A:O,6,FALSE))</f>
        <v/>
      </c>
      <c r="AV90" s="270">
        <f t="shared" si="108"/>
        <v>0</v>
      </c>
      <c r="AW90" s="270">
        <f t="shared" si="109"/>
        <v>0</v>
      </c>
      <c r="AX90" s="273">
        <f t="shared" si="61"/>
        <v>0</v>
      </c>
      <c r="AY90" s="274"/>
      <c r="AZ90" s="275">
        <f t="shared" si="62"/>
        <v>0</v>
      </c>
      <c r="BA90" s="275">
        <f t="shared" si="63"/>
        <v>0</v>
      </c>
      <c r="BB90" s="276"/>
      <c r="BC90" s="274">
        <f>_xlfn.IFNA(IF(I90="Pass",IF(AND(G90&gt;=IFERROR(INDEX($C$5:$W$54,MATCH(C90,$C$5:$C$54,0),5),0),G90&gt;=IFERROR(INDEX(DogInfo!A:B,MATCH(C90&amp;$BC$4,DogInfo!A:A,0),2),0)),G90,IF(AND(IFERROR(INDEX($C$5:$W$54,MATCH(C90,$C$5:$C$54,0),5),0)&gt;=O90,IFERROR(INDEX($C$5:$W$54,MATCH(C90,$C$5:$C$54,0),5),0)&gt;=IFERROR(INDEX(DogInfo!A:B,MATCH(C90&amp;$BC$4,DogInfo!A:A,0),2),0)),IFERROR(INDEX($C$5:$W$54,MATCH(C90,$C$5:$C$54,0),5),0),IF(AND(IFERROR(INDEX(DogInfo!A:B,MATCH(C90&amp;$BC$4,DogInfo!A:A,0),2),0)&gt;=IFERROR(INDEX($C$5:$W$54,MATCH(C90,$C$5:$C$54,0),5),0),IFERROR(INDEX(DogInfo!A:B,MATCH(C90&amp;$BC$4,DogInfo!A:A,0),2),0)&gt;=G90),IFERROR(INDEX(DogInfo!A:B,MATCH(C90&amp;$BC$4,DogInfo!A:A,0),2),0),"Error"))),IFERROR(INDEX($C$5:$BE$54,MATCH(C90,$C$5:$C$54,0),53),IFERROR(INDEX(DogInfo!A:B,MATCH(C90&amp;$BC$4,DogInfo!A:A,0),2),0))),"")</f>
        <v>0</v>
      </c>
      <c r="BD90" s="274">
        <f>_xlfn.IFNA(IF(Q90="Pass",IF(AND(O90&gt;=IFERROR(INDEX($C$5:$W$54,MATCH(C90,$C$5:$C$54,0),13),0),O90&gt;=IFERROR(INDEX(DogInfo!A:B,MATCH(C90&amp;$BD$4,DogInfo!A:A,0),2),0)),O90,IF(AND(IFERROR(INDEX($C$5:$W$54,MATCH(C90,$C$5:$C$54,0),13),0)&gt;=O90,IFERROR(INDEX($C$5:$W$54,MATCH(C90,$C$5:$C$54,0),13),0)&gt;=IFERROR(INDEX(DogInfo!A:B,MATCH(C90&amp;$BD$4,DogInfo!A:A,0),2),0)),IFERROR(INDEX($C$5:$W$54,MATCH(C90,$C$5:$C$54,0),13),0),IF(AND(IFERROR(INDEX(DogInfo!A:B,MATCH(C90&amp;$BD$4,DogInfo!A:A,0),2),0)&gt;=IFERROR(INDEX($C$5:$W$54,MATCH(C90,$C$5:$C$54,0),13),0),IFERROR(INDEX(DogInfo!A:B,MATCH(C90&amp;$BD$4,DogInfo!A:A,0),2),0)&gt;=O90),IFERROR(INDEX(DogInfo!A:B,MATCH(C90&amp;$BD$4,DogInfo!A:A,0),2),0),"Error"))),IFERROR(INDEX($C$5:$BE$54,MATCH(C90,$C$5:$C$54,0),54),IFERROR(INDEX(DogInfo!A:B,MATCH(C90&amp;$BD$4,DogInfo!A:A,0),2),0))),"")</f>
        <v>0</v>
      </c>
      <c r="BE90" s="274">
        <f>_xlfn.IFNA(IF(Y90="Pass",IF(AND(W90&gt;=IFERROR(INDEX($C$5:$W$54,MATCH(C90,$C$5:$C$54,0),21),0),O90&gt;=IFERROR(INDEX(DogInfo!A:B,MATCH(C90&amp;$BE$4,DogInfo!A:A,0),2),0)),W90,IF(AND(IFERROR(INDEX($C$5:$W$54,MATCH(C90,$C$5:$C$54,0),21),0)&gt;=W90,IFERROR(INDEX($C$5:$W$54,MATCH(C90,$C$5:$C$54,0),21),0)&gt;=IFERROR(INDEX(DogInfo!A:B,MATCH(C90&amp;$BE$4,DogInfo!A:A,0),2),0)),IFERROR(INDEX($C$5:$W$54,MATCH(C90,$C$5:$C$54,0),21),0),IF(AND(IFERROR(INDEX(DogInfo!A:B,MATCH(C90&amp;$BE$4,DogInfo!A:A,0),2),0)&gt;=IFERROR(INDEX($C$5:$W$54,MATCH(C90,$C$5:$C$54,0),21),0),IFERROR(INDEX(DogInfo!A:B,MATCH(C90&amp;$BE$4,DogInfo!A:A,0),2),0)&gt;=W90),IFERROR(INDEX(DogInfo!A:B,MATCH(C90&amp;$BE$4,DogInfo!A:A,0),2),0),"Error"))),IFERROR(INDEX($C$5:$BE$54,MATCH(C90,$C$5:$C$54,0),55),IFERROR(INDEX(DogInfo!A:B,MATCH(C90&amp;$BE$4,DogInfo!A:A,0),2),0))),"")</f>
        <v>0</v>
      </c>
    </row>
    <row r="91" spans="1:57" x14ac:dyDescent="0.25">
      <c r="A91" s="99">
        <v>27</v>
      </c>
      <c r="B91" s="100"/>
      <c r="C91" s="101"/>
      <c r="D91" s="102" t="str">
        <f>IF($C91="","",VLOOKUP($C91,'SDDA Dogs'!$A:$F,2,FALSE))</f>
        <v/>
      </c>
      <c r="E91" s="211">
        <f t="shared" si="90"/>
        <v>-1</v>
      </c>
      <c r="F91" s="103" t="str">
        <f>IF($C91="","",IF(ISERROR(VLOOKUP($C91,$C$5:$AP$54,38,FALSE)=TRUE),VLOOKUP($C91,'SDDA Dogs'!$A:$O,10,FALSE),VLOOKUP($C91,$C$5:$AP$54,38,FALSE)))</f>
        <v/>
      </c>
      <c r="G91" s="137"/>
      <c r="H91" s="217"/>
      <c r="I91" s="84" t="str">
        <f t="shared" si="91"/>
        <v/>
      </c>
      <c r="J91" s="105">
        <f t="shared" si="50"/>
        <v>0</v>
      </c>
      <c r="K91" s="84" t="str">
        <f t="shared" si="92"/>
        <v/>
      </c>
      <c r="L91" s="105">
        <f t="shared" si="51"/>
        <v>0</v>
      </c>
      <c r="M91" s="84" t="str">
        <f t="shared" si="93"/>
        <v/>
      </c>
      <c r="N91" s="106" t="str">
        <f>IF($C91="","",IF(ISERROR(VLOOKUP($C91,$C$5:$AP$54,39,FALSE)=TRUE),VLOOKUP($C91,'SDDA Dogs'!$A:$O,11,FALSE),VLOOKUP($C91,$C$5:$AP$54,39,FALSE)))</f>
        <v/>
      </c>
      <c r="O91" s="137"/>
      <c r="P91" s="217"/>
      <c r="Q91" s="84" t="str">
        <f t="shared" si="94"/>
        <v/>
      </c>
      <c r="R91" s="105">
        <f t="shared" si="52"/>
        <v>0</v>
      </c>
      <c r="S91" s="84" t="str">
        <f t="shared" si="95"/>
        <v/>
      </c>
      <c r="T91" s="105">
        <f t="shared" si="53"/>
        <v>0</v>
      </c>
      <c r="U91" s="84" t="str">
        <f t="shared" si="96"/>
        <v/>
      </c>
      <c r="V91" s="106" t="str">
        <f>IF($C91="","",IF(ISERROR(VLOOKUP($C91,$C$5:$AP$54,40,FALSE)=TRUE),VLOOKUP($C91,'SDDA Dogs'!$A:$O,12,FALSE),VLOOKUP($C91,$C$5:$AP$54,40,FALSE)))</f>
        <v/>
      </c>
      <c r="W91" s="137"/>
      <c r="X91" s="217"/>
      <c r="Y91" s="84" t="str">
        <f t="shared" si="97"/>
        <v/>
      </c>
      <c r="Z91" s="105">
        <f t="shared" si="54"/>
        <v>0</v>
      </c>
      <c r="AA91" s="84" t="str">
        <f t="shared" si="98"/>
        <v/>
      </c>
      <c r="AB91" s="105">
        <f t="shared" si="55"/>
        <v>0</v>
      </c>
      <c r="AC91" s="84" t="str">
        <f t="shared" si="99"/>
        <v/>
      </c>
      <c r="AD91" s="92" t="str">
        <f t="shared" si="74"/>
        <v/>
      </c>
      <c r="AE91" s="89" t="str">
        <f t="shared" si="100"/>
        <v/>
      </c>
      <c r="AF91" s="104" t="str">
        <f t="shared" si="101"/>
        <v/>
      </c>
      <c r="AG91" s="107" t="str">
        <f t="shared" si="102"/>
        <v/>
      </c>
      <c r="AH91" s="92" t="str">
        <f t="shared" si="103"/>
        <v/>
      </c>
      <c r="AI91" s="89" t="str">
        <f t="shared" si="104"/>
        <v/>
      </c>
      <c r="AJ91" s="104" t="str">
        <f t="shared" si="105"/>
        <v/>
      </c>
      <c r="AK91" s="84" t="str">
        <f t="shared" si="106"/>
        <v/>
      </c>
      <c r="AL91" s="265" t="str">
        <f t="shared" si="107"/>
        <v/>
      </c>
      <c r="AM91" s="270">
        <f t="shared" si="56"/>
        <v>0</v>
      </c>
      <c r="AN91" s="270" t="str">
        <f t="shared" si="57"/>
        <v/>
      </c>
      <c r="AO91" s="270" t="str">
        <f t="shared" si="58"/>
        <v/>
      </c>
      <c r="AP91" s="270" t="str">
        <f t="shared" si="59"/>
        <v/>
      </c>
      <c r="AQ91" s="270">
        <f t="shared" si="60"/>
        <v>0</v>
      </c>
      <c r="AR91" s="271">
        <f>MIN(IFERROR(VLOOKUP($C91,'SDDA Dogs'!$A:$O,13,FALSE),0),IFERROR(VLOOKUP($C91,'SDDA Dogs'!$A:$O,14,FALSE),0),IFERROR(VLOOKUP($C91,'SDDA Dogs'!$A:$O,15,FALSE),0))</f>
        <v>0</v>
      </c>
      <c r="AS91" s="272"/>
      <c r="AT91" s="272"/>
      <c r="AU91" s="272" t="str">
        <f>IF(ISERROR(VLOOKUP(C91,'SDDA Dogs'!A:O,6,FALSE)),"",VLOOKUP(C91,'SDDA Dogs'!A:O,6,FALSE))</f>
        <v/>
      </c>
      <c r="AV91" s="270">
        <f t="shared" si="108"/>
        <v>0</v>
      </c>
      <c r="AW91" s="270">
        <f t="shared" si="109"/>
        <v>0</v>
      </c>
      <c r="AX91" s="273">
        <f t="shared" si="61"/>
        <v>0</v>
      </c>
      <c r="AY91" s="274"/>
      <c r="AZ91" s="275">
        <f t="shared" si="62"/>
        <v>0</v>
      </c>
      <c r="BA91" s="275">
        <f t="shared" si="63"/>
        <v>0</v>
      </c>
      <c r="BB91" s="276"/>
      <c r="BC91" s="274">
        <f>_xlfn.IFNA(IF(I91="Pass",IF(AND(G91&gt;=IFERROR(INDEX($C$5:$W$54,MATCH(C91,$C$5:$C$54,0),5),0),G91&gt;=IFERROR(INDEX(DogInfo!A:B,MATCH(C91&amp;$BC$4,DogInfo!A:A,0),2),0)),G91,IF(AND(IFERROR(INDEX($C$5:$W$54,MATCH(C91,$C$5:$C$54,0),5),0)&gt;=O91,IFERROR(INDEX($C$5:$W$54,MATCH(C91,$C$5:$C$54,0),5),0)&gt;=IFERROR(INDEX(DogInfo!A:B,MATCH(C91&amp;$BC$4,DogInfo!A:A,0),2),0)),IFERROR(INDEX($C$5:$W$54,MATCH(C91,$C$5:$C$54,0),5),0),IF(AND(IFERROR(INDEX(DogInfo!A:B,MATCH(C91&amp;$BC$4,DogInfo!A:A,0),2),0)&gt;=IFERROR(INDEX($C$5:$W$54,MATCH(C91,$C$5:$C$54,0),5),0),IFERROR(INDEX(DogInfo!A:B,MATCH(C91&amp;$BC$4,DogInfo!A:A,0),2),0)&gt;=G91),IFERROR(INDEX(DogInfo!A:B,MATCH(C91&amp;$BC$4,DogInfo!A:A,0),2),0),"Error"))),IFERROR(INDEX($C$5:$BE$54,MATCH(C91,$C$5:$C$54,0),53),IFERROR(INDEX(DogInfo!A:B,MATCH(C91&amp;$BC$4,DogInfo!A:A,0),2),0))),"")</f>
        <v>0</v>
      </c>
      <c r="BD91" s="274">
        <f>_xlfn.IFNA(IF(Q91="Pass",IF(AND(O91&gt;=IFERROR(INDEX($C$5:$W$54,MATCH(C91,$C$5:$C$54,0),13),0),O91&gt;=IFERROR(INDEX(DogInfo!A:B,MATCH(C91&amp;$BD$4,DogInfo!A:A,0),2),0)),O91,IF(AND(IFERROR(INDEX($C$5:$W$54,MATCH(C91,$C$5:$C$54,0),13),0)&gt;=O91,IFERROR(INDEX($C$5:$W$54,MATCH(C91,$C$5:$C$54,0),13),0)&gt;=IFERROR(INDEX(DogInfo!A:B,MATCH(C91&amp;$BD$4,DogInfo!A:A,0),2),0)),IFERROR(INDEX($C$5:$W$54,MATCH(C91,$C$5:$C$54,0),13),0),IF(AND(IFERROR(INDEX(DogInfo!A:B,MATCH(C91&amp;$BD$4,DogInfo!A:A,0),2),0)&gt;=IFERROR(INDEX($C$5:$W$54,MATCH(C91,$C$5:$C$54,0),13),0),IFERROR(INDEX(DogInfo!A:B,MATCH(C91&amp;$BD$4,DogInfo!A:A,0),2),0)&gt;=O91),IFERROR(INDEX(DogInfo!A:B,MATCH(C91&amp;$BD$4,DogInfo!A:A,0),2),0),"Error"))),IFERROR(INDEX($C$5:$BE$54,MATCH(C91,$C$5:$C$54,0),54),IFERROR(INDEX(DogInfo!A:B,MATCH(C91&amp;$BD$4,DogInfo!A:A,0),2),0))),"")</f>
        <v>0</v>
      </c>
      <c r="BE91" s="274">
        <f>_xlfn.IFNA(IF(Y91="Pass",IF(AND(W91&gt;=IFERROR(INDEX($C$5:$W$54,MATCH(C91,$C$5:$C$54,0),21),0),O91&gt;=IFERROR(INDEX(DogInfo!A:B,MATCH(C91&amp;$BE$4,DogInfo!A:A,0),2),0)),W91,IF(AND(IFERROR(INDEX($C$5:$W$54,MATCH(C91,$C$5:$C$54,0),21),0)&gt;=W91,IFERROR(INDEX($C$5:$W$54,MATCH(C91,$C$5:$C$54,0),21),0)&gt;=IFERROR(INDEX(DogInfo!A:B,MATCH(C91&amp;$BE$4,DogInfo!A:A,0),2),0)),IFERROR(INDEX($C$5:$W$54,MATCH(C91,$C$5:$C$54,0),21),0),IF(AND(IFERROR(INDEX(DogInfo!A:B,MATCH(C91&amp;$BE$4,DogInfo!A:A,0),2),0)&gt;=IFERROR(INDEX($C$5:$W$54,MATCH(C91,$C$5:$C$54,0),21),0),IFERROR(INDEX(DogInfo!A:B,MATCH(C91&amp;$BE$4,DogInfo!A:A,0),2),0)&gt;=W91),IFERROR(INDEX(DogInfo!A:B,MATCH(C91&amp;$BE$4,DogInfo!A:A,0),2),0),"Error"))),IFERROR(INDEX($C$5:$BE$54,MATCH(C91,$C$5:$C$54,0),55),IFERROR(INDEX(DogInfo!A:B,MATCH(C91&amp;$BE$4,DogInfo!A:A,0),2),0))),"")</f>
        <v>0</v>
      </c>
    </row>
    <row r="92" spans="1:57" x14ac:dyDescent="0.25">
      <c r="A92" s="99">
        <v>28</v>
      </c>
      <c r="B92" s="100"/>
      <c r="C92" s="101"/>
      <c r="D92" s="102" t="str">
        <f>IF($C92="","",VLOOKUP($C92,'SDDA Dogs'!$A:$F,2,FALSE))</f>
        <v/>
      </c>
      <c r="E92" s="211">
        <f t="shared" si="90"/>
        <v>-1</v>
      </c>
      <c r="F92" s="103" t="str">
        <f>IF($C92="","",IF(ISERROR(VLOOKUP($C92,$C$5:$AP$54,38,FALSE)=TRUE),VLOOKUP($C92,'SDDA Dogs'!$A:$O,10,FALSE),VLOOKUP($C92,$C$5:$AP$54,38,FALSE)))</f>
        <v/>
      </c>
      <c r="G92" s="137"/>
      <c r="H92" s="217"/>
      <c r="I92" s="84" t="str">
        <f t="shared" si="91"/>
        <v/>
      </c>
      <c r="J92" s="105">
        <f t="shared" si="50"/>
        <v>0</v>
      </c>
      <c r="K92" s="84" t="str">
        <f t="shared" si="92"/>
        <v/>
      </c>
      <c r="L92" s="105">
        <f t="shared" si="51"/>
        <v>0</v>
      </c>
      <c r="M92" s="84" t="str">
        <f t="shared" si="93"/>
        <v/>
      </c>
      <c r="N92" s="106" t="str">
        <f>IF($C92="","",IF(ISERROR(VLOOKUP($C92,$C$5:$AP$54,39,FALSE)=TRUE),VLOOKUP($C92,'SDDA Dogs'!$A:$O,11,FALSE),VLOOKUP($C92,$C$5:$AP$54,39,FALSE)))</f>
        <v/>
      </c>
      <c r="O92" s="137"/>
      <c r="P92" s="217"/>
      <c r="Q92" s="84" t="str">
        <f t="shared" si="94"/>
        <v/>
      </c>
      <c r="R92" s="105">
        <f t="shared" si="52"/>
        <v>0</v>
      </c>
      <c r="S92" s="84" t="str">
        <f t="shared" si="95"/>
        <v/>
      </c>
      <c r="T92" s="105">
        <f t="shared" si="53"/>
        <v>0</v>
      </c>
      <c r="U92" s="84" t="str">
        <f t="shared" si="96"/>
        <v/>
      </c>
      <c r="V92" s="106" t="str">
        <f>IF($C92="","",IF(ISERROR(VLOOKUP($C92,$C$5:$AP$54,40,FALSE)=TRUE),VLOOKUP($C92,'SDDA Dogs'!$A:$O,12,FALSE),VLOOKUP($C92,$C$5:$AP$54,40,FALSE)))</f>
        <v/>
      </c>
      <c r="W92" s="137"/>
      <c r="X92" s="217"/>
      <c r="Y92" s="84" t="str">
        <f t="shared" si="97"/>
        <v/>
      </c>
      <c r="Z92" s="105">
        <f t="shared" si="54"/>
        <v>0</v>
      </c>
      <c r="AA92" s="84" t="str">
        <f t="shared" si="98"/>
        <v/>
      </c>
      <c r="AB92" s="105">
        <f t="shared" si="55"/>
        <v>0</v>
      </c>
      <c r="AC92" s="84" t="str">
        <f t="shared" si="99"/>
        <v/>
      </c>
      <c r="AD92" s="92" t="str">
        <f t="shared" si="74"/>
        <v/>
      </c>
      <c r="AE92" s="89" t="str">
        <f t="shared" si="100"/>
        <v/>
      </c>
      <c r="AF92" s="104" t="str">
        <f t="shared" si="101"/>
        <v/>
      </c>
      <c r="AG92" s="107" t="str">
        <f t="shared" si="102"/>
        <v/>
      </c>
      <c r="AH92" s="92" t="str">
        <f t="shared" si="103"/>
        <v/>
      </c>
      <c r="AI92" s="89" t="str">
        <f t="shared" si="104"/>
        <v/>
      </c>
      <c r="AJ92" s="104" t="str">
        <f t="shared" si="105"/>
        <v/>
      </c>
      <c r="AK92" s="84" t="str">
        <f t="shared" si="106"/>
        <v/>
      </c>
      <c r="AL92" s="265" t="str">
        <f t="shared" si="107"/>
        <v/>
      </c>
      <c r="AM92" s="270">
        <f t="shared" si="56"/>
        <v>0</v>
      </c>
      <c r="AN92" s="270" t="str">
        <f t="shared" si="57"/>
        <v/>
      </c>
      <c r="AO92" s="270" t="str">
        <f t="shared" si="58"/>
        <v/>
      </c>
      <c r="AP92" s="270" t="str">
        <f t="shared" si="59"/>
        <v/>
      </c>
      <c r="AQ92" s="270">
        <f t="shared" si="60"/>
        <v>0</v>
      </c>
      <c r="AR92" s="271">
        <f>MIN(IFERROR(VLOOKUP($C92,'SDDA Dogs'!$A:$O,13,FALSE),0),IFERROR(VLOOKUP($C92,'SDDA Dogs'!$A:$O,14,FALSE),0),IFERROR(VLOOKUP($C92,'SDDA Dogs'!$A:$O,15,FALSE),0))</f>
        <v>0</v>
      </c>
      <c r="AS92" s="272"/>
      <c r="AT92" s="272"/>
      <c r="AU92" s="272" t="str">
        <f>IF(ISERROR(VLOOKUP(C92,'SDDA Dogs'!A:O,6,FALSE)),"",VLOOKUP(C92,'SDDA Dogs'!A:O,6,FALSE))</f>
        <v/>
      </c>
      <c r="AV92" s="270">
        <f t="shared" si="108"/>
        <v>0</v>
      </c>
      <c r="AW92" s="270">
        <f t="shared" si="109"/>
        <v>0</v>
      </c>
      <c r="AX92" s="273">
        <f t="shared" si="61"/>
        <v>0</v>
      </c>
      <c r="AY92" s="274"/>
      <c r="AZ92" s="275">
        <f t="shared" si="62"/>
        <v>0</v>
      </c>
      <c r="BA92" s="275">
        <f t="shared" si="63"/>
        <v>0</v>
      </c>
      <c r="BB92" s="276"/>
      <c r="BC92" s="274">
        <f>_xlfn.IFNA(IF(I92="Pass",IF(AND(G92&gt;=IFERROR(INDEX($C$5:$W$54,MATCH(C92,$C$5:$C$54,0),5),0),G92&gt;=IFERROR(INDEX(DogInfo!A:B,MATCH(C92&amp;$BC$4,DogInfo!A:A,0),2),0)),G92,IF(AND(IFERROR(INDEX($C$5:$W$54,MATCH(C92,$C$5:$C$54,0),5),0)&gt;=O92,IFERROR(INDEX($C$5:$W$54,MATCH(C92,$C$5:$C$54,0),5),0)&gt;=IFERROR(INDEX(DogInfo!A:B,MATCH(C92&amp;$BC$4,DogInfo!A:A,0),2),0)),IFERROR(INDEX($C$5:$W$54,MATCH(C92,$C$5:$C$54,0),5),0),IF(AND(IFERROR(INDEX(DogInfo!A:B,MATCH(C92&amp;$BC$4,DogInfo!A:A,0),2),0)&gt;=IFERROR(INDEX($C$5:$W$54,MATCH(C92,$C$5:$C$54,0),5),0),IFERROR(INDEX(DogInfo!A:B,MATCH(C92&amp;$BC$4,DogInfo!A:A,0),2),0)&gt;=G92),IFERROR(INDEX(DogInfo!A:B,MATCH(C92&amp;$BC$4,DogInfo!A:A,0),2),0),"Error"))),IFERROR(INDEX($C$5:$BE$54,MATCH(C92,$C$5:$C$54,0),53),IFERROR(INDEX(DogInfo!A:B,MATCH(C92&amp;$BC$4,DogInfo!A:A,0),2),0))),"")</f>
        <v>0</v>
      </c>
      <c r="BD92" s="274">
        <f>_xlfn.IFNA(IF(Q92="Pass",IF(AND(O92&gt;=IFERROR(INDEX($C$5:$W$54,MATCH(C92,$C$5:$C$54,0),13),0),O92&gt;=IFERROR(INDEX(DogInfo!A:B,MATCH(C92&amp;$BD$4,DogInfo!A:A,0),2),0)),O92,IF(AND(IFERROR(INDEX($C$5:$W$54,MATCH(C92,$C$5:$C$54,0),13),0)&gt;=O92,IFERROR(INDEX($C$5:$W$54,MATCH(C92,$C$5:$C$54,0),13),0)&gt;=IFERROR(INDEX(DogInfo!A:B,MATCH(C92&amp;$BD$4,DogInfo!A:A,0),2),0)),IFERROR(INDEX($C$5:$W$54,MATCH(C92,$C$5:$C$54,0),13),0),IF(AND(IFERROR(INDEX(DogInfo!A:B,MATCH(C92&amp;$BD$4,DogInfo!A:A,0),2),0)&gt;=IFERROR(INDEX($C$5:$W$54,MATCH(C92,$C$5:$C$54,0),13),0),IFERROR(INDEX(DogInfo!A:B,MATCH(C92&amp;$BD$4,DogInfo!A:A,0),2),0)&gt;=O92),IFERROR(INDEX(DogInfo!A:B,MATCH(C92&amp;$BD$4,DogInfo!A:A,0),2),0),"Error"))),IFERROR(INDEX($C$5:$BE$54,MATCH(C92,$C$5:$C$54,0),54),IFERROR(INDEX(DogInfo!A:B,MATCH(C92&amp;$BD$4,DogInfo!A:A,0),2),0))),"")</f>
        <v>0</v>
      </c>
      <c r="BE92" s="274">
        <f>_xlfn.IFNA(IF(Y92="Pass",IF(AND(W92&gt;=IFERROR(INDEX($C$5:$W$54,MATCH(C92,$C$5:$C$54,0),21),0),O92&gt;=IFERROR(INDEX(DogInfo!A:B,MATCH(C92&amp;$BE$4,DogInfo!A:A,0),2),0)),W92,IF(AND(IFERROR(INDEX($C$5:$W$54,MATCH(C92,$C$5:$C$54,0),21),0)&gt;=W92,IFERROR(INDEX($C$5:$W$54,MATCH(C92,$C$5:$C$54,0),21),0)&gt;=IFERROR(INDEX(DogInfo!A:B,MATCH(C92&amp;$BE$4,DogInfo!A:A,0),2),0)),IFERROR(INDEX($C$5:$W$54,MATCH(C92,$C$5:$C$54,0),21),0),IF(AND(IFERROR(INDEX(DogInfo!A:B,MATCH(C92&amp;$BE$4,DogInfo!A:A,0),2),0)&gt;=IFERROR(INDEX($C$5:$W$54,MATCH(C92,$C$5:$C$54,0),21),0),IFERROR(INDEX(DogInfo!A:B,MATCH(C92&amp;$BE$4,DogInfo!A:A,0),2),0)&gt;=W92),IFERROR(INDEX(DogInfo!A:B,MATCH(C92&amp;$BE$4,DogInfo!A:A,0),2),0),"Error"))),IFERROR(INDEX($C$5:$BE$54,MATCH(C92,$C$5:$C$54,0),55),IFERROR(INDEX(DogInfo!A:B,MATCH(C92&amp;$BE$4,DogInfo!A:A,0),2),0))),"")</f>
        <v>0</v>
      </c>
    </row>
    <row r="93" spans="1:57" x14ac:dyDescent="0.25">
      <c r="A93" s="99">
        <v>29</v>
      </c>
      <c r="B93" s="100"/>
      <c r="C93" s="101"/>
      <c r="D93" s="102" t="str">
        <f>IF($C93="","",VLOOKUP($C93,'SDDA Dogs'!$A:$F,2,FALSE))</f>
        <v/>
      </c>
      <c r="E93" s="211">
        <f t="shared" si="90"/>
        <v>-1</v>
      </c>
      <c r="F93" s="103" t="str">
        <f>IF($C93="","",IF(ISERROR(VLOOKUP($C93,$C$5:$AP$54,38,FALSE)=TRUE),VLOOKUP($C93,'SDDA Dogs'!$A:$O,10,FALSE),VLOOKUP($C93,$C$5:$AP$54,38,FALSE)))</f>
        <v/>
      </c>
      <c r="G93" s="137"/>
      <c r="H93" s="217"/>
      <c r="I93" s="84" t="str">
        <f t="shared" si="91"/>
        <v/>
      </c>
      <c r="J93" s="105">
        <f t="shared" si="50"/>
        <v>0</v>
      </c>
      <c r="K93" s="84" t="str">
        <f t="shared" si="92"/>
        <v/>
      </c>
      <c r="L93" s="105">
        <f t="shared" si="51"/>
        <v>0</v>
      </c>
      <c r="M93" s="84" t="str">
        <f t="shared" si="93"/>
        <v/>
      </c>
      <c r="N93" s="106" t="str">
        <f>IF($C93="","",IF(ISERROR(VLOOKUP($C93,$C$5:$AP$54,39,FALSE)=TRUE),VLOOKUP($C93,'SDDA Dogs'!$A:$O,11,FALSE),VLOOKUP($C93,$C$5:$AP$54,39,FALSE)))</f>
        <v/>
      </c>
      <c r="O93" s="137"/>
      <c r="P93" s="217"/>
      <c r="Q93" s="84" t="str">
        <f t="shared" si="94"/>
        <v/>
      </c>
      <c r="R93" s="105">
        <f t="shared" si="52"/>
        <v>0</v>
      </c>
      <c r="S93" s="84" t="str">
        <f t="shared" si="95"/>
        <v/>
      </c>
      <c r="T93" s="105">
        <f t="shared" si="53"/>
        <v>0</v>
      </c>
      <c r="U93" s="84" t="str">
        <f t="shared" si="96"/>
        <v/>
      </c>
      <c r="V93" s="106" t="str">
        <f>IF($C93="","",IF(ISERROR(VLOOKUP($C93,$C$5:$AP$54,40,FALSE)=TRUE),VLOOKUP($C93,'SDDA Dogs'!$A:$O,12,FALSE),VLOOKUP($C93,$C$5:$AP$54,40,FALSE)))</f>
        <v/>
      </c>
      <c r="W93" s="137"/>
      <c r="X93" s="217"/>
      <c r="Y93" s="84" t="str">
        <f t="shared" si="97"/>
        <v/>
      </c>
      <c r="Z93" s="105">
        <f t="shared" si="54"/>
        <v>0</v>
      </c>
      <c r="AA93" s="84" t="str">
        <f t="shared" si="98"/>
        <v/>
      </c>
      <c r="AB93" s="105">
        <f t="shared" si="55"/>
        <v>0</v>
      </c>
      <c r="AC93" s="84" t="str">
        <f t="shared" si="99"/>
        <v/>
      </c>
      <c r="AD93" s="92" t="str">
        <f t="shared" si="74"/>
        <v/>
      </c>
      <c r="AE93" s="89" t="str">
        <f t="shared" si="100"/>
        <v/>
      </c>
      <c r="AF93" s="104" t="str">
        <f t="shared" si="101"/>
        <v/>
      </c>
      <c r="AG93" s="107" t="str">
        <f t="shared" si="102"/>
        <v/>
      </c>
      <c r="AH93" s="92" t="str">
        <f t="shared" si="103"/>
        <v/>
      </c>
      <c r="AI93" s="89" t="str">
        <f t="shared" si="104"/>
        <v/>
      </c>
      <c r="AJ93" s="104" t="str">
        <f t="shared" si="105"/>
        <v/>
      </c>
      <c r="AK93" s="84" t="str">
        <f t="shared" si="106"/>
        <v/>
      </c>
      <c r="AL93" s="265" t="str">
        <f t="shared" si="107"/>
        <v/>
      </c>
      <c r="AM93" s="270">
        <f t="shared" si="56"/>
        <v>0</v>
      </c>
      <c r="AN93" s="270" t="str">
        <f t="shared" si="57"/>
        <v/>
      </c>
      <c r="AO93" s="270" t="str">
        <f t="shared" si="58"/>
        <v/>
      </c>
      <c r="AP93" s="270" t="str">
        <f t="shared" si="59"/>
        <v/>
      </c>
      <c r="AQ93" s="270">
        <f t="shared" si="60"/>
        <v>0</v>
      </c>
      <c r="AR93" s="271">
        <f>MIN(IFERROR(VLOOKUP($C93,'SDDA Dogs'!$A:$O,13,FALSE),0),IFERROR(VLOOKUP($C93,'SDDA Dogs'!$A:$O,14,FALSE),0),IFERROR(VLOOKUP($C93,'SDDA Dogs'!$A:$O,15,FALSE),0))</f>
        <v>0</v>
      </c>
      <c r="AS93" s="272"/>
      <c r="AT93" s="272"/>
      <c r="AU93" s="272" t="str">
        <f>IF(ISERROR(VLOOKUP(C93,'SDDA Dogs'!A:O,6,FALSE)),"",VLOOKUP(C93,'SDDA Dogs'!A:O,6,FALSE))</f>
        <v/>
      </c>
      <c r="AV93" s="270">
        <f t="shared" si="108"/>
        <v>0</v>
      </c>
      <c r="AW93" s="270">
        <f t="shared" si="109"/>
        <v>0</v>
      </c>
      <c r="AX93" s="273">
        <f t="shared" si="61"/>
        <v>0</v>
      </c>
      <c r="AY93" s="274"/>
      <c r="AZ93" s="275">
        <f t="shared" si="62"/>
        <v>0</v>
      </c>
      <c r="BA93" s="275">
        <f t="shared" si="63"/>
        <v>0</v>
      </c>
      <c r="BB93" s="276"/>
      <c r="BC93" s="274">
        <f>_xlfn.IFNA(IF(I93="Pass",IF(AND(G93&gt;=IFERROR(INDEX($C$5:$W$54,MATCH(C93,$C$5:$C$54,0),5),0),G93&gt;=IFERROR(INDEX(DogInfo!A:B,MATCH(C93&amp;$BC$4,DogInfo!A:A,0),2),0)),G93,IF(AND(IFERROR(INDEX($C$5:$W$54,MATCH(C93,$C$5:$C$54,0),5),0)&gt;=O93,IFERROR(INDEX($C$5:$W$54,MATCH(C93,$C$5:$C$54,0),5),0)&gt;=IFERROR(INDEX(DogInfo!A:B,MATCH(C93&amp;$BC$4,DogInfo!A:A,0),2),0)),IFERROR(INDEX($C$5:$W$54,MATCH(C93,$C$5:$C$54,0),5),0),IF(AND(IFERROR(INDEX(DogInfo!A:B,MATCH(C93&amp;$BC$4,DogInfo!A:A,0),2),0)&gt;=IFERROR(INDEX($C$5:$W$54,MATCH(C93,$C$5:$C$54,0),5),0),IFERROR(INDEX(DogInfo!A:B,MATCH(C93&amp;$BC$4,DogInfo!A:A,0),2),0)&gt;=G93),IFERROR(INDEX(DogInfo!A:B,MATCH(C93&amp;$BC$4,DogInfo!A:A,0),2),0),"Error"))),IFERROR(INDEX($C$5:$BE$54,MATCH(C93,$C$5:$C$54,0),53),IFERROR(INDEX(DogInfo!A:B,MATCH(C93&amp;$BC$4,DogInfo!A:A,0),2),0))),"")</f>
        <v>0</v>
      </c>
      <c r="BD93" s="274">
        <f>_xlfn.IFNA(IF(Q93="Pass",IF(AND(O93&gt;=IFERROR(INDEX($C$5:$W$54,MATCH(C93,$C$5:$C$54,0),13),0),O93&gt;=IFERROR(INDEX(DogInfo!A:B,MATCH(C93&amp;$BD$4,DogInfo!A:A,0),2),0)),O93,IF(AND(IFERROR(INDEX($C$5:$W$54,MATCH(C93,$C$5:$C$54,0),13),0)&gt;=O93,IFERROR(INDEX($C$5:$W$54,MATCH(C93,$C$5:$C$54,0),13),0)&gt;=IFERROR(INDEX(DogInfo!A:B,MATCH(C93&amp;$BD$4,DogInfo!A:A,0),2),0)),IFERROR(INDEX($C$5:$W$54,MATCH(C93,$C$5:$C$54,0),13),0),IF(AND(IFERROR(INDEX(DogInfo!A:B,MATCH(C93&amp;$BD$4,DogInfo!A:A,0),2),0)&gt;=IFERROR(INDEX($C$5:$W$54,MATCH(C93,$C$5:$C$54,0),13),0),IFERROR(INDEX(DogInfo!A:B,MATCH(C93&amp;$BD$4,DogInfo!A:A,0),2),0)&gt;=O93),IFERROR(INDEX(DogInfo!A:B,MATCH(C93&amp;$BD$4,DogInfo!A:A,0),2),0),"Error"))),IFERROR(INDEX($C$5:$BE$54,MATCH(C93,$C$5:$C$54,0),54),IFERROR(INDEX(DogInfo!A:B,MATCH(C93&amp;$BD$4,DogInfo!A:A,0),2),0))),"")</f>
        <v>0</v>
      </c>
      <c r="BE93" s="274">
        <f>_xlfn.IFNA(IF(Y93="Pass",IF(AND(W93&gt;=IFERROR(INDEX($C$5:$W$54,MATCH(C93,$C$5:$C$54,0),21),0),O93&gt;=IFERROR(INDEX(DogInfo!A:B,MATCH(C93&amp;$BE$4,DogInfo!A:A,0),2),0)),W93,IF(AND(IFERROR(INDEX($C$5:$W$54,MATCH(C93,$C$5:$C$54,0),21),0)&gt;=W93,IFERROR(INDEX($C$5:$W$54,MATCH(C93,$C$5:$C$54,0),21),0)&gt;=IFERROR(INDEX(DogInfo!A:B,MATCH(C93&amp;$BE$4,DogInfo!A:A,0),2),0)),IFERROR(INDEX($C$5:$W$54,MATCH(C93,$C$5:$C$54,0),21),0),IF(AND(IFERROR(INDEX(DogInfo!A:B,MATCH(C93&amp;$BE$4,DogInfo!A:A,0),2),0)&gt;=IFERROR(INDEX($C$5:$W$54,MATCH(C93,$C$5:$C$54,0),21),0),IFERROR(INDEX(DogInfo!A:B,MATCH(C93&amp;$BE$4,DogInfo!A:A,0),2),0)&gt;=W93),IFERROR(INDEX(DogInfo!A:B,MATCH(C93&amp;$BE$4,DogInfo!A:A,0),2),0),"Error"))),IFERROR(INDEX($C$5:$BE$54,MATCH(C93,$C$5:$C$54,0),55),IFERROR(INDEX(DogInfo!A:B,MATCH(C93&amp;$BE$4,DogInfo!A:A,0),2),0))),"")</f>
        <v>0</v>
      </c>
    </row>
    <row r="94" spans="1:57" x14ac:dyDescent="0.25">
      <c r="A94" s="99">
        <v>30</v>
      </c>
      <c r="B94" s="100"/>
      <c r="C94" s="101"/>
      <c r="D94" s="102" t="str">
        <f>IF($C94="","",VLOOKUP($C94,'SDDA Dogs'!$A:$F,2,FALSE))</f>
        <v/>
      </c>
      <c r="E94" s="211">
        <f t="shared" si="90"/>
        <v>-1</v>
      </c>
      <c r="F94" s="103" t="str">
        <f>IF($C94="","",IF(ISERROR(VLOOKUP($C94,$C$5:$AP$54,38,FALSE)=TRUE),VLOOKUP($C94,'SDDA Dogs'!$A:$O,10,FALSE),VLOOKUP($C94,$C$5:$AP$54,38,FALSE)))</f>
        <v/>
      </c>
      <c r="G94" s="137"/>
      <c r="H94" s="217"/>
      <c r="I94" s="84" t="str">
        <f t="shared" si="91"/>
        <v/>
      </c>
      <c r="J94" s="105">
        <f t="shared" si="50"/>
        <v>0</v>
      </c>
      <c r="K94" s="84" t="str">
        <f t="shared" si="92"/>
        <v/>
      </c>
      <c r="L94" s="105">
        <f t="shared" si="51"/>
        <v>0</v>
      </c>
      <c r="M94" s="84" t="str">
        <f t="shared" si="93"/>
        <v/>
      </c>
      <c r="N94" s="106" t="str">
        <f>IF($C94="","",IF(ISERROR(VLOOKUP($C94,$C$5:$AP$54,39,FALSE)=TRUE),VLOOKUP($C94,'SDDA Dogs'!$A:$O,11,FALSE),VLOOKUP($C94,$C$5:$AP$54,39,FALSE)))</f>
        <v/>
      </c>
      <c r="O94" s="137"/>
      <c r="P94" s="217"/>
      <c r="Q94" s="84" t="str">
        <f t="shared" si="94"/>
        <v/>
      </c>
      <c r="R94" s="105">
        <f t="shared" si="52"/>
        <v>0</v>
      </c>
      <c r="S94" s="84" t="str">
        <f t="shared" si="95"/>
        <v/>
      </c>
      <c r="T94" s="105">
        <f t="shared" si="53"/>
        <v>0</v>
      </c>
      <c r="U94" s="84" t="str">
        <f t="shared" si="96"/>
        <v/>
      </c>
      <c r="V94" s="106" t="str">
        <f>IF($C94="","",IF(ISERROR(VLOOKUP($C94,$C$5:$AP$54,40,FALSE)=TRUE),VLOOKUP($C94,'SDDA Dogs'!$A:$O,12,FALSE),VLOOKUP($C94,$C$5:$AP$54,40,FALSE)))</f>
        <v/>
      </c>
      <c r="W94" s="137"/>
      <c r="X94" s="217"/>
      <c r="Y94" s="84" t="str">
        <f t="shared" si="97"/>
        <v/>
      </c>
      <c r="Z94" s="105">
        <f t="shared" si="54"/>
        <v>0</v>
      </c>
      <c r="AA94" s="84" t="str">
        <f t="shared" si="98"/>
        <v/>
      </c>
      <c r="AB94" s="105">
        <f t="shared" si="55"/>
        <v>0</v>
      </c>
      <c r="AC94" s="84" t="str">
        <f t="shared" si="99"/>
        <v/>
      </c>
      <c r="AD94" s="92" t="str">
        <f t="shared" si="74"/>
        <v/>
      </c>
      <c r="AE94" s="89" t="str">
        <f t="shared" si="100"/>
        <v/>
      </c>
      <c r="AF94" s="104" t="str">
        <f t="shared" si="101"/>
        <v/>
      </c>
      <c r="AG94" s="107" t="str">
        <f t="shared" si="102"/>
        <v/>
      </c>
      <c r="AH94" s="92" t="str">
        <f t="shared" si="103"/>
        <v/>
      </c>
      <c r="AI94" s="89" t="str">
        <f t="shared" si="104"/>
        <v/>
      </c>
      <c r="AJ94" s="104" t="str">
        <f t="shared" si="105"/>
        <v/>
      </c>
      <c r="AK94" s="84" t="str">
        <f t="shared" si="106"/>
        <v/>
      </c>
      <c r="AL94" s="265" t="str">
        <f t="shared" si="107"/>
        <v/>
      </c>
      <c r="AM94" s="270">
        <f t="shared" si="56"/>
        <v>0</v>
      </c>
      <c r="AN94" s="270" t="str">
        <f t="shared" si="57"/>
        <v/>
      </c>
      <c r="AO94" s="270" t="str">
        <f t="shared" si="58"/>
        <v/>
      </c>
      <c r="AP94" s="270" t="str">
        <f t="shared" si="59"/>
        <v/>
      </c>
      <c r="AQ94" s="270">
        <f t="shared" si="60"/>
        <v>0</v>
      </c>
      <c r="AR94" s="271">
        <f>MIN(IFERROR(VLOOKUP($C94,'SDDA Dogs'!$A:$O,13,FALSE),0),IFERROR(VLOOKUP($C94,'SDDA Dogs'!$A:$O,14,FALSE),0),IFERROR(VLOOKUP($C94,'SDDA Dogs'!$A:$O,15,FALSE),0))</f>
        <v>0</v>
      </c>
      <c r="AS94" s="272"/>
      <c r="AT94" s="272"/>
      <c r="AU94" s="272" t="str">
        <f>IF(ISERROR(VLOOKUP(C94,'SDDA Dogs'!A:O,6,FALSE)),"",VLOOKUP(C94,'SDDA Dogs'!A:O,6,FALSE))</f>
        <v/>
      </c>
      <c r="AV94" s="270">
        <f t="shared" si="108"/>
        <v>0</v>
      </c>
      <c r="AW94" s="270">
        <f t="shared" si="109"/>
        <v>0</v>
      </c>
      <c r="AX94" s="273">
        <f t="shared" si="61"/>
        <v>0</v>
      </c>
      <c r="AY94" s="274"/>
      <c r="AZ94" s="275">
        <f t="shared" si="62"/>
        <v>0</v>
      </c>
      <c r="BA94" s="275">
        <f t="shared" si="63"/>
        <v>0</v>
      </c>
      <c r="BB94" s="276"/>
      <c r="BC94" s="274">
        <f>_xlfn.IFNA(IF(I94="Pass",IF(AND(G94&gt;=IFERROR(INDEX($C$5:$W$54,MATCH(C94,$C$5:$C$54,0),5),0),G94&gt;=IFERROR(INDEX(DogInfo!A:B,MATCH(C94&amp;$BC$4,DogInfo!A:A,0),2),0)),G94,IF(AND(IFERROR(INDEX($C$5:$W$54,MATCH(C94,$C$5:$C$54,0),5),0)&gt;=O94,IFERROR(INDEX($C$5:$W$54,MATCH(C94,$C$5:$C$54,0),5),0)&gt;=IFERROR(INDEX(DogInfo!A:B,MATCH(C94&amp;$BC$4,DogInfo!A:A,0),2),0)),IFERROR(INDEX($C$5:$W$54,MATCH(C94,$C$5:$C$54,0),5),0),IF(AND(IFERROR(INDEX(DogInfo!A:B,MATCH(C94&amp;$BC$4,DogInfo!A:A,0),2),0)&gt;=IFERROR(INDEX($C$5:$W$54,MATCH(C94,$C$5:$C$54,0),5),0),IFERROR(INDEX(DogInfo!A:B,MATCH(C94&amp;$BC$4,DogInfo!A:A,0),2),0)&gt;=G94),IFERROR(INDEX(DogInfo!A:B,MATCH(C94&amp;$BC$4,DogInfo!A:A,0),2),0),"Error"))),IFERROR(INDEX($C$5:$BE$54,MATCH(C94,$C$5:$C$54,0),53),IFERROR(INDEX(DogInfo!A:B,MATCH(C94&amp;$BC$4,DogInfo!A:A,0),2),0))),"")</f>
        <v>0</v>
      </c>
      <c r="BD94" s="274">
        <f>_xlfn.IFNA(IF(Q94="Pass",IF(AND(O94&gt;=IFERROR(INDEX($C$5:$W$54,MATCH(C94,$C$5:$C$54,0),13),0),O94&gt;=IFERROR(INDEX(DogInfo!A:B,MATCH(C94&amp;$BD$4,DogInfo!A:A,0),2),0)),O94,IF(AND(IFERROR(INDEX($C$5:$W$54,MATCH(C94,$C$5:$C$54,0),13),0)&gt;=O94,IFERROR(INDEX($C$5:$W$54,MATCH(C94,$C$5:$C$54,0),13),0)&gt;=IFERROR(INDEX(DogInfo!A:B,MATCH(C94&amp;$BD$4,DogInfo!A:A,0),2),0)),IFERROR(INDEX($C$5:$W$54,MATCH(C94,$C$5:$C$54,0),13),0),IF(AND(IFERROR(INDEX(DogInfo!A:B,MATCH(C94&amp;$BD$4,DogInfo!A:A,0),2),0)&gt;=IFERROR(INDEX($C$5:$W$54,MATCH(C94,$C$5:$C$54,0),13),0),IFERROR(INDEX(DogInfo!A:B,MATCH(C94&amp;$BD$4,DogInfo!A:A,0),2),0)&gt;=O94),IFERROR(INDEX(DogInfo!A:B,MATCH(C94&amp;$BD$4,DogInfo!A:A,0),2),0),"Error"))),IFERROR(INDEX($C$5:$BE$54,MATCH(C94,$C$5:$C$54,0),54),IFERROR(INDEX(DogInfo!A:B,MATCH(C94&amp;$BD$4,DogInfo!A:A,0),2),0))),"")</f>
        <v>0</v>
      </c>
      <c r="BE94" s="274">
        <f>_xlfn.IFNA(IF(Y94="Pass",IF(AND(W94&gt;=IFERROR(INDEX($C$5:$W$54,MATCH(C94,$C$5:$C$54,0),21),0),O94&gt;=IFERROR(INDEX(DogInfo!A:B,MATCH(C94&amp;$BE$4,DogInfo!A:A,0),2),0)),W94,IF(AND(IFERROR(INDEX($C$5:$W$54,MATCH(C94,$C$5:$C$54,0),21),0)&gt;=W94,IFERROR(INDEX($C$5:$W$54,MATCH(C94,$C$5:$C$54,0),21),0)&gt;=IFERROR(INDEX(DogInfo!A:B,MATCH(C94&amp;$BE$4,DogInfo!A:A,0),2),0)),IFERROR(INDEX($C$5:$W$54,MATCH(C94,$C$5:$C$54,0),21),0),IF(AND(IFERROR(INDEX(DogInfo!A:B,MATCH(C94&amp;$BE$4,DogInfo!A:A,0),2),0)&gt;=IFERROR(INDEX($C$5:$W$54,MATCH(C94,$C$5:$C$54,0),21),0),IFERROR(INDEX(DogInfo!A:B,MATCH(C94&amp;$BE$4,DogInfo!A:A,0),2),0)&gt;=W94),IFERROR(INDEX(DogInfo!A:B,MATCH(C94&amp;$BE$4,DogInfo!A:A,0),2),0),"Error"))),IFERROR(INDEX($C$5:$BE$54,MATCH(C94,$C$5:$C$54,0),55),IFERROR(INDEX(DogInfo!A:B,MATCH(C94&amp;$BE$4,DogInfo!A:A,0),2),0))),"")</f>
        <v>0</v>
      </c>
    </row>
    <row r="95" spans="1:57" x14ac:dyDescent="0.25">
      <c r="A95" s="99">
        <v>31</v>
      </c>
      <c r="B95" s="100"/>
      <c r="C95" s="101"/>
      <c r="D95" s="102" t="str">
        <f>IF($C95="","",VLOOKUP($C95,'SDDA Dogs'!$A:$F,2,FALSE))</f>
        <v/>
      </c>
      <c r="E95" s="211">
        <f t="shared" si="90"/>
        <v>-1</v>
      </c>
      <c r="F95" s="103" t="str">
        <f>IF($C95="","",IF(ISERROR(VLOOKUP($C95,$C$5:$AP$54,38,FALSE)=TRUE),VLOOKUP($C95,'SDDA Dogs'!$A:$O,10,FALSE),VLOOKUP($C95,$C$5:$AP$54,38,FALSE)))</f>
        <v/>
      </c>
      <c r="G95" s="137"/>
      <c r="H95" s="217"/>
      <c r="I95" s="84" t="str">
        <f t="shared" si="91"/>
        <v/>
      </c>
      <c r="J95" s="105">
        <f t="shared" si="50"/>
        <v>0</v>
      </c>
      <c r="K95" s="84" t="str">
        <f t="shared" si="92"/>
        <v/>
      </c>
      <c r="L95" s="105">
        <f t="shared" si="51"/>
        <v>0</v>
      </c>
      <c r="M95" s="84" t="str">
        <f t="shared" si="93"/>
        <v/>
      </c>
      <c r="N95" s="106" t="str">
        <f>IF($C95="","",IF(ISERROR(VLOOKUP($C95,$C$5:$AP$54,39,FALSE)=TRUE),VLOOKUP($C95,'SDDA Dogs'!$A:$O,11,FALSE),VLOOKUP($C95,$C$5:$AP$54,39,FALSE)))</f>
        <v/>
      </c>
      <c r="O95" s="137"/>
      <c r="P95" s="217"/>
      <c r="Q95" s="84" t="str">
        <f t="shared" si="94"/>
        <v/>
      </c>
      <c r="R95" s="105">
        <f t="shared" si="52"/>
        <v>0</v>
      </c>
      <c r="S95" s="84" t="str">
        <f t="shared" si="95"/>
        <v/>
      </c>
      <c r="T95" s="105">
        <f t="shared" si="53"/>
        <v>0</v>
      </c>
      <c r="U95" s="84" t="str">
        <f t="shared" si="96"/>
        <v/>
      </c>
      <c r="V95" s="106" t="str">
        <f>IF($C95="","",IF(ISERROR(VLOOKUP($C95,$C$5:$AP$54,40,FALSE)=TRUE),VLOOKUP($C95,'SDDA Dogs'!$A:$O,12,FALSE),VLOOKUP($C95,$C$5:$AP$54,40,FALSE)))</f>
        <v/>
      </c>
      <c r="W95" s="137"/>
      <c r="X95" s="217"/>
      <c r="Y95" s="84" t="str">
        <f t="shared" si="97"/>
        <v/>
      </c>
      <c r="Z95" s="105">
        <f t="shared" si="54"/>
        <v>0</v>
      </c>
      <c r="AA95" s="84" t="str">
        <f t="shared" si="98"/>
        <v/>
      </c>
      <c r="AB95" s="105">
        <f t="shared" si="55"/>
        <v>0</v>
      </c>
      <c r="AC95" s="84" t="str">
        <f t="shared" si="99"/>
        <v/>
      </c>
      <c r="AD95" s="92" t="str">
        <f t="shared" si="74"/>
        <v/>
      </c>
      <c r="AE95" s="89" t="str">
        <f t="shared" si="100"/>
        <v/>
      </c>
      <c r="AF95" s="104" t="str">
        <f t="shared" si="101"/>
        <v/>
      </c>
      <c r="AG95" s="107" t="str">
        <f t="shared" si="102"/>
        <v/>
      </c>
      <c r="AH95" s="92" t="str">
        <f t="shared" si="103"/>
        <v/>
      </c>
      <c r="AI95" s="89" t="str">
        <f t="shared" si="104"/>
        <v/>
      </c>
      <c r="AJ95" s="104" t="str">
        <f t="shared" si="105"/>
        <v/>
      </c>
      <c r="AK95" s="84" t="str">
        <f t="shared" si="106"/>
        <v/>
      </c>
      <c r="AL95" s="265" t="str">
        <f t="shared" si="107"/>
        <v/>
      </c>
      <c r="AM95" s="270">
        <f t="shared" si="56"/>
        <v>0</v>
      </c>
      <c r="AN95" s="270" t="str">
        <f t="shared" si="57"/>
        <v/>
      </c>
      <c r="AO95" s="270" t="str">
        <f t="shared" si="58"/>
        <v/>
      </c>
      <c r="AP95" s="270" t="str">
        <f t="shared" si="59"/>
        <v/>
      </c>
      <c r="AQ95" s="270">
        <f t="shared" si="60"/>
        <v>0</v>
      </c>
      <c r="AR95" s="271">
        <f>MIN(IFERROR(VLOOKUP($C95,'SDDA Dogs'!$A:$O,13,FALSE),0),IFERROR(VLOOKUP($C95,'SDDA Dogs'!$A:$O,14,FALSE),0),IFERROR(VLOOKUP($C95,'SDDA Dogs'!$A:$O,15,FALSE),0))</f>
        <v>0</v>
      </c>
      <c r="AS95" s="272"/>
      <c r="AT95" s="272"/>
      <c r="AU95" s="272" t="str">
        <f>IF(ISERROR(VLOOKUP(C95,'SDDA Dogs'!A:O,6,FALSE)),"",VLOOKUP(C95,'SDDA Dogs'!A:O,6,FALSE))</f>
        <v/>
      </c>
      <c r="AV95" s="270">
        <f t="shared" si="108"/>
        <v>0</v>
      </c>
      <c r="AW95" s="270">
        <f t="shared" si="109"/>
        <v>0</v>
      </c>
      <c r="AX95" s="273">
        <f t="shared" si="61"/>
        <v>0</v>
      </c>
      <c r="AY95" s="274"/>
      <c r="AZ95" s="275">
        <f t="shared" si="62"/>
        <v>0</v>
      </c>
      <c r="BA95" s="275">
        <f t="shared" si="63"/>
        <v>0</v>
      </c>
      <c r="BB95" s="276"/>
      <c r="BC95" s="274">
        <f>_xlfn.IFNA(IF(I95="Pass",IF(AND(G95&gt;=IFERROR(INDEX($C$5:$W$54,MATCH(C95,$C$5:$C$54,0),5),0),G95&gt;=IFERROR(INDEX(DogInfo!A:B,MATCH(C95&amp;$BC$4,DogInfo!A:A,0),2),0)),G95,IF(AND(IFERROR(INDEX($C$5:$W$54,MATCH(C95,$C$5:$C$54,0),5),0)&gt;=O95,IFERROR(INDEX($C$5:$W$54,MATCH(C95,$C$5:$C$54,0),5),0)&gt;=IFERROR(INDEX(DogInfo!A:B,MATCH(C95&amp;$BC$4,DogInfo!A:A,0),2),0)),IFERROR(INDEX($C$5:$W$54,MATCH(C95,$C$5:$C$54,0),5),0),IF(AND(IFERROR(INDEX(DogInfo!A:B,MATCH(C95&amp;$BC$4,DogInfo!A:A,0),2),0)&gt;=IFERROR(INDEX($C$5:$W$54,MATCH(C95,$C$5:$C$54,0),5),0),IFERROR(INDEX(DogInfo!A:B,MATCH(C95&amp;$BC$4,DogInfo!A:A,0),2),0)&gt;=G95),IFERROR(INDEX(DogInfo!A:B,MATCH(C95&amp;$BC$4,DogInfo!A:A,0),2),0),"Error"))),IFERROR(INDEX($C$5:$BE$54,MATCH(C95,$C$5:$C$54,0),53),IFERROR(INDEX(DogInfo!A:B,MATCH(C95&amp;$BC$4,DogInfo!A:A,0),2),0))),"")</f>
        <v>0</v>
      </c>
      <c r="BD95" s="274">
        <f>_xlfn.IFNA(IF(Q95="Pass",IF(AND(O95&gt;=IFERROR(INDEX($C$5:$W$54,MATCH(C95,$C$5:$C$54,0),13),0),O95&gt;=IFERROR(INDEX(DogInfo!A:B,MATCH(C95&amp;$BD$4,DogInfo!A:A,0),2),0)),O95,IF(AND(IFERROR(INDEX($C$5:$W$54,MATCH(C95,$C$5:$C$54,0),13),0)&gt;=O95,IFERROR(INDEX($C$5:$W$54,MATCH(C95,$C$5:$C$54,0),13),0)&gt;=IFERROR(INDEX(DogInfo!A:B,MATCH(C95&amp;$BD$4,DogInfo!A:A,0),2),0)),IFERROR(INDEX($C$5:$W$54,MATCH(C95,$C$5:$C$54,0),13),0),IF(AND(IFERROR(INDEX(DogInfo!A:B,MATCH(C95&amp;$BD$4,DogInfo!A:A,0),2),0)&gt;=IFERROR(INDEX($C$5:$W$54,MATCH(C95,$C$5:$C$54,0),13),0),IFERROR(INDEX(DogInfo!A:B,MATCH(C95&amp;$BD$4,DogInfo!A:A,0),2),0)&gt;=O95),IFERROR(INDEX(DogInfo!A:B,MATCH(C95&amp;$BD$4,DogInfo!A:A,0),2),0),"Error"))),IFERROR(INDEX($C$5:$BE$54,MATCH(C95,$C$5:$C$54,0),54),IFERROR(INDEX(DogInfo!A:B,MATCH(C95&amp;$BD$4,DogInfo!A:A,0),2),0))),"")</f>
        <v>0</v>
      </c>
      <c r="BE95" s="274">
        <f>_xlfn.IFNA(IF(Y95="Pass",IF(AND(W95&gt;=IFERROR(INDEX($C$5:$W$54,MATCH(C95,$C$5:$C$54,0),21),0),O95&gt;=IFERROR(INDEX(DogInfo!A:B,MATCH(C95&amp;$BE$4,DogInfo!A:A,0),2),0)),W95,IF(AND(IFERROR(INDEX($C$5:$W$54,MATCH(C95,$C$5:$C$54,0),21),0)&gt;=W95,IFERROR(INDEX($C$5:$W$54,MATCH(C95,$C$5:$C$54,0),21),0)&gt;=IFERROR(INDEX(DogInfo!A:B,MATCH(C95&amp;$BE$4,DogInfo!A:A,0),2),0)),IFERROR(INDEX($C$5:$W$54,MATCH(C95,$C$5:$C$54,0),21),0),IF(AND(IFERROR(INDEX(DogInfo!A:B,MATCH(C95&amp;$BE$4,DogInfo!A:A,0),2),0)&gt;=IFERROR(INDEX($C$5:$W$54,MATCH(C95,$C$5:$C$54,0),21),0),IFERROR(INDEX(DogInfo!A:B,MATCH(C95&amp;$BE$4,DogInfo!A:A,0),2),0)&gt;=W95),IFERROR(INDEX(DogInfo!A:B,MATCH(C95&amp;$BE$4,DogInfo!A:A,0),2),0),"Error"))),IFERROR(INDEX($C$5:$BE$54,MATCH(C95,$C$5:$C$54,0),55),IFERROR(INDEX(DogInfo!A:B,MATCH(C95&amp;$BE$4,DogInfo!A:A,0),2),0))),"")</f>
        <v>0</v>
      </c>
    </row>
    <row r="96" spans="1:57" x14ac:dyDescent="0.25">
      <c r="A96" s="99">
        <v>32</v>
      </c>
      <c r="B96" s="100"/>
      <c r="C96" s="101"/>
      <c r="D96" s="102" t="str">
        <f>IF($C96="","",VLOOKUP($C96,'SDDA Dogs'!$A:$F,2,FALSE))</f>
        <v/>
      </c>
      <c r="E96" s="211">
        <f t="shared" si="90"/>
        <v>-1</v>
      </c>
      <c r="F96" s="103" t="str">
        <f>IF($C96="","",IF(ISERROR(VLOOKUP($C96,$C$5:$AP$54,38,FALSE)=TRUE),VLOOKUP($C96,'SDDA Dogs'!$A:$O,10,FALSE),VLOOKUP($C96,$C$5:$AP$54,38,FALSE)))</f>
        <v/>
      </c>
      <c r="G96" s="137"/>
      <c r="H96" s="217"/>
      <c r="I96" s="84" t="str">
        <f t="shared" si="91"/>
        <v/>
      </c>
      <c r="J96" s="105">
        <f t="shared" si="50"/>
        <v>0</v>
      </c>
      <c r="K96" s="84" t="str">
        <f t="shared" si="92"/>
        <v/>
      </c>
      <c r="L96" s="105">
        <f t="shared" si="51"/>
        <v>0</v>
      </c>
      <c r="M96" s="84" t="str">
        <f t="shared" si="93"/>
        <v/>
      </c>
      <c r="N96" s="106" t="str">
        <f>IF($C96="","",IF(ISERROR(VLOOKUP($C96,$C$5:$AP$54,39,FALSE)=TRUE),VLOOKUP($C96,'SDDA Dogs'!$A:$O,11,FALSE),VLOOKUP($C96,$C$5:$AP$54,39,FALSE)))</f>
        <v/>
      </c>
      <c r="O96" s="137"/>
      <c r="P96" s="217"/>
      <c r="Q96" s="84" t="str">
        <f t="shared" si="94"/>
        <v/>
      </c>
      <c r="R96" s="105">
        <f t="shared" si="52"/>
        <v>0</v>
      </c>
      <c r="S96" s="84" t="str">
        <f t="shared" si="95"/>
        <v/>
      </c>
      <c r="T96" s="105">
        <f t="shared" si="53"/>
        <v>0</v>
      </c>
      <c r="U96" s="84" t="str">
        <f t="shared" si="96"/>
        <v/>
      </c>
      <c r="V96" s="106" t="str">
        <f>IF($C96="","",IF(ISERROR(VLOOKUP($C96,$C$5:$AP$54,40,FALSE)=TRUE),VLOOKUP($C96,'SDDA Dogs'!$A:$O,12,FALSE),VLOOKUP($C96,$C$5:$AP$54,40,FALSE)))</f>
        <v/>
      </c>
      <c r="W96" s="137"/>
      <c r="X96" s="217"/>
      <c r="Y96" s="84" t="str">
        <f t="shared" si="97"/>
        <v/>
      </c>
      <c r="Z96" s="105">
        <f t="shared" si="54"/>
        <v>0</v>
      </c>
      <c r="AA96" s="84" t="str">
        <f t="shared" si="98"/>
        <v/>
      </c>
      <c r="AB96" s="105">
        <f t="shared" si="55"/>
        <v>0</v>
      </c>
      <c r="AC96" s="84" t="str">
        <f t="shared" si="99"/>
        <v/>
      </c>
      <c r="AD96" s="92" t="str">
        <f t="shared" si="74"/>
        <v/>
      </c>
      <c r="AE96" s="89" t="str">
        <f t="shared" si="100"/>
        <v/>
      </c>
      <c r="AF96" s="104" t="str">
        <f t="shared" si="101"/>
        <v/>
      </c>
      <c r="AG96" s="107" t="str">
        <f t="shared" si="102"/>
        <v/>
      </c>
      <c r="AH96" s="92" t="str">
        <f t="shared" si="103"/>
        <v/>
      </c>
      <c r="AI96" s="89" t="str">
        <f t="shared" si="104"/>
        <v/>
      </c>
      <c r="AJ96" s="104" t="str">
        <f t="shared" si="105"/>
        <v/>
      </c>
      <c r="AK96" s="84" t="str">
        <f t="shared" si="106"/>
        <v/>
      </c>
      <c r="AL96" s="265" t="str">
        <f t="shared" si="107"/>
        <v/>
      </c>
      <c r="AM96" s="270">
        <f t="shared" si="56"/>
        <v>0</v>
      </c>
      <c r="AN96" s="270" t="str">
        <f t="shared" si="57"/>
        <v/>
      </c>
      <c r="AO96" s="270" t="str">
        <f t="shared" si="58"/>
        <v/>
      </c>
      <c r="AP96" s="270" t="str">
        <f t="shared" si="59"/>
        <v/>
      </c>
      <c r="AQ96" s="270">
        <f t="shared" si="60"/>
        <v>0</v>
      </c>
      <c r="AR96" s="271">
        <f>MIN(IFERROR(VLOOKUP($C96,'SDDA Dogs'!$A:$O,13,FALSE),0),IFERROR(VLOOKUP($C96,'SDDA Dogs'!$A:$O,14,FALSE),0),IFERROR(VLOOKUP($C96,'SDDA Dogs'!$A:$O,15,FALSE),0))</f>
        <v>0</v>
      </c>
      <c r="AS96" s="272"/>
      <c r="AT96" s="272"/>
      <c r="AU96" s="272" t="str">
        <f>IF(ISERROR(VLOOKUP(C96,'SDDA Dogs'!A:O,6,FALSE)),"",VLOOKUP(C96,'SDDA Dogs'!A:O,6,FALSE))</f>
        <v/>
      </c>
      <c r="AV96" s="270">
        <f t="shared" si="108"/>
        <v>0</v>
      </c>
      <c r="AW96" s="270">
        <f t="shared" si="109"/>
        <v>0</v>
      </c>
      <c r="AX96" s="273">
        <f t="shared" si="61"/>
        <v>0</v>
      </c>
      <c r="AY96" s="274"/>
      <c r="AZ96" s="275">
        <f t="shared" si="62"/>
        <v>0</v>
      </c>
      <c r="BA96" s="275">
        <f t="shared" si="63"/>
        <v>0</v>
      </c>
      <c r="BB96" s="276"/>
      <c r="BC96" s="274">
        <f>_xlfn.IFNA(IF(I96="Pass",IF(AND(G96&gt;=IFERROR(INDEX($C$5:$W$54,MATCH(C96,$C$5:$C$54,0),5),0),G96&gt;=IFERROR(INDEX(DogInfo!A:B,MATCH(C96&amp;$BC$4,DogInfo!A:A,0),2),0)),G96,IF(AND(IFERROR(INDEX($C$5:$W$54,MATCH(C96,$C$5:$C$54,0),5),0)&gt;=O96,IFERROR(INDEX($C$5:$W$54,MATCH(C96,$C$5:$C$54,0),5),0)&gt;=IFERROR(INDEX(DogInfo!A:B,MATCH(C96&amp;$BC$4,DogInfo!A:A,0),2),0)),IFERROR(INDEX($C$5:$W$54,MATCH(C96,$C$5:$C$54,0),5),0),IF(AND(IFERROR(INDEX(DogInfo!A:B,MATCH(C96&amp;$BC$4,DogInfo!A:A,0),2),0)&gt;=IFERROR(INDEX($C$5:$W$54,MATCH(C96,$C$5:$C$54,0),5),0),IFERROR(INDEX(DogInfo!A:B,MATCH(C96&amp;$BC$4,DogInfo!A:A,0),2),0)&gt;=G96),IFERROR(INDEX(DogInfo!A:B,MATCH(C96&amp;$BC$4,DogInfo!A:A,0),2),0),"Error"))),IFERROR(INDEX($C$5:$BE$54,MATCH(C96,$C$5:$C$54,0),53),IFERROR(INDEX(DogInfo!A:B,MATCH(C96&amp;$BC$4,DogInfo!A:A,0),2),0))),"")</f>
        <v>0</v>
      </c>
      <c r="BD96" s="274">
        <f>_xlfn.IFNA(IF(Q96="Pass",IF(AND(O96&gt;=IFERROR(INDEX($C$5:$W$54,MATCH(C96,$C$5:$C$54,0),13),0),O96&gt;=IFERROR(INDEX(DogInfo!A:B,MATCH(C96&amp;$BD$4,DogInfo!A:A,0),2),0)),O96,IF(AND(IFERROR(INDEX($C$5:$W$54,MATCH(C96,$C$5:$C$54,0),13),0)&gt;=O96,IFERROR(INDEX($C$5:$W$54,MATCH(C96,$C$5:$C$54,0),13),0)&gt;=IFERROR(INDEX(DogInfo!A:B,MATCH(C96&amp;$BD$4,DogInfo!A:A,0),2),0)),IFERROR(INDEX($C$5:$W$54,MATCH(C96,$C$5:$C$54,0),13),0),IF(AND(IFERROR(INDEX(DogInfo!A:B,MATCH(C96&amp;$BD$4,DogInfo!A:A,0),2),0)&gt;=IFERROR(INDEX($C$5:$W$54,MATCH(C96,$C$5:$C$54,0),13),0),IFERROR(INDEX(DogInfo!A:B,MATCH(C96&amp;$BD$4,DogInfo!A:A,0),2),0)&gt;=O96),IFERROR(INDEX(DogInfo!A:B,MATCH(C96&amp;$BD$4,DogInfo!A:A,0),2),0),"Error"))),IFERROR(INDEX($C$5:$BE$54,MATCH(C96,$C$5:$C$54,0),54),IFERROR(INDEX(DogInfo!A:B,MATCH(C96&amp;$BD$4,DogInfo!A:A,0),2),0))),"")</f>
        <v>0</v>
      </c>
      <c r="BE96" s="274">
        <f>_xlfn.IFNA(IF(Y96="Pass",IF(AND(W96&gt;=IFERROR(INDEX($C$5:$W$54,MATCH(C96,$C$5:$C$54,0),21),0),O96&gt;=IFERROR(INDEX(DogInfo!A:B,MATCH(C96&amp;$BE$4,DogInfo!A:A,0),2),0)),W96,IF(AND(IFERROR(INDEX($C$5:$W$54,MATCH(C96,$C$5:$C$54,0),21),0)&gt;=W96,IFERROR(INDEX($C$5:$W$54,MATCH(C96,$C$5:$C$54,0),21),0)&gt;=IFERROR(INDEX(DogInfo!A:B,MATCH(C96&amp;$BE$4,DogInfo!A:A,0),2),0)),IFERROR(INDEX($C$5:$W$54,MATCH(C96,$C$5:$C$54,0),21),0),IF(AND(IFERROR(INDEX(DogInfo!A:B,MATCH(C96&amp;$BE$4,DogInfo!A:A,0),2),0)&gt;=IFERROR(INDEX($C$5:$W$54,MATCH(C96,$C$5:$C$54,0),21),0),IFERROR(INDEX(DogInfo!A:B,MATCH(C96&amp;$BE$4,DogInfo!A:A,0),2),0)&gt;=W96),IFERROR(INDEX(DogInfo!A:B,MATCH(C96&amp;$BE$4,DogInfo!A:A,0),2),0),"Error"))),IFERROR(INDEX($C$5:$BE$54,MATCH(C96,$C$5:$C$54,0),55),IFERROR(INDEX(DogInfo!A:B,MATCH(C96&amp;$BE$4,DogInfo!A:A,0),2),0))),"")</f>
        <v>0</v>
      </c>
    </row>
    <row r="97" spans="1:57" x14ac:dyDescent="0.25">
      <c r="A97" s="99">
        <v>33</v>
      </c>
      <c r="B97" s="100"/>
      <c r="C97" s="101"/>
      <c r="D97" s="102" t="str">
        <f>IF($C97="","",VLOOKUP($C97,'SDDA Dogs'!$A:$F,2,FALSE))</f>
        <v/>
      </c>
      <c r="E97" s="211">
        <f t="shared" si="90"/>
        <v>-1</v>
      </c>
      <c r="F97" s="103" t="str">
        <f>IF($C97="","",IF(ISERROR(VLOOKUP($C97,$C$5:$AP$54,38,FALSE)=TRUE),VLOOKUP($C97,'SDDA Dogs'!$A:$O,10,FALSE),VLOOKUP($C97,$C$5:$AP$54,38,FALSE)))</f>
        <v/>
      </c>
      <c r="G97" s="137"/>
      <c r="H97" s="217"/>
      <c r="I97" s="84" t="str">
        <f t="shared" si="91"/>
        <v/>
      </c>
      <c r="J97" s="105">
        <f t="shared" si="50"/>
        <v>0</v>
      </c>
      <c r="K97" s="84" t="str">
        <f t="shared" si="92"/>
        <v/>
      </c>
      <c r="L97" s="105">
        <f t="shared" si="51"/>
        <v>0</v>
      </c>
      <c r="M97" s="84" t="str">
        <f t="shared" si="93"/>
        <v/>
      </c>
      <c r="N97" s="106" t="str">
        <f>IF($C97="","",IF(ISERROR(VLOOKUP($C97,$C$5:$AP$54,39,FALSE)=TRUE),VLOOKUP($C97,'SDDA Dogs'!$A:$O,11,FALSE),VLOOKUP($C97,$C$5:$AP$54,39,FALSE)))</f>
        <v/>
      </c>
      <c r="O97" s="137"/>
      <c r="P97" s="217"/>
      <c r="Q97" s="84" t="str">
        <f t="shared" si="94"/>
        <v/>
      </c>
      <c r="R97" s="105">
        <f t="shared" si="52"/>
        <v>0</v>
      </c>
      <c r="S97" s="84" t="str">
        <f t="shared" si="95"/>
        <v/>
      </c>
      <c r="T97" s="105">
        <f t="shared" si="53"/>
        <v>0</v>
      </c>
      <c r="U97" s="84" t="str">
        <f t="shared" si="96"/>
        <v/>
      </c>
      <c r="V97" s="106" t="str">
        <f>IF($C97="","",IF(ISERROR(VLOOKUP($C97,$C$5:$AP$54,40,FALSE)=TRUE),VLOOKUP($C97,'SDDA Dogs'!$A:$O,12,FALSE),VLOOKUP($C97,$C$5:$AP$54,40,FALSE)))</f>
        <v/>
      </c>
      <c r="W97" s="137"/>
      <c r="X97" s="217"/>
      <c r="Y97" s="84" t="str">
        <f t="shared" si="97"/>
        <v/>
      </c>
      <c r="Z97" s="105">
        <f t="shared" si="54"/>
        <v>0</v>
      </c>
      <c r="AA97" s="84" t="str">
        <f t="shared" si="98"/>
        <v/>
      </c>
      <c r="AB97" s="105">
        <f t="shared" si="55"/>
        <v>0</v>
      </c>
      <c r="AC97" s="84" t="str">
        <f t="shared" si="99"/>
        <v/>
      </c>
      <c r="AD97" s="92" t="str">
        <f t="shared" si="74"/>
        <v/>
      </c>
      <c r="AE97" s="89" t="str">
        <f t="shared" si="100"/>
        <v/>
      </c>
      <c r="AF97" s="104" t="str">
        <f t="shared" si="101"/>
        <v/>
      </c>
      <c r="AG97" s="107" t="str">
        <f t="shared" si="102"/>
        <v/>
      </c>
      <c r="AH97" s="92" t="str">
        <f t="shared" si="103"/>
        <v/>
      </c>
      <c r="AI97" s="89" t="str">
        <f t="shared" si="104"/>
        <v/>
      </c>
      <c r="AJ97" s="104" t="str">
        <f t="shared" si="105"/>
        <v/>
      </c>
      <c r="AK97" s="84" t="str">
        <f t="shared" si="106"/>
        <v/>
      </c>
      <c r="AL97" s="265" t="str">
        <f t="shared" si="107"/>
        <v/>
      </c>
      <c r="AM97" s="270">
        <f t="shared" si="56"/>
        <v>0</v>
      </c>
      <c r="AN97" s="270" t="str">
        <f t="shared" si="57"/>
        <v/>
      </c>
      <c r="AO97" s="270" t="str">
        <f t="shared" si="58"/>
        <v/>
      </c>
      <c r="AP97" s="270" t="str">
        <f t="shared" si="59"/>
        <v/>
      </c>
      <c r="AQ97" s="270">
        <f t="shared" si="60"/>
        <v>0</v>
      </c>
      <c r="AR97" s="271">
        <f>MIN(IFERROR(VLOOKUP($C97,'SDDA Dogs'!$A:$O,13,FALSE),0),IFERROR(VLOOKUP($C97,'SDDA Dogs'!$A:$O,14,FALSE),0),IFERROR(VLOOKUP($C97,'SDDA Dogs'!$A:$O,15,FALSE),0))</f>
        <v>0</v>
      </c>
      <c r="AS97" s="272"/>
      <c r="AT97" s="272"/>
      <c r="AU97" s="272" t="str">
        <f>IF(ISERROR(VLOOKUP(C97,'SDDA Dogs'!A:O,6,FALSE)),"",VLOOKUP(C97,'SDDA Dogs'!A:O,6,FALSE))</f>
        <v/>
      </c>
      <c r="AV97" s="270">
        <f t="shared" si="108"/>
        <v>0</v>
      </c>
      <c r="AW97" s="270">
        <f t="shared" si="109"/>
        <v>0</v>
      </c>
      <c r="AX97" s="273">
        <f t="shared" si="61"/>
        <v>0</v>
      </c>
      <c r="AY97" s="274"/>
      <c r="AZ97" s="275">
        <f t="shared" ref="AZ97:AZ114" si="110">IF(AND(I97="Pass",Q97="Pass",Y97="Pass"),(G97+O97+W97)/((MinScoreCSA + MinScoreISA + MinScoreESA)*2),0)</f>
        <v>0</v>
      </c>
      <c r="BA97" s="275">
        <f t="shared" ref="BA97:BA114" si="111">IF(AND(I97="Pass",Q97="Pass",Y97="Pass"),(H97+P97+X97)/(MaxTmCSA+MaxTmESA+MaxTmISA),0)</f>
        <v>0</v>
      </c>
      <c r="BB97" s="276"/>
      <c r="BC97" s="274">
        <f>_xlfn.IFNA(IF(I97="Pass",IF(AND(G97&gt;=IFERROR(INDEX($C$5:$W$54,MATCH(C97,$C$5:$C$54,0),5),0),G97&gt;=IFERROR(INDEX(DogInfo!A:B,MATCH(C97&amp;$BC$4,DogInfo!A:A,0),2),0)),G97,IF(AND(IFERROR(INDEX($C$5:$W$54,MATCH(C97,$C$5:$C$54,0),5),0)&gt;=O97,IFERROR(INDEX($C$5:$W$54,MATCH(C97,$C$5:$C$54,0),5),0)&gt;=IFERROR(INDEX(DogInfo!A:B,MATCH(C97&amp;$BC$4,DogInfo!A:A,0),2),0)),IFERROR(INDEX($C$5:$W$54,MATCH(C97,$C$5:$C$54,0),5),0),IF(AND(IFERROR(INDEX(DogInfo!A:B,MATCH(C97&amp;$BC$4,DogInfo!A:A,0),2),0)&gt;=IFERROR(INDEX($C$5:$W$54,MATCH(C97,$C$5:$C$54,0),5),0),IFERROR(INDEX(DogInfo!A:B,MATCH(C97&amp;$BC$4,DogInfo!A:A,0),2),0)&gt;=G97),IFERROR(INDEX(DogInfo!A:B,MATCH(C97&amp;$BC$4,DogInfo!A:A,0),2),0),"Error"))),IFERROR(INDEX($C$5:$BE$54,MATCH(C97,$C$5:$C$54,0),53),IFERROR(INDEX(DogInfo!A:B,MATCH(C97&amp;$BC$4,DogInfo!A:A,0),2),0))),"")</f>
        <v>0</v>
      </c>
      <c r="BD97" s="274">
        <f>_xlfn.IFNA(IF(Q97="Pass",IF(AND(O97&gt;=IFERROR(INDEX($C$5:$W$54,MATCH(C97,$C$5:$C$54,0),13),0),O97&gt;=IFERROR(INDEX(DogInfo!A:B,MATCH(C97&amp;$BD$4,DogInfo!A:A,0),2),0)),O97,IF(AND(IFERROR(INDEX($C$5:$W$54,MATCH(C97,$C$5:$C$54,0),13),0)&gt;=O97,IFERROR(INDEX($C$5:$W$54,MATCH(C97,$C$5:$C$54,0),13),0)&gt;=IFERROR(INDEX(DogInfo!A:B,MATCH(C97&amp;$BD$4,DogInfo!A:A,0),2),0)),IFERROR(INDEX($C$5:$W$54,MATCH(C97,$C$5:$C$54,0),13),0),IF(AND(IFERROR(INDEX(DogInfo!A:B,MATCH(C97&amp;$BD$4,DogInfo!A:A,0),2),0)&gt;=IFERROR(INDEX($C$5:$W$54,MATCH(C97,$C$5:$C$54,0),13),0),IFERROR(INDEX(DogInfo!A:B,MATCH(C97&amp;$BD$4,DogInfo!A:A,0),2),0)&gt;=O97),IFERROR(INDEX(DogInfo!A:B,MATCH(C97&amp;$BD$4,DogInfo!A:A,0),2),0),"Error"))),IFERROR(INDEX($C$5:$BE$54,MATCH(C97,$C$5:$C$54,0),54),IFERROR(INDEX(DogInfo!A:B,MATCH(C97&amp;$BD$4,DogInfo!A:A,0),2),0))),"")</f>
        <v>0</v>
      </c>
      <c r="BE97" s="274">
        <f>_xlfn.IFNA(IF(Y97="Pass",IF(AND(W97&gt;=IFERROR(INDEX($C$5:$W$54,MATCH(C97,$C$5:$C$54,0),21),0),O97&gt;=IFERROR(INDEX(DogInfo!A:B,MATCH(C97&amp;$BE$4,DogInfo!A:A,0),2),0)),W97,IF(AND(IFERROR(INDEX($C$5:$W$54,MATCH(C97,$C$5:$C$54,0),21),0)&gt;=W97,IFERROR(INDEX($C$5:$W$54,MATCH(C97,$C$5:$C$54,0),21),0)&gt;=IFERROR(INDEX(DogInfo!A:B,MATCH(C97&amp;$BE$4,DogInfo!A:A,0),2),0)),IFERROR(INDEX($C$5:$W$54,MATCH(C97,$C$5:$C$54,0),21),0),IF(AND(IFERROR(INDEX(DogInfo!A:B,MATCH(C97&amp;$BE$4,DogInfo!A:A,0),2),0)&gt;=IFERROR(INDEX($C$5:$W$54,MATCH(C97,$C$5:$C$54,0),21),0),IFERROR(INDEX(DogInfo!A:B,MATCH(C97&amp;$BE$4,DogInfo!A:A,0),2),0)&gt;=W97),IFERROR(INDEX(DogInfo!A:B,MATCH(C97&amp;$BE$4,DogInfo!A:A,0),2),0),"Error"))),IFERROR(INDEX($C$5:$BE$54,MATCH(C97,$C$5:$C$54,0),55),IFERROR(INDEX(DogInfo!A:B,MATCH(C97&amp;$BE$4,DogInfo!A:A,0),2),0))),"")</f>
        <v>0</v>
      </c>
    </row>
    <row r="98" spans="1:57" x14ac:dyDescent="0.25">
      <c r="A98" s="99">
        <v>34</v>
      </c>
      <c r="B98" s="100"/>
      <c r="C98" s="101"/>
      <c r="D98" s="102" t="str">
        <f>IF($C98="","",VLOOKUP($C98,'SDDA Dogs'!$A:$F,2,FALSE))</f>
        <v/>
      </c>
      <c r="E98" s="211">
        <f t="shared" si="90"/>
        <v>-1</v>
      </c>
      <c r="F98" s="103" t="str">
        <f>IF($C98="","",IF(ISERROR(VLOOKUP($C98,$C$5:$AP$54,38,FALSE)=TRUE),VLOOKUP($C98,'SDDA Dogs'!$A:$O,10,FALSE),VLOOKUP($C98,$C$5:$AP$54,38,FALSE)))</f>
        <v/>
      </c>
      <c r="G98" s="137"/>
      <c r="H98" s="217"/>
      <c r="I98" s="84" t="str">
        <f t="shared" si="91"/>
        <v/>
      </c>
      <c r="J98" s="105">
        <f t="shared" si="50"/>
        <v>0</v>
      </c>
      <c r="K98" s="84" t="str">
        <f t="shared" si="92"/>
        <v/>
      </c>
      <c r="L98" s="105">
        <f t="shared" si="51"/>
        <v>0</v>
      </c>
      <c r="M98" s="84" t="str">
        <f t="shared" si="93"/>
        <v/>
      </c>
      <c r="N98" s="106" t="str">
        <f>IF($C98="","",IF(ISERROR(VLOOKUP($C98,$C$5:$AP$54,39,FALSE)=TRUE),VLOOKUP($C98,'SDDA Dogs'!$A:$O,11,FALSE),VLOOKUP($C98,$C$5:$AP$54,39,FALSE)))</f>
        <v/>
      </c>
      <c r="O98" s="137"/>
      <c r="P98" s="217"/>
      <c r="Q98" s="84" t="str">
        <f t="shared" si="94"/>
        <v/>
      </c>
      <c r="R98" s="105">
        <f t="shared" si="52"/>
        <v>0</v>
      </c>
      <c r="S98" s="84" t="str">
        <f t="shared" si="95"/>
        <v/>
      </c>
      <c r="T98" s="105">
        <f t="shared" si="53"/>
        <v>0</v>
      </c>
      <c r="U98" s="84" t="str">
        <f t="shared" si="96"/>
        <v/>
      </c>
      <c r="V98" s="106" t="str">
        <f>IF($C98="","",IF(ISERROR(VLOOKUP($C98,$C$5:$AP$54,40,FALSE)=TRUE),VLOOKUP($C98,'SDDA Dogs'!$A:$O,12,FALSE),VLOOKUP($C98,$C$5:$AP$54,40,FALSE)))</f>
        <v/>
      </c>
      <c r="W98" s="137"/>
      <c r="X98" s="217"/>
      <c r="Y98" s="84" t="str">
        <f t="shared" si="97"/>
        <v/>
      </c>
      <c r="Z98" s="105">
        <f t="shared" si="54"/>
        <v>0</v>
      </c>
      <c r="AA98" s="84" t="str">
        <f t="shared" si="98"/>
        <v/>
      </c>
      <c r="AB98" s="105">
        <f t="shared" si="55"/>
        <v>0</v>
      </c>
      <c r="AC98" s="84" t="str">
        <f t="shared" si="99"/>
        <v/>
      </c>
      <c r="AD98" s="92" t="str">
        <f t="shared" si="74"/>
        <v/>
      </c>
      <c r="AE98" s="89" t="str">
        <f t="shared" si="100"/>
        <v/>
      </c>
      <c r="AF98" s="104" t="str">
        <f t="shared" si="101"/>
        <v/>
      </c>
      <c r="AG98" s="107" t="str">
        <f t="shared" si="102"/>
        <v/>
      </c>
      <c r="AH98" s="92" t="str">
        <f t="shared" si="103"/>
        <v/>
      </c>
      <c r="AI98" s="89" t="str">
        <f t="shared" si="104"/>
        <v/>
      </c>
      <c r="AJ98" s="104" t="str">
        <f t="shared" si="105"/>
        <v/>
      </c>
      <c r="AK98" s="84" t="str">
        <f t="shared" si="106"/>
        <v/>
      </c>
      <c r="AL98" s="265" t="str">
        <f t="shared" si="107"/>
        <v/>
      </c>
      <c r="AM98" s="270">
        <f t="shared" si="56"/>
        <v>0</v>
      </c>
      <c r="AN98" s="270" t="str">
        <f t="shared" si="57"/>
        <v/>
      </c>
      <c r="AO98" s="270" t="str">
        <f t="shared" si="58"/>
        <v/>
      </c>
      <c r="AP98" s="270" t="str">
        <f t="shared" si="59"/>
        <v/>
      </c>
      <c r="AQ98" s="270">
        <f t="shared" si="60"/>
        <v>0</v>
      </c>
      <c r="AR98" s="271">
        <f>MIN(IFERROR(VLOOKUP($C98,'SDDA Dogs'!$A:$O,13,FALSE),0),IFERROR(VLOOKUP($C98,'SDDA Dogs'!$A:$O,14,FALSE),0),IFERROR(VLOOKUP($C98,'SDDA Dogs'!$A:$O,15,FALSE),0))</f>
        <v>0</v>
      </c>
      <c r="AS98" s="272"/>
      <c r="AT98" s="272"/>
      <c r="AU98" s="272" t="str">
        <f>IF(ISERROR(VLOOKUP(C98,'SDDA Dogs'!A:O,6,FALSE)),"",VLOOKUP(C98,'SDDA Dogs'!A:O,6,FALSE))</f>
        <v/>
      </c>
      <c r="AV98" s="270">
        <f t="shared" si="108"/>
        <v>0</v>
      </c>
      <c r="AW98" s="270">
        <f t="shared" si="109"/>
        <v>0</v>
      </c>
      <c r="AX98" s="273">
        <f t="shared" si="61"/>
        <v>0</v>
      </c>
      <c r="AY98" s="274"/>
      <c r="AZ98" s="275">
        <f t="shared" si="110"/>
        <v>0</v>
      </c>
      <c r="BA98" s="275">
        <f t="shared" si="111"/>
        <v>0</v>
      </c>
      <c r="BB98" s="276"/>
      <c r="BC98" s="274">
        <f>_xlfn.IFNA(IF(I98="Pass",IF(AND(G98&gt;=IFERROR(INDEX($C$5:$W$54,MATCH(C98,$C$5:$C$54,0),5),0),G98&gt;=IFERROR(INDEX(DogInfo!A:B,MATCH(C98&amp;$BC$4,DogInfo!A:A,0),2),0)),G98,IF(AND(IFERROR(INDEX($C$5:$W$54,MATCH(C98,$C$5:$C$54,0),5),0)&gt;=O98,IFERROR(INDEX($C$5:$W$54,MATCH(C98,$C$5:$C$54,0),5),0)&gt;=IFERROR(INDEX(DogInfo!A:B,MATCH(C98&amp;$BC$4,DogInfo!A:A,0),2),0)),IFERROR(INDEX($C$5:$W$54,MATCH(C98,$C$5:$C$54,0),5),0),IF(AND(IFERROR(INDEX(DogInfo!A:B,MATCH(C98&amp;$BC$4,DogInfo!A:A,0),2),0)&gt;=IFERROR(INDEX($C$5:$W$54,MATCH(C98,$C$5:$C$54,0),5),0),IFERROR(INDEX(DogInfo!A:B,MATCH(C98&amp;$BC$4,DogInfo!A:A,0),2),0)&gt;=G98),IFERROR(INDEX(DogInfo!A:B,MATCH(C98&amp;$BC$4,DogInfo!A:A,0),2),0),"Error"))),IFERROR(INDEX($C$5:$BE$54,MATCH(C98,$C$5:$C$54,0),53),IFERROR(INDEX(DogInfo!A:B,MATCH(C98&amp;$BC$4,DogInfo!A:A,0),2),0))),"")</f>
        <v>0</v>
      </c>
      <c r="BD98" s="274">
        <f>_xlfn.IFNA(IF(Q98="Pass",IF(AND(O98&gt;=IFERROR(INDEX($C$5:$W$54,MATCH(C98,$C$5:$C$54,0),13),0),O98&gt;=IFERROR(INDEX(DogInfo!A:B,MATCH(C98&amp;$BD$4,DogInfo!A:A,0),2),0)),O98,IF(AND(IFERROR(INDEX($C$5:$W$54,MATCH(C98,$C$5:$C$54,0),13),0)&gt;=O98,IFERROR(INDEX($C$5:$W$54,MATCH(C98,$C$5:$C$54,0),13),0)&gt;=IFERROR(INDEX(DogInfo!A:B,MATCH(C98&amp;$BD$4,DogInfo!A:A,0),2),0)),IFERROR(INDEX($C$5:$W$54,MATCH(C98,$C$5:$C$54,0),13),0),IF(AND(IFERROR(INDEX(DogInfo!A:B,MATCH(C98&amp;$BD$4,DogInfo!A:A,0),2),0)&gt;=IFERROR(INDEX($C$5:$W$54,MATCH(C98,$C$5:$C$54,0),13),0),IFERROR(INDEX(DogInfo!A:B,MATCH(C98&amp;$BD$4,DogInfo!A:A,0),2),0)&gt;=O98),IFERROR(INDEX(DogInfo!A:B,MATCH(C98&amp;$BD$4,DogInfo!A:A,0),2),0),"Error"))),IFERROR(INDEX($C$5:$BE$54,MATCH(C98,$C$5:$C$54,0),54),IFERROR(INDEX(DogInfo!A:B,MATCH(C98&amp;$BD$4,DogInfo!A:A,0),2),0))),"")</f>
        <v>0</v>
      </c>
      <c r="BE98" s="274">
        <f>_xlfn.IFNA(IF(Y98="Pass",IF(AND(W98&gt;=IFERROR(INDEX($C$5:$W$54,MATCH(C98,$C$5:$C$54,0),21),0),O98&gt;=IFERROR(INDEX(DogInfo!A:B,MATCH(C98&amp;$BE$4,DogInfo!A:A,0),2),0)),W98,IF(AND(IFERROR(INDEX($C$5:$W$54,MATCH(C98,$C$5:$C$54,0),21),0)&gt;=W98,IFERROR(INDEX($C$5:$W$54,MATCH(C98,$C$5:$C$54,0),21),0)&gt;=IFERROR(INDEX(DogInfo!A:B,MATCH(C98&amp;$BE$4,DogInfo!A:A,0),2),0)),IFERROR(INDEX($C$5:$W$54,MATCH(C98,$C$5:$C$54,0),21),0),IF(AND(IFERROR(INDEX(DogInfo!A:B,MATCH(C98&amp;$BE$4,DogInfo!A:A,0),2),0)&gt;=IFERROR(INDEX($C$5:$W$54,MATCH(C98,$C$5:$C$54,0),21),0),IFERROR(INDEX(DogInfo!A:B,MATCH(C98&amp;$BE$4,DogInfo!A:A,0),2),0)&gt;=W98),IFERROR(INDEX(DogInfo!A:B,MATCH(C98&amp;$BE$4,DogInfo!A:A,0),2),0),"Error"))),IFERROR(INDEX($C$5:$BE$54,MATCH(C98,$C$5:$C$54,0),55),IFERROR(INDEX(DogInfo!A:B,MATCH(C98&amp;$BE$4,DogInfo!A:A,0),2),0))),"")</f>
        <v>0</v>
      </c>
    </row>
    <row r="99" spans="1:57" x14ac:dyDescent="0.25">
      <c r="A99" s="99">
        <v>35</v>
      </c>
      <c r="B99" s="100"/>
      <c r="C99" s="101"/>
      <c r="D99" s="102" t="str">
        <f>IF($C99="","",VLOOKUP($C99,'SDDA Dogs'!$A:$F,2,FALSE))</f>
        <v/>
      </c>
      <c r="E99" s="211">
        <f t="shared" si="90"/>
        <v>-1</v>
      </c>
      <c r="F99" s="103" t="str">
        <f>IF($C99="","",IF(ISERROR(VLOOKUP($C99,$C$5:$AP$54,38,FALSE)=TRUE),VLOOKUP($C99,'SDDA Dogs'!$A:$O,10,FALSE),VLOOKUP($C99,$C$5:$AP$54,38,FALSE)))</f>
        <v/>
      </c>
      <c r="G99" s="137"/>
      <c r="H99" s="217"/>
      <c r="I99" s="84" t="str">
        <f t="shared" si="91"/>
        <v/>
      </c>
      <c r="J99" s="105">
        <f t="shared" si="50"/>
        <v>0</v>
      </c>
      <c r="K99" s="84" t="str">
        <f t="shared" si="92"/>
        <v/>
      </c>
      <c r="L99" s="105">
        <f t="shared" si="51"/>
        <v>0</v>
      </c>
      <c r="M99" s="84" t="str">
        <f t="shared" si="93"/>
        <v/>
      </c>
      <c r="N99" s="106" t="str">
        <f>IF($C99="","",IF(ISERROR(VLOOKUP($C99,$C$5:$AP$54,39,FALSE)=TRUE),VLOOKUP($C99,'SDDA Dogs'!$A:$O,11,FALSE),VLOOKUP($C99,$C$5:$AP$54,39,FALSE)))</f>
        <v/>
      </c>
      <c r="O99" s="137"/>
      <c r="P99" s="217"/>
      <c r="Q99" s="84" t="str">
        <f t="shared" si="94"/>
        <v/>
      </c>
      <c r="R99" s="105">
        <f t="shared" si="52"/>
        <v>0</v>
      </c>
      <c r="S99" s="84" t="str">
        <f t="shared" si="95"/>
        <v/>
      </c>
      <c r="T99" s="105">
        <f t="shared" si="53"/>
        <v>0</v>
      </c>
      <c r="U99" s="84" t="str">
        <f t="shared" si="96"/>
        <v/>
      </c>
      <c r="V99" s="106" t="str">
        <f>IF($C99="","",IF(ISERROR(VLOOKUP($C99,$C$5:$AP$54,40,FALSE)=TRUE),VLOOKUP($C99,'SDDA Dogs'!$A:$O,12,FALSE),VLOOKUP($C99,$C$5:$AP$54,40,FALSE)))</f>
        <v/>
      </c>
      <c r="W99" s="137"/>
      <c r="X99" s="217"/>
      <c r="Y99" s="84" t="str">
        <f t="shared" si="97"/>
        <v/>
      </c>
      <c r="Z99" s="105">
        <f t="shared" si="54"/>
        <v>0</v>
      </c>
      <c r="AA99" s="84" t="str">
        <f t="shared" si="98"/>
        <v/>
      </c>
      <c r="AB99" s="105">
        <f t="shared" si="55"/>
        <v>0</v>
      </c>
      <c r="AC99" s="84" t="str">
        <f t="shared" si="99"/>
        <v/>
      </c>
      <c r="AD99" s="92" t="str">
        <f t="shared" si="74"/>
        <v/>
      </c>
      <c r="AE99" s="89" t="str">
        <f t="shared" si="100"/>
        <v/>
      </c>
      <c r="AF99" s="104" t="str">
        <f t="shared" si="101"/>
        <v/>
      </c>
      <c r="AG99" s="107" t="str">
        <f t="shared" si="102"/>
        <v/>
      </c>
      <c r="AH99" s="92" t="str">
        <f t="shared" si="103"/>
        <v/>
      </c>
      <c r="AI99" s="89" t="str">
        <f t="shared" si="104"/>
        <v/>
      </c>
      <c r="AJ99" s="104" t="str">
        <f t="shared" si="105"/>
        <v/>
      </c>
      <c r="AK99" s="84" t="str">
        <f t="shared" si="106"/>
        <v/>
      </c>
      <c r="AL99" s="265" t="str">
        <f t="shared" si="107"/>
        <v/>
      </c>
      <c r="AM99" s="270">
        <f t="shared" si="56"/>
        <v>0</v>
      </c>
      <c r="AN99" s="270" t="str">
        <f t="shared" si="57"/>
        <v/>
      </c>
      <c r="AO99" s="270" t="str">
        <f t="shared" si="58"/>
        <v/>
      </c>
      <c r="AP99" s="270" t="str">
        <f t="shared" si="59"/>
        <v/>
      </c>
      <c r="AQ99" s="270">
        <f t="shared" si="60"/>
        <v>0</v>
      </c>
      <c r="AR99" s="271">
        <f>MIN(IFERROR(VLOOKUP($C99,'SDDA Dogs'!$A:$O,13,FALSE),0),IFERROR(VLOOKUP($C99,'SDDA Dogs'!$A:$O,14,FALSE),0),IFERROR(VLOOKUP($C99,'SDDA Dogs'!$A:$O,15,FALSE),0))</f>
        <v>0</v>
      </c>
      <c r="AS99" s="272"/>
      <c r="AT99" s="272"/>
      <c r="AU99" s="272" t="str">
        <f>IF(ISERROR(VLOOKUP(C99,'SDDA Dogs'!A:O,6,FALSE)),"",VLOOKUP(C99,'SDDA Dogs'!A:O,6,FALSE))</f>
        <v/>
      </c>
      <c r="AV99" s="270">
        <f t="shared" si="108"/>
        <v>0</v>
      </c>
      <c r="AW99" s="270">
        <f t="shared" si="109"/>
        <v>0</v>
      </c>
      <c r="AX99" s="273">
        <f t="shared" si="61"/>
        <v>0</v>
      </c>
      <c r="AY99" s="274"/>
      <c r="AZ99" s="275">
        <f t="shared" si="110"/>
        <v>0</v>
      </c>
      <c r="BA99" s="275">
        <f t="shared" si="111"/>
        <v>0</v>
      </c>
      <c r="BB99" s="276"/>
      <c r="BC99" s="274">
        <f>_xlfn.IFNA(IF(I99="Pass",IF(AND(G99&gt;=IFERROR(INDEX($C$5:$W$54,MATCH(C99,$C$5:$C$54,0),5),0),G99&gt;=IFERROR(INDEX(DogInfo!A:B,MATCH(C99&amp;$BC$4,DogInfo!A:A,0),2),0)),G99,IF(AND(IFERROR(INDEX($C$5:$W$54,MATCH(C99,$C$5:$C$54,0),5),0)&gt;=O99,IFERROR(INDEX($C$5:$W$54,MATCH(C99,$C$5:$C$54,0),5),0)&gt;=IFERROR(INDEX(DogInfo!A:B,MATCH(C99&amp;$BC$4,DogInfo!A:A,0),2),0)),IFERROR(INDEX($C$5:$W$54,MATCH(C99,$C$5:$C$54,0),5),0),IF(AND(IFERROR(INDEX(DogInfo!A:B,MATCH(C99&amp;$BC$4,DogInfo!A:A,0),2),0)&gt;=IFERROR(INDEX($C$5:$W$54,MATCH(C99,$C$5:$C$54,0),5),0),IFERROR(INDEX(DogInfo!A:B,MATCH(C99&amp;$BC$4,DogInfo!A:A,0),2),0)&gt;=G99),IFERROR(INDEX(DogInfo!A:B,MATCH(C99&amp;$BC$4,DogInfo!A:A,0),2),0),"Error"))),IFERROR(INDEX($C$5:$BE$54,MATCH(C99,$C$5:$C$54,0),53),IFERROR(INDEX(DogInfo!A:B,MATCH(C99&amp;$BC$4,DogInfo!A:A,0),2),0))),"")</f>
        <v>0</v>
      </c>
      <c r="BD99" s="274">
        <f>_xlfn.IFNA(IF(Q99="Pass",IF(AND(O99&gt;=IFERROR(INDEX($C$5:$W$54,MATCH(C99,$C$5:$C$54,0),13),0),O99&gt;=IFERROR(INDEX(DogInfo!A:B,MATCH(C99&amp;$BD$4,DogInfo!A:A,0),2),0)),O99,IF(AND(IFERROR(INDEX($C$5:$W$54,MATCH(C99,$C$5:$C$54,0),13),0)&gt;=O99,IFERROR(INDEX($C$5:$W$54,MATCH(C99,$C$5:$C$54,0),13),0)&gt;=IFERROR(INDEX(DogInfo!A:B,MATCH(C99&amp;$BD$4,DogInfo!A:A,0),2),0)),IFERROR(INDEX($C$5:$W$54,MATCH(C99,$C$5:$C$54,0),13),0),IF(AND(IFERROR(INDEX(DogInfo!A:B,MATCH(C99&amp;$BD$4,DogInfo!A:A,0),2),0)&gt;=IFERROR(INDEX($C$5:$W$54,MATCH(C99,$C$5:$C$54,0),13),0),IFERROR(INDEX(DogInfo!A:B,MATCH(C99&amp;$BD$4,DogInfo!A:A,0),2),0)&gt;=O99),IFERROR(INDEX(DogInfo!A:B,MATCH(C99&amp;$BD$4,DogInfo!A:A,0),2),0),"Error"))),IFERROR(INDEX($C$5:$BE$54,MATCH(C99,$C$5:$C$54,0),54),IFERROR(INDEX(DogInfo!A:B,MATCH(C99&amp;$BD$4,DogInfo!A:A,0),2),0))),"")</f>
        <v>0</v>
      </c>
      <c r="BE99" s="274">
        <f>_xlfn.IFNA(IF(Y99="Pass",IF(AND(W99&gt;=IFERROR(INDEX($C$5:$W$54,MATCH(C99,$C$5:$C$54,0),21),0),O99&gt;=IFERROR(INDEX(DogInfo!A:B,MATCH(C99&amp;$BE$4,DogInfo!A:A,0),2),0)),W99,IF(AND(IFERROR(INDEX($C$5:$W$54,MATCH(C99,$C$5:$C$54,0),21),0)&gt;=W99,IFERROR(INDEX($C$5:$W$54,MATCH(C99,$C$5:$C$54,0),21),0)&gt;=IFERROR(INDEX(DogInfo!A:B,MATCH(C99&amp;$BE$4,DogInfo!A:A,0),2),0)),IFERROR(INDEX($C$5:$W$54,MATCH(C99,$C$5:$C$54,0),21),0),IF(AND(IFERROR(INDEX(DogInfo!A:B,MATCH(C99&amp;$BE$4,DogInfo!A:A,0),2),0)&gt;=IFERROR(INDEX($C$5:$W$54,MATCH(C99,$C$5:$C$54,0),21),0),IFERROR(INDEX(DogInfo!A:B,MATCH(C99&amp;$BE$4,DogInfo!A:A,0),2),0)&gt;=W99),IFERROR(INDEX(DogInfo!A:B,MATCH(C99&amp;$BE$4,DogInfo!A:A,0),2),0),"Error"))),IFERROR(INDEX($C$5:$BE$54,MATCH(C99,$C$5:$C$54,0),55),IFERROR(INDEX(DogInfo!A:B,MATCH(C99&amp;$BE$4,DogInfo!A:A,0),2),0))),"")</f>
        <v>0</v>
      </c>
    </row>
    <row r="100" spans="1:57" x14ac:dyDescent="0.25">
      <c r="A100" s="99">
        <v>36</v>
      </c>
      <c r="B100" s="100"/>
      <c r="C100" s="101"/>
      <c r="D100" s="102" t="str">
        <f>IF($C100="","",VLOOKUP($C100,'SDDA Dogs'!$A:$F,2,FALSE))</f>
        <v/>
      </c>
      <c r="E100" s="211">
        <f t="shared" si="90"/>
        <v>-1</v>
      </c>
      <c r="F100" s="103" t="str">
        <f>IF($C100="","",IF(ISERROR(VLOOKUP($C100,$C$5:$AP$54,38,FALSE)=TRUE),VLOOKUP($C100,'SDDA Dogs'!$A:$O,10,FALSE),VLOOKUP($C100,$C$5:$AP$54,38,FALSE)))</f>
        <v/>
      </c>
      <c r="G100" s="137"/>
      <c r="H100" s="217"/>
      <c r="I100" s="84" t="str">
        <f t="shared" si="91"/>
        <v/>
      </c>
      <c r="J100" s="105">
        <f t="shared" si="50"/>
        <v>0</v>
      </c>
      <c r="K100" s="84" t="str">
        <f t="shared" si="92"/>
        <v/>
      </c>
      <c r="L100" s="105">
        <f t="shared" si="51"/>
        <v>0</v>
      </c>
      <c r="M100" s="84" t="str">
        <f t="shared" si="93"/>
        <v/>
      </c>
      <c r="N100" s="106" t="str">
        <f>IF($C100="","",IF(ISERROR(VLOOKUP($C100,$C$5:$AP$54,39,FALSE)=TRUE),VLOOKUP($C100,'SDDA Dogs'!$A:$O,11,FALSE),VLOOKUP($C100,$C$5:$AP$54,39,FALSE)))</f>
        <v/>
      </c>
      <c r="O100" s="137"/>
      <c r="P100" s="217"/>
      <c r="Q100" s="84" t="str">
        <f t="shared" si="94"/>
        <v/>
      </c>
      <c r="R100" s="105">
        <f t="shared" si="52"/>
        <v>0</v>
      </c>
      <c r="S100" s="84" t="str">
        <f t="shared" si="95"/>
        <v/>
      </c>
      <c r="T100" s="105">
        <f t="shared" si="53"/>
        <v>0</v>
      </c>
      <c r="U100" s="84" t="str">
        <f t="shared" si="96"/>
        <v/>
      </c>
      <c r="V100" s="106" t="str">
        <f>IF($C100="","",IF(ISERROR(VLOOKUP($C100,$C$5:$AP$54,40,FALSE)=TRUE),VLOOKUP($C100,'SDDA Dogs'!$A:$O,12,FALSE),VLOOKUP($C100,$C$5:$AP$54,40,FALSE)))</f>
        <v/>
      </c>
      <c r="W100" s="137"/>
      <c r="X100" s="217"/>
      <c r="Y100" s="84" t="str">
        <f t="shared" si="97"/>
        <v/>
      </c>
      <c r="Z100" s="105">
        <f t="shared" si="54"/>
        <v>0</v>
      </c>
      <c r="AA100" s="84" t="str">
        <f t="shared" si="98"/>
        <v/>
      </c>
      <c r="AB100" s="105">
        <f t="shared" si="55"/>
        <v>0</v>
      </c>
      <c r="AC100" s="84" t="str">
        <f t="shared" si="99"/>
        <v/>
      </c>
      <c r="AD100" s="92" t="str">
        <f t="shared" si="74"/>
        <v/>
      </c>
      <c r="AE100" s="89" t="str">
        <f t="shared" si="100"/>
        <v/>
      </c>
      <c r="AF100" s="104" t="str">
        <f t="shared" si="101"/>
        <v/>
      </c>
      <c r="AG100" s="107" t="str">
        <f t="shared" si="102"/>
        <v/>
      </c>
      <c r="AH100" s="92" t="str">
        <f t="shared" si="103"/>
        <v/>
      </c>
      <c r="AI100" s="89" t="str">
        <f t="shared" si="104"/>
        <v/>
      </c>
      <c r="AJ100" s="104" t="str">
        <f t="shared" si="105"/>
        <v/>
      </c>
      <c r="AK100" s="84" t="str">
        <f t="shared" si="106"/>
        <v/>
      </c>
      <c r="AL100" s="265" t="str">
        <f t="shared" si="107"/>
        <v/>
      </c>
      <c r="AM100" s="270">
        <f t="shared" si="56"/>
        <v>0</v>
      </c>
      <c r="AN100" s="270" t="str">
        <f t="shared" si="57"/>
        <v/>
      </c>
      <c r="AO100" s="270" t="str">
        <f t="shared" si="58"/>
        <v/>
      </c>
      <c r="AP100" s="270" t="str">
        <f t="shared" si="59"/>
        <v/>
      </c>
      <c r="AQ100" s="270">
        <f t="shared" si="60"/>
        <v>0</v>
      </c>
      <c r="AR100" s="271">
        <f>MIN(IFERROR(VLOOKUP($C100,'SDDA Dogs'!$A:$O,13,FALSE),0),IFERROR(VLOOKUP($C100,'SDDA Dogs'!$A:$O,14,FALSE),0),IFERROR(VLOOKUP($C100,'SDDA Dogs'!$A:$O,15,FALSE),0))</f>
        <v>0</v>
      </c>
      <c r="AS100" s="272"/>
      <c r="AT100" s="272"/>
      <c r="AU100" s="272" t="str">
        <f>IF(ISERROR(VLOOKUP(C100,'SDDA Dogs'!A:O,6,FALSE)),"",VLOOKUP(C100,'SDDA Dogs'!A:O,6,FALSE))</f>
        <v/>
      </c>
      <c r="AV100" s="270">
        <f t="shared" si="108"/>
        <v>0</v>
      </c>
      <c r="AW100" s="270">
        <f t="shared" si="109"/>
        <v>0</v>
      </c>
      <c r="AX100" s="273">
        <f t="shared" si="61"/>
        <v>0</v>
      </c>
      <c r="AY100" s="274"/>
      <c r="AZ100" s="275">
        <f t="shared" si="110"/>
        <v>0</v>
      </c>
      <c r="BA100" s="275">
        <f t="shared" si="111"/>
        <v>0</v>
      </c>
      <c r="BB100" s="276"/>
      <c r="BC100" s="274">
        <f>_xlfn.IFNA(IF(I100="Pass",IF(AND(G100&gt;=IFERROR(INDEX($C$5:$W$54,MATCH(C100,$C$5:$C$54,0),5),0),G100&gt;=IFERROR(INDEX(DogInfo!A:B,MATCH(C100&amp;$BC$4,DogInfo!A:A,0),2),0)),G100,IF(AND(IFERROR(INDEX($C$5:$W$54,MATCH(C100,$C$5:$C$54,0),5),0)&gt;=O100,IFERROR(INDEX($C$5:$W$54,MATCH(C100,$C$5:$C$54,0),5),0)&gt;=IFERROR(INDEX(DogInfo!A:B,MATCH(C100&amp;$BC$4,DogInfo!A:A,0),2),0)),IFERROR(INDEX($C$5:$W$54,MATCH(C100,$C$5:$C$54,0),5),0),IF(AND(IFERROR(INDEX(DogInfo!A:B,MATCH(C100&amp;$BC$4,DogInfo!A:A,0),2),0)&gt;=IFERROR(INDEX($C$5:$W$54,MATCH(C100,$C$5:$C$54,0),5),0),IFERROR(INDEX(DogInfo!A:B,MATCH(C100&amp;$BC$4,DogInfo!A:A,0),2),0)&gt;=G100),IFERROR(INDEX(DogInfo!A:B,MATCH(C100&amp;$BC$4,DogInfo!A:A,0),2),0),"Error"))),IFERROR(INDEX($C$5:$BE$54,MATCH(C100,$C$5:$C$54,0),53),IFERROR(INDEX(DogInfo!A:B,MATCH(C100&amp;$BC$4,DogInfo!A:A,0),2),0))),"")</f>
        <v>0</v>
      </c>
      <c r="BD100" s="274">
        <f>_xlfn.IFNA(IF(Q100="Pass",IF(AND(O100&gt;=IFERROR(INDEX($C$5:$W$54,MATCH(C100,$C$5:$C$54,0),13),0),O100&gt;=IFERROR(INDEX(DogInfo!A:B,MATCH(C100&amp;$BD$4,DogInfo!A:A,0),2),0)),O100,IF(AND(IFERROR(INDEX($C$5:$W$54,MATCH(C100,$C$5:$C$54,0),13),0)&gt;=O100,IFERROR(INDEX($C$5:$W$54,MATCH(C100,$C$5:$C$54,0),13),0)&gt;=IFERROR(INDEX(DogInfo!A:B,MATCH(C100&amp;$BD$4,DogInfo!A:A,0),2),0)),IFERROR(INDEX($C$5:$W$54,MATCH(C100,$C$5:$C$54,0),13),0),IF(AND(IFERROR(INDEX(DogInfo!A:B,MATCH(C100&amp;$BD$4,DogInfo!A:A,0),2),0)&gt;=IFERROR(INDEX($C$5:$W$54,MATCH(C100,$C$5:$C$54,0),13),0),IFERROR(INDEX(DogInfo!A:B,MATCH(C100&amp;$BD$4,DogInfo!A:A,0),2),0)&gt;=O100),IFERROR(INDEX(DogInfo!A:B,MATCH(C100&amp;$BD$4,DogInfo!A:A,0),2),0),"Error"))),IFERROR(INDEX($C$5:$BE$54,MATCH(C100,$C$5:$C$54,0),54),IFERROR(INDEX(DogInfo!A:B,MATCH(C100&amp;$BD$4,DogInfo!A:A,0),2),0))),"")</f>
        <v>0</v>
      </c>
      <c r="BE100" s="274">
        <f>_xlfn.IFNA(IF(Y100="Pass",IF(AND(W100&gt;=IFERROR(INDEX($C$5:$W$54,MATCH(C100,$C$5:$C$54,0),21),0),O100&gt;=IFERROR(INDEX(DogInfo!A:B,MATCH(C100&amp;$BE$4,DogInfo!A:A,0),2),0)),W100,IF(AND(IFERROR(INDEX($C$5:$W$54,MATCH(C100,$C$5:$C$54,0),21),0)&gt;=W100,IFERROR(INDEX($C$5:$W$54,MATCH(C100,$C$5:$C$54,0),21),0)&gt;=IFERROR(INDEX(DogInfo!A:B,MATCH(C100&amp;$BE$4,DogInfo!A:A,0),2),0)),IFERROR(INDEX($C$5:$W$54,MATCH(C100,$C$5:$C$54,0),21),0),IF(AND(IFERROR(INDEX(DogInfo!A:B,MATCH(C100&amp;$BE$4,DogInfo!A:A,0),2),0)&gt;=IFERROR(INDEX($C$5:$W$54,MATCH(C100,$C$5:$C$54,0),21),0),IFERROR(INDEX(DogInfo!A:B,MATCH(C100&amp;$BE$4,DogInfo!A:A,0),2),0)&gt;=W100),IFERROR(INDEX(DogInfo!A:B,MATCH(C100&amp;$BE$4,DogInfo!A:A,0),2),0),"Error"))),IFERROR(INDEX($C$5:$BE$54,MATCH(C100,$C$5:$C$54,0),55),IFERROR(INDEX(DogInfo!A:B,MATCH(C100&amp;$BE$4,DogInfo!A:A,0),2),0))),"")</f>
        <v>0</v>
      </c>
    </row>
    <row r="101" spans="1:57" x14ac:dyDescent="0.25">
      <c r="A101" s="99">
        <v>37</v>
      </c>
      <c r="B101" s="100"/>
      <c r="C101" s="101"/>
      <c r="D101" s="102" t="str">
        <f>IF($C101="","",VLOOKUP($C101,'SDDA Dogs'!$A:$F,2,FALSE))</f>
        <v/>
      </c>
      <c r="E101" s="211">
        <f t="shared" si="90"/>
        <v>-1</v>
      </c>
      <c r="F101" s="103" t="str">
        <f>IF($C101="","",IF(ISERROR(VLOOKUP($C101,$C$5:$AP$54,38,FALSE)=TRUE),VLOOKUP($C101,'SDDA Dogs'!$A:$O,10,FALSE),VLOOKUP($C101,$C$5:$AP$54,38,FALSE)))</f>
        <v/>
      </c>
      <c r="G101" s="137"/>
      <c r="H101" s="217"/>
      <c r="I101" s="84" t="str">
        <f t="shared" si="91"/>
        <v/>
      </c>
      <c r="J101" s="105">
        <f t="shared" si="50"/>
        <v>0</v>
      </c>
      <c r="K101" s="84" t="str">
        <f t="shared" si="92"/>
        <v/>
      </c>
      <c r="L101" s="105">
        <f t="shared" si="51"/>
        <v>0</v>
      </c>
      <c r="M101" s="84" t="str">
        <f t="shared" si="93"/>
        <v/>
      </c>
      <c r="N101" s="106" t="str">
        <f>IF($C101="","",IF(ISERROR(VLOOKUP($C101,$C$5:$AP$54,39,FALSE)=TRUE),VLOOKUP($C101,'SDDA Dogs'!$A:$O,11,FALSE),VLOOKUP($C101,$C$5:$AP$54,39,FALSE)))</f>
        <v/>
      </c>
      <c r="O101" s="137"/>
      <c r="P101" s="217"/>
      <c r="Q101" s="84" t="str">
        <f t="shared" si="94"/>
        <v/>
      </c>
      <c r="R101" s="105">
        <f t="shared" si="52"/>
        <v>0</v>
      </c>
      <c r="S101" s="84" t="str">
        <f t="shared" si="95"/>
        <v/>
      </c>
      <c r="T101" s="105">
        <f t="shared" si="53"/>
        <v>0</v>
      </c>
      <c r="U101" s="84" t="str">
        <f t="shared" si="96"/>
        <v/>
      </c>
      <c r="V101" s="106" t="str">
        <f>IF($C101="","",IF(ISERROR(VLOOKUP($C101,$C$5:$AP$54,40,FALSE)=TRUE),VLOOKUP($C101,'SDDA Dogs'!$A:$O,12,FALSE),VLOOKUP($C101,$C$5:$AP$54,40,FALSE)))</f>
        <v/>
      </c>
      <c r="W101" s="137"/>
      <c r="X101" s="217"/>
      <c r="Y101" s="84" t="str">
        <f t="shared" si="97"/>
        <v/>
      </c>
      <c r="Z101" s="105">
        <f t="shared" si="54"/>
        <v>0</v>
      </c>
      <c r="AA101" s="84" t="str">
        <f t="shared" si="98"/>
        <v/>
      </c>
      <c r="AB101" s="105">
        <f t="shared" si="55"/>
        <v>0</v>
      </c>
      <c r="AC101" s="84" t="str">
        <f t="shared" si="99"/>
        <v/>
      </c>
      <c r="AD101" s="92" t="str">
        <f t="shared" si="74"/>
        <v/>
      </c>
      <c r="AE101" s="89" t="str">
        <f t="shared" si="100"/>
        <v/>
      </c>
      <c r="AF101" s="104" t="str">
        <f t="shared" si="101"/>
        <v/>
      </c>
      <c r="AG101" s="107" t="str">
        <f t="shared" si="102"/>
        <v/>
      </c>
      <c r="AH101" s="92" t="str">
        <f t="shared" si="103"/>
        <v/>
      </c>
      <c r="AI101" s="89" t="str">
        <f t="shared" si="104"/>
        <v/>
      </c>
      <c r="AJ101" s="104" t="str">
        <f t="shared" si="105"/>
        <v/>
      </c>
      <c r="AK101" s="84" t="str">
        <f t="shared" si="106"/>
        <v/>
      </c>
      <c r="AL101" s="265" t="str">
        <f t="shared" si="107"/>
        <v/>
      </c>
      <c r="AM101" s="270">
        <f t="shared" si="56"/>
        <v>0</v>
      </c>
      <c r="AN101" s="270" t="str">
        <f t="shared" si="57"/>
        <v/>
      </c>
      <c r="AO101" s="270" t="str">
        <f t="shared" si="58"/>
        <v/>
      </c>
      <c r="AP101" s="270" t="str">
        <f t="shared" si="59"/>
        <v/>
      </c>
      <c r="AQ101" s="270">
        <f t="shared" si="60"/>
        <v>0</v>
      </c>
      <c r="AR101" s="271">
        <f>MIN(IFERROR(VLOOKUP($C101,'SDDA Dogs'!$A:$O,13,FALSE),0),IFERROR(VLOOKUP($C101,'SDDA Dogs'!$A:$O,14,FALSE),0),IFERROR(VLOOKUP($C101,'SDDA Dogs'!$A:$O,15,FALSE),0))</f>
        <v>0</v>
      </c>
      <c r="AS101" s="272"/>
      <c r="AT101" s="272"/>
      <c r="AU101" s="272" t="str">
        <f>IF(ISERROR(VLOOKUP(C101,'SDDA Dogs'!A:O,6,FALSE)),"",VLOOKUP(C101,'SDDA Dogs'!A:O,6,FALSE))</f>
        <v/>
      </c>
      <c r="AV101" s="270">
        <f t="shared" si="108"/>
        <v>0</v>
      </c>
      <c r="AW101" s="270">
        <f t="shared" si="109"/>
        <v>0</v>
      </c>
      <c r="AX101" s="273">
        <f t="shared" si="61"/>
        <v>0</v>
      </c>
      <c r="AY101" s="274"/>
      <c r="AZ101" s="275">
        <f t="shared" si="110"/>
        <v>0</v>
      </c>
      <c r="BA101" s="275">
        <f t="shared" si="111"/>
        <v>0</v>
      </c>
      <c r="BB101" s="276"/>
      <c r="BC101" s="274">
        <f>_xlfn.IFNA(IF(I101="Pass",IF(AND(G101&gt;=IFERROR(INDEX($C$5:$W$54,MATCH(C101,$C$5:$C$54,0),5),0),G101&gt;=IFERROR(INDEX(DogInfo!A:B,MATCH(C101&amp;$BC$4,DogInfo!A:A,0),2),0)),G101,IF(AND(IFERROR(INDEX($C$5:$W$54,MATCH(C101,$C$5:$C$54,0),5),0)&gt;=O101,IFERROR(INDEX($C$5:$W$54,MATCH(C101,$C$5:$C$54,0),5),0)&gt;=IFERROR(INDEX(DogInfo!A:B,MATCH(C101&amp;$BC$4,DogInfo!A:A,0),2),0)),IFERROR(INDEX($C$5:$W$54,MATCH(C101,$C$5:$C$54,0),5),0),IF(AND(IFERROR(INDEX(DogInfo!A:B,MATCH(C101&amp;$BC$4,DogInfo!A:A,0),2),0)&gt;=IFERROR(INDEX($C$5:$W$54,MATCH(C101,$C$5:$C$54,0),5),0),IFERROR(INDEX(DogInfo!A:B,MATCH(C101&amp;$BC$4,DogInfo!A:A,0),2),0)&gt;=G101),IFERROR(INDEX(DogInfo!A:B,MATCH(C101&amp;$BC$4,DogInfo!A:A,0),2),0),"Error"))),IFERROR(INDEX($C$5:$BE$54,MATCH(C101,$C$5:$C$54,0),53),IFERROR(INDEX(DogInfo!A:B,MATCH(C101&amp;$BC$4,DogInfo!A:A,0),2),0))),"")</f>
        <v>0</v>
      </c>
      <c r="BD101" s="274">
        <f>_xlfn.IFNA(IF(Q101="Pass",IF(AND(O101&gt;=IFERROR(INDEX($C$5:$W$54,MATCH(C101,$C$5:$C$54,0),13),0),O101&gt;=IFERROR(INDEX(DogInfo!A:B,MATCH(C101&amp;$BD$4,DogInfo!A:A,0),2),0)),O101,IF(AND(IFERROR(INDEX($C$5:$W$54,MATCH(C101,$C$5:$C$54,0),13),0)&gt;=O101,IFERROR(INDEX($C$5:$W$54,MATCH(C101,$C$5:$C$54,0),13),0)&gt;=IFERROR(INDEX(DogInfo!A:B,MATCH(C101&amp;$BD$4,DogInfo!A:A,0),2),0)),IFERROR(INDEX($C$5:$W$54,MATCH(C101,$C$5:$C$54,0),13),0),IF(AND(IFERROR(INDEX(DogInfo!A:B,MATCH(C101&amp;$BD$4,DogInfo!A:A,0),2),0)&gt;=IFERROR(INDEX($C$5:$W$54,MATCH(C101,$C$5:$C$54,0),13),0),IFERROR(INDEX(DogInfo!A:B,MATCH(C101&amp;$BD$4,DogInfo!A:A,0),2),0)&gt;=O101),IFERROR(INDEX(DogInfo!A:B,MATCH(C101&amp;$BD$4,DogInfo!A:A,0),2),0),"Error"))),IFERROR(INDEX($C$5:$BE$54,MATCH(C101,$C$5:$C$54,0),54),IFERROR(INDEX(DogInfo!A:B,MATCH(C101&amp;$BD$4,DogInfo!A:A,0),2),0))),"")</f>
        <v>0</v>
      </c>
      <c r="BE101" s="274">
        <f>_xlfn.IFNA(IF(Y101="Pass",IF(AND(W101&gt;=IFERROR(INDEX($C$5:$W$54,MATCH(C101,$C$5:$C$54,0),21),0),O101&gt;=IFERROR(INDEX(DogInfo!A:B,MATCH(C101&amp;$BE$4,DogInfo!A:A,0),2),0)),W101,IF(AND(IFERROR(INDEX($C$5:$W$54,MATCH(C101,$C$5:$C$54,0),21),0)&gt;=W101,IFERROR(INDEX($C$5:$W$54,MATCH(C101,$C$5:$C$54,0),21),0)&gt;=IFERROR(INDEX(DogInfo!A:B,MATCH(C101&amp;$BE$4,DogInfo!A:A,0),2),0)),IFERROR(INDEX($C$5:$W$54,MATCH(C101,$C$5:$C$54,0),21),0),IF(AND(IFERROR(INDEX(DogInfo!A:B,MATCH(C101&amp;$BE$4,DogInfo!A:A,0),2),0)&gt;=IFERROR(INDEX($C$5:$W$54,MATCH(C101,$C$5:$C$54,0),21),0),IFERROR(INDEX(DogInfo!A:B,MATCH(C101&amp;$BE$4,DogInfo!A:A,0),2),0)&gt;=W101),IFERROR(INDEX(DogInfo!A:B,MATCH(C101&amp;$BE$4,DogInfo!A:A,0),2),0),"Error"))),IFERROR(INDEX($C$5:$BE$54,MATCH(C101,$C$5:$C$54,0),55),IFERROR(INDEX(DogInfo!A:B,MATCH(C101&amp;$BE$4,DogInfo!A:A,0),2),0))),"")</f>
        <v>0</v>
      </c>
    </row>
    <row r="102" spans="1:57" x14ac:dyDescent="0.25">
      <c r="A102" s="99">
        <v>38</v>
      </c>
      <c r="B102" s="100"/>
      <c r="C102" s="101"/>
      <c r="D102" s="102" t="str">
        <f>IF($C102="","",VLOOKUP($C102,'SDDA Dogs'!$A:$F,2,FALSE))</f>
        <v/>
      </c>
      <c r="E102" s="211">
        <f t="shared" si="90"/>
        <v>-1</v>
      </c>
      <c r="F102" s="103" t="str">
        <f>IF($C102="","",IF(ISERROR(VLOOKUP($C102,$C$5:$AP$54,38,FALSE)=TRUE),VLOOKUP($C102,'SDDA Dogs'!$A:$O,10,FALSE),VLOOKUP($C102,$C$5:$AP$54,38,FALSE)))</f>
        <v/>
      </c>
      <c r="G102" s="137"/>
      <c r="H102" s="217"/>
      <c r="I102" s="84" t="str">
        <f t="shared" si="91"/>
        <v/>
      </c>
      <c r="J102" s="105">
        <f t="shared" si="50"/>
        <v>0</v>
      </c>
      <c r="K102" s="84" t="str">
        <f t="shared" si="92"/>
        <v/>
      </c>
      <c r="L102" s="105">
        <f t="shared" si="51"/>
        <v>0</v>
      </c>
      <c r="M102" s="84" t="str">
        <f t="shared" si="93"/>
        <v/>
      </c>
      <c r="N102" s="106" t="str">
        <f>IF($C102="","",IF(ISERROR(VLOOKUP($C102,$C$5:$AP$54,39,FALSE)=TRUE),VLOOKUP($C102,'SDDA Dogs'!$A:$O,11,FALSE),VLOOKUP($C102,$C$5:$AP$54,39,FALSE)))</f>
        <v/>
      </c>
      <c r="O102" s="137"/>
      <c r="P102" s="217"/>
      <c r="Q102" s="84" t="str">
        <f t="shared" si="94"/>
        <v/>
      </c>
      <c r="R102" s="105">
        <f t="shared" si="52"/>
        <v>0</v>
      </c>
      <c r="S102" s="84" t="str">
        <f t="shared" si="95"/>
        <v/>
      </c>
      <c r="T102" s="105">
        <f t="shared" si="53"/>
        <v>0</v>
      </c>
      <c r="U102" s="84" t="str">
        <f t="shared" si="96"/>
        <v/>
      </c>
      <c r="V102" s="106" t="str">
        <f>IF($C102="","",IF(ISERROR(VLOOKUP($C102,$C$5:$AP$54,40,FALSE)=TRUE),VLOOKUP($C102,'SDDA Dogs'!$A:$O,12,FALSE),VLOOKUP($C102,$C$5:$AP$54,40,FALSE)))</f>
        <v/>
      </c>
      <c r="W102" s="137"/>
      <c r="X102" s="217"/>
      <c r="Y102" s="84" t="str">
        <f t="shared" si="97"/>
        <v/>
      </c>
      <c r="Z102" s="105">
        <f t="shared" si="54"/>
        <v>0</v>
      </c>
      <c r="AA102" s="84" t="str">
        <f t="shared" si="98"/>
        <v/>
      </c>
      <c r="AB102" s="105">
        <f t="shared" si="55"/>
        <v>0</v>
      </c>
      <c r="AC102" s="84" t="str">
        <f t="shared" si="99"/>
        <v/>
      </c>
      <c r="AD102" s="92" t="str">
        <f t="shared" si="74"/>
        <v/>
      </c>
      <c r="AE102" s="89" t="str">
        <f t="shared" si="100"/>
        <v/>
      </c>
      <c r="AF102" s="104" t="str">
        <f t="shared" si="101"/>
        <v/>
      </c>
      <c r="AG102" s="107" t="str">
        <f t="shared" si="102"/>
        <v/>
      </c>
      <c r="AH102" s="92" t="str">
        <f t="shared" si="103"/>
        <v/>
      </c>
      <c r="AI102" s="89" t="str">
        <f t="shared" si="104"/>
        <v/>
      </c>
      <c r="AJ102" s="104" t="str">
        <f t="shared" si="105"/>
        <v/>
      </c>
      <c r="AK102" s="84" t="str">
        <f t="shared" si="106"/>
        <v/>
      </c>
      <c r="AL102" s="265" t="str">
        <f t="shared" si="107"/>
        <v/>
      </c>
      <c r="AM102" s="270">
        <f t="shared" si="56"/>
        <v>0</v>
      </c>
      <c r="AN102" s="270" t="str">
        <f t="shared" si="57"/>
        <v/>
      </c>
      <c r="AO102" s="270" t="str">
        <f t="shared" si="58"/>
        <v/>
      </c>
      <c r="AP102" s="270" t="str">
        <f t="shared" si="59"/>
        <v/>
      </c>
      <c r="AQ102" s="270">
        <f t="shared" si="60"/>
        <v>0</v>
      </c>
      <c r="AR102" s="271">
        <f>MIN(IFERROR(VLOOKUP($C102,'SDDA Dogs'!$A:$O,13,FALSE),0),IFERROR(VLOOKUP($C102,'SDDA Dogs'!$A:$O,14,FALSE),0),IFERROR(VLOOKUP($C102,'SDDA Dogs'!$A:$O,15,FALSE),0))</f>
        <v>0</v>
      </c>
      <c r="AS102" s="272"/>
      <c r="AT102" s="272"/>
      <c r="AU102" s="272" t="str">
        <f>IF(ISERROR(VLOOKUP(C102,'SDDA Dogs'!A:O,6,FALSE)),"",VLOOKUP(C102,'SDDA Dogs'!A:O,6,FALSE))</f>
        <v/>
      </c>
      <c r="AV102" s="270">
        <f t="shared" si="108"/>
        <v>0</v>
      </c>
      <c r="AW102" s="270">
        <f t="shared" si="109"/>
        <v>0</v>
      </c>
      <c r="AX102" s="273">
        <f t="shared" si="61"/>
        <v>0</v>
      </c>
      <c r="AY102" s="274"/>
      <c r="AZ102" s="275">
        <f t="shared" si="110"/>
        <v>0</v>
      </c>
      <c r="BA102" s="275">
        <f t="shared" si="111"/>
        <v>0</v>
      </c>
      <c r="BB102" s="276"/>
      <c r="BC102" s="274">
        <f>_xlfn.IFNA(IF(I102="Pass",IF(AND(G102&gt;=IFERROR(INDEX($C$5:$W$54,MATCH(C102,$C$5:$C$54,0),5),0),G102&gt;=IFERROR(INDEX(DogInfo!A:B,MATCH(C102&amp;$BC$4,DogInfo!A:A,0),2),0)),G102,IF(AND(IFERROR(INDEX($C$5:$W$54,MATCH(C102,$C$5:$C$54,0),5),0)&gt;=O102,IFERROR(INDEX($C$5:$W$54,MATCH(C102,$C$5:$C$54,0),5),0)&gt;=IFERROR(INDEX(DogInfo!A:B,MATCH(C102&amp;$BC$4,DogInfo!A:A,0),2),0)),IFERROR(INDEX($C$5:$W$54,MATCH(C102,$C$5:$C$54,0),5),0),IF(AND(IFERROR(INDEX(DogInfo!A:B,MATCH(C102&amp;$BC$4,DogInfo!A:A,0),2),0)&gt;=IFERROR(INDEX($C$5:$W$54,MATCH(C102,$C$5:$C$54,0),5),0),IFERROR(INDEX(DogInfo!A:B,MATCH(C102&amp;$BC$4,DogInfo!A:A,0),2),0)&gt;=G102),IFERROR(INDEX(DogInfo!A:B,MATCH(C102&amp;$BC$4,DogInfo!A:A,0),2),0),"Error"))),IFERROR(INDEX($C$5:$BE$54,MATCH(C102,$C$5:$C$54,0),53),IFERROR(INDEX(DogInfo!A:B,MATCH(C102&amp;$BC$4,DogInfo!A:A,0),2),0))),"")</f>
        <v>0</v>
      </c>
      <c r="BD102" s="274">
        <f>_xlfn.IFNA(IF(Q102="Pass",IF(AND(O102&gt;=IFERROR(INDEX($C$5:$W$54,MATCH(C102,$C$5:$C$54,0),13),0),O102&gt;=IFERROR(INDEX(DogInfo!A:B,MATCH(C102&amp;$BD$4,DogInfo!A:A,0),2),0)),O102,IF(AND(IFERROR(INDEX($C$5:$W$54,MATCH(C102,$C$5:$C$54,0),13),0)&gt;=O102,IFERROR(INDEX($C$5:$W$54,MATCH(C102,$C$5:$C$54,0),13),0)&gt;=IFERROR(INDEX(DogInfo!A:B,MATCH(C102&amp;$BD$4,DogInfo!A:A,0),2),0)),IFERROR(INDEX($C$5:$W$54,MATCH(C102,$C$5:$C$54,0),13),0),IF(AND(IFERROR(INDEX(DogInfo!A:B,MATCH(C102&amp;$BD$4,DogInfo!A:A,0),2),0)&gt;=IFERROR(INDEX($C$5:$W$54,MATCH(C102,$C$5:$C$54,0),13),0),IFERROR(INDEX(DogInfo!A:B,MATCH(C102&amp;$BD$4,DogInfo!A:A,0),2),0)&gt;=O102),IFERROR(INDEX(DogInfo!A:B,MATCH(C102&amp;$BD$4,DogInfo!A:A,0),2),0),"Error"))),IFERROR(INDEX($C$5:$BE$54,MATCH(C102,$C$5:$C$54,0),54),IFERROR(INDEX(DogInfo!A:B,MATCH(C102&amp;$BD$4,DogInfo!A:A,0),2),0))),"")</f>
        <v>0</v>
      </c>
      <c r="BE102" s="274">
        <f>_xlfn.IFNA(IF(Y102="Pass",IF(AND(W102&gt;=IFERROR(INDEX($C$5:$W$54,MATCH(C102,$C$5:$C$54,0),21),0),O102&gt;=IFERROR(INDEX(DogInfo!A:B,MATCH(C102&amp;$BE$4,DogInfo!A:A,0),2),0)),W102,IF(AND(IFERROR(INDEX($C$5:$W$54,MATCH(C102,$C$5:$C$54,0),21),0)&gt;=W102,IFERROR(INDEX($C$5:$W$54,MATCH(C102,$C$5:$C$54,0),21),0)&gt;=IFERROR(INDEX(DogInfo!A:B,MATCH(C102&amp;$BE$4,DogInfo!A:A,0),2),0)),IFERROR(INDEX($C$5:$W$54,MATCH(C102,$C$5:$C$54,0),21),0),IF(AND(IFERROR(INDEX(DogInfo!A:B,MATCH(C102&amp;$BE$4,DogInfo!A:A,0),2),0)&gt;=IFERROR(INDEX($C$5:$W$54,MATCH(C102,$C$5:$C$54,0),21),0),IFERROR(INDEX(DogInfo!A:B,MATCH(C102&amp;$BE$4,DogInfo!A:A,0),2),0)&gt;=W102),IFERROR(INDEX(DogInfo!A:B,MATCH(C102&amp;$BE$4,DogInfo!A:A,0),2),0),"Error"))),IFERROR(INDEX($C$5:$BE$54,MATCH(C102,$C$5:$C$54,0),55),IFERROR(INDEX(DogInfo!A:B,MATCH(C102&amp;$BE$4,DogInfo!A:A,0),2),0))),"")</f>
        <v>0</v>
      </c>
    </row>
    <row r="103" spans="1:57" x14ac:dyDescent="0.25">
      <c r="A103" s="99">
        <v>39</v>
      </c>
      <c r="B103" s="100"/>
      <c r="C103" s="101"/>
      <c r="D103" s="102" t="str">
        <f>IF($C103="","",VLOOKUP($C103,'SDDA Dogs'!$A:$F,2,FALSE))</f>
        <v/>
      </c>
      <c r="E103" s="211">
        <f t="shared" si="90"/>
        <v>-1</v>
      </c>
      <c r="F103" s="103" t="str">
        <f>IF($C103="","",IF(ISERROR(VLOOKUP($C103,$C$5:$AP$54,38,FALSE)=TRUE),VLOOKUP($C103,'SDDA Dogs'!$A:$O,10,FALSE),VLOOKUP($C103,$C$5:$AP$54,38,FALSE)))</f>
        <v/>
      </c>
      <c r="G103" s="137"/>
      <c r="H103" s="217"/>
      <c r="I103" s="84" t="str">
        <f t="shared" si="91"/>
        <v/>
      </c>
      <c r="J103" s="105">
        <f t="shared" si="50"/>
        <v>0</v>
      </c>
      <c r="K103" s="84" t="str">
        <f t="shared" si="92"/>
        <v/>
      </c>
      <c r="L103" s="105">
        <f t="shared" si="51"/>
        <v>0</v>
      </c>
      <c r="M103" s="84" t="str">
        <f t="shared" si="93"/>
        <v/>
      </c>
      <c r="N103" s="106" t="str">
        <f>IF($C103="","",IF(ISERROR(VLOOKUP($C103,$C$5:$AP$54,39,FALSE)=TRUE),VLOOKUP($C103,'SDDA Dogs'!$A:$O,11,FALSE),VLOOKUP($C103,$C$5:$AP$54,39,FALSE)))</f>
        <v/>
      </c>
      <c r="O103" s="137"/>
      <c r="P103" s="217"/>
      <c r="Q103" s="84" t="str">
        <f t="shared" si="94"/>
        <v/>
      </c>
      <c r="R103" s="105">
        <f t="shared" si="52"/>
        <v>0</v>
      </c>
      <c r="S103" s="84" t="str">
        <f t="shared" si="95"/>
        <v/>
      </c>
      <c r="T103" s="105">
        <f t="shared" si="53"/>
        <v>0</v>
      </c>
      <c r="U103" s="84" t="str">
        <f t="shared" si="96"/>
        <v/>
      </c>
      <c r="V103" s="106" t="str">
        <f>IF($C103="","",IF(ISERROR(VLOOKUP($C103,$C$5:$AP$54,40,FALSE)=TRUE),VLOOKUP($C103,'SDDA Dogs'!$A:$O,12,FALSE),VLOOKUP($C103,$C$5:$AP$54,40,FALSE)))</f>
        <v/>
      </c>
      <c r="W103" s="137"/>
      <c r="X103" s="217"/>
      <c r="Y103" s="84" t="str">
        <f t="shared" si="97"/>
        <v/>
      </c>
      <c r="Z103" s="105">
        <f t="shared" si="54"/>
        <v>0</v>
      </c>
      <c r="AA103" s="84" t="str">
        <f t="shared" si="98"/>
        <v/>
      </c>
      <c r="AB103" s="105">
        <f t="shared" si="55"/>
        <v>0</v>
      </c>
      <c r="AC103" s="84" t="str">
        <f t="shared" si="99"/>
        <v/>
      </c>
      <c r="AD103" s="92" t="str">
        <f t="shared" si="74"/>
        <v/>
      </c>
      <c r="AE103" s="89" t="str">
        <f t="shared" si="100"/>
        <v/>
      </c>
      <c r="AF103" s="104" t="str">
        <f t="shared" si="101"/>
        <v/>
      </c>
      <c r="AG103" s="107" t="str">
        <f t="shared" si="102"/>
        <v/>
      </c>
      <c r="AH103" s="92" t="str">
        <f t="shared" si="103"/>
        <v/>
      </c>
      <c r="AI103" s="89" t="str">
        <f t="shared" si="104"/>
        <v/>
      </c>
      <c r="AJ103" s="104" t="str">
        <f t="shared" si="105"/>
        <v/>
      </c>
      <c r="AK103" s="84" t="str">
        <f t="shared" si="106"/>
        <v/>
      </c>
      <c r="AL103" s="265" t="str">
        <f t="shared" si="107"/>
        <v/>
      </c>
      <c r="AM103" s="270">
        <f t="shared" si="56"/>
        <v>0</v>
      </c>
      <c r="AN103" s="270" t="str">
        <f t="shared" si="57"/>
        <v/>
      </c>
      <c r="AO103" s="270" t="str">
        <f t="shared" si="58"/>
        <v/>
      </c>
      <c r="AP103" s="270" t="str">
        <f t="shared" si="59"/>
        <v/>
      </c>
      <c r="AQ103" s="270">
        <f t="shared" si="60"/>
        <v>0</v>
      </c>
      <c r="AR103" s="271">
        <f>MIN(IFERROR(VLOOKUP($C103,'SDDA Dogs'!$A:$O,13,FALSE),0),IFERROR(VLOOKUP($C103,'SDDA Dogs'!$A:$O,14,FALSE),0),IFERROR(VLOOKUP($C103,'SDDA Dogs'!$A:$O,15,FALSE),0))</f>
        <v>0</v>
      </c>
      <c r="AS103" s="272"/>
      <c r="AT103" s="272"/>
      <c r="AU103" s="272" t="str">
        <f>IF(ISERROR(VLOOKUP(C103,'SDDA Dogs'!A:O,6,FALSE)),"",VLOOKUP(C103,'SDDA Dogs'!A:O,6,FALSE))</f>
        <v/>
      </c>
      <c r="AV103" s="270">
        <f t="shared" si="108"/>
        <v>0</v>
      </c>
      <c r="AW103" s="270">
        <f t="shared" si="109"/>
        <v>0</v>
      </c>
      <c r="AX103" s="273">
        <f t="shared" si="61"/>
        <v>0</v>
      </c>
      <c r="AY103" s="274"/>
      <c r="AZ103" s="275">
        <f t="shared" si="110"/>
        <v>0</v>
      </c>
      <c r="BA103" s="275">
        <f t="shared" si="111"/>
        <v>0</v>
      </c>
      <c r="BB103" s="276"/>
      <c r="BC103" s="274">
        <f>_xlfn.IFNA(IF(I103="Pass",IF(AND(G103&gt;=IFERROR(INDEX($C$5:$W$54,MATCH(C103,$C$5:$C$54,0),5),0),G103&gt;=IFERROR(INDEX(DogInfo!A:B,MATCH(C103&amp;$BC$4,DogInfo!A:A,0),2),0)),G103,IF(AND(IFERROR(INDEX($C$5:$W$54,MATCH(C103,$C$5:$C$54,0),5),0)&gt;=O103,IFERROR(INDEX($C$5:$W$54,MATCH(C103,$C$5:$C$54,0),5),0)&gt;=IFERROR(INDEX(DogInfo!A:B,MATCH(C103&amp;$BC$4,DogInfo!A:A,0),2),0)),IFERROR(INDEX($C$5:$W$54,MATCH(C103,$C$5:$C$54,0),5),0),IF(AND(IFERROR(INDEX(DogInfo!A:B,MATCH(C103&amp;$BC$4,DogInfo!A:A,0),2),0)&gt;=IFERROR(INDEX($C$5:$W$54,MATCH(C103,$C$5:$C$54,0),5),0),IFERROR(INDEX(DogInfo!A:B,MATCH(C103&amp;$BC$4,DogInfo!A:A,0),2),0)&gt;=G103),IFERROR(INDEX(DogInfo!A:B,MATCH(C103&amp;$BC$4,DogInfo!A:A,0),2),0),"Error"))),IFERROR(INDEX($C$5:$BE$54,MATCH(C103,$C$5:$C$54,0),53),IFERROR(INDEX(DogInfo!A:B,MATCH(C103&amp;$BC$4,DogInfo!A:A,0),2),0))),"")</f>
        <v>0</v>
      </c>
      <c r="BD103" s="274">
        <f>_xlfn.IFNA(IF(Q103="Pass",IF(AND(O103&gt;=IFERROR(INDEX($C$5:$W$54,MATCH(C103,$C$5:$C$54,0),13),0),O103&gt;=IFERROR(INDEX(DogInfo!A:B,MATCH(C103&amp;$BD$4,DogInfo!A:A,0),2),0)),O103,IF(AND(IFERROR(INDEX($C$5:$W$54,MATCH(C103,$C$5:$C$54,0),13),0)&gt;=O103,IFERROR(INDEX($C$5:$W$54,MATCH(C103,$C$5:$C$54,0),13),0)&gt;=IFERROR(INDEX(DogInfo!A:B,MATCH(C103&amp;$BD$4,DogInfo!A:A,0),2),0)),IFERROR(INDEX($C$5:$W$54,MATCH(C103,$C$5:$C$54,0),13),0),IF(AND(IFERROR(INDEX(DogInfo!A:B,MATCH(C103&amp;$BD$4,DogInfo!A:A,0),2),0)&gt;=IFERROR(INDEX($C$5:$W$54,MATCH(C103,$C$5:$C$54,0),13),0),IFERROR(INDEX(DogInfo!A:B,MATCH(C103&amp;$BD$4,DogInfo!A:A,0),2),0)&gt;=O103),IFERROR(INDEX(DogInfo!A:B,MATCH(C103&amp;$BD$4,DogInfo!A:A,0),2),0),"Error"))),IFERROR(INDEX($C$5:$BE$54,MATCH(C103,$C$5:$C$54,0),54),IFERROR(INDEX(DogInfo!A:B,MATCH(C103&amp;$BD$4,DogInfo!A:A,0),2),0))),"")</f>
        <v>0</v>
      </c>
      <c r="BE103" s="274">
        <f>_xlfn.IFNA(IF(Y103="Pass",IF(AND(W103&gt;=IFERROR(INDEX($C$5:$W$54,MATCH(C103,$C$5:$C$54,0),21),0),O103&gt;=IFERROR(INDEX(DogInfo!A:B,MATCH(C103&amp;$BE$4,DogInfo!A:A,0),2),0)),W103,IF(AND(IFERROR(INDEX($C$5:$W$54,MATCH(C103,$C$5:$C$54,0),21),0)&gt;=W103,IFERROR(INDEX($C$5:$W$54,MATCH(C103,$C$5:$C$54,0),21),0)&gt;=IFERROR(INDEX(DogInfo!A:B,MATCH(C103&amp;$BE$4,DogInfo!A:A,0),2),0)),IFERROR(INDEX($C$5:$W$54,MATCH(C103,$C$5:$C$54,0),21),0),IF(AND(IFERROR(INDEX(DogInfo!A:B,MATCH(C103&amp;$BE$4,DogInfo!A:A,0),2),0)&gt;=IFERROR(INDEX($C$5:$W$54,MATCH(C103,$C$5:$C$54,0),21),0),IFERROR(INDEX(DogInfo!A:B,MATCH(C103&amp;$BE$4,DogInfo!A:A,0),2),0)&gt;=W103),IFERROR(INDEX(DogInfo!A:B,MATCH(C103&amp;$BE$4,DogInfo!A:A,0),2),0),"Error"))),IFERROR(INDEX($C$5:$BE$54,MATCH(C103,$C$5:$C$54,0),55),IFERROR(INDEX(DogInfo!A:B,MATCH(C103&amp;$BE$4,DogInfo!A:A,0),2),0))),"")</f>
        <v>0</v>
      </c>
    </row>
    <row r="104" spans="1:57" x14ac:dyDescent="0.25">
      <c r="A104" s="99">
        <v>40</v>
      </c>
      <c r="B104" s="100"/>
      <c r="C104" s="101"/>
      <c r="D104" s="102" t="str">
        <f>IF($C104="","",VLOOKUP($C104,'SDDA Dogs'!$A:$F,2,FALSE))</f>
        <v/>
      </c>
      <c r="E104" s="211">
        <f t="shared" si="90"/>
        <v>-1</v>
      </c>
      <c r="F104" s="103" t="str">
        <f>IF($C104="","",IF(ISERROR(VLOOKUP($C104,$C$5:$AP$54,38,FALSE)=TRUE),VLOOKUP($C104,'SDDA Dogs'!$A:$O,10,FALSE),VLOOKUP($C104,$C$5:$AP$54,38,FALSE)))</f>
        <v/>
      </c>
      <c r="G104" s="137"/>
      <c r="H104" s="217"/>
      <c r="I104" s="84" t="str">
        <f t="shared" si="91"/>
        <v/>
      </c>
      <c r="J104" s="105">
        <f t="shared" si="50"/>
        <v>0</v>
      </c>
      <c r="K104" s="84" t="str">
        <f t="shared" si="92"/>
        <v/>
      </c>
      <c r="L104" s="105">
        <f t="shared" si="51"/>
        <v>0</v>
      </c>
      <c r="M104" s="84" t="str">
        <f t="shared" si="93"/>
        <v/>
      </c>
      <c r="N104" s="106" t="str">
        <f>IF($C104="","",IF(ISERROR(VLOOKUP($C104,$C$5:$AP$54,39,FALSE)=TRUE),VLOOKUP($C104,'SDDA Dogs'!$A:$O,11,FALSE),VLOOKUP($C104,$C$5:$AP$54,39,FALSE)))</f>
        <v/>
      </c>
      <c r="O104" s="137"/>
      <c r="P104" s="217"/>
      <c r="Q104" s="84" t="str">
        <f t="shared" si="94"/>
        <v/>
      </c>
      <c r="R104" s="105">
        <f t="shared" si="52"/>
        <v>0</v>
      </c>
      <c r="S104" s="84" t="str">
        <f t="shared" si="95"/>
        <v/>
      </c>
      <c r="T104" s="105">
        <f t="shared" si="53"/>
        <v>0</v>
      </c>
      <c r="U104" s="84" t="str">
        <f t="shared" si="96"/>
        <v/>
      </c>
      <c r="V104" s="106" t="str">
        <f>IF($C104="","",IF(ISERROR(VLOOKUP($C104,$C$5:$AP$54,40,FALSE)=TRUE),VLOOKUP($C104,'SDDA Dogs'!$A:$O,12,FALSE),VLOOKUP($C104,$C$5:$AP$54,40,FALSE)))</f>
        <v/>
      </c>
      <c r="W104" s="137"/>
      <c r="X104" s="217"/>
      <c r="Y104" s="84" t="str">
        <f t="shared" si="97"/>
        <v/>
      </c>
      <c r="Z104" s="105">
        <f t="shared" si="54"/>
        <v>0</v>
      </c>
      <c r="AA104" s="84" t="str">
        <f t="shared" si="98"/>
        <v/>
      </c>
      <c r="AB104" s="105">
        <f t="shared" si="55"/>
        <v>0</v>
      </c>
      <c r="AC104" s="84" t="str">
        <f t="shared" si="99"/>
        <v/>
      </c>
      <c r="AD104" s="92" t="str">
        <f t="shared" si="74"/>
        <v/>
      </c>
      <c r="AE104" s="89" t="str">
        <f t="shared" si="100"/>
        <v/>
      </c>
      <c r="AF104" s="104" t="str">
        <f t="shared" si="101"/>
        <v/>
      </c>
      <c r="AG104" s="107" t="str">
        <f t="shared" si="102"/>
        <v/>
      </c>
      <c r="AH104" s="92" t="str">
        <f t="shared" si="103"/>
        <v/>
      </c>
      <c r="AI104" s="89" t="str">
        <f t="shared" si="104"/>
        <v/>
      </c>
      <c r="AJ104" s="104" t="str">
        <f t="shared" si="105"/>
        <v/>
      </c>
      <c r="AK104" s="84" t="str">
        <f t="shared" si="106"/>
        <v/>
      </c>
      <c r="AL104" s="265" t="str">
        <f t="shared" si="107"/>
        <v/>
      </c>
      <c r="AM104" s="270">
        <f t="shared" si="56"/>
        <v>0</v>
      </c>
      <c r="AN104" s="270" t="str">
        <f t="shared" si="57"/>
        <v/>
      </c>
      <c r="AO104" s="270" t="str">
        <f t="shared" si="58"/>
        <v/>
      </c>
      <c r="AP104" s="270" t="str">
        <f t="shared" si="59"/>
        <v/>
      </c>
      <c r="AQ104" s="270">
        <f t="shared" si="60"/>
        <v>0</v>
      </c>
      <c r="AR104" s="271">
        <f>MIN(IFERROR(VLOOKUP($C104,'SDDA Dogs'!$A:$O,13,FALSE),0),IFERROR(VLOOKUP($C104,'SDDA Dogs'!$A:$O,14,FALSE),0),IFERROR(VLOOKUP($C104,'SDDA Dogs'!$A:$O,15,FALSE),0))</f>
        <v>0</v>
      </c>
      <c r="AS104" s="272"/>
      <c r="AT104" s="272"/>
      <c r="AU104" s="272" t="str">
        <f>IF(ISERROR(VLOOKUP(C104,'SDDA Dogs'!A:O,6,FALSE)),"",VLOOKUP(C104,'SDDA Dogs'!A:O,6,FALSE))</f>
        <v/>
      </c>
      <c r="AV104" s="270">
        <f t="shared" si="108"/>
        <v>0</v>
      </c>
      <c r="AW104" s="270">
        <f t="shared" si="109"/>
        <v>0</v>
      </c>
      <c r="AX104" s="273">
        <f t="shared" si="61"/>
        <v>0</v>
      </c>
      <c r="AY104" s="274"/>
      <c r="AZ104" s="275">
        <f t="shared" si="110"/>
        <v>0</v>
      </c>
      <c r="BA104" s="275">
        <f t="shared" si="111"/>
        <v>0</v>
      </c>
      <c r="BB104" s="276"/>
      <c r="BC104" s="274">
        <f>_xlfn.IFNA(IF(I104="Pass",IF(AND(G104&gt;=IFERROR(INDEX($C$5:$W$54,MATCH(C104,$C$5:$C$54,0),5),0),G104&gt;=IFERROR(INDEX(DogInfo!A:B,MATCH(C104&amp;$BC$4,DogInfo!A:A,0),2),0)),G104,IF(AND(IFERROR(INDEX($C$5:$W$54,MATCH(C104,$C$5:$C$54,0),5),0)&gt;=O104,IFERROR(INDEX($C$5:$W$54,MATCH(C104,$C$5:$C$54,0),5),0)&gt;=IFERROR(INDEX(DogInfo!A:B,MATCH(C104&amp;$BC$4,DogInfo!A:A,0),2),0)),IFERROR(INDEX($C$5:$W$54,MATCH(C104,$C$5:$C$54,0),5),0),IF(AND(IFERROR(INDEX(DogInfo!A:B,MATCH(C104&amp;$BC$4,DogInfo!A:A,0),2),0)&gt;=IFERROR(INDEX($C$5:$W$54,MATCH(C104,$C$5:$C$54,0),5),0),IFERROR(INDEX(DogInfo!A:B,MATCH(C104&amp;$BC$4,DogInfo!A:A,0),2),0)&gt;=G104),IFERROR(INDEX(DogInfo!A:B,MATCH(C104&amp;$BC$4,DogInfo!A:A,0),2),0),"Error"))),IFERROR(INDEX($C$5:$BE$54,MATCH(C104,$C$5:$C$54,0),53),IFERROR(INDEX(DogInfo!A:B,MATCH(C104&amp;$BC$4,DogInfo!A:A,0),2),0))),"")</f>
        <v>0</v>
      </c>
      <c r="BD104" s="274">
        <f>_xlfn.IFNA(IF(Q104="Pass",IF(AND(O104&gt;=IFERROR(INDEX($C$5:$W$54,MATCH(C104,$C$5:$C$54,0),13),0),O104&gt;=IFERROR(INDEX(DogInfo!A:B,MATCH(C104&amp;$BD$4,DogInfo!A:A,0),2),0)),O104,IF(AND(IFERROR(INDEX($C$5:$W$54,MATCH(C104,$C$5:$C$54,0),13),0)&gt;=O104,IFERROR(INDEX($C$5:$W$54,MATCH(C104,$C$5:$C$54,0),13),0)&gt;=IFERROR(INDEX(DogInfo!A:B,MATCH(C104&amp;$BD$4,DogInfo!A:A,0),2),0)),IFERROR(INDEX($C$5:$W$54,MATCH(C104,$C$5:$C$54,0),13),0),IF(AND(IFERROR(INDEX(DogInfo!A:B,MATCH(C104&amp;$BD$4,DogInfo!A:A,0),2),0)&gt;=IFERROR(INDEX($C$5:$W$54,MATCH(C104,$C$5:$C$54,0),13),0),IFERROR(INDEX(DogInfo!A:B,MATCH(C104&amp;$BD$4,DogInfo!A:A,0),2),0)&gt;=O104),IFERROR(INDEX(DogInfo!A:B,MATCH(C104&amp;$BD$4,DogInfo!A:A,0),2),0),"Error"))),IFERROR(INDEX($C$5:$BE$54,MATCH(C104,$C$5:$C$54,0),54),IFERROR(INDEX(DogInfo!A:B,MATCH(C104&amp;$BD$4,DogInfo!A:A,0),2),0))),"")</f>
        <v>0</v>
      </c>
      <c r="BE104" s="274">
        <f>_xlfn.IFNA(IF(Y104="Pass",IF(AND(W104&gt;=IFERROR(INDEX($C$5:$W$54,MATCH(C104,$C$5:$C$54,0),21),0),O104&gt;=IFERROR(INDEX(DogInfo!A:B,MATCH(C104&amp;$BE$4,DogInfo!A:A,0),2),0)),W104,IF(AND(IFERROR(INDEX($C$5:$W$54,MATCH(C104,$C$5:$C$54,0),21),0)&gt;=W104,IFERROR(INDEX($C$5:$W$54,MATCH(C104,$C$5:$C$54,0),21),0)&gt;=IFERROR(INDEX(DogInfo!A:B,MATCH(C104&amp;$BE$4,DogInfo!A:A,0),2),0)),IFERROR(INDEX($C$5:$W$54,MATCH(C104,$C$5:$C$54,0),21),0),IF(AND(IFERROR(INDEX(DogInfo!A:B,MATCH(C104&amp;$BE$4,DogInfo!A:A,0),2),0)&gt;=IFERROR(INDEX($C$5:$W$54,MATCH(C104,$C$5:$C$54,0),21),0),IFERROR(INDEX(DogInfo!A:B,MATCH(C104&amp;$BE$4,DogInfo!A:A,0),2),0)&gt;=W104),IFERROR(INDEX(DogInfo!A:B,MATCH(C104&amp;$BE$4,DogInfo!A:A,0),2),0),"Error"))),IFERROR(INDEX($C$5:$BE$54,MATCH(C104,$C$5:$C$54,0),55),IFERROR(INDEX(DogInfo!A:B,MATCH(C104&amp;$BE$4,DogInfo!A:A,0),2),0))),"")</f>
        <v>0</v>
      </c>
    </row>
    <row r="105" spans="1:57" x14ac:dyDescent="0.25">
      <c r="A105" s="99">
        <v>41</v>
      </c>
      <c r="B105" s="100"/>
      <c r="C105" s="101"/>
      <c r="D105" s="102" t="str">
        <f>IF($C105="","",VLOOKUP($C105,'SDDA Dogs'!$A:$F,2,FALSE))</f>
        <v/>
      </c>
      <c r="E105" s="211">
        <f t="shared" si="90"/>
        <v>-1</v>
      </c>
      <c r="F105" s="103" t="str">
        <f>IF($C105="","",IF(ISERROR(VLOOKUP($C105,$C$5:$AP$54,38,FALSE)=TRUE),VLOOKUP($C105,'SDDA Dogs'!$A:$O,10,FALSE),VLOOKUP($C105,$C$5:$AP$54,38,FALSE)))</f>
        <v/>
      </c>
      <c r="G105" s="137"/>
      <c r="H105" s="217"/>
      <c r="I105" s="84" t="str">
        <f t="shared" si="91"/>
        <v/>
      </c>
      <c r="J105" s="105">
        <f t="shared" si="50"/>
        <v>0</v>
      </c>
      <c r="K105" s="84" t="str">
        <f t="shared" si="92"/>
        <v/>
      </c>
      <c r="L105" s="105">
        <f t="shared" si="51"/>
        <v>0</v>
      </c>
      <c r="M105" s="84" t="str">
        <f t="shared" si="93"/>
        <v/>
      </c>
      <c r="N105" s="106" t="str">
        <f>IF($C105="","",IF(ISERROR(VLOOKUP($C105,$C$5:$AP$54,39,FALSE)=TRUE),VLOOKUP($C105,'SDDA Dogs'!$A:$O,11,FALSE),VLOOKUP($C105,$C$5:$AP$54,39,FALSE)))</f>
        <v/>
      </c>
      <c r="O105" s="137"/>
      <c r="P105" s="217"/>
      <c r="Q105" s="84" t="str">
        <f t="shared" si="94"/>
        <v/>
      </c>
      <c r="R105" s="105">
        <f t="shared" si="52"/>
        <v>0</v>
      </c>
      <c r="S105" s="84" t="str">
        <f t="shared" si="95"/>
        <v/>
      </c>
      <c r="T105" s="105">
        <f t="shared" si="53"/>
        <v>0</v>
      </c>
      <c r="U105" s="84" t="str">
        <f t="shared" si="96"/>
        <v/>
      </c>
      <c r="V105" s="106" t="str">
        <f>IF($C105="","",IF(ISERROR(VLOOKUP($C105,$C$5:$AP$54,40,FALSE)=TRUE),VLOOKUP($C105,'SDDA Dogs'!$A:$O,12,FALSE),VLOOKUP($C105,$C$5:$AP$54,40,FALSE)))</f>
        <v/>
      </c>
      <c r="W105" s="137"/>
      <c r="X105" s="217"/>
      <c r="Y105" s="84" t="str">
        <f t="shared" si="97"/>
        <v/>
      </c>
      <c r="Z105" s="105">
        <f t="shared" si="54"/>
        <v>0</v>
      </c>
      <c r="AA105" s="84" t="str">
        <f t="shared" si="98"/>
        <v/>
      </c>
      <c r="AB105" s="105">
        <f t="shared" si="55"/>
        <v>0</v>
      </c>
      <c r="AC105" s="84" t="str">
        <f t="shared" si="99"/>
        <v/>
      </c>
      <c r="AD105" s="92" t="str">
        <f t="shared" si="74"/>
        <v/>
      </c>
      <c r="AE105" s="89" t="str">
        <f t="shared" si="100"/>
        <v/>
      </c>
      <c r="AF105" s="104" t="str">
        <f t="shared" si="101"/>
        <v/>
      </c>
      <c r="AG105" s="107" t="str">
        <f t="shared" si="102"/>
        <v/>
      </c>
      <c r="AH105" s="92" t="str">
        <f t="shared" si="103"/>
        <v/>
      </c>
      <c r="AI105" s="89" t="str">
        <f t="shared" si="104"/>
        <v/>
      </c>
      <c r="AJ105" s="104" t="str">
        <f t="shared" si="105"/>
        <v/>
      </c>
      <c r="AK105" s="84" t="str">
        <f t="shared" si="106"/>
        <v/>
      </c>
      <c r="AL105" s="265" t="str">
        <f t="shared" si="107"/>
        <v/>
      </c>
      <c r="AM105" s="270">
        <f t="shared" si="56"/>
        <v>0</v>
      </c>
      <c r="AN105" s="270" t="str">
        <f t="shared" si="57"/>
        <v/>
      </c>
      <c r="AO105" s="270" t="str">
        <f t="shared" si="58"/>
        <v/>
      </c>
      <c r="AP105" s="270" t="str">
        <f t="shared" si="59"/>
        <v/>
      </c>
      <c r="AQ105" s="270">
        <f t="shared" si="60"/>
        <v>0</v>
      </c>
      <c r="AR105" s="271">
        <f>MIN(IFERROR(VLOOKUP($C105,'SDDA Dogs'!$A:$O,13,FALSE),0),IFERROR(VLOOKUP($C105,'SDDA Dogs'!$A:$O,14,FALSE),0),IFERROR(VLOOKUP($C105,'SDDA Dogs'!$A:$O,15,FALSE),0))</f>
        <v>0</v>
      </c>
      <c r="AS105" s="272"/>
      <c r="AT105" s="272"/>
      <c r="AU105" s="272" t="str">
        <f>IF(ISERROR(VLOOKUP(C105,'SDDA Dogs'!A:O,6,FALSE)),"",VLOOKUP(C105,'SDDA Dogs'!A:O,6,FALSE))</f>
        <v/>
      </c>
      <c r="AV105" s="270">
        <f t="shared" si="108"/>
        <v>0</v>
      </c>
      <c r="AW105" s="270">
        <f t="shared" si="109"/>
        <v>0</v>
      </c>
      <c r="AX105" s="273">
        <f t="shared" si="61"/>
        <v>0</v>
      </c>
      <c r="AY105" s="274"/>
      <c r="AZ105" s="275">
        <f t="shared" si="110"/>
        <v>0</v>
      </c>
      <c r="BA105" s="275">
        <f t="shared" si="111"/>
        <v>0</v>
      </c>
      <c r="BB105" s="272"/>
      <c r="BC105" s="274">
        <f>_xlfn.IFNA(IF(I105="Pass",IF(AND(G105&gt;=IFERROR(INDEX($C$5:$W$54,MATCH(C105,$C$5:$C$54,0),5),0),G105&gt;=IFERROR(INDEX(DogInfo!A:B,MATCH(C105&amp;$BC$4,DogInfo!A:A,0),2),0)),G105,IF(AND(IFERROR(INDEX($C$5:$W$54,MATCH(C105,$C$5:$C$54,0),5),0)&gt;=O105,IFERROR(INDEX($C$5:$W$54,MATCH(C105,$C$5:$C$54,0),5),0)&gt;=IFERROR(INDEX(DogInfo!A:B,MATCH(C105&amp;$BC$4,DogInfo!A:A,0),2),0)),IFERROR(INDEX($C$5:$W$54,MATCH(C105,$C$5:$C$54,0),5),0),IF(AND(IFERROR(INDEX(DogInfo!A:B,MATCH(C105&amp;$BC$4,DogInfo!A:A,0),2),0)&gt;=IFERROR(INDEX($C$5:$W$54,MATCH(C105,$C$5:$C$54,0),5),0),IFERROR(INDEX(DogInfo!A:B,MATCH(C105&amp;$BC$4,DogInfo!A:A,0),2),0)&gt;=G105),IFERROR(INDEX(DogInfo!A:B,MATCH(C105&amp;$BC$4,DogInfo!A:A,0),2),0),"Error"))),IFERROR(INDEX($C$5:$BE$54,MATCH(C105,$C$5:$C$54,0),53),IFERROR(INDEX(DogInfo!A:B,MATCH(C105&amp;$BC$4,DogInfo!A:A,0),2),0))),"")</f>
        <v>0</v>
      </c>
      <c r="BD105" s="274">
        <f>_xlfn.IFNA(IF(Q105="Pass",IF(AND(O105&gt;=IFERROR(INDEX($C$5:$W$54,MATCH(C105,$C$5:$C$54,0),13),0),O105&gt;=IFERROR(INDEX(DogInfo!A:B,MATCH(C105&amp;$BD$4,DogInfo!A:A,0),2),0)),O105,IF(AND(IFERROR(INDEX($C$5:$W$54,MATCH(C105,$C$5:$C$54,0),13),0)&gt;=O105,IFERROR(INDEX($C$5:$W$54,MATCH(C105,$C$5:$C$54,0),13),0)&gt;=IFERROR(INDEX(DogInfo!A:B,MATCH(C105&amp;$BD$4,DogInfo!A:A,0),2),0)),IFERROR(INDEX($C$5:$W$54,MATCH(C105,$C$5:$C$54,0),13),0),IF(AND(IFERROR(INDEX(DogInfo!A:B,MATCH(C105&amp;$BD$4,DogInfo!A:A,0),2),0)&gt;=IFERROR(INDEX($C$5:$W$54,MATCH(C105,$C$5:$C$54,0),13),0),IFERROR(INDEX(DogInfo!A:B,MATCH(C105&amp;$BD$4,DogInfo!A:A,0),2),0)&gt;=O105),IFERROR(INDEX(DogInfo!A:B,MATCH(C105&amp;$BD$4,DogInfo!A:A,0),2),0),"Error"))),IFERROR(INDEX($C$5:$BE$54,MATCH(C105,$C$5:$C$54,0),54),IFERROR(INDEX(DogInfo!A:B,MATCH(C105&amp;$BD$4,DogInfo!A:A,0),2),0))),"")</f>
        <v>0</v>
      </c>
      <c r="BE105" s="274">
        <f>_xlfn.IFNA(IF(Y105="Pass",IF(AND(W105&gt;=IFERROR(INDEX($C$5:$W$54,MATCH(C105,$C$5:$C$54,0),21),0),O105&gt;=IFERROR(INDEX(DogInfo!A:B,MATCH(C105&amp;$BE$4,DogInfo!A:A,0),2),0)),W105,IF(AND(IFERROR(INDEX($C$5:$W$54,MATCH(C105,$C$5:$C$54,0),21),0)&gt;=W105,IFERROR(INDEX($C$5:$W$54,MATCH(C105,$C$5:$C$54,0),21),0)&gt;=IFERROR(INDEX(DogInfo!A:B,MATCH(C105&amp;$BE$4,DogInfo!A:A,0),2),0)),IFERROR(INDEX($C$5:$W$54,MATCH(C105,$C$5:$C$54,0),21),0),IF(AND(IFERROR(INDEX(DogInfo!A:B,MATCH(C105&amp;$BE$4,DogInfo!A:A,0),2),0)&gt;=IFERROR(INDEX($C$5:$W$54,MATCH(C105,$C$5:$C$54,0),21),0),IFERROR(INDEX(DogInfo!A:B,MATCH(C105&amp;$BE$4,DogInfo!A:A,0),2),0)&gt;=W105),IFERROR(INDEX(DogInfo!A:B,MATCH(C105&amp;$BE$4,DogInfo!A:A,0),2),0),"Error"))),IFERROR(INDEX($C$5:$BE$54,MATCH(C105,$C$5:$C$54,0),55),IFERROR(INDEX(DogInfo!A:B,MATCH(C105&amp;$BE$4,DogInfo!A:A,0),2),0))),"")</f>
        <v>0</v>
      </c>
    </row>
    <row r="106" spans="1:57" x14ac:dyDescent="0.25">
      <c r="A106" s="99">
        <v>42</v>
      </c>
      <c r="B106" s="100"/>
      <c r="C106" s="120"/>
      <c r="D106" s="102" t="str">
        <f>IF($C106="","",VLOOKUP($C106,'SDDA Dogs'!$A:$F,2,FALSE))</f>
        <v/>
      </c>
      <c r="E106" s="211">
        <f t="shared" si="90"/>
        <v>-1</v>
      </c>
      <c r="F106" s="103" t="str">
        <f>IF($C106="","",IF(ISERROR(VLOOKUP($C106,$C$5:$AP$54,38,FALSE)=TRUE),VLOOKUP($C106,'SDDA Dogs'!$A:$O,10,FALSE),VLOOKUP($C106,$C$5:$AP$54,38,FALSE)))</f>
        <v/>
      </c>
      <c r="G106" s="137"/>
      <c r="H106" s="217"/>
      <c r="I106" s="84" t="str">
        <f t="shared" si="91"/>
        <v/>
      </c>
      <c r="J106" s="105">
        <f t="shared" si="50"/>
        <v>0</v>
      </c>
      <c r="K106" s="84" t="str">
        <f t="shared" si="92"/>
        <v/>
      </c>
      <c r="L106" s="105">
        <f t="shared" si="51"/>
        <v>0</v>
      </c>
      <c r="M106" s="84" t="str">
        <f t="shared" si="93"/>
        <v/>
      </c>
      <c r="N106" s="106" t="str">
        <f>IF($C106="","",IF(ISERROR(VLOOKUP($C106,$C$5:$AP$54,39,FALSE)=TRUE),VLOOKUP($C106,'SDDA Dogs'!$A:$O,11,FALSE),VLOOKUP($C106,$C$5:$AP$54,39,FALSE)))</f>
        <v/>
      </c>
      <c r="O106" s="137"/>
      <c r="P106" s="217"/>
      <c r="Q106" s="84" t="str">
        <f t="shared" si="94"/>
        <v/>
      </c>
      <c r="R106" s="105">
        <f t="shared" si="52"/>
        <v>0</v>
      </c>
      <c r="S106" s="84" t="str">
        <f t="shared" si="95"/>
        <v/>
      </c>
      <c r="T106" s="105">
        <f t="shared" si="53"/>
        <v>0</v>
      </c>
      <c r="U106" s="84" t="str">
        <f t="shared" si="96"/>
        <v/>
      </c>
      <c r="V106" s="106" t="str">
        <f>IF($C106="","",IF(ISERROR(VLOOKUP($C106,$C$5:$AP$54,40,FALSE)=TRUE),VLOOKUP($C106,'SDDA Dogs'!$A:$O,12,FALSE),VLOOKUP($C106,$C$5:$AP$54,40,FALSE)))</f>
        <v/>
      </c>
      <c r="W106" s="137"/>
      <c r="X106" s="217"/>
      <c r="Y106" s="84" t="str">
        <f t="shared" si="97"/>
        <v/>
      </c>
      <c r="Z106" s="105">
        <f t="shared" si="54"/>
        <v>0</v>
      </c>
      <c r="AA106" s="84" t="str">
        <f t="shared" si="98"/>
        <v/>
      </c>
      <c r="AB106" s="105">
        <f t="shared" si="55"/>
        <v>0</v>
      </c>
      <c r="AC106" s="84" t="str">
        <f t="shared" si="99"/>
        <v/>
      </c>
      <c r="AD106" s="92" t="str">
        <f t="shared" si="74"/>
        <v/>
      </c>
      <c r="AE106" s="89" t="str">
        <f t="shared" si="100"/>
        <v/>
      </c>
      <c r="AF106" s="104" t="str">
        <f t="shared" si="101"/>
        <v/>
      </c>
      <c r="AG106" s="107" t="str">
        <f t="shared" si="102"/>
        <v/>
      </c>
      <c r="AH106" s="92" t="str">
        <f t="shared" si="103"/>
        <v/>
      </c>
      <c r="AI106" s="89" t="str">
        <f t="shared" si="104"/>
        <v/>
      </c>
      <c r="AJ106" s="104" t="str">
        <f t="shared" si="105"/>
        <v/>
      </c>
      <c r="AK106" s="84" t="str">
        <f t="shared" si="106"/>
        <v/>
      </c>
      <c r="AL106" s="265" t="str">
        <f t="shared" si="107"/>
        <v/>
      </c>
      <c r="AM106" s="270">
        <f t="shared" si="56"/>
        <v>0</v>
      </c>
      <c r="AN106" s="270" t="str">
        <f t="shared" si="57"/>
        <v/>
      </c>
      <c r="AO106" s="270" t="str">
        <f t="shared" si="58"/>
        <v/>
      </c>
      <c r="AP106" s="270" t="str">
        <f t="shared" si="59"/>
        <v/>
      </c>
      <c r="AQ106" s="270">
        <f t="shared" si="60"/>
        <v>0</v>
      </c>
      <c r="AR106" s="271">
        <f>MIN(IFERROR(VLOOKUP($C106,'SDDA Dogs'!$A:$O,13,FALSE),0),IFERROR(VLOOKUP($C106,'SDDA Dogs'!$A:$O,14,FALSE),0),IFERROR(VLOOKUP($C106,'SDDA Dogs'!$A:$O,15,FALSE),0))</f>
        <v>0</v>
      </c>
      <c r="AS106" s="272"/>
      <c r="AT106" s="272"/>
      <c r="AU106" s="272" t="str">
        <f>IF(ISERROR(VLOOKUP(C106,'SDDA Dogs'!A:O,6,FALSE)),"",VLOOKUP(C106,'SDDA Dogs'!A:O,6,FALSE))</f>
        <v/>
      </c>
      <c r="AV106" s="270">
        <f t="shared" si="108"/>
        <v>0</v>
      </c>
      <c r="AW106" s="270">
        <f t="shared" si="109"/>
        <v>0</v>
      </c>
      <c r="AX106" s="273">
        <f t="shared" si="61"/>
        <v>0</v>
      </c>
      <c r="AY106" s="274"/>
      <c r="AZ106" s="275">
        <f t="shared" si="110"/>
        <v>0</v>
      </c>
      <c r="BA106" s="275">
        <f t="shared" si="111"/>
        <v>0</v>
      </c>
      <c r="BB106" s="276"/>
      <c r="BC106" s="274">
        <f>_xlfn.IFNA(IF(I106="Pass",IF(AND(G106&gt;=IFERROR(INDEX($C$5:$W$54,MATCH(C106,$C$5:$C$54,0),5),0),G106&gt;=IFERROR(INDEX(DogInfo!A:B,MATCH(C106&amp;$BC$4,DogInfo!A:A,0),2),0)),G106,IF(AND(IFERROR(INDEX($C$5:$W$54,MATCH(C106,$C$5:$C$54,0),5),0)&gt;=O106,IFERROR(INDEX($C$5:$W$54,MATCH(C106,$C$5:$C$54,0),5),0)&gt;=IFERROR(INDEX(DogInfo!A:B,MATCH(C106&amp;$BC$4,DogInfo!A:A,0),2),0)),IFERROR(INDEX($C$5:$W$54,MATCH(C106,$C$5:$C$54,0),5),0),IF(AND(IFERROR(INDEX(DogInfo!A:B,MATCH(C106&amp;$BC$4,DogInfo!A:A,0),2),0)&gt;=IFERROR(INDEX($C$5:$W$54,MATCH(C106,$C$5:$C$54,0),5),0),IFERROR(INDEX(DogInfo!A:B,MATCH(C106&amp;$BC$4,DogInfo!A:A,0),2),0)&gt;=G106),IFERROR(INDEX(DogInfo!A:B,MATCH(C106&amp;$BC$4,DogInfo!A:A,0),2),0),"Error"))),IFERROR(INDEX($C$5:$BE$54,MATCH(C106,$C$5:$C$54,0),53),IFERROR(INDEX(DogInfo!A:B,MATCH(C106&amp;$BC$4,DogInfo!A:A,0),2),0))),"")</f>
        <v>0</v>
      </c>
      <c r="BD106" s="274">
        <f>_xlfn.IFNA(IF(Q106="Pass",IF(AND(O106&gt;=IFERROR(INDEX($C$5:$W$54,MATCH(C106,$C$5:$C$54,0),13),0),O106&gt;=IFERROR(INDEX(DogInfo!A:B,MATCH(C106&amp;$BD$4,DogInfo!A:A,0),2),0)),O106,IF(AND(IFERROR(INDEX($C$5:$W$54,MATCH(C106,$C$5:$C$54,0),13),0)&gt;=O106,IFERROR(INDEX($C$5:$W$54,MATCH(C106,$C$5:$C$54,0),13),0)&gt;=IFERROR(INDEX(DogInfo!A:B,MATCH(C106&amp;$BD$4,DogInfo!A:A,0),2),0)),IFERROR(INDEX($C$5:$W$54,MATCH(C106,$C$5:$C$54,0),13),0),IF(AND(IFERROR(INDEX(DogInfo!A:B,MATCH(C106&amp;$BD$4,DogInfo!A:A,0),2),0)&gt;=IFERROR(INDEX($C$5:$W$54,MATCH(C106,$C$5:$C$54,0),13),0),IFERROR(INDEX(DogInfo!A:B,MATCH(C106&amp;$BD$4,DogInfo!A:A,0),2),0)&gt;=O106),IFERROR(INDEX(DogInfo!A:B,MATCH(C106&amp;$BD$4,DogInfo!A:A,0),2),0),"Error"))),IFERROR(INDEX($C$5:$BE$54,MATCH(C106,$C$5:$C$54,0),54),IFERROR(INDEX(DogInfo!A:B,MATCH(C106&amp;$BD$4,DogInfo!A:A,0),2),0))),"")</f>
        <v>0</v>
      </c>
      <c r="BE106" s="274">
        <f>_xlfn.IFNA(IF(Y106="Pass",IF(AND(W106&gt;=IFERROR(INDEX($C$5:$W$54,MATCH(C106,$C$5:$C$54,0),21),0),O106&gt;=IFERROR(INDEX(DogInfo!A:B,MATCH(C106&amp;$BE$4,DogInfo!A:A,0),2),0)),W106,IF(AND(IFERROR(INDEX($C$5:$W$54,MATCH(C106,$C$5:$C$54,0),21),0)&gt;=W106,IFERROR(INDEX($C$5:$W$54,MATCH(C106,$C$5:$C$54,0),21),0)&gt;=IFERROR(INDEX(DogInfo!A:B,MATCH(C106&amp;$BE$4,DogInfo!A:A,0),2),0)),IFERROR(INDEX($C$5:$W$54,MATCH(C106,$C$5:$C$54,0),21),0),IF(AND(IFERROR(INDEX(DogInfo!A:B,MATCH(C106&amp;$BE$4,DogInfo!A:A,0),2),0)&gt;=IFERROR(INDEX($C$5:$W$54,MATCH(C106,$C$5:$C$54,0),21),0),IFERROR(INDEX(DogInfo!A:B,MATCH(C106&amp;$BE$4,DogInfo!A:A,0),2),0)&gt;=W106),IFERROR(INDEX(DogInfo!A:B,MATCH(C106&amp;$BE$4,DogInfo!A:A,0),2),0),"Error"))),IFERROR(INDEX($C$5:$BE$54,MATCH(C106,$C$5:$C$54,0),55),IFERROR(INDEX(DogInfo!A:B,MATCH(C106&amp;$BE$4,DogInfo!A:A,0),2),0))),"")</f>
        <v>0</v>
      </c>
    </row>
    <row r="107" spans="1:57" x14ac:dyDescent="0.25">
      <c r="A107" s="99">
        <v>43</v>
      </c>
      <c r="B107" s="100"/>
      <c r="C107" s="101"/>
      <c r="D107" s="102" t="str">
        <f>IF($C107="","",VLOOKUP($C107,'SDDA Dogs'!$A:$F,2,FALSE))</f>
        <v/>
      </c>
      <c r="E107" s="211">
        <f t="shared" si="90"/>
        <v>-1</v>
      </c>
      <c r="F107" s="103" t="str">
        <f>IF($C107="","",IF(ISERROR(VLOOKUP($C107,$C$5:$AP$54,38,FALSE)=TRUE),VLOOKUP($C107,'SDDA Dogs'!$A:$O,10,FALSE),VLOOKUP($C107,$C$5:$AP$54,38,FALSE)))</f>
        <v/>
      </c>
      <c r="G107" s="137"/>
      <c r="H107" s="217"/>
      <c r="I107" s="84" t="str">
        <f t="shared" si="91"/>
        <v/>
      </c>
      <c r="J107" s="105">
        <f t="shared" si="50"/>
        <v>0</v>
      </c>
      <c r="K107" s="84" t="str">
        <f t="shared" si="92"/>
        <v/>
      </c>
      <c r="L107" s="105">
        <f t="shared" si="51"/>
        <v>0</v>
      </c>
      <c r="M107" s="84" t="str">
        <f t="shared" si="93"/>
        <v/>
      </c>
      <c r="N107" s="106" t="str">
        <f>IF($C107="","",IF(ISERROR(VLOOKUP($C107,$C$5:$AP$54,39,FALSE)=TRUE),VLOOKUP($C107,'SDDA Dogs'!$A:$O,11,FALSE),VLOOKUP($C107,$C$5:$AP$54,39,FALSE)))</f>
        <v/>
      </c>
      <c r="O107" s="137"/>
      <c r="P107" s="217"/>
      <c r="Q107" s="84" t="str">
        <f t="shared" si="94"/>
        <v/>
      </c>
      <c r="R107" s="105">
        <f t="shared" si="52"/>
        <v>0</v>
      </c>
      <c r="S107" s="84" t="str">
        <f t="shared" si="95"/>
        <v/>
      </c>
      <c r="T107" s="105">
        <f t="shared" si="53"/>
        <v>0</v>
      </c>
      <c r="U107" s="84" t="str">
        <f t="shared" si="96"/>
        <v/>
      </c>
      <c r="V107" s="106" t="str">
        <f>IF($C107="","",IF(ISERROR(VLOOKUP($C107,$C$5:$AP$54,40,FALSE)=TRUE),VLOOKUP($C107,'SDDA Dogs'!$A:$O,12,FALSE),VLOOKUP($C107,$C$5:$AP$54,40,FALSE)))</f>
        <v/>
      </c>
      <c r="W107" s="137"/>
      <c r="X107" s="217"/>
      <c r="Y107" s="84" t="str">
        <f t="shared" si="97"/>
        <v/>
      </c>
      <c r="Z107" s="105">
        <f t="shared" si="54"/>
        <v>0</v>
      </c>
      <c r="AA107" s="84" t="str">
        <f t="shared" si="98"/>
        <v/>
      </c>
      <c r="AB107" s="105">
        <f t="shared" si="55"/>
        <v>0</v>
      </c>
      <c r="AC107" s="84" t="str">
        <f t="shared" si="99"/>
        <v/>
      </c>
      <c r="AD107" s="92" t="str">
        <f t="shared" si="74"/>
        <v/>
      </c>
      <c r="AE107" s="89" t="str">
        <f t="shared" si="100"/>
        <v/>
      </c>
      <c r="AF107" s="104" t="str">
        <f t="shared" si="101"/>
        <v/>
      </c>
      <c r="AG107" s="107" t="str">
        <f t="shared" si="102"/>
        <v/>
      </c>
      <c r="AH107" s="92" t="str">
        <f t="shared" si="103"/>
        <v/>
      </c>
      <c r="AI107" s="89" t="str">
        <f t="shared" si="104"/>
        <v/>
      </c>
      <c r="AJ107" s="104" t="str">
        <f t="shared" si="105"/>
        <v/>
      </c>
      <c r="AK107" s="84" t="str">
        <f t="shared" si="106"/>
        <v/>
      </c>
      <c r="AL107" s="265" t="str">
        <f t="shared" si="107"/>
        <v/>
      </c>
      <c r="AM107" s="270">
        <f t="shared" si="56"/>
        <v>0</v>
      </c>
      <c r="AN107" s="270" t="str">
        <f t="shared" si="57"/>
        <v/>
      </c>
      <c r="AO107" s="270" t="str">
        <f t="shared" si="58"/>
        <v/>
      </c>
      <c r="AP107" s="270" t="str">
        <f t="shared" si="59"/>
        <v/>
      </c>
      <c r="AQ107" s="270">
        <f t="shared" si="60"/>
        <v>0</v>
      </c>
      <c r="AR107" s="271">
        <f>MIN(IFERROR(VLOOKUP($C107,'SDDA Dogs'!$A:$O,13,FALSE),0),IFERROR(VLOOKUP($C107,'SDDA Dogs'!$A:$O,14,FALSE),0),IFERROR(VLOOKUP($C107,'SDDA Dogs'!$A:$O,15,FALSE),0))</f>
        <v>0</v>
      </c>
      <c r="AS107" s="272"/>
      <c r="AT107" s="272"/>
      <c r="AU107" s="272" t="str">
        <f>IF(ISERROR(VLOOKUP(C107,'SDDA Dogs'!A:O,6,FALSE)),"",VLOOKUP(C107,'SDDA Dogs'!A:O,6,FALSE))</f>
        <v/>
      </c>
      <c r="AV107" s="270">
        <f t="shared" si="108"/>
        <v>0</v>
      </c>
      <c r="AW107" s="270">
        <f t="shared" si="109"/>
        <v>0</v>
      </c>
      <c r="AX107" s="273">
        <f t="shared" si="61"/>
        <v>0</v>
      </c>
      <c r="AY107" s="274"/>
      <c r="AZ107" s="275">
        <f t="shared" si="110"/>
        <v>0</v>
      </c>
      <c r="BA107" s="275">
        <f t="shared" si="111"/>
        <v>0</v>
      </c>
      <c r="BB107" s="276"/>
      <c r="BC107" s="274">
        <f>_xlfn.IFNA(IF(I107="Pass",IF(AND(G107&gt;=IFERROR(INDEX($C$5:$W$54,MATCH(C107,$C$5:$C$54,0),5),0),G107&gt;=IFERROR(INDEX(DogInfo!A:B,MATCH(C107&amp;$BC$4,DogInfo!A:A,0),2),0)),G107,IF(AND(IFERROR(INDEX($C$5:$W$54,MATCH(C107,$C$5:$C$54,0),5),0)&gt;=O107,IFERROR(INDEX($C$5:$W$54,MATCH(C107,$C$5:$C$54,0),5),0)&gt;=IFERROR(INDEX(DogInfo!A:B,MATCH(C107&amp;$BC$4,DogInfo!A:A,0),2),0)),IFERROR(INDEX($C$5:$W$54,MATCH(C107,$C$5:$C$54,0),5),0),IF(AND(IFERROR(INDEX(DogInfo!A:B,MATCH(C107&amp;$BC$4,DogInfo!A:A,0),2),0)&gt;=IFERROR(INDEX($C$5:$W$54,MATCH(C107,$C$5:$C$54,0),5),0),IFERROR(INDEX(DogInfo!A:B,MATCH(C107&amp;$BC$4,DogInfo!A:A,0),2),0)&gt;=G107),IFERROR(INDEX(DogInfo!A:B,MATCH(C107&amp;$BC$4,DogInfo!A:A,0),2),0),"Error"))),IFERROR(INDEX($C$5:$BE$54,MATCH(C107,$C$5:$C$54,0),53),IFERROR(INDEX(DogInfo!A:B,MATCH(C107&amp;$BC$4,DogInfo!A:A,0),2),0))),"")</f>
        <v>0</v>
      </c>
      <c r="BD107" s="274">
        <f>_xlfn.IFNA(IF(Q107="Pass",IF(AND(O107&gt;=IFERROR(INDEX($C$5:$W$54,MATCH(C107,$C$5:$C$54,0),13),0),O107&gt;=IFERROR(INDEX(DogInfo!A:B,MATCH(C107&amp;$BD$4,DogInfo!A:A,0),2),0)),O107,IF(AND(IFERROR(INDEX($C$5:$W$54,MATCH(C107,$C$5:$C$54,0),13),0)&gt;=O107,IFERROR(INDEX($C$5:$W$54,MATCH(C107,$C$5:$C$54,0),13),0)&gt;=IFERROR(INDEX(DogInfo!A:B,MATCH(C107&amp;$BD$4,DogInfo!A:A,0),2),0)),IFERROR(INDEX($C$5:$W$54,MATCH(C107,$C$5:$C$54,0),13),0),IF(AND(IFERROR(INDEX(DogInfo!A:B,MATCH(C107&amp;$BD$4,DogInfo!A:A,0),2),0)&gt;=IFERROR(INDEX($C$5:$W$54,MATCH(C107,$C$5:$C$54,0),13),0),IFERROR(INDEX(DogInfo!A:B,MATCH(C107&amp;$BD$4,DogInfo!A:A,0),2),0)&gt;=O107),IFERROR(INDEX(DogInfo!A:B,MATCH(C107&amp;$BD$4,DogInfo!A:A,0),2),0),"Error"))),IFERROR(INDEX($C$5:$BE$54,MATCH(C107,$C$5:$C$54,0),54),IFERROR(INDEX(DogInfo!A:B,MATCH(C107&amp;$BD$4,DogInfo!A:A,0),2),0))),"")</f>
        <v>0</v>
      </c>
      <c r="BE107" s="274">
        <f>_xlfn.IFNA(IF(Y107="Pass",IF(AND(W107&gt;=IFERROR(INDEX($C$5:$W$54,MATCH(C107,$C$5:$C$54,0),21),0),O107&gt;=IFERROR(INDEX(DogInfo!A:B,MATCH(C107&amp;$BE$4,DogInfo!A:A,0),2),0)),W107,IF(AND(IFERROR(INDEX($C$5:$W$54,MATCH(C107,$C$5:$C$54,0),21),0)&gt;=W107,IFERROR(INDEX($C$5:$W$54,MATCH(C107,$C$5:$C$54,0),21),0)&gt;=IFERROR(INDEX(DogInfo!A:B,MATCH(C107&amp;$BE$4,DogInfo!A:A,0),2),0)),IFERROR(INDEX($C$5:$W$54,MATCH(C107,$C$5:$C$54,0),21),0),IF(AND(IFERROR(INDEX(DogInfo!A:B,MATCH(C107&amp;$BE$4,DogInfo!A:A,0),2),0)&gt;=IFERROR(INDEX($C$5:$W$54,MATCH(C107,$C$5:$C$54,0),21),0),IFERROR(INDEX(DogInfo!A:B,MATCH(C107&amp;$BE$4,DogInfo!A:A,0),2),0)&gt;=W107),IFERROR(INDEX(DogInfo!A:B,MATCH(C107&amp;$BE$4,DogInfo!A:A,0),2),0),"Error"))),IFERROR(INDEX($C$5:$BE$54,MATCH(C107,$C$5:$C$54,0),55),IFERROR(INDEX(DogInfo!A:B,MATCH(C107&amp;$BE$4,DogInfo!A:A,0),2),0))),"")</f>
        <v>0</v>
      </c>
    </row>
    <row r="108" spans="1:57" x14ac:dyDescent="0.25">
      <c r="A108" s="99">
        <v>44</v>
      </c>
      <c r="B108" s="100"/>
      <c r="C108" s="101"/>
      <c r="D108" s="102" t="str">
        <f>IF($C108="","",VLOOKUP($C108,'SDDA Dogs'!$A:$F,2,FALSE))</f>
        <v/>
      </c>
      <c r="E108" s="211">
        <f t="shared" si="90"/>
        <v>-1</v>
      </c>
      <c r="F108" s="103" t="str">
        <f>IF($C108="","",IF(ISERROR(VLOOKUP($C108,$C$5:$AP$54,38,FALSE)=TRUE),VLOOKUP($C108,'SDDA Dogs'!$A:$O,10,FALSE),VLOOKUP($C108,$C$5:$AP$54,38,FALSE)))</f>
        <v/>
      </c>
      <c r="G108" s="137"/>
      <c r="H108" s="217"/>
      <c r="I108" s="84" t="str">
        <f t="shared" si="91"/>
        <v/>
      </c>
      <c r="J108" s="105">
        <f t="shared" si="50"/>
        <v>0</v>
      </c>
      <c r="K108" s="84" t="str">
        <f t="shared" si="92"/>
        <v/>
      </c>
      <c r="L108" s="105">
        <f t="shared" si="51"/>
        <v>0</v>
      </c>
      <c r="M108" s="84" t="str">
        <f t="shared" si="93"/>
        <v/>
      </c>
      <c r="N108" s="106" t="str">
        <f>IF($C108="","",IF(ISERROR(VLOOKUP($C108,$C$5:$AP$54,39,FALSE)=TRUE),VLOOKUP($C108,'SDDA Dogs'!$A:$O,11,FALSE),VLOOKUP($C108,$C$5:$AP$54,39,FALSE)))</f>
        <v/>
      </c>
      <c r="O108" s="137"/>
      <c r="P108" s="217"/>
      <c r="Q108" s="84" t="str">
        <f t="shared" si="94"/>
        <v/>
      </c>
      <c r="R108" s="105">
        <f t="shared" si="52"/>
        <v>0</v>
      </c>
      <c r="S108" s="84" t="str">
        <f t="shared" si="95"/>
        <v/>
      </c>
      <c r="T108" s="105">
        <f t="shared" si="53"/>
        <v>0</v>
      </c>
      <c r="U108" s="84" t="str">
        <f t="shared" si="96"/>
        <v/>
      </c>
      <c r="V108" s="106" t="str">
        <f>IF($C108="","",IF(ISERROR(VLOOKUP($C108,$C$5:$AP$54,40,FALSE)=TRUE),VLOOKUP($C108,'SDDA Dogs'!$A:$O,12,FALSE),VLOOKUP($C108,$C$5:$AP$54,40,FALSE)))</f>
        <v/>
      </c>
      <c r="W108" s="137"/>
      <c r="X108" s="217"/>
      <c r="Y108" s="84" t="str">
        <f t="shared" si="97"/>
        <v/>
      </c>
      <c r="Z108" s="105">
        <f t="shared" si="54"/>
        <v>0</v>
      </c>
      <c r="AA108" s="84" t="str">
        <f t="shared" si="98"/>
        <v/>
      </c>
      <c r="AB108" s="105">
        <f t="shared" si="55"/>
        <v>0</v>
      </c>
      <c r="AC108" s="84" t="str">
        <f t="shared" si="99"/>
        <v/>
      </c>
      <c r="AD108" s="92" t="str">
        <f t="shared" si="74"/>
        <v/>
      </c>
      <c r="AE108" s="89" t="str">
        <f t="shared" si="100"/>
        <v/>
      </c>
      <c r="AF108" s="104" t="str">
        <f t="shared" si="101"/>
        <v/>
      </c>
      <c r="AG108" s="107" t="str">
        <f t="shared" si="102"/>
        <v/>
      </c>
      <c r="AH108" s="92" t="str">
        <f t="shared" si="103"/>
        <v/>
      </c>
      <c r="AI108" s="89" t="str">
        <f t="shared" si="104"/>
        <v/>
      </c>
      <c r="AJ108" s="104" t="str">
        <f t="shared" si="105"/>
        <v/>
      </c>
      <c r="AK108" s="84" t="str">
        <f t="shared" si="106"/>
        <v/>
      </c>
      <c r="AL108" s="265" t="str">
        <f t="shared" si="107"/>
        <v/>
      </c>
      <c r="AM108" s="270">
        <f t="shared" si="56"/>
        <v>0</v>
      </c>
      <c r="AN108" s="270" t="str">
        <f t="shared" si="57"/>
        <v/>
      </c>
      <c r="AO108" s="270" t="str">
        <f t="shared" si="58"/>
        <v/>
      </c>
      <c r="AP108" s="270" t="str">
        <f t="shared" si="59"/>
        <v/>
      </c>
      <c r="AQ108" s="270">
        <f t="shared" si="60"/>
        <v>0</v>
      </c>
      <c r="AR108" s="271">
        <f>MIN(IFERROR(VLOOKUP($C108,'SDDA Dogs'!$A:$O,13,FALSE),0),IFERROR(VLOOKUP($C108,'SDDA Dogs'!$A:$O,14,FALSE),0),IFERROR(VLOOKUP($C108,'SDDA Dogs'!$A:$O,15,FALSE),0))</f>
        <v>0</v>
      </c>
      <c r="AS108" s="272"/>
      <c r="AT108" s="272"/>
      <c r="AU108" s="272" t="str">
        <f>IF(ISERROR(VLOOKUP(C108,'SDDA Dogs'!A:O,6,FALSE)),"",VLOOKUP(C108,'SDDA Dogs'!A:O,6,FALSE))</f>
        <v/>
      </c>
      <c r="AV108" s="270">
        <f t="shared" si="108"/>
        <v>0</v>
      </c>
      <c r="AW108" s="270">
        <f t="shared" si="109"/>
        <v>0</v>
      </c>
      <c r="AX108" s="273">
        <f t="shared" si="61"/>
        <v>0</v>
      </c>
      <c r="AY108" s="274"/>
      <c r="AZ108" s="275">
        <f t="shared" si="110"/>
        <v>0</v>
      </c>
      <c r="BA108" s="275">
        <f t="shared" si="111"/>
        <v>0</v>
      </c>
      <c r="BB108" s="276"/>
      <c r="BC108" s="274">
        <f>_xlfn.IFNA(IF(I108="Pass",IF(AND(G108&gt;=IFERROR(INDEX($C$5:$W$54,MATCH(C108,$C$5:$C$54,0),5),0),G108&gt;=IFERROR(INDEX(DogInfo!A:B,MATCH(C108&amp;$BC$4,DogInfo!A:A,0),2),0)),G108,IF(AND(IFERROR(INDEX($C$5:$W$54,MATCH(C108,$C$5:$C$54,0),5),0)&gt;=O108,IFERROR(INDEX($C$5:$W$54,MATCH(C108,$C$5:$C$54,0),5),0)&gt;=IFERROR(INDEX(DogInfo!A:B,MATCH(C108&amp;$BC$4,DogInfo!A:A,0),2),0)),IFERROR(INDEX($C$5:$W$54,MATCH(C108,$C$5:$C$54,0),5),0),IF(AND(IFERROR(INDEX(DogInfo!A:B,MATCH(C108&amp;$BC$4,DogInfo!A:A,0),2),0)&gt;=IFERROR(INDEX($C$5:$W$54,MATCH(C108,$C$5:$C$54,0),5),0),IFERROR(INDEX(DogInfo!A:B,MATCH(C108&amp;$BC$4,DogInfo!A:A,0),2),0)&gt;=G108),IFERROR(INDEX(DogInfo!A:B,MATCH(C108&amp;$BC$4,DogInfo!A:A,0),2),0),"Error"))),IFERROR(INDEX($C$5:$BE$54,MATCH(C108,$C$5:$C$54,0),53),IFERROR(INDEX(DogInfo!A:B,MATCH(C108&amp;$BC$4,DogInfo!A:A,0),2),0))),"")</f>
        <v>0</v>
      </c>
      <c r="BD108" s="274">
        <f>_xlfn.IFNA(IF(Q108="Pass",IF(AND(O108&gt;=IFERROR(INDEX($C$5:$W$54,MATCH(C108,$C$5:$C$54,0),13),0),O108&gt;=IFERROR(INDEX(DogInfo!A:B,MATCH(C108&amp;$BD$4,DogInfo!A:A,0),2),0)),O108,IF(AND(IFERROR(INDEX($C$5:$W$54,MATCH(C108,$C$5:$C$54,0),13),0)&gt;=O108,IFERROR(INDEX($C$5:$W$54,MATCH(C108,$C$5:$C$54,0),13),0)&gt;=IFERROR(INDEX(DogInfo!A:B,MATCH(C108&amp;$BD$4,DogInfo!A:A,0),2),0)),IFERROR(INDEX($C$5:$W$54,MATCH(C108,$C$5:$C$54,0),13),0),IF(AND(IFERROR(INDEX(DogInfo!A:B,MATCH(C108&amp;$BD$4,DogInfo!A:A,0),2),0)&gt;=IFERROR(INDEX($C$5:$W$54,MATCH(C108,$C$5:$C$54,0),13),0),IFERROR(INDEX(DogInfo!A:B,MATCH(C108&amp;$BD$4,DogInfo!A:A,0),2),0)&gt;=O108),IFERROR(INDEX(DogInfo!A:B,MATCH(C108&amp;$BD$4,DogInfo!A:A,0),2),0),"Error"))),IFERROR(INDEX($C$5:$BE$54,MATCH(C108,$C$5:$C$54,0),54),IFERROR(INDEX(DogInfo!A:B,MATCH(C108&amp;$BD$4,DogInfo!A:A,0),2),0))),"")</f>
        <v>0</v>
      </c>
      <c r="BE108" s="274">
        <f>_xlfn.IFNA(IF(Y108="Pass",IF(AND(W108&gt;=IFERROR(INDEX($C$5:$W$54,MATCH(C108,$C$5:$C$54,0),21),0),O108&gt;=IFERROR(INDEX(DogInfo!A:B,MATCH(C108&amp;$BE$4,DogInfo!A:A,0),2),0)),W108,IF(AND(IFERROR(INDEX($C$5:$W$54,MATCH(C108,$C$5:$C$54,0),21),0)&gt;=W108,IFERROR(INDEX($C$5:$W$54,MATCH(C108,$C$5:$C$54,0),21),0)&gt;=IFERROR(INDEX(DogInfo!A:B,MATCH(C108&amp;$BE$4,DogInfo!A:A,0),2),0)),IFERROR(INDEX($C$5:$W$54,MATCH(C108,$C$5:$C$54,0),21),0),IF(AND(IFERROR(INDEX(DogInfo!A:B,MATCH(C108&amp;$BE$4,DogInfo!A:A,0),2),0)&gt;=IFERROR(INDEX($C$5:$W$54,MATCH(C108,$C$5:$C$54,0),21),0),IFERROR(INDEX(DogInfo!A:B,MATCH(C108&amp;$BE$4,DogInfo!A:A,0),2),0)&gt;=W108),IFERROR(INDEX(DogInfo!A:B,MATCH(C108&amp;$BE$4,DogInfo!A:A,0),2),0),"Error"))),IFERROR(INDEX($C$5:$BE$54,MATCH(C108,$C$5:$C$54,0),55),IFERROR(INDEX(DogInfo!A:B,MATCH(C108&amp;$BE$4,DogInfo!A:A,0),2),0))),"")</f>
        <v>0</v>
      </c>
    </row>
    <row r="109" spans="1:57" x14ac:dyDescent="0.25">
      <c r="A109" s="99">
        <v>45</v>
      </c>
      <c r="B109" s="100"/>
      <c r="C109" s="101"/>
      <c r="D109" s="102" t="str">
        <f>IF($C109="","",VLOOKUP($C109,'SDDA Dogs'!$A:$F,2,FALSE))</f>
        <v/>
      </c>
      <c r="E109" s="211">
        <f t="shared" si="90"/>
        <v>-1</v>
      </c>
      <c r="F109" s="103" t="str">
        <f>IF($C109="","",IF(ISERROR(VLOOKUP($C109,$C$5:$AP$54,38,FALSE)=TRUE),VLOOKUP($C109,'SDDA Dogs'!$A:$O,10,FALSE),VLOOKUP($C109,$C$5:$AP$54,38,FALSE)))</f>
        <v/>
      </c>
      <c r="G109" s="137"/>
      <c r="H109" s="217"/>
      <c r="I109" s="84" t="str">
        <f t="shared" si="91"/>
        <v/>
      </c>
      <c r="J109" s="105">
        <f t="shared" si="50"/>
        <v>0</v>
      </c>
      <c r="K109" s="84" t="str">
        <f t="shared" si="92"/>
        <v/>
      </c>
      <c r="L109" s="105">
        <f t="shared" si="51"/>
        <v>0</v>
      </c>
      <c r="M109" s="84" t="str">
        <f t="shared" si="93"/>
        <v/>
      </c>
      <c r="N109" s="106" t="str">
        <f>IF($C109="","",IF(ISERROR(VLOOKUP($C109,$C$5:$AP$54,39,FALSE)=TRUE),VLOOKUP($C109,'SDDA Dogs'!$A:$O,11,FALSE),VLOOKUP($C109,$C$5:$AP$54,39,FALSE)))</f>
        <v/>
      </c>
      <c r="O109" s="137"/>
      <c r="P109" s="217"/>
      <c r="Q109" s="84" t="str">
        <f t="shared" si="94"/>
        <v/>
      </c>
      <c r="R109" s="105">
        <f t="shared" si="52"/>
        <v>0</v>
      </c>
      <c r="S109" s="84" t="str">
        <f t="shared" si="95"/>
        <v/>
      </c>
      <c r="T109" s="105">
        <f t="shared" si="53"/>
        <v>0</v>
      </c>
      <c r="U109" s="84" t="str">
        <f t="shared" si="96"/>
        <v/>
      </c>
      <c r="V109" s="106" t="str">
        <f>IF($C109="","",IF(ISERROR(VLOOKUP($C109,$C$5:$AP$54,40,FALSE)=TRUE),VLOOKUP($C109,'SDDA Dogs'!$A:$O,12,FALSE),VLOOKUP($C109,$C$5:$AP$54,40,FALSE)))</f>
        <v/>
      </c>
      <c r="W109" s="137"/>
      <c r="X109" s="217"/>
      <c r="Y109" s="84" t="str">
        <f t="shared" si="97"/>
        <v/>
      </c>
      <c r="Z109" s="105">
        <f t="shared" si="54"/>
        <v>0</v>
      </c>
      <c r="AA109" s="84" t="str">
        <f t="shared" si="98"/>
        <v/>
      </c>
      <c r="AB109" s="105">
        <f t="shared" si="55"/>
        <v>0</v>
      </c>
      <c r="AC109" s="84" t="str">
        <f t="shared" si="99"/>
        <v/>
      </c>
      <c r="AD109" s="92" t="str">
        <f t="shared" si="74"/>
        <v/>
      </c>
      <c r="AE109" s="89" t="str">
        <f t="shared" si="100"/>
        <v/>
      </c>
      <c r="AF109" s="104" t="str">
        <f t="shared" si="101"/>
        <v/>
      </c>
      <c r="AG109" s="107" t="str">
        <f t="shared" si="102"/>
        <v/>
      </c>
      <c r="AH109" s="92" t="str">
        <f t="shared" si="103"/>
        <v/>
      </c>
      <c r="AI109" s="89" t="str">
        <f t="shared" si="104"/>
        <v/>
      </c>
      <c r="AJ109" s="104" t="str">
        <f t="shared" si="105"/>
        <v/>
      </c>
      <c r="AK109" s="84" t="str">
        <f t="shared" si="106"/>
        <v/>
      </c>
      <c r="AL109" s="265" t="str">
        <f t="shared" si="107"/>
        <v/>
      </c>
      <c r="AM109" s="270">
        <f t="shared" si="56"/>
        <v>0</v>
      </c>
      <c r="AN109" s="270" t="str">
        <f t="shared" si="57"/>
        <v/>
      </c>
      <c r="AO109" s="270" t="str">
        <f t="shared" si="58"/>
        <v/>
      </c>
      <c r="AP109" s="270" t="str">
        <f t="shared" si="59"/>
        <v/>
      </c>
      <c r="AQ109" s="270">
        <f t="shared" si="60"/>
        <v>0</v>
      </c>
      <c r="AR109" s="271">
        <f>MIN(IFERROR(VLOOKUP($C109,'SDDA Dogs'!$A:$O,13,FALSE),0),IFERROR(VLOOKUP($C109,'SDDA Dogs'!$A:$O,14,FALSE),0),IFERROR(VLOOKUP($C109,'SDDA Dogs'!$A:$O,15,FALSE),0))</f>
        <v>0</v>
      </c>
      <c r="AS109" s="272"/>
      <c r="AT109" s="272"/>
      <c r="AU109" s="272" t="str">
        <f>IF(ISERROR(VLOOKUP(C109,'SDDA Dogs'!A:O,6,FALSE)),"",VLOOKUP(C109,'SDDA Dogs'!A:O,6,FALSE))</f>
        <v/>
      </c>
      <c r="AV109" s="270">
        <f t="shared" si="108"/>
        <v>0</v>
      </c>
      <c r="AW109" s="270">
        <f t="shared" si="109"/>
        <v>0</v>
      </c>
      <c r="AX109" s="273">
        <f t="shared" si="61"/>
        <v>0</v>
      </c>
      <c r="AY109" s="274"/>
      <c r="AZ109" s="275">
        <f t="shared" si="110"/>
        <v>0</v>
      </c>
      <c r="BA109" s="275">
        <f t="shared" si="111"/>
        <v>0</v>
      </c>
      <c r="BB109" s="276"/>
      <c r="BC109" s="274">
        <f>_xlfn.IFNA(IF(I109="Pass",IF(AND(G109&gt;=IFERROR(INDEX($C$5:$W$54,MATCH(C109,$C$5:$C$54,0),5),0),G109&gt;=IFERROR(INDEX(DogInfo!A:B,MATCH(C109&amp;$BC$4,DogInfo!A:A,0),2),0)),G109,IF(AND(IFERROR(INDEX($C$5:$W$54,MATCH(C109,$C$5:$C$54,0),5),0)&gt;=O109,IFERROR(INDEX($C$5:$W$54,MATCH(C109,$C$5:$C$54,0),5),0)&gt;=IFERROR(INDEX(DogInfo!A:B,MATCH(C109&amp;$BC$4,DogInfo!A:A,0),2),0)),IFERROR(INDEX($C$5:$W$54,MATCH(C109,$C$5:$C$54,0),5),0),IF(AND(IFERROR(INDEX(DogInfo!A:B,MATCH(C109&amp;$BC$4,DogInfo!A:A,0),2),0)&gt;=IFERROR(INDEX($C$5:$W$54,MATCH(C109,$C$5:$C$54,0),5),0),IFERROR(INDEX(DogInfo!A:B,MATCH(C109&amp;$BC$4,DogInfo!A:A,0),2),0)&gt;=G109),IFERROR(INDEX(DogInfo!A:B,MATCH(C109&amp;$BC$4,DogInfo!A:A,0),2),0),"Error"))),IFERROR(INDEX($C$5:$BE$54,MATCH(C109,$C$5:$C$54,0),53),IFERROR(INDEX(DogInfo!A:B,MATCH(C109&amp;$BC$4,DogInfo!A:A,0),2),0))),"")</f>
        <v>0</v>
      </c>
      <c r="BD109" s="274">
        <f>_xlfn.IFNA(IF(Q109="Pass",IF(AND(O109&gt;=IFERROR(INDEX($C$5:$W$54,MATCH(C109,$C$5:$C$54,0),13),0),O109&gt;=IFERROR(INDEX(DogInfo!A:B,MATCH(C109&amp;$BD$4,DogInfo!A:A,0),2),0)),O109,IF(AND(IFERROR(INDEX($C$5:$W$54,MATCH(C109,$C$5:$C$54,0),13),0)&gt;=O109,IFERROR(INDEX($C$5:$W$54,MATCH(C109,$C$5:$C$54,0),13),0)&gt;=IFERROR(INDEX(DogInfo!A:B,MATCH(C109&amp;$BD$4,DogInfo!A:A,0),2),0)),IFERROR(INDEX($C$5:$W$54,MATCH(C109,$C$5:$C$54,0),13),0),IF(AND(IFERROR(INDEX(DogInfo!A:B,MATCH(C109&amp;$BD$4,DogInfo!A:A,0),2),0)&gt;=IFERROR(INDEX($C$5:$W$54,MATCH(C109,$C$5:$C$54,0),13),0),IFERROR(INDEX(DogInfo!A:B,MATCH(C109&amp;$BD$4,DogInfo!A:A,0),2),0)&gt;=O109),IFERROR(INDEX(DogInfo!A:B,MATCH(C109&amp;$BD$4,DogInfo!A:A,0),2),0),"Error"))),IFERROR(INDEX($C$5:$BE$54,MATCH(C109,$C$5:$C$54,0),54),IFERROR(INDEX(DogInfo!A:B,MATCH(C109&amp;$BD$4,DogInfo!A:A,0),2),0))),"")</f>
        <v>0</v>
      </c>
      <c r="BE109" s="274">
        <f>_xlfn.IFNA(IF(Y109="Pass",IF(AND(W109&gt;=IFERROR(INDEX($C$5:$W$54,MATCH(C109,$C$5:$C$54,0),21),0),O109&gt;=IFERROR(INDEX(DogInfo!A:B,MATCH(C109&amp;$BE$4,DogInfo!A:A,0),2),0)),W109,IF(AND(IFERROR(INDEX($C$5:$W$54,MATCH(C109,$C$5:$C$54,0),21),0)&gt;=W109,IFERROR(INDEX($C$5:$W$54,MATCH(C109,$C$5:$C$54,0),21),0)&gt;=IFERROR(INDEX(DogInfo!A:B,MATCH(C109&amp;$BE$4,DogInfo!A:A,0),2),0)),IFERROR(INDEX($C$5:$W$54,MATCH(C109,$C$5:$C$54,0),21),0),IF(AND(IFERROR(INDEX(DogInfo!A:B,MATCH(C109&amp;$BE$4,DogInfo!A:A,0),2),0)&gt;=IFERROR(INDEX($C$5:$W$54,MATCH(C109,$C$5:$C$54,0),21),0),IFERROR(INDEX(DogInfo!A:B,MATCH(C109&amp;$BE$4,DogInfo!A:A,0),2),0)&gt;=W109),IFERROR(INDEX(DogInfo!A:B,MATCH(C109&amp;$BE$4,DogInfo!A:A,0),2),0),"Error"))),IFERROR(INDEX($C$5:$BE$54,MATCH(C109,$C$5:$C$54,0),55),IFERROR(INDEX(DogInfo!A:B,MATCH(C109&amp;$BE$4,DogInfo!A:A,0),2),0))),"")</f>
        <v>0</v>
      </c>
    </row>
    <row r="110" spans="1:57" x14ac:dyDescent="0.25">
      <c r="A110" s="99">
        <v>46</v>
      </c>
      <c r="B110" s="100"/>
      <c r="C110" s="101"/>
      <c r="D110" s="102" t="str">
        <f>IF($C110="","",VLOOKUP($C110,'SDDA Dogs'!$A:$F,2,FALSE))</f>
        <v/>
      </c>
      <c r="E110" s="211">
        <f t="shared" si="90"/>
        <v>-1</v>
      </c>
      <c r="F110" s="103" t="str">
        <f>IF($C110="","",IF(ISERROR(VLOOKUP($C110,$C$5:$AP$54,38,FALSE)=TRUE),VLOOKUP($C110,'SDDA Dogs'!$A:$O,10,FALSE),VLOOKUP($C110,$C$5:$AP$54,38,FALSE)))</f>
        <v/>
      </c>
      <c r="G110" s="137"/>
      <c r="H110" s="217"/>
      <c r="I110" s="84" t="str">
        <f t="shared" si="91"/>
        <v/>
      </c>
      <c r="J110" s="105">
        <f t="shared" si="50"/>
        <v>0</v>
      </c>
      <c r="K110" s="84" t="str">
        <f t="shared" si="92"/>
        <v/>
      </c>
      <c r="L110" s="105">
        <f t="shared" si="51"/>
        <v>0</v>
      </c>
      <c r="M110" s="84" t="str">
        <f t="shared" si="93"/>
        <v/>
      </c>
      <c r="N110" s="106" t="str">
        <f>IF($C110="","",IF(ISERROR(VLOOKUP($C110,$C$5:$AP$54,39,FALSE)=TRUE),VLOOKUP($C110,'SDDA Dogs'!$A:$O,11,FALSE),VLOOKUP($C110,$C$5:$AP$54,39,FALSE)))</f>
        <v/>
      </c>
      <c r="O110" s="137"/>
      <c r="P110" s="217"/>
      <c r="Q110" s="84" t="str">
        <f t="shared" si="94"/>
        <v/>
      </c>
      <c r="R110" s="105">
        <f t="shared" si="52"/>
        <v>0</v>
      </c>
      <c r="S110" s="84" t="str">
        <f t="shared" si="95"/>
        <v/>
      </c>
      <c r="T110" s="105">
        <f t="shared" si="53"/>
        <v>0</v>
      </c>
      <c r="U110" s="84" t="str">
        <f t="shared" si="96"/>
        <v/>
      </c>
      <c r="V110" s="106" t="str">
        <f>IF($C110="","",IF(ISERROR(VLOOKUP($C110,$C$5:$AP$54,40,FALSE)=TRUE),VLOOKUP($C110,'SDDA Dogs'!$A:$O,12,FALSE),VLOOKUP($C110,$C$5:$AP$54,40,FALSE)))</f>
        <v/>
      </c>
      <c r="W110" s="137"/>
      <c r="X110" s="217"/>
      <c r="Y110" s="84" t="str">
        <f t="shared" si="97"/>
        <v/>
      </c>
      <c r="Z110" s="105">
        <f t="shared" si="54"/>
        <v>0</v>
      </c>
      <c r="AA110" s="84" t="str">
        <f t="shared" si="98"/>
        <v/>
      </c>
      <c r="AB110" s="105">
        <f t="shared" si="55"/>
        <v>0</v>
      </c>
      <c r="AC110" s="84" t="str">
        <f t="shared" si="99"/>
        <v/>
      </c>
      <c r="AD110" s="92" t="str">
        <f t="shared" si="74"/>
        <v/>
      </c>
      <c r="AE110" s="89" t="str">
        <f t="shared" si="100"/>
        <v/>
      </c>
      <c r="AF110" s="104" t="str">
        <f t="shared" si="101"/>
        <v/>
      </c>
      <c r="AG110" s="107" t="str">
        <f t="shared" si="102"/>
        <v/>
      </c>
      <c r="AH110" s="92" t="str">
        <f t="shared" si="103"/>
        <v/>
      </c>
      <c r="AI110" s="89" t="str">
        <f t="shared" si="104"/>
        <v/>
      </c>
      <c r="AJ110" s="104" t="str">
        <f t="shared" si="105"/>
        <v/>
      </c>
      <c r="AK110" s="84" t="str">
        <f t="shared" si="106"/>
        <v/>
      </c>
      <c r="AL110" s="265" t="str">
        <f t="shared" si="107"/>
        <v/>
      </c>
      <c r="AM110" s="270">
        <f t="shared" si="56"/>
        <v>0</v>
      </c>
      <c r="AN110" s="270" t="str">
        <f t="shared" si="57"/>
        <v/>
      </c>
      <c r="AO110" s="270" t="str">
        <f t="shared" si="58"/>
        <v/>
      </c>
      <c r="AP110" s="270" t="str">
        <f t="shared" si="59"/>
        <v/>
      </c>
      <c r="AQ110" s="270">
        <f t="shared" si="60"/>
        <v>0</v>
      </c>
      <c r="AR110" s="271">
        <f>MIN(IFERROR(VLOOKUP($C110,'SDDA Dogs'!$A:$O,13,FALSE),0),IFERROR(VLOOKUP($C110,'SDDA Dogs'!$A:$O,14,FALSE),0),IFERROR(VLOOKUP($C110,'SDDA Dogs'!$A:$O,15,FALSE),0))</f>
        <v>0</v>
      </c>
      <c r="AS110" s="272"/>
      <c r="AT110" s="272"/>
      <c r="AU110" s="272" t="str">
        <f>IF(ISERROR(VLOOKUP(C110,'SDDA Dogs'!A:O,6,FALSE)),"",VLOOKUP(C110,'SDDA Dogs'!A:O,6,FALSE))</f>
        <v/>
      </c>
      <c r="AV110" s="270">
        <f t="shared" si="108"/>
        <v>0</v>
      </c>
      <c r="AW110" s="270">
        <f t="shared" si="109"/>
        <v>0</v>
      </c>
      <c r="AX110" s="273">
        <f t="shared" si="61"/>
        <v>0</v>
      </c>
      <c r="AY110" s="274"/>
      <c r="AZ110" s="275">
        <f t="shared" si="110"/>
        <v>0</v>
      </c>
      <c r="BA110" s="275">
        <f t="shared" si="111"/>
        <v>0</v>
      </c>
      <c r="BB110" s="276"/>
      <c r="BC110" s="274">
        <f>_xlfn.IFNA(IF(I110="Pass",IF(AND(G110&gt;=IFERROR(INDEX($C$5:$W$54,MATCH(C110,$C$5:$C$54,0),5),0),G110&gt;=IFERROR(INDEX(DogInfo!A:B,MATCH(C110&amp;$BC$4,DogInfo!A:A,0),2),0)),G110,IF(AND(IFERROR(INDEX($C$5:$W$54,MATCH(C110,$C$5:$C$54,0),5),0)&gt;=O110,IFERROR(INDEX($C$5:$W$54,MATCH(C110,$C$5:$C$54,0),5),0)&gt;=IFERROR(INDEX(DogInfo!A:B,MATCH(C110&amp;$BC$4,DogInfo!A:A,0),2),0)),IFERROR(INDEX($C$5:$W$54,MATCH(C110,$C$5:$C$54,0),5),0),IF(AND(IFERROR(INDEX(DogInfo!A:B,MATCH(C110&amp;$BC$4,DogInfo!A:A,0),2),0)&gt;=IFERROR(INDEX($C$5:$W$54,MATCH(C110,$C$5:$C$54,0),5),0),IFERROR(INDEX(DogInfo!A:B,MATCH(C110&amp;$BC$4,DogInfo!A:A,0),2),0)&gt;=G110),IFERROR(INDEX(DogInfo!A:B,MATCH(C110&amp;$BC$4,DogInfo!A:A,0),2),0),"Error"))),IFERROR(INDEX($C$5:$BE$54,MATCH(C110,$C$5:$C$54,0),53),IFERROR(INDEX(DogInfo!A:B,MATCH(C110&amp;$BC$4,DogInfo!A:A,0),2),0))),"")</f>
        <v>0</v>
      </c>
      <c r="BD110" s="274">
        <f>_xlfn.IFNA(IF(Q110="Pass",IF(AND(O110&gt;=IFERROR(INDEX($C$5:$W$54,MATCH(C110,$C$5:$C$54,0),13),0),O110&gt;=IFERROR(INDEX(DogInfo!A:B,MATCH(C110&amp;$BD$4,DogInfo!A:A,0),2),0)),O110,IF(AND(IFERROR(INDEX($C$5:$W$54,MATCH(C110,$C$5:$C$54,0),13),0)&gt;=O110,IFERROR(INDEX($C$5:$W$54,MATCH(C110,$C$5:$C$54,0),13),0)&gt;=IFERROR(INDEX(DogInfo!A:B,MATCH(C110&amp;$BD$4,DogInfo!A:A,0),2),0)),IFERROR(INDEX($C$5:$W$54,MATCH(C110,$C$5:$C$54,0),13),0),IF(AND(IFERROR(INDEX(DogInfo!A:B,MATCH(C110&amp;$BD$4,DogInfo!A:A,0),2),0)&gt;=IFERROR(INDEX($C$5:$W$54,MATCH(C110,$C$5:$C$54,0),13),0),IFERROR(INDEX(DogInfo!A:B,MATCH(C110&amp;$BD$4,DogInfo!A:A,0),2),0)&gt;=O110),IFERROR(INDEX(DogInfo!A:B,MATCH(C110&amp;$BD$4,DogInfo!A:A,0),2),0),"Error"))),IFERROR(INDEX($C$5:$BE$54,MATCH(C110,$C$5:$C$54,0),54),IFERROR(INDEX(DogInfo!A:B,MATCH(C110&amp;$BD$4,DogInfo!A:A,0),2),0))),"")</f>
        <v>0</v>
      </c>
      <c r="BE110" s="274">
        <f>_xlfn.IFNA(IF(Y110="Pass",IF(AND(W110&gt;=IFERROR(INDEX($C$5:$W$54,MATCH(C110,$C$5:$C$54,0),21),0),O110&gt;=IFERROR(INDEX(DogInfo!A:B,MATCH(C110&amp;$BE$4,DogInfo!A:A,0),2),0)),W110,IF(AND(IFERROR(INDEX($C$5:$W$54,MATCH(C110,$C$5:$C$54,0),21),0)&gt;=W110,IFERROR(INDEX($C$5:$W$54,MATCH(C110,$C$5:$C$54,0),21),0)&gt;=IFERROR(INDEX(DogInfo!A:B,MATCH(C110&amp;$BE$4,DogInfo!A:A,0),2),0)),IFERROR(INDEX($C$5:$W$54,MATCH(C110,$C$5:$C$54,0),21),0),IF(AND(IFERROR(INDEX(DogInfo!A:B,MATCH(C110&amp;$BE$4,DogInfo!A:A,0),2),0)&gt;=IFERROR(INDEX($C$5:$W$54,MATCH(C110,$C$5:$C$54,0),21),0),IFERROR(INDEX(DogInfo!A:B,MATCH(C110&amp;$BE$4,DogInfo!A:A,0),2),0)&gt;=W110),IFERROR(INDEX(DogInfo!A:B,MATCH(C110&amp;$BE$4,DogInfo!A:A,0),2),0),"Error"))),IFERROR(INDEX($C$5:$BE$54,MATCH(C110,$C$5:$C$54,0),55),IFERROR(INDEX(DogInfo!A:B,MATCH(C110&amp;$BE$4,DogInfo!A:A,0),2),0))),"")</f>
        <v>0</v>
      </c>
    </row>
    <row r="111" spans="1:57" x14ac:dyDescent="0.25">
      <c r="A111" s="99">
        <v>47</v>
      </c>
      <c r="B111" s="100"/>
      <c r="C111" s="101"/>
      <c r="D111" s="102" t="str">
        <f>IF($C111="","",VLOOKUP($C111,'SDDA Dogs'!$A:$F,2,FALSE))</f>
        <v/>
      </c>
      <c r="E111" s="211">
        <f t="shared" si="90"/>
        <v>-1</v>
      </c>
      <c r="F111" s="103" t="str">
        <f>IF($C111="","",IF(ISERROR(VLOOKUP($C111,$C$5:$AP$54,38,FALSE)=TRUE),VLOOKUP($C111,'SDDA Dogs'!$A:$O,10,FALSE),VLOOKUP($C111,$C$5:$AP$54,38,FALSE)))</f>
        <v/>
      </c>
      <c r="G111" s="137"/>
      <c r="H111" s="217"/>
      <c r="I111" s="84" t="str">
        <f t="shared" si="91"/>
        <v/>
      </c>
      <c r="J111" s="105">
        <f t="shared" si="50"/>
        <v>0</v>
      </c>
      <c r="K111" s="84" t="str">
        <f t="shared" si="92"/>
        <v/>
      </c>
      <c r="L111" s="105">
        <f t="shared" si="51"/>
        <v>0</v>
      </c>
      <c r="M111" s="84" t="str">
        <f t="shared" si="93"/>
        <v/>
      </c>
      <c r="N111" s="106" t="str">
        <f>IF($C111="","",IF(ISERROR(VLOOKUP($C111,$C$5:$AP$54,39,FALSE)=TRUE),VLOOKUP($C111,'SDDA Dogs'!$A:$O,11,FALSE),VLOOKUP($C111,$C$5:$AP$54,39,FALSE)))</f>
        <v/>
      </c>
      <c r="O111" s="137"/>
      <c r="P111" s="217"/>
      <c r="Q111" s="84" t="str">
        <f t="shared" si="94"/>
        <v/>
      </c>
      <c r="R111" s="105">
        <f t="shared" si="52"/>
        <v>0</v>
      </c>
      <c r="S111" s="84" t="str">
        <f t="shared" si="95"/>
        <v/>
      </c>
      <c r="T111" s="105">
        <f t="shared" si="53"/>
        <v>0</v>
      </c>
      <c r="U111" s="84" t="str">
        <f t="shared" si="96"/>
        <v/>
      </c>
      <c r="V111" s="106" t="str">
        <f>IF($C111="","",IF(ISERROR(VLOOKUP($C111,$C$5:$AP$54,40,FALSE)=TRUE),VLOOKUP($C111,'SDDA Dogs'!$A:$O,12,FALSE),VLOOKUP($C111,$C$5:$AP$54,40,FALSE)))</f>
        <v/>
      </c>
      <c r="W111" s="137"/>
      <c r="X111" s="217"/>
      <c r="Y111" s="84" t="str">
        <f t="shared" si="97"/>
        <v/>
      </c>
      <c r="Z111" s="105">
        <f t="shared" si="54"/>
        <v>0</v>
      </c>
      <c r="AA111" s="84" t="str">
        <f t="shared" si="98"/>
        <v/>
      </c>
      <c r="AB111" s="105">
        <f t="shared" si="55"/>
        <v>0</v>
      </c>
      <c r="AC111" s="84" t="str">
        <f t="shared" si="99"/>
        <v/>
      </c>
      <c r="AD111" s="92" t="str">
        <f t="shared" si="74"/>
        <v/>
      </c>
      <c r="AE111" s="89" t="str">
        <f t="shared" si="100"/>
        <v/>
      </c>
      <c r="AF111" s="104" t="str">
        <f t="shared" si="101"/>
        <v/>
      </c>
      <c r="AG111" s="107" t="str">
        <f t="shared" si="102"/>
        <v/>
      </c>
      <c r="AH111" s="92" t="str">
        <f t="shared" si="103"/>
        <v/>
      </c>
      <c r="AI111" s="89" t="str">
        <f t="shared" si="104"/>
        <v/>
      </c>
      <c r="AJ111" s="104" t="str">
        <f t="shared" si="105"/>
        <v/>
      </c>
      <c r="AK111" s="84" t="str">
        <f t="shared" si="106"/>
        <v/>
      </c>
      <c r="AL111" s="265" t="str">
        <f t="shared" si="107"/>
        <v/>
      </c>
      <c r="AM111" s="270">
        <f t="shared" si="56"/>
        <v>0</v>
      </c>
      <c r="AN111" s="270" t="str">
        <f t="shared" si="57"/>
        <v/>
      </c>
      <c r="AO111" s="270" t="str">
        <f t="shared" si="58"/>
        <v/>
      </c>
      <c r="AP111" s="270" t="str">
        <f t="shared" si="59"/>
        <v/>
      </c>
      <c r="AQ111" s="270">
        <f t="shared" si="60"/>
        <v>0</v>
      </c>
      <c r="AR111" s="271">
        <f>MIN(IFERROR(VLOOKUP($C111,'SDDA Dogs'!$A:$O,13,FALSE),0),IFERROR(VLOOKUP($C111,'SDDA Dogs'!$A:$O,14,FALSE),0),IFERROR(VLOOKUP($C111,'SDDA Dogs'!$A:$O,15,FALSE),0))</f>
        <v>0</v>
      </c>
      <c r="AS111" s="272"/>
      <c r="AT111" s="272"/>
      <c r="AU111" s="272" t="str">
        <f>IF(ISERROR(VLOOKUP(C111,'SDDA Dogs'!A:O,6,FALSE)),"",VLOOKUP(C111,'SDDA Dogs'!A:O,6,FALSE))</f>
        <v/>
      </c>
      <c r="AV111" s="270">
        <f t="shared" si="108"/>
        <v>0</v>
      </c>
      <c r="AW111" s="270">
        <f t="shared" si="109"/>
        <v>0</v>
      </c>
      <c r="AX111" s="273">
        <f t="shared" si="61"/>
        <v>0</v>
      </c>
      <c r="AY111" s="274"/>
      <c r="AZ111" s="275">
        <f t="shared" si="110"/>
        <v>0</v>
      </c>
      <c r="BA111" s="275">
        <f t="shared" si="111"/>
        <v>0</v>
      </c>
      <c r="BB111" s="276"/>
      <c r="BC111" s="274">
        <f>_xlfn.IFNA(IF(I111="Pass",IF(AND(G111&gt;=IFERROR(INDEX($C$5:$W$54,MATCH(C111,$C$5:$C$54,0),5),0),G111&gt;=IFERROR(INDEX(DogInfo!A:B,MATCH(C111&amp;$BC$4,DogInfo!A:A,0),2),0)),G111,IF(AND(IFERROR(INDEX($C$5:$W$54,MATCH(C111,$C$5:$C$54,0),5),0)&gt;=O111,IFERROR(INDEX($C$5:$W$54,MATCH(C111,$C$5:$C$54,0),5),0)&gt;=IFERROR(INDEX(DogInfo!A:B,MATCH(C111&amp;$BC$4,DogInfo!A:A,0),2),0)),IFERROR(INDEX($C$5:$W$54,MATCH(C111,$C$5:$C$54,0),5),0),IF(AND(IFERROR(INDEX(DogInfo!A:B,MATCH(C111&amp;$BC$4,DogInfo!A:A,0),2),0)&gt;=IFERROR(INDEX($C$5:$W$54,MATCH(C111,$C$5:$C$54,0),5),0),IFERROR(INDEX(DogInfo!A:B,MATCH(C111&amp;$BC$4,DogInfo!A:A,0),2),0)&gt;=G111),IFERROR(INDEX(DogInfo!A:B,MATCH(C111&amp;$BC$4,DogInfo!A:A,0),2),0),"Error"))),IFERROR(INDEX($C$5:$BE$54,MATCH(C111,$C$5:$C$54,0),53),IFERROR(INDEX(DogInfo!A:B,MATCH(C111&amp;$BC$4,DogInfo!A:A,0),2),0))),"")</f>
        <v>0</v>
      </c>
      <c r="BD111" s="274">
        <f>_xlfn.IFNA(IF(Q111="Pass",IF(AND(O111&gt;=IFERROR(INDEX($C$5:$W$54,MATCH(C111,$C$5:$C$54,0),13),0),O111&gt;=IFERROR(INDEX(DogInfo!A:B,MATCH(C111&amp;$BD$4,DogInfo!A:A,0),2),0)),O111,IF(AND(IFERROR(INDEX($C$5:$W$54,MATCH(C111,$C$5:$C$54,0),13),0)&gt;=O111,IFERROR(INDEX($C$5:$W$54,MATCH(C111,$C$5:$C$54,0),13),0)&gt;=IFERROR(INDEX(DogInfo!A:B,MATCH(C111&amp;$BD$4,DogInfo!A:A,0),2),0)),IFERROR(INDEX($C$5:$W$54,MATCH(C111,$C$5:$C$54,0),13),0),IF(AND(IFERROR(INDEX(DogInfo!A:B,MATCH(C111&amp;$BD$4,DogInfo!A:A,0),2),0)&gt;=IFERROR(INDEX($C$5:$W$54,MATCH(C111,$C$5:$C$54,0),13),0),IFERROR(INDEX(DogInfo!A:B,MATCH(C111&amp;$BD$4,DogInfo!A:A,0),2),0)&gt;=O111),IFERROR(INDEX(DogInfo!A:B,MATCH(C111&amp;$BD$4,DogInfo!A:A,0),2),0),"Error"))),IFERROR(INDEX($C$5:$BE$54,MATCH(C111,$C$5:$C$54,0),54),IFERROR(INDEX(DogInfo!A:B,MATCH(C111&amp;$BD$4,DogInfo!A:A,0),2),0))),"")</f>
        <v>0</v>
      </c>
      <c r="BE111" s="274">
        <f>_xlfn.IFNA(IF(Y111="Pass",IF(AND(W111&gt;=IFERROR(INDEX($C$5:$W$54,MATCH(C111,$C$5:$C$54,0),21),0),O111&gt;=IFERROR(INDEX(DogInfo!A:B,MATCH(C111&amp;$BE$4,DogInfo!A:A,0),2),0)),W111,IF(AND(IFERROR(INDEX($C$5:$W$54,MATCH(C111,$C$5:$C$54,0),21),0)&gt;=W111,IFERROR(INDEX($C$5:$W$54,MATCH(C111,$C$5:$C$54,0),21),0)&gt;=IFERROR(INDEX(DogInfo!A:B,MATCH(C111&amp;$BE$4,DogInfo!A:A,0),2),0)),IFERROR(INDEX($C$5:$W$54,MATCH(C111,$C$5:$C$54,0),21),0),IF(AND(IFERROR(INDEX(DogInfo!A:B,MATCH(C111&amp;$BE$4,DogInfo!A:A,0),2),0)&gt;=IFERROR(INDEX($C$5:$W$54,MATCH(C111,$C$5:$C$54,0),21),0),IFERROR(INDEX(DogInfo!A:B,MATCH(C111&amp;$BE$4,DogInfo!A:A,0),2),0)&gt;=W111),IFERROR(INDEX(DogInfo!A:B,MATCH(C111&amp;$BE$4,DogInfo!A:A,0),2),0),"Error"))),IFERROR(INDEX($C$5:$BE$54,MATCH(C111,$C$5:$C$54,0),55),IFERROR(INDEX(DogInfo!A:B,MATCH(C111&amp;$BE$4,DogInfo!A:A,0),2),0))),"")</f>
        <v>0</v>
      </c>
    </row>
    <row r="112" spans="1:57" x14ac:dyDescent="0.25">
      <c r="A112" s="99">
        <v>48</v>
      </c>
      <c r="B112" s="100"/>
      <c r="C112" s="101"/>
      <c r="D112" s="102" t="str">
        <f>IF($C112="","",VLOOKUP($C112,'SDDA Dogs'!$A:$F,2,FALSE))</f>
        <v/>
      </c>
      <c r="E112" s="211">
        <f t="shared" si="90"/>
        <v>-1</v>
      </c>
      <c r="F112" s="103" t="str">
        <f>IF($C112="","",IF(ISERROR(VLOOKUP($C112,$C$5:$AP$54,38,FALSE)=TRUE),VLOOKUP($C112,'SDDA Dogs'!$A:$O,10,FALSE),VLOOKUP($C112,$C$5:$AP$54,38,FALSE)))</f>
        <v/>
      </c>
      <c r="G112" s="137"/>
      <c r="H112" s="217"/>
      <c r="I112" s="84" t="str">
        <f t="shared" si="91"/>
        <v/>
      </c>
      <c r="J112" s="105">
        <f t="shared" si="50"/>
        <v>0</v>
      </c>
      <c r="K112" s="84" t="str">
        <f t="shared" si="92"/>
        <v/>
      </c>
      <c r="L112" s="105">
        <f t="shared" si="51"/>
        <v>0</v>
      </c>
      <c r="M112" s="84" t="str">
        <f t="shared" si="93"/>
        <v/>
      </c>
      <c r="N112" s="106" t="str">
        <f>IF($C112="","",IF(ISERROR(VLOOKUP($C112,$C$5:$AP$54,39,FALSE)=TRUE),VLOOKUP($C112,'SDDA Dogs'!$A:$O,11,FALSE),VLOOKUP($C112,$C$5:$AP$54,39,FALSE)))</f>
        <v/>
      </c>
      <c r="O112" s="137"/>
      <c r="P112" s="217"/>
      <c r="Q112" s="84" t="str">
        <f t="shared" si="94"/>
        <v/>
      </c>
      <c r="R112" s="105">
        <f t="shared" si="52"/>
        <v>0</v>
      </c>
      <c r="S112" s="84" t="str">
        <f t="shared" si="95"/>
        <v/>
      </c>
      <c r="T112" s="105">
        <f t="shared" si="53"/>
        <v>0</v>
      </c>
      <c r="U112" s="84" t="str">
        <f t="shared" si="96"/>
        <v/>
      </c>
      <c r="V112" s="106" t="str">
        <f>IF($C112="","",IF(ISERROR(VLOOKUP($C112,$C$5:$AP$54,40,FALSE)=TRUE),VLOOKUP($C112,'SDDA Dogs'!$A:$O,12,FALSE),VLOOKUP($C112,$C$5:$AP$54,40,FALSE)))</f>
        <v/>
      </c>
      <c r="W112" s="137"/>
      <c r="X112" s="217"/>
      <c r="Y112" s="84" t="str">
        <f t="shared" si="97"/>
        <v/>
      </c>
      <c r="Z112" s="105">
        <f t="shared" si="54"/>
        <v>0</v>
      </c>
      <c r="AA112" s="84" t="str">
        <f t="shared" si="98"/>
        <v/>
      </c>
      <c r="AB112" s="105">
        <f t="shared" si="55"/>
        <v>0</v>
      </c>
      <c r="AC112" s="84" t="str">
        <f t="shared" si="99"/>
        <v/>
      </c>
      <c r="AD112" s="92" t="str">
        <f t="shared" si="74"/>
        <v/>
      </c>
      <c r="AE112" s="89" t="str">
        <f t="shared" si="100"/>
        <v/>
      </c>
      <c r="AF112" s="104" t="str">
        <f t="shared" si="101"/>
        <v/>
      </c>
      <c r="AG112" s="107" t="str">
        <f t="shared" si="102"/>
        <v/>
      </c>
      <c r="AH112" s="92" t="str">
        <f t="shared" si="103"/>
        <v/>
      </c>
      <c r="AI112" s="89" t="str">
        <f t="shared" si="104"/>
        <v/>
      </c>
      <c r="AJ112" s="104" t="str">
        <f t="shared" si="105"/>
        <v/>
      </c>
      <c r="AK112" s="84" t="str">
        <f t="shared" si="106"/>
        <v/>
      </c>
      <c r="AL112" s="265" t="str">
        <f t="shared" si="107"/>
        <v/>
      </c>
      <c r="AM112" s="270">
        <f t="shared" si="56"/>
        <v>0</v>
      </c>
      <c r="AN112" s="270" t="str">
        <f t="shared" si="57"/>
        <v/>
      </c>
      <c r="AO112" s="270" t="str">
        <f t="shared" si="58"/>
        <v/>
      </c>
      <c r="AP112" s="270" t="str">
        <f t="shared" si="59"/>
        <v/>
      </c>
      <c r="AQ112" s="270">
        <f t="shared" si="60"/>
        <v>0</v>
      </c>
      <c r="AR112" s="271">
        <f>MIN(IFERROR(VLOOKUP($C112,'SDDA Dogs'!$A:$O,13,FALSE),0),IFERROR(VLOOKUP($C112,'SDDA Dogs'!$A:$O,14,FALSE),0),IFERROR(VLOOKUP($C112,'SDDA Dogs'!$A:$O,15,FALSE),0))</f>
        <v>0</v>
      </c>
      <c r="AS112" s="272"/>
      <c r="AT112" s="272"/>
      <c r="AU112" s="272" t="str">
        <f>IF(ISERROR(VLOOKUP(C112,'SDDA Dogs'!A:O,6,FALSE)),"",VLOOKUP(C112,'SDDA Dogs'!A:O,6,FALSE))</f>
        <v/>
      </c>
      <c r="AV112" s="270">
        <f t="shared" si="108"/>
        <v>0</v>
      </c>
      <c r="AW112" s="270">
        <f t="shared" si="109"/>
        <v>0</v>
      </c>
      <c r="AX112" s="273">
        <f t="shared" si="61"/>
        <v>0</v>
      </c>
      <c r="AY112" s="274"/>
      <c r="AZ112" s="275">
        <f t="shared" si="110"/>
        <v>0</v>
      </c>
      <c r="BA112" s="275">
        <f t="shared" si="111"/>
        <v>0</v>
      </c>
      <c r="BB112" s="276"/>
      <c r="BC112" s="274">
        <f>_xlfn.IFNA(IF(I112="Pass",IF(AND(G112&gt;=IFERROR(INDEX($C$5:$W$54,MATCH(C112,$C$5:$C$54,0),5),0),G112&gt;=IFERROR(INDEX(DogInfo!A:B,MATCH(C112&amp;$BC$4,DogInfo!A:A,0),2),0)),G112,IF(AND(IFERROR(INDEX($C$5:$W$54,MATCH(C112,$C$5:$C$54,0),5),0)&gt;=O112,IFERROR(INDEX($C$5:$W$54,MATCH(C112,$C$5:$C$54,0),5),0)&gt;=IFERROR(INDEX(DogInfo!A:B,MATCH(C112&amp;$BC$4,DogInfo!A:A,0),2),0)),IFERROR(INDEX($C$5:$W$54,MATCH(C112,$C$5:$C$54,0),5),0),IF(AND(IFERROR(INDEX(DogInfo!A:B,MATCH(C112&amp;$BC$4,DogInfo!A:A,0),2),0)&gt;=IFERROR(INDEX($C$5:$W$54,MATCH(C112,$C$5:$C$54,0),5),0),IFERROR(INDEX(DogInfo!A:B,MATCH(C112&amp;$BC$4,DogInfo!A:A,0),2),0)&gt;=G112),IFERROR(INDEX(DogInfo!A:B,MATCH(C112&amp;$BC$4,DogInfo!A:A,0),2),0),"Error"))),IFERROR(INDEX($C$5:$BE$54,MATCH(C112,$C$5:$C$54,0),53),IFERROR(INDEX(DogInfo!A:B,MATCH(C112&amp;$BC$4,DogInfo!A:A,0),2),0))),"")</f>
        <v>0</v>
      </c>
      <c r="BD112" s="274">
        <f>_xlfn.IFNA(IF(Q112="Pass",IF(AND(O112&gt;=IFERROR(INDEX($C$5:$W$54,MATCH(C112,$C$5:$C$54,0),13),0),O112&gt;=IFERROR(INDEX(DogInfo!A:B,MATCH(C112&amp;$BD$4,DogInfo!A:A,0),2),0)),O112,IF(AND(IFERROR(INDEX($C$5:$W$54,MATCH(C112,$C$5:$C$54,0),13),0)&gt;=O112,IFERROR(INDEX($C$5:$W$54,MATCH(C112,$C$5:$C$54,0),13),0)&gt;=IFERROR(INDEX(DogInfo!A:B,MATCH(C112&amp;$BD$4,DogInfo!A:A,0),2),0)),IFERROR(INDEX($C$5:$W$54,MATCH(C112,$C$5:$C$54,0),13),0),IF(AND(IFERROR(INDEX(DogInfo!A:B,MATCH(C112&amp;$BD$4,DogInfo!A:A,0),2),0)&gt;=IFERROR(INDEX($C$5:$W$54,MATCH(C112,$C$5:$C$54,0),13),0),IFERROR(INDEX(DogInfo!A:B,MATCH(C112&amp;$BD$4,DogInfo!A:A,0),2),0)&gt;=O112),IFERROR(INDEX(DogInfo!A:B,MATCH(C112&amp;$BD$4,DogInfo!A:A,0),2),0),"Error"))),IFERROR(INDEX($C$5:$BE$54,MATCH(C112,$C$5:$C$54,0),54),IFERROR(INDEX(DogInfo!A:B,MATCH(C112&amp;$BD$4,DogInfo!A:A,0),2),0))),"")</f>
        <v>0</v>
      </c>
      <c r="BE112" s="274">
        <f>_xlfn.IFNA(IF(Y112="Pass",IF(AND(W112&gt;=IFERROR(INDEX($C$5:$W$54,MATCH(C112,$C$5:$C$54,0),21),0),O112&gt;=IFERROR(INDEX(DogInfo!A:B,MATCH(C112&amp;$BE$4,DogInfo!A:A,0),2),0)),W112,IF(AND(IFERROR(INDEX($C$5:$W$54,MATCH(C112,$C$5:$C$54,0),21),0)&gt;=W112,IFERROR(INDEX($C$5:$W$54,MATCH(C112,$C$5:$C$54,0),21),0)&gt;=IFERROR(INDEX(DogInfo!A:B,MATCH(C112&amp;$BE$4,DogInfo!A:A,0),2),0)),IFERROR(INDEX($C$5:$W$54,MATCH(C112,$C$5:$C$54,0),21),0),IF(AND(IFERROR(INDEX(DogInfo!A:B,MATCH(C112&amp;$BE$4,DogInfo!A:A,0),2),0)&gt;=IFERROR(INDEX($C$5:$W$54,MATCH(C112,$C$5:$C$54,0),21),0),IFERROR(INDEX(DogInfo!A:B,MATCH(C112&amp;$BE$4,DogInfo!A:A,0),2),0)&gt;=W112),IFERROR(INDEX(DogInfo!A:B,MATCH(C112&amp;$BE$4,DogInfo!A:A,0),2),0),"Error"))),IFERROR(INDEX($C$5:$BE$54,MATCH(C112,$C$5:$C$54,0),55),IFERROR(INDEX(DogInfo!A:B,MATCH(C112&amp;$BE$4,DogInfo!A:A,0),2),0))),"")</f>
        <v>0</v>
      </c>
    </row>
    <row r="113" spans="1:57" x14ac:dyDescent="0.25">
      <c r="A113" s="99">
        <v>49</v>
      </c>
      <c r="B113" s="100"/>
      <c r="C113" s="101"/>
      <c r="D113" s="102" t="str">
        <f>IF($C113="","",VLOOKUP($C113,'SDDA Dogs'!$A:$F,2,FALSE))</f>
        <v/>
      </c>
      <c r="E113" s="211">
        <f t="shared" si="90"/>
        <v>-1</v>
      </c>
      <c r="F113" s="103" t="str">
        <f>IF($C113="","",IF(ISERROR(VLOOKUP($C113,$C$5:$AP$54,38,FALSE)=TRUE),VLOOKUP($C113,'SDDA Dogs'!$A:$O,10,FALSE),VLOOKUP($C113,$C$5:$AP$54,38,FALSE)))</f>
        <v/>
      </c>
      <c r="G113" s="137"/>
      <c r="H113" s="217"/>
      <c r="I113" s="84" t="str">
        <f t="shared" si="91"/>
        <v/>
      </c>
      <c r="J113" s="105">
        <f t="shared" si="50"/>
        <v>0</v>
      </c>
      <c r="K113" s="84" t="str">
        <f t="shared" si="92"/>
        <v/>
      </c>
      <c r="L113" s="105">
        <f t="shared" si="51"/>
        <v>0</v>
      </c>
      <c r="M113" s="84" t="str">
        <f t="shared" si="93"/>
        <v/>
      </c>
      <c r="N113" s="106" t="str">
        <f>IF($C113="","",IF(ISERROR(VLOOKUP($C113,$C$5:$AP$54,39,FALSE)=TRUE),VLOOKUP($C113,'SDDA Dogs'!$A:$O,11,FALSE),VLOOKUP($C113,$C$5:$AP$54,39,FALSE)))</f>
        <v/>
      </c>
      <c r="O113" s="137"/>
      <c r="P113" s="217"/>
      <c r="Q113" s="84" t="str">
        <f t="shared" si="94"/>
        <v/>
      </c>
      <c r="R113" s="105">
        <f t="shared" si="52"/>
        <v>0</v>
      </c>
      <c r="S113" s="84" t="str">
        <f t="shared" si="95"/>
        <v/>
      </c>
      <c r="T113" s="105">
        <f t="shared" si="53"/>
        <v>0</v>
      </c>
      <c r="U113" s="84" t="str">
        <f t="shared" si="96"/>
        <v/>
      </c>
      <c r="V113" s="106" t="str">
        <f>IF($C113="","",IF(ISERROR(VLOOKUP($C113,$C$5:$AP$54,40,FALSE)=TRUE),VLOOKUP($C113,'SDDA Dogs'!$A:$O,12,FALSE),VLOOKUP($C113,$C$5:$AP$54,40,FALSE)))</f>
        <v/>
      </c>
      <c r="W113" s="137"/>
      <c r="X113" s="217"/>
      <c r="Y113" s="84" t="str">
        <f t="shared" si="97"/>
        <v/>
      </c>
      <c r="Z113" s="105">
        <f t="shared" si="54"/>
        <v>0</v>
      </c>
      <c r="AA113" s="84" t="str">
        <f t="shared" si="98"/>
        <v/>
      </c>
      <c r="AB113" s="105">
        <f t="shared" si="55"/>
        <v>0</v>
      </c>
      <c r="AC113" s="84" t="str">
        <f t="shared" si="99"/>
        <v/>
      </c>
      <c r="AD113" s="92" t="str">
        <f t="shared" si="74"/>
        <v/>
      </c>
      <c r="AE113" s="89" t="str">
        <f t="shared" si="100"/>
        <v/>
      </c>
      <c r="AF113" s="104" t="str">
        <f t="shared" si="101"/>
        <v/>
      </c>
      <c r="AG113" s="107" t="str">
        <f t="shared" si="102"/>
        <v/>
      </c>
      <c r="AH113" s="92" t="str">
        <f t="shared" si="103"/>
        <v/>
      </c>
      <c r="AI113" s="89" t="str">
        <f t="shared" si="104"/>
        <v/>
      </c>
      <c r="AJ113" s="104" t="str">
        <f t="shared" si="105"/>
        <v/>
      </c>
      <c r="AK113" s="84" t="str">
        <f t="shared" si="106"/>
        <v/>
      </c>
      <c r="AL113" s="265" t="str">
        <f t="shared" si="107"/>
        <v/>
      </c>
      <c r="AM113" s="270">
        <f t="shared" si="56"/>
        <v>0</v>
      </c>
      <c r="AN113" s="270" t="str">
        <f t="shared" si="57"/>
        <v/>
      </c>
      <c r="AO113" s="270" t="str">
        <f t="shared" si="58"/>
        <v/>
      </c>
      <c r="AP113" s="270" t="str">
        <f t="shared" si="59"/>
        <v/>
      </c>
      <c r="AQ113" s="270">
        <f t="shared" si="60"/>
        <v>0</v>
      </c>
      <c r="AR113" s="271">
        <f>MIN(IFERROR(VLOOKUP($C113,'SDDA Dogs'!$A:$O,13,FALSE),0),IFERROR(VLOOKUP($C113,'SDDA Dogs'!$A:$O,14,FALSE),0),IFERROR(VLOOKUP($C113,'SDDA Dogs'!$A:$O,15,FALSE),0))</f>
        <v>0</v>
      </c>
      <c r="AS113" s="272"/>
      <c r="AT113" s="272"/>
      <c r="AU113" s="272" t="str">
        <f>IF(ISERROR(VLOOKUP(C113,'SDDA Dogs'!A:O,6,FALSE)),"",VLOOKUP(C113,'SDDA Dogs'!A:O,6,FALSE))</f>
        <v/>
      </c>
      <c r="AV113" s="270">
        <f t="shared" si="108"/>
        <v>0</v>
      </c>
      <c r="AW113" s="270">
        <f t="shared" si="109"/>
        <v>0</v>
      </c>
      <c r="AX113" s="273">
        <f t="shared" si="61"/>
        <v>0</v>
      </c>
      <c r="AY113" s="274"/>
      <c r="AZ113" s="275">
        <f t="shared" si="110"/>
        <v>0</v>
      </c>
      <c r="BA113" s="275">
        <f t="shared" si="111"/>
        <v>0</v>
      </c>
      <c r="BB113" s="276"/>
      <c r="BC113" s="274">
        <f>_xlfn.IFNA(IF(I113="Pass",IF(AND(G113&gt;=IFERROR(INDEX($C$5:$W$54,MATCH(C113,$C$5:$C$54,0),5),0),G113&gt;=IFERROR(INDEX(DogInfo!A:B,MATCH(C113&amp;$BC$4,DogInfo!A:A,0),2),0)),G113,IF(AND(IFERROR(INDEX($C$5:$W$54,MATCH(C113,$C$5:$C$54,0),5),0)&gt;=O113,IFERROR(INDEX($C$5:$W$54,MATCH(C113,$C$5:$C$54,0),5),0)&gt;=IFERROR(INDEX(DogInfo!A:B,MATCH(C113&amp;$BC$4,DogInfo!A:A,0),2),0)),IFERROR(INDEX($C$5:$W$54,MATCH(C113,$C$5:$C$54,0),5),0),IF(AND(IFERROR(INDEX(DogInfo!A:B,MATCH(C113&amp;$BC$4,DogInfo!A:A,0),2),0)&gt;=IFERROR(INDEX($C$5:$W$54,MATCH(C113,$C$5:$C$54,0),5),0),IFERROR(INDEX(DogInfo!A:B,MATCH(C113&amp;$BC$4,DogInfo!A:A,0),2),0)&gt;=G113),IFERROR(INDEX(DogInfo!A:B,MATCH(C113&amp;$BC$4,DogInfo!A:A,0),2),0),"Error"))),IFERROR(INDEX($C$5:$BE$54,MATCH(C113,$C$5:$C$54,0),53),IFERROR(INDEX(DogInfo!A:B,MATCH(C113&amp;$BC$4,DogInfo!A:A,0),2),0))),"")</f>
        <v>0</v>
      </c>
      <c r="BD113" s="274">
        <f>_xlfn.IFNA(IF(Q113="Pass",IF(AND(O113&gt;=IFERROR(INDEX($C$5:$W$54,MATCH(C113,$C$5:$C$54,0),13),0),O113&gt;=IFERROR(INDEX(DogInfo!A:B,MATCH(C113&amp;$BD$4,DogInfo!A:A,0),2),0)),O113,IF(AND(IFERROR(INDEX($C$5:$W$54,MATCH(C113,$C$5:$C$54,0),13),0)&gt;=O113,IFERROR(INDEX($C$5:$W$54,MATCH(C113,$C$5:$C$54,0),13),0)&gt;=IFERROR(INDEX(DogInfo!A:B,MATCH(C113&amp;$BD$4,DogInfo!A:A,0),2),0)),IFERROR(INDEX($C$5:$W$54,MATCH(C113,$C$5:$C$54,0),13),0),IF(AND(IFERROR(INDEX(DogInfo!A:B,MATCH(C113&amp;$BD$4,DogInfo!A:A,0),2),0)&gt;=IFERROR(INDEX($C$5:$W$54,MATCH(C113,$C$5:$C$54,0),13),0),IFERROR(INDEX(DogInfo!A:B,MATCH(C113&amp;$BD$4,DogInfo!A:A,0),2),0)&gt;=O113),IFERROR(INDEX(DogInfo!A:B,MATCH(C113&amp;$BD$4,DogInfo!A:A,0),2),0),"Error"))),IFERROR(INDEX($C$5:$BE$54,MATCH(C113,$C$5:$C$54,0),54),IFERROR(INDEX(DogInfo!A:B,MATCH(C113&amp;$BD$4,DogInfo!A:A,0),2),0))),"")</f>
        <v>0</v>
      </c>
      <c r="BE113" s="274">
        <f>_xlfn.IFNA(IF(Y113="Pass",IF(AND(W113&gt;=IFERROR(INDEX($C$5:$W$54,MATCH(C113,$C$5:$C$54,0),21),0),O113&gt;=IFERROR(INDEX(DogInfo!A:B,MATCH(C113&amp;$BE$4,DogInfo!A:A,0),2),0)),W113,IF(AND(IFERROR(INDEX($C$5:$W$54,MATCH(C113,$C$5:$C$54,0),21),0)&gt;=W113,IFERROR(INDEX($C$5:$W$54,MATCH(C113,$C$5:$C$54,0),21),0)&gt;=IFERROR(INDEX(DogInfo!A:B,MATCH(C113&amp;$BE$4,DogInfo!A:A,0),2),0)),IFERROR(INDEX($C$5:$W$54,MATCH(C113,$C$5:$C$54,0),21),0),IF(AND(IFERROR(INDEX(DogInfo!A:B,MATCH(C113&amp;$BE$4,DogInfo!A:A,0),2),0)&gt;=IFERROR(INDEX($C$5:$W$54,MATCH(C113,$C$5:$C$54,0),21),0),IFERROR(INDEX(DogInfo!A:B,MATCH(C113&amp;$BE$4,DogInfo!A:A,0),2),0)&gt;=W113),IFERROR(INDEX(DogInfo!A:B,MATCH(C113&amp;$BE$4,DogInfo!A:A,0),2),0),"Error"))),IFERROR(INDEX($C$5:$BE$54,MATCH(C113,$C$5:$C$54,0),55),IFERROR(INDEX(DogInfo!A:B,MATCH(C113&amp;$BE$4,DogInfo!A:A,0),2),0))),"")</f>
        <v>0</v>
      </c>
    </row>
    <row r="114" spans="1:57" x14ac:dyDescent="0.25">
      <c r="A114" s="99">
        <v>50</v>
      </c>
      <c r="B114" s="100"/>
      <c r="C114" s="101"/>
      <c r="D114" s="102" t="str">
        <f>IF($C114="","",VLOOKUP($C114,'SDDA Dogs'!$A:$F,2,FALSE))</f>
        <v/>
      </c>
      <c r="E114" s="211">
        <f t="shared" si="90"/>
        <v>-1</v>
      </c>
      <c r="F114" s="103" t="str">
        <f>IF($C114="","",IF(ISERROR(VLOOKUP($C114,$C$5:$AP$54,38,FALSE)=TRUE),VLOOKUP($C114,'SDDA Dogs'!$A:$O,10,FALSE),VLOOKUP($C114,$C$5:$AP$54,38,FALSE)))</f>
        <v/>
      </c>
      <c r="G114" s="137"/>
      <c r="H114" s="217"/>
      <c r="I114" s="84" t="str">
        <f t="shared" si="91"/>
        <v/>
      </c>
      <c r="J114" s="105">
        <f t="shared" si="50"/>
        <v>0</v>
      </c>
      <c r="K114" s="84" t="str">
        <f t="shared" si="92"/>
        <v/>
      </c>
      <c r="L114" s="105">
        <f t="shared" si="51"/>
        <v>0</v>
      </c>
      <c r="M114" s="84" t="str">
        <f t="shared" si="93"/>
        <v/>
      </c>
      <c r="N114" s="106" t="str">
        <f>IF($C114="","",IF(ISERROR(VLOOKUP($C114,$C$5:$AP$54,39,FALSE)=TRUE),VLOOKUP($C114,'SDDA Dogs'!$A:$O,11,FALSE),VLOOKUP($C114,$C$5:$AP$54,39,FALSE)))</f>
        <v/>
      </c>
      <c r="O114" s="137"/>
      <c r="P114" s="217"/>
      <c r="Q114" s="84" t="str">
        <f t="shared" si="94"/>
        <v/>
      </c>
      <c r="R114" s="105">
        <f t="shared" si="52"/>
        <v>0</v>
      </c>
      <c r="S114" s="84" t="str">
        <f t="shared" si="95"/>
        <v/>
      </c>
      <c r="T114" s="105">
        <f t="shared" si="53"/>
        <v>0</v>
      </c>
      <c r="U114" s="84" t="str">
        <f t="shared" si="96"/>
        <v/>
      </c>
      <c r="V114" s="106" t="str">
        <f>IF($C114="","",IF(ISERROR(VLOOKUP($C114,$C$5:$AP$54,40,FALSE)=TRUE),VLOOKUP($C114,'SDDA Dogs'!$A:$O,12,FALSE),VLOOKUP($C114,$C$5:$AP$54,40,FALSE)))</f>
        <v/>
      </c>
      <c r="W114" s="137"/>
      <c r="X114" s="217"/>
      <c r="Y114" s="84" t="str">
        <f t="shared" si="97"/>
        <v/>
      </c>
      <c r="Z114" s="105">
        <f t="shared" si="54"/>
        <v>0</v>
      </c>
      <c r="AA114" s="84" t="str">
        <f t="shared" si="98"/>
        <v/>
      </c>
      <c r="AB114" s="105">
        <f t="shared" si="55"/>
        <v>0</v>
      </c>
      <c r="AC114" s="84" t="str">
        <f t="shared" si="99"/>
        <v/>
      </c>
      <c r="AD114" s="92" t="str">
        <f t="shared" si="74"/>
        <v/>
      </c>
      <c r="AE114" s="89" t="str">
        <f t="shared" si="100"/>
        <v/>
      </c>
      <c r="AF114" s="104" t="str">
        <f t="shared" si="101"/>
        <v/>
      </c>
      <c r="AG114" s="107" t="str">
        <f t="shared" si="102"/>
        <v/>
      </c>
      <c r="AH114" s="92" t="str">
        <f t="shared" si="103"/>
        <v/>
      </c>
      <c r="AI114" s="89" t="str">
        <f t="shared" si="104"/>
        <v/>
      </c>
      <c r="AJ114" s="104" t="str">
        <f t="shared" si="105"/>
        <v/>
      </c>
      <c r="AK114" s="84" t="str">
        <f t="shared" si="106"/>
        <v/>
      </c>
      <c r="AL114" s="265" t="str">
        <f t="shared" si="107"/>
        <v/>
      </c>
      <c r="AM114" s="270">
        <f t="shared" si="56"/>
        <v>0</v>
      </c>
      <c r="AN114" s="270" t="str">
        <f t="shared" si="57"/>
        <v/>
      </c>
      <c r="AO114" s="270" t="str">
        <f t="shared" si="58"/>
        <v/>
      </c>
      <c r="AP114" s="270" t="str">
        <f t="shared" si="59"/>
        <v/>
      </c>
      <c r="AQ114" s="270">
        <f t="shared" si="60"/>
        <v>0</v>
      </c>
      <c r="AR114" s="271">
        <f>MIN(IFERROR(VLOOKUP($C114,'SDDA Dogs'!$A:$O,13,FALSE),0),IFERROR(VLOOKUP($C114,'SDDA Dogs'!$A:$O,14,FALSE),0),IFERROR(VLOOKUP($C114,'SDDA Dogs'!$A:$O,15,FALSE),0))</f>
        <v>0</v>
      </c>
      <c r="AS114" s="272"/>
      <c r="AT114" s="272"/>
      <c r="AU114" s="272" t="str">
        <f>IF(ISERROR(VLOOKUP(C114,'SDDA Dogs'!A:O,6,FALSE)),"",VLOOKUP(C114,'SDDA Dogs'!A:O,6,FALSE))</f>
        <v/>
      </c>
      <c r="AV114" s="270">
        <f t="shared" si="108"/>
        <v>0</v>
      </c>
      <c r="AW114" s="270">
        <f t="shared" si="109"/>
        <v>0</v>
      </c>
      <c r="AX114" s="273">
        <f t="shared" si="61"/>
        <v>0</v>
      </c>
      <c r="AY114" s="274"/>
      <c r="AZ114" s="275">
        <f t="shared" si="110"/>
        <v>0</v>
      </c>
      <c r="BA114" s="275">
        <f t="shared" si="111"/>
        <v>0</v>
      </c>
      <c r="BB114" s="276"/>
      <c r="BC114" s="274">
        <f>_xlfn.IFNA(IF(I114="Pass",IF(AND(G114&gt;=IFERROR(INDEX($C$5:$W$54,MATCH(C114,$C$5:$C$54,0),5),0),G114&gt;=IFERROR(INDEX(DogInfo!A:B,MATCH(C114&amp;$BC$4,DogInfo!A:A,0),2),0)),G114,IF(AND(IFERROR(INDEX($C$5:$W$54,MATCH(C114,$C$5:$C$54,0),5),0)&gt;=O114,IFERROR(INDEX($C$5:$W$54,MATCH(C114,$C$5:$C$54,0),5),0)&gt;=IFERROR(INDEX(DogInfo!A:B,MATCH(C114&amp;$BC$4,DogInfo!A:A,0),2),0)),IFERROR(INDEX($C$5:$W$54,MATCH(C114,$C$5:$C$54,0),5),0),IF(AND(IFERROR(INDEX(DogInfo!A:B,MATCH(C114&amp;$BC$4,DogInfo!A:A,0),2),0)&gt;=IFERROR(INDEX($C$5:$W$54,MATCH(C114,$C$5:$C$54,0),5),0),IFERROR(INDEX(DogInfo!A:B,MATCH(C114&amp;$BC$4,DogInfo!A:A,0),2),0)&gt;=G114),IFERROR(INDEX(DogInfo!A:B,MATCH(C114&amp;$BC$4,DogInfo!A:A,0),2),0),"Error"))),IFERROR(INDEX($C$5:$BE$54,MATCH(C114,$C$5:$C$54,0),53),IFERROR(INDEX(DogInfo!A:B,MATCH(C114&amp;$BC$4,DogInfo!A:A,0),2),0))),"")</f>
        <v>0</v>
      </c>
      <c r="BD114" s="274">
        <f>_xlfn.IFNA(IF(Q114="Pass",IF(AND(O114&gt;=IFERROR(INDEX($C$5:$W$54,MATCH(C114,$C$5:$C$54,0),13),0),O114&gt;=IFERROR(INDEX(DogInfo!A:B,MATCH(C114&amp;$BD$4,DogInfo!A:A,0),2),0)),O114,IF(AND(IFERROR(INDEX($C$5:$W$54,MATCH(C114,$C$5:$C$54,0),13),0)&gt;=O114,IFERROR(INDEX($C$5:$W$54,MATCH(C114,$C$5:$C$54,0),13),0)&gt;=IFERROR(INDEX(DogInfo!A:B,MATCH(C114&amp;$BD$4,DogInfo!A:A,0),2),0)),IFERROR(INDEX($C$5:$W$54,MATCH(C114,$C$5:$C$54,0),13),0),IF(AND(IFERROR(INDEX(DogInfo!A:B,MATCH(C114&amp;$BD$4,DogInfo!A:A,0),2),0)&gt;=IFERROR(INDEX($C$5:$W$54,MATCH(C114,$C$5:$C$54,0),13),0),IFERROR(INDEX(DogInfo!A:B,MATCH(C114&amp;$BD$4,DogInfo!A:A,0),2),0)&gt;=O114),IFERROR(INDEX(DogInfo!A:B,MATCH(C114&amp;$BD$4,DogInfo!A:A,0),2),0),"Error"))),IFERROR(INDEX($C$5:$BE$54,MATCH(C114,$C$5:$C$54,0),54),IFERROR(INDEX(DogInfo!A:B,MATCH(C114&amp;$BD$4,DogInfo!A:A,0),2),0))),"")</f>
        <v>0</v>
      </c>
      <c r="BE114" s="274">
        <f>_xlfn.IFNA(IF(Y114="Pass",IF(AND(W114&gt;=IFERROR(INDEX($C$5:$W$54,MATCH(C114,$C$5:$C$54,0),21),0),O114&gt;=IFERROR(INDEX(DogInfo!A:B,MATCH(C114&amp;$BE$4,DogInfo!A:A,0),2),0)),W114,IF(AND(IFERROR(INDEX($C$5:$W$54,MATCH(C114,$C$5:$C$54,0),21),0)&gt;=W114,IFERROR(INDEX($C$5:$W$54,MATCH(C114,$C$5:$C$54,0),21),0)&gt;=IFERROR(INDEX(DogInfo!A:B,MATCH(C114&amp;$BE$4,DogInfo!A:A,0),2),0)),IFERROR(INDEX($C$5:$W$54,MATCH(C114,$C$5:$C$54,0),21),0),IF(AND(IFERROR(INDEX(DogInfo!A:B,MATCH(C114&amp;$BE$4,DogInfo!A:A,0),2),0)&gt;=IFERROR(INDEX($C$5:$W$54,MATCH(C114,$C$5:$C$54,0),21),0),IFERROR(INDEX(DogInfo!A:B,MATCH(C114&amp;$BE$4,DogInfo!A:A,0),2),0)&gt;=W114),IFERROR(INDEX(DogInfo!A:B,MATCH(C114&amp;$BE$4,DogInfo!A:A,0),2),0),"Error"))),IFERROR(INDEX($C$5:$BE$54,MATCH(C114,$C$5:$C$54,0),55),IFERROR(INDEX(DogInfo!A:B,MATCH(C114&amp;$BE$4,DogInfo!A:A,0),2),0))),"")</f>
        <v>0</v>
      </c>
    </row>
    <row r="115" spans="1:57" x14ac:dyDescent="0.25">
      <c r="A115" s="9" t="s">
        <v>1548</v>
      </c>
      <c r="B115" s="9"/>
      <c r="C115" s="9"/>
      <c r="D115" s="9"/>
      <c r="E115" s="9"/>
      <c r="F115" s="9"/>
      <c r="G115" s="57">
        <f>COUNT(G65:G114)+ COUNTIF(G65:G114,"E") + COUNTIF(G65:G114,"FEO")</f>
        <v>0</v>
      </c>
      <c r="H115" s="57"/>
      <c r="I115" s="57"/>
      <c r="J115" s="57"/>
      <c r="K115" s="57"/>
      <c r="L115" s="57"/>
      <c r="M115" s="57"/>
      <c r="N115" s="57"/>
      <c r="O115" s="57">
        <f>COUNT(O65:O114)+ COUNTIF(O65:O114,"E") + COUNTIF(O65:O114,"FEO")</f>
        <v>0</v>
      </c>
      <c r="P115" s="57"/>
      <c r="Q115" s="57"/>
      <c r="R115" s="57"/>
      <c r="S115" s="57"/>
      <c r="T115" s="57"/>
      <c r="U115" s="57"/>
      <c r="V115" s="57"/>
      <c r="W115" s="57">
        <f>COUNT(W65:W114)+ COUNTIF(W65:W114,"E") + COUNTIF(W65:W114,"FEO")</f>
        <v>0</v>
      </c>
      <c r="X115" s="57"/>
      <c r="Y115" s="10" t="s">
        <v>1549</v>
      </c>
      <c r="Z115" s="57"/>
      <c r="AA115" s="57"/>
      <c r="AB115" s="57"/>
      <c r="AC115" s="57"/>
      <c r="AD115" s="57"/>
      <c r="AE115" s="57"/>
      <c r="AF115" s="57"/>
      <c r="AG115" s="57"/>
      <c r="AH115" s="57">
        <f>G115+O115+W115</f>
        <v>0</v>
      </c>
      <c r="AI115" s="57"/>
      <c r="AJ115" s="57"/>
      <c r="AK115" s="57"/>
      <c r="AL115" s="57"/>
      <c r="AM115" s="57" t="s">
        <v>2455</v>
      </c>
      <c r="AN115" s="57"/>
      <c r="AO115" s="57"/>
      <c r="AP115" s="57"/>
      <c r="AQ115" s="57">
        <f>COUNTIFS(AM65:AM114,0,AQ65:AQ114,1)</f>
        <v>0</v>
      </c>
    </row>
    <row r="116" spans="1:57" x14ac:dyDescent="0.25">
      <c r="A116" t="s">
        <v>9438</v>
      </c>
      <c r="D116">
        <f>50+SUM(E65:E114)</f>
        <v>0</v>
      </c>
    </row>
  </sheetData>
  <sheetProtection algorithmName="SHA-512" hashValue="fj+dv7OBCFQTJZFNTQlz5wFW4SS+wCdcI9pxyoWxMnIK+kYrAfvPq3APuPRhvdcefpDW4vos8pUjv2dB5eTsIQ==" saltValue="xYY1tpEC8izNxn0BQgy/vw==" spinCount="100000" sheet="1" selectLockedCells="1"/>
  <mergeCells count="16">
    <mergeCell ref="I62:P62"/>
    <mergeCell ref="Y62:AD62"/>
    <mergeCell ref="AS62:AX62"/>
    <mergeCell ref="B63:D63"/>
    <mergeCell ref="G63:M63"/>
    <mergeCell ref="O63:U63"/>
    <mergeCell ref="W63:AC63"/>
    <mergeCell ref="AH63:AL63"/>
    <mergeCell ref="AS2:AX2"/>
    <mergeCell ref="I2:P2"/>
    <mergeCell ref="Y2:AD2"/>
    <mergeCell ref="AH3:AL3"/>
    <mergeCell ref="B3:D3"/>
    <mergeCell ref="G3:M3"/>
    <mergeCell ref="O3:U3"/>
    <mergeCell ref="W3:AC3"/>
  </mergeCells>
  <conditionalFormatting sqref="A106:C106">
    <cfRule type="expression" dxfId="139" priority="36">
      <formula>MOD(ROW(),2)=0</formula>
    </cfRule>
  </conditionalFormatting>
  <conditionalFormatting sqref="B5:B54">
    <cfRule type="expression" dxfId="138" priority="128">
      <formula>AND(B5="a",AM5&gt;0)</formula>
    </cfRule>
  </conditionalFormatting>
  <conditionalFormatting sqref="B65:B114">
    <cfRule type="expression" dxfId="137" priority="43">
      <formula>AND(B65="a",AM65&gt;0)</formula>
    </cfRule>
  </conditionalFormatting>
  <conditionalFormatting sqref="C5:C54">
    <cfRule type="expression" dxfId="136" priority="3">
      <formula>AND(COUNTIF(C$5:C$54,C5)&gt;1,C5&gt;0)</formula>
    </cfRule>
  </conditionalFormatting>
  <conditionalFormatting sqref="C65:C114">
    <cfRule type="expression" dxfId="135" priority="2">
      <formula>AND(COUNTIF(C$65:C$114,C65)&gt;1,C65&gt;0)</formula>
    </cfRule>
  </conditionalFormatting>
  <conditionalFormatting sqref="C106">
    <cfRule type="expression" dxfId="134" priority="35">
      <formula>_xlfn.ISFORMULA(D106)=FALSE</formula>
    </cfRule>
  </conditionalFormatting>
  <conditionalFormatting sqref="E65:E114">
    <cfRule type="expression" dxfId="133" priority="8">
      <formula>MOD(ROW(),2)=0</formula>
    </cfRule>
  </conditionalFormatting>
  <conditionalFormatting sqref="F65:G114">
    <cfRule type="expression" dxfId="132" priority="23">
      <formula>MOD(ROW(),2)=0</formula>
    </cfRule>
  </conditionalFormatting>
  <conditionalFormatting sqref="G5:G54">
    <cfRule type="top10" dxfId="130" priority="50" rank="1"/>
  </conditionalFormatting>
  <conditionalFormatting sqref="G65:G114">
    <cfRule type="top10" dxfId="128" priority="22" rank="1"/>
  </conditionalFormatting>
  <conditionalFormatting sqref="H5:H54">
    <cfRule type="top10" dxfId="127" priority="83" bottom="1" rank="1"/>
  </conditionalFormatting>
  <conditionalFormatting sqref="H65:H114">
    <cfRule type="top10" dxfId="126" priority="40" bottom="1" rank="1"/>
  </conditionalFormatting>
  <conditionalFormatting sqref="O5:O54">
    <cfRule type="top10" dxfId="124" priority="28" rank="1"/>
    <cfRule type="top10" dxfId="123" priority="69" rank="1"/>
  </conditionalFormatting>
  <conditionalFormatting sqref="O65:O114">
    <cfRule type="top10" dxfId="121" priority="15" rank="1"/>
    <cfRule type="top10" dxfId="120" priority="16" rank="1"/>
    <cfRule type="expression" dxfId="119" priority="17">
      <formula>MOD(ROW(),2)=0</formula>
    </cfRule>
  </conditionalFormatting>
  <conditionalFormatting sqref="P5:P54">
    <cfRule type="top10" dxfId="118" priority="85" bottom="1" rank="1"/>
  </conditionalFormatting>
  <conditionalFormatting sqref="P65:P86">
    <cfRule type="top10" dxfId="117" priority="32" bottom="1" rank="1"/>
  </conditionalFormatting>
  <conditionalFormatting sqref="P87:P114">
    <cfRule type="top10" dxfId="116" priority="41" bottom="1" rank="1"/>
  </conditionalFormatting>
  <conditionalFormatting sqref="P65:V65 P66:U86">
    <cfRule type="expression" dxfId="115" priority="33">
      <formula>MOD(ROW(),2)=0</formula>
    </cfRule>
  </conditionalFormatting>
  <conditionalFormatting sqref="V65:W114">
    <cfRule type="expression" dxfId="114" priority="13">
      <formula>MOD(ROW(),2)=0</formula>
    </cfRule>
  </conditionalFormatting>
  <conditionalFormatting sqref="W5:W54">
    <cfRule type="top10" dxfId="112" priority="25" rank="1"/>
    <cfRule type="top10" dxfId="111" priority="26" rank="1"/>
    <cfRule type="top10" dxfId="110" priority="75" rank="1"/>
  </conditionalFormatting>
  <conditionalFormatting sqref="W65:W114">
    <cfRule type="top10" dxfId="108" priority="10" rank="1"/>
    <cfRule type="top10" dxfId="107" priority="11" rank="1"/>
    <cfRule type="top10" dxfId="106" priority="12" rank="1"/>
  </conditionalFormatting>
  <conditionalFormatting sqref="X5:X54">
    <cfRule type="top10" dxfId="105" priority="89" bottom="1" rank="1"/>
  </conditionalFormatting>
  <conditionalFormatting sqref="X65:X86">
    <cfRule type="top10" dxfId="104" priority="30" bottom="1" rank="1"/>
  </conditionalFormatting>
  <conditionalFormatting sqref="X87:X114">
    <cfRule type="top10" dxfId="103" priority="42" bottom="1" rank="1"/>
  </conditionalFormatting>
  <conditionalFormatting sqref="X65:AC86">
    <cfRule type="expression" dxfId="102" priority="31">
      <formula>MOD(ROW(),2)=0</formula>
    </cfRule>
  </conditionalFormatting>
  <conditionalFormatting sqref="AD65:AD114">
    <cfRule type="expression" dxfId="101" priority="5">
      <formula>MOD(ROW(),2)=0</formula>
    </cfRule>
  </conditionalFormatting>
  <conditionalFormatting sqref="AE5:AE54">
    <cfRule type="expression" dxfId="100" priority="7">
      <formula>MOD(ROW(),2)=0</formula>
    </cfRule>
  </conditionalFormatting>
  <conditionalFormatting sqref="AE65:AQ114 A65:D85 A86:C105 A107:C114 X87:AC114 P87:U114 H65:N114 D86:D114">
    <cfRule type="expression" dxfId="99" priority="49">
      <formula>MOD(ROW(),2)=0</formula>
    </cfRule>
  </conditionalFormatting>
  <conditionalFormatting sqref="AF5:XFD54 A5:AD54">
    <cfRule type="expression" dxfId="98" priority="205">
      <formula>MOD(ROW(),2)=0</formula>
    </cfRule>
  </conditionalFormatting>
  <conditionalFormatting sqref="AH5:AH54">
    <cfRule type="cellIs" dxfId="97" priority="139" operator="equal">
      <formula>1</formula>
    </cfRule>
  </conditionalFormatting>
  <conditionalFormatting sqref="AH65:AH114">
    <cfRule type="cellIs" dxfId="96" priority="47" operator="equal">
      <formula>1</formula>
    </cfRule>
  </conditionalFormatting>
  <conditionalFormatting sqref="AL5:AL54">
    <cfRule type="cellIs" dxfId="95" priority="137" operator="equal">
      <formula>1</formula>
    </cfRule>
  </conditionalFormatting>
  <conditionalFormatting sqref="AL65:AL114">
    <cfRule type="cellIs" dxfId="94" priority="46" operator="equal">
      <formula>1</formula>
    </cfRule>
  </conditionalFormatting>
  <conditionalFormatting sqref="AQ5:AQ54">
    <cfRule type="expression" dxfId="93" priority="136">
      <formula>AND(AM5=0,AQ5=1)</formula>
    </cfRule>
  </conditionalFormatting>
  <conditionalFormatting sqref="AQ65:AQ114">
    <cfRule type="expression" dxfId="92" priority="45">
      <formula>AND(AM65=0,AQ65=1)</formula>
    </cfRule>
  </conditionalFormatting>
  <conditionalFormatting sqref="AR65:XFD114">
    <cfRule type="expression" dxfId="91" priority="1">
      <formula>MOD(ROW(),2)=0</formula>
    </cfRule>
  </conditionalFormatting>
  <dataValidations count="5">
    <dataValidation type="custom" allowBlank="1" showInputMessage="1" showErrorMessage="1" errorTitle="Error in Stream" error="The stream is either (A)mateur or (W)orking." sqref="B5:B54 B65:B114" xr:uid="{00000000-0002-0000-0400-000000000000}">
      <formula1>OR(B5="A",B5="W")</formula1>
    </dataValidation>
    <dataValidation type="time" allowBlank="1" showInputMessage="1" showErrorMessage="1" errorTitle="Time Error" error="Time cannot exceed 5 minutes (mm:ss)" sqref="X65:X114 P5:P54 X5:X54 P65:P114" xr:uid="{00000000-0002-0000-0400-000001000000}">
      <formula1>0</formula1>
      <formula2>0.00347222222222222</formula2>
    </dataValidation>
    <dataValidation type="time" allowBlank="1" showInputMessage="1" showErrorMessage="1" errorTitle="Time Error" error="Time cannot exceed 3:00 minutes" sqref="H65:H114 H5:H54" xr:uid="{00000000-0002-0000-0400-000002000000}">
      <formula1>0</formula1>
      <formula2>0.00208333333333333</formula2>
    </dataValidation>
    <dataValidation type="custom" allowBlank="1" showInputMessage="1" showErrorMessage="1" errorTitle="Score cell entry is invalid" error="Only 0, a valid score, &quot;e&quot;, &quot;ne&quot; or &quot;feo&quot; are allowed." sqref="W65:W114 G65:G114 W5:W54 G5:G54" xr:uid="{00000000-0002-0000-0400-000003000000}">
      <formula1>OR(AND(G5&gt;=30,G5&lt;=60),G5=0,G5="e",G5="ne",G5="feo")</formula1>
    </dataValidation>
    <dataValidation type="custom" allowBlank="1" showInputMessage="1" showErrorMessage="1" errorTitle="Score cell entry is invalid" error="Only 0, a valid score, &quot;e&quot;, &quot;ne&quot; or &quot;feo&quot; are allowed." sqref="O5:O54 O65:O114" xr:uid="{00000000-0002-0000-0400-000004000000}">
      <formula1>OR(AND(O5&gt;=40,O5&lt;=80),O5=0,O5="e",O5="ne",O5="feo")</formula1>
    </dataValidation>
  </dataValidations>
  <printOptions horizontalCentered="1"/>
  <pageMargins left="0.5" right="0.5" top="0.5" bottom="0.5" header="0.3" footer="0.3"/>
  <pageSetup orientation="landscape" r:id="rId1"/>
  <headerFooter>
    <oddHeader>&amp;L&amp;G&amp;RScore Sheet Advanced</oddHeader>
    <oddFooter>&amp;L&amp;8The use of this workbook is at the sole discretion of the trial organizer.  SDDA or its agents shall not be held liable for any errors in the data.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C67CF50C-1419-45FB-AE90-6284C1900793}">
            <xm:f>AND(G5="E",VLOOKUP($C5,'SDDA Dogs'!$A:$I,7)+0=0)</xm:f>
            <x14:dxf>
              <fill>
                <patternFill>
                  <bgColor rgb="FFFF0000"/>
                </patternFill>
              </fill>
            </x14:dxf>
          </x14:cfRule>
          <xm:sqref>G5:G54</xm:sqref>
        </x14:conditionalFormatting>
        <x14:conditionalFormatting xmlns:xm="http://schemas.microsoft.com/office/excel/2006/main">
          <x14:cfRule type="expression" priority="21" id="{0539148C-BD3E-4337-88FF-CFBA4D3FD7BC}">
            <xm:f>AND(G65="E",VLOOKUP($C65,'SDDA Dogs'!$A:$I,7)+0=0)</xm:f>
            <x14:dxf>
              <fill>
                <patternFill>
                  <bgColor rgb="FFFF0000"/>
                </patternFill>
              </fill>
            </x14:dxf>
          </x14:cfRule>
          <xm:sqref>G65:G114</xm:sqref>
        </x14:conditionalFormatting>
        <x14:conditionalFormatting xmlns:xm="http://schemas.microsoft.com/office/excel/2006/main">
          <x14:cfRule type="expression" priority="27" id="{0B50821C-FDF5-4F4C-B4D6-85A3A8FB2B03}">
            <xm:f>AND(O5="E",VLOOKUP($C5,'SDDA Dogs'!$A:$I,8)+0=0)</xm:f>
            <x14:dxf>
              <fill>
                <patternFill>
                  <bgColor rgb="FFFF0000"/>
                </patternFill>
              </fill>
            </x14:dxf>
          </x14:cfRule>
          <xm:sqref>O5:O54</xm:sqref>
        </x14:conditionalFormatting>
        <x14:conditionalFormatting xmlns:xm="http://schemas.microsoft.com/office/excel/2006/main">
          <x14:cfRule type="expression" priority="14" id="{B79C4052-6409-41BB-99DF-F7B0FA6EF315}">
            <xm:f>AND(O65="E",VLOOKUP($C65,'SDDA Dogs'!$A:$I,8)+0=0)</xm:f>
            <x14:dxf>
              <fill>
                <patternFill>
                  <bgColor rgb="FFFF0000"/>
                </patternFill>
              </fill>
            </x14:dxf>
          </x14:cfRule>
          <xm:sqref>O65:O114</xm:sqref>
        </x14:conditionalFormatting>
        <x14:conditionalFormatting xmlns:xm="http://schemas.microsoft.com/office/excel/2006/main">
          <x14:cfRule type="expression" priority="24" id="{B7902A68-EFD6-427F-8FDC-0F0589522677}">
            <xm:f>AND(W5="E",VLOOKUP($C5,'SDDA Dogs'!$A:$I,9)+0=0)</xm:f>
            <x14:dxf>
              <fill>
                <patternFill>
                  <bgColor rgb="FFFF0000"/>
                </patternFill>
              </fill>
            </x14:dxf>
          </x14:cfRule>
          <xm:sqref>W5:W54</xm:sqref>
        </x14:conditionalFormatting>
        <x14:conditionalFormatting xmlns:xm="http://schemas.microsoft.com/office/excel/2006/main">
          <x14:cfRule type="expression" priority="9" id="{62F9558E-35AE-4AEB-8DEF-F0B79BF10E49}">
            <xm:f>AND(W65="E",VLOOKUP($C65,'SDDA Dogs'!$A:$I,9)+0=0)</xm:f>
            <x14:dxf>
              <fill>
                <patternFill>
                  <bgColor rgb="FFFF0000"/>
                </patternFill>
              </fill>
            </x14:dxf>
          </x14:cfRule>
          <xm:sqref>W65:W114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Title="Error in Dog Number" error="The dog number has to not been registered.  Please enter a valid number." xr:uid="{00000000-0002-0000-0400-000005000000}">
          <x14:formula1>
            <xm:f>'SDDA Dogs'!$A:$A</xm:f>
          </x14:formula1>
          <xm:sqref>C5:C54 C107:C114 C65:C105</xm:sqref>
        </x14:dataValidation>
        <x14:dataValidation type="list" allowBlank="1" showDropDown="1" showInputMessage="1" showErrorMessage="1" errorTitle="Error in Dog Number" error="The dog number has not been registered.  Please enter a valid number." xr:uid="{00000000-0002-0000-0400-000008000000}">
          <x14:formula1>
            <xm:f>'SDDA Dogs'!$A:$A</xm:f>
          </x14:formula1>
          <xm:sqref>C106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542"/>
  <sheetViews>
    <sheetView topLeftCell="A530" zoomScale="70" zoomScaleNormal="70" zoomScalePageLayoutView="70" workbookViewId="0">
      <selection activeCell="B492" sqref="B492:H541"/>
    </sheetView>
  </sheetViews>
  <sheetFormatPr defaultColWidth="10.7109375" defaultRowHeight="30" customHeight="1" x14ac:dyDescent="0.4"/>
  <cols>
    <col min="1" max="1" width="8.85546875" style="42" customWidth="1"/>
    <col min="2" max="3" width="18.5703125" style="42" customWidth="1"/>
    <col min="4" max="6" width="14" style="42" customWidth="1"/>
    <col min="7" max="7" width="64.5703125" style="42" customWidth="1"/>
    <col min="8" max="8" width="50.85546875" style="43" customWidth="1"/>
    <col min="9" max="9" width="29.28515625" style="43" customWidth="1"/>
    <col min="10" max="10" width="12.710937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9" ht="30" customHeight="1" x14ac:dyDescent="0.4">
      <c r="A2" s="402" t="s">
        <v>1143</v>
      </c>
      <c r="B2" s="402"/>
      <c r="C2" s="43"/>
      <c r="D2" s="403" t="s">
        <v>1182</v>
      </c>
      <c r="E2" s="403"/>
      <c r="F2" s="403"/>
      <c r="G2" s="403"/>
      <c r="H2" s="403"/>
      <c r="I2" s="403"/>
    </row>
    <row r="3" spans="1:9" s="44" customFormat="1" ht="54" customHeight="1" x14ac:dyDescent="0.4">
      <c r="A3" s="67" t="s">
        <v>605</v>
      </c>
      <c r="B3" s="67" t="s">
        <v>1139</v>
      </c>
      <c r="C3" s="68" t="s">
        <v>12407</v>
      </c>
      <c r="D3" s="67" t="s">
        <v>1142</v>
      </c>
      <c r="E3" s="67" t="s">
        <v>1135</v>
      </c>
      <c r="F3" s="67" t="s">
        <v>1136</v>
      </c>
      <c r="G3" s="69" t="s">
        <v>1207</v>
      </c>
      <c r="H3" s="69" t="s">
        <v>1137</v>
      </c>
    </row>
    <row r="4" spans="1:9" ht="30" customHeight="1" x14ac:dyDescent="0.4">
      <c r="A4" s="49">
        <v>1</v>
      </c>
      <c r="B4" s="49" t="str">
        <f>IF(OR(VLOOKUP(Table19[[#This Row],[Ln'#]],Advanced!A$5:AU$54,7,FALSE)="E",VLOOKUP(Table19[[#This Row],[Ln'#]],Advanced!A$5:AU$54,7,FALSE)="FEO"),"Entered or FEO","Not Entered")</f>
        <v>Not Entered</v>
      </c>
      <c r="C4" s="50" t="str">
        <f ca="1">IF(OR(B4="e",B4="FEO"),RAND(),"")</f>
        <v/>
      </c>
      <c r="D4" s="48"/>
      <c r="E4" s="48"/>
      <c r="F4" s="48" t="str">
        <f>IF(Table19[[#This Row],[Status]]="Not Entered","",VLOOKUP(Table19[[#This Row],[Ln'#]],Advanced!$A$5:$AU$54,3,FALSE))</f>
        <v/>
      </c>
      <c r="G4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" s="51" t="str">
        <f>IF(Table19[[#This Row],[Status]]="Not Entered","",VLOOKUP(Table19[[#This Row],[Ln'#]],Advanced!$A$5:$AU$54,47,FALSE))</f>
        <v/>
      </c>
    </row>
    <row r="5" spans="1:9" ht="30" customHeight="1" x14ac:dyDescent="0.4">
      <c r="A5" s="49">
        <v>2</v>
      </c>
      <c r="B5" s="49" t="str">
        <f>IF(OR(VLOOKUP(Table19[[#This Row],[Ln'#]],Advanced!A$5:AU$54,7,FALSE)="E",VLOOKUP(Table19[[#This Row],[Ln'#]],Advanced!A$5:AU$54,7,FALSE)="FEO"),"Entered or FEO","Not Entered")</f>
        <v>Not Entered</v>
      </c>
      <c r="C5" s="244" t="str">
        <f t="shared" ref="C5:C24" ca="1" si="0">IF(OR(B5="e",B5="FEO"),RAND(),"")</f>
        <v/>
      </c>
      <c r="D5" s="245"/>
      <c r="E5" s="245"/>
      <c r="F5" s="245" t="str">
        <f>IF(Table19[[#This Row],[Status]]="Not Entered","",VLOOKUP(Table19[[#This Row],[Ln'#]],Advanced!$A$5:$AU$54,3,FALSE))</f>
        <v/>
      </c>
      <c r="G5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" s="247" t="str">
        <f>IF(Table19[[#This Row],[Status]]="Not Entered","",VLOOKUP(Table19[[#This Row],[Ln'#]],Advanced!$A$5:$AU$54,47,FALSE))</f>
        <v/>
      </c>
    </row>
    <row r="6" spans="1:9" ht="30" customHeight="1" x14ac:dyDescent="0.4">
      <c r="A6" s="49">
        <v>3</v>
      </c>
      <c r="B6" s="49" t="str">
        <f>IF(OR(VLOOKUP(Table19[[#This Row],[Ln'#]],Advanced!A$5:AU$54,7,FALSE)="E",VLOOKUP(Table19[[#This Row],[Ln'#]],Advanced!A$5:AU$54,7,FALSE)="FEO"),"Entered or FEO","Not Entered")</f>
        <v>Not Entered</v>
      </c>
      <c r="C6" s="244" t="str">
        <f t="shared" ca="1" si="0"/>
        <v/>
      </c>
      <c r="D6" s="245"/>
      <c r="E6" s="245"/>
      <c r="F6" s="245" t="str">
        <f>IF(Table19[[#This Row],[Status]]="Not Entered","",VLOOKUP(Table19[[#This Row],[Ln'#]],Advanced!$A$5:$AU$54,3,FALSE))</f>
        <v/>
      </c>
      <c r="G6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6" s="247" t="str">
        <f>IF(Table19[[#This Row],[Status]]="Not Entered","",VLOOKUP(Table19[[#This Row],[Ln'#]],Advanced!$A$5:$AU$54,47,FALSE))</f>
        <v/>
      </c>
    </row>
    <row r="7" spans="1:9" ht="30" customHeight="1" x14ac:dyDescent="0.4">
      <c r="A7" s="49">
        <v>4</v>
      </c>
      <c r="B7" s="49" t="str">
        <f>IF(OR(VLOOKUP(Table19[[#This Row],[Ln'#]],Advanced!A$5:AU$54,7,FALSE)="E",VLOOKUP(Table19[[#This Row],[Ln'#]],Advanced!A$5:AU$54,7,FALSE)="FEO"),"Entered or FEO","Not Entered")</f>
        <v>Not Entered</v>
      </c>
      <c r="C7" s="244" t="str">
        <f t="shared" ca="1" si="0"/>
        <v/>
      </c>
      <c r="D7" s="245"/>
      <c r="E7" s="245"/>
      <c r="F7" s="245" t="str">
        <f>IF(Table19[[#This Row],[Status]]="Not Entered","",VLOOKUP(Table19[[#This Row],[Ln'#]],Advanced!$A$5:$AU$54,3,FALSE))</f>
        <v/>
      </c>
      <c r="G7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7" s="247" t="str">
        <f>IF(Table19[[#This Row],[Status]]="Not Entered","",VLOOKUP(Table19[[#This Row],[Ln'#]],Advanced!$A$5:$AU$54,47,FALSE))</f>
        <v/>
      </c>
    </row>
    <row r="8" spans="1:9" ht="30" customHeight="1" x14ac:dyDescent="0.4">
      <c r="A8" s="49">
        <v>5</v>
      </c>
      <c r="B8" s="49" t="str">
        <f>IF(OR(VLOOKUP(Table19[[#This Row],[Ln'#]],Advanced!A$5:AU$54,7,FALSE)="E",VLOOKUP(Table19[[#This Row],[Ln'#]],Advanced!A$5:AU$54,7,FALSE)="FEO"),"Entered or FEO","Not Entered")</f>
        <v>Not Entered</v>
      </c>
      <c r="C8" s="244" t="str">
        <f t="shared" ca="1" si="0"/>
        <v/>
      </c>
      <c r="D8" s="245"/>
      <c r="E8" s="245"/>
      <c r="F8" s="245" t="str">
        <f>IF(Table19[[#This Row],[Status]]="Not Entered","",VLOOKUP(Table19[[#This Row],[Ln'#]],Advanced!$A$5:$AU$54,3,FALSE))</f>
        <v/>
      </c>
      <c r="G8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8" s="247" t="str">
        <f>IF(Table19[[#This Row],[Status]]="Not Entered","",VLOOKUP(Table19[[#This Row],[Ln'#]],Advanced!$A$5:$AU$54,47,FALSE))</f>
        <v/>
      </c>
    </row>
    <row r="9" spans="1:9" ht="30" customHeight="1" x14ac:dyDescent="0.4">
      <c r="A9" s="49">
        <v>6</v>
      </c>
      <c r="B9" s="49" t="str">
        <f>IF(OR(VLOOKUP(Table19[[#This Row],[Ln'#]],Advanced!A$5:AU$54,7,FALSE)="E",VLOOKUP(Table19[[#This Row],[Ln'#]],Advanced!A$5:AU$54,7,FALSE)="FEO"),"Entered or FEO","Not Entered")</f>
        <v>Not Entered</v>
      </c>
      <c r="C9" s="244" t="str">
        <f t="shared" ca="1" si="0"/>
        <v/>
      </c>
      <c r="D9" s="245"/>
      <c r="E9" s="245"/>
      <c r="F9" s="245" t="str">
        <f>IF(Table19[[#This Row],[Status]]="Not Entered","",VLOOKUP(Table19[[#This Row],[Ln'#]],Advanced!$A$5:$AU$54,3,FALSE))</f>
        <v/>
      </c>
      <c r="G9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9" s="247" t="str">
        <f>IF(Table19[[#This Row],[Status]]="Not Entered","",VLOOKUP(Table19[[#This Row],[Ln'#]],Advanced!$A$5:$AU$54,47,FALSE))</f>
        <v/>
      </c>
    </row>
    <row r="10" spans="1:9" ht="30" customHeight="1" x14ac:dyDescent="0.4">
      <c r="A10" s="49">
        <v>7</v>
      </c>
      <c r="B10" s="49" t="str">
        <f>IF(OR(VLOOKUP(Table19[[#This Row],[Ln'#]],Advanced!A$5:AU$54,7,FALSE)="E",VLOOKUP(Table19[[#This Row],[Ln'#]],Advanced!A$5:AU$54,7,FALSE)="FEO"),"Entered or FEO","Not Entered")</f>
        <v>Not Entered</v>
      </c>
      <c r="C10" s="244" t="str">
        <f t="shared" ca="1" si="0"/>
        <v/>
      </c>
      <c r="D10" s="245"/>
      <c r="E10" s="245"/>
      <c r="F10" s="245" t="str">
        <f>IF(Table19[[#This Row],[Status]]="Not Entered","",VLOOKUP(Table19[[#This Row],[Ln'#]],Advanced!$A$5:$AU$54,3,FALSE))</f>
        <v/>
      </c>
      <c r="G10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0" s="247" t="str">
        <f>IF(Table19[[#This Row],[Status]]="Not Entered","",VLOOKUP(Table19[[#This Row],[Ln'#]],Advanced!$A$5:$AU$54,47,FALSE))</f>
        <v/>
      </c>
    </row>
    <row r="11" spans="1:9" ht="30" customHeight="1" x14ac:dyDescent="0.4">
      <c r="A11" s="49">
        <v>8</v>
      </c>
      <c r="B11" s="49" t="str">
        <f>IF(OR(VLOOKUP(Table19[[#This Row],[Ln'#]],Advanced!A$5:AU$54,7,FALSE)="E",VLOOKUP(Table19[[#This Row],[Ln'#]],Advanced!A$5:AU$54,7,FALSE)="FEO"),"Entered or FEO","Not Entered")</f>
        <v>Not Entered</v>
      </c>
      <c r="C11" s="244" t="str">
        <f t="shared" ca="1" si="0"/>
        <v/>
      </c>
      <c r="D11" s="245"/>
      <c r="E11" s="245"/>
      <c r="F11" s="245" t="str">
        <f>IF(Table19[[#This Row],[Status]]="Not Entered","",VLOOKUP(Table19[[#This Row],[Ln'#]],Advanced!$A$5:$AU$54,3,FALSE))</f>
        <v/>
      </c>
      <c r="G11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1" s="247" t="str">
        <f>IF(Table19[[#This Row],[Status]]="Not Entered","",VLOOKUP(Table19[[#This Row],[Ln'#]],Advanced!$A$5:$AU$54,47,FALSE))</f>
        <v/>
      </c>
    </row>
    <row r="12" spans="1:9" ht="30" customHeight="1" x14ac:dyDescent="0.4">
      <c r="A12" s="49">
        <v>9</v>
      </c>
      <c r="B12" s="49" t="str">
        <f>IF(OR(VLOOKUP(Table19[[#This Row],[Ln'#]],Advanced!A$5:AU$54,7,FALSE)="E",VLOOKUP(Table19[[#This Row],[Ln'#]],Advanced!A$5:AU$54,7,FALSE)="FEO"),"Entered or FEO","Not Entered")</f>
        <v>Not Entered</v>
      </c>
      <c r="C12" s="244" t="str">
        <f t="shared" ca="1" si="0"/>
        <v/>
      </c>
      <c r="D12" s="245"/>
      <c r="E12" s="245"/>
      <c r="F12" s="245" t="str">
        <f>IF(Table19[[#This Row],[Status]]="Not Entered","",VLOOKUP(Table19[[#This Row],[Ln'#]],Advanced!$A$5:$AU$54,3,FALSE))</f>
        <v/>
      </c>
      <c r="G12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2" s="247" t="str">
        <f>IF(Table19[[#This Row],[Status]]="Not Entered","",VLOOKUP(Table19[[#This Row],[Ln'#]],Advanced!$A$5:$AU$54,47,FALSE))</f>
        <v/>
      </c>
    </row>
    <row r="13" spans="1:9" ht="30" customHeight="1" x14ac:dyDescent="0.4">
      <c r="A13" s="49">
        <v>10</v>
      </c>
      <c r="B13" s="49" t="str">
        <f>IF(OR(VLOOKUP(Table19[[#This Row],[Ln'#]],Advanced!A$5:AU$54,7,FALSE)="E",VLOOKUP(Table19[[#This Row],[Ln'#]],Advanced!A$5:AU$54,7,FALSE)="FEO"),"Entered or FEO","Not Entered")</f>
        <v>Not Entered</v>
      </c>
      <c r="C13" s="244" t="str">
        <f t="shared" ca="1" si="0"/>
        <v/>
      </c>
      <c r="D13" s="245"/>
      <c r="E13" s="245"/>
      <c r="F13" s="245" t="str">
        <f>IF(Table19[[#This Row],[Status]]="Not Entered","",VLOOKUP(Table19[[#This Row],[Ln'#]],Advanced!$A$5:$AU$54,3,FALSE))</f>
        <v/>
      </c>
      <c r="G13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3" s="247" t="str">
        <f>IF(Table19[[#This Row],[Status]]="Not Entered","",VLOOKUP(Table19[[#This Row],[Ln'#]],Advanced!$A$5:$AU$54,47,FALSE))</f>
        <v/>
      </c>
    </row>
    <row r="14" spans="1:9" ht="30" customHeight="1" x14ac:dyDescent="0.4">
      <c r="A14" s="49">
        <v>11</v>
      </c>
      <c r="B14" s="49" t="str">
        <f>IF(OR(VLOOKUP(Table19[[#This Row],[Ln'#]],Advanced!A$5:AU$54,7,FALSE)="E",VLOOKUP(Table19[[#This Row],[Ln'#]],Advanced!A$5:AU$54,7,FALSE)="FEO"),"Entered or FEO","Not Entered")</f>
        <v>Not Entered</v>
      </c>
      <c r="C14" s="244" t="str">
        <f t="shared" ca="1" si="0"/>
        <v/>
      </c>
      <c r="D14" s="245"/>
      <c r="E14" s="245"/>
      <c r="F14" s="245" t="str">
        <f>IF(Table19[[#This Row],[Status]]="Not Entered","",VLOOKUP(Table19[[#This Row],[Ln'#]],Advanced!$A$5:$AU$54,3,FALSE))</f>
        <v/>
      </c>
      <c r="G14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4" s="247" t="str">
        <f>IF(Table19[[#This Row],[Status]]="Not Entered","",VLOOKUP(Table19[[#This Row],[Ln'#]],Advanced!$A$5:$AU$54,47,FALSE))</f>
        <v/>
      </c>
    </row>
    <row r="15" spans="1:9" ht="30" customHeight="1" x14ac:dyDescent="0.4">
      <c r="A15" s="49">
        <v>12</v>
      </c>
      <c r="B15" s="49" t="str">
        <f>IF(OR(VLOOKUP(Table19[[#This Row],[Ln'#]],Advanced!A$5:AU$54,7,FALSE)="E",VLOOKUP(Table19[[#This Row],[Ln'#]],Advanced!A$5:AU$54,7,FALSE)="FEO"),"Entered or FEO","Not Entered")</f>
        <v>Not Entered</v>
      </c>
      <c r="C15" s="244" t="str">
        <f t="shared" ca="1" si="0"/>
        <v/>
      </c>
      <c r="D15" s="245"/>
      <c r="E15" s="245"/>
      <c r="F15" s="245" t="str">
        <f>IF(Table19[[#This Row],[Status]]="Not Entered","",VLOOKUP(Table19[[#This Row],[Ln'#]],Advanced!$A$5:$AU$54,3,FALSE))</f>
        <v/>
      </c>
      <c r="G15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5" s="247" t="str">
        <f>IF(Table19[[#This Row],[Status]]="Not Entered","",VLOOKUP(Table19[[#This Row],[Ln'#]],Advanced!$A$5:$AU$54,47,FALSE))</f>
        <v/>
      </c>
    </row>
    <row r="16" spans="1:9" ht="30" customHeight="1" x14ac:dyDescent="0.4">
      <c r="A16" s="49">
        <v>13</v>
      </c>
      <c r="B16" s="49" t="str">
        <f>IF(OR(VLOOKUP(Table19[[#This Row],[Ln'#]],Advanced!A$5:AU$54,7,FALSE)="E",VLOOKUP(Table19[[#This Row],[Ln'#]],Advanced!A$5:AU$54,7,FALSE)="FEO"),"Entered or FEO","Not Entered")</f>
        <v>Not Entered</v>
      </c>
      <c r="C16" s="244" t="str">
        <f t="shared" ca="1" si="0"/>
        <v/>
      </c>
      <c r="D16" s="245"/>
      <c r="E16" s="245"/>
      <c r="F16" s="245" t="str">
        <f>IF(Table19[[#This Row],[Status]]="Not Entered","",VLOOKUP(Table19[[#This Row],[Ln'#]],Advanced!$A$5:$AU$54,3,FALSE))</f>
        <v/>
      </c>
      <c r="G16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6" s="247" t="str">
        <f>IF(Table19[[#This Row],[Status]]="Not Entered","",VLOOKUP(Table19[[#This Row],[Ln'#]],Advanced!$A$5:$AU$54,47,FALSE))</f>
        <v/>
      </c>
    </row>
    <row r="17" spans="1:8" ht="30" customHeight="1" x14ac:dyDescent="0.4">
      <c r="A17" s="49">
        <v>14</v>
      </c>
      <c r="B17" s="49" t="str">
        <f>IF(OR(VLOOKUP(Table19[[#This Row],[Ln'#]],Advanced!A$5:AU$54,7,FALSE)="E",VLOOKUP(Table19[[#This Row],[Ln'#]],Advanced!A$5:AU$54,7,FALSE)="FEO"),"Entered or FEO","Not Entered")</f>
        <v>Not Entered</v>
      </c>
      <c r="C17" s="244" t="str">
        <f t="shared" ca="1" si="0"/>
        <v/>
      </c>
      <c r="D17" s="245"/>
      <c r="E17" s="245"/>
      <c r="F17" s="245" t="str">
        <f>IF(Table19[[#This Row],[Status]]="Not Entered","",VLOOKUP(Table19[[#This Row],[Ln'#]],Advanced!$A$5:$AU$54,3,FALSE))</f>
        <v/>
      </c>
      <c r="G17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7" s="247" t="str">
        <f>IF(Table19[[#This Row],[Status]]="Not Entered","",VLOOKUP(Table19[[#This Row],[Ln'#]],Advanced!$A$5:$AU$54,47,FALSE))</f>
        <v/>
      </c>
    </row>
    <row r="18" spans="1:8" ht="30" customHeight="1" x14ac:dyDescent="0.4">
      <c r="A18" s="49">
        <v>15</v>
      </c>
      <c r="B18" s="49" t="str">
        <f>IF(OR(VLOOKUP(Table19[[#This Row],[Ln'#]],Advanced!A$5:AU$54,7,FALSE)="E",VLOOKUP(Table19[[#This Row],[Ln'#]],Advanced!A$5:AU$54,7,FALSE)="FEO"),"Entered or FEO","Not Entered")</f>
        <v>Not Entered</v>
      </c>
      <c r="C18" s="244" t="str">
        <f t="shared" ca="1" si="0"/>
        <v/>
      </c>
      <c r="D18" s="245"/>
      <c r="E18" s="245"/>
      <c r="F18" s="245" t="str">
        <f>IF(Table19[[#This Row],[Status]]="Not Entered","",VLOOKUP(Table19[[#This Row],[Ln'#]],Advanced!$A$5:$AU$54,3,FALSE))</f>
        <v/>
      </c>
      <c r="G18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8" s="247" t="str">
        <f>IF(Table19[[#This Row],[Status]]="Not Entered","",VLOOKUP(Table19[[#This Row],[Ln'#]],Advanced!$A$5:$AU$54,47,FALSE))</f>
        <v/>
      </c>
    </row>
    <row r="19" spans="1:8" ht="30" customHeight="1" x14ac:dyDescent="0.4">
      <c r="A19" s="49">
        <v>16</v>
      </c>
      <c r="B19" s="49" t="str">
        <f>IF(OR(VLOOKUP(Table19[[#This Row],[Ln'#]],Advanced!A$5:AU$54,7,FALSE)="E",VLOOKUP(Table19[[#This Row],[Ln'#]],Advanced!A$5:AU$54,7,FALSE)="FEO"),"Entered or FEO","Not Entered")</f>
        <v>Not Entered</v>
      </c>
      <c r="C19" s="244" t="str">
        <f t="shared" ca="1" si="0"/>
        <v/>
      </c>
      <c r="D19" s="245"/>
      <c r="E19" s="245"/>
      <c r="F19" s="245" t="str">
        <f>IF(Table19[[#This Row],[Status]]="Not Entered","",VLOOKUP(Table19[[#This Row],[Ln'#]],Advanced!$A$5:$AU$54,3,FALSE))</f>
        <v/>
      </c>
      <c r="G19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9" s="247" t="str">
        <f>IF(Table19[[#This Row],[Status]]="Not Entered","",VLOOKUP(Table19[[#This Row],[Ln'#]],Advanced!$A$5:$AU$54,47,FALSE))</f>
        <v/>
      </c>
    </row>
    <row r="20" spans="1:8" ht="30" customHeight="1" x14ac:dyDescent="0.4">
      <c r="A20" s="49">
        <v>17</v>
      </c>
      <c r="B20" s="49" t="str">
        <f>IF(OR(VLOOKUP(Table19[[#This Row],[Ln'#]],Advanced!A$5:AU$54,7,FALSE)="E",VLOOKUP(Table19[[#This Row],[Ln'#]],Advanced!A$5:AU$54,7,FALSE)="FEO"),"Entered or FEO","Not Entered")</f>
        <v>Not Entered</v>
      </c>
      <c r="C20" s="244" t="str">
        <f t="shared" ca="1" si="0"/>
        <v/>
      </c>
      <c r="D20" s="245"/>
      <c r="E20" s="245"/>
      <c r="F20" s="245" t="str">
        <f>IF(Table19[[#This Row],[Status]]="Not Entered","",VLOOKUP(Table19[[#This Row],[Ln'#]],Advanced!$A$5:$AU$54,3,FALSE))</f>
        <v/>
      </c>
      <c r="G20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0" s="247" t="str">
        <f>IF(Table19[[#This Row],[Status]]="Not Entered","",VLOOKUP(Table19[[#This Row],[Ln'#]],Advanced!$A$5:$AU$54,47,FALSE))</f>
        <v/>
      </c>
    </row>
    <row r="21" spans="1:8" ht="30" customHeight="1" x14ac:dyDescent="0.4">
      <c r="A21" s="49">
        <v>18</v>
      </c>
      <c r="B21" s="49" t="str">
        <f>IF(OR(VLOOKUP(Table19[[#This Row],[Ln'#]],Advanced!A$5:AU$54,7,FALSE)="E",VLOOKUP(Table19[[#This Row],[Ln'#]],Advanced!A$5:AU$54,7,FALSE)="FEO"),"Entered or FEO","Not Entered")</f>
        <v>Not Entered</v>
      </c>
      <c r="C21" s="244" t="str">
        <f t="shared" ca="1" si="0"/>
        <v/>
      </c>
      <c r="D21" s="245"/>
      <c r="E21" s="245"/>
      <c r="F21" s="245" t="str">
        <f>IF(Table19[[#This Row],[Status]]="Not Entered","",VLOOKUP(Table19[[#This Row],[Ln'#]],Advanced!$A$5:$AU$54,3,FALSE))</f>
        <v/>
      </c>
      <c r="G21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1" s="247" t="str">
        <f>IF(Table19[[#This Row],[Status]]="Not Entered","",VLOOKUP(Table19[[#This Row],[Ln'#]],Advanced!$A$5:$AU$54,47,FALSE))</f>
        <v/>
      </c>
    </row>
    <row r="22" spans="1:8" ht="30" customHeight="1" x14ac:dyDescent="0.4">
      <c r="A22" s="49">
        <v>19</v>
      </c>
      <c r="B22" s="49" t="str">
        <f>IF(OR(VLOOKUP(Table19[[#This Row],[Ln'#]],Advanced!A$5:AU$54,7,FALSE)="E",VLOOKUP(Table19[[#This Row],[Ln'#]],Advanced!A$5:AU$54,7,FALSE)="FEO"),"Entered or FEO","Not Entered")</f>
        <v>Not Entered</v>
      </c>
      <c r="C22" s="244" t="str">
        <f t="shared" ca="1" si="0"/>
        <v/>
      </c>
      <c r="D22" s="245"/>
      <c r="E22" s="245"/>
      <c r="F22" s="245" t="str">
        <f>IF(Table19[[#This Row],[Status]]="Not Entered","",VLOOKUP(Table19[[#This Row],[Ln'#]],Advanced!$A$5:$AU$54,3,FALSE))</f>
        <v/>
      </c>
      <c r="G22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2" s="247" t="str">
        <f>IF(Table19[[#This Row],[Status]]="Not Entered","",VLOOKUP(Table19[[#This Row],[Ln'#]],Advanced!$A$5:$AU$54,47,FALSE))</f>
        <v/>
      </c>
    </row>
    <row r="23" spans="1:8" ht="30" customHeight="1" x14ac:dyDescent="0.4">
      <c r="A23" s="49">
        <v>20</v>
      </c>
      <c r="B23" s="49" t="str">
        <f>IF(OR(VLOOKUP(Table19[[#This Row],[Ln'#]],Advanced!A$5:AU$54,7,FALSE)="E",VLOOKUP(Table19[[#This Row],[Ln'#]],Advanced!A$5:AU$54,7,FALSE)="FEO"),"Entered or FEO","Not Entered")</f>
        <v>Not Entered</v>
      </c>
      <c r="C23" s="244" t="str">
        <f t="shared" ca="1" si="0"/>
        <v/>
      </c>
      <c r="D23" s="245"/>
      <c r="E23" s="245"/>
      <c r="F23" s="245" t="str">
        <f>IF(Table19[[#This Row],[Status]]="Not Entered","",VLOOKUP(Table19[[#This Row],[Ln'#]],Advanced!$A$5:$AU$54,3,FALSE))</f>
        <v/>
      </c>
      <c r="G23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3" s="247" t="str">
        <f>IF(Table19[[#This Row],[Status]]="Not Entered","",VLOOKUP(Table19[[#This Row],[Ln'#]],Advanced!$A$5:$AU$54,47,FALSE))</f>
        <v/>
      </c>
    </row>
    <row r="24" spans="1:8" ht="30" customHeight="1" x14ac:dyDescent="0.4">
      <c r="A24" s="49">
        <v>21</v>
      </c>
      <c r="B24" s="49" t="str">
        <f>IF(OR(VLOOKUP(Table19[[#This Row],[Ln'#]],Advanced!A$5:AU$54,7,FALSE)="E",VLOOKUP(Table19[[#This Row],[Ln'#]],Advanced!A$5:AU$54,7,FALSE)="FEO"),"Entered or FEO","Not Entered")</f>
        <v>Not Entered</v>
      </c>
      <c r="C24" s="244" t="str">
        <f t="shared" ca="1" si="0"/>
        <v/>
      </c>
      <c r="D24" s="245"/>
      <c r="E24" s="245"/>
      <c r="F24" s="245" t="str">
        <f>IF(Table19[[#This Row],[Status]]="Not Entered","",VLOOKUP(Table19[[#This Row],[Ln'#]],Advanced!$A$5:$AU$54,3,FALSE))</f>
        <v/>
      </c>
      <c r="G24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4" s="247" t="str">
        <f>IF(Table19[[#This Row],[Status]]="Not Entered","",VLOOKUP(Table19[[#This Row],[Ln'#]],Advanced!$A$5:$AU$54,47,FALSE))</f>
        <v/>
      </c>
    </row>
    <row r="25" spans="1:8" ht="30" customHeight="1" x14ac:dyDescent="0.4">
      <c r="A25" s="49">
        <v>22</v>
      </c>
      <c r="B25" s="49" t="str">
        <f>IF(OR(VLOOKUP(Table19[[#This Row],[Ln'#]],Advanced!A$5:AU$54,7,FALSE)="E",VLOOKUP(Table19[[#This Row],[Ln'#]],Advanced!A$5:AU$54,7,FALSE)="FEO"),"Entered or FEO","Not Entered")</f>
        <v>Not Entered</v>
      </c>
      <c r="C25" s="50" t="str">
        <f t="shared" ref="C25:C53" ca="1" si="1">IF(OR(B25="e",B25="FEO"),RAND(),"")</f>
        <v/>
      </c>
      <c r="D25" s="48"/>
      <c r="E25" s="48"/>
      <c r="F25" s="48" t="str">
        <f>IF(Table19[[#This Row],[Status]]="Not Entered","",VLOOKUP(Table19[[#This Row],[Ln'#]],Advanced!$A$5:$AU$54,3,FALSE))</f>
        <v/>
      </c>
      <c r="G25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5" s="51" t="str">
        <f>IF(Table19[[#This Row],[Status]]="Not Entered","",VLOOKUP(Table19[[#This Row],[Ln'#]],Advanced!$A$5:$AU$54,47,FALSE))</f>
        <v/>
      </c>
    </row>
    <row r="26" spans="1:8" ht="30" customHeight="1" x14ac:dyDescent="0.4">
      <c r="A26" s="49">
        <v>23</v>
      </c>
      <c r="B26" s="49" t="str">
        <f>IF(OR(VLOOKUP(Table19[[#This Row],[Ln'#]],Advanced!A$5:AU$54,7,FALSE)="E",VLOOKUP(Table19[[#This Row],[Ln'#]],Advanced!A$5:AU$54,7,FALSE)="FEO"),"Entered or FEO","Not Entered")</f>
        <v>Not Entered</v>
      </c>
      <c r="C26" s="50" t="str">
        <f t="shared" ca="1" si="1"/>
        <v/>
      </c>
      <c r="D26" s="48"/>
      <c r="E26" s="48"/>
      <c r="F26" s="48" t="str">
        <f>IF(Table19[[#This Row],[Status]]="Not Entered","",VLOOKUP(Table19[[#This Row],[Ln'#]],Advanced!$A$5:$AU$54,3,FALSE))</f>
        <v/>
      </c>
      <c r="G26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6" s="51" t="str">
        <f>IF(Table19[[#This Row],[Status]]="Not Entered","",VLOOKUP(Table19[[#This Row],[Ln'#]],Advanced!$A$5:$AU$54,47,FALSE))</f>
        <v/>
      </c>
    </row>
    <row r="27" spans="1:8" ht="30" customHeight="1" x14ac:dyDescent="0.4">
      <c r="A27" s="49">
        <v>24</v>
      </c>
      <c r="B27" s="49" t="str">
        <f>IF(OR(VLOOKUP(Table19[[#This Row],[Ln'#]],Advanced!A$5:AU$54,7,FALSE)="E",VLOOKUP(Table19[[#This Row],[Ln'#]],Advanced!A$5:AU$54,7,FALSE)="FEO"),"Entered or FEO","Not Entered")</f>
        <v>Not Entered</v>
      </c>
      <c r="C27" s="50" t="str">
        <f t="shared" ca="1" si="1"/>
        <v/>
      </c>
      <c r="D27" s="48"/>
      <c r="E27" s="48"/>
      <c r="F27" s="48" t="str">
        <f>IF(Table19[[#This Row],[Status]]="Not Entered","",VLOOKUP(Table19[[#This Row],[Ln'#]],Advanced!$A$5:$AU$54,3,FALSE))</f>
        <v/>
      </c>
      <c r="G27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7" s="51" t="str">
        <f>IF(Table19[[#This Row],[Status]]="Not Entered","",VLOOKUP(Table19[[#This Row],[Ln'#]],Advanced!$A$5:$AU$54,47,FALSE))</f>
        <v/>
      </c>
    </row>
    <row r="28" spans="1:8" ht="30" customHeight="1" x14ac:dyDescent="0.4">
      <c r="A28" s="49">
        <v>25</v>
      </c>
      <c r="B28" s="49" t="str">
        <f>IF(OR(VLOOKUP(Table19[[#This Row],[Ln'#]],Advanced!A$5:AU$54,7,FALSE)="E",VLOOKUP(Table19[[#This Row],[Ln'#]],Advanced!A$5:AU$54,7,FALSE)="FEO"),"Entered or FEO","Not Entered")</f>
        <v>Not Entered</v>
      </c>
      <c r="C28" s="50" t="str">
        <f t="shared" ca="1" si="1"/>
        <v/>
      </c>
      <c r="D28" s="48"/>
      <c r="E28" s="48"/>
      <c r="F28" s="48" t="str">
        <f>IF(Table19[[#This Row],[Status]]="Not Entered","",VLOOKUP(Table19[[#This Row],[Ln'#]],Advanced!$A$5:$AU$54,3,FALSE))</f>
        <v/>
      </c>
      <c r="G28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8" s="51" t="str">
        <f>IF(Table19[[#This Row],[Status]]="Not Entered","",VLOOKUP(Table19[[#This Row],[Ln'#]],Advanced!$A$5:$AU$54,47,FALSE))</f>
        <v/>
      </c>
    </row>
    <row r="29" spans="1:8" ht="30" customHeight="1" x14ac:dyDescent="0.4">
      <c r="A29" s="49">
        <v>26</v>
      </c>
      <c r="B29" s="49" t="str">
        <f>IF(OR(VLOOKUP(Table19[[#This Row],[Ln'#]],Advanced!A$5:AU$54,7,FALSE)="E",VLOOKUP(Table19[[#This Row],[Ln'#]],Advanced!A$5:AU$54,7,FALSE)="FEO"),"Entered or FEO","Not Entered")</f>
        <v>Not Entered</v>
      </c>
      <c r="C29" s="50" t="str">
        <f t="shared" ca="1" si="1"/>
        <v/>
      </c>
      <c r="D29" s="48"/>
      <c r="E29" s="48"/>
      <c r="F29" s="48" t="str">
        <f>IF(Table19[[#This Row],[Status]]="Not Entered","",VLOOKUP(Table19[[#This Row],[Ln'#]],Advanced!$A$5:$AU$54,3,FALSE))</f>
        <v/>
      </c>
      <c r="G29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9" s="51" t="str">
        <f>IF(Table19[[#This Row],[Status]]="Not Entered","",VLOOKUP(Table19[[#This Row],[Ln'#]],Advanced!$A$5:$AU$54,47,FALSE))</f>
        <v/>
      </c>
    </row>
    <row r="30" spans="1:8" ht="30" customHeight="1" x14ac:dyDescent="0.4">
      <c r="A30" s="49">
        <v>27</v>
      </c>
      <c r="B30" s="49" t="str">
        <f>IF(OR(VLOOKUP(Table19[[#This Row],[Ln'#]],Advanced!A$5:AU$54,7,FALSE)="E",VLOOKUP(Table19[[#This Row],[Ln'#]],Advanced!A$5:AU$54,7,FALSE)="FEO"),"Entered or FEO","Not Entered")</f>
        <v>Not Entered</v>
      </c>
      <c r="C30" s="50" t="str">
        <f t="shared" ca="1" si="1"/>
        <v/>
      </c>
      <c r="D30" s="48"/>
      <c r="E30" s="48"/>
      <c r="F30" s="48" t="str">
        <f>IF(Table19[[#This Row],[Status]]="Not Entered","",VLOOKUP(Table19[[#This Row],[Ln'#]],Advanced!$A$5:$AU$54,3,FALSE))</f>
        <v/>
      </c>
      <c r="G30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0" s="51" t="str">
        <f>IF(Table19[[#This Row],[Status]]="Not Entered","",VLOOKUP(Table19[[#This Row],[Ln'#]],Advanced!$A$5:$AU$54,47,FALSE))</f>
        <v/>
      </c>
    </row>
    <row r="31" spans="1:8" ht="30" customHeight="1" x14ac:dyDescent="0.4">
      <c r="A31" s="49">
        <v>28</v>
      </c>
      <c r="B31" s="49" t="str">
        <f>IF(OR(VLOOKUP(Table19[[#This Row],[Ln'#]],Advanced!A$5:AU$54,7,FALSE)="E",VLOOKUP(Table19[[#This Row],[Ln'#]],Advanced!A$5:AU$54,7,FALSE)="FEO"),"Entered or FEO","Not Entered")</f>
        <v>Not Entered</v>
      </c>
      <c r="C31" s="50" t="str">
        <f t="shared" ca="1" si="1"/>
        <v/>
      </c>
      <c r="D31" s="48"/>
      <c r="E31" s="48"/>
      <c r="F31" s="48" t="str">
        <f>IF(Table19[[#This Row],[Status]]="Not Entered","",VLOOKUP(Table19[[#This Row],[Ln'#]],Advanced!$A$5:$AU$54,3,FALSE))</f>
        <v/>
      </c>
      <c r="G31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1" s="51" t="str">
        <f>IF(Table19[[#This Row],[Status]]="Not Entered","",VLOOKUP(Table19[[#This Row],[Ln'#]],Advanced!$A$5:$AU$54,47,FALSE))</f>
        <v/>
      </c>
    </row>
    <row r="32" spans="1:8" ht="30" customHeight="1" x14ac:dyDescent="0.4">
      <c r="A32" s="49">
        <v>29</v>
      </c>
      <c r="B32" s="49" t="str">
        <f>IF(OR(VLOOKUP(Table19[[#This Row],[Ln'#]],Advanced!A$5:AU$54,7,FALSE)="E",VLOOKUP(Table19[[#This Row],[Ln'#]],Advanced!A$5:AU$54,7,FALSE)="FEO"),"Entered or FEO","Not Entered")</f>
        <v>Not Entered</v>
      </c>
      <c r="C32" s="50" t="str">
        <f t="shared" ca="1" si="1"/>
        <v/>
      </c>
      <c r="D32" s="48"/>
      <c r="E32" s="48"/>
      <c r="F32" s="48" t="str">
        <f>IF(Table19[[#This Row],[Status]]="Not Entered","",VLOOKUP(Table19[[#This Row],[Ln'#]],Advanced!$A$5:$AU$54,3,FALSE))</f>
        <v/>
      </c>
      <c r="G32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2" s="51" t="str">
        <f>IF(Table19[[#This Row],[Status]]="Not Entered","",VLOOKUP(Table19[[#This Row],[Ln'#]],Advanced!$A$5:$AU$54,47,FALSE))</f>
        <v/>
      </c>
    </row>
    <row r="33" spans="1:8" ht="30" customHeight="1" x14ac:dyDescent="0.4">
      <c r="A33" s="49">
        <v>30</v>
      </c>
      <c r="B33" s="49" t="str">
        <f>IF(OR(VLOOKUP(Table19[[#This Row],[Ln'#]],Advanced!A$5:AU$54,7,FALSE)="E",VLOOKUP(Table19[[#This Row],[Ln'#]],Advanced!A$5:AU$54,7,FALSE)="FEO"),"Entered or FEO","Not Entered")</f>
        <v>Not Entered</v>
      </c>
      <c r="C33" s="50" t="str">
        <f t="shared" ca="1" si="1"/>
        <v/>
      </c>
      <c r="D33" s="48"/>
      <c r="E33" s="48"/>
      <c r="F33" s="48" t="str">
        <f>IF(Table19[[#This Row],[Status]]="Not Entered","",VLOOKUP(Table19[[#This Row],[Ln'#]],Advanced!$A$5:$AU$54,3,FALSE))</f>
        <v/>
      </c>
      <c r="G33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3" s="51" t="str">
        <f>IF(Table19[[#This Row],[Status]]="Not Entered","",VLOOKUP(Table19[[#This Row],[Ln'#]],Advanced!$A$5:$AU$54,47,FALSE))</f>
        <v/>
      </c>
    </row>
    <row r="34" spans="1:8" ht="30" customHeight="1" x14ac:dyDescent="0.4">
      <c r="A34" s="49">
        <v>31</v>
      </c>
      <c r="B34" s="49" t="str">
        <f>IF(OR(VLOOKUP(Table19[[#This Row],[Ln'#]],Advanced!A$5:AU$54,7,FALSE)="E",VLOOKUP(Table19[[#This Row],[Ln'#]],Advanced!A$5:AU$54,7,FALSE)="FEO"),"Entered or FEO","Not Entered")</f>
        <v>Not Entered</v>
      </c>
      <c r="C34" s="50" t="str">
        <f t="shared" ca="1" si="1"/>
        <v/>
      </c>
      <c r="D34" s="48"/>
      <c r="E34" s="48"/>
      <c r="F34" s="48" t="str">
        <f>IF(Table19[[#This Row],[Status]]="Not Entered","",VLOOKUP(Table19[[#This Row],[Ln'#]],Advanced!$A$5:$AU$54,3,FALSE))</f>
        <v/>
      </c>
      <c r="G34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4" s="51" t="str">
        <f>IF(Table19[[#This Row],[Status]]="Not Entered","",VLOOKUP(Table19[[#This Row],[Ln'#]],Advanced!$A$5:$AU$54,47,FALSE))</f>
        <v/>
      </c>
    </row>
    <row r="35" spans="1:8" ht="30" customHeight="1" x14ac:dyDescent="0.4">
      <c r="A35" s="49">
        <v>32</v>
      </c>
      <c r="B35" s="49" t="str">
        <f>IF(OR(VLOOKUP(Table19[[#This Row],[Ln'#]],Advanced!A$5:AU$54,7,FALSE)="E",VLOOKUP(Table19[[#This Row],[Ln'#]],Advanced!A$5:AU$54,7,FALSE)="FEO"),"Entered or FEO","Not Entered")</f>
        <v>Not Entered</v>
      </c>
      <c r="C35" s="50" t="str">
        <f t="shared" ca="1" si="1"/>
        <v/>
      </c>
      <c r="D35" s="48"/>
      <c r="E35" s="48"/>
      <c r="F35" s="48" t="str">
        <f>IF(Table19[[#This Row],[Status]]="Not Entered","",VLOOKUP(Table19[[#This Row],[Ln'#]],Advanced!$A$5:$AU$54,3,FALSE))</f>
        <v/>
      </c>
      <c r="G35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5" s="51" t="str">
        <f>IF(Table19[[#This Row],[Status]]="Not Entered","",VLOOKUP(Table19[[#This Row],[Ln'#]],Advanced!$A$5:$AU$54,47,FALSE))</f>
        <v/>
      </c>
    </row>
    <row r="36" spans="1:8" ht="30" customHeight="1" x14ac:dyDescent="0.4">
      <c r="A36" s="49">
        <v>33</v>
      </c>
      <c r="B36" s="49" t="str">
        <f>IF(OR(VLOOKUP(Table19[[#This Row],[Ln'#]],Advanced!A$5:AU$54,7,FALSE)="E",VLOOKUP(Table19[[#This Row],[Ln'#]],Advanced!A$5:AU$54,7,FALSE)="FEO"),"Entered or FEO","Not Entered")</f>
        <v>Not Entered</v>
      </c>
      <c r="C36" s="50" t="str">
        <f t="shared" ca="1" si="1"/>
        <v/>
      </c>
      <c r="D36" s="48"/>
      <c r="E36" s="48"/>
      <c r="F36" s="48" t="str">
        <f>IF(Table19[[#This Row],[Status]]="Not Entered","",VLOOKUP(Table19[[#This Row],[Ln'#]],Advanced!$A$5:$AU$54,3,FALSE))</f>
        <v/>
      </c>
      <c r="G36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6" s="51" t="str">
        <f>IF(Table19[[#This Row],[Status]]="Not Entered","",VLOOKUP(Table19[[#This Row],[Ln'#]],Advanced!$A$5:$AU$54,47,FALSE))</f>
        <v/>
      </c>
    </row>
    <row r="37" spans="1:8" ht="30" customHeight="1" x14ac:dyDescent="0.4">
      <c r="A37" s="49">
        <v>34</v>
      </c>
      <c r="B37" s="49" t="str">
        <f>IF(OR(VLOOKUP(Table19[[#This Row],[Ln'#]],Advanced!A$5:AU$54,7,FALSE)="E",VLOOKUP(Table19[[#This Row],[Ln'#]],Advanced!A$5:AU$54,7,FALSE)="FEO"),"Entered or FEO","Not Entered")</f>
        <v>Not Entered</v>
      </c>
      <c r="C37" s="50" t="str">
        <f t="shared" ca="1" si="1"/>
        <v/>
      </c>
      <c r="D37" s="48"/>
      <c r="E37" s="48"/>
      <c r="F37" s="48" t="str">
        <f>IF(Table19[[#This Row],[Status]]="Not Entered","",VLOOKUP(Table19[[#This Row],[Ln'#]],Advanced!$A$5:$AU$54,3,FALSE))</f>
        <v/>
      </c>
      <c r="G37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7" s="51" t="str">
        <f>IF(Table19[[#This Row],[Status]]="Not Entered","",VLOOKUP(Table19[[#This Row],[Ln'#]],Advanced!$A$5:$AU$54,47,FALSE))</f>
        <v/>
      </c>
    </row>
    <row r="38" spans="1:8" ht="30" customHeight="1" x14ac:dyDescent="0.4">
      <c r="A38" s="49">
        <v>35</v>
      </c>
      <c r="B38" s="49" t="str">
        <f>IF(OR(VLOOKUP(Table19[[#This Row],[Ln'#]],Advanced!A$5:AU$54,7,FALSE)="E",VLOOKUP(Table19[[#This Row],[Ln'#]],Advanced!A$5:AU$54,7,FALSE)="FEO"),"Entered or FEO","Not Entered")</f>
        <v>Not Entered</v>
      </c>
      <c r="C38" s="50" t="str">
        <f t="shared" ca="1" si="1"/>
        <v/>
      </c>
      <c r="D38" s="48"/>
      <c r="E38" s="48"/>
      <c r="F38" s="48" t="str">
        <f>IF(Table19[[#This Row],[Status]]="Not Entered","",VLOOKUP(Table19[[#This Row],[Ln'#]],Advanced!$A$5:$AU$54,3,FALSE))</f>
        <v/>
      </c>
      <c r="G38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8" s="51" t="str">
        <f>IF(Table19[[#This Row],[Status]]="Not Entered","",VLOOKUP(Table19[[#This Row],[Ln'#]],Advanced!$A$5:$AU$54,47,FALSE))</f>
        <v/>
      </c>
    </row>
    <row r="39" spans="1:8" ht="30" customHeight="1" x14ac:dyDescent="0.4">
      <c r="A39" s="49">
        <v>36</v>
      </c>
      <c r="B39" s="49" t="str">
        <f>IF(OR(VLOOKUP(Table19[[#This Row],[Ln'#]],Advanced!A$5:AU$54,7,FALSE)="E",VLOOKUP(Table19[[#This Row],[Ln'#]],Advanced!A$5:AU$54,7,FALSE)="FEO"),"Entered or FEO","Not Entered")</f>
        <v>Not Entered</v>
      </c>
      <c r="C39" s="50" t="str">
        <f t="shared" ca="1" si="1"/>
        <v/>
      </c>
      <c r="D39" s="48"/>
      <c r="E39" s="48"/>
      <c r="F39" s="48" t="str">
        <f>IF(Table19[[#This Row],[Status]]="Not Entered","",VLOOKUP(Table19[[#This Row],[Ln'#]],Advanced!$A$5:$AU$54,3,FALSE))</f>
        <v/>
      </c>
      <c r="G39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9" s="51" t="str">
        <f>IF(Table19[[#This Row],[Status]]="Not Entered","",VLOOKUP(Table19[[#This Row],[Ln'#]],Advanced!$A$5:$AU$54,47,FALSE))</f>
        <v/>
      </c>
    </row>
    <row r="40" spans="1:8" ht="30" customHeight="1" x14ac:dyDescent="0.4">
      <c r="A40" s="49">
        <v>37</v>
      </c>
      <c r="B40" s="49" t="str">
        <f>IF(OR(VLOOKUP(Table19[[#This Row],[Ln'#]],Advanced!A$5:AU$54,7,FALSE)="E",VLOOKUP(Table19[[#This Row],[Ln'#]],Advanced!A$5:AU$54,7,FALSE)="FEO"),"Entered or FEO","Not Entered")</f>
        <v>Not Entered</v>
      </c>
      <c r="C40" s="50" t="str">
        <f t="shared" ca="1" si="1"/>
        <v/>
      </c>
      <c r="D40" s="48"/>
      <c r="E40" s="48"/>
      <c r="F40" s="48" t="str">
        <f>IF(Table19[[#This Row],[Status]]="Not Entered","",VLOOKUP(Table19[[#This Row],[Ln'#]],Advanced!$A$5:$AU$54,3,FALSE))</f>
        <v/>
      </c>
      <c r="G40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0" s="51" t="str">
        <f>IF(Table19[[#This Row],[Status]]="Not Entered","",VLOOKUP(Table19[[#This Row],[Ln'#]],Advanced!$A$5:$AU$54,47,FALSE))</f>
        <v/>
      </c>
    </row>
    <row r="41" spans="1:8" ht="30" customHeight="1" x14ac:dyDescent="0.4">
      <c r="A41" s="49">
        <v>38</v>
      </c>
      <c r="B41" s="49" t="str">
        <f>IF(OR(VLOOKUP(Table19[[#This Row],[Ln'#]],Advanced!A$5:AU$54,7,FALSE)="E",VLOOKUP(Table19[[#This Row],[Ln'#]],Advanced!A$5:AU$54,7,FALSE)="FEO"),"Entered or FEO","Not Entered")</f>
        <v>Not Entered</v>
      </c>
      <c r="C41" s="50" t="str">
        <f t="shared" ca="1" si="1"/>
        <v/>
      </c>
      <c r="D41" s="48"/>
      <c r="E41" s="48"/>
      <c r="F41" s="48" t="str">
        <f>IF(Table19[[#This Row],[Status]]="Not Entered","",VLOOKUP(Table19[[#This Row],[Ln'#]],Advanced!$A$5:$AU$54,3,FALSE))</f>
        <v/>
      </c>
      <c r="G41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1" s="51" t="str">
        <f>IF(Table19[[#This Row],[Status]]="Not Entered","",VLOOKUP(Table19[[#This Row],[Ln'#]],Advanced!$A$5:$AU$54,47,FALSE))</f>
        <v/>
      </c>
    </row>
    <row r="42" spans="1:8" ht="30" customHeight="1" x14ac:dyDescent="0.4">
      <c r="A42" s="49">
        <v>39</v>
      </c>
      <c r="B42" s="49" t="str">
        <f>IF(OR(VLOOKUP(Table19[[#This Row],[Ln'#]],Advanced!A$5:AU$54,7,FALSE)="E",VLOOKUP(Table19[[#This Row],[Ln'#]],Advanced!A$5:AU$54,7,FALSE)="FEO"),"Entered or FEO","Not Entered")</f>
        <v>Not Entered</v>
      </c>
      <c r="C42" s="50" t="str">
        <f t="shared" ca="1" si="1"/>
        <v/>
      </c>
      <c r="D42" s="48"/>
      <c r="E42" s="48"/>
      <c r="F42" s="48" t="str">
        <f>IF(Table19[[#This Row],[Status]]="Not Entered","",VLOOKUP(Table19[[#This Row],[Ln'#]],Advanced!$A$5:$AU$54,3,FALSE))</f>
        <v/>
      </c>
      <c r="G42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2" s="51" t="str">
        <f>IF(Table19[[#This Row],[Status]]="Not Entered","",VLOOKUP(Table19[[#This Row],[Ln'#]],Advanced!$A$5:$AU$54,47,FALSE))</f>
        <v/>
      </c>
    </row>
    <row r="43" spans="1:8" ht="30" customHeight="1" x14ac:dyDescent="0.4">
      <c r="A43" s="49">
        <v>40</v>
      </c>
      <c r="B43" s="49" t="str">
        <f>IF(OR(VLOOKUP(Table19[[#This Row],[Ln'#]],Advanced!A$5:AU$54,7,FALSE)="E",VLOOKUP(Table19[[#This Row],[Ln'#]],Advanced!A$5:AU$54,7,FALSE)="FEO"),"Entered or FEO","Not Entered")</f>
        <v>Not Entered</v>
      </c>
      <c r="C43" s="50" t="str">
        <f t="shared" ca="1" si="1"/>
        <v/>
      </c>
      <c r="D43" s="48"/>
      <c r="E43" s="48"/>
      <c r="F43" s="48" t="str">
        <f>IF(Table19[[#This Row],[Status]]="Not Entered","",VLOOKUP(Table19[[#This Row],[Ln'#]],Advanced!$A$5:$AU$54,3,FALSE))</f>
        <v/>
      </c>
      <c r="G43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3" s="51" t="str">
        <f>IF(Table19[[#This Row],[Status]]="Not Entered","",VLOOKUP(Table19[[#This Row],[Ln'#]],Advanced!$A$5:$AU$54,47,FALSE))</f>
        <v/>
      </c>
    </row>
    <row r="44" spans="1:8" ht="30" customHeight="1" x14ac:dyDescent="0.4">
      <c r="A44" s="49">
        <v>41</v>
      </c>
      <c r="B44" s="49" t="str">
        <f>IF(OR(VLOOKUP(Table19[[#This Row],[Ln'#]],Advanced!A$5:AU$54,7,FALSE)="E",VLOOKUP(Table19[[#This Row],[Ln'#]],Advanced!A$5:AU$54,7,FALSE)="FEO"),"Entered or FEO","Not Entered")</f>
        <v>Not Entered</v>
      </c>
      <c r="C44" s="50" t="str">
        <f t="shared" ca="1" si="1"/>
        <v/>
      </c>
      <c r="D44" s="48"/>
      <c r="E44" s="48"/>
      <c r="F44" s="48" t="str">
        <f>IF(Table19[[#This Row],[Status]]="Not Entered","",VLOOKUP(Table19[[#This Row],[Ln'#]],Advanced!$A$5:$AU$54,3,FALSE))</f>
        <v/>
      </c>
      <c r="G44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4" s="51" t="str">
        <f>IF(Table19[[#This Row],[Status]]="Not Entered","",VLOOKUP(Table19[[#This Row],[Ln'#]],Advanced!$A$5:$AU$54,47,FALSE))</f>
        <v/>
      </c>
    </row>
    <row r="45" spans="1:8" ht="30" customHeight="1" x14ac:dyDescent="0.4">
      <c r="A45" s="49">
        <v>42</v>
      </c>
      <c r="B45" s="49" t="str">
        <f>IF(OR(VLOOKUP(Table19[[#This Row],[Ln'#]],Advanced!A$5:AU$54,7,FALSE)="E",VLOOKUP(Table19[[#This Row],[Ln'#]],Advanced!A$5:AU$54,7,FALSE)="FEO"),"Entered or FEO","Not Entered")</f>
        <v>Not Entered</v>
      </c>
      <c r="C45" s="50" t="str">
        <f t="shared" ca="1" si="1"/>
        <v/>
      </c>
      <c r="D45" s="48"/>
      <c r="E45" s="48"/>
      <c r="F45" s="48" t="str">
        <f>IF(Table19[[#This Row],[Status]]="Not Entered","",VLOOKUP(Table19[[#This Row],[Ln'#]],Advanced!$A$5:$AU$54,3,FALSE))</f>
        <v/>
      </c>
      <c r="G45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5" s="51" t="str">
        <f>IF(Table19[[#This Row],[Status]]="Not Entered","",VLOOKUP(Table19[[#This Row],[Ln'#]],Advanced!$A$5:$AU$54,47,FALSE))</f>
        <v/>
      </c>
    </row>
    <row r="46" spans="1:8" ht="30" customHeight="1" x14ac:dyDescent="0.4">
      <c r="A46" s="49">
        <v>43</v>
      </c>
      <c r="B46" s="49" t="str">
        <f>IF(OR(VLOOKUP(Table19[[#This Row],[Ln'#]],Advanced!A$5:AU$54,7,FALSE)="E",VLOOKUP(Table19[[#This Row],[Ln'#]],Advanced!A$5:AU$54,7,FALSE)="FEO"),"Entered or FEO","Not Entered")</f>
        <v>Not Entered</v>
      </c>
      <c r="C46" s="50" t="str">
        <f t="shared" ca="1" si="1"/>
        <v/>
      </c>
      <c r="D46" s="48"/>
      <c r="E46" s="48"/>
      <c r="F46" s="48" t="str">
        <f>IF(Table19[[#This Row],[Status]]="Not Entered","",VLOOKUP(Table19[[#This Row],[Ln'#]],Advanced!$A$5:$AU$54,3,FALSE))</f>
        <v/>
      </c>
      <c r="G46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6" s="51" t="str">
        <f>IF(Table19[[#This Row],[Status]]="Not Entered","",VLOOKUP(Table19[[#This Row],[Ln'#]],Advanced!$A$5:$AU$54,47,FALSE))</f>
        <v/>
      </c>
    </row>
    <row r="47" spans="1:8" ht="30" customHeight="1" x14ac:dyDescent="0.4">
      <c r="A47" s="49">
        <v>44</v>
      </c>
      <c r="B47" s="49" t="str">
        <f>IF(OR(VLOOKUP(Table19[[#This Row],[Ln'#]],Advanced!A$5:AU$54,7,FALSE)="E",VLOOKUP(Table19[[#This Row],[Ln'#]],Advanced!A$5:AU$54,7,FALSE)="FEO"),"Entered or FEO","Not Entered")</f>
        <v>Not Entered</v>
      </c>
      <c r="C47" s="50" t="str">
        <f t="shared" ca="1" si="1"/>
        <v/>
      </c>
      <c r="D47" s="48"/>
      <c r="E47" s="48"/>
      <c r="F47" s="48" t="str">
        <f>IF(Table19[[#This Row],[Status]]="Not Entered","",VLOOKUP(Table19[[#This Row],[Ln'#]],Advanced!$A$5:$AU$54,3,FALSE))</f>
        <v/>
      </c>
      <c r="G47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7" s="51" t="str">
        <f>IF(Table19[[#This Row],[Status]]="Not Entered","",VLOOKUP(Table19[[#This Row],[Ln'#]],Advanced!$A$5:$AU$54,47,FALSE))</f>
        <v/>
      </c>
    </row>
    <row r="48" spans="1:8" ht="30" customHeight="1" x14ac:dyDescent="0.4">
      <c r="A48" s="49">
        <v>45</v>
      </c>
      <c r="B48" s="49" t="str">
        <f>IF(OR(VLOOKUP(Table19[[#This Row],[Ln'#]],Advanced!A$5:AU$54,7,FALSE)="E",VLOOKUP(Table19[[#This Row],[Ln'#]],Advanced!A$5:AU$54,7,FALSE)="FEO"),"Entered or FEO","Not Entered")</f>
        <v>Not Entered</v>
      </c>
      <c r="C48" s="50" t="str">
        <f t="shared" ca="1" si="1"/>
        <v/>
      </c>
      <c r="D48" s="48"/>
      <c r="E48" s="48"/>
      <c r="F48" s="48" t="str">
        <f>IF(Table19[[#This Row],[Status]]="Not Entered","",VLOOKUP(Table19[[#This Row],[Ln'#]],Advanced!$A$5:$AU$54,3,FALSE))</f>
        <v/>
      </c>
      <c r="G48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8" s="51" t="str">
        <f>IF(Table19[[#This Row],[Status]]="Not Entered","",VLOOKUP(Table19[[#This Row],[Ln'#]],Advanced!$A$5:$AU$54,47,FALSE))</f>
        <v/>
      </c>
    </row>
    <row r="49" spans="1:9" ht="30" customHeight="1" x14ac:dyDescent="0.4">
      <c r="A49" s="49">
        <v>46</v>
      </c>
      <c r="B49" s="49" t="str">
        <f>IF(OR(VLOOKUP(Table19[[#This Row],[Ln'#]],Advanced!A$5:AU$54,7,FALSE)="E",VLOOKUP(Table19[[#This Row],[Ln'#]],Advanced!A$5:AU$54,7,FALSE)="FEO"),"Entered or FEO","Not Entered")</f>
        <v>Not Entered</v>
      </c>
      <c r="C49" s="50" t="str">
        <f t="shared" ca="1" si="1"/>
        <v/>
      </c>
      <c r="D49" s="48"/>
      <c r="E49" s="48"/>
      <c r="F49" s="48" t="str">
        <f>IF(Table19[[#This Row],[Status]]="Not Entered","",VLOOKUP(Table19[[#This Row],[Ln'#]],Advanced!$A$5:$AU$54,3,FALSE))</f>
        <v/>
      </c>
      <c r="G49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9" s="51" t="str">
        <f>IF(Table19[[#This Row],[Status]]="Not Entered","",VLOOKUP(Table19[[#This Row],[Ln'#]],Advanced!$A$5:$AU$54,47,FALSE))</f>
        <v/>
      </c>
    </row>
    <row r="50" spans="1:9" ht="30" customHeight="1" x14ac:dyDescent="0.4">
      <c r="A50" s="49">
        <v>47</v>
      </c>
      <c r="B50" s="49" t="str">
        <f>IF(OR(VLOOKUP(Table19[[#This Row],[Ln'#]],Advanced!A$5:AU$54,7,FALSE)="E",VLOOKUP(Table19[[#This Row],[Ln'#]],Advanced!A$5:AU$54,7,FALSE)="FEO"),"Entered or FEO","Not Entered")</f>
        <v>Not Entered</v>
      </c>
      <c r="C50" s="50" t="str">
        <f t="shared" ca="1" si="1"/>
        <v/>
      </c>
      <c r="D50" s="48"/>
      <c r="E50" s="48"/>
      <c r="F50" s="48" t="str">
        <f>IF(Table19[[#This Row],[Status]]="Not Entered","",VLOOKUP(Table19[[#This Row],[Ln'#]],Advanced!$A$5:$AU$54,3,FALSE))</f>
        <v/>
      </c>
      <c r="G50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0" s="51" t="str">
        <f>IF(Table19[[#This Row],[Status]]="Not Entered","",VLOOKUP(Table19[[#This Row],[Ln'#]],Advanced!$A$5:$AU$54,47,FALSE))</f>
        <v/>
      </c>
    </row>
    <row r="51" spans="1:9" ht="30" customHeight="1" x14ac:dyDescent="0.4">
      <c r="A51" s="49">
        <v>48</v>
      </c>
      <c r="B51" s="49" t="str">
        <f>IF(OR(VLOOKUP(Table19[[#This Row],[Ln'#]],Advanced!A$5:AU$54,7,FALSE)="E",VLOOKUP(Table19[[#This Row],[Ln'#]],Advanced!A$5:AU$54,7,FALSE)="FEO"),"Entered or FEO","Not Entered")</f>
        <v>Not Entered</v>
      </c>
      <c r="C51" s="50" t="str">
        <f t="shared" ca="1" si="1"/>
        <v/>
      </c>
      <c r="D51" s="48"/>
      <c r="E51" s="48"/>
      <c r="F51" s="48" t="str">
        <f>IF(Table19[[#This Row],[Status]]="Not Entered","",VLOOKUP(Table19[[#This Row],[Ln'#]],Advanced!$A$5:$AU$54,3,FALSE))</f>
        <v/>
      </c>
      <c r="G51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1" s="51" t="str">
        <f>IF(Table19[[#This Row],[Status]]="Not Entered","",VLOOKUP(Table19[[#This Row],[Ln'#]],Advanced!$A$5:$AU$54,47,FALSE))</f>
        <v/>
      </c>
    </row>
    <row r="52" spans="1:9" ht="30" customHeight="1" x14ac:dyDescent="0.4">
      <c r="A52" s="49">
        <v>49</v>
      </c>
      <c r="B52" s="49" t="str">
        <f>IF(OR(VLOOKUP(Table19[[#This Row],[Ln'#]],Advanced!A$5:AU$54,7,FALSE)="E",VLOOKUP(Table19[[#This Row],[Ln'#]],Advanced!A$5:AU$54,7,FALSE)="FEO"),"Entered or FEO","Not Entered")</f>
        <v>Not Entered</v>
      </c>
      <c r="C52" s="50" t="str">
        <f t="shared" ca="1" si="1"/>
        <v/>
      </c>
      <c r="D52" s="48"/>
      <c r="E52" s="48"/>
      <c r="F52" s="48" t="str">
        <f>IF(Table19[[#This Row],[Status]]="Not Entered","",VLOOKUP(Table19[[#This Row],[Ln'#]],Advanced!$A$5:$AU$54,3,FALSE))</f>
        <v/>
      </c>
      <c r="G52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2" s="51" t="str">
        <f>IF(Table19[[#This Row],[Status]]="Not Entered","",VLOOKUP(Table19[[#This Row],[Ln'#]],Advanced!$A$5:$AU$54,47,FALSE))</f>
        <v/>
      </c>
    </row>
    <row r="53" spans="1:9" ht="30" customHeight="1" x14ac:dyDescent="0.4">
      <c r="A53" s="49">
        <v>50</v>
      </c>
      <c r="B53" s="49" t="str">
        <f>IF(OR(VLOOKUP(Table19[[#This Row],[Ln'#]],Advanced!A$5:AU$54,7,FALSE)="E",VLOOKUP(Table19[[#This Row],[Ln'#]],Advanced!A$5:AU$54,7,FALSE)="FEO"),"Entered or FEO","Not Entered")</f>
        <v>Not Entered</v>
      </c>
      <c r="C53" s="50" t="str">
        <f t="shared" ca="1" si="1"/>
        <v/>
      </c>
      <c r="D53" s="48"/>
      <c r="E53" s="48"/>
      <c r="F53" s="48" t="str">
        <f>IF(Table19[[#This Row],[Status]]="Not Entered","",VLOOKUP(Table19[[#This Row],[Ln'#]],Advanced!$A$5:$AU$54,3,FALSE))</f>
        <v/>
      </c>
      <c r="G53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3" s="51" t="str">
        <f>IF(Table19[[#This Row],[Status]]="Not Entered","",VLOOKUP(Table19[[#This Row],[Ln'#]],Advanced!$A$5:$AU$54,47,FALSE))</f>
        <v/>
      </c>
    </row>
    <row r="54" spans="1:9" ht="30" customHeight="1" x14ac:dyDescent="0.4">
      <c r="A54" s="48"/>
      <c r="B54" s="48"/>
      <c r="C54" s="48"/>
      <c r="D54" s="48" t="s">
        <v>1141</v>
      </c>
      <c r="E54" s="48">
        <f>SUBTOTAL(102,Table19[Running Order])</f>
        <v>0</v>
      </c>
      <c r="F54" s="48"/>
      <c r="G54" s="51"/>
      <c r="H54" s="51"/>
    </row>
    <row r="56" spans="1:9" ht="30" customHeight="1" x14ac:dyDescent="0.4">
      <c r="A56" s="23" t="s">
        <v>1143</v>
      </c>
      <c r="B56" s="403" t="s">
        <v>2532</v>
      </c>
      <c r="C56" s="403"/>
      <c r="D56" s="403"/>
      <c r="E56" s="403"/>
      <c r="F56" s="403"/>
      <c r="G56" s="403"/>
      <c r="H56" s="403"/>
      <c r="I56" s="403"/>
    </row>
    <row r="57" spans="1:9" ht="60.75" customHeight="1" x14ac:dyDescent="0.4">
      <c r="A57" s="67" t="s">
        <v>605</v>
      </c>
      <c r="B57" s="67" t="s">
        <v>2493</v>
      </c>
      <c r="C57" s="67" t="s">
        <v>2494</v>
      </c>
      <c r="D57" s="67" t="s">
        <v>1142</v>
      </c>
      <c r="E57" s="67" t="s">
        <v>1135</v>
      </c>
      <c r="F57" s="67" t="s">
        <v>1136</v>
      </c>
      <c r="G57" s="69" t="s">
        <v>1207</v>
      </c>
      <c r="H57" s="69" t="s">
        <v>1137</v>
      </c>
    </row>
    <row r="58" spans="1:9" ht="30" customHeight="1" x14ac:dyDescent="0.45">
      <c r="A58" s="49">
        <v>1</v>
      </c>
      <c r="B58" s="144" t="str">
        <f>IF(OR(VLOOKUP(Table13134[[#This Row],[Ln'#]],Advanced!A$5:AU$54,7,FALSE)="E",VLOOKUP(Table13134[[#This Row],[Ln'#]],Advanced!A$5:AU$54,7,FALSE)="FEO"),"x","")</f>
        <v/>
      </c>
      <c r="C58" s="144" t="str">
        <f>IF(OR(VLOOKUP(Table13134[[#This Row],[Ln'#]],Advanced!A$5:AU$54,15,FALSE)="E",VLOOKUP(Table13134[[#This Row],[Ln'#]],Advanced!A$5:AU$54,15,FALSE)="FEO"),"x","")</f>
        <v/>
      </c>
      <c r="D58" s="48"/>
      <c r="E58" s="48"/>
      <c r="F58" s="48" t="str">
        <f>IF(AND(Table13134[[#This Row],[Status Container]]="",Table13134[[#This Row],[Status Interior]]=""),"",VLOOKUP(Table13134[[#This Row],[Ln'#]],Advanced!$A$5:$AU$54,3,FALSE))</f>
        <v/>
      </c>
      <c r="G58" s="51" t="str">
        <f>IF(Table13134[[#This Row],[Dog ID]]="","",(VLOOKUP(Table13134[[#This Row],[Dog ID]],Advanced!C$5:$D$54,2,FALSE)&amp;" - " &amp;VLOOKUP(Table13134[[#This Row],[Dog ID]],'SDDA Dogs'!A:C,3,FALSE)))</f>
        <v/>
      </c>
      <c r="H58" s="51" t="str">
        <f>IF(Table13134[[#This Row],[Dog ID]]="","",(VLOOKUP(Table13134[[#This Row],[Dog ID]],Advanced!C$5:$AU54,45,FALSE)))</f>
        <v/>
      </c>
    </row>
    <row r="59" spans="1:9" ht="30" customHeight="1" x14ac:dyDescent="0.45">
      <c r="A59" s="49">
        <v>2</v>
      </c>
      <c r="B59" s="144" t="str">
        <f>IF(OR(VLOOKUP(Table13134[[#This Row],[Ln'#]],Advanced!A$5:AU$54,7,FALSE)="E",VLOOKUP(Table13134[[#This Row],[Ln'#]],Advanced!A$5:AU$54,7,FALSE)="FEO"),"x","")</f>
        <v/>
      </c>
      <c r="C59" s="144" t="str">
        <f>IF(OR(VLOOKUP(Table13134[[#This Row],[Ln'#]],Advanced!A$5:AU$54,15,FALSE)="E",VLOOKUP(Table13134[[#This Row],[Ln'#]],Advanced!A$5:AU$54,15,FALSE)="FEO"),"x","")</f>
        <v/>
      </c>
      <c r="D59" s="245"/>
      <c r="E59" s="245"/>
      <c r="F59" s="245" t="str">
        <f>IF(AND(Table13134[[#This Row],[Status Container]]="",Table13134[[#This Row],[Status Interior]]=""),"",VLOOKUP(Table13134[[#This Row],[Ln'#]],Advanced!$A$5:$AU$54,3,FALSE))</f>
        <v/>
      </c>
      <c r="G59" s="247" t="str">
        <f>IF(Table13134[[#This Row],[Dog ID]]="","",(VLOOKUP(Table13134[[#This Row],[Dog ID]],Advanced!C$5:$D$54,2,FALSE)&amp;" - " &amp;VLOOKUP(Table13134[[#This Row],[Dog ID]],'SDDA Dogs'!A:C,3,FALSE)))</f>
        <v/>
      </c>
      <c r="H59" s="51" t="str">
        <f>IF(Table13134[[#This Row],[Dog ID]]="","",(VLOOKUP(Table13134[[#This Row],[Dog ID]],Advanced!C$5:$AU55,45,FALSE)))</f>
        <v/>
      </c>
    </row>
    <row r="60" spans="1:9" ht="30" customHeight="1" x14ac:dyDescent="0.45">
      <c r="A60" s="49">
        <v>3</v>
      </c>
      <c r="B60" s="144" t="str">
        <f>IF(OR(VLOOKUP(Table13134[[#This Row],[Ln'#]],Advanced!A$5:AU$54,7,FALSE)="E",VLOOKUP(Table13134[[#This Row],[Ln'#]],Advanced!A$5:AU$54,7,FALSE)="FEO"),"x","")</f>
        <v/>
      </c>
      <c r="C60" s="144" t="str">
        <f>IF(OR(VLOOKUP(Table13134[[#This Row],[Ln'#]],Advanced!A$5:AU$54,15,FALSE)="E",VLOOKUP(Table13134[[#This Row],[Ln'#]],Advanced!A$5:AU$54,15,FALSE)="FEO"),"x","")</f>
        <v/>
      </c>
      <c r="D60" s="245"/>
      <c r="E60" s="245"/>
      <c r="F60" s="245" t="str">
        <f>IF(AND(Table13134[[#This Row],[Status Container]]="",Table13134[[#This Row],[Status Interior]]=""),"",VLOOKUP(Table13134[[#This Row],[Ln'#]],Advanced!$A$5:$AU$54,3,FALSE))</f>
        <v/>
      </c>
      <c r="G60" s="247" t="str">
        <f>IF(Table13134[[#This Row],[Dog ID]]="","",(VLOOKUP(Table13134[[#This Row],[Dog ID]],Advanced!C$5:$D$54,2,FALSE)&amp;" - " &amp;VLOOKUP(Table13134[[#This Row],[Dog ID]],'SDDA Dogs'!A:C,3,FALSE)))</f>
        <v/>
      </c>
      <c r="H60" s="51" t="str">
        <f>IF(Table13134[[#This Row],[Dog ID]]="","",(VLOOKUP(Table13134[[#This Row],[Dog ID]],Advanced!C$5:$AU56,45,FALSE)))</f>
        <v/>
      </c>
    </row>
    <row r="61" spans="1:9" ht="30" customHeight="1" x14ac:dyDescent="0.45">
      <c r="A61" s="49">
        <v>4</v>
      </c>
      <c r="B61" s="144" t="str">
        <f>IF(OR(VLOOKUP(Table13134[[#This Row],[Ln'#]],Advanced!A$5:AU$54,7,FALSE)="E",VLOOKUP(Table13134[[#This Row],[Ln'#]],Advanced!A$5:AU$54,7,FALSE)="FEO"),"x","")</f>
        <v/>
      </c>
      <c r="C61" s="144" t="str">
        <f>IF(OR(VLOOKUP(Table13134[[#This Row],[Ln'#]],Advanced!A$5:AU$54,15,FALSE)="E",VLOOKUP(Table13134[[#This Row],[Ln'#]],Advanced!A$5:AU$54,15,FALSE)="FEO"),"x","")</f>
        <v/>
      </c>
      <c r="D61" s="245"/>
      <c r="E61" s="245"/>
      <c r="F61" s="245" t="str">
        <f>IF(AND(Table13134[[#This Row],[Status Container]]="",Table13134[[#This Row],[Status Interior]]=""),"",VLOOKUP(Table13134[[#This Row],[Ln'#]],Advanced!$A$5:$AU$54,3,FALSE))</f>
        <v/>
      </c>
      <c r="G61" s="247" t="str">
        <f>IF(Table13134[[#This Row],[Dog ID]]="","",(VLOOKUP(Table13134[[#This Row],[Dog ID]],Advanced!C$5:$D$54,2,FALSE)&amp;" - " &amp;VLOOKUP(Table13134[[#This Row],[Dog ID]],'SDDA Dogs'!A:C,3,FALSE)))</f>
        <v/>
      </c>
      <c r="H61" s="51" t="str">
        <f>IF(Table13134[[#This Row],[Dog ID]]="","",(VLOOKUP(Table13134[[#This Row],[Dog ID]],Advanced!C$5:$AU57,45,FALSE)))</f>
        <v/>
      </c>
    </row>
    <row r="62" spans="1:9" ht="30" customHeight="1" x14ac:dyDescent="0.45">
      <c r="A62" s="49">
        <v>5</v>
      </c>
      <c r="B62" s="144" t="str">
        <f>IF(OR(VLOOKUP(Table13134[[#This Row],[Ln'#]],Advanced!A$5:AU$54,7,FALSE)="E",VLOOKUP(Table13134[[#This Row],[Ln'#]],Advanced!A$5:AU$54,7,FALSE)="FEO"),"x","")</f>
        <v/>
      </c>
      <c r="C62" s="144" t="str">
        <f>IF(OR(VLOOKUP(Table13134[[#This Row],[Ln'#]],Advanced!A$5:AU$54,15,FALSE)="E",VLOOKUP(Table13134[[#This Row],[Ln'#]],Advanced!A$5:AU$54,15,FALSE)="FEO"),"x","")</f>
        <v/>
      </c>
      <c r="D62" s="245"/>
      <c r="E62" s="245"/>
      <c r="F62" s="245" t="str">
        <f>IF(AND(Table13134[[#This Row],[Status Container]]="",Table13134[[#This Row],[Status Interior]]=""),"",VLOOKUP(Table13134[[#This Row],[Ln'#]],Advanced!$A$5:$AU$54,3,FALSE))</f>
        <v/>
      </c>
      <c r="G62" s="247" t="str">
        <f>IF(Table13134[[#This Row],[Dog ID]]="","",(VLOOKUP(Table13134[[#This Row],[Dog ID]],Advanced!C$5:$D$54,2,FALSE)&amp;" - " &amp;VLOOKUP(Table13134[[#This Row],[Dog ID]],'SDDA Dogs'!A:C,3,FALSE)))</f>
        <v/>
      </c>
      <c r="H62" s="51" t="str">
        <f>IF(Table13134[[#This Row],[Dog ID]]="","",(VLOOKUP(Table13134[[#This Row],[Dog ID]],Advanced!C$5:$AU58,45,FALSE)))</f>
        <v/>
      </c>
    </row>
    <row r="63" spans="1:9" ht="30" customHeight="1" x14ac:dyDescent="0.45">
      <c r="A63" s="49">
        <v>6</v>
      </c>
      <c r="B63" s="144" t="str">
        <f>IF(OR(VLOOKUP(Table13134[[#This Row],[Ln'#]],Advanced!A$5:AU$54,7,FALSE)="E",VLOOKUP(Table13134[[#This Row],[Ln'#]],Advanced!A$5:AU$54,7,FALSE)="FEO"),"x","")</f>
        <v/>
      </c>
      <c r="C63" s="144" t="str">
        <f>IF(OR(VLOOKUP(Table13134[[#This Row],[Ln'#]],Advanced!A$5:AU$54,15,FALSE)="E",VLOOKUP(Table13134[[#This Row],[Ln'#]],Advanced!A$5:AU$54,15,FALSE)="FEO"),"x","")</f>
        <v/>
      </c>
      <c r="D63" s="245"/>
      <c r="E63" s="245"/>
      <c r="F63" s="245" t="str">
        <f>IF(AND(Table13134[[#This Row],[Status Container]]="",Table13134[[#This Row],[Status Interior]]=""),"",VLOOKUP(Table13134[[#This Row],[Ln'#]],Advanced!$A$5:$AU$54,3,FALSE))</f>
        <v/>
      </c>
      <c r="G63" s="247" t="str">
        <f>IF(Table13134[[#This Row],[Dog ID]]="","",(VLOOKUP(Table13134[[#This Row],[Dog ID]],Advanced!C$5:$D$54,2,FALSE)&amp;" - " &amp;VLOOKUP(Table13134[[#This Row],[Dog ID]],'SDDA Dogs'!A:C,3,FALSE)))</f>
        <v/>
      </c>
      <c r="H63" s="51" t="str">
        <f>IF(Table13134[[#This Row],[Dog ID]]="","",(VLOOKUP(Table13134[[#This Row],[Dog ID]],Advanced!C$5:$AU59,45,FALSE)))</f>
        <v/>
      </c>
    </row>
    <row r="64" spans="1:9" ht="30" customHeight="1" x14ac:dyDescent="0.45">
      <c r="A64" s="49">
        <v>7</v>
      </c>
      <c r="B64" s="144" t="str">
        <f>IF(OR(VLOOKUP(Table13134[[#This Row],[Ln'#]],Advanced!A$5:AU$54,7,FALSE)="E",VLOOKUP(Table13134[[#This Row],[Ln'#]],Advanced!A$5:AU$54,7,FALSE)="FEO"),"x","")</f>
        <v/>
      </c>
      <c r="C64" s="144" t="str">
        <f>IF(OR(VLOOKUP(Table13134[[#This Row],[Ln'#]],Advanced!A$5:AU$54,15,FALSE)="E",VLOOKUP(Table13134[[#This Row],[Ln'#]],Advanced!A$5:AU$54,15,FALSE)="FEO"),"x","")</f>
        <v/>
      </c>
      <c r="D64" s="245"/>
      <c r="E64" s="245"/>
      <c r="F64" s="245" t="str">
        <f>IF(AND(Table13134[[#This Row],[Status Container]]="",Table13134[[#This Row],[Status Interior]]=""),"",VLOOKUP(Table13134[[#This Row],[Ln'#]],Advanced!$A$5:$AU$54,3,FALSE))</f>
        <v/>
      </c>
      <c r="G64" s="247" t="str">
        <f>IF(Table13134[[#This Row],[Dog ID]]="","",(VLOOKUP(Table13134[[#This Row],[Dog ID]],Advanced!C$5:$D$54,2,FALSE)&amp;" - " &amp;VLOOKUP(Table13134[[#This Row],[Dog ID]],'SDDA Dogs'!A:C,3,FALSE)))</f>
        <v/>
      </c>
      <c r="H64" s="51" t="str">
        <f>IF(Table13134[[#This Row],[Dog ID]]="","",(VLOOKUP(Table13134[[#This Row],[Dog ID]],Advanced!C$5:$AU60,45,FALSE)))</f>
        <v/>
      </c>
    </row>
    <row r="65" spans="1:8" ht="30" customHeight="1" x14ac:dyDescent="0.45">
      <c r="A65" s="49">
        <v>8</v>
      </c>
      <c r="B65" s="144" t="str">
        <f>IF(OR(VLOOKUP(Table13134[[#This Row],[Ln'#]],Advanced!A$5:AU$54,7,FALSE)="E",VLOOKUP(Table13134[[#This Row],[Ln'#]],Advanced!A$5:AU$54,7,FALSE)="FEO"),"x","")</f>
        <v/>
      </c>
      <c r="C65" s="144" t="str">
        <f>IF(OR(VLOOKUP(Table13134[[#This Row],[Ln'#]],Advanced!A$5:AU$54,15,FALSE)="E",VLOOKUP(Table13134[[#This Row],[Ln'#]],Advanced!A$5:AU$54,15,FALSE)="FEO"),"x","")</f>
        <v/>
      </c>
      <c r="D65" s="245"/>
      <c r="E65" s="245"/>
      <c r="F65" s="245" t="str">
        <f>IF(AND(Table13134[[#This Row],[Status Container]]="",Table13134[[#This Row],[Status Interior]]=""),"",VLOOKUP(Table13134[[#This Row],[Ln'#]],Advanced!$A$5:$AU$54,3,FALSE))</f>
        <v/>
      </c>
      <c r="G65" s="247" t="str">
        <f>IF(Table13134[[#This Row],[Dog ID]]="","",(VLOOKUP(Table13134[[#This Row],[Dog ID]],Advanced!C$5:$D$54,2,FALSE)&amp;" - " &amp;VLOOKUP(Table13134[[#This Row],[Dog ID]],'SDDA Dogs'!A:C,3,FALSE)))</f>
        <v/>
      </c>
      <c r="H65" s="51" t="str">
        <f>IF(Table13134[[#This Row],[Dog ID]]="","",(VLOOKUP(Table13134[[#This Row],[Dog ID]],Advanced!C$5:$AU61,45,FALSE)))</f>
        <v/>
      </c>
    </row>
    <row r="66" spans="1:8" ht="30" customHeight="1" x14ac:dyDescent="0.45">
      <c r="A66" s="49">
        <v>9</v>
      </c>
      <c r="B66" s="144" t="str">
        <f>IF(OR(VLOOKUP(Table13134[[#This Row],[Ln'#]],Advanced!A$5:AU$54,7,FALSE)="E",VLOOKUP(Table13134[[#This Row],[Ln'#]],Advanced!A$5:AU$54,7,FALSE)="FEO"),"x","")</f>
        <v/>
      </c>
      <c r="C66" s="144" t="str">
        <f>IF(OR(VLOOKUP(Table13134[[#This Row],[Ln'#]],Advanced!A$5:AU$54,15,FALSE)="E",VLOOKUP(Table13134[[#This Row],[Ln'#]],Advanced!A$5:AU$54,15,FALSE)="FEO"),"x","")</f>
        <v/>
      </c>
      <c r="D66" s="245"/>
      <c r="E66" s="245"/>
      <c r="F66" s="245" t="str">
        <f>IF(AND(Table13134[[#This Row],[Status Container]]="",Table13134[[#This Row],[Status Interior]]=""),"",VLOOKUP(Table13134[[#This Row],[Ln'#]],Advanced!$A$5:$AU$54,3,FALSE))</f>
        <v/>
      </c>
      <c r="G66" s="247" t="str">
        <f>IF(Table13134[[#This Row],[Dog ID]]="","",(VLOOKUP(Table13134[[#This Row],[Dog ID]],Advanced!C$5:$D$54,2,FALSE)&amp;" - " &amp;VLOOKUP(Table13134[[#This Row],[Dog ID]],'SDDA Dogs'!A:C,3,FALSE)))</f>
        <v/>
      </c>
      <c r="H66" s="51" t="str">
        <f>IF(Table13134[[#This Row],[Dog ID]]="","",(VLOOKUP(Table13134[[#This Row],[Dog ID]],Advanced!C$5:$AU62,45,FALSE)))</f>
        <v/>
      </c>
    </row>
    <row r="67" spans="1:8" ht="30" customHeight="1" x14ac:dyDescent="0.45">
      <c r="A67" s="49">
        <v>10</v>
      </c>
      <c r="B67" s="144" t="str">
        <f>IF(OR(VLOOKUP(Table13134[[#This Row],[Ln'#]],Advanced!A$5:AU$54,7,FALSE)="E",VLOOKUP(Table13134[[#This Row],[Ln'#]],Advanced!A$5:AU$54,7,FALSE)="FEO"),"x","")</f>
        <v/>
      </c>
      <c r="C67" s="144" t="str">
        <f>IF(OR(VLOOKUP(Table13134[[#This Row],[Ln'#]],Advanced!A$5:AU$54,15,FALSE)="E",VLOOKUP(Table13134[[#This Row],[Ln'#]],Advanced!A$5:AU$54,15,FALSE)="FEO"),"x","")</f>
        <v/>
      </c>
      <c r="D67" s="245"/>
      <c r="E67" s="245"/>
      <c r="F67" s="245" t="str">
        <f>IF(AND(Table13134[[#This Row],[Status Container]]="",Table13134[[#This Row],[Status Interior]]=""),"",VLOOKUP(Table13134[[#This Row],[Ln'#]],Advanced!$A$5:$AU$54,3,FALSE))</f>
        <v/>
      </c>
      <c r="G67" s="247" t="str">
        <f>IF(Table13134[[#This Row],[Dog ID]]="","",(VLOOKUP(Table13134[[#This Row],[Dog ID]],Advanced!C$5:$D$54,2,FALSE)&amp;" - " &amp;VLOOKUP(Table13134[[#This Row],[Dog ID]],'SDDA Dogs'!A:C,3,FALSE)))</f>
        <v/>
      </c>
      <c r="H67" s="51" t="str">
        <f>IF(Table13134[[#This Row],[Dog ID]]="","",(VLOOKUP(Table13134[[#This Row],[Dog ID]],Advanced!C$5:$AU63,45,FALSE)))</f>
        <v/>
      </c>
    </row>
    <row r="68" spans="1:8" ht="30" customHeight="1" x14ac:dyDescent="0.45">
      <c r="A68" s="49">
        <v>11</v>
      </c>
      <c r="B68" s="144" t="str">
        <f>IF(OR(VLOOKUP(Table13134[[#This Row],[Ln'#]],Advanced!A$5:AU$54,7,FALSE)="E",VLOOKUP(Table13134[[#This Row],[Ln'#]],Advanced!A$5:AU$54,7,FALSE)="FEO"),"x","")</f>
        <v/>
      </c>
      <c r="C68" s="144" t="str">
        <f>IF(OR(VLOOKUP(Table13134[[#This Row],[Ln'#]],Advanced!A$5:AU$54,15,FALSE)="E",VLOOKUP(Table13134[[#This Row],[Ln'#]],Advanced!A$5:AU$54,15,FALSE)="FEO"),"x","")</f>
        <v/>
      </c>
      <c r="D68" s="245"/>
      <c r="E68" s="245"/>
      <c r="F68" s="245" t="str">
        <f>IF(AND(Table13134[[#This Row],[Status Container]]="",Table13134[[#This Row],[Status Interior]]=""),"",VLOOKUP(Table13134[[#This Row],[Ln'#]],Advanced!$A$5:$AU$54,3,FALSE))</f>
        <v/>
      </c>
      <c r="G68" s="247" t="str">
        <f>IF(Table13134[[#This Row],[Dog ID]]="","",(VLOOKUP(Table13134[[#This Row],[Dog ID]],Advanced!C$5:$D$54,2,FALSE)&amp;" - " &amp;VLOOKUP(Table13134[[#This Row],[Dog ID]],'SDDA Dogs'!A:C,3,FALSE)))</f>
        <v/>
      </c>
      <c r="H68" s="51" t="str">
        <f>IF(Table13134[[#This Row],[Dog ID]]="","",(VLOOKUP(Table13134[[#This Row],[Dog ID]],Advanced!C$5:$AU64,45,FALSE)))</f>
        <v/>
      </c>
    </row>
    <row r="69" spans="1:8" ht="30" customHeight="1" x14ac:dyDescent="0.45">
      <c r="A69" s="49">
        <v>12</v>
      </c>
      <c r="B69" s="144" t="str">
        <f>IF(OR(VLOOKUP(Table13134[[#This Row],[Ln'#]],Advanced!A$5:AU$54,7,FALSE)="E",VLOOKUP(Table13134[[#This Row],[Ln'#]],Advanced!A$5:AU$54,7,FALSE)="FEO"),"x","")</f>
        <v/>
      </c>
      <c r="C69" s="144" t="str">
        <f>IF(OR(VLOOKUP(Table13134[[#This Row],[Ln'#]],Advanced!A$5:AU$54,15,FALSE)="E",VLOOKUP(Table13134[[#This Row],[Ln'#]],Advanced!A$5:AU$54,15,FALSE)="FEO"),"x","")</f>
        <v/>
      </c>
      <c r="D69" s="245"/>
      <c r="E69" s="245"/>
      <c r="F69" s="245" t="str">
        <f>IF(AND(Table13134[[#This Row],[Status Container]]="",Table13134[[#This Row],[Status Interior]]=""),"",VLOOKUP(Table13134[[#This Row],[Ln'#]],Advanced!$A$5:$AU$54,3,FALSE))</f>
        <v/>
      </c>
      <c r="G69" s="247" t="str">
        <f>IF(Table13134[[#This Row],[Dog ID]]="","",(VLOOKUP(Table13134[[#This Row],[Dog ID]],Advanced!C$5:$D$54,2,FALSE)&amp;" - " &amp;VLOOKUP(Table13134[[#This Row],[Dog ID]],'SDDA Dogs'!A:C,3,FALSE)))</f>
        <v/>
      </c>
      <c r="H69" s="51" t="str">
        <f>IF(Table13134[[#This Row],[Dog ID]]="","",(VLOOKUP(Table13134[[#This Row],[Dog ID]],Advanced!C$5:$AU65,45,FALSE)))</f>
        <v/>
      </c>
    </row>
    <row r="70" spans="1:8" ht="30" customHeight="1" x14ac:dyDescent="0.45">
      <c r="A70" s="49">
        <v>13</v>
      </c>
      <c r="B70" s="144" t="str">
        <f>IF(OR(VLOOKUP(Table13134[[#This Row],[Ln'#]],Advanced!A$5:AU$54,7,FALSE)="E",VLOOKUP(Table13134[[#This Row],[Ln'#]],Advanced!A$5:AU$54,7,FALSE)="FEO"),"x","")</f>
        <v/>
      </c>
      <c r="C70" s="144" t="str">
        <f>IF(OR(VLOOKUP(Table13134[[#This Row],[Ln'#]],Advanced!A$5:AU$54,15,FALSE)="E",VLOOKUP(Table13134[[#This Row],[Ln'#]],Advanced!A$5:AU$54,15,FALSE)="FEO"),"x","")</f>
        <v/>
      </c>
      <c r="D70" s="245"/>
      <c r="E70" s="245"/>
      <c r="F70" s="245" t="str">
        <f>IF(AND(Table13134[[#This Row],[Status Container]]="",Table13134[[#This Row],[Status Interior]]=""),"",VLOOKUP(Table13134[[#This Row],[Ln'#]],Advanced!$A$5:$AU$54,3,FALSE))</f>
        <v/>
      </c>
      <c r="G70" s="247" t="str">
        <f>IF(Table13134[[#This Row],[Dog ID]]="","",(VLOOKUP(Table13134[[#This Row],[Dog ID]],Advanced!C$5:$D$54,2,FALSE)&amp;" - " &amp;VLOOKUP(Table13134[[#This Row],[Dog ID]],'SDDA Dogs'!A:C,3,FALSE)))</f>
        <v/>
      </c>
      <c r="H70" s="51" t="str">
        <f>IF(Table13134[[#This Row],[Dog ID]]="","",(VLOOKUP(Table13134[[#This Row],[Dog ID]],Advanced!C$5:$AU66,45,FALSE)))</f>
        <v/>
      </c>
    </row>
    <row r="71" spans="1:8" ht="30" customHeight="1" x14ac:dyDescent="0.45">
      <c r="A71" s="49">
        <v>14</v>
      </c>
      <c r="B71" s="144" t="str">
        <f>IF(OR(VLOOKUP(Table13134[[#This Row],[Ln'#]],Advanced!A$5:AU$54,7,FALSE)="E",VLOOKUP(Table13134[[#This Row],[Ln'#]],Advanced!A$5:AU$54,7,FALSE)="FEO"),"x","")</f>
        <v/>
      </c>
      <c r="C71" s="144" t="str">
        <f>IF(OR(VLOOKUP(Table13134[[#This Row],[Ln'#]],Advanced!A$5:AU$54,15,FALSE)="E",VLOOKUP(Table13134[[#This Row],[Ln'#]],Advanced!A$5:AU$54,15,FALSE)="FEO"),"x","")</f>
        <v/>
      </c>
      <c r="D71" s="245"/>
      <c r="E71" s="245"/>
      <c r="F71" s="245" t="str">
        <f>IF(AND(Table13134[[#This Row],[Status Container]]="",Table13134[[#This Row],[Status Interior]]=""),"",VLOOKUP(Table13134[[#This Row],[Ln'#]],Advanced!$A$5:$AU$54,3,FALSE))</f>
        <v/>
      </c>
      <c r="G71" s="247" t="str">
        <f>IF(Table13134[[#This Row],[Dog ID]]="","",(VLOOKUP(Table13134[[#This Row],[Dog ID]],Advanced!C$5:$D$54,2,FALSE)&amp;" - " &amp;VLOOKUP(Table13134[[#This Row],[Dog ID]],'SDDA Dogs'!A:C,3,FALSE)))</f>
        <v/>
      </c>
      <c r="H71" s="51" t="str">
        <f>IF(Table13134[[#This Row],[Dog ID]]="","",(VLOOKUP(Table13134[[#This Row],[Dog ID]],Advanced!C$5:$AU67,45,FALSE)))</f>
        <v/>
      </c>
    </row>
    <row r="72" spans="1:8" ht="30" customHeight="1" x14ac:dyDescent="0.45">
      <c r="A72" s="49">
        <v>15</v>
      </c>
      <c r="B72" s="144" t="str">
        <f>IF(OR(VLOOKUP(Table13134[[#This Row],[Ln'#]],Advanced!A$5:AU$54,7,FALSE)="E",VLOOKUP(Table13134[[#This Row],[Ln'#]],Advanced!A$5:AU$54,7,FALSE)="FEO"),"x","")</f>
        <v/>
      </c>
      <c r="C72" s="144" t="str">
        <f>IF(OR(VLOOKUP(Table13134[[#This Row],[Ln'#]],Advanced!A$5:AU$54,15,FALSE)="E",VLOOKUP(Table13134[[#This Row],[Ln'#]],Advanced!A$5:AU$54,15,FALSE)="FEO"),"x","")</f>
        <v/>
      </c>
      <c r="D72" s="245"/>
      <c r="E72" s="245"/>
      <c r="F72" s="245" t="str">
        <f>IF(AND(Table13134[[#This Row],[Status Container]]="",Table13134[[#This Row],[Status Interior]]=""),"",VLOOKUP(Table13134[[#This Row],[Ln'#]],Advanced!$A$5:$AU$54,3,FALSE))</f>
        <v/>
      </c>
      <c r="G72" s="247" t="str">
        <f>IF(Table13134[[#This Row],[Dog ID]]="","",(VLOOKUP(Table13134[[#This Row],[Dog ID]],Advanced!C$5:$D$54,2,FALSE)&amp;" - " &amp;VLOOKUP(Table13134[[#This Row],[Dog ID]],'SDDA Dogs'!A:C,3,FALSE)))</f>
        <v/>
      </c>
      <c r="H72" s="51" t="str">
        <f>IF(Table13134[[#This Row],[Dog ID]]="","",(VLOOKUP(Table13134[[#This Row],[Dog ID]],Advanced!C$5:$AU68,45,FALSE)))</f>
        <v/>
      </c>
    </row>
    <row r="73" spans="1:8" ht="30" customHeight="1" x14ac:dyDescent="0.45">
      <c r="A73" s="49">
        <v>16</v>
      </c>
      <c r="B73" s="144" t="str">
        <f>IF(OR(VLOOKUP(Table13134[[#This Row],[Ln'#]],Advanced!A$5:AU$54,7,FALSE)="E",VLOOKUP(Table13134[[#This Row],[Ln'#]],Advanced!A$5:AU$54,7,FALSE)="FEO"),"x","")</f>
        <v/>
      </c>
      <c r="C73" s="144" t="str">
        <f>IF(OR(VLOOKUP(Table13134[[#This Row],[Ln'#]],Advanced!A$5:AU$54,15,FALSE)="E",VLOOKUP(Table13134[[#This Row],[Ln'#]],Advanced!A$5:AU$54,15,FALSE)="FEO"),"x","")</f>
        <v/>
      </c>
      <c r="D73" s="245"/>
      <c r="E73" s="245"/>
      <c r="F73" s="245" t="str">
        <f>IF(AND(Table13134[[#This Row],[Status Container]]="",Table13134[[#This Row],[Status Interior]]=""),"",VLOOKUP(Table13134[[#This Row],[Ln'#]],Advanced!$A$5:$AU$54,3,FALSE))</f>
        <v/>
      </c>
      <c r="G73" s="247" t="str">
        <f>IF(Table13134[[#This Row],[Dog ID]]="","",(VLOOKUP(Table13134[[#This Row],[Dog ID]],Advanced!C$5:$D$54,2,FALSE)&amp;" - " &amp;VLOOKUP(Table13134[[#This Row],[Dog ID]],'SDDA Dogs'!A:C,3,FALSE)))</f>
        <v/>
      </c>
      <c r="H73" s="51" t="str">
        <f>IF(Table13134[[#This Row],[Dog ID]]="","",(VLOOKUP(Table13134[[#This Row],[Dog ID]],Advanced!C$5:$AU69,45,FALSE)))</f>
        <v/>
      </c>
    </row>
    <row r="74" spans="1:8" ht="30" customHeight="1" x14ac:dyDescent="0.45">
      <c r="A74" s="49">
        <v>17</v>
      </c>
      <c r="B74" s="144" t="str">
        <f>IF(OR(VLOOKUP(Table13134[[#This Row],[Ln'#]],Advanced!A$5:AU$54,7,FALSE)="E",VLOOKUP(Table13134[[#This Row],[Ln'#]],Advanced!A$5:AU$54,7,FALSE)="FEO"),"x","")</f>
        <v/>
      </c>
      <c r="C74" s="144" t="str">
        <f>IF(OR(VLOOKUP(Table13134[[#This Row],[Ln'#]],Advanced!A$5:AU$54,15,FALSE)="E",VLOOKUP(Table13134[[#This Row],[Ln'#]],Advanced!A$5:AU$54,15,FALSE)="FEO"),"x","")</f>
        <v/>
      </c>
      <c r="D74" s="245"/>
      <c r="E74" s="245"/>
      <c r="F74" s="245" t="str">
        <f>IF(AND(Table13134[[#This Row],[Status Container]]="",Table13134[[#This Row],[Status Interior]]=""),"",VLOOKUP(Table13134[[#This Row],[Ln'#]],Advanced!$A$5:$AU$54,3,FALSE))</f>
        <v/>
      </c>
      <c r="G74" s="247" t="str">
        <f>IF(Table13134[[#This Row],[Dog ID]]="","",(VLOOKUP(Table13134[[#This Row],[Dog ID]],Advanced!C$5:$D$54,2,FALSE)&amp;" - " &amp;VLOOKUP(Table13134[[#This Row],[Dog ID]],'SDDA Dogs'!A:C,3,FALSE)))</f>
        <v/>
      </c>
      <c r="H74" s="51" t="str">
        <f>IF(Table13134[[#This Row],[Dog ID]]="","",(VLOOKUP(Table13134[[#This Row],[Dog ID]],Advanced!C$5:$AU70,45,FALSE)))</f>
        <v/>
      </c>
    </row>
    <row r="75" spans="1:8" ht="30" customHeight="1" x14ac:dyDescent="0.45">
      <c r="A75" s="49">
        <v>18</v>
      </c>
      <c r="B75" s="144" t="str">
        <f>IF(OR(VLOOKUP(Table13134[[#This Row],[Ln'#]],Advanced!A$5:AU$54,7,FALSE)="E",VLOOKUP(Table13134[[#This Row],[Ln'#]],Advanced!A$5:AU$54,7,FALSE)="FEO"),"x","")</f>
        <v/>
      </c>
      <c r="C75" s="144" t="str">
        <f>IF(OR(VLOOKUP(Table13134[[#This Row],[Ln'#]],Advanced!A$5:AU$54,15,FALSE)="E",VLOOKUP(Table13134[[#This Row],[Ln'#]],Advanced!A$5:AU$54,15,FALSE)="FEO"),"x","")</f>
        <v/>
      </c>
      <c r="D75" s="245"/>
      <c r="E75" s="245"/>
      <c r="F75" s="245" t="str">
        <f>IF(AND(Table13134[[#This Row],[Status Container]]="",Table13134[[#This Row],[Status Interior]]=""),"",VLOOKUP(Table13134[[#This Row],[Ln'#]],Advanced!$A$5:$AU$54,3,FALSE))</f>
        <v/>
      </c>
      <c r="G75" s="247" t="str">
        <f>IF(Table13134[[#This Row],[Dog ID]]="","",(VLOOKUP(Table13134[[#This Row],[Dog ID]],Advanced!C$5:$D$54,2,FALSE)&amp;" - " &amp;VLOOKUP(Table13134[[#This Row],[Dog ID]],'SDDA Dogs'!A:C,3,FALSE)))</f>
        <v/>
      </c>
      <c r="H75" s="51" t="str">
        <f>IF(Table13134[[#This Row],[Dog ID]]="","",(VLOOKUP(Table13134[[#This Row],[Dog ID]],Advanced!C$5:$AU71,45,FALSE)))</f>
        <v/>
      </c>
    </row>
    <row r="76" spans="1:8" ht="30" customHeight="1" x14ac:dyDescent="0.45">
      <c r="A76" s="49">
        <v>19</v>
      </c>
      <c r="B76" s="144" t="str">
        <f>IF(OR(VLOOKUP(Table13134[[#This Row],[Ln'#]],Advanced!A$5:AU$54,7,FALSE)="E",VLOOKUP(Table13134[[#This Row],[Ln'#]],Advanced!A$5:AU$54,7,FALSE)="FEO"),"x","")</f>
        <v/>
      </c>
      <c r="C76" s="144" t="str">
        <f>IF(OR(VLOOKUP(Table13134[[#This Row],[Ln'#]],Advanced!A$5:AU$54,15,FALSE)="E",VLOOKUP(Table13134[[#This Row],[Ln'#]],Advanced!A$5:AU$54,15,FALSE)="FEO"),"x","")</f>
        <v/>
      </c>
      <c r="D76" s="245"/>
      <c r="E76" s="245"/>
      <c r="F76" s="245" t="str">
        <f>IF(AND(Table13134[[#This Row],[Status Container]]="",Table13134[[#This Row],[Status Interior]]=""),"",VLOOKUP(Table13134[[#This Row],[Ln'#]],Advanced!$A$5:$AU$54,3,FALSE))</f>
        <v/>
      </c>
      <c r="G76" s="247" t="str">
        <f>IF(Table13134[[#This Row],[Dog ID]]="","",(VLOOKUP(Table13134[[#This Row],[Dog ID]],Advanced!C$5:$D$54,2,FALSE)&amp;" - " &amp;VLOOKUP(Table13134[[#This Row],[Dog ID]],'SDDA Dogs'!A:C,3,FALSE)))</f>
        <v/>
      </c>
      <c r="H76" s="51" t="str">
        <f>IF(Table13134[[#This Row],[Dog ID]]="","",(VLOOKUP(Table13134[[#This Row],[Dog ID]],Advanced!C$5:$AU72,45,FALSE)))</f>
        <v/>
      </c>
    </row>
    <row r="77" spans="1:8" ht="30" customHeight="1" x14ac:dyDescent="0.45">
      <c r="A77" s="49">
        <v>20</v>
      </c>
      <c r="B77" s="144" t="str">
        <f>IF(OR(VLOOKUP(Table13134[[#This Row],[Ln'#]],Advanced!A$5:AU$54,7,FALSE)="E",VLOOKUP(Table13134[[#This Row],[Ln'#]],Advanced!A$5:AU$54,7,FALSE)="FEO"),"x","")</f>
        <v/>
      </c>
      <c r="C77" s="144" t="str">
        <f>IF(OR(VLOOKUP(Table13134[[#This Row],[Ln'#]],Advanced!A$5:AU$54,15,FALSE)="E",VLOOKUP(Table13134[[#This Row],[Ln'#]],Advanced!A$5:AU$54,15,FALSE)="FEO"),"x","")</f>
        <v/>
      </c>
      <c r="D77" s="245"/>
      <c r="E77" s="245"/>
      <c r="F77" s="245" t="str">
        <f>IF(AND(Table13134[[#This Row],[Status Container]]="",Table13134[[#This Row],[Status Interior]]=""),"",VLOOKUP(Table13134[[#This Row],[Ln'#]],Advanced!$A$5:$AU$54,3,FALSE))</f>
        <v/>
      </c>
      <c r="G77" s="247" t="str">
        <f>IF(Table13134[[#This Row],[Dog ID]]="","",(VLOOKUP(Table13134[[#This Row],[Dog ID]],Advanced!C$5:$D$54,2,FALSE)&amp;" - " &amp;VLOOKUP(Table13134[[#This Row],[Dog ID]],'SDDA Dogs'!A:C,3,FALSE)))</f>
        <v/>
      </c>
      <c r="H77" s="51" t="str">
        <f>IF(Table13134[[#This Row],[Dog ID]]="","",(VLOOKUP(Table13134[[#This Row],[Dog ID]],Advanced!C$5:$AU73,45,FALSE)))</f>
        <v/>
      </c>
    </row>
    <row r="78" spans="1:8" ht="30" customHeight="1" x14ac:dyDescent="0.45">
      <c r="A78" s="49">
        <v>21</v>
      </c>
      <c r="B78" s="144" t="str">
        <f>IF(OR(VLOOKUP(Table13134[[#This Row],[Ln'#]],Advanced!A$5:AU$54,7,FALSE)="E",VLOOKUP(Table13134[[#This Row],[Ln'#]],Advanced!A$5:AU$54,7,FALSE)="FEO"),"x","")</f>
        <v/>
      </c>
      <c r="C78" s="144" t="str">
        <f>IF(OR(VLOOKUP(Table13134[[#This Row],[Ln'#]],Advanced!A$5:AU$54,15,FALSE)="E",VLOOKUP(Table13134[[#This Row],[Ln'#]],Advanced!A$5:AU$54,15,FALSE)="FEO"),"x","")</f>
        <v/>
      </c>
      <c r="D78" s="245"/>
      <c r="E78" s="245"/>
      <c r="F78" s="245" t="str">
        <f>IF(AND(Table13134[[#This Row],[Status Container]]="",Table13134[[#This Row],[Status Interior]]=""),"",VLOOKUP(Table13134[[#This Row],[Ln'#]],Advanced!$A$5:$AU$54,3,FALSE))</f>
        <v/>
      </c>
      <c r="G78" s="247" t="str">
        <f>IF(Table13134[[#This Row],[Dog ID]]="","",(VLOOKUP(Table13134[[#This Row],[Dog ID]],Advanced!C$5:$D$54,2,FALSE)&amp;" - " &amp;VLOOKUP(Table13134[[#This Row],[Dog ID]],'SDDA Dogs'!A:C,3,FALSE)))</f>
        <v/>
      </c>
      <c r="H78" s="51" t="str">
        <f>IF(Table13134[[#This Row],[Dog ID]]="","",(VLOOKUP(Table13134[[#This Row],[Dog ID]],Advanced!C$5:$AU74,45,FALSE)))</f>
        <v/>
      </c>
    </row>
    <row r="79" spans="1:8" ht="30" customHeight="1" x14ac:dyDescent="0.45">
      <c r="A79" s="49">
        <v>22</v>
      </c>
      <c r="B79" s="144" t="str">
        <f>IF(OR(VLOOKUP(Table13134[[#This Row],[Ln'#]],Advanced!A$5:AU$54,7,FALSE)="E",VLOOKUP(Table13134[[#This Row],[Ln'#]],Advanced!A$5:AU$54,7,FALSE)="FEO"),"x","")</f>
        <v/>
      </c>
      <c r="C79" s="144" t="str">
        <f>IF(OR(VLOOKUP(Table13134[[#This Row],[Ln'#]],Advanced!A$5:AU$54,15,FALSE)="E",VLOOKUP(Table13134[[#This Row],[Ln'#]],Advanced!A$5:AU$54,15,FALSE)="FEO"),"x","")</f>
        <v/>
      </c>
      <c r="D79" s="48"/>
      <c r="E79" s="48"/>
      <c r="F79" s="48" t="str">
        <f>IF(AND(Table13134[[#This Row],[Status Container]]="",Table13134[[#This Row],[Status Interior]]=""),"",VLOOKUP(Table13134[[#This Row],[Ln'#]],Advanced!$A$5:$AU$54,3,FALSE))</f>
        <v/>
      </c>
      <c r="G79" s="51" t="str">
        <f>IF(Table13134[[#This Row],[Dog ID]]="","",(VLOOKUP(Table13134[[#This Row],[Dog ID]],Advanced!C$5:$D$54,2,FALSE)&amp;" - " &amp;VLOOKUP(Table13134[[#This Row],[Dog ID]],'SDDA Dogs'!A:C,3,FALSE)))</f>
        <v/>
      </c>
      <c r="H79" s="51" t="str">
        <f>IF(Table13134[[#This Row],[Dog ID]]="","",(VLOOKUP(Table13134[[#This Row],[Dog ID]],Advanced!C$5:$AU75,45,FALSE)))</f>
        <v/>
      </c>
    </row>
    <row r="80" spans="1:8" ht="30" customHeight="1" x14ac:dyDescent="0.45">
      <c r="A80" s="49">
        <v>23</v>
      </c>
      <c r="B80" s="144" t="str">
        <f>IF(OR(VLOOKUP(Table13134[[#This Row],[Ln'#]],Advanced!A$5:AU$54,7,FALSE)="E",VLOOKUP(Table13134[[#This Row],[Ln'#]],Advanced!A$5:AU$54,7,FALSE)="FEO"),"x","")</f>
        <v/>
      </c>
      <c r="C80" s="144" t="str">
        <f>IF(OR(VLOOKUP(Table13134[[#This Row],[Ln'#]],Advanced!A$5:AU$54,15,FALSE)="E",VLOOKUP(Table13134[[#This Row],[Ln'#]],Advanced!A$5:AU$54,15,FALSE)="FEO"),"x","")</f>
        <v/>
      </c>
      <c r="D80" s="48"/>
      <c r="E80" s="48"/>
      <c r="F80" s="48" t="str">
        <f>IF(AND(Table13134[[#This Row],[Status Container]]="",Table13134[[#This Row],[Status Interior]]=""),"",VLOOKUP(Table13134[[#This Row],[Ln'#]],Advanced!$A$5:$AU$54,3,FALSE))</f>
        <v/>
      </c>
      <c r="G80" s="51" t="str">
        <f>IF(Table13134[[#This Row],[Dog ID]]="","",(VLOOKUP(Table13134[[#This Row],[Dog ID]],Advanced!C$5:$D$54,2,FALSE)&amp;" - " &amp;VLOOKUP(Table13134[[#This Row],[Dog ID]],'SDDA Dogs'!A:C,3,FALSE)))</f>
        <v/>
      </c>
      <c r="H80" s="51" t="str">
        <f>IF(Table13134[[#This Row],[Dog ID]]="","",(VLOOKUP(Table13134[[#This Row],[Dog ID]],Advanced!C$5:$AU76,45,FALSE)))</f>
        <v/>
      </c>
    </row>
    <row r="81" spans="1:8" ht="30" customHeight="1" x14ac:dyDescent="0.45">
      <c r="A81" s="49">
        <v>24</v>
      </c>
      <c r="B81" s="144" t="str">
        <f>IF(OR(VLOOKUP(Table13134[[#This Row],[Ln'#]],Advanced!A$5:AU$54,7,FALSE)="E",VLOOKUP(Table13134[[#This Row],[Ln'#]],Advanced!A$5:AU$54,7,FALSE)="FEO"),"x","")</f>
        <v/>
      </c>
      <c r="C81" s="144" t="str">
        <f>IF(OR(VLOOKUP(Table13134[[#This Row],[Ln'#]],Advanced!A$5:AU$54,15,FALSE)="E",VLOOKUP(Table13134[[#This Row],[Ln'#]],Advanced!A$5:AU$54,15,FALSE)="FEO"),"x","")</f>
        <v/>
      </c>
      <c r="D81" s="48"/>
      <c r="E81" s="48"/>
      <c r="F81" s="48" t="str">
        <f>IF(AND(Table13134[[#This Row],[Status Container]]="",Table13134[[#This Row],[Status Interior]]=""),"",VLOOKUP(Table13134[[#This Row],[Ln'#]],Advanced!$A$5:$AU$54,3,FALSE))</f>
        <v/>
      </c>
      <c r="G81" s="51" t="str">
        <f>IF(Table13134[[#This Row],[Dog ID]]="","",(VLOOKUP(Table13134[[#This Row],[Dog ID]],Advanced!C$5:$D$54,2,FALSE)&amp;" - " &amp;VLOOKUP(Table13134[[#This Row],[Dog ID]],'SDDA Dogs'!A:C,3,FALSE)))</f>
        <v/>
      </c>
      <c r="H81" s="51" t="str">
        <f>IF(Table13134[[#This Row],[Dog ID]]="","",(VLOOKUP(Table13134[[#This Row],[Dog ID]],Advanced!C$5:$AU77,45,FALSE)))</f>
        <v/>
      </c>
    </row>
    <row r="82" spans="1:8" ht="30" customHeight="1" x14ac:dyDescent="0.45">
      <c r="A82" s="49">
        <v>25</v>
      </c>
      <c r="B82" s="144" t="str">
        <f>IF(OR(VLOOKUP(Table13134[[#This Row],[Ln'#]],Advanced!A$5:AU$54,7,FALSE)="E",VLOOKUP(Table13134[[#This Row],[Ln'#]],Advanced!A$5:AU$54,7,FALSE)="FEO"),"x","")</f>
        <v/>
      </c>
      <c r="C82" s="144" t="str">
        <f>IF(OR(VLOOKUP(Table13134[[#This Row],[Ln'#]],Advanced!A$5:AU$54,15,FALSE)="E",VLOOKUP(Table13134[[#This Row],[Ln'#]],Advanced!A$5:AU$54,15,FALSE)="FEO"),"x","")</f>
        <v/>
      </c>
      <c r="D82" s="48"/>
      <c r="E82" s="48"/>
      <c r="F82" s="48" t="str">
        <f>IF(AND(Table13134[[#This Row],[Status Container]]="",Table13134[[#This Row],[Status Interior]]=""),"",VLOOKUP(Table13134[[#This Row],[Ln'#]],Advanced!$A$5:$AU$54,3,FALSE))</f>
        <v/>
      </c>
      <c r="G82" s="51" t="str">
        <f>IF(Table13134[[#This Row],[Dog ID]]="","",(VLOOKUP(Table13134[[#This Row],[Dog ID]],Advanced!C$5:$D$54,2,FALSE)&amp;" - " &amp;VLOOKUP(Table13134[[#This Row],[Dog ID]],'SDDA Dogs'!A:C,3,FALSE)))</f>
        <v/>
      </c>
      <c r="H82" s="51" t="str">
        <f>IF(Table13134[[#This Row],[Dog ID]]="","",(VLOOKUP(Table13134[[#This Row],[Dog ID]],Advanced!C$5:$AU78,45,FALSE)))</f>
        <v/>
      </c>
    </row>
    <row r="83" spans="1:8" ht="30" customHeight="1" x14ac:dyDescent="0.45">
      <c r="A83" s="49">
        <v>26</v>
      </c>
      <c r="B83" s="144" t="str">
        <f>IF(OR(VLOOKUP(Table13134[[#This Row],[Ln'#]],Advanced!A$5:AU$54,7,FALSE)="E",VLOOKUP(Table13134[[#This Row],[Ln'#]],Advanced!A$5:AU$54,7,FALSE)="FEO"),"x","")</f>
        <v/>
      </c>
      <c r="C83" s="144" t="str">
        <f>IF(OR(VLOOKUP(Table13134[[#This Row],[Ln'#]],Advanced!A$5:AU$54,15,FALSE)="E",VLOOKUP(Table13134[[#This Row],[Ln'#]],Advanced!A$5:AU$54,15,FALSE)="FEO"),"x","")</f>
        <v/>
      </c>
      <c r="D83" s="48"/>
      <c r="E83" s="48"/>
      <c r="F83" s="48" t="str">
        <f>IF(AND(Table13134[[#This Row],[Status Container]]="",Table13134[[#This Row],[Status Interior]]=""),"",VLOOKUP(Table13134[[#This Row],[Ln'#]],Advanced!$A$5:$AU$54,3,FALSE))</f>
        <v/>
      </c>
      <c r="G83" s="51" t="str">
        <f>IF(Table13134[[#This Row],[Dog ID]]="","",(VLOOKUP(Table13134[[#This Row],[Dog ID]],Advanced!C$5:$D$54,2,FALSE)&amp;" - " &amp;VLOOKUP(Table13134[[#This Row],[Dog ID]],'SDDA Dogs'!A:C,3,FALSE)))</f>
        <v/>
      </c>
      <c r="H83" s="51" t="str">
        <f>IF(Table13134[[#This Row],[Dog ID]]="","",(VLOOKUP(Table13134[[#This Row],[Dog ID]],Advanced!C$5:$AU79,45,FALSE)))</f>
        <v/>
      </c>
    </row>
    <row r="84" spans="1:8" ht="30" customHeight="1" x14ac:dyDescent="0.45">
      <c r="A84" s="49">
        <v>27</v>
      </c>
      <c r="B84" s="144" t="str">
        <f>IF(OR(VLOOKUP(Table13134[[#This Row],[Ln'#]],Advanced!A$5:AU$54,7,FALSE)="E",VLOOKUP(Table13134[[#This Row],[Ln'#]],Advanced!A$5:AU$54,7,FALSE)="FEO"),"x","")</f>
        <v/>
      </c>
      <c r="C84" s="144" t="str">
        <f>IF(OR(VLOOKUP(Table13134[[#This Row],[Ln'#]],Advanced!A$5:AU$54,15,FALSE)="E",VLOOKUP(Table13134[[#This Row],[Ln'#]],Advanced!A$5:AU$54,15,FALSE)="FEO"),"x","")</f>
        <v/>
      </c>
      <c r="D84" s="48"/>
      <c r="E84" s="48"/>
      <c r="F84" s="48" t="str">
        <f>IF(AND(Table13134[[#This Row],[Status Container]]="",Table13134[[#This Row],[Status Interior]]=""),"",VLOOKUP(Table13134[[#This Row],[Ln'#]],Advanced!$A$5:$AU$54,3,FALSE))</f>
        <v/>
      </c>
      <c r="G84" s="51" t="str">
        <f>IF(Table13134[[#This Row],[Dog ID]]="","",(VLOOKUP(Table13134[[#This Row],[Dog ID]],Advanced!C$5:$D$54,2,FALSE)&amp;" - " &amp;VLOOKUP(Table13134[[#This Row],[Dog ID]],'SDDA Dogs'!A:C,3,FALSE)))</f>
        <v/>
      </c>
      <c r="H84" s="51" t="str">
        <f>IF(Table13134[[#This Row],[Dog ID]]="","",(VLOOKUP(Table13134[[#This Row],[Dog ID]],Advanced!C$5:$AU80,45,FALSE)))</f>
        <v/>
      </c>
    </row>
    <row r="85" spans="1:8" ht="30" customHeight="1" x14ac:dyDescent="0.45">
      <c r="A85" s="49">
        <v>28</v>
      </c>
      <c r="B85" s="144" t="str">
        <f>IF(OR(VLOOKUP(Table13134[[#This Row],[Ln'#]],Advanced!A$5:AU$54,7,FALSE)="E",VLOOKUP(Table13134[[#This Row],[Ln'#]],Advanced!A$5:AU$54,7,FALSE)="FEO"),"x","")</f>
        <v/>
      </c>
      <c r="C85" s="144" t="str">
        <f>IF(OR(VLOOKUP(Table13134[[#This Row],[Ln'#]],Advanced!A$5:AU$54,15,FALSE)="E",VLOOKUP(Table13134[[#This Row],[Ln'#]],Advanced!A$5:AU$54,15,FALSE)="FEO"),"x","")</f>
        <v/>
      </c>
      <c r="D85" s="48"/>
      <c r="E85" s="48"/>
      <c r="F85" s="48" t="str">
        <f>IF(AND(Table13134[[#This Row],[Status Container]]="",Table13134[[#This Row],[Status Interior]]=""),"",VLOOKUP(Table13134[[#This Row],[Ln'#]],Advanced!$A$5:$AU$54,3,FALSE))</f>
        <v/>
      </c>
      <c r="G85" s="51" t="str">
        <f>IF(Table13134[[#This Row],[Dog ID]]="","",(VLOOKUP(Table13134[[#This Row],[Dog ID]],Advanced!C$5:$D$54,2,FALSE)&amp;" - " &amp;VLOOKUP(Table13134[[#This Row],[Dog ID]],'SDDA Dogs'!A:C,3,FALSE)))</f>
        <v/>
      </c>
      <c r="H85" s="51" t="str">
        <f>IF(Table13134[[#This Row],[Dog ID]]="","",(VLOOKUP(Table13134[[#This Row],[Dog ID]],Advanced!C$5:$AU81,45,FALSE)))</f>
        <v/>
      </c>
    </row>
    <row r="86" spans="1:8" ht="30" customHeight="1" x14ac:dyDescent="0.45">
      <c r="A86" s="49">
        <v>29</v>
      </c>
      <c r="B86" s="144" t="str">
        <f>IF(OR(VLOOKUP(Table13134[[#This Row],[Ln'#]],Advanced!A$5:AU$54,7,FALSE)="E",VLOOKUP(Table13134[[#This Row],[Ln'#]],Advanced!A$5:AU$54,7,FALSE)="FEO"),"x","")</f>
        <v/>
      </c>
      <c r="C86" s="144" t="str">
        <f>IF(OR(VLOOKUP(Table13134[[#This Row],[Ln'#]],Advanced!A$5:AU$54,15,FALSE)="E",VLOOKUP(Table13134[[#This Row],[Ln'#]],Advanced!A$5:AU$54,15,FALSE)="FEO"),"x","")</f>
        <v/>
      </c>
      <c r="D86" s="48"/>
      <c r="E86" s="48"/>
      <c r="F86" s="48" t="str">
        <f>IF(AND(Table13134[[#This Row],[Status Container]]="",Table13134[[#This Row],[Status Interior]]=""),"",VLOOKUP(Table13134[[#This Row],[Ln'#]],Advanced!$A$5:$AU$54,3,FALSE))</f>
        <v/>
      </c>
      <c r="G86" s="51" t="str">
        <f>IF(Table13134[[#This Row],[Dog ID]]="","",(VLOOKUP(Table13134[[#This Row],[Dog ID]],Advanced!C$5:$D$54,2,FALSE)&amp;" - " &amp;VLOOKUP(Table13134[[#This Row],[Dog ID]],'SDDA Dogs'!A:C,3,FALSE)))</f>
        <v/>
      </c>
      <c r="H86" s="51" t="str">
        <f>IF(Table13134[[#This Row],[Dog ID]]="","",(VLOOKUP(Table13134[[#This Row],[Dog ID]],Advanced!C$5:$AU82,45,FALSE)))</f>
        <v/>
      </c>
    </row>
    <row r="87" spans="1:8" ht="30" customHeight="1" x14ac:dyDescent="0.45">
      <c r="A87" s="49">
        <v>30</v>
      </c>
      <c r="B87" s="144" t="str">
        <f>IF(OR(VLOOKUP(Table13134[[#This Row],[Ln'#]],Advanced!A$5:AU$54,7,FALSE)="E",VLOOKUP(Table13134[[#This Row],[Ln'#]],Advanced!A$5:AU$54,7,FALSE)="FEO"),"x","")</f>
        <v/>
      </c>
      <c r="C87" s="144" t="str">
        <f>IF(OR(VLOOKUP(Table13134[[#This Row],[Ln'#]],Advanced!A$5:AU$54,15,FALSE)="E",VLOOKUP(Table13134[[#This Row],[Ln'#]],Advanced!A$5:AU$54,15,FALSE)="FEO"),"x","")</f>
        <v/>
      </c>
      <c r="D87" s="48"/>
      <c r="E87" s="48"/>
      <c r="F87" s="48" t="str">
        <f>IF(AND(Table13134[[#This Row],[Status Container]]="",Table13134[[#This Row],[Status Interior]]=""),"",VLOOKUP(Table13134[[#This Row],[Ln'#]],Advanced!$A$5:$AU$54,3,FALSE))</f>
        <v/>
      </c>
      <c r="G87" s="51" t="str">
        <f>IF(Table13134[[#This Row],[Dog ID]]="","",(VLOOKUP(Table13134[[#This Row],[Dog ID]],Advanced!C$5:$D$54,2,FALSE)&amp;" - " &amp;VLOOKUP(Table13134[[#This Row],[Dog ID]],'SDDA Dogs'!A:C,3,FALSE)))</f>
        <v/>
      </c>
      <c r="H87" s="51" t="str">
        <f>IF(Table13134[[#This Row],[Dog ID]]="","",(VLOOKUP(Table13134[[#This Row],[Dog ID]],Advanced!C$5:$AU83,45,FALSE)))</f>
        <v/>
      </c>
    </row>
    <row r="88" spans="1:8" ht="30" customHeight="1" x14ac:dyDescent="0.45">
      <c r="A88" s="49">
        <v>31</v>
      </c>
      <c r="B88" s="144" t="str">
        <f>IF(OR(VLOOKUP(Table13134[[#This Row],[Ln'#]],Advanced!A$5:AU$54,7,FALSE)="E",VLOOKUP(Table13134[[#This Row],[Ln'#]],Advanced!A$5:AU$54,7,FALSE)="FEO"),"x","")</f>
        <v/>
      </c>
      <c r="C88" s="144" t="str">
        <f>IF(OR(VLOOKUP(Table13134[[#This Row],[Ln'#]],Advanced!A$5:AU$54,15,FALSE)="E",VLOOKUP(Table13134[[#This Row],[Ln'#]],Advanced!A$5:AU$54,15,FALSE)="FEO"),"x","")</f>
        <v/>
      </c>
      <c r="D88" s="48"/>
      <c r="E88" s="48"/>
      <c r="F88" s="48" t="str">
        <f>IF(AND(Table13134[[#This Row],[Status Container]]="",Table13134[[#This Row],[Status Interior]]=""),"",VLOOKUP(Table13134[[#This Row],[Ln'#]],Advanced!$A$5:$AU$54,3,FALSE))</f>
        <v/>
      </c>
      <c r="G88" s="51" t="str">
        <f>IF(Table13134[[#This Row],[Dog ID]]="","",(VLOOKUP(Table13134[[#This Row],[Dog ID]],Advanced!C$5:$D$54,2,FALSE)&amp;" - " &amp;VLOOKUP(Table13134[[#This Row],[Dog ID]],'SDDA Dogs'!A:C,3,FALSE)))</f>
        <v/>
      </c>
      <c r="H88" s="51" t="str">
        <f>IF(Table13134[[#This Row],[Dog ID]]="","",(VLOOKUP(Table13134[[#This Row],[Dog ID]],Advanced!C$5:$AU84,45,FALSE)))</f>
        <v/>
      </c>
    </row>
    <row r="89" spans="1:8" ht="30" customHeight="1" x14ac:dyDescent="0.45">
      <c r="A89" s="49">
        <v>32</v>
      </c>
      <c r="B89" s="144" t="str">
        <f>IF(OR(VLOOKUP(Table13134[[#This Row],[Ln'#]],Advanced!A$5:AU$54,7,FALSE)="E",VLOOKUP(Table13134[[#This Row],[Ln'#]],Advanced!A$5:AU$54,7,FALSE)="FEO"),"x","")</f>
        <v/>
      </c>
      <c r="C89" s="144" t="str">
        <f>IF(OR(VLOOKUP(Table13134[[#This Row],[Ln'#]],Advanced!A$5:AU$54,15,FALSE)="E",VLOOKUP(Table13134[[#This Row],[Ln'#]],Advanced!A$5:AU$54,15,FALSE)="FEO"),"x","")</f>
        <v/>
      </c>
      <c r="D89" s="48"/>
      <c r="E89" s="48"/>
      <c r="F89" s="48" t="str">
        <f>IF(AND(Table13134[[#This Row],[Status Container]]="",Table13134[[#This Row],[Status Interior]]=""),"",VLOOKUP(Table13134[[#This Row],[Ln'#]],Advanced!$A$5:$AU$54,3,FALSE))</f>
        <v/>
      </c>
      <c r="G89" s="51" t="str">
        <f>IF(Table13134[[#This Row],[Dog ID]]="","",(VLOOKUP(Table13134[[#This Row],[Dog ID]],Advanced!C$5:$D$54,2,FALSE)&amp;" - " &amp;VLOOKUP(Table13134[[#This Row],[Dog ID]],'SDDA Dogs'!A:C,3,FALSE)))</f>
        <v/>
      </c>
      <c r="H89" s="51" t="str">
        <f>IF(Table13134[[#This Row],[Dog ID]]="","",(VLOOKUP(Table13134[[#This Row],[Dog ID]],Advanced!C$5:$AU85,45,FALSE)))</f>
        <v/>
      </c>
    </row>
    <row r="90" spans="1:8" ht="30" customHeight="1" x14ac:dyDescent="0.45">
      <c r="A90" s="49">
        <v>33</v>
      </c>
      <c r="B90" s="144" t="str">
        <f>IF(OR(VLOOKUP(Table13134[[#This Row],[Ln'#]],Advanced!A$5:AU$54,7,FALSE)="E",VLOOKUP(Table13134[[#This Row],[Ln'#]],Advanced!A$5:AU$54,7,FALSE)="FEO"),"x","")</f>
        <v/>
      </c>
      <c r="C90" s="144" t="str">
        <f>IF(OR(VLOOKUP(Table13134[[#This Row],[Ln'#]],Advanced!A$5:AU$54,15,FALSE)="E",VLOOKUP(Table13134[[#This Row],[Ln'#]],Advanced!A$5:AU$54,15,FALSE)="FEO"),"x","")</f>
        <v/>
      </c>
      <c r="D90" s="48"/>
      <c r="E90" s="48"/>
      <c r="F90" s="48" t="str">
        <f>IF(AND(Table13134[[#This Row],[Status Container]]="",Table13134[[#This Row],[Status Interior]]=""),"",VLOOKUP(Table13134[[#This Row],[Ln'#]],Advanced!$A$5:$AU$54,3,FALSE))</f>
        <v/>
      </c>
      <c r="G90" s="51" t="str">
        <f>IF(Table13134[[#This Row],[Dog ID]]="","",(VLOOKUP(Table13134[[#This Row],[Dog ID]],Advanced!C$5:$D$54,2,FALSE)&amp;" - " &amp;VLOOKUP(Table13134[[#This Row],[Dog ID]],'SDDA Dogs'!A:C,3,FALSE)))</f>
        <v/>
      </c>
      <c r="H90" s="51" t="str">
        <f>IF(Table13134[[#This Row],[Dog ID]]="","",(VLOOKUP(Table13134[[#This Row],[Dog ID]],Advanced!C$5:$AU86,45,FALSE)))</f>
        <v/>
      </c>
    </row>
    <row r="91" spans="1:8" ht="30" customHeight="1" x14ac:dyDescent="0.45">
      <c r="A91" s="49">
        <v>34</v>
      </c>
      <c r="B91" s="144" t="str">
        <f>IF(OR(VLOOKUP(Table13134[[#This Row],[Ln'#]],Advanced!A$5:AU$54,7,FALSE)="E",VLOOKUP(Table13134[[#This Row],[Ln'#]],Advanced!A$5:AU$54,7,FALSE)="FEO"),"x","")</f>
        <v/>
      </c>
      <c r="C91" s="144" t="str">
        <f>IF(OR(VLOOKUP(Table13134[[#This Row],[Ln'#]],Advanced!A$5:AU$54,15,FALSE)="E",VLOOKUP(Table13134[[#This Row],[Ln'#]],Advanced!A$5:AU$54,15,FALSE)="FEO"),"x","")</f>
        <v/>
      </c>
      <c r="D91" s="48"/>
      <c r="E91" s="48"/>
      <c r="F91" s="48" t="str">
        <f>IF(AND(Table13134[[#This Row],[Status Container]]="",Table13134[[#This Row],[Status Interior]]=""),"",VLOOKUP(Table13134[[#This Row],[Ln'#]],Advanced!$A$5:$AU$54,3,FALSE))</f>
        <v/>
      </c>
      <c r="G91" s="51" t="str">
        <f>IF(Table13134[[#This Row],[Dog ID]]="","",(VLOOKUP(Table13134[[#This Row],[Dog ID]],Advanced!C$5:$D$54,2,FALSE)&amp;" - " &amp;VLOOKUP(Table13134[[#This Row],[Dog ID]],'SDDA Dogs'!A:C,3,FALSE)))</f>
        <v/>
      </c>
      <c r="H91" s="51" t="str">
        <f>IF(Table13134[[#This Row],[Dog ID]]="","",(VLOOKUP(Table13134[[#This Row],[Dog ID]],Advanced!C$5:$AU87,45,FALSE)))</f>
        <v/>
      </c>
    </row>
    <row r="92" spans="1:8" ht="30" customHeight="1" x14ac:dyDescent="0.45">
      <c r="A92" s="49">
        <v>35</v>
      </c>
      <c r="B92" s="144" t="str">
        <f>IF(OR(VLOOKUP(Table13134[[#This Row],[Ln'#]],Advanced!A$5:AU$54,7,FALSE)="E",VLOOKUP(Table13134[[#This Row],[Ln'#]],Advanced!A$5:AU$54,7,FALSE)="FEO"),"x","")</f>
        <v/>
      </c>
      <c r="C92" s="144" t="str">
        <f>IF(OR(VLOOKUP(Table13134[[#This Row],[Ln'#]],Advanced!A$5:AU$54,15,FALSE)="E",VLOOKUP(Table13134[[#This Row],[Ln'#]],Advanced!A$5:AU$54,15,FALSE)="FEO"),"x","")</f>
        <v/>
      </c>
      <c r="D92" s="48"/>
      <c r="E92" s="48"/>
      <c r="F92" s="48" t="str">
        <f>IF(AND(Table13134[[#This Row],[Status Container]]="",Table13134[[#This Row],[Status Interior]]=""),"",VLOOKUP(Table13134[[#This Row],[Ln'#]],Advanced!$A$5:$AU$54,3,FALSE))</f>
        <v/>
      </c>
      <c r="G92" s="51" t="str">
        <f>IF(Table13134[[#This Row],[Dog ID]]="","",(VLOOKUP(Table13134[[#This Row],[Dog ID]],Advanced!C$5:$D$54,2,FALSE)&amp;" - " &amp;VLOOKUP(Table13134[[#This Row],[Dog ID]],'SDDA Dogs'!A:C,3,FALSE)))</f>
        <v/>
      </c>
      <c r="H92" s="51" t="str">
        <f>IF(Table13134[[#This Row],[Dog ID]]="","",(VLOOKUP(Table13134[[#This Row],[Dog ID]],Advanced!C$5:$AU88,45,FALSE)))</f>
        <v/>
      </c>
    </row>
    <row r="93" spans="1:8" ht="30" customHeight="1" x14ac:dyDescent="0.45">
      <c r="A93" s="49">
        <v>36</v>
      </c>
      <c r="B93" s="144" t="str">
        <f>IF(OR(VLOOKUP(Table13134[[#This Row],[Ln'#]],Advanced!A$5:AU$54,7,FALSE)="E",VLOOKUP(Table13134[[#This Row],[Ln'#]],Advanced!A$5:AU$54,7,FALSE)="FEO"),"x","")</f>
        <v/>
      </c>
      <c r="C93" s="144" t="str">
        <f>IF(OR(VLOOKUP(Table13134[[#This Row],[Ln'#]],Advanced!A$5:AU$54,15,FALSE)="E",VLOOKUP(Table13134[[#This Row],[Ln'#]],Advanced!A$5:AU$54,15,FALSE)="FEO"),"x","")</f>
        <v/>
      </c>
      <c r="D93" s="48"/>
      <c r="E93" s="48"/>
      <c r="F93" s="48" t="str">
        <f>IF(AND(Table13134[[#This Row],[Status Container]]="",Table13134[[#This Row],[Status Interior]]=""),"",VLOOKUP(Table13134[[#This Row],[Ln'#]],Advanced!$A$5:$AU$54,3,FALSE))</f>
        <v/>
      </c>
      <c r="G93" s="51" t="str">
        <f>IF(Table13134[[#This Row],[Dog ID]]="","",(VLOOKUP(Table13134[[#This Row],[Dog ID]],Advanced!C$5:$D$54,2,FALSE)&amp;" - " &amp;VLOOKUP(Table13134[[#This Row],[Dog ID]],'SDDA Dogs'!A:C,3,FALSE)))</f>
        <v/>
      </c>
      <c r="H93" s="51" t="str">
        <f>IF(Table13134[[#This Row],[Dog ID]]="","",(VLOOKUP(Table13134[[#This Row],[Dog ID]],Advanced!C$5:$AU89,45,FALSE)))</f>
        <v/>
      </c>
    </row>
    <row r="94" spans="1:8" ht="30" customHeight="1" x14ac:dyDescent="0.45">
      <c r="A94" s="49">
        <v>37</v>
      </c>
      <c r="B94" s="144" t="str">
        <f>IF(OR(VLOOKUP(Table13134[[#This Row],[Ln'#]],Advanced!A$5:AU$54,7,FALSE)="E",VLOOKUP(Table13134[[#This Row],[Ln'#]],Advanced!A$5:AU$54,7,FALSE)="FEO"),"x","")</f>
        <v/>
      </c>
      <c r="C94" s="144" t="str">
        <f>IF(OR(VLOOKUP(Table13134[[#This Row],[Ln'#]],Advanced!A$5:AU$54,15,FALSE)="E",VLOOKUP(Table13134[[#This Row],[Ln'#]],Advanced!A$5:AU$54,15,FALSE)="FEO"),"x","")</f>
        <v/>
      </c>
      <c r="D94" s="48"/>
      <c r="E94" s="48"/>
      <c r="F94" s="48" t="str">
        <f>IF(AND(Table13134[[#This Row],[Status Container]]="",Table13134[[#This Row],[Status Interior]]=""),"",VLOOKUP(Table13134[[#This Row],[Ln'#]],Advanced!$A$5:$AU$54,3,FALSE))</f>
        <v/>
      </c>
      <c r="G94" s="51" t="str">
        <f>IF(Table13134[[#This Row],[Dog ID]]="","",(VLOOKUP(Table13134[[#This Row],[Dog ID]],Advanced!C$5:$D$54,2,FALSE)&amp;" - " &amp;VLOOKUP(Table13134[[#This Row],[Dog ID]],'SDDA Dogs'!A:C,3,FALSE)))</f>
        <v/>
      </c>
      <c r="H94" s="51" t="str">
        <f>IF(Table13134[[#This Row],[Dog ID]]="","",(VLOOKUP(Table13134[[#This Row],[Dog ID]],Advanced!C$5:$AU90,45,FALSE)))</f>
        <v/>
      </c>
    </row>
    <row r="95" spans="1:8" ht="30" customHeight="1" x14ac:dyDescent="0.45">
      <c r="A95" s="49">
        <v>38</v>
      </c>
      <c r="B95" s="144" t="str">
        <f>IF(OR(VLOOKUP(Table13134[[#This Row],[Ln'#]],Advanced!A$5:AU$54,7,FALSE)="E",VLOOKUP(Table13134[[#This Row],[Ln'#]],Advanced!A$5:AU$54,7,FALSE)="FEO"),"x","")</f>
        <v/>
      </c>
      <c r="C95" s="144" t="str">
        <f>IF(OR(VLOOKUP(Table13134[[#This Row],[Ln'#]],Advanced!A$5:AU$54,15,FALSE)="E",VLOOKUP(Table13134[[#This Row],[Ln'#]],Advanced!A$5:AU$54,15,FALSE)="FEO"),"x","")</f>
        <v/>
      </c>
      <c r="D95" s="48"/>
      <c r="E95" s="48"/>
      <c r="F95" s="48" t="str">
        <f>IF(AND(Table13134[[#This Row],[Status Container]]="",Table13134[[#This Row],[Status Interior]]=""),"",VLOOKUP(Table13134[[#This Row],[Ln'#]],Advanced!$A$5:$AU$54,3,FALSE))</f>
        <v/>
      </c>
      <c r="G95" s="51" t="str">
        <f>IF(Table13134[[#This Row],[Dog ID]]="","",(VLOOKUP(Table13134[[#This Row],[Dog ID]],Advanced!C$5:$D$54,2,FALSE)&amp;" - " &amp;VLOOKUP(Table13134[[#This Row],[Dog ID]],'SDDA Dogs'!A:C,3,FALSE)))</f>
        <v/>
      </c>
      <c r="H95" s="51" t="str">
        <f>IF(Table13134[[#This Row],[Dog ID]]="","",(VLOOKUP(Table13134[[#This Row],[Dog ID]],Advanced!C$5:$AU91,45,FALSE)))</f>
        <v/>
      </c>
    </row>
    <row r="96" spans="1:8" ht="30" customHeight="1" x14ac:dyDescent="0.45">
      <c r="A96" s="49">
        <v>39</v>
      </c>
      <c r="B96" s="144" t="str">
        <f>IF(OR(VLOOKUP(Table13134[[#This Row],[Ln'#]],Advanced!A$5:AU$54,7,FALSE)="E",VLOOKUP(Table13134[[#This Row],[Ln'#]],Advanced!A$5:AU$54,7,FALSE)="FEO"),"x","")</f>
        <v/>
      </c>
      <c r="C96" s="144" t="str">
        <f>IF(OR(VLOOKUP(Table13134[[#This Row],[Ln'#]],Advanced!A$5:AU$54,15,FALSE)="E",VLOOKUP(Table13134[[#This Row],[Ln'#]],Advanced!A$5:AU$54,15,FALSE)="FEO"),"x","")</f>
        <v/>
      </c>
      <c r="D96" s="48"/>
      <c r="E96" s="48"/>
      <c r="F96" s="48" t="str">
        <f>IF(AND(Table13134[[#This Row],[Status Container]]="",Table13134[[#This Row],[Status Interior]]=""),"",VLOOKUP(Table13134[[#This Row],[Ln'#]],Advanced!$A$5:$AU$54,3,FALSE))</f>
        <v/>
      </c>
      <c r="G96" s="51" t="str">
        <f>IF(Table13134[[#This Row],[Dog ID]]="","",(VLOOKUP(Table13134[[#This Row],[Dog ID]],Advanced!C$5:$D$54,2,FALSE)&amp;" - " &amp;VLOOKUP(Table13134[[#This Row],[Dog ID]],'SDDA Dogs'!A:C,3,FALSE)))</f>
        <v/>
      </c>
      <c r="H96" s="51" t="str">
        <f>IF(Table13134[[#This Row],[Dog ID]]="","",(VLOOKUP(Table13134[[#This Row],[Dog ID]],Advanced!C$5:$AU92,45,FALSE)))</f>
        <v/>
      </c>
    </row>
    <row r="97" spans="1:9" ht="30" customHeight="1" x14ac:dyDescent="0.45">
      <c r="A97" s="49">
        <v>40</v>
      </c>
      <c r="B97" s="144" t="str">
        <f>IF(OR(VLOOKUP(Table13134[[#This Row],[Ln'#]],Advanced!A$5:AU$54,7,FALSE)="E",VLOOKUP(Table13134[[#This Row],[Ln'#]],Advanced!A$5:AU$54,7,FALSE)="FEO"),"x","")</f>
        <v/>
      </c>
      <c r="C97" s="144" t="str">
        <f>IF(OR(VLOOKUP(Table13134[[#This Row],[Ln'#]],Advanced!A$5:AU$54,15,FALSE)="E",VLOOKUP(Table13134[[#This Row],[Ln'#]],Advanced!A$5:AU$54,15,FALSE)="FEO"),"x","")</f>
        <v/>
      </c>
      <c r="D97" s="48"/>
      <c r="E97" s="48"/>
      <c r="F97" s="48" t="str">
        <f>IF(AND(Table13134[[#This Row],[Status Container]]="",Table13134[[#This Row],[Status Interior]]=""),"",VLOOKUP(Table13134[[#This Row],[Ln'#]],Advanced!$A$5:$AU$54,3,FALSE))</f>
        <v/>
      </c>
      <c r="G97" s="51" t="str">
        <f>IF(Table13134[[#This Row],[Dog ID]]="","",(VLOOKUP(Table13134[[#This Row],[Dog ID]],Advanced!C$5:$D$54,2,FALSE)&amp;" - " &amp;VLOOKUP(Table13134[[#This Row],[Dog ID]],'SDDA Dogs'!A:C,3,FALSE)))</f>
        <v/>
      </c>
      <c r="H97" s="51" t="str">
        <f>IF(Table13134[[#This Row],[Dog ID]]="","",(VLOOKUP(Table13134[[#This Row],[Dog ID]],Advanced!C$5:$AU93,45,FALSE)))</f>
        <v/>
      </c>
    </row>
    <row r="98" spans="1:9" ht="30" customHeight="1" x14ac:dyDescent="0.45">
      <c r="A98" s="49">
        <v>41</v>
      </c>
      <c r="B98" s="144" t="str">
        <f>IF(OR(VLOOKUP(Table13134[[#This Row],[Ln'#]],Advanced!A$5:AU$54,7,FALSE)="E",VLOOKUP(Table13134[[#This Row],[Ln'#]],Advanced!A$5:AU$54,7,FALSE)="FEO"),"x","")</f>
        <v/>
      </c>
      <c r="C98" s="144" t="str">
        <f>IF(OR(VLOOKUP(Table13134[[#This Row],[Ln'#]],Advanced!A$5:AU$54,15,FALSE)="E",VLOOKUP(Table13134[[#This Row],[Ln'#]],Advanced!A$5:AU$54,15,FALSE)="FEO"),"x","")</f>
        <v/>
      </c>
      <c r="D98" s="48"/>
      <c r="E98" s="48"/>
      <c r="F98" s="48" t="str">
        <f>IF(AND(Table13134[[#This Row],[Status Container]]="",Table13134[[#This Row],[Status Interior]]=""),"",VLOOKUP(Table13134[[#This Row],[Ln'#]],Advanced!$A$5:$AU$54,3,FALSE))</f>
        <v/>
      </c>
      <c r="G98" s="51" t="str">
        <f>IF(Table13134[[#This Row],[Dog ID]]="","",(VLOOKUP(Table13134[[#This Row],[Dog ID]],Advanced!C$5:$D$54,2,FALSE)&amp;" - " &amp;VLOOKUP(Table13134[[#This Row],[Dog ID]],'SDDA Dogs'!A:C,3,FALSE)))</f>
        <v/>
      </c>
      <c r="H98" s="51" t="str">
        <f>IF(Table13134[[#This Row],[Dog ID]]="","",(VLOOKUP(Table13134[[#This Row],[Dog ID]],Advanced!C$5:$AU94,45,FALSE)))</f>
        <v/>
      </c>
    </row>
    <row r="99" spans="1:9" ht="30" customHeight="1" x14ac:dyDescent="0.45">
      <c r="A99" s="49">
        <v>42</v>
      </c>
      <c r="B99" s="144" t="str">
        <f>IF(OR(VLOOKUP(Table13134[[#This Row],[Ln'#]],Advanced!A$5:AU$54,7,FALSE)="E",VLOOKUP(Table13134[[#This Row],[Ln'#]],Advanced!A$5:AU$54,7,FALSE)="FEO"),"x","")</f>
        <v/>
      </c>
      <c r="C99" s="144" t="str">
        <f>IF(OR(VLOOKUP(Table13134[[#This Row],[Ln'#]],Advanced!A$5:AU$54,15,FALSE)="E",VLOOKUP(Table13134[[#This Row],[Ln'#]],Advanced!A$5:AU$54,15,FALSE)="FEO"),"x","")</f>
        <v/>
      </c>
      <c r="D99" s="48"/>
      <c r="E99" s="48"/>
      <c r="F99" s="48" t="str">
        <f>IF(AND(Table13134[[#This Row],[Status Container]]="",Table13134[[#This Row],[Status Interior]]=""),"",VLOOKUP(Table13134[[#This Row],[Ln'#]],Advanced!$A$5:$AU$54,3,FALSE))</f>
        <v/>
      </c>
      <c r="G99" s="51" t="str">
        <f>IF(Table13134[[#This Row],[Dog ID]]="","",(VLOOKUP(Table13134[[#This Row],[Dog ID]],Advanced!C$5:$D$54,2,FALSE)&amp;" - " &amp;VLOOKUP(Table13134[[#This Row],[Dog ID]],'SDDA Dogs'!A:C,3,FALSE)))</f>
        <v/>
      </c>
      <c r="H99" s="51" t="str">
        <f>IF(Table13134[[#This Row],[Dog ID]]="","",(VLOOKUP(Table13134[[#This Row],[Dog ID]],Advanced!C$5:$AU95,45,FALSE)))</f>
        <v/>
      </c>
    </row>
    <row r="100" spans="1:9" ht="30" customHeight="1" x14ac:dyDescent="0.45">
      <c r="A100" s="49">
        <v>43</v>
      </c>
      <c r="B100" s="144" t="str">
        <f>IF(OR(VLOOKUP(Table13134[[#This Row],[Ln'#]],Advanced!A$5:AU$54,7,FALSE)="E",VLOOKUP(Table13134[[#This Row],[Ln'#]],Advanced!A$5:AU$54,7,FALSE)="FEO"),"x","")</f>
        <v/>
      </c>
      <c r="C100" s="144" t="str">
        <f>IF(OR(VLOOKUP(Table13134[[#This Row],[Ln'#]],Advanced!A$5:AU$54,15,FALSE)="E",VLOOKUP(Table13134[[#This Row],[Ln'#]],Advanced!A$5:AU$54,15,FALSE)="FEO"),"x","")</f>
        <v/>
      </c>
      <c r="D100" s="48"/>
      <c r="E100" s="48"/>
      <c r="F100" s="48" t="str">
        <f>IF(AND(Table13134[[#This Row],[Status Container]]="",Table13134[[#This Row],[Status Interior]]=""),"",VLOOKUP(Table13134[[#This Row],[Ln'#]],Advanced!$A$5:$AU$54,3,FALSE))</f>
        <v/>
      </c>
      <c r="G100" s="51" t="str">
        <f>IF(Table13134[[#This Row],[Dog ID]]="","",(VLOOKUP(Table13134[[#This Row],[Dog ID]],Advanced!C$5:$D$54,2,FALSE)&amp;" - " &amp;VLOOKUP(Table13134[[#This Row],[Dog ID]],'SDDA Dogs'!A:C,3,FALSE)))</f>
        <v/>
      </c>
      <c r="H100" s="51" t="str">
        <f>IF(Table13134[[#This Row],[Dog ID]]="","",(VLOOKUP(Table13134[[#This Row],[Dog ID]],Advanced!C$5:$AU96,45,FALSE)))</f>
        <v/>
      </c>
    </row>
    <row r="101" spans="1:9" ht="30" customHeight="1" x14ac:dyDescent="0.45">
      <c r="A101" s="49">
        <v>44</v>
      </c>
      <c r="B101" s="144" t="str">
        <f>IF(OR(VLOOKUP(Table13134[[#This Row],[Ln'#]],Advanced!A$5:AU$54,7,FALSE)="E",VLOOKUP(Table13134[[#This Row],[Ln'#]],Advanced!A$5:AU$54,7,FALSE)="FEO"),"x","")</f>
        <v/>
      </c>
      <c r="C101" s="144" t="str">
        <f>IF(OR(VLOOKUP(Table13134[[#This Row],[Ln'#]],Advanced!A$5:AU$54,15,FALSE)="E",VLOOKUP(Table13134[[#This Row],[Ln'#]],Advanced!A$5:AU$54,15,FALSE)="FEO"),"x","")</f>
        <v/>
      </c>
      <c r="D101" s="48"/>
      <c r="E101" s="48"/>
      <c r="F101" s="48" t="str">
        <f>IF(AND(Table13134[[#This Row],[Status Container]]="",Table13134[[#This Row],[Status Interior]]=""),"",VLOOKUP(Table13134[[#This Row],[Ln'#]],Advanced!$A$5:$AU$54,3,FALSE))</f>
        <v/>
      </c>
      <c r="G101" s="51" t="str">
        <f>IF(Table13134[[#This Row],[Dog ID]]="","",(VLOOKUP(Table13134[[#This Row],[Dog ID]],Advanced!C$5:$D$54,2,FALSE)&amp;" - " &amp;VLOOKUP(Table13134[[#This Row],[Dog ID]],'SDDA Dogs'!A:C,3,FALSE)))</f>
        <v/>
      </c>
      <c r="H101" s="51" t="str">
        <f>IF(Table13134[[#This Row],[Dog ID]]="","",(VLOOKUP(Table13134[[#This Row],[Dog ID]],Advanced!C$5:$AU97,45,FALSE)))</f>
        <v/>
      </c>
    </row>
    <row r="102" spans="1:9" ht="30" customHeight="1" x14ac:dyDescent="0.45">
      <c r="A102" s="49">
        <v>45</v>
      </c>
      <c r="B102" s="144" t="str">
        <f>IF(OR(VLOOKUP(Table13134[[#This Row],[Ln'#]],Advanced!A$5:AU$54,7,FALSE)="E",VLOOKUP(Table13134[[#This Row],[Ln'#]],Advanced!A$5:AU$54,7,FALSE)="FEO"),"x","")</f>
        <v/>
      </c>
      <c r="C102" s="144" t="str">
        <f>IF(OR(VLOOKUP(Table13134[[#This Row],[Ln'#]],Advanced!A$5:AU$54,15,FALSE)="E",VLOOKUP(Table13134[[#This Row],[Ln'#]],Advanced!A$5:AU$54,15,FALSE)="FEO"),"x","")</f>
        <v/>
      </c>
      <c r="D102" s="48"/>
      <c r="E102" s="48"/>
      <c r="F102" s="48" t="str">
        <f>IF(AND(Table13134[[#This Row],[Status Container]]="",Table13134[[#This Row],[Status Interior]]=""),"",VLOOKUP(Table13134[[#This Row],[Ln'#]],Advanced!$A$5:$AU$54,3,FALSE))</f>
        <v/>
      </c>
      <c r="G102" s="51" t="str">
        <f>IF(Table13134[[#This Row],[Dog ID]]="","",(VLOOKUP(Table13134[[#This Row],[Dog ID]],Advanced!C$5:$D$54,2,FALSE)&amp;" - " &amp;VLOOKUP(Table13134[[#This Row],[Dog ID]],'SDDA Dogs'!A:C,3,FALSE)))</f>
        <v/>
      </c>
      <c r="H102" s="51" t="str">
        <f>IF(Table13134[[#This Row],[Dog ID]]="","",(VLOOKUP(Table13134[[#This Row],[Dog ID]],Advanced!C$5:$AU98,45,FALSE)))</f>
        <v/>
      </c>
    </row>
    <row r="103" spans="1:9" ht="30" customHeight="1" x14ac:dyDescent="0.45">
      <c r="A103" s="49">
        <v>46</v>
      </c>
      <c r="B103" s="144" t="str">
        <f>IF(OR(VLOOKUP(Table13134[[#This Row],[Ln'#]],Advanced!A$5:AU$54,7,FALSE)="E",VLOOKUP(Table13134[[#This Row],[Ln'#]],Advanced!A$5:AU$54,7,FALSE)="FEO"),"x","")</f>
        <v/>
      </c>
      <c r="C103" s="144" t="str">
        <f>IF(OR(VLOOKUP(Table13134[[#This Row],[Ln'#]],Advanced!A$5:AU$54,15,FALSE)="E",VLOOKUP(Table13134[[#This Row],[Ln'#]],Advanced!A$5:AU$54,15,FALSE)="FEO"),"x","")</f>
        <v/>
      </c>
      <c r="D103" s="48"/>
      <c r="E103" s="48"/>
      <c r="F103" s="48" t="str">
        <f>IF(AND(Table13134[[#This Row],[Status Container]]="",Table13134[[#This Row],[Status Interior]]=""),"",VLOOKUP(Table13134[[#This Row],[Ln'#]],Advanced!$A$5:$AU$54,3,FALSE))</f>
        <v/>
      </c>
      <c r="G103" s="51" t="str">
        <f>IF(Table13134[[#This Row],[Dog ID]]="","",(VLOOKUP(Table13134[[#This Row],[Dog ID]],Advanced!C$5:$D$54,2,FALSE)&amp;" - " &amp;VLOOKUP(Table13134[[#This Row],[Dog ID]],'SDDA Dogs'!A:C,3,FALSE)))</f>
        <v/>
      </c>
      <c r="H103" s="51" t="str">
        <f>IF(Table13134[[#This Row],[Dog ID]]="","",(VLOOKUP(Table13134[[#This Row],[Dog ID]],Advanced!C$5:$AU99,45,FALSE)))</f>
        <v/>
      </c>
    </row>
    <row r="104" spans="1:9" ht="30" customHeight="1" x14ac:dyDescent="0.45">
      <c r="A104" s="49">
        <v>47</v>
      </c>
      <c r="B104" s="144" t="str">
        <f>IF(OR(VLOOKUP(Table13134[[#This Row],[Ln'#]],Advanced!A$5:AU$54,7,FALSE)="E",VLOOKUP(Table13134[[#This Row],[Ln'#]],Advanced!A$5:AU$54,7,FALSE)="FEO"),"x","")</f>
        <v/>
      </c>
      <c r="C104" s="144" t="str">
        <f>IF(OR(VLOOKUP(Table13134[[#This Row],[Ln'#]],Advanced!A$5:AU$54,15,FALSE)="E",VLOOKUP(Table13134[[#This Row],[Ln'#]],Advanced!A$5:AU$54,15,FALSE)="FEO"),"x","")</f>
        <v/>
      </c>
      <c r="D104" s="48"/>
      <c r="E104" s="48"/>
      <c r="F104" s="48" t="str">
        <f>IF(AND(Table13134[[#This Row],[Status Container]]="",Table13134[[#This Row],[Status Interior]]=""),"",VLOOKUP(Table13134[[#This Row],[Ln'#]],Advanced!$A$5:$AU$54,3,FALSE))</f>
        <v/>
      </c>
      <c r="G104" s="51" t="str">
        <f>IF(Table13134[[#This Row],[Dog ID]]="","",(VLOOKUP(Table13134[[#This Row],[Dog ID]],Advanced!C$5:$D$54,2,FALSE)&amp;" - " &amp;VLOOKUP(Table13134[[#This Row],[Dog ID]],'SDDA Dogs'!A:C,3,FALSE)))</f>
        <v/>
      </c>
      <c r="H104" s="51" t="str">
        <f>IF(Table13134[[#This Row],[Dog ID]]="","",(VLOOKUP(Table13134[[#This Row],[Dog ID]],Advanced!C$5:$AU100,45,FALSE)))</f>
        <v/>
      </c>
    </row>
    <row r="105" spans="1:9" ht="30" customHeight="1" x14ac:dyDescent="0.45">
      <c r="A105" s="49">
        <v>48</v>
      </c>
      <c r="B105" s="144" t="str">
        <f>IF(OR(VLOOKUP(Table13134[[#This Row],[Ln'#]],Advanced!A$5:AU$54,7,FALSE)="E",VLOOKUP(Table13134[[#This Row],[Ln'#]],Advanced!A$5:AU$54,7,FALSE)="FEO"),"x","")</f>
        <v/>
      </c>
      <c r="C105" s="144" t="str">
        <f>IF(OR(VLOOKUP(Table13134[[#This Row],[Ln'#]],Advanced!A$5:AU$54,15,FALSE)="E",VLOOKUP(Table13134[[#This Row],[Ln'#]],Advanced!A$5:AU$54,15,FALSE)="FEO"),"x","")</f>
        <v/>
      </c>
      <c r="D105" s="48"/>
      <c r="E105" s="48"/>
      <c r="F105" s="48" t="str">
        <f>IF(AND(Table13134[[#This Row],[Status Container]]="",Table13134[[#This Row],[Status Interior]]=""),"",VLOOKUP(Table13134[[#This Row],[Ln'#]],Advanced!$A$5:$AU$54,3,FALSE))</f>
        <v/>
      </c>
      <c r="G105" s="51" t="str">
        <f>IF(Table13134[[#This Row],[Dog ID]]="","",(VLOOKUP(Table13134[[#This Row],[Dog ID]],Advanced!C$5:$D$54,2,FALSE)&amp;" - " &amp;VLOOKUP(Table13134[[#This Row],[Dog ID]],'SDDA Dogs'!A:C,3,FALSE)))</f>
        <v/>
      </c>
      <c r="H105" s="51" t="str">
        <f>IF(Table13134[[#This Row],[Dog ID]]="","",(VLOOKUP(Table13134[[#This Row],[Dog ID]],Advanced!C$5:$AU101,45,FALSE)))</f>
        <v/>
      </c>
    </row>
    <row r="106" spans="1:9" ht="30" customHeight="1" x14ac:dyDescent="0.45">
      <c r="A106" s="49">
        <v>49</v>
      </c>
      <c r="B106" s="144" t="str">
        <f>IF(OR(VLOOKUP(Table13134[[#This Row],[Ln'#]],Advanced!A$5:AU$54,7,FALSE)="E",VLOOKUP(Table13134[[#This Row],[Ln'#]],Advanced!A$5:AU$54,7,FALSE)="FEO"),"x","")</f>
        <v/>
      </c>
      <c r="C106" s="144" t="str">
        <f>IF(OR(VLOOKUP(Table13134[[#This Row],[Ln'#]],Advanced!A$5:AU$54,15,FALSE)="E",VLOOKUP(Table13134[[#This Row],[Ln'#]],Advanced!A$5:AU$54,15,FALSE)="FEO"),"x","")</f>
        <v/>
      </c>
      <c r="D106" s="48"/>
      <c r="E106" s="48"/>
      <c r="F106" s="48" t="str">
        <f>IF(AND(Table13134[[#This Row],[Status Container]]="",Table13134[[#This Row],[Status Interior]]=""),"",VLOOKUP(Table13134[[#This Row],[Ln'#]],Advanced!$A$5:$AU$54,3,FALSE))</f>
        <v/>
      </c>
      <c r="G106" s="51" t="str">
        <f>IF(Table13134[[#This Row],[Dog ID]]="","",(VLOOKUP(Table13134[[#This Row],[Dog ID]],Advanced!C$5:$D$54,2,FALSE)&amp;" - " &amp;VLOOKUP(Table13134[[#This Row],[Dog ID]],'SDDA Dogs'!A:C,3,FALSE)))</f>
        <v/>
      </c>
      <c r="H106" s="51" t="str">
        <f>IF(Table13134[[#This Row],[Dog ID]]="","",(VLOOKUP(Table13134[[#This Row],[Dog ID]],Advanced!C$5:$AU102,45,FALSE)))</f>
        <v/>
      </c>
    </row>
    <row r="107" spans="1:9" ht="30" customHeight="1" x14ac:dyDescent="0.45">
      <c r="A107" s="49">
        <v>50</v>
      </c>
      <c r="B107" s="144" t="str">
        <f>IF(OR(VLOOKUP(Table13134[[#This Row],[Ln'#]],Advanced!A$5:AU$54,7,FALSE)="E",VLOOKUP(Table13134[[#This Row],[Ln'#]],Advanced!A$5:AU$54,7,FALSE)="FEO"),"x","")</f>
        <v/>
      </c>
      <c r="C107" s="144" t="str">
        <f>IF(OR(VLOOKUP(Table13134[[#This Row],[Ln'#]],Advanced!A$5:AU$54,15,FALSE)="E",VLOOKUP(Table13134[[#This Row],[Ln'#]],Advanced!A$5:AU$54,15,FALSE)="FEO"),"x","")</f>
        <v/>
      </c>
      <c r="D107" s="48"/>
      <c r="E107" s="48"/>
      <c r="F107" s="48" t="str">
        <f>IF(AND(Table13134[[#This Row],[Status Container]]="",Table13134[[#This Row],[Status Interior]]=""),"",VLOOKUP(Table13134[[#This Row],[Ln'#]],Advanced!$A$5:$AU$54,3,FALSE))</f>
        <v/>
      </c>
      <c r="G107" s="51" t="str">
        <f>IF(Table13134[[#This Row],[Dog ID]]="","",(VLOOKUP(Table13134[[#This Row],[Dog ID]],Advanced!C$5:$D$54,2,FALSE)&amp;" - " &amp;VLOOKUP(Table13134[[#This Row],[Dog ID]],'SDDA Dogs'!A:C,3,FALSE)))</f>
        <v/>
      </c>
      <c r="H107" s="51" t="str">
        <f>IF(Table13134[[#This Row],[Dog ID]]="","",(VLOOKUP(Table13134[[#This Row],[Dog ID]],Advanced!C$5:$AU103,45,FALSE)))</f>
        <v/>
      </c>
    </row>
    <row r="108" spans="1:9" ht="30" customHeight="1" x14ac:dyDescent="0.4">
      <c r="A108" s="48"/>
      <c r="B108" s="48"/>
      <c r="C108" s="48"/>
      <c r="D108" s="48" t="s">
        <v>1141</v>
      </c>
      <c r="E108" s="48">
        <f>SUBTOTAL(102,Table13134[Running Order])</f>
        <v>0</v>
      </c>
      <c r="F108" s="48"/>
      <c r="G108" s="51"/>
      <c r="H108" s="51"/>
    </row>
    <row r="109" spans="1:9" ht="30" customHeight="1" x14ac:dyDescent="0.4">
      <c r="A109" s="48"/>
      <c r="B109" s="48"/>
      <c r="C109" s="48"/>
      <c r="D109" s="48"/>
      <c r="E109" s="48"/>
      <c r="F109" s="48"/>
      <c r="G109" s="48"/>
      <c r="H109" s="51"/>
      <c r="I109" s="51"/>
    </row>
    <row r="110" spans="1:9" ht="30" customHeight="1" x14ac:dyDescent="0.4">
      <c r="A110" s="402" t="s">
        <v>1143</v>
      </c>
      <c r="B110" s="402"/>
      <c r="C110" s="43"/>
      <c r="D110" s="403" t="s">
        <v>1183</v>
      </c>
      <c r="E110" s="403"/>
      <c r="F110" s="403"/>
      <c r="G110" s="403"/>
      <c r="H110" s="403"/>
      <c r="I110" s="403"/>
    </row>
    <row r="111" spans="1:9" ht="54" customHeight="1" x14ac:dyDescent="0.4">
      <c r="A111" s="67" t="s">
        <v>605</v>
      </c>
      <c r="B111" s="67" t="s">
        <v>1139</v>
      </c>
      <c r="C111" s="68" t="s">
        <v>12407</v>
      </c>
      <c r="D111" s="67" t="s">
        <v>1142</v>
      </c>
      <c r="E111" s="67" t="s">
        <v>1135</v>
      </c>
      <c r="F111" s="67" t="s">
        <v>1136</v>
      </c>
      <c r="G111" s="69" t="s">
        <v>1207</v>
      </c>
      <c r="H111" s="69" t="s">
        <v>1137</v>
      </c>
    </row>
    <row r="112" spans="1:9" ht="30" customHeight="1" x14ac:dyDescent="0.4">
      <c r="A112" s="49">
        <v>1</v>
      </c>
      <c r="B112" s="49" t="str">
        <f>IF(OR(VLOOKUP(Table1710[[#This Row],[Ln'#]],Advanced!A$5:AU$54,15,FALSE)="E",VLOOKUP(Table1710[[#This Row],[Ln'#]],Advanced!A$5:AU$54,15,FALSE)="FEO"),"Entered or FEO","Not Entered")</f>
        <v>Not Entered</v>
      </c>
      <c r="C112" s="50" t="str">
        <f t="shared" ref="C112:C161" ca="1" si="2">IF(OR(B112="e",B112="FEO"),RAND(),"")</f>
        <v/>
      </c>
      <c r="D112" s="48"/>
      <c r="E112" s="48"/>
      <c r="F112" s="48" t="str">
        <f>IF(Table1710[[#This Row],[Status]]="Not Entered","",VLOOKUP(Table1710[[#This Row],[Ln'#]],Advanced!$A$5:$AU$54,3,FALSE))</f>
        <v/>
      </c>
      <c r="G112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2" s="51" t="str">
        <f>IF(Table1710[[#This Row],[Status]]="Not Entered","",VLOOKUP(Table1710[[#This Row],[Ln'#]],Advanced!$A$4:$AU$54,47,FALSE))</f>
        <v/>
      </c>
    </row>
    <row r="113" spans="1:8" ht="30" customHeight="1" x14ac:dyDescent="0.4">
      <c r="A113" s="49">
        <v>2</v>
      </c>
      <c r="B113" s="49" t="str">
        <f>IF(OR(VLOOKUP(Table1710[[#This Row],[Ln'#]],Advanced!A$5:AU$54,15,FALSE)="E",VLOOKUP(Table1710[[#This Row],[Ln'#]],Advanced!A$5:AU$54,15,FALSE)="FEO"),"Entered or FEO","Not Entered")</f>
        <v>Not Entered</v>
      </c>
      <c r="C113" s="244" t="str">
        <f t="shared" ref="C113:C132" ca="1" si="3">IF(OR(B113="e",B113="FEO"),RAND(),"")</f>
        <v/>
      </c>
      <c r="D113" s="245"/>
      <c r="E113" s="245"/>
      <c r="F113" s="245" t="str">
        <f>IF(Table1710[[#This Row],[Status]]="Not Entered","",VLOOKUP(Table1710[[#This Row],[Ln'#]],Advanced!$A$5:$AU$54,3,FALSE))</f>
        <v/>
      </c>
      <c r="G113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3" s="247" t="str">
        <f>IF(Table1710[[#This Row],[Status]]="Not Entered","",VLOOKUP(Table1710[[#This Row],[Ln'#]],Advanced!$A$4:$AU$54,47,FALSE))</f>
        <v/>
      </c>
    </row>
    <row r="114" spans="1:8" ht="30" customHeight="1" x14ac:dyDescent="0.4">
      <c r="A114" s="49">
        <v>3</v>
      </c>
      <c r="B114" s="49" t="str">
        <f>IF(OR(VLOOKUP(Table1710[[#This Row],[Ln'#]],Advanced!A$5:AU$54,15,FALSE)="E",VLOOKUP(Table1710[[#This Row],[Ln'#]],Advanced!A$5:AU$54,15,FALSE)="FEO"),"Entered or FEO","Not Entered")</f>
        <v>Not Entered</v>
      </c>
      <c r="C114" s="244" t="str">
        <f t="shared" ca="1" si="3"/>
        <v/>
      </c>
      <c r="D114" s="245"/>
      <c r="E114" s="245"/>
      <c r="F114" s="245" t="str">
        <f>IF(Table1710[[#This Row],[Status]]="Not Entered","",VLOOKUP(Table1710[[#This Row],[Ln'#]],Advanced!$A$5:$AU$54,3,FALSE))</f>
        <v/>
      </c>
      <c r="G114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4" s="247" t="str">
        <f>IF(Table1710[[#This Row],[Status]]="Not Entered","",VLOOKUP(Table1710[[#This Row],[Ln'#]],Advanced!$A$4:$AU$54,47,FALSE))</f>
        <v/>
      </c>
    </row>
    <row r="115" spans="1:8" ht="30" customHeight="1" x14ac:dyDescent="0.4">
      <c r="A115" s="49">
        <v>4</v>
      </c>
      <c r="B115" s="49" t="str">
        <f>IF(OR(VLOOKUP(Table1710[[#This Row],[Ln'#]],Advanced!A$5:AU$54,15,FALSE)="E",VLOOKUP(Table1710[[#This Row],[Ln'#]],Advanced!A$5:AU$54,15,FALSE)="FEO"),"Entered or FEO","Not Entered")</f>
        <v>Not Entered</v>
      </c>
      <c r="C115" s="244" t="str">
        <f t="shared" ca="1" si="3"/>
        <v/>
      </c>
      <c r="D115" s="245"/>
      <c r="E115" s="245"/>
      <c r="F115" s="245" t="str">
        <f>IF(Table1710[[#This Row],[Status]]="Not Entered","",VLOOKUP(Table1710[[#This Row],[Ln'#]],Advanced!$A$5:$AU$54,3,FALSE))</f>
        <v/>
      </c>
      <c r="G115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5" s="247" t="str">
        <f>IF(Table1710[[#This Row],[Status]]="Not Entered","",VLOOKUP(Table1710[[#This Row],[Ln'#]],Advanced!$A$4:$AU$54,47,FALSE))</f>
        <v/>
      </c>
    </row>
    <row r="116" spans="1:8" ht="30" customHeight="1" x14ac:dyDescent="0.4">
      <c r="A116" s="49">
        <v>5</v>
      </c>
      <c r="B116" s="49" t="str">
        <f>IF(OR(VLOOKUP(Table1710[[#This Row],[Ln'#]],Advanced!A$5:AU$54,15,FALSE)="E",VLOOKUP(Table1710[[#This Row],[Ln'#]],Advanced!A$5:AU$54,15,FALSE)="FEO"),"Entered or FEO","Not Entered")</f>
        <v>Not Entered</v>
      </c>
      <c r="C116" s="244" t="str">
        <f t="shared" ca="1" si="3"/>
        <v/>
      </c>
      <c r="D116" s="245"/>
      <c r="E116" s="245"/>
      <c r="F116" s="245" t="str">
        <f>IF(Table1710[[#This Row],[Status]]="Not Entered","",VLOOKUP(Table1710[[#This Row],[Ln'#]],Advanced!$A$5:$AU$54,3,FALSE))</f>
        <v/>
      </c>
      <c r="G116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6" s="247" t="str">
        <f>IF(Table1710[[#This Row],[Status]]="Not Entered","",VLOOKUP(Table1710[[#This Row],[Ln'#]],Advanced!$A$4:$AU$54,47,FALSE))</f>
        <v/>
      </c>
    </row>
    <row r="117" spans="1:8" ht="30" customHeight="1" x14ac:dyDescent="0.4">
      <c r="A117" s="49">
        <v>6</v>
      </c>
      <c r="B117" s="49" t="str">
        <f>IF(OR(VLOOKUP(Table1710[[#This Row],[Ln'#]],Advanced!A$5:AU$54,15,FALSE)="E",VLOOKUP(Table1710[[#This Row],[Ln'#]],Advanced!A$5:AU$54,15,FALSE)="FEO"),"Entered or FEO","Not Entered")</f>
        <v>Not Entered</v>
      </c>
      <c r="C117" s="244" t="str">
        <f t="shared" ca="1" si="3"/>
        <v/>
      </c>
      <c r="D117" s="245"/>
      <c r="E117" s="245"/>
      <c r="F117" s="245" t="str">
        <f>IF(Table1710[[#This Row],[Status]]="Not Entered","",VLOOKUP(Table1710[[#This Row],[Ln'#]],Advanced!$A$5:$AU$54,3,FALSE))</f>
        <v/>
      </c>
      <c r="G117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7" s="247" t="str">
        <f>IF(Table1710[[#This Row],[Status]]="Not Entered","",VLOOKUP(Table1710[[#This Row],[Ln'#]],Advanced!$A$4:$AU$54,47,FALSE))</f>
        <v/>
      </c>
    </row>
    <row r="118" spans="1:8" ht="30" customHeight="1" x14ac:dyDescent="0.4">
      <c r="A118" s="49">
        <v>7</v>
      </c>
      <c r="B118" s="49" t="str">
        <f>IF(OR(VLOOKUP(Table1710[[#This Row],[Ln'#]],Advanced!A$5:AU$54,15,FALSE)="E",VLOOKUP(Table1710[[#This Row],[Ln'#]],Advanced!A$5:AU$54,15,FALSE)="FEO"),"Entered or FEO","Not Entered")</f>
        <v>Not Entered</v>
      </c>
      <c r="C118" s="244" t="str">
        <f t="shared" ca="1" si="3"/>
        <v/>
      </c>
      <c r="D118" s="245"/>
      <c r="E118" s="245"/>
      <c r="F118" s="245" t="str">
        <f>IF(Table1710[[#This Row],[Status]]="Not Entered","",VLOOKUP(Table1710[[#This Row],[Ln'#]],Advanced!$A$5:$AU$54,3,FALSE))</f>
        <v/>
      </c>
      <c r="G118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8" s="247" t="str">
        <f>IF(Table1710[[#This Row],[Status]]="Not Entered","",VLOOKUP(Table1710[[#This Row],[Ln'#]],Advanced!$A$4:$AU$54,47,FALSE))</f>
        <v/>
      </c>
    </row>
    <row r="119" spans="1:8" ht="30" customHeight="1" x14ac:dyDescent="0.4">
      <c r="A119" s="49">
        <v>8</v>
      </c>
      <c r="B119" s="49" t="str">
        <f>IF(OR(VLOOKUP(Table1710[[#This Row],[Ln'#]],Advanced!A$5:AU$54,15,FALSE)="E",VLOOKUP(Table1710[[#This Row],[Ln'#]],Advanced!A$5:AU$54,15,FALSE)="FEO"),"Entered or FEO","Not Entered")</f>
        <v>Not Entered</v>
      </c>
      <c r="C119" s="244" t="str">
        <f t="shared" ca="1" si="3"/>
        <v/>
      </c>
      <c r="D119" s="245"/>
      <c r="E119" s="245"/>
      <c r="F119" s="245" t="str">
        <f>IF(Table1710[[#This Row],[Status]]="Not Entered","",VLOOKUP(Table1710[[#This Row],[Ln'#]],Advanced!$A$5:$AU$54,3,FALSE))</f>
        <v/>
      </c>
      <c r="G119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9" s="247" t="str">
        <f>IF(Table1710[[#This Row],[Status]]="Not Entered","",VLOOKUP(Table1710[[#This Row],[Ln'#]],Advanced!$A$4:$AU$54,47,FALSE))</f>
        <v/>
      </c>
    </row>
    <row r="120" spans="1:8" ht="30" customHeight="1" x14ac:dyDescent="0.4">
      <c r="A120" s="49">
        <v>9</v>
      </c>
      <c r="B120" s="49" t="str">
        <f>IF(OR(VLOOKUP(Table1710[[#This Row],[Ln'#]],Advanced!A$5:AU$54,15,FALSE)="E",VLOOKUP(Table1710[[#This Row],[Ln'#]],Advanced!A$5:AU$54,15,FALSE)="FEO"),"Entered or FEO","Not Entered")</f>
        <v>Not Entered</v>
      </c>
      <c r="C120" s="244" t="str">
        <f t="shared" ca="1" si="3"/>
        <v/>
      </c>
      <c r="D120" s="245"/>
      <c r="E120" s="245"/>
      <c r="F120" s="245" t="str">
        <f>IF(Table1710[[#This Row],[Status]]="Not Entered","",VLOOKUP(Table1710[[#This Row],[Ln'#]],Advanced!$A$5:$AU$54,3,FALSE))</f>
        <v/>
      </c>
      <c r="G120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0" s="247" t="str">
        <f>IF(Table1710[[#This Row],[Status]]="Not Entered","",VLOOKUP(Table1710[[#This Row],[Ln'#]],Advanced!$A$4:$AU$54,47,FALSE))</f>
        <v/>
      </c>
    </row>
    <row r="121" spans="1:8" ht="30" customHeight="1" x14ac:dyDescent="0.4">
      <c r="A121" s="49">
        <v>10</v>
      </c>
      <c r="B121" s="49" t="str">
        <f>IF(OR(VLOOKUP(Table1710[[#This Row],[Ln'#]],Advanced!A$5:AU$54,15,FALSE)="E",VLOOKUP(Table1710[[#This Row],[Ln'#]],Advanced!A$5:AU$54,15,FALSE)="FEO"),"Entered or FEO","Not Entered")</f>
        <v>Not Entered</v>
      </c>
      <c r="C121" s="244" t="str">
        <f t="shared" ca="1" si="3"/>
        <v/>
      </c>
      <c r="D121" s="245"/>
      <c r="E121" s="245"/>
      <c r="F121" s="245" t="str">
        <f>IF(Table1710[[#This Row],[Status]]="Not Entered","",VLOOKUP(Table1710[[#This Row],[Ln'#]],Advanced!$A$5:$AU$54,3,FALSE))</f>
        <v/>
      </c>
      <c r="G121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1" s="247" t="str">
        <f>IF(Table1710[[#This Row],[Status]]="Not Entered","",VLOOKUP(Table1710[[#This Row],[Ln'#]],Advanced!$A$4:$AU$54,47,FALSE))</f>
        <v/>
      </c>
    </row>
    <row r="122" spans="1:8" ht="30" customHeight="1" x14ac:dyDescent="0.4">
      <c r="A122" s="49">
        <v>11</v>
      </c>
      <c r="B122" s="49" t="str">
        <f>IF(OR(VLOOKUP(Table1710[[#This Row],[Ln'#]],Advanced!A$5:AU$54,15,FALSE)="E",VLOOKUP(Table1710[[#This Row],[Ln'#]],Advanced!A$5:AU$54,15,FALSE)="FEO"),"Entered or FEO","Not Entered")</f>
        <v>Not Entered</v>
      </c>
      <c r="C122" s="244" t="str">
        <f t="shared" ca="1" si="3"/>
        <v/>
      </c>
      <c r="D122" s="245"/>
      <c r="E122" s="245"/>
      <c r="F122" s="245" t="str">
        <f>IF(Table1710[[#This Row],[Status]]="Not Entered","",VLOOKUP(Table1710[[#This Row],[Ln'#]],Advanced!$A$5:$AU$54,3,FALSE))</f>
        <v/>
      </c>
      <c r="G122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2" s="247" t="str">
        <f>IF(Table1710[[#This Row],[Status]]="Not Entered","",VLOOKUP(Table1710[[#This Row],[Ln'#]],Advanced!$A$4:$AU$54,47,FALSE))</f>
        <v/>
      </c>
    </row>
    <row r="123" spans="1:8" ht="30" customHeight="1" x14ac:dyDescent="0.4">
      <c r="A123" s="49">
        <v>12</v>
      </c>
      <c r="B123" s="49" t="str">
        <f>IF(OR(VLOOKUP(Table1710[[#This Row],[Ln'#]],Advanced!A$5:AU$54,15,FALSE)="E",VLOOKUP(Table1710[[#This Row],[Ln'#]],Advanced!A$5:AU$54,15,FALSE)="FEO"),"Entered or FEO","Not Entered")</f>
        <v>Not Entered</v>
      </c>
      <c r="C123" s="244" t="str">
        <f t="shared" ca="1" si="3"/>
        <v/>
      </c>
      <c r="D123" s="245"/>
      <c r="E123" s="245"/>
      <c r="F123" s="245" t="str">
        <f>IF(Table1710[[#This Row],[Status]]="Not Entered","",VLOOKUP(Table1710[[#This Row],[Ln'#]],Advanced!$A$5:$AU$54,3,FALSE))</f>
        <v/>
      </c>
      <c r="G123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3" s="247" t="str">
        <f>IF(Table1710[[#This Row],[Status]]="Not Entered","",VLOOKUP(Table1710[[#This Row],[Ln'#]],Advanced!$A$4:$AU$54,47,FALSE))</f>
        <v/>
      </c>
    </row>
    <row r="124" spans="1:8" ht="30" customHeight="1" x14ac:dyDescent="0.4">
      <c r="A124" s="49">
        <v>13</v>
      </c>
      <c r="B124" s="49" t="str">
        <f>IF(OR(VLOOKUP(Table1710[[#This Row],[Ln'#]],Advanced!A$5:AU$54,15,FALSE)="E",VLOOKUP(Table1710[[#This Row],[Ln'#]],Advanced!A$5:AU$54,15,FALSE)="FEO"),"Entered or FEO","Not Entered")</f>
        <v>Not Entered</v>
      </c>
      <c r="C124" s="244" t="str">
        <f t="shared" ca="1" si="3"/>
        <v/>
      </c>
      <c r="D124" s="245"/>
      <c r="E124" s="245"/>
      <c r="F124" s="245" t="str">
        <f>IF(Table1710[[#This Row],[Status]]="Not Entered","",VLOOKUP(Table1710[[#This Row],[Ln'#]],Advanced!$A$5:$AU$54,3,FALSE))</f>
        <v/>
      </c>
      <c r="G124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4" s="247" t="str">
        <f>IF(Table1710[[#This Row],[Status]]="Not Entered","",VLOOKUP(Table1710[[#This Row],[Ln'#]],Advanced!$A$4:$AU$54,47,FALSE))</f>
        <v/>
      </c>
    </row>
    <row r="125" spans="1:8" ht="30" customHeight="1" x14ac:dyDescent="0.4">
      <c r="A125" s="49">
        <v>14</v>
      </c>
      <c r="B125" s="49" t="str">
        <f>IF(OR(VLOOKUP(Table1710[[#This Row],[Ln'#]],Advanced!A$5:AU$54,15,FALSE)="E",VLOOKUP(Table1710[[#This Row],[Ln'#]],Advanced!A$5:AU$54,15,FALSE)="FEO"),"Entered or FEO","Not Entered")</f>
        <v>Not Entered</v>
      </c>
      <c r="C125" s="244" t="str">
        <f t="shared" ca="1" si="3"/>
        <v/>
      </c>
      <c r="D125" s="245"/>
      <c r="E125" s="245"/>
      <c r="F125" s="245" t="str">
        <f>IF(Table1710[[#This Row],[Status]]="Not Entered","",VLOOKUP(Table1710[[#This Row],[Ln'#]],Advanced!$A$5:$AU$54,3,FALSE))</f>
        <v/>
      </c>
      <c r="G125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5" s="247" t="str">
        <f>IF(Table1710[[#This Row],[Status]]="Not Entered","",VLOOKUP(Table1710[[#This Row],[Ln'#]],Advanced!$A$4:$AU$54,47,FALSE))</f>
        <v/>
      </c>
    </row>
    <row r="126" spans="1:8" ht="30" customHeight="1" x14ac:dyDescent="0.4">
      <c r="A126" s="49">
        <v>15</v>
      </c>
      <c r="B126" s="49" t="str">
        <f>IF(OR(VLOOKUP(Table1710[[#This Row],[Ln'#]],Advanced!A$5:AU$54,15,FALSE)="E",VLOOKUP(Table1710[[#This Row],[Ln'#]],Advanced!A$5:AU$54,15,FALSE)="FEO"),"Entered or FEO","Not Entered")</f>
        <v>Not Entered</v>
      </c>
      <c r="C126" s="244" t="str">
        <f t="shared" ca="1" si="3"/>
        <v/>
      </c>
      <c r="D126" s="245"/>
      <c r="E126" s="245"/>
      <c r="F126" s="245" t="str">
        <f>IF(Table1710[[#This Row],[Status]]="Not Entered","",VLOOKUP(Table1710[[#This Row],[Ln'#]],Advanced!$A$5:$AU$54,3,FALSE))</f>
        <v/>
      </c>
      <c r="G126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6" s="247" t="str">
        <f>IF(Table1710[[#This Row],[Status]]="Not Entered","",VLOOKUP(Table1710[[#This Row],[Ln'#]],Advanced!$A$4:$AU$54,47,FALSE))</f>
        <v/>
      </c>
    </row>
    <row r="127" spans="1:8" ht="30" customHeight="1" x14ac:dyDescent="0.4">
      <c r="A127" s="49">
        <v>16</v>
      </c>
      <c r="B127" s="49" t="str">
        <f>IF(OR(VLOOKUP(Table1710[[#This Row],[Ln'#]],Advanced!A$5:AU$54,15,FALSE)="E",VLOOKUP(Table1710[[#This Row],[Ln'#]],Advanced!A$5:AU$54,15,FALSE)="FEO"),"Entered or FEO","Not Entered")</f>
        <v>Not Entered</v>
      </c>
      <c r="C127" s="244" t="str">
        <f t="shared" ca="1" si="3"/>
        <v/>
      </c>
      <c r="D127" s="245"/>
      <c r="E127" s="245"/>
      <c r="F127" s="245" t="str">
        <f>IF(Table1710[[#This Row],[Status]]="Not Entered","",VLOOKUP(Table1710[[#This Row],[Ln'#]],Advanced!$A$5:$AU$54,3,FALSE))</f>
        <v/>
      </c>
      <c r="G127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7" s="247" t="str">
        <f>IF(Table1710[[#This Row],[Status]]="Not Entered","",VLOOKUP(Table1710[[#This Row],[Ln'#]],Advanced!$A$4:$AU$54,47,FALSE))</f>
        <v/>
      </c>
    </row>
    <row r="128" spans="1:8" ht="30" customHeight="1" x14ac:dyDescent="0.4">
      <c r="A128" s="49">
        <v>17</v>
      </c>
      <c r="B128" s="49" t="str">
        <f>IF(OR(VLOOKUP(Table1710[[#This Row],[Ln'#]],Advanced!A$5:AU$54,15,FALSE)="E",VLOOKUP(Table1710[[#This Row],[Ln'#]],Advanced!A$5:AU$54,15,FALSE)="FEO"),"Entered or FEO","Not Entered")</f>
        <v>Not Entered</v>
      </c>
      <c r="C128" s="244" t="str">
        <f t="shared" ca="1" si="3"/>
        <v/>
      </c>
      <c r="D128" s="245"/>
      <c r="E128" s="245"/>
      <c r="F128" s="245" t="str">
        <f>IF(Table1710[[#This Row],[Status]]="Not Entered","",VLOOKUP(Table1710[[#This Row],[Ln'#]],Advanced!$A$5:$AU$54,3,FALSE))</f>
        <v/>
      </c>
      <c r="G128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8" s="247" t="str">
        <f>IF(Table1710[[#This Row],[Status]]="Not Entered","",VLOOKUP(Table1710[[#This Row],[Ln'#]],Advanced!$A$4:$AU$54,47,FALSE))</f>
        <v/>
      </c>
    </row>
    <row r="129" spans="1:8" ht="30" customHeight="1" x14ac:dyDescent="0.4">
      <c r="A129" s="49">
        <v>18</v>
      </c>
      <c r="B129" s="49" t="str">
        <f>IF(OR(VLOOKUP(Table1710[[#This Row],[Ln'#]],Advanced!A$5:AU$54,15,FALSE)="E",VLOOKUP(Table1710[[#This Row],[Ln'#]],Advanced!A$5:AU$54,15,FALSE)="FEO"),"Entered or FEO","Not Entered")</f>
        <v>Not Entered</v>
      </c>
      <c r="C129" s="244" t="str">
        <f t="shared" ca="1" si="3"/>
        <v/>
      </c>
      <c r="D129" s="245"/>
      <c r="E129" s="245"/>
      <c r="F129" s="245" t="str">
        <f>IF(Table1710[[#This Row],[Status]]="Not Entered","",VLOOKUP(Table1710[[#This Row],[Ln'#]],Advanced!$A$5:$AU$54,3,FALSE))</f>
        <v/>
      </c>
      <c r="G129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9" s="247" t="str">
        <f>IF(Table1710[[#This Row],[Status]]="Not Entered","",VLOOKUP(Table1710[[#This Row],[Ln'#]],Advanced!$A$4:$AU$54,47,FALSE))</f>
        <v/>
      </c>
    </row>
    <row r="130" spans="1:8" ht="30" customHeight="1" x14ac:dyDescent="0.4">
      <c r="A130" s="49">
        <v>19</v>
      </c>
      <c r="B130" s="49" t="str">
        <f>IF(OR(VLOOKUP(Table1710[[#This Row],[Ln'#]],Advanced!A$5:AU$54,15,FALSE)="E",VLOOKUP(Table1710[[#This Row],[Ln'#]],Advanced!A$5:AU$54,15,FALSE)="FEO"),"Entered or FEO","Not Entered")</f>
        <v>Not Entered</v>
      </c>
      <c r="C130" s="244" t="str">
        <f t="shared" ca="1" si="3"/>
        <v/>
      </c>
      <c r="D130" s="245"/>
      <c r="E130" s="245"/>
      <c r="F130" s="245" t="str">
        <f>IF(Table1710[[#This Row],[Status]]="Not Entered","",VLOOKUP(Table1710[[#This Row],[Ln'#]],Advanced!$A$5:$AU$54,3,FALSE))</f>
        <v/>
      </c>
      <c r="G130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0" s="247" t="str">
        <f>IF(Table1710[[#This Row],[Status]]="Not Entered","",VLOOKUP(Table1710[[#This Row],[Ln'#]],Advanced!$A$4:$AU$54,47,FALSE))</f>
        <v/>
      </c>
    </row>
    <row r="131" spans="1:8" ht="30" customHeight="1" x14ac:dyDescent="0.4">
      <c r="A131" s="49">
        <v>20</v>
      </c>
      <c r="B131" s="49" t="str">
        <f>IF(OR(VLOOKUP(Table1710[[#This Row],[Ln'#]],Advanced!A$5:AU$54,15,FALSE)="E",VLOOKUP(Table1710[[#This Row],[Ln'#]],Advanced!A$5:AU$54,15,FALSE)="FEO"),"Entered or FEO","Not Entered")</f>
        <v>Not Entered</v>
      </c>
      <c r="C131" s="244" t="str">
        <f t="shared" ca="1" si="3"/>
        <v/>
      </c>
      <c r="D131" s="245"/>
      <c r="E131" s="245"/>
      <c r="F131" s="245" t="str">
        <f>IF(Table1710[[#This Row],[Status]]="Not Entered","",VLOOKUP(Table1710[[#This Row],[Ln'#]],Advanced!$A$5:$AU$54,3,FALSE))</f>
        <v/>
      </c>
      <c r="G131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1" s="247" t="str">
        <f>IF(Table1710[[#This Row],[Status]]="Not Entered","",VLOOKUP(Table1710[[#This Row],[Ln'#]],Advanced!$A$4:$AU$54,47,FALSE))</f>
        <v/>
      </c>
    </row>
    <row r="132" spans="1:8" ht="30" customHeight="1" x14ac:dyDescent="0.4">
      <c r="A132" s="49">
        <v>21</v>
      </c>
      <c r="B132" s="49" t="str">
        <f>IF(OR(VLOOKUP(Table1710[[#This Row],[Ln'#]],Advanced!A$5:AU$54,15,FALSE)="E",VLOOKUP(Table1710[[#This Row],[Ln'#]],Advanced!A$5:AU$54,15,FALSE)="FEO"),"Entered or FEO","Not Entered")</f>
        <v>Not Entered</v>
      </c>
      <c r="C132" s="244" t="str">
        <f t="shared" ca="1" si="3"/>
        <v/>
      </c>
      <c r="D132" s="245"/>
      <c r="E132" s="245"/>
      <c r="F132" s="245" t="str">
        <f>IF(Table1710[[#This Row],[Status]]="Not Entered","",VLOOKUP(Table1710[[#This Row],[Ln'#]],Advanced!$A$5:$AU$54,3,FALSE))</f>
        <v/>
      </c>
      <c r="G132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2" s="247" t="str">
        <f>IF(Table1710[[#This Row],[Status]]="Not Entered","",VLOOKUP(Table1710[[#This Row],[Ln'#]],Advanced!$A$4:$AU$54,47,FALSE))</f>
        <v/>
      </c>
    </row>
    <row r="133" spans="1:8" ht="30" customHeight="1" x14ac:dyDescent="0.4">
      <c r="A133" s="49">
        <v>22</v>
      </c>
      <c r="B133" s="49" t="str">
        <f>IF(OR(VLOOKUP(Table1710[[#This Row],[Ln'#]],Advanced!A$5:AU$54,15,FALSE)="E",VLOOKUP(Table1710[[#This Row],[Ln'#]],Advanced!A$5:AU$54,15,FALSE)="FEO"),"Entered or FEO","Not Entered")</f>
        <v>Not Entered</v>
      </c>
      <c r="C133" s="50" t="str">
        <f t="shared" ca="1" si="2"/>
        <v/>
      </c>
      <c r="D133" s="48"/>
      <c r="E133" s="48"/>
      <c r="F133" s="48" t="str">
        <f>IF(Table1710[[#This Row],[Status]]="Not Entered","",VLOOKUP(Table1710[[#This Row],[Ln'#]],Advanced!$A$5:$AU$54,3,FALSE))</f>
        <v/>
      </c>
      <c r="G133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3" s="51" t="str">
        <f>IF(Table1710[[#This Row],[Status]]="Not Entered","",VLOOKUP(Table1710[[#This Row],[Ln'#]],Advanced!$A$4:$AU$54,47,FALSE))</f>
        <v/>
      </c>
    </row>
    <row r="134" spans="1:8" ht="30" customHeight="1" x14ac:dyDescent="0.4">
      <c r="A134" s="49">
        <v>23</v>
      </c>
      <c r="B134" s="49" t="str">
        <f>IF(OR(VLOOKUP(Table1710[[#This Row],[Ln'#]],Advanced!A$5:AU$54,15,FALSE)="E",VLOOKUP(Table1710[[#This Row],[Ln'#]],Advanced!A$5:AU$54,15,FALSE)="FEO"),"Entered or FEO","Not Entered")</f>
        <v>Not Entered</v>
      </c>
      <c r="C134" s="50" t="str">
        <f t="shared" ca="1" si="2"/>
        <v/>
      </c>
      <c r="D134" s="48"/>
      <c r="E134" s="48"/>
      <c r="F134" s="48" t="str">
        <f>IF(Table1710[[#This Row],[Status]]="Not Entered","",VLOOKUP(Table1710[[#This Row],[Ln'#]],Advanced!$A$5:$AU$54,3,FALSE))</f>
        <v/>
      </c>
      <c r="G134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4" s="51" t="str">
        <f>IF(Table1710[[#This Row],[Status]]="Not Entered","",VLOOKUP(Table1710[[#This Row],[Ln'#]],Advanced!$A$4:$AU$54,47,FALSE))</f>
        <v/>
      </c>
    </row>
    <row r="135" spans="1:8" ht="30" customHeight="1" x14ac:dyDescent="0.4">
      <c r="A135" s="49">
        <v>24</v>
      </c>
      <c r="B135" s="49" t="str">
        <f>IF(OR(VLOOKUP(Table1710[[#This Row],[Ln'#]],Advanced!A$5:AU$54,15,FALSE)="E",VLOOKUP(Table1710[[#This Row],[Ln'#]],Advanced!A$5:AU$54,15,FALSE)="FEO"),"Entered or FEO","Not Entered")</f>
        <v>Not Entered</v>
      </c>
      <c r="C135" s="50" t="str">
        <f t="shared" ca="1" si="2"/>
        <v/>
      </c>
      <c r="D135" s="48"/>
      <c r="E135" s="48"/>
      <c r="F135" s="48" t="str">
        <f>IF(Table1710[[#This Row],[Status]]="Not Entered","",VLOOKUP(Table1710[[#This Row],[Ln'#]],Advanced!$A$5:$AU$54,3,FALSE))</f>
        <v/>
      </c>
      <c r="G135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5" s="51" t="str">
        <f>IF(Table1710[[#This Row],[Status]]="Not Entered","",VLOOKUP(Table1710[[#This Row],[Ln'#]],Advanced!$A$4:$AU$54,47,FALSE))</f>
        <v/>
      </c>
    </row>
    <row r="136" spans="1:8" ht="30" customHeight="1" x14ac:dyDescent="0.4">
      <c r="A136" s="49">
        <v>25</v>
      </c>
      <c r="B136" s="49" t="str">
        <f>IF(OR(VLOOKUP(Table1710[[#This Row],[Ln'#]],Advanced!A$5:AU$54,15,FALSE)="E",VLOOKUP(Table1710[[#This Row],[Ln'#]],Advanced!A$5:AU$54,15,FALSE)="FEO"),"Entered or FEO","Not Entered")</f>
        <v>Not Entered</v>
      </c>
      <c r="C136" s="50" t="str">
        <f t="shared" ca="1" si="2"/>
        <v/>
      </c>
      <c r="D136" s="48"/>
      <c r="E136" s="48"/>
      <c r="F136" s="48" t="str">
        <f>IF(Table1710[[#This Row],[Status]]="Not Entered","",VLOOKUP(Table1710[[#This Row],[Ln'#]],Advanced!$A$5:$AU$54,3,FALSE))</f>
        <v/>
      </c>
      <c r="G136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6" s="51" t="str">
        <f>IF(Table1710[[#This Row],[Status]]="Not Entered","",VLOOKUP(Table1710[[#This Row],[Ln'#]],Advanced!$A$4:$AU$54,47,FALSE))</f>
        <v/>
      </c>
    </row>
    <row r="137" spans="1:8" ht="30" customHeight="1" x14ac:dyDescent="0.4">
      <c r="A137" s="49">
        <v>26</v>
      </c>
      <c r="B137" s="49" t="str">
        <f>IF(OR(VLOOKUP(Table1710[[#This Row],[Ln'#]],Advanced!A$5:AU$54,15,FALSE)="E",VLOOKUP(Table1710[[#This Row],[Ln'#]],Advanced!A$5:AU$54,15,FALSE)="FEO"),"Entered or FEO","Not Entered")</f>
        <v>Not Entered</v>
      </c>
      <c r="C137" s="50" t="str">
        <f t="shared" ca="1" si="2"/>
        <v/>
      </c>
      <c r="D137" s="48"/>
      <c r="E137" s="48"/>
      <c r="F137" s="48" t="str">
        <f>IF(Table1710[[#This Row],[Status]]="Not Entered","",VLOOKUP(Table1710[[#This Row],[Ln'#]],Advanced!$A$5:$AU$54,3,FALSE))</f>
        <v/>
      </c>
      <c r="G137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7" s="51" t="str">
        <f>IF(Table1710[[#This Row],[Status]]="Not Entered","",VLOOKUP(Table1710[[#This Row],[Ln'#]],Advanced!$A$4:$AU$54,47,FALSE))</f>
        <v/>
      </c>
    </row>
    <row r="138" spans="1:8" ht="30" customHeight="1" x14ac:dyDescent="0.4">
      <c r="A138" s="49">
        <v>27</v>
      </c>
      <c r="B138" s="49" t="str">
        <f>IF(OR(VLOOKUP(Table1710[[#This Row],[Ln'#]],Advanced!A$5:AU$54,15,FALSE)="E",VLOOKUP(Table1710[[#This Row],[Ln'#]],Advanced!A$5:AU$54,15,FALSE)="FEO"),"Entered or FEO","Not Entered")</f>
        <v>Not Entered</v>
      </c>
      <c r="C138" s="50" t="str">
        <f t="shared" ca="1" si="2"/>
        <v/>
      </c>
      <c r="D138" s="48"/>
      <c r="E138" s="48"/>
      <c r="F138" s="48" t="str">
        <f>IF(Table1710[[#This Row],[Status]]="Not Entered","",VLOOKUP(Table1710[[#This Row],[Ln'#]],Advanced!$A$5:$AU$54,3,FALSE))</f>
        <v/>
      </c>
      <c r="G138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8" s="51" t="str">
        <f>IF(Table1710[[#This Row],[Status]]="Not Entered","",VLOOKUP(Table1710[[#This Row],[Ln'#]],Advanced!$A$4:$AU$54,47,FALSE))</f>
        <v/>
      </c>
    </row>
    <row r="139" spans="1:8" ht="30" customHeight="1" x14ac:dyDescent="0.4">
      <c r="A139" s="49">
        <v>28</v>
      </c>
      <c r="B139" s="49" t="str">
        <f>IF(OR(VLOOKUP(Table1710[[#This Row],[Ln'#]],Advanced!A$5:AU$54,15,FALSE)="E",VLOOKUP(Table1710[[#This Row],[Ln'#]],Advanced!A$5:AU$54,15,FALSE)="FEO"),"Entered or FEO","Not Entered")</f>
        <v>Not Entered</v>
      </c>
      <c r="C139" s="50" t="str">
        <f t="shared" ca="1" si="2"/>
        <v/>
      </c>
      <c r="D139" s="48"/>
      <c r="E139" s="48"/>
      <c r="F139" s="48" t="str">
        <f>IF(Table1710[[#This Row],[Status]]="Not Entered","",VLOOKUP(Table1710[[#This Row],[Ln'#]],Advanced!$A$5:$AU$54,3,FALSE))</f>
        <v/>
      </c>
      <c r="G139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9" s="51" t="str">
        <f>IF(Table1710[[#This Row],[Status]]="Not Entered","",VLOOKUP(Table1710[[#This Row],[Ln'#]],Advanced!$A$4:$AU$54,47,FALSE))</f>
        <v/>
      </c>
    </row>
    <row r="140" spans="1:8" ht="30" customHeight="1" x14ac:dyDescent="0.4">
      <c r="A140" s="49">
        <v>29</v>
      </c>
      <c r="B140" s="49" t="str">
        <f>IF(OR(VLOOKUP(Table1710[[#This Row],[Ln'#]],Advanced!A$5:AU$54,15,FALSE)="E",VLOOKUP(Table1710[[#This Row],[Ln'#]],Advanced!A$5:AU$54,15,FALSE)="FEO"),"Entered or FEO","Not Entered")</f>
        <v>Not Entered</v>
      </c>
      <c r="C140" s="50" t="str">
        <f t="shared" ca="1" si="2"/>
        <v/>
      </c>
      <c r="D140" s="48"/>
      <c r="E140" s="48"/>
      <c r="F140" s="48" t="str">
        <f>IF(Table1710[[#This Row],[Status]]="Not Entered","",VLOOKUP(Table1710[[#This Row],[Ln'#]],Advanced!$A$5:$AU$54,3,FALSE))</f>
        <v/>
      </c>
      <c r="G140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0" s="51" t="str">
        <f>IF(Table1710[[#This Row],[Status]]="Not Entered","",VLOOKUP(Table1710[[#This Row],[Ln'#]],Advanced!$A$4:$AU$54,47,FALSE))</f>
        <v/>
      </c>
    </row>
    <row r="141" spans="1:8" ht="30" customHeight="1" x14ac:dyDescent="0.4">
      <c r="A141" s="49">
        <v>30</v>
      </c>
      <c r="B141" s="49" t="str">
        <f>IF(OR(VLOOKUP(Table1710[[#This Row],[Ln'#]],Advanced!A$5:AU$54,15,FALSE)="E",VLOOKUP(Table1710[[#This Row],[Ln'#]],Advanced!A$5:AU$54,15,FALSE)="FEO"),"Entered or FEO","Not Entered")</f>
        <v>Not Entered</v>
      </c>
      <c r="C141" s="50" t="str">
        <f t="shared" ca="1" si="2"/>
        <v/>
      </c>
      <c r="D141" s="48"/>
      <c r="E141" s="48"/>
      <c r="F141" s="48" t="str">
        <f>IF(Table1710[[#This Row],[Status]]="Not Entered","",VLOOKUP(Table1710[[#This Row],[Ln'#]],Advanced!$A$5:$AU$54,3,FALSE))</f>
        <v/>
      </c>
      <c r="G141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1" s="51" t="str">
        <f>IF(Table1710[[#This Row],[Status]]="Not Entered","",VLOOKUP(Table1710[[#This Row],[Ln'#]],Advanced!$A$4:$AU$54,47,FALSE))</f>
        <v/>
      </c>
    </row>
    <row r="142" spans="1:8" ht="30" customHeight="1" x14ac:dyDescent="0.4">
      <c r="A142" s="49">
        <v>31</v>
      </c>
      <c r="B142" s="49" t="str">
        <f>IF(OR(VLOOKUP(Table1710[[#This Row],[Ln'#]],Advanced!A$5:AU$54,15,FALSE)="E",VLOOKUP(Table1710[[#This Row],[Ln'#]],Advanced!A$5:AU$54,15,FALSE)="FEO"),"Entered or FEO","Not Entered")</f>
        <v>Not Entered</v>
      </c>
      <c r="C142" s="50" t="str">
        <f t="shared" ca="1" si="2"/>
        <v/>
      </c>
      <c r="D142" s="48"/>
      <c r="E142" s="48"/>
      <c r="F142" s="48" t="str">
        <f>IF(Table1710[[#This Row],[Status]]="Not Entered","",VLOOKUP(Table1710[[#This Row],[Ln'#]],Advanced!$A$5:$AU$54,3,FALSE))</f>
        <v/>
      </c>
      <c r="G142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2" s="51" t="str">
        <f>IF(Table1710[[#This Row],[Status]]="Not Entered","",VLOOKUP(Table1710[[#This Row],[Ln'#]],Advanced!$A$4:$AU$54,47,FALSE))</f>
        <v/>
      </c>
    </row>
    <row r="143" spans="1:8" ht="30" customHeight="1" x14ac:dyDescent="0.4">
      <c r="A143" s="49">
        <v>32</v>
      </c>
      <c r="B143" s="49" t="str">
        <f>IF(OR(VLOOKUP(Table1710[[#This Row],[Ln'#]],Advanced!A$5:AU$54,15,FALSE)="E",VLOOKUP(Table1710[[#This Row],[Ln'#]],Advanced!A$5:AU$54,15,FALSE)="FEO"),"Entered or FEO","Not Entered")</f>
        <v>Not Entered</v>
      </c>
      <c r="C143" s="50" t="str">
        <f t="shared" ca="1" si="2"/>
        <v/>
      </c>
      <c r="D143" s="48"/>
      <c r="E143" s="48"/>
      <c r="F143" s="48" t="str">
        <f>IF(Table1710[[#This Row],[Status]]="Not Entered","",VLOOKUP(Table1710[[#This Row],[Ln'#]],Advanced!$A$5:$AU$54,3,FALSE))</f>
        <v/>
      </c>
      <c r="G143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3" s="51" t="str">
        <f>IF(Table1710[[#This Row],[Status]]="Not Entered","",VLOOKUP(Table1710[[#This Row],[Ln'#]],Advanced!$A$4:$AU$54,47,FALSE))</f>
        <v/>
      </c>
    </row>
    <row r="144" spans="1:8" ht="30" customHeight="1" x14ac:dyDescent="0.4">
      <c r="A144" s="49">
        <v>33</v>
      </c>
      <c r="B144" s="49" t="str">
        <f>IF(OR(VLOOKUP(Table1710[[#This Row],[Ln'#]],Advanced!A$5:AU$54,15,FALSE)="E",VLOOKUP(Table1710[[#This Row],[Ln'#]],Advanced!A$5:AU$54,15,FALSE)="FEO"),"Entered or FEO","Not Entered")</f>
        <v>Not Entered</v>
      </c>
      <c r="C144" s="50" t="str">
        <f t="shared" ca="1" si="2"/>
        <v/>
      </c>
      <c r="D144" s="48"/>
      <c r="E144" s="48"/>
      <c r="F144" s="48" t="str">
        <f>IF(Table1710[[#This Row],[Status]]="Not Entered","",VLOOKUP(Table1710[[#This Row],[Ln'#]],Advanced!$A$5:$AU$54,3,FALSE))</f>
        <v/>
      </c>
      <c r="G144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4" s="51" t="str">
        <f>IF(Table1710[[#This Row],[Status]]="Not Entered","",VLOOKUP(Table1710[[#This Row],[Ln'#]],Advanced!$A$4:$AU$54,47,FALSE))</f>
        <v/>
      </c>
    </row>
    <row r="145" spans="1:8" ht="30" customHeight="1" x14ac:dyDescent="0.4">
      <c r="A145" s="49">
        <v>34</v>
      </c>
      <c r="B145" s="49" t="str">
        <f>IF(OR(VLOOKUP(Table1710[[#This Row],[Ln'#]],Advanced!A$5:AU$54,15,FALSE)="E",VLOOKUP(Table1710[[#This Row],[Ln'#]],Advanced!A$5:AU$54,15,FALSE)="FEO"),"Entered or FEO","Not Entered")</f>
        <v>Not Entered</v>
      </c>
      <c r="C145" s="50" t="str">
        <f t="shared" ca="1" si="2"/>
        <v/>
      </c>
      <c r="D145" s="48"/>
      <c r="E145" s="48"/>
      <c r="F145" s="48" t="str">
        <f>IF(Table1710[[#This Row],[Status]]="Not Entered","",VLOOKUP(Table1710[[#This Row],[Ln'#]],Advanced!$A$5:$AU$54,3,FALSE))</f>
        <v/>
      </c>
      <c r="G145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5" s="51" t="str">
        <f>IF(Table1710[[#This Row],[Status]]="Not Entered","",VLOOKUP(Table1710[[#This Row],[Ln'#]],Advanced!$A$4:$AU$54,47,FALSE))</f>
        <v/>
      </c>
    </row>
    <row r="146" spans="1:8" ht="30" customHeight="1" x14ac:dyDescent="0.4">
      <c r="A146" s="49">
        <v>35</v>
      </c>
      <c r="B146" s="49" t="str">
        <f>IF(OR(VLOOKUP(Table1710[[#This Row],[Ln'#]],Advanced!A$5:AU$54,15,FALSE)="E",VLOOKUP(Table1710[[#This Row],[Ln'#]],Advanced!A$5:AU$54,15,FALSE)="FEO"),"Entered or FEO","Not Entered")</f>
        <v>Not Entered</v>
      </c>
      <c r="C146" s="50" t="str">
        <f t="shared" ca="1" si="2"/>
        <v/>
      </c>
      <c r="D146" s="48"/>
      <c r="E146" s="48"/>
      <c r="F146" s="48" t="str">
        <f>IF(Table1710[[#This Row],[Status]]="Not Entered","",VLOOKUP(Table1710[[#This Row],[Ln'#]],Advanced!$A$5:$AU$54,3,FALSE))</f>
        <v/>
      </c>
      <c r="G146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6" s="51" t="str">
        <f>IF(Table1710[[#This Row],[Status]]="Not Entered","",VLOOKUP(Table1710[[#This Row],[Ln'#]],Advanced!$A$4:$AU$54,47,FALSE))</f>
        <v/>
      </c>
    </row>
    <row r="147" spans="1:8" ht="30" customHeight="1" x14ac:dyDescent="0.4">
      <c r="A147" s="49">
        <v>36</v>
      </c>
      <c r="B147" s="49" t="str">
        <f>IF(OR(VLOOKUP(Table1710[[#This Row],[Ln'#]],Advanced!A$5:AU$54,15,FALSE)="E",VLOOKUP(Table1710[[#This Row],[Ln'#]],Advanced!A$5:AU$54,15,FALSE)="FEO"),"Entered or FEO","Not Entered")</f>
        <v>Not Entered</v>
      </c>
      <c r="C147" s="50" t="str">
        <f t="shared" ca="1" si="2"/>
        <v/>
      </c>
      <c r="D147" s="48"/>
      <c r="E147" s="48"/>
      <c r="F147" s="48" t="str">
        <f>IF(Table1710[[#This Row],[Status]]="Not Entered","",VLOOKUP(Table1710[[#This Row],[Ln'#]],Advanced!$A$5:$AU$54,3,FALSE))</f>
        <v/>
      </c>
      <c r="G147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7" s="51" t="str">
        <f>IF(Table1710[[#This Row],[Status]]="Not Entered","",VLOOKUP(Table1710[[#This Row],[Ln'#]],Advanced!$A$4:$AU$54,47,FALSE))</f>
        <v/>
      </c>
    </row>
    <row r="148" spans="1:8" ht="30" customHeight="1" x14ac:dyDescent="0.4">
      <c r="A148" s="49">
        <v>37</v>
      </c>
      <c r="B148" s="49" t="str">
        <f>IF(OR(VLOOKUP(Table1710[[#This Row],[Ln'#]],Advanced!A$5:AU$54,15,FALSE)="E",VLOOKUP(Table1710[[#This Row],[Ln'#]],Advanced!A$5:AU$54,15,FALSE)="FEO"),"Entered or FEO","Not Entered")</f>
        <v>Not Entered</v>
      </c>
      <c r="C148" s="50" t="str">
        <f t="shared" ca="1" si="2"/>
        <v/>
      </c>
      <c r="D148" s="48"/>
      <c r="E148" s="48"/>
      <c r="F148" s="48" t="str">
        <f>IF(Table1710[[#This Row],[Status]]="Not Entered","",VLOOKUP(Table1710[[#This Row],[Ln'#]],Advanced!$A$5:$AU$54,3,FALSE))</f>
        <v/>
      </c>
      <c r="G148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8" s="51" t="str">
        <f>IF(Table1710[[#This Row],[Status]]="Not Entered","",VLOOKUP(Table1710[[#This Row],[Ln'#]],Advanced!$A$4:$AU$54,47,FALSE))</f>
        <v/>
      </c>
    </row>
    <row r="149" spans="1:8" ht="30" customHeight="1" x14ac:dyDescent="0.4">
      <c r="A149" s="49">
        <v>38</v>
      </c>
      <c r="B149" s="49" t="str">
        <f>IF(OR(VLOOKUP(Table1710[[#This Row],[Ln'#]],Advanced!A$5:AU$54,15,FALSE)="E",VLOOKUP(Table1710[[#This Row],[Ln'#]],Advanced!A$5:AU$54,15,FALSE)="FEO"),"Entered or FEO","Not Entered")</f>
        <v>Not Entered</v>
      </c>
      <c r="C149" s="50" t="str">
        <f t="shared" ca="1" si="2"/>
        <v/>
      </c>
      <c r="D149" s="48"/>
      <c r="E149" s="48"/>
      <c r="F149" s="48" t="str">
        <f>IF(Table1710[[#This Row],[Status]]="Not Entered","",VLOOKUP(Table1710[[#This Row],[Ln'#]],Advanced!$A$5:$AU$54,3,FALSE))</f>
        <v/>
      </c>
      <c r="G149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9" s="51" t="str">
        <f>IF(Table1710[[#This Row],[Status]]="Not Entered","",VLOOKUP(Table1710[[#This Row],[Ln'#]],Advanced!$A$4:$AU$54,47,FALSE))</f>
        <v/>
      </c>
    </row>
    <row r="150" spans="1:8" ht="30" customHeight="1" x14ac:dyDescent="0.4">
      <c r="A150" s="49">
        <v>39</v>
      </c>
      <c r="B150" s="49" t="str">
        <f>IF(OR(VLOOKUP(Table1710[[#This Row],[Ln'#]],Advanced!A$5:AU$54,15,FALSE)="E",VLOOKUP(Table1710[[#This Row],[Ln'#]],Advanced!A$5:AU$54,15,FALSE)="FEO"),"Entered or FEO","Not Entered")</f>
        <v>Not Entered</v>
      </c>
      <c r="C150" s="50" t="str">
        <f t="shared" ca="1" si="2"/>
        <v/>
      </c>
      <c r="D150" s="48"/>
      <c r="E150" s="48"/>
      <c r="F150" s="48" t="str">
        <f>IF(Table1710[[#This Row],[Status]]="Not Entered","",VLOOKUP(Table1710[[#This Row],[Ln'#]],Advanced!$A$5:$AU$54,3,FALSE))</f>
        <v/>
      </c>
      <c r="G150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0" s="51" t="str">
        <f>IF(Table1710[[#This Row],[Status]]="Not Entered","",VLOOKUP(Table1710[[#This Row],[Ln'#]],Advanced!$A$4:$AU$54,47,FALSE))</f>
        <v/>
      </c>
    </row>
    <row r="151" spans="1:8" ht="30" customHeight="1" x14ac:dyDescent="0.4">
      <c r="A151" s="49">
        <v>40</v>
      </c>
      <c r="B151" s="49" t="str">
        <f>IF(OR(VLOOKUP(Table1710[[#This Row],[Ln'#]],Advanced!A$5:AU$54,15,FALSE)="E",VLOOKUP(Table1710[[#This Row],[Ln'#]],Advanced!A$5:AU$54,15,FALSE)="FEO"),"Entered or FEO","Not Entered")</f>
        <v>Not Entered</v>
      </c>
      <c r="C151" s="50" t="str">
        <f t="shared" ca="1" si="2"/>
        <v/>
      </c>
      <c r="D151" s="48"/>
      <c r="E151" s="48"/>
      <c r="F151" s="48" t="str">
        <f>IF(Table1710[[#This Row],[Status]]="Not Entered","",VLOOKUP(Table1710[[#This Row],[Ln'#]],Advanced!$A$5:$AU$54,3,FALSE))</f>
        <v/>
      </c>
      <c r="G151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1" s="51" t="str">
        <f>IF(Table1710[[#This Row],[Status]]="Not Entered","",VLOOKUP(Table1710[[#This Row],[Ln'#]],Advanced!$A$4:$AU$54,47,FALSE))</f>
        <v/>
      </c>
    </row>
    <row r="152" spans="1:8" ht="30" customHeight="1" x14ac:dyDescent="0.4">
      <c r="A152" s="49">
        <v>41</v>
      </c>
      <c r="B152" s="49" t="str">
        <f>IF(OR(VLOOKUP(Table1710[[#This Row],[Ln'#]],Advanced!A$5:AU$54,15,FALSE)="E",VLOOKUP(Table1710[[#This Row],[Ln'#]],Advanced!A$5:AU$54,15,FALSE)="FEO"),"Entered or FEO","Not Entered")</f>
        <v>Not Entered</v>
      </c>
      <c r="C152" s="50" t="str">
        <f t="shared" ca="1" si="2"/>
        <v/>
      </c>
      <c r="D152" s="48"/>
      <c r="E152" s="48"/>
      <c r="F152" s="48" t="str">
        <f>IF(Table1710[[#This Row],[Status]]="Not Entered","",VLOOKUP(Table1710[[#This Row],[Ln'#]],Advanced!$A$5:$AU$54,3,FALSE))</f>
        <v/>
      </c>
      <c r="G152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2" s="51" t="str">
        <f>IF(Table1710[[#This Row],[Status]]="Not Entered","",VLOOKUP(Table1710[[#This Row],[Ln'#]],Advanced!$A$4:$AU$54,47,FALSE))</f>
        <v/>
      </c>
    </row>
    <row r="153" spans="1:8" ht="30" customHeight="1" x14ac:dyDescent="0.4">
      <c r="A153" s="49">
        <v>42</v>
      </c>
      <c r="B153" s="49" t="str">
        <f>IF(OR(VLOOKUP(Table1710[[#This Row],[Ln'#]],Advanced!A$5:AU$54,15,FALSE)="E",VLOOKUP(Table1710[[#This Row],[Ln'#]],Advanced!A$5:AU$54,15,FALSE)="FEO"),"Entered or FEO","Not Entered")</f>
        <v>Not Entered</v>
      </c>
      <c r="C153" s="50" t="str">
        <f t="shared" ca="1" si="2"/>
        <v/>
      </c>
      <c r="D153" s="48"/>
      <c r="E153" s="48"/>
      <c r="F153" s="48" t="str">
        <f>IF(Table1710[[#This Row],[Status]]="Not Entered","",VLOOKUP(Table1710[[#This Row],[Ln'#]],Advanced!$A$5:$AU$54,3,FALSE))</f>
        <v/>
      </c>
      <c r="G153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3" s="51" t="str">
        <f>IF(Table1710[[#This Row],[Status]]="Not Entered","",VLOOKUP(Table1710[[#This Row],[Ln'#]],Advanced!$A$4:$AU$54,47,FALSE))</f>
        <v/>
      </c>
    </row>
    <row r="154" spans="1:8" ht="30" customHeight="1" x14ac:dyDescent="0.4">
      <c r="A154" s="49">
        <v>43</v>
      </c>
      <c r="B154" s="49" t="str">
        <f>IF(OR(VLOOKUP(Table1710[[#This Row],[Ln'#]],Advanced!A$5:AU$54,15,FALSE)="E",VLOOKUP(Table1710[[#This Row],[Ln'#]],Advanced!A$5:AU$54,15,FALSE)="FEO"),"Entered or FEO","Not Entered")</f>
        <v>Not Entered</v>
      </c>
      <c r="C154" s="50" t="str">
        <f t="shared" ca="1" si="2"/>
        <v/>
      </c>
      <c r="D154" s="48"/>
      <c r="E154" s="48"/>
      <c r="F154" s="48" t="str">
        <f>IF(Table1710[[#This Row],[Status]]="Not Entered","",VLOOKUP(Table1710[[#This Row],[Ln'#]],Advanced!$A$5:$AU$54,3,FALSE))</f>
        <v/>
      </c>
      <c r="G154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4" s="51" t="str">
        <f>IF(Table1710[[#This Row],[Status]]="Not Entered","",VLOOKUP(Table1710[[#This Row],[Ln'#]],Advanced!$A$4:$AU$54,47,FALSE))</f>
        <v/>
      </c>
    </row>
    <row r="155" spans="1:8" ht="30" customHeight="1" x14ac:dyDescent="0.4">
      <c r="A155" s="49">
        <v>44</v>
      </c>
      <c r="B155" s="49" t="str">
        <f>IF(OR(VLOOKUP(Table1710[[#This Row],[Ln'#]],Advanced!A$5:AU$54,15,FALSE)="E",VLOOKUP(Table1710[[#This Row],[Ln'#]],Advanced!A$5:AU$54,15,FALSE)="FEO"),"Entered or FEO","Not Entered")</f>
        <v>Not Entered</v>
      </c>
      <c r="C155" s="50" t="str">
        <f t="shared" ca="1" si="2"/>
        <v/>
      </c>
      <c r="D155" s="48"/>
      <c r="E155" s="48"/>
      <c r="F155" s="48" t="str">
        <f>IF(Table1710[[#This Row],[Status]]="Not Entered","",VLOOKUP(Table1710[[#This Row],[Ln'#]],Advanced!$A$5:$AU$54,3,FALSE))</f>
        <v/>
      </c>
      <c r="G155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5" s="51" t="str">
        <f>IF(Table1710[[#This Row],[Status]]="Not Entered","",VLOOKUP(Table1710[[#This Row],[Ln'#]],Advanced!$A$4:$AU$54,47,FALSE))</f>
        <v/>
      </c>
    </row>
    <row r="156" spans="1:8" ht="30" customHeight="1" x14ac:dyDescent="0.4">
      <c r="A156" s="49">
        <v>45</v>
      </c>
      <c r="B156" s="49" t="str">
        <f>IF(OR(VLOOKUP(Table1710[[#This Row],[Ln'#]],Advanced!A$5:AU$54,15,FALSE)="E",VLOOKUP(Table1710[[#This Row],[Ln'#]],Advanced!A$5:AU$54,15,FALSE)="FEO"),"Entered or FEO","Not Entered")</f>
        <v>Not Entered</v>
      </c>
      <c r="C156" s="50" t="str">
        <f t="shared" ca="1" si="2"/>
        <v/>
      </c>
      <c r="D156" s="48"/>
      <c r="E156" s="48"/>
      <c r="F156" s="48" t="str">
        <f>IF(Table1710[[#This Row],[Status]]="Not Entered","",VLOOKUP(Table1710[[#This Row],[Ln'#]],Advanced!$A$5:$AU$54,3,FALSE))</f>
        <v/>
      </c>
      <c r="G156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6" s="51" t="str">
        <f>IF(Table1710[[#This Row],[Status]]="Not Entered","",VLOOKUP(Table1710[[#This Row],[Ln'#]],Advanced!$A$4:$AU$54,47,FALSE))</f>
        <v/>
      </c>
    </row>
    <row r="157" spans="1:8" ht="30" customHeight="1" x14ac:dyDescent="0.4">
      <c r="A157" s="49">
        <v>46</v>
      </c>
      <c r="B157" s="49" t="str">
        <f>IF(OR(VLOOKUP(Table1710[[#This Row],[Ln'#]],Advanced!A$5:AU$54,15,FALSE)="E",VLOOKUP(Table1710[[#This Row],[Ln'#]],Advanced!A$5:AU$54,15,FALSE)="FEO"),"Entered or FEO","Not Entered")</f>
        <v>Not Entered</v>
      </c>
      <c r="C157" s="50" t="str">
        <f t="shared" ca="1" si="2"/>
        <v/>
      </c>
      <c r="D157" s="48"/>
      <c r="E157" s="48"/>
      <c r="F157" s="48" t="str">
        <f>IF(Table1710[[#This Row],[Status]]="Not Entered","",VLOOKUP(Table1710[[#This Row],[Ln'#]],Advanced!$A$5:$AU$54,3,FALSE))</f>
        <v/>
      </c>
      <c r="G157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7" s="51" t="str">
        <f>IF(Table1710[[#This Row],[Status]]="Not Entered","",VLOOKUP(Table1710[[#This Row],[Ln'#]],Advanced!$A$4:$AU$54,47,FALSE))</f>
        <v/>
      </c>
    </row>
    <row r="158" spans="1:8" ht="30" customHeight="1" x14ac:dyDescent="0.4">
      <c r="A158" s="49">
        <v>47</v>
      </c>
      <c r="B158" s="49" t="str">
        <f>IF(OR(VLOOKUP(Table1710[[#This Row],[Ln'#]],Advanced!A$5:AU$54,15,FALSE)="E",VLOOKUP(Table1710[[#This Row],[Ln'#]],Advanced!A$5:AU$54,15,FALSE)="FEO"),"Entered or FEO","Not Entered")</f>
        <v>Not Entered</v>
      </c>
      <c r="C158" s="50" t="str">
        <f t="shared" ca="1" si="2"/>
        <v/>
      </c>
      <c r="D158" s="48"/>
      <c r="E158" s="48"/>
      <c r="F158" s="48" t="str">
        <f>IF(Table1710[[#This Row],[Status]]="Not Entered","",VLOOKUP(Table1710[[#This Row],[Ln'#]],Advanced!$A$5:$AU$54,3,FALSE))</f>
        <v/>
      </c>
      <c r="G158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8" s="51" t="str">
        <f>IF(Table1710[[#This Row],[Status]]="Not Entered","",VLOOKUP(Table1710[[#This Row],[Ln'#]],Advanced!$A$4:$AU$54,47,FALSE))</f>
        <v/>
      </c>
    </row>
    <row r="159" spans="1:8" ht="30" customHeight="1" x14ac:dyDescent="0.4">
      <c r="A159" s="49">
        <v>48</v>
      </c>
      <c r="B159" s="49" t="str">
        <f>IF(OR(VLOOKUP(Table1710[[#This Row],[Ln'#]],Advanced!A$5:AU$54,15,FALSE)="E",VLOOKUP(Table1710[[#This Row],[Ln'#]],Advanced!A$5:AU$54,15,FALSE)="FEO"),"Entered or FEO","Not Entered")</f>
        <v>Not Entered</v>
      </c>
      <c r="C159" s="50" t="str">
        <f t="shared" ca="1" si="2"/>
        <v/>
      </c>
      <c r="D159" s="48"/>
      <c r="E159" s="48"/>
      <c r="F159" s="48" t="str">
        <f>IF(Table1710[[#This Row],[Status]]="Not Entered","",VLOOKUP(Table1710[[#This Row],[Ln'#]],Advanced!$A$5:$AU$54,3,FALSE))</f>
        <v/>
      </c>
      <c r="G159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9" s="51" t="str">
        <f>IF(Table1710[[#This Row],[Status]]="Not Entered","",VLOOKUP(Table1710[[#This Row],[Ln'#]],Advanced!$A$4:$AU$54,47,FALSE))</f>
        <v/>
      </c>
    </row>
    <row r="160" spans="1:8" ht="30" customHeight="1" x14ac:dyDescent="0.4">
      <c r="A160" s="49">
        <v>49</v>
      </c>
      <c r="B160" s="49" t="str">
        <f>IF(OR(VLOOKUP(Table1710[[#This Row],[Ln'#]],Advanced!A$5:AU$54,15,FALSE)="E",VLOOKUP(Table1710[[#This Row],[Ln'#]],Advanced!A$5:AU$54,15,FALSE)="FEO"),"Entered or FEO","Not Entered")</f>
        <v>Not Entered</v>
      </c>
      <c r="C160" s="50" t="str">
        <f t="shared" ca="1" si="2"/>
        <v/>
      </c>
      <c r="D160" s="48"/>
      <c r="E160" s="48"/>
      <c r="F160" s="48" t="str">
        <f>IF(Table1710[[#This Row],[Status]]="Not Entered","",VLOOKUP(Table1710[[#This Row],[Ln'#]],Advanced!$A$5:$AU$54,3,FALSE))</f>
        <v/>
      </c>
      <c r="G160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60" s="51" t="str">
        <f>IF(Table1710[[#This Row],[Status]]="Not Entered","",VLOOKUP(Table1710[[#This Row],[Ln'#]],Advanced!$A$4:$AU$54,47,FALSE))</f>
        <v/>
      </c>
    </row>
    <row r="161" spans="1:9" ht="30" customHeight="1" x14ac:dyDescent="0.4">
      <c r="A161" s="49">
        <v>50</v>
      </c>
      <c r="B161" s="49" t="str">
        <f>IF(OR(VLOOKUP(Table1710[[#This Row],[Ln'#]],Advanced!A$5:AU$54,15,FALSE)="E",VLOOKUP(Table1710[[#This Row],[Ln'#]],Advanced!A$5:AU$54,15,FALSE)="FEO"),"Entered or FEO","Not Entered")</f>
        <v>Not Entered</v>
      </c>
      <c r="C161" s="50" t="str">
        <f t="shared" ca="1" si="2"/>
        <v/>
      </c>
      <c r="D161" s="48"/>
      <c r="E161" s="48"/>
      <c r="F161" s="48" t="str">
        <f>IF(Table1710[[#This Row],[Status]]="Not Entered","",VLOOKUP(Table1710[[#This Row],[Ln'#]],Advanced!$A$5:$AU$54,3,FALSE))</f>
        <v/>
      </c>
      <c r="G161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61" s="51" t="str">
        <f>IF(Table1710[[#This Row],[Status]]="Not Entered","",VLOOKUP(Table1710[[#This Row],[Ln'#]],Advanced!$A$4:$AU$54,47,FALSE))</f>
        <v/>
      </c>
    </row>
    <row r="162" spans="1:9" ht="30" customHeight="1" x14ac:dyDescent="0.4">
      <c r="A162" s="48"/>
      <c r="B162" s="48"/>
      <c r="C162" s="48"/>
      <c r="D162" s="48" t="s">
        <v>1141</v>
      </c>
      <c r="E162" s="48">
        <f>SUBTOTAL(102,Table1710[Running Order])</f>
        <v>0</v>
      </c>
      <c r="F162" s="48"/>
      <c r="G162" s="51"/>
      <c r="H162" s="51"/>
    </row>
    <row r="164" spans="1:9" ht="30" customHeight="1" x14ac:dyDescent="0.4">
      <c r="A164" s="23" t="s">
        <v>1143</v>
      </c>
      <c r="B164" s="403" t="s">
        <v>2533</v>
      </c>
      <c r="C164" s="403"/>
      <c r="D164" s="403"/>
      <c r="E164" s="403"/>
      <c r="F164" s="403"/>
      <c r="G164" s="403"/>
      <c r="H164" s="403"/>
      <c r="I164" s="403"/>
    </row>
    <row r="165" spans="1:9" ht="60.75" customHeight="1" x14ac:dyDescent="0.4">
      <c r="A165" s="67" t="s">
        <v>605</v>
      </c>
      <c r="B165" s="67" t="s">
        <v>2493</v>
      </c>
      <c r="C165" s="67" t="s">
        <v>2496</v>
      </c>
      <c r="D165" s="67" t="s">
        <v>1142</v>
      </c>
      <c r="E165" s="67" t="s">
        <v>1135</v>
      </c>
      <c r="F165" s="67" t="s">
        <v>1136</v>
      </c>
      <c r="G165" s="69" t="s">
        <v>1207</v>
      </c>
      <c r="H165" s="69" t="s">
        <v>1137</v>
      </c>
    </row>
    <row r="166" spans="1:9" ht="30" customHeight="1" x14ac:dyDescent="0.45">
      <c r="A166" s="49">
        <v>1</v>
      </c>
      <c r="B166" s="144" t="str">
        <f>IF(OR(VLOOKUP(Table1313035[[#This Row],[Ln'#]],Advanced!A$5:AU$54,7,FALSE)="E",VLOOKUP(Table1313035[[#This Row],[Ln'#]],Advanced!A$5:AU$54,7,FALSE)="FEO"),"x","")</f>
        <v/>
      </c>
      <c r="C166" s="144" t="str">
        <f>IF(OR(VLOOKUP(Table1313035[[#This Row],[Ln'#]],Advanced!A$5:AU$54,23,FALSE)="E",VLOOKUP(Table1313035[[#This Row],[Ln'#]],Advanced!A$5:AU$54,23,FALSE)="FEO"),"x","")</f>
        <v/>
      </c>
      <c r="D166" s="48"/>
      <c r="E166" s="48"/>
      <c r="F166" s="48" t="str">
        <f>IF(AND(Table1313035[[#This Row],[Status Container]]="",Table1313035[[#This Row],[Status Exterior]]=""),"",VLOOKUP(Table1313035[[#This Row],[Ln'#]],Advanced!$A$5:$AU$54,3,FALSE))</f>
        <v/>
      </c>
      <c r="G166" s="51" t="str">
        <f>IF(Table1313035[[#This Row],[Dog ID]]="","",(VLOOKUP(Table1313035[[#This Row],[Dog ID]],Advanced!C$5:$D$54,2,FALSE)&amp;" - " &amp;VLOOKUP(Table1313035[[#This Row],[Dog ID]],'SDDA Dogs'!A:C,3,FALSE)))</f>
        <v/>
      </c>
      <c r="H166" s="51" t="str">
        <f>IF(Table1313035[[#This Row],[Dog ID]]="","",(VLOOKUP(Table1313035[[#This Row],[Dog ID]],Advanced!C$5:$AU54,45,FALSE)))</f>
        <v/>
      </c>
    </row>
    <row r="167" spans="1:9" ht="30" customHeight="1" x14ac:dyDescent="0.45">
      <c r="A167" s="49">
        <v>2</v>
      </c>
      <c r="B167" s="144" t="str">
        <f>IF(OR(VLOOKUP(Table1313035[[#This Row],[Ln'#]],Advanced!A$5:AU$54,7,FALSE)="E",VLOOKUP(Table1313035[[#This Row],[Ln'#]],Advanced!A$5:AU$54,7,FALSE)="FEO"),"x","")</f>
        <v/>
      </c>
      <c r="C167" s="144" t="str">
        <f>IF(OR(VLOOKUP(Table1313035[[#This Row],[Ln'#]],Advanced!A$5:AU$54,23,FALSE)="E",VLOOKUP(Table1313035[[#This Row],[Ln'#]],Advanced!A$5:AU$54,23,FALSE)="FEO"),"x","")</f>
        <v/>
      </c>
      <c r="D167" s="48"/>
      <c r="E167" s="48"/>
      <c r="F167" s="48" t="str">
        <f>IF(AND(Table1313035[[#This Row],[Status Container]]="",Table1313035[[#This Row],[Status Exterior]]=""),"",VLOOKUP(Table1313035[[#This Row],[Ln'#]],Advanced!$A$5:$AU$54,3,FALSE))</f>
        <v/>
      </c>
      <c r="G167" s="51" t="str">
        <f>IF(Table1313035[[#This Row],[Dog ID]]="","",(VLOOKUP(Table1313035[[#This Row],[Dog ID]],Advanced!C$5:$D$54,2,FALSE)&amp;" - " &amp;VLOOKUP(Table1313035[[#This Row],[Dog ID]],'SDDA Dogs'!A:C,3,FALSE)))</f>
        <v/>
      </c>
      <c r="H167" s="51" t="str">
        <f>IF(Table1313035[[#This Row],[Dog ID]]="","",(VLOOKUP(Table1313035[[#This Row],[Dog ID]],Advanced!C$5:$AU55,45,FALSE)))</f>
        <v/>
      </c>
    </row>
    <row r="168" spans="1:9" ht="30" customHeight="1" x14ac:dyDescent="0.45">
      <c r="A168" s="49">
        <v>3</v>
      </c>
      <c r="B168" s="144" t="str">
        <f>IF(OR(VLOOKUP(Table1313035[[#This Row],[Ln'#]],Advanced!A$5:AU$54,7,FALSE)="E",VLOOKUP(Table1313035[[#This Row],[Ln'#]],Advanced!A$5:AU$54,7,FALSE)="FEO"),"x","")</f>
        <v/>
      </c>
      <c r="C168" s="144" t="str">
        <f>IF(OR(VLOOKUP(Table1313035[[#This Row],[Ln'#]],Advanced!A$5:AU$54,23,FALSE)="E",VLOOKUP(Table1313035[[#This Row],[Ln'#]],Advanced!A$5:AU$54,23,FALSE)="FEO"),"x","")</f>
        <v/>
      </c>
      <c r="D168" s="48"/>
      <c r="E168" s="48"/>
      <c r="F168" s="48" t="str">
        <f>IF(AND(Table1313035[[#This Row],[Status Container]]="",Table1313035[[#This Row],[Status Exterior]]=""),"",VLOOKUP(Table1313035[[#This Row],[Ln'#]],Advanced!$A$5:$AU$54,3,FALSE))</f>
        <v/>
      </c>
      <c r="G168" s="51" t="str">
        <f>IF(Table1313035[[#This Row],[Dog ID]]="","",(VLOOKUP(Table1313035[[#This Row],[Dog ID]],Advanced!C$5:$D$54,2,FALSE)&amp;" - " &amp;VLOOKUP(Table1313035[[#This Row],[Dog ID]],'SDDA Dogs'!A:C,3,FALSE)))</f>
        <v/>
      </c>
      <c r="H168" s="51" t="str">
        <f>IF(Table1313035[[#This Row],[Dog ID]]="","",(VLOOKUP(Table1313035[[#This Row],[Dog ID]],Advanced!C$5:$AU56,45,FALSE)))</f>
        <v/>
      </c>
    </row>
    <row r="169" spans="1:9" ht="30" customHeight="1" x14ac:dyDescent="0.45">
      <c r="A169" s="49">
        <v>4</v>
      </c>
      <c r="B169" s="144" t="str">
        <f>IF(OR(VLOOKUP(Table1313035[[#This Row],[Ln'#]],Advanced!A$5:AU$54,7,FALSE)="E",VLOOKUP(Table1313035[[#This Row],[Ln'#]],Advanced!A$5:AU$54,7,FALSE)="FEO"),"x","")</f>
        <v/>
      </c>
      <c r="C169" s="144" t="str">
        <f>IF(OR(VLOOKUP(Table1313035[[#This Row],[Ln'#]],Advanced!A$5:AU$54,23,FALSE)="E",VLOOKUP(Table1313035[[#This Row],[Ln'#]],Advanced!A$5:AU$54,23,FALSE)="FEO"),"x","")</f>
        <v/>
      </c>
      <c r="D169" s="48"/>
      <c r="E169" s="48"/>
      <c r="F169" s="48" t="str">
        <f>IF(AND(Table1313035[[#This Row],[Status Container]]="",Table1313035[[#This Row],[Status Exterior]]=""),"",VLOOKUP(Table1313035[[#This Row],[Ln'#]],Advanced!$A$5:$AU$54,3,FALSE))</f>
        <v/>
      </c>
      <c r="G169" s="51" t="str">
        <f>IF(Table1313035[[#This Row],[Dog ID]]="","",(VLOOKUP(Table1313035[[#This Row],[Dog ID]],Advanced!C$5:$D$54,2,FALSE)&amp;" - " &amp;VLOOKUP(Table1313035[[#This Row],[Dog ID]],'SDDA Dogs'!A:C,3,FALSE)))</f>
        <v/>
      </c>
      <c r="H169" s="51" t="str">
        <f>IF(Table1313035[[#This Row],[Dog ID]]="","",(VLOOKUP(Table1313035[[#This Row],[Dog ID]],Advanced!C$5:$AU57,45,FALSE)))</f>
        <v/>
      </c>
    </row>
    <row r="170" spans="1:9" ht="30" customHeight="1" x14ac:dyDescent="0.45">
      <c r="A170" s="49">
        <v>5</v>
      </c>
      <c r="B170" s="144" t="str">
        <f>IF(OR(VLOOKUP(Table1313035[[#This Row],[Ln'#]],Advanced!A$5:AU$54,7,FALSE)="E",VLOOKUP(Table1313035[[#This Row],[Ln'#]],Advanced!A$5:AU$54,7,FALSE)="FEO"),"x","")</f>
        <v/>
      </c>
      <c r="C170" s="144" t="str">
        <f>IF(OR(VLOOKUP(Table1313035[[#This Row],[Ln'#]],Advanced!A$5:AU$54,23,FALSE)="E",VLOOKUP(Table1313035[[#This Row],[Ln'#]],Advanced!A$5:AU$54,23,FALSE)="FEO"),"x","")</f>
        <v/>
      </c>
      <c r="D170" s="48"/>
      <c r="E170" s="48"/>
      <c r="F170" s="48" t="str">
        <f>IF(AND(Table1313035[[#This Row],[Status Container]]="",Table1313035[[#This Row],[Status Exterior]]=""),"",VLOOKUP(Table1313035[[#This Row],[Ln'#]],Advanced!$A$5:$AU$54,3,FALSE))</f>
        <v/>
      </c>
      <c r="G170" s="51" t="str">
        <f>IF(Table1313035[[#This Row],[Dog ID]]="","",(VLOOKUP(Table1313035[[#This Row],[Dog ID]],Advanced!C$5:$D$54,2,FALSE)&amp;" - " &amp;VLOOKUP(Table1313035[[#This Row],[Dog ID]],'SDDA Dogs'!A:C,3,FALSE)))</f>
        <v/>
      </c>
      <c r="H170" s="51" t="str">
        <f>IF(Table1313035[[#This Row],[Dog ID]]="","",(VLOOKUP(Table1313035[[#This Row],[Dog ID]],Advanced!C$5:$AU58,45,FALSE)))</f>
        <v/>
      </c>
    </row>
    <row r="171" spans="1:9" ht="30" customHeight="1" x14ac:dyDescent="0.45">
      <c r="A171" s="49">
        <v>6</v>
      </c>
      <c r="B171" s="144" t="str">
        <f>IF(OR(VLOOKUP(Table1313035[[#This Row],[Ln'#]],Advanced!A$5:AU$54,7,FALSE)="E",VLOOKUP(Table1313035[[#This Row],[Ln'#]],Advanced!A$5:AU$54,7,FALSE)="FEO"),"x","")</f>
        <v/>
      </c>
      <c r="C171" s="144" t="str">
        <f>IF(OR(VLOOKUP(Table1313035[[#This Row],[Ln'#]],Advanced!A$5:AU$54,23,FALSE)="E",VLOOKUP(Table1313035[[#This Row],[Ln'#]],Advanced!A$5:AU$54,23,FALSE)="FEO"),"x","")</f>
        <v/>
      </c>
      <c r="D171" s="48"/>
      <c r="E171" s="48"/>
      <c r="F171" s="48" t="str">
        <f>IF(AND(Table1313035[[#This Row],[Status Container]]="",Table1313035[[#This Row],[Status Exterior]]=""),"",VLOOKUP(Table1313035[[#This Row],[Ln'#]],Advanced!$A$5:$AU$54,3,FALSE))</f>
        <v/>
      </c>
      <c r="G171" s="51" t="str">
        <f>IF(Table1313035[[#This Row],[Dog ID]]="","",(VLOOKUP(Table1313035[[#This Row],[Dog ID]],Advanced!C$5:$D$54,2,FALSE)&amp;" - " &amp;VLOOKUP(Table1313035[[#This Row],[Dog ID]],'SDDA Dogs'!A:C,3,FALSE)))</f>
        <v/>
      </c>
      <c r="H171" s="51" t="str">
        <f>IF(Table1313035[[#This Row],[Dog ID]]="","",(VLOOKUP(Table1313035[[#This Row],[Dog ID]],Advanced!C$5:$AU59,45,FALSE)))</f>
        <v/>
      </c>
    </row>
    <row r="172" spans="1:9" ht="30" customHeight="1" x14ac:dyDescent="0.45">
      <c r="A172" s="49">
        <v>7</v>
      </c>
      <c r="B172" s="144" t="str">
        <f>IF(OR(VLOOKUP(Table1313035[[#This Row],[Ln'#]],Advanced!A$5:AU$54,7,FALSE)="E",VLOOKUP(Table1313035[[#This Row],[Ln'#]],Advanced!A$5:AU$54,7,FALSE)="FEO"),"x","")</f>
        <v/>
      </c>
      <c r="C172" s="144" t="str">
        <f>IF(OR(VLOOKUP(Table1313035[[#This Row],[Ln'#]],Advanced!A$5:AU$54,23,FALSE)="E",VLOOKUP(Table1313035[[#This Row],[Ln'#]],Advanced!A$5:AU$54,23,FALSE)="FEO"),"x","")</f>
        <v/>
      </c>
      <c r="D172" s="48"/>
      <c r="E172" s="48"/>
      <c r="F172" s="48" t="str">
        <f>IF(AND(Table1313035[[#This Row],[Status Container]]="",Table1313035[[#This Row],[Status Exterior]]=""),"",VLOOKUP(Table1313035[[#This Row],[Ln'#]],Advanced!$A$5:$AU$54,3,FALSE))</f>
        <v/>
      </c>
      <c r="G172" s="51" t="str">
        <f>IF(Table1313035[[#This Row],[Dog ID]]="","",(VLOOKUP(Table1313035[[#This Row],[Dog ID]],Advanced!C$5:$D$54,2,FALSE)&amp;" - " &amp;VLOOKUP(Table1313035[[#This Row],[Dog ID]],'SDDA Dogs'!A:C,3,FALSE)))</f>
        <v/>
      </c>
      <c r="H172" s="51" t="str">
        <f>IF(Table1313035[[#This Row],[Dog ID]]="","",(VLOOKUP(Table1313035[[#This Row],[Dog ID]],Advanced!C$5:$AU60,45,FALSE)))</f>
        <v/>
      </c>
    </row>
    <row r="173" spans="1:9" ht="30" customHeight="1" x14ac:dyDescent="0.45">
      <c r="A173" s="49">
        <v>8</v>
      </c>
      <c r="B173" s="144" t="str">
        <f>IF(OR(VLOOKUP(Table1313035[[#This Row],[Ln'#]],Advanced!A$5:AU$54,7,FALSE)="E",VLOOKUP(Table1313035[[#This Row],[Ln'#]],Advanced!A$5:AU$54,7,FALSE)="FEO"),"x","")</f>
        <v/>
      </c>
      <c r="C173" s="144" t="str">
        <f>IF(OR(VLOOKUP(Table1313035[[#This Row],[Ln'#]],Advanced!A$5:AU$54,23,FALSE)="E",VLOOKUP(Table1313035[[#This Row],[Ln'#]],Advanced!A$5:AU$54,23,FALSE)="FEO"),"x","")</f>
        <v/>
      </c>
      <c r="D173" s="48"/>
      <c r="E173" s="48"/>
      <c r="F173" s="48" t="str">
        <f>IF(AND(Table1313035[[#This Row],[Status Container]]="",Table1313035[[#This Row],[Status Exterior]]=""),"",VLOOKUP(Table1313035[[#This Row],[Ln'#]],Advanced!$A$5:$AU$54,3,FALSE))</f>
        <v/>
      </c>
      <c r="G173" s="51" t="str">
        <f>IF(Table1313035[[#This Row],[Dog ID]]="","",(VLOOKUP(Table1313035[[#This Row],[Dog ID]],Advanced!C$5:$D$54,2,FALSE)&amp;" - " &amp;VLOOKUP(Table1313035[[#This Row],[Dog ID]],'SDDA Dogs'!A:C,3,FALSE)))</f>
        <v/>
      </c>
      <c r="H173" s="51" t="str">
        <f>IF(Table1313035[[#This Row],[Dog ID]]="","",(VLOOKUP(Table1313035[[#This Row],[Dog ID]],Advanced!C$5:$AU61,45,FALSE)))</f>
        <v/>
      </c>
    </row>
    <row r="174" spans="1:9" ht="30" customHeight="1" x14ac:dyDescent="0.45">
      <c r="A174" s="49">
        <v>9</v>
      </c>
      <c r="B174" s="144" t="str">
        <f>IF(OR(VLOOKUP(Table1313035[[#This Row],[Ln'#]],Advanced!A$5:AU$54,7,FALSE)="E",VLOOKUP(Table1313035[[#This Row],[Ln'#]],Advanced!A$5:AU$54,7,FALSE)="FEO"),"x","")</f>
        <v/>
      </c>
      <c r="C174" s="144" t="str">
        <f>IF(OR(VLOOKUP(Table1313035[[#This Row],[Ln'#]],Advanced!A$5:AU$54,23,FALSE)="E",VLOOKUP(Table1313035[[#This Row],[Ln'#]],Advanced!A$5:AU$54,23,FALSE)="FEO"),"x","")</f>
        <v/>
      </c>
      <c r="D174" s="48"/>
      <c r="E174" s="48"/>
      <c r="F174" s="48" t="str">
        <f>IF(AND(Table1313035[[#This Row],[Status Container]]="",Table1313035[[#This Row],[Status Exterior]]=""),"",VLOOKUP(Table1313035[[#This Row],[Ln'#]],Advanced!$A$5:$AU$54,3,FALSE))</f>
        <v/>
      </c>
      <c r="G174" s="51" t="str">
        <f>IF(Table1313035[[#This Row],[Dog ID]]="","",(VLOOKUP(Table1313035[[#This Row],[Dog ID]],Advanced!C$5:$D$54,2,FALSE)&amp;" - " &amp;VLOOKUP(Table1313035[[#This Row],[Dog ID]],'SDDA Dogs'!A:C,3,FALSE)))</f>
        <v/>
      </c>
      <c r="H174" s="51" t="str">
        <f>IF(Table1313035[[#This Row],[Dog ID]]="","",(VLOOKUP(Table1313035[[#This Row],[Dog ID]],Advanced!C$5:$AU62,45,FALSE)))</f>
        <v/>
      </c>
    </row>
    <row r="175" spans="1:9" ht="30" customHeight="1" x14ac:dyDescent="0.45">
      <c r="A175" s="49">
        <v>10</v>
      </c>
      <c r="B175" s="144" t="str">
        <f>IF(OR(VLOOKUP(Table1313035[[#This Row],[Ln'#]],Advanced!A$5:AU$54,7,FALSE)="E",VLOOKUP(Table1313035[[#This Row],[Ln'#]],Advanced!A$5:AU$54,7,FALSE)="FEO"),"x","")</f>
        <v/>
      </c>
      <c r="C175" s="144" t="str">
        <f>IF(OR(VLOOKUP(Table1313035[[#This Row],[Ln'#]],Advanced!A$5:AU$54,23,FALSE)="E",VLOOKUP(Table1313035[[#This Row],[Ln'#]],Advanced!A$5:AU$54,23,FALSE)="FEO"),"x","")</f>
        <v/>
      </c>
      <c r="D175" s="48"/>
      <c r="E175" s="48"/>
      <c r="F175" s="48" t="str">
        <f>IF(AND(Table1313035[[#This Row],[Status Container]]="",Table1313035[[#This Row],[Status Exterior]]=""),"",VLOOKUP(Table1313035[[#This Row],[Ln'#]],Advanced!$A$5:$AU$54,3,FALSE))</f>
        <v/>
      </c>
      <c r="G175" s="51" t="str">
        <f>IF(Table1313035[[#This Row],[Dog ID]]="","",(VLOOKUP(Table1313035[[#This Row],[Dog ID]],Advanced!C$5:$D$54,2,FALSE)&amp;" - " &amp;VLOOKUP(Table1313035[[#This Row],[Dog ID]],'SDDA Dogs'!A:C,3,FALSE)))</f>
        <v/>
      </c>
      <c r="H175" s="51" t="str">
        <f>IF(Table1313035[[#This Row],[Dog ID]]="","",(VLOOKUP(Table1313035[[#This Row],[Dog ID]],Advanced!C$5:$AU63,45,FALSE)))</f>
        <v/>
      </c>
    </row>
    <row r="176" spans="1:9" ht="30" customHeight="1" x14ac:dyDescent="0.45">
      <c r="A176" s="49">
        <v>11</v>
      </c>
      <c r="B176" s="144" t="str">
        <f>IF(OR(VLOOKUP(Table1313035[[#This Row],[Ln'#]],Advanced!A$5:AU$54,7,FALSE)="E",VLOOKUP(Table1313035[[#This Row],[Ln'#]],Advanced!A$5:AU$54,7,FALSE)="FEO"),"x","")</f>
        <v/>
      </c>
      <c r="C176" s="144" t="str">
        <f>IF(OR(VLOOKUP(Table1313035[[#This Row],[Ln'#]],Advanced!A$5:AU$54,23,FALSE)="E",VLOOKUP(Table1313035[[#This Row],[Ln'#]],Advanced!A$5:AU$54,23,FALSE)="FEO"),"x","")</f>
        <v/>
      </c>
      <c r="D176" s="48"/>
      <c r="E176" s="48"/>
      <c r="F176" s="48" t="str">
        <f>IF(AND(Table1313035[[#This Row],[Status Container]]="",Table1313035[[#This Row],[Status Exterior]]=""),"",VLOOKUP(Table1313035[[#This Row],[Ln'#]],Advanced!$A$5:$AU$54,3,FALSE))</f>
        <v/>
      </c>
      <c r="G176" s="51" t="str">
        <f>IF(Table1313035[[#This Row],[Dog ID]]="","",(VLOOKUP(Table1313035[[#This Row],[Dog ID]],Advanced!C$5:$D$54,2,FALSE)&amp;" - " &amp;VLOOKUP(Table1313035[[#This Row],[Dog ID]],'SDDA Dogs'!A:C,3,FALSE)))</f>
        <v/>
      </c>
      <c r="H176" s="51" t="str">
        <f>IF(Table1313035[[#This Row],[Dog ID]]="","",(VLOOKUP(Table1313035[[#This Row],[Dog ID]],Advanced!C$5:$AU64,45,FALSE)))</f>
        <v/>
      </c>
    </row>
    <row r="177" spans="1:8" ht="30" customHeight="1" x14ac:dyDescent="0.45">
      <c r="A177" s="49">
        <v>12</v>
      </c>
      <c r="B177" s="144" t="str">
        <f>IF(OR(VLOOKUP(Table1313035[[#This Row],[Ln'#]],Advanced!A$5:AU$54,7,FALSE)="E",VLOOKUP(Table1313035[[#This Row],[Ln'#]],Advanced!A$5:AU$54,7,FALSE)="FEO"),"x","")</f>
        <v/>
      </c>
      <c r="C177" s="144" t="str">
        <f>IF(OR(VLOOKUP(Table1313035[[#This Row],[Ln'#]],Advanced!A$5:AU$54,23,FALSE)="E",VLOOKUP(Table1313035[[#This Row],[Ln'#]],Advanced!A$5:AU$54,23,FALSE)="FEO"),"x","")</f>
        <v/>
      </c>
      <c r="D177" s="48"/>
      <c r="E177" s="48"/>
      <c r="F177" s="48" t="str">
        <f>IF(AND(Table1313035[[#This Row],[Status Container]]="",Table1313035[[#This Row],[Status Exterior]]=""),"",VLOOKUP(Table1313035[[#This Row],[Ln'#]],Advanced!$A$5:$AU$54,3,FALSE))</f>
        <v/>
      </c>
      <c r="G177" s="51" t="str">
        <f>IF(Table1313035[[#This Row],[Dog ID]]="","",(VLOOKUP(Table1313035[[#This Row],[Dog ID]],Advanced!C$5:$D$54,2,FALSE)&amp;" - " &amp;VLOOKUP(Table1313035[[#This Row],[Dog ID]],'SDDA Dogs'!A:C,3,FALSE)))</f>
        <v/>
      </c>
      <c r="H177" s="51" t="str">
        <f>IF(Table1313035[[#This Row],[Dog ID]]="","",(VLOOKUP(Table1313035[[#This Row],[Dog ID]],Advanced!C$5:$AU65,45,FALSE)))</f>
        <v/>
      </c>
    </row>
    <row r="178" spans="1:8" ht="30" customHeight="1" x14ac:dyDescent="0.45">
      <c r="A178" s="49">
        <v>13</v>
      </c>
      <c r="B178" s="144" t="str">
        <f>IF(OR(VLOOKUP(Table1313035[[#This Row],[Ln'#]],Advanced!A$5:AU$54,7,FALSE)="E",VLOOKUP(Table1313035[[#This Row],[Ln'#]],Advanced!A$5:AU$54,7,FALSE)="FEO"),"x","")</f>
        <v/>
      </c>
      <c r="C178" s="144" t="str">
        <f>IF(OR(VLOOKUP(Table1313035[[#This Row],[Ln'#]],Advanced!A$5:AU$54,23,FALSE)="E",VLOOKUP(Table1313035[[#This Row],[Ln'#]],Advanced!A$5:AU$54,23,FALSE)="FEO"),"x","")</f>
        <v/>
      </c>
      <c r="D178" s="48"/>
      <c r="E178" s="48"/>
      <c r="F178" s="48" t="str">
        <f>IF(AND(Table1313035[[#This Row],[Status Container]]="",Table1313035[[#This Row],[Status Exterior]]=""),"",VLOOKUP(Table1313035[[#This Row],[Ln'#]],Advanced!$A$5:$AU$54,3,FALSE))</f>
        <v/>
      </c>
      <c r="G178" s="51" t="str">
        <f>IF(Table1313035[[#This Row],[Dog ID]]="","",(VLOOKUP(Table1313035[[#This Row],[Dog ID]],Advanced!C$5:$D$54,2,FALSE)&amp;" - " &amp;VLOOKUP(Table1313035[[#This Row],[Dog ID]],'SDDA Dogs'!A:C,3,FALSE)))</f>
        <v/>
      </c>
      <c r="H178" s="51" t="str">
        <f>IF(Table1313035[[#This Row],[Dog ID]]="","",(VLOOKUP(Table1313035[[#This Row],[Dog ID]],Advanced!C$5:$AU66,45,FALSE)))</f>
        <v/>
      </c>
    </row>
    <row r="179" spans="1:8" ht="30" customHeight="1" x14ac:dyDescent="0.45">
      <c r="A179" s="49">
        <v>14</v>
      </c>
      <c r="B179" s="144" t="str">
        <f>IF(OR(VLOOKUP(Table1313035[[#This Row],[Ln'#]],Advanced!A$5:AU$54,7,FALSE)="E",VLOOKUP(Table1313035[[#This Row],[Ln'#]],Advanced!A$5:AU$54,7,FALSE)="FEO"),"x","")</f>
        <v/>
      </c>
      <c r="C179" s="144" t="str">
        <f>IF(OR(VLOOKUP(Table1313035[[#This Row],[Ln'#]],Advanced!A$5:AU$54,23,FALSE)="E",VLOOKUP(Table1313035[[#This Row],[Ln'#]],Advanced!A$5:AU$54,23,FALSE)="FEO"),"x","")</f>
        <v/>
      </c>
      <c r="D179" s="48"/>
      <c r="E179" s="48"/>
      <c r="F179" s="48" t="str">
        <f>IF(AND(Table1313035[[#This Row],[Status Container]]="",Table1313035[[#This Row],[Status Exterior]]=""),"",VLOOKUP(Table1313035[[#This Row],[Ln'#]],Advanced!$A$5:$AU$54,3,FALSE))</f>
        <v/>
      </c>
      <c r="G179" s="51" t="str">
        <f>IF(Table1313035[[#This Row],[Dog ID]]="","",(VLOOKUP(Table1313035[[#This Row],[Dog ID]],Advanced!C$5:$D$54,2,FALSE)&amp;" - " &amp;VLOOKUP(Table1313035[[#This Row],[Dog ID]],'SDDA Dogs'!A:C,3,FALSE)))</f>
        <v/>
      </c>
      <c r="H179" s="51" t="str">
        <f>IF(Table1313035[[#This Row],[Dog ID]]="","",(VLOOKUP(Table1313035[[#This Row],[Dog ID]],Advanced!C$5:$AU67,45,FALSE)))</f>
        <v/>
      </c>
    </row>
    <row r="180" spans="1:8" ht="30" customHeight="1" x14ac:dyDescent="0.45">
      <c r="A180" s="49">
        <v>15</v>
      </c>
      <c r="B180" s="144" t="str">
        <f>IF(OR(VLOOKUP(Table1313035[[#This Row],[Ln'#]],Advanced!A$5:AU$54,7,FALSE)="E",VLOOKUP(Table1313035[[#This Row],[Ln'#]],Advanced!A$5:AU$54,7,FALSE)="FEO"),"x","")</f>
        <v/>
      </c>
      <c r="C180" s="144" t="str">
        <f>IF(OR(VLOOKUP(Table1313035[[#This Row],[Ln'#]],Advanced!A$5:AU$54,23,FALSE)="E",VLOOKUP(Table1313035[[#This Row],[Ln'#]],Advanced!A$5:AU$54,23,FALSE)="FEO"),"x","")</f>
        <v/>
      </c>
      <c r="D180" s="48"/>
      <c r="E180" s="48"/>
      <c r="F180" s="48" t="str">
        <f>IF(AND(Table1313035[[#This Row],[Status Container]]="",Table1313035[[#This Row],[Status Exterior]]=""),"",VLOOKUP(Table1313035[[#This Row],[Ln'#]],Advanced!$A$5:$AU$54,3,FALSE))</f>
        <v/>
      </c>
      <c r="G180" s="51" t="str">
        <f>IF(Table1313035[[#This Row],[Dog ID]]="","",(VLOOKUP(Table1313035[[#This Row],[Dog ID]],Advanced!C$5:$D$54,2,FALSE)&amp;" - " &amp;VLOOKUP(Table1313035[[#This Row],[Dog ID]],'SDDA Dogs'!A:C,3,FALSE)))</f>
        <v/>
      </c>
      <c r="H180" s="51" t="str">
        <f>IF(Table1313035[[#This Row],[Dog ID]]="","",(VLOOKUP(Table1313035[[#This Row],[Dog ID]],Advanced!C$5:$AU68,45,FALSE)))</f>
        <v/>
      </c>
    </row>
    <row r="181" spans="1:8" ht="30" customHeight="1" x14ac:dyDescent="0.45">
      <c r="A181" s="49">
        <v>16</v>
      </c>
      <c r="B181" s="144" t="str">
        <f>IF(OR(VLOOKUP(Table1313035[[#This Row],[Ln'#]],Advanced!A$5:AU$54,7,FALSE)="E",VLOOKUP(Table1313035[[#This Row],[Ln'#]],Advanced!A$5:AU$54,7,FALSE)="FEO"),"x","")</f>
        <v/>
      </c>
      <c r="C181" s="144" t="str">
        <f>IF(OR(VLOOKUP(Table1313035[[#This Row],[Ln'#]],Advanced!A$5:AU$54,23,FALSE)="E",VLOOKUP(Table1313035[[#This Row],[Ln'#]],Advanced!A$5:AU$54,23,FALSE)="FEO"),"x","")</f>
        <v/>
      </c>
      <c r="D181" s="48"/>
      <c r="E181" s="48"/>
      <c r="F181" s="48" t="str">
        <f>IF(AND(Table1313035[[#This Row],[Status Container]]="",Table1313035[[#This Row],[Status Exterior]]=""),"",VLOOKUP(Table1313035[[#This Row],[Ln'#]],Advanced!$A$5:$AU$54,3,FALSE))</f>
        <v/>
      </c>
      <c r="G181" s="51" t="str">
        <f>IF(Table1313035[[#This Row],[Dog ID]]="","",(VLOOKUP(Table1313035[[#This Row],[Dog ID]],Advanced!C$5:$D$54,2,FALSE)&amp;" - " &amp;VLOOKUP(Table1313035[[#This Row],[Dog ID]],'SDDA Dogs'!A:C,3,FALSE)))</f>
        <v/>
      </c>
      <c r="H181" s="51" t="str">
        <f>IF(Table1313035[[#This Row],[Dog ID]]="","",(VLOOKUP(Table1313035[[#This Row],[Dog ID]],Advanced!C$5:$AU69,45,FALSE)))</f>
        <v/>
      </c>
    </row>
    <row r="182" spans="1:8" ht="30" customHeight="1" x14ac:dyDescent="0.45">
      <c r="A182" s="49">
        <v>17</v>
      </c>
      <c r="B182" s="144" t="str">
        <f>IF(OR(VLOOKUP(Table1313035[[#This Row],[Ln'#]],Advanced!A$5:AU$54,7,FALSE)="E",VLOOKUP(Table1313035[[#This Row],[Ln'#]],Advanced!A$5:AU$54,7,FALSE)="FEO"),"x","")</f>
        <v/>
      </c>
      <c r="C182" s="144" t="str">
        <f>IF(OR(VLOOKUP(Table1313035[[#This Row],[Ln'#]],Advanced!A$5:AU$54,23,FALSE)="E",VLOOKUP(Table1313035[[#This Row],[Ln'#]],Advanced!A$5:AU$54,23,FALSE)="FEO"),"x","")</f>
        <v/>
      </c>
      <c r="D182" s="48"/>
      <c r="E182" s="48"/>
      <c r="F182" s="48" t="str">
        <f>IF(AND(Table1313035[[#This Row],[Status Container]]="",Table1313035[[#This Row],[Status Exterior]]=""),"",VLOOKUP(Table1313035[[#This Row],[Ln'#]],Advanced!$A$5:$AU$54,3,FALSE))</f>
        <v/>
      </c>
      <c r="G182" s="51" t="str">
        <f>IF(Table1313035[[#This Row],[Dog ID]]="","",(VLOOKUP(Table1313035[[#This Row],[Dog ID]],Advanced!C$5:$D$54,2,FALSE)&amp;" - " &amp;VLOOKUP(Table1313035[[#This Row],[Dog ID]],'SDDA Dogs'!A:C,3,FALSE)))</f>
        <v/>
      </c>
      <c r="H182" s="51" t="str">
        <f>IF(Table1313035[[#This Row],[Dog ID]]="","",(VLOOKUP(Table1313035[[#This Row],[Dog ID]],Advanced!C$5:$AU70,45,FALSE)))</f>
        <v/>
      </c>
    </row>
    <row r="183" spans="1:8" ht="30" customHeight="1" x14ac:dyDescent="0.45">
      <c r="A183" s="49">
        <v>18</v>
      </c>
      <c r="B183" s="144" t="str">
        <f>IF(OR(VLOOKUP(Table1313035[[#This Row],[Ln'#]],Advanced!A$5:AU$54,7,FALSE)="E",VLOOKUP(Table1313035[[#This Row],[Ln'#]],Advanced!A$5:AU$54,7,FALSE)="FEO"),"x","")</f>
        <v/>
      </c>
      <c r="C183" s="144" t="str">
        <f>IF(OR(VLOOKUP(Table1313035[[#This Row],[Ln'#]],Advanced!A$5:AU$54,23,FALSE)="E",VLOOKUP(Table1313035[[#This Row],[Ln'#]],Advanced!A$5:AU$54,23,FALSE)="FEO"),"x","")</f>
        <v/>
      </c>
      <c r="D183" s="48"/>
      <c r="E183" s="48"/>
      <c r="F183" s="48" t="str">
        <f>IF(AND(Table1313035[[#This Row],[Status Container]]="",Table1313035[[#This Row],[Status Exterior]]=""),"",VLOOKUP(Table1313035[[#This Row],[Ln'#]],Advanced!$A$5:$AU$54,3,FALSE))</f>
        <v/>
      </c>
      <c r="G183" s="51" t="str">
        <f>IF(Table1313035[[#This Row],[Dog ID]]="","",(VLOOKUP(Table1313035[[#This Row],[Dog ID]],Advanced!C$5:$D$54,2,FALSE)&amp;" - " &amp;VLOOKUP(Table1313035[[#This Row],[Dog ID]],'SDDA Dogs'!A:C,3,FALSE)))</f>
        <v/>
      </c>
      <c r="H183" s="51" t="str">
        <f>IF(Table1313035[[#This Row],[Dog ID]]="","",(VLOOKUP(Table1313035[[#This Row],[Dog ID]],Advanced!C$5:$AU71,45,FALSE)))</f>
        <v/>
      </c>
    </row>
    <row r="184" spans="1:8" ht="30" customHeight="1" x14ac:dyDescent="0.45">
      <c r="A184" s="49">
        <v>19</v>
      </c>
      <c r="B184" s="144" t="str">
        <f>IF(OR(VLOOKUP(Table1313035[[#This Row],[Ln'#]],Advanced!A$5:AU$54,7,FALSE)="E",VLOOKUP(Table1313035[[#This Row],[Ln'#]],Advanced!A$5:AU$54,7,FALSE)="FEO"),"x","")</f>
        <v/>
      </c>
      <c r="C184" s="144" t="str">
        <f>IF(OR(VLOOKUP(Table1313035[[#This Row],[Ln'#]],Advanced!A$5:AU$54,23,FALSE)="E",VLOOKUP(Table1313035[[#This Row],[Ln'#]],Advanced!A$5:AU$54,23,FALSE)="FEO"),"x","")</f>
        <v/>
      </c>
      <c r="D184" s="48"/>
      <c r="E184" s="48"/>
      <c r="F184" s="48" t="str">
        <f>IF(AND(Table1313035[[#This Row],[Status Container]]="",Table1313035[[#This Row],[Status Exterior]]=""),"",VLOOKUP(Table1313035[[#This Row],[Ln'#]],Advanced!$A$5:$AU$54,3,FALSE))</f>
        <v/>
      </c>
      <c r="G184" s="51" t="str">
        <f>IF(Table1313035[[#This Row],[Dog ID]]="","",(VLOOKUP(Table1313035[[#This Row],[Dog ID]],Advanced!C$5:$D$54,2,FALSE)&amp;" - " &amp;VLOOKUP(Table1313035[[#This Row],[Dog ID]],'SDDA Dogs'!A:C,3,FALSE)))</f>
        <v/>
      </c>
      <c r="H184" s="51" t="str">
        <f>IF(Table1313035[[#This Row],[Dog ID]]="","",(VLOOKUP(Table1313035[[#This Row],[Dog ID]],Advanced!C$5:$AU72,45,FALSE)))</f>
        <v/>
      </c>
    </row>
    <row r="185" spans="1:8" ht="30" customHeight="1" x14ac:dyDescent="0.45">
      <c r="A185" s="49">
        <v>20</v>
      </c>
      <c r="B185" s="144" t="str">
        <f>IF(OR(VLOOKUP(Table1313035[[#This Row],[Ln'#]],Advanced!A$5:AU$54,7,FALSE)="E",VLOOKUP(Table1313035[[#This Row],[Ln'#]],Advanced!A$5:AU$54,7,FALSE)="FEO"),"x","")</f>
        <v/>
      </c>
      <c r="C185" s="144" t="str">
        <f>IF(OR(VLOOKUP(Table1313035[[#This Row],[Ln'#]],Advanced!A$5:AU$54,23,FALSE)="E",VLOOKUP(Table1313035[[#This Row],[Ln'#]],Advanced!A$5:AU$54,23,FALSE)="FEO"),"x","")</f>
        <v/>
      </c>
      <c r="D185" s="48"/>
      <c r="E185" s="48"/>
      <c r="F185" s="48" t="str">
        <f>IF(AND(Table1313035[[#This Row],[Status Container]]="",Table1313035[[#This Row],[Status Exterior]]=""),"",VLOOKUP(Table1313035[[#This Row],[Ln'#]],Advanced!$A$5:$AU$54,3,FALSE))</f>
        <v/>
      </c>
      <c r="G185" s="51" t="str">
        <f>IF(Table1313035[[#This Row],[Dog ID]]="","",(VLOOKUP(Table1313035[[#This Row],[Dog ID]],Advanced!C$5:$D$54,2,FALSE)&amp;" - " &amp;VLOOKUP(Table1313035[[#This Row],[Dog ID]],'SDDA Dogs'!A:C,3,FALSE)))</f>
        <v/>
      </c>
      <c r="H185" s="51" t="str">
        <f>IF(Table1313035[[#This Row],[Dog ID]]="","",(VLOOKUP(Table1313035[[#This Row],[Dog ID]],Advanced!C$5:$AU73,45,FALSE)))</f>
        <v/>
      </c>
    </row>
    <row r="186" spans="1:8" ht="30" customHeight="1" x14ac:dyDescent="0.45">
      <c r="A186" s="49">
        <v>21</v>
      </c>
      <c r="B186" s="144" t="str">
        <f>IF(OR(VLOOKUP(Table1313035[[#This Row],[Ln'#]],Advanced!A$5:AU$54,7,FALSE)="E",VLOOKUP(Table1313035[[#This Row],[Ln'#]],Advanced!A$5:AU$54,7,FALSE)="FEO"),"x","")</f>
        <v/>
      </c>
      <c r="C186" s="144" t="str">
        <f>IF(OR(VLOOKUP(Table1313035[[#This Row],[Ln'#]],Advanced!A$5:AU$54,23,FALSE)="E",VLOOKUP(Table1313035[[#This Row],[Ln'#]],Advanced!A$5:AU$54,23,FALSE)="FEO"),"x","")</f>
        <v/>
      </c>
      <c r="D186" s="48"/>
      <c r="E186" s="48"/>
      <c r="F186" s="48" t="str">
        <f>IF(AND(Table1313035[[#This Row],[Status Container]]="",Table1313035[[#This Row],[Status Exterior]]=""),"",VLOOKUP(Table1313035[[#This Row],[Ln'#]],Advanced!$A$5:$AU$54,3,FALSE))</f>
        <v/>
      </c>
      <c r="G186" s="51" t="str">
        <f>IF(Table1313035[[#This Row],[Dog ID]]="","",(VLOOKUP(Table1313035[[#This Row],[Dog ID]],Advanced!C$5:$D$54,2,FALSE)&amp;" - " &amp;VLOOKUP(Table1313035[[#This Row],[Dog ID]],'SDDA Dogs'!A:C,3,FALSE)))</f>
        <v/>
      </c>
      <c r="H186" s="51" t="str">
        <f>IF(Table1313035[[#This Row],[Dog ID]]="","",(VLOOKUP(Table1313035[[#This Row],[Dog ID]],Advanced!C$5:$AU74,45,FALSE)))</f>
        <v/>
      </c>
    </row>
    <row r="187" spans="1:8" ht="30" customHeight="1" x14ac:dyDescent="0.45">
      <c r="A187" s="49">
        <v>22</v>
      </c>
      <c r="B187" s="144" t="str">
        <f>IF(OR(VLOOKUP(Table1313035[[#This Row],[Ln'#]],Advanced!A$5:AU$54,7,FALSE)="E",VLOOKUP(Table1313035[[#This Row],[Ln'#]],Advanced!A$5:AU$54,7,FALSE)="FEO"),"x","")</f>
        <v/>
      </c>
      <c r="C187" s="144" t="str">
        <f>IF(OR(VLOOKUP(Table1313035[[#This Row],[Ln'#]],Advanced!A$5:AU$54,23,FALSE)="E",VLOOKUP(Table1313035[[#This Row],[Ln'#]],Advanced!A$5:AU$54,23,FALSE)="FEO"),"x","")</f>
        <v/>
      </c>
      <c r="D187" s="48"/>
      <c r="E187" s="48"/>
      <c r="F187" s="48" t="str">
        <f>IF(AND(Table1313035[[#This Row],[Status Container]]="",Table1313035[[#This Row],[Status Exterior]]=""),"",VLOOKUP(Table1313035[[#This Row],[Ln'#]],Advanced!$A$5:$AU$54,3,FALSE))</f>
        <v/>
      </c>
      <c r="G187" s="51" t="str">
        <f>IF(Table1313035[[#This Row],[Dog ID]]="","",(VLOOKUP(Table1313035[[#This Row],[Dog ID]],Advanced!C$5:$D$54,2,FALSE)&amp;" - " &amp;VLOOKUP(Table1313035[[#This Row],[Dog ID]],'SDDA Dogs'!A:C,3,FALSE)))</f>
        <v/>
      </c>
      <c r="H187" s="51" t="str">
        <f>IF(Table1313035[[#This Row],[Dog ID]]="","",(VLOOKUP(Table1313035[[#This Row],[Dog ID]],Advanced!C$5:$AU75,45,FALSE)))</f>
        <v/>
      </c>
    </row>
    <row r="188" spans="1:8" ht="30" customHeight="1" x14ac:dyDescent="0.45">
      <c r="A188" s="49">
        <v>23</v>
      </c>
      <c r="B188" s="144" t="str">
        <f>IF(OR(VLOOKUP(Table1313035[[#This Row],[Ln'#]],Advanced!A$5:AU$54,7,FALSE)="E",VLOOKUP(Table1313035[[#This Row],[Ln'#]],Advanced!A$5:AU$54,7,FALSE)="FEO"),"x","")</f>
        <v/>
      </c>
      <c r="C188" s="144" t="str">
        <f>IF(OR(VLOOKUP(Table1313035[[#This Row],[Ln'#]],Advanced!A$5:AU$54,23,FALSE)="E",VLOOKUP(Table1313035[[#This Row],[Ln'#]],Advanced!A$5:AU$54,23,FALSE)="FEO"),"x","")</f>
        <v/>
      </c>
      <c r="D188" s="48"/>
      <c r="E188" s="48"/>
      <c r="F188" s="48" t="str">
        <f>IF(AND(Table1313035[[#This Row],[Status Container]]="",Table1313035[[#This Row],[Status Exterior]]=""),"",VLOOKUP(Table1313035[[#This Row],[Ln'#]],Advanced!$A$5:$AU$54,3,FALSE))</f>
        <v/>
      </c>
      <c r="G188" s="51" t="str">
        <f>IF(Table1313035[[#This Row],[Dog ID]]="","",(VLOOKUP(Table1313035[[#This Row],[Dog ID]],Advanced!C$5:$D$54,2,FALSE)&amp;" - " &amp;VLOOKUP(Table1313035[[#This Row],[Dog ID]],'SDDA Dogs'!A:C,3,FALSE)))</f>
        <v/>
      </c>
      <c r="H188" s="51" t="str">
        <f>IF(Table1313035[[#This Row],[Dog ID]]="","",(VLOOKUP(Table1313035[[#This Row],[Dog ID]],Advanced!C$5:$AU76,45,FALSE)))</f>
        <v/>
      </c>
    </row>
    <row r="189" spans="1:8" ht="30" customHeight="1" x14ac:dyDescent="0.45">
      <c r="A189" s="49">
        <v>24</v>
      </c>
      <c r="B189" s="144" t="str">
        <f>IF(OR(VLOOKUP(Table1313035[[#This Row],[Ln'#]],Advanced!A$5:AU$54,7,FALSE)="E",VLOOKUP(Table1313035[[#This Row],[Ln'#]],Advanced!A$5:AU$54,7,FALSE)="FEO"),"x","")</f>
        <v/>
      </c>
      <c r="C189" s="144" t="str">
        <f>IF(OR(VLOOKUP(Table1313035[[#This Row],[Ln'#]],Advanced!A$5:AU$54,23,FALSE)="E",VLOOKUP(Table1313035[[#This Row],[Ln'#]],Advanced!A$5:AU$54,23,FALSE)="FEO"),"x","")</f>
        <v/>
      </c>
      <c r="D189" s="48"/>
      <c r="E189" s="48"/>
      <c r="F189" s="48" t="str">
        <f>IF(AND(Table1313035[[#This Row],[Status Container]]="",Table1313035[[#This Row],[Status Exterior]]=""),"",VLOOKUP(Table1313035[[#This Row],[Ln'#]],Advanced!$A$5:$AU$54,3,FALSE))</f>
        <v/>
      </c>
      <c r="G189" s="51" t="str">
        <f>IF(Table1313035[[#This Row],[Dog ID]]="","",(VLOOKUP(Table1313035[[#This Row],[Dog ID]],Advanced!C$5:$D$54,2,FALSE)&amp;" - " &amp;VLOOKUP(Table1313035[[#This Row],[Dog ID]],'SDDA Dogs'!A:C,3,FALSE)))</f>
        <v/>
      </c>
      <c r="H189" s="51" t="str">
        <f>IF(Table1313035[[#This Row],[Dog ID]]="","",(VLOOKUP(Table1313035[[#This Row],[Dog ID]],Advanced!C$5:$AU77,45,FALSE)))</f>
        <v/>
      </c>
    </row>
    <row r="190" spans="1:8" ht="30" customHeight="1" x14ac:dyDescent="0.45">
      <c r="A190" s="49">
        <v>25</v>
      </c>
      <c r="B190" s="144" t="str">
        <f>IF(OR(VLOOKUP(Table1313035[[#This Row],[Ln'#]],Advanced!A$5:AU$54,7,FALSE)="E",VLOOKUP(Table1313035[[#This Row],[Ln'#]],Advanced!A$5:AU$54,7,FALSE)="FEO"),"x","")</f>
        <v/>
      </c>
      <c r="C190" s="144" t="str">
        <f>IF(OR(VLOOKUP(Table1313035[[#This Row],[Ln'#]],Advanced!A$5:AU$54,23,FALSE)="E",VLOOKUP(Table1313035[[#This Row],[Ln'#]],Advanced!A$5:AU$54,23,FALSE)="FEO"),"x","")</f>
        <v/>
      </c>
      <c r="D190" s="48"/>
      <c r="E190" s="48"/>
      <c r="F190" s="48" t="str">
        <f>IF(AND(Table1313035[[#This Row],[Status Container]]="",Table1313035[[#This Row],[Status Exterior]]=""),"",VLOOKUP(Table1313035[[#This Row],[Ln'#]],Advanced!$A$5:$AU$54,3,FALSE))</f>
        <v/>
      </c>
      <c r="G190" s="51" t="str">
        <f>IF(Table1313035[[#This Row],[Dog ID]]="","",(VLOOKUP(Table1313035[[#This Row],[Dog ID]],Advanced!C$5:$D$54,2,FALSE)&amp;" - " &amp;VLOOKUP(Table1313035[[#This Row],[Dog ID]],'SDDA Dogs'!A:C,3,FALSE)))</f>
        <v/>
      </c>
      <c r="H190" s="51" t="str">
        <f>IF(Table1313035[[#This Row],[Dog ID]]="","",(VLOOKUP(Table1313035[[#This Row],[Dog ID]],Advanced!C$5:$AU78,45,FALSE)))</f>
        <v/>
      </c>
    </row>
    <row r="191" spans="1:8" ht="30" customHeight="1" x14ac:dyDescent="0.45">
      <c r="A191" s="49">
        <v>26</v>
      </c>
      <c r="B191" s="144" t="str">
        <f>IF(OR(VLOOKUP(Table1313035[[#This Row],[Ln'#]],Advanced!A$5:AU$54,7,FALSE)="E",VLOOKUP(Table1313035[[#This Row],[Ln'#]],Advanced!A$5:AU$54,7,FALSE)="FEO"),"x","")</f>
        <v/>
      </c>
      <c r="C191" s="144" t="str">
        <f>IF(OR(VLOOKUP(Table1313035[[#This Row],[Ln'#]],Advanced!A$5:AU$54,23,FALSE)="E",VLOOKUP(Table1313035[[#This Row],[Ln'#]],Advanced!A$5:AU$54,23,FALSE)="FEO"),"x","")</f>
        <v/>
      </c>
      <c r="D191" s="48"/>
      <c r="E191" s="48"/>
      <c r="F191" s="48" t="str">
        <f>IF(AND(Table1313035[[#This Row],[Status Container]]="",Table1313035[[#This Row],[Status Exterior]]=""),"",VLOOKUP(Table1313035[[#This Row],[Ln'#]],Advanced!$A$5:$AU$54,3,FALSE))</f>
        <v/>
      </c>
      <c r="G191" s="51" t="str">
        <f>IF(Table1313035[[#This Row],[Dog ID]]="","",(VLOOKUP(Table1313035[[#This Row],[Dog ID]],Advanced!C$5:$D$54,2,FALSE)&amp;" - " &amp;VLOOKUP(Table1313035[[#This Row],[Dog ID]],'SDDA Dogs'!A:C,3,FALSE)))</f>
        <v/>
      </c>
      <c r="H191" s="51" t="str">
        <f>IF(Table1313035[[#This Row],[Dog ID]]="","",(VLOOKUP(Table1313035[[#This Row],[Dog ID]],Advanced!C$5:$AU79,45,FALSE)))</f>
        <v/>
      </c>
    </row>
    <row r="192" spans="1:8" ht="30" customHeight="1" x14ac:dyDescent="0.45">
      <c r="A192" s="49">
        <v>27</v>
      </c>
      <c r="B192" s="144" t="str">
        <f>IF(OR(VLOOKUP(Table1313035[[#This Row],[Ln'#]],Advanced!A$5:AU$54,7,FALSE)="E",VLOOKUP(Table1313035[[#This Row],[Ln'#]],Advanced!A$5:AU$54,7,FALSE)="FEO"),"x","")</f>
        <v/>
      </c>
      <c r="C192" s="144" t="str">
        <f>IF(OR(VLOOKUP(Table1313035[[#This Row],[Ln'#]],Advanced!A$5:AU$54,23,FALSE)="E",VLOOKUP(Table1313035[[#This Row],[Ln'#]],Advanced!A$5:AU$54,23,FALSE)="FEO"),"x","")</f>
        <v/>
      </c>
      <c r="D192" s="48"/>
      <c r="E192" s="48"/>
      <c r="F192" s="48" t="str">
        <f>IF(AND(Table1313035[[#This Row],[Status Container]]="",Table1313035[[#This Row],[Status Exterior]]=""),"",VLOOKUP(Table1313035[[#This Row],[Ln'#]],Advanced!$A$5:$AU$54,3,FALSE))</f>
        <v/>
      </c>
      <c r="G192" s="51" t="str">
        <f>IF(Table1313035[[#This Row],[Dog ID]]="","",(VLOOKUP(Table1313035[[#This Row],[Dog ID]],Advanced!C$5:$D$54,2,FALSE)&amp;" - " &amp;VLOOKUP(Table1313035[[#This Row],[Dog ID]],'SDDA Dogs'!A:C,3,FALSE)))</f>
        <v/>
      </c>
      <c r="H192" s="51" t="str">
        <f>IF(Table1313035[[#This Row],[Dog ID]]="","",(VLOOKUP(Table1313035[[#This Row],[Dog ID]],Advanced!C$5:$AU80,45,FALSE)))</f>
        <v/>
      </c>
    </row>
    <row r="193" spans="1:8" ht="30" customHeight="1" x14ac:dyDescent="0.45">
      <c r="A193" s="49">
        <v>28</v>
      </c>
      <c r="B193" s="144" t="str">
        <f>IF(OR(VLOOKUP(Table1313035[[#This Row],[Ln'#]],Advanced!A$5:AU$54,7,FALSE)="E",VLOOKUP(Table1313035[[#This Row],[Ln'#]],Advanced!A$5:AU$54,7,FALSE)="FEO"),"x","")</f>
        <v/>
      </c>
      <c r="C193" s="144" t="str">
        <f>IF(OR(VLOOKUP(Table1313035[[#This Row],[Ln'#]],Advanced!A$5:AU$54,23,FALSE)="E",VLOOKUP(Table1313035[[#This Row],[Ln'#]],Advanced!A$5:AU$54,23,FALSE)="FEO"),"x","")</f>
        <v/>
      </c>
      <c r="D193" s="48"/>
      <c r="E193" s="48"/>
      <c r="F193" s="48" t="str">
        <f>IF(AND(Table1313035[[#This Row],[Status Container]]="",Table1313035[[#This Row],[Status Exterior]]=""),"",VLOOKUP(Table1313035[[#This Row],[Ln'#]],Advanced!$A$5:$AU$54,3,FALSE))</f>
        <v/>
      </c>
      <c r="G193" s="51" t="str">
        <f>IF(Table1313035[[#This Row],[Dog ID]]="","",(VLOOKUP(Table1313035[[#This Row],[Dog ID]],Advanced!C$5:$D$54,2,FALSE)&amp;" - " &amp;VLOOKUP(Table1313035[[#This Row],[Dog ID]],'SDDA Dogs'!A:C,3,FALSE)))</f>
        <v/>
      </c>
      <c r="H193" s="51" t="str">
        <f>IF(Table1313035[[#This Row],[Dog ID]]="","",(VLOOKUP(Table1313035[[#This Row],[Dog ID]],Advanced!C$5:$AU81,45,FALSE)))</f>
        <v/>
      </c>
    </row>
    <row r="194" spans="1:8" ht="30" customHeight="1" x14ac:dyDescent="0.45">
      <c r="A194" s="49">
        <v>29</v>
      </c>
      <c r="B194" s="144" t="str">
        <f>IF(OR(VLOOKUP(Table1313035[[#This Row],[Ln'#]],Advanced!A$5:AU$54,7,FALSE)="E",VLOOKUP(Table1313035[[#This Row],[Ln'#]],Advanced!A$5:AU$54,7,FALSE)="FEO"),"x","")</f>
        <v/>
      </c>
      <c r="C194" s="144" t="str">
        <f>IF(OR(VLOOKUP(Table1313035[[#This Row],[Ln'#]],Advanced!A$5:AU$54,23,FALSE)="E",VLOOKUP(Table1313035[[#This Row],[Ln'#]],Advanced!A$5:AU$54,23,FALSE)="FEO"),"x","")</f>
        <v/>
      </c>
      <c r="D194" s="48"/>
      <c r="E194" s="48"/>
      <c r="F194" s="48" t="str">
        <f>IF(AND(Table1313035[[#This Row],[Status Container]]="",Table1313035[[#This Row],[Status Exterior]]=""),"",VLOOKUP(Table1313035[[#This Row],[Ln'#]],Advanced!$A$5:$AU$54,3,FALSE))</f>
        <v/>
      </c>
      <c r="G194" s="51" t="str">
        <f>IF(Table1313035[[#This Row],[Dog ID]]="","",(VLOOKUP(Table1313035[[#This Row],[Dog ID]],Advanced!C$5:$D$54,2,FALSE)&amp;" - " &amp;VLOOKUP(Table1313035[[#This Row],[Dog ID]],'SDDA Dogs'!A:C,3,FALSE)))</f>
        <v/>
      </c>
      <c r="H194" s="51" t="str">
        <f>IF(Table1313035[[#This Row],[Dog ID]]="","",(VLOOKUP(Table1313035[[#This Row],[Dog ID]],Advanced!C$5:$AU82,45,FALSE)))</f>
        <v/>
      </c>
    </row>
    <row r="195" spans="1:8" ht="30" customHeight="1" x14ac:dyDescent="0.45">
      <c r="A195" s="49">
        <v>30</v>
      </c>
      <c r="B195" s="144" t="str">
        <f>IF(OR(VLOOKUP(Table1313035[[#This Row],[Ln'#]],Advanced!A$5:AU$54,7,FALSE)="E",VLOOKUP(Table1313035[[#This Row],[Ln'#]],Advanced!A$5:AU$54,7,FALSE)="FEO"),"x","")</f>
        <v/>
      </c>
      <c r="C195" s="144" t="str">
        <f>IF(OR(VLOOKUP(Table1313035[[#This Row],[Ln'#]],Advanced!A$5:AU$54,23,FALSE)="E",VLOOKUP(Table1313035[[#This Row],[Ln'#]],Advanced!A$5:AU$54,23,FALSE)="FEO"),"x","")</f>
        <v/>
      </c>
      <c r="D195" s="48"/>
      <c r="E195" s="48"/>
      <c r="F195" s="48" t="str">
        <f>IF(AND(Table1313035[[#This Row],[Status Container]]="",Table1313035[[#This Row],[Status Exterior]]=""),"",VLOOKUP(Table1313035[[#This Row],[Ln'#]],Advanced!$A$5:$AU$54,3,FALSE))</f>
        <v/>
      </c>
      <c r="G195" s="51" t="str">
        <f>IF(Table1313035[[#This Row],[Dog ID]]="","",(VLOOKUP(Table1313035[[#This Row],[Dog ID]],Advanced!C$5:$D$54,2,FALSE)&amp;" - " &amp;VLOOKUP(Table1313035[[#This Row],[Dog ID]],'SDDA Dogs'!A:C,3,FALSE)))</f>
        <v/>
      </c>
      <c r="H195" s="51" t="str">
        <f>IF(Table1313035[[#This Row],[Dog ID]]="","",(VLOOKUP(Table1313035[[#This Row],[Dog ID]],Advanced!C$5:$AU83,45,FALSE)))</f>
        <v/>
      </c>
    </row>
    <row r="196" spans="1:8" ht="30" customHeight="1" x14ac:dyDescent="0.45">
      <c r="A196" s="49">
        <v>31</v>
      </c>
      <c r="B196" s="144" t="str">
        <f>IF(OR(VLOOKUP(Table1313035[[#This Row],[Ln'#]],Advanced!A$5:AU$54,7,FALSE)="E",VLOOKUP(Table1313035[[#This Row],[Ln'#]],Advanced!A$5:AU$54,7,FALSE)="FEO"),"x","")</f>
        <v/>
      </c>
      <c r="C196" s="144" t="str">
        <f>IF(OR(VLOOKUP(Table1313035[[#This Row],[Ln'#]],Advanced!A$5:AU$54,23,FALSE)="E",VLOOKUP(Table1313035[[#This Row],[Ln'#]],Advanced!A$5:AU$54,23,FALSE)="FEO"),"x","")</f>
        <v/>
      </c>
      <c r="D196" s="48"/>
      <c r="E196" s="48"/>
      <c r="F196" s="48" t="str">
        <f>IF(AND(Table1313035[[#This Row],[Status Container]]="",Table1313035[[#This Row],[Status Exterior]]=""),"",VLOOKUP(Table1313035[[#This Row],[Ln'#]],Advanced!$A$5:$AU$54,3,FALSE))</f>
        <v/>
      </c>
      <c r="G196" s="51" t="str">
        <f>IF(Table1313035[[#This Row],[Dog ID]]="","",(VLOOKUP(Table1313035[[#This Row],[Dog ID]],Advanced!C$5:$D$54,2,FALSE)&amp;" - " &amp;VLOOKUP(Table1313035[[#This Row],[Dog ID]],'SDDA Dogs'!A:C,3,FALSE)))</f>
        <v/>
      </c>
      <c r="H196" s="51" t="str">
        <f>IF(Table1313035[[#This Row],[Dog ID]]="","",(VLOOKUP(Table1313035[[#This Row],[Dog ID]],Advanced!C$5:$AU84,45,FALSE)))</f>
        <v/>
      </c>
    </row>
    <row r="197" spans="1:8" ht="30" customHeight="1" x14ac:dyDescent="0.45">
      <c r="A197" s="49">
        <v>32</v>
      </c>
      <c r="B197" s="144" t="str">
        <f>IF(OR(VLOOKUP(Table1313035[[#This Row],[Ln'#]],Advanced!A$5:AU$54,7,FALSE)="E",VLOOKUP(Table1313035[[#This Row],[Ln'#]],Advanced!A$5:AU$54,7,FALSE)="FEO"),"x","")</f>
        <v/>
      </c>
      <c r="C197" s="144" t="str">
        <f>IF(OR(VLOOKUP(Table1313035[[#This Row],[Ln'#]],Advanced!A$5:AU$54,23,FALSE)="E",VLOOKUP(Table1313035[[#This Row],[Ln'#]],Advanced!A$5:AU$54,23,FALSE)="FEO"),"x","")</f>
        <v/>
      </c>
      <c r="D197" s="48"/>
      <c r="E197" s="48"/>
      <c r="F197" s="48" t="str">
        <f>IF(AND(Table1313035[[#This Row],[Status Container]]="",Table1313035[[#This Row],[Status Exterior]]=""),"",VLOOKUP(Table1313035[[#This Row],[Ln'#]],Advanced!$A$5:$AU$54,3,FALSE))</f>
        <v/>
      </c>
      <c r="G197" s="51" t="str">
        <f>IF(Table1313035[[#This Row],[Dog ID]]="","",(VLOOKUP(Table1313035[[#This Row],[Dog ID]],Advanced!C$5:$D$54,2,FALSE)&amp;" - " &amp;VLOOKUP(Table1313035[[#This Row],[Dog ID]],'SDDA Dogs'!A:C,3,FALSE)))</f>
        <v/>
      </c>
      <c r="H197" s="51" t="str">
        <f>IF(Table1313035[[#This Row],[Dog ID]]="","",(VLOOKUP(Table1313035[[#This Row],[Dog ID]],Advanced!C$5:$AU85,45,FALSE)))</f>
        <v/>
      </c>
    </row>
    <row r="198" spans="1:8" ht="30" customHeight="1" x14ac:dyDescent="0.45">
      <c r="A198" s="49">
        <v>33</v>
      </c>
      <c r="B198" s="144" t="str">
        <f>IF(OR(VLOOKUP(Table1313035[[#This Row],[Ln'#]],Advanced!A$5:AU$54,7,FALSE)="E",VLOOKUP(Table1313035[[#This Row],[Ln'#]],Advanced!A$5:AU$54,7,FALSE)="FEO"),"x","")</f>
        <v/>
      </c>
      <c r="C198" s="144" t="str">
        <f>IF(OR(VLOOKUP(Table1313035[[#This Row],[Ln'#]],Advanced!A$5:AU$54,23,FALSE)="E",VLOOKUP(Table1313035[[#This Row],[Ln'#]],Advanced!A$5:AU$54,23,FALSE)="FEO"),"x","")</f>
        <v/>
      </c>
      <c r="D198" s="48"/>
      <c r="E198" s="48"/>
      <c r="F198" s="48" t="str">
        <f>IF(AND(Table1313035[[#This Row],[Status Container]]="",Table1313035[[#This Row],[Status Exterior]]=""),"",VLOOKUP(Table1313035[[#This Row],[Ln'#]],Advanced!$A$5:$AU$54,3,FALSE))</f>
        <v/>
      </c>
      <c r="G198" s="51" t="str">
        <f>IF(Table1313035[[#This Row],[Dog ID]]="","",(VLOOKUP(Table1313035[[#This Row],[Dog ID]],Advanced!C$5:$D$54,2,FALSE)&amp;" - " &amp;VLOOKUP(Table1313035[[#This Row],[Dog ID]],'SDDA Dogs'!A:C,3,FALSE)))</f>
        <v/>
      </c>
      <c r="H198" s="51" t="str">
        <f>IF(Table1313035[[#This Row],[Dog ID]]="","",(VLOOKUP(Table1313035[[#This Row],[Dog ID]],Advanced!C$5:$AU86,45,FALSE)))</f>
        <v/>
      </c>
    </row>
    <row r="199" spans="1:8" ht="30" customHeight="1" x14ac:dyDescent="0.45">
      <c r="A199" s="49">
        <v>34</v>
      </c>
      <c r="B199" s="144" t="str">
        <f>IF(OR(VLOOKUP(Table1313035[[#This Row],[Ln'#]],Advanced!A$5:AU$54,7,FALSE)="E",VLOOKUP(Table1313035[[#This Row],[Ln'#]],Advanced!A$5:AU$54,7,FALSE)="FEO"),"x","")</f>
        <v/>
      </c>
      <c r="C199" s="144" t="str">
        <f>IF(OR(VLOOKUP(Table1313035[[#This Row],[Ln'#]],Advanced!A$5:AU$54,23,FALSE)="E",VLOOKUP(Table1313035[[#This Row],[Ln'#]],Advanced!A$5:AU$54,23,FALSE)="FEO"),"x","")</f>
        <v/>
      </c>
      <c r="D199" s="48"/>
      <c r="E199" s="48"/>
      <c r="F199" s="48" t="str">
        <f>IF(AND(Table1313035[[#This Row],[Status Container]]="",Table1313035[[#This Row],[Status Exterior]]=""),"",VLOOKUP(Table1313035[[#This Row],[Ln'#]],Advanced!$A$5:$AU$54,3,FALSE))</f>
        <v/>
      </c>
      <c r="G199" s="51" t="str">
        <f>IF(Table1313035[[#This Row],[Dog ID]]="","",(VLOOKUP(Table1313035[[#This Row],[Dog ID]],Advanced!C$5:$D$54,2,FALSE)&amp;" - " &amp;VLOOKUP(Table1313035[[#This Row],[Dog ID]],'SDDA Dogs'!A:C,3,FALSE)))</f>
        <v/>
      </c>
      <c r="H199" s="51" t="str">
        <f>IF(Table1313035[[#This Row],[Dog ID]]="","",(VLOOKUP(Table1313035[[#This Row],[Dog ID]],Advanced!C$5:$AU87,45,FALSE)))</f>
        <v/>
      </c>
    </row>
    <row r="200" spans="1:8" ht="30" customHeight="1" x14ac:dyDescent="0.45">
      <c r="A200" s="49">
        <v>35</v>
      </c>
      <c r="B200" s="144" t="str">
        <f>IF(OR(VLOOKUP(Table1313035[[#This Row],[Ln'#]],Advanced!A$5:AU$54,7,FALSE)="E",VLOOKUP(Table1313035[[#This Row],[Ln'#]],Advanced!A$5:AU$54,7,FALSE)="FEO"),"x","")</f>
        <v/>
      </c>
      <c r="C200" s="144" t="str">
        <f>IF(OR(VLOOKUP(Table1313035[[#This Row],[Ln'#]],Advanced!A$5:AU$54,23,FALSE)="E",VLOOKUP(Table1313035[[#This Row],[Ln'#]],Advanced!A$5:AU$54,23,FALSE)="FEO"),"x","")</f>
        <v/>
      </c>
      <c r="D200" s="48"/>
      <c r="E200" s="48"/>
      <c r="F200" s="48" t="str">
        <f>IF(AND(Table1313035[[#This Row],[Status Container]]="",Table1313035[[#This Row],[Status Exterior]]=""),"",VLOOKUP(Table1313035[[#This Row],[Ln'#]],Advanced!$A$5:$AU$54,3,FALSE))</f>
        <v/>
      </c>
      <c r="G200" s="51" t="str">
        <f>IF(Table1313035[[#This Row],[Dog ID]]="","",(VLOOKUP(Table1313035[[#This Row],[Dog ID]],Advanced!C$5:$D$54,2,FALSE)&amp;" - " &amp;VLOOKUP(Table1313035[[#This Row],[Dog ID]],'SDDA Dogs'!A:C,3,FALSE)))</f>
        <v/>
      </c>
      <c r="H200" s="51" t="str">
        <f>IF(Table1313035[[#This Row],[Dog ID]]="","",(VLOOKUP(Table1313035[[#This Row],[Dog ID]],Advanced!C$5:$AU88,45,FALSE)))</f>
        <v/>
      </c>
    </row>
    <row r="201" spans="1:8" ht="30" customHeight="1" x14ac:dyDescent="0.45">
      <c r="A201" s="49">
        <v>36</v>
      </c>
      <c r="B201" s="144" t="str">
        <f>IF(OR(VLOOKUP(Table1313035[[#This Row],[Ln'#]],Advanced!A$5:AU$54,7,FALSE)="E",VLOOKUP(Table1313035[[#This Row],[Ln'#]],Advanced!A$5:AU$54,7,FALSE)="FEO"),"x","")</f>
        <v/>
      </c>
      <c r="C201" s="144" t="str">
        <f>IF(OR(VLOOKUP(Table1313035[[#This Row],[Ln'#]],Advanced!A$5:AU$54,23,FALSE)="E",VLOOKUP(Table1313035[[#This Row],[Ln'#]],Advanced!A$5:AU$54,23,FALSE)="FEO"),"x","")</f>
        <v/>
      </c>
      <c r="D201" s="48"/>
      <c r="E201" s="48"/>
      <c r="F201" s="48" t="str">
        <f>IF(AND(Table1313035[[#This Row],[Status Container]]="",Table1313035[[#This Row],[Status Exterior]]=""),"",VLOOKUP(Table1313035[[#This Row],[Ln'#]],Advanced!$A$5:$AU$54,3,FALSE))</f>
        <v/>
      </c>
      <c r="G201" s="51" t="str">
        <f>IF(Table1313035[[#This Row],[Dog ID]]="","",(VLOOKUP(Table1313035[[#This Row],[Dog ID]],Advanced!C$5:$D$54,2,FALSE)&amp;" - " &amp;VLOOKUP(Table1313035[[#This Row],[Dog ID]],'SDDA Dogs'!A:C,3,FALSE)))</f>
        <v/>
      </c>
      <c r="H201" s="51" t="str">
        <f>IF(Table1313035[[#This Row],[Dog ID]]="","",(VLOOKUP(Table1313035[[#This Row],[Dog ID]],Advanced!C$5:$AU89,45,FALSE)))</f>
        <v/>
      </c>
    </row>
    <row r="202" spans="1:8" ht="30" customHeight="1" x14ac:dyDescent="0.45">
      <c r="A202" s="49">
        <v>37</v>
      </c>
      <c r="B202" s="144" t="str">
        <f>IF(OR(VLOOKUP(Table1313035[[#This Row],[Ln'#]],Advanced!A$5:AU$54,7,FALSE)="E",VLOOKUP(Table1313035[[#This Row],[Ln'#]],Advanced!A$5:AU$54,7,FALSE)="FEO"),"x","")</f>
        <v/>
      </c>
      <c r="C202" s="144" t="str">
        <f>IF(OR(VLOOKUP(Table1313035[[#This Row],[Ln'#]],Advanced!A$5:AU$54,23,FALSE)="E",VLOOKUP(Table1313035[[#This Row],[Ln'#]],Advanced!A$5:AU$54,23,FALSE)="FEO"),"x","")</f>
        <v/>
      </c>
      <c r="D202" s="48"/>
      <c r="E202" s="48"/>
      <c r="F202" s="48" t="str">
        <f>IF(AND(Table1313035[[#This Row],[Status Container]]="",Table1313035[[#This Row],[Status Exterior]]=""),"",VLOOKUP(Table1313035[[#This Row],[Ln'#]],Advanced!$A$5:$AU$54,3,FALSE))</f>
        <v/>
      </c>
      <c r="G202" s="51" t="str">
        <f>IF(Table1313035[[#This Row],[Dog ID]]="","",(VLOOKUP(Table1313035[[#This Row],[Dog ID]],Advanced!C$5:$D$54,2,FALSE)&amp;" - " &amp;VLOOKUP(Table1313035[[#This Row],[Dog ID]],'SDDA Dogs'!A:C,3,FALSE)))</f>
        <v/>
      </c>
      <c r="H202" s="51" t="str">
        <f>IF(Table1313035[[#This Row],[Dog ID]]="","",(VLOOKUP(Table1313035[[#This Row],[Dog ID]],Advanced!C$5:$AU90,45,FALSE)))</f>
        <v/>
      </c>
    </row>
    <row r="203" spans="1:8" ht="30" customHeight="1" x14ac:dyDescent="0.45">
      <c r="A203" s="49">
        <v>38</v>
      </c>
      <c r="B203" s="144" t="str">
        <f>IF(OR(VLOOKUP(Table1313035[[#This Row],[Ln'#]],Advanced!A$5:AU$54,7,FALSE)="E",VLOOKUP(Table1313035[[#This Row],[Ln'#]],Advanced!A$5:AU$54,7,FALSE)="FEO"),"x","")</f>
        <v/>
      </c>
      <c r="C203" s="144" t="str">
        <f>IF(OR(VLOOKUP(Table1313035[[#This Row],[Ln'#]],Advanced!A$5:AU$54,23,FALSE)="E",VLOOKUP(Table1313035[[#This Row],[Ln'#]],Advanced!A$5:AU$54,23,FALSE)="FEO"),"x","")</f>
        <v/>
      </c>
      <c r="D203" s="48"/>
      <c r="E203" s="48"/>
      <c r="F203" s="48" t="str">
        <f>IF(AND(Table1313035[[#This Row],[Status Container]]="",Table1313035[[#This Row],[Status Exterior]]=""),"",VLOOKUP(Table1313035[[#This Row],[Ln'#]],Advanced!$A$5:$AU$54,3,FALSE))</f>
        <v/>
      </c>
      <c r="G203" s="51" t="str">
        <f>IF(Table1313035[[#This Row],[Dog ID]]="","",(VLOOKUP(Table1313035[[#This Row],[Dog ID]],Advanced!C$5:$D$54,2,FALSE)&amp;" - " &amp;VLOOKUP(Table1313035[[#This Row],[Dog ID]],'SDDA Dogs'!A:C,3,FALSE)))</f>
        <v/>
      </c>
      <c r="H203" s="51" t="str">
        <f>IF(Table1313035[[#This Row],[Dog ID]]="","",(VLOOKUP(Table1313035[[#This Row],[Dog ID]],Advanced!C$5:$AU91,45,FALSE)))</f>
        <v/>
      </c>
    </row>
    <row r="204" spans="1:8" ht="30" customHeight="1" x14ac:dyDescent="0.45">
      <c r="A204" s="49">
        <v>39</v>
      </c>
      <c r="B204" s="144" t="str">
        <f>IF(OR(VLOOKUP(Table1313035[[#This Row],[Ln'#]],Advanced!A$5:AU$54,7,FALSE)="E",VLOOKUP(Table1313035[[#This Row],[Ln'#]],Advanced!A$5:AU$54,7,FALSE)="FEO"),"x","")</f>
        <v/>
      </c>
      <c r="C204" s="144" t="str">
        <f>IF(OR(VLOOKUP(Table1313035[[#This Row],[Ln'#]],Advanced!A$5:AU$54,23,FALSE)="E",VLOOKUP(Table1313035[[#This Row],[Ln'#]],Advanced!A$5:AU$54,23,FALSE)="FEO"),"x","")</f>
        <v/>
      </c>
      <c r="D204" s="48"/>
      <c r="E204" s="48"/>
      <c r="F204" s="48" t="str">
        <f>IF(AND(Table1313035[[#This Row],[Status Container]]="",Table1313035[[#This Row],[Status Exterior]]=""),"",VLOOKUP(Table1313035[[#This Row],[Ln'#]],Advanced!$A$5:$AU$54,3,FALSE))</f>
        <v/>
      </c>
      <c r="G204" s="51" t="str">
        <f>IF(Table1313035[[#This Row],[Dog ID]]="","",(VLOOKUP(Table1313035[[#This Row],[Dog ID]],Advanced!C$5:$D$54,2,FALSE)&amp;" - " &amp;VLOOKUP(Table1313035[[#This Row],[Dog ID]],'SDDA Dogs'!A:C,3,FALSE)))</f>
        <v/>
      </c>
      <c r="H204" s="51" t="str">
        <f>IF(Table1313035[[#This Row],[Dog ID]]="","",(VLOOKUP(Table1313035[[#This Row],[Dog ID]],Advanced!C$5:$AU92,45,FALSE)))</f>
        <v/>
      </c>
    </row>
    <row r="205" spans="1:8" ht="30" customHeight="1" x14ac:dyDescent="0.45">
      <c r="A205" s="49">
        <v>40</v>
      </c>
      <c r="B205" s="144" t="str">
        <f>IF(OR(VLOOKUP(Table1313035[[#This Row],[Ln'#]],Advanced!A$5:AU$54,7,FALSE)="E",VLOOKUP(Table1313035[[#This Row],[Ln'#]],Advanced!A$5:AU$54,7,FALSE)="FEO"),"x","")</f>
        <v/>
      </c>
      <c r="C205" s="144" t="str">
        <f>IF(OR(VLOOKUP(Table1313035[[#This Row],[Ln'#]],Advanced!A$5:AU$54,23,FALSE)="E",VLOOKUP(Table1313035[[#This Row],[Ln'#]],Advanced!A$5:AU$54,23,FALSE)="FEO"),"x","")</f>
        <v/>
      </c>
      <c r="D205" s="48"/>
      <c r="E205" s="48"/>
      <c r="F205" s="48" t="str">
        <f>IF(AND(Table1313035[[#This Row],[Status Container]]="",Table1313035[[#This Row],[Status Exterior]]=""),"",VLOOKUP(Table1313035[[#This Row],[Ln'#]],Advanced!$A$5:$AU$54,3,FALSE))</f>
        <v/>
      </c>
      <c r="G205" s="51" t="str">
        <f>IF(Table1313035[[#This Row],[Dog ID]]="","",(VLOOKUP(Table1313035[[#This Row],[Dog ID]],Advanced!C$5:$D$54,2,FALSE)&amp;" - " &amp;VLOOKUP(Table1313035[[#This Row],[Dog ID]],'SDDA Dogs'!A:C,3,FALSE)))</f>
        <v/>
      </c>
      <c r="H205" s="51" t="str">
        <f>IF(Table1313035[[#This Row],[Dog ID]]="","",(VLOOKUP(Table1313035[[#This Row],[Dog ID]],Advanced!C$5:$AU93,45,FALSE)))</f>
        <v/>
      </c>
    </row>
    <row r="206" spans="1:8" ht="30" customHeight="1" x14ac:dyDescent="0.45">
      <c r="A206" s="49">
        <v>41</v>
      </c>
      <c r="B206" s="144" t="str">
        <f>IF(OR(VLOOKUP(Table1313035[[#This Row],[Ln'#]],Advanced!A$5:AU$54,7,FALSE)="E",VLOOKUP(Table1313035[[#This Row],[Ln'#]],Advanced!A$5:AU$54,7,FALSE)="FEO"),"x","")</f>
        <v/>
      </c>
      <c r="C206" s="144" t="str">
        <f>IF(OR(VLOOKUP(Table1313035[[#This Row],[Ln'#]],Advanced!A$5:AU$54,23,FALSE)="E",VLOOKUP(Table1313035[[#This Row],[Ln'#]],Advanced!A$5:AU$54,23,FALSE)="FEO"),"x","")</f>
        <v/>
      </c>
      <c r="D206" s="48"/>
      <c r="E206" s="48"/>
      <c r="F206" s="48" t="str">
        <f>IF(AND(Table1313035[[#This Row],[Status Container]]="",Table1313035[[#This Row],[Status Exterior]]=""),"",VLOOKUP(Table1313035[[#This Row],[Ln'#]],Advanced!$A$5:$AU$54,3,FALSE))</f>
        <v/>
      </c>
      <c r="G206" s="51" t="str">
        <f>IF(Table1313035[[#This Row],[Dog ID]]="","",(VLOOKUP(Table1313035[[#This Row],[Dog ID]],Advanced!C$5:$D$54,2,FALSE)&amp;" - " &amp;VLOOKUP(Table1313035[[#This Row],[Dog ID]],'SDDA Dogs'!A:C,3,FALSE)))</f>
        <v/>
      </c>
      <c r="H206" s="51" t="str">
        <f>IF(Table1313035[[#This Row],[Dog ID]]="","",(VLOOKUP(Table1313035[[#This Row],[Dog ID]],Advanced!C$5:$AU94,45,FALSE)))</f>
        <v/>
      </c>
    </row>
    <row r="207" spans="1:8" ht="30" customHeight="1" x14ac:dyDescent="0.45">
      <c r="A207" s="49">
        <v>42</v>
      </c>
      <c r="B207" s="144" t="str">
        <f>IF(OR(VLOOKUP(Table1313035[[#This Row],[Ln'#]],Advanced!A$5:AU$54,7,FALSE)="E",VLOOKUP(Table1313035[[#This Row],[Ln'#]],Advanced!A$5:AU$54,7,FALSE)="FEO"),"x","")</f>
        <v/>
      </c>
      <c r="C207" s="144" t="str">
        <f>IF(OR(VLOOKUP(Table1313035[[#This Row],[Ln'#]],Advanced!A$5:AU$54,23,FALSE)="E",VLOOKUP(Table1313035[[#This Row],[Ln'#]],Advanced!A$5:AU$54,23,FALSE)="FEO"),"x","")</f>
        <v/>
      </c>
      <c r="D207" s="48"/>
      <c r="E207" s="48"/>
      <c r="F207" s="48" t="str">
        <f>IF(AND(Table1313035[[#This Row],[Status Container]]="",Table1313035[[#This Row],[Status Exterior]]=""),"",VLOOKUP(Table1313035[[#This Row],[Ln'#]],Advanced!$A$5:$AU$54,3,FALSE))</f>
        <v/>
      </c>
      <c r="G207" s="51" t="str">
        <f>IF(Table1313035[[#This Row],[Dog ID]]="","",(VLOOKUP(Table1313035[[#This Row],[Dog ID]],Advanced!C$5:$D$54,2,FALSE)&amp;" - " &amp;VLOOKUP(Table1313035[[#This Row],[Dog ID]],'SDDA Dogs'!A:C,3,FALSE)))</f>
        <v/>
      </c>
      <c r="H207" s="51" t="str">
        <f>IF(Table1313035[[#This Row],[Dog ID]]="","",(VLOOKUP(Table1313035[[#This Row],[Dog ID]],Advanced!C$5:$AU95,45,FALSE)))</f>
        <v/>
      </c>
    </row>
    <row r="208" spans="1:8" ht="30" customHeight="1" x14ac:dyDescent="0.45">
      <c r="A208" s="49">
        <v>43</v>
      </c>
      <c r="B208" s="144" t="str">
        <f>IF(OR(VLOOKUP(Table1313035[[#This Row],[Ln'#]],Advanced!A$5:AU$54,7,FALSE)="E",VLOOKUP(Table1313035[[#This Row],[Ln'#]],Advanced!A$5:AU$54,7,FALSE)="FEO"),"x","")</f>
        <v/>
      </c>
      <c r="C208" s="144" t="str">
        <f>IF(OR(VLOOKUP(Table1313035[[#This Row],[Ln'#]],Advanced!A$5:AU$54,23,FALSE)="E",VLOOKUP(Table1313035[[#This Row],[Ln'#]],Advanced!A$5:AU$54,23,FALSE)="FEO"),"x","")</f>
        <v/>
      </c>
      <c r="D208" s="48"/>
      <c r="E208" s="48"/>
      <c r="F208" s="48" t="str">
        <f>IF(AND(Table1313035[[#This Row],[Status Container]]="",Table1313035[[#This Row],[Status Exterior]]=""),"",VLOOKUP(Table1313035[[#This Row],[Ln'#]],Advanced!$A$5:$AU$54,3,FALSE))</f>
        <v/>
      </c>
      <c r="G208" s="51" t="str">
        <f>IF(Table1313035[[#This Row],[Dog ID]]="","",(VLOOKUP(Table1313035[[#This Row],[Dog ID]],Advanced!C$5:$D$54,2,FALSE)&amp;" - " &amp;VLOOKUP(Table1313035[[#This Row],[Dog ID]],'SDDA Dogs'!A:C,3,FALSE)))</f>
        <v/>
      </c>
      <c r="H208" s="51" t="str">
        <f>IF(Table1313035[[#This Row],[Dog ID]]="","",(VLOOKUP(Table1313035[[#This Row],[Dog ID]],Advanced!C$5:$AU96,45,FALSE)))</f>
        <v/>
      </c>
    </row>
    <row r="209" spans="1:18" ht="30" customHeight="1" x14ac:dyDescent="0.45">
      <c r="A209" s="49">
        <v>44</v>
      </c>
      <c r="B209" s="144" t="str">
        <f>IF(OR(VLOOKUP(Table1313035[[#This Row],[Ln'#]],Advanced!A$5:AU$54,7,FALSE)="E",VLOOKUP(Table1313035[[#This Row],[Ln'#]],Advanced!A$5:AU$54,7,FALSE)="FEO"),"x","")</f>
        <v/>
      </c>
      <c r="C209" s="144" t="str">
        <f>IF(OR(VLOOKUP(Table1313035[[#This Row],[Ln'#]],Advanced!A$5:AU$54,23,FALSE)="E",VLOOKUP(Table1313035[[#This Row],[Ln'#]],Advanced!A$5:AU$54,23,FALSE)="FEO"),"x","")</f>
        <v/>
      </c>
      <c r="D209" s="48"/>
      <c r="E209" s="48"/>
      <c r="F209" s="48" t="str">
        <f>IF(AND(Table1313035[[#This Row],[Status Container]]="",Table1313035[[#This Row],[Status Exterior]]=""),"",VLOOKUP(Table1313035[[#This Row],[Ln'#]],Advanced!$A$5:$AU$54,3,FALSE))</f>
        <v/>
      </c>
      <c r="G209" s="51" t="str">
        <f>IF(Table1313035[[#This Row],[Dog ID]]="","",(VLOOKUP(Table1313035[[#This Row],[Dog ID]],Advanced!C$5:$D$54,2,FALSE)&amp;" - " &amp;VLOOKUP(Table1313035[[#This Row],[Dog ID]],'SDDA Dogs'!A:C,3,FALSE)))</f>
        <v/>
      </c>
      <c r="H209" s="51" t="str">
        <f>IF(Table1313035[[#This Row],[Dog ID]]="","",(VLOOKUP(Table1313035[[#This Row],[Dog ID]],Advanced!C$5:$AU97,45,FALSE)))</f>
        <v/>
      </c>
    </row>
    <row r="210" spans="1:18" ht="30" customHeight="1" x14ac:dyDescent="0.45">
      <c r="A210" s="49">
        <v>45</v>
      </c>
      <c r="B210" s="144" t="str">
        <f>IF(OR(VLOOKUP(Table1313035[[#This Row],[Ln'#]],Advanced!A$5:AU$54,7,FALSE)="E",VLOOKUP(Table1313035[[#This Row],[Ln'#]],Advanced!A$5:AU$54,7,FALSE)="FEO"),"x","")</f>
        <v/>
      </c>
      <c r="C210" s="144" t="str">
        <f>IF(OR(VLOOKUP(Table1313035[[#This Row],[Ln'#]],Advanced!A$5:AU$54,23,FALSE)="E",VLOOKUP(Table1313035[[#This Row],[Ln'#]],Advanced!A$5:AU$54,23,FALSE)="FEO"),"x","")</f>
        <v/>
      </c>
      <c r="D210" s="48"/>
      <c r="E210" s="48"/>
      <c r="F210" s="48" t="str">
        <f>IF(AND(Table1313035[[#This Row],[Status Container]]="",Table1313035[[#This Row],[Status Exterior]]=""),"",VLOOKUP(Table1313035[[#This Row],[Ln'#]],Advanced!$A$5:$AU$54,3,FALSE))</f>
        <v/>
      </c>
      <c r="G210" s="51" t="str">
        <f>IF(Table1313035[[#This Row],[Dog ID]]="","",(VLOOKUP(Table1313035[[#This Row],[Dog ID]],Advanced!C$5:$D$54,2,FALSE)&amp;" - " &amp;VLOOKUP(Table1313035[[#This Row],[Dog ID]],'SDDA Dogs'!A:C,3,FALSE)))</f>
        <v/>
      </c>
      <c r="H210" s="51" t="str">
        <f>IF(Table1313035[[#This Row],[Dog ID]]="","",(VLOOKUP(Table1313035[[#This Row],[Dog ID]],Advanced!C$5:$AU98,45,FALSE)))</f>
        <v/>
      </c>
    </row>
    <row r="211" spans="1:18" ht="30" customHeight="1" x14ac:dyDescent="0.45">
      <c r="A211" s="49">
        <v>46</v>
      </c>
      <c r="B211" s="144" t="str">
        <f>IF(OR(VLOOKUP(Table1313035[[#This Row],[Ln'#]],Advanced!A$5:AU$54,7,FALSE)="E",VLOOKUP(Table1313035[[#This Row],[Ln'#]],Advanced!A$5:AU$54,7,FALSE)="FEO"),"x","")</f>
        <v/>
      </c>
      <c r="C211" s="144" t="str">
        <f>IF(OR(VLOOKUP(Table1313035[[#This Row],[Ln'#]],Advanced!A$5:AU$54,23,FALSE)="E",VLOOKUP(Table1313035[[#This Row],[Ln'#]],Advanced!A$5:AU$54,23,FALSE)="FEO"),"x","")</f>
        <v/>
      </c>
      <c r="D211" s="48"/>
      <c r="E211" s="48"/>
      <c r="F211" s="48" t="str">
        <f>IF(AND(Table1313035[[#This Row],[Status Container]]="",Table1313035[[#This Row],[Status Exterior]]=""),"",VLOOKUP(Table1313035[[#This Row],[Ln'#]],Advanced!$A$5:$AU$54,3,FALSE))</f>
        <v/>
      </c>
      <c r="G211" s="51" t="str">
        <f>IF(Table1313035[[#This Row],[Dog ID]]="","",(VLOOKUP(Table1313035[[#This Row],[Dog ID]],Advanced!C$5:$D$54,2,FALSE)&amp;" - " &amp;VLOOKUP(Table1313035[[#This Row],[Dog ID]],'SDDA Dogs'!A:C,3,FALSE)))</f>
        <v/>
      </c>
      <c r="H211" s="51" t="str">
        <f>IF(Table1313035[[#This Row],[Dog ID]]="","",(VLOOKUP(Table1313035[[#This Row],[Dog ID]],Advanced!C$5:$AU99,45,FALSE)))</f>
        <v/>
      </c>
    </row>
    <row r="212" spans="1:18" ht="30" customHeight="1" x14ac:dyDescent="0.45">
      <c r="A212" s="49">
        <v>47</v>
      </c>
      <c r="B212" s="144" t="str">
        <f>IF(OR(VLOOKUP(Table1313035[[#This Row],[Ln'#]],Advanced!A$5:AU$54,7,FALSE)="E",VLOOKUP(Table1313035[[#This Row],[Ln'#]],Advanced!A$5:AU$54,7,FALSE)="FEO"),"x","")</f>
        <v/>
      </c>
      <c r="C212" s="144" t="str">
        <f>IF(OR(VLOOKUP(Table1313035[[#This Row],[Ln'#]],Advanced!A$5:AU$54,23,FALSE)="E",VLOOKUP(Table1313035[[#This Row],[Ln'#]],Advanced!A$5:AU$54,23,FALSE)="FEO"),"x","")</f>
        <v/>
      </c>
      <c r="D212" s="48"/>
      <c r="E212" s="48"/>
      <c r="F212" s="48" t="str">
        <f>IF(AND(Table1313035[[#This Row],[Status Container]]="",Table1313035[[#This Row],[Status Exterior]]=""),"",VLOOKUP(Table1313035[[#This Row],[Ln'#]],Advanced!$A$5:$AU$54,3,FALSE))</f>
        <v/>
      </c>
      <c r="G212" s="51" t="str">
        <f>IF(Table1313035[[#This Row],[Dog ID]]="","",(VLOOKUP(Table1313035[[#This Row],[Dog ID]],Advanced!C$5:$D$54,2,FALSE)&amp;" - " &amp;VLOOKUP(Table1313035[[#This Row],[Dog ID]],'SDDA Dogs'!A:C,3,FALSE)))</f>
        <v/>
      </c>
      <c r="H212" s="51" t="str">
        <f>IF(Table1313035[[#This Row],[Dog ID]]="","",(VLOOKUP(Table1313035[[#This Row],[Dog ID]],Advanced!C$5:$AU100,45,FALSE)))</f>
        <v/>
      </c>
    </row>
    <row r="213" spans="1:18" ht="30" customHeight="1" x14ac:dyDescent="0.45">
      <c r="A213" s="49">
        <v>48</v>
      </c>
      <c r="B213" s="144" t="str">
        <f>IF(OR(VLOOKUP(Table1313035[[#This Row],[Ln'#]],Advanced!A$5:AU$54,7,FALSE)="E",VLOOKUP(Table1313035[[#This Row],[Ln'#]],Advanced!A$5:AU$54,7,FALSE)="FEO"),"x","")</f>
        <v/>
      </c>
      <c r="C213" s="144" t="str">
        <f>IF(OR(VLOOKUP(Table1313035[[#This Row],[Ln'#]],Advanced!A$5:AU$54,23,FALSE)="E",VLOOKUP(Table1313035[[#This Row],[Ln'#]],Advanced!A$5:AU$54,23,FALSE)="FEO"),"x","")</f>
        <v/>
      </c>
      <c r="D213" s="48"/>
      <c r="E213" s="48"/>
      <c r="F213" s="48" t="str">
        <f>IF(AND(Table1313035[[#This Row],[Status Container]]="",Table1313035[[#This Row],[Status Exterior]]=""),"",VLOOKUP(Table1313035[[#This Row],[Ln'#]],Advanced!$A$5:$AU$54,3,FALSE))</f>
        <v/>
      </c>
      <c r="G213" s="51" t="str">
        <f>IF(Table1313035[[#This Row],[Dog ID]]="","",(VLOOKUP(Table1313035[[#This Row],[Dog ID]],Advanced!C$5:$D$54,2,FALSE)&amp;" - " &amp;VLOOKUP(Table1313035[[#This Row],[Dog ID]],'SDDA Dogs'!A:C,3,FALSE)))</f>
        <v/>
      </c>
      <c r="H213" s="51" t="str">
        <f>IF(Table1313035[[#This Row],[Dog ID]]="","",(VLOOKUP(Table1313035[[#This Row],[Dog ID]],Advanced!C$5:$AU101,45,FALSE)))</f>
        <v/>
      </c>
    </row>
    <row r="214" spans="1:18" ht="30" customHeight="1" x14ac:dyDescent="0.45">
      <c r="A214" s="49">
        <v>49</v>
      </c>
      <c r="B214" s="144" t="str">
        <f>IF(OR(VLOOKUP(Table1313035[[#This Row],[Ln'#]],Advanced!A$5:AU$54,7,FALSE)="E",VLOOKUP(Table1313035[[#This Row],[Ln'#]],Advanced!A$5:AU$54,7,FALSE)="FEO"),"x","")</f>
        <v/>
      </c>
      <c r="C214" s="144" t="str">
        <f>IF(OR(VLOOKUP(Table1313035[[#This Row],[Ln'#]],Advanced!A$5:AU$54,23,FALSE)="E",VLOOKUP(Table1313035[[#This Row],[Ln'#]],Advanced!A$5:AU$54,23,FALSE)="FEO"),"x","")</f>
        <v/>
      </c>
      <c r="D214" s="48"/>
      <c r="E214" s="48"/>
      <c r="F214" s="48" t="str">
        <f>IF(AND(Table1313035[[#This Row],[Status Container]]="",Table1313035[[#This Row],[Status Exterior]]=""),"",VLOOKUP(Table1313035[[#This Row],[Ln'#]],Advanced!$A$5:$AU$54,3,FALSE))</f>
        <v/>
      </c>
      <c r="G214" s="51" t="str">
        <f>IF(Table1313035[[#This Row],[Dog ID]]="","",(VLOOKUP(Table1313035[[#This Row],[Dog ID]],Advanced!C$5:$D$54,2,FALSE)&amp;" - " &amp;VLOOKUP(Table1313035[[#This Row],[Dog ID]],'SDDA Dogs'!A:C,3,FALSE)))</f>
        <v/>
      </c>
      <c r="H214" s="51" t="str">
        <f>IF(Table1313035[[#This Row],[Dog ID]]="","",(VLOOKUP(Table1313035[[#This Row],[Dog ID]],Advanced!C$5:$AU102,45,FALSE)))</f>
        <v/>
      </c>
    </row>
    <row r="215" spans="1:18" ht="30" customHeight="1" x14ac:dyDescent="0.45">
      <c r="A215" s="49">
        <v>50</v>
      </c>
      <c r="B215" s="144" t="str">
        <f>IF(OR(VLOOKUP(Table1313035[[#This Row],[Ln'#]],Advanced!A$5:AU$54,7,FALSE)="E",VLOOKUP(Table1313035[[#This Row],[Ln'#]],Advanced!A$5:AU$54,7,FALSE)="FEO"),"x","")</f>
        <v/>
      </c>
      <c r="C215" s="144" t="str">
        <f>IF(OR(VLOOKUP(Table1313035[[#This Row],[Ln'#]],Advanced!A$5:AU$54,23,FALSE)="E",VLOOKUP(Table1313035[[#This Row],[Ln'#]],Advanced!A$5:AU$54,23,FALSE)="FEO"),"x","")</f>
        <v/>
      </c>
      <c r="D215" s="48"/>
      <c r="E215" s="48"/>
      <c r="F215" s="48" t="str">
        <f>IF(AND(Table1313035[[#This Row],[Status Container]]="",Table1313035[[#This Row],[Status Exterior]]=""),"",VLOOKUP(Table1313035[[#This Row],[Ln'#]],Advanced!$A$5:$AU$54,3,FALSE))</f>
        <v/>
      </c>
      <c r="G215" s="51" t="str">
        <f>IF(Table1313035[[#This Row],[Dog ID]]="","",(VLOOKUP(Table1313035[[#This Row],[Dog ID]],Advanced!C$5:$D$54,2,FALSE)&amp;" - " &amp;VLOOKUP(Table1313035[[#This Row],[Dog ID]],'SDDA Dogs'!A:C,3,FALSE)))</f>
        <v/>
      </c>
      <c r="H215" s="51" t="str">
        <f>IF(Table1313035[[#This Row],[Dog ID]]="","",(VLOOKUP(Table1313035[[#This Row],[Dog ID]],Advanced!C$5:$AU103,45,FALSE)))</f>
        <v/>
      </c>
    </row>
    <row r="216" spans="1:18" ht="30" customHeight="1" x14ac:dyDescent="0.4">
      <c r="A216" s="48"/>
      <c r="B216" s="48"/>
      <c r="C216" s="48"/>
      <c r="D216" s="48" t="s">
        <v>1141</v>
      </c>
      <c r="E216" s="48">
        <f>SUBTOTAL(102,Table1313035[Running Order])</f>
        <v>0</v>
      </c>
      <c r="F216" s="48"/>
      <c r="G216" s="51"/>
      <c r="H216" s="51"/>
    </row>
    <row r="217" spans="1:18" ht="30" customHeight="1" x14ac:dyDescent="0.4">
      <c r="A217" s="145"/>
      <c r="B217" s="145"/>
      <c r="C217" s="145"/>
      <c r="D217" s="145"/>
      <c r="E217" s="145"/>
      <c r="F217" s="145"/>
      <c r="G217" s="145"/>
      <c r="H217" s="146"/>
      <c r="I217" s="146"/>
    </row>
    <row r="218" spans="1:18" ht="30" customHeight="1" x14ac:dyDescent="0.4">
      <c r="A218" s="402" t="s">
        <v>1143</v>
      </c>
      <c r="B218" s="402"/>
      <c r="C218" s="43"/>
      <c r="D218" s="403" t="s">
        <v>1184</v>
      </c>
      <c r="E218" s="403"/>
      <c r="F218" s="403"/>
      <c r="G218" s="403"/>
      <c r="H218" s="403"/>
      <c r="I218" s="403"/>
    </row>
    <row r="219" spans="1:18" ht="54" customHeight="1" x14ac:dyDescent="0.4">
      <c r="A219" s="67" t="s">
        <v>605</v>
      </c>
      <c r="B219" s="67" t="s">
        <v>1139</v>
      </c>
      <c r="C219" s="68" t="s">
        <v>12407</v>
      </c>
      <c r="D219" s="67" t="s">
        <v>1142</v>
      </c>
      <c r="E219" s="67" t="s">
        <v>1135</v>
      </c>
      <c r="F219" s="67" t="s">
        <v>1136</v>
      </c>
      <c r="G219" s="69" t="s">
        <v>1207</v>
      </c>
      <c r="H219" s="69" t="s">
        <v>1137</v>
      </c>
      <c r="J219" s="71"/>
      <c r="K219" s="71"/>
      <c r="L219" s="71"/>
      <c r="M219" s="71"/>
      <c r="N219" s="71"/>
      <c r="O219" s="71"/>
      <c r="P219" s="71"/>
      <c r="Q219" s="71"/>
      <c r="R219" s="71"/>
    </row>
    <row r="220" spans="1:18" ht="30" customHeight="1" x14ac:dyDescent="0.4">
      <c r="A220" s="49">
        <v>1</v>
      </c>
      <c r="B220" s="49" t="str">
        <f>IF(OR(VLOOKUP(Table171012[[#This Row],[Ln'#]],Advanced!A$5:AU$54,23,FALSE)="E",VLOOKUP(Table171012[[#This Row],[Ln'#]],Advanced!A$5:AU$54,23,FALSE)="FEO"),"Entered or FEO","Not Entered")</f>
        <v>Not Entered</v>
      </c>
      <c r="C220" s="50" t="str">
        <f t="shared" ref="C220" ca="1" si="4">IF(OR(B220="e",B220="FEO"),RAND(),"")</f>
        <v/>
      </c>
      <c r="D220" s="48"/>
      <c r="E220" s="48"/>
      <c r="F220" s="48" t="str">
        <f>IF(Table171012[[#This Row],[Status]]="Not Entered","",VLOOKUP(Table171012[[#This Row],[Ln'#]],Advanced!$A$5:$AU$54,3,FALSE))</f>
        <v/>
      </c>
      <c r="G22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0" s="51" t="str">
        <f>IF(Table171012[[#This Row],[Status]]="Not Entered","",VLOOKUP(Table171012[[#This Row],[Ln'#]],Advanced!$A$4:$AU$54,47,FALSE))</f>
        <v/>
      </c>
    </row>
    <row r="221" spans="1:18" ht="30" customHeight="1" x14ac:dyDescent="0.4">
      <c r="A221" s="49">
        <v>2</v>
      </c>
      <c r="B221" s="49" t="str">
        <f>IF(OR(VLOOKUP(Table171012[[#This Row],[Ln'#]],Advanced!A$5:AU$54,23,FALSE)="E",VLOOKUP(Table171012[[#This Row],[Ln'#]],Advanced!A$5:AU$54,23,FALSE)="FEO"),"Entered or FEO","Not Entered")</f>
        <v>Not Entered</v>
      </c>
      <c r="C221" s="50" t="str">
        <f t="shared" ref="C221:C269" ca="1" si="5">IF(OR(B221="e",B221="FEO"),RAND(),"")</f>
        <v/>
      </c>
      <c r="D221" s="48"/>
      <c r="E221" s="48"/>
      <c r="F221" s="48" t="str">
        <f>IF(Table171012[[#This Row],[Status]]="Not Entered","",VLOOKUP(Table171012[[#This Row],[Ln'#]],Advanced!$A$5:$AU$54,3,FALSE))</f>
        <v/>
      </c>
      <c r="G22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1" s="51" t="str">
        <f>IF(Table171012[[#This Row],[Status]]="Not Entered","",VLOOKUP(Table171012[[#This Row],[Ln'#]],Advanced!$A$4:$AU$54,47,FALSE))</f>
        <v/>
      </c>
    </row>
    <row r="222" spans="1:18" ht="30" customHeight="1" x14ac:dyDescent="0.4">
      <c r="A222" s="49">
        <v>3</v>
      </c>
      <c r="B222" s="49" t="str">
        <f>IF(OR(VLOOKUP(Table171012[[#This Row],[Ln'#]],Advanced!A$5:AU$54,23,FALSE)="E",VLOOKUP(Table171012[[#This Row],[Ln'#]],Advanced!A$5:AU$54,23,FALSE)="FEO"),"Entered or FEO","Not Entered")</f>
        <v>Not Entered</v>
      </c>
      <c r="C222" s="50" t="str">
        <f t="shared" ca="1" si="5"/>
        <v/>
      </c>
      <c r="D222" s="48"/>
      <c r="E222" s="48"/>
      <c r="F222" s="48" t="str">
        <f>IF(Table171012[[#This Row],[Status]]="Not Entered","",VLOOKUP(Table171012[[#This Row],[Ln'#]],Advanced!$A$5:$AU$54,3,FALSE))</f>
        <v/>
      </c>
      <c r="G22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2" s="51" t="str">
        <f>IF(Table171012[[#This Row],[Status]]="Not Entered","",VLOOKUP(Table171012[[#This Row],[Ln'#]],Advanced!$A$4:$AU$54,47,FALSE))</f>
        <v/>
      </c>
    </row>
    <row r="223" spans="1:18" ht="30" customHeight="1" x14ac:dyDescent="0.4">
      <c r="A223" s="49">
        <v>4</v>
      </c>
      <c r="B223" s="49" t="str">
        <f>IF(OR(VLOOKUP(Table171012[[#This Row],[Ln'#]],Advanced!A$5:AU$54,23,FALSE)="E",VLOOKUP(Table171012[[#This Row],[Ln'#]],Advanced!A$5:AU$54,23,FALSE)="FEO"),"Entered or FEO","Not Entered")</f>
        <v>Not Entered</v>
      </c>
      <c r="C223" s="50" t="str">
        <f t="shared" ca="1" si="5"/>
        <v/>
      </c>
      <c r="D223" s="48"/>
      <c r="E223" s="48"/>
      <c r="F223" s="48" t="str">
        <f>IF(Table171012[[#This Row],[Status]]="Not Entered","",VLOOKUP(Table171012[[#This Row],[Ln'#]],Advanced!$A$5:$AU$54,3,FALSE))</f>
        <v/>
      </c>
      <c r="G22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3" s="51" t="str">
        <f>IF(Table171012[[#This Row],[Status]]="Not Entered","",VLOOKUP(Table171012[[#This Row],[Ln'#]],Advanced!$A$4:$AU$54,47,FALSE))</f>
        <v/>
      </c>
    </row>
    <row r="224" spans="1:18" ht="30" customHeight="1" x14ac:dyDescent="0.4">
      <c r="A224" s="49">
        <v>5</v>
      </c>
      <c r="B224" s="49" t="str">
        <f>IF(OR(VLOOKUP(Table171012[[#This Row],[Ln'#]],Advanced!A$5:AU$54,23,FALSE)="E",VLOOKUP(Table171012[[#This Row],[Ln'#]],Advanced!A$5:AU$54,23,FALSE)="FEO"),"Entered or FEO","Not Entered")</f>
        <v>Not Entered</v>
      </c>
      <c r="C224" s="50" t="str">
        <f t="shared" ca="1" si="5"/>
        <v/>
      </c>
      <c r="D224" s="48"/>
      <c r="E224" s="48"/>
      <c r="F224" s="48" t="str">
        <f>IF(Table171012[[#This Row],[Status]]="Not Entered","",VLOOKUP(Table171012[[#This Row],[Ln'#]],Advanced!$A$5:$AU$54,3,FALSE))</f>
        <v/>
      </c>
      <c r="G22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4" s="51" t="str">
        <f>IF(Table171012[[#This Row],[Status]]="Not Entered","",VLOOKUP(Table171012[[#This Row],[Ln'#]],Advanced!$A$4:$AU$54,47,FALSE))</f>
        <v/>
      </c>
    </row>
    <row r="225" spans="1:8" ht="30" customHeight="1" x14ac:dyDescent="0.4">
      <c r="A225" s="49">
        <v>6</v>
      </c>
      <c r="B225" s="49" t="str">
        <f>IF(OR(VLOOKUP(Table171012[[#This Row],[Ln'#]],Advanced!A$5:AU$54,23,FALSE)="E",VLOOKUP(Table171012[[#This Row],[Ln'#]],Advanced!A$5:AU$54,23,FALSE)="FEO"),"Entered or FEO","Not Entered")</f>
        <v>Not Entered</v>
      </c>
      <c r="C225" s="50" t="str">
        <f t="shared" ca="1" si="5"/>
        <v/>
      </c>
      <c r="D225" s="48"/>
      <c r="E225" s="48"/>
      <c r="F225" s="48" t="str">
        <f>IF(Table171012[[#This Row],[Status]]="Not Entered","",VLOOKUP(Table171012[[#This Row],[Ln'#]],Advanced!$A$5:$AU$54,3,FALSE))</f>
        <v/>
      </c>
      <c r="G22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5" s="51" t="str">
        <f>IF(Table171012[[#This Row],[Status]]="Not Entered","",VLOOKUP(Table171012[[#This Row],[Ln'#]],Advanced!$A$4:$AU$54,47,FALSE))</f>
        <v/>
      </c>
    </row>
    <row r="226" spans="1:8" ht="30" customHeight="1" x14ac:dyDescent="0.4">
      <c r="A226" s="49">
        <v>7</v>
      </c>
      <c r="B226" s="49" t="str">
        <f>IF(OR(VLOOKUP(Table171012[[#This Row],[Ln'#]],Advanced!A$5:AU$54,23,FALSE)="E",VLOOKUP(Table171012[[#This Row],[Ln'#]],Advanced!A$5:AU$54,23,FALSE)="FEO"),"Entered or FEO","Not Entered")</f>
        <v>Not Entered</v>
      </c>
      <c r="C226" s="50" t="str">
        <f t="shared" ca="1" si="5"/>
        <v/>
      </c>
      <c r="D226" s="48"/>
      <c r="E226" s="48"/>
      <c r="F226" s="48" t="str">
        <f>IF(Table171012[[#This Row],[Status]]="Not Entered","",VLOOKUP(Table171012[[#This Row],[Ln'#]],Advanced!$A$5:$AU$54,3,FALSE))</f>
        <v/>
      </c>
      <c r="G22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6" s="51" t="str">
        <f>IF(Table171012[[#This Row],[Status]]="Not Entered","",VLOOKUP(Table171012[[#This Row],[Ln'#]],Advanced!$A$4:$AU$54,47,FALSE))</f>
        <v/>
      </c>
    </row>
    <row r="227" spans="1:8" ht="30" customHeight="1" x14ac:dyDescent="0.4">
      <c r="A227" s="49">
        <v>8</v>
      </c>
      <c r="B227" s="49" t="str">
        <f>IF(OR(VLOOKUP(Table171012[[#This Row],[Ln'#]],Advanced!A$5:AU$54,23,FALSE)="E",VLOOKUP(Table171012[[#This Row],[Ln'#]],Advanced!A$5:AU$54,23,FALSE)="FEO"),"Entered or FEO","Not Entered")</f>
        <v>Not Entered</v>
      </c>
      <c r="C227" s="50" t="str">
        <f t="shared" ca="1" si="5"/>
        <v/>
      </c>
      <c r="D227" s="48"/>
      <c r="E227" s="48"/>
      <c r="F227" s="48" t="str">
        <f>IF(Table171012[[#This Row],[Status]]="Not Entered","",VLOOKUP(Table171012[[#This Row],[Ln'#]],Advanced!$A$5:$AU$54,3,FALSE))</f>
        <v/>
      </c>
      <c r="G22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7" s="51" t="str">
        <f>IF(Table171012[[#This Row],[Status]]="Not Entered","",VLOOKUP(Table171012[[#This Row],[Ln'#]],Advanced!$A$4:$AU$54,47,FALSE))</f>
        <v/>
      </c>
    </row>
    <row r="228" spans="1:8" ht="30" customHeight="1" x14ac:dyDescent="0.4">
      <c r="A228" s="49">
        <v>9</v>
      </c>
      <c r="B228" s="49" t="str">
        <f>IF(OR(VLOOKUP(Table171012[[#This Row],[Ln'#]],Advanced!A$5:AU$54,23,FALSE)="E",VLOOKUP(Table171012[[#This Row],[Ln'#]],Advanced!A$5:AU$54,23,FALSE)="FEO"),"Entered or FEO","Not Entered")</f>
        <v>Not Entered</v>
      </c>
      <c r="C228" s="50" t="str">
        <f t="shared" ca="1" si="5"/>
        <v/>
      </c>
      <c r="D228" s="48"/>
      <c r="E228" s="48"/>
      <c r="F228" s="48" t="str">
        <f>IF(Table171012[[#This Row],[Status]]="Not Entered","",VLOOKUP(Table171012[[#This Row],[Ln'#]],Advanced!$A$5:$AU$54,3,FALSE))</f>
        <v/>
      </c>
      <c r="G22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8" s="51" t="str">
        <f>IF(Table171012[[#This Row],[Status]]="Not Entered","",VLOOKUP(Table171012[[#This Row],[Ln'#]],Advanced!$A$4:$AU$54,47,FALSE))</f>
        <v/>
      </c>
    </row>
    <row r="229" spans="1:8" ht="30" customHeight="1" x14ac:dyDescent="0.4">
      <c r="A229" s="49">
        <v>10</v>
      </c>
      <c r="B229" s="49" t="str">
        <f>IF(OR(VLOOKUP(Table171012[[#This Row],[Ln'#]],Advanced!A$5:AU$54,23,FALSE)="E",VLOOKUP(Table171012[[#This Row],[Ln'#]],Advanced!A$5:AU$54,23,FALSE)="FEO"),"Entered or FEO","Not Entered")</f>
        <v>Not Entered</v>
      </c>
      <c r="C229" s="50" t="str">
        <f t="shared" ca="1" si="5"/>
        <v/>
      </c>
      <c r="D229" s="48"/>
      <c r="E229" s="48"/>
      <c r="F229" s="48" t="str">
        <f>IF(Table171012[[#This Row],[Status]]="Not Entered","",VLOOKUP(Table171012[[#This Row],[Ln'#]],Advanced!$A$5:$AU$54,3,FALSE))</f>
        <v/>
      </c>
      <c r="G22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9" s="51" t="str">
        <f>IF(Table171012[[#This Row],[Status]]="Not Entered","",VLOOKUP(Table171012[[#This Row],[Ln'#]],Advanced!$A$4:$AU$54,47,FALSE))</f>
        <v/>
      </c>
    </row>
    <row r="230" spans="1:8" ht="30" customHeight="1" x14ac:dyDescent="0.4">
      <c r="A230" s="49">
        <v>11</v>
      </c>
      <c r="B230" s="49" t="str">
        <f>IF(OR(VLOOKUP(Table171012[[#This Row],[Ln'#]],Advanced!A$5:AU$54,23,FALSE)="E",VLOOKUP(Table171012[[#This Row],[Ln'#]],Advanced!A$5:AU$54,23,FALSE)="FEO"),"Entered or FEO","Not Entered")</f>
        <v>Not Entered</v>
      </c>
      <c r="C230" s="50" t="str">
        <f t="shared" ca="1" si="5"/>
        <v/>
      </c>
      <c r="D230" s="48"/>
      <c r="E230" s="48"/>
      <c r="F230" s="48" t="str">
        <f>IF(Table171012[[#This Row],[Status]]="Not Entered","",VLOOKUP(Table171012[[#This Row],[Ln'#]],Advanced!$A$5:$AU$54,3,FALSE))</f>
        <v/>
      </c>
      <c r="G23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0" s="51" t="str">
        <f>IF(Table171012[[#This Row],[Status]]="Not Entered","",VLOOKUP(Table171012[[#This Row],[Ln'#]],Advanced!$A$4:$AU$54,47,FALSE))</f>
        <v/>
      </c>
    </row>
    <row r="231" spans="1:8" ht="30" customHeight="1" x14ac:dyDescent="0.4">
      <c r="A231" s="49">
        <v>12</v>
      </c>
      <c r="B231" s="49" t="str">
        <f>IF(OR(VLOOKUP(Table171012[[#This Row],[Ln'#]],Advanced!A$5:AU$54,23,FALSE)="E",VLOOKUP(Table171012[[#This Row],[Ln'#]],Advanced!A$5:AU$54,23,FALSE)="FEO"),"Entered or FEO","Not Entered")</f>
        <v>Not Entered</v>
      </c>
      <c r="C231" s="50" t="str">
        <f t="shared" ca="1" si="5"/>
        <v/>
      </c>
      <c r="D231" s="48"/>
      <c r="E231" s="48"/>
      <c r="F231" s="48" t="str">
        <f>IF(Table171012[[#This Row],[Status]]="Not Entered","",VLOOKUP(Table171012[[#This Row],[Ln'#]],Advanced!$A$5:$AU$54,3,FALSE))</f>
        <v/>
      </c>
      <c r="G23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1" s="51" t="str">
        <f>IF(Table171012[[#This Row],[Status]]="Not Entered","",VLOOKUP(Table171012[[#This Row],[Ln'#]],Advanced!$A$4:$AU$54,47,FALSE))</f>
        <v/>
      </c>
    </row>
    <row r="232" spans="1:8" ht="30" customHeight="1" x14ac:dyDescent="0.4">
      <c r="A232" s="49">
        <v>13</v>
      </c>
      <c r="B232" s="49" t="str">
        <f>IF(OR(VLOOKUP(Table171012[[#This Row],[Ln'#]],Advanced!A$5:AU$54,23,FALSE)="E",VLOOKUP(Table171012[[#This Row],[Ln'#]],Advanced!A$5:AU$54,23,FALSE)="FEO"),"Entered or FEO","Not Entered")</f>
        <v>Not Entered</v>
      </c>
      <c r="C232" s="50" t="str">
        <f t="shared" ca="1" si="5"/>
        <v/>
      </c>
      <c r="D232" s="48"/>
      <c r="E232" s="48"/>
      <c r="F232" s="48" t="str">
        <f>IF(Table171012[[#This Row],[Status]]="Not Entered","",VLOOKUP(Table171012[[#This Row],[Ln'#]],Advanced!$A$5:$AU$54,3,FALSE))</f>
        <v/>
      </c>
      <c r="G23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2" s="51" t="str">
        <f>IF(Table171012[[#This Row],[Status]]="Not Entered","",VLOOKUP(Table171012[[#This Row],[Ln'#]],Advanced!$A$4:$AU$54,47,FALSE))</f>
        <v/>
      </c>
    </row>
    <row r="233" spans="1:8" ht="30" customHeight="1" x14ac:dyDescent="0.4">
      <c r="A233" s="49">
        <v>14</v>
      </c>
      <c r="B233" s="49" t="str">
        <f>IF(OR(VLOOKUP(Table171012[[#This Row],[Ln'#]],Advanced!A$5:AU$54,23,FALSE)="E",VLOOKUP(Table171012[[#This Row],[Ln'#]],Advanced!A$5:AU$54,23,FALSE)="FEO"),"Entered or FEO","Not Entered")</f>
        <v>Not Entered</v>
      </c>
      <c r="C233" s="50" t="str">
        <f t="shared" ca="1" si="5"/>
        <v/>
      </c>
      <c r="D233" s="48"/>
      <c r="E233" s="48"/>
      <c r="F233" s="48" t="str">
        <f>IF(Table171012[[#This Row],[Status]]="Not Entered","",VLOOKUP(Table171012[[#This Row],[Ln'#]],Advanced!$A$5:$AU$54,3,FALSE))</f>
        <v/>
      </c>
      <c r="G23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3" s="51" t="str">
        <f>IF(Table171012[[#This Row],[Status]]="Not Entered","",VLOOKUP(Table171012[[#This Row],[Ln'#]],Advanced!$A$4:$AU$54,47,FALSE))</f>
        <v/>
      </c>
    </row>
    <row r="234" spans="1:8" ht="30" customHeight="1" x14ac:dyDescent="0.4">
      <c r="A234" s="49">
        <v>15</v>
      </c>
      <c r="B234" s="49" t="str">
        <f>IF(OR(VLOOKUP(Table171012[[#This Row],[Ln'#]],Advanced!A$5:AU$54,23,FALSE)="E",VLOOKUP(Table171012[[#This Row],[Ln'#]],Advanced!A$5:AU$54,23,FALSE)="FEO"),"Entered or FEO","Not Entered")</f>
        <v>Not Entered</v>
      </c>
      <c r="C234" s="50" t="str">
        <f t="shared" ca="1" si="5"/>
        <v/>
      </c>
      <c r="D234" s="48"/>
      <c r="E234" s="48"/>
      <c r="F234" s="48" t="str">
        <f>IF(Table171012[[#This Row],[Status]]="Not Entered","",VLOOKUP(Table171012[[#This Row],[Ln'#]],Advanced!$A$5:$AU$54,3,FALSE))</f>
        <v/>
      </c>
      <c r="G23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4" s="51" t="str">
        <f>IF(Table171012[[#This Row],[Status]]="Not Entered","",VLOOKUP(Table171012[[#This Row],[Ln'#]],Advanced!$A$4:$AU$54,47,FALSE))</f>
        <v/>
      </c>
    </row>
    <row r="235" spans="1:8" ht="30" customHeight="1" x14ac:dyDescent="0.4">
      <c r="A235" s="49">
        <v>16</v>
      </c>
      <c r="B235" s="49" t="str">
        <f>IF(OR(VLOOKUP(Table171012[[#This Row],[Ln'#]],Advanced!A$5:AU$54,23,FALSE)="E",VLOOKUP(Table171012[[#This Row],[Ln'#]],Advanced!A$5:AU$54,23,FALSE)="FEO"),"Entered or FEO","Not Entered")</f>
        <v>Not Entered</v>
      </c>
      <c r="C235" s="50" t="str">
        <f t="shared" ca="1" si="5"/>
        <v/>
      </c>
      <c r="D235" s="48"/>
      <c r="E235" s="48"/>
      <c r="F235" s="48" t="str">
        <f>IF(Table171012[[#This Row],[Status]]="Not Entered","",VLOOKUP(Table171012[[#This Row],[Ln'#]],Advanced!$A$5:$AU$54,3,FALSE))</f>
        <v/>
      </c>
      <c r="G23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5" s="51" t="str">
        <f>IF(Table171012[[#This Row],[Status]]="Not Entered","",VLOOKUP(Table171012[[#This Row],[Ln'#]],Advanced!$A$4:$AU$54,47,FALSE))</f>
        <v/>
      </c>
    </row>
    <row r="236" spans="1:8" ht="30" customHeight="1" x14ac:dyDescent="0.4">
      <c r="A236" s="49">
        <v>17</v>
      </c>
      <c r="B236" s="49" t="str">
        <f>IF(OR(VLOOKUP(Table171012[[#This Row],[Ln'#]],Advanced!A$5:AU$54,23,FALSE)="E",VLOOKUP(Table171012[[#This Row],[Ln'#]],Advanced!A$5:AU$54,23,FALSE)="FEO"),"Entered or FEO","Not Entered")</f>
        <v>Not Entered</v>
      </c>
      <c r="C236" s="50" t="str">
        <f t="shared" ca="1" si="5"/>
        <v/>
      </c>
      <c r="D236" s="48"/>
      <c r="E236" s="48"/>
      <c r="F236" s="48" t="str">
        <f>IF(Table171012[[#This Row],[Status]]="Not Entered","",VLOOKUP(Table171012[[#This Row],[Ln'#]],Advanced!$A$5:$AU$54,3,FALSE))</f>
        <v/>
      </c>
      <c r="G23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6" s="51" t="str">
        <f>IF(Table171012[[#This Row],[Status]]="Not Entered","",VLOOKUP(Table171012[[#This Row],[Ln'#]],Advanced!$A$4:$AU$54,47,FALSE))</f>
        <v/>
      </c>
    </row>
    <row r="237" spans="1:8" ht="30" customHeight="1" x14ac:dyDescent="0.4">
      <c r="A237" s="49">
        <v>18</v>
      </c>
      <c r="B237" s="49" t="str">
        <f>IF(OR(VLOOKUP(Table171012[[#This Row],[Ln'#]],Advanced!A$5:AU$54,23,FALSE)="E",VLOOKUP(Table171012[[#This Row],[Ln'#]],Advanced!A$5:AU$54,23,FALSE)="FEO"),"Entered or FEO","Not Entered")</f>
        <v>Not Entered</v>
      </c>
      <c r="C237" s="50" t="str">
        <f t="shared" ca="1" si="5"/>
        <v/>
      </c>
      <c r="D237" s="48"/>
      <c r="E237" s="48"/>
      <c r="F237" s="48" t="str">
        <f>IF(Table171012[[#This Row],[Status]]="Not Entered","",VLOOKUP(Table171012[[#This Row],[Ln'#]],Advanced!$A$5:$AU$54,3,FALSE))</f>
        <v/>
      </c>
      <c r="G23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7" s="51" t="str">
        <f>IF(Table171012[[#This Row],[Status]]="Not Entered","",VLOOKUP(Table171012[[#This Row],[Ln'#]],Advanced!$A$4:$AU$54,47,FALSE))</f>
        <v/>
      </c>
    </row>
    <row r="238" spans="1:8" ht="30" customHeight="1" x14ac:dyDescent="0.4">
      <c r="A238" s="49">
        <v>19</v>
      </c>
      <c r="B238" s="49" t="str">
        <f>IF(OR(VLOOKUP(Table171012[[#This Row],[Ln'#]],Advanced!A$5:AU$54,23,FALSE)="E",VLOOKUP(Table171012[[#This Row],[Ln'#]],Advanced!A$5:AU$54,23,FALSE)="FEO"),"Entered or FEO","Not Entered")</f>
        <v>Not Entered</v>
      </c>
      <c r="C238" s="50" t="str">
        <f t="shared" ca="1" si="5"/>
        <v/>
      </c>
      <c r="D238" s="48"/>
      <c r="E238" s="48"/>
      <c r="F238" s="48" t="str">
        <f>IF(Table171012[[#This Row],[Status]]="Not Entered","",VLOOKUP(Table171012[[#This Row],[Ln'#]],Advanced!$A$5:$AU$54,3,FALSE))</f>
        <v/>
      </c>
      <c r="G23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8" s="51" t="str">
        <f>IF(Table171012[[#This Row],[Status]]="Not Entered","",VLOOKUP(Table171012[[#This Row],[Ln'#]],Advanced!$A$4:$AU$54,47,FALSE))</f>
        <v/>
      </c>
    </row>
    <row r="239" spans="1:8" ht="30" customHeight="1" x14ac:dyDescent="0.4">
      <c r="A239" s="49">
        <v>20</v>
      </c>
      <c r="B239" s="49" t="str">
        <f>IF(OR(VLOOKUP(Table171012[[#This Row],[Ln'#]],Advanced!A$5:AU$54,23,FALSE)="E",VLOOKUP(Table171012[[#This Row],[Ln'#]],Advanced!A$5:AU$54,23,FALSE)="FEO"),"Entered or FEO","Not Entered")</f>
        <v>Not Entered</v>
      </c>
      <c r="C239" s="50" t="str">
        <f t="shared" ca="1" si="5"/>
        <v/>
      </c>
      <c r="D239" s="48"/>
      <c r="E239" s="48"/>
      <c r="F239" s="48" t="str">
        <f>IF(Table171012[[#This Row],[Status]]="Not Entered","",VLOOKUP(Table171012[[#This Row],[Ln'#]],Advanced!$A$5:$AU$54,3,FALSE))</f>
        <v/>
      </c>
      <c r="G23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9" s="51" t="str">
        <f>IF(Table171012[[#This Row],[Status]]="Not Entered","",VLOOKUP(Table171012[[#This Row],[Ln'#]],Advanced!$A$4:$AU$54,47,FALSE))</f>
        <v/>
      </c>
    </row>
    <row r="240" spans="1:8" ht="30" customHeight="1" x14ac:dyDescent="0.4">
      <c r="A240" s="49">
        <v>21</v>
      </c>
      <c r="B240" s="49" t="str">
        <f>IF(OR(VLOOKUP(Table171012[[#This Row],[Ln'#]],Advanced!A$5:AU$54,23,FALSE)="E",VLOOKUP(Table171012[[#This Row],[Ln'#]],Advanced!A$5:AU$54,23,FALSE)="FEO"),"Entered or FEO","Not Entered")</f>
        <v>Not Entered</v>
      </c>
      <c r="C240" s="50" t="str">
        <f t="shared" ca="1" si="5"/>
        <v/>
      </c>
      <c r="D240" s="48"/>
      <c r="E240" s="48"/>
      <c r="F240" s="48" t="str">
        <f>IF(Table171012[[#This Row],[Status]]="Not Entered","",VLOOKUP(Table171012[[#This Row],[Ln'#]],Advanced!$A$5:$AU$54,3,FALSE))</f>
        <v/>
      </c>
      <c r="G24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0" s="51" t="str">
        <f>IF(Table171012[[#This Row],[Status]]="Not Entered","",VLOOKUP(Table171012[[#This Row],[Ln'#]],Advanced!$A$4:$AU$54,47,FALSE))</f>
        <v/>
      </c>
    </row>
    <row r="241" spans="1:8" ht="30" customHeight="1" x14ac:dyDescent="0.4">
      <c r="A241" s="49">
        <v>22</v>
      </c>
      <c r="B241" s="49" t="str">
        <f>IF(OR(VLOOKUP(Table171012[[#This Row],[Ln'#]],Advanced!A$5:AU$54,23,FALSE)="E",VLOOKUP(Table171012[[#This Row],[Ln'#]],Advanced!A$5:AU$54,23,FALSE)="FEO"),"Entered or FEO","Not Entered")</f>
        <v>Not Entered</v>
      </c>
      <c r="C241" s="50" t="str">
        <f t="shared" ca="1" si="5"/>
        <v/>
      </c>
      <c r="D241" s="48"/>
      <c r="E241" s="48"/>
      <c r="F241" s="48" t="str">
        <f>IF(Table171012[[#This Row],[Status]]="Not Entered","",VLOOKUP(Table171012[[#This Row],[Ln'#]],Advanced!$A$5:$AU$54,3,FALSE))</f>
        <v/>
      </c>
      <c r="G24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1" s="51" t="str">
        <f>IF(Table171012[[#This Row],[Status]]="Not Entered","",VLOOKUP(Table171012[[#This Row],[Ln'#]],Advanced!$A$4:$AU$54,47,FALSE))</f>
        <v/>
      </c>
    </row>
    <row r="242" spans="1:8" ht="30" customHeight="1" x14ac:dyDescent="0.4">
      <c r="A242" s="49">
        <v>23</v>
      </c>
      <c r="B242" s="49" t="str">
        <f>IF(OR(VLOOKUP(Table171012[[#This Row],[Ln'#]],Advanced!A$5:AU$54,23,FALSE)="E",VLOOKUP(Table171012[[#This Row],[Ln'#]],Advanced!A$5:AU$54,23,FALSE)="FEO"),"Entered or FEO","Not Entered")</f>
        <v>Not Entered</v>
      </c>
      <c r="C242" s="50" t="str">
        <f t="shared" ca="1" si="5"/>
        <v/>
      </c>
      <c r="D242" s="48"/>
      <c r="E242" s="48"/>
      <c r="F242" s="48" t="str">
        <f>IF(Table171012[[#This Row],[Status]]="Not Entered","",VLOOKUP(Table171012[[#This Row],[Ln'#]],Advanced!$A$5:$AU$54,3,FALSE))</f>
        <v/>
      </c>
      <c r="G24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2" s="51" t="str">
        <f>IF(Table171012[[#This Row],[Status]]="Not Entered","",VLOOKUP(Table171012[[#This Row],[Ln'#]],Advanced!$A$4:$AU$54,47,FALSE))</f>
        <v/>
      </c>
    </row>
    <row r="243" spans="1:8" ht="30" customHeight="1" x14ac:dyDescent="0.4">
      <c r="A243" s="49">
        <v>24</v>
      </c>
      <c r="B243" s="49" t="str">
        <f>IF(OR(VLOOKUP(Table171012[[#This Row],[Ln'#]],Advanced!A$5:AU$54,23,FALSE)="E",VLOOKUP(Table171012[[#This Row],[Ln'#]],Advanced!A$5:AU$54,23,FALSE)="FEO"),"Entered or FEO","Not Entered")</f>
        <v>Not Entered</v>
      </c>
      <c r="C243" s="50" t="str">
        <f t="shared" ca="1" si="5"/>
        <v/>
      </c>
      <c r="D243" s="48"/>
      <c r="E243" s="48"/>
      <c r="F243" s="48" t="str">
        <f>IF(Table171012[[#This Row],[Status]]="Not Entered","",VLOOKUP(Table171012[[#This Row],[Ln'#]],Advanced!$A$5:$AU$54,3,FALSE))</f>
        <v/>
      </c>
      <c r="G24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3" s="51" t="str">
        <f>IF(Table171012[[#This Row],[Status]]="Not Entered","",VLOOKUP(Table171012[[#This Row],[Ln'#]],Advanced!$A$4:$AU$54,47,FALSE))</f>
        <v/>
      </c>
    </row>
    <row r="244" spans="1:8" ht="30" customHeight="1" x14ac:dyDescent="0.4">
      <c r="A244" s="49">
        <v>25</v>
      </c>
      <c r="B244" s="49" t="str">
        <f>IF(OR(VLOOKUP(Table171012[[#This Row],[Ln'#]],Advanced!A$5:AU$54,23,FALSE)="E",VLOOKUP(Table171012[[#This Row],[Ln'#]],Advanced!A$5:AU$54,23,FALSE)="FEO"),"Entered or FEO","Not Entered")</f>
        <v>Not Entered</v>
      </c>
      <c r="C244" s="50" t="str">
        <f t="shared" ca="1" si="5"/>
        <v/>
      </c>
      <c r="D244" s="48"/>
      <c r="E244" s="48"/>
      <c r="F244" s="48" t="str">
        <f>IF(Table171012[[#This Row],[Status]]="Not Entered","",VLOOKUP(Table171012[[#This Row],[Ln'#]],Advanced!$A$5:$AU$54,3,FALSE))</f>
        <v/>
      </c>
      <c r="G24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4" s="51" t="str">
        <f>IF(Table171012[[#This Row],[Status]]="Not Entered","",VLOOKUP(Table171012[[#This Row],[Ln'#]],Advanced!$A$4:$AU$54,47,FALSE))</f>
        <v/>
      </c>
    </row>
    <row r="245" spans="1:8" ht="30" customHeight="1" x14ac:dyDescent="0.4">
      <c r="A245" s="49">
        <v>26</v>
      </c>
      <c r="B245" s="49" t="str">
        <f>IF(OR(VLOOKUP(Table171012[[#This Row],[Ln'#]],Advanced!A$5:AU$54,23,FALSE)="E",VLOOKUP(Table171012[[#This Row],[Ln'#]],Advanced!A$5:AU$54,23,FALSE)="FEO"),"Entered or FEO","Not Entered")</f>
        <v>Not Entered</v>
      </c>
      <c r="C245" s="50" t="str">
        <f t="shared" ca="1" si="5"/>
        <v/>
      </c>
      <c r="D245" s="48"/>
      <c r="E245" s="48"/>
      <c r="F245" s="48" t="str">
        <f>IF(Table171012[[#This Row],[Status]]="Not Entered","",VLOOKUP(Table171012[[#This Row],[Ln'#]],Advanced!$A$5:$AU$54,3,FALSE))</f>
        <v/>
      </c>
      <c r="G24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5" s="51" t="str">
        <f>IF(Table171012[[#This Row],[Status]]="Not Entered","",VLOOKUP(Table171012[[#This Row],[Ln'#]],Advanced!$A$4:$AU$54,47,FALSE))</f>
        <v/>
      </c>
    </row>
    <row r="246" spans="1:8" ht="30" customHeight="1" x14ac:dyDescent="0.4">
      <c r="A246" s="49">
        <v>27</v>
      </c>
      <c r="B246" s="49" t="str">
        <f>IF(OR(VLOOKUP(Table171012[[#This Row],[Ln'#]],Advanced!A$5:AU$54,23,FALSE)="E",VLOOKUP(Table171012[[#This Row],[Ln'#]],Advanced!A$5:AU$54,23,FALSE)="FEO"),"Entered or FEO","Not Entered")</f>
        <v>Not Entered</v>
      </c>
      <c r="C246" s="50" t="str">
        <f t="shared" ca="1" si="5"/>
        <v/>
      </c>
      <c r="D246" s="48"/>
      <c r="E246" s="48"/>
      <c r="F246" s="48" t="str">
        <f>IF(Table171012[[#This Row],[Status]]="Not Entered","",VLOOKUP(Table171012[[#This Row],[Ln'#]],Advanced!$A$5:$AU$54,3,FALSE))</f>
        <v/>
      </c>
      <c r="G24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6" s="51" t="str">
        <f>IF(Table171012[[#This Row],[Status]]="Not Entered","",VLOOKUP(Table171012[[#This Row],[Ln'#]],Advanced!$A$4:$AU$54,47,FALSE))</f>
        <v/>
      </c>
    </row>
    <row r="247" spans="1:8" ht="30" customHeight="1" x14ac:dyDescent="0.4">
      <c r="A247" s="49">
        <v>28</v>
      </c>
      <c r="B247" s="49" t="str">
        <f>IF(OR(VLOOKUP(Table171012[[#This Row],[Ln'#]],Advanced!A$5:AU$54,23,FALSE)="E",VLOOKUP(Table171012[[#This Row],[Ln'#]],Advanced!A$5:AU$54,23,FALSE)="FEO"),"Entered or FEO","Not Entered")</f>
        <v>Not Entered</v>
      </c>
      <c r="C247" s="50" t="str">
        <f t="shared" ca="1" si="5"/>
        <v/>
      </c>
      <c r="D247" s="48"/>
      <c r="E247" s="48"/>
      <c r="F247" s="48" t="str">
        <f>IF(Table171012[[#This Row],[Status]]="Not Entered","",VLOOKUP(Table171012[[#This Row],[Ln'#]],Advanced!$A$5:$AU$54,3,FALSE))</f>
        <v/>
      </c>
      <c r="G24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7" s="51" t="str">
        <f>IF(Table171012[[#This Row],[Status]]="Not Entered","",VLOOKUP(Table171012[[#This Row],[Ln'#]],Advanced!$A$4:$AU$54,47,FALSE))</f>
        <v/>
      </c>
    </row>
    <row r="248" spans="1:8" ht="30" customHeight="1" x14ac:dyDescent="0.4">
      <c r="A248" s="49">
        <v>29</v>
      </c>
      <c r="B248" s="49" t="str">
        <f>IF(OR(VLOOKUP(Table171012[[#This Row],[Ln'#]],Advanced!A$5:AU$54,23,FALSE)="E",VLOOKUP(Table171012[[#This Row],[Ln'#]],Advanced!A$5:AU$54,23,FALSE)="FEO"),"Entered or FEO","Not Entered")</f>
        <v>Not Entered</v>
      </c>
      <c r="C248" s="50" t="str">
        <f t="shared" ca="1" si="5"/>
        <v/>
      </c>
      <c r="D248" s="48"/>
      <c r="E248" s="48"/>
      <c r="F248" s="48" t="str">
        <f>IF(Table171012[[#This Row],[Status]]="Not Entered","",VLOOKUP(Table171012[[#This Row],[Ln'#]],Advanced!$A$5:$AU$54,3,FALSE))</f>
        <v/>
      </c>
      <c r="G24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8" s="51" t="str">
        <f>IF(Table171012[[#This Row],[Status]]="Not Entered","",VLOOKUP(Table171012[[#This Row],[Ln'#]],Advanced!$A$4:$AU$54,47,FALSE))</f>
        <v/>
      </c>
    </row>
    <row r="249" spans="1:8" ht="30" customHeight="1" x14ac:dyDescent="0.4">
      <c r="A249" s="49">
        <v>30</v>
      </c>
      <c r="B249" s="49" t="str">
        <f>IF(OR(VLOOKUP(Table171012[[#This Row],[Ln'#]],Advanced!A$5:AU$54,23,FALSE)="E",VLOOKUP(Table171012[[#This Row],[Ln'#]],Advanced!A$5:AU$54,23,FALSE)="FEO"),"Entered or FEO","Not Entered")</f>
        <v>Not Entered</v>
      </c>
      <c r="C249" s="50" t="str">
        <f t="shared" ca="1" si="5"/>
        <v/>
      </c>
      <c r="D249" s="48"/>
      <c r="E249" s="48"/>
      <c r="F249" s="48" t="str">
        <f>IF(Table171012[[#This Row],[Status]]="Not Entered","",VLOOKUP(Table171012[[#This Row],[Ln'#]],Advanced!$A$5:$AU$54,3,FALSE))</f>
        <v/>
      </c>
      <c r="G24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9" s="51" t="str">
        <f>IF(Table171012[[#This Row],[Status]]="Not Entered","",VLOOKUP(Table171012[[#This Row],[Ln'#]],Advanced!$A$4:$AU$54,47,FALSE))</f>
        <v/>
      </c>
    </row>
    <row r="250" spans="1:8" ht="30" customHeight="1" x14ac:dyDescent="0.4">
      <c r="A250" s="49">
        <v>31</v>
      </c>
      <c r="B250" s="49" t="str">
        <f>IF(OR(VLOOKUP(Table171012[[#This Row],[Ln'#]],Advanced!A$5:AU$54,23,FALSE)="E",VLOOKUP(Table171012[[#This Row],[Ln'#]],Advanced!A$5:AU$54,23,FALSE)="FEO"),"Entered or FEO","Not Entered")</f>
        <v>Not Entered</v>
      </c>
      <c r="C250" s="50" t="str">
        <f t="shared" ca="1" si="5"/>
        <v/>
      </c>
      <c r="D250" s="48"/>
      <c r="E250" s="48"/>
      <c r="F250" s="48" t="str">
        <f>IF(Table171012[[#This Row],[Status]]="Not Entered","",VLOOKUP(Table171012[[#This Row],[Ln'#]],Advanced!$A$5:$AU$54,3,FALSE))</f>
        <v/>
      </c>
      <c r="G25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0" s="51" t="str">
        <f>IF(Table171012[[#This Row],[Status]]="Not Entered","",VLOOKUP(Table171012[[#This Row],[Ln'#]],Advanced!$A$4:$AU$54,47,FALSE))</f>
        <v/>
      </c>
    </row>
    <row r="251" spans="1:8" ht="30" customHeight="1" x14ac:dyDescent="0.4">
      <c r="A251" s="49">
        <v>32</v>
      </c>
      <c r="B251" s="49" t="str">
        <f>IF(OR(VLOOKUP(Table171012[[#This Row],[Ln'#]],Advanced!A$5:AU$54,23,FALSE)="E",VLOOKUP(Table171012[[#This Row],[Ln'#]],Advanced!A$5:AU$54,23,FALSE)="FEO"),"Entered or FEO","Not Entered")</f>
        <v>Not Entered</v>
      </c>
      <c r="C251" s="50" t="str">
        <f t="shared" ca="1" si="5"/>
        <v/>
      </c>
      <c r="D251" s="48"/>
      <c r="E251" s="48"/>
      <c r="F251" s="48" t="str">
        <f>IF(Table171012[[#This Row],[Status]]="Not Entered","",VLOOKUP(Table171012[[#This Row],[Ln'#]],Advanced!$A$5:$AU$54,3,FALSE))</f>
        <v/>
      </c>
      <c r="G25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1" s="51" t="str">
        <f>IF(Table171012[[#This Row],[Status]]="Not Entered","",VLOOKUP(Table171012[[#This Row],[Ln'#]],Advanced!$A$4:$AU$54,47,FALSE))</f>
        <v/>
      </c>
    </row>
    <row r="252" spans="1:8" ht="30" customHeight="1" x14ac:dyDescent="0.4">
      <c r="A252" s="49">
        <v>33</v>
      </c>
      <c r="B252" s="49" t="str">
        <f>IF(OR(VLOOKUP(Table171012[[#This Row],[Ln'#]],Advanced!A$5:AU$54,23,FALSE)="E",VLOOKUP(Table171012[[#This Row],[Ln'#]],Advanced!A$5:AU$54,23,FALSE)="FEO"),"Entered or FEO","Not Entered")</f>
        <v>Not Entered</v>
      </c>
      <c r="C252" s="50" t="str">
        <f t="shared" ca="1" si="5"/>
        <v/>
      </c>
      <c r="D252" s="48"/>
      <c r="E252" s="48"/>
      <c r="F252" s="48" t="str">
        <f>IF(Table171012[[#This Row],[Status]]="Not Entered","",VLOOKUP(Table171012[[#This Row],[Ln'#]],Advanced!$A$5:$AU$54,3,FALSE))</f>
        <v/>
      </c>
      <c r="G25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2" s="51" t="str">
        <f>IF(Table171012[[#This Row],[Status]]="Not Entered","",VLOOKUP(Table171012[[#This Row],[Ln'#]],Advanced!$A$4:$AU$54,47,FALSE))</f>
        <v/>
      </c>
    </row>
    <row r="253" spans="1:8" ht="30" customHeight="1" x14ac:dyDescent="0.4">
      <c r="A253" s="49">
        <v>34</v>
      </c>
      <c r="B253" s="49" t="str">
        <f>IF(OR(VLOOKUP(Table171012[[#This Row],[Ln'#]],Advanced!A$5:AU$54,23,FALSE)="E",VLOOKUP(Table171012[[#This Row],[Ln'#]],Advanced!A$5:AU$54,23,FALSE)="FEO"),"Entered or FEO","Not Entered")</f>
        <v>Not Entered</v>
      </c>
      <c r="C253" s="50" t="str">
        <f t="shared" ca="1" si="5"/>
        <v/>
      </c>
      <c r="D253" s="48"/>
      <c r="E253" s="48"/>
      <c r="F253" s="48" t="str">
        <f>IF(Table171012[[#This Row],[Status]]="Not Entered","",VLOOKUP(Table171012[[#This Row],[Ln'#]],Advanced!$A$5:$AU$54,3,FALSE))</f>
        <v/>
      </c>
      <c r="G25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3" s="51" t="str">
        <f>IF(Table171012[[#This Row],[Status]]="Not Entered","",VLOOKUP(Table171012[[#This Row],[Ln'#]],Advanced!$A$4:$AU$54,47,FALSE))</f>
        <v/>
      </c>
    </row>
    <row r="254" spans="1:8" ht="30" customHeight="1" x14ac:dyDescent="0.4">
      <c r="A254" s="49">
        <v>35</v>
      </c>
      <c r="B254" s="49" t="str">
        <f>IF(OR(VLOOKUP(Table171012[[#This Row],[Ln'#]],Advanced!A$5:AU$54,23,FALSE)="E",VLOOKUP(Table171012[[#This Row],[Ln'#]],Advanced!A$5:AU$54,23,FALSE)="FEO"),"Entered or FEO","Not Entered")</f>
        <v>Not Entered</v>
      </c>
      <c r="C254" s="50" t="str">
        <f t="shared" ca="1" si="5"/>
        <v/>
      </c>
      <c r="D254" s="48"/>
      <c r="E254" s="48"/>
      <c r="F254" s="48" t="str">
        <f>IF(Table171012[[#This Row],[Status]]="Not Entered","",VLOOKUP(Table171012[[#This Row],[Ln'#]],Advanced!$A$5:$AU$54,3,FALSE))</f>
        <v/>
      </c>
      <c r="G25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4" s="51" t="str">
        <f>IF(Table171012[[#This Row],[Status]]="Not Entered","",VLOOKUP(Table171012[[#This Row],[Ln'#]],Advanced!$A$4:$AU$54,47,FALSE))</f>
        <v/>
      </c>
    </row>
    <row r="255" spans="1:8" ht="30" customHeight="1" x14ac:dyDescent="0.4">
      <c r="A255" s="49">
        <v>36</v>
      </c>
      <c r="B255" s="49" t="str">
        <f>IF(OR(VLOOKUP(Table171012[[#This Row],[Ln'#]],Advanced!A$5:AU$54,23,FALSE)="E",VLOOKUP(Table171012[[#This Row],[Ln'#]],Advanced!A$5:AU$54,23,FALSE)="FEO"),"Entered or FEO","Not Entered")</f>
        <v>Not Entered</v>
      </c>
      <c r="C255" s="50" t="str">
        <f t="shared" ca="1" si="5"/>
        <v/>
      </c>
      <c r="D255" s="48"/>
      <c r="E255" s="48"/>
      <c r="F255" s="48" t="str">
        <f>IF(Table171012[[#This Row],[Status]]="Not Entered","",VLOOKUP(Table171012[[#This Row],[Ln'#]],Advanced!$A$5:$AU$54,3,FALSE))</f>
        <v/>
      </c>
      <c r="G25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5" s="51" t="str">
        <f>IF(Table171012[[#This Row],[Status]]="Not Entered","",VLOOKUP(Table171012[[#This Row],[Ln'#]],Advanced!$A$4:$AU$54,47,FALSE))</f>
        <v/>
      </c>
    </row>
    <row r="256" spans="1:8" ht="30" customHeight="1" x14ac:dyDescent="0.4">
      <c r="A256" s="49">
        <v>37</v>
      </c>
      <c r="B256" s="49" t="str">
        <f>IF(OR(VLOOKUP(Table171012[[#This Row],[Ln'#]],Advanced!A$5:AU$54,23,FALSE)="E",VLOOKUP(Table171012[[#This Row],[Ln'#]],Advanced!A$5:AU$54,23,FALSE)="FEO"),"Entered or FEO","Not Entered")</f>
        <v>Not Entered</v>
      </c>
      <c r="C256" s="50" t="str">
        <f t="shared" ca="1" si="5"/>
        <v/>
      </c>
      <c r="D256" s="48"/>
      <c r="E256" s="48"/>
      <c r="F256" s="48" t="str">
        <f>IF(Table171012[[#This Row],[Status]]="Not Entered","",VLOOKUP(Table171012[[#This Row],[Ln'#]],Advanced!$A$5:$AU$54,3,FALSE))</f>
        <v/>
      </c>
      <c r="G25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6" s="51" t="str">
        <f>IF(Table171012[[#This Row],[Status]]="Not Entered","",VLOOKUP(Table171012[[#This Row],[Ln'#]],Advanced!$A$4:$AU$54,47,FALSE))</f>
        <v/>
      </c>
    </row>
    <row r="257" spans="1:9" ht="30" customHeight="1" x14ac:dyDescent="0.4">
      <c r="A257" s="49">
        <v>38</v>
      </c>
      <c r="B257" s="49" t="str">
        <f>IF(OR(VLOOKUP(Table171012[[#This Row],[Ln'#]],Advanced!A$5:AU$54,23,FALSE)="E",VLOOKUP(Table171012[[#This Row],[Ln'#]],Advanced!A$5:AU$54,23,FALSE)="FEO"),"Entered or FEO","Not Entered")</f>
        <v>Not Entered</v>
      </c>
      <c r="C257" s="50" t="str">
        <f t="shared" ca="1" si="5"/>
        <v/>
      </c>
      <c r="D257" s="48"/>
      <c r="E257" s="48"/>
      <c r="F257" s="48" t="str">
        <f>IF(Table171012[[#This Row],[Status]]="Not Entered","",VLOOKUP(Table171012[[#This Row],[Ln'#]],Advanced!$A$5:$AU$54,3,FALSE))</f>
        <v/>
      </c>
      <c r="G25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7" s="51" t="str">
        <f>IF(Table171012[[#This Row],[Status]]="Not Entered","",VLOOKUP(Table171012[[#This Row],[Ln'#]],Advanced!$A$4:$AU$54,47,FALSE))</f>
        <v/>
      </c>
    </row>
    <row r="258" spans="1:9" ht="30" customHeight="1" x14ac:dyDescent="0.4">
      <c r="A258" s="49">
        <v>39</v>
      </c>
      <c r="B258" s="49" t="str">
        <f>IF(OR(VLOOKUP(Table171012[[#This Row],[Ln'#]],Advanced!A$5:AU$54,23,FALSE)="E",VLOOKUP(Table171012[[#This Row],[Ln'#]],Advanced!A$5:AU$54,23,FALSE)="FEO"),"Entered or FEO","Not Entered")</f>
        <v>Not Entered</v>
      </c>
      <c r="C258" s="50" t="str">
        <f t="shared" ca="1" si="5"/>
        <v/>
      </c>
      <c r="D258" s="48"/>
      <c r="E258" s="48"/>
      <c r="F258" s="48" t="str">
        <f>IF(Table171012[[#This Row],[Status]]="Not Entered","",VLOOKUP(Table171012[[#This Row],[Ln'#]],Advanced!$A$5:$AU$54,3,FALSE))</f>
        <v/>
      </c>
      <c r="G25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8" s="51" t="str">
        <f>IF(Table171012[[#This Row],[Status]]="Not Entered","",VLOOKUP(Table171012[[#This Row],[Ln'#]],Advanced!$A$4:$AU$54,47,FALSE))</f>
        <v/>
      </c>
    </row>
    <row r="259" spans="1:9" ht="30" customHeight="1" x14ac:dyDescent="0.4">
      <c r="A259" s="49">
        <v>40</v>
      </c>
      <c r="B259" s="49" t="str">
        <f>IF(OR(VLOOKUP(Table171012[[#This Row],[Ln'#]],Advanced!A$5:AU$54,23,FALSE)="E",VLOOKUP(Table171012[[#This Row],[Ln'#]],Advanced!A$5:AU$54,23,FALSE)="FEO"),"Entered or FEO","Not Entered")</f>
        <v>Not Entered</v>
      </c>
      <c r="C259" s="50" t="str">
        <f t="shared" ca="1" si="5"/>
        <v/>
      </c>
      <c r="D259" s="48"/>
      <c r="E259" s="48"/>
      <c r="F259" s="48" t="str">
        <f>IF(Table171012[[#This Row],[Status]]="Not Entered","",VLOOKUP(Table171012[[#This Row],[Ln'#]],Advanced!$A$5:$AU$54,3,FALSE))</f>
        <v/>
      </c>
      <c r="G25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9" s="51" t="str">
        <f>IF(Table171012[[#This Row],[Status]]="Not Entered","",VLOOKUP(Table171012[[#This Row],[Ln'#]],Advanced!$A$4:$AU$54,47,FALSE))</f>
        <v/>
      </c>
    </row>
    <row r="260" spans="1:9" ht="30" customHeight="1" x14ac:dyDescent="0.4">
      <c r="A260" s="49">
        <v>41</v>
      </c>
      <c r="B260" s="49" t="str">
        <f>IF(OR(VLOOKUP(Table171012[[#This Row],[Ln'#]],Advanced!A$5:AU$54,23,FALSE)="E",VLOOKUP(Table171012[[#This Row],[Ln'#]],Advanced!A$5:AU$54,23,FALSE)="FEO"),"Entered or FEO","Not Entered")</f>
        <v>Not Entered</v>
      </c>
      <c r="C260" s="50" t="str">
        <f t="shared" ca="1" si="5"/>
        <v/>
      </c>
      <c r="D260" s="48"/>
      <c r="E260" s="48"/>
      <c r="F260" s="48" t="str">
        <f>IF(Table171012[[#This Row],[Status]]="Not Entered","",VLOOKUP(Table171012[[#This Row],[Ln'#]],Advanced!$A$5:$AU$54,3,FALSE))</f>
        <v/>
      </c>
      <c r="G26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0" s="51" t="str">
        <f>IF(Table171012[[#This Row],[Status]]="Not Entered","",VLOOKUP(Table171012[[#This Row],[Ln'#]],Advanced!$A$4:$AU$54,47,FALSE))</f>
        <v/>
      </c>
    </row>
    <row r="261" spans="1:9" ht="26.25" x14ac:dyDescent="0.4">
      <c r="A261" s="49">
        <v>42</v>
      </c>
      <c r="B261" s="49" t="str">
        <f>IF(OR(VLOOKUP(Table171012[[#This Row],[Ln'#]],Advanced!A$5:AU$54,23,FALSE)="E",VLOOKUP(Table171012[[#This Row],[Ln'#]],Advanced!A$5:AU$54,23,FALSE)="FEO"),"Entered or FEO","Not Entered")</f>
        <v>Not Entered</v>
      </c>
      <c r="C261" s="50" t="str">
        <f t="shared" ca="1" si="5"/>
        <v/>
      </c>
      <c r="D261" s="48"/>
      <c r="E261" s="48"/>
      <c r="F261" s="48" t="str">
        <f>IF(Table171012[[#This Row],[Status]]="Not Entered","",VLOOKUP(Table171012[[#This Row],[Ln'#]],Advanced!$A$5:$AU$54,3,FALSE))</f>
        <v/>
      </c>
      <c r="G26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1" s="51" t="str">
        <f>IF(Table171012[[#This Row],[Status]]="Not Entered","",VLOOKUP(Table171012[[#This Row],[Ln'#]],Advanced!$A$4:$AU$54,47,FALSE))</f>
        <v/>
      </c>
    </row>
    <row r="262" spans="1:9" ht="26.25" x14ac:dyDescent="0.4">
      <c r="A262" s="49">
        <v>43</v>
      </c>
      <c r="B262" s="49" t="str">
        <f>IF(OR(VLOOKUP(Table171012[[#This Row],[Ln'#]],Advanced!A$5:AU$54,23,FALSE)="E",VLOOKUP(Table171012[[#This Row],[Ln'#]],Advanced!A$5:AU$54,23,FALSE)="FEO"),"Entered or FEO","Not Entered")</f>
        <v>Not Entered</v>
      </c>
      <c r="C262" s="50" t="str">
        <f t="shared" ca="1" si="5"/>
        <v/>
      </c>
      <c r="D262" s="48"/>
      <c r="E262" s="48"/>
      <c r="F262" s="48" t="str">
        <f>IF(Table171012[[#This Row],[Status]]="Not Entered","",VLOOKUP(Table171012[[#This Row],[Ln'#]],Advanced!$A$5:$AU$54,3,FALSE))</f>
        <v/>
      </c>
      <c r="G26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2" s="51" t="str">
        <f>IF(Table171012[[#This Row],[Status]]="Not Entered","",VLOOKUP(Table171012[[#This Row],[Ln'#]],Advanced!$A$4:$AU$54,47,FALSE))</f>
        <v/>
      </c>
    </row>
    <row r="263" spans="1:9" ht="26.25" x14ac:dyDescent="0.4">
      <c r="A263" s="49">
        <v>44</v>
      </c>
      <c r="B263" s="49" t="str">
        <f>IF(OR(VLOOKUP(Table171012[[#This Row],[Ln'#]],Advanced!A$5:AU$54,23,FALSE)="E",VLOOKUP(Table171012[[#This Row],[Ln'#]],Advanced!A$5:AU$54,23,FALSE)="FEO"),"Entered or FEO","Not Entered")</f>
        <v>Not Entered</v>
      </c>
      <c r="C263" s="50" t="str">
        <f t="shared" ca="1" si="5"/>
        <v/>
      </c>
      <c r="D263" s="48"/>
      <c r="E263" s="48"/>
      <c r="F263" s="48" t="str">
        <f>IF(Table171012[[#This Row],[Status]]="Not Entered","",VLOOKUP(Table171012[[#This Row],[Ln'#]],Advanced!$A$5:$AU$54,3,FALSE))</f>
        <v/>
      </c>
      <c r="G26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3" s="51" t="str">
        <f>IF(Table171012[[#This Row],[Status]]="Not Entered","",VLOOKUP(Table171012[[#This Row],[Ln'#]],Advanced!$A$4:$AU$54,47,FALSE))</f>
        <v/>
      </c>
    </row>
    <row r="264" spans="1:9" ht="26.25" x14ac:dyDescent="0.4">
      <c r="A264" s="49">
        <v>45</v>
      </c>
      <c r="B264" s="49" t="str">
        <f>IF(OR(VLOOKUP(Table171012[[#This Row],[Ln'#]],Advanced!A$5:AU$54,23,FALSE)="E",VLOOKUP(Table171012[[#This Row],[Ln'#]],Advanced!A$5:AU$54,23,FALSE)="FEO"),"Entered or FEO","Not Entered")</f>
        <v>Not Entered</v>
      </c>
      <c r="C264" s="50" t="str">
        <f t="shared" ca="1" si="5"/>
        <v/>
      </c>
      <c r="D264" s="48"/>
      <c r="E264" s="48"/>
      <c r="F264" s="48" t="str">
        <f>IF(Table171012[[#This Row],[Status]]="Not Entered","",VLOOKUP(Table171012[[#This Row],[Ln'#]],Advanced!$A$5:$AU$54,3,FALSE))</f>
        <v/>
      </c>
      <c r="G26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4" s="51" t="str">
        <f>IF(Table171012[[#This Row],[Status]]="Not Entered","",VLOOKUP(Table171012[[#This Row],[Ln'#]],Advanced!$A$4:$AU$54,47,FALSE))</f>
        <v/>
      </c>
    </row>
    <row r="265" spans="1:9" ht="26.25" x14ac:dyDescent="0.4">
      <c r="A265" s="49">
        <v>46</v>
      </c>
      <c r="B265" s="49" t="str">
        <f>IF(OR(VLOOKUP(Table171012[[#This Row],[Ln'#]],Advanced!A$5:AU$54,23,FALSE)="E",VLOOKUP(Table171012[[#This Row],[Ln'#]],Advanced!A$5:AU$54,23,FALSE)="FEO"),"Entered or FEO","Not Entered")</f>
        <v>Not Entered</v>
      </c>
      <c r="C265" s="50" t="str">
        <f t="shared" ca="1" si="5"/>
        <v/>
      </c>
      <c r="D265" s="48"/>
      <c r="E265" s="48"/>
      <c r="F265" s="48" t="str">
        <f>IF(Table171012[[#This Row],[Status]]="Not Entered","",VLOOKUP(Table171012[[#This Row],[Ln'#]],Advanced!$A$5:$AU$54,3,FALSE))</f>
        <v/>
      </c>
      <c r="G26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5" s="51" t="str">
        <f>IF(Table171012[[#This Row],[Status]]="Not Entered","",VLOOKUP(Table171012[[#This Row],[Ln'#]],Advanced!$A$4:$AU$54,47,FALSE))</f>
        <v/>
      </c>
    </row>
    <row r="266" spans="1:9" ht="26.25" x14ac:dyDescent="0.4">
      <c r="A266" s="49">
        <v>47</v>
      </c>
      <c r="B266" s="49" t="str">
        <f>IF(OR(VLOOKUP(Table171012[[#This Row],[Ln'#]],Advanced!A$5:AU$54,23,FALSE)="E",VLOOKUP(Table171012[[#This Row],[Ln'#]],Advanced!A$5:AU$54,23,FALSE)="FEO"),"Entered or FEO","Not Entered")</f>
        <v>Not Entered</v>
      </c>
      <c r="C266" s="50" t="str">
        <f t="shared" ca="1" si="5"/>
        <v/>
      </c>
      <c r="D266" s="48"/>
      <c r="E266" s="48"/>
      <c r="F266" s="48" t="str">
        <f>IF(Table171012[[#This Row],[Status]]="Not Entered","",VLOOKUP(Table171012[[#This Row],[Ln'#]],Advanced!$A$5:$AU$54,3,FALSE))</f>
        <v/>
      </c>
      <c r="G26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6" s="51" t="str">
        <f>IF(Table171012[[#This Row],[Status]]="Not Entered","",VLOOKUP(Table171012[[#This Row],[Ln'#]],Advanced!$A$4:$AU$54,47,FALSE))</f>
        <v/>
      </c>
    </row>
    <row r="267" spans="1:9" ht="26.25" x14ac:dyDescent="0.4">
      <c r="A267" s="49">
        <v>48</v>
      </c>
      <c r="B267" s="49" t="str">
        <f>IF(OR(VLOOKUP(Table171012[[#This Row],[Ln'#]],Advanced!A$5:AU$54,23,FALSE)="E",VLOOKUP(Table171012[[#This Row],[Ln'#]],Advanced!A$5:AU$54,23,FALSE)="FEO"),"Entered or FEO","Not Entered")</f>
        <v>Not Entered</v>
      </c>
      <c r="C267" s="50" t="str">
        <f t="shared" ca="1" si="5"/>
        <v/>
      </c>
      <c r="D267" s="48"/>
      <c r="E267" s="48"/>
      <c r="F267" s="48" t="str">
        <f>IF(Table171012[[#This Row],[Status]]="Not Entered","",VLOOKUP(Table171012[[#This Row],[Ln'#]],Advanced!$A$5:$AU$54,3,FALSE))</f>
        <v/>
      </c>
      <c r="G26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7" s="51" t="str">
        <f>IF(Table171012[[#This Row],[Status]]="Not Entered","",VLOOKUP(Table171012[[#This Row],[Ln'#]],Advanced!$A$4:$AU$54,47,FALSE))</f>
        <v/>
      </c>
    </row>
    <row r="268" spans="1:9" ht="26.25" x14ac:dyDescent="0.4">
      <c r="A268" s="49">
        <v>49</v>
      </c>
      <c r="B268" s="49" t="str">
        <f>IF(OR(VLOOKUP(Table171012[[#This Row],[Ln'#]],Advanced!A$5:AU$54,23,FALSE)="E",VLOOKUP(Table171012[[#This Row],[Ln'#]],Advanced!A$5:AU$54,23,FALSE)="FEO"),"Entered or FEO","Not Entered")</f>
        <v>Not Entered</v>
      </c>
      <c r="C268" s="50" t="str">
        <f t="shared" ca="1" si="5"/>
        <v/>
      </c>
      <c r="D268" s="48"/>
      <c r="E268" s="48"/>
      <c r="F268" s="48" t="str">
        <f>IF(Table171012[[#This Row],[Status]]="Not Entered","",VLOOKUP(Table171012[[#This Row],[Ln'#]],Advanced!$A$5:$AU$54,3,FALSE))</f>
        <v/>
      </c>
      <c r="G26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8" s="51" t="str">
        <f>IF(Table171012[[#This Row],[Status]]="Not Entered","",VLOOKUP(Table171012[[#This Row],[Ln'#]],Advanced!$A$4:$AU$54,47,FALSE))</f>
        <v/>
      </c>
    </row>
    <row r="269" spans="1:9" ht="26.25" x14ac:dyDescent="0.4">
      <c r="A269" s="49">
        <v>50</v>
      </c>
      <c r="B269" s="49" t="str">
        <f>IF(OR(VLOOKUP(Table171012[[#This Row],[Ln'#]],Advanced!A$5:AU$54,23,FALSE)="E",VLOOKUP(Table171012[[#This Row],[Ln'#]],Advanced!A$5:AU$54,23,FALSE)="FEO"),"Entered or FEO","Not Entered")</f>
        <v>Not Entered</v>
      </c>
      <c r="C269" s="50" t="str">
        <f t="shared" ca="1" si="5"/>
        <v/>
      </c>
      <c r="D269" s="48"/>
      <c r="E269" s="48"/>
      <c r="F269" s="48" t="str">
        <f>IF(Table171012[[#This Row],[Status]]="Not Entered","",VLOOKUP(Table171012[[#This Row],[Ln'#]],Advanced!$A$5:$AU$54,3,FALSE))</f>
        <v/>
      </c>
      <c r="G26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9" s="51" t="str">
        <f>IF(Table171012[[#This Row],[Status]]="Not Entered","",VLOOKUP(Table171012[[#This Row],[Ln'#]],Advanced!$A$4:$AU$54,47,FALSE))</f>
        <v/>
      </c>
    </row>
    <row r="270" spans="1:9" ht="30" customHeight="1" x14ac:dyDescent="0.4">
      <c r="A270" s="48"/>
      <c r="B270" s="48"/>
      <c r="C270" s="48"/>
      <c r="D270" s="48" t="s">
        <v>1141</v>
      </c>
      <c r="E270" s="48">
        <f>SUBTOTAL(102,Table171012[Running Order])</f>
        <v>0</v>
      </c>
      <c r="F270" s="48"/>
      <c r="G270" s="51"/>
      <c r="H270" s="51"/>
    </row>
    <row r="272" spans="1:9" ht="30" customHeight="1" x14ac:dyDescent="0.4">
      <c r="A272" s="402" t="s">
        <v>1143</v>
      </c>
      <c r="B272" s="402"/>
      <c r="C272" s="43"/>
      <c r="D272" s="403" t="s">
        <v>1719</v>
      </c>
      <c r="E272" s="403"/>
      <c r="F272" s="403"/>
      <c r="G272" s="403"/>
      <c r="H272" s="403"/>
      <c r="I272" s="403"/>
    </row>
    <row r="273" spans="1:8" ht="47.25" x14ac:dyDescent="0.4">
      <c r="A273" s="67" t="s">
        <v>605</v>
      </c>
      <c r="B273" s="67" t="s">
        <v>1139</v>
      </c>
      <c r="C273" s="68" t="s">
        <v>12407</v>
      </c>
      <c r="D273" s="67" t="s">
        <v>1142</v>
      </c>
      <c r="E273" s="67" t="s">
        <v>1135</v>
      </c>
      <c r="F273" s="67" t="s">
        <v>1136</v>
      </c>
      <c r="G273" s="69" t="s">
        <v>1207</v>
      </c>
      <c r="H273" s="69" t="s">
        <v>1137</v>
      </c>
    </row>
    <row r="274" spans="1:8" ht="30" customHeight="1" x14ac:dyDescent="0.4">
      <c r="A274" s="49">
        <v>1</v>
      </c>
      <c r="B274" s="49" t="str">
        <f>IF(OR(VLOOKUP(Table1917[[#This Row],[Ln'#]],Advanced!A$65:AU$114,7,FALSE)="E",VLOOKUP(Table1917[[#This Row],[Ln'#]],Advanced!A$65:AU$114,7,FALSE)="FEO"),"Entered or FEO","Not Entered")</f>
        <v>Not Entered</v>
      </c>
      <c r="C274" s="50" t="str">
        <f t="shared" ref="C274" ca="1" si="6">IF(OR(B274="e",B274="FEO"),RAND(),"")</f>
        <v/>
      </c>
      <c r="D274" s="48"/>
      <c r="E274" s="48"/>
      <c r="F274" s="48" t="str">
        <f>IF(Table1917[[#This Row],[Status]]="Not Entered","",VLOOKUP(Table1917[[#This Row],[Ln'#]],Advanced!$A$65:$AU$114,3,FALSE))</f>
        <v/>
      </c>
      <c r="G27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4" s="51" t="str">
        <f>IF(Table1917[[#This Row],[Status]]="Not Entered","",VLOOKUP(Table1917[[#This Row],[Ln'#]],Advanced!$A$65:$AU$114,47,FALSE))</f>
        <v/>
      </c>
    </row>
    <row r="275" spans="1:8" ht="30" customHeight="1" x14ac:dyDescent="0.4">
      <c r="A275" s="49">
        <v>2</v>
      </c>
      <c r="B275" s="49" t="str">
        <f>IF(OR(VLOOKUP(Table1917[[#This Row],[Ln'#]],Advanced!A$65:AU$114,7,FALSE)="E",VLOOKUP(Table1917[[#This Row],[Ln'#]],Advanced!A$65:AU$114,7,FALSE)="FEO"),"Entered or FEO","Not Entered")</f>
        <v>Not Entered</v>
      </c>
      <c r="C275" s="50" t="str">
        <f t="shared" ref="C275:C323" ca="1" si="7">IF(OR(B275="e",B275="FEO"),RAND(),"")</f>
        <v/>
      </c>
      <c r="D275" s="48"/>
      <c r="E275" s="48"/>
      <c r="F275" s="48" t="str">
        <f>IF(Table1917[[#This Row],[Status]]="Not Entered","",VLOOKUP(Table1917[[#This Row],[Ln'#]],Advanced!$A$65:$AU$114,3,FALSE))</f>
        <v/>
      </c>
      <c r="G27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5" s="51" t="str">
        <f>IF(Table1917[[#This Row],[Status]]="Not Entered","",VLOOKUP(Table1917[[#This Row],[Ln'#]],Advanced!$A$65:$AU$114,47,FALSE))</f>
        <v/>
      </c>
    </row>
    <row r="276" spans="1:8" ht="30" customHeight="1" x14ac:dyDescent="0.4">
      <c r="A276" s="49">
        <v>3</v>
      </c>
      <c r="B276" s="49" t="str">
        <f>IF(OR(VLOOKUP(Table1917[[#This Row],[Ln'#]],Advanced!A$65:AU$114,7,FALSE)="E",VLOOKUP(Table1917[[#This Row],[Ln'#]],Advanced!A$65:AU$114,7,FALSE)="FEO"),"Entered or FEO","Not Entered")</f>
        <v>Not Entered</v>
      </c>
      <c r="C276" s="50" t="str">
        <f t="shared" ca="1" si="7"/>
        <v/>
      </c>
      <c r="D276" s="48"/>
      <c r="E276" s="48"/>
      <c r="F276" s="48" t="str">
        <f>IF(Table1917[[#This Row],[Status]]="Not Entered","",VLOOKUP(Table1917[[#This Row],[Ln'#]],Advanced!$A$65:$AU$114,3,FALSE))</f>
        <v/>
      </c>
      <c r="G27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6" s="51" t="str">
        <f>IF(Table1917[[#This Row],[Status]]="Not Entered","",VLOOKUP(Table1917[[#This Row],[Ln'#]],Advanced!$A$65:$AU$114,47,FALSE))</f>
        <v/>
      </c>
    </row>
    <row r="277" spans="1:8" ht="30" customHeight="1" x14ac:dyDescent="0.4">
      <c r="A277" s="49">
        <v>4</v>
      </c>
      <c r="B277" s="49" t="str">
        <f>IF(OR(VLOOKUP(Table1917[[#This Row],[Ln'#]],Advanced!A$65:AU$114,7,FALSE)="E",VLOOKUP(Table1917[[#This Row],[Ln'#]],Advanced!A$65:AU$114,7,FALSE)="FEO"),"Entered or FEO","Not Entered")</f>
        <v>Not Entered</v>
      </c>
      <c r="C277" s="50" t="str">
        <f t="shared" ca="1" si="7"/>
        <v/>
      </c>
      <c r="D277" s="48"/>
      <c r="E277" s="48"/>
      <c r="F277" s="48" t="str">
        <f>IF(Table1917[[#This Row],[Status]]="Not Entered","",VLOOKUP(Table1917[[#This Row],[Ln'#]],Advanced!$A$65:$AU$114,3,FALSE))</f>
        <v/>
      </c>
      <c r="G27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7" s="51" t="str">
        <f>IF(Table1917[[#This Row],[Status]]="Not Entered","",VLOOKUP(Table1917[[#This Row],[Ln'#]],Advanced!$A$65:$AU$114,47,FALSE))</f>
        <v/>
      </c>
    </row>
    <row r="278" spans="1:8" ht="30" customHeight="1" x14ac:dyDescent="0.4">
      <c r="A278" s="49">
        <v>5</v>
      </c>
      <c r="B278" s="49" t="str">
        <f>IF(OR(VLOOKUP(Table1917[[#This Row],[Ln'#]],Advanced!A$65:AU$114,7,FALSE)="E",VLOOKUP(Table1917[[#This Row],[Ln'#]],Advanced!A$65:AU$114,7,FALSE)="FEO"),"Entered or FEO","Not Entered")</f>
        <v>Not Entered</v>
      </c>
      <c r="C278" s="50" t="str">
        <f t="shared" ca="1" si="7"/>
        <v/>
      </c>
      <c r="D278" s="48"/>
      <c r="E278" s="48"/>
      <c r="F278" s="48" t="str">
        <f>IF(Table1917[[#This Row],[Status]]="Not Entered","",VLOOKUP(Table1917[[#This Row],[Ln'#]],Advanced!$A$65:$AU$114,3,FALSE))</f>
        <v/>
      </c>
      <c r="G27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8" s="51" t="str">
        <f>IF(Table1917[[#This Row],[Status]]="Not Entered","",VLOOKUP(Table1917[[#This Row],[Ln'#]],Advanced!$A$65:$AU$114,47,FALSE))</f>
        <v/>
      </c>
    </row>
    <row r="279" spans="1:8" ht="30" customHeight="1" x14ac:dyDescent="0.4">
      <c r="A279" s="49">
        <v>6</v>
      </c>
      <c r="B279" s="49" t="str">
        <f>IF(OR(VLOOKUP(Table1917[[#This Row],[Ln'#]],Advanced!A$65:AU$114,7,FALSE)="E",VLOOKUP(Table1917[[#This Row],[Ln'#]],Advanced!A$65:AU$114,7,FALSE)="FEO"),"Entered or FEO","Not Entered")</f>
        <v>Not Entered</v>
      </c>
      <c r="C279" s="50" t="str">
        <f t="shared" ca="1" si="7"/>
        <v/>
      </c>
      <c r="D279" s="48"/>
      <c r="E279" s="48"/>
      <c r="F279" s="48" t="str">
        <f>IF(Table1917[[#This Row],[Status]]="Not Entered","",VLOOKUP(Table1917[[#This Row],[Ln'#]],Advanced!$A$65:$AU$114,3,FALSE))</f>
        <v/>
      </c>
      <c r="G27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9" s="51" t="str">
        <f>IF(Table1917[[#This Row],[Status]]="Not Entered","",VLOOKUP(Table1917[[#This Row],[Ln'#]],Advanced!$A$65:$AU$114,47,FALSE))</f>
        <v/>
      </c>
    </row>
    <row r="280" spans="1:8" ht="30" customHeight="1" x14ac:dyDescent="0.4">
      <c r="A280" s="49">
        <v>7</v>
      </c>
      <c r="B280" s="49" t="str">
        <f>IF(OR(VLOOKUP(Table1917[[#This Row],[Ln'#]],Advanced!A$65:AU$114,7,FALSE)="E",VLOOKUP(Table1917[[#This Row],[Ln'#]],Advanced!A$65:AU$114,7,FALSE)="FEO"),"Entered or FEO","Not Entered")</f>
        <v>Not Entered</v>
      </c>
      <c r="C280" s="50" t="str">
        <f t="shared" ca="1" si="7"/>
        <v/>
      </c>
      <c r="D280" s="48"/>
      <c r="E280" s="48"/>
      <c r="F280" s="48" t="str">
        <f>IF(Table1917[[#This Row],[Status]]="Not Entered","",VLOOKUP(Table1917[[#This Row],[Ln'#]],Advanced!$A$65:$AU$114,3,FALSE))</f>
        <v/>
      </c>
      <c r="G28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0" s="51" t="str">
        <f>IF(Table1917[[#This Row],[Status]]="Not Entered","",VLOOKUP(Table1917[[#This Row],[Ln'#]],Advanced!$A$65:$AU$114,47,FALSE))</f>
        <v/>
      </c>
    </row>
    <row r="281" spans="1:8" ht="30" customHeight="1" x14ac:dyDescent="0.4">
      <c r="A281" s="49">
        <v>8</v>
      </c>
      <c r="B281" s="49" t="str">
        <f>IF(OR(VLOOKUP(Table1917[[#This Row],[Ln'#]],Advanced!A$65:AU$114,7,FALSE)="E",VLOOKUP(Table1917[[#This Row],[Ln'#]],Advanced!A$65:AU$114,7,FALSE)="FEO"),"Entered or FEO","Not Entered")</f>
        <v>Not Entered</v>
      </c>
      <c r="C281" s="50" t="str">
        <f t="shared" ca="1" si="7"/>
        <v/>
      </c>
      <c r="D281" s="48"/>
      <c r="E281" s="48"/>
      <c r="F281" s="48" t="str">
        <f>IF(Table1917[[#This Row],[Status]]="Not Entered","",VLOOKUP(Table1917[[#This Row],[Ln'#]],Advanced!$A$65:$AU$114,3,FALSE))</f>
        <v/>
      </c>
      <c r="G28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1" s="51" t="str">
        <f>IF(Table1917[[#This Row],[Status]]="Not Entered","",VLOOKUP(Table1917[[#This Row],[Ln'#]],Advanced!$A$65:$AU$114,47,FALSE))</f>
        <v/>
      </c>
    </row>
    <row r="282" spans="1:8" ht="30" customHeight="1" x14ac:dyDescent="0.4">
      <c r="A282" s="49">
        <v>9</v>
      </c>
      <c r="B282" s="49" t="str">
        <f>IF(OR(VLOOKUP(Table1917[[#This Row],[Ln'#]],Advanced!A$65:AU$114,7,FALSE)="E",VLOOKUP(Table1917[[#This Row],[Ln'#]],Advanced!A$65:AU$114,7,FALSE)="FEO"),"Entered or FEO","Not Entered")</f>
        <v>Not Entered</v>
      </c>
      <c r="C282" s="50" t="str">
        <f t="shared" ca="1" si="7"/>
        <v/>
      </c>
      <c r="D282" s="48"/>
      <c r="E282" s="48"/>
      <c r="F282" s="48" t="str">
        <f>IF(Table1917[[#This Row],[Status]]="Not Entered","",VLOOKUP(Table1917[[#This Row],[Ln'#]],Advanced!$A$65:$AU$114,3,FALSE))</f>
        <v/>
      </c>
      <c r="G28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2" s="51" t="str">
        <f>IF(Table1917[[#This Row],[Status]]="Not Entered","",VLOOKUP(Table1917[[#This Row],[Ln'#]],Advanced!$A$65:$AU$114,47,FALSE))</f>
        <v/>
      </c>
    </row>
    <row r="283" spans="1:8" ht="30" customHeight="1" x14ac:dyDescent="0.4">
      <c r="A283" s="49">
        <v>10</v>
      </c>
      <c r="B283" s="49" t="str">
        <f>IF(OR(VLOOKUP(Table1917[[#This Row],[Ln'#]],Advanced!A$65:AU$114,7,FALSE)="E",VLOOKUP(Table1917[[#This Row],[Ln'#]],Advanced!A$65:AU$114,7,FALSE)="FEO"),"Entered or FEO","Not Entered")</f>
        <v>Not Entered</v>
      </c>
      <c r="C283" s="50" t="str">
        <f t="shared" ca="1" si="7"/>
        <v/>
      </c>
      <c r="D283" s="48"/>
      <c r="E283" s="48"/>
      <c r="F283" s="48" t="str">
        <f>IF(Table1917[[#This Row],[Status]]="Not Entered","",VLOOKUP(Table1917[[#This Row],[Ln'#]],Advanced!$A$65:$AU$114,3,FALSE))</f>
        <v/>
      </c>
      <c r="G28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3" s="51" t="str">
        <f>IF(Table1917[[#This Row],[Status]]="Not Entered","",VLOOKUP(Table1917[[#This Row],[Ln'#]],Advanced!$A$65:$AU$114,47,FALSE))</f>
        <v/>
      </c>
    </row>
    <row r="284" spans="1:8" ht="30" customHeight="1" x14ac:dyDescent="0.4">
      <c r="A284" s="49">
        <v>11</v>
      </c>
      <c r="B284" s="49" t="str">
        <f>IF(OR(VLOOKUP(Table1917[[#This Row],[Ln'#]],Advanced!A$65:AU$114,7,FALSE)="E",VLOOKUP(Table1917[[#This Row],[Ln'#]],Advanced!A$65:AU$114,7,FALSE)="FEO"),"Entered or FEO","Not Entered")</f>
        <v>Not Entered</v>
      </c>
      <c r="C284" s="50" t="str">
        <f t="shared" ca="1" si="7"/>
        <v/>
      </c>
      <c r="D284" s="48"/>
      <c r="E284" s="48"/>
      <c r="F284" s="48" t="str">
        <f>IF(Table1917[[#This Row],[Status]]="Not Entered","",VLOOKUP(Table1917[[#This Row],[Ln'#]],Advanced!$A$65:$AU$114,3,FALSE))</f>
        <v/>
      </c>
      <c r="G28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4" s="51" t="str">
        <f>IF(Table1917[[#This Row],[Status]]="Not Entered","",VLOOKUP(Table1917[[#This Row],[Ln'#]],Advanced!$A$65:$AU$114,47,FALSE))</f>
        <v/>
      </c>
    </row>
    <row r="285" spans="1:8" ht="30" customHeight="1" x14ac:dyDescent="0.4">
      <c r="A285" s="49">
        <v>12</v>
      </c>
      <c r="B285" s="49" t="str">
        <f>IF(OR(VLOOKUP(Table1917[[#This Row],[Ln'#]],Advanced!A$65:AU$114,7,FALSE)="E",VLOOKUP(Table1917[[#This Row],[Ln'#]],Advanced!A$65:AU$114,7,FALSE)="FEO"),"Entered or FEO","Not Entered")</f>
        <v>Not Entered</v>
      </c>
      <c r="C285" s="50" t="str">
        <f t="shared" ca="1" si="7"/>
        <v/>
      </c>
      <c r="D285" s="48"/>
      <c r="E285" s="48"/>
      <c r="F285" s="48" t="str">
        <f>IF(Table1917[[#This Row],[Status]]="Not Entered","",VLOOKUP(Table1917[[#This Row],[Ln'#]],Advanced!$A$65:$AU$114,3,FALSE))</f>
        <v/>
      </c>
      <c r="G28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5" s="51" t="str">
        <f>IF(Table1917[[#This Row],[Status]]="Not Entered","",VLOOKUP(Table1917[[#This Row],[Ln'#]],Advanced!$A$65:$AU$114,47,FALSE))</f>
        <v/>
      </c>
    </row>
    <row r="286" spans="1:8" ht="30" customHeight="1" x14ac:dyDescent="0.4">
      <c r="A286" s="49">
        <v>13</v>
      </c>
      <c r="B286" s="49" t="str">
        <f>IF(OR(VLOOKUP(Table1917[[#This Row],[Ln'#]],Advanced!A$65:AU$114,7,FALSE)="E",VLOOKUP(Table1917[[#This Row],[Ln'#]],Advanced!A$65:AU$114,7,FALSE)="FEO"),"Entered or FEO","Not Entered")</f>
        <v>Not Entered</v>
      </c>
      <c r="C286" s="50" t="str">
        <f t="shared" ca="1" si="7"/>
        <v/>
      </c>
      <c r="D286" s="48"/>
      <c r="E286" s="48"/>
      <c r="F286" s="48" t="str">
        <f>IF(Table1917[[#This Row],[Status]]="Not Entered","",VLOOKUP(Table1917[[#This Row],[Ln'#]],Advanced!$A$65:$AU$114,3,FALSE))</f>
        <v/>
      </c>
      <c r="G28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6" s="51" t="str">
        <f>IF(Table1917[[#This Row],[Status]]="Not Entered","",VLOOKUP(Table1917[[#This Row],[Ln'#]],Advanced!$A$65:$AU$114,47,FALSE))</f>
        <v/>
      </c>
    </row>
    <row r="287" spans="1:8" ht="30" customHeight="1" x14ac:dyDescent="0.4">
      <c r="A287" s="49">
        <v>14</v>
      </c>
      <c r="B287" s="49" t="str">
        <f>IF(OR(VLOOKUP(Table1917[[#This Row],[Ln'#]],Advanced!A$65:AU$114,7,FALSE)="E",VLOOKUP(Table1917[[#This Row],[Ln'#]],Advanced!A$65:AU$114,7,FALSE)="FEO"),"Entered or FEO","Not Entered")</f>
        <v>Not Entered</v>
      </c>
      <c r="C287" s="50" t="str">
        <f t="shared" ca="1" si="7"/>
        <v/>
      </c>
      <c r="D287" s="48"/>
      <c r="E287" s="48"/>
      <c r="F287" s="48" t="str">
        <f>IF(Table1917[[#This Row],[Status]]="Not Entered","",VLOOKUP(Table1917[[#This Row],[Ln'#]],Advanced!$A$65:$AU$114,3,FALSE))</f>
        <v/>
      </c>
      <c r="G28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7" s="51" t="str">
        <f>IF(Table1917[[#This Row],[Status]]="Not Entered","",VLOOKUP(Table1917[[#This Row],[Ln'#]],Advanced!$A$65:$AU$114,47,FALSE))</f>
        <v/>
      </c>
    </row>
    <row r="288" spans="1:8" ht="30" customHeight="1" x14ac:dyDescent="0.4">
      <c r="A288" s="49">
        <v>15</v>
      </c>
      <c r="B288" s="49" t="str">
        <f>IF(OR(VLOOKUP(Table1917[[#This Row],[Ln'#]],Advanced!A$65:AU$114,7,FALSE)="E",VLOOKUP(Table1917[[#This Row],[Ln'#]],Advanced!A$65:AU$114,7,FALSE)="FEO"),"Entered or FEO","Not Entered")</f>
        <v>Not Entered</v>
      </c>
      <c r="C288" s="50" t="str">
        <f t="shared" ca="1" si="7"/>
        <v/>
      </c>
      <c r="D288" s="48"/>
      <c r="E288" s="48"/>
      <c r="F288" s="48" t="str">
        <f>IF(Table1917[[#This Row],[Status]]="Not Entered","",VLOOKUP(Table1917[[#This Row],[Ln'#]],Advanced!$A$65:$AU$114,3,FALSE))</f>
        <v/>
      </c>
      <c r="G28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8" s="51" t="str">
        <f>IF(Table1917[[#This Row],[Status]]="Not Entered","",VLOOKUP(Table1917[[#This Row],[Ln'#]],Advanced!$A$65:$AU$114,47,FALSE))</f>
        <v/>
      </c>
    </row>
    <row r="289" spans="1:8" ht="30" customHeight="1" x14ac:dyDescent="0.4">
      <c r="A289" s="49">
        <v>16</v>
      </c>
      <c r="B289" s="49" t="str">
        <f>IF(OR(VLOOKUP(Table1917[[#This Row],[Ln'#]],Advanced!A$65:AU$114,7,FALSE)="E",VLOOKUP(Table1917[[#This Row],[Ln'#]],Advanced!A$65:AU$114,7,FALSE)="FEO"),"Entered or FEO","Not Entered")</f>
        <v>Not Entered</v>
      </c>
      <c r="C289" s="50" t="str">
        <f t="shared" ca="1" si="7"/>
        <v/>
      </c>
      <c r="D289" s="48"/>
      <c r="E289" s="48"/>
      <c r="F289" s="48" t="str">
        <f>IF(Table1917[[#This Row],[Status]]="Not Entered","",VLOOKUP(Table1917[[#This Row],[Ln'#]],Advanced!$A$65:$AU$114,3,FALSE))</f>
        <v/>
      </c>
      <c r="G28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9" s="51" t="str">
        <f>IF(Table1917[[#This Row],[Status]]="Not Entered","",VLOOKUP(Table1917[[#This Row],[Ln'#]],Advanced!$A$65:$AU$114,47,FALSE))</f>
        <v/>
      </c>
    </row>
    <row r="290" spans="1:8" ht="30" customHeight="1" x14ac:dyDescent="0.4">
      <c r="A290" s="49">
        <v>17</v>
      </c>
      <c r="B290" s="49" t="str">
        <f>IF(OR(VLOOKUP(Table1917[[#This Row],[Ln'#]],Advanced!A$65:AU$114,7,FALSE)="E",VLOOKUP(Table1917[[#This Row],[Ln'#]],Advanced!A$65:AU$114,7,FALSE)="FEO"),"Entered or FEO","Not Entered")</f>
        <v>Not Entered</v>
      </c>
      <c r="C290" s="50" t="str">
        <f t="shared" ca="1" si="7"/>
        <v/>
      </c>
      <c r="D290" s="48"/>
      <c r="E290" s="48"/>
      <c r="F290" s="48" t="str">
        <f>IF(Table1917[[#This Row],[Status]]="Not Entered","",VLOOKUP(Table1917[[#This Row],[Ln'#]],Advanced!$A$65:$AU$114,3,FALSE))</f>
        <v/>
      </c>
      <c r="G29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0" s="51" t="str">
        <f>IF(Table1917[[#This Row],[Status]]="Not Entered","",VLOOKUP(Table1917[[#This Row],[Ln'#]],Advanced!$A$65:$AU$114,47,FALSE))</f>
        <v/>
      </c>
    </row>
    <row r="291" spans="1:8" ht="30" customHeight="1" x14ac:dyDescent="0.4">
      <c r="A291" s="49">
        <v>18</v>
      </c>
      <c r="B291" s="49" t="str">
        <f>IF(OR(VLOOKUP(Table1917[[#This Row],[Ln'#]],Advanced!A$65:AU$114,7,FALSE)="E",VLOOKUP(Table1917[[#This Row],[Ln'#]],Advanced!A$65:AU$114,7,FALSE)="FEO"),"Entered or FEO","Not Entered")</f>
        <v>Not Entered</v>
      </c>
      <c r="C291" s="50" t="str">
        <f t="shared" ca="1" si="7"/>
        <v/>
      </c>
      <c r="D291" s="48"/>
      <c r="E291" s="48"/>
      <c r="F291" s="48" t="str">
        <f>IF(Table1917[[#This Row],[Status]]="Not Entered","",VLOOKUP(Table1917[[#This Row],[Ln'#]],Advanced!$A$65:$AU$114,3,FALSE))</f>
        <v/>
      </c>
      <c r="G29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1" s="51" t="str">
        <f>IF(Table1917[[#This Row],[Status]]="Not Entered","",VLOOKUP(Table1917[[#This Row],[Ln'#]],Advanced!$A$65:$AU$114,47,FALSE))</f>
        <v/>
      </c>
    </row>
    <row r="292" spans="1:8" ht="30" customHeight="1" x14ac:dyDescent="0.4">
      <c r="A292" s="49">
        <v>19</v>
      </c>
      <c r="B292" s="49" t="str">
        <f>IF(OR(VLOOKUP(Table1917[[#This Row],[Ln'#]],Advanced!A$65:AU$114,7,FALSE)="E",VLOOKUP(Table1917[[#This Row],[Ln'#]],Advanced!A$65:AU$114,7,FALSE)="FEO"),"Entered or FEO","Not Entered")</f>
        <v>Not Entered</v>
      </c>
      <c r="C292" s="50" t="str">
        <f t="shared" ca="1" si="7"/>
        <v/>
      </c>
      <c r="D292" s="48"/>
      <c r="E292" s="48"/>
      <c r="F292" s="48" t="str">
        <f>IF(Table1917[[#This Row],[Status]]="Not Entered","",VLOOKUP(Table1917[[#This Row],[Ln'#]],Advanced!$A$65:$AU$114,3,FALSE))</f>
        <v/>
      </c>
      <c r="G29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2" s="51" t="str">
        <f>IF(Table1917[[#This Row],[Status]]="Not Entered","",VLOOKUP(Table1917[[#This Row],[Ln'#]],Advanced!$A$65:$AU$114,47,FALSE))</f>
        <v/>
      </c>
    </row>
    <row r="293" spans="1:8" ht="30" customHeight="1" x14ac:dyDescent="0.4">
      <c r="A293" s="49">
        <v>20</v>
      </c>
      <c r="B293" s="49" t="str">
        <f>IF(OR(VLOOKUP(Table1917[[#This Row],[Ln'#]],Advanced!A$65:AU$114,7,FALSE)="E",VLOOKUP(Table1917[[#This Row],[Ln'#]],Advanced!A$65:AU$114,7,FALSE)="FEO"),"Entered or FEO","Not Entered")</f>
        <v>Not Entered</v>
      </c>
      <c r="C293" s="50" t="str">
        <f t="shared" ca="1" si="7"/>
        <v/>
      </c>
      <c r="D293" s="48"/>
      <c r="E293" s="48"/>
      <c r="F293" s="48" t="str">
        <f>IF(Table1917[[#This Row],[Status]]="Not Entered","",VLOOKUP(Table1917[[#This Row],[Ln'#]],Advanced!$A$65:$AU$114,3,FALSE))</f>
        <v/>
      </c>
      <c r="G29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3" s="51" t="str">
        <f>IF(Table1917[[#This Row],[Status]]="Not Entered","",VLOOKUP(Table1917[[#This Row],[Ln'#]],Advanced!$A$65:$AU$114,47,FALSE))</f>
        <v/>
      </c>
    </row>
    <row r="294" spans="1:8" ht="30" customHeight="1" x14ac:dyDescent="0.4">
      <c r="A294" s="49">
        <v>21</v>
      </c>
      <c r="B294" s="49" t="str">
        <f>IF(OR(VLOOKUP(Table1917[[#This Row],[Ln'#]],Advanced!A$65:AU$114,7,FALSE)="E",VLOOKUP(Table1917[[#This Row],[Ln'#]],Advanced!A$65:AU$114,7,FALSE)="FEO"),"Entered or FEO","Not Entered")</f>
        <v>Not Entered</v>
      </c>
      <c r="C294" s="50" t="str">
        <f t="shared" ca="1" si="7"/>
        <v/>
      </c>
      <c r="D294" s="48"/>
      <c r="E294" s="48"/>
      <c r="F294" s="48" t="str">
        <f>IF(Table1917[[#This Row],[Status]]="Not Entered","",VLOOKUP(Table1917[[#This Row],[Ln'#]],Advanced!$A$65:$AU$114,3,FALSE))</f>
        <v/>
      </c>
      <c r="G29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4" s="51" t="str">
        <f>IF(Table1917[[#This Row],[Status]]="Not Entered","",VLOOKUP(Table1917[[#This Row],[Ln'#]],Advanced!$A$65:$AU$114,47,FALSE))</f>
        <v/>
      </c>
    </row>
    <row r="295" spans="1:8" ht="30" customHeight="1" x14ac:dyDescent="0.4">
      <c r="A295" s="49">
        <v>22</v>
      </c>
      <c r="B295" s="49" t="str">
        <f>IF(OR(VLOOKUP(Table1917[[#This Row],[Ln'#]],Advanced!A$65:AU$114,7,FALSE)="E",VLOOKUP(Table1917[[#This Row],[Ln'#]],Advanced!A$65:AU$114,7,FALSE)="FEO"),"Entered or FEO","Not Entered")</f>
        <v>Not Entered</v>
      </c>
      <c r="C295" s="50" t="str">
        <f t="shared" ca="1" si="7"/>
        <v/>
      </c>
      <c r="D295" s="48"/>
      <c r="E295" s="48"/>
      <c r="F295" s="48" t="str">
        <f>IF(Table1917[[#This Row],[Status]]="Not Entered","",VLOOKUP(Table1917[[#This Row],[Ln'#]],Advanced!$A$65:$AU$114,3,FALSE))</f>
        <v/>
      </c>
      <c r="G29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5" s="51" t="str">
        <f>IF(Table1917[[#This Row],[Status]]="Not Entered","",VLOOKUP(Table1917[[#This Row],[Ln'#]],Advanced!$A$65:$AU$114,47,FALSE))</f>
        <v/>
      </c>
    </row>
    <row r="296" spans="1:8" ht="30" customHeight="1" x14ac:dyDescent="0.4">
      <c r="A296" s="49">
        <v>23</v>
      </c>
      <c r="B296" s="49" t="str">
        <f>IF(OR(VLOOKUP(Table1917[[#This Row],[Ln'#]],Advanced!A$65:AU$114,7,FALSE)="E",VLOOKUP(Table1917[[#This Row],[Ln'#]],Advanced!A$65:AU$114,7,FALSE)="FEO"),"Entered or FEO","Not Entered")</f>
        <v>Not Entered</v>
      </c>
      <c r="C296" s="50" t="str">
        <f t="shared" ca="1" si="7"/>
        <v/>
      </c>
      <c r="D296" s="48"/>
      <c r="E296" s="48"/>
      <c r="F296" s="48" t="str">
        <f>IF(Table1917[[#This Row],[Status]]="Not Entered","",VLOOKUP(Table1917[[#This Row],[Ln'#]],Advanced!$A$65:$AU$114,3,FALSE))</f>
        <v/>
      </c>
      <c r="G29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6" s="51" t="str">
        <f>IF(Table1917[[#This Row],[Status]]="Not Entered","",VLOOKUP(Table1917[[#This Row],[Ln'#]],Advanced!$A$65:$AU$114,47,FALSE))</f>
        <v/>
      </c>
    </row>
    <row r="297" spans="1:8" ht="30" customHeight="1" x14ac:dyDescent="0.4">
      <c r="A297" s="49">
        <v>24</v>
      </c>
      <c r="B297" s="49" t="str">
        <f>IF(OR(VLOOKUP(Table1917[[#This Row],[Ln'#]],Advanced!A$65:AU$114,7,FALSE)="E",VLOOKUP(Table1917[[#This Row],[Ln'#]],Advanced!A$65:AU$114,7,FALSE)="FEO"),"Entered or FEO","Not Entered")</f>
        <v>Not Entered</v>
      </c>
      <c r="C297" s="50" t="str">
        <f t="shared" ca="1" si="7"/>
        <v/>
      </c>
      <c r="D297" s="48"/>
      <c r="E297" s="48"/>
      <c r="F297" s="48" t="str">
        <f>IF(Table1917[[#This Row],[Status]]="Not Entered","",VLOOKUP(Table1917[[#This Row],[Ln'#]],Advanced!$A$65:$AU$114,3,FALSE))</f>
        <v/>
      </c>
      <c r="G29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7" s="51" t="str">
        <f>IF(Table1917[[#This Row],[Status]]="Not Entered","",VLOOKUP(Table1917[[#This Row],[Ln'#]],Advanced!$A$65:$AU$114,47,FALSE))</f>
        <v/>
      </c>
    </row>
    <row r="298" spans="1:8" ht="30" customHeight="1" x14ac:dyDescent="0.4">
      <c r="A298" s="49">
        <v>25</v>
      </c>
      <c r="B298" s="49" t="str">
        <f>IF(OR(VLOOKUP(Table1917[[#This Row],[Ln'#]],Advanced!A$65:AU$114,7,FALSE)="E",VLOOKUP(Table1917[[#This Row],[Ln'#]],Advanced!A$65:AU$114,7,FALSE)="FEO"),"Entered or FEO","Not Entered")</f>
        <v>Not Entered</v>
      </c>
      <c r="C298" s="50" t="str">
        <f t="shared" ca="1" si="7"/>
        <v/>
      </c>
      <c r="D298" s="48"/>
      <c r="E298" s="48"/>
      <c r="F298" s="48" t="str">
        <f>IF(Table1917[[#This Row],[Status]]="Not Entered","",VLOOKUP(Table1917[[#This Row],[Ln'#]],Advanced!$A$65:$AU$114,3,FALSE))</f>
        <v/>
      </c>
      <c r="G29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8" s="51" t="str">
        <f>IF(Table1917[[#This Row],[Status]]="Not Entered","",VLOOKUP(Table1917[[#This Row],[Ln'#]],Advanced!$A$65:$AU$114,47,FALSE))</f>
        <v/>
      </c>
    </row>
    <row r="299" spans="1:8" ht="30" customHeight="1" x14ac:dyDescent="0.4">
      <c r="A299" s="49">
        <v>26</v>
      </c>
      <c r="B299" s="49" t="str">
        <f>IF(OR(VLOOKUP(Table1917[[#This Row],[Ln'#]],Advanced!A$65:AU$114,7,FALSE)="E",VLOOKUP(Table1917[[#This Row],[Ln'#]],Advanced!A$65:AU$114,7,FALSE)="FEO"),"Entered or FEO","Not Entered")</f>
        <v>Not Entered</v>
      </c>
      <c r="C299" s="50" t="str">
        <f t="shared" ca="1" si="7"/>
        <v/>
      </c>
      <c r="D299" s="48"/>
      <c r="E299" s="48"/>
      <c r="F299" s="48" t="str">
        <f>IF(Table1917[[#This Row],[Status]]="Not Entered","",VLOOKUP(Table1917[[#This Row],[Ln'#]],Advanced!$A$65:$AU$114,3,FALSE))</f>
        <v/>
      </c>
      <c r="G29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9" s="51" t="str">
        <f>IF(Table1917[[#This Row],[Status]]="Not Entered","",VLOOKUP(Table1917[[#This Row],[Ln'#]],Advanced!$A$65:$AU$114,47,FALSE))</f>
        <v/>
      </c>
    </row>
    <row r="300" spans="1:8" ht="30" customHeight="1" x14ac:dyDescent="0.4">
      <c r="A300" s="49">
        <v>27</v>
      </c>
      <c r="B300" s="49" t="str">
        <f>IF(OR(VLOOKUP(Table1917[[#This Row],[Ln'#]],Advanced!A$65:AU$114,7,FALSE)="E",VLOOKUP(Table1917[[#This Row],[Ln'#]],Advanced!A$65:AU$114,7,FALSE)="FEO"),"Entered or FEO","Not Entered")</f>
        <v>Not Entered</v>
      </c>
      <c r="C300" s="50" t="str">
        <f t="shared" ca="1" si="7"/>
        <v/>
      </c>
      <c r="D300" s="48"/>
      <c r="E300" s="48"/>
      <c r="F300" s="48" t="str">
        <f>IF(Table1917[[#This Row],[Status]]="Not Entered","",VLOOKUP(Table1917[[#This Row],[Ln'#]],Advanced!$A$65:$AU$114,3,FALSE))</f>
        <v/>
      </c>
      <c r="G30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0" s="51" t="str">
        <f>IF(Table1917[[#This Row],[Status]]="Not Entered","",VLOOKUP(Table1917[[#This Row],[Ln'#]],Advanced!$A$65:$AU$114,47,FALSE))</f>
        <v/>
      </c>
    </row>
    <row r="301" spans="1:8" ht="30" customHeight="1" x14ac:dyDescent="0.4">
      <c r="A301" s="49">
        <v>28</v>
      </c>
      <c r="B301" s="49" t="str">
        <f>IF(OR(VLOOKUP(Table1917[[#This Row],[Ln'#]],Advanced!A$65:AU$114,7,FALSE)="E",VLOOKUP(Table1917[[#This Row],[Ln'#]],Advanced!A$65:AU$114,7,FALSE)="FEO"),"Entered or FEO","Not Entered")</f>
        <v>Not Entered</v>
      </c>
      <c r="C301" s="50" t="str">
        <f t="shared" ca="1" si="7"/>
        <v/>
      </c>
      <c r="D301" s="48"/>
      <c r="E301" s="48"/>
      <c r="F301" s="48" t="str">
        <f>IF(Table1917[[#This Row],[Status]]="Not Entered","",VLOOKUP(Table1917[[#This Row],[Ln'#]],Advanced!$A$65:$AU$114,3,FALSE))</f>
        <v/>
      </c>
      <c r="G30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1" s="51" t="str">
        <f>IF(Table1917[[#This Row],[Status]]="Not Entered","",VLOOKUP(Table1917[[#This Row],[Ln'#]],Advanced!$A$65:$AU$114,47,FALSE))</f>
        <v/>
      </c>
    </row>
    <row r="302" spans="1:8" ht="30" customHeight="1" x14ac:dyDescent="0.4">
      <c r="A302" s="49">
        <v>29</v>
      </c>
      <c r="B302" s="49" t="str">
        <f>IF(OR(VLOOKUP(Table1917[[#This Row],[Ln'#]],Advanced!A$65:AU$114,7,FALSE)="E",VLOOKUP(Table1917[[#This Row],[Ln'#]],Advanced!A$65:AU$114,7,FALSE)="FEO"),"Entered or FEO","Not Entered")</f>
        <v>Not Entered</v>
      </c>
      <c r="C302" s="50" t="str">
        <f t="shared" ca="1" si="7"/>
        <v/>
      </c>
      <c r="D302" s="48"/>
      <c r="E302" s="48"/>
      <c r="F302" s="48" t="str">
        <f>IF(Table1917[[#This Row],[Status]]="Not Entered","",VLOOKUP(Table1917[[#This Row],[Ln'#]],Advanced!$A$65:$AU$114,3,FALSE))</f>
        <v/>
      </c>
      <c r="G30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2" s="51" t="str">
        <f>IF(Table1917[[#This Row],[Status]]="Not Entered","",VLOOKUP(Table1917[[#This Row],[Ln'#]],Advanced!$A$65:$AU$114,47,FALSE))</f>
        <v/>
      </c>
    </row>
    <row r="303" spans="1:8" ht="30" customHeight="1" x14ac:dyDescent="0.4">
      <c r="A303" s="49">
        <v>30</v>
      </c>
      <c r="B303" s="49" t="str">
        <f>IF(OR(VLOOKUP(Table1917[[#This Row],[Ln'#]],Advanced!A$65:AU$114,7,FALSE)="E",VLOOKUP(Table1917[[#This Row],[Ln'#]],Advanced!A$65:AU$114,7,FALSE)="FEO"),"Entered or FEO","Not Entered")</f>
        <v>Not Entered</v>
      </c>
      <c r="C303" s="50" t="str">
        <f t="shared" ca="1" si="7"/>
        <v/>
      </c>
      <c r="D303" s="48"/>
      <c r="E303" s="48"/>
      <c r="F303" s="48" t="str">
        <f>IF(Table1917[[#This Row],[Status]]="Not Entered","",VLOOKUP(Table1917[[#This Row],[Ln'#]],Advanced!$A$65:$AU$114,3,FALSE))</f>
        <v/>
      </c>
      <c r="G30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3" s="51" t="str">
        <f>IF(Table1917[[#This Row],[Status]]="Not Entered","",VLOOKUP(Table1917[[#This Row],[Ln'#]],Advanced!$A$65:$AU$114,47,FALSE))</f>
        <v/>
      </c>
    </row>
    <row r="304" spans="1:8" ht="30" customHeight="1" x14ac:dyDescent="0.4">
      <c r="A304" s="49">
        <v>31</v>
      </c>
      <c r="B304" s="49" t="str">
        <f>IF(OR(VLOOKUP(Table1917[[#This Row],[Ln'#]],Advanced!A$65:AU$114,7,FALSE)="E",VLOOKUP(Table1917[[#This Row],[Ln'#]],Advanced!A$65:AU$114,7,FALSE)="FEO"),"Entered or FEO","Not Entered")</f>
        <v>Not Entered</v>
      </c>
      <c r="C304" s="50" t="str">
        <f t="shared" ca="1" si="7"/>
        <v/>
      </c>
      <c r="D304" s="48"/>
      <c r="E304" s="48"/>
      <c r="F304" s="48" t="str">
        <f>IF(Table1917[[#This Row],[Status]]="Not Entered","",VLOOKUP(Table1917[[#This Row],[Ln'#]],Advanced!$A$65:$AU$114,3,FALSE))</f>
        <v/>
      </c>
      <c r="G30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4" s="51" t="str">
        <f>IF(Table1917[[#This Row],[Status]]="Not Entered","",VLOOKUP(Table1917[[#This Row],[Ln'#]],Advanced!$A$65:$AU$114,47,FALSE))</f>
        <v/>
      </c>
    </row>
    <row r="305" spans="1:8" ht="30" customHeight="1" x14ac:dyDescent="0.4">
      <c r="A305" s="49">
        <v>32</v>
      </c>
      <c r="B305" s="49" t="str">
        <f>IF(OR(VLOOKUP(Table1917[[#This Row],[Ln'#]],Advanced!A$65:AU$114,7,FALSE)="E",VLOOKUP(Table1917[[#This Row],[Ln'#]],Advanced!A$65:AU$114,7,FALSE)="FEO"),"Entered or FEO","Not Entered")</f>
        <v>Not Entered</v>
      </c>
      <c r="C305" s="50" t="str">
        <f t="shared" ca="1" si="7"/>
        <v/>
      </c>
      <c r="D305" s="48"/>
      <c r="E305" s="48"/>
      <c r="F305" s="48" t="str">
        <f>IF(Table1917[[#This Row],[Status]]="Not Entered","",VLOOKUP(Table1917[[#This Row],[Ln'#]],Advanced!$A$65:$AU$114,3,FALSE))</f>
        <v/>
      </c>
      <c r="G30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5" s="51" t="str">
        <f>IF(Table1917[[#This Row],[Status]]="Not Entered","",VLOOKUP(Table1917[[#This Row],[Ln'#]],Advanced!$A$65:$AU$114,47,FALSE))</f>
        <v/>
      </c>
    </row>
    <row r="306" spans="1:8" ht="30" customHeight="1" x14ac:dyDescent="0.4">
      <c r="A306" s="49">
        <v>33</v>
      </c>
      <c r="B306" s="49" t="str">
        <f>IF(OR(VLOOKUP(Table1917[[#This Row],[Ln'#]],Advanced!A$65:AU$114,7,FALSE)="E",VLOOKUP(Table1917[[#This Row],[Ln'#]],Advanced!A$65:AU$114,7,FALSE)="FEO"),"Entered or FEO","Not Entered")</f>
        <v>Not Entered</v>
      </c>
      <c r="C306" s="50" t="str">
        <f t="shared" ca="1" si="7"/>
        <v/>
      </c>
      <c r="D306" s="48"/>
      <c r="E306" s="48"/>
      <c r="F306" s="48" t="str">
        <f>IF(Table1917[[#This Row],[Status]]="Not Entered","",VLOOKUP(Table1917[[#This Row],[Ln'#]],Advanced!$A$65:$AU$114,3,FALSE))</f>
        <v/>
      </c>
      <c r="G30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6" s="51" t="str">
        <f>IF(Table1917[[#This Row],[Status]]="Not Entered","",VLOOKUP(Table1917[[#This Row],[Ln'#]],Advanced!$A$65:$AU$114,47,FALSE))</f>
        <v/>
      </c>
    </row>
    <row r="307" spans="1:8" ht="30" customHeight="1" x14ac:dyDescent="0.4">
      <c r="A307" s="49">
        <v>34</v>
      </c>
      <c r="B307" s="49" t="str">
        <f>IF(OR(VLOOKUP(Table1917[[#This Row],[Ln'#]],Advanced!A$65:AU$114,7,FALSE)="E",VLOOKUP(Table1917[[#This Row],[Ln'#]],Advanced!A$65:AU$114,7,FALSE)="FEO"),"Entered or FEO","Not Entered")</f>
        <v>Not Entered</v>
      </c>
      <c r="C307" s="50" t="str">
        <f t="shared" ca="1" si="7"/>
        <v/>
      </c>
      <c r="D307" s="48"/>
      <c r="E307" s="48"/>
      <c r="F307" s="48" t="str">
        <f>IF(Table1917[[#This Row],[Status]]="Not Entered","",VLOOKUP(Table1917[[#This Row],[Ln'#]],Advanced!$A$65:$AU$114,3,FALSE))</f>
        <v/>
      </c>
      <c r="G30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7" s="51" t="str">
        <f>IF(Table1917[[#This Row],[Status]]="Not Entered","",VLOOKUP(Table1917[[#This Row],[Ln'#]],Advanced!$A$65:$AU$114,47,FALSE))</f>
        <v/>
      </c>
    </row>
    <row r="308" spans="1:8" ht="30" customHeight="1" x14ac:dyDescent="0.4">
      <c r="A308" s="49">
        <v>35</v>
      </c>
      <c r="B308" s="49" t="str">
        <f>IF(OR(VLOOKUP(Table1917[[#This Row],[Ln'#]],Advanced!A$65:AU$114,7,FALSE)="E",VLOOKUP(Table1917[[#This Row],[Ln'#]],Advanced!A$65:AU$114,7,FALSE)="FEO"),"Entered or FEO","Not Entered")</f>
        <v>Not Entered</v>
      </c>
      <c r="C308" s="50" t="str">
        <f t="shared" ca="1" si="7"/>
        <v/>
      </c>
      <c r="D308" s="48"/>
      <c r="E308" s="48"/>
      <c r="F308" s="48" t="str">
        <f>IF(Table1917[[#This Row],[Status]]="Not Entered","",VLOOKUP(Table1917[[#This Row],[Ln'#]],Advanced!$A$65:$AU$114,3,FALSE))</f>
        <v/>
      </c>
      <c r="G30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8" s="51" t="str">
        <f>IF(Table1917[[#This Row],[Status]]="Not Entered","",VLOOKUP(Table1917[[#This Row],[Ln'#]],Advanced!$A$65:$AU$114,47,FALSE))</f>
        <v/>
      </c>
    </row>
    <row r="309" spans="1:8" ht="30" customHeight="1" x14ac:dyDescent="0.4">
      <c r="A309" s="49">
        <v>36</v>
      </c>
      <c r="B309" s="49" t="str">
        <f>IF(OR(VLOOKUP(Table1917[[#This Row],[Ln'#]],Advanced!A$65:AU$114,7,FALSE)="E",VLOOKUP(Table1917[[#This Row],[Ln'#]],Advanced!A$65:AU$114,7,FALSE)="FEO"),"Entered or FEO","Not Entered")</f>
        <v>Not Entered</v>
      </c>
      <c r="C309" s="50" t="str">
        <f t="shared" ca="1" si="7"/>
        <v/>
      </c>
      <c r="D309" s="48"/>
      <c r="E309" s="48"/>
      <c r="F309" s="48" t="str">
        <f>IF(Table1917[[#This Row],[Status]]="Not Entered","",VLOOKUP(Table1917[[#This Row],[Ln'#]],Advanced!$A$65:$AU$114,3,FALSE))</f>
        <v/>
      </c>
      <c r="G30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9" s="51" t="str">
        <f>IF(Table1917[[#This Row],[Status]]="Not Entered","",VLOOKUP(Table1917[[#This Row],[Ln'#]],Advanced!$A$65:$AU$114,47,FALSE))</f>
        <v/>
      </c>
    </row>
    <row r="310" spans="1:8" ht="30" customHeight="1" x14ac:dyDescent="0.4">
      <c r="A310" s="49">
        <v>37</v>
      </c>
      <c r="B310" s="49" t="str">
        <f>IF(OR(VLOOKUP(Table1917[[#This Row],[Ln'#]],Advanced!A$65:AU$114,7,FALSE)="E",VLOOKUP(Table1917[[#This Row],[Ln'#]],Advanced!A$65:AU$114,7,FALSE)="FEO"),"Entered or FEO","Not Entered")</f>
        <v>Not Entered</v>
      </c>
      <c r="C310" s="50" t="str">
        <f t="shared" ca="1" si="7"/>
        <v/>
      </c>
      <c r="D310" s="48"/>
      <c r="E310" s="48"/>
      <c r="F310" s="48" t="str">
        <f>IF(Table1917[[#This Row],[Status]]="Not Entered","",VLOOKUP(Table1917[[#This Row],[Ln'#]],Advanced!$A$65:$AU$114,3,FALSE))</f>
        <v/>
      </c>
      <c r="G31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0" s="51" t="str">
        <f>IF(Table1917[[#This Row],[Status]]="Not Entered","",VLOOKUP(Table1917[[#This Row],[Ln'#]],Advanced!$A$65:$AU$114,47,FALSE))</f>
        <v/>
      </c>
    </row>
    <row r="311" spans="1:8" ht="30" customHeight="1" x14ac:dyDescent="0.4">
      <c r="A311" s="49">
        <v>38</v>
      </c>
      <c r="B311" s="49" t="str">
        <f>IF(OR(VLOOKUP(Table1917[[#This Row],[Ln'#]],Advanced!A$65:AU$114,7,FALSE)="E",VLOOKUP(Table1917[[#This Row],[Ln'#]],Advanced!A$65:AU$114,7,FALSE)="FEO"),"Entered or FEO","Not Entered")</f>
        <v>Not Entered</v>
      </c>
      <c r="C311" s="50" t="str">
        <f t="shared" ca="1" si="7"/>
        <v/>
      </c>
      <c r="D311" s="48"/>
      <c r="E311" s="48"/>
      <c r="F311" s="48" t="str">
        <f>IF(Table1917[[#This Row],[Status]]="Not Entered","",VLOOKUP(Table1917[[#This Row],[Ln'#]],Advanced!$A$65:$AU$114,3,FALSE))</f>
        <v/>
      </c>
      <c r="G31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1" s="51" t="str">
        <f>IF(Table1917[[#This Row],[Status]]="Not Entered","",VLOOKUP(Table1917[[#This Row],[Ln'#]],Advanced!$A$65:$AU$114,47,FALSE))</f>
        <v/>
      </c>
    </row>
    <row r="312" spans="1:8" ht="30" customHeight="1" x14ac:dyDescent="0.4">
      <c r="A312" s="49">
        <v>39</v>
      </c>
      <c r="B312" s="49" t="str">
        <f>IF(OR(VLOOKUP(Table1917[[#This Row],[Ln'#]],Advanced!A$65:AU$114,7,FALSE)="E",VLOOKUP(Table1917[[#This Row],[Ln'#]],Advanced!A$65:AU$114,7,FALSE)="FEO"),"Entered or FEO","Not Entered")</f>
        <v>Not Entered</v>
      </c>
      <c r="C312" s="50" t="str">
        <f t="shared" ca="1" si="7"/>
        <v/>
      </c>
      <c r="D312" s="48"/>
      <c r="E312" s="48"/>
      <c r="F312" s="48" t="str">
        <f>IF(Table1917[[#This Row],[Status]]="Not Entered","",VLOOKUP(Table1917[[#This Row],[Ln'#]],Advanced!$A$65:$AU$114,3,FALSE))</f>
        <v/>
      </c>
      <c r="G31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2" s="51" t="str">
        <f>IF(Table1917[[#This Row],[Status]]="Not Entered","",VLOOKUP(Table1917[[#This Row],[Ln'#]],Advanced!$A$65:$AU$114,47,FALSE))</f>
        <v/>
      </c>
    </row>
    <row r="313" spans="1:8" ht="30" customHeight="1" x14ac:dyDescent="0.4">
      <c r="A313" s="49">
        <v>40</v>
      </c>
      <c r="B313" s="49" t="str">
        <f>IF(OR(VLOOKUP(Table1917[[#This Row],[Ln'#]],Advanced!A$65:AU$114,7,FALSE)="E",VLOOKUP(Table1917[[#This Row],[Ln'#]],Advanced!A$65:AU$114,7,FALSE)="FEO"),"Entered or FEO","Not Entered")</f>
        <v>Not Entered</v>
      </c>
      <c r="C313" s="50" t="str">
        <f t="shared" ca="1" si="7"/>
        <v/>
      </c>
      <c r="D313" s="48"/>
      <c r="E313" s="48"/>
      <c r="F313" s="48" t="str">
        <f>IF(Table1917[[#This Row],[Status]]="Not Entered","",VLOOKUP(Table1917[[#This Row],[Ln'#]],Advanced!$A$65:$AU$114,3,FALSE))</f>
        <v/>
      </c>
      <c r="G31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3" s="51" t="str">
        <f>IF(Table1917[[#This Row],[Status]]="Not Entered","",VLOOKUP(Table1917[[#This Row],[Ln'#]],Advanced!$A$65:$AU$114,47,FALSE))</f>
        <v/>
      </c>
    </row>
    <row r="314" spans="1:8" ht="30" customHeight="1" x14ac:dyDescent="0.4">
      <c r="A314" s="49">
        <v>41</v>
      </c>
      <c r="B314" s="49" t="str">
        <f>IF(OR(VLOOKUP(Table1917[[#This Row],[Ln'#]],Advanced!A$65:AU$114,7,FALSE)="E",VLOOKUP(Table1917[[#This Row],[Ln'#]],Advanced!A$65:AU$114,7,FALSE)="FEO"),"Entered or FEO","Not Entered")</f>
        <v>Not Entered</v>
      </c>
      <c r="C314" s="50" t="str">
        <f t="shared" ca="1" si="7"/>
        <v/>
      </c>
      <c r="D314" s="48"/>
      <c r="E314" s="48"/>
      <c r="F314" s="48" t="str">
        <f>IF(Table1917[[#This Row],[Status]]="Not Entered","",VLOOKUP(Table1917[[#This Row],[Ln'#]],Advanced!$A$65:$AU$114,3,FALSE))</f>
        <v/>
      </c>
      <c r="G31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4" s="51" t="str">
        <f>IF(Table1917[[#This Row],[Status]]="Not Entered","",VLOOKUP(Table1917[[#This Row],[Ln'#]],Advanced!$A$65:$AU$114,47,FALSE))</f>
        <v/>
      </c>
    </row>
    <row r="315" spans="1:8" ht="30" customHeight="1" x14ac:dyDescent="0.4">
      <c r="A315" s="49">
        <v>42</v>
      </c>
      <c r="B315" s="49" t="str">
        <f>IF(OR(VLOOKUP(Table1917[[#This Row],[Ln'#]],Advanced!A$65:AU$114,7,FALSE)="E",VLOOKUP(Table1917[[#This Row],[Ln'#]],Advanced!A$65:AU$114,7,FALSE)="FEO"),"Entered or FEO","Not Entered")</f>
        <v>Not Entered</v>
      </c>
      <c r="C315" s="50" t="str">
        <f t="shared" ca="1" si="7"/>
        <v/>
      </c>
      <c r="D315" s="48"/>
      <c r="E315" s="48"/>
      <c r="F315" s="48" t="str">
        <f>IF(Table1917[[#This Row],[Status]]="Not Entered","",VLOOKUP(Table1917[[#This Row],[Ln'#]],Advanced!$A$65:$AU$114,3,FALSE))</f>
        <v/>
      </c>
      <c r="G31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5" s="51" t="str">
        <f>IF(Table1917[[#This Row],[Status]]="Not Entered","",VLOOKUP(Table1917[[#This Row],[Ln'#]],Advanced!$A$65:$AU$114,47,FALSE))</f>
        <v/>
      </c>
    </row>
    <row r="316" spans="1:8" ht="30" customHeight="1" x14ac:dyDescent="0.4">
      <c r="A316" s="49">
        <v>43</v>
      </c>
      <c r="B316" s="49" t="str">
        <f>IF(OR(VLOOKUP(Table1917[[#This Row],[Ln'#]],Advanced!A$65:AU$114,7,FALSE)="E",VLOOKUP(Table1917[[#This Row],[Ln'#]],Advanced!A$65:AU$114,7,FALSE)="FEO"),"Entered or FEO","Not Entered")</f>
        <v>Not Entered</v>
      </c>
      <c r="C316" s="50" t="str">
        <f t="shared" ca="1" si="7"/>
        <v/>
      </c>
      <c r="D316" s="48"/>
      <c r="E316" s="48"/>
      <c r="F316" s="48" t="str">
        <f>IF(Table1917[[#This Row],[Status]]="Not Entered","",VLOOKUP(Table1917[[#This Row],[Ln'#]],Advanced!$A$65:$AU$114,3,FALSE))</f>
        <v/>
      </c>
      <c r="G31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6" s="51" t="str">
        <f>IF(Table1917[[#This Row],[Status]]="Not Entered","",VLOOKUP(Table1917[[#This Row],[Ln'#]],Advanced!$A$65:$AU$114,47,FALSE))</f>
        <v/>
      </c>
    </row>
    <row r="317" spans="1:8" ht="30" customHeight="1" x14ac:dyDescent="0.4">
      <c r="A317" s="49">
        <v>44</v>
      </c>
      <c r="B317" s="49" t="str">
        <f>IF(OR(VLOOKUP(Table1917[[#This Row],[Ln'#]],Advanced!A$65:AU$114,7,FALSE)="E",VLOOKUP(Table1917[[#This Row],[Ln'#]],Advanced!A$65:AU$114,7,FALSE)="FEO"),"Entered or FEO","Not Entered")</f>
        <v>Not Entered</v>
      </c>
      <c r="C317" s="50" t="str">
        <f t="shared" ca="1" si="7"/>
        <v/>
      </c>
      <c r="D317" s="48"/>
      <c r="E317" s="48"/>
      <c r="F317" s="48" t="str">
        <f>IF(Table1917[[#This Row],[Status]]="Not Entered","",VLOOKUP(Table1917[[#This Row],[Ln'#]],Advanced!$A$65:$AU$114,3,FALSE))</f>
        <v/>
      </c>
      <c r="G31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7" s="51" t="str">
        <f>IF(Table1917[[#This Row],[Status]]="Not Entered","",VLOOKUP(Table1917[[#This Row],[Ln'#]],Advanced!$A$65:$AU$114,47,FALSE))</f>
        <v/>
      </c>
    </row>
    <row r="318" spans="1:8" ht="30" customHeight="1" x14ac:dyDescent="0.4">
      <c r="A318" s="49">
        <v>45</v>
      </c>
      <c r="B318" s="49" t="str">
        <f>IF(OR(VLOOKUP(Table1917[[#This Row],[Ln'#]],Advanced!A$65:AU$114,7,FALSE)="E",VLOOKUP(Table1917[[#This Row],[Ln'#]],Advanced!A$65:AU$114,7,FALSE)="FEO"),"Entered or FEO","Not Entered")</f>
        <v>Not Entered</v>
      </c>
      <c r="C318" s="50" t="str">
        <f t="shared" ca="1" si="7"/>
        <v/>
      </c>
      <c r="D318" s="48"/>
      <c r="E318" s="48"/>
      <c r="F318" s="48" t="str">
        <f>IF(Table1917[[#This Row],[Status]]="Not Entered","",VLOOKUP(Table1917[[#This Row],[Ln'#]],Advanced!$A$65:$AU$114,3,FALSE))</f>
        <v/>
      </c>
      <c r="G31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8" s="51" t="str">
        <f>IF(Table1917[[#This Row],[Status]]="Not Entered","",VLOOKUP(Table1917[[#This Row],[Ln'#]],Advanced!$A$65:$AU$114,47,FALSE))</f>
        <v/>
      </c>
    </row>
    <row r="319" spans="1:8" ht="30" customHeight="1" x14ac:dyDescent="0.4">
      <c r="A319" s="49">
        <v>46</v>
      </c>
      <c r="B319" s="49" t="str">
        <f>IF(OR(VLOOKUP(Table1917[[#This Row],[Ln'#]],Advanced!A$65:AU$114,7,FALSE)="E",VLOOKUP(Table1917[[#This Row],[Ln'#]],Advanced!A$65:AU$114,7,FALSE)="FEO"),"Entered or FEO","Not Entered")</f>
        <v>Not Entered</v>
      </c>
      <c r="C319" s="50" t="str">
        <f t="shared" ca="1" si="7"/>
        <v/>
      </c>
      <c r="D319" s="48"/>
      <c r="E319" s="48"/>
      <c r="F319" s="48" t="str">
        <f>IF(Table1917[[#This Row],[Status]]="Not Entered","",VLOOKUP(Table1917[[#This Row],[Ln'#]],Advanced!$A$65:$AU$114,3,FALSE))</f>
        <v/>
      </c>
      <c r="G31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9" s="51" t="str">
        <f>IF(Table1917[[#This Row],[Status]]="Not Entered","",VLOOKUP(Table1917[[#This Row],[Ln'#]],Advanced!$A$65:$AU$114,47,FALSE))</f>
        <v/>
      </c>
    </row>
    <row r="320" spans="1:8" ht="30" customHeight="1" x14ac:dyDescent="0.4">
      <c r="A320" s="49">
        <v>47</v>
      </c>
      <c r="B320" s="49" t="str">
        <f>IF(OR(VLOOKUP(Table1917[[#This Row],[Ln'#]],Advanced!A$65:AU$114,7,FALSE)="E",VLOOKUP(Table1917[[#This Row],[Ln'#]],Advanced!A$65:AU$114,7,FALSE)="FEO"),"Entered or FEO","Not Entered")</f>
        <v>Not Entered</v>
      </c>
      <c r="C320" s="50" t="str">
        <f t="shared" ca="1" si="7"/>
        <v/>
      </c>
      <c r="D320" s="48"/>
      <c r="E320" s="48"/>
      <c r="F320" s="48" t="str">
        <f>IF(Table1917[[#This Row],[Status]]="Not Entered","",VLOOKUP(Table1917[[#This Row],[Ln'#]],Advanced!$A$65:$AU$114,3,FALSE))</f>
        <v/>
      </c>
      <c r="G32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0" s="51" t="str">
        <f>IF(Table1917[[#This Row],[Status]]="Not Entered","",VLOOKUP(Table1917[[#This Row],[Ln'#]],Advanced!$A$65:$AU$114,47,FALSE))</f>
        <v/>
      </c>
    </row>
    <row r="321" spans="1:17" ht="30" customHeight="1" x14ac:dyDescent="0.4">
      <c r="A321" s="49">
        <v>48</v>
      </c>
      <c r="B321" s="49" t="str">
        <f>IF(OR(VLOOKUP(Table1917[[#This Row],[Ln'#]],Advanced!A$65:AU$114,7,FALSE)="E",VLOOKUP(Table1917[[#This Row],[Ln'#]],Advanced!A$65:AU$114,7,FALSE)="FEO"),"Entered or FEO","Not Entered")</f>
        <v>Not Entered</v>
      </c>
      <c r="C321" s="50" t="str">
        <f t="shared" ca="1" si="7"/>
        <v/>
      </c>
      <c r="D321" s="48"/>
      <c r="E321" s="48"/>
      <c r="F321" s="48" t="str">
        <f>IF(Table1917[[#This Row],[Status]]="Not Entered","",VLOOKUP(Table1917[[#This Row],[Ln'#]],Advanced!$A$65:$AU$114,3,FALSE))</f>
        <v/>
      </c>
      <c r="G32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1" s="51" t="str">
        <f>IF(Table1917[[#This Row],[Status]]="Not Entered","",VLOOKUP(Table1917[[#This Row],[Ln'#]],Advanced!$A$65:$AU$114,47,FALSE))</f>
        <v/>
      </c>
    </row>
    <row r="322" spans="1:17" ht="30" customHeight="1" x14ac:dyDescent="0.4">
      <c r="A322" s="49">
        <v>49</v>
      </c>
      <c r="B322" s="49" t="str">
        <f>IF(OR(VLOOKUP(Table1917[[#This Row],[Ln'#]],Advanced!A$65:AU$114,7,FALSE)="E",VLOOKUP(Table1917[[#This Row],[Ln'#]],Advanced!A$65:AU$114,7,FALSE)="FEO"),"Entered or FEO","Not Entered")</f>
        <v>Not Entered</v>
      </c>
      <c r="C322" s="50" t="str">
        <f t="shared" ca="1" si="7"/>
        <v/>
      </c>
      <c r="D322" s="48"/>
      <c r="E322" s="48"/>
      <c r="F322" s="48" t="str">
        <f>IF(Table1917[[#This Row],[Status]]="Not Entered","",VLOOKUP(Table1917[[#This Row],[Ln'#]],Advanced!$A$65:$AU$114,3,FALSE))</f>
        <v/>
      </c>
      <c r="G32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2" s="51" t="str">
        <f>IF(Table1917[[#This Row],[Status]]="Not Entered","",VLOOKUP(Table1917[[#This Row],[Ln'#]],Advanced!$A$65:$AU$114,47,FALSE))</f>
        <v/>
      </c>
    </row>
    <row r="323" spans="1:17" ht="30" customHeight="1" x14ac:dyDescent="0.4">
      <c r="A323" s="49">
        <v>50</v>
      </c>
      <c r="B323" s="49" t="str">
        <f>IF(OR(VLOOKUP(Table1917[[#This Row],[Ln'#]],Advanced!A$65:AU$114,7,FALSE)="E",VLOOKUP(Table1917[[#This Row],[Ln'#]],Advanced!A$65:AU$114,7,FALSE)="FEO"),"Entered or FEO","Not Entered")</f>
        <v>Not Entered</v>
      </c>
      <c r="C323" s="50" t="str">
        <f t="shared" ca="1" si="7"/>
        <v/>
      </c>
      <c r="D323" s="48"/>
      <c r="E323" s="48"/>
      <c r="F323" s="48" t="str">
        <f>IF(Table1917[[#This Row],[Status]]="Not Entered","",VLOOKUP(Table1917[[#This Row],[Ln'#]],Advanced!$A$65:$AU$114,3,FALSE))</f>
        <v/>
      </c>
      <c r="G32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3" s="51" t="str">
        <f>IF(Table1917[[#This Row],[Status]]="Not Entered","",VLOOKUP(Table1917[[#This Row],[Ln'#]],Advanced!$A$65:$AU$114,47,FALSE))</f>
        <v/>
      </c>
    </row>
    <row r="324" spans="1:17" ht="30" customHeight="1" x14ac:dyDescent="0.4">
      <c r="A324" s="48"/>
      <c r="B324" s="48"/>
      <c r="C324" s="48"/>
      <c r="D324" s="48" t="s">
        <v>1141</v>
      </c>
      <c r="E324" s="48">
        <f>SUBTOTAL(102,Table1917[Running Order])</f>
        <v>0</v>
      </c>
      <c r="F324" s="48"/>
      <c r="G324" s="51"/>
      <c r="H324" s="51"/>
    </row>
    <row r="325" spans="1:17" ht="30" customHeight="1" x14ac:dyDescent="0.4">
      <c r="A325" s="48"/>
      <c r="B325" s="48"/>
      <c r="C325" s="48"/>
      <c r="D325" s="48"/>
      <c r="E325" s="48"/>
      <c r="F325" s="48"/>
      <c r="G325" s="51"/>
      <c r="H325" s="51"/>
      <c r="J325" s="48"/>
      <c r="K325" s="48"/>
      <c r="L325" s="48"/>
      <c r="M325" s="48"/>
      <c r="N325" s="48"/>
      <c r="O325" s="48"/>
      <c r="P325" s="51"/>
      <c r="Q325" s="51"/>
    </row>
    <row r="326" spans="1:17" ht="30" customHeight="1" x14ac:dyDescent="0.4">
      <c r="A326" s="43"/>
      <c r="B326" s="23" t="s">
        <v>1143</v>
      </c>
      <c r="C326" s="403" t="s">
        <v>2534</v>
      </c>
      <c r="D326" s="403"/>
      <c r="E326" s="403"/>
      <c r="F326" s="403"/>
      <c r="G326" s="403"/>
      <c r="H326" s="403"/>
      <c r="I326" s="403"/>
      <c r="J326" s="403"/>
      <c r="L326" s="48"/>
      <c r="M326" s="48"/>
      <c r="N326" s="48"/>
      <c r="O326" s="48"/>
      <c r="P326" s="51"/>
      <c r="Q326" s="51"/>
    </row>
    <row r="327" spans="1:17" ht="60.75" customHeight="1" x14ac:dyDescent="0.4">
      <c r="A327" s="67" t="s">
        <v>605</v>
      </c>
      <c r="B327" s="67" t="s">
        <v>2493</v>
      </c>
      <c r="C327" s="67" t="s">
        <v>2494</v>
      </c>
      <c r="D327" s="67" t="s">
        <v>1142</v>
      </c>
      <c r="E327" s="67" t="s">
        <v>1135</v>
      </c>
      <c r="F327" s="67" t="s">
        <v>1136</v>
      </c>
      <c r="G327" s="69" t="s">
        <v>1207</v>
      </c>
      <c r="H327" s="69" t="s">
        <v>1137</v>
      </c>
      <c r="L327" s="48"/>
      <c r="M327" s="48"/>
      <c r="N327" s="48"/>
      <c r="O327" s="48"/>
      <c r="P327" s="51"/>
      <c r="Q327" s="51"/>
    </row>
    <row r="328" spans="1:17" ht="30" customHeight="1" x14ac:dyDescent="0.45">
      <c r="A328" s="49">
        <v>1</v>
      </c>
      <c r="B328" s="144" t="str">
        <f>IF(OR(VLOOKUP(Table1313236[[#This Row],[Ln'#]],Advanced!A$65:AU$114,7,FALSE)="E",VLOOKUP(Table1313236[[#This Row],[Ln'#]],Advanced!A$65:AU$114,7,FALSE)="FEO"),"x","")</f>
        <v/>
      </c>
      <c r="C328" s="144" t="str">
        <f>IF(OR(VLOOKUP(Table1313236[[#This Row],[Ln'#]],Advanced!A$65:AU$114,15,FALSE)="E",VLOOKUP(Table1313236[[#This Row],[Ln'#]],Advanced!A$65:AU$114,15,FALSE)="FEO"),"x","")</f>
        <v/>
      </c>
      <c r="D328" s="48"/>
      <c r="E328" s="48"/>
      <c r="F328" s="48" t="str">
        <f>IF(AND(Table1313236[[#This Row],[Status Container]]="",Table1313236[[#This Row],[Status Interior]]=""),"",VLOOKUP(Table1313236[[#This Row],[Ln'#]],Advanced!$A$65:$AU$114,3,FALSE))</f>
        <v/>
      </c>
      <c r="G328" s="51" t="str">
        <f>IF(Table1313236[[#This Row],[Dog ID]]="","",(VLOOKUP(Table1313236[[#This Row],[Dog ID]],Advanced!C$65:$D$114,2,FALSE)&amp;" - " &amp;VLOOKUP(Table1313236[[#This Row],[Dog ID]],'SDDA Dogs'!A:C,3,FALSE)))</f>
        <v/>
      </c>
      <c r="H328" s="51" t="str">
        <f>IF(Table1313236[[#This Row],[Dog ID]]="","",(VLOOKUP(Table1313236[[#This Row],[Dog ID]],Advanced!C$65:$AU114,45,FALSE)))</f>
        <v/>
      </c>
      <c r="L328" s="48"/>
      <c r="M328" s="48"/>
      <c r="N328" s="48"/>
      <c r="O328" s="48"/>
      <c r="P328" s="51"/>
      <c r="Q328" s="51"/>
    </row>
    <row r="329" spans="1:17" ht="30" customHeight="1" x14ac:dyDescent="0.45">
      <c r="A329" s="49">
        <v>2</v>
      </c>
      <c r="B329" s="144" t="str">
        <f>IF(OR(VLOOKUP(Table1313236[[#This Row],[Ln'#]],Advanced!A$65:AU$114,7,FALSE)="E",VLOOKUP(Table1313236[[#This Row],[Ln'#]],Advanced!A$65:AU$114,7,FALSE)="FEO"),"x","")</f>
        <v/>
      </c>
      <c r="C329" s="144" t="str">
        <f>IF(OR(VLOOKUP(Table1313236[[#This Row],[Ln'#]],Advanced!A$65:AU$114,15,FALSE)="E",VLOOKUP(Table1313236[[#This Row],[Ln'#]],Advanced!A$65:AU$114,15,FALSE)="FEO"),"x","")</f>
        <v/>
      </c>
      <c r="D329" s="48"/>
      <c r="E329" s="48"/>
      <c r="F329" s="48" t="str">
        <f>IF(AND(Table1313236[[#This Row],[Status Container]]="",Table1313236[[#This Row],[Status Interior]]=""),"",VLOOKUP(Table1313236[[#This Row],[Ln'#]],Advanced!$A$65:$AU$114,3,FALSE))</f>
        <v/>
      </c>
      <c r="G329" s="51" t="str">
        <f>IF(Table1313236[[#This Row],[Dog ID]]="","",(VLOOKUP(Table1313236[[#This Row],[Dog ID]],Advanced!C$65:$D$114,2,FALSE)&amp;" - " &amp;VLOOKUP(Table1313236[[#This Row],[Dog ID]],'SDDA Dogs'!A:C,3,FALSE)))</f>
        <v/>
      </c>
      <c r="H329" s="51" t="str">
        <f>IF(Table1313236[[#This Row],[Dog ID]]="","",(VLOOKUP(Table1313236[[#This Row],[Dog ID]],Advanced!C$65:$AU115,45,FALSE)))</f>
        <v/>
      </c>
      <c r="L329" s="48"/>
      <c r="M329" s="48"/>
      <c r="N329" s="48"/>
      <c r="O329" s="48"/>
      <c r="P329" s="51"/>
      <c r="Q329" s="51"/>
    </row>
    <row r="330" spans="1:17" ht="30" customHeight="1" x14ac:dyDescent="0.45">
      <c r="A330" s="49">
        <v>3</v>
      </c>
      <c r="B330" s="144" t="str">
        <f>IF(OR(VLOOKUP(Table1313236[[#This Row],[Ln'#]],Advanced!A$65:AU$114,7,FALSE)="E",VLOOKUP(Table1313236[[#This Row],[Ln'#]],Advanced!A$65:AU$114,7,FALSE)="FEO"),"x","")</f>
        <v/>
      </c>
      <c r="C330" s="144" t="str">
        <f>IF(OR(VLOOKUP(Table1313236[[#This Row],[Ln'#]],Advanced!A$65:AU$114,15,FALSE)="E",VLOOKUP(Table1313236[[#This Row],[Ln'#]],Advanced!A$65:AU$114,15,FALSE)="FEO"),"x","")</f>
        <v/>
      </c>
      <c r="D330" s="48"/>
      <c r="E330" s="48"/>
      <c r="F330" s="48" t="str">
        <f>IF(AND(Table1313236[[#This Row],[Status Container]]="",Table1313236[[#This Row],[Status Interior]]=""),"",VLOOKUP(Table1313236[[#This Row],[Ln'#]],Advanced!$A$65:$AU$114,3,FALSE))</f>
        <v/>
      </c>
      <c r="G330" s="51" t="str">
        <f>IF(Table1313236[[#This Row],[Dog ID]]="","",(VLOOKUP(Table1313236[[#This Row],[Dog ID]],Advanced!C$65:$D$114,2,FALSE)&amp;" - " &amp;VLOOKUP(Table1313236[[#This Row],[Dog ID]],'SDDA Dogs'!A:C,3,FALSE)))</f>
        <v/>
      </c>
      <c r="H330" s="51" t="str">
        <f>IF(Table1313236[[#This Row],[Dog ID]]="","",(VLOOKUP(Table1313236[[#This Row],[Dog ID]],Advanced!C$65:$AU116,45,FALSE)))</f>
        <v/>
      </c>
      <c r="L330" s="48"/>
      <c r="M330" s="48"/>
      <c r="N330" s="48"/>
      <c r="O330" s="48"/>
      <c r="P330" s="51"/>
      <c r="Q330" s="51"/>
    </row>
    <row r="331" spans="1:17" ht="30" customHeight="1" x14ac:dyDescent="0.45">
      <c r="A331" s="49">
        <v>4</v>
      </c>
      <c r="B331" s="144" t="str">
        <f>IF(OR(VLOOKUP(Table1313236[[#This Row],[Ln'#]],Advanced!A$65:AU$114,7,FALSE)="E",VLOOKUP(Table1313236[[#This Row],[Ln'#]],Advanced!A$65:AU$114,7,FALSE)="FEO"),"x","")</f>
        <v/>
      </c>
      <c r="C331" s="144" t="str">
        <f>IF(OR(VLOOKUP(Table1313236[[#This Row],[Ln'#]],Advanced!A$65:AU$114,15,FALSE)="E",VLOOKUP(Table1313236[[#This Row],[Ln'#]],Advanced!A$65:AU$114,15,FALSE)="FEO"),"x","")</f>
        <v/>
      </c>
      <c r="D331" s="48"/>
      <c r="E331" s="48"/>
      <c r="F331" s="48" t="str">
        <f>IF(AND(Table1313236[[#This Row],[Status Container]]="",Table1313236[[#This Row],[Status Interior]]=""),"",VLOOKUP(Table1313236[[#This Row],[Ln'#]],Advanced!$A$65:$AU$114,3,FALSE))</f>
        <v/>
      </c>
      <c r="G331" s="51" t="str">
        <f>IF(Table1313236[[#This Row],[Dog ID]]="","",(VLOOKUP(Table1313236[[#This Row],[Dog ID]],Advanced!C$65:$D$114,2,FALSE)&amp;" - " &amp;VLOOKUP(Table1313236[[#This Row],[Dog ID]],'SDDA Dogs'!A:C,3,FALSE)))</f>
        <v/>
      </c>
      <c r="H331" s="51" t="str">
        <f>IF(Table1313236[[#This Row],[Dog ID]]="","",(VLOOKUP(Table1313236[[#This Row],[Dog ID]],Advanced!C$65:$AU117,45,FALSE)))</f>
        <v/>
      </c>
      <c r="L331" s="48"/>
      <c r="M331" s="48"/>
      <c r="N331" s="48"/>
      <c r="O331" s="48"/>
      <c r="P331" s="51"/>
      <c r="Q331" s="51"/>
    </row>
    <row r="332" spans="1:17" ht="30" customHeight="1" x14ac:dyDescent="0.45">
      <c r="A332" s="49">
        <v>5</v>
      </c>
      <c r="B332" s="144" t="str">
        <f>IF(OR(VLOOKUP(Table1313236[[#This Row],[Ln'#]],Advanced!A$65:AU$114,7,FALSE)="E",VLOOKUP(Table1313236[[#This Row],[Ln'#]],Advanced!A$65:AU$114,7,FALSE)="FEO"),"x","")</f>
        <v/>
      </c>
      <c r="C332" s="144" t="str">
        <f>IF(OR(VLOOKUP(Table1313236[[#This Row],[Ln'#]],Advanced!A$65:AU$114,15,FALSE)="E",VLOOKUP(Table1313236[[#This Row],[Ln'#]],Advanced!A$65:AU$114,15,FALSE)="FEO"),"x","")</f>
        <v/>
      </c>
      <c r="D332" s="48"/>
      <c r="E332" s="48"/>
      <c r="F332" s="48" t="str">
        <f>IF(AND(Table1313236[[#This Row],[Status Container]]="",Table1313236[[#This Row],[Status Interior]]=""),"",VLOOKUP(Table1313236[[#This Row],[Ln'#]],Advanced!$A$65:$AU$114,3,FALSE))</f>
        <v/>
      </c>
      <c r="G332" s="51" t="str">
        <f>IF(Table1313236[[#This Row],[Dog ID]]="","",(VLOOKUP(Table1313236[[#This Row],[Dog ID]],Advanced!C$65:$D$114,2,FALSE)&amp;" - " &amp;VLOOKUP(Table1313236[[#This Row],[Dog ID]],'SDDA Dogs'!A:C,3,FALSE)))</f>
        <v/>
      </c>
      <c r="H332" s="51" t="str">
        <f>IF(Table1313236[[#This Row],[Dog ID]]="","",(VLOOKUP(Table1313236[[#This Row],[Dog ID]],Advanced!C$65:$AU118,45,FALSE)))</f>
        <v/>
      </c>
      <c r="L332" s="48"/>
      <c r="M332" s="48"/>
      <c r="N332" s="48"/>
      <c r="O332" s="48"/>
      <c r="P332" s="51"/>
      <c r="Q332" s="51"/>
    </row>
    <row r="333" spans="1:17" ht="30" customHeight="1" x14ac:dyDescent="0.45">
      <c r="A333" s="49">
        <v>6</v>
      </c>
      <c r="B333" s="144" t="str">
        <f>IF(OR(VLOOKUP(Table1313236[[#This Row],[Ln'#]],Advanced!A$65:AU$114,7,FALSE)="E",VLOOKUP(Table1313236[[#This Row],[Ln'#]],Advanced!A$65:AU$114,7,FALSE)="FEO"),"x","")</f>
        <v/>
      </c>
      <c r="C333" s="144" t="str">
        <f>IF(OR(VLOOKUP(Table1313236[[#This Row],[Ln'#]],Advanced!A$65:AU$114,15,FALSE)="E",VLOOKUP(Table1313236[[#This Row],[Ln'#]],Advanced!A$65:AU$114,15,FALSE)="FEO"),"x","")</f>
        <v/>
      </c>
      <c r="D333" s="48"/>
      <c r="E333" s="48"/>
      <c r="F333" s="48" t="str">
        <f>IF(AND(Table1313236[[#This Row],[Status Container]]="",Table1313236[[#This Row],[Status Interior]]=""),"",VLOOKUP(Table1313236[[#This Row],[Ln'#]],Advanced!$A$65:$AU$114,3,FALSE))</f>
        <v/>
      </c>
      <c r="G333" s="51" t="str">
        <f>IF(Table1313236[[#This Row],[Dog ID]]="","",(VLOOKUP(Table1313236[[#This Row],[Dog ID]],Advanced!C$65:$D$114,2,FALSE)&amp;" - " &amp;VLOOKUP(Table1313236[[#This Row],[Dog ID]],'SDDA Dogs'!A:C,3,FALSE)))</f>
        <v/>
      </c>
      <c r="H333" s="51" t="str">
        <f>IF(Table1313236[[#This Row],[Dog ID]]="","",(VLOOKUP(Table1313236[[#This Row],[Dog ID]],Advanced!C$65:$AU119,45,FALSE)))</f>
        <v/>
      </c>
      <c r="L333" s="48"/>
      <c r="M333" s="48"/>
      <c r="N333" s="48"/>
      <c r="O333" s="48"/>
      <c r="P333" s="51"/>
      <c r="Q333" s="51"/>
    </row>
    <row r="334" spans="1:17" ht="30" customHeight="1" x14ac:dyDescent="0.45">
      <c r="A334" s="49">
        <v>7</v>
      </c>
      <c r="B334" s="144" t="str">
        <f>IF(OR(VLOOKUP(Table1313236[[#This Row],[Ln'#]],Advanced!A$65:AU$114,7,FALSE)="E",VLOOKUP(Table1313236[[#This Row],[Ln'#]],Advanced!A$65:AU$114,7,FALSE)="FEO"),"x","")</f>
        <v/>
      </c>
      <c r="C334" s="144" t="str">
        <f>IF(OR(VLOOKUP(Table1313236[[#This Row],[Ln'#]],Advanced!A$65:AU$114,15,FALSE)="E",VLOOKUP(Table1313236[[#This Row],[Ln'#]],Advanced!A$65:AU$114,15,FALSE)="FEO"),"x","")</f>
        <v/>
      </c>
      <c r="D334" s="48"/>
      <c r="E334" s="48"/>
      <c r="F334" s="48" t="str">
        <f>IF(AND(Table1313236[[#This Row],[Status Container]]="",Table1313236[[#This Row],[Status Interior]]=""),"",VLOOKUP(Table1313236[[#This Row],[Ln'#]],Advanced!$A$65:$AU$114,3,FALSE))</f>
        <v/>
      </c>
      <c r="G334" s="51" t="str">
        <f>IF(Table1313236[[#This Row],[Dog ID]]="","",(VLOOKUP(Table1313236[[#This Row],[Dog ID]],Advanced!C$65:$D$114,2,FALSE)&amp;" - " &amp;VLOOKUP(Table1313236[[#This Row],[Dog ID]],'SDDA Dogs'!A:C,3,FALSE)))</f>
        <v/>
      </c>
      <c r="H334" s="51" t="str">
        <f>IF(Table1313236[[#This Row],[Dog ID]]="","",(VLOOKUP(Table1313236[[#This Row],[Dog ID]],Advanced!C$65:$AU120,45,FALSE)))</f>
        <v/>
      </c>
      <c r="L334" s="48"/>
      <c r="M334" s="48"/>
      <c r="N334" s="48"/>
      <c r="O334" s="48"/>
      <c r="P334" s="51"/>
      <c r="Q334" s="51"/>
    </row>
    <row r="335" spans="1:17" ht="30" customHeight="1" x14ac:dyDescent="0.45">
      <c r="A335" s="49">
        <v>8</v>
      </c>
      <c r="B335" s="144" t="str">
        <f>IF(OR(VLOOKUP(Table1313236[[#This Row],[Ln'#]],Advanced!A$65:AU$114,7,FALSE)="E",VLOOKUP(Table1313236[[#This Row],[Ln'#]],Advanced!A$65:AU$114,7,FALSE)="FEO"),"x","")</f>
        <v/>
      </c>
      <c r="C335" s="144" t="str">
        <f>IF(OR(VLOOKUP(Table1313236[[#This Row],[Ln'#]],Advanced!A$65:AU$114,15,FALSE)="E",VLOOKUP(Table1313236[[#This Row],[Ln'#]],Advanced!A$65:AU$114,15,FALSE)="FEO"),"x","")</f>
        <v/>
      </c>
      <c r="D335" s="48"/>
      <c r="E335" s="48"/>
      <c r="F335" s="48" t="str">
        <f>IF(AND(Table1313236[[#This Row],[Status Container]]="",Table1313236[[#This Row],[Status Interior]]=""),"",VLOOKUP(Table1313236[[#This Row],[Ln'#]],Advanced!$A$65:$AU$114,3,FALSE))</f>
        <v/>
      </c>
      <c r="G335" s="51" t="str">
        <f>IF(Table1313236[[#This Row],[Dog ID]]="","",(VLOOKUP(Table1313236[[#This Row],[Dog ID]],Advanced!C$65:$D$114,2,FALSE)&amp;" - " &amp;VLOOKUP(Table1313236[[#This Row],[Dog ID]],'SDDA Dogs'!A:C,3,FALSE)))</f>
        <v/>
      </c>
      <c r="H335" s="51" t="str">
        <f>IF(Table1313236[[#This Row],[Dog ID]]="","",(VLOOKUP(Table1313236[[#This Row],[Dog ID]],Advanced!C$65:$AU121,45,FALSE)))</f>
        <v/>
      </c>
      <c r="L335" s="48"/>
      <c r="M335" s="48"/>
      <c r="N335" s="48"/>
      <c r="O335" s="48"/>
      <c r="P335" s="51"/>
      <c r="Q335" s="51"/>
    </row>
    <row r="336" spans="1:17" ht="30" customHeight="1" x14ac:dyDescent="0.45">
      <c r="A336" s="49">
        <v>9</v>
      </c>
      <c r="B336" s="144" t="str">
        <f>IF(OR(VLOOKUP(Table1313236[[#This Row],[Ln'#]],Advanced!A$65:AU$114,7,FALSE)="E",VLOOKUP(Table1313236[[#This Row],[Ln'#]],Advanced!A$65:AU$114,7,FALSE)="FEO"),"x","")</f>
        <v/>
      </c>
      <c r="C336" s="144" t="str">
        <f>IF(OR(VLOOKUP(Table1313236[[#This Row],[Ln'#]],Advanced!A$65:AU$114,15,FALSE)="E",VLOOKUP(Table1313236[[#This Row],[Ln'#]],Advanced!A$65:AU$114,15,FALSE)="FEO"),"x","")</f>
        <v/>
      </c>
      <c r="D336" s="48"/>
      <c r="E336" s="48"/>
      <c r="F336" s="48" t="str">
        <f>IF(AND(Table1313236[[#This Row],[Status Container]]="",Table1313236[[#This Row],[Status Interior]]=""),"",VLOOKUP(Table1313236[[#This Row],[Ln'#]],Advanced!$A$65:$AU$114,3,FALSE))</f>
        <v/>
      </c>
      <c r="G336" s="51" t="str">
        <f>IF(Table1313236[[#This Row],[Dog ID]]="","",(VLOOKUP(Table1313236[[#This Row],[Dog ID]],Advanced!C$65:$D$114,2,FALSE)&amp;" - " &amp;VLOOKUP(Table1313236[[#This Row],[Dog ID]],'SDDA Dogs'!A:C,3,FALSE)))</f>
        <v/>
      </c>
      <c r="H336" s="51" t="str">
        <f>IF(Table1313236[[#This Row],[Dog ID]]="","",(VLOOKUP(Table1313236[[#This Row],[Dog ID]],Advanced!C$65:$AU122,45,FALSE)))</f>
        <v/>
      </c>
      <c r="L336" s="48"/>
      <c r="M336" s="48"/>
      <c r="N336" s="48"/>
      <c r="O336" s="48"/>
      <c r="P336" s="51"/>
      <c r="Q336" s="51"/>
    </row>
    <row r="337" spans="1:17" ht="30" customHeight="1" x14ac:dyDescent="0.45">
      <c r="A337" s="49">
        <v>10</v>
      </c>
      <c r="B337" s="144" t="str">
        <f>IF(OR(VLOOKUP(Table1313236[[#This Row],[Ln'#]],Advanced!A$65:AU$114,7,FALSE)="E",VLOOKUP(Table1313236[[#This Row],[Ln'#]],Advanced!A$65:AU$114,7,FALSE)="FEO"),"x","")</f>
        <v/>
      </c>
      <c r="C337" s="144" t="str">
        <f>IF(OR(VLOOKUP(Table1313236[[#This Row],[Ln'#]],Advanced!A$65:AU$114,15,FALSE)="E",VLOOKUP(Table1313236[[#This Row],[Ln'#]],Advanced!A$65:AU$114,15,FALSE)="FEO"),"x","")</f>
        <v/>
      </c>
      <c r="D337" s="48"/>
      <c r="E337" s="48"/>
      <c r="F337" s="48" t="str">
        <f>IF(AND(Table1313236[[#This Row],[Status Container]]="",Table1313236[[#This Row],[Status Interior]]=""),"",VLOOKUP(Table1313236[[#This Row],[Ln'#]],Advanced!$A$65:$AU$114,3,FALSE))</f>
        <v/>
      </c>
      <c r="G337" s="51" t="str">
        <f>IF(Table1313236[[#This Row],[Dog ID]]="","",(VLOOKUP(Table1313236[[#This Row],[Dog ID]],Advanced!C$65:$D$114,2,FALSE)&amp;" - " &amp;VLOOKUP(Table1313236[[#This Row],[Dog ID]],'SDDA Dogs'!A:C,3,FALSE)))</f>
        <v/>
      </c>
      <c r="H337" s="51" t="str">
        <f>IF(Table1313236[[#This Row],[Dog ID]]="","",(VLOOKUP(Table1313236[[#This Row],[Dog ID]],Advanced!C$65:$AU123,45,FALSE)))</f>
        <v/>
      </c>
      <c r="L337" s="48"/>
      <c r="M337" s="48"/>
      <c r="N337" s="48"/>
      <c r="O337" s="48"/>
      <c r="P337" s="51"/>
      <c r="Q337" s="51"/>
    </row>
    <row r="338" spans="1:17" ht="30" customHeight="1" x14ac:dyDescent="0.45">
      <c r="A338" s="49">
        <v>11</v>
      </c>
      <c r="B338" s="144" t="str">
        <f>IF(OR(VLOOKUP(Table1313236[[#This Row],[Ln'#]],Advanced!A$65:AU$114,7,FALSE)="E",VLOOKUP(Table1313236[[#This Row],[Ln'#]],Advanced!A$65:AU$114,7,FALSE)="FEO"),"x","")</f>
        <v/>
      </c>
      <c r="C338" s="144" t="str">
        <f>IF(OR(VLOOKUP(Table1313236[[#This Row],[Ln'#]],Advanced!A$65:AU$114,15,FALSE)="E",VLOOKUP(Table1313236[[#This Row],[Ln'#]],Advanced!A$65:AU$114,15,FALSE)="FEO"),"x","")</f>
        <v/>
      </c>
      <c r="D338" s="48"/>
      <c r="E338" s="48"/>
      <c r="F338" s="48" t="str">
        <f>IF(AND(Table1313236[[#This Row],[Status Container]]="",Table1313236[[#This Row],[Status Interior]]=""),"",VLOOKUP(Table1313236[[#This Row],[Ln'#]],Advanced!$A$65:$AU$114,3,FALSE))</f>
        <v/>
      </c>
      <c r="G338" s="51" t="str">
        <f>IF(Table1313236[[#This Row],[Dog ID]]="","",(VLOOKUP(Table1313236[[#This Row],[Dog ID]],Advanced!C$65:$D$114,2,FALSE)&amp;" - " &amp;VLOOKUP(Table1313236[[#This Row],[Dog ID]],'SDDA Dogs'!A:C,3,FALSE)))</f>
        <v/>
      </c>
      <c r="H338" s="51" t="str">
        <f>IF(Table1313236[[#This Row],[Dog ID]]="","",(VLOOKUP(Table1313236[[#This Row],[Dog ID]],Advanced!C$65:$AU124,45,FALSE)))</f>
        <v/>
      </c>
      <c r="L338" s="48"/>
      <c r="M338" s="48"/>
      <c r="N338" s="48"/>
      <c r="O338" s="48"/>
      <c r="P338" s="51"/>
      <c r="Q338" s="51"/>
    </row>
    <row r="339" spans="1:17" ht="30" customHeight="1" x14ac:dyDescent="0.45">
      <c r="A339" s="49">
        <v>12</v>
      </c>
      <c r="B339" s="144" t="str">
        <f>IF(OR(VLOOKUP(Table1313236[[#This Row],[Ln'#]],Advanced!A$65:AU$114,7,FALSE)="E",VLOOKUP(Table1313236[[#This Row],[Ln'#]],Advanced!A$65:AU$114,7,FALSE)="FEO"),"x","")</f>
        <v/>
      </c>
      <c r="C339" s="144" t="str">
        <f>IF(OR(VLOOKUP(Table1313236[[#This Row],[Ln'#]],Advanced!A$65:AU$114,15,FALSE)="E",VLOOKUP(Table1313236[[#This Row],[Ln'#]],Advanced!A$65:AU$114,15,FALSE)="FEO"),"x","")</f>
        <v/>
      </c>
      <c r="D339" s="48"/>
      <c r="E339" s="48"/>
      <c r="F339" s="48" t="str">
        <f>IF(AND(Table1313236[[#This Row],[Status Container]]="",Table1313236[[#This Row],[Status Interior]]=""),"",VLOOKUP(Table1313236[[#This Row],[Ln'#]],Advanced!$A$65:$AU$114,3,FALSE))</f>
        <v/>
      </c>
      <c r="G339" s="51" t="str">
        <f>IF(Table1313236[[#This Row],[Dog ID]]="","",(VLOOKUP(Table1313236[[#This Row],[Dog ID]],Advanced!C$65:$D$114,2,FALSE)&amp;" - " &amp;VLOOKUP(Table1313236[[#This Row],[Dog ID]],'SDDA Dogs'!A:C,3,FALSE)))</f>
        <v/>
      </c>
      <c r="H339" s="51" t="str">
        <f>IF(Table1313236[[#This Row],[Dog ID]]="","",(VLOOKUP(Table1313236[[#This Row],[Dog ID]],Advanced!C$65:$AU125,45,FALSE)))</f>
        <v/>
      </c>
      <c r="L339" s="48"/>
      <c r="M339" s="48"/>
      <c r="N339" s="48"/>
      <c r="O339" s="48"/>
      <c r="P339" s="51"/>
      <c r="Q339" s="51"/>
    </row>
    <row r="340" spans="1:17" ht="30" customHeight="1" x14ac:dyDescent="0.45">
      <c r="A340" s="49">
        <v>13</v>
      </c>
      <c r="B340" s="144" t="str">
        <f>IF(OR(VLOOKUP(Table1313236[[#This Row],[Ln'#]],Advanced!A$65:AU$114,7,FALSE)="E",VLOOKUP(Table1313236[[#This Row],[Ln'#]],Advanced!A$65:AU$114,7,FALSE)="FEO"),"x","")</f>
        <v/>
      </c>
      <c r="C340" s="144" t="str">
        <f>IF(OR(VLOOKUP(Table1313236[[#This Row],[Ln'#]],Advanced!A$65:AU$114,15,FALSE)="E",VLOOKUP(Table1313236[[#This Row],[Ln'#]],Advanced!A$65:AU$114,15,FALSE)="FEO"),"x","")</f>
        <v/>
      </c>
      <c r="D340" s="48"/>
      <c r="E340" s="48"/>
      <c r="F340" s="48" t="str">
        <f>IF(AND(Table1313236[[#This Row],[Status Container]]="",Table1313236[[#This Row],[Status Interior]]=""),"",VLOOKUP(Table1313236[[#This Row],[Ln'#]],Advanced!$A$65:$AU$114,3,FALSE))</f>
        <v/>
      </c>
      <c r="G340" s="51" t="str">
        <f>IF(Table1313236[[#This Row],[Dog ID]]="","",(VLOOKUP(Table1313236[[#This Row],[Dog ID]],Advanced!C$65:$D$114,2,FALSE)&amp;" - " &amp;VLOOKUP(Table1313236[[#This Row],[Dog ID]],'SDDA Dogs'!A:C,3,FALSE)))</f>
        <v/>
      </c>
      <c r="H340" s="51" t="str">
        <f>IF(Table1313236[[#This Row],[Dog ID]]="","",(VLOOKUP(Table1313236[[#This Row],[Dog ID]],Advanced!C$65:$AU126,45,FALSE)))</f>
        <v/>
      </c>
      <c r="L340" s="48"/>
      <c r="M340" s="48"/>
      <c r="N340" s="48"/>
      <c r="O340" s="48"/>
      <c r="P340" s="51"/>
      <c r="Q340" s="51"/>
    </row>
    <row r="341" spans="1:17" ht="30" customHeight="1" x14ac:dyDescent="0.45">
      <c r="A341" s="49">
        <v>14</v>
      </c>
      <c r="B341" s="144" t="str">
        <f>IF(OR(VLOOKUP(Table1313236[[#This Row],[Ln'#]],Advanced!A$65:AU$114,7,FALSE)="E",VLOOKUP(Table1313236[[#This Row],[Ln'#]],Advanced!A$65:AU$114,7,FALSE)="FEO"),"x","")</f>
        <v/>
      </c>
      <c r="C341" s="144" t="str">
        <f>IF(OR(VLOOKUP(Table1313236[[#This Row],[Ln'#]],Advanced!A$65:AU$114,15,FALSE)="E",VLOOKUP(Table1313236[[#This Row],[Ln'#]],Advanced!A$65:AU$114,15,FALSE)="FEO"),"x","")</f>
        <v/>
      </c>
      <c r="D341" s="48"/>
      <c r="E341" s="48"/>
      <c r="F341" s="48" t="str">
        <f>IF(AND(Table1313236[[#This Row],[Status Container]]="",Table1313236[[#This Row],[Status Interior]]=""),"",VLOOKUP(Table1313236[[#This Row],[Ln'#]],Advanced!$A$65:$AU$114,3,FALSE))</f>
        <v/>
      </c>
      <c r="G341" s="51" t="str">
        <f>IF(Table1313236[[#This Row],[Dog ID]]="","",(VLOOKUP(Table1313236[[#This Row],[Dog ID]],Advanced!C$65:$D$114,2,FALSE)&amp;" - " &amp;VLOOKUP(Table1313236[[#This Row],[Dog ID]],'SDDA Dogs'!A:C,3,FALSE)))</f>
        <v/>
      </c>
      <c r="H341" s="51" t="str">
        <f>IF(Table1313236[[#This Row],[Dog ID]]="","",(VLOOKUP(Table1313236[[#This Row],[Dog ID]],Advanced!C$65:$AU127,45,FALSE)))</f>
        <v/>
      </c>
      <c r="L341" s="48"/>
      <c r="M341" s="48"/>
      <c r="N341" s="48"/>
      <c r="O341" s="48"/>
      <c r="P341" s="51"/>
      <c r="Q341" s="51"/>
    </row>
    <row r="342" spans="1:17" ht="30" customHeight="1" x14ac:dyDescent="0.45">
      <c r="A342" s="49">
        <v>15</v>
      </c>
      <c r="B342" s="144" t="str">
        <f>IF(OR(VLOOKUP(Table1313236[[#This Row],[Ln'#]],Advanced!A$65:AU$114,7,FALSE)="E",VLOOKUP(Table1313236[[#This Row],[Ln'#]],Advanced!A$65:AU$114,7,FALSE)="FEO"),"x","")</f>
        <v/>
      </c>
      <c r="C342" s="144" t="str">
        <f>IF(OR(VLOOKUP(Table1313236[[#This Row],[Ln'#]],Advanced!A$65:AU$114,15,FALSE)="E",VLOOKUP(Table1313236[[#This Row],[Ln'#]],Advanced!A$65:AU$114,15,FALSE)="FEO"),"x","")</f>
        <v/>
      </c>
      <c r="D342" s="48"/>
      <c r="E342" s="48"/>
      <c r="F342" s="48" t="str">
        <f>IF(AND(Table1313236[[#This Row],[Status Container]]="",Table1313236[[#This Row],[Status Interior]]=""),"",VLOOKUP(Table1313236[[#This Row],[Ln'#]],Advanced!$A$65:$AU$114,3,FALSE))</f>
        <v/>
      </c>
      <c r="G342" s="51" t="str">
        <f>IF(Table1313236[[#This Row],[Dog ID]]="","",(VLOOKUP(Table1313236[[#This Row],[Dog ID]],Advanced!C$65:$D$114,2,FALSE)&amp;" - " &amp;VLOOKUP(Table1313236[[#This Row],[Dog ID]],'SDDA Dogs'!A:C,3,FALSE)))</f>
        <v/>
      </c>
      <c r="H342" s="51" t="str">
        <f>IF(Table1313236[[#This Row],[Dog ID]]="","",(VLOOKUP(Table1313236[[#This Row],[Dog ID]],Advanced!C$65:$AU128,45,FALSE)))</f>
        <v/>
      </c>
      <c r="L342" s="48"/>
      <c r="M342" s="48"/>
      <c r="N342" s="48"/>
      <c r="O342" s="48"/>
      <c r="P342" s="51"/>
      <c r="Q342" s="51"/>
    </row>
    <row r="343" spans="1:17" ht="30" customHeight="1" x14ac:dyDescent="0.45">
      <c r="A343" s="49">
        <v>16</v>
      </c>
      <c r="B343" s="144" t="str">
        <f>IF(OR(VLOOKUP(Table1313236[[#This Row],[Ln'#]],Advanced!A$65:AU$114,7,FALSE)="E",VLOOKUP(Table1313236[[#This Row],[Ln'#]],Advanced!A$65:AU$114,7,FALSE)="FEO"),"x","")</f>
        <v/>
      </c>
      <c r="C343" s="144" t="str">
        <f>IF(OR(VLOOKUP(Table1313236[[#This Row],[Ln'#]],Advanced!A$65:AU$114,15,FALSE)="E",VLOOKUP(Table1313236[[#This Row],[Ln'#]],Advanced!A$65:AU$114,15,FALSE)="FEO"),"x","")</f>
        <v/>
      </c>
      <c r="D343" s="48"/>
      <c r="E343" s="48"/>
      <c r="F343" s="48" t="str">
        <f>IF(AND(Table1313236[[#This Row],[Status Container]]="",Table1313236[[#This Row],[Status Interior]]=""),"",VLOOKUP(Table1313236[[#This Row],[Ln'#]],Advanced!$A$65:$AU$114,3,FALSE))</f>
        <v/>
      </c>
      <c r="G343" s="51" t="str">
        <f>IF(Table1313236[[#This Row],[Dog ID]]="","",(VLOOKUP(Table1313236[[#This Row],[Dog ID]],Advanced!C$65:$D$114,2,FALSE)&amp;" - " &amp;VLOOKUP(Table1313236[[#This Row],[Dog ID]],'SDDA Dogs'!A:C,3,FALSE)))</f>
        <v/>
      </c>
      <c r="H343" s="51" t="str">
        <f>IF(Table1313236[[#This Row],[Dog ID]]="","",(VLOOKUP(Table1313236[[#This Row],[Dog ID]],Advanced!C$65:$AU129,45,FALSE)))</f>
        <v/>
      </c>
      <c r="L343" s="48"/>
      <c r="M343" s="48"/>
      <c r="N343" s="48"/>
      <c r="O343" s="48"/>
      <c r="P343" s="51"/>
      <c r="Q343" s="51"/>
    </row>
    <row r="344" spans="1:17" ht="30" customHeight="1" x14ac:dyDescent="0.45">
      <c r="A344" s="49">
        <v>17</v>
      </c>
      <c r="B344" s="144" t="str">
        <f>IF(OR(VLOOKUP(Table1313236[[#This Row],[Ln'#]],Advanced!A$65:AU$114,7,FALSE)="E",VLOOKUP(Table1313236[[#This Row],[Ln'#]],Advanced!A$65:AU$114,7,FALSE)="FEO"),"x","")</f>
        <v/>
      </c>
      <c r="C344" s="144" t="str">
        <f>IF(OR(VLOOKUP(Table1313236[[#This Row],[Ln'#]],Advanced!A$65:AU$114,15,FALSE)="E",VLOOKUP(Table1313236[[#This Row],[Ln'#]],Advanced!A$65:AU$114,15,FALSE)="FEO"),"x","")</f>
        <v/>
      </c>
      <c r="D344" s="48"/>
      <c r="E344" s="48"/>
      <c r="F344" s="48" t="str">
        <f>IF(AND(Table1313236[[#This Row],[Status Container]]="",Table1313236[[#This Row],[Status Interior]]=""),"",VLOOKUP(Table1313236[[#This Row],[Ln'#]],Advanced!$A$65:$AU$114,3,FALSE))</f>
        <v/>
      </c>
      <c r="G344" s="51" t="str">
        <f>IF(Table1313236[[#This Row],[Dog ID]]="","",(VLOOKUP(Table1313236[[#This Row],[Dog ID]],Advanced!C$65:$D$114,2,FALSE)&amp;" - " &amp;VLOOKUP(Table1313236[[#This Row],[Dog ID]],'SDDA Dogs'!A:C,3,FALSE)))</f>
        <v/>
      </c>
      <c r="H344" s="51" t="str">
        <f>IF(Table1313236[[#This Row],[Dog ID]]="","",(VLOOKUP(Table1313236[[#This Row],[Dog ID]],Advanced!C$65:$AU130,45,FALSE)))</f>
        <v/>
      </c>
      <c r="L344" s="48"/>
      <c r="M344" s="48"/>
      <c r="N344" s="48"/>
      <c r="O344" s="48"/>
      <c r="P344" s="51"/>
      <c r="Q344" s="51"/>
    </row>
    <row r="345" spans="1:17" ht="30" customHeight="1" x14ac:dyDescent="0.45">
      <c r="A345" s="49">
        <v>18</v>
      </c>
      <c r="B345" s="144" t="str">
        <f>IF(OR(VLOOKUP(Table1313236[[#This Row],[Ln'#]],Advanced!A$65:AU$114,7,FALSE)="E",VLOOKUP(Table1313236[[#This Row],[Ln'#]],Advanced!A$65:AU$114,7,FALSE)="FEO"),"x","")</f>
        <v/>
      </c>
      <c r="C345" s="144" t="str">
        <f>IF(OR(VLOOKUP(Table1313236[[#This Row],[Ln'#]],Advanced!A$65:AU$114,15,FALSE)="E",VLOOKUP(Table1313236[[#This Row],[Ln'#]],Advanced!A$65:AU$114,15,FALSE)="FEO"),"x","")</f>
        <v/>
      </c>
      <c r="D345" s="48"/>
      <c r="E345" s="48"/>
      <c r="F345" s="48" t="str">
        <f>IF(AND(Table1313236[[#This Row],[Status Container]]="",Table1313236[[#This Row],[Status Interior]]=""),"",VLOOKUP(Table1313236[[#This Row],[Ln'#]],Advanced!$A$65:$AU$114,3,FALSE))</f>
        <v/>
      </c>
      <c r="G345" s="51" t="str">
        <f>IF(Table1313236[[#This Row],[Dog ID]]="","",(VLOOKUP(Table1313236[[#This Row],[Dog ID]],Advanced!C$65:$D$114,2,FALSE)&amp;" - " &amp;VLOOKUP(Table1313236[[#This Row],[Dog ID]],'SDDA Dogs'!A:C,3,FALSE)))</f>
        <v/>
      </c>
      <c r="H345" s="51" t="str">
        <f>IF(Table1313236[[#This Row],[Dog ID]]="","",(VLOOKUP(Table1313236[[#This Row],[Dog ID]],Advanced!C$65:$AU131,45,FALSE)))</f>
        <v/>
      </c>
      <c r="L345" s="48"/>
      <c r="M345" s="48"/>
      <c r="N345" s="48"/>
      <c r="O345" s="48"/>
      <c r="P345" s="51"/>
      <c r="Q345" s="51"/>
    </row>
    <row r="346" spans="1:17" ht="30" customHeight="1" x14ac:dyDescent="0.45">
      <c r="A346" s="49">
        <v>19</v>
      </c>
      <c r="B346" s="144" t="str">
        <f>IF(OR(VLOOKUP(Table1313236[[#This Row],[Ln'#]],Advanced!A$65:AU$114,7,FALSE)="E",VLOOKUP(Table1313236[[#This Row],[Ln'#]],Advanced!A$65:AU$114,7,FALSE)="FEO"),"x","")</f>
        <v/>
      </c>
      <c r="C346" s="144" t="str">
        <f>IF(OR(VLOOKUP(Table1313236[[#This Row],[Ln'#]],Advanced!A$65:AU$114,15,FALSE)="E",VLOOKUP(Table1313236[[#This Row],[Ln'#]],Advanced!A$65:AU$114,15,FALSE)="FEO"),"x","")</f>
        <v/>
      </c>
      <c r="D346" s="48"/>
      <c r="E346" s="48"/>
      <c r="F346" s="48" t="str">
        <f>IF(AND(Table1313236[[#This Row],[Status Container]]="",Table1313236[[#This Row],[Status Interior]]=""),"",VLOOKUP(Table1313236[[#This Row],[Ln'#]],Advanced!$A$65:$AU$114,3,FALSE))</f>
        <v/>
      </c>
      <c r="G346" s="51" t="str">
        <f>IF(Table1313236[[#This Row],[Dog ID]]="","",(VLOOKUP(Table1313236[[#This Row],[Dog ID]],Advanced!C$65:$D$114,2,FALSE)&amp;" - " &amp;VLOOKUP(Table1313236[[#This Row],[Dog ID]],'SDDA Dogs'!A:C,3,FALSE)))</f>
        <v/>
      </c>
      <c r="H346" s="51" t="str">
        <f>IF(Table1313236[[#This Row],[Dog ID]]="","",(VLOOKUP(Table1313236[[#This Row],[Dog ID]],Advanced!C$65:$AU132,45,FALSE)))</f>
        <v/>
      </c>
      <c r="L346" s="48"/>
      <c r="M346" s="48"/>
      <c r="N346" s="48"/>
      <c r="O346" s="48"/>
      <c r="P346" s="51"/>
      <c r="Q346" s="51"/>
    </row>
    <row r="347" spans="1:17" ht="30" customHeight="1" x14ac:dyDescent="0.45">
      <c r="A347" s="49">
        <v>20</v>
      </c>
      <c r="B347" s="144" t="str">
        <f>IF(OR(VLOOKUP(Table1313236[[#This Row],[Ln'#]],Advanced!A$65:AU$114,7,FALSE)="E",VLOOKUP(Table1313236[[#This Row],[Ln'#]],Advanced!A$65:AU$114,7,FALSE)="FEO"),"x","")</f>
        <v/>
      </c>
      <c r="C347" s="144" t="str">
        <f>IF(OR(VLOOKUP(Table1313236[[#This Row],[Ln'#]],Advanced!A$65:AU$114,15,FALSE)="E",VLOOKUP(Table1313236[[#This Row],[Ln'#]],Advanced!A$65:AU$114,15,FALSE)="FEO"),"x","")</f>
        <v/>
      </c>
      <c r="D347" s="48"/>
      <c r="E347" s="48"/>
      <c r="F347" s="48" t="str">
        <f>IF(AND(Table1313236[[#This Row],[Status Container]]="",Table1313236[[#This Row],[Status Interior]]=""),"",VLOOKUP(Table1313236[[#This Row],[Ln'#]],Advanced!$A$65:$AU$114,3,FALSE))</f>
        <v/>
      </c>
      <c r="G347" s="51" t="str">
        <f>IF(Table1313236[[#This Row],[Dog ID]]="","",(VLOOKUP(Table1313236[[#This Row],[Dog ID]],Advanced!C$65:$D$114,2,FALSE)&amp;" - " &amp;VLOOKUP(Table1313236[[#This Row],[Dog ID]],'SDDA Dogs'!A:C,3,FALSE)))</f>
        <v/>
      </c>
      <c r="H347" s="51" t="str">
        <f>IF(Table1313236[[#This Row],[Dog ID]]="","",(VLOOKUP(Table1313236[[#This Row],[Dog ID]],Advanced!C$65:$AU133,45,FALSE)))</f>
        <v/>
      </c>
      <c r="L347" s="48"/>
      <c r="M347" s="48"/>
      <c r="N347" s="48"/>
      <c r="O347" s="48"/>
      <c r="P347" s="51"/>
      <c r="Q347" s="51"/>
    </row>
    <row r="348" spans="1:17" ht="30" customHeight="1" x14ac:dyDescent="0.45">
      <c r="A348" s="49">
        <v>21</v>
      </c>
      <c r="B348" s="144" t="str">
        <f>IF(OR(VLOOKUP(Table1313236[[#This Row],[Ln'#]],Advanced!A$65:AU$114,7,FALSE)="E",VLOOKUP(Table1313236[[#This Row],[Ln'#]],Advanced!A$65:AU$114,7,FALSE)="FEO"),"x","")</f>
        <v/>
      </c>
      <c r="C348" s="144" t="str">
        <f>IF(OR(VLOOKUP(Table1313236[[#This Row],[Ln'#]],Advanced!A$65:AU$114,15,FALSE)="E",VLOOKUP(Table1313236[[#This Row],[Ln'#]],Advanced!A$65:AU$114,15,FALSE)="FEO"),"x","")</f>
        <v/>
      </c>
      <c r="D348" s="48"/>
      <c r="E348" s="48"/>
      <c r="F348" s="48" t="str">
        <f>IF(AND(Table1313236[[#This Row],[Status Container]]="",Table1313236[[#This Row],[Status Interior]]=""),"",VLOOKUP(Table1313236[[#This Row],[Ln'#]],Advanced!$A$65:$AU$114,3,FALSE))</f>
        <v/>
      </c>
      <c r="G348" s="51" t="str">
        <f>IF(Table1313236[[#This Row],[Dog ID]]="","",(VLOOKUP(Table1313236[[#This Row],[Dog ID]],Advanced!C$65:$D$114,2,FALSE)&amp;" - " &amp;VLOOKUP(Table1313236[[#This Row],[Dog ID]],'SDDA Dogs'!A:C,3,FALSE)))</f>
        <v/>
      </c>
      <c r="H348" s="51" t="str">
        <f>IF(Table1313236[[#This Row],[Dog ID]]="","",(VLOOKUP(Table1313236[[#This Row],[Dog ID]],Advanced!C$65:$AU134,45,FALSE)))</f>
        <v/>
      </c>
      <c r="L348" s="48"/>
      <c r="M348" s="48"/>
      <c r="N348" s="48"/>
      <c r="O348" s="48"/>
      <c r="P348" s="51"/>
      <c r="Q348" s="51"/>
    </row>
    <row r="349" spans="1:17" ht="30" customHeight="1" x14ac:dyDescent="0.45">
      <c r="A349" s="49">
        <v>22</v>
      </c>
      <c r="B349" s="144" t="str">
        <f>IF(OR(VLOOKUP(Table1313236[[#This Row],[Ln'#]],Advanced!A$65:AU$114,7,FALSE)="E",VLOOKUP(Table1313236[[#This Row],[Ln'#]],Advanced!A$65:AU$114,7,FALSE)="FEO"),"x","")</f>
        <v/>
      </c>
      <c r="C349" s="144" t="str">
        <f>IF(OR(VLOOKUP(Table1313236[[#This Row],[Ln'#]],Advanced!A$65:AU$114,15,FALSE)="E",VLOOKUP(Table1313236[[#This Row],[Ln'#]],Advanced!A$65:AU$114,15,FALSE)="FEO"),"x","")</f>
        <v/>
      </c>
      <c r="D349" s="48"/>
      <c r="E349" s="48"/>
      <c r="F349" s="48" t="str">
        <f>IF(AND(Table1313236[[#This Row],[Status Container]]="",Table1313236[[#This Row],[Status Interior]]=""),"",VLOOKUP(Table1313236[[#This Row],[Ln'#]],Advanced!$A$65:$AU$114,3,FALSE))</f>
        <v/>
      </c>
      <c r="G349" s="51" t="str">
        <f>IF(Table1313236[[#This Row],[Dog ID]]="","",(VLOOKUP(Table1313236[[#This Row],[Dog ID]],Advanced!C$65:$D$114,2,FALSE)&amp;" - " &amp;VLOOKUP(Table1313236[[#This Row],[Dog ID]],'SDDA Dogs'!A:C,3,FALSE)))</f>
        <v/>
      </c>
      <c r="H349" s="51" t="str">
        <f>IF(Table1313236[[#This Row],[Dog ID]]="","",(VLOOKUP(Table1313236[[#This Row],[Dog ID]],Advanced!C$65:$AU135,45,FALSE)))</f>
        <v/>
      </c>
      <c r="L349" s="48"/>
      <c r="M349" s="48"/>
      <c r="N349" s="48"/>
      <c r="O349" s="48"/>
      <c r="P349" s="51"/>
      <c r="Q349" s="51"/>
    </row>
    <row r="350" spans="1:17" ht="30" customHeight="1" x14ac:dyDescent="0.45">
      <c r="A350" s="49">
        <v>23</v>
      </c>
      <c r="B350" s="144" t="str">
        <f>IF(OR(VLOOKUP(Table1313236[[#This Row],[Ln'#]],Advanced!A$65:AU$114,7,FALSE)="E",VLOOKUP(Table1313236[[#This Row],[Ln'#]],Advanced!A$65:AU$114,7,FALSE)="FEO"),"x","")</f>
        <v/>
      </c>
      <c r="C350" s="144" t="str">
        <f>IF(OR(VLOOKUP(Table1313236[[#This Row],[Ln'#]],Advanced!A$65:AU$114,15,FALSE)="E",VLOOKUP(Table1313236[[#This Row],[Ln'#]],Advanced!A$65:AU$114,15,FALSE)="FEO"),"x","")</f>
        <v/>
      </c>
      <c r="D350" s="48"/>
      <c r="E350" s="48"/>
      <c r="F350" s="48" t="str">
        <f>IF(AND(Table1313236[[#This Row],[Status Container]]="",Table1313236[[#This Row],[Status Interior]]=""),"",VLOOKUP(Table1313236[[#This Row],[Ln'#]],Advanced!$A$65:$AU$114,3,FALSE))</f>
        <v/>
      </c>
      <c r="G350" s="51" t="str">
        <f>IF(Table1313236[[#This Row],[Dog ID]]="","",(VLOOKUP(Table1313236[[#This Row],[Dog ID]],Advanced!C$65:$D$114,2,FALSE)&amp;" - " &amp;VLOOKUP(Table1313236[[#This Row],[Dog ID]],'SDDA Dogs'!A:C,3,FALSE)))</f>
        <v/>
      </c>
      <c r="H350" s="51" t="str">
        <f>IF(Table1313236[[#This Row],[Dog ID]]="","",(VLOOKUP(Table1313236[[#This Row],[Dog ID]],Advanced!C$65:$AU136,45,FALSE)))</f>
        <v/>
      </c>
      <c r="L350" s="48"/>
      <c r="M350" s="48"/>
      <c r="N350" s="48"/>
      <c r="O350" s="48"/>
      <c r="P350" s="51"/>
      <c r="Q350" s="51"/>
    </row>
    <row r="351" spans="1:17" ht="30" customHeight="1" x14ac:dyDescent="0.45">
      <c r="A351" s="49">
        <v>24</v>
      </c>
      <c r="B351" s="144" t="str">
        <f>IF(OR(VLOOKUP(Table1313236[[#This Row],[Ln'#]],Advanced!A$65:AU$114,7,FALSE)="E",VLOOKUP(Table1313236[[#This Row],[Ln'#]],Advanced!A$65:AU$114,7,FALSE)="FEO"),"x","")</f>
        <v/>
      </c>
      <c r="C351" s="144" t="str">
        <f>IF(OR(VLOOKUP(Table1313236[[#This Row],[Ln'#]],Advanced!A$65:AU$114,15,FALSE)="E",VLOOKUP(Table1313236[[#This Row],[Ln'#]],Advanced!A$65:AU$114,15,FALSE)="FEO"),"x","")</f>
        <v/>
      </c>
      <c r="D351" s="48"/>
      <c r="E351" s="48"/>
      <c r="F351" s="48" t="str">
        <f>IF(AND(Table1313236[[#This Row],[Status Container]]="",Table1313236[[#This Row],[Status Interior]]=""),"",VLOOKUP(Table1313236[[#This Row],[Ln'#]],Advanced!$A$65:$AU$114,3,FALSE))</f>
        <v/>
      </c>
      <c r="G351" s="51" t="str">
        <f>IF(Table1313236[[#This Row],[Dog ID]]="","",(VLOOKUP(Table1313236[[#This Row],[Dog ID]],Advanced!C$65:$D$114,2,FALSE)&amp;" - " &amp;VLOOKUP(Table1313236[[#This Row],[Dog ID]],'SDDA Dogs'!A:C,3,FALSE)))</f>
        <v/>
      </c>
      <c r="H351" s="51" t="str">
        <f>IF(Table1313236[[#This Row],[Dog ID]]="","",(VLOOKUP(Table1313236[[#This Row],[Dog ID]],Advanced!C$65:$AU137,45,FALSE)))</f>
        <v/>
      </c>
      <c r="L351" s="48"/>
      <c r="M351" s="48"/>
      <c r="N351" s="48"/>
      <c r="O351" s="48"/>
      <c r="P351" s="51"/>
      <c r="Q351" s="51"/>
    </row>
    <row r="352" spans="1:17" ht="30" customHeight="1" x14ac:dyDescent="0.45">
      <c r="A352" s="49">
        <v>25</v>
      </c>
      <c r="B352" s="144" t="str">
        <f>IF(OR(VLOOKUP(Table1313236[[#This Row],[Ln'#]],Advanced!A$65:AU$114,7,FALSE)="E",VLOOKUP(Table1313236[[#This Row],[Ln'#]],Advanced!A$65:AU$114,7,FALSE)="FEO"),"x","")</f>
        <v/>
      </c>
      <c r="C352" s="144" t="str">
        <f>IF(OR(VLOOKUP(Table1313236[[#This Row],[Ln'#]],Advanced!A$65:AU$114,15,FALSE)="E",VLOOKUP(Table1313236[[#This Row],[Ln'#]],Advanced!A$65:AU$114,15,FALSE)="FEO"),"x","")</f>
        <v/>
      </c>
      <c r="D352" s="48"/>
      <c r="E352" s="48"/>
      <c r="F352" s="48" t="str">
        <f>IF(AND(Table1313236[[#This Row],[Status Container]]="",Table1313236[[#This Row],[Status Interior]]=""),"",VLOOKUP(Table1313236[[#This Row],[Ln'#]],Advanced!$A$65:$AU$114,3,FALSE))</f>
        <v/>
      </c>
      <c r="G352" s="51" t="str">
        <f>IF(Table1313236[[#This Row],[Dog ID]]="","",(VLOOKUP(Table1313236[[#This Row],[Dog ID]],Advanced!C$65:$D$114,2,FALSE)&amp;" - " &amp;VLOOKUP(Table1313236[[#This Row],[Dog ID]],'SDDA Dogs'!A:C,3,FALSE)))</f>
        <v/>
      </c>
      <c r="H352" s="51" t="str">
        <f>IF(Table1313236[[#This Row],[Dog ID]]="","",(VLOOKUP(Table1313236[[#This Row],[Dog ID]],Advanced!C$65:$AU138,45,FALSE)))</f>
        <v/>
      </c>
      <c r="L352" s="48"/>
      <c r="M352" s="48"/>
      <c r="N352" s="48"/>
      <c r="O352" s="48"/>
      <c r="P352" s="51"/>
      <c r="Q352" s="51"/>
    </row>
    <row r="353" spans="1:17" ht="30" customHeight="1" x14ac:dyDescent="0.45">
      <c r="A353" s="49">
        <v>26</v>
      </c>
      <c r="B353" s="144" t="str">
        <f>IF(OR(VLOOKUP(Table1313236[[#This Row],[Ln'#]],Advanced!A$65:AU$114,7,FALSE)="E",VLOOKUP(Table1313236[[#This Row],[Ln'#]],Advanced!A$65:AU$114,7,FALSE)="FEO"),"x","")</f>
        <v/>
      </c>
      <c r="C353" s="144" t="str">
        <f>IF(OR(VLOOKUP(Table1313236[[#This Row],[Ln'#]],Advanced!A$65:AU$114,15,FALSE)="E",VLOOKUP(Table1313236[[#This Row],[Ln'#]],Advanced!A$65:AU$114,15,FALSE)="FEO"),"x","")</f>
        <v/>
      </c>
      <c r="D353" s="48"/>
      <c r="E353" s="48"/>
      <c r="F353" s="48" t="str">
        <f>IF(AND(Table1313236[[#This Row],[Status Container]]="",Table1313236[[#This Row],[Status Interior]]=""),"",VLOOKUP(Table1313236[[#This Row],[Ln'#]],Advanced!$A$65:$AU$114,3,FALSE))</f>
        <v/>
      </c>
      <c r="G353" s="51" t="str">
        <f>IF(Table1313236[[#This Row],[Dog ID]]="","",(VLOOKUP(Table1313236[[#This Row],[Dog ID]],Advanced!C$65:$D$114,2,FALSE)&amp;" - " &amp;VLOOKUP(Table1313236[[#This Row],[Dog ID]],'SDDA Dogs'!A:C,3,FALSE)))</f>
        <v/>
      </c>
      <c r="H353" s="51" t="str">
        <f>IF(Table1313236[[#This Row],[Dog ID]]="","",(VLOOKUP(Table1313236[[#This Row],[Dog ID]],Advanced!C$65:$AU139,45,FALSE)))</f>
        <v/>
      </c>
      <c r="L353" s="48"/>
      <c r="M353" s="48"/>
      <c r="N353" s="48"/>
      <c r="O353" s="48"/>
      <c r="P353" s="51"/>
      <c r="Q353" s="51"/>
    </row>
    <row r="354" spans="1:17" ht="30" customHeight="1" x14ac:dyDescent="0.45">
      <c r="A354" s="49">
        <v>27</v>
      </c>
      <c r="B354" s="144" t="str">
        <f>IF(OR(VLOOKUP(Table1313236[[#This Row],[Ln'#]],Advanced!A$65:AU$114,7,FALSE)="E",VLOOKUP(Table1313236[[#This Row],[Ln'#]],Advanced!A$65:AU$114,7,FALSE)="FEO"),"x","")</f>
        <v/>
      </c>
      <c r="C354" s="144" t="str">
        <f>IF(OR(VLOOKUP(Table1313236[[#This Row],[Ln'#]],Advanced!A$65:AU$114,15,FALSE)="E",VLOOKUP(Table1313236[[#This Row],[Ln'#]],Advanced!A$65:AU$114,15,FALSE)="FEO"),"x","")</f>
        <v/>
      </c>
      <c r="D354" s="48"/>
      <c r="E354" s="48"/>
      <c r="F354" s="48" t="str">
        <f>IF(AND(Table1313236[[#This Row],[Status Container]]="",Table1313236[[#This Row],[Status Interior]]=""),"",VLOOKUP(Table1313236[[#This Row],[Ln'#]],Advanced!$A$65:$AU$114,3,FALSE))</f>
        <v/>
      </c>
      <c r="G354" s="51" t="str">
        <f>IF(Table1313236[[#This Row],[Dog ID]]="","",(VLOOKUP(Table1313236[[#This Row],[Dog ID]],Advanced!C$65:$D$114,2,FALSE)&amp;" - " &amp;VLOOKUP(Table1313236[[#This Row],[Dog ID]],'SDDA Dogs'!A:C,3,FALSE)))</f>
        <v/>
      </c>
      <c r="H354" s="51" t="str">
        <f>IF(Table1313236[[#This Row],[Dog ID]]="","",(VLOOKUP(Table1313236[[#This Row],[Dog ID]],Advanced!C$65:$AU140,45,FALSE)))</f>
        <v/>
      </c>
      <c r="L354" s="48"/>
      <c r="M354" s="48"/>
      <c r="N354" s="48"/>
      <c r="O354" s="48"/>
      <c r="P354" s="51"/>
      <c r="Q354" s="51"/>
    </row>
    <row r="355" spans="1:17" ht="30" customHeight="1" x14ac:dyDescent="0.45">
      <c r="A355" s="49">
        <v>28</v>
      </c>
      <c r="B355" s="144" t="str">
        <f>IF(OR(VLOOKUP(Table1313236[[#This Row],[Ln'#]],Advanced!A$65:AU$114,7,FALSE)="E",VLOOKUP(Table1313236[[#This Row],[Ln'#]],Advanced!A$65:AU$114,7,FALSE)="FEO"),"x","")</f>
        <v/>
      </c>
      <c r="C355" s="144" t="str">
        <f>IF(OR(VLOOKUP(Table1313236[[#This Row],[Ln'#]],Advanced!A$65:AU$114,15,FALSE)="E",VLOOKUP(Table1313236[[#This Row],[Ln'#]],Advanced!A$65:AU$114,15,FALSE)="FEO"),"x","")</f>
        <v/>
      </c>
      <c r="D355" s="48"/>
      <c r="E355" s="48"/>
      <c r="F355" s="48" t="str">
        <f>IF(AND(Table1313236[[#This Row],[Status Container]]="",Table1313236[[#This Row],[Status Interior]]=""),"",VLOOKUP(Table1313236[[#This Row],[Ln'#]],Advanced!$A$65:$AU$114,3,FALSE))</f>
        <v/>
      </c>
      <c r="G355" s="51" t="str">
        <f>IF(Table1313236[[#This Row],[Dog ID]]="","",(VLOOKUP(Table1313236[[#This Row],[Dog ID]],Advanced!C$65:$D$114,2,FALSE)&amp;" - " &amp;VLOOKUP(Table1313236[[#This Row],[Dog ID]],'SDDA Dogs'!A:C,3,FALSE)))</f>
        <v/>
      </c>
      <c r="H355" s="51" t="str">
        <f>IF(Table1313236[[#This Row],[Dog ID]]="","",(VLOOKUP(Table1313236[[#This Row],[Dog ID]],Advanced!C$65:$AU141,45,FALSE)))</f>
        <v/>
      </c>
      <c r="L355" s="48"/>
      <c r="M355" s="48"/>
      <c r="N355" s="48"/>
      <c r="O355" s="48"/>
      <c r="P355" s="51"/>
      <c r="Q355" s="51"/>
    </row>
    <row r="356" spans="1:17" ht="30" customHeight="1" x14ac:dyDescent="0.45">
      <c r="A356" s="49">
        <v>29</v>
      </c>
      <c r="B356" s="144" t="str">
        <f>IF(OR(VLOOKUP(Table1313236[[#This Row],[Ln'#]],Advanced!A$65:AU$114,7,FALSE)="E",VLOOKUP(Table1313236[[#This Row],[Ln'#]],Advanced!A$65:AU$114,7,FALSE)="FEO"),"x","")</f>
        <v/>
      </c>
      <c r="C356" s="144" t="str">
        <f>IF(OR(VLOOKUP(Table1313236[[#This Row],[Ln'#]],Advanced!A$65:AU$114,15,FALSE)="E",VLOOKUP(Table1313236[[#This Row],[Ln'#]],Advanced!A$65:AU$114,15,FALSE)="FEO"),"x","")</f>
        <v/>
      </c>
      <c r="D356" s="48"/>
      <c r="E356" s="48"/>
      <c r="F356" s="48" t="str">
        <f>IF(AND(Table1313236[[#This Row],[Status Container]]="",Table1313236[[#This Row],[Status Interior]]=""),"",VLOOKUP(Table1313236[[#This Row],[Ln'#]],Advanced!$A$65:$AU$114,3,FALSE))</f>
        <v/>
      </c>
      <c r="G356" s="51" t="str">
        <f>IF(Table1313236[[#This Row],[Dog ID]]="","",(VLOOKUP(Table1313236[[#This Row],[Dog ID]],Advanced!C$65:$D$114,2,FALSE)&amp;" - " &amp;VLOOKUP(Table1313236[[#This Row],[Dog ID]],'SDDA Dogs'!A:C,3,FALSE)))</f>
        <v/>
      </c>
      <c r="H356" s="51" t="str">
        <f>IF(Table1313236[[#This Row],[Dog ID]]="","",(VLOOKUP(Table1313236[[#This Row],[Dog ID]],Advanced!C$65:$AU142,45,FALSE)))</f>
        <v/>
      </c>
      <c r="L356" s="48"/>
      <c r="M356" s="48"/>
      <c r="N356" s="48"/>
      <c r="O356" s="48"/>
      <c r="P356" s="51"/>
      <c r="Q356" s="51"/>
    </row>
    <row r="357" spans="1:17" ht="30" customHeight="1" x14ac:dyDescent="0.45">
      <c r="A357" s="49">
        <v>30</v>
      </c>
      <c r="B357" s="144" t="str">
        <f>IF(OR(VLOOKUP(Table1313236[[#This Row],[Ln'#]],Advanced!A$65:AU$114,7,FALSE)="E",VLOOKUP(Table1313236[[#This Row],[Ln'#]],Advanced!A$65:AU$114,7,FALSE)="FEO"),"x","")</f>
        <v/>
      </c>
      <c r="C357" s="144" t="str">
        <f>IF(OR(VLOOKUP(Table1313236[[#This Row],[Ln'#]],Advanced!A$65:AU$114,15,FALSE)="E",VLOOKUP(Table1313236[[#This Row],[Ln'#]],Advanced!A$65:AU$114,15,FALSE)="FEO"),"x","")</f>
        <v/>
      </c>
      <c r="D357" s="48"/>
      <c r="E357" s="48"/>
      <c r="F357" s="48" t="str">
        <f>IF(AND(Table1313236[[#This Row],[Status Container]]="",Table1313236[[#This Row],[Status Interior]]=""),"",VLOOKUP(Table1313236[[#This Row],[Ln'#]],Advanced!$A$65:$AU$114,3,FALSE))</f>
        <v/>
      </c>
      <c r="G357" s="51" t="str">
        <f>IF(Table1313236[[#This Row],[Dog ID]]="","",(VLOOKUP(Table1313236[[#This Row],[Dog ID]],Advanced!C$65:$D$114,2,FALSE)&amp;" - " &amp;VLOOKUP(Table1313236[[#This Row],[Dog ID]],'SDDA Dogs'!A:C,3,FALSE)))</f>
        <v/>
      </c>
      <c r="H357" s="51" t="str">
        <f>IF(Table1313236[[#This Row],[Dog ID]]="","",(VLOOKUP(Table1313236[[#This Row],[Dog ID]],Advanced!C$65:$AU143,45,FALSE)))</f>
        <v/>
      </c>
      <c r="L357" s="48"/>
      <c r="M357" s="48"/>
      <c r="N357" s="48"/>
      <c r="O357" s="48"/>
      <c r="P357" s="51"/>
      <c r="Q357" s="51"/>
    </row>
    <row r="358" spans="1:17" ht="30" customHeight="1" x14ac:dyDescent="0.45">
      <c r="A358" s="49">
        <v>31</v>
      </c>
      <c r="B358" s="144" t="str">
        <f>IF(OR(VLOOKUP(Table1313236[[#This Row],[Ln'#]],Advanced!A$65:AU$114,7,FALSE)="E",VLOOKUP(Table1313236[[#This Row],[Ln'#]],Advanced!A$65:AU$114,7,FALSE)="FEO"),"x","")</f>
        <v/>
      </c>
      <c r="C358" s="144" t="str">
        <f>IF(OR(VLOOKUP(Table1313236[[#This Row],[Ln'#]],Advanced!A$65:AU$114,15,FALSE)="E",VLOOKUP(Table1313236[[#This Row],[Ln'#]],Advanced!A$65:AU$114,15,FALSE)="FEO"),"x","")</f>
        <v/>
      </c>
      <c r="D358" s="48"/>
      <c r="E358" s="48"/>
      <c r="F358" s="48" t="str">
        <f>IF(AND(Table1313236[[#This Row],[Status Container]]="",Table1313236[[#This Row],[Status Interior]]=""),"",VLOOKUP(Table1313236[[#This Row],[Ln'#]],Advanced!$A$65:$AU$114,3,FALSE))</f>
        <v/>
      </c>
      <c r="G358" s="51" t="str">
        <f>IF(Table1313236[[#This Row],[Dog ID]]="","",(VLOOKUP(Table1313236[[#This Row],[Dog ID]],Advanced!C$65:$D$114,2,FALSE)&amp;" - " &amp;VLOOKUP(Table1313236[[#This Row],[Dog ID]],'SDDA Dogs'!A:C,3,FALSE)))</f>
        <v/>
      </c>
      <c r="H358" s="51" t="str">
        <f>IF(Table1313236[[#This Row],[Dog ID]]="","",(VLOOKUP(Table1313236[[#This Row],[Dog ID]],Advanced!C$65:$AU144,45,FALSE)))</f>
        <v/>
      </c>
      <c r="L358" s="48"/>
      <c r="M358" s="48"/>
      <c r="N358" s="48"/>
      <c r="O358" s="48"/>
      <c r="P358" s="51"/>
      <c r="Q358" s="51"/>
    </row>
    <row r="359" spans="1:17" ht="30" customHeight="1" x14ac:dyDescent="0.45">
      <c r="A359" s="49">
        <v>32</v>
      </c>
      <c r="B359" s="144" t="str">
        <f>IF(OR(VLOOKUP(Table1313236[[#This Row],[Ln'#]],Advanced!A$65:AU$114,7,FALSE)="E",VLOOKUP(Table1313236[[#This Row],[Ln'#]],Advanced!A$65:AU$114,7,FALSE)="FEO"),"x","")</f>
        <v/>
      </c>
      <c r="C359" s="144" t="str">
        <f>IF(OR(VLOOKUP(Table1313236[[#This Row],[Ln'#]],Advanced!A$65:AU$114,15,FALSE)="E",VLOOKUP(Table1313236[[#This Row],[Ln'#]],Advanced!A$65:AU$114,15,FALSE)="FEO"),"x","")</f>
        <v/>
      </c>
      <c r="D359" s="48"/>
      <c r="E359" s="48"/>
      <c r="F359" s="48" t="str">
        <f>IF(AND(Table1313236[[#This Row],[Status Container]]="",Table1313236[[#This Row],[Status Interior]]=""),"",VLOOKUP(Table1313236[[#This Row],[Ln'#]],Advanced!$A$65:$AU$114,3,FALSE))</f>
        <v/>
      </c>
      <c r="G359" s="51" t="str">
        <f>IF(Table1313236[[#This Row],[Dog ID]]="","",(VLOOKUP(Table1313236[[#This Row],[Dog ID]],Advanced!C$65:$D$114,2,FALSE)&amp;" - " &amp;VLOOKUP(Table1313236[[#This Row],[Dog ID]],'SDDA Dogs'!A:C,3,FALSE)))</f>
        <v/>
      </c>
      <c r="H359" s="51" t="str">
        <f>IF(Table1313236[[#This Row],[Dog ID]]="","",(VLOOKUP(Table1313236[[#This Row],[Dog ID]],Advanced!C$65:$AU145,45,FALSE)))</f>
        <v/>
      </c>
      <c r="L359" s="48"/>
      <c r="M359" s="48"/>
      <c r="N359" s="48"/>
      <c r="O359" s="48"/>
      <c r="P359" s="51"/>
      <c r="Q359" s="51"/>
    </row>
    <row r="360" spans="1:17" ht="30" customHeight="1" x14ac:dyDescent="0.45">
      <c r="A360" s="49">
        <v>33</v>
      </c>
      <c r="B360" s="144" t="str">
        <f>IF(OR(VLOOKUP(Table1313236[[#This Row],[Ln'#]],Advanced!A$65:AU$114,7,FALSE)="E",VLOOKUP(Table1313236[[#This Row],[Ln'#]],Advanced!A$65:AU$114,7,FALSE)="FEO"),"x","")</f>
        <v/>
      </c>
      <c r="C360" s="144" t="str">
        <f>IF(OR(VLOOKUP(Table1313236[[#This Row],[Ln'#]],Advanced!A$65:AU$114,15,FALSE)="E",VLOOKUP(Table1313236[[#This Row],[Ln'#]],Advanced!A$65:AU$114,15,FALSE)="FEO"),"x","")</f>
        <v/>
      </c>
      <c r="D360" s="48"/>
      <c r="E360" s="48"/>
      <c r="F360" s="48" t="str">
        <f>IF(AND(Table1313236[[#This Row],[Status Container]]="",Table1313236[[#This Row],[Status Interior]]=""),"",VLOOKUP(Table1313236[[#This Row],[Ln'#]],Advanced!$A$65:$AU$114,3,FALSE))</f>
        <v/>
      </c>
      <c r="G360" s="51" t="str">
        <f>IF(Table1313236[[#This Row],[Dog ID]]="","",(VLOOKUP(Table1313236[[#This Row],[Dog ID]],Advanced!C$65:$D$114,2,FALSE)&amp;" - " &amp;VLOOKUP(Table1313236[[#This Row],[Dog ID]],'SDDA Dogs'!A:C,3,FALSE)))</f>
        <v/>
      </c>
      <c r="H360" s="51" t="str">
        <f>IF(Table1313236[[#This Row],[Dog ID]]="","",(VLOOKUP(Table1313236[[#This Row],[Dog ID]],Advanced!C$65:$AU146,45,FALSE)))</f>
        <v/>
      </c>
      <c r="L360" s="48"/>
      <c r="M360" s="48"/>
      <c r="N360" s="48"/>
      <c r="O360" s="48"/>
      <c r="P360" s="51"/>
      <c r="Q360" s="51"/>
    </row>
    <row r="361" spans="1:17" ht="30" customHeight="1" x14ac:dyDescent="0.45">
      <c r="A361" s="49">
        <v>34</v>
      </c>
      <c r="B361" s="144" t="str">
        <f>IF(OR(VLOOKUP(Table1313236[[#This Row],[Ln'#]],Advanced!A$65:AU$114,7,FALSE)="E",VLOOKUP(Table1313236[[#This Row],[Ln'#]],Advanced!A$65:AU$114,7,FALSE)="FEO"),"x","")</f>
        <v/>
      </c>
      <c r="C361" s="144" t="str">
        <f>IF(OR(VLOOKUP(Table1313236[[#This Row],[Ln'#]],Advanced!A$65:AU$114,15,FALSE)="E",VLOOKUP(Table1313236[[#This Row],[Ln'#]],Advanced!A$65:AU$114,15,FALSE)="FEO"),"x","")</f>
        <v/>
      </c>
      <c r="D361" s="48"/>
      <c r="E361" s="48"/>
      <c r="F361" s="48" t="str">
        <f>IF(AND(Table1313236[[#This Row],[Status Container]]="",Table1313236[[#This Row],[Status Interior]]=""),"",VLOOKUP(Table1313236[[#This Row],[Ln'#]],Advanced!$A$65:$AU$114,3,FALSE))</f>
        <v/>
      </c>
      <c r="G361" s="51" t="str">
        <f>IF(Table1313236[[#This Row],[Dog ID]]="","",(VLOOKUP(Table1313236[[#This Row],[Dog ID]],Advanced!C$65:$D$114,2,FALSE)&amp;" - " &amp;VLOOKUP(Table1313236[[#This Row],[Dog ID]],'SDDA Dogs'!A:C,3,FALSE)))</f>
        <v/>
      </c>
      <c r="H361" s="51" t="str">
        <f>IF(Table1313236[[#This Row],[Dog ID]]="","",(VLOOKUP(Table1313236[[#This Row],[Dog ID]],Advanced!C$65:$AU147,45,FALSE)))</f>
        <v/>
      </c>
      <c r="L361" s="48"/>
      <c r="M361" s="48"/>
      <c r="N361" s="48"/>
      <c r="O361" s="48"/>
      <c r="P361" s="51"/>
      <c r="Q361" s="51"/>
    </row>
    <row r="362" spans="1:17" ht="30" customHeight="1" x14ac:dyDescent="0.45">
      <c r="A362" s="49">
        <v>35</v>
      </c>
      <c r="B362" s="144" t="str">
        <f>IF(OR(VLOOKUP(Table1313236[[#This Row],[Ln'#]],Advanced!A$65:AU$114,7,FALSE)="E",VLOOKUP(Table1313236[[#This Row],[Ln'#]],Advanced!A$65:AU$114,7,FALSE)="FEO"),"x","")</f>
        <v/>
      </c>
      <c r="C362" s="144" t="str">
        <f>IF(OR(VLOOKUP(Table1313236[[#This Row],[Ln'#]],Advanced!A$65:AU$114,15,FALSE)="E",VLOOKUP(Table1313236[[#This Row],[Ln'#]],Advanced!A$65:AU$114,15,FALSE)="FEO"),"x","")</f>
        <v/>
      </c>
      <c r="D362" s="48"/>
      <c r="E362" s="48"/>
      <c r="F362" s="48" t="str">
        <f>IF(AND(Table1313236[[#This Row],[Status Container]]="",Table1313236[[#This Row],[Status Interior]]=""),"",VLOOKUP(Table1313236[[#This Row],[Ln'#]],Advanced!$A$65:$AU$114,3,FALSE))</f>
        <v/>
      </c>
      <c r="G362" s="51" t="str">
        <f>IF(Table1313236[[#This Row],[Dog ID]]="","",(VLOOKUP(Table1313236[[#This Row],[Dog ID]],Advanced!C$65:$D$114,2,FALSE)&amp;" - " &amp;VLOOKUP(Table1313236[[#This Row],[Dog ID]],'SDDA Dogs'!A:C,3,FALSE)))</f>
        <v/>
      </c>
      <c r="H362" s="51" t="str">
        <f>IF(Table1313236[[#This Row],[Dog ID]]="","",(VLOOKUP(Table1313236[[#This Row],[Dog ID]],Advanced!C$65:$AU148,45,FALSE)))</f>
        <v/>
      </c>
      <c r="L362" s="48"/>
      <c r="M362" s="48"/>
      <c r="N362" s="48"/>
      <c r="O362" s="48"/>
      <c r="P362" s="51"/>
      <c r="Q362" s="51"/>
    </row>
    <row r="363" spans="1:17" ht="30" customHeight="1" x14ac:dyDescent="0.45">
      <c r="A363" s="49">
        <v>36</v>
      </c>
      <c r="B363" s="144" t="str">
        <f>IF(OR(VLOOKUP(Table1313236[[#This Row],[Ln'#]],Advanced!A$65:AU$114,7,FALSE)="E",VLOOKUP(Table1313236[[#This Row],[Ln'#]],Advanced!A$65:AU$114,7,FALSE)="FEO"),"x","")</f>
        <v/>
      </c>
      <c r="C363" s="144" t="str">
        <f>IF(OR(VLOOKUP(Table1313236[[#This Row],[Ln'#]],Advanced!A$65:AU$114,15,FALSE)="E",VLOOKUP(Table1313236[[#This Row],[Ln'#]],Advanced!A$65:AU$114,15,FALSE)="FEO"),"x","")</f>
        <v/>
      </c>
      <c r="D363" s="48"/>
      <c r="E363" s="48"/>
      <c r="F363" s="48" t="str">
        <f>IF(AND(Table1313236[[#This Row],[Status Container]]="",Table1313236[[#This Row],[Status Interior]]=""),"",VLOOKUP(Table1313236[[#This Row],[Ln'#]],Advanced!$A$65:$AU$114,3,FALSE))</f>
        <v/>
      </c>
      <c r="G363" s="51" t="str">
        <f>IF(Table1313236[[#This Row],[Dog ID]]="","",(VLOOKUP(Table1313236[[#This Row],[Dog ID]],Advanced!C$65:$D$114,2,FALSE)&amp;" - " &amp;VLOOKUP(Table1313236[[#This Row],[Dog ID]],'SDDA Dogs'!A:C,3,FALSE)))</f>
        <v/>
      </c>
      <c r="H363" s="51" t="str">
        <f>IF(Table1313236[[#This Row],[Dog ID]]="","",(VLOOKUP(Table1313236[[#This Row],[Dog ID]],Advanced!C$65:$AU149,45,FALSE)))</f>
        <v/>
      </c>
      <c r="L363" s="48"/>
      <c r="M363" s="48"/>
      <c r="N363" s="48"/>
      <c r="O363" s="48"/>
      <c r="P363" s="51"/>
      <c r="Q363" s="51"/>
    </row>
    <row r="364" spans="1:17" ht="30" customHeight="1" x14ac:dyDescent="0.45">
      <c r="A364" s="49">
        <v>37</v>
      </c>
      <c r="B364" s="144" t="str">
        <f>IF(OR(VLOOKUP(Table1313236[[#This Row],[Ln'#]],Advanced!A$65:AU$114,7,FALSE)="E",VLOOKUP(Table1313236[[#This Row],[Ln'#]],Advanced!A$65:AU$114,7,FALSE)="FEO"),"x","")</f>
        <v/>
      </c>
      <c r="C364" s="144" t="str">
        <f>IF(OR(VLOOKUP(Table1313236[[#This Row],[Ln'#]],Advanced!A$65:AU$114,15,FALSE)="E",VLOOKUP(Table1313236[[#This Row],[Ln'#]],Advanced!A$65:AU$114,15,FALSE)="FEO"),"x","")</f>
        <v/>
      </c>
      <c r="D364" s="48"/>
      <c r="E364" s="48"/>
      <c r="F364" s="48" t="str">
        <f>IF(AND(Table1313236[[#This Row],[Status Container]]="",Table1313236[[#This Row],[Status Interior]]=""),"",VLOOKUP(Table1313236[[#This Row],[Ln'#]],Advanced!$A$65:$AU$114,3,FALSE))</f>
        <v/>
      </c>
      <c r="G364" s="51" t="str">
        <f>IF(Table1313236[[#This Row],[Dog ID]]="","",(VLOOKUP(Table1313236[[#This Row],[Dog ID]],Advanced!C$65:$D$114,2,FALSE)&amp;" - " &amp;VLOOKUP(Table1313236[[#This Row],[Dog ID]],'SDDA Dogs'!A:C,3,FALSE)))</f>
        <v/>
      </c>
      <c r="H364" s="51" t="str">
        <f>IF(Table1313236[[#This Row],[Dog ID]]="","",(VLOOKUP(Table1313236[[#This Row],[Dog ID]],Advanced!C$65:$AU150,45,FALSE)))</f>
        <v/>
      </c>
      <c r="L364" s="48"/>
      <c r="M364" s="48"/>
      <c r="N364" s="48"/>
      <c r="O364" s="48"/>
      <c r="P364" s="51"/>
      <c r="Q364" s="51"/>
    </row>
    <row r="365" spans="1:17" ht="30" customHeight="1" x14ac:dyDescent="0.45">
      <c r="A365" s="49">
        <v>38</v>
      </c>
      <c r="B365" s="144" t="str">
        <f>IF(OR(VLOOKUP(Table1313236[[#This Row],[Ln'#]],Advanced!A$65:AU$114,7,FALSE)="E",VLOOKUP(Table1313236[[#This Row],[Ln'#]],Advanced!A$65:AU$114,7,FALSE)="FEO"),"x","")</f>
        <v/>
      </c>
      <c r="C365" s="144" t="str">
        <f>IF(OR(VLOOKUP(Table1313236[[#This Row],[Ln'#]],Advanced!A$65:AU$114,15,FALSE)="E",VLOOKUP(Table1313236[[#This Row],[Ln'#]],Advanced!A$65:AU$114,15,FALSE)="FEO"),"x","")</f>
        <v/>
      </c>
      <c r="D365" s="48"/>
      <c r="E365" s="48"/>
      <c r="F365" s="48" t="str">
        <f>IF(AND(Table1313236[[#This Row],[Status Container]]="",Table1313236[[#This Row],[Status Interior]]=""),"",VLOOKUP(Table1313236[[#This Row],[Ln'#]],Advanced!$A$65:$AU$114,3,FALSE))</f>
        <v/>
      </c>
      <c r="G365" s="51" t="str">
        <f>IF(Table1313236[[#This Row],[Dog ID]]="","",(VLOOKUP(Table1313236[[#This Row],[Dog ID]],Advanced!C$65:$D$114,2,FALSE)&amp;" - " &amp;VLOOKUP(Table1313236[[#This Row],[Dog ID]],'SDDA Dogs'!A:C,3,FALSE)))</f>
        <v/>
      </c>
      <c r="H365" s="51" t="str">
        <f>IF(Table1313236[[#This Row],[Dog ID]]="","",(VLOOKUP(Table1313236[[#This Row],[Dog ID]],Advanced!C$65:$AU151,45,FALSE)))</f>
        <v/>
      </c>
      <c r="L365" s="48"/>
      <c r="M365" s="48"/>
      <c r="N365" s="48"/>
      <c r="O365" s="48"/>
      <c r="P365" s="51"/>
      <c r="Q365" s="51"/>
    </row>
    <row r="366" spans="1:17" ht="30" customHeight="1" x14ac:dyDescent="0.45">
      <c r="A366" s="49">
        <v>39</v>
      </c>
      <c r="B366" s="144" t="str">
        <f>IF(OR(VLOOKUP(Table1313236[[#This Row],[Ln'#]],Advanced!A$65:AU$114,7,FALSE)="E",VLOOKUP(Table1313236[[#This Row],[Ln'#]],Advanced!A$65:AU$114,7,FALSE)="FEO"),"x","")</f>
        <v/>
      </c>
      <c r="C366" s="144" t="str">
        <f>IF(OR(VLOOKUP(Table1313236[[#This Row],[Ln'#]],Advanced!A$65:AU$114,15,FALSE)="E",VLOOKUP(Table1313236[[#This Row],[Ln'#]],Advanced!A$65:AU$114,15,FALSE)="FEO"),"x","")</f>
        <v/>
      </c>
      <c r="D366" s="48"/>
      <c r="E366" s="48"/>
      <c r="F366" s="48" t="str">
        <f>IF(AND(Table1313236[[#This Row],[Status Container]]="",Table1313236[[#This Row],[Status Interior]]=""),"",VLOOKUP(Table1313236[[#This Row],[Ln'#]],Advanced!$A$65:$AU$114,3,FALSE))</f>
        <v/>
      </c>
      <c r="G366" s="51" t="str">
        <f>IF(Table1313236[[#This Row],[Dog ID]]="","",(VLOOKUP(Table1313236[[#This Row],[Dog ID]],Advanced!C$65:$D$114,2,FALSE)&amp;" - " &amp;VLOOKUP(Table1313236[[#This Row],[Dog ID]],'SDDA Dogs'!A:C,3,FALSE)))</f>
        <v/>
      </c>
      <c r="H366" s="51" t="str">
        <f>IF(Table1313236[[#This Row],[Dog ID]]="","",(VLOOKUP(Table1313236[[#This Row],[Dog ID]],Advanced!C$65:$AU152,45,FALSE)))</f>
        <v/>
      </c>
      <c r="L366" s="48"/>
      <c r="M366" s="48"/>
      <c r="N366" s="48"/>
      <c r="O366" s="48"/>
      <c r="P366" s="51"/>
      <c r="Q366" s="51"/>
    </row>
    <row r="367" spans="1:17" ht="30" customHeight="1" x14ac:dyDescent="0.45">
      <c r="A367" s="49">
        <v>40</v>
      </c>
      <c r="B367" s="144" t="str">
        <f>IF(OR(VLOOKUP(Table1313236[[#This Row],[Ln'#]],Advanced!A$65:AU$114,7,FALSE)="E",VLOOKUP(Table1313236[[#This Row],[Ln'#]],Advanced!A$65:AU$114,7,FALSE)="FEO"),"x","")</f>
        <v/>
      </c>
      <c r="C367" s="144" t="str">
        <f>IF(OR(VLOOKUP(Table1313236[[#This Row],[Ln'#]],Advanced!A$65:AU$114,15,FALSE)="E",VLOOKUP(Table1313236[[#This Row],[Ln'#]],Advanced!A$65:AU$114,15,FALSE)="FEO"),"x","")</f>
        <v/>
      </c>
      <c r="D367" s="48"/>
      <c r="E367" s="48"/>
      <c r="F367" s="48" t="str">
        <f>IF(AND(Table1313236[[#This Row],[Status Container]]="",Table1313236[[#This Row],[Status Interior]]=""),"",VLOOKUP(Table1313236[[#This Row],[Ln'#]],Advanced!$A$65:$AU$114,3,FALSE))</f>
        <v/>
      </c>
      <c r="G367" s="51" t="str">
        <f>IF(Table1313236[[#This Row],[Dog ID]]="","",(VLOOKUP(Table1313236[[#This Row],[Dog ID]],Advanced!C$65:$D$114,2,FALSE)&amp;" - " &amp;VLOOKUP(Table1313236[[#This Row],[Dog ID]],'SDDA Dogs'!A:C,3,FALSE)))</f>
        <v/>
      </c>
      <c r="H367" s="51" t="str">
        <f>IF(Table1313236[[#This Row],[Dog ID]]="","",(VLOOKUP(Table1313236[[#This Row],[Dog ID]],Advanced!C$65:$AU153,45,FALSE)))</f>
        <v/>
      </c>
      <c r="L367" s="48"/>
      <c r="M367" s="48"/>
      <c r="N367" s="48"/>
      <c r="O367" s="48"/>
      <c r="P367" s="51"/>
      <c r="Q367" s="51"/>
    </row>
    <row r="368" spans="1:17" ht="30" customHeight="1" x14ac:dyDescent="0.45">
      <c r="A368" s="49">
        <v>41</v>
      </c>
      <c r="B368" s="144" t="str">
        <f>IF(OR(VLOOKUP(Table1313236[[#This Row],[Ln'#]],Advanced!A$65:AU$114,7,FALSE)="E",VLOOKUP(Table1313236[[#This Row],[Ln'#]],Advanced!A$65:AU$114,7,FALSE)="FEO"),"x","")</f>
        <v/>
      </c>
      <c r="C368" s="144" t="str">
        <f>IF(OR(VLOOKUP(Table1313236[[#This Row],[Ln'#]],Advanced!A$65:AU$114,15,FALSE)="E",VLOOKUP(Table1313236[[#This Row],[Ln'#]],Advanced!A$65:AU$114,15,FALSE)="FEO"),"x","")</f>
        <v/>
      </c>
      <c r="D368" s="48"/>
      <c r="E368" s="48"/>
      <c r="F368" s="48" t="str">
        <f>IF(AND(Table1313236[[#This Row],[Status Container]]="",Table1313236[[#This Row],[Status Interior]]=""),"",VLOOKUP(Table1313236[[#This Row],[Ln'#]],Advanced!$A$65:$AU$114,3,FALSE))</f>
        <v/>
      </c>
      <c r="G368" s="51" t="str">
        <f>IF(Table1313236[[#This Row],[Dog ID]]="","",(VLOOKUP(Table1313236[[#This Row],[Dog ID]],Advanced!C$65:$D$114,2,FALSE)&amp;" - " &amp;VLOOKUP(Table1313236[[#This Row],[Dog ID]],'SDDA Dogs'!A:C,3,FALSE)))</f>
        <v/>
      </c>
      <c r="H368" s="51" t="str">
        <f>IF(Table1313236[[#This Row],[Dog ID]]="","",(VLOOKUP(Table1313236[[#This Row],[Dog ID]],Advanced!C$65:$AU154,45,FALSE)))</f>
        <v/>
      </c>
      <c r="L368" s="48"/>
      <c r="M368" s="48"/>
      <c r="N368" s="48"/>
      <c r="O368" s="48"/>
      <c r="P368" s="51"/>
      <c r="Q368" s="51"/>
    </row>
    <row r="369" spans="1:17" ht="30" customHeight="1" x14ac:dyDescent="0.45">
      <c r="A369" s="49">
        <v>42</v>
      </c>
      <c r="B369" s="144" t="str">
        <f>IF(OR(VLOOKUP(Table1313236[[#This Row],[Ln'#]],Advanced!A$65:AU$114,7,FALSE)="E",VLOOKUP(Table1313236[[#This Row],[Ln'#]],Advanced!A$65:AU$114,7,FALSE)="FEO"),"x","")</f>
        <v/>
      </c>
      <c r="C369" s="144" t="str">
        <f>IF(OR(VLOOKUP(Table1313236[[#This Row],[Ln'#]],Advanced!A$65:AU$114,15,FALSE)="E",VLOOKUP(Table1313236[[#This Row],[Ln'#]],Advanced!A$65:AU$114,15,FALSE)="FEO"),"x","")</f>
        <v/>
      </c>
      <c r="D369" s="48"/>
      <c r="E369" s="48"/>
      <c r="F369" s="48" t="str">
        <f>IF(AND(Table1313236[[#This Row],[Status Container]]="",Table1313236[[#This Row],[Status Interior]]=""),"",VLOOKUP(Table1313236[[#This Row],[Ln'#]],Advanced!$A$65:$AU$114,3,FALSE))</f>
        <v/>
      </c>
      <c r="G369" s="51" t="str">
        <f>IF(Table1313236[[#This Row],[Dog ID]]="","",(VLOOKUP(Table1313236[[#This Row],[Dog ID]],Advanced!C$65:$D$114,2,FALSE)&amp;" - " &amp;VLOOKUP(Table1313236[[#This Row],[Dog ID]],'SDDA Dogs'!A:C,3,FALSE)))</f>
        <v/>
      </c>
      <c r="H369" s="51" t="str">
        <f>IF(Table1313236[[#This Row],[Dog ID]]="","",(VLOOKUP(Table1313236[[#This Row],[Dog ID]],Advanced!C$65:$AU155,45,FALSE)))</f>
        <v/>
      </c>
      <c r="L369" s="48"/>
      <c r="M369" s="48"/>
      <c r="N369" s="48"/>
      <c r="O369" s="48"/>
      <c r="P369" s="51"/>
      <c r="Q369" s="51"/>
    </row>
    <row r="370" spans="1:17" ht="30" customHeight="1" x14ac:dyDescent="0.45">
      <c r="A370" s="49">
        <v>43</v>
      </c>
      <c r="B370" s="144" t="str">
        <f>IF(OR(VLOOKUP(Table1313236[[#This Row],[Ln'#]],Advanced!A$65:AU$114,7,FALSE)="E",VLOOKUP(Table1313236[[#This Row],[Ln'#]],Advanced!A$65:AU$114,7,FALSE)="FEO"),"x","")</f>
        <v/>
      </c>
      <c r="C370" s="144" t="str">
        <f>IF(OR(VLOOKUP(Table1313236[[#This Row],[Ln'#]],Advanced!A$65:AU$114,15,FALSE)="E",VLOOKUP(Table1313236[[#This Row],[Ln'#]],Advanced!A$65:AU$114,15,FALSE)="FEO"),"x","")</f>
        <v/>
      </c>
      <c r="D370" s="48"/>
      <c r="E370" s="48"/>
      <c r="F370" s="48" t="str">
        <f>IF(AND(Table1313236[[#This Row],[Status Container]]="",Table1313236[[#This Row],[Status Interior]]=""),"",VLOOKUP(Table1313236[[#This Row],[Ln'#]],Advanced!$A$65:$AU$114,3,FALSE))</f>
        <v/>
      </c>
      <c r="G370" s="51" t="str">
        <f>IF(Table1313236[[#This Row],[Dog ID]]="","",(VLOOKUP(Table1313236[[#This Row],[Dog ID]],Advanced!C$65:$D$114,2,FALSE)&amp;" - " &amp;VLOOKUP(Table1313236[[#This Row],[Dog ID]],'SDDA Dogs'!A:C,3,FALSE)))</f>
        <v/>
      </c>
      <c r="H370" s="51" t="str">
        <f>IF(Table1313236[[#This Row],[Dog ID]]="","",(VLOOKUP(Table1313236[[#This Row],[Dog ID]],Advanced!C$65:$AU156,45,FALSE)))</f>
        <v/>
      </c>
      <c r="L370" s="48"/>
      <c r="M370" s="48"/>
      <c r="N370" s="48"/>
      <c r="O370" s="48"/>
      <c r="P370" s="51"/>
      <c r="Q370" s="51"/>
    </row>
    <row r="371" spans="1:17" ht="30" customHeight="1" x14ac:dyDescent="0.45">
      <c r="A371" s="49">
        <v>44</v>
      </c>
      <c r="B371" s="144" t="str">
        <f>IF(OR(VLOOKUP(Table1313236[[#This Row],[Ln'#]],Advanced!A$65:AU$114,7,FALSE)="E",VLOOKUP(Table1313236[[#This Row],[Ln'#]],Advanced!A$65:AU$114,7,FALSE)="FEO"),"x","")</f>
        <v/>
      </c>
      <c r="C371" s="144" t="str">
        <f>IF(OR(VLOOKUP(Table1313236[[#This Row],[Ln'#]],Advanced!A$65:AU$114,15,FALSE)="E",VLOOKUP(Table1313236[[#This Row],[Ln'#]],Advanced!A$65:AU$114,15,FALSE)="FEO"),"x","")</f>
        <v/>
      </c>
      <c r="D371" s="48"/>
      <c r="E371" s="48"/>
      <c r="F371" s="48" t="str">
        <f>IF(AND(Table1313236[[#This Row],[Status Container]]="",Table1313236[[#This Row],[Status Interior]]=""),"",VLOOKUP(Table1313236[[#This Row],[Ln'#]],Advanced!$A$65:$AU$114,3,FALSE))</f>
        <v/>
      </c>
      <c r="G371" s="51" t="str">
        <f>IF(Table1313236[[#This Row],[Dog ID]]="","",(VLOOKUP(Table1313236[[#This Row],[Dog ID]],Advanced!C$65:$D$114,2,FALSE)&amp;" - " &amp;VLOOKUP(Table1313236[[#This Row],[Dog ID]],'SDDA Dogs'!A:C,3,FALSE)))</f>
        <v/>
      </c>
      <c r="H371" s="51" t="str">
        <f>IF(Table1313236[[#This Row],[Dog ID]]="","",(VLOOKUP(Table1313236[[#This Row],[Dog ID]],Advanced!C$65:$AU157,45,FALSE)))</f>
        <v/>
      </c>
      <c r="L371" s="48"/>
      <c r="M371" s="48"/>
      <c r="N371" s="48"/>
      <c r="O371" s="48"/>
      <c r="P371" s="51"/>
      <c r="Q371" s="51"/>
    </row>
    <row r="372" spans="1:17" ht="30" customHeight="1" x14ac:dyDescent="0.45">
      <c r="A372" s="49">
        <v>45</v>
      </c>
      <c r="B372" s="144" t="str">
        <f>IF(OR(VLOOKUP(Table1313236[[#This Row],[Ln'#]],Advanced!A$65:AU$114,7,FALSE)="E",VLOOKUP(Table1313236[[#This Row],[Ln'#]],Advanced!A$65:AU$114,7,FALSE)="FEO"),"x","")</f>
        <v/>
      </c>
      <c r="C372" s="144" t="str">
        <f>IF(OR(VLOOKUP(Table1313236[[#This Row],[Ln'#]],Advanced!A$65:AU$114,15,FALSE)="E",VLOOKUP(Table1313236[[#This Row],[Ln'#]],Advanced!A$65:AU$114,15,FALSE)="FEO"),"x","")</f>
        <v/>
      </c>
      <c r="D372" s="48"/>
      <c r="E372" s="48"/>
      <c r="F372" s="48" t="str">
        <f>IF(AND(Table1313236[[#This Row],[Status Container]]="",Table1313236[[#This Row],[Status Interior]]=""),"",VLOOKUP(Table1313236[[#This Row],[Ln'#]],Advanced!$A$65:$AU$114,3,FALSE))</f>
        <v/>
      </c>
      <c r="G372" s="51" t="str">
        <f>IF(Table1313236[[#This Row],[Dog ID]]="","",(VLOOKUP(Table1313236[[#This Row],[Dog ID]],Advanced!C$65:$D$114,2,FALSE)&amp;" - " &amp;VLOOKUP(Table1313236[[#This Row],[Dog ID]],'SDDA Dogs'!A:C,3,FALSE)))</f>
        <v/>
      </c>
      <c r="H372" s="51" t="str">
        <f>IF(Table1313236[[#This Row],[Dog ID]]="","",(VLOOKUP(Table1313236[[#This Row],[Dog ID]],Advanced!C$65:$AU158,45,FALSE)))</f>
        <v/>
      </c>
      <c r="L372" s="48"/>
      <c r="M372" s="48"/>
      <c r="N372" s="48"/>
      <c r="O372" s="48"/>
      <c r="P372" s="51"/>
      <c r="Q372" s="51"/>
    </row>
    <row r="373" spans="1:17" ht="30" customHeight="1" x14ac:dyDescent="0.45">
      <c r="A373" s="49">
        <v>46</v>
      </c>
      <c r="B373" s="144" t="str">
        <f>IF(OR(VLOOKUP(Table1313236[[#This Row],[Ln'#]],Advanced!A$65:AU$114,7,FALSE)="E",VLOOKUP(Table1313236[[#This Row],[Ln'#]],Advanced!A$65:AU$114,7,FALSE)="FEO"),"x","")</f>
        <v/>
      </c>
      <c r="C373" s="144" t="str">
        <f>IF(OR(VLOOKUP(Table1313236[[#This Row],[Ln'#]],Advanced!A$65:AU$114,15,FALSE)="E",VLOOKUP(Table1313236[[#This Row],[Ln'#]],Advanced!A$65:AU$114,15,FALSE)="FEO"),"x","")</f>
        <v/>
      </c>
      <c r="D373" s="48"/>
      <c r="E373" s="48"/>
      <c r="F373" s="48" t="str">
        <f>IF(AND(Table1313236[[#This Row],[Status Container]]="",Table1313236[[#This Row],[Status Interior]]=""),"",VLOOKUP(Table1313236[[#This Row],[Ln'#]],Advanced!$A$65:$AU$114,3,FALSE))</f>
        <v/>
      </c>
      <c r="G373" s="51" t="str">
        <f>IF(Table1313236[[#This Row],[Dog ID]]="","",(VLOOKUP(Table1313236[[#This Row],[Dog ID]],Advanced!C$65:$D$114,2,FALSE)&amp;" - " &amp;VLOOKUP(Table1313236[[#This Row],[Dog ID]],'SDDA Dogs'!A:C,3,FALSE)))</f>
        <v/>
      </c>
      <c r="H373" s="51" t="str">
        <f>IF(Table1313236[[#This Row],[Dog ID]]="","",(VLOOKUP(Table1313236[[#This Row],[Dog ID]],Advanced!C$65:$AU159,45,FALSE)))</f>
        <v/>
      </c>
      <c r="L373" s="48"/>
      <c r="M373" s="48"/>
      <c r="N373" s="48"/>
      <c r="O373" s="48"/>
      <c r="P373" s="51"/>
      <c r="Q373" s="51"/>
    </row>
    <row r="374" spans="1:17" ht="30" customHeight="1" x14ac:dyDescent="0.45">
      <c r="A374" s="49">
        <v>47</v>
      </c>
      <c r="B374" s="144" t="str">
        <f>IF(OR(VLOOKUP(Table1313236[[#This Row],[Ln'#]],Advanced!A$65:AU$114,7,FALSE)="E",VLOOKUP(Table1313236[[#This Row],[Ln'#]],Advanced!A$65:AU$114,7,FALSE)="FEO"),"x","")</f>
        <v/>
      </c>
      <c r="C374" s="144" t="str">
        <f>IF(OR(VLOOKUP(Table1313236[[#This Row],[Ln'#]],Advanced!A$65:AU$114,15,FALSE)="E",VLOOKUP(Table1313236[[#This Row],[Ln'#]],Advanced!A$65:AU$114,15,FALSE)="FEO"),"x","")</f>
        <v/>
      </c>
      <c r="D374" s="48"/>
      <c r="E374" s="48"/>
      <c r="F374" s="48" t="str">
        <f>IF(AND(Table1313236[[#This Row],[Status Container]]="",Table1313236[[#This Row],[Status Interior]]=""),"",VLOOKUP(Table1313236[[#This Row],[Ln'#]],Advanced!$A$65:$AU$114,3,FALSE))</f>
        <v/>
      </c>
      <c r="G374" s="51" t="str">
        <f>IF(Table1313236[[#This Row],[Dog ID]]="","",(VLOOKUP(Table1313236[[#This Row],[Dog ID]],Advanced!C$65:$D$114,2,FALSE)&amp;" - " &amp;VLOOKUP(Table1313236[[#This Row],[Dog ID]],'SDDA Dogs'!A:C,3,FALSE)))</f>
        <v/>
      </c>
      <c r="H374" s="51" t="str">
        <f>IF(Table1313236[[#This Row],[Dog ID]]="","",(VLOOKUP(Table1313236[[#This Row],[Dog ID]],Advanced!C$65:$AU160,45,FALSE)))</f>
        <v/>
      </c>
      <c r="L374" s="48"/>
      <c r="M374" s="48"/>
      <c r="N374" s="48"/>
      <c r="O374" s="48"/>
      <c r="P374" s="51"/>
      <c r="Q374" s="51"/>
    </row>
    <row r="375" spans="1:17" ht="30" customHeight="1" x14ac:dyDescent="0.45">
      <c r="A375" s="49">
        <v>48</v>
      </c>
      <c r="B375" s="144" t="str">
        <f>IF(OR(VLOOKUP(Table1313236[[#This Row],[Ln'#]],Advanced!A$65:AU$114,7,FALSE)="E",VLOOKUP(Table1313236[[#This Row],[Ln'#]],Advanced!A$65:AU$114,7,FALSE)="FEO"),"x","")</f>
        <v/>
      </c>
      <c r="C375" s="144" t="str">
        <f>IF(OR(VLOOKUP(Table1313236[[#This Row],[Ln'#]],Advanced!A$65:AU$114,15,FALSE)="E",VLOOKUP(Table1313236[[#This Row],[Ln'#]],Advanced!A$65:AU$114,15,FALSE)="FEO"),"x","")</f>
        <v/>
      </c>
      <c r="D375" s="48"/>
      <c r="E375" s="48"/>
      <c r="F375" s="48" t="str">
        <f>IF(AND(Table1313236[[#This Row],[Status Container]]="",Table1313236[[#This Row],[Status Interior]]=""),"",VLOOKUP(Table1313236[[#This Row],[Ln'#]],Advanced!$A$65:$AU$114,3,FALSE))</f>
        <v/>
      </c>
      <c r="G375" s="51" t="str">
        <f>IF(Table1313236[[#This Row],[Dog ID]]="","",(VLOOKUP(Table1313236[[#This Row],[Dog ID]],Advanced!C$65:$D$114,2,FALSE)&amp;" - " &amp;VLOOKUP(Table1313236[[#This Row],[Dog ID]],'SDDA Dogs'!A:C,3,FALSE)))</f>
        <v/>
      </c>
      <c r="H375" s="51" t="str">
        <f>IF(Table1313236[[#This Row],[Dog ID]]="","",(VLOOKUP(Table1313236[[#This Row],[Dog ID]],Advanced!C$65:$AU161,45,FALSE)))</f>
        <v/>
      </c>
      <c r="L375" s="48"/>
      <c r="M375" s="48"/>
      <c r="N375" s="48"/>
      <c r="O375" s="48"/>
      <c r="P375" s="51"/>
      <c r="Q375" s="51"/>
    </row>
    <row r="376" spans="1:17" ht="30" customHeight="1" x14ac:dyDescent="0.45">
      <c r="A376" s="49">
        <v>49</v>
      </c>
      <c r="B376" s="144" t="str">
        <f>IF(OR(VLOOKUP(Table1313236[[#This Row],[Ln'#]],Advanced!A$65:AU$114,7,FALSE)="E",VLOOKUP(Table1313236[[#This Row],[Ln'#]],Advanced!A$65:AU$114,7,FALSE)="FEO"),"x","")</f>
        <v/>
      </c>
      <c r="C376" s="144" t="str">
        <f>IF(OR(VLOOKUP(Table1313236[[#This Row],[Ln'#]],Advanced!A$65:AU$114,15,FALSE)="E",VLOOKUP(Table1313236[[#This Row],[Ln'#]],Advanced!A$65:AU$114,15,FALSE)="FEO"),"x","")</f>
        <v/>
      </c>
      <c r="D376" s="48"/>
      <c r="E376" s="48"/>
      <c r="F376" s="48" t="str">
        <f>IF(AND(Table1313236[[#This Row],[Status Container]]="",Table1313236[[#This Row],[Status Interior]]=""),"",VLOOKUP(Table1313236[[#This Row],[Ln'#]],Advanced!$A$65:$AU$114,3,FALSE))</f>
        <v/>
      </c>
      <c r="G376" s="51" t="str">
        <f>IF(Table1313236[[#This Row],[Dog ID]]="","",(VLOOKUP(Table1313236[[#This Row],[Dog ID]],Advanced!C$65:$D$114,2,FALSE)&amp;" - " &amp;VLOOKUP(Table1313236[[#This Row],[Dog ID]],'SDDA Dogs'!A:C,3,FALSE)))</f>
        <v/>
      </c>
      <c r="H376" s="51" t="str">
        <f>IF(Table1313236[[#This Row],[Dog ID]]="","",(VLOOKUP(Table1313236[[#This Row],[Dog ID]],Advanced!C$65:$AU162,45,FALSE)))</f>
        <v/>
      </c>
      <c r="L376" s="48"/>
      <c r="M376" s="48"/>
      <c r="N376" s="48"/>
      <c r="O376" s="48"/>
      <c r="P376" s="51"/>
      <c r="Q376" s="51"/>
    </row>
    <row r="377" spans="1:17" ht="30" customHeight="1" x14ac:dyDescent="0.45">
      <c r="A377" s="49">
        <v>50</v>
      </c>
      <c r="B377" s="144" t="str">
        <f>IF(OR(VLOOKUP(Table1313236[[#This Row],[Ln'#]],Advanced!A$65:AU$114,7,FALSE)="E",VLOOKUP(Table1313236[[#This Row],[Ln'#]],Advanced!A$65:AU$114,7,FALSE)="FEO"),"x","")</f>
        <v/>
      </c>
      <c r="C377" s="144" t="str">
        <f>IF(OR(VLOOKUP(Table1313236[[#This Row],[Ln'#]],Advanced!A$65:AU$114,15,FALSE)="E",VLOOKUP(Table1313236[[#This Row],[Ln'#]],Advanced!A$65:AU$114,15,FALSE)="FEO"),"x","")</f>
        <v/>
      </c>
      <c r="D377" s="48"/>
      <c r="E377" s="48"/>
      <c r="F377" s="48" t="str">
        <f>IF(AND(Table1313236[[#This Row],[Status Container]]="",Table1313236[[#This Row],[Status Interior]]=""),"",VLOOKUP(Table1313236[[#This Row],[Ln'#]],Advanced!$A$65:$AU$114,3,FALSE))</f>
        <v/>
      </c>
      <c r="G377" s="51" t="str">
        <f>IF(Table1313236[[#This Row],[Dog ID]]="","",(VLOOKUP(Table1313236[[#This Row],[Dog ID]],Advanced!C$65:$D$114,2,FALSE)&amp;" - " &amp;VLOOKUP(Table1313236[[#This Row],[Dog ID]],'SDDA Dogs'!A:C,3,FALSE)))</f>
        <v/>
      </c>
      <c r="H377" s="51" t="str">
        <f>IF(Table1313236[[#This Row],[Dog ID]]="","",(VLOOKUP(Table1313236[[#This Row],[Dog ID]],Advanced!C$65:$AU163,45,FALSE)))</f>
        <v/>
      </c>
      <c r="L377" s="48"/>
      <c r="M377" s="48"/>
      <c r="N377" s="48"/>
      <c r="O377" s="48"/>
      <c r="P377" s="51"/>
      <c r="Q377" s="51"/>
    </row>
    <row r="378" spans="1:17" ht="30" customHeight="1" x14ac:dyDescent="0.4">
      <c r="A378" s="48"/>
      <c r="B378" s="48"/>
      <c r="C378" s="48"/>
      <c r="D378" s="48" t="s">
        <v>1141</v>
      </c>
      <c r="E378" s="48">
        <f>SUBTOTAL(102,Table1313236[Running Order])</f>
        <v>0</v>
      </c>
      <c r="F378" s="48"/>
      <c r="G378" s="51"/>
      <c r="H378" s="51"/>
      <c r="L378" s="48"/>
      <c r="M378" s="48"/>
      <c r="N378" s="48"/>
      <c r="O378" s="48"/>
      <c r="P378" s="51"/>
      <c r="Q378" s="51"/>
    </row>
    <row r="379" spans="1:17" ht="30" customHeight="1" x14ac:dyDescent="0.4">
      <c r="A379" s="48"/>
      <c r="B379" s="48"/>
      <c r="C379" s="48"/>
      <c r="D379" s="48"/>
      <c r="E379" s="48"/>
      <c r="F379" s="48"/>
      <c r="G379" s="51"/>
      <c r="H379" s="51"/>
      <c r="J379" s="48"/>
      <c r="K379" s="48"/>
      <c r="L379" s="48"/>
      <c r="M379" s="48"/>
      <c r="N379" s="48"/>
      <c r="O379" s="48"/>
      <c r="P379" s="51"/>
      <c r="Q379" s="51"/>
    </row>
    <row r="381" spans="1:17" ht="30" customHeight="1" x14ac:dyDescent="0.4">
      <c r="A381" s="402" t="s">
        <v>1143</v>
      </c>
      <c r="B381" s="402"/>
      <c r="C381" s="43"/>
      <c r="D381" s="403" t="s">
        <v>1720</v>
      </c>
      <c r="E381" s="403"/>
      <c r="F381" s="403"/>
      <c r="G381" s="403"/>
      <c r="H381" s="403"/>
      <c r="I381" s="403"/>
    </row>
    <row r="382" spans="1:17" ht="60" customHeight="1" x14ac:dyDescent="0.4">
      <c r="A382" s="67" t="s">
        <v>605</v>
      </c>
      <c r="B382" s="67" t="s">
        <v>1139</v>
      </c>
      <c r="C382" s="68" t="s">
        <v>12407</v>
      </c>
      <c r="D382" s="67" t="s">
        <v>1142</v>
      </c>
      <c r="E382" s="67" t="s">
        <v>1135</v>
      </c>
      <c r="F382" s="67" t="s">
        <v>1136</v>
      </c>
      <c r="G382" s="69" t="s">
        <v>1207</v>
      </c>
      <c r="H382" s="69" t="s">
        <v>1137</v>
      </c>
    </row>
    <row r="383" spans="1:17" ht="30" customHeight="1" x14ac:dyDescent="0.4">
      <c r="A383" s="49">
        <v>1</v>
      </c>
      <c r="B383" s="49" t="str">
        <f>IF(OR(VLOOKUP(Table171019[[#This Row],[Ln'#]],Advanced!A$65:AU$114,15,FALSE)="E",VLOOKUP(Table171019[[#This Row],[Ln'#]],Advanced!A$65:AU$114,15,FALSE)="FEO"),"Entered or FEO","Not Entered")</f>
        <v>Not Entered</v>
      </c>
      <c r="C383" s="50" t="str">
        <f t="shared" ref="C383" ca="1" si="8">IF(OR(B383="e",B383="FEO"),RAND(),"")</f>
        <v/>
      </c>
      <c r="D383" s="48"/>
      <c r="E383" s="48"/>
      <c r="F383" s="48" t="str">
        <f>IF(Table171019[[#This Row],[Status]]="Not Entered","",VLOOKUP(Table171019[[#This Row],[Ln'#]],Advanced!$A$65:$AU$114,3,FALSE))</f>
        <v/>
      </c>
      <c r="G38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3" s="51" t="str">
        <f>IF(Table171019[[#This Row],[Status]]="Not Entered","",VLOOKUP(Table171019[[#This Row],[Ln'#]],Advanced!$A$65:$AU$114,47,FALSE))</f>
        <v/>
      </c>
    </row>
    <row r="384" spans="1:17" ht="30" customHeight="1" x14ac:dyDescent="0.4">
      <c r="A384" s="49">
        <v>2</v>
      </c>
      <c r="B384" s="49" t="str">
        <f>IF(OR(VLOOKUP(Table171019[[#This Row],[Ln'#]],Advanced!A$65:AU$114,15,FALSE)="E",VLOOKUP(Table171019[[#This Row],[Ln'#]],Advanced!A$65:AU$114,15,FALSE)="FEO"),"Entered or FEO","Not Entered")</f>
        <v>Not Entered</v>
      </c>
      <c r="C384" s="50" t="str">
        <f t="shared" ref="C384:C432" ca="1" si="9">IF(OR(B384="e",B384="FEO"),RAND(),"")</f>
        <v/>
      </c>
      <c r="D384" s="48"/>
      <c r="E384" s="48"/>
      <c r="F384" s="48" t="str">
        <f>IF(Table171019[[#This Row],[Status]]="Not Entered","",VLOOKUP(Table171019[[#This Row],[Ln'#]],Advanced!$A$65:$AU$114,3,FALSE))</f>
        <v/>
      </c>
      <c r="G38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4" s="51" t="str">
        <f>IF(Table171019[[#This Row],[Status]]="Not Entered","",VLOOKUP(Table171019[[#This Row],[Ln'#]],Advanced!$A$65:$AU$114,47,FALSE))</f>
        <v/>
      </c>
    </row>
    <row r="385" spans="1:8" ht="30" customHeight="1" x14ac:dyDescent="0.4">
      <c r="A385" s="49">
        <v>3</v>
      </c>
      <c r="B385" s="49" t="str">
        <f>IF(OR(VLOOKUP(Table171019[[#This Row],[Ln'#]],Advanced!A$65:AU$114,15,FALSE)="E",VLOOKUP(Table171019[[#This Row],[Ln'#]],Advanced!A$65:AU$114,15,FALSE)="FEO"),"Entered or FEO","Not Entered")</f>
        <v>Not Entered</v>
      </c>
      <c r="C385" s="50" t="str">
        <f t="shared" ca="1" si="9"/>
        <v/>
      </c>
      <c r="D385" s="48"/>
      <c r="E385" s="48"/>
      <c r="F385" s="48" t="str">
        <f>IF(Table171019[[#This Row],[Status]]="Not Entered","",VLOOKUP(Table171019[[#This Row],[Ln'#]],Advanced!$A$65:$AU$114,3,FALSE))</f>
        <v/>
      </c>
      <c r="G38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5" s="51" t="str">
        <f>IF(Table171019[[#This Row],[Status]]="Not Entered","",VLOOKUP(Table171019[[#This Row],[Ln'#]],Advanced!$A$65:$AU$114,47,FALSE))</f>
        <v/>
      </c>
    </row>
    <row r="386" spans="1:8" ht="30" customHeight="1" x14ac:dyDescent="0.4">
      <c r="A386" s="49">
        <v>4</v>
      </c>
      <c r="B386" s="49" t="str">
        <f>IF(OR(VLOOKUP(Table171019[[#This Row],[Ln'#]],Advanced!A$65:AU$114,15,FALSE)="E",VLOOKUP(Table171019[[#This Row],[Ln'#]],Advanced!A$65:AU$114,15,FALSE)="FEO"),"Entered or FEO","Not Entered")</f>
        <v>Not Entered</v>
      </c>
      <c r="C386" s="50" t="str">
        <f t="shared" ca="1" si="9"/>
        <v/>
      </c>
      <c r="D386" s="48"/>
      <c r="E386" s="48"/>
      <c r="F386" s="48" t="str">
        <f>IF(Table171019[[#This Row],[Status]]="Not Entered","",VLOOKUP(Table171019[[#This Row],[Ln'#]],Advanced!$A$65:$AU$114,3,FALSE))</f>
        <v/>
      </c>
      <c r="G38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6" s="51" t="str">
        <f>IF(Table171019[[#This Row],[Status]]="Not Entered","",VLOOKUP(Table171019[[#This Row],[Ln'#]],Advanced!$A$65:$AU$114,47,FALSE))</f>
        <v/>
      </c>
    </row>
    <row r="387" spans="1:8" ht="30" customHeight="1" x14ac:dyDescent="0.4">
      <c r="A387" s="49">
        <v>5</v>
      </c>
      <c r="B387" s="49" t="str">
        <f>IF(OR(VLOOKUP(Table171019[[#This Row],[Ln'#]],Advanced!A$65:AU$114,15,FALSE)="E",VLOOKUP(Table171019[[#This Row],[Ln'#]],Advanced!A$65:AU$114,15,FALSE)="FEO"),"Entered or FEO","Not Entered")</f>
        <v>Not Entered</v>
      </c>
      <c r="C387" s="50" t="str">
        <f t="shared" ca="1" si="9"/>
        <v/>
      </c>
      <c r="D387" s="48"/>
      <c r="E387" s="48"/>
      <c r="F387" s="48" t="str">
        <f>IF(Table171019[[#This Row],[Status]]="Not Entered","",VLOOKUP(Table171019[[#This Row],[Ln'#]],Advanced!$A$65:$AU$114,3,FALSE))</f>
        <v/>
      </c>
      <c r="G38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7" s="51" t="str">
        <f>IF(Table171019[[#This Row],[Status]]="Not Entered","",VLOOKUP(Table171019[[#This Row],[Ln'#]],Advanced!$A$65:$AU$114,47,FALSE))</f>
        <v/>
      </c>
    </row>
    <row r="388" spans="1:8" ht="30" customHeight="1" x14ac:dyDescent="0.4">
      <c r="A388" s="49">
        <v>6</v>
      </c>
      <c r="B388" s="49" t="str">
        <f>IF(OR(VLOOKUP(Table171019[[#This Row],[Ln'#]],Advanced!A$65:AU$114,15,FALSE)="E",VLOOKUP(Table171019[[#This Row],[Ln'#]],Advanced!A$65:AU$114,15,FALSE)="FEO"),"Entered or FEO","Not Entered")</f>
        <v>Not Entered</v>
      </c>
      <c r="C388" s="50" t="str">
        <f t="shared" ca="1" si="9"/>
        <v/>
      </c>
      <c r="D388" s="48"/>
      <c r="E388" s="48"/>
      <c r="F388" s="48" t="str">
        <f>IF(Table171019[[#This Row],[Status]]="Not Entered","",VLOOKUP(Table171019[[#This Row],[Ln'#]],Advanced!$A$65:$AU$114,3,FALSE))</f>
        <v/>
      </c>
      <c r="G38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8" s="51" t="str">
        <f>IF(Table171019[[#This Row],[Status]]="Not Entered","",VLOOKUP(Table171019[[#This Row],[Ln'#]],Advanced!$A$65:$AU$114,47,FALSE))</f>
        <v/>
      </c>
    </row>
    <row r="389" spans="1:8" ht="30" customHeight="1" x14ac:dyDescent="0.4">
      <c r="A389" s="49">
        <v>7</v>
      </c>
      <c r="B389" s="49" t="str">
        <f>IF(OR(VLOOKUP(Table171019[[#This Row],[Ln'#]],Advanced!A$65:AU$114,15,FALSE)="E",VLOOKUP(Table171019[[#This Row],[Ln'#]],Advanced!A$65:AU$114,15,FALSE)="FEO"),"Entered or FEO","Not Entered")</f>
        <v>Not Entered</v>
      </c>
      <c r="C389" s="50" t="str">
        <f t="shared" ca="1" si="9"/>
        <v/>
      </c>
      <c r="D389" s="48"/>
      <c r="E389" s="48"/>
      <c r="F389" s="48" t="str">
        <f>IF(Table171019[[#This Row],[Status]]="Not Entered","",VLOOKUP(Table171019[[#This Row],[Ln'#]],Advanced!$A$65:$AU$114,3,FALSE))</f>
        <v/>
      </c>
      <c r="G38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9" s="51" t="str">
        <f>IF(Table171019[[#This Row],[Status]]="Not Entered","",VLOOKUP(Table171019[[#This Row],[Ln'#]],Advanced!$A$65:$AU$114,47,FALSE))</f>
        <v/>
      </c>
    </row>
    <row r="390" spans="1:8" ht="30" customHeight="1" x14ac:dyDescent="0.4">
      <c r="A390" s="49">
        <v>8</v>
      </c>
      <c r="B390" s="49" t="str">
        <f>IF(OR(VLOOKUP(Table171019[[#This Row],[Ln'#]],Advanced!A$65:AU$114,15,FALSE)="E",VLOOKUP(Table171019[[#This Row],[Ln'#]],Advanced!A$65:AU$114,15,FALSE)="FEO"),"Entered or FEO","Not Entered")</f>
        <v>Not Entered</v>
      </c>
      <c r="C390" s="50" t="str">
        <f t="shared" ca="1" si="9"/>
        <v/>
      </c>
      <c r="D390" s="48"/>
      <c r="E390" s="48"/>
      <c r="F390" s="48" t="str">
        <f>IF(Table171019[[#This Row],[Status]]="Not Entered","",VLOOKUP(Table171019[[#This Row],[Ln'#]],Advanced!$A$65:$AU$114,3,FALSE))</f>
        <v/>
      </c>
      <c r="G39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0" s="51" t="str">
        <f>IF(Table171019[[#This Row],[Status]]="Not Entered","",VLOOKUP(Table171019[[#This Row],[Ln'#]],Advanced!$A$65:$AU$114,47,FALSE))</f>
        <v/>
      </c>
    </row>
    <row r="391" spans="1:8" ht="30" customHeight="1" x14ac:dyDescent="0.4">
      <c r="A391" s="49">
        <v>9</v>
      </c>
      <c r="B391" s="49" t="str">
        <f>IF(OR(VLOOKUP(Table171019[[#This Row],[Ln'#]],Advanced!A$65:AU$114,15,FALSE)="E",VLOOKUP(Table171019[[#This Row],[Ln'#]],Advanced!A$65:AU$114,15,FALSE)="FEO"),"Entered or FEO","Not Entered")</f>
        <v>Not Entered</v>
      </c>
      <c r="C391" s="50" t="str">
        <f t="shared" ca="1" si="9"/>
        <v/>
      </c>
      <c r="D391" s="48"/>
      <c r="E391" s="48"/>
      <c r="F391" s="48" t="str">
        <f>IF(Table171019[[#This Row],[Status]]="Not Entered","",VLOOKUP(Table171019[[#This Row],[Ln'#]],Advanced!$A$65:$AU$114,3,FALSE))</f>
        <v/>
      </c>
      <c r="G39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1" s="51" t="str">
        <f>IF(Table171019[[#This Row],[Status]]="Not Entered","",VLOOKUP(Table171019[[#This Row],[Ln'#]],Advanced!$A$65:$AU$114,47,FALSE))</f>
        <v/>
      </c>
    </row>
    <row r="392" spans="1:8" ht="30" customHeight="1" x14ac:dyDescent="0.4">
      <c r="A392" s="49">
        <v>10</v>
      </c>
      <c r="B392" s="49" t="str">
        <f>IF(OR(VLOOKUP(Table171019[[#This Row],[Ln'#]],Advanced!A$65:AU$114,15,FALSE)="E",VLOOKUP(Table171019[[#This Row],[Ln'#]],Advanced!A$65:AU$114,15,FALSE)="FEO"),"Entered or FEO","Not Entered")</f>
        <v>Not Entered</v>
      </c>
      <c r="C392" s="50" t="str">
        <f t="shared" ca="1" si="9"/>
        <v/>
      </c>
      <c r="D392" s="48"/>
      <c r="E392" s="48"/>
      <c r="F392" s="48" t="str">
        <f>IF(Table171019[[#This Row],[Status]]="Not Entered","",VLOOKUP(Table171019[[#This Row],[Ln'#]],Advanced!$A$65:$AU$114,3,FALSE))</f>
        <v/>
      </c>
      <c r="G39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2" s="51" t="str">
        <f>IF(Table171019[[#This Row],[Status]]="Not Entered","",VLOOKUP(Table171019[[#This Row],[Ln'#]],Advanced!$A$65:$AU$114,47,FALSE))</f>
        <v/>
      </c>
    </row>
    <row r="393" spans="1:8" ht="30" customHeight="1" x14ac:dyDescent="0.4">
      <c r="A393" s="49">
        <v>11</v>
      </c>
      <c r="B393" s="49" t="str">
        <f>IF(OR(VLOOKUP(Table171019[[#This Row],[Ln'#]],Advanced!A$65:AU$114,15,FALSE)="E",VLOOKUP(Table171019[[#This Row],[Ln'#]],Advanced!A$65:AU$114,15,FALSE)="FEO"),"Entered or FEO","Not Entered")</f>
        <v>Not Entered</v>
      </c>
      <c r="C393" s="50" t="str">
        <f t="shared" ca="1" si="9"/>
        <v/>
      </c>
      <c r="D393" s="48"/>
      <c r="E393" s="48"/>
      <c r="F393" s="48" t="str">
        <f>IF(Table171019[[#This Row],[Status]]="Not Entered","",VLOOKUP(Table171019[[#This Row],[Ln'#]],Advanced!$A$65:$AU$114,3,FALSE))</f>
        <v/>
      </c>
      <c r="G39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3" s="51" t="str">
        <f>IF(Table171019[[#This Row],[Status]]="Not Entered","",VLOOKUP(Table171019[[#This Row],[Ln'#]],Advanced!$A$65:$AU$114,47,FALSE))</f>
        <v/>
      </c>
    </row>
    <row r="394" spans="1:8" ht="30" customHeight="1" x14ac:dyDescent="0.4">
      <c r="A394" s="49">
        <v>12</v>
      </c>
      <c r="B394" s="49" t="str">
        <f>IF(OR(VLOOKUP(Table171019[[#This Row],[Ln'#]],Advanced!A$65:AU$114,15,FALSE)="E",VLOOKUP(Table171019[[#This Row],[Ln'#]],Advanced!A$65:AU$114,15,FALSE)="FEO"),"Entered or FEO","Not Entered")</f>
        <v>Not Entered</v>
      </c>
      <c r="C394" s="50" t="str">
        <f t="shared" ca="1" si="9"/>
        <v/>
      </c>
      <c r="D394" s="48"/>
      <c r="E394" s="48"/>
      <c r="F394" s="48" t="str">
        <f>IF(Table171019[[#This Row],[Status]]="Not Entered","",VLOOKUP(Table171019[[#This Row],[Ln'#]],Advanced!$A$65:$AU$114,3,FALSE))</f>
        <v/>
      </c>
      <c r="G39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4" s="51" t="str">
        <f>IF(Table171019[[#This Row],[Status]]="Not Entered","",VLOOKUP(Table171019[[#This Row],[Ln'#]],Advanced!$A$65:$AU$114,47,FALSE))</f>
        <v/>
      </c>
    </row>
    <row r="395" spans="1:8" ht="30" customHeight="1" x14ac:dyDescent="0.4">
      <c r="A395" s="49">
        <v>13</v>
      </c>
      <c r="B395" s="49" t="str">
        <f>IF(OR(VLOOKUP(Table171019[[#This Row],[Ln'#]],Advanced!A$65:AU$114,15,FALSE)="E",VLOOKUP(Table171019[[#This Row],[Ln'#]],Advanced!A$65:AU$114,15,FALSE)="FEO"),"Entered or FEO","Not Entered")</f>
        <v>Not Entered</v>
      </c>
      <c r="C395" s="50" t="str">
        <f t="shared" ca="1" si="9"/>
        <v/>
      </c>
      <c r="D395" s="48"/>
      <c r="E395" s="48"/>
      <c r="F395" s="48" t="str">
        <f>IF(Table171019[[#This Row],[Status]]="Not Entered","",VLOOKUP(Table171019[[#This Row],[Ln'#]],Advanced!$A$65:$AU$114,3,FALSE))</f>
        <v/>
      </c>
      <c r="G39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5" s="51" t="str">
        <f>IF(Table171019[[#This Row],[Status]]="Not Entered","",VLOOKUP(Table171019[[#This Row],[Ln'#]],Advanced!$A$65:$AU$114,47,FALSE))</f>
        <v/>
      </c>
    </row>
    <row r="396" spans="1:8" ht="30" customHeight="1" x14ac:dyDescent="0.4">
      <c r="A396" s="49">
        <v>14</v>
      </c>
      <c r="B396" s="49" t="str">
        <f>IF(OR(VLOOKUP(Table171019[[#This Row],[Ln'#]],Advanced!A$65:AU$114,15,FALSE)="E",VLOOKUP(Table171019[[#This Row],[Ln'#]],Advanced!A$65:AU$114,15,FALSE)="FEO"),"Entered or FEO","Not Entered")</f>
        <v>Not Entered</v>
      </c>
      <c r="C396" s="50" t="str">
        <f t="shared" ca="1" si="9"/>
        <v/>
      </c>
      <c r="D396" s="48"/>
      <c r="E396" s="48"/>
      <c r="F396" s="48" t="str">
        <f>IF(Table171019[[#This Row],[Status]]="Not Entered","",VLOOKUP(Table171019[[#This Row],[Ln'#]],Advanced!$A$65:$AU$114,3,FALSE))</f>
        <v/>
      </c>
      <c r="G39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6" s="51" t="str">
        <f>IF(Table171019[[#This Row],[Status]]="Not Entered","",VLOOKUP(Table171019[[#This Row],[Ln'#]],Advanced!$A$65:$AU$114,47,FALSE))</f>
        <v/>
      </c>
    </row>
    <row r="397" spans="1:8" ht="30" customHeight="1" x14ac:dyDescent="0.4">
      <c r="A397" s="49">
        <v>15</v>
      </c>
      <c r="B397" s="49" t="str">
        <f>IF(OR(VLOOKUP(Table171019[[#This Row],[Ln'#]],Advanced!A$65:AU$114,15,FALSE)="E",VLOOKUP(Table171019[[#This Row],[Ln'#]],Advanced!A$65:AU$114,15,FALSE)="FEO"),"Entered or FEO","Not Entered")</f>
        <v>Not Entered</v>
      </c>
      <c r="C397" s="50" t="str">
        <f t="shared" ca="1" si="9"/>
        <v/>
      </c>
      <c r="D397" s="48"/>
      <c r="E397" s="48"/>
      <c r="F397" s="48" t="str">
        <f>IF(Table171019[[#This Row],[Status]]="Not Entered","",VLOOKUP(Table171019[[#This Row],[Ln'#]],Advanced!$A$65:$AU$114,3,FALSE))</f>
        <v/>
      </c>
      <c r="G39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7" s="51" t="str">
        <f>IF(Table171019[[#This Row],[Status]]="Not Entered","",VLOOKUP(Table171019[[#This Row],[Ln'#]],Advanced!$A$65:$AU$114,47,FALSE))</f>
        <v/>
      </c>
    </row>
    <row r="398" spans="1:8" ht="30" customHeight="1" x14ac:dyDescent="0.4">
      <c r="A398" s="49">
        <v>16</v>
      </c>
      <c r="B398" s="49" t="str">
        <f>IF(OR(VLOOKUP(Table171019[[#This Row],[Ln'#]],Advanced!A$65:AU$114,15,FALSE)="E",VLOOKUP(Table171019[[#This Row],[Ln'#]],Advanced!A$65:AU$114,15,FALSE)="FEO"),"Entered or FEO","Not Entered")</f>
        <v>Not Entered</v>
      </c>
      <c r="C398" s="50" t="str">
        <f t="shared" ca="1" si="9"/>
        <v/>
      </c>
      <c r="D398" s="48"/>
      <c r="E398" s="48"/>
      <c r="F398" s="48" t="str">
        <f>IF(Table171019[[#This Row],[Status]]="Not Entered","",VLOOKUP(Table171019[[#This Row],[Ln'#]],Advanced!$A$65:$AU$114,3,FALSE))</f>
        <v/>
      </c>
      <c r="G39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8" s="51" t="str">
        <f>IF(Table171019[[#This Row],[Status]]="Not Entered","",VLOOKUP(Table171019[[#This Row],[Ln'#]],Advanced!$A$65:$AU$114,47,FALSE))</f>
        <v/>
      </c>
    </row>
    <row r="399" spans="1:8" ht="30" customHeight="1" x14ac:dyDescent="0.4">
      <c r="A399" s="49">
        <v>17</v>
      </c>
      <c r="B399" s="49" t="str">
        <f>IF(OR(VLOOKUP(Table171019[[#This Row],[Ln'#]],Advanced!A$65:AU$114,15,FALSE)="E",VLOOKUP(Table171019[[#This Row],[Ln'#]],Advanced!A$65:AU$114,15,FALSE)="FEO"),"Entered or FEO","Not Entered")</f>
        <v>Not Entered</v>
      </c>
      <c r="C399" s="50" t="str">
        <f t="shared" ca="1" si="9"/>
        <v/>
      </c>
      <c r="D399" s="48"/>
      <c r="E399" s="48"/>
      <c r="F399" s="48" t="str">
        <f>IF(Table171019[[#This Row],[Status]]="Not Entered","",VLOOKUP(Table171019[[#This Row],[Ln'#]],Advanced!$A$65:$AU$114,3,FALSE))</f>
        <v/>
      </c>
      <c r="G39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9" s="51" t="str">
        <f>IF(Table171019[[#This Row],[Status]]="Not Entered","",VLOOKUP(Table171019[[#This Row],[Ln'#]],Advanced!$A$65:$AU$114,47,FALSE))</f>
        <v/>
      </c>
    </row>
    <row r="400" spans="1:8" ht="30" customHeight="1" x14ac:dyDescent="0.4">
      <c r="A400" s="49">
        <v>18</v>
      </c>
      <c r="B400" s="49" t="str">
        <f>IF(OR(VLOOKUP(Table171019[[#This Row],[Ln'#]],Advanced!A$65:AU$114,15,FALSE)="E",VLOOKUP(Table171019[[#This Row],[Ln'#]],Advanced!A$65:AU$114,15,FALSE)="FEO"),"Entered or FEO","Not Entered")</f>
        <v>Not Entered</v>
      </c>
      <c r="C400" s="50" t="str">
        <f t="shared" ca="1" si="9"/>
        <v/>
      </c>
      <c r="D400" s="48"/>
      <c r="E400" s="48"/>
      <c r="F400" s="48" t="str">
        <f>IF(Table171019[[#This Row],[Status]]="Not Entered","",VLOOKUP(Table171019[[#This Row],[Ln'#]],Advanced!$A$65:$AU$114,3,FALSE))</f>
        <v/>
      </c>
      <c r="G40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0" s="51" t="str">
        <f>IF(Table171019[[#This Row],[Status]]="Not Entered","",VLOOKUP(Table171019[[#This Row],[Ln'#]],Advanced!$A$65:$AU$114,47,FALSE))</f>
        <v/>
      </c>
    </row>
    <row r="401" spans="1:8" ht="30" customHeight="1" x14ac:dyDescent="0.4">
      <c r="A401" s="49">
        <v>19</v>
      </c>
      <c r="B401" s="49" t="str">
        <f>IF(OR(VLOOKUP(Table171019[[#This Row],[Ln'#]],Advanced!A$65:AU$114,15,FALSE)="E",VLOOKUP(Table171019[[#This Row],[Ln'#]],Advanced!A$65:AU$114,15,FALSE)="FEO"),"Entered or FEO","Not Entered")</f>
        <v>Not Entered</v>
      </c>
      <c r="C401" s="50" t="str">
        <f t="shared" ca="1" si="9"/>
        <v/>
      </c>
      <c r="D401" s="48"/>
      <c r="E401" s="48"/>
      <c r="F401" s="48" t="str">
        <f>IF(Table171019[[#This Row],[Status]]="Not Entered","",VLOOKUP(Table171019[[#This Row],[Ln'#]],Advanced!$A$65:$AU$114,3,FALSE))</f>
        <v/>
      </c>
      <c r="G40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1" s="51" t="str">
        <f>IF(Table171019[[#This Row],[Status]]="Not Entered","",VLOOKUP(Table171019[[#This Row],[Ln'#]],Advanced!$A$65:$AU$114,47,FALSE))</f>
        <v/>
      </c>
    </row>
    <row r="402" spans="1:8" ht="30" customHeight="1" x14ac:dyDescent="0.4">
      <c r="A402" s="49">
        <v>20</v>
      </c>
      <c r="B402" s="49" t="str">
        <f>IF(OR(VLOOKUP(Table171019[[#This Row],[Ln'#]],Advanced!A$65:AU$114,15,FALSE)="E",VLOOKUP(Table171019[[#This Row],[Ln'#]],Advanced!A$65:AU$114,15,FALSE)="FEO"),"Entered or FEO","Not Entered")</f>
        <v>Not Entered</v>
      </c>
      <c r="C402" s="50" t="str">
        <f t="shared" ca="1" si="9"/>
        <v/>
      </c>
      <c r="D402" s="48"/>
      <c r="E402" s="48"/>
      <c r="F402" s="48" t="str">
        <f>IF(Table171019[[#This Row],[Status]]="Not Entered","",VLOOKUP(Table171019[[#This Row],[Ln'#]],Advanced!$A$65:$AU$114,3,FALSE))</f>
        <v/>
      </c>
      <c r="G40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2" s="51" t="str">
        <f>IF(Table171019[[#This Row],[Status]]="Not Entered","",VLOOKUP(Table171019[[#This Row],[Ln'#]],Advanced!$A$65:$AU$114,47,FALSE))</f>
        <v/>
      </c>
    </row>
    <row r="403" spans="1:8" ht="30" customHeight="1" x14ac:dyDescent="0.4">
      <c r="A403" s="49">
        <v>21</v>
      </c>
      <c r="B403" s="49" t="str">
        <f>IF(OR(VLOOKUP(Table171019[[#This Row],[Ln'#]],Advanced!A$65:AU$114,15,FALSE)="E",VLOOKUP(Table171019[[#This Row],[Ln'#]],Advanced!A$65:AU$114,15,FALSE)="FEO"),"Entered or FEO","Not Entered")</f>
        <v>Not Entered</v>
      </c>
      <c r="C403" s="50" t="str">
        <f t="shared" ca="1" si="9"/>
        <v/>
      </c>
      <c r="D403" s="48"/>
      <c r="E403" s="48"/>
      <c r="F403" s="48" t="str">
        <f>IF(Table171019[[#This Row],[Status]]="Not Entered","",VLOOKUP(Table171019[[#This Row],[Ln'#]],Advanced!$A$65:$AU$114,3,FALSE))</f>
        <v/>
      </c>
      <c r="G40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3" s="51" t="str">
        <f>IF(Table171019[[#This Row],[Status]]="Not Entered","",VLOOKUP(Table171019[[#This Row],[Ln'#]],Advanced!$A$65:$AU$114,47,FALSE))</f>
        <v/>
      </c>
    </row>
    <row r="404" spans="1:8" ht="30" customHeight="1" x14ac:dyDescent="0.4">
      <c r="A404" s="49">
        <v>22</v>
      </c>
      <c r="B404" s="49" t="str">
        <f>IF(OR(VLOOKUP(Table171019[[#This Row],[Ln'#]],Advanced!A$65:AU$114,15,FALSE)="E",VLOOKUP(Table171019[[#This Row],[Ln'#]],Advanced!A$65:AU$114,15,FALSE)="FEO"),"Entered or FEO","Not Entered")</f>
        <v>Not Entered</v>
      </c>
      <c r="C404" s="50" t="str">
        <f t="shared" ca="1" si="9"/>
        <v/>
      </c>
      <c r="D404" s="48"/>
      <c r="E404" s="48"/>
      <c r="F404" s="48" t="str">
        <f>IF(Table171019[[#This Row],[Status]]="Not Entered","",VLOOKUP(Table171019[[#This Row],[Ln'#]],Advanced!$A$65:$AU$114,3,FALSE))</f>
        <v/>
      </c>
      <c r="G40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4" s="51" t="str">
        <f>IF(Table171019[[#This Row],[Status]]="Not Entered","",VLOOKUP(Table171019[[#This Row],[Ln'#]],Advanced!$A$65:$AU$114,47,FALSE))</f>
        <v/>
      </c>
    </row>
    <row r="405" spans="1:8" ht="30" customHeight="1" x14ac:dyDescent="0.4">
      <c r="A405" s="49">
        <v>23</v>
      </c>
      <c r="B405" s="49" t="str">
        <f>IF(OR(VLOOKUP(Table171019[[#This Row],[Ln'#]],Advanced!A$65:AU$114,15,FALSE)="E",VLOOKUP(Table171019[[#This Row],[Ln'#]],Advanced!A$65:AU$114,15,FALSE)="FEO"),"Entered or FEO","Not Entered")</f>
        <v>Not Entered</v>
      </c>
      <c r="C405" s="50" t="str">
        <f t="shared" ca="1" si="9"/>
        <v/>
      </c>
      <c r="D405" s="48"/>
      <c r="E405" s="48"/>
      <c r="F405" s="48" t="str">
        <f>IF(Table171019[[#This Row],[Status]]="Not Entered","",VLOOKUP(Table171019[[#This Row],[Ln'#]],Advanced!$A$65:$AU$114,3,FALSE))</f>
        <v/>
      </c>
      <c r="G40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5" s="51" t="str">
        <f>IF(Table171019[[#This Row],[Status]]="Not Entered","",VLOOKUP(Table171019[[#This Row],[Ln'#]],Advanced!$A$65:$AU$114,47,FALSE))</f>
        <v/>
      </c>
    </row>
    <row r="406" spans="1:8" ht="30" customHeight="1" x14ac:dyDescent="0.4">
      <c r="A406" s="49">
        <v>24</v>
      </c>
      <c r="B406" s="49" t="str">
        <f>IF(OR(VLOOKUP(Table171019[[#This Row],[Ln'#]],Advanced!A$65:AU$114,15,FALSE)="E",VLOOKUP(Table171019[[#This Row],[Ln'#]],Advanced!A$65:AU$114,15,FALSE)="FEO"),"Entered or FEO","Not Entered")</f>
        <v>Not Entered</v>
      </c>
      <c r="C406" s="50" t="str">
        <f t="shared" ca="1" si="9"/>
        <v/>
      </c>
      <c r="D406" s="48"/>
      <c r="E406" s="48"/>
      <c r="F406" s="48" t="str">
        <f>IF(Table171019[[#This Row],[Status]]="Not Entered","",VLOOKUP(Table171019[[#This Row],[Ln'#]],Advanced!$A$65:$AU$114,3,FALSE))</f>
        <v/>
      </c>
      <c r="G40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6" s="51" t="str">
        <f>IF(Table171019[[#This Row],[Status]]="Not Entered","",VLOOKUP(Table171019[[#This Row],[Ln'#]],Advanced!$A$65:$AU$114,47,FALSE))</f>
        <v/>
      </c>
    </row>
    <row r="407" spans="1:8" ht="30" customHeight="1" x14ac:dyDescent="0.4">
      <c r="A407" s="49">
        <v>25</v>
      </c>
      <c r="B407" s="49" t="str">
        <f>IF(OR(VLOOKUP(Table171019[[#This Row],[Ln'#]],Advanced!A$65:AU$114,15,FALSE)="E",VLOOKUP(Table171019[[#This Row],[Ln'#]],Advanced!A$65:AU$114,15,FALSE)="FEO"),"Entered or FEO","Not Entered")</f>
        <v>Not Entered</v>
      </c>
      <c r="C407" s="50" t="str">
        <f t="shared" ca="1" si="9"/>
        <v/>
      </c>
      <c r="D407" s="48"/>
      <c r="E407" s="48"/>
      <c r="F407" s="48" t="str">
        <f>IF(Table171019[[#This Row],[Status]]="Not Entered","",VLOOKUP(Table171019[[#This Row],[Ln'#]],Advanced!$A$65:$AU$114,3,FALSE))</f>
        <v/>
      </c>
      <c r="G40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7" s="51" t="str">
        <f>IF(Table171019[[#This Row],[Status]]="Not Entered","",VLOOKUP(Table171019[[#This Row],[Ln'#]],Advanced!$A$65:$AU$114,47,FALSE))</f>
        <v/>
      </c>
    </row>
    <row r="408" spans="1:8" ht="30" customHeight="1" x14ac:dyDescent="0.4">
      <c r="A408" s="49">
        <v>26</v>
      </c>
      <c r="B408" s="49" t="str">
        <f>IF(OR(VLOOKUP(Table171019[[#This Row],[Ln'#]],Advanced!A$65:AU$114,15,FALSE)="E",VLOOKUP(Table171019[[#This Row],[Ln'#]],Advanced!A$65:AU$114,15,FALSE)="FEO"),"Entered or FEO","Not Entered")</f>
        <v>Not Entered</v>
      </c>
      <c r="C408" s="50" t="str">
        <f t="shared" ca="1" si="9"/>
        <v/>
      </c>
      <c r="D408" s="48"/>
      <c r="E408" s="48"/>
      <c r="F408" s="48" t="str">
        <f>IF(Table171019[[#This Row],[Status]]="Not Entered","",VLOOKUP(Table171019[[#This Row],[Ln'#]],Advanced!$A$65:$AU$114,3,FALSE))</f>
        <v/>
      </c>
      <c r="G40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8" s="51" t="str">
        <f>IF(Table171019[[#This Row],[Status]]="Not Entered","",VLOOKUP(Table171019[[#This Row],[Ln'#]],Advanced!$A$65:$AU$114,47,FALSE))</f>
        <v/>
      </c>
    </row>
    <row r="409" spans="1:8" ht="30" customHeight="1" x14ac:dyDescent="0.4">
      <c r="A409" s="49">
        <v>27</v>
      </c>
      <c r="B409" s="49" t="str">
        <f>IF(OR(VLOOKUP(Table171019[[#This Row],[Ln'#]],Advanced!A$65:AU$114,15,FALSE)="E",VLOOKUP(Table171019[[#This Row],[Ln'#]],Advanced!A$65:AU$114,15,FALSE)="FEO"),"Entered or FEO","Not Entered")</f>
        <v>Not Entered</v>
      </c>
      <c r="C409" s="50" t="str">
        <f t="shared" ca="1" si="9"/>
        <v/>
      </c>
      <c r="D409" s="48"/>
      <c r="E409" s="48"/>
      <c r="F409" s="48" t="str">
        <f>IF(Table171019[[#This Row],[Status]]="Not Entered","",VLOOKUP(Table171019[[#This Row],[Ln'#]],Advanced!$A$65:$AU$114,3,FALSE))</f>
        <v/>
      </c>
      <c r="G40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9" s="51" t="str">
        <f>IF(Table171019[[#This Row],[Status]]="Not Entered","",VLOOKUP(Table171019[[#This Row],[Ln'#]],Advanced!$A$65:$AU$114,47,FALSE))</f>
        <v/>
      </c>
    </row>
    <row r="410" spans="1:8" ht="30" customHeight="1" x14ac:dyDescent="0.4">
      <c r="A410" s="49">
        <v>28</v>
      </c>
      <c r="B410" s="49" t="str">
        <f>IF(OR(VLOOKUP(Table171019[[#This Row],[Ln'#]],Advanced!A$65:AU$114,15,FALSE)="E",VLOOKUP(Table171019[[#This Row],[Ln'#]],Advanced!A$65:AU$114,15,FALSE)="FEO"),"Entered or FEO","Not Entered")</f>
        <v>Not Entered</v>
      </c>
      <c r="C410" s="50" t="str">
        <f t="shared" ca="1" si="9"/>
        <v/>
      </c>
      <c r="D410" s="48"/>
      <c r="E410" s="48"/>
      <c r="F410" s="48" t="str">
        <f>IF(Table171019[[#This Row],[Status]]="Not Entered","",VLOOKUP(Table171019[[#This Row],[Ln'#]],Advanced!$A$65:$AU$114,3,FALSE))</f>
        <v/>
      </c>
      <c r="G41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0" s="51" t="str">
        <f>IF(Table171019[[#This Row],[Status]]="Not Entered","",VLOOKUP(Table171019[[#This Row],[Ln'#]],Advanced!$A$65:$AU$114,47,FALSE))</f>
        <v/>
      </c>
    </row>
    <row r="411" spans="1:8" ht="30" customHeight="1" x14ac:dyDescent="0.4">
      <c r="A411" s="49">
        <v>29</v>
      </c>
      <c r="B411" s="49" t="str">
        <f>IF(OR(VLOOKUP(Table171019[[#This Row],[Ln'#]],Advanced!A$65:AU$114,15,FALSE)="E",VLOOKUP(Table171019[[#This Row],[Ln'#]],Advanced!A$65:AU$114,15,FALSE)="FEO"),"Entered or FEO","Not Entered")</f>
        <v>Not Entered</v>
      </c>
      <c r="C411" s="50" t="str">
        <f t="shared" ca="1" si="9"/>
        <v/>
      </c>
      <c r="D411" s="48"/>
      <c r="E411" s="48"/>
      <c r="F411" s="48" t="str">
        <f>IF(Table171019[[#This Row],[Status]]="Not Entered","",VLOOKUP(Table171019[[#This Row],[Ln'#]],Advanced!$A$65:$AU$114,3,FALSE))</f>
        <v/>
      </c>
      <c r="G41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1" s="51" t="str">
        <f>IF(Table171019[[#This Row],[Status]]="Not Entered","",VLOOKUP(Table171019[[#This Row],[Ln'#]],Advanced!$A$65:$AU$114,47,FALSE))</f>
        <v/>
      </c>
    </row>
    <row r="412" spans="1:8" ht="30" customHeight="1" x14ac:dyDescent="0.4">
      <c r="A412" s="49">
        <v>30</v>
      </c>
      <c r="B412" s="49" t="str">
        <f>IF(OR(VLOOKUP(Table171019[[#This Row],[Ln'#]],Advanced!A$65:AU$114,15,FALSE)="E",VLOOKUP(Table171019[[#This Row],[Ln'#]],Advanced!A$65:AU$114,15,FALSE)="FEO"),"Entered or FEO","Not Entered")</f>
        <v>Not Entered</v>
      </c>
      <c r="C412" s="50" t="str">
        <f t="shared" ca="1" si="9"/>
        <v/>
      </c>
      <c r="D412" s="48"/>
      <c r="E412" s="48"/>
      <c r="F412" s="48" t="str">
        <f>IF(Table171019[[#This Row],[Status]]="Not Entered","",VLOOKUP(Table171019[[#This Row],[Ln'#]],Advanced!$A$65:$AU$114,3,FALSE))</f>
        <v/>
      </c>
      <c r="G41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2" s="51" t="str">
        <f>IF(Table171019[[#This Row],[Status]]="Not Entered","",VLOOKUP(Table171019[[#This Row],[Ln'#]],Advanced!$A$65:$AU$114,47,FALSE))</f>
        <v/>
      </c>
    </row>
    <row r="413" spans="1:8" ht="30" customHeight="1" x14ac:dyDescent="0.4">
      <c r="A413" s="49">
        <v>31</v>
      </c>
      <c r="B413" s="49" t="str">
        <f>IF(OR(VLOOKUP(Table171019[[#This Row],[Ln'#]],Advanced!A$65:AU$114,15,FALSE)="E",VLOOKUP(Table171019[[#This Row],[Ln'#]],Advanced!A$65:AU$114,15,FALSE)="FEO"),"Entered or FEO","Not Entered")</f>
        <v>Not Entered</v>
      </c>
      <c r="C413" s="50" t="str">
        <f t="shared" ca="1" si="9"/>
        <v/>
      </c>
      <c r="D413" s="48"/>
      <c r="E413" s="48"/>
      <c r="F413" s="48" t="str">
        <f>IF(Table171019[[#This Row],[Status]]="Not Entered","",VLOOKUP(Table171019[[#This Row],[Ln'#]],Advanced!$A$65:$AU$114,3,FALSE))</f>
        <v/>
      </c>
      <c r="G41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3" s="51" t="str">
        <f>IF(Table171019[[#This Row],[Status]]="Not Entered","",VLOOKUP(Table171019[[#This Row],[Ln'#]],Advanced!$A$65:$AU$114,47,FALSE))</f>
        <v/>
      </c>
    </row>
    <row r="414" spans="1:8" ht="30" customHeight="1" x14ac:dyDescent="0.4">
      <c r="A414" s="49">
        <v>32</v>
      </c>
      <c r="B414" s="49" t="str">
        <f>IF(OR(VLOOKUP(Table171019[[#This Row],[Ln'#]],Advanced!A$65:AU$114,15,FALSE)="E",VLOOKUP(Table171019[[#This Row],[Ln'#]],Advanced!A$65:AU$114,15,FALSE)="FEO"),"Entered or FEO","Not Entered")</f>
        <v>Not Entered</v>
      </c>
      <c r="C414" s="50" t="str">
        <f t="shared" ca="1" si="9"/>
        <v/>
      </c>
      <c r="D414" s="48"/>
      <c r="E414" s="48"/>
      <c r="F414" s="48" t="str">
        <f>IF(Table171019[[#This Row],[Status]]="Not Entered","",VLOOKUP(Table171019[[#This Row],[Ln'#]],Advanced!$A$65:$AU$114,3,FALSE))</f>
        <v/>
      </c>
      <c r="G41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4" s="51" t="str">
        <f>IF(Table171019[[#This Row],[Status]]="Not Entered","",VLOOKUP(Table171019[[#This Row],[Ln'#]],Advanced!$A$65:$AU$114,47,FALSE))</f>
        <v/>
      </c>
    </row>
    <row r="415" spans="1:8" ht="30" customHeight="1" x14ac:dyDescent="0.4">
      <c r="A415" s="49">
        <v>33</v>
      </c>
      <c r="B415" s="49" t="str">
        <f>IF(OR(VLOOKUP(Table171019[[#This Row],[Ln'#]],Advanced!A$65:AU$114,15,FALSE)="E",VLOOKUP(Table171019[[#This Row],[Ln'#]],Advanced!A$65:AU$114,15,FALSE)="FEO"),"Entered or FEO","Not Entered")</f>
        <v>Not Entered</v>
      </c>
      <c r="C415" s="50" t="str">
        <f t="shared" ca="1" si="9"/>
        <v/>
      </c>
      <c r="D415" s="48"/>
      <c r="E415" s="48"/>
      <c r="F415" s="48" t="str">
        <f>IF(Table171019[[#This Row],[Status]]="Not Entered","",VLOOKUP(Table171019[[#This Row],[Ln'#]],Advanced!$A$65:$AU$114,3,FALSE))</f>
        <v/>
      </c>
      <c r="G41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5" s="51" t="str">
        <f>IF(Table171019[[#This Row],[Status]]="Not Entered","",VLOOKUP(Table171019[[#This Row],[Ln'#]],Advanced!$A$65:$AU$114,47,FALSE))</f>
        <v/>
      </c>
    </row>
    <row r="416" spans="1:8" ht="30" customHeight="1" x14ac:dyDescent="0.4">
      <c r="A416" s="49">
        <v>34</v>
      </c>
      <c r="B416" s="49" t="str">
        <f>IF(OR(VLOOKUP(Table171019[[#This Row],[Ln'#]],Advanced!A$65:AU$114,15,FALSE)="E",VLOOKUP(Table171019[[#This Row],[Ln'#]],Advanced!A$65:AU$114,15,FALSE)="FEO"),"Entered or FEO","Not Entered")</f>
        <v>Not Entered</v>
      </c>
      <c r="C416" s="50" t="str">
        <f t="shared" ca="1" si="9"/>
        <v/>
      </c>
      <c r="D416" s="48"/>
      <c r="E416" s="48"/>
      <c r="F416" s="48" t="str">
        <f>IF(Table171019[[#This Row],[Status]]="Not Entered","",VLOOKUP(Table171019[[#This Row],[Ln'#]],Advanced!$A$65:$AU$114,3,FALSE))</f>
        <v/>
      </c>
      <c r="G41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6" s="51" t="str">
        <f>IF(Table171019[[#This Row],[Status]]="Not Entered","",VLOOKUP(Table171019[[#This Row],[Ln'#]],Advanced!$A$65:$AU$114,47,FALSE))</f>
        <v/>
      </c>
    </row>
    <row r="417" spans="1:8" ht="30" customHeight="1" x14ac:dyDescent="0.4">
      <c r="A417" s="49">
        <v>35</v>
      </c>
      <c r="B417" s="49" t="str">
        <f>IF(OR(VLOOKUP(Table171019[[#This Row],[Ln'#]],Advanced!A$65:AU$114,15,FALSE)="E",VLOOKUP(Table171019[[#This Row],[Ln'#]],Advanced!A$65:AU$114,15,FALSE)="FEO"),"Entered or FEO","Not Entered")</f>
        <v>Not Entered</v>
      </c>
      <c r="C417" s="50" t="str">
        <f t="shared" ca="1" si="9"/>
        <v/>
      </c>
      <c r="D417" s="48"/>
      <c r="E417" s="48"/>
      <c r="F417" s="48" t="str">
        <f>IF(Table171019[[#This Row],[Status]]="Not Entered","",VLOOKUP(Table171019[[#This Row],[Ln'#]],Advanced!$A$65:$AU$114,3,FALSE))</f>
        <v/>
      </c>
      <c r="G41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7" s="51" t="str">
        <f>IF(Table171019[[#This Row],[Status]]="Not Entered","",VLOOKUP(Table171019[[#This Row],[Ln'#]],Advanced!$A$65:$AU$114,47,FALSE))</f>
        <v/>
      </c>
    </row>
    <row r="418" spans="1:8" ht="30" customHeight="1" x14ac:dyDescent="0.4">
      <c r="A418" s="49">
        <v>36</v>
      </c>
      <c r="B418" s="49" t="str">
        <f>IF(OR(VLOOKUP(Table171019[[#This Row],[Ln'#]],Advanced!A$65:AU$114,15,FALSE)="E",VLOOKUP(Table171019[[#This Row],[Ln'#]],Advanced!A$65:AU$114,15,FALSE)="FEO"),"Entered or FEO","Not Entered")</f>
        <v>Not Entered</v>
      </c>
      <c r="C418" s="50" t="str">
        <f t="shared" ca="1" si="9"/>
        <v/>
      </c>
      <c r="D418" s="48"/>
      <c r="E418" s="48"/>
      <c r="F418" s="48" t="str">
        <f>IF(Table171019[[#This Row],[Status]]="Not Entered","",VLOOKUP(Table171019[[#This Row],[Ln'#]],Advanced!$A$65:$AU$114,3,FALSE))</f>
        <v/>
      </c>
      <c r="G41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8" s="51" t="str">
        <f>IF(Table171019[[#This Row],[Status]]="Not Entered","",VLOOKUP(Table171019[[#This Row],[Ln'#]],Advanced!$A$65:$AU$114,47,FALSE))</f>
        <v/>
      </c>
    </row>
    <row r="419" spans="1:8" ht="30" customHeight="1" x14ac:dyDescent="0.4">
      <c r="A419" s="49">
        <v>37</v>
      </c>
      <c r="B419" s="49" t="str">
        <f>IF(OR(VLOOKUP(Table171019[[#This Row],[Ln'#]],Advanced!A$65:AU$114,15,FALSE)="E",VLOOKUP(Table171019[[#This Row],[Ln'#]],Advanced!A$65:AU$114,15,FALSE)="FEO"),"Entered or FEO","Not Entered")</f>
        <v>Not Entered</v>
      </c>
      <c r="C419" s="50" t="str">
        <f t="shared" ca="1" si="9"/>
        <v/>
      </c>
      <c r="D419" s="48"/>
      <c r="E419" s="48"/>
      <c r="F419" s="48" t="str">
        <f>IF(Table171019[[#This Row],[Status]]="Not Entered","",VLOOKUP(Table171019[[#This Row],[Ln'#]],Advanced!$A$65:$AU$114,3,FALSE))</f>
        <v/>
      </c>
      <c r="G41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9" s="51" t="str">
        <f>IF(Table171019[[#This Row],[Status]]="Not Entered","",VLOOKUP(Table171019[[#This Row],[Ln'#]],Advanced!$A$65:$AU$114,47,FALSE))</f>
        <v/>
      </c>
    </row>
    <row r="420" spans="1:8" ht="30" customHeight="1" x14ac:dyDescent="0.4">
      <c r="A420" s="49">
        <v>38</v>
      </c>
      <c r="B420" s="49" t="str">
        <f>IF(OR(VLOOKUP(Table171019[[#This Row],[Ln'#]],Advanced!A$65:AU$114,15,FALSE)="E",VLOOKUP(Table171019[[#This Row],[Ln'#]],Advanced!A$65:AU$114,15,FALSE)="FEO"),"Entered or FEO","Not Entered")</f>
        <v>Not Entered</v>
      </c>
      <c r="C420" s="50" t="str">
        <f t="shared" ca="1" si="9"/>
        <v/>
      </c>
      <c r="D420" s="48"/>
      <c r="E420" s="48"/>
      <c r="F420" s="48" t="str">
        <f>IF(Table171019[[#This Row],[Status]]="Not Entered","",VLOOKUP(Table171019[[#This Row],[Ln'#]],Advanced!$A$65:$AU$114,3,FALSE))</f>
        <v/>
      </c>
      <c r="G42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0" s="51" t="str">
        <f>IF(Table171019[[#This Row],[Status]]="Not Entered","",VLOOKUP(Table171019[[#This Row],[Ln'#]],Advanced!$A$65:$AU$114,47,FALSE))</f>
        <v/>
      </c>
    </row>
    <row r="421" spans="1:8" ht="30" customHeight="1" x14ac:dyDescent="0.4">
      <c r="A421" s="49">
        <v>39</v>
      </c>
      <c r="B421" s="49" t="str">
        <f>IF(OR(VLOOKUP(Table171019[[#This Row],[Ln'#]],Advanced!A$65:AU$114,15,FALSE)="E",VLOOKUP(Table171019[[#This Row],[Ln'#]],Advanced!A$65:AU$114,15,FALSE)="FEO"),"Entered or FEO","Not Entered")</f>
        <v>Not Entered</v>
      </c>
      <c r="C421" s="50" t="str">
        <f t="shared" ca="1" si="9"/>
        <v/>
      </c>
      <c r="D421" s="48"/>
      <c r="E421" s="48"/>
      <c r="F421" s="48" t="str">
        <f>IF(Table171019[[#This Row],[Status]]="Not Entered","",VLOOKUP(Table171019[[#This Row],[Ln'#]],Advanced!$A$65:$AU$114,3,FALSE))</f>
        <v/>
      </c>
      <c r="G42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1" s="51" t="str">
        <f>IF(Table171019[[#This Row],[Status]]="Not Entered","",VLOOKUP(Table171019[[#This Row],[Ln'#]],Advanced!$A$65:$AU$114,47,FALSE))</f>
        <v/>
      </c>
    </row>
    <row r="422" spans="1:8" ht="30" customHeight="1" x14ac:dyDescent="0.4">
      <c r="A422" s="49">
        <v>40</v>
      </c>
      <c r="B422" s="49" t="str">
        <f>IF(OR(VLOOKUP(Table171019[[#This Row],[Ln'#]],Advanced!A$65:AU$114,15,FALSE)="E",VLOOKUP(Table171019[[#This Row],[Ln'#]],Advanced!A$65:AU$114,15,FALSE)="FEO"),"Entered or FEO","Not Entered")</f>
        <v>Not Entered</v>
      </c>
      <c r="C422" s="50" t="str">
        <f t="shared" ca="1" si="9"/>
        <v/>
      </c>
      <c r="D422" s="48"/>
      <c r="E422" s="48"/>
      <c r="F422" s="48" t="str">
        <f>IF(Table171019[[#This Row],[Status]]="Not Entered","",VLOOKUP(Table171019[[#This Row],[Ln'#]],Advanced!$A$65:$AU$114,3,FALSE))</f>
        <v/>
      </c>
      <c r="G42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2" s="51" t="str">
        <f>IF(Table171019[[#This Row],[Status]]="Not Entered","",VLOOKUP(Table171019[[#This Row],[Ln'#]],Advanced!$A$65:$AU$114,47,FALSE))</f>
        <v/>
      </c>
    </row>
    <row r="423" spans="1:8" ht="30" customHeight="1" x14ac:dyDescent="0.4">
      <c r="A423" s="49">
        <v>41</v>
      </c>
      <c r="B423" s="49" t="str">
        <f>IF(OR(VLOOKUP(Table171019[[#This Row],[Ln'#]],Advanced!A$65:AU$114,15,FALSE)="E",VLOOKUP(Table171019[[#This Row],[Ln'#]],Advanced!A$65:AU$114,15,FALSE)="FEO"),"Entered or FEO","Not Entered")</f>
        <v>Not Entered</v>
      </c>
      <c r="C423" s="50" t="str">
        <f t="shared" ca="1" si="9"/>
        <v/>
      </c>
      <c r="D423" s="48"/>
      <c r="E423" s="48"/>
      <c r="F423" s="48" t="str">
        <f>IF(Table171019[[#This Row],[Status]]="Not Entered","",VLOOKUP(Table171019[[#This Row],[Ln'#]],Advanced!$A$65:$AU$114,3,FALSE))</f>
        <v/>
      </c>
      <c r="G42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3" s="51" t="str">
        <f>IF(Table171019[[#This Row],[Status]]="Not Entered","",VLOOKUP(Table171019[[#This Row],[Ln'#]],Advanced!$A$65:$AU$114,47,FALSE))</f>
        <v/>
      </c>
    </row>
    <row r="424" spans="1:8" ht="30" customHeight="1" x14ac:dyDescent="0.4">
      <c r="A424" s="49">
        <v>42</v>
      </c>
      <c r="B424" s="49" t="str">
        <f>IF(OR(VLOOKUP(Table171019[[#This Row],[Ln'#]],Advanced!A$65:AU$114,15,FALSE)="E",VLOOKUP(Table171019[[#This Row],[Ln'#]],Advanced!A$65:AU$114,15,FALSE)="FEO"),"Entered or FEO","Not Entered")</f>
        <v>Not Entered</v>
      </c>
      <c r="C424" s="50" t="str">
        <f t="shared" ca="1" si="9"/>
        <v/>
      </c>
      <c r="D424" s="48"/>
      <c r="E424" s="48"/>
      <c r="F424" s="48" t="str">
        <f>IF(Table171019[[#This Row],[Status]]="Not Entered","",VLOOKUP(Table171019[[#This Row],[Ln'#]],Advanced!$A$65:$AU$114,3,FALSE))</f>
        <v/>
      </c>
      <c r="G42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4" s="51" t="str">
        <f>IF(Table171019[[#This Row],[Status]]="Not Entered","",VLOOKUP(Table171019[[#This Row],[Ln'#]],Advanced!$A$65:$AU$114,47,FALSE))</f>
        <v/>
      </c>
    </row>
    <row r="425" spans="1:8" ht="30" customHeight="1" x14ac:dyDescent="0.4">
      <c r="A425" s="49">
        <v>43</v>
      </c>
      <c r="B425" s="49" t="str">
        <f>IF(OR(VLOOKUP(Table171019[[#This Row],[Ln'#]],Advanced!A$65:AU$114,15,FALSE)="E",VLOOKUP(Table171019[[#This Row],[Ln'#]],Advanced!A$65:AU$114,15,FALSE)="FEO"),"Entered or FEO","Not Entered")</f>
        <v>Not Entered</v>
      </c>
      <c r="C425" s="50" t="str">
        <f t="shared" ca="1" si="9"/>
        <v/>
      </c>
      <c r="D425" s="48"/>
      <c r="E425" s="48"/>
      <c r="F425" s="48" t="str">
        <f>IF(Table171019[[#This Row],[Status]]="Not Entered","",VLOOKUP(Table171019[[#This Row],[Ln'#]],Advanced!$A$65:$AU$114,3,FALSE))</f>
        <v/>
      </c>
      <c r="G42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5" s="51" t="str">
        <f>IF(Table171019[[#This Row],[Status]]="Not Entered","",VLOOKUP(Table171019[[#This Row],[Ln'#]],Advanced!$A$65:$AU$114,47,FALSE))</f>
        <v/>
      </c>
    </row>
    <row r="426" spans="1:8" ht="30" customHeight="1" x14ac:dyDescent="0.4">
      <c r="A426" s="49">
        <v>44</v>
      </c>
      <c r="B426" s="49" t="str">
        <f>IF(OR(VLOOKUP(Table171019[[#This Row],[Ln'#]],Advanced!A$65:AU$114,15,FALSE)="E",VLOOKUP(Table171019[[#This Row],[Ln'#]],Advanced!A$65:AU$114,15,FALSE)="FEO"),"Entered or FEO","Not Entered")</f>
        <v>Not Entered</v>
      </c>
      <c r="C426" s="50" t="str">
        <f t="shared" ca="1" si="9"/>
        <v/>
      </c>
      <c r="D426" s="48"/>
      <c r="E426" s="48"/>
      <c r="F426" s="48" t="str">
        <f>IF(Table171019[[#This Row],[Status]]="Not Entered","",VLOOKUP(Table171019[[#This Row],[Ln'#]],Advanced!$A$65:$AU$114,3,FALSE))</f>
        <v/>
      </c>
      <c r="G42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6" s="51" t="str">
        <f>IF(Table171019[[#This Row],[Status]]="Not Entered","",VLOOKUP(Table171019[[#This Row],[Ln'#]],Advanced!$A$65:$AU$114,47,FALSE))</f>
        <v/>
      </c>
    </row>
    <row r="427" spans="1:8" ht="30" customHeight="1" x14ac:dyDescent="0.4">
      <c r="A427" s="49">
        <v>45</v>
      </c>
      <c r="B427" s="49" t="str">
        <f>IF(OR(VLOOKUP(Table171019[[#This Row],[Ln'#]],Advanced!A$65:AU$114,15,FALSE)="E",VLOOKUP(Table171019[[#This Row],[Ln'#]],Advanced!A$65:AU$114,15,FALSE)="FEO"),"Entered or FEO","Not Entered")</f>
        <v>Not Entered</v>
      </c>
      <c r="C427" s="50" t="str">
        <f t="shared" ca="1" si="9"/>
        <v/>
      </c>
      <c r="D427" s="48"/>
      <c r="E427" s="48"/>
      <c r="F427" s="48" t="str">
        <f>IF(Table171019[[#This Row],[Status]]="Not Entered","",VLOOKUP(Table171019[[#This Row],[Ln'#]],Advanced!$A$65:$AU$114,3,FALSE))</f>
        <v/>
      </c>
      <c r="G42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7" s="51" t="str">
        <f>IF(Table171019[[#This Row],[Status]]="Not Entered","",VLOOKUP(Table171019[[#This Row],[Ln'#]],Advanced!$A$65:$AU$114,47,FALSE))</f>
        <v/>
      </c>
    </row>
    <row r="428" spans="1:8" ht="30" customHeight="1" x14ac:dyDescent="0.4">
      <c r="A428" s="49">
        <v>46</v>
      </c>
      <c r="B428" s="49" t="str">
        <f>IF(OR(VLOOKUP(Table171019[[#This Row],[Ln'#]],Advanced!A$65:AU$114,15,FALSE)="E",VLOOKUP(Table171019[[#This Row],[Ln'#]],Advanced!A$65:AU$114,15,FALSE)="FEO"),"Entered or FEO","Not Entered")</f>
        <v>Not Entered</v>
      </c>
      <c r="C428" s="50" t="str">
        <f t="shared" ca="1" si="9"/>
        <v/>
      </c>
      <c r="D428" s="48"/>
      <c r="E428" s="48"/>
      <c r="F428" s="48" t="str">
        <f>IF(Table171019[[#This Row],[Status]]="Not Entered","",VLOOKUP(Table171019[[#This Row],[Ln'#]],Advanced!$A$65:$AU$114,3,FALSE))</f>
        <v/>
      </c>
      <c r="G42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8" s="51" t="str">
        <f>IF(Table171019[[#This Row],[Status]]="Not Entered","",VLOOKUP(Table171019[[#This Row],[Ln'#]],Advanced!$A$65:$AU$114,47,FALSE))</f>
        <v/>
      </c>
    </row>
    <row r="429" spans="1:8" ht="30" customHeight="1" x14ac:dyDescent="0.4">
      <c r="A429" s="49">
        <v>47</v>
      </c>
      <c r="B429" s="49" t="str">
        <f>IF(OR(VLOOKUP(Table171019[[#This Row],[Ln'#]],Advanced!A$65:AU$114,15,FALSE)="E",VLOOKUP(Table171019[[#This Row],[Ln'#]],Advanced!A$65:AU$114,15,FALSE)="FEO"),"Entered or FEO","Not Entered")</f>
        <v>Not Entered</v>
      </c>
      <c r="C429" s="50" t="str">
        <f t="shared" ca="1" si="9"/>
        <v/>
      </c>
      <c r="D429" s="48"/>
      <c r="E429" s="48"/>
      <c r="F429" s="48" t="str">
        <f>IF(Table171019[[#This Row],[Status]]="Not Entered","",VLOOKUP(Table171019[[#This Row],[Ln'#]],Advanced!$A$65:$AU$114,3,FALSE))</f>
        <v/>
      </c>
      <c r="G42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9" s="51" t="str">
        <f>IF(Table171019[[#This Row],[Status]]="Not Entered","",VLOOKUP(Table171019[[#This Row],[Ln'#]],Advanced!$A$65:$AU$114,47,FALSE))</f>
        <v/>
      </c>
    </row>
    <row r="430" spans="1:8" ht="30" customHeight="1" x14ac:dyDescent="0.4">
      <c r="A430" s="49">
        <v>48</v>
      </c>
      <c r="B430" s="49" t="str">
        <f>IF(OR(VLOOKUP(Table171019[[#This Row],[Ln'#]],Advanced!A$65:AU$114,15,FALSE)="E",VLOOKUP(Table171019[[#This Row],[Ln'#]],Advanced!A$65:AU$114,15,FALSE)="FEO"),"Entered or FEO","Not Entered")</f>
        <v>Not Entered</v>
      </c>
      <c r="C430" s="50" t="str">
        <f t="shared" ca="1" si="9"/>
        <v/>
      </c>
      <c r="D430" s="48"/>
      <c r="E430" s="48"/>
      <c r="F430" s="48" t="str">
        <f>IF(Table171019[[#This Row],[Status]]="Not Entered","",VLOOKUP(Table171019[[#This Row],[Ln'#]],Advanced!$A$65:$AU$114,3,FALSE))</f>
        <v/>
      </c>
      <c r="G43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30" s="51" t="str">
        <f>IF(Table171019[[#This Row],[Status]]="Not Entered","",VLOOKUP(Table171019[[#This Row],[Ln'#]],Advanced!$A$65:$AU$114,47,FALSE))</f>
        <v/>
      </c>
    </row>
    <row r="431" spans="1:8" ht="30" customHeight="1" x14ac:dyDescent="0.4">
      <c r="A431" s="49">
        <v>49</v>
      </c>
      <c r="B431" s="49" t="str">
        <f>IF(OR(VLOOKUP(Table171019[[#This Row],[Ln'#]],Advanced!A$65:AU$114,15,FALSE)="E",VLOOKUP(Table171019[[#This Row],[Ln'#]],Advanced!A$65:AU$114,15,FALSE)="FEO"),"Entered or FEO","Not Entered")</f>
        <v>Not Entered</v>
      </c>
      <c r="C431" s="50" t="str">
        <f t="shared" ca="1" si="9"/>
        <v/>
      </c>
      <c r="D431" s="48"/>
      <c r="E431" s="48"/>
      <c r="F431" s="48" t="str">
        <f>IF(Table171019[[#This Row],[Status]]="Not Entered","",VLOOKUP(Table171019[[#This Row],[Ln'#]],Advanced!$A$65:$AU$114,3,FALSE))</f>
        <v/>
      </c>
      <c r="G43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31" s="51" t="str">
        <f>IF(Table171019[[#This Row],[Status]]="Not Entered","",VLOOKUP(Table171019[[#This Row],[Ln'#]],Advanced!$A$65:$AU$114,47,FALSE))</f>
        <v/>
      </c>
    </row>
    <row r="432" spans="1:8" ht="30" customHeight="1" x14ac:dyDescent="0.4">
      <c r="A432" s="49">
        <v>50</v>
      </c>
      <c r="B432" s="49" t="str">
        <f>IF(OR(VLOOKUP(Table171019[[#This Row],[Ln'#]],Advanced!A$65:AU$114,15,FALSE)="E",VLOOKUP(Table171019[[#This Row],[Ln'#]],Advanced!A$65:AU$114,15,FALSE)="FEO"),"Entered or FEO","Not Entered")</f>
        <v>Not Entered</v>
      </c>
      <c r="C432" s="50" t="str">
        <f t="shared" ca="1" si="9"/>
        <v/>
      </c>
      <c r="D432" s="48"/>
      <c r="E432" s="48"/>
      <c r="F432" s="48" t="str">
        <f>IF(Table171019[[#This Row],[Status]]="Not Entered","",VLOOKUP(Table171019[[#This Row],[Ln'#]],Advanced!$A$65:$AU$114,3,FALSE))</f>
        <v/>
      </c>
      <c r="G43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32" s="51" t="str">
        <f>IF(Table171019[[#This Row],[Status]]="Not Entered","",VLOOKUP(Table171019[[#This Row],[Ln'#]],Advanced!$A$65:$AU$114,47,FALSE))</f>
        <v/>
      </c>
    </row>
    <row r="433" spans="1:19" ht="30" customHeight="1" x14ac:dyDescent="0.4">
      <c r="A433" s="48"/>
      <c r="B433" s="48"/>
      <c r="C433" s="48"/>
      <c r="D433" s="48" t="s">
        <v>1141</v>
      </c>
      <c r="E433" s="48">
        <f>SUBTOTAL(102,Table171019[Running Order])</f>
        <v>0</v>
      </c>
      <c r="F433" s="48"/>
      <c r="G433" s="51"/>
      <c r="H433" s="51"/>
    </row>
    <row r="434" spans="1:19" ht="30" customHeight="1" x14ac:dyDescent="0.4">
      <c r="A434" s="48"/>
      <c r="B434" s="48"/>
      <c r="C434" s="48"/>
      <c r="D434" s="48"/>
      <c r="E434" s="48"/>
      <c r="F434" s="48"/>
      <c r="G434" s="48"/>
      <c r="H434" s="51"/>
      <c r="I434" s="51"/>
      <c r="K434" s="145"/>
      <c r="L434" s="145"/>
      <c r="M434" s="145"/>
      <c r="N434" s="145"/>
      <c r="O434" s="145"/>
      <c r="P434" s="145"/>
      <c r="Q434" s="145"/>
      <c r="R434" s="146"/>
      <c r="S434" s="146"/>
    </row>
    <row r="435" spans="1:19" ht="30" customHeight="1" x14ac:dyDescent="0.4">
      <c r="A435" s="23" t="s">
        <v>1143</v>
      </c>
      <c r="B435" s="403" t="s">
        <v>2535</v>
      </c>
      <c r="C435" s="403"/>
      <c r="D435" s="403"/>
      <c r="E435" s="403"/>
      <c r="F435" s="403"/>
      <c r="G435" s="403"/>
      <c r="H435" s="403"/>
      <c r="I435" s="403"/>
      <c r="K435" s="145"/>
      <c r="L435" s="145"/>
      <c r="M435" s="145"/>
      <c r="N435" s="145"/>
      <c r="O435" s="145"/>
      <c r="P435" s="145"/>
      <c r="Q435" s="145"/>
      <c r="R435" s="146"/>
      <c r="S435" s="146"/>
    </row>
    <row r="436" spans="1:19" ht="60" customHeight="1" x14ac:dyDescent="0.4">
      <c r="A436" s="67" t="s">
        <v>605</v>
      </c>
      <c r="B436" s="67" t="s">
        <v>2493</v>
      </c>
      <c r="C436" s="67" t="s">
        <v>2496</v>
      </c>
      <c r="D436" s="67" t="s">
        <v>1142</v>
      </c>
      <c r="E436" s="67" t="s">
        <v>1135</v>
      </c>
      <c r="F436" s="67" t="s">
        <v>1136</v>
      </c>
      <c r="G436" s="69" t="s">
        <v>1207</v>
      </c>
      <c r="H436" s="69" t="s">
        <v>1137</v>
      </c>
      <c r="J436" s="145"/>
      <c r="K436" s="145"/>
      <c r="L436" s="145"/>
      <c r="M436" s="145"/>
      <c r="N436" s="145"/>
      <c r="O436" s="145"/>
      <c r="P436" s="145"/>
      <c r="Q436" s="146"/>
      <c r="R436" s="146"/>
    </row>
    <row r="437" spans="1:19" ht="30" customHeight="1" x14ac:dyDescent="0.45">
      <c r="A437" s="49">
        <v>1</v>
      </c>
      <c r="B437" s="144" t="str">
        <f>IF(OR(VLOOKUP(Table131303337[[#This Row],[Ln'#]],Advanced!A$65:AU$114,7,FALSE)="E",VLOOKUP(Table131303337[[#This Row],[Ln'#]],Advanced!A$65:AU$114,7,FALSE)="FEO"),"x","")</f>
        <v/>
      </c>
      <c r="C437" s="144" t="str">
        <f>IF(OR(VLOOKUP(Table131303337[[#This Row],[Ln'#]],Advanced!A$65:AU$114,23,FALSE)="E",VLOOKUP(Table131303337[[#This Row],[Ln'#]],Advanced!A$65:AU$114,23,FALSE)="FEO"),"x","")</f>
        <v/>
      </c>
      <c r="D437" s="48"/>
      <c r="E437" s="48"/>
      <c r="F437" s="48" t="str">
        <f>IF(AND(Table131303337[[#This Row],[Status Container]]="",Table131303337[[#This Row],[Status Exterior]]=""),"",VLOOKUP(Table131303337[[#This Row],[Ln'#]],Advanced!$A$65:$AU$114,3,FALSE))</f>
        <v/>
      </c>
      <c r="G43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37" s="51" t="str">
        <f>IF(Table131303337[[#This Row],[Dog ID]]="","",(VLOOKUP(Table131303337[[#This Row],[Dog ID]],Advanced!C$65:$AU114,45,FALSE)))</f>
        <v/>
      </c>
      <c r="J437" s="145"/>
      <c r="K437" s="145"/>
      <c r="L437" s="145"/>
      <c r="M437" s="145"/>
      <c r="N437" s="145"/>
      <c r="O437" s="145"/>
      <c r="P437" s="145"/>
      <c r="Q437" s="146"/>
      <c r="R437" s="146"/>
    </row>
    <row r="438" spans="1:19" ht="30" customHeight="1" x14ac:dyDescent="0.45">
      <c r="A438" s="49">
        <v>2</v>
      </c>
      <c r="B438" s="144" t="str">
        <f>IF(OR(VLOOKUP(Table131303337[[#This Row],[Ln'#]],Advanced!A$65:AU$114,7,FALSE)="E",VLOOKUP(Table131303337[[#This Row],[Ln'#]],Advanced!A$65:AU$114,7,FALSE)="FEO"),"x","")</f>
        <v/>
      </c>
      <c r="C438" s="144" t="str">
        <f>IF(OR(VLOOKUP(Table131303337[[#This Row],[Ln'#]],Advanced!A$65:AU$114,23,FALSE)="E",VLOOKUP(Table131303337[[#This Row],[Ln'#]],Advanced!A$65:AU$114,23,FALSE)="FEO"),"x","")</f>
        <v/>
      </c>
      <c r="D438" s="48"/>
      <c r="E438" s="48"/>
      <c r="F438" s="48" t="str">
        <f>IF(AND(Table131303337[[#This Row],[Status Container]]="",Table131303337[[#This Row],[Status Exterior]]=""),"",VLOOKUP(Table131303337[[#This Row],[Ln'#]],Advanced!$A$65:$AU$114,3,FALSE))</f>
        <v/>
      </c>
      <c r="G43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38" s="51" t="str">
        <f>IF(Table131303337[[#This Row],[Dog ID]]="","",(VLOOKUP(Table131303337[[#This Row],[Dog ID]],Advanced!C$65:$AU115,45,FALSE)))</f>
        <v/>
      </c>
      <c r="J438" s="145"/>
      <c r="K438" s="145"/>
      <c r="L438" s="145"/>
      <c r="M438" s="145"/>
      <c r="N438" s="145"/>
      <c r="O438" s="145"/>
      <c r="P438" s="145"/>
      <c r="Q438" s="146"/>
      <c r="R438" s="146"/>
    </row>
    <row r="439" spans="1:19" ht="30" customHeight="1" x14ac:dyDescent="0.45">
      <c r="A439" s="49">
        <v>3</v>
      </c>
      <c r="B439" s="144" t="str">
        <f>IF(OR(VLOOKUP(Table131303337[[#This Row],[Ln'#]],Advanced!A$65:AU$114,7,FALSE)="E",VLOOKUP(Table131303337[[#This Row],[Ln'#]],Advanced!A$65:AU$114,7,FALSE)="FEO"),"x","")</f>
        <v/>
      </c>
      <c r="C439" s="144" t="str">
        <f>IF(OR(VLOOKUP(Table131303337[[#This Row],[Ln'#]],Advanced!A$65:AU$114,23,FALSE)="E",VLOOKUP(Table131303337[[#This Row],[Ln'#]],Advanced!A$65:AU$114,23,FALSE)="FEO"),"x","")</f>
        <v/>
      </c>
      <c r="D439" s="48"/>
      <c r="E439" s="48"/>
      <c r="F439" s="48" t="str">
        <f>IF(AND(Table131303337[[#This Row],[Status Container]]="",Table131303337[[#This Row],[Status Exterior]]=""),"",VLOOKUP(Table131303337[[#This Row],[Ln'#]],Advanced!$A$65:$AU$114,3,FALSE))</f>
        <v/>
      </c>
      <c r="G43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39" s="51" t="str">
        <f>IF(Table131303337[[#This Row],[Dog ID]]="","",(VLOOKUP(Table131303337[[#This Row],[Dog ID]],Advanced!C$65:$AU116,45,FALSE)))</f>
        <v/>
      </c>
      <c r="J439" s="145"/>
      <c r="K439" s="145"/>
      <c r="L439" s="145"/>
      <c r="M439" s="145"/>
      <c r="N439" s="145"/>
      <c r="O439" s="145"/>
      <c r="P439" s="145"/>
      <c r="Q439" s="146"/>
      <c r="R439" s="146"/>
    </row>
    <row r="440" spans="1:19" ht="30" customHeight="1" x14ac:dyDescent="0.45">
      <c r="A440" s="49">
        <v>4</v>
      </c>
      <c r="B440" s="144" t="str">
        <f>IF(OR(VLOOKUP(Table131303337[[#This Row],[Ln'#]],Advanced!A$65:AU$114,7,FALSE)="E",VLOOKUP(Table131303337[[#This Row],[Ln'#]],Advanced!A$65:AU$114,7,FALSE)="FEO"),"x","")</f>
        <v/>
      </c>
      <c r="C440" s="144" t="str">
        <f>IF(OR(VLOOKUP(Table131303337[[#This Row],[Ln'#]],Advanced!A$65:AU$114,23,FALSE)="E",VLOOKUP(Table131303337[[#This Row],[Ln'#]],Advanced!A$65:AU$114,23,FALSE)="FEO"),"x","")</f>
        <v/>
      </c>
      <c r="D440" s="48"/>
      <c r="E440" s="48"/>
      <c r="F440" s="48" t="str">
        <f>IF(AND(Table131303337[[#This Row],[Status Container]]="",Table131303337[[#This Row],[Status Exterior]]=""),"",VLOOKUP(Table131303337[[#This Row],[Ln'#]],Advanced!$A$65:$AU$114,3,FALSE))</f>
        <v/>
      </c>
      <c r="G44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0" s="51" t="str">
        <f>IF(Table131303337[[#This Row],[Dog ID]]="","",(VLOOKUP(Table131303337[[#This Row],[Dog ID]],Advanced!C$65:$AU117,45,FALSE)))</f>
        <v/>
      </c>
      <c r="J440" s="145"/>
      <c r="K440" s="145"/>
      <c r="L440" s="145"/>
      <c r="M440" s="145"/>
      <c r="N440" s="145"/>
      <c r="O440" s="145"/>
      <c r="P440" s="145"/>
      <c r="Q440" s="146"/>
      <c r="R440" s="146"/>
    </row>
    <row r="441" spans="1:19" ht="30" customHeight="1" x14ac:dyDescent="0.45">
      <c r="A441" s="49">
        <v>5</v>
      </c>
      <c r="B441" s="144" t="str">
        <f>IF(OR(VLOOKUP(Table131303337[[#This Row],[Ln'#]],Advanced!A$65:AU$114,7,FALSE)="E",VLOOKUP(Table131303337[[#This Row],[Ln'#]],Advanced!A$65:AU$114,7,FALSE)="FEO"),"x","")</f>
        <v/>
      </c>
      <c r="C441" s="144" t="str">
        <f>IF(OR(VLOOKUP(Table131303337[[#This Row],[Ln'#]],Advanced!A$65:AU$114,23,FALSE)="E",VLOOKUP(Table131303337[[#This Row],[Ln'#]],Advanced!A$65:AU$114,23,FALSE)="FEO"),"x","")</f>
        <v/>
      </c>
      <c r="D441" s="48"/>
      <c r="E441" s="48"/>
      <c r="F441" s="48" t="str">
        <f>IF(AND(Table131303337[[#This Row],[Status Container]]="",Table131303337[[#This Row],[Status Exterior]]=""),"",VLOOKUP(Table131303337[[#This Row],[Ln'#]],Advanced!$A$65:$AU$114,3,FALSE))</f>
        <v/>
      </c>
      <c r="G44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1" s="51" t="str">
        <f>IF(Table131303337[[#This Row],[Dog ID]]="","",(VLOOKUP(Table131303337[[#This Row],[Dog ID]],Advanced!C$65:$AU118,45,FALSE)))</f>
        <v/>
      </c>
      <c r="J441" s="145"/>
      <c r="K441" s="145"/>
      <c r="L441" s="145"/>
      <c r="M441" s="145"/>
      <c r="N441" s="145"/>
      <c r="O441" s="145"/>
      <c r="P441" s="145"/>
      <c r="Q441" s="146"/>
      <c r="R441" s="146"/>
    </row>
    <row r="442" spans="1:19" ht="30" customHeight="1" x14ac:dyDescent="0.45">
      <c r="A442" s="49">
        <v>6</v>
      </c>
      <c r="B442" s="144" t="str">
        <f>IF(OR(VLOOKUP(Table131303337[[#This Row],[Ln'#]],Advanced!A$65:AU$114,7,FALSE)="E",VLOOKUP(Table131303337[[#This Row],[Ln'#]],Advanced!A$65:AU$114,7,FALSE)="FEO"),"x","")</f>
        <v/>
      </c>
      <c r="C442" s="144" t="str">
        <f>IF(OR(VLOOKUP(Table131303337[[#This Row],[Ln'#]],Advanced!A$65:AU$114,23,FALSE)="E",VLOOKUP(Table131303337[[#This Row],[Ln'#]],Advanced!A$65:AU$114,23,FALSE)="FEO"),"x","")</f>
        <v/>
      </c>
      <c r="D442" s="48"/>
      <c r="E442" s="48"/>
      <c r="F442" s="48" t="str">
        <f>IF(AND(Table131303337[[#This Row],[Status Container]]="",Table131303337[[#This Row],[Status Exterior]]=""),"",VLOOKUP(Table131303337[[#This Row],[Ln'#]],Advanced!$A$65:$AU$114,3,FALSE))</f>
        <v/>
      </c>
      <c r="G44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2" s="51" t="str">
        <f>IF(Table131303337[[#This Row],[Dog ID]]="","",(VLOOKUP(Table131303337[[#This Row],[Dog ID]],Advanced!C$65:$AU119,45,FALSE)))</f>
        <v/>
      </c>
      <c r="J442" s="145"/>
      <c r="K442" s="145"/>
      <c r="L442" s="145"/>
      <c r="M442" s="145"/>
      <c r="N442" s="145"/>
      <c r="O442" s="145"/>
      <c r="P442" s="145"/>
      <c r="Q442" s="146"/>
      <c r="R442" s="146"/>
    </row>
    <row r="443" spans="1:19" ht="30" customHeight="1" x14ac:dyDescent="0.45">
      <c r="A443" s="49">
        <v>7</v>
      </c>
      <c r="B443" s="144" t="str">
        <f>IF(OR(VLOOKUP(Table131303337[[#This Row],[Ln'#]],Advanced!A$65:AU$114,7,FALSE)="E",VLOOKUP(Table131303337[[#This Row],[Ln'#]],Advanced!A$65:AU$114,7,FALSE)="FEO"),"x","")</f>
        <v/>
      </c>
      <c r="C443" s="144" t="str">
        <f>IF(OR(VLOOKUP(Table131303337[[#This Row],[Ln'#]],Advanced!A$65:AU$114,23,FALSE)="E",VLOOKUP(Table131303337[[#This Row],[Ln'#]],Advanced!A$65:AU$114,23,FALSE)="FEO"),"x","")</f>
        <v/>
      </c>
      <c r="D443" s="48"/>
      <c r="E443" s="48"/>
      <c r="F443" s="48" t="str">
        <f>IF(AND(Table131303337[[#This Row],[Status Container]]="",Table131303337[[#This Row],[Status Exterior]]=""),"",VLOOKUP(Table131303337[[#This Row],[Ln'#]],Advanced!$A$65:$AU$114,3,FALSE))</f>
        <v/>
      </c>
      <c r="G44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3" s="51" t="str">
        <f>IF(Table131303337[[#This Row],[Dog ID]]="","",(VLOOKUP(Table131303337[[#This Row],[Dog ID]],Advanced!C$65:$AU120,45,FALSE)))</f>
        <v/>
      </c>
      <c r="J443" s="145"/>
      <c r="K443" s="145"/>
      <c r="L443" s="145"/>
      <c r="M443" s="145"/>
      <c r="N443" s="145"/>
      <c r="O443" s="145"/>
      <c r="P443" s="145"/>
      <c r="Q443" s="146"/>
      <c r="R443" s="146"/>
    </row>
    <row r="444" spans="1:19" ht="30" customHeight="1" x14ac:dyDescent="0.45">
      <c r="A444" s="49">
        <v>8</v>
      </c>
      <c r="B444" s="144" t="str">
        <f>IF(OR(VLOOKUP(Table131303337[[#This Row],[Ln'#]],Advanced!A$65:AU$114,7,FALSE)="E",VLOOKUP(Table131303337[[#This Row],[Ln'#]],Advanced!A$65:AU$114,7,FALSE)="FEO"),"x","")</f>
        <v/>
      </c>
      <c r="C444" s="144" t="str">
        <f>IF(OR(VLOOKUP(Table131303337[[#This Row],[Ln'#]],Advanced!A$65:AU$114,23,FALSE)="E",VLOOKUP(Table131303337[[#This Row],[Ln'#]],Advanced!A$65:AU$114,23,FALSE)="FEO"),"x","")</f>
        <v/>
      </c>
      <c r="D444" s="48"/>
      <c r="E444" s="48"/>
      <c r="F444" s="48" t="str">
        <f>IF(AND(Table131303337[[#This Row],[Status Container]]="",Table131303337[[#This Row],[Status Exterior]]=""),"",VLOOKUP(Table131303337[[#This Row],[Ln'#]],Advanced!$A$65:$AU$114,3,FALSE))</f>
        <v/>
      </c>
      <c r="G44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4" s="51" t="str">
        <f>IF(Table131303337[[#This Row],[Dog ID]]="","",(VLOOKUP(Table131303337[[#This Row],[Dog ID]],Advanced!C$65:$AU121,45,FALSE)))</f>
        <v/>
      </c>
      <c r="J444" s="145"/>
      <c r="K444" s="145"/>
      <c r="L444" s="145"/>
      <c r="M444" s="145"/>
      <c r="N444" s="145"/>
      <c r="O444" s="145"/>
      <c r="P444" s="145"/>
      <c r="Q444" s="146"/>
      <c r="R444" s="146"/>
    </row>
    <row r="445" spans="1:19" ht="30" customHeight="1" x14ac:dyDescent="0.45">
      <c r="A445" s="49">
        <v>9</v>
      </c>
      <c r="B445" s="144" t="str">
        <f>IF(OR(VLOOKUP(Table131303337[[#This Row],[Ln'#]],Advanced!A$65:AU$114,7,FALSE)="E",VLOOKUP(Table131303337[[#This Row],[Ln'#]],Advanced!A$65:AU$114,7,FALSE)="FEO"),"x","")</f>
        <v/>
      </c>
      <c r="C445" s="144" t="str">
        <f>IF(OR(VLOOKUP(Table131303337[[#This Row],[Ln'#]],Advanced!A$65:AU$114,23,FALSE)="E",VLOOKUP(Table131303337[[#This Row],[Ln'#]],Advanced!A$65:AU$114,23,FALSE)="FEO"),"x","")</f>
        <v/>
      </c>
      <c r="D445" s="48"/>
      <c r="E445" s="48"/>
      <c r="F445" s="48" t="str">
        <f>IF(AND(Table131303337[[#This Row],[Status Container]]="",Table131303337[[#This Row],[Status Exterior]]=""),"",VLOOKUP(Table131303337[[#This Row],[Ln'#]],Advanced!$A$65:$AU$114,3,FALSE))</f>
        <v/>
      </c>
      <c r="G44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5" s="51" t="str">
        <f>IF(Table131303337[[#This Row],[Dog ID]]="","",(VLOOKUP(Table131303337[[#This Row],[Dog ID]],Advanced!C$65:$AU122,45,FALSE)))</f>
        <v/>
      </c>
      <c r="J445" s="145"/>
      <c r="K445" s="145"/>
      <c r="L445" s="145"/>
      <c r="M445" s="145"/>
      <c r="N445" s="145"/>
      <c r="O445" s="145"/>
      <c r="P445" s="145"/>
      <c r="Q445" s="146"/>
      <c r="R445" s="146"/>
    </row>
    <row r="446" spans="1:19" ht="30" customHeight="1" x14ac:dyDescent="0.45">
      <c r="A446" s="49">
        <v>10</v>
      </c>
      <c r="B446" s="144" t="str">
        <f>IF(OR(VLOOKUP(Table131303337[[#This Row],[Ln'#]],Advanced!A$65:AU$114,7,FALSE)="E",VLOOKUP(Table131303337[[#This Row],[Ln'#]],Advanced!A$65:AU$114,7,FALSE)="FEO"),"x","")</f>
        <v/>
      </c>
      <c r="C446" s="144" t="str">
        <f>IF(OR(VLOOKUP(Table131303337[[#This Row],[Ln'#]],Advanced!A$65:AU$114,23,FALSE)="E",VLOOKUP(Table131303337[[#This Row],[Ln'#]],Advanced!A$65:AU$114,23,FALSE)="FEO"),"x","")</f>
        <v/>
      </c>
      <c r="D446" s="48"/>
      <c r="E446" s="48"/>
      <c r="F446" s="48" t="str">
        <f>IF(AND(Table131303337[[#This Row],[Status Container]]="",Table131303337[[#This Row],[Status Exterior]]=""),"",VLOOKUP(Table131303337[[#This Row],[Ln'#]],Advanced!$A$65:$AU$114,3,FALSE))</f>
        <v/>
      </c>
      <c r="G44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6" s="51" t="str">
        <f>IF(Table131303337[[#This Row],[Dog ID]]="","",(VLOOKUP(Table131303337[[#This Row],[Dog ID]],Advanced!C$65:$AU123,45,FALSE)))</f>
        <v/>
      </c>
      <c r="J446" s="145"/>
      <c r="K446" s="145"/>
      <c r="L446" s="145"/>
      <c r="M446" s="145"/>
      <c r="N446" s="145"/>
      <c r="O446" s="145"/>
      <c r="P446" s="145"/>
      <c r="Q446" s="146"/>
      <c r="R446" s="146"/>
    </row>
    <row r="447" spans="1:19" ht="30" customHeight="1" x14ac:dyDescent="0.45">
      <c r="A447" s="49">
        <v>11</v>
      </c>
      <c r="B447" s="144" t="str">
        <f>IF(OR(VLOOKUP(Table131303337[[#This Row],[Ln'#]],Advanced!A$65:AU$114,7,FALSE)="E",VLOOKUP(Table131303337[[#This Row],[Ln'#]],Advanced!A$65:AU$114,7,FALSE)="FEO"),"x","")</f>
        <v/>
      </c>
      <c r="C447" s="144" t="str">
        <f>IF(OR(VLOOKUP(Table131303337[[#This Row],[Ln'#]],Advanced!A$65:AU$114,23,FALSE)="E",VLOOKUP(Table131303337[[#This Row],[Ln'#]],Advanced!A$65:AU$114,23,FALSE)="FEO"),"x","")</f>
        <v/>
      </c>
      <c r="D447" s="48"/>
      <c r="E447" s="48"/>
      <c r="F447" s="48" t="str">
        <f>IF(AND(Table131303337[[#This Row],[Status Container]]="",Table131303337[[#This Row],[Status Exterior]]=""),"",VLOOKUP(Table131303337[[#This Row],[Ln'#]],Advanced!$A$65:$AU$114,3,FALSE))</f>
        <v/>
      </c>
      <c r="G44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7" s="51" t="str">
        <f>IF(Table131303337[[#This Row],[Dog ID]]="","",(VLOOKUP(Table131303337[[#This Row],[Dog ID]],Advanced!C$65:$AU124,45,FALSE)))</f>
        <v/>
      </c>
      <c r="J447" s="145"/>
      <c r="K447" s="145"/>
      <c r="L447" s="145"/>
      <c r="M447" s="145"/>
      <c r="N447" s="145"/>
      <c r="O447" s="145"/>
      <c r="P447" s="145"/>
      <c r="Q447" s="146"/>
      <c r="R447" s="146"/>
    </row>
    <row r="448" spans="1:19" ht="30" customHeight="1" x14ac:dyDescent="0.45">
      <c r="A448" s="49">
        <v>12</v>
      </c>
      <c r="B448" s="144" t="str">
        <f>IF(OR(VLOOKUP(Table131303337[[#This Row],[Ln'#]],Advanced!A$65:AU$114,7,FALSE)="E",VLOOKUP(Table131303337[[#This Row],[Ln'#]],Advanced!A$65:AU$114,7,FALSE)="FEO"),"x","")</f>
        <v/>
      </c>
      <c r="C448" s="144" t="str">
        <f>IF(OR(VLOOKUP(Table131303337[[#This Row],[Ln'#]],Advanced!A$65:AU$114,23,FALSE)="E",VLOOKUP(Table131303337[[#This Row],[Ln'#]],Advanced!A$65:AU$114,23,FALSE)="FEO"),"x","")</f>
        <v/>
      </c>
      <c r="D448" s="48"/>
      <c r="E448" s="48"/>
      <c r="F448" s="48" t="str">
        <f>IF(AND(Table131303337[[#This Row],[Status Container]]="",Table131303337[[#This Row],[Status Exterior]]=""),"",VLOOKUP(Table131303337[[#This Row],[Ln'#]],Advanced!$A$65:$AU$114,3,FALSE))</f>
        <v/>
      </c>
      <c r="G44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8" s="51" t="str">
        <f>IF(Table131303337[[#This Row],[Dog ID]]="","",(VLOOKUP(Table131303337[[#This Row],[Dog ID]],Advanced!C$65:$AU125,45,FALSE)))</f>
        <v/>
      </c>
      <c r="J448" s="145"/>
      <c r="K448" s="145"/>
      <c r="L448" s="145"/>
      <c r="M448" s="145"/>
      <c r="N448" s="145"/>
      <c r="O448" s="145"/>
      <c r="P448" s="145"/>
      <c r="Q448" s="146"/>
      <c r="R448" s="146"/>
    </row>
    <row r="449" spans="1:18" ht="30" customHeight="1" x14ac:dyDescent="0.45">
      <c r="A449" s="49">
        <v>13</v>
      </c>
      <c r="B449" s="144" t="str">
        <f>IF(OR(VLOOKUP(Table131303337[[#This Row],[Ln'#]],Advanced!A$65:AU$114,7,FALSE)="E",VLOOKUP(Table131303337[[#This Row],[Ln'#]],Advanced!A$65:AU$114,7,FALSE)="FEO"),"x","")</f>
        <v/>
      </c>
      <c r="C449" s="144" t="str">
        <f>IF(OR(VLOOKUP(Table131303337[[#This Row],[Ln'#]],Advanced!A$65:AU$114,23,FALSE)="E",VLOOKUP(Table131303337[[#This Row],[Ln'#]],Advanced!A$65:AU$114,23,FALSE)="FEO"),"x","")</f>
        <v/>
      </c>
      <c r="D449" s="48"/>
      <c r="E449" s="48"/>
      <c r="F449" s="48" t="str">
        <f>IF(AND(Table131303337[[#This Row],[Status Container]]="",Table131303337[[#This Row],[Status Exterior]]=""),"",VLOOKUP(Table131303337[[#This Row],[Ln'#]],Advanced!$A$65:$AU$114,3,FALSE))</f>
        <v/>
      </c>
      <c r="G44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9" s="51" t="str">
        <f>IF(Table131303337[[#This Row],[Dog ID]]="","",(VLOOKUP(Table131303337[[#This Row],[Dog ID]],Advanced!C$65:$AU126,45,FALSE)))</f>
        <v/>
      </c>
      <c r="J449" s="145"/>
      <c r="K449" s="145"/>
      <c r="L449" s="145"/>
      <c r="M449" s="145"/>
      <c r="N449" s="145"/>
      <c r="O449" s="145"/>
      <c r="P449" s="145"/>
      <c r="Q449" s="146"/>
      <c r="R449" s="146"/>
    </row>
    <row r="450" spans="1:18" ht="30" customHeight="1" x14ac:dyDescent="0.45">
      <c r="A450" s="49">
        <v>14</v>
      </c>
      <c r="B450" s="144" t="str">
        <f>IF(OR(VLOOKUP(Table131303337[[#This Row],[Ln'#]],Advanced!A$65:AU$114,7,FALSE)="E",VLOOKUP(Table131303337[[#This Row],[Ln'#]],Advanced!A$65:AU$114,7,FALSE)="FEO"),"x","")</f>
        <v/>
      </c>
      <c r="C450" s="144" t="str">
        <f>IF(OR(VLOOKUP(Table131303337[[#This Row],[Ln'#]],Advanced!A$65:AU$114,23,FALSE)="E",VLOOKUP(Table131303337[[#This Row],[Ln'#]],Advanced!A$65:AU$114,23,FALSE)="FEO"),"x","")</f>
        <v/>
      </c>
      <c r="D450" s="48"/>
      <c r="E450" s="48"/>
      <c r="F450" s="48" t="str">
        <f>IF(AND(Table131303337[[#This Row],[Status Container]]="",Table131303337[[#This Row],[Status Exterior]]=""),"",VLOOKUP(Table131303337[[#This Row],[Ln'#]],Advanced!$A$65:$AU$114,3,FALSE))</f>
        <v/>
      </c>
      <c r="G45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0" s="51" t="str">
        <f>IF(Table131303337[[#This Row],[Dog ID]]="","",(VLOOKUP(Table131303337[[#This Row],[Dog ID]],Advanced!C$65:$AU127,45,FALSE)))</f>
        <v/>
      </c>
      <c r="J450" s="145"/>
      <c r="K450" s="145"/>
      <c r="L450" s="145"/>
      <c r="M450" s="145"/>
      <c r="N450" s="145"/>
      <c r="O450" s="145"/>
      <c r="P450" s="145"/>
      <c r="Q450" s="146"/>
      <c r="R450" s="146"/>
    </row>
    <row r="451" spans="1:18" ht="30" customHeight="1" x14ac:dyDescent="0.45">
      <c r="A451" s="49">
        <v>15</v>
      </c>
      <c r="B451" s="144" t="str">
        <f>IF(OR(VLOOKUP(Table131303337[[#This Row],[Ln'#]],Advanced!A$65:AU$114,7,FALSE)="E",VLOOKUP(Table131303337[[#This Row],[Ln'#]],Advanced!A$65:AU$114,7,FALSE)="FEO"),"x","")</f>
        <v/>
      </c>
      <c r="C451" s="144" t="str">
        <f>IF(OR(VLOOKUP(Table131303337[[#This Row],[Ln'#]],Advanced!A$65:AU$114,23,FALSE)="E",VLOOKUP(Table131303337[[#This Row],[Ln'#]],Advanced!A$65:AU$114,23,FALSE)="FEO"),"x","")</f>
        <v/>
      </c>
      <c r="D451" s="48"/>
      <c r="E451" s="48"/>
      <c r="F451" s="48" t="str">
        <f>IF(AND(Table131303337[[#This Row],[Status Container]]="",Table131303337[[#This Row],[Status Exterior]]=""),"",VLOOKUP(Table131303337[[#This Row],[Ln'#]],Advanced!$A$65:$AU$114,3,FALSE))</f>
        <v/>
      </c>
      <c r="G45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1" s="51" t="str">
        <f>IF(Table131303337[[#This Row],[Dog ID]]="","",(VLOOKUP(Table131303337[[#This Row],[Dog ID]],Advanced!C$65:$AU128,45,FALSE)))</f>
        <v/>
      </c>
      <c r="J451" s="145"/>
      <c r="K451" s="145"/>
      <c r="L451" s="145"/>
      <c r="M451" s="145"/>
      <c r="N451" s="145"/>
      <c r="O451" s="145"/>
      <c r="P451" s="145"/>
      <c r="Q451" s="146"/>
      <c r="R451" s="146"/>
    </row>
    <row r="452" spans="1:18" ht="30" customHeight="1" x14ac:dyDescent="0.45">
      <c r="A452" s="49">
        <v>16</v>
      </c>
      <c r="B452" s="144" t="str">
        <f>IF(OR(VLOOKUP(Table131303337[[#This Row],[Ln'#]],Advanced!A$65:AU$114,7,FALSE)="E",VLOOKUP(Table131303337[[#This Row],[Ln'#]],Advanced!A$65:AU$114,7,FALSE)="FEO"),"x","")</f>
        <v/>
      </c>
      <c r="C452" s="144" t="str">
        <f>IF(OR(VLOOKUP(Table131303337[[#This Row],[Ln'#]],Advanced!A$65:AU$114,23,FALSE)="E",VLOOKUP(Table131303337[[#This Row],[Ln'#]],Advanced!A$65:AU$114,23,FALSE)="FEO"),"x","")</f>
        <v/>
      </c>
      <c r="D452" s="48"/>
      <c r="E452" s="48"/>
      <c r="F452" s="48" t="str">
        <f>IF(AND(Table131303337[[#This Row],[Status Container]]="",Table131303337[[#This Row],[Status Exterior]]=""),"",VLOOKUP(Table131303337[[#This Row],[Ln'#]],Advanced!$A$65:$AU$114,3,FALSE))</f>
        <v/>
      </c>
      <c r="G45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2" s="51" t="str">
        <f>IF(Table131303337[[#This Row],[Dog ID]]="","",(VLOOKUP(Table131303337[[#This Row],[Dog ID]],Advanced!C$65:$AU129,45,FALSE)))</f>
        <v/>
      </c>
      <c r="J452" s="145"/>
      <c r="K452" s="145"/>
      <c r="L452" s="145"/>
      <c r="M452" s="145"/>
      <c r="N452" s="145"/>
      <c r="O452" s="145"/>
      <c r="P452" s="145"/>
      <c r="Q452" s="146"/>
      <c r="R452" s="146"/>
    </row>
    <row r="453" spans="1:18" ht="30" customHeight="1" x14ac:dyDescent="0.45">
      <c r="A453" s="49">
        <v>17</v>
      </c>
      <c r="B453" s="144" t="str">
        <f>IF(OR(VLOOKUP(Table131303337[[#This Row],[Ln'#]],Advanced!A$65:AU$114,7,FALSE)="E",VLOOKUP(Table131303337[[#This Row],[Ln'#]],Advanced!A$65:AU$114,7,FALSE)="FEO"),"x","")</f>
        <v/>
      </c>
      <c r="C453" s="144" t="str">
        <f>IF(OR(VLOOKUP(Table131303337[[#This Row],[Ln'#]],Advanced!A$65:AU$114,23,FALSE)="E",VLOOKUP(Table131303337[[#This Row],[Ln'#]],Advanced!A$65:AU$114,23,FALSE)="FEO"),"x","")</f>
        <v/>
      </c>
      <c r="D453" s="48"/>
      <c r="E453" s="48"/>
      <c r="F453" s="48" t="str">
        <f>IF(AND(Table131303337[[#This Row],[Status Container]]="",Table131303337[[#This Row],[Status Exterior]]=""),"",VLOOKUP(Table131303337[[#This Row],[Ln'#]],Advanced!$A$65:$AU$114,3,FALSE))</f>
        <v/>
      </c>
      <c r="G45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3" s="51" t="str">
        <f>IF(Table131303337[[#This Row],[Dog ID]]="","",(VLOOKUP(Table131303337[[#This Row],[Dog ID]],Advanced!C$65:$AU130,45,FALSE)))</f>
        <v/>
      </c>
      <c r="J453" s="145"/>
      <c r="K453" s="145"/>
      <c r="L453" s="145"/>
      <c r="M453" s="145"/>
      <c r="N453" s="145"/>
      <c r="O453" s="145"/>
      <c r="P453" s="145"/>
      <c r="Q453" s="146"/>
      <c r="R453" s="146"/>
    </row>
    <row r="454" spans="1:18" ht="30" customHeight="1" x14ac:dyDescent="0.45">
      <c r="A454" s="49">
        <v>18</v>
      </c>
      <c r="B454" s="144" t="str">
        <f>IF(OR(VLOOKUP(Table131303337[[#This Row],[Ln'#]],Advanced!A$65:AU$114,7,FALSE)="E",VLOOKUP(Table131303337[[#This Row],[Ln'#]],Advanced!A$65:AU$114,7,FALSE)="FEO"),"x","")</f>
        <v/>
      </c>
      <c r="C454" s="144" t="str">
        <f>IF(OR(VLOOKUP(Table131303337[[#This Row],[Ln'#]],Advanced!A$65:AU$114,23,FALSE)="E",VLOOKUP(Table131303337[[#This Row],[Ln'#]],Advanced!A$65:AU$114,23,FALSE)="FEO"),"x","")</f>
        <v/>
      </c>
      <c r="D454" s="48"/>
      <c r="E454" s="48"/>
      <c r="F454" s="48" t="str">
        <f>IF(AND(Table131303337[[#This Row],[Status Container]]="",Table131303337[[#This Row],[Status Exterior]]=""),"",VLOOKUP(Table131303337[[#This Row],[Ln'#]],Advanced!$A$65:$AU$114,3,FALSE))</f>
        <v/>
      </c>
      <c r="G45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4" s="51" t="str">
        <f>IF(Table131303337[[#This Row],[Dog ID]]="","",(VLOOKUP(Table131303337[[#This Row],[Dog ID]],Advanced!C$65:$AU131,45,FALSE)))</f>
        <v/>
      </c>
      <c r="J454" s="145"/>
      <c r="K454" s="145"/>
      <c r="L454" s="145"/>
      <c r="M454" s="145"/>
      <c r="N454" s="145"/>
      <c r="O454" s="145"/>
      <c r="P454" s="145"/>
      <c r="Q454" s="146"/>
      <c r="R454" s="146"/>
    </row>
    <row r="455" spans="1:18" ht="30" customHeight="1" x14ac:dyDescent="0.45">
      <c r="A455" s="49">
        <v>19</v>
      </c>
      <c r="B455" s="144" t="str">
        <f>IF(OR(VLOOKUP(Table131303337[[#This Row],[Ln'#]],Advanced!A$65:AU$114,7,FALSE)="E",VLOOKUP(Table131303337[[#This Row],[Ln'#]],Advanced!A$65:AU$114,7,FALSE)="FEO"),"x","")</f>
        <v/>
      </c>
      <c r="C455" s="144" t="str">
        <f>IF(OR(VLOOKUP(Table131303337[[#This Row],[Ln'#]],Advanced!A$65:AU$114,23,FALSE)="E",VLOOKUP(Table131303337[[#This Row],[Ln'#]],Advanced!A$65:AU$114,23,FALSE)="FEO"),"x","")</f>
        <v/>
      </c>
      <c r="D455" s="48"/>
      <c r="E455" s="48"/>
      <c r="F455" s="48" t="str">
        <f>IF(AND(Table131303337[[#This Row],[Status Container]]="",Table131303337[[#This Row],[Status Exterior]]=""),"",VLOOKUP(Table131303337[[#This Row],[Ln'#]],Advanced!$A$65:$AU$114,3,FALSE))</f>
        <v/>
      </c>
      <c r="G45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5" s="51" t="str">
        <f>IF(Table131303337[[#This Row],[Dog ID]]="","",(VLOOKUP(Table131303337[[#This Row],[Dog ID]],Advanced!C$65:$AU132,45,FALSE)))</f>
        <v/>
      </c>
      <c r="J455" s="145"/>
      <c r="K455" s="145"/>
      <c r="L455" s="145"/>
      <c r="M455" s="145"/>
      <c r="N455" s="145"/>
      <c r="O455" s="145"/>
      <c r="P455" s="145"/>
      <c r="Q455" s="146"/>
      <c r="R455" s="146"/>
    </row>
    <row r="456" spans="1:18" ht="30" customHeight="1" x14ac:dyDescent="0.45">
      <c r="A456" s="49">
        <v>20</v>
      </c>
      <c r="B456" s="144" t="str">
        <f>IF(OR(VLOOKUP(Table131303337[[#This Row],[Ln'#]],Advanced!A$65:AU$114,7,FALSE)="E",VLOOKUP(Table131303337[[#This Row],[Ln'#]],Advanced!A$65:AU$114,7,FALSE)="FEO"),"x","")</f>
        <v/>
      </c>
      <c r="C456" s="144" t="str">
        <f>IF(OR(VLOOKUP(Table131303337[[#This Row],[Ln'#]],Advanced!A$65:AU$114,23,FALSE)="E",VLOOKUP(Table131303337[[#This Row],[Ln'#]],Advanced!A$65:AU$114,23,FALSE)="FEO"),"x","")</f>
        <v/>
      </c>
      <c r="D456" s="48"/>
      <c r="E456" s="48"/>
      <c r="F456" s="48" t="str">
        <f>IF(AND(Table131303337[[#This Row],[Status Container]]="",Table131303337[[#This Row],[Status Exterior]]=""),"",VLOOKUP(Table131303337[[#This Row],[Ln'#]],Advanced!$A$65:$AU$114,3,FALSE))</f>
        <v/>
      </c>
      <c r="G45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6" s="51" t="str">
        <f>IF(Table131303337[[#This Row],[Dog ID]]="","",(VLOOKUP(Table131303337[[#This Row],[Dog ID]],Advanced!C$65:$AU133,45,FALSE)))</f>
        <v/>
      </c>
      <c r="J456" s="145"/>
      <c r="K456" s="145"/>
      <c r="L456" s="145"/>
      <c r="M456" s="145"/>
      <c r="N456" s="145"/>
      <c r="O456" s="145"/>
      <c r="P456" s="145"/>
      <c r="Q456" s="146"/>
      <c r="R456" s="146"/>
    </row>
    <row r="457" spans="1:18" ht="30" customHeight="1" x14ac:dyDescent="0.45">
      <c r="A457" s="49">
        <v>21</v>
      </c>
      <c r="B457" s="144" t="str">
        <f>IF(OR(VLOOKUP(Table131303337[[#This Row],[Ln'#]],Advanced!A$65:AU$114,7,FALSE)="E",VLOOKUP(Table131303337[[#This Row],[Ln'#]],Advanced!A$65:AU$114,7,FALSE)="FEO"),"x","")</f>
        <v/>
      </c>
      <c r="C457" s="144" t="str">
        <f>IF(OR(VLOOKUP(Table131303337[[#This Row],[Ln'#]],Advanced!A$65:AU$114,23,FALSE)="E",VLOOKUP(Table131303337[[#This Row],[Ln'#]],Advanced!A$65:AU$114,23,FALSE)="FEO"),"x","")</f>
        <v/>
      </c>
      <c r="D457" s="48"/>
      <c r="E457" s="48"/>
      <c r="F457" s="48" t="str">
        <f>IF(AND(Table131303337[[#This Row],[Status Container]]="",Table131303337[[#This Row],[Status Exterior]]=""),"",VLOOKUP(Table131303337[[#This Row],[Ln'#]],Advanced!$A$65:$AU$114,3,FALSE))</f>
        <v/>
      </c>
      <c r="G45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7" s="51" t="str">
        <f>IF(Table131303337[[#This Row],[Dog ID]]="","",(VLOOKUP(Table131303337[[#This Row],[Dog ID]],Advanced!C$65:$AU134,45,FALSE)))</f>
        <v/>
      </c>
      <c r="J457" s="145"/>
      <c r="K457" s="145"/>
      <c r="L457" s="145"/>
      <c r="M457" s="145"/>
      <c r="N457" s="145"/>
      <c r="O457" s="145"/>
      <c r="P457" s="145"/>
      <c r="Q457" s="146"/>
      <c r="R457" s="146"/>
    </row>
    <row r="458" spans="1:18" ht="30" customHeight="1" x14ac:dyDescent="0.45">
      <c r="A458" s="49">
        <v>22</v>
      </c>
      <c r="B458" s="144" t="str">
        <f>IF(OR(VLOOKUP(Table131303337[[#This Row],[Ln'#]],Advanced!A$65:AU$114,7,FALSE)="E",VLOOKUP(Table131303337[[#This Row],[Ln'#]],Advanced!A$65:AU$114,7,FALSE)="FEO"),"x","")</f>
        <v/>
      </c>
      <c r="C458" s="144" t="str">
        <f>IF(OR(VLOOKUP(Table131303337[[#This Row],[Ln'#]],Advanced!A$65:AU$114,23,FALSE)="E",VLOOKUP(Table131303337[[#This Row],[Ln'#]],Advanced!A$65:AU$114,23,FALSE)="FEO"),"x","")</f>
        <v/>
      </c>
      <c r="D458" s="48"/>
      <c r="E458" s="48"/>
      <c r="F458" s="48" t="str">
        <f>IF(AND(Table131303337[[#This Row],[Status Container]]="",Table131303337[[#This Row],[Status Exterior]]=""),"",VLOOKUP(Table131303337[[#This Row],[Ln'#]],Advanced!$A$65:$AU$114,3,FALSE))</f>
        <v/>
      </c>
      <c r="G45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8" s="51" t="str">
        <f>IF(Table131303337[[#This Row],[Dog ID]]="","",(VLOOKUP(Table131303337[[#This Row],[Dog ID]],Advanced!C$65:$AU135,45,FALSE)))</f>
        <v/>
      </c>
      <c r="J458" s="145"/>
      <c r="K458" s="145"/>
      <c r="L458" s="145"/>
      <c r="M458" s="145"/>
      <c r="N458" s="145"/>
      <c r="O458" s="145"/>
      <c r="P458" s="145"/>
      <c r="Q458" s="146"/>
      <c r="R458" s="146"/>
    </row>
    <row r="459" spans="1:18" ht="30" customHeight="1" x14ac:dyDescent="0.45">
      <c r="A459" s="49">
        <v>23</v>
      </c>
      <c r="B459" s="144" t="str">
        <f>IF(OR(VLOOKUP(Table131303337[[#This Row],[Ln'#]],Advanced!A$65:AU$114,7,FALSE)="E",VLOOKUP(Table131303337[[#This Row],[Ln'#]],Advanced!A$65:AU$114,7,FALSE)="FEO"),"x","")</f>
        <v/>
      </c>
      <c r="C459" s="144" t="str">
        <f>IF(OR(VLOOKUP(Table131303337[[#This Row],[Ln'#]],Advanced!A$65:AU$114,23,FALSE)="E",VLOOKUP(Table131303337[[#This Row],[Ln'#]],Advanced!A$65:AU$114,23,FALSE)="FEO"),"x","")</f>
        <v/>
      </c>
      <c r="D459" s="48"/>
      <c r="E459" s="48"/>
      <c r="F459" s="48" t="str">
        <f>IF(AND(Table131303337[[#This Row],[Status Container]]="",Table131303337[[#This Row],[Status Exterior]]=""),"",VLOOKUP(Table131303337[[#This Row],[Ln'#]],Advanced!$A$65:$AU$114,3,FALSE))</f>
        <v/>
      </c>
      <c r="G45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9" s="51" t="str">
        <f>IF(Table131303337[[#This Row],[Dog ID]]="","",(VLOOKUP(Table131303337[[#This Row],[Dog ID]],Advanced!C$65:$AU136,45,FALSE)))</f>
        <v/>
      </c>
      <c r="J459" s="145"/>
      <c r="K459" s="145"/>
      <c r="L459" s="145"/>
      <c r="M459" s="145"/>
      <c r="N459" s="145"/>
      <c r="O459" s="145"/>
      <c r="P459" s="145"/>
      <c r="Q459" s="146"/>
      <c r="R459" s="146"/>
    </row>
    <row r="460" spans="1:18" ht="30" customHeight="1" x14ac:dyDescent="0.45">
      <c r="A460" s="49">
        <v>24</v>
      </c>
      <c r="B460" s="144" t="str">
        <f>IF(OR(VLOOKUP(Table131303337[[#This Row],[Ln'#]],Advanced!A$65:AU$114,7,FALSE)="E",VLOOKUP(Table131303337[[#This Row],[Ln'#]],Advanced!A$65:AU$114,7,FALSE)="FEO"),"x","")</f>
        <v/>
      </c>
      <c r="C460" s="144" t="str">
        <f>IF(OR(VLOOKUP(Table131303337[[#This Row],[Ln'#]],Advanced!A$65:AU$114,23,FALSE)="E",VLOOKUP(Table131303337[[#This Row],[Ln'#]],Advanced!A$65:AU$114,23,FALSE)="FEO"),"x","")</f>
        <v/>
      </c>
      <c r="D460" s="48"/>
      <c r="E460" s="48"/>
      <c r="F460" s="48" t="str">
        <f>IF(AND(Table131303337[[#This Row],[Status Container]]="",Table131303337[[#This Row],[Status Exterior]]=""),"",VLOOKUP(Table131303337[[#This Row],[Ln'#]],Advanced!$A$65:$AU$114,3,FALSE))</f>
        <v/>
      </c>
      <c r="G46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0" s="51" t="str">
        <f>IF(Table131303337[[#This Row],[Dog ID]]="","",(VLOOKUP(Table131303337[[#This Row],[Dog ID]],Advanced!C$65:$AU137,45,FALSE)))</f>
        <v/>
      </c>
      <c r="J460" s="145"/>
      <c r="K460" s="145"/>
      <c r="L460" s="145"/>
      <c r="M460" s="145"/>
      <c r="N460" s="145"/>
      <c r="O460" s="145"/>
      <c r="P460" s="145"/>
      <c r="Q460" s="146"/>
      <c r="R460" s="146"/>
    </row>
    <row r="461" spans="1:18" ht="30" customHeight="1" x14ac:dyDescent="0.45">
      <c r="A461" s="49">
        <v>25</v>
      </c>
      <c r="B461" s="144" t="str">
        <f>IF(OR(VLOOKUP(Table131303337[[#This Row],[Ln'#]],Advanced!A$65:AU$114,7,FALSE)="E",VLOOKUP(Table131303337[[#This Row],[Ln'#]],Advanced!A$65:AU$114,7,FALSE)="FEO"),"x","")</f>
        <v/>
      </c>
      <c r="C461" s="144" t="str">
        <f>IF(OR(VLOOKUP(Table131303337[[#This Row],[Ln'#]],Advanced!A$65:AU$114,23,FALSE)="E",VLOOKUP(Table131303337[[#This Row],[Ln'#]],Advanced!A$65:AU$114,23,FALSE)="FEO"),"x","")</f>
        <v/>
      </c>
      <c r="D461" s="48"/>
      <c r="E461" s="48"/>
      <c r="F461" s="48" t="str">
        <f>IF(AND(Table131303337[[#This Row],[Status Container]]="",Table131303337[[#This Row],[Status Exterior]]=""),"",VLOOKUP(Table131303337[[#This Row],[Ln'#]],Advanced!$A$65:$AU$114,3,FALSE))</f>
        <v/>
      </c>
      <c r="G46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1" s="51" t="str">
        <f>IF(Table131303337[[#This Row],[Dog ID]]="","",(VLOOKUP(Table131303337[[#This Row],[Dog ID]],Advanced!C$65:$AU138,45,FALSE)))</f>
        <v/>
      </c>
      <c r="J461" s="145"/>
      <c r="K461" s="145"/>
      <c r="L461" s="145"/>
      <c r="M461" s="145"/>
      <c r="N461" s="145"/>
      <c r="O461" s="145"/>
      <c r="P461" s="145"/>
      <c r="Q461" s="146"/>
      <c r="R461" s="146"/>
    </row>
    <row r="462" spans="1:18" ht="30" customHeight="1" x14ac:dyDescent="0.45">
      <c r="A462" s="49">
        <v>26</v>
      </c>
      <c r="B462" s="144" t="str">
        <f>IF(OR(VLOOKUP(Table131303337[[#This Row],[Ln'#]],Advanced!A$65:AU$114,7,FALSE)="E",VLOOKUP(Table131303337[[#This Row],[Ln'#]],Advanced!A$65:AU$114,7,FALSE)="FEO"),"x","")</f>
        <v/>
      </c>
      <c r="C462" s="144" t="str">
        <f>IF(OR(VLOOKUP(Table131303337[[#This Row],[Ln'#]],Advanced!A$65:AU$114,23,FALSE)="E",VLOOKUP(Table131303337[[#This Row],[Ln'#]],Advanced!A$65:AU$114,23,FALSE)="FEO"),"x","")</f>
        <v/>
      </c>
      <c r="D462" s="48"/>
      <c r="E462" s="48"/>
      <c r="F462" s="48" t="str">
        <f>IF(AND(Table131303337[[#This Row],[Status Container]]="",Table131303337[[#This Row],[Status Exterior]]=""),"",VLOOKUP(Table131303337[[#This Row],[Ln'#]],Advanced!$A$65:$AU$114,3,FALSE))</f>
        <v/>
      </c>
      <c r="G46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2" s="51" t="str">
        <f>IF(Table131303337[[#This Row],[Dog ID]]="","",(VLOOKUP(Table131303337[[#This Row],[Dog ID]],Advanced!C$65:$AU139,45,FALSE)))</f>
        <v/>
      </c>
      <c r="J462" s="145"/>
      <c r="K462" s="145"/>
      <c r="L462" s="145"/>
      <c r="M462" s="145"/>
      <c r="N462" s="145"/>
      <c r="O462" s="145"/>
      <c r="P462" s="145"/>
      <c r="Q462" s="146"/>
      <c r="R462" s="146"/>
    </row>
    <row r="463" spans="1:18" ht="30" customHeight="1" x14ac:dyDescent="0.45">
      <c r="A463" s="49">
        <v>27</v>
      </c>
      <c r="B463" s="144" t="str">
        <f>IF(OR(VLOOKUP(Table131303337[[#This Row],[Ln'#]],Advanced!A$65:AU$114,7,FALSE)="E",VLOOKUP(Table131303337[[#This Row],[Ln'#]],Advanced!A$65:AU$114,7,FALSE)="FEO"),"x","")</f>
        <v/>
      </c>
      <c r="C463" s="144" t="str">
        <f>IF(OR(VLOOKUP(Table131303337[[#This Row],[Ln'#]],Advanced!A$65:AU$114,23,FALSE)="E",VLOOKUP(Table131303337[[#This Row],[Ln'#]],Advanced!A$65:AU$114,23,FALSE)="FEO"),"x","")</f>
        <v/>
      </c>
      <c r="D463" s="48"/>
      <c r="E463" s="48"/>
      <c r="F463" s="48" t="str">
        <f>IF(AND(Table131303337[[#This Row],[Status Container]]="",Table131303337[[#This Row],[Status Exterior]]=""),"",VLOOKUP(Table131303337[[#This Row],[Ln'#]],Advanced!$A$65:$AU$114,3,FALSE))</f>
        <v/>
      </c>
      <c r="G46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3" s="51" t="str">
        <f>IF(Table131303337[[#This Row],[Dog ID]]="","",(VLOOKUP(Table131303337[[#This Row],[Dog ID]],Advanced!C$65:$AU140,45,FALSE)))</f>
        <v/>
      </c>
      <c r="J463" s="145"/>
      <c r="K463" s="145"/>
      <c r="L463" s="145"/>
      <c r="M463" s="145"/>
      <c r="N463" s="145"/>
      <c r="O463" s="145"/>
      <c r="P463" s="145"/>
      <c r="Q463" s="146"/>
      <c r="R463" s="146"/>
    </row>
    <row r="464" spans="1:18" ht="30" customHeight="1" x14ac:dyDescent="0.45">
      <c r="A464" s="49">
        <v>28</v>
      </c>
      <c r="B464" s="144" t="str">
        <f>IF(OR(VLOOKUP(Table131303337[[#This Row],[Ln'#]],Advanced!A$65:AU$114,7,FALSE)="E",VLOOKUP(Table131303337[[#This Row],[Ln'#]],Advanced!A$65:AU$114,7,FALSE)="FEO"),"x","")</f>
        <v/>
      </c>
      <c r="C464" s="144" t="str">
        <f>IF(OR(VLOOKUP(Table131303337[[#This Row],[Ln'#]],Advanced!A$65:AU$114,23,FALSE)="E",VLOOKUP(Table131303337[[#This Row],[Ln'#]],Advanced!A$65:AU$114,23,FALSE)="FEO"),"x","")</f>
        <v/>
      </c>
      <c r="D464" s="48"/>
      <c r="E464" s="48"/>
      <c r="F464" s="48" t="str">
        <f>IF(AND(Table131303337[[#This Row],[Status Container]]="",Table131303337[[#This Row],[Status Exterior]]=""),"",VLOOKUP(Table131303337[[#This Row],[Ln'#]],Advanced!$A$65:$AU$114,3,FALSE))</f>
        <v/>
      </c>
      <c r="G46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4" s="51" t="str">
        <f>IF(Table131303337[[#This Row],[Dog ID]]="","",(VLOOKUP(Table131303337[[#This Row],[Dog ID]],Advanced!C$65:$AU141,45,FALSE)))</f>
        <v/>
      </c>
      <c r="J464" s="145"/>
      <c r="K464" s="145"/>
      <c r="L464" s="145"/>
      <c r="M464" s="145"/>
      <c r="N464" s="145"/>
      <c r="O464" s="145"/>
      <c r="P464" s="145"/>
      <c r="Q464" s="146"/>
      <c r="R464" s="146"/>
    </row>
    <row r="465" spans="1:18" ht="30" customHeight="1" x14ac:dyDescent="0.45">
      <c r="A465" s="49">
        <v>29</v>
      </c>
      <c r="B465" s="144" t="str">
        <f>IF(OR(VLOOKUP(Table131303337[[#This Row],[Ln'#]],Advanced!A$65:AU$114,7,FALSE)="E",VLOOKUP(Table131303337[[#This Row],[Ln'#]],Advanced!A$65:AU$114,7,FALSE)="FEO"),"x","")</f>
        <v/>
      </c>
      <c r="C465" s="144" t="str">
        <f>IF(OR(VLOOKUP(Table131303337[[#This Row],[Ln'#]],Advanced!A$65:AU$114,23,FALSE)="E",VLOOKUP(Table131303337[[#This Row],[Ln'#]],Advanced!A$65:AU$114,23,FALSE)="FEO"),"x","")</f>
        <v/>
      </c>
      <c r="D465" s="48"/>
      <c r="E465" s="48"/>
      <c r="F465" s="48" t="str">
        <f>IF(AND(Table131303337[[#This Row],[Status Container]]="",Table131303337[[#This Row],[Status Exterior]]=""),"",VLOOKUP(Table131303337[[#This Row],[Ln'#]],Advanced!$A$65:$AU$114,3,FALSE))</f>
        <v/>
      </c>
      <c r="G46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5" s="51" t="str">
        <f>IF(Table131303337[[#This Row],[Dog ID]]="","",(VLOOKUP(Table131303337[[#This Row],[Dog ID]],Advanced!C$65:$AU142,45,FALSE)))</f>
        <v/>
      </c>
      <c r="J465" s="145"/>
      <c r="K465" s="145"/>
      <c r="L465" s="145"/>
      <c r="M465" s="145"/>
      <c r="N465" s="145"/>
      <c r="O465" s="145"/>
      <c r="P465" s="145"/>
      <c r="Q465" s="146"/>
      <c r="R465" s="146"/>
    </row>
    <row r="466" spans="1:18" ht="30" customHeight="1" x14ac:dyDescent="0.45">
      <c r="A466" s="49">
        <v>30</v>
      </c>
      <c r="B466" s="144" t="str">
        <f>IF(OR(VLOOKUP(Table131303337[[#This Row],[Ln'#]],Advanced!A$65:AU$114,7,FALSE)="E",VLOOKUP(Table131303337[[#This Row],[Ln'#]],Advanced!A$65:AU$114,7,FALSE)="FEO"),"x","")</f>
        <v/>
      </c>
      <c r="C466" s="144" t="str">
        <f>IF(OR(VLOOKUP(Table131303337[[#This Row],[Ln'#]],Advanced!A$65:AU$114,23,FALSE)="E",VLOOKUP(Table131303337[[#This Row],[Ln'#]],Advanced!A$65:AU$114,23,FALSE)="FEO"),"x","")</f>
        <v/>
      </c>
      <c r="D466" s="48"/>
      <c r="E466" s="48"/>
      <c r="F466" s="48" t="str">
        <f>IF(AND(Table131303337[[#This Row],[Status Container]]="",Table131303337[[#This Row],[Status Exterior]]=""),"",VLOOKUP(Table131303337[[#This Row],[Ln'#]],Advanced!$A$65:$AU$114,3,FALSE))</f>
        <v/>
      </c>
      <c r="G46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6" s="51" t="str">
        <f>IF(Table131303337[[#This Row],[Dog ID]]="","",(VLOOKUP(Table131303337[[#This Row],[Dog ID]],Advanced!C$65:$AU143,45,FALSE)))</f>
        <v/>
      </c>
      <c r="J466" s="145"/>
      <c r="K466" s="145"/>
      <c r="L466" s="145"/>
      <c r="M466" s="145"/>
      <c r="N466" s="145"/>
      <c r="O466" s="145"/>
      <c r="P466" s="145"/>
      <c r="Q466" s="146"/>
      <c r="R466" s="146"/>
    </row>
    <row r="467" spans="1:18" ht="30" customHeight="1" x14ac:dyDescent="0.45">
      <c r="A467" s="49">
        <v>31</v>
      </c>
      <c r="B467" s="144" t="str">
        <f>IF(OR(VLOOKUP(Table131303337[[#This Row],[Ln'#]],Advanced!A$65:AU$114,7,FALSE)="E",VLOOKUP(Table131303337[[#This Row],[Ln'#]],Advanced!A$65:AU$114,7,FALSE)="FEO"),"x","")</f>
        <v/>
      </c>
      <c r="C467" s="144" t="str">
        <f>IF(OR(VLOOKUP(Table131303337[[#This Row],[Ln'#]],Advanced!A$65:AU$114,23,FALSE)="E",VLOOKUP(Table131303337[[#This Row],[Ln'#]],Advanced!A$65:AU$114,23,FALSE)="FEO"),"x","")</f>
        <v/>
      </c>
      <c r="D467" s="48"/>
      <c r="E467" s="48"/>
      <c r="F467" s="48" t="str">
        <f>IF(AND(Table131303337[[#This Row],[Status Container]]="",Table131303337[[#This Row],[Status Exterior]]=""),"",VLOOKUP(Table131303337[[#This Row],[Ln'#]],Advanced!$A$65:$AU$114,3,FALSE))</f>
        <v/>
      </c>
      <c r="G46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7" s="51" t="str">
        <f>IF(Table131303337[[#This Row],[Dog ID]]="","",(VLOOKUP(Table131303337[[#This Row],[Dog ID]],Advanced!C$65:$AU144,45,FALSE)))</f>
        <v/>
      </c>
      <c r="J467" s="145"/>
      <c r="K467" s="145"/>
      <c r="L467" s="145"/>
      <c r="M467" s="145"/>
      <c r="N467" s="145"/>
      <c r="O467" s="145"/>
      <c r="P467" s="145"/>
      <c r="Q467" s="146"/>
      <c r="R467" s="146"/>
    </row>
    <row r="468" spans="1:18" ht="30" customHeight="1" x14ac:dyDescent="0.45">
      <c r="A468" s="49">
        <v>32</v>
      </c>
      <c r="B468" s="144" t="str">
        <f>IF(OR(VLOOKUP(Table131303337[[#This Row],[Ln'#]],Advanced!A$65:AU$114,7,FALSE)="E",VLOOKUP(Table131303337[[#This Row],[Ln'#]],Advanced!A$65:AU$114,7,FALSE)="FEO"),"x","")</f>
        <v/>
      </c>
      <c r="C468" s="144" t="str">
        <f>IF(OR(VLOOKUP(Table131303337[[#This Row],[Ln'#]],Advanced!A$65:AU$114,23,FALSE)="E",VLOOKUP(Table131303337[[#This Row],[Ln'#]],Advanced!A$65:AU$114,23,FALSE)="FEO"),"x","")</f>
        <v/>
      </c>
      <c r="D468" s="48"/>
      <c r="E468" s="48"/>
      <c r="F468" s="48" t="str">
        <f>IF(AND(Table131303337[[#This Row],[Status Container]]="",Table131303337[[#This Row],[Status Exterior]]=""),"",VLOOKUP(Table131303337[[#This Row],[Ln'#]],Advanced!$A$65:$AU$114,3,FALSE))</f>
        <v/>
      </c>
      <c r="G46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8" s="51" t="str">
        <f>IF(Table131303337[[#This Row],[Dog ID]]="","",(VLOOKUP(Table131303337[[#This Row],[Dog ID]],Advanced!C$65:$AU145,45,FALSE)))</f>
        <v/>
      </c>
      <c r="J468" s="145"/>
      <c r="K468" s="145"/>
      <c r="L468" s="145"/>
      <c r="M468" s="145"/>
      <c r="N468" s="145"/>
      <c r="O468" s="145"/>
      <c r="P468" s="145"/>
      <c r="Q468" s="146"/>
      <c r="R468" s="146"/>
    </row>
    <row r="469" spans="1:18" ht="30" customHeight="1" x14ac:dyDescent="0.45">
      <c r="A469" s="49">
        <v>33</v>
      </c>
      <c r="B469" s="144" t="str">
        <f>IF(OR(VLOOKUP(Table131303337[[#This Row],[Ln'#]],Advanced!A$65:AU$114,7,FALSE)="E",VLOOKUP(Table131303337[[#This Row],[Ln'#]],Advanced!A$65:AU$114,7,FALSE)="FEO"),"x","")</f>
        <v/>
      </c>
      <c r="C469" s="144" t="str">
        <f>IF(OR(VLOOKUP(Table131303337[[#This Row],[Ln'#]],Advanced!A$65:AU$114,23,FALSE)="E",VLOOKUP(Table131303337[[#This Row],[Ln'#]],Advanced!A$65:AU$114,23,FALSE)="FEO"),"x","")</f>
        <v/>
      </c>
      <c r="D469" s="48"/>
      <c r="E469" s="48"/>
      <c r="F469" s="48" t="str">
        <f>IF(AND(Table131303337[[#This Row],[Status Container]]="",Table131303337[[#This Row],[Status Exterior]]=""),"",VLOOKUP(Table131303337[[#This Row],[Ln'#]],Advanced!$A$65:$AU$114,3,FALSE))</f>
        <v/>
      </c>
      <c r="G46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9" s="51" t="str">
        <f>IF(Table131303337[[#This Row],[Dog ID]]="","",(VLOOKUP(Table131303337[[#This Row],[Dog ID]],Advanced!C$65:$AU146,45,FALSE)))</f>
        <v/>
      </c>
      <c r="J469" s="145"/>
      <c r="K469" s="145"/>
      <c r="L469" s="145"/>
      <c r="M469" s="145"/>
      <c r="N469" s="145"/>
      <c r="O469" s="145"/>
      <c r="P469" s="145"/>
      <c r="Q469" s="146"/>
      <c r="R469" s="146"/>
    </row>
    <row r="470" spans="1:18" ht="30" customHeight="1" x14ac:dyDescent="0.45">
      <c r="A470" s="49">
        <v>34</v>
      </c>
      <c r="B470" s="144" t="str">
        <f>IF(OR(VLOOKUP(Table131303337[[#This Row],[Ln'#]],Advanced!A$65:AU$114,7,FALSE)="E",VLOOKUP(Table131303337[[#This Row],[Ln'#]],Advanced!A$65:AU$114,7,FALSE)="FEO"),"x","")</f>
        <v/>
      </c>
      <c r="C470" s="144" t="str">
        <f>IF(OR(VLOOKUP(Table131303337[[#This Row],[Ln'#]],Advanced!A$65:AU$114,23,FALSE)="E",VLOOKUP(Table131303337[[#This Row],[Ln'#]],Advanced!A$65:AU$114,23,FALSE)="FEO"),"x","")</f>
        <v/>
      </c>
      <c r="D470" s="48"/>
      <c r="E470" s="48"/>
      <c r="F470" s="48" t="str">
        <f>IF(AND(Table131303337[[#This Row],[Status Container]]="",Table131303337[[#This Row],[Status Exterior]]=""),"",VLOOKUP(Table131303337[[#This Row],[Ln'#]],Advanced!$A$65:$AU$114,3,FALSE))</f>
        <v/>
      </c>
      <c r="G47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0" s="51" t="str">
        <f>IF(Table131303337[[#This Row],[Dog ID]]="","",(VLOOKUP(Table131303337[[#This Row],[Dog ID]],Advanced!C$65:$AU147,45,FALSE)))</f>
        <v/>
      </c>
      <c r="J470" s="145"/>
      <c r="K470" s="145"/>
      <c r="L470" s="145"/>
      <c r="M470" s="145"/>
      <c r="N470" s="145"/>
      <c r="O470" s="145"/>
      <c r="P470" s="145"/>
      <c r="Q470" s="146"/>
      <c r="R470" s="146"/>
    </row>
    <row r="471" spans="1:18" ht="30" customHeight="1" x14ac:dyDescent="0.45">
      <c r="A471" s="49">
        <v>35</v>
      </c>
      <c r="B471" s="144" t="str">
        <f>IF(OR(VLOOKUP(Table131303337[[#This Row],[Ln'#]],Advanced!A$65:AU$114,7,FALSE)="E",VLOOKUP(Table131303337[[#This Row],[Ln'#]],Advanced!A$65:AU$114,7,FALSE)="FEO"),"x","")</f>
        <v/>
      </c>
      <c r="C471" s="144" t="str">
        <f>IF(OR(VLOOKUP(Table131303337[[#This Row],[Ln'#]],Advanced!A$65:AU$114,23,FALSE)="E",VLOOKUP(Table131303337[[#This Row],[Ln'#]],Advanced!A$65:AU$114,23,FALSE)="FEO"),"x","")</f>
        <v/>
      </c>
      <c r="D471" s="48"/>
      <c r="E471" s="48"/>
      <c r="F471" s="48" t="str">
        <f>IF(AND(Table131303337[[#This Row],[Status Container]]="",Table131303337[[#This Row],[Status Exterior]]=""),"",VLOOKUP(Table131303337[[#This Row],[Ln'#]],Advanced!$A$65:$AU$114,3,FALSE))</f>
        <v/>
      </c>
      <c r="G47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1" s="51" t="str">
        <f>IF(Table131303337[[#This Row],[Dog ID]]="","",(VLOOKUP(Table131303337[[#This Row],[Dog ID]],Advanced!C$65:$AU148,45,FALSE)))</f>
        <v/>
      </c>
      <c r="J471" s="145"/>
      <c r="K471" s="145"/>
      <c r="L471" s="145"/>
      <c r="M471" s="145"/>
      <c r="N471" s="145"/>
      <c r="O471" s="145"/>
      <c r="P471" s="145"/>
      <c r="Q471" s="146"/>
      <c r="R471" s="146"/>
    </row>
    <row r="472" spans="1:18" ht="30" customHeight="1" x14ac:dyDescent="0.45">
      <c r="A472" s="49">
        <v>36</v>
      </c>
      <c r="B472" s="144" t="str">
        <f>IF(OR(VLOOKUP(Table131303337[[#This Row],[Ln'#]],Advanced!A$65:AU$114,7,FALSE)="E",VLOOKUP(Table131303337[[#This Row],[Ln'#]],Advanced!A$65:AU$114,7,FALSE)="FEO"),"x","")</f>
        <v/>
      </c>
      <c r="C472" s="144" t="str">
        <f>IF(OR(VLOOKUP(Table131303337[[#This Row],[Ln'#]],Advanced!A$65:AU$114,23,FALSE)="E",VLOOKUP(Table131303337[[#This Row],[Ln'#]],Advanced!A$65:AU$114,23,FALSE)="FEO"),"x","")</f>
        <v/>
      </c>
      <c r="D472" s="48"/>
      <c r="E472" s="48"/>
      <c r="F472" s="48" t="str">
        <f>IF(AND(Table131303337[[#This Row],[Status Container]]="",Table131303337[[#This Row],[Status Exterior]]=""),"",VLOOKUP(Table131303337[[#This Row],[Ln'#]],Advanced!$A$65:$AU$114,3,FALSE))</f>
        <v/>
      </c>
      <c r="G47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2" s="51" t="str">
        <f>IF(Table131303337[[#This Row],[Dog ID]]="","",(VLOOKUP(Table131303337[[#This Row],[Dog ID]],Advanced!C$65:$AU149,45,FALSE)))</f>
        <v/>
      </c>
      <c r="J472" s="145"/>
      <c r="K472" s="145"/>
      <c r="L472" s="145"/>
      <c r="M472" s="145"/>
      <c r="N472" s="145"/>
      <c r="O472" s="145"/>
      <c r="P472" s="145"/>
      <c r="Q472" s="146"/>
      <c r="R472" s="146"/>
    </row>
    <row r="473" spans="1:18" ht="30" customHeight="1" x14ac:dyDescent="0.45">
      <c r="A473" s="49">
        <v>37</v>
      </c>
      <c r="B473" s="144" t="str">
        <f>IF(OR(VLOOKUP(Table131303337[[#This Row],[Ln'#]],Advanced!A$65:AU$114,7,FALSE)="E",VLOOKUP(Table131303337[[#This Row],[Ln'#]],Advanced!A$65:AU$114,7,FALSE)="FEO"),"x","")</f>
        <v/>
      </c>
      <c r="C473" s="144" t="str">
        <f>IF(OR(VLOOKUP(Table131303337[[#This Row],[Ln'#]],Advanced!A$65:AU$114,23,FALSE)="E",VLOOKUP(Table131303337[[#This Row],[Ln'#]],Advanced!A$65:AU$114,23,FALSE)="FEO"),"x","")</f>
        <v/>
      </c>
      <c r="D473" s="48"/>
      <c r="E473" s="48"/>
      <c r="F473" s="48" t="str">
        <f>IF(AND(Table131303337[[#This Row],[Status Container]]="",Table131303337[[#This Row],[Status Exterior]]=""),"",VLOOKUP(Table131303337[[#This Row],[Ln'#]],Advanced!$A$65:$AU$114,3,FALSE))</f>
        <v/>
      </c>
      <c r="G47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3" s="51" t="str">
        <f>IF(Table131303337[[#This Row],[Dog ID]]="","",(VLOOKUP(Table131303337[[#This Row],[Dog ID]],Advanced!C$65:$AU150,45,FALSE)))</f>
        <v/>
      </c>
      <c r="J473" s="145"/>
      <c r="K473" s="145"/>
      <c r="L473" s="145"/>
      <c r="M473" s="145"/>
      <c r="N473" s="145"/>
      <c r="O473" s="145"/>
      <c r="P473" s="145"/>
      <c r="Q473" s="146"/>
      <c r="R473" s="146"/>
    </row>
    <row r="474" spans="1:18" ht="30" customHeight="1" x14ac:dyDescent="0.45">
      <c r="A474" s="49">
        <v>38</v>
      </c>
      <c r="B474" s="144" t="str">
        <f>IF(OR(VLOOKUP(Table131303337[[#This Row],[Ln'#]],Advanced!A$65:AU$114,7,FALSE)="E",VLOOKUP(Table131303337[[#This Row],[Ln'#]],Advanced!A$65:AU$114,7,FALSE)="FEO"),"x","")</f>
        <v/>
      </c>
      <c r="C474" s="144" t="str">
        <f>IF(OR(VLOOKUP(Table131303337[[#This Row],[Ln'#]],Advanced!A$65:AU$114,23,FALSE)="E",VLOOKUP(Table131303337[[#This Row],[Ln'#]],Advanced!A$65:AU$114,23,FALSE)="FEO"),"x","")</f>
        <v/>
      </c>
      <c r="D474" s="48"/>
      <c r="E474" s="48"/>
      <c r="F474" s="48" t="str">
        <f>IF(AND(Table131303337[[#This Row],[Status Container]]="",Table131303337[[#This Row],[Status Exterior]]=""),"",VLOOKUP(Table131303337[[#This Row],[Ln'#]],Advanced!$A$65:$AU$114,3,FALSE))</f>
        <v/>
      </c>
      <c r="G47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4" s="51" t="str">
        <f>IF(Table131303337[[#This Row],[Dog ID]]="","",(VLOOKUP(Table131303337[[#This Row],[Dog ID]],Advanced!C$65:$AU151,45,FALSE)))</f>
        <v/>
      </c>
      <c r="J474" s="145"/>
      <c r="K474" s="145"/>
      <c r="L474" s="145"/>
      <c r="M474" s="145"/>
      <c r="N474" s="145"/>
      <c r="O474" s="145"/>
      <c r="P474" s="145"/>
      <c r="Q474" s="146"/>
      <c r="R474" s="146"/>
    </row>
    <row r="475" spans="1:18" ht="30" customHeight="1" x14ac:dyDescent="0.45">
      <c r="A475" s="49">
        <v>39</v>
      </c>
      <c r="B475" s="144" t="str">
        <f>IF(OR(VLOOKUP(Table131303337[[#This Row],[Ln'#]],Advanced!A$65:AU$114,7,FALSE)="E",VLOOKUP(Table131303337[[#This Row],[Ln'#]],Advanced!A$65:AU$114,7,FALSE)="FEO"),"x","")</f>
        <v/>
      </c>
      <c r="C475" s="144" t="str">
        <f>IF(OR(VLOOKUP(Table131303337[[#This Row],[Ln'#]],Advanced!A$65:AU$114,23,FALSE)="E",VLOOKUP(Table131303337[[#This Row],[Ln'#]],Advanced!A$65:AU$114,23,FALSE)="FEO"),"x","")</f>
        <v/>
      </c>
      <c r="D475" s="48"/>
      <c r="E475" s="48"/>
      <c r="F475" s="48" t="str">
        <f>IF(AND(Table131303337[[#This Row],[Status Container]]="",Table131303337[[#This Row],[Status Exterior]]=""),"",VLOOKUP(Table131303337[[#This Row],[Ln'#]],Advanced!$A$65:$AU$114,3,FALSE))</f>
        <v/>
      </c>
      <c r="G47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5" s="51" t="str">
        <f>IF(Table131303337[[#This Row],[Dog ID]]="","",(VLOOKUP(Table131303337[[#This Row],[Dog ID]],Advanced!C$65:$AU152,45,FALSE)))</f>
        <v/>
      </c>
      <c r="J475" s="145"/>
      <c r="K475" s="145"/>
      <c r="L475" s="145"/>
      <c r="M475" s="145"/>
      <c r="N475" s="145"/>
      <c r="O475" s="145"/>
      <c r="P475" s="145"/>
      <c r="Q475" s="146"/>
      <c r="R475" s="146"/>
    </row>
    <row r="476" spans="1:18" ht="30" customHeight="1" x14ac:dyDescent="0.45">
      <c r="A476" s="49">
        <v>40</v>
      </c>
      <c r="B476" s="144" t="str">
        <f>IF(OR(VLOOKUP(Table131303337[[#This Row],[Ln'#]],Advanced!A$65:AU$114,7,FALSE)="E",VLOOKUP(Table131303337[[#This Row],[Ln'#]],Advanced!A$65:AU$114,7,FALSE)="FEO"),"x","")</f>
        <v/>
      </c>
      <c r="C476" s="144" t="str">
        <f>IF(OR(VLOOKUP(Table131303337[[#This Row],[Ln'#]],Advanced!A$65:AU$114,23,FALSE)="E",VLOOKUP(Table131303337[[#This Row],[Ln'#]],Advanced!A$65:AU$114,23,FALSE)="FEO"),"x","")</f>
        <v/>
      </c>
      <c r="D476" s="48"/>
      <c r="E476" s="48"/>
      <c r="F476" s="48" t="str">
        <f>IF(AND(Table131303337[[#This Row],[Status Container]]="",Table131303337[[#This Row],[Status Exterior]]=""),"",VLOOKUP(Table131303337[[#This Row],[Ln'#]],Advanced!$A$65:$AU$114,3,FALSE))</f>
        <v/>
      </c>
      <c r="G47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6" s="51" t="str">
        <f>IF(Table131303337[[#This Row],[Dog ID]]="","",(VLOOKUP(Table131303337[[#This Row],[Dog ID]],Advanced!C$65:$AU153,45,FALSE)))</f>
        <v/>
      </c>
      <c r="J476" s="145"/>
      <c r="K476" s="145"/>
      <c r="L476" s="145"/>
      <c r="M476" s="145"/>
      <c r="N476" s="145"/>
      <c r="O476" s="145"/>
      <c r="P476" s="145"/>
      <c r="Q476" s="146"/>
      <c r="R476" s="146"/>
    </row>
    <row r="477" spans="1:18" ht="30" customHeight="1" x14ac:dyDescent="0.45">
      <c r="A477" s="49">
        <v>41</v>
      </c>
      <c r="B477" s="144" t="str">
        <f>IF(OR(VLOOKUP(Table131303337[[#This Row],[Ln'#]],Advanced!A$65:AU$114,7,FALSE)="E",VLOOKUP(Table131303337[[#This Row],[Ln'#]],Advanced!A$65:AU$114,7,FALSE)="FEO"),"x","")</f>
        <v/>
      </c>
      <c r="C477" s="144" t="str">
        <f>IF(OR(VLOOKUP(Table131303337[[#This Row],[Ln'#]],Advanced!A$65:AU$114,23,FALSE)="E",VLOOKUP(Table131303337[[#This Row],[Ln'#]],Advanced!A$65:AU$114,23,FALSE)="FEO"),"x","")</f>
        <v/>
      </c>
      <c r="D477" s="48"/>
      <c r="E477" s="48"/>
      <c r="F477" s="48" t="str">
        <f>IF(AND(Table131303337[[#This Row],[Status Container]]="",Table131303337[[#This Row],[Status Exterior]]=""),"",VLOOKUP(Table131303337[[#This Row],[Ln'#]],Advanced!$A$65:$AU$114,3,FALSE))</f>
        <v/>
      </c>
      <c r="G47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7" s="51" t="str">
        <f>IF(Table131303337[[#This Row],[Dog ID]]="","",(VLOOKUP(Table131303337[[#This Row],[Dog ID]],Advanced!C$65:$AU154,45,FALSE)))</f>
        <v/>
      </c>
      <c r="J477" s="145"/>
      <c r="K477" s="145"/>
      <c r="L477" s="145"/>
      <c r="M477" s="145"/>
      <c r="N477" s="145"/>
      <c r="O477" s="145"/>
      <c r="P477" s="145"/>
      <c r="Q477" s="146"/>
      <c r="R477" s="146"/>
    </row>
    <row r="478" spans="1:18" ht="30" customHeight="1" x14ac:dyDescent="0.45">
      <c r="A478" s="49">
        <v>42</v>
      </c>
      <c r="B478" s="144" t="str">
        <f>IF(OR(VLOOKUP(Table131303337[[#This Row],[Ln'#]],Advanced!A$65:AU$114,7,FALSE)="E",VLOOKUP(Table131303337[[#This Row],[Ln'#]],Advanced!A$65:AU$114,7,FALSE)="FEO"),"x","")</f>
        <v/>
      </c>
      <c r="C478" s="144" t="str">
        <f>IF(OR(VLOOKUP(Table131303337[[#This Row],[Ln'#]],Advanced!A$65:AU$114,23,FALSE)="E",VLOOKUP(Table131303337[[#This Row],[Ln'#]],Advanced!A$65:AU$114,23,FALSE)="FEO"),"x","")</f>
        <v/>
      </c>
      <c r="D478" s="48"/>
      <c r="E478" s="48"/>
      <c r="F478" s="48" t="str">
        <f>IF(AND(Table131303337[[#This Row],[Status Container]]="",Table131303337[[#This Row],[Status Exterior]]=""),"",VLOOKUP(Table131303337[[#This Row],[Ln'#]],Advanced!$A$65:$AU$114,3,FALSE))</f>
        <v/>
      </c>
      <c r="G47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8" s="51" t="str">
        <f>IF(Table131303337[[#This Row],[Dog ID]]="","",(VLOOKUP(Table131303337[[#This Row],[Dog ID]],Advanced!C$65:$AU155,45,FALSE)))</f>
        <v/>
      </c>
      <c r="J478" s="145"/>
      <c r="K478" s="145"/>
      <c r="L478" s="145"/>
      <c r="M478" s="145"/>
      <c r="N478" s="145"/>
      <c r="O478" s="145"/>
      <c r="P478" s="145"/>
      <c r="Q478" s="146"/>
      <c r="R478" s="146"/>
    </row>
    <row r="479" spans="1:18" ht="30" customHeight="1" x14ac:dyDescent="0.45">
      <c r="A479" s="49">
        <v>43</v>
      </c>
      <c r="B479" s="144" t="str">
        <f>IF(OR(VLOOKUP(Table131303337[[#This Row],[Ln'#]],Advanced!A$65:AU$114,7,FALSE)="E",VLOOKUP(Table131303337[[#This Row],[Ln'#]],Advanced!A$65:AU$114,7,FALSE)="FEO"),"x","")</f>
        <v/>
      </c>
      <c r="C479" s="144" t="str">
        <f>IF(OR(VLOOKUP(Table131303337[[#This Row],[Ln'#]],Advanced!A$65:AU$114,23,FALSE)="E",VLOOKUP(Table131303337[[#This Row],[Ln'#]],Advanced!A$65:AU$114,23,FALSE)="FEO"),"x","")</f>
        <v/>
      </c>
      <c r="D479" s="48"/>
      <c r="E479" s="48"/>
      <c r="F479" s="48" t="str">
        <f>IF(AND(Table131303337[[#This Row],[Status Container]]="",Table131303337[[#This Row],[Status Exterior]]=""),"",VLOOKUP(Table131303337[[#This Row],[Ln'#]],Advanced!$A$65:$AU$114,3,FALSE))</f>
        <v/>
      </c>
      <c r="G47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9" s="51" t="str">
        <f>IF(Table131303337[[#This Row],[Dog ID]]="","",(VLOOKUP(Table131303337[[#This Row],[Dog ID]],Advanced!C$65:$AU156,45,FALSE)))</f>
        <v/>
      </c>
      <c r="J479" s="145"/>
      <c r="K479" s="145"/>
      <c r="L479" s="145"/>
      <c r="M479" s="145"/>
      <c r="N479" s="145"/>
      <c r="O479" s="145"/>
      <c r="P479" s="145"/>
      <c r="Q479" s="146"/>
      <c r="R479" s="146"/>
    </row>
    <row r="480" spans="1:18" ht="30" customHeight="1" x14ac:dyDescent="0.45">
      <c r="A480" s="49">
        <v>44</v>
      </c>
      <c r="B480" s="144" t="str">
        <f>IF(OR(VLOOKUP(Table131303337[[#This Row],[Ln'#]],Advanced!A$65:AU$114,7,FALSE)="E",VLOOKUP(Table131303337[[#This Row],[Ln'#]],Advanced!A$65:AU$114,7,FALSE)="FEO"),"x","")</f>
        <v/>
      </c>
      <c r="C480" s="144" t="str">
        <f>IF(OR(VLOOKUP(Table131303337[[#This Row],[Ln'#]],Advanced!A$65:AU$114,23,FALSE)="E",VLOOKUP(Table131303337[[#This Row],[Ln'#]],Advanced!A$65:AU$114,23,FALSE)="FEO"),"x","")</f>
        <v/>
      </c>
      <c r="D480" s="48"/>
      <c r="E480" s="48"/>
      <c r="F480" s="48" t="str">
        <f>IF(AND(Table131303337[[#This Row],[Status Container]]="",Table131303337[[#This Row],[Status Exterior]]=""),"",VLOOKUP(Table131303337[[#This Row],[Ln'#]],Advanced!$A$65:$AU$114,3,FALSE))</f>
        <v/>
      </c>
      <c r="G48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0" s="51" t="str">
        <f>IF(Table131303337[[#This Row],[Dog ID]]="","",(VLOOKUP(Table131303337[[#This Row],[Dog ID]],Advanced!C$65:$AU157,45,FALSE)))</f>
        <v/>
      </c>
      <c r="J480" s="145"/>
      <c r="K480" s="145"/>
      <c r="L480" s="145"/>
      <c r="M480" s="145"/>
      <c r="N480" s="145"/>
      <c r="O480" s="145"/>
      <c r="P480" s="145"/>
      <c r="Q480" s="146"/>
      <c r="R480" s="146"/>
    </row>
    <row r="481" spans="1:19" ht="30" customHeight="1" x14ac:dyDescent="0.45">
      <c r="A481" s="49">
        <v>45</v>
      </c>
      <c r="B481" s="144" t="str">
        <f>IF(OR(VLOOKUP(Table131303337[[#This Row],[Ln'#]],Advanced!A$65:AU$114,7,FALSE)="E",VLOOKUP(Table131303337[[#This Row],[Ln'#]],Advanced!A$65:AU$114,7,FALSE)="FEO"),"x","")</f>
        <v/>
      </c>
      <c r="C481" s="144" t="str">
        <f>IF(OR(VLOOKUP(Table131303337[[#This Row],[Ln'#]],Advanced!A$65:AU$114,23,FALSE)="E",VLOOKUP(Table131303337[[#This Row],[Ln'#]],Advanced!A$65:AU$114,23,FALSE)="FEO"),"x","")</f>
        <v/>
      </c>
      <c r="D481" s="48"/>
      <c r="E481" s="48"/>
      <c r="F481" s="48" t="str">
        <f>IF(AND(Table131303337[[#This Row],[Status Container]]="",Table131303337[[#This Row],[Status Exterior]]=""),"",VLOOKUP(Table131303337[[#This Row],[Ln'#]],Advanced!$A$65:$AU$114,3,FALSE))</f>
        <v/>
      </c>
      <c r="G48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1" s="51" t="str">
        <f>IF(Table131303337[[#This Row],[Dog ID]]="","",(VLOOKUP(Table131303337[[#This Row],[Dog ID]],Advanced!C$65:$AU158,45,FALSE)))</f>
        <v/>
      </c>
      <c r="J481" s="145"/>
      <c r="K481" s="145"/>
      <c r="L481" s="145"/>
      <c r="M481" s="145"/>
      <c r="N481" s="145"/>
      <c r="O481" s="145"/>
      <c r="P481" s="145"/>
      <c r="Q481" s="146"/>
      <c r="R481" s="146"/>
    </row>
    <row r="482" spans="1:19" ht="30" customHeight="1" x14ac:dyDescent="0.45">
      <c r="A482" s="49">
        <v>46</v>
      </c>
      <c r="B482" s="144" t="str">
        <f>IF(OR(VLOOKUP(Table131303337[[#This Row],[Ln'#]],Advanced!A$65:AU$114,7,FALSE)="E",VLOOKUP(Table131303337[[#This Row],[Ln'#]],Advanced!A$65:AU$114,7,FALSE)="FEO"),"x","")</f>
        <v/>
      </c>
      <c r="C482" s="144" t="str">
        <f>IF(OR(VLOOKUP(Table131303337[[#This Row],[Ln'#]],Advanced!A$65:AU$114,23,FALSE)="E",VLOOKUP(Table131303337[[#This Row],[Ln'#]],Advanced!A$65:AU$114,23,FALSE)="FEO"),"x","")</f>
        <v/>
      </c>
      <c r="D482" s="48"/>
      <c r="E482" s="48"/>
      <c r="F482" s="48" t="str">
        <f>IF(AND(Table131303337[[#This Row],[Status Container]]="",Table131303337[[#This Row],[Status Exterior]]=""),"",VLOOKUP(Table131303337[[#This Row],[Ln'#]],Advanced!$A$65:$AU$114,3,FALSE))</f>
        <v/>
      </c>
      <c r="G48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2" s="51" t="str">
        <f>IF(Table131303337[[#This Row],[Dog ID]]="","",(VLOOKUP(Table131303337[[#This Row],[Dog ID]],Advanced!C$65:$AU159,45,FALSE)))</f>
        <v/>
      </c>
      <c r="J482" s="145"/>
      <c r="K482" s="145"/>
      <c r="L482" s="145"/>
      <c r="M482" s="145"/>
      <c r="N482" s="145"/>
      <c r="O482" s="145"/>
      <c r="P482" s="145"/>
      <c r="Q482" s="146"/>
      <c r="R482" s="146"/>
    </row>
    <row r="483" spans="1:19" ht="30" customHeight="1" x14ac:dyDescent="0.45">
      <c r="A483" s="49">
        <v>47</v>
      </c>
      <c r="B483" s="144" t="str">
        <f>IF(OR(VLOOKUP(Table131303337[[#This Row],[Ln'#]],Advanced!A$65:AU$114,7,FALSE)="E",VLOOKUP(Table131303337[[#This Row],[Ln'#]],Advanced!A$65:AU$114,7,FALSE)="FEO"),"x","")</f>
        <v/>
      </c>
      <c r="C483" s="144" t="str">
        <f>IF(OR(VLOOKUP(Table131303337[[#This Row],[Ln'#]],Advanced!A$65:AU$114,23,FALSE)="E",VLOOKUP(Table131303337[[#This Row],[Ln'#]],Advanced!A$65:AU$114,23,FALSE)="FEO"),"x","")</f>
        <v/>
      </c>
      <c r="D483" s="48"/>
      <c r="E483" s="48"/>
      <c r="F483" s="48" t="str">
        <f>IF(AND(Table131303337[[#This Row],[Status Container]]="",Table131303337[[#This Row],[Status Exterior]]=""),"",VLOOKUP(Table131303337[[#This Row],[Ln'#]],Advanced!$A$65:$AU$114,3,FALSE))</f>
        <v/>
      </c>
      <c r="G48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3" s="51" t="str">
        <f>IF(Table131303337[[#This Row],[Dog ID]]="","",(VLOOKUP(Table131303337[[#This Row],[Dog ID]],Advanced!C$65:$AU160,45,FALSE)))</f>
        <v/>
      </c>
      <c r="J483" s="145"/>
      <c r="K483" s="145"/>
      <c r="L483" s="145"/>
      <c r="M483" s="145"/>
      <c r="N483" s="145"/>
      <c r="O483" s="145"/>
      <c r="P483" s="145"/>
      <c r="Q483" s="146"/>
      <c r="R483" s="146"/>
    </row>
    <row r="484" spans="1:19" ht="30" customHeight="1" x14ac:dyDescent="0.45">
      <c r="A484" s="49">
        <v>48</v>
      </c>
      <c r="B484" s="144" t="str">
        <f>IF(OR(VLOOKUP(Table131303337[[#This Row],[Ln'#]],Advanced!A$65:AU$114,7,FALSE)="E",VLOOKUP(Table131303337[[#This Row],[Ln'#]],Advanced!A$65:AU$114,7,FALSE)="FEO"),"x","")</f>
        <v/>
      </c>
      <c r="C484" s="144" t="str">
        <f>IF(OR(VLOOKUP(Table131303337[[#This Row],[Ln'#]],Advanced!A$65:AU$114,23,FALSE)="E",VLOOKUP(Table131303337[[#This Row],[Ln'#]],Advanced!A$65:AU$114,23,FALSE)="FEO"),"x","")</f>
        <v/>
      </c>
      <c r="D484" s="48"/>
      <c r="E484" s="48"/>
      <c r="F484" s="48" t="str">
        <f>IF(AND(Table131303337[[#This Row],[Status Container]]="",Table131303337[[#This Row],[Status Exterior]]=""),"",VLOOKUP(Table131303337[[#This Row],[Ln'#]],Advanced!$A$65:$AU$114,3,FALSE))</f>
        <v/>
      </c>
      <c r="G48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4" s="51" t="str">
        <f>IF(Table131303337[[#This Row],[Dog ID]]="","",(VLOOKUP(Table131303337[[#This Row],[Dog ID]],Advanced!C$65:$AU161,45,FALSE)))</f>
        <v/>
      </c>
      <c r="J484" s="145"/>
      <c r="K484" s="145"/>
      <c r="L484" s="145"/>
      <c r="M484" s="145"/>
      <c r="N484" s="145"/>
      <c r="O484" s="145"/>
      <c r="P484" s="145"/>
      <c r="Q484" s="146"/>
      <c r="R484" s="146"/>
    </row>
    <row r="485" spans="1:19" ht="30" customHeight="1" x14ac:dyDescent="0.45">
      <c r="A485" s="49">
        <v>49</v>
      </c>
      <c r="B485" s="144" t="str">
        <f>IF(OR(VLOOKUP(Table131303337[[#This Row],[Ln'#]],Advanced!A$65:AU$114,7,FALSE)="E",VLOOKUP(Table131303337[[#This Row],[Ln'#]],Advanced!A$65:AU$114,7,FALSE)="FEO"),"x","")</f>
        <v/>
      </c>
      <c r="C485" s="144" t="str">
        <f>IF(OR(VLOOKUP(Table131303337[[#This Row],[Ln'#]],Advanced!A$65:AU$114,23,FALSE)="E",VLOOKUP(Table131303337[[#This Row],[Ln'#]],Advanced!A$65:AU$114,23,FALSE)="FEO"),"x","")</f>
        <v/>
      </c>
      <c r="D485" s="48"/>
      <c r="E485" s="48"/>
      <c r="F485" s="48" t="str">
        <f>IF(AND(Table131303337[[#This Row],[Status Container]]="",Table131303337[[#This Row],[Status Exterior]]=""),"",VLOOKUP(Table131303337[[#This Row],[Ln'#]],Advanced!$A$65:$AU$114,3,FALSE))</f>
        <v/>
      </c>
      <c r="G48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5" s="51" t="str">
        <f>IF(Table131303337[[#This Row],[Dog ID]]="","",(VLOOKUP(Table131303337[[#This Row],[Dog ID]],Advanced!C$65:$AU162,45,FALSE)))</f>
        <v/>
      </c>
      <c r="J485" s="145"/>
      <c r="K485" s="145"/>
      <c r="L485" s="145"/>
      <c r="M485" s="145"/>
      <c r="N485" s="145"/>
      <c r="O485" s="145"/>
      <c r="P485" s="145"/>
      <c r="Q485" s="146"/>
      <c r="R485" s="146"/>
    </row>
    <row r="486" spans="1:19" ht="30" customHeight="1" x14ac:dyDescent="0.45">
      <c r="A486" s="49">
        <v>50</v>
      </c>
      <c r="B486" s="144" t="str">
        <f>IF(OR(VLOOKUP(Table131303337[[#This Row],[Ln'#]],Advanced!A$65:AU$114,7,FALSE)="E",VLOOKUP(Table131303337[[#This Row],[Ln'#]],Advanced!A$65:AU$114,7,FALSE)="FEO"),"x","")</f>
        <v/>
      </c>
      <c r="C486" s="144" t="str">
        <f>IF(OR(VLOOKUP(Table131303337[[#This Row],[Ln'#]],Advanced!A$65:AU$114,23,FALSE)="E",VLOOKUP(Table131303337[[#This Row],[Ln'#]],Advanced!A$65:AU$114,23,FALSE)="FEO"),"x","")</f>
        <v/>
      </c>
      <c r="D486" s="48"/>
      <c r="E486" s="48"/>
      <c r="F486" s="48" t="str">
        <f>IF(AND(Table131303337[[#This Row],[Status Container]]="",Table131303337[[#This Row],[Status Exterior]]=""),"",VLOOKUP(Table131303337[[#This Row],[Ln'#]],Advanced!$A$65:$AU$114,3,FALSE))</f>
        <v/>
      </c>
      <c r="G48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6" s="51" t="str">
        <f>IF(Table131303337[[#This Row],[Dog ID]]="","",(VLOOKUP(Table131303337[[#This Row],[Dog ID]],Advanced!C$65:$AU163,45,FALSE)))</f>
        <v/>
      </c>
      <c r="J486" s="145"/>
      <c r="K486" s="145"/>
      <c r="L486" s="145"/>
      <c r="M486" s="145"/>
      <c r="N486" s="145"/>
      <c r="O486" s="145"/>
      <c r="P486" s="145"/>
      <c r="Q486" s="146"/>
      <c r="R486" s="146"/>
    </row>
    <row r="487" spans="1:19" ht="30" customHeight="1" x14ac:dyDescent="0.4">
      <c r="A487" s="48"/>
      <c r="B487" s="48"/>
      <c r="C487" s="48"/>
      <c r="D487" s="48" t="s">
        <v>1141</v>
      </c>
      <c r="E487" s="48">
        <f>SUBTOTAL(102,Table131303337[Running Order])</f>
        <v>0</v>
      </c>
      <c r="F487" s="48"/>
      <c r="G487" s="51"/>
      <c r="H487" s="51"/>
      <c r="J487" s="145"/>
      <c r="K487" s="145"/>
      <c r="L487" s="145"/>
      <c r="M487" s="145"/>
      <c r="N487" s="145"/>
      <c r="O487" s="145"/>
      <c r="P487" s="145"/>
      <c r="Q487" s="146"/>
      <c r="R487" s="146"/>
    </row>
    <row r="488" spans="1:19" ht="30" customHeight="1" x14ac:dyDescent="0.4">
      <c r="A488" s="48"/>
      <c r="B488" s="48"/>
      <c r="C488" s="48"/>
      <c r="D488" s="48"/>
      <c r="E488" s="48"/>
      <c r="F488" s="48"/>
      <c r="G488" s="48"/>
      <c r="H488" s="51"/>
      <c r="I488" s="51"/>
      <c r="K488" s="145"/>
      <c r="L488" s="145"/>
      <c r="M488" s="145"/>
      <c r="N488" s="145"/>
      <c r="O488" s="145"/>
      <c r="P488" s="145"/>
      <c r="Q488" s="145"/>
      <c r="R488" s="146"/>
      <c r="S488" s="146"/>
    </row>
    <row r="490" spans="1:19" ht="30" customHeight="1" x14ac:dyDescent="0.4">
      <c r="A490" s="402" t="s">
        <v>1143</v>
      </c>
      <c r="B490" s="402"/>
      <c r="C490" s="43"/>
      <c r="D490" s="403" t="s">
        <v>1721</v>
      </c>
      <c r="E490" s="403"/>
      <c r="F490" s="403"/>
      <c r="G490" s="403"/>
      <c r="H490" s="403"/>
      <c r="I490" s="403"/>
    </row>
    <row r="491" spans="1:19" ht="59.25" customHeight="1" x14ac:dyDescent="0.4">
      <c r="A491" s="67" t="s">
        <v>605</v>
      </c>
      <c r="B491" s="67" t="s">
        <v>1139</v>
      </c>
      <c r="C491" s="68" t="s">
        <v>12407</v>
      </c>
      <c r="D491" s="67" t="s">
        <v>1142</v>
      </c>
      <c r="E491" s="67" t="s">
        <v>1135</v>
      </c>
      <c r="F491" s="67" t="s">
        <v>1136</v>
      </c>
      <c r="G491" s="69" t="s">
        <v>1207</v>
      </c>
      <c r="H491" s="69" t="s">
        <v>1137</v>
      </c>
      <c r="J491" s="71"/>
      <c r="K491" s="71"/>
      <c r="L491" s="71"/>
      <c r="M491" s="71"/>
      <c r="N491" s="71"/>
      <c r="O491" s="71"/>
      <c r="P491" s="71"/>
      <c r="Q491" s="71"/>
      <c r="R491" s="71"/>
    </row>
    <row r="492" spans="1:19" ht="30" customHeight="1" x14ac:dyDescent="0.4">
      <c r="A492" s="49">
        <v>1</v>
      </c>
      <c r="B49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2" s="50" t="str">
        <f t="shared" ref="C492" ca="1" si="10">IF(OR(B492="e",B492="FEO"),RAND(),"")</f>
        <v/>
      </c>
      <c r="D492" s="48"/>
      <c r="E492" s="48"/>
      <c r="F492" s="48" t="str">
        <f>IF(Table17101220[[#This Row],[Status]]="Not Entered","",VLOOKUP(Table17101220[[#This Row],[Ln'#]],Advanced!$A$65:$AU$114,3,FALSE))</f>
        <v/>
      </c>
      <c r="G49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2" s="51" t="str">
        <f>IF(Table17101220[[#This Row],[Status]]="Not Entered","",VLOOKUP(Table17101220[[#This Row],[Ln'#]],Advanced!$A$65:$AU$114,47,FALSE))</f>
        <v/>
      </c>
    </row>
    <row r="493" spans="1:19" ht="30" customHeight="1" x14ac:dyDescent="0.4">
      <c r="A493" s="49">
        <v>2</v>
      </c>
      <c r="B49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3" s="50" t="str">
        <f t="shared" ref="C493:C541" ca="1" si="11">IF(OR(B493="e",B493="FEO"),RAND(),"")</f>
        <v/>
      </c>
      <c r="D493" s="48"/>
      <c r="E493" s="48"/>
      <c r="F493" s="48" t="str">
        <f>IF(Table17101220[[#This Row],[Status]]="Not Entered","",VLOOKUP(Table17101220[[#This Row],[Ln'#]],Advanced!$A$65:$AU$114,3,FALSE))</f>
        <v/>
      </c>
      <c r="G49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3" s="51" t="str">
        <f>IF(Table17101220[[#This Row],[Status]]="Not Entered","",VLOOKUP(Table17101220[[#This Row],[Ln'#]],Advanced!$A$65:$AU$114,47,FALSE))</f>
        <v/>
      </c>
    </row>
    <row r="494" spans="1:19" ht="30" customHeight="1" x14ac:dyDescent="0.4">
      <c r="A494" s="49">
        <v>3</v>
      </c>
      <c r="B49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4" s="50" t="str">
        <f t="shared" ca="1" si="11"/>
        <v/>
      </c>
      <c r="D494" s="48"/>
      <c r="E494" s="48"/>
      <c r="F494" s="48" t="str">
        <f>IF(Table17101220[[#This Row],[Status]]="Not Entered","",VLOOKUP(Table17101220[[#This Row],[Ln'#]],Advanced!$A$65:$AU$114,3,FALSE))</f>
        <v/>
      </c>
      <c r="G49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4" s="51" t="str">
        <f>IF(Table17101220[[#This Row],[Status]]="Not Entered","",VLOOKUP(Table17101220[[#This Row],[Ln'#]],Advanced!$A$65:$AU$114,47,FALSE))</f>
        <v/>
      </c>
    </row>
    <row r="495" spans="1:19" ht="30" customHeight="1" x14ac:dyDescent="0.4">
      <c r="A495" s="49">
        <v>4</v>
      </c>
      <c r="B49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5" s="50" t="str">
        <f t="shared" ca="1" si="11"/>
        <v/>
      </c>
      <c r="D495" s="48"/>
      <c r="E495" s="48"/>
      <c r="F495" s="48" t="str">
        <f>IF(Table17101220[[#This Row],[Status]]="Not Entered","",VLOOKUP(Table17101220[[#This Row],[Ln'#]],Advanced!$A$65:$AU$114,3,FALSE))</f>
        <v/>
      </c>
      <c r="G49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5" s="51" t="str">
        <f>IF(Table17101220[[#This Row],[Status]]="Not Entered","",VLOOKUP(Table17101220[[#This Row],[Ln'#]],Advanced!$A$65:$AU$114,47,FALSE))</f>
        <v/>
      </c>
    </row>
    <row r="496" spans="1:19" ht="30" customHeight="1" x14ac:dyDescent="0.4">
      <c r="A496" s="49">
        <v>5</v>
      </c>
      <c r="B49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6" s="50" t="str">
        <f t="shared" ca="1" si="11"/>
        <v/>
      </c>
      <c r="D496" s="48"/>
      <c r="E496" s="48"/>
      <c r="F496" s="48" t="str">
        <f>IF(Table17101220[[#This Row],[Status]]="Not Entered","",VLOOKUP(Table17101220[[#This Row],[Ln'#]],Advanced!$A$65:$AU$114,3,FALSE))</f>
        <v/>
      </c>
      <c r="G49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6" s="51" t="str">
        <f>IF(Table17101220[[#This Row],[Status]]="Not Entered","",VLOOKUP(Table17101220[[#This Row],[Ln'#]],Advanced!$A$65:$AU$114,47,FALSE))</f>
        <v/>
      </c>
    </row>
    <row r="497" spans="1:8" ht="30" customHeight="1" x14ac:dyDescent="0.4">
      <c r="A497" s="49">
        <v>6</v>
      </c>
      <c r="B49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7" s="50" t="str">
        <f t="shared" ca="1" si="11"/>
        <v/>
      </c>
      <c r="D497" s="48"/>
      <c r="E497" s="48"/>
      <c r="F497" s="48" t="str">
        <f>IF(Table17101220[[#This Row],[Status]]="Not Entered","",VLOOKUP(Table17101220[[#This Row],[Ln'#]],Advanced!$A$65:$AU$114,3,FALSE))</f>
        <v/>
      </c>
      <c r="G49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7" s="51" t="str">
        <f>IF(Table17101220[[#This Row],[Status]]="Not Entered","",VLOOKUP(Table17101220[[#This Row],[Ln'#]],Advanced!$A$65:$AU$114,47,FALSE))</f>
        <v/>
      </c>
    </row>
    <row r="498" spans="1:8" ht="30" customHeight="1" x14ac:dyDescent="0.4">
      <c r="A498" s="49">
        <v>7</v>
      </c>
      <c r="B49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8" s="50" t="str">
        <f t="shared" ca="1" si="11"/>
        <v/>
      </c>
      <c r="D498" s="48"/>
      <c r="E498" s="48"/>
      <c r="F498" s="48" t="str">
        <f>IF(Table17101220[[#This Row],[Status]]="Not Entered","",VLOOKUP(Table17101220[[#This Row],[Ln'#]],Advanced!$A$65:$AU$114,3,FALSE))</f>
        <v/>
      </c>
      <c r="G49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8" s="51" t="str">
        <f>IF(Table17101220[[#This Row],[Status]]="Not Entered","",VLOOKUP(Table17101220[[#This Row],[Ln'#]],Advanced!$A$65:$AU$114,47,FALSE))</f>
        <v/>
      </c>
    </row>
    <row r="499" spans="1:8" ht="30" customHeight="1" x14ac:dyDescent="0.4">
      <c r="A499" s="49">
        <v>8</v>
      </c>
      <c r="B49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9" s="50" t="str">
        <f t="shared" ca="1" si="11"/>
        <v/>
      </c>
      <c r="D499" s="48"/>
      <c r="E499" s="48"/>
      <c r="F499" s="48" t="str">
        <f>IF(Table17101220[[#This Row],[Status]]="Not Entered","",VLOOKUP(Table17101220[[#This Row],[Ln'#]],Advanced!$A$65:$AU$114,3,FALSE))</f>
        <v/>
      </c>
      <c r="G49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9" s="51" t="str">
        <f>IF(Table17101220[[#This Row],[Status]]="Not Entered","",VLOOKUP(Table17101220[[#This Row],[Ln'#]],Advanced!$A$65:$AU$114,47,FALSE))</f>
        <v/>
      </c>
    </row>
    <row r="500" spans="1:8" ht="30" customHeight="1" x14ac:dyDescent="0.4">
      <c r="A500" s="49">
        <v>9</v>
      </c>
      <c r="B50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0" s="50" t="str">
        <f t="shared" ca="1" si="11"/>
        <v/>
      </c>
      <c r="D500" s="48"/>
      <c r="E500" s="48"/>
      <c r="F500" s="48" t="str">
        <f>IF(Table17101220[[#This Row],[Status]]="Not Entered","",VLOOKUP(Table17101220[[#This Row],[Ln'#]],Advanced!$A$65:$AU$114,3,FALSE))</f>
        <v/>
      </c>
      <c r="G50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0" s="51" t="str">
        <f>IF(Table17101220[[#This Row],[Status]]="Not Entered","",VLOOKUP(Table17101220[[#This Row],[Ln'#]],Advanced!$A$65:$AU$114,47,FALSE))</f>
        <v/>
      </c>
    </row>
    <row r="501" spans="1:8" ht="30" customHeight="1" x14ac:dyDescent="0.4">
      <c r="A501" s="49">
        <v>10</v>
      </c>
      <c r="B50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1" s="50" t="str">
        <f t="shared" ca="1" si="11"/>
        <v/>
      </c>
      <c r="D501" s="48"/>
      <c r="E501" s="48"/>
      <c r="F501" s="48" t="str">
        <f>IF(Table17101220[[#This Row],[Status]]="Not Entered","",VLOOKUP(Table17101220[[#This Row],[Ln'#]],Advanced!$A$65:$AU$114,3,FALSE))</f>
        <v/>
      </c>
      <c r="G50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1" s="51" t="str">
        <f>IF(Table17101220[[#This Row],[Status]]="Not Entered","",VLOOKUP(Table17101220[[#This Row],[Ln'#]],Advanced!$A$65:$AU$114,47,FALSE))</f>
        <v/>
      </c>
    </row>
    <row r="502" spans="1:8" ht="30" customHeight="1" x14ac:dyDescent="0.4">
      <c r="A502" s="49">
        <v>11</v>
      </c>
      <c r="B50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2" s="50" t="str">
        <f t="shared" ca="1" si="11"/>
        <v/>
      </c>
      <c r="D502" s="48"/>
      <c r="E502" s="48"/>
      <c r="F502" s="48" t="str">
        <f>IF(Table17101220[[#This Row],[Status]]="Not Entered","",VLOOKUP(Table17101220[[#This Row],[Ln'#]],Advanced!$A$65:$AU$114,3,FALSE))</f>
        <v/>
      </c>
      <c r="G50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2" s="51" t="str">
        <f>IF(Table17101220[[#This Row],[Status]]="Not Entered","",VLOOKUP(Table17101220[[#This Row],[Ln'#]],Advanced!$A$65:$AU$114,47,FALSE))</f>
        <v/>
      </c>
    </row>
    <row r="503" spans="1:8" ht="30" customHeight="1" x14ac:dyDescent="0.4">
      <c r="A503" s="49">
        <v>12</v>
      </c>
      <c r="B50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3" s="50" t="str">
        <f t="shared" ca="1" si="11"/>
        <v/>
      </c>
      <c r="D503" s="48"/>
      <c r="E503" s="48"/>
      <c r="F503" s="48" t="str">
        <f>IF(Table17101220[[#This Row],[Status]]="Not Entered","",VLOOKUP(Table17101220[[#This Row],[Ln'#]],Advanced!$A$65:$AU$114,3,FALSE))</f>
        <v/>
      </c>
      <c r="G50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3" s="51" t="str">
        <f>IF(Table17101220[[#This Row],[Status]]="Not Entered","",VLOOKUP(Table17101220[[#This Row],[Ln'#]],Advanced!$A$65:$AU$114,47,FALSE))</f>
        <v/>
      </c>
    </row>
    <row r="504" spans="1:8" ht="30" customHeight="1" x14ac:dyDescent="0.4">
      <c r="A504" s="49">
        <v>13</v>
      </c>
      <c r="B50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4" s="50" t="str">
        <f t="shared" ca="1" si="11"/>
        <v/>
      </c>
      <c r="D504" s="48"/>
      <c r="E504" s="48"/>
      <c r="F504" s="48" t="str">
        <f>IF(Table17101220[[#This Row],[Status]]="Not Entered","",VLOOKUP(Table17101220[[#This Row],[Ln'#]],Advanced!$A$65:$AU$114,3,FALSE))</f>
        <v/>
      </c>
      <c r="G50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4" s="51" t="str">
        <f>IF(Table17101220[[#This Row],[Status]]="Not Entered","",VLOOKUP(Table17101220[[#This Row],[Ln'#]],Advanced!$A$65:$AU$114,47,FALSE))</f>
        <v/>
      </c>
    </row>
    <row r="505" spans="1:8" ht="30" customHeight="1" x14ac:dyDescent="0.4">
      <c r="A505" s="49">
        <v>14</v>
      </c>
      <c r="B50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5" s="50" t="str">
        <f t="shared" ca="1" si="11"/>
        <v/>
      </c>
      <c r="D505" s="48"/>
      <c r="E505" s="48"/>
      <c r="F505" s="48" t="str">
        <f>IF(Table17101220[[#This Row],[Status]]="Not Entered","",VLOOKUP(Table17101220[[#This Row],[Ln'#]],Advanced!$A$65:$AU$114,3,FALSE))</f>
        <v/>
      </c>
      <c r="G50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5" s="51" t="str">
        <f>IF(Table17101220[[#This Row],[Status]]="Not Entered","",VLOOKUP(Table17101220[[#This Row],[Ln'#]],Advanced!$A$65:$AU$114,47,FALSE))</f>
        <v/>
      </c>
    </row>
    <row r="506" spans="1:8" ht="30" customHeight="1" x14ac:dyDescent="0.4">
      <c r="A506" s="49">
        <v>15</v>
      </c>
      <c r="B50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6" s="50" t="str">
        <f t="shared" ca="1" si="11"/>
        <v/>
      </c>
      <c r="D506" s="48"/>
      <c r="E506" s="48"/>
      <c r="F506" s="48" t="str">
        <f>IF(Table17101220[[#This Row],[Status]]="Not Entered","",VLOOKUP(Table17101220[[#This Row],[Ln'#]],Advanced!$A$65:$AU$114,3,FALSE))</f>
        <v/>
      </c>
      <c r="G50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6" s="51" t="str">
        <f>IF(Table17101220[[#This Row],[Status]]="Not Entered","",VLOOKUP(Table17101220[[#This Row],[Ln'#]],Advanced!$A$65:$AU$114,47,FALSE))</f>
        <v/>
      </c>
    </row>
    <row r="507" spans="1:8" ht="30" customHeight="1" x14ac:dyDescent="0.4">
      <c r="A507" s="49">
        <v>16</v>
      </c>
      <c r="B50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7" s="50" t="str">
        <f t="shared" ca="1" si="11"/>
        <v/>
      </c>
      <c r="D507" s="48"/>
      <c r="E507" s="48"/>
      <c r="F507" s="48" t="str">
        <f>IF(Table17101220[[#This Row],[Status]]="Not Entered","",VLOOKUP(Table17101220[[#This Row],[Ln'#]],Advanced!$A$65:$AU$114,3,FALSE))</f>
        <v/>
      </c>
      <c r="G50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7" s="51" t="str">
        <f>IF(Table17101220[[#This Row],[Status]]="Not Entered","",VLOOKUP(Table17101220[[#This Row],[Ln'#]],Advanced!$A$65:$AU$114,47,FALSE))</f>
        <v/>
      </c>
    </row>
    <row r="508" spans="1:8" ht="30" customHeight="1" x14ac:dyDescent="0.4">
      <c r="A508" s="49">
        <v>17</v>
      </c>
      <c r="B50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8" s="50" t="str">
        <f t="shared" ca="1" si="11"/>
        <v/>
      </c>
      <c r="D508" s="48"/>
      <c r="E508" s="48"/>
      <c r="F508" s="48" t="str">
        <f>IF(Table17101220[[#This Row],[Status]]="Not Entered","",VLOOKUP(Table17101220[[#This Row],[Ln'#]],Advanced!$A$65:$AU$114,3,FALSE))</f>
        <v/>
      </c>
      <c r="G50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8" s="51" t="str">
        <f>IF(Table17101220[[#This Row],[Status]]="Not Entered","",VLOOKUP(Table17101220[[#This Row],[Ln'#]],Advanced!$A$65:$AU$114,47,FALSE))</f>
        <v/>
      </c>
    </row>
    <row r="509" spans="1:8" ht="30" customHeight="1" x14ac:dyDescent="0.4">
      <c r="A509" s="49">
        <v>18</v>
      </c>
      <c r="B50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9" s="50" t="str">
        <f t="shared" ca="1" si="11"/>
        <v/>
      </c>
      <c r="D509" s="48"/>
      <c r="E509" s="48"/>
      <c r="F509" s="48" t="str">
        <f>IF(Table17101220[[#This Row],[Status]]="Not Entered","",VLOOKUP(Table17101220[[#This Row],[Ln'#]],Advanced!$A$65:$AU$114,3,FALSE))</f>
        <v/>
      </c>
      <c r="G50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9" s="51" t="str">
        <f>IF(Table17101220[[#This Row],[Status]]="Not Entered","",VLOOKUP(Table17101220[[#This Row],[Ln'#]],Advanced!$A$65:$AU$114,47,FALSE))</f>
        <v/>
      </c>
    </row>
    <row r="510" spans="1:8" ht="30" customHeight="1" x14ac:dyDescent="0.4">
      <c r="A510" s="49">
        <v>19</v>
      </c>
      <c r="B51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0" s="50" t="str">
        <f t="shared" ca="1" si="11"/>
        <v/>
      </c>
      <c r="D510" s="48"/>
      <c r="E510" s="48"/>
      <c r="F510" s="48" t="str">
        <f>IF(Table17101220[[#This Row],[Status]]="Not Entered","",VLOOKUP(Table17101220[[#This Row],[Ln'#]],Advanced!$A$65:$AU$114,3,FALSE))</f>
        <v/>
      </c>
      <c r="G51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0" s="51" t="str">
        <f>IF(Table17101220[[#This Row],[Status]]="Not Entered","",VLOOKUP(Table17101220[[#This Row],[Ln'#]],Advanced!$A$65:$AU$114,47,FALSE))</f>
        <v/>
      </c>
    </row>
    <row r="511" spans="1:8" ht="30" customHeight="1" x14ac:dyDescent="0.4">
      <c r="A511" s="49">
        <v>20</v>
      </c>
      <c r="B51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1" s="50" t="str">
        <f t="shared" ca="1" si="11"/>
        <v/>
      </c>
      <c r="D511" s="48"/>
      <c r="E511" s="48"/>
      <c r="F511" s="48" t="str">
        <f>IF(Table17101220[[#This Row],[Status]]="Not Entered","",VLOOKUP(Table17101220[[#This Row],[Ln'#]],Advanced!$A$65:$AU$114,3,FALSE))</f>
        <v/>
      </c>
      <c r="G51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1" s="51" t="str">
        <f>IF(Table17101220[[#This Row],[Status]]="Not Entered","",VLOOKUP(Table17101220[[#This Row],[Ln'#]],Advanced!$A$65:$AU$114,47,FALSE))</f>
        <v/>
      </c>
    </row>
    <row r="512" spans="1:8" ht="30" customHeight="1" x14ac:dyDescent="0.4">
      <c r="A512" s="49">
        <v>21</v>
      </c>
      <c r="B51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2" s="50" t="str">
        <f t="shared" ca="1" si="11"/>
        <v/>
      </c>
      <c r="D512" s="48"/>
      <c r="E512" s="48"/>
      <c r="F512" s="48" t="str">
        <f>IF(Table17101220[[#This Row],[Status]]="Not Entered","",VLOOKUP(Table17101220[[#This Row],[Ln'#]],Advanced!$A$65:$AU$114,3,FALSE))</f>
        <v/>
      </c>
      <c r="G51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2" s="51" t="str">
        <f>IF(Table17101220[[#This Row],[Status]]="Not Entered","",VLOOKUP(Table17101220[[#This Row],[Ln'#]],Advanced!$A$65:$AU$114,47,FALSE))</f>
        <v/>
      </c>
    </row>
    <row r="513" spans="1:8" ht="30" customHeight="1" x14ac:dyDescent="0.4">
      <c r="A513" s="49">
        <v>22</v>
      </c>
      <c r="B51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3" s="50" t="str">
        <f t="shared" ca="1" si="11"/>
        <v/>
      </c>
      <c r="D513" s="48"/>
      <c r="E513" s="48"/>
      <c r="F513" s="48" t="str">
        <f>IF(Table17101220[[#This Row],[Status]]="Not Entered","",VLOOKUP(Table17101220[[#This Row],[Ln'#]],Advanced!$A$65:$AU$114,3,FALSE))</f>
        <v/>
      </c>
      <c r="G51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3" s="51" t="str">
        <f>IF(Table17101220[[#This Row],[Status]]="Not Entered","",VLOOKUP(Table17101220[[#This Row],[Ln'#]],Advanced!$A$65:$AU$114,47,FALSE))</f>
        <v/>
      </c>
    </row>
    <row r="514" spans="1:8" ht="30" customHeight="1" x14ac:dyDescent="0.4">
      <c r="A514" s="49">
        <v>23</v>
      </c>
      <c r="B51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4" s="50" t="str">
        <f t="shared" ca="1" si="11"/>
        <v/>
      </c>
      <c r="D514" s="48"/>
      <c r="E514" s="48"/>
      <c r="F514" s="48" t="str">
        <f>IF(Table17101220[[#This Row],[Status]]="Not Entered","",VLOOKUP(Table17101220[[#This Row],[Ln'#]],Advanced!$A$65:$AU$114,3,FALSE))</f>
        <v/>
      </c>
      <c r="G51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4" s="51" t="str">
        <f>IF(Table17101220[[#This Row],[Status]]="Not Entered","",VLOOKUP(Table17101220[[#This Row],[Ln'#]],Advanced!$A$65:$AU$114,47,FALSE))</f>
        <v/>
      </c>
    </row>
    <row r="515" spans="1:8" ht="30" customHeight="1" x14ac:dyDescent="0.4">
      <c r="A515" s="49">
        <v>24</v>
      </c>
      <c r="B51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5" s="50" t="str">
        <f t="shared" ca="1" si="11"/>
        <v/>
      </c>
      <c r="D515" s="48"/>
      <c r="E515" s="48"/>
      <c r="F515" s="48" t="str">
        <f>IF(Table17101220[[#This Row],[Status]]="Not Entered","",VLOOKUP(Table17101220[[#This Row],[Ln'#]],Advanced!$A$65:$AU$114,3,FALSE))</f>
        <v/>
      </c>
      <c r="G51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5" s="51" t="str">
        <f>IF(Table17101220[[#This Row],[Status]]="Not Entered","",VLOOKUP(Table17101220[[#This Row],[Ln'#]],Advanced!$A$65:$AU$114,47,FALSE))</f>
        <v/>
      </c>
    </row>
    <row r="516" spans="1:8" ht="30" customHeight="1" x14ac:dyDescent="0.4">
      <c r="A516" s="49">
        <v>25</v>
      </c>
      <c r="B51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6" s="50" t="str">
        <f t="shared" ca="1" si="11"/>
        <v/>
      </c>
      <c r="D516" s="48"/>
      <c r="E516" s="48"/>
      <c r="F516" s="48" t="str">
        <f>IF(Table17101220[[#This Row],[Status]]="Not Entered","",VLOOKUP(Table17101220[[#This Row],[Ln'#]],Advanced!$A$65:$AU$114,3,FALSE))</f>
        <v/>
      </c>
      <c r="G51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6" s="51" t="str">
        <f>IF(Table17101220[[#This Row],[Status]]="Not Entered","",VLOOKUP(Table17101220[[#This Row],[Ln'#]],Advanced!$A$65:$AU$114,47,FALSE))</f>
        <v/>
      </c>
    </row>
    <row r="517" spans="1:8" ht="30" customHeight="1" x14ac:dyDescent="0.4">
      <c r="A517" s="49">
        <v>26</v>
      </c>
      <c r="B51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7" s="50" t="str">
        <f t="shared" ca="1" si="11"/>
        <v/>
      </c>
      <c r="D517" s="48"/>
      <c r="E517" s="48"/>
      <c r="F517" s="48" t="str">
        <f>IF(Table17101220[[#This Row],[Status]]="Not Entered","",VLOOKUP(Table17101220[[#This Row],[Ln'#]],Advanced!$A$65:$AU$114,3,FALSE))</f>
        <v/>
      </c>
      <c r="G51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7" s="51" t="str">
        <f>IF(Table17101220[[#This Row],[Status]]="Not Entered","",VLOOKUP(Table17101220[[#This Row],[Ln'#]],Advanced!$A$65:$AU$114,47,FALSE))</f>
        <v/>
      </c>
    </row>
    <row r="518" spans="1:8" ht="30" customHeight="1" x14ac:dyDescent="0.4">
      <c r="A518" s="49">
        <v>27</v>
      </c>
      <c r="B51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8" s="50" t="str">
        <f t="shared" ca="1" si="11"/>
        <v/>
      </c>
      <c r="D518" s="48"/>
      <c r="E518" s="48"/>
      <c r="F518" s="48" t="str">
        <f>IF(Table17101220[[#This Row],[Status]]="Not Entered","",VLOOKUP(Table17101220[[#This Row],[Ln'#]],Advanced!$A$65:$AU$114,3,FALSE))</f>
        <v/>
      </c>
      <c r="G51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8" s="51" t="str">
        <f>IF(Table17101220[[#This Row],[Status]]="Not Entered","",VLOOKUP(Table17101220[[#This Row],[Ln'#]],Advanced!$A$65:$AU$114,47,FALSE))</f>
        <v/>
      </c>
    </row>
    <row r="519" spans="1:8" ht="30" customHeight="1" x14ac:dyDescent="0.4">
      <c r="A519" s="49">
        <v>28</v>
      </c>
      <c r="B51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9" s="50" t="str">
        <f t="shared" ca="1" si="11"/>
        <v/>
      </c>
      <c r="D519" s="48"/>
      <c r="E519" s="48"/>
      <c r="F519" s="48" t="str">
        <f>IF(Table17101220[[#This Row],[Status]]="Not Entered","",VLOOKUP(Table17101220[[#This Row],[Ln'#]],Advanced!$A$65:$AU$114,3,FALSE))</f>
        <v/>
      </c>
      <c r="G51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9" s="51" t="str">
        <f>IF(Table17101220[[#This Row],[Status]]="Not Entered","",VLOOKUP(Table17101220[[#This Row],[Ln'#]],Advanced!$A$65:$AU$114,47,FALSE))</f>
        <v/>
      </c>
    </row>
    <row r="520" spans="1:8" ht="30" customHeight="1" x14ac:dyDescent="0.4">
      <c r="A520" s="49">
        <v>29</v>
      </c>
      <c r="B52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0" s="50" t="str">
        <f t="shared" ca="1" si="11"/>
        <v/>
      </c>
      <c r="D520" s="48"/>
      <c r="E520" s="48"/>
      <c r="F520" s="48" t="str">
        <f>IF(Table17101220[[#This Row],[Status]]="Not Entered","",VLOOKUP(Table17101220[[#This Row],[Ln'#]],Advanced!$A$65:$AU$114,3,FALSE))</f>
        <v/>
      </c>
      <c r="G52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0" s="51" t="str">
        <f>IF(Table17101220[[#This Row],[Status]]="Not Entered","",VLOOKUP(Table17101220[[#This Row],[Ln'#]],Advanced!$A$65:$AU$114,47,FALSE))</f>
        <v/>
      </c>
    </row>
    <row r="521" spans="1:8" ht="30" customHeight="1" x14ac:dyDescent="0.4">
      <c r="A521" s="49">
        <v>30</v>
      </c>
      <c r="B52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1" s="50" t="str">
        <f t="shared" ca="1" si="11"/>
        <v/>
      </c>
      <c r="D521" s="48"/>
      <c r="E521" s="48"/>
      <c r="F521" s="48" t="str">
        <f>IF(Table17101220[[#This Row],[Status]]="Not Entered","",VLOOKUP(Table17101220[[#This Row],[Ln'#]],Advanced!$A$65:$AU$114,3,FALSE))</f>
        <v/>
      </c>
      <c r="G52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1" s="51" t="str">
        <f>IF(Table17101220[[#This Row],[Status]]="Not Entered","",VLOOKUP(Table17101220[[#This Row],[Ln'#]],Advanced!$A$65:$AU$114,47,FALSE))</f>
        <v/>
      </c>
    </row>
    <row r="522" spans="1:8" ht="30" customHeight="1" x14ac:dyDescent="0.4">
      <c r="A522" s="49">
        <v>31</v>
      </c>
      <c r="B52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2" s="50" t="str">
        <f t="shared" ca="1" si="11"/>
        <v/>
      </c>
      <c r="D522" s="48"/>
      <c r="E522" s="48"/>
      <c r="F522" s="48" t="str">
        <f>IF(Table17101220[[#This Row],[Status]]="Not Entered","",VLOOKUP(Table17101220[[#This Row],[Ln'#]],Advanced!$A$65:$AU$114,3,FALSE))</f>
        <v/>
      </c>
      <c r="G52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2" s="51" t="str">
        <f>IF(Table17101220[[#This Row],[Status]]="Not Entered","",VLOOKUP(Table17101220[[#This Row],[Ln'#]],Advanced!$A$65:$AU$114,47,FALSE))</f>
        <v/>
      </c>
    </row>
    <row r="523" spans="1:8" ht="30" customHeight="1" x14ac:dyDescent="0.4">
      <c r="A523" s="49">
        <v>32</v>
      </c>
      <c r="B52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3" s="50" t="str">
        <f t="shared" ca="1" si="11"/>
        <v/>
      </c>
      <c r="D523" s="48"/>
      <c r="E523" s="48"/>
      <c r="F523" s="48" t="str">
        <f>IF(Table17101220[[#This Row],[Status]]="Not Entered","",VLOOKUP(Table17101220[[#This Row],[Ln'#]],Advanced!$A$65:$AU$114,3,FALSE))</f>
        <v/>
      </c>
      <c r="G52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3" s="51" t="str">
        <f>IF(Table17101220[[#This Row],[Status]]="Not Entered","",VLOOKUP(Table17101220[[#This Row],[Ln'#]],Advanced!$A$65:$AU$114,47,FALSE))</f>
        <v/>
      </c>
    </row>
    <row r="524" spans="1:8" ht="30" customHeight="1" x14ac:dyDescent="0.4">
      <c r="A524" s="49">
        <v>33</v>
      </c>
      <c r="B52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4" s="50" t="str">
        <f t="shared" ca="1" si="11"/>
        <v/>
      </c>
      <c r="D524" s="48"/>
      <c r="E524" s="48"/>
      <c r="F524" s="48" t="str">
        <f>IF(Table17101220[[#This Row],[Status]]="Not Entered","",VLOOKUP(Table17101220[[#This Row],[Ln'#]],Advanced!$A$65:$AU$114,3,FALSE))</f>
        <v/>
      </c>
      <c r="G52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4" s="51" t="str">
        <f>IF(Table17101220[[#This Row],[Status]]="Not Entered","",VLOOKUP(Table17101220[[#This Row],[Ln'#]],Advanced!$A$65:$AU$114,47,FALSE))</f>
        <v/>
      </c>
    </row>
    <row r="525" spans="1:8" ht="30" customHeight="1" x14ac:dyDescent="0.4">
      <c r="A525" s="49">
        <v>34</v>
      </c>
      <c r="B52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5" s="50" t="str">
        <f t="shared" ca="1" si="11"/>
        <v/>
      </c>
      <c r="D525" s="48"/>
      <c r="E525" s="48"/>
      <c r="F525" s="48" t="str">
        <f>IF(Table17101220[[#This Row],[Status]]="Not Entered","",VLOOKUP(Table17101220[[#This Row],[Ln'#]],Advanced!$A$65:$AU$114,3,FALSE))</f>
        <v/>
      </c>
      <c r="G52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5" s="51" t="str">
        <f>IF(Table17101220[[#This Row],[Status]]="Not Entered","",VLOOKUP(Table17101220[[#This Row],[Ln'#]],Advanced!$A$65:$AU$114,47,FALSE))</f>
        <v/>
      </c>
    </row>
    <row r="526" spans="1:8" ht="30" customHeight="1" x14ac:dyDescent="0.4">
      <c r="A526" s="49">
        <v>35</v>
      </c>
      <c r="B52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6" s="50" t="str">
        <f t="shared" ca="1" si="11"/>
        <v/>
      </c>
      <c r="D526" s="48"/>
      <c r="E526" s="48"/>
      <c r="F526" s="48" t="str">
        <f>IF(Table17101220[[#This Row],[Status]]="Not Entered","",VLOOKUP(Table17101220[[#This Row],[Ln'#]],Advanced!$A$65:$AU$114,3,FALSE))</f>
        <v/>
      </c>
      <c r="G52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6" s="51" t="str">
        <f>IF(Table17101220[[#This Row],[Status]]="Not Entered","",VLOOKUP(Table17101220[[#This Row],[Ln'#]],Advanced!$A$65:$AU$114,47,FALSE))</f>
        <v/>
      </c>
    </row>
    <row r="527" spans="1:8" ht="30" customHeight="1" x14ac:dyDescent="0.4">
      <c r="A527" s="49">
        <v>36</v>
      </c>
      <c r="B52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7" s="50" t="str">
        <f t="shared" ca="1" si="11"/>
        <v/>
      </c>
      <c r="D527" s="48"/>
      <c r="E527" s="48"/>
      <c r="F527" s="48" t="str">
        <f>IF(Table17101220[[#This Row],[Status]]="Not Entered","",VLOOKUP(Table17101220[[#This Row],[Ln'#]],Advanced!$A$65:$AU$114,3,FALSE))</f>
        <v/>
      </c>
      <c r="G52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7" s="51" t="str">
        <f>IF(Table17101220[[#This Row],[Status]]="Not Entered","",VLOOKUP(Table17101220[[#This Row],[Ln'#]],Advanced!$A$65:$AU$114,47,FALSE))</f>
        <v/>
      </c>
    </row>
    <row r="528" spans="1:8" ht="30" customHeight="1" x14ac:dyDescent="0.4">
      <c r="A528" s="49">
        <v>37</v>
      </c>
      <c r="B52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8" s="50" t="str">
        <f t="shared" ca="1" si="11"/>
        <v/>
      </c>
      <c r="D528" s="48"/>
      <c r="E528" s="48"/>
      <c r="F528" s="48" t="str">
        <f>IF(Table17101220[[#This Row],[Status]]="Not Entered","",VLOOKUP(Table17101220[[#This Row],[Ln'#]],Advanced!$A$65:$AU$114,3,FALSE))</f>
        <v/>
      </c>
      <c r="G52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8" s="51" t="str">
        <f>IF(Table17101220[[#This Row],[Status]]="Not Entered","",VLOOKUP(Table17101220[[#This Row],[Ln'#]],Advanced!$A$65:$AU$114,47,FALSE))</f>
        <v/>
      </c>
    </row>
    <row r="529" spans="1:8" ht="30" customHeight="1" x14ac:dyDescent="0.4">
      <c r="A529" s="49">
        <v>38</v>
      </c>
      <c r="B52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9" s="50" t="str">
        <f t="shared" ca="1" si="11"/>
        <v/>
      </c>
      <c r="D529" s="48"/>
      <c r="E529" s="48"/>
      <c r="F529" s="48" t="str">
        <f>IF(Table17101220[[#This Row],[Status]]="Not Entered","",VLOOKUP(Table17101220[[#This Row],[Ln'#]],Advanced!$A$65:$AU$114,3,FALSE))</f>
        <v/>
      </c>
      <c r="G52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9" s="51" t="str">
        <f>IF(Table17101220[[#This Row],[Status]]="Not Entered","",VLOOKUP(Table17101220[[#This Row],[Ln'#]],Advanced!$A$65:$AU$114,47,FALSE))</f>
        <v/>
      </c>
    </row>
    <row r="530" spans="1:8" ht="30" customHeight="1" x14ac:dyDescent="0.4">
      <c r="A530" s="49">
        <v>39</v>
      </c>
      <c r="B53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0" s="50" t="str">
        <f t="shared" ca="1" si="11"/>
        <v/>
      </c>
      <c r="D530" s="48"/>
      <c r="E530" s="48"/>
      <c r="F530" s="48" t="str">
        <f>IF(Table17101220[[#This Row],[Status]]="Not Entered","",VLOOKUP(Table17101220[[#This Row],[Ln'#]],Advanced!$A$65:$AU$114,3,FALSE))</f>
        <v/>
      </c>
      <c r="G53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0" s="51" t="str">
        <f>IF(Table17101220[[#This Row],[Status]]="Not Entered","",VLOOKUP(Table17101220[[#This Row],[Ln'#]],Advanced!$A$65:$AU$114,47,FALSE))</f>
        <v/>
      </c>
    </row>
    <row r="531" spans="1:8" ht="30" customHeight="1" x14ac:dyDescent="0.4">
      <c r="A531" s="49">
        <v>40</v>
      </c>
      <c r="B53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1" s="50" t="str">
        <f t="shared" ca="1" si="11"/>
        <v/>
      </c>
      <c r="D531" s="48"/>
      <c r="E531" s="48"/>
      <c r="F531" s="48" t="str">
        <f>IF(Table17101220[[#This Row],[Status]]="Not Entered","",VLOOKUP(Table17101220[[#This Row],[Ln'#]],Advanced!$A$65:$AU$114,3,FALSE))</f>
        <v/>
      </c>
      <c r="G53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1" s="51" t="str">
        <f>IF(Table17101220[[#This Row],[Status]]="Not Entered","",VLOOKUP(Table17101220[[#This Row],[Ln'#]],Advanced!$A$65:$AU$114,47,FALSE))</f>
        <v/>
      </c>
    </row>
    <row r="532" spans="1:8" ht="30" customHeight="1" x14ac:dyDescent="0.4">
      <c r="A532" s="49">
        <v>41</v>
      </c>
      <c r="B53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2" s="50" t="str">
        <f t="shared" ca="1" si="11"/>
        <v/>
      </c>
      <c r="D532" s="48"/>
      <c r="E532" s="48"/>
      <c r="F532" s="48" t="str">
        <f>IF(Table17101220[[#This Row],[Status]]="Not Entered","",VLOOKUP(Table17101220[[#This Row],[Ln'#]],Advanced!$A$65:$AU$114,3,FALSE))</f>
        <v/>
      </c>
      <c r="G53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2" s="51" t="str">
        <f>IF(Table17101220[[#This Row],[Status]]="Not Entered","",VLOOKUP(Table17101220[[#This Row],[Ln'#]],Advanced!$A$65:$AU$114,47,FALSE))</f>
        <v/>
      </c>
    </row>
    <row r="533" spans="1:8" ht="30" customHeight="1" x14ac:dyDescent="0.4">
      <c r="A533" s="49">
        <v>42</v>
      </c>
      <c r="B53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3" s="50" t="str">
        <f t="shared" ca="1" si="11"/>
        <v/>
      </c>
      <c r="D533" s="48"/>
      <c r="E533" s="48"/>
      <c r="F533" s="48" t="str">
        <f>IF(Table17101220[[#This Row],[Status]]="Not Entered","",VLOOKUP(Table17101220[[#This Row],[Ln'#]],Advanced!$A$65:$AU$114,3,FALSE))</f>
        <v/>
      </c>
      <c r="G53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3" s="51" t="str">
        <f>IF(Table17101220[[#This Row],[Status]]="Not Entered","",VLOOKUP(Table17101220[[#This Row],[Ln'#]],Advanced!$A$65:$AU$114,47,FALSE))</f>
        <v/>
      </c>
    </row>
    <row r="534" spans="1:8" ht="30" customHeight="1" x14ac:dyDescent="0.4">
      <c r="A534" s="49">
        <v>43</v>
      </c>
      <c r="B53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4" s="50" t="str">
        <f t="shared" ca="1" si="11"/>
        <v/>
      </c>
      <c r="D534" s="48"/>
      <c r="E534" s="48"/>
      <c r="F534" s="48" t="str">
        <f>IF(Table17101220[[#This Row],[Status]]="Not Entered","",VLOOKUP(Table17101220[[#This Row],[Ln'#]],Advanced!$A$65:$AU$114,3,FALSE))</f>
        <v/>
      </c>
      <c r="G53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4" s="51" t="str">
        <f>IF(Table17101220[[#This Row],[Status]]="Not Entered","",VLOOKUP(Table17101220[[#This Row],[Ln'#]],Advanced!$A$65:$AU$114,47,FALSE))</f>
        <v/>
      </c>
    </row>
    <row r="535" spans="1:8" ht="30" customHeight="1" x14ac:dyDescent="0.4">
      <c r="A535" s="49">
        <v>44</v>
      </c>
      <c r="B53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5" s="50" t="str">
        <f t="shared" ca="1" si="11"/>
        <v/>
      </c>
      <c r="D535" s="48"/>
      <c r="E535" s="48"/>
      <c r="F535" s="48" t="str">
        <f>IF(Table17101220[[#This Row],[Status]]="Not Entered","",VLOOKUP(Table17101220[[#This Row],[Ln'#]],Advanced!$A$65:$AU$114,3,FALSE))</f>
        <v/>
      </c>
      <c r="G53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5" s="51" t="str">
        <f>IF(Table17101220[[#This Row],[Status]]="Not Entered","",VLOOKUP(Table17101220[[#This Row],[Ln'#]],Advanced!$A$65:$AU$114,47,FALSE))</f>
        <v/>
      </c>
    </row>
    <row r="536" spans="1:8" ht="30" customHeight="1" x14ac:dyDescent="0.4">
      <c r="A536" s="49">
        <v>45</v>
      </c>
      <c r="B53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6" s="50" t="str">
        <f t="shared" ca="1" si="11"/>
        <v/>
      </c>
      <c r="D536" s="48"/>
      <c r="E536" s="48"/>
      <c r="F536" s="48" t="str">
        <f>IF(Table17101220[[#This Row],[Status]]="Not Entered","",VLOOKUP(Table17101220[[#This Row],[Ln'#]],Advanced!$A$65:$AU$114,3,FALSE))</f>
        <v/>
      </c>
      <c r="G53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6" s="51" t="str">
        <f>IF(Table17101220[[#This Row],[Status]]="Not Entered","",VLOOKUP(Table17101220[[#This Row],[Ln'#]],Advanced!$A$65:$AU$114,47,FALSE))</f>
        <v/>
      </c>
    </row>
    <row r="537" spans="1:8" ht="30" customHeight="1" x14ac:dyDescent="0.4">
      <c r="A537" s="49">
        <v>46</v>
      </c>
      <c r="B53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7" s="50" t="str">
        <f t="shared" ca="1" si="11"/>
        <v/>
      </c>
      <c r="D537" s="48"/>
      <c r="E537" s="48"/>
      <c r="F537" s="48" t="str">
        <f>IF(Table17101220[[#This Row],[Status]]="Not Entered","",VLOOKUP(Table17101220[[#This Row],[Ln'#]],Advanced!$A$65:$AU$114,3,FALSE))</f>
        <v/>
      </c>
      <c r="G53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7" s="51" t="str">
        <f>IF(Table17101220[[#This Row],[Status]]="Not Entered","",VLOOKUP(Table17101220[[#This Row],[Ln'#]],Advanced!$A$65:$AU$114,47,FALSE))</f>
        <v/>
      </c>
    </row>
    <row r="538" spans="1:8" ht="30" customHeight="1" x14ac:dyDescent="0.4">
      <c r="A538" s="49">
        <v>47</v>
      </c>
      <c r="B53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8" s="50" t="str">
        <f t="shared" ca="1" si="11"/>
        <v/>
      </c>
      <c r="D538" s="48"/>
      <c r="E538" s="48"/>
      <c r="F538" s="48" t="str">
        <f>IF(Table17101220[[#This Row],[Status]]="Not Entered","",VLOOKUP(Table17101220[[#This Row],[Ln'#]],Advanced!$A$65:$AU$114,3,FALSE))</f>
        <v/>
      </c>
      <c r="G53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8" s="51" t="str">
        <f>IF(Table17101220[[#This Row],[Status]]="Not Entered","",VLOOKUP(Table17101220[[#This Row],[Ln'#]],Advanced!$A$65:$AU$114,47,FALSE))</f>
        <v/>
      </c>
    </row>
    <row r="539" spans="1:8" ht="30" customHeight="1" x14ac:dyDescent="0.4">
      <c r="A539" s="49">
        <v>48</v>
      </c>
      <c r="B53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9" s="50" t="str">
        <f t="shared" ca="1" si="11"/>
        <v/>
      </c>
      <c r="D539" s="48"/>
      <c r="E539" s="48"/>
      <c r="F539" s="48" t="str">
        <f>IF(Table17101220[[#This Row],[Status]]="Not Entered","",VLOOKUP(Table17101220[[#This Row],[Ln'#]],Advanced!$A$65:$AU$114,3,FALSE))</f>
        <v/>
      </c>
      <c r="G53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9" s="51" t="str">
        <f>IF(Table17101220[[#This Row],[Status]]="Not Entered","",VLOOKUP(Table17101220[[#This Row],[Ln'#]],Advanced!$A$65:$AU$114,47,FALSE))</f>
        <v/>
      </c>
    </row>
    <row r="540" spans="1:8" ht="30" customHeight="1" x14ac:dyDescent="0.4">
      <c r="A540" s="49">
        <v>49</v>
      </c>
      <c r="B54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40" s="50" t="str">
        <f t="shared" ca="1" si="11"/>
        <v/>
      </c>
      <c r="D540" s="48"/>
      <c r="E540" s="48"/>
      <c r="F540" s="48" t="str">
        <f>IF(Table17101220[[#This Row],[Status]]="Not Entered","",VLOOKUP(Table17101220[[#This Row],[Ln'#]],Advanced!$A$65:$AU$114,3,FALSE))</f>
        <v/>
      </c>
      <c r="G54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40" s="51" t="str">
        <f>IF(Table17101220[[#This Row],[Status]]="Not Entered","",VLOOKUP(Table17101220[[#This Row],[Ln'#]],Advanced!$A$65:$AU$114,47,FALSE))</f>
        <v/>
      </c>
    </row>
    <row r="541" spans="1:8" ht="30" customHeight="1" x14ac:dyDescent="0.4">
      <c r="A541" s="49">
        <v>50</v>
      </c>
      <c r="B54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41" s="50" t="str">
        <f t="shared" ca="1" si="11"/>
        <v/>
      </c>
      <c r="D541" s="48"/>
      <c r="E541" s="48"/>
      <c r="F541" s="48" t="str">
        <f>IF(Table17101220[[#This Row],[Status]]="Not Entered","",VLOOKUP(Table17101220[[#This Row],[Ln'#]],Advanced!$A$65:$AU$114,3,FALSE))</f>
        <v/>
      </c>
      <c r="G54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41" s="51" t="str">
        <f>IF(Table17101220[[#This Row],[Status]]="Not Entered","",VLOOKUP(Table17101220[[#This Row],[Ln'#]],Advanced!$A$65:$AU$114,47,FALSE))</f>
        <v/>
      </c>
    </row>
    <row r="542" spans="1:8" ht="30" customHeight="1" x14ac:dyDescent="0.4">
      <c r="A542" s="48"/>
      <c r="B542" s="48"/>
      <c r="C542" s="48"/>
      <c r="D542" s="48" t="s">
        <v>1141</v>
      </c>
      <c r="E542" s="48">
        <f>SUBTOTAL(102,Table17101220[Running Order])</f>
        <v>0</v>
      </c>
      <c r="F542" s="48"/>
      <c r="G542" s="51"/>
      <c r="H542" s="51"/>
    </row>
  </sheetData>
  <sheetProtection selectLockedCells="1"/>
  <mergeCells count="16">
    <mergeCell ref="A490:B490"/>
    <mergeCell ref="D490:I490"/>
    <mergeCell ref="B56:I56"/>
    <mergeCell ref="B164:I164"/>
    <mergeCell ref="C326:J326"/>
    <mergeCell ref="B435:I435"/>
    <mergeCell ref="A272:B272"/>
    <mergeCell ref="D272:I272"/>
    <mergeCell ref="A381:B381"/>
    <mergeCell ref="D381:I381"/>
    <mergeCell ref="A2:B2"/>
    <mergeCell ref="A110:B110"/>
    <mergeCell ref="A218:B218"/>
    <mergeCell ref="D2:I2"/>
    <mergeCell ref="D110:I110"/>
    <mergeCell ref="D218:I218"/>
  </mergeCells>
  <printOptions horizontalCentered="1" gridLines="1"/>
  <pageMargins left="0.7" right="0.7" top="0.75" bottom="0.75" header="0.3" footer="0.3"/>
  <pageSetup scale="72" fitToHeight="0" orientation="landscape" r:id="rId1"/>
  <rowBreaks count="6" manualBreakCount="6">
    <brk id="54" max="16383" man="1"/>
    <brk id="162" max="16383" man="1"/>
    <brk id="270" max="16383" man="1"/>
    <brk id="379" max="16383" man="1"/>
    <brk id="488" max="16383" man="1"/>
    <brk id="542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E116"/>
  <sheetViews>
    <sheetView zoomScale="90" zoomScaleNormal="90" workbookViewId="0">
      <pane xSplit="4" ySplit="4" topLeftCell="F5" activePane="bottomRight" state="frozen"/>
      <selection activeCell="AT2" sqref="AT1:AT1048576"/>
      <selection pane="topRight" activeCell="AT2" sqref="AT1:AT1048576"/>
      <selection pane="bottomLeft" activeCell="AT2" sqref="AT1:AT1048576"/>
      <selection pane="bottomRight" activeCell="C5" sqref="C5"/>
    </sheetView>
  </sheetViews>
  <sheetFormatPr defaultColWidth="10.7109375" defaultRowHeight="15" x14ac:dyDescent="0.25"/>
  <cols>
    <col min="1" max="1" width="3.85546875" customWidth="1"/>
    <col min="2" max="2" width="4.85546875" customWidth="1"/>
    <col min="3" max="3" width="5.85546875" customWidth="1"/>
    <col min="4" max="4" width="10.85546875" customWidth="1"/>
    <col min="5" max="5" width="10.85546875" hidden="1" customWidth="1"/>
    <col min="6" max="6" width="3.85546875" customWidth="1"/>
    <col min="7" max="7" width="4.85546875" style="2" customWidth="1"/>
    <col min="8" max="8" width="8.140625" style="2" customWidth="1"/>
    <col min="9" max="9" width="4.85546875" style="2" customWidth="1"/>
    <col min="10" max="10" width="9" style="2" hidden="1" customWidth="1"/>
    <col min="11" max="11" width="4.85546875" style="2" customWidth="1"/>
    <col min="12" max="12" width="9" style="2" hidden="1" customWidth="1"/>
    <col min="13" max="13" width="4.85546875" style="2" customWidth="1"/>
    <col min="14" max="14" width="3.85546875" style="2" customWidth="1"/>
    <col min="15" max="15" width="4.85546875" style="2" customWidth="1"/>
    <col min="16" max="16" width="8.140625" style="2" customWidth="1"/>
    <col min="17" max="17" width="4.85546875" style="2" customWidth="1"/>
    <col min="18" max="18" width="9" style="2" hidden="1" customWidth="1"/>
    <col min="19" max="19" width="4.85546875" style="2" customWidth="1"/>
    <col min="20" max="20" width="9" style="2" hidden="1" customWidth="1"/>
    <col min="21" max="21" width="4.85546875" style="2" customWidth="1"/>
    <col min="22" max="22" width="3.85546875" style="2" customWidth="1"/>
    <col min="23" max="23" width="4.85546875" style="2" customWidth="1"/>
    <col min="24" max="24" width="8.140625" style="2" customWidth="1"/>
    <col min="25" max="25" width="4.85546875" style="2" customWidth="1"/>
    <col min="26" max="26" width="9" style="2" hidden="1" customWidth="1"/>
    <col min="27" max="27" width="4.85546875" style="2" customWidth="1"/>
    <col min="28" max="28" width="9" style="2" hidden="1" customWidth="1"/>
    <col min="29" max="29" width="4.85546875" style="2" customWidth="1"/>
    <col min="30" max="30" width="5.85546875" style="2" customWidth="1"/>
    <col min="31" max="31" width="7" style="2" hidden="1" customWidth="1"/>
    <col min="32" max="32" width="6.140625" style="2" hidden="1" customWidth="1"/>
    <col min="33" max="33" width="8" style="2" hidden="1" customWidth="1"/>
    <col min="34" max="34" width="4.85546875" style="2" customWidth="1"/>
    <col min="35" max="36" width="7" style="2" hidden="1" customWidth="1"/>
    <col min="37" max="37" width="8.7109375" style="2" hidden="1" customWidth="1"/>
    <col min="38" max="38" width="4.85546875" style="2" customWidth="1"/>
    <col min="39" max="39" width="4.140625" style="2" customWidth="1"/>
    <col min="40" max="42" width="9.140625" style="2" hidden="1" customWidth="1"/>
    <col min="43" max="43" width="4.140625" style="2" customWidth="1"/>
    <col min="44" max="44" width="5.140625" style="83" customWidth="1"/>
    <col min="45" max="46" width="7.7109375" customWidth="1"/>
    <col min="47" max="47" width="20.85546875" customWidth="1"/>
    <col min="48" max="49" width="7" style="2" customWidth="1"/>
    <col min="51" max="51" width="9.140625" hidden="1" customWidth="1"/>
    <col min="52" max="53" width="9.140625" style="62" hidden="1" customWidth="1"/>
    <col min="54" max="54" width="27.7109375" customWidth="1"/>
  </cols>
  <sheetData>
    <row r="1" spans="1:57" ht="13.5" hidden="1" customHeight="1" x14ac:dyDescent="0.25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/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</row>
    <row r="2" spans="1:57" s="9" customFormat="1" ht="12.75" x14ac:dyDescent="0.2">
      <c r="A2" s="9" t="s">
        <v>624</v>
      </c>
      <c r="C2" s="9">
        <f>TrialNumber</f>
        <v>0</v>
      </c>
      <c r="D2" s="10"/>
      <c r="E2" s="10"/>
      <c r="F2" s="10"/>
      <c r="H2" s="10" t="s">
        <v>3505</v>
      </c>
      <c r="I2" s="398">
        <f>TrialVenue</f>
        <v>0</v>
      </c>
      <c r="J2" s="398"/>
      <c r="K2" s="398"/>
      <c r="L2" s="398"/>
      <c r="M2" s="398"/>
      <c r="N2" s="398"/>
      <c r="O2" s="398"/>
      <c r="P2" s="398"/>
      <c r="R2" s="10"/>
      <c r="S2" s="10"/>
      <c r="T2" s="10"/>
      <c r="U2" s="10"/>
      <c r="V2" s="10"/>
      <c r="X2" s="10" t="s">
        <v>10</v>
      </c>
      <c r="Y2" s="399" t="str">
        <f>TEXT(TrialDate, "mmm-dd-yyyy")</f>
        <v/>
      </c>
      <c r="Z2" s="399"/>
      <c r="AA2" s="399"/>
      <c r="AB2" s="399"/>
      <c r="AC2" s="399"/>
      <c r="AD2" s="399"/>
      <c r="AE2" s="38"/>
      <c r="AF2" s="10"/>
      <c r="AG2" s="38"/>
      <c r="AH2" s="38"/>
      <c r="AI2" s="38"/>
      <c r="AJ2" s="38"/>
      <c r="AK2" s="38"/>
      <c r="AL2" s="38"/>
      <c r="AM2" s="57"/>
      <c r="AN2" s="57"/>
      <c r="AO2" s="57"/>
      <c r="AP2" s="57"/>
      <c r="AQ2" s="57"/>
      <c r="AR2" s="80"/>
      <c r="AS2" s="404"/>
      <c r="AT2" s="404"/>
      <c r="AU2" s="404"/>
      <c r="AV2" s="404"/>
      <c r="AW2" s="404"/>
      <c r="AX2" s="404"/>
      <c r="AZ2" s="60"/>
      <c r="BA2" s="60"/>
    </row>
    <row r="3" spans="1:57" s="25" customFormat="1" ht="12" x14ac:dyDescent="0.25">
      <c r="A3" s="30"/>
      <c r="B3" s="395" t="s">
        <v>611</v>
      </c>
      <c r="C3" s="396"/>
      <c r="D3" s="397"/>
      <c r="E3" s="209"/>
      <c r="F3" s="31"/>
      <c r="G3" s="395" t="s">
        <v>30</v>
      </c>
      <c r="H3" s="396"/>
      <c r="I3" s="396"/>
      <c r="J3" s="396"/>
      <c r="K3" s="396"/>
      <c r="L3" s="396"/>
      <c r="M3" s="397"/>
      <c r="N3" s="31"/>
      <c r="O3" s="395" t="s">
        <v>31</v>
      </c>
      <c r="P3" s="396"/>
      <c r="Q3" s="396"/>
      <c r="R3" s="396"/>
      <c r="S3" s="396"/>
      <c r="T3" s="396"/>
      <c r="U3" s="397"/>
      <c r="V3" s="31"/>
      <c r="W3" s="395" t="s">
        <v>32</v>
      </c>
      <c r="X3" s="396"/>
      <c r="Y3" s="396"/>
      <c r="Z3" s="396"/>
      <c r="AA3" s="396"/>
      <c r="AB3" s="396"/>
      <c r="AC3" s="397"/>
      <c r="AD3" s="35"/>
      <c r="AE3" s="37"/>
      <c r="AF3" s="37"/>
      <c r="AG3" s="31"/>
      <c r="AH3" s="391" t="s">
        <v>651</v>
      </c>
      <c r="AI3" s="392"/>
      <c r="AJ3" s="392"/>
      <c r="AK3" s="392"/>
      <c r="AL3" s="395"/>
      <c r="AM3" s="58"/>
      <c r="AN3" s="58"/>
      <c r="AO3" s="58"/>
      <c r="AP3" s="58"/>
      <c r="AQ3" s="58"/>
      <c r="AR3" s="81"/>
      <c r="AV3" s="58"/>
      <c r="AW3" s="58"/>
      <c r="AZ3" s="61"/>
      <c r="BA3" s="61"/>
    </row>
    <row r="4" spans="1:57" s="3" customFormat="1" ht="58.5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210" t="s">
        <v>15197</v>
      </c>
      <c r="F4" s="32" t="s">
        <v>660</v>
      </c>
      <c r="G4" s="26" t="s">
        <v>1131</v>
      </c>
      <c r="H4" s="7" t="s">
        <v>602</v>
      </c>
      <c r="I4" s="7" t="s">
        <v>603</v>
      </c>
      <c r="J4" s="24" t="s">
        <v>607</v>
      </c>
      <c r="K4" s="24" t="s">
        <v>618</v>
      </c>
      <c r="L4" s="24" t="s">
        <v>601</v>
      </c>
      <c r="M4" s="28" t="s">
        <v>621</v>
      </c>
      <c r="N4" s="33" t="s">
        <v>661</v>
      </c>
      <c r="O4" s="26" t="s">
        <v>1134</v>
      </c>
      <c r="P4" s="7" t="s">
        <v>606</v>
      </c>
      <c r="Q4" s="7" t="s">
        <v>610</v>
      </c>
      <c r="R4" s="24" t="s">
        <v>608</v>
      </c>
      <c r="S4" s="24" t="s">
        <v>619</v>
      </c>
      <c r="T4" s="24" t="s">
        <v>609</v>
      </c>
      <c r="U4" s="28" t="s">
        <v>622</v>
      </c>
      <c r="V4" s="33" t="s">
        <v>662</v>
      </c>
      <c r="W4" s="26" t="s">
        <v>1133</v>
      </c>
      <c r="X4" s="7" t="s">
        <v>615</v>
      </c>
      <c r="Y4" s="7" t="s">
        <v>617</v>
      </c>
      <c r="Z4" s="24" t="s">
        <v>613</v>
      </c>
      <c r="AA4" s="24" t="s">
        <v>620</v>
      </c>
      <c r="AB4" s="24" t="s">
        <v>614</v>
      </c>
      <c r="AC4" s="28" t="s">
        <v>623</v>
      </c>
      <c r="AD4" s="32" t="s">
        <v>15153</v>
      </c>
      <c r="AE4" s="26" t="s">
        <v>654</v>
      </c>
      <c r="AF4" s="7" t="s">
        <v>655</v>
      </c>
      <c r="AG4" s="34" t="s">
        <v>650</v>
      </c>
      <c r="AH4" s="32" t="s">
        <v>653</v>
      </c>
      <c r="AI4" s="26" t="s">
        <v>656</v>
      </c>
      <c r="AJ4" s="7" t="s">
        <v>657</v>
      </c>
      <c r="AK4" s="26" t="s">
        <v>658</v>
      </c>
      <c r="AL4" s="266" t="s">
        <v>652</v>
      </c>
      <c r="AM4" s="266" t="s">
        <v>1568</v>
      </c>
      <c r="AN4" s="266" t="s">
        <v>1075</v>
      </c>
      <c r="AO4" s="266" t="s">
        <v>1076</v>
      </c>
      <c r="AP4" s="266" t="s">
        <v>1077</v>
      </c>
      <c r="AQ4" s="266" t="s">
        <v>1567</v>
      </c>
      <c r="AR4" s="315" t="s">
        <v>16038</v>
      </c>
      <c r="AS4" s="266" t="s">
        <v>1286</v>
      </c>
      <c r="AT4" s="266" t="s">
        <v>1287</v>
      </c>
      <c r="AU4" s="266" t="s">
        <v>1137</v>
      </c>
      <c r="AV4" s="266" t="s">
        <v>1145</v>
      </c>
      <c r="AW4" s="266" t="s">
        <v>1146</v>
      </c>
      <c r="AX4" s="266" t="s">
        <v>1147</v>
      </c>
      <c r="AY4" s="268"/>
      <c r="AZ4" s="277" t="s">
        <v>1172</v>
      </c>
      <c r="BA4" s="277" t="s">
        <v>1173</v>
      </c>
      <c r="BB4" s="266" t="s">
        <v>1561</v>
      </c>
      <c r="BC4" s="266" t="s">
        <v>15194</v>
      </c>
      <c r="BD4" s="266" t="s">
        <v>15195</v>
      </c>
      <c r="BE4" s="266" t="s">
        <v>15196</v>
      </c>
    </row>
    <row r="5" spans="1:57" x14ac:dyDescent="0.25">
      <c r="A5" s="99">
        <v>1</v>
      </c>
      <c r="B5" s="100"/>
      <c r="C5" s="101"/>
      <c r="D5" s="102" t="str">
        <f>IF($C5="","",VLOOKUP($C5,'SDDA Dogs'!$A:$F,2,FALSE))</f>
        <v/>
      </c>
      <c r="E5" s="211">
        <f>--(_xlfn.ISFORMULA(D5))</f>
        <v>1</v>
      </c>
      <c r="F5" s="103" t="str">
        <f>IF($C5="","",VLOOKUP($C5,'SDDA Dogs'!$A:$O,13,FALSE))</f>
        <v/>
      </c>
      <c r="G5" s="137"/>
      <c r="H5" s="217"/>
      <c r="I5" s="84" t="str">
        <f>IF(OR(G5="",G5="NE",G5="e",G5="feo"),"",(IF(G5&gt;=30,"Pass","Fail")))</f>
        <v/>
      </c>
      <c r="J5" s="105">
        <f t="shared" ref="J5:J54" si="0">IF(OR(AND($I5="Pass",$B5="A"),AND($I5="Fail",UseFail="Y",$B5="A")),$G5,0)+IF(OR(AND($I5="Pass",$B5="A"),AND($I5="Fail",UseFail="Y",$B5="A")),(MaxTmCSE-VALUE($H5)),0)</f>
        <v>0</v>
      </c>
      <c r="K5" s="84" t="str">
        <f>IF(AND($B5="A",$G5&lt;&gt;0,$H5&lt;&gt;0,J5&lt;&gt;0),(RANK(J5,J$5:J$54,0)),"")</f>
        <v/>
      </c>
      <c r="L5" s="105">
        <f t="shared" ref="L5:L54" si="1">IF(OR(AND($I5="Pass",$B5="W"),AND($I5="Fail",UseFail="Y",$B5="W")),$G5,0)+IF(OR(AND($I5="Pass",$B5="W"),AND($I5="Fail",UseFail="Y",$B5="W")),(MaxTmCSE-VALUE($H5)),0)</f>
        <v>0</v>
      </c>
      <c r="M5" s="84" t="str">
        <f>IF(AND($B5="W",$G5&lt;&gt;0,$H5&lt;&gt;0,L5&lt;&gt;0),(RANK(L5,L$5:L$54,0)),"")</f>
        <v/>
      </c>
      <c r="N5" s="106" t="str">
        <f>IF($C5="","",VLOOKUP($C5,'SDDA Dogs'!$A:$O,14,FALSE))</f>
        <v/>
      </c>
      <c r="O5" s="137"/>
      <c r="P5" s="217"/>
      <c r="Q5" s="84" t="str">
        <f>IF(OR(O5="",O5="NE",O5="e",O5="feo"),"",(IF(O5&gt;=40,"Pass","Fail")))</f>
        <v/>
      </c>
      <c r="R5" s="105">
        <f t="shared" ref="R5:R54" si="2">IF(OR(AND($Q5="Pass",$B5="A"),AND($Q5="Fail",UseFail="Y",$B5="A")),$O5,0)+IF(OR(AND($Q5="Pass",$B5="A"),AND($Q5="Fail",UseFail="Y",$B5="A")),(MaxTmISE-VALUE($P5)),0)</f>
        <v>0</v>
      </c>
      <c r="S5" s="84" t="str">
        <f>IF(AND($B5="A",$O5&lt;&gt;0,$P5&lt;&gt;0,R5&lt;&gt;0),(RANK(R5,R$5:R$54,0)),"")</f>
        <v/>
      </c>
      <c r="T5" s="105">
        <f t="shared" ref="T5:T54" si="3">IF(OR(AND($Q5="Pass",$B5="W"),AND($Q5="Fail",UseFail="Y",$B5="W")),$O5,0)+IF(OR(AND($Q5="Pass",$B5="W"),AND($Q5="Fail",UseFail="Y",$B5="W")),(MaxTmISE-VALUE($P5)),0)</f>
        <v>0</v>
      </c>
      <c r="U5" s="84" t="str">
        <f>IF(AND($B5="w",$O5&lt;&gt;0,$P5&lt;&gt;0,T5&lt;&gt;0),(RANK(T5,T$5:T$54,0)),"")</f>
        <v/>
      </c>
      <c r="V5" s="106" t="str">
        <f>IF($C5="","",VLOOKUP($C5,'SDDA Dogs'!$A:$O,15,FALSE))</f>
        <v/>
      </c>
      <c r="W5" s="137"/>
      <c r="X5" s="217"/>
      <c r="Y5" s="84" t="str">
        <f>IF(OR(W5="",W5="NE",W5="e",W5="feo"),"",(IF(W5&gt;=30,"Pass","Fail")))</f>
        <v/>
      </c>
      <c r="Z5" s="105">
        <f t="shared" ref="Z5:Z54" si="4">IF(OR(AND($Y5="Pass",$B5="A"),AND($Y5="Fail",UseFail="Y",$B5="A")),$W5,0)+IF(OR(AND($Y5="Pass",$B5="A"),AND($Y5="Fail",UseFail="Y",$B5="A")),(MaxTmESE-VALUE($X5)),0)</f>
        <v>0</v>
      </c>
      <c r="AA5" s="84" t="str">
        <f>IF(AND($B5="A",$W5&lt;&gt;0,$X5&lt;&gt;0,Z5&lt;&gt;0),(RANK(Z5,Z$5:Z$54,0)),"")</f>
        <v/>
      </c>
      <c r="AB5" s="105">
        <f t="shared" ref="AB5:AB54" si="5">IF(OR(AND($Y5="Pass",$B5="w"),AND($Y5="Fail",UseFail="Y",$B5="w")),$W5,0)+IF(OR(AND($Y5="Pass",$B5="w"),AND($Y5="Fail",UseFail="Y",$B5="w")),(MaxTmESE-VALUE($X5)),0)</f>
        <v>0</v>
      </c>
      <c r="AC5" s="84" t="str">
        <f>IF(AND($B5="w",$W5&lt;&gt;0,$X5&lt;&gt;0,AB5&lt;&gt;0),(RANK(AB5,AB$5:AB$54,0)),"")</f>
        <v/>
      </c>
      <c r="AD5" s="92" t="str">
        <f>IF(AND(AM5=0,AQ5=1,I5="Pass",Q5="Pass",Y5="Pass"),G5+O5+W5,IF(AND(AM5=0,AQ5=1),SUM(BC5:BE5),""))</f>
        <v/>
      </c>
      <c r="AE5" s="89" t="str">
        <f>IF(AND(ISNUMBER($K5),ISNUMBER($S5),ISNUMBER($AA5))=TRUE,$G5+$O5+$W5,"")</f>
        <v/>
      </c>
      <c r="AF5" s="104" t="str">
        <f>IF(AND(ISNUMBER($K5),ISNUMBER($S5),ISNUMBER($AA5))=TRUE,$H5+$P5+$X5,"")</f>
        <v/>
      </c>
      <c r="AG5" s="107" t="str">
        <f>IF(ISNUMBER(AE5),(RANK(AE5,AE$5:AE$54,0)*10)+RANK(AF5,AF$5:AF$54,1),"")</f>
        <v/>
      </c>
      <c r="AH5" s="92" t="str">
        <f>IF(ISNUMBER(AG5),RANK(AG5,AG$5:AG$54,1),"")</f>
        <v/>
      </c>
      <c r="AI5" s="89" t="str">
        <f>IF(AND(ISNUMBER($M5),ISNUMBER($U5),ISNUMBER($AC5))=TRUE,$G5+$O5+$W5,"")</f>
        <v/>
      </c>
      <c r="AJ5" s="104" t="str">
        <f>IF(AND(ISNUMBER($M5),ISNUMBER($U5),ISNUMBER($AC5))=TRUE,$H5+$P5+$X5,"")</f>
        <v/>
      </c>
      <c r="AK5" s="84" t="str">
        <f>IF(ISNUMBER(AI5),(RANK(AI5,AI$5:AI$54,0)*10)+RANK(AJ5,AJ$5:AJ$54,1),"")</f>
        <v/>
      </c>
      <c r="AL5" s="264" t="str">
        <f>IF(ISNUMBER(AK5),RANK(AK5,AK$5:AK$54,1),"")</f>
        <v/>
      </c>
      <c r="AM5" s="270">
        <f t="shared" ref="AM5:AM54" si="6">MIN(F5,N5,V5)</f>
        <v>0</v>
      </c>
      <c r="AN5" s="270" t="str">
        <f t="shared" ref="AN5:AN54" si="7">IF(I5="Pass",F5+1,F5)</f>
        <v/>
      </c>
      <c r="AO5" s="270" t="str">
        <f t="shared" ref="AO5:AO54" si="8">IF(Q5="Pass", N5+1,N5)</f>
        <v/>
      </c>
      <c r="AP5" s="270" t="str">
        <f t="shared" ref="AP5:AP54" si="9">IF(Y5="Pass",V5+1,V5)</f>
        <v/>
      </c>
      <c r="AQ5" s="270">
        <f>MIN(AN5,AO5,AP5)</f>
        <v>0</v>
      </c>
      <c r="AR5" s="316">
        <f>MIN(IFERROR(VLOOKUP($C5,'SDDA Dogs'!$A:$O,10,FALSE),0),IFERROR(VLOOKUP($C5,'SDDA Dogs'!$A:$O,11,FALSE),0),IFERROR(VLOOKUP($C5,'SDDA Dogs'!$A:$O,12,FALSE),0))</f>
        <v>0</v>
      </c>
      <c r="AS5" s="272"/>
      <c r="AT5" s="272"/>
      <c r="AU5" s="272" t="str">
        <f>IF(ISERROR(VLOOKUP(C5,'SDDA Dogs'!A:O,6,FALSE)),"",VLOOKUP(C5,'SDDA Dogs'!A:O,6,FALSE))</f>
        <v/>
      </c>
      <c r="AV5" s="270">
        <f t="shared" ref="AV5:AV54" si="10">IF(OR(ISNUMBER(G5),G5="e"),1,0)+IF(OR(ISNUMBER(O5),O5="e"),1,0)+IF(OR(ISNUMBER(W5),W5="e"),1,0)</f>
        <v>0</v>
      </c>
      <c r="AW5" s="270">
        <f t="shared" ref="AW5:AW54" si="11">IF(G5="FEO",1,0)+IF(O5="FEO",1,0)+IF(W5="FEO",1,0)</f>
        <v>0</v>
      </c>
      <c r="AX5" s="273">
        <f t="shared" ref="AX5:AX29" si="12">(AV5*TrialFeeExc)+(AW5*FeoFee)</f>
        <v>0</v>
      </c>
      <c r="AY5" s="274"/>
      <c r="AZ5" s="275">
        <f t="shared" ref="AZ5:AZ36" si="13">IF(AND(I5="Pass",Q5="Pass",Y5="Pass"),(G5+O5+W5)/((MinScoreCSA + MinScoreISA + MinScoreESA)*2),0)</f>
        <v>0</v>
      </c>
      <c r="BA5" s="275">
        <f t="shared" ref="BA5:BA36" si="14">IF(AND(I5="Pass",Q5="Pass",Y5="Pass"),(H5+P5+X5)/(MaxTmCSE+MaxTmESE+MaxTmISE),0)</f>
        <v>0</v>
      </c>
      <c r="BB5" s="276"/>
      <c r="BC5" s="262" t="str">
        <f>_xlfn.IFNA(IF(I5="Pass",IF(G5&gt;IFERROR(INDEX(DogInfo!A:B,MATCH(C5&amp;$BC$4,DogInfo!A:A,0),2),0),G5,INDEX(DogInfo!A:B,MATCH(C5&amp;$BC$4,DogInfo!A:A,0),2)),INDEX(DogInfo!A:B,MATCH(C5&amp;$BC$4,DogInfo!A:A,0),2)),"")</f>
        <v/>
      </c>
      <c r="BD5" s="262" t="str">
        <f>_xlfn.IFNA(IF(Q5="Pass",IF(O5&gt;IFERROR(INDEX(DogInfo!A:B,MATCH(C5&amp;$BD$4,DogInfo!A:A,0),2),0),O5,INDEX(DogInfo!A:B,MATCH(C5&amp;$BD$4,DogInfo!A:A,0),2)),INDEX(DogInfo!A:B,MATCH(C5&amp;$BD$4,DogInfo!A:A,0),2)),"")</f>
        <v/>
      </c>
      <c r="BE5" s="262" t="str">
        <f>_xlfn.IFNA(IF(Y5="Pass",IF(W5&gt;IFERROR(INDEX(DogInfo!A:B,MATCH(C5&amp;$BE$4,DogInfo!A:A,0),2),0),W5,INDEX(DogInfo!A:B,MATCH(C5&amp;$BE$4,DogInfo!A:A,0),2)),INDEX(DogInfo!A:B,MATCH(C5&amp;$BE$4,DogInfo!A:A,0),2)),"")</f>
        <v/>
      </c>
    </row>
    <row r="6" spans="1:57" x14ac:dyDescent="0.25">
      <c r="A6" s="99">
        <v>2</v>
      </c>
      <c r="B6" s="239"/>
      <c r="C6" s="283"/>
      <c r="D6" s="102" t="str">
        <f>IF($C6="","",VLOOKUP($C6,'SDDA Dogs'!$A:$F,2,FALSE))</f>
        <v/>
      </c>
      <c r="E6" s="211">
        <f t="shared" ref="E6:E25" si="15">--(_xlfn.ISFORMULA(D6))</f>
        <v>1</v>
      </c>
      <c r="F6" s="103" t="str">
        <f>IF($C6="","",VLOOKUP($C6,'SDDA Dogs'!$A:$O,13,FALSE))</f>
        <v/>
      </c>
      <c r="G6" s="241"/>
      <c r="H6" s="284"/>
      <c r="I6" s="84" t="str">
        <f t="shared" ref="I6:I25" si="16">IF(OR(G6="",G6="NE",G6="e",G6="feo"),"",(IF(G6&gt;=30,"Pass","Fail")))</f>
        <v/>
      </c>
      <c r="J6" s="105">
        <f t="shared" si="0"/>
        <v>0</v>
      </c>
      <c r="K6" s="84" t="str">
        <f t="shared" ref="K6:K25" si="17">IF(AND($B6="A",$G6&lt;&gt;0,$H6&lt;&gt;0,J6&lt;&gt;0),(RANK(J6,J$5:J$54,0)),"")</f>
        <v/>
      </c>
      <c r="L6" s="105">
        <f t="shared" si="1"/>
        <v>0</v>
      </c>
      <c r="M6" s="84" t="str">
        <f t="shared" ref="M6:M25" si="18">IF(AND($B6="W",$G6&lt;&gt;0,$H6&lt;&gt;0,L6&lt;&gt;0),(RANK(L6,L$5:L$54,0)),"")</f>
        <v/>
      </c>
      <c r="N6" s="106" t="str">
        <f>IF($C6="","",VLOOKUP($C6,'SDDA Dogs'!$A:$O,14,FALSE))</f>
        <v/>
      </c>
      <c r="O6" s="241"/>
      <c r="P6" s="284"/>
      <c r="Q6" s="84" t="str">
        <f t="shared" ref="Q6:Q25" si="19">IF(OR(O6="",O6="NE",O6="e",O6="feo"),"",(IF(O6&gt;=40,"Pass","Fail")))</f>
        <v/>
      </c>
      <c r="R6" s="105">
        <f t="shared" si="2"/>
        <v>0</v>
      </c>
      <c r="S6" s="84" t="str">
        <f t="shared" ref="S6:S25" si="20">IF(AND($B6="A",$O6&lt;&gt;0,$P6&lt;&gt;0,R6&lt;&gt;0),(RANK(R6,R$5:R$54,0)),"")</f>
        <v/>
      </c>
      <c r="T6" s="105">
        <f t="shared" si="3"/>
        <v>0</v>
      </c>
      <c r="U6" s="84" t="str">
        <f t="shared" ref="U6:U25" si="21">IF(AND($B6="w",$O6&lt;&gt;0,$P6&lt;&gt;0,T6&lt;&gt;0),(RANK(T6,T$5:T$54,0)),"")</f>
        <v/>
      </c>
      <c r="V6" s="106" t="str">
        <f>IF($C6="","",VLOOKUP($C6,'SDDA Dogs'!$A:$O,15,FALSE))</f>
        <v/>
      </c>
      <c r="W6" s="241"/>
      <c r="X6" s="284"/>
      <c r="Y6" s="84" t="str">
        <f t="shared" ref="Y6:Y25" si="22">IF(OR(W6="",W6="NE",W6="e",W6="feo"),"",(IF(W6&gt;=30,"Pass","Fail")))</f>
        <v/>
      </c>
      <c r="Z6" s="105">
        <f t="shared" si="4"/>
        <v>0</v>
      </c>
      <c r="AA6" s="84" t="str">
        <f t="shared" ref="AA6:AA25" si="23">IF(AND($B6="A",$W6&lt;&gt;0,$X6&lt;&gt;0,Z6&lt;&gt;0),(RANK(Z6,Z$5:Z$54,0)),"")</f>
        <v/>
      </c>
      <c r="AB6" s="105">
        <f t="shared" si="5"/>
        <v>0</v>
      </c>
      <c r="AC6" s="84" t="str">
        <f t="shared" ref="AC6:AC25" si="24">IF(AND($B6="w",$W6&lt;&gt;0,$X6&lt;&gt;0,AB6&lt;&gt;0),(RANK(AB6,AB$5:AB$54,0)),"")</f>
        <v/>
      </c>
      <c r="AD6" s="92" t="str">
        <f t="shared" ref="AD6:AD54" si="25">IF(AND(AM6=0,AQ6=1,I6="Pass",Q6="Pass",Y6="Pass"),G6+O6+W6,IF(AND(AM6=0,AQ6=1),SUM(BC6:BE6),""))</f>
        <v/>
      </c>
      <c r="AE6" s="89" t="str">
        <f t="shared" ref="AE6:AE25" si="26">IF(AND(ISNUMBER($K6),ISNUMBER($S6),ISNUMBER($AA6))=TRUE,$G6+$O6+$W6,"")</f>
        <v/>
      </c>
      <c r="AF6" s="104" t="str">
        <f t="shared" ref="AF6:AF26" si="27">IF(AND(ISNUMBER($K6),ISNUMBER($S6),ISNUMBER($AA6))=TRUE,$H6+$P6+$X6,"")</f>
        <v/>
      </c>
      <c r="AG6" s="107" t="str">
        <f t="shared" ref="AG6:AG25" si="28">IF(ISNUMBER(AE6),(RANK(AE6,AE$5:AE$54,0)*10)+RANK(AF6,AF$5:AF$54,1),"")</f>
        <v/>
      </c>
      <c r="AH6" s="92" t="str">
        <f t="shared" ref="AH6:AH25" si="29">IF(ISNUMBER(AG6),RANK(AG6,AG$5:AG$54,1),"")</f>
        <v/>
      </c>
      <c r="AI6" s="89" t="str">
        <f t="shared" ref="AI6:AI25" si="30">IF(AND(ISNUMBER($M6),ISNUMBER($U6),ISNUMBER($AC6))=TRUE,$G6+$O6+$W6,"")</f>
        <v/>
      </c>
      <c r="AJ6" s="104" t="str">
        <f t="shared" ref="AJ6:AJ25" si="31">IF(AND(ISNUMBER($M6),ISNUMBER($U6),ISNUMBER($AC6))=TRUE,$H6+$P6+$X6,"")</f>
        <v/>
      </c>
      <c r="AK6" s="84" t="str">
        <f t="shared" ref="AK6:AK25" si="32">IF(ISNUMBER(AI6),(RANK(AI6,AI$5:AI$54,0)*10)+RANK(AJ6,AJ$5:AJ$54,1),"")</f>
        <v/>
      </c>
      <c r="AL6" s="264" t="str">
        <f t="shared" ref="AL6:AL25" si="33">IF(ISNUMBER(AK6),RANK(AK6,AK$5:AK$54,1),"")</f>
        <v/>
      </c>
      <c r="AM6" s="270">
        <f t="shared" si="6"/>
        <v>0</v>
      </c>
      <c r="AN6" s="270" t="str">
        <f t="shared" si="7"/>
        <v/>
      </c>
      <c r="AO6" s="270" t="str">
        <f t="shared" si="8"/>
        <v/>
      </c>
      <c r="AP6" s="270" t="str">
        <f t="shared" si="9"/>
        <v/>
      </c>
      <c r="AQ6" s="270">
        <f t="shared" ref="AQ6:AQ25" si="34">MIN(AN6,AO6,AP6)</f>
        <v>0</v>
      </c>
      <c r="AR6" s="316">
        <f>MIN(IFERROR(VLOOKUP($C6,'SDDA Dogs'!$A:$O,10,FALSE),0),IFERROR(VLOOKUP($C6,'SDDA Dogs'!$A:$O,11,FALSE),0),IFERROR(VLOOKUP($C6,'SDDA Dogs'!$A:$O,12,FALSE),0))</f>
        <v>0</v>
      </c>
      <c r="AS6" s="272"/>
      <c r="AT6" s="272"/>
      <c r="AU6" s="272" t="str">
        <f>IF(ISERROR(VLOOKUP(C6,'SDDA Dogs'!A:O,6,FALSE)),"",VLOOKUP(C6,'SDDA Dogs'!A:O,6,FALSE))</f>
        <v/>
      </c>
      <c r="AV6" s="270">
        <f t="shared" si="10"/>
        <v>0</v>
      </c>
      <c r="AW6" s="270">
        <f t="shared" si="11"/>
        <v>0</v>
      </c>
      <c r="AX6" s="273">
        <f t="shared" si="12"/>
        <v>0</v>
      </c>
      <c r="AY6" s="274"/>
      <c r="AZ6" s="275">
        <f t="shared" si="13"/>
        <v>0</v>
      </c>
      <c r="BA6" s="275">
        <f t="shared" si="14"/>
        <v>0</v>
      </c>
      <c r="BB6" s="276"/>
      <c r="BC6" s="262" t="str">
        <f>_xlfn.IFNA(IF(I6="Pass",IF(G6&gt;IFERROR(INDEX(DogInfo!A:B,MATCH(C6&amp;$BC$4,DogInfo!A:A,0),2),0),G6,INDEX(DogInfo!A:B,MATCH(C6&amp;$BC$4,DogInfo!A:A,0),2)),INDEX(DogInfo!A:B,MATCH(C6&amp;$BC$4,DogInfo!A:A,0),2)),"")</f>
        <v/>
      </c>
      <c r="BD6" s="262" t="str">
        <f>_xlfn.IFNA(IF(Q6="Pass",IF(O6&gt;IFERROR(INDEX(DogInfo!A:B,MATCH(C6&amp;$BD$4,DogInfo!A:A,0),2),0),O6,INDEX(DogInfo!A:B,MATCH(C6&amp;$BD$4,DogInfo!A:A,0),2)),INDEX(DogInfo!A:B,MATCH(C6&amp;$BD$4,DogInfo!A:A,0),2)),"")</f>
        <v/>
      </c>
      <c r="BE6" s="262" t="str">
        <f>_xlfn.IFNA(IF(Y6="Pass",IF(W6&gt;IFERROR(INDEX(DogInfo!A:B,MATCH(C6&amp;$BE$4,DogInfo!A:A,0),2),0),W6,INDEX(DogInfo!A:B,MATCH(C6&amp;$BE$4,DogInfo!A:A,0),2)),INDEX(DogInfo!A:B,MATCH(C6&amp;$BE$4,DogInfo!A:A,0),2)),"")</f>
        <v/>
      </c>
    </row>
    <row r="7" spans="1:57" x14ac:dyDescent="0.25">
      <c r="A7" s="99">
        <v>3</v>
      </c>
      <c r="B7" s="239"/>
      <c r="C7" s="283"/>
      <c r="D7" s="102" t="str">
        <f>IF($C7="","",VLOOKUP($C7,'SDDA Dogs'!$A:$F,2,FALSE))</f>
        <v/>
      </c>
      <c r="E7" s="211">
        <f t="shared" si="15"/>
        <v>1</v>
      </c>
      <c r="F7" s="103" t="str">
        <f>IF($C7="","",VLOOKUP($C7,'SDDA Dogs'!$A:$O,13,FALSE))</f>
        <v/>
      </c>
      <c r="G7" s="241"/>
      <c r="H7" s="284"/>
      <c r="I7" s="84" t="str">
        <f t="shared" si="16"/>
        <v/>
      </c>
      <c r="J7" s="105">
        <f t="shared" si="0"/>
        <v>0</v>
      </c>
      <c r="K7" s="84" t="str">
        <f t="shared" si="17"/>
        <v/>
      </c>
      <c r="L7" s="105">
        <f t="shared" si="1"/>
        <v>0</v>
      </c>
      <c r="M7" s="84" t="str">
        <f t="shared" si="18"/>
        <v/>
      </c>
      <c r="N7" s="106" t="str">
        <f>IF($C7="","",VLOOKUP($C7,'SDDA Dogs'!$A:$O,14,FALSE))</f>
        <v/>
      </c>
      <c r="O7" s="241"/>
      <c r="P7" s="284"/>
      <c r="Q7" s="84" t="str">
        <f t="shared" si="19"/>
        <v/>
      </c>
      <c r="R7" s="105">
        <f t="shared" si="2"/>
        <v>0</v>
      </c>
      <c r="S7" s="84" t="str">
        <f t="shared" si="20"/>
        <v/>
      </c>
      <c r="T7" s="105">
        <f t="shared" si="3"/>
        <v>0</v>
      </c>
      <c r="U7" s="84" t="str">
        <f t="shared" si="21"/>
        <v/>
      </c>
      <c r="V7" s="106" t="str">
        <f>IF($C7="","",VLOOKUP($C7,'SDDA Dogs'!$A:$O,15,FALSE))</f>
        <v/>
      </c>
      <c r="W7" s="241"/>
      <c r="X7" s="284"/>
      <c r="Y7" s="84" t="str">
        <f t="shared" si="22"/>
        <v/>
      </c>
      <c r="Z7" s="105">
        <f t="shared" si="4"/>
        <v>0</v>
      </c>
      <c r="AA7" s="84" t="str">
        <f t="shared" si="23"/>
        <v/>
      </c>
      <c r="AB7" s="105">
        <f t="shared" si="5"/>
        <v>0</v>
      </c>
      <c r="AC7" s="84" t="str">
        <f t="shared" si="24"/>
        <v/>
      </c>
      <c r="AD7" s="92" t="str">
        <f t="shared" si="25"/>
        <v/>
      </c>
      <c r="AE7" s="89" t="str">
        <f t="shared" si="26"/>
        <v/>
      </c>
      <c r="AF7" s="104" t="str">
        <f t="shared" si="27"/>
        <v/>
      </c>
      <c r="AG7" s="107" t="str">
        <f t="shared" si="28"/>
        <v/>
      </c>
      <c r="AH7" s="92" t="str">
        <f t="shared" si="29"/>
        <v/>
      </c>
      <c r="AI7" s="89" t="str">
        <f t="shared" si="30"/>
        <v/>
      </c>
      <c r="AJ7" s="104" t="str">
        <f t="shared" si="31"/>
        <v/>
      </c>
      <c r="AK7" s="84" t="str">
        <f t="shared" si="32"/>
        <v/>
      </c>
      <c r="AL7" s="264" t="str">
        <f t="shared" si="33"/>
        <v/>
      </c>
      <c r="AM7" s="270">
        <f t="shared" si="6"/>
        <v>0</v>
      </c>
      <c r="AN7" s="270" t="str">
        <f t="shared" si="7"/>
        <v/>
      </c>
      <c r="AO7" s="270" t="str">
        <f t="shared" si="8"/>
        <v/>
      </c>
      <c r="AP7" s="270" t="str">
        <f t="shared" si="9"/>
        <v/>
      </c>
      <c r="AQ7" s="270">
        <f t="shared" si="34"/>
        <v>0</v>
      </c>
      <c r="AR7" s="316">
        <f>MIN(IFERROR(VLOOKUP($C7,'SDDA Dogs'!$A:$O,10,FALSE),0),IFERROR(VLOOKUP($C7,'SDDA Dogs'!$A:$O,11,FALSE),0),IFERROR(VLOOKUP($C7,'SDDA Dogs'!$A:$O,12,FALSE),0))</f>
        <v>0</v>
      </c>
      <c r="AS7" s="272"/>
      <c r="AT7" s="272"/>
      <c r="AU7" s="272" t="str">
        <f>IF(ISERROR(VLOOKUP(C7,'SDDA Dogs'!A:O,6,FALSE)),"",VLOOKUP(C7,'SDDA Dogs'!A:O,6,FALSE))</f>
        <v/>
      </c>
      <c r="AV7" s="270">
        <f t="shared" si="10"/>
        <v>0</v>
      </c>
      <c r="AW7" s="270">
        <f t="shared" si="11"/>
        <v>0</v>
      </c>
      <c r="AX7" s="273">
        <f t="shared" si="12"/>
        <v>0</v>
      </c>
      <c r="AY7" s="274"/>
      <c r="AZ7" s="275">
        <f t="shared" si="13"/>
        <v>0</v>
      </c>
      <c r="BA7" s="275">
        <f t="shared" si="14"/>
        <v>0</v>
      </c>
      <c r="BB7" s="276"/>
      <c r="BC7" s="262" t="str">
        <f>_xlfn.IFNA(IF(I7="Pass",IF(G7&gt;IFERROR(INDEX(DogInfo!A:B,MATCH(C7&amp;$BC$4,DogInfo!A:A,0),2),0),G7,INDEX(DogInfo!A:B,MATCH(C7&amp;$BC$4,DogInfo!A:A,0),2)),INDEX(DogInfo!A:B,MATCH(C7&amp;$BC$4,DogInfo!A:A,0),2)),"")</f>
        <v/>
      </c>
      <c r="BD7" s="262" t="str">
        <f>_xlfn.IFNA(IF(Q7="Pass",IF(O7&gt;IFERROR(INDEX(DogInfo!A:B,MATCH(C7&amp;$BD$4,DogInfo!A:A,0),2),0),O7,INDEX(DogInfo!A:B,MATCH(C7&amp;$BD$4,DogInfo!A:A,0),2)),INDEX(DogInfo!A:B,MATCH(C7&amp;$BD$4,DogInfo!A:A,0),2)),"")</f>
        <v/>
      </c>
      <c r="BE7" s="262" t="str">
        <f>_xlfn.IFNA(IF(Y7="Pass",IF(W7&gt;IFERROR(INDEX(DogInfo!A:B,MATCH(C7&amp;$BE$4,DogInfo!A:A,0),2),0),W7,INDEX(DogInfo!A:B,MATCH(C7&amp;$BE$4,DogInfo!A:A,0),2)),INDEX(DogInfo!A:B,MATCH(C7&amp;$BE$4,DogInfo!A:A,0),2)),"")</f>
        <v/>
      </c>
    </row>
    <row r="8" spans="1:57" x14ac:dyDescent="0.25">
      <c r="A8" s="99">
        <v>4</v>
      </c>
      <c r="B8" s="239"/>
      <c r="C8" s="283"/>
      <c r="D8" s="102" t="str">
        <f>IF($C8="","",VLOOKUP($C8,'SDDA Dogs'!$A:$F,2,FALSE))</f>
        <v/>
      </c>
      <c r="E8" s="211">
        <f t="shared" si="15"/>
        <v>1</v>
      </c>
      <c r="F8" s="103" t="str">
        <f>IF($C8="","",VLOOKUP($C8,'SDDA Dogs'!$A:$O,13,FALSE))</f>
        <v/>
      </c>
      <c r="G8" s="241"/>
      <c r="H8" s="284"/>
      <c r="I8" s="84" t="str">
        <f t="shared" si="16"/>
        <v/>
      </c>
      <c r="J8" s="105">
        <f t="shared" si="0"/>
        <v>0</v>
      </c>
      <c r="K8" s="84" t="str">
        <f t="shared" si="17"/>
        <v/>
      </c>
      <c r="L8" s="105">
        <f t="shared" si="1"/>
        <v>0</v>
      </c>
      <c r="M8" s="84" t="str">
        <f t="shared" si="18"/>
        <v/>
      </c>
      <c r="N8" s="106" t="str">
        <f>IF($C8="","",VLOOKUP($C8,'SDDA Dogs'!$A:$O,14,FALSE))</f>
        <v/>
      </c>
      <c r="O8" s="241"/>
      <c r="P8" s="284"/>
      <c r="Q8" s="84" t="str">
        <f t="shared" si="19"/>
        <v/>
      </c>
      <c r="R8" s="105">
        <f t="shared" si="2"/>
        <v>0</v>
      </c>
      <c r="S8" s="84" t="str">
        <f t="shared" si="20"/>
        <v/>
      </c>
      <c r="T8" s="105">
        <f t="shared" si="3"/>
        <v>0</v>
      </c>
      <c r="U8" s="84" t="str">
        <f t="shared" si="21"/>
        <v/>
      </c>
      <c r="V8" s="106" t="str">
        <f>IF($C8="","",VLOOKUP($C8,'SDDA Dogs'!$A:$O,15,FALSE))</f>
        <v/>
      </c>
      <c r="W8" s="241"/>
      <c r="X8" s="284"/>
      <c r="Y8" s="84" t="str">
        <f t="shared" si="22"/>
        <v/>
      </c>
      <c r="Z8" s="105">
        <f t="shared" si="4"/>
        <v>0</v>
      </c>
      <c r="AA8" s="84" t="str">
        <f t="shared" si="23"/>
        <v/>
      </c>
      <c r="AB8" s="105">
        <f t="shared" si="5"/>
        <v>0</v>
      </c>
      <c r="AC8" s="84" t="str">
        <f t="shared" si="24"/>
        <v/>
      </c>
      <c r="AD8" s="92" t="str">
        <f t="shared" si="25"/>
        <v/>
      </c>
      <c r="AE8" s="89" t="str">
        <f t="shared" si="26"/>
        <v/>
      </c>
      <c r="AF8" s="104" t="str">
        <f t="shared" si="27"/>
        <v/>
      </c>
      <c r="AG8" s="107" t="str">
        <f t="shared" si="28"/>
        <v/>
      </c>
      <c r="AH8" s="92" t="str">
        <f t="shared" si="29"/>
        <v/>
      </c>
      <c r="AI8" s="89" t="str">
        <f t="shared" si="30"/>
        <v/>
      </c>
      <c r="AJ8" s="104" t="str">
        <f t="shared" si="31"/>
        <v/>
      </c>
      <c r="AK8" s="84" t="str">
        <f t="shared" si="32"/>
        <v/>
      </c>
      <c r="AL8" s="264" t="str">
        <f t="shared" si="33"/>
        <v/>
      </c>
      <c r="AM8" s="270">
        <f t="shared" si="6"/>
        <v>0</v>
      </c>
      <c r="AN8" s="270" t="str">
        <f t="shared" si="7"/>
        <v/>
      </c>
      <c r="AO8" s="270" t="str">
        <f t="shared" si="8"/>
        <v/>
      </c>
      <c r="AP8" s="270" t="str">
        <f t="shared" si="9"/>
        <v/>
      </c>
      <c r="AQ8" s="270">
        <f t="shared" si="34"/>
        <v>0</v>
      </c>
      <c r="AR8" s="316">
        <f>MIN(IFERROR(VLOOKUP($C8,'SDDA Dogs'!$A:$O,10,FALSE),0),IFERROR(VLOOKUP($C8,'SDDA Dogs'!$A:$O,11,FALSE),0),IFERROR(VLOOKUP($C8,'SDDA Dogs'!$A:$O,12,FALSE),0))</f>
        <v>0</v>
      </c>
      <c r="AS8" s="272"/>
      <c r="AT8" s="272"/>
      <c r="AU8" s="272" t="str">
        <f>IF(ISERROR(VLOOKUP(C8,'SDDA Dogs'!A:O,6,FALSE)),"",VLOOKUP(C8,'SDDA Dogs'!A:O,6,FALSE))</f>
        <v/>
      </c>
      <c r="AV8" s="270">
        <f t="shared" si="10"/>
        <v>0</v>
      </c>
      <c r="AW8" s="270">
        <f t="shared" si="11"/>
        <v>0</v>
      </c>
      <c r="AX8" s="273">
        <f t="shared" si="12"/>
        <v>0</v>
      </c>
      <c r="AY8" s="274"/>
      <c r="AZ8" s="275">
        <f t="shared" si="13"/>
        <v>0</v>
      </c>
      <c r="BA8" s="275">
        <f t="shared" si="14"/>
        <v>0</v>
      </c>
      <c r="BB8" s="276"/>
      <c r="BC8" s="262" t="str">
        <f>_xlfn.IFNA(IF(I8="Pass",IF(G8&gt;IFERROR(INDEX(DogInfo!A:B,MATCH(C8&amp;$BC$4,DogInfo!A:A,0),2),0),G8,INDEX(DogInfo!A:B,MATCH(C8&amp;$BC$4,DogInfo!A:A,0),2)),INDEX(DogInfo!A:B,MATCH(C8&amp;$BC$4,DogInfo!A:A,0),2)),"")</f>
        <v/>
      </c>
      <c r="BD8" s="262" t="str">
        <f>_xlfn.IFNA(IF(Q8="Pass",IF(O8&gt;IFERROR(INDEX(DogInfo!A:B,MATCH(C8&amp;$BD$4,DogInfo!A:A,0),2),0),O8,INDEX(DogInfo!A:B,MATCH(C8&amp;$BD$4,DogInfo!A:A,0),2)),INDEX(DogInfo!A:B,MATCH(C8&amp;$BD$4,DogInfo!A:A,0),2)),"")</f>
        <v/>
      </c>
      <c r="BE8" s="262" t="str">
        <f>_xlfn.IFNA(IF(Y8="Pass",IF(W8&gt;IFERROR(INDEX(DogInfo!A:B,MATCH(C8&amp;$BE$4,DogInfo!A:A,0),2),0),W8,INDEX(DogInfo!A:B,MATCH(C8&amp;$BE$4,DogInfo!A:A,0),2)),INDEX(DogInfo!A:B,MATCH(C8&amp;$BE$4,DogInfo!A:A,0),2)),"")</f>
        <v/>
      </c>
    </row>
    <row r="9" spans="1:57" x14ac:dyDescent="0.25">
      <c r="A9" s="99">
        <v>5</v>
      </c>
      <c r="B9" s="239"/>
      <c r="C9" s="283"/>
      <c r="D9" s="102" t="str">
        <f>IF($C9="","",VLOOKUP($C9,'SDDA Dogs'!$A:$F,2,FALSE))</f>
        <v/>
      </c>
      <c r="E9" s="211">
        <f t="shared" si="15"/>
        <v>1</v>
      </c>
      <c r="F9" s="103" t="str">
        <f>IF($C9="","",VLOOKUP($C9,'SDDA Dogs'!$A:$O,13,FALSE))</f>
        <v/>
      </c>
      <c r="G9" s="241"/>
      <c r="H9" s="284"/>
      <c r="I9" s="84" t="str">
        <f t="shared" si="16"/>
        <v/>
      </c>
      <c r="J9" s="105">
        <f t="shared" si="0"/>
        <v>0</v>
      </c>
      <c r="K9" s="84" t="str">
        <f t="shared" si="17"/>
        <v/>
      </c>
      <c r="L9" s="105">
        <f t="shared" si="1"/>
        <v>0</v>
      </c>
      <c r="M9" s="84" t="str">
        <f t="shared" si="18"/>
        <v/>
      </c>
      <c r="N9" s="106" t="str">
        <f>IF($C9="","",VLOOKUP($C9,'SDDA Dogs'!$A:$O,14,FALSE))</f>
        <v/>
      </c>
      <c r="O9" s="241"/>
      <c r="P9" s="284"/>
      <c r="Q9" s="84" t="str">
        <f t="shared" si="19"/>
        <v/>
      </c>
      <c r="R9" s="105">
        <f t="shared" si="2"/>
        <v>0</v>
      </c>
      <c r="S9" s="84" t="str">
        <f t="shared" si="20"/>
        <v/>
      </c>
      <c r="T9" s="105">
        <f t="shared" si="3"/>
        <v>0</v>
      </c>
      <c r="U9" s="84" t="str">
        <f t="shared" si="21"/>
        <v/>
      </c>
      <c r="V9" s="106" t="str">
        <f>IF($C9="","",VLOOKUP($C9,'SDDA Dogs'!$A:$O,15,FALSE))</f>
        <v/>
      </c>
      <c r="W9" s="241"/>
      <c r="X9" s="284"/>
      <c r="Y9" s="84" t="str">
        <f t="shared" si="22"/>
        <v/>
      </c>
      <c r="Z9" s="105">
        <f t="shared" si="4"/>
        <v>0</v>
      </c>
      <c r="AA9" s="84" t="str">
        <f t="shared" si="23"/>
        <v/>
      </c>
      <c r="AB9" s="105">
        <f t="shared" si="5"/>
        <v>0</v>
      </c>
      <c r="AC9" s="84" t="str">
        <f t="shared" si="24"/>
        <v/>
      </c>
      <c r="AD9" s="92" t="str">
        <f t="shared" si="25"/>
        <v/>
      </c>
      <c r="AE9" s="89" t="str">
        <f t="shared" si="26"/>
        <v/>
      </c>
      <c r="AF9" s="104" t="str">
        <f t="shared" si="27"/>
        <v/>
      </c>
      <c r="AG9" s="107" t="str">
        <f t="shared" si="28"/>
        <v/>
      </c>
      <c r="AH9" s="92" t="str">
        <f t="shared" si="29"/>
        <v/>
      </c>
      <c r="AI9" s="89" t="str">
        <f t="shared" si="30"/>
        <v/>
      </c>
      <c r="AJ9" s="104" t="str">
        <f t="shared" si="31"/>
        <v/>
      </c>
      <c r="AK9" s="84" t="str">
        <f t="shared" si="32"/>
        <v/>
      </c>
      <c r="AL9" s="264" t="str">
        <f t="shared" si="33"/>
        <v/>
      </c>
      <c r="AM9" s="270">
        <f t="shared" si="6"/>
        <v>0</v>
      </c>
      <c r="AN9" s="270" t="str">
        <f t="shared" si="7"/>
        <v/>
      </c>
      <c r="AO9" s="270" t="str">
        <f t="shared" si="8"/>
        <v/>
      </c>
      <c r="AP9" s="270" t="str">
        <f t="shared" si="9"/>
        <v/>
      </c>
      <c r="AQ9" s="270">
        <f t="shared" si="34"/>
        <v>0</v>
      </c>
      <c r="AR9" s="316">
        <f>MIN(IFERROR(VLOOKUP($C9,'SDDA Dogs'!$A:$O,10,FALSE),0),IFERROR(VLOOKUP($C9,'SDDA Dogs'!$A:$O,11,FALSE),0),IFERROR(VLOOKUP($C9,'SDDA Dogs'!$A:$O,12,FALSE),0))</f>
        <v>0</v>
      </c>
      <c r="AS9" s="272"/>
      <c r="AT9" s="272"/>
      <c r="AU9" s="272" t="str">
        <f>IF(ISERROR(VLOOKUP(C9,'SDDA Dogs'!A:O,6,FALSE)),"",VLOOKUP(C9,'SDDA Dogs'!A:O,6,FALSE))</f>
        <v/>
      </c>
      <c r="AV9" s="270">
        <f t="shared" si="10"/>
        <v>0</v>
      </c>
      <c r="AW9" s="270">
        <f t="shared" si="11"/>
        <v>0</v>
      </c>
      <c r="AX9" s="273">
        <f t="shared" si="12"/>
        <v>0</v>
      </c>
      <c r="AY9" s="274"/>
      <c r="AZ9" s="275">
        <f t="shared" si="13"/>
        <v>0</v>
      </c>
      <c r="BA9" s="275">
        <f t="shared" si="14"/>
        <v>0</v>
      </c>
      <c r="BB9" s="276"/>
      <c r="BC9" s="262" t="str">
        <f>_xlfn.IFNA(IF(I9="Pass",IF(G9&gt;IFERROR(INDEX(DogInfo!A:B,MATCH(C9&amp;$BC$4,DogInfo!A:A,0),2),0),G9,INDEX(DogInfo!A:B,MATCH(C9&amp;$BC$4,DogInfo!A:A,0),2)),INDEX(DogInfo!A:B,MATCH(C9&amp;$BC$4,DogInfo!A:A,0),2)),"")</f>
        <v/>
      </c>
      <c r="BD9" s="262" t="str">
        <f>_xlfn.IFNA(IF(Q9="Pass",IF(O9&gt;IFERROR(INDEX(DogInfo!A:B,MATCH(C9&amp;$BD$4,DogInfo!A:A,0),2),0),O9,INDEX(DogInfo!A:B,MATCH(C9&amp;$BD$4,DogInfo!A:A,0),2)),INDEX(DogInfo!A:B,MATCH(C9&amp;$BD$4,DogInfo!A:A,0),2)),"")</f>
        <v/>
      </c>
      <c r="BE9" s="262" t="str">
        <f>_xlfn.IFNA(IF(Y9="Pass",IF(W9&gt;IFERROR(INDEX(DogInfo!A:B,MATCH(C9&amp;$BE$4,DogInfo!A:A,0),2),0),W9,INDEX(DogInfo!A:B,MATCH(C9&amp;$BE$4,DogInfo!A:A,0),2)),INDEX(DogInfo!A:B,MATCH(C9&amp;$BE$4,DogInfo!A:A,0),2)),"")</f>
        <v/>
      </c>
    </row>
    <row r="10" spans="1:57" x14ac:dyDescent="0.25">
      <c r="A10" s="99">
        <v>6</v>
      </c>
      <c r="B10" s="239"/>
      <c r="C10" s="283"/>
      <c r="D10" s="102" t="str">
        <f>IF($C10="","",VLOOKUP($C10,'SDDA Dogs'!$A:$F,2,FALSE))</f>
        <v/>
      </c>
      <c r="E10" s="211">
        <f t="shared" si="15"/>
        <v>1</v>
      </c>
      <c r="F10" s="103" t="str">
        <f>IF($C10="","",VLOOKUP($C10,'SDDA Dogs'!$A:$O,13,FALSE))</f>
        <v/>
      </c>
      <c r="G10" s="241"/>
      <c r="H10" s="284"/>
      <c r="I10" s="84" t="str">
        <f t="shared" si="16"/>
        <v/>
      </c>
      <c r="J10" s="105">
        <f t="shared" si="0"/>
        <v>0</v>
      </c>
      <c r="K10" s="84" t="str">
        <f t="shared" si="17"/>
        <v/>
      </c>
      <c r="L10" s="105">
        <f t="shared" si="1"/>
        <v>0</v>
      </c>
      <c r="M10" s="84" t="str">
        <f t="shared" si="18"/>
        <v/>
      </c>
      <c r="N10" s="106" t="str">
        <f>IF($C10="","",VLOOKUP($C10,'SDDA Dogs'!$A:$O,14,FALSE))</f>
        <v/>
      </c>
      <c r="O10" s="241"/>
      <c r="P10" s="284"/>
      <c r="Q10" s="84" t="str">
        <f t="shared" si="19"/>
        <v/>
      </c>
      <c r="R10" s="105">
        <f t="shared" si="2"/>
        <v>0</v>
      </c>
      <c r="S10" s="84" t="str">
        <f t="shared" si="20"/>
        <v/>
      </c>
      <c r="T10" s="105">
        <f t="shared" si="3"/>
        <v>0</v>
      </c>
      <c r="U10" s="84" t="str">
        <f t="shared" si="21"/>
        <v/>
      </c>
      <c r="V10" s="106" t="str">
        <f>IF($C10="","",VLOOKUP($C10,'SDDA Dogs'!$A:$O,15,FALSE))</f>
        <v/>
      </c>
      <c r="W10" s="241"/>
      <c r="X10" s="284"/>
      <c r="Y10" s="84" t="str">
        <f t="shared" si="22"/>
        <v/>
      </c>
      <c r="Z10" s="105">
        <f t="shared" si="4"/>
        <v>0</v>
      </c>
      <c r="AA10" s="84" t="str">
        <f t="shared" si="23"/>
        <v/>
      </c>
      <c r="AB10" s="105">
        <f t="shared" si="5"/>
        <v>0</v>
      </c>
      <c r="AC10" s="84" t="str">
        <f t="shared" si="24"/>
        <v/>
      </c>
      <c r="AD10" s="92" t="str">
        <f t="shared" si="25"/>
        <v/>
      </c>
      <c r="AE10" s="89" t="str">
        <f t="shared" si="26"/>
        <v/>
      </c>
      <c r="AF10" s="104" t="str">
        <f t="shared" si="27"/>
        <v/>
      </c>
      <c r="AG10" s="107" t="str">
        <f t="shared" si="28"/>
        <v/>
      </c>
      <c r="AH10" s="92" t="str">
        <f t="shared" si="29"/>
        <v/>
      </c>
      <c r="AI10" s="89" t="str">
        <f t="shared" si="30"/>
        <v/>
      </c>
      <c r="AJ10" s="104" t="str">
        <f t="shared" si="31"/>
        <v/>
      </c>
      <c r="AK10" s="84" t="str">
        <f t="shared" si="32"/>
        <v/>
      </c>
      <c r="AL10" s="264" t="str">
        <f t="shared" si="33"/>
        <v/>
      </c>
      <c r="AM10" s="270">
        <f t="shared" si="6"/>
        <v>0</v>
      </c>
      <c r="AN10" s="270" t="str">
        <f t="shared" si="7"/>
        <v/>
      </c>
      <c r="AO10" s="270" t="str">
        <f t="shared" si="8"/>
        <v/>
      </c>
      <c r="AP10" s="270" t="str">
        <f t="shared" si="9"/>
        <v/>
      </c>
      <c r="AQ10" s="270">
        <f t="shared" si="34"/>
        <v>0</v>
      </c>
      <c r="AR10" s="316">
        <f>MIN(IFERROR(VLOOKUP($C10,'SDDA Dogs'!$A:$O,10,FALSE),0),IFERROR(VLOOKUP($C10,'SDDA Dogs'!$A:$O,11,FALSE),0),IFERROR(VLOOKUP($C10,'SDDA Dogs'!$A:$O,12,FALSE),0))</f>
        <v>0</v>
      </c>
      <c r="AS10" s="272"/>
      <c r="AT10" s="272"/>
      <c r="AU10" s="272" t="str">
        <f>IF(ISERROR(VLOOKUP(C10,'SDDA Dogs'!A:O,6,FALSE)),"",VLOOKUP(C10,'SDDA Dogs'!A:O,6,FALSE))</f>
        <v/>
      </c>
      <c r="AV10" s="270">
        <f t="shared" si="10"/>
        <v>0</v>
      </c>
      <c r="AW10" s="270">
        <f t="shared" si="11"/>
        <v>0</v>
      </c>
      <c r="AX10" s="273">
        <f t="shared" si="12"/>
        <v>0</v>
      </c>
      <c r="AY10" s="274"/>
      <c r="AZ10" s="275">
        <f t="shared" si="13"/>
        <v>0</v>
      </c>
      <c r="BA10" s="275">
        <f t="shared" si="14"/>
        <v>0</v>
      </c>
      <c r="BB10" s="276"/>
      <c r="BC10" s="262" t="str">
        <f>_xlfn.IFNA(IF(I10="Pass",IF(G10&gt;IFERROR(INDEX(DogInfo!A:B,MATCH(C10&amp;$BC$4,DogInfo!A:A,0),2),0),G10,INDEX(DogInfo!A:B,MATCH(C10&amp;$BC$4,DogInfo!A:A,0),2)),INDEX(DogInfo!A:B,MATCH(C10&amp;$BC$4,DogInfo!A:A,0),2)),"")</f>
        <v/>
      </c>
      <c r="BD10" s="262" t="str">
        <f>_xlfn.IFNA(IF(Q10="Pass",IF(O10&gt;IFERROR(INDEX(DogInfo!A:B,MATCH(C10&amp;$BD$4,DogInfo!A:A,0),2),0),O10,INDEX(DogInfo!A:B,MATCH(C10&amp;$BD$4,DogInfo!A:A,0),2)),INDEX(DogInfo!A:B,MATCH(C10&amp;$BD$4,DogInfo!A:A,0),2)),"")</f>
        <v/>
      </c>
      <c r="BE10" s="262" t="str">
        <f>_xlfn.IFNA(IF(Y10="Pass",IF(W10&gt;IFERROR(INDEX(DogInfo!A:B,MATCH(C10&amp;$BE$4,DogInfo!A:A,0),2),0),W10,INDEX(DogInfo!A:B,MATCH(C10&amp;$BE$4,DogInfo!A:A,0),2)),INDEX(DogInfo!A:B,MATCH(C10&amp;$BE$4,DogInfo!A:A,0),2)),"")</f>
        <v/>
      </c>
    </row>
    <row r="11" spans="1:57" x14ac:dyDescent="0.25">
      <c r="A11" s="99">
        <v>7</v>
      </c>
      <c r="B11" s="239"/>
      <c r="C11" s="283"/>
      <c r="D11" s="102" t="str">
        <f>IF($C11="","",VLOOKUP($C11,'SDDA Dogs'!$A:$F,2,FALSE))</f>
        <v/>
      </c>
      <c r="E11" s="211">
        <f t="shared" si="15"/>
        <v>1</v>
      </c>
      <c r="F11" s="103" t="str">
        <f>IF($C11="","",VLOOKUP($C11,'SDDA Dogs'!$A:$O,13,FALSE))</f>
        <v/>
      </c>
      <c r="G11" s="241"/>
      <c r="H11" s="284"/>
      <c r="I11" s="84" t="str">
        <f t="shared" si="16"/>
        <v/>
      </c>
      <c r="J11" s="105">
        <f t="shared" si="0"/>
        <v>0</v>
      </c>
      <c r="K11" s="84" t="str">
        <f t="shared" si="17"/>
        <v/>
      </c>
      <c r="L11" s="105">
        <f t="shared" si="1"/>
        <v>0</v>
      </c>
      <c r="M11" s="84" t="str">
        <f t="shared" si="18"/>
        <v/>
      </c>
      <c r="N11" s="106" t="str">
        <f>IF($C11="","",VLOOKUP($C11,'SDDA Dogs'!$A:$O,14,FALSE))</f>
        <v/>
      </c>
      <c r="O11" s="241"/>
      <c r="P11" s="284"/>
      <c r="Q11" s="84" t="str">
        <f t="shared" si="19"/>
        <v/>
      </c>
      <c r="R11" s="105">
        <f t="shared" si="2"/>
        <v>0</v>
      </c>
      <c r="S11" s="84" t="str">
        <f t="shared" si="20"/>
        <v/>
      </c>
      <c r="T11" s="105">
        <f t="shared" si="3"/>
        <v>0</v>
      </c>
      <c r="U11" s="84" t="str">
        <f t="shared" si="21"/>
        <v/>
      </c>
      <c r="V11" s="106" t="str">
        <f>IF($C11="","",VLOOKUP($C11,'SDDA Dogs'!$A:$O,15,FALSE))</f>
        <v/>
      </c>
      <c r="W11" s="241"/>
      <c r="X11" s="284"/>
      <c r="Y11" s="84" t="str">
        <f t="shared" si="22"/>
        <v/>
      </c>
      <c r="Z11" s="105">
        <f t="shared" si="4"/>
        <v>0</v>
      </c>
      <c r="AA11" s="84" t="str">
        <f t="shared" si="23"/>
        <v/>
      </c>
      <c r="AB11" s="105">
        <f t="shared" si="5"/>
        <v>0</v>
      </c>
      <c r="AC11" s="84" t="str">
        <f t="shared" si="24"/>
        <v/>
      </c>
      <c r="AD11" s="92" t="str">
        <f t="shared" si="25"/>
        <v/>
      </c>
      <c r="AE11" s="89" t="str">
        <f t="shared" si="26"/>
        <v/>
      </c>
      <c r="AF11" s="104" t="str">
        <f t="shared" si="27"/>
        <v/>
      </c>
      <c r="AG11" s="107" t="str">
        <f t="shared" si="28"/>
        <v/>
      </c>
      <c r="AH11" s="92" t="str">
        <f t="shared" si="29"/>
        <v/>
      </c>
      <c r="AI11" s="89" t="str">
        <f t="shared" si="30"/>
        <v/>
      </c>
      <c r="AJ11" s="104" t="str">
        <f t="shared" si="31"/>
        <v/>
      </c>
      <c r="AK11" s="84" t="str">
        <f t="shared" si="32"/>
        <v/>
      </c>
      <c r="AL11" s="264" t="str">
        <f t="shared" si="33"/>
        <v/>
      </c>
      <c r="AM11" s="270">
        <f t="shared" si="6"/>
        <v>0</v>
      </c>
      <c r="AN11" s="270" t="str">
        <f t="shared" si="7"/>
        <v/>
      </c>
      <c r="AO11" s="270" t="str">
        <f t="shared" si="8"/>
        <v/>
      </c>
      <c r="AP11" s="270" t="str">
        <f t="shared" si="9"/>
        <v/>
      </c>
      <c r="AQ11" s="270">
        <f t="shared" si="34"/>
        <v>0</v>
      </c>
      <c r="AR11" s="316">
        <f>MIN(IFERROR(VLOOKUP($C11,'SDDA Dogs'!$A:$O,10,FALSE),0),IFERROR(VLOOKUP($C11,'SDDA Dogs'!$A:$O,11,FALSE),0),IFERROR(VLOOKUP($C11,'SDDA Dogs'!$A:$O,12,FALSE),0))</f>
        <v>0</v>
      </c>
      <c r="AS11" s="272"/>
      <c r="AT11" s="272"/>
      <c r="AU11" s="272" t="str">
        <f>IF(ISERROR(VLOOKUP(C11,'SDDA Dogs'!A:O,6,FALSE)),"",VLOOKUP(C11,'SDDA Dogs'!A:O,6,FALSE))</f>
        <v/>
      </c>
      <c r="AV11" s="270">
        <f t="shared" si="10"/>
        <v>0</v>
      </c>
      <c r="AW11" s="270">
        <f t="shared" si="11"/>
        <v>0</v>
      </c>
      <c r="AX11" s="273">
        <f t="shared" si="12"/>
        <v>0</v>
      </c>
      <c r="AY11" s="274"/>
      <c r="AZ11" s="275">
        <f t="shared" si="13"/>
        <v>0</v>
      </c>
      <c r="BA11" s="275">
        <f t="shared" si="14"/>
        <v>0</v>
      </c>
      <c r="BB11" s="276"/>
      <c r="BC11" s="262" t="str">
        <f>_xlfn.IFNA(IF(I11="Pass",IF(G11&gt;IFERROR(INDEX(DogInfo!A:B,MATCH(C11&amp;$BC$4,DogInfo!A:A,0),2),0),G11,INDEX(DogInfo!A:B,MATCH(C11&amp;$BC$4,DogInfo!A:A,0),2)),INDEX(DogInfo!A:B,MATCH(C11&amp;$BC$4,DogInfo!A:A,0),2)),"")</f>
        <v/>
      </c>
      <c r="BD11" s="262" t="str">
        <f>_xlfn.IFNA(IF(Q11="Pass",IF(O11&gt;IFERROR(INDEX(DogInfo!A:B,MATCH(C11&amp;$BD$4,DogInfo!A:A,0),2),0),O11,INDEX(DogInfo!A:B,MATCH(C11&amp;$BD$4,DogInfo!A:A,0),2)),INDEX(DogInfo!A:B,MATCH(C11&amp;$BD$4,DogInfo!A:A,0),2)),"")</f>
        <v/>
      </c>
      <c r="BE11" s="262" t="str">
        <f>_xlfn.IFNA(IF(Y11="Pass",IF(W11&gt;IFERROR(INDEX(DogInfo!A:B,MATCH(C11&amp;$BE$4,DogInfo!A:A,0),2),0),W11,INDEX(DogInfo!A:B,MATCH(C11&amp;$BE$4,DogInfo!A:A,0),2)),INDEX(DogInfo!A:B,MATCH(C11&amp;$BE$4,DogInfo!A:A,0),2)),"")</f>
        <v/>
      </c>
    </row>
    <row r="12" spans="1:57" x14ac:dyDescent="0.25">
      <c r="A12" s="99">
        <v>8</v>
      </c>
      <c r="B12" s="239"/>
      <c r="C12" s="283"/>
      <c r="D12" s="102" t="str">
        <f>IF($C12="","",VLOOKUP($C12,'SDDA Dogs'!$A:$F,2,FALSE))</f>
        <v/>
      </c>
      <c r="E12" s="211">
        <f t="shared" si="15"/>
        <v>1</v>
      </c>
      <c r="F12" s="103" t="str">
        <f>IF($C12="","",VLOOKUP($C12,'SDDA Dogs'!$A:$O,13,FALSE))</f>
        <v/>
      </c>
      <c r="G12" s="241"/>
      <c r="H12" s="284"/>
      <c r="I12" s="84" t="str">
        <f t="shared" si="16"/>
        <v/>
      </c>
      <c r="J12" s="105">
        <f t="shared" si="0"/>
        <v>0</v>
      </c>
      <c r="K12" s="84" t="str">
        <f t="shared" si="17"/>
        <v/>
      </c>
      <c r="L12" s="105">
        <f t="shared" si="1"/>
        <v>0</v>
      </c>
      <c r="M12" s="84" t="str">
        <f t="shared" si="18"/>
        <v/>
      </c>
      <c r="N12" s="106" t="str">
        <f>IF($C12="","",VLOOKUP($C12,'SDDA Dogs'!$A:$O,14,FALSE))</f>
        <v/>
      </c>
      <c r="O12" s="241"/>
      <c r="P12" s="284"/>
      <c r="Q12" s="84" t="str">
        <f t="shared" si="19"/>
        <v/>
      </c>
      <c r="R12" s="105">
        <f t="shared" si="2"/>
        <v>0</v>
      </c>
      <c r="S12" s="84" t="str">
        <f t="shared" si="20"/>
        <v/>
      </c>
      <c r="T12" s="105">
        <f t="shared" si="3"/>
        <v>0</v>
      </c>
      <c r="U12" s="84" t="str">
        <f t="shared" si="21"/>
        <v/>
      </c>
      <c r="V12" s="106" t="str">
        <f>IF($C12="","",VLOOKUP($C12,'SDDA Dogs'!$A:$O,15,FALSE))</f>
        <v/>
      </c>
      <c r="W12" s="241"/>
      <c r="X12" s="284"/>
      <c r="Y12" s="84" t="str">
        <f t="shared" si="22"/>
        <v/>
      </c>
      <c r="Z12" s="105">
        <f t="shared" si="4"/>
        <v>0</v>
      </c>
      <c r="AA12" s="84" t="str">
        <f t="shared" si="23"/>
        <v/>
      </c>
      <c r="AB12" s="105">
        <f t="shared" si="5"/>
        <v>0</v>
      </c>
      <c r="AC12" s="84" t="str">
        <f t="shared" si="24"/>
        <v/>
      </c>
      <c r="AD12" s="92" t="str">
        <f t="shared" si="25"/>
        <v/>
      </c>
      <c r="AE12" s="89" t="str">
        <f t="shared" si="26"/>
        <v/>
      </c>
      <c r="AF12" s="104" t="str">
        <f t="shared" si="27"/>
        <v/>
      </c>
      <c r="AG12" s="107" t="str">
        <f t="shared" si="28"/>
        <v/>
      </c>
      <c r="AH12" s="92" t="str">
        <f t="shared" si="29"/>
        <v/>
      </c>
      <c r="AI12" s="89" t="str">
        <f t="shared" si="30"/>
        <v/>
      </c>
      <c r="AJ12" s="104" t="str">
        <f t="shared" si="31"/>
        <v/>
      </c>
      <c r="AK12" s="84" t="str">
        <f t="shared" si="32"/>
        <v/>
      </c>
      <c r="AL12" s="264" t="str">
        <f t="shared" si="33"/>
        <v/>
      </c>
      <c r="AM12" s="270">
        <f t="shared" si="6"/>
        <v>0</v>
      </c>
      <c r="AN12" s="270" t="str">
        <f t="shared" si="7"/>
        <v/>
      </c>
      <c r="AO12" s="270" t="str">
        <f t="shared" si="8"/>
        <v/>
      </c>
      <c r="AP12" s="270" t="str">
        <f t="shared" si="9"/>
        <v/>
      </c>
      <c r="AQ12" s="270">
        <f t="shared" si="34"/>
        <v>0</v>
      </c>
      <c r="AR12" s="316">
        <f>MIN(IFERROR(VLOOKUP($C12,'SDDA Dogs'!$A:$O,10,FALSE),0),IFERROR(VLOOKUP($C12,'SDDA Dogs'!$A:$O,11,FALSE),0),IFERROR(VLOOKUP($C12,'SDDA Dogs'!$A:$O,12,FALSE),0))</f>
        <v>0</v>
      </c>
      <c r="AS12" s="272"/>
      <c r="AT12" s="272"/>
      <c r="AU12" s="272" t="str">
        <f>IF(ISERROR(VLOOKUP(C12,'SDDA Dogs'!A:O,6,FALSE)),"",VLOOKUP(C12,'SDDA Dogs'!A:O,6,FALSE))</f>
        <v/>
      </c>
      <c r="AV12" s="270">
        <f t="shared" si="10"/>
        <v>0</v>
      </c>
      <c r="AW12" s="270">
        <f t="shared" si="11"/>
        <v>0</v>
      </c>
      <c r="AX12" s="273">
        <f t="shared" si="12"/>
        <v>0</v>
      </c>
      <c r="AY12" s="274"/>
      <c r="AZ12" s="275">
        <f t="shared" si="13"/>
        <v>0</v>
      </c>
      <c r="BA12" s="275">
        <f t="shared" si="14"/>
        <v>0</v>
      </c>
      <c r="BB12" s="276"/>
      <c r="BC12" s="262" t="str">
        <f>_xlfn.IFNA(IF(I12="Pass",IF(G12&gt;IFERROR(INDEX(DogInfo!A:B,MATCH(C12&amp;$BC$4,DogInfo!A:A,0),2),0),G12,INDEX(DogInfo!A:B,MATCH(C12&amp;$BC$4,DogInfo!A:A,0),2)),INDEX(DogInfo!A:B,MATCH(C12&amp;$BC$4,DogInfo!A:A,0),2)),"")</f>
        <v/>
      </c>
      <c r="BD12" s="262" t="str">
        <f>_xlfn.IFNA(IF(Q12="Pass",IF(O12&gt;IFERROR(INDEX(DogInfo!A:B,MATCH(C12&amp;$BD$4,DogInfo!A:A,0),2),0),O12,INDEX(DogInfo!A:B,MATCH(C12&amp;$BD$4,DogInfo!A:A,0),2)),INDEX(DogInfo!A:B,MATCH(C12&amp;$BD$4,DogInfo!A:A,0),2)),"")</f>
        <v/>
      </c>
      <c r="BE12" s="262" t="str">
        <f>_xlfn.IFNA(IF(Y12="Pass",IF(W12&gt;IFERROR(INDEX(DogInfo!A:B,MATCH(C12&amp;$BE$4,DogInfo!A:A,0),2),0),W12,INDEX(DogInfo!A:B,MATCH(C12&amp;$BE$4,DogInfo!A:A,0),2)),INDEX(DogInfo!A:B,MATCH(C12&amp;$BE$4,DogInfo!A:A,0),2)),"")</f>
        <v/>
      </c>
    </row>
    <row r="13" spans="1:57" x14ac:dyDescent="0.25">
      <c r="A13" s="99">
        <v>9</v>
      </c>
      <c r="B13" s="239"/>
      <c r="C13" s="283"/>
      <c r="D13" s="102" t="str">
        <f>IF($C13="","",VLOOKUP($C13,'SDDA Dogs'!$A:$F,2,FALSE))</f>
        <v/>
      </c>
      <c r="E13" s="211">
        <f t="shared" si="15"/>
        <v>1</v>
      </c>
      <c r="F13" s="103" t="str">
        <f>IF($C13="","",VLOOKUP($C13,'SDDA Dogs'!$A:$O,13,FALSE))</f>
        <v/>
      </c>
      <c r="G13" s="241"/>
      <c r="H13" s="284"/>
      <c r="I13" s="84" t="str">
        <f t="shared" si="16"/>
        <v/>
      </c>
      <c r="J13" s="105">
        <f t="shared" si="0"/>
        <v>0</v>
      </c>
      <c r="K13" s="84" t="str">
        <f t="shared" si="17"/>
        <v/>
      </c>
      <c r="L13" s="105">
        <f t="shared" si="1"/>
        <v>0</v>
      </c>
      <c r="M13" s="84" t="str">
        <f t="shared" si="18"/>
        <v/>
      </c>
      <c r="N13" s="106" t="str">
        <f>IF($C13="","",VLOOKUP($C13,'SDDA Dogs'!$A:$O,14,FALSE))</f>
        <v/>
      </c>
      <c r="O13" s="241"/>
      <c r="P13" s="284"/>
      <c r="Q13" s="84" t="str">
        <f t="shared" si="19"/>
        <v/>
      </c>
      <c r="R13" s="105">
        <f t="shared" si="2"/>
        <v>0</v>
      </c>
      <c r="S13" s="84" t="str">
        <f t="shared" si="20"/>
        <v/>
      </c>
      <c r="T13" s="105">
        <f t="shared" si="3"/>
        <v>0</v>
      </c>
      <c r="U13" s="84" t="str">
        <f t="shared" si="21"/>
        <v/>
      </c>
      <c r="V13" s="106" t="str">
        <f>IF($C13="","",VLOOKUP($C13,'SDDA Dogs'!$A:$O,15,FALSE))</f>
        <v/>
      </c>
      <c r="W13" s="241"/>
      <c r="X13" s="284"/>
      <c r="Y13" s="84" t="str">
        <f t="shared" si="22"/>
        <v/>
      </c>
      <c r="Z13" s="105">
        <f t="shared" si="4"/>
        <v>0</v>
      </c>
      <c r="AA13" s="84" t="str">
        <f t="shared" si="23"/>
        <v/>
      </c>
      <c r="AB13" s="105">
        <f t="shared" si="5"/>
        <v>0</v>
      </c>
      <c r="AC13" s="84" t="str">
        <f t="shared" si="24"/>
        <v/>
      </c>
      <c r="AD13" s="92" t="str">
        <f t="shared" si="25"/>
        <v/>
      </c>
      <c r="AE13" s="89" t="str">
        <f t="shared" si="26"/>
        <v/>
      </c>
      <c r="AF13" s="104" t="str">
        <f t="shared" si="27"/>
        <v/>
      </c>
      <c r="AG13" s="107" t="str">
        <f t="shared" si="28"/>
        <v/>
      </c>
      <c r="AH13" s="92" t="str">
        <f t="shared" si="29"/>
        <v/>
      </c>
      <c r="AI13" s="89" t="str">
        <f t="shared" si="30"/>
        <v/>
      </c>
      <c r="AJ13" s="104" t="str">
        <f t="shared" si="31"/>
        <v/>
      </c>
      <c r="AK13" s="84" t="str">
        <f t="shared" si="32"/>
        <v/>
      </c>
      <c r="AL13" s="264" t="str">
        <f t="shared" si="33"/>
        <v/>
      </c>
      <c r="AM13" s="270">
        <f t="shared" si="6"/>
        <v>0</v>
      </c>
      <c r="AN13" s="270" t="str">
        <f t="shared" si="7"/>
        <v/>
      </c>
      <c r="AO13" s="270" t="str">
        <f t="shared" si="8"/>
        <v/>
      </c>
      <c r="AP13" s="270" t="str">
        <f t="shared" si="9"/>
        <v/>
      </c>
      <c r="AQ13" s="270">
        <f t="shared" si="34"/>
        <v>0</v>
      </c>
      <c r="AR13" s="316">
        <f>MIN(IFERROR(VLOOKUP($C13,'SDDA Dogs'!$A:$O,10,FALSE),0),IFERROR(VLOOKUP($C13,'SDDA Dogs'!$A:$O,11,FALSE),0),IFERROR(VLOOKUP($C13,'SDDA Dogs'!$A:$O,12,FALSE),0))</f>
        <v>0</v>
      </c>
      <c r="AS13" s="272"/>
      <c r="AT13" s="272"/>
      <c r="AU13" s="272" t="str">
        <f>IF(ISERROR(VLOOKUP(C13,'SDDA Dogs'!A:O,6,FALSE)),"",VLOOKUP(C13,'SDDA Dogs'!A:O,6,FALSE))</f>
        <v/>
      </c>
      <c r="AV13" s="270">
        <f t="shared" si="10"/>
        <v>0</v>
      </c>
      <c r="AW13" s="270">
        <f t="shared" si="11"/>
        <v>0</v>
      </c>
      <c r="AX13" s="273">
        <f t="shared" si="12"/>
        <v>0</v>
      </c>
      <c r="AY13" s="274"/>
      <c r="AZ13" s="275">
        <f t="shared" si="13"/>
        <v>0</v>
      </c>
      <c r="BA13" s="275">
        <f t="shared" si="14"/>
        <v>0</v>
      </c>
      <c r="BB13" s="276"/>
      <c r="BC13" s="262" t="str">
        <f>_xlfn.IFNA(IF(I13="Pass",IF(G13&gt;IFERROR(INDEX(DogInfo!A:B,MATCH(C13&amp;$BC$4,DogInfo!A:A,0),2),0),G13,INDEX(DogInfo!A:B,MATCH(C13&amp;$BC$4,DogInfo!A:A,0),2)),INDEX(DogInfo!A:B,MATCH(C13&amp;$BC$4,DogInfo!A:A,0),2)),"")</f>
        <v/>
      </c>
      <c r="BD13" s="262" t="str">
        <f>_xlfn.IFNA(IF(Q13="Pass",IF(O13&gt;IFERROR(INDEX(DogInfo!A:B,MATCH(C13&amp;$BD$4,DogInfo!A:A,0),2),0),O13,INDEX(DogInfo!A:B,MATCH(C13&amp;$BD$4,DogInfo!A:A,0),2)),INDEX(DogInfo!A:B,MATCH(C13&amp;$BD$4,DogInfo!A:A,0),2)),"")</f>
        <v/>
      </c>
      <c r="BE13" s="262" t="str">
        <f>_xlfn.IFNA(IF(Y13="Pass",IF(W13&gt;IFERROR(INDEX(DogInfo!A:B,MATCH(C13&amp;$BE$4,DogInfo!A:A,0),2),0),W13,INDEX(DogInfo!A:B,MATCH(C13&amp;$BE$4,DogInfo!A:A,0),2)),INDEX(DogInfo!A:B,MATCH(C13&amp;$BE$4,DogInfo!A:A,0),2)),"")</f>
        <v/>
      </c>
    </row>
    <row r="14" spans="1:57" x14ac:dyDescent="0.25">
      <c r="A14" s="99">
        <v>10</v>
      </c>
      <c r="B14" s="239"/>
      <c r="C14" s="283"/>
      <c r="D14" s="102" t="str">
        <f>IF($C14="","",VLOOKUP($C14,'SDDA Dogs'!$A:$F,2,FALSE))</f>
        <v/>
      </c>
      <c r="E14" s="211">
        <f t="shared" si="15"/>
        <v>1</v>
      </c>
      <c r="F14" s="103" t="str">
        <f>IF($C14="","",VLOOKUP($C14,'SDDA Dogs'!$A:$O,13,FALSE))</f>
        <v/>
      </c>
      <c r="G14" s="241"/>
      <c r="H14" s="284"/>
      <c r="I14" s="84" t="str">
        <f t="shared" si="16"/>
        <v/>
      </c>
      <c r="J14" s="105">
        <f t="shared" si="0"/>
        <v>0</v>
      </c>
      <c r="K14" s="84" t="str">
        <f t="shared" si="17"/>
        <v/>
      </c>
      <c r="L14" s="105">
        <f t="shared" si="1"/>
        <v>0</v>
      </c>
      <c r="M14" s="84" t="str">
        <f t="shared" si="18"/>
        <v/>
      </c>
      <c r="N14" s="106" t="str">
        <f>IF($C14="","",VLOOKUP($C14,'SDDA Dogs'!$A:$O,14,FALSE))</f>
        <v/>
      </c>
      <c r="O14" s="241"/>
      <c r="P14" s="284"/>
      <c r="Q14" s="84" t="str">
        <f t="shared" si="19"/>
        <v/>
      </c>
      <c r="R14" s="105">
        <f t="shared" si="2"/>
        <v>0</v>
      </c>
      <c r="S14" s="84" t="str">
        <f t="shared" si="20"/>
        <v/>
      </c>
      <c r="T14" s="105">
        <f t="shared" si="3"/>
        <v>0</v>
      </c>
      <c r="U14" s="84" t="str">
        <f t="shared" si="21"/>
        <v/>
      </c>
      <c r="V14" s="106" t="str">
        <f>IF($C14="","",VLOOKUP($C14,'SDDA Dogs'!$A:$O,15,FALSE))</f>
        <v/>
      </c>
      <c r="W14" s="241"/>
      <c r="X14" s="284"/>
      <c r="Y14" s="84" t="str">
        <f t="shared" si="22"/>
        <v/>
      </c>
      <c r="Z14" s="105">
        <f t="shared" si="4"/>
        <v>0</v>
      </c>
      <c r="AA14" s="84" t="str">
        <f t="shared" si="23"/>
        <v/>
      </c>
      <c r="AB14" s="105">
        <f t="shared" si="5"/>
        <v>0</v>
      </c>
      <c r="AC14" s="84" t="str">
        <f t="shared" si="24"/>
        <v/>
      </c>
      <c r="AD14" s="92" t="str">
        <f t="shared" si="25"/>
        <v/>
      </c>
      <c r="AE14" s="89" t="str">
        <f t="shared" si="26"/>
        <v/>
      </c>
      <c r="AF14" s="104" t="str">
        <f t="shared" si="27"/>
        <v/>
      </c>
      <c r="AG14" s="107" t="str">
        <f t="shared" si="28"/>
        <v/>
      </c>
      <c r="AH14" s="92" t="str">
        <f t="shared" si="29"/>
        <v/>
      </c>
      <c r="AI14" s="89" t="str">
        <f t="shared" si="30"/>
        <v/>
      </c>
      <c r="AJ14" s="104" t="str">
        <f t="shared" si="31"/>
        <v/>
      </c>
      <c r="AK14" s="84" t="str">
        <f t="shared" si="32"/>
        <v/>
      </c>
      <c r="AL14" s="264" t="str">
        <f t="shared" si="33"/>
        <v/>
      </c>
      <c r="AM14" s="270">
        <f t="shared" si="6"/>
        <v>0</v>
      </c>
      <c r="AN14" s="270" t="str">
        <f t="shared" si="7"/>
        <v/>
      </c>
      <c r="AO14" s="270" t="str">
        <f t="shared" si="8"/>
        <v/>
      </c>
      <c r="AP14" s="270" t="str">
        <f t="shared" si="9"/>
        <v/>
      </c>
      <c r="AQ14" s="270">
        <f t="shared" si="34"/>
        <v>0</v>
      </c>
      <c r="AR14" s="316">
        <f>MIN(IFERROR(VLOOKUP($C14,'SDDA Dogs'!$A:$O,10,FALSE),0),IFERROR(VLOOKUP($C14,'SDDA Dogs'!$A:$O,11,FALSE),0),IFERROR(VLOOKUP($C14,'SDDA Dogs'!$A:$O,12,FALSE),0))</f>
        <v>0</v>
      </c>
      <c r="AS14" s="272"/>
      <c r="AT14" s="272"/>
      <c r="AU14" s="272" t="str">
        <f>IF(ISERROR(VLOOKUP(C14,'SDDA Dogs'!A:O,6,FALSE)),"",VLOOKUP(C14,'SDDA Dogs'!A:O,6,FALSE))</f>
        <v/>
      </c>
      <c r="AV14" s="270">
        <f t="shared" si="10"/>
        <v>0</v>
      </c>
      <c r="AW14" s="270">
        <f t="shared" si="11"/>
        <v>0</v>
      </c>
      <c r="AX14" s="273">
        <f t="shared" si="12"/>
        <v>0</v>
      </c>
      <c r="AY14" s="274"/>
      <c r="AZ14" s="275">
        <f t="shared" si="13"/>
        <v>0</v>
      </c>
      <c r="BA14" s="275">
        <f t="shared" si="14"/>
        <v>0</v>
      </c>
      <c r="BB14" s="276"/>
      <c r="BC14" s="262" t="str">
        <f>_xlfn.IFNA(IF(I14="Pass",IF(G14&gt;IFERROR(INDEX(DogInfo!A:B,MATCH(C14&amp;$BC$4,DogInfo!A:A,0),2),0),G14,INDEX(DogInfo!A:B,MATCH(C14&amp;$BC$4,DogInfo!A:A,0),2)),INDEX(DogInfo!A:B,MATCH(C14&amp;$BC$4,DogInfo!A:A,0),2)),"")</f>
        <v/>
      </c>
      <c r="BD14" s="262" t="str">
        <f>_xlfn.IFNA(IF(Q14="Pass",IF(O14&gt;IFERROR(INDEX(DogInfo!A:B,MATCH(C14&amp;$BD$4,DogInfo!A:A,0),2),0),O14,INDEX(DogInfo!A:B,MATCH(C14&amp;$BD$4,DogInfo!A:A,0),2)),INDEX(DogInfo!A:B,MATCH(C14&amp;$BD$4,DogInfo!A:A,0),2)),"")</f>
        <v/>
      </c>
      <c r="BE14" s="262" t="str">
        <f>_xlfn.IFNA(IF(Y14="Pass",IF(W14&gt;IFERROR(INDEX(DogInfo!A:B,MATCH(C14&amp;$BE$4,DogInfo!A:A,0),2),0),W14,INDEX(DogInfo!A:B,MATCH(C14&amp;$BE$4,DogInfo!A:A,0),2)),INDEX(DogInfo!A:B,MATCH(C14&amp;$BE$4,DogInfo!A:A,0),2)),"")</f>
        <v/>
      </c>
    </row>
    <row r="15" spans="1:57" x14ac:dyDescent="0.25">
      <c r="A15" s="99">
        <v>11</v>
      </c>
      <c r="B15" s="239"/>
      <c r="C15" s="283"/>
      <c r="D15" s="102" t="str">
        <f>IF($C15="","",VLOOKUP($C15,'SDDA Dogs'!$A:$F,2,FALSE))</f>
        <v/>
      </c>
      <c r="E15" s="211">
        <f t="shared" si="15"/>
        <v>1</v>
      </c>
      <c r="F15" s="103" t="str">
        <f>IF($C15="","",VLOOKUP($C15,'SDDA Dogs'!$A:$O,13,FALSE))</f>
        <v/>
      </c>
      <c r="G15" s="241"/>
      <c r="H15" s="284"/>
      <c r="I15" s="84" t="str">
        <f t="shared" si="16"/>
        <v/>
      </c>
      <c r="J15" s="105">
        <f t="shared" si="0"/>
        <v>0</v>
      </c>
      <c r="K15" s="84" t="str">
        <f t="shared" si="17"/>
        <v/>
      </c>
      <c r="L15" s="105">
        <f t="shared" si="1"/>
        <v>0</v>
      </c>
      <c r="M15" s="84" t="str">
        <f t="shared" si="18"/>
        <v/>
      </c>
      <c r="N15" s="106" t="str">
        <f>IF($C15="","",VLOOKUP($C15,'SDDA Dogs'!$A:$O,14,FALSE))</f>
        <v/>
      </c>
      <c r="O15" s="241"/>
      <c r="P15" s="284"/>
      <c r="Q15" s="84" t="str">
        <f t="shared" si="19"/>
        <v/>
      </c>
      <c r="R15" s="105">
        <f t="shared" si="2"/>
        <v>0</v>
      </c>
      <c r="S15" s="84" t="str">
        <f t="shared" si="20"/>
        <v/>
      </c>
      <c r="T15" s="105">
        <f t="shared" si="3"/>
        <v>0</v>
      </c>
      <c r="U15" s="84" t="str">
        <f t="shared" si="21"/>
        <v/>
      </c>
      <c r="V15" s="106" t="str">
        <f>IF($C15="","",VLOOKUP($C15,'SDDA Dogs'!$A:$O,15,FALSE))</f>
        <v/>
      </c>
      <c r="W15" s="241"/>
      <c r="X15" s="284"/>
      <c r="Y15" s="84" t="str">
        <f t="shared" si="22"/>
        <v/>
      </c>
      <c r="Z15" s="105">
        <f t="shared" si="4"/>
        <v>0</v>
      </c>
      <c r="AA15" s="84" t="str">
        <f t="shared" si="23"/>
        <v/>
      </c>
      <c r="AB15" s="105">
        <f t="shared" si="5"/>
        <v>0</v>
      </c>
      <c r="AC15" s="84" t="str">
        <f t="shared" si="24"/>
        <v/>
      </c>
      <c r="AD15" s="92" t="str">
        <f t="shared" si="25"/>
        <v/>
      </c>
      <c r="AE15" s="89" t="str">
        <f t="shared" si="26"/>
        <v/>
      </c>
      <c r="AF15" s="104" t="str">
        <f t="shared" si="27"/>
        <v/>
      </c>
      <c r="AG15" s="107" t="str">
        <f t="shared" si="28"/>
        <v/>
      </c>
      <c r="AH15" s="92" t="str">
        <f t="shared" si="29"/>
        <v/>
      </c>
      <c r="AI15" s="89" t="str">
        <f t="shared" si="30"/>
        <v/>
      </c>
      <c r="AJ15" s="104" t="str">
        <f t="shared" si="31"/>
        <v/>
      </c>
      <c r="AK15" s="84" t="str">
        <f t="shared" si="32"/>
        <v/>
      </c>
      <c r="AL15" s="264" t="str">
        <f t="shared" si="33"/>
        <v/>
      </c>
      <c r="AM15" s="270">
        <f t="shared" si="6"/>
        <v>0</v>
      </c>
      <c r="AN15" s="270" t="str">
        <f t="shared" si="7"/>
        <v/>
      </c>
      <c r="AO15" s="270" t="str">
        <f t="shared" si="8"/>
        <v/>
      </c>
      <c r="AP15" s="270" t="str">
        <f t="shared" si="9"/>
        <v/>
      </c>
      <c r="AQ15" s="270">
        <f t="shared" si="34"/>
        <v>0</v>
      </c>
      <c r="AR15" s="316">
        <f>MIN(IFERROR(VLOOKUP($C15,'SDDA Dogs'!$A:$O,10,FALSE),0),IFERROR(VLOOKUP($C15,'SDDA Dogs'!$A:$O,11,FALSE),0),IFERROR(VLOOKUP($C15,'SDDA Dogs'!$A:$O,12,FALSE),0))</f>
        <v>0</v>
      </c>
      <c r="AS15" s="272"/>
      <c r="AT15" s="272"/>
      <c r="AU15" s="272" t="str">
        <f>IF(ISERROR(VLOOKUP(C15,'SDDA Dogs'!A:O,6,FALSE)),"",VLOOKUP(C15,'SDDA Dogs'!A:O,6,FALSE))</f>
        <v/>
      </c>
      <c r="AV15" s="270">
        <f t="shared" si="10"/>
        <v>0</v>
      </c>
      <c r="AW15" s="270">
        <f t="shared" si="11"/>
        <v>0</v>
      </c>
      <c r="AX15" s="273">
        <f t="shared" si="12"/>
        <v>0</v>
      </c>
      <c r="AY15" s="274"/>
      <c r="AZ15" s="275">
        <f t="shared" si="13"/>
        <v>0</v>
      </c>
      <c r="BA15" s="275">
        <f t="shared" si="14"/>
        <v>0</v>
      </c>
      <c r="BB15" s="276"/>
      <c r="BC15" s="262" t="str">
        <f>_xlfn.IFNA(IF(I15="Pass",IF(G15&gt;IFERROR(INDEX(DogInfo!A:B,MATCH(C15&amp;$BC$4,DogInfo!A:A,0),2),0),G15,INDEX(DogInfo!A:B,MATCH(C15&amp;$BC$4,DogInfo!A:A,0),2)),INDEX(DogInfo!A:B,MATCH(C15&amp;$BC$4,DogInfo!A:A,0),2)),"")</f>
        <v/>
      </c>
      <c r="BD15" s="262" t="str">
        <f>_xlfn.IFNA(IF(Q15="Pass",IF(O15&gt;IFERROR(INDEX(DogInfo!A:B,MATCH(C15&amp;$BD$4,DogInfo!A:A,0),2),0),O15,INDEX(DogInfo!A:B,MATCH(C15&amp;$BD$4,DogInfo!A:A,0),2)),INDEX(DogInfo!A:B,MATCH(C15&amp;$BD$4,DogInfo!A:A,0),2)),"")</f>
        <v/>
      </c>
      <c r="BE15" s="262" t="str">
        <f>_xlfn.IFNA(IF(Y15="Pass",IF(W15&gt;IFERROR(INDEX(DogInfo!A:B,MATCH(C15&amp;$BE$4,DogInfo!A:A,0),2),0),W15,INDEX(DogInfo!A:B,MATCH(C15&amp;$BE$4,DogInfo!A:A,0),2)),INDEX(DogInfo!A:B,MATCH(C15&amp;$BE$4,DogInfo!A:A,0),2)),"")</f>
        <v/>
      </c>
    </row>
    <row r="16" spans="1:57" x14ac:dyDescent="0.25">
      <c r="A16" s="99">
        <v>12</v>
      </c>
      <c r="B16" s="239"/>
      <c r="C16" s="283"/>
      <c r="D16" s="102" t="str">
        <f>IF($C16="","",VLOOKUP($C16,'SDDA Dogs'!$A:$F,2,FALSE))</f>
        <v/>
      </c>
      <c r="E16" s="211">
        <f t="shared" si="15"/>
        <v>1</v>
      </c>
      <c r="F16" s="103" t="str">
        <f>IF($C16="","",VLOOKUP($C16,'SDDA Dogs'!$A:$O,13,FALSE))</f>
        <v/>
      </c>
      <c r="G16" s="241"/>
      <c r="H16" s="284"/>
      <c r="I16" s="84" t="str">
        <f t="shared" si="16"/>
        <v/>
      </c>
      <c r="J16" s="105">
        <f t="shared" si="0"/>
        <v>0</v>
      </c>
      <c r="K16" s="84" t="str">
        <f t="shared" si="17"/>
        <v/>
      </c>
      <c r="L16" s="105">
        <f t="shared" si="1"/>
        <v>0</v>
      </c>
      <c r="M16" s="84" t="str">
        <f t="shared" si="18"/>
        <v/>
      </c>
      <c r="N16" s="106" t="str">
        <f>IF($C16="","",VLOOKUP($C16,'SDDA Dogs'!$A:$O,14,FALSE))</f>
        <v/>
      </c>
      <c r="O16" s="241"/>
      <c r="P16" s="284"/>
      <c r="Q16" s="84" t="str">
        <f t="shared" si="19"/>
        <v/>
      </c>
      <c r="R16" s="105">
        <f t="shared" si="2"/>
        <v>0</v>
      </c>
      <c r="S16" s="84" t="str">
        <f t="shared" si="20"/>
        <v/>
      </c>
      <c r="T16" s="105">
        <f t="shared" si="3"/>
        <v>0</v>
      </c>
      <c r="U16" s="84" t="str">
        <f t="shared" si="21"/>
        <v/>
      </c>
      <c r="V16" s="106" t="str">
        <f>IF($C16="","",VLOOKUP($C16,'SDDA Dogs'!$A:$O,15,FALSE))</f>
        <v/>
      </c>
      <c r="W16" s="241"/>
      <c r="X16" s="284"/>
      <c r="Y16" s="84" t="str">
        <f t="shared" si="22"/>
        <v/>
      </c>
      <c r="Z16" s="105">
        <f t="shared" si="4"/>
        <v>0</v>
      </c>
      <c r="AA16" s="84" t="str">
        <f t="shared" si="23"/>
        <v/>
      </c>
      <c r="AB16" s="105">
        <f t="shared" si="5"/>
        <v>0</v>
      </c>
      <c r="AC16" s="84" t="str">
        <f t="shared" si="24"/>
        <v/>
      </c>
      <c r="AD16" s="92" t="str">
        <f t="shared" si="25"/>
        <v/>
      </c>
      <c r="AE16" s="89" t="str">
        <f t="shared" si="26"/>
        <v/>
      </c>
      <c r="AF16" s="104" t="str">
        <f t="shared" si="27"/>
        <v/>
      </c>
      <c r="AG16" s="107" t="str">
        <f t="shared" si="28"/>
        <v/>
      </c>
      <c r="AH16" s="92" t="str">
        <f t="shared" si="29"/>
        <v/>
      </c>
      <c r="AI16" s="89" t="str">
        <f t="shared" si="30"/>
        <v/>
      </c>
      <c r="AJ16" s="104" t="str">
        <f t="shared" si="31"/>
        <v/>
      </c>
      <c r="AK16" s="84" t="str">
        <f t="shared" si="32"/>
        <v/>
      </c>
      <c r="AL16" s="264" t="str">
        <f t="shared" si="33"/>
        <v/>
      </c>
      <c r="AM16" s="270">
        <f t="shared" si="6"/>
        <v>0</v>
      </c>
      <c r="AN16" s="270" t="str">
        <f t="shared" si="7"/>
        <v/>
      </c>
      <c r="AO16" s="270" t="str">
        <f t="shared" si="8"/>
        <v/>
      </c>
      <c r="AP16" s="270" t="str">
        <f t="shared" si="9"/>
        <v/>
      </c>
      <c r="AQ16" s="270">
        <f t="shared" si="34"/>
        <v>0</v>
      </c>
      <c r="AR16" s="316">
        <f>MIN(IFERROR(VLOOKUP($C16,'SDDA Dogs'!$A:$O,10,FALSE),0),IFERROR(VLOOKUP($C16,'SDDA Dogs'!$A:$O,11,FALSE),0),IFERROR(VLOOKUP($C16,'SDDA Dogs'!$A:$O,12,FALSE),0))</f>
        <v>0</v>
      </c>
      <c r="AS16" s="272"/>
      <c r="AT16" s="272"/>
      <c r="AU16" s="272" t="str">
        <f>IF(ISERROR(VLOOKUP(C16,'SDDA Dogs'!A:O,6,FALSE)),"",VLOOKUP(C16,'SDDA Dogs'!A:O,6,FALSE))</f>
        <v/>
      </c>
      <c r="AV16" s="270">
        <f t="shared" si="10"/>
        <v>0</v>
      </c>
      <c r="AW16" s="270">
        <f t="shared" si="11"/>
        <v>0</v>
      </c>
      <c r="AX16" s="273">
        <f t="shared" si="12"/>
        <v>0</v>
      </c>
      <c r="AY16" s="274"/>
      <c r="AZ16" s="275">
        <f t="shared" si="13"/>
        <v>0</v>
      </c>
      <c r="BA16" s="275">
        <f t="shared" si="14"/>
        <v>0</v>
      </c>
      <c r="BB16" s="276"/>
      <c r="BC16" s="262" t="str">
        <f>_xlfn.IFNA(IF(I16="Pass",IF(G16&gt;IFERROR(INDEX(DogInfo!A:B,MATCH(C16&amp;$BC$4,DogInfo!A:A,0),2),0),G16,INDEX(DogInfo!A:B,MATCH(C16&amp;$BC$4,DogInfo!A:A,0),2)),INDEX(DogInfo!A:B,MATCH(C16&amp;$BC$4,DogInfo!A:A,0),2)),"")</f>
        <v/>
      </c>
      <c r="BD16" s="262" t="str">
        <f>_xlfn.IFNA(IF(Q16="Pass",IF(O16&gt;IFERROR(INDEX(DogInfo!A:B,MATCH(C16&amp;$BD$4,DogInfo!A:A,0),2),0),O16,INDEX(DogInfo!A:B,MATCH(C16&amp;$BD$4,DogInfo!A:A,0),2)),INDEX(DogInfo!A:B,MATCH(C16&amp;$BD$4,DogInfo!A:A,0),2)),"")</f>
        <v/>
      </c>
      <c r="BE16" s="262" t="str">
        <f>_xlfn.IFNA(IF(Y16="Pass",IF(W16&gt;IFERROR(INDEX(DogInfo!A:B,MATCH(C16&amp;$BE$4,DogInfo!A:A,0),2),0),W16,INDEX(DogInfo!A:B,MATCH(C16&amp;$BE$4,DogInfo!A:A,0),2)),INDEX(DogInfo!A:B,MATCH(C16&amp;$BE$4,DogInfo!A:A,0),2)),"")</f>
        <v/>
      </c>
    </row>
    <row r="17" spans="1:57" x14ac:dyDescent="0.25">
      <c r="A17" s="99">
        <v>13</v>
      </c>
      <c r="B17" s="239"/>
      <c r="C17" s="283"/>
      <c r="D17" s="102" t="str">
        <f>IF($C17="","",VLOOKUP($C17,'SDDA Dogs'!$A:$F,2,FALSE))</f>
        <v/>
      </c>
      <c r="E17" s="211">
        <f t="shared" si="15"/>
        <v>1</v>
      </c>
      <c r="F17" s="103" t="str">
        <f>IF($C17="","",VLOOKUP($C17,'SDDA Dogs'!$A:$O,13,FALSE))</f>
        <v/>
      </c>
      <c r="G17" s="241"/>
      <c r="H17" s="284"/>
      <c r="I17" s="84" t="str">
        <f t="shared" si="16"/>
        <v/>
      </c>
      <c r="J17" s="105">
        <f t="shared" si="0"/>
        <v>0</v>
      </c>
      <c r="K17" s="84" t="str">
        <f t="shared" si="17"/>
        <v/>
      </c>
      <c r="L17" s="105">
        <f t="shared" si="1"/>
        <v>0</v>
      </c>
      <c r="M17" s="84" t="str">
        <f t="shared" si="18"/>
        <v/>
      </c>
      <c r="N17" s="106" t="str">
        <f>IF($C17="","",VLOOKUP($C17,'SDDA Dogs'!$A:$O,14,FALSE))</f>
        <v/>
      </c>
      <c r="O17" s="241"/>
      <c r="P17" s="284"/>
      <c r="Q17" s="84" t="str">
        <f t="shared" si="19"/>
        <v/>
      </c>
      <c r="R17" s="105">
        <f t="shared" si="2"/>
        <v>0</v>
      </c>
      <c r="S17" s="84" t="str">
        <f t="shared" si="20"/>
        <v/>
      </c>
      <c r="T17" s="105">
        <f t="shared" si="3"/>
        <v>0</v>
      </c>
      <c r="U17" s="84" t="str">
        <f t="shared" si="21"/>
        <v/>
      </c>
      <c r="V17" s="106" t="str">
        <f>IF($C17="","",VLOOKUP($C17,'SDDA Dogs'!$A:$O,15,FALSE))</f>
        <v/>
      </c>
      <c r="W17" s="241"/>
      <c r="X17" s="284"/>
      <c r="Y17" s="84" t="str">
        <f t="shared" si="22"/>
        <v/>
      </c>
      <c r="Z17" s="105">
        <f t="shared" si="4"/>
        <v>0</v>
      </c>
      <c r="AA17" s="84" t="str">
        <f t="shared" si="23"/>
        <v/>
      </c>
      <c r="AB17" s="105">
        <f t="shared" si="5"/>
        <v>0</v>
      </c>
      <c r="AC17" s="84" t="str">
        <f t="shared" si="24"/>
        <v/>
      </c>
      <c r="AD17" s="92" t="str">
        <f t="shared" si="25"/>
        <v/>
      </c>
      <c r="AE17" s="89" t="str">
        <f t="shared" si="26"/>
        <v/>
      </c>
      <c r="AF17" s="104" t="str">
        <f t="shared" si="27"/>
        <v/>
      </c>
      <c r="AG17" s="107" t="str">
        <f t="shared" si="28"/>
        <v/>
      </c>
      <c r="AH17" s="92" t="str">
        <f t="shared" si="29"/>
        <v/>
      </c>
      <c r="AI17" s="89" t="str">
        <f t="shared" si="30"/>
        <v/>
      </c>
      <c r="AJ17" s="104" t="str">
        <f t="shared" si="31"/>
        <v/>
      </c>
      <c r="AK17" s="84" t="str">
        <f t="shared" si="32"/>
        <v/>
      </c>
      <c r="AL17" s="264" t="str">
        <f t="shared" si="33"/>
        <v/>
      </c>
      <c r="AM17" s="270">
        <f t="shared" si="6"/>
        <v>0</v>
      </c>
      <c r="AN17" s="270" t="str">
        <f t="shared" si="7"/>
        <v/>
      </c>
      <c r="AO17" s="270" t="str">
        <f t="shared" si="8"/>
        <v/>
      </c>
      <c r="AP17" s="270" t="str">
        <f t="shared" si="9"/>
        <v/>
      </c>
      <c r="AQ17" s="270">
        <f t="shared" si="34"/>
        <v>0</v>
      </c>
      <c r="AR17" s="316">
        <f>MIN(IFERROR(VLOOKUP($C17,'SDDA Dogs'!$A:$O,10,FALSE),0),IFERROR(VLOOKUP($C17,'SDDA Dogs'!$A:$O,11,FALSE),0),IFERROR(VLOOKUP($C17,'SDDA Dogs'!$A:$O,12,FALSE),0))</f>
        <v>0</v>
      </c>
      <c r="AS17" s="272"/>
      <c r="AT17" s="272"/>
      <c r="AU17" s="272" t="str">
        <f>IF(ISERROR(VLOOKUP(C17,'SDDA Dogs'!A:O,6,FALSE)),"",VLOOKUP(C17,'SDDA Dogs'!A:O,6,FALSE))</f>
        <v/>
      </c>
      <c r="AV17" s="270">
        <f t="shared" si="10"/>
        <v>0</v>
      </c>
      <c r="AW17" s="270">
        <f t="shared" si="11"/>
        <v>0</v>
      </c>
      <c r="AX17" s="273">
        <f t="shared" si="12"/>
        <v>0</v>
      </c>
      <c r="AY17" s="274"/>
      <c r="AZ17" s="275">
        <f t="shared" si="13"/>
        <v>0</v>
      </c>
      <c r="BA17" s="275">
        <f t="shared" si="14"/>
        <v>0</v>
      </c>
      <c r="BB17" s="276"/>
      <c r="BC17" s="262" t="str">
        <f>_xlfn.IFNA(IF(I17="Pass",IF(G17&gt;IFERROR(INDEX(DogInfo!A:B,MATCH(C17&amp;$BC$4,DogInfo!A:A,0),2),0),G17,INDEX(DogInfo!A:B,MATCH(C17&amp;$BC$4,DogInfo!A:A,0),2)),INDEX(DogInfo!A:B,MATCH(C17&amp;$BC$4,DogInfo!A:A,0),2)),"")</f>
        <v/>
      </c>
      <c r="BD17" s="262" t="str">
        <f>_xlfn.IFNA(IF(Q17="Pass",IF(O17&gt;IFERROR(INDEX(DogInfo!A:B,MATCH(C17&amp;$BD$4,DogInfo!A:A,0),2),0),O17,INDEX(DogInfo!A:B,MATCH(C17&amp;$BD$4,DogInfo!A:A,0),2)),INDEX(DogInfo!A:B,MATCH(C17&amp;$BD$4,DogInfo!A:A,0),2)),"")</f>
        <v/>
      </c>
      <c r="BE17" s="262" t="str">
        <f>_xlfn.IFNA(IF(Y17="Pass",IF(W17&gt;IFERROR(INDEX(DogInfo!A:B,MATCH(C17&amp;$BE$4,DogInfo!A:A,0),2),0),W17,INDEX(DogInfo!A:B,MATCH(C17&amp;$BE$4,DogInfo!A:A,0),2)),INDEX(DogInfo!A:B,MATCH(C17&amp;$BE$4,DogInfo!A:A,0),2)),"")</f>
        <v/>
      </c>
    </row>
    <row r="18" spans="1:57" x14ac:dyDescent="0.25">
      <c r="A18" s="99">
        <v>14</v>
      </c>
      <c r="B18" s="239"/>
      <c r="C18" s="283"/>
      <c r="D18" s="102" t="str">
        <f>IF($C18="","",VLOOKUP($C18,'SDDA Dogs'!$A:$F,2,FALSE))</f>
        <v/>
      </c>
      <c r="E18" s="211">
        <f t="shared" si="15"/>
        <v>1</v>
      </c>
      <c r="F18" s="103" t="str">
        <f>IF($C18="","",VLOOKUP($C18,'SDDA Dogs'!$A:$O,13,FALSE))</f>
        <v/>
      </c>
      <c r="G18" s="241"/>
      <c r="H18" s="284"/>
      <c r="I18" s="84" t="str">
        <f t="shared" si="16"/>
        <v/>
      </c>
      <c r="J18" s="105">
        <f t="shared" si="0"/>
        <v>0</v>
      </c>
      <c r="K18" s="84" t="str">
        <f t="shared" si="17"/>
        <v/>
      </c>
      <c r="L18" s="105">
        <f t="shared" si="1"/>
        <v>0</v>
      </c>
      <c r="M18" s="84" t="str">
        <f t="shared" si="18"/>
        <v/>
      </c>
      <c r="N18" s="106" t="str">
        <f>IF($C18="","",VLOOKUP($C18,'SDDA Dogs'!$A:$O,14,FALSE))</f>
        <v/>
      </c>
      <c r="O18" s="241"/>
      <c r="P18" s="284"/>
      <c r="Q18" s="84" t="str">
        <f t="shared" si="19"/>
        <v/>
      </c>
      <c r="R18" s="105">
        <f t="shared" si="2"/>
        <v>0</v>
      </c>
      <c r="S18" s="84" t="str">
        <f t="shared" si="20"/>
        <v/>
      </c>
      <c r="T18" s="105">
        <f t="shared" si="3"/>
        <v>0</v>
      </c>
      <c r="U18" s="84" t="str">
        <f t="shared" si="21"/>
        <v/>
      </c>
      <c r="V18" s="106" t="str">
        <f>IF($C18="","",VLOOKUP($C18,'SDDA Dogs'!$A:$O,15,FALSE))</f>
        <v/>
      </c>
      <c r="W18" s="241"/>
      <c r="X18" s="284"/>
      <c r="Y18" s="84" t="str">
        <f t="shared" si="22"/>
        <v/>
      </c>
      <c r="Z18" s="105">
        <f t="shared" si="4"/>
        <v>0</v>
      </c>
      <c r="AA18" s="84" t="str">
        <f t="shared" si="23"/>
        <v/>
      </c>
      <c r="AB18" s="105">
        <f t="shared" si="5"/>
        <v>0</v>
      </c>
      <c r="AC18" s="84" t="str">
        <f t="shared" si="24"/>
        <v/>
      </c>
      <c r="AD18" s="92" t="str">
        <f t="shared" si="25"/>
        <v/>
      </c>
      <c r="AE18" s="89" t="str">
        <f t="shared" si="26"/>
        <v/>
      </c>
      <c r="AF18" s="104" t="str">
        <f t="shared" si="27"/>
        <v/>
      </c>
      <c r="AG18" s="107" t="str">
        <f t="shared" si="28"/>
        <v/>
      </c>
      <c r="AH18" s="92" t="str">
        <f t="shared" si="29"/>
        <v/>
      </c>
      <c r="AI18" s="89" t="str">
        <f t="shared" si="30"/>
        <v/>
      </c>
      <c r="AJ18" s="104" t="str">
        <f t="shared" si="31"/>
        <v/>
      </c>
      <c r="AK18" s="84" t="str">
        <f t="shared" si="32"/>
        <v/>
      </c>
      <c r="AL18" s="264" t="str">
        <f t="shared" si="33"/>
        <v/>
      </c>
      <c r="AM18" s="270">
        <f t="shared" si="6"/>
        <v>0</v>
      </c>
      <c r="AN18" s="270" t="str">
        <f t="shared" si="7"/>
        <v/>
      </c>
      <c r="AO18" s="270" t="str">
        <f t="shared" si="8"/>
        <v/>
      </c>
      <c r="AP18" s="270" t="str">
        <f t="shared" si="9"/>
        <v/>
      </c>
      <c r="AQ18" s="270">
        <f t="shared" si="34"/>
        <v>0</v>
      </c>
      <c r="AR18" s="316">
        <f>MIN(IFERROR(VLOOKUP($C18,'SDDA Dogs'!$A:$O,10,FALSE),0),IFERROR(VLOOKUP($C18,'SDDA Dogs'!$A:$O,11,FALSE),0),IFERROR(VLOOKUP($C18,'SDDA Dogs'!$A:$O,12,FALSE),0))</f>
        <v>0</v>
      </c>
      <c r="AS18" s="272"/>
      <c r="AT18" s="272"/>
      <c r="AU18" s="272" t="str">
        <f>IF(ISERROR(VLOOKUP(C18,'SDDA Dogs'!A:O,6,FALSE)),"",VLOOKUP(C18,'SDDA Dogs'!A:O,6,FALSE))</f>
        <v/>
      </c>
      <c r="AV18" s="270">
        <f t="shared" si="10"/>
        <v>0</v>
      </c>
      <c r="AW18" s="270">
        <f t="shared" si="11"/>
        <v>0</v>
      </c>
      <c r="AX18" s="273">
        <f t="shared" si="12"/>
        <v>0</v>
      </c>
      <c r="AY18" s="274"/>
      <c r="AZ18" s="275">
        <f t="shared" si="13"/>
        <v>0</v>
      </c>
      <c r="BA18" s="275">
        <f t="shared" si="14"/>
        <v>0</v>
      </c>
      <c r="BB18" s="276"/>
      <c r="BC18" s="262" t="str">
        <f>_xlfn.IFNA(IF(I18="Pass",IF(G18&gt;IFERROR(INDEX(DogInfo!A:B,MATCH(C18&amp;$BC$4,DogInfo!A:A,0),2),0),G18,INDEX(DogInfo!A:B,MATCH(C18&amp;$BC$4,DogInfo!A:A,0),2)),INDEX(DogInfo!A:B,MATCH(C18&amp;$BC$4,DogInfo!A:A,0),2)),"")</f>
        <v/>
      </c>
      <c r="BD18" s="262" t="str">
        <f>_xlfn.IFNA(IF(Q18="Pass",IF(O18&gt;IFERROR(INDEX(DogInfo!A:B,MATCH(C18&amp;$BD$4,DogInfo!A:A,0),2),0),O18,INDEX(DogInfo!A:B,MATCH(C18&amp;$BD$4,DogInfo!A:A,0),2)),INDEX(DogInfo!A:B,MATCH(C18&amp;$BD$4,DogInfo!A:A,0),2)),"")</f>
        <v/>
      </c>
      <c r="BE18" s="262" t="str">
        <f>_xlfn.IFNA(IF(Y18="Pass",IF(W18&gt;IFERROR(INDEX(DogInfo!A:B,MATCH(C18&amp;$BE$4,DogInfo!A:A,0),2),0),W18,INDEX(DogInfo!A:B,MATCH(C18&amp;$BE$4,DogInfo!A:A,0),2)),INDEX(DogInfo!A:B,MATCH(C18&amp;$BE$4,DogInfo!A:A,0),2)),"")</f>
        <v/>
      </c>
    </row>
    <row r="19" spans="1:57" x14ac:dyDescent="0.25">
      <c r="A19" s="99">
        <v>15</v>
      </c>
      <c r="B19" s="239"/>
      <c r="C19" s="283"/>
      <c r="D19" s="102" t="str">
        <f>IF($C19="","",VLOOKUP($C19,'SDDA Dogs'!$A:$F,2,FALSE))</f>
        <v/>
      </c>
      <c r="E19" s="211">
        <f t="shared" si="15"/>
        <v>1</v>
      </c>
      <c r="F19" s="103" t="str">
        <f>IF($C19="","",VLOOKUP($C19,'SDDA Dogs'!$A:$O,13,FALSE))</f>
        <v/>
      </c>
      <c r="G19" s="241"/>
      <c r="H19" s="284"/>
      <c r="I19" s="84" t="str">
        <f t="shared" si="16"/>
        <v/>
      </c>
      <c r="J19" s="105">
        <f t="shared" si="0"/>
        <v>0</v>
      </c>
      <c r="K19" s="84" t="str">
        <f t="shared" si="17"/>
        <v/>
      </c>
      <c r="L19" s="105">
        <f t="shared" si="1"/>
        <v>0</v>
      </c>
      <c r="M19" s="84" t="str">
        <f t="shared" si="18"/>
        <v/>
      </c>
      <c r="N19" s="106" t="str">
        <f>IF($C19="","",VLOOKUP($C19,'SDDA Dogs'!$A:$O,14,FALSE))</f>
        <v/>
      </c>
      <c r="O19" s="241"/>
      <c r="P19" s="284"/>
      <c r="Q19" s="84" t="str">
        <f t="shared" si="19"/>
        <v/>
      </c>
      <c r="R19" s="105">
        <f t="shared" si="2"/>
        <v>0</v>
      </c>
      <c r="S19" s="84" t="str">
        <f t="shared" si="20"/>
        <v/>
      </c>
      <c r="T19" s="105">
        <f t="shared" si="3"/>
        <v>0</v>
      </c>
      <c r="U19" s="84" t="str">
        <f t="shared" si="21"/>
        <v/>
      </c>
      <c r="V19" s="106" t="str">
        <f>IF($C19="","",VLOOKUP($C19,'SDDA Dogs'!$A:$O,15,FALSE))</f>
        <v/>
      </c>
      <c r="W19" s="241"/>
      <c r="X19" s="284"/>
      <c r="Y19" s="84" t="str">
        <f t="shared" si="22"/>
        <v/>
      </c>
      <c r="Z19" s="105">
        <f t="shared" si="4"/>
        <v>0</v>
      </c>
      <c r="AA19" s="84" t="str">
        <f t="shared" si="23"/>
        <v/>
      </c>
      <c r="AB19" s="105">
        <f t="shared" si="5"/>
        <v>0</v>
      </c>
      <c r="AC19" s="84" t="str">
        <f t="shared" si="24"/>
        <v/>
      </c>
      <c r="AD19" s="92" t="str">
        <f t="shared" si="25"/>
        <v/>
      </c>
      <c r="AE19" s="89" t="str">
        <f t="shared" si="26"/>
        <v/>
      </c>
      <c r="AF19" s="104" t="str">
        <f t="shared" si="27"/>
        <v/>
      </c>
      <c r="AG19" s="107" t="str">
        <f t="shared" si="28"/>
        <v/>
      </c>
      <c r="AH19" s="92" t="str">
        <f t="shared" si="29"/>
        <v/>
      </c>
      <c r="AI19" s="89" t="str">
        <f t="shared" si="30"/>
        <v/>
      </c>
      <c r="AJ19" s="104" t="str">
        <f t="shared" si="31"/>
        <v/>
      </c>
      <c r="AK19" s="84" t="str">
        <f t="shared" si="32"/>
        <v/>
      </c>
      <c r="AL19" s="264" t="str">
        <f t="shared" si="33"/>
        <v/>
      </c>
      <c r="AM19" s="270">
        <f t="shared" si="6"/>
        <v>0</v>
      </c>
      <c r="AN19" s="270" t="str">
        <f t="shared" si="7"/>
        <v/>
      </c>
      <c r="AO19" s="270" t="str">
        <f t="shared" si="8"/>
        <v/>
      </c>
      <c r="AP19" s="270" t="str">
        <f t="shared" si="9"/>
        <v/>
      </c>
      <c r="AQ19" s="270">
        <f t="shared" si="34"/>
        <v>0</v>
      </c>
      <c r="AR19" s="316">
        <f>MIN(IFERROR(VLOOKUP($C19,'SDDA Dogs'!$A:$O,10,FALSE),0),IFERROR(VLOOKUP($C19,'SDDA Dogs'!$A:$O,11,FALSE),0),IFERROR(VLOOKUP($C19,'SDDA Dogs'!$A:$O,12,FALSE),0))</f>
        <v>0</v>
      </c>
      <c r="AS19" s="272"/>
      <c r="AT19" s="272"/>
      <c r="AU19" s="272" t="str">
        <f>IF(ISERROR(VLOOKUP(C19,'SDDA Dogs'!A:O,6,FALSE)),"",VLOOKUP(C19,'SDDA Dogs'!A:O,6,FALSE))</f>
        <v/>
      </c>
      <c r="AV19" s="270">
        <f t="shared" si="10"/>
        <v>0</v>
      </c>
      <c r="AW19" s="270">
        <f t="shared" si="11"/>
        <v>0</v>
      </c>
      <c r="AX19" s="273">
        <f t="shared" si="12"/>
        <v>0</v>
      </c>
      <c r="AY19" s="274"/>
      <c r="AZ19" s="275">
        <f t="shared" si="13"/>
        <v>0</v>
      </c>
      <c r="BA19" s="275">
        <f t="shared" si="14"/>
        <v>0</v>
      </c>
      <c r="BB19" s="276"/>
      <c r="BC19" s="262" t="str">
        <f>_xlfn.IFNA(IF(I19="Pass",IF(G19&gt;IFERROR(INDEX(DogInfo!A:B,MATCH(C19&amp;$BC$4,DogInfo!A:A,0),2),0),G19,INDEX(DogInfo!A:B,MATCH(C19&amp;$BC$4,DogInfo!A:A,0),2)),INDEX(DogInfo!A:B,MATCH(C19&amp;$BC$4,DogInfo!A:A,0),2)),"")</f>
        <v/>
      </c>
      <c r="BD19" s="262" t="str">
        <f>_xlfn.IFNA(IF(Q19="Pass",IF(O19&gt;IFERROR(INDEX(DogInfo!A:B,MATCH(C19&amp;$BD$4,DogInfo!A:A,0),2),0),O19,INDEX(DogInfo!A:B,MATCH(C19&amp;$BD$4,DogInfo!A:A,0),2)),INDEX(DogInfo!A:B,MATCH(C19&amp;$BD$4,DogInfo!A:A,0),2)),"")</f>
        <v/>
      </c>
      <c r="BE19" s="262" t="str">
        <f>_xlfn.IFNA(IF(Y19="Pass",IF(W19&gt;IFERROR(INDEX(DogInfo!A:B,MATCH(C19&amp;$BE$4,DogInfo!A:A,0),2),0),W19,INDEX(DogInfo!A:B,MATCH(C19&amp;$BE$4,DogInfo!A:A,0),2)),INDEX(DogInfo!A:B,MATCH(C19&amp;$BE$4,DogInfo!A:A,0),2)),"")</f>
        <v/>
      </c>
    </row>
    <row r="20" spans="1:57" x14ac:dyDescent="0.25">
      <c r="A20" s="99">
        <v>16</v>
      </c>
      <c r="B20" s="239"/>
      <c r="C20" s="283"/>
      <c r="D20" s="102" t="str">
        <f>IF($C20="","",VLOOKUP($C20,'SDDA Dogs'!$A:$F,2,FALSE))</f>
        <v/>
      </c>
      <c r="E20" s="211">
        <f t="shared" si="15"/>
        <v>1</v>
      </c>
      <c r="F20" s="103" t="str">
        <f>IF($C20="","",VLOOKUP($C20,'SDDA Dogs'!$A:$O,13,FALSE))</f>
        <v/>
      </c>
      <c r="G20" s="241"/>
      <c r="H20" s="284"/>
      <c r="I20" s="84" t="str">
        <f t="shared" si="16"/>
        <v/>
      </c>
      <c r="J20" s="105">
        <f t="shared" si="0"/>
        <v>0</v>
      </c>
      <c r="K20" s="84" t="str">
        <f t="shared" si="17"/>
        <v/>
      </c>
      <c r="L20" s="105">
        <f t="shared" si="1"/>
        <v>0</v>
      </c>
      <c r="M20" s="84" t="str">
        <f t="shared" si="18"/>
        <v/>
      </c>
      <c r="N20" s="106" t="str">
        <f>IF($C20="","",VLOOKUP($C20,'SDDA Dogs'!$A:$O,14,FALSE))</f>
        <v/>
      </c>
      <c r="O20" s="241"/>
      <c r="P20" s="284"/>
      <c r="Q20" s="84" t="str">
        <f t="shared" si="19"/>
        <v/>
      </c>
      <c r="R20" s="105">
        <f t="shared" si="2"/>
        <v>0</v>
      </c>
      <c r="S20" s="84" t="str">
        <f t="shared" si="20"/>
        <v/>
      </c>
      <c r="T20" s="105">
        <f t="shared" si="3"/>
        <v>0</v>
      </c>
      <c r="U20" s="84" t="str">
        <f t="shared" si="21"/>
        <v/>
      </c>
      <c r="V20" s="106" t="str">
        <f>IF($C20="","",VLOOKUP($C20,'SDDA Dogs'!$A:$O,15,FALSE))</f>
        <v/>
      </c>
      <c r="W20" s="241"/>
      <c r="X20" s="284"/>
      <c r="Y20" s="84" t="str">
        <f t="shared" si="22"/>
        <v/>
      </c>
      <c r="Z20" s="105">
        <f t="shared" si="4"/>
        <v>0</v>
      </c>
      <c r="AA20" s="84" t="str">
        <f t="shared" si="23"/>
        <v/>
      </c>
      <c r="AB20" s="105">
        <f t="shared" si="5"/>
        <v>0</v>
      </c>
      <c r="AC20" s="84" t="str">
        <f t="shared" si="24"/>
        <v/>
      </c>
      <c r="AD20" s="92" t="str">
        <f t="shared" si="25"/>
        <v/>
      </c>
      <c r="AE20" s="89" t="str">
        <f t="shared" si="26"/>
        <v/>
      </c>
      <c r="AF20" s="104" t="str">
        <f t="shared" si="27"/>
        <v/>
      </c>
      <c r="AG20" s="107" t="str">
        <f t="shared" si="28"/>
        <v/>
      </c>
      <c r="AH20" s="92" t="str">
        <f t="shared" si="29"/>
        <v/>
      </c>
      <c r="AI20" s="89" t="str">
        <f t="shared" si="30"/>
        <v/>
      </c>
      <c r="AJ20" s="104" t="str">
        <f t="shared" si="31"/>
        <v/>
      </c>
      <c r="AK20" s="84" t="str">
        <f t="shared" si="32"/>
        <v/>
      </c>
      <c r="AL20" s="264" t="str">
        <f t="shared" si="33"/>
        <v/>
      </c>
      <c r="AM20" s="270">
        <f t="shared" si="6"/>
        <v>0</v>
      </c>
      <c r="AN20" s="270" t="str">
        <f t="shared" si="7"/>
        <v/>
      </c>
      <c r="AO20" s="270" t="str">
        <f t="shared" si="8"/>
        <v/>
      </c>
      <c r="AP20" s="270" t="str">
        <f t="shared" si="9"/>
        <v/>
      </c>
      <c r="AQ20" s="270">
        <f t="shared" si="34"/>
        <v>0</v>
      </c>
      <c r="AR20" s="316">
        <f>MIN(IFERROR(VLOOKUP($C20,'SDDA Dogs'!$A:$O,10,FALSE),0),IFERROR(VLOOKUP($C20,'SDDA Dogs'!$A:$O,11,FALSE),0),IFERROR(VLOOKUP($C20,'SDDA Dogs'!$A:$O,12,FALSE),0))</f>
        <v>0</v>
      </c>
      <c r="AS20" s="272"/>
      <c r="AT20" s="272"/>
      <c r="AU20" s="272" t="str">
        <f>IF(ISERROR(VLOOKUP(C20,'SDDA Dogs'!A:O,6,FALSE)),"",VLOOKUP(C20,'SDDA Dogs'!A:O,6,FALSE))</f>
        <v/>
      </c>
      <c r="AV20" s="270">
        <f t="shared" si="10"/>
        <v>0</v>
      </c>
      <c r="AW20" s="270">
        <f t="shared" si="11"/>
        <v>0</v>
      </c>
      <c r="AX20" s="273">
        <f t="shared" si="12"/>
        <v>0</v>
      </c>
      <c r="AY20" s="274"/>
      <c r="AZ20" s="275">
        <f t="shared" si="13"/>
        <v>0</v>
      </c>
      <c r="BA20" s="275">
        <f t="shared" si="14"/>
        <v>0</v>
      </c>
      <c r="BB20" s="276"/>
      <c r="BC20" s="262" t="str">
        <f>_xlfn.IFNA(IF(I20="Pass",IF(G20&gt;IFERROR(INDEX(DogInfo!A:B,MATCH(C20&amp;$BC$4,DogInfo!A:A,0),2),0),G20,INDEX(DogInfo!A:B,MATCH(C20&amp;$BC$4,DogInfo!A:A,0),2)),INDEX(DogInfo!A:B,MATCH(C20&amp;$BC$4,DogInfo!A:A,0),2)),"")</f>
        <v/>
      </c>
      <c r="BD20" s="262" t="str">
        <f>_xlfn.IFNA(IF(Q20="Pass",IF(O20&gt;IFERROR(INDEX(DogInfo!A:B,MATCH(C20&amp;$BD$4,DogInfo!A:A,0),2),0),O20,INDEX(DogInfo!A:B,MATCH(C20&amp;$BD$4,DogInfo!A:A,0),2)),INDEX(DogInfo!A:B,MATCH(C20&amp;$BD$4,DogInfo!A:A,0),2)),"")</f>
        <v/>
      </c>
      <c r="BE20" s="262" t="str">
        <f>_xlfn.IFNA(IF(Y20="Pass",IF(W20&gt;IFERROR(INDEX(DogInfo!A:B,MATCH(C20&amp;$BE$4,DogInfo!A:A,0),2),0),W20,INDEX(DogInfo!A:B,MATCH(C20&amp;$BE$4,DogInfo!A:A,0),2)),INDEX(DogInfo!A:B,MATCH(C20&amp;$BE$4,DogInfo!A:A,0),2)),"")</f>
        <v/>
      </c>
    </row>
    <row r="21" spans="1:57" x14ac:dyDescent="0.25">
      <c r="A21" s="99">
        <v>17</v>
      </c>
      <c r="B21" s="239"/>
      <c r="C21" s="283"/>
      <c r="D21" s="102" t="str">
        <f>IF($C21="","",VLOOKUP($C21,'SDDA Dogs'!$A:$F,2,FALSE))</f>
        <v/>
      </c>
      <c r="E21" s="211">
        <f t="shared" si="15"/>
        <v>1</v>
      </c>
      <c r="F21" s="103" t="str">
        <f>IF($C21="","",VLOOKUP($C21,'SDDA Dogs'!$A:$O,13,FALSE))</f>
        <v/>
      </c>
      <c r="G21" s="241"/>
      <c r="H21" s="284"/>
      <c r="I21" s="84" t="str">
        <f t="shared" si="16"/>
        <v/>
      </c>
      <c r="J21" s="105">
        <f t="shared" si="0"/>
        <v>0</v>
      </c>
      <c r="K21" s="84" t="str">
        <f t="shared" si="17"/>
        <v/>
      </c>
      <c r="L21" s="105">
        <f t="shared" si="1"/>
        <v>0</v>
      </c>
      <c r="M21" s="84" t="str">
        <f t="shared" si="18"/>
        <v/>
      </c>
      <c r="N21" s="106" t="str">
        <f>IF($C21="","",VLOOKUP($C21,'SDDA Dogs'!$A:$O,14,FALSE))</f>
        <v/>
      </c>
      <c r="O21" s="241"/>
      <c r="P21" s="284"/>
      <c r="Q21" s="84" t="str">
        <f t="shared" si="19"/>
        <v/>
      </c>
      <c r="R21" s="105">
        <f t="shared" si="2"/>
        <v>0</v>
      </c>
      <c r="S21" s="84" t="str">
        <f t="shared" si="20"/>
        <v/>
      </c>
      <c r="T21" s="105">
        <f t="shared" si="3"/>
        <v>0</v>
      </c>
      <c r="U21" s="84" t="str">
        <f t="shared" si="21"/>
        <v/>
      </c>
      <c r="V21" s="106" t="str">
        <f>IF($C21="","",VLOOKUP($C21,'SDDA Dogs'!$A:$O,15,FALSE))</f>
        <v/>
      </c>
      <c r="W21" s="241"/>
      <c r="X21" s="284"/>
      <c r="Y21" s="84" t="str">
        <f t="shared" si="22"/>
        <v/>
      </c>
      <c r="Z21" s="105">
        <f t="shared" si="4"/>
        <v>0</v>
      </c>
      <c r="AA21" s="84" t="str">
        <f t="shared" si="23"/>
        <v/>
      </c>
      <c r="AB21" s="105">
        <f t="shared" si="5"/>
        <v>0</v>
      </c>
      <c r="AC21" s="84" t="str">
        <f t="shared" si="24"/>
        <v/>
      </c>
      <c r="AD21" s="92" t="str">
        <f t="shared" si="25"/>
        <v/>
      </c>
      <c r="AE21" s="89" t="str">
        <f t="shared" si="26"/>
        <v/>
      </c>
      <c r="AF21" s="104" t="str">
        <f t="shared" si="27"/>
        <v/>
      </c>
      <c r="AG21" s="107" t="str">
        <f t="shared" si="28"/>
        <v/>
      </c>
      <c r="AH21" s="92" t="str">
        <f t="shared" si="29"/>
        <v/>
      </c>
      <c r="AI21" s="89" t="str">
        <f t="shared" si="30"/>
        <v/>
      </c>
      <c r="AJ21" s="104" t="str">
        <f t="shared" si="31"/>
        <v/>
      </c>
      <c r="AK21" s="84" t="str">
        <f t="shared" si="32"/>
        <v/>
      </c>
      <c r="AL21" s="264" t="str">
        <f t="shared" si="33"/>
        <v/>
      </c>
      <c r="AM21" s="270">
        <f t="shared" si="6"/>
        <v>0</v>
      </c>
      <c r="AN21" s="270" t="str">
        <f t="shared" si="7"/>
        <v/>
      </c>
      <c r="AO21" s="270" t="str">
        <f t="shared" si="8"/>
        <v/>
      </c>
      <c r="AP21" s="270" t="str">
        <f t="shared" si="9"/>
        <v/>
      </c>
      <c r="AQ21" s="270">
        <f t="shared" si="34"/>
        <v>0</v>
      </c>
      <c r="AR21" s="316">
        <f>MIN(IFERROR(VLOOKUP($C21,'SDDA Dogs'!$A:$O,10,FALSE),0),IFERROR(VLOOKUP($C21,'SDDA Dogs'!$A:$O,11,FALSE),0),IFERROR(VLOOKUP($C21,'SDDA Dogs'!$A:$O,12,FALSE),0))</f>
        <v>0</v>
      </c>
      <c r="AS21" s="272"/>
      <c r="AT21" s="272"/>
      <c r="AU21" s="272" t="str">
        <f>IF(ISERROR(VLOOKUP(C21,'SDDA Dogs'!A:O,6,FALSE)),"",VLOOKUP(C21,'SDDA Dogs'!A:O,6,FALSE))</f>
        <v/>
      </c>
      <c r="AV21" s="270">
        <f t="shared" si="10"/>
        <v>0</v>
      </c>
      <c r="AW21" s="270">
        <f t="shared" si="11"/>
        <v>0</v>
      </c>
      <c r="AX21" s="273">
        <f t="shared" si="12"/>
        <v>0</v>
      </c>
      <c r="AY21" s="274"/>
      <c r="AZ21" s="275">
        <f t="shared" si="13"/>
        <v>0</v>
      </c>
      <c r="BA21" s="275">
        <f t="shared" si="14"/>
        <v>0</v>
      </c>
      <c r="BB21" s="276"/>
      <c r="BC21" s="262" t="str">
        <f>_xlfn.IFNA(IF(I21="Pass",IF(G21&gt;IFERROR(INDEX(DogInfo!A:B,MATCH(C21&amp;$BC$4,DogInfo!A:A,0),2),0),G21,INDEX(DogInfo!A:B,MATCH(C21&amp;$BC$4,DogInfo!A:A,0),2)),INDEX(DogInfo!A:B,MATCH(C21&amp;$BC$4,DogInfo!A:A,0),2)),"")</f>
        <v/>
      </c>
      <c r="BD21" s="262" t="str">
        <f>_xlfn.IFNA(IF(Q21="Pass",IF(O21&gt;IFERROR(INDEX(DogInfo!A:B,MATCH(C21&amp;$BD$4,DogInfo!A:A,0),2),0),O21,INDEX(DogInfo!A:B,MATCH(C21&amp;$BD$4,DogInfo!A:A,0),2)),INDEX(DogInfo!A:B,MATCH(C21&amp;$BD$4,DogInfo!A:A,0),2)),"")</f>
        <v/>
      </c>
      <c r="BE21" s="262" t="str">
        <f>_xlfn.IFNA(IF(Y21="Pass",IF(W21&gt;IFERROR(INDEX(DogInfo!A:B,MATCH(C21&amp;$BE$4,DogInfo!A:A,0),2),0),W21,INDEX(DogInfo!A:B,MATCH(C21&amp;$BE$4,DogInfo!A:A,0),2)),INDEX(DogInfo!A:B,MATCH(C21&amp;$BE$4,DogInfo!A:A,0),2)),"")</f>
        <v/>
      </c>
    </row>
    <row r="22" spans="1:57" x14ac:dyDescent="0.25">
      <c r="A22" s="99">
        <v>18</v>
      </c>
      <c r="B22" s="239"/>
      <c r="C22" s="283"/>
      <c r="D22" s="102" t="str">
        <f>IF($C22="","",VLOOKUP($C22,'SDDA Dogs'!$A:$F,2,FALSE))</f>
        <v/>
      </c>
      <c r="E22" s="211">
        <f t="shared" si="15"/>
        <v>1</v>
      </c>
      <c r="F22" s="103" t="str">
        <f>IF($C22="","",VLOOKUP($C22,'SDDA Dogs'!$A:$O,13,FALSE))</f>
        <v/>
      </c>
      <c r="G22" s="241"/>
      <c r="H22" s="284"/>
      <c r="I22" s="84" t="str">
        <f t="shared" si="16"/>
        <v/>
      </c>
      <c r="J22" s="105">
        <f t="shared" si="0"/>
        <v>0</v>
      </c>
      <c r="K22" s="84" t="str">
        <f t="shared" si="17"/>
        <v/>
      </c>
      <c r="L22" s="105">
        <f t="shared" si="1"/>
        <v>0</v>
      </c>
      <c r="M22" s="84" t="str">
        <f t="shared" si="18"/>
        <v/>
      </c>
      <c r="N22" s="106" t="str">
        <f>IF($C22="","",VLOOKUP($C22,'SDDA Dogs'!$A:$O,14,FALSE))</f>
        <v/>
      </c>
      <c r="O22" s="241"/>
      <c r="P22" s="284"/>
      <c r="Q22" s="84" t="str">
        <f t="shared" si="19"/>
        <v/>
      </c>
      <c r="R22" s="105">
        <f t="shared" si="2"/>
        <v>0</v>
      </c>
      <c r="S22" s="84" t="str">
        <f t="shared" si="20"/>
        <v/>
      </c>
      <c r="T22" s="105">
        <f t="shared" si="3"/>
        <v>0</v>
      </c>
      <c r="U22" s="84" t="str">
        <f t="shared" si="21"/>
        <v/>
      </c>
      <c r="V22" s="106" t="str">
        <f>IF($C22="","",VLOOKUP($C22,'SDDA Dogs'!$A:$O,15,FALSE))</f>
        <v/>
      </c>
      <c r="W22" s="241"/>
      <c r="X22" s="284"/>
      <c r="Y22" s="84" t="str">
        <f t="shared" si="22"/>
        <v/>
      </c>
      <c r="Z22" s="105">
        <f t="shared" si="4"/>
        <v>0</v>
      </c>
      <c r="AA22" s="84" t="str">
        <f t="shared" si="23"/>
        <v/>
      </c>
      <c r="AB22" s="105">
        <f t="shared" si="5"/>
        <v>0</v>
      </c>
      <c r="AC22" s="84" t="str">
        <f t="shared" si="24"/>
        <v/>
      </c>
      <c r="AD22" s="92" t="str">
        <f t="shared" si="25"/>
        <v/>
      </c>
      <c r="AE22" s="89" t="str">
        <f t="shared" si="26"/>
        <v/>
      </c>
      <c r="AF22" s="104" t="str">
        <f t="shared" si="27"/>
        <v/>
      </c>
      <c r="AG22" s="107" t="str">
        <f t="shared" si="28"/>
        <v/>
      </c>
      <c r="AH22" s="92" t="str">
        <f t="shared" si="29"/>
        <v/>
      </c>
      <c r="AI22" s="89" t="str">
        <f t="shared" si="30"/>
        <v/>
      </c>
      <c r="AJ22" s="104" t="str">
        <f t="shared" si="31"/>
        <v/>
      </c>
      <c r="AK22" s="84" t="str">
        <f t="shared" si="32"/>
        <v/>
      </c>
      <c r="AL22" s="264" t="str">
        <f t="shared" si="33"/>
        <v/>
      </c>
      <c r="AM22" s="270">
        <f t="shared" si="6"/>
        <v>0</v>
      </c>
      <c r="AN22" s="270" t="str">
        <f t="shared" si="7"/>
        <v/>
      </c>
      <c r="AO22" s="270" t="str">
        <f t="shared" si="8"/>
        <v/>
      </c>
      <c r="AP22" s="270" t="str">
        <f t="shared" si="9"/>
        <v/>
      </c>
      <c r="AQ22" s="270">
        <f t="shared" si="34"/>
        <v>0</v>
      </c>
      <c r="AR22" s="316">
        <f>MIN(IFERROR(VLOOKUP($C22,'SDDA Dogs'!$A:$O,10,FALSE),0),IFERROR(VLOOKUP($C22,'SDDA Dogs'!$A:$O,11,FALSE),0),IFERROR(VLOOKUP($C22,'SDDA Dogs'!$A:$O,12,FALSE),0))</f>
        <v>0</v>
      </c>
      <c r="AS22" s="272"/>
      <c r="AT22" s="272"/>
      <c r="AU22" s="272" t="str">
        <f>IF(ISERROR(VLOOKUP(C22,'SDDA Dogs'!A:O,6,FALSE)),"",VLOOKUP(C22,'SDDA Dogs'!A:O,6,FALSE))</f>
        <v/>
      </c>
      <c r="AV22" s="270">
        <f t="shared" si="10"/>
        <v>0</v>
      </c>
      <c r="AW22" s="270">
        <f t="shared" si="11"/>
        <v>0</v>
      </c>
      <c r="AX22" s="273">
        <f t="shared" si="12"/>
        <v>0</v>
      </c>
      <c r="AY22" s="274"/>
      <c r="AZ22" s="275">
        <f t="shared" si="13"/>
        <v>0</v>
      </c>
      <c r="BA22" s="275">
        <f t="shared" si="14"/>
        <v>0</v>
      </c>
      <c r="BB22" s="276"/>
      <c r="BC22" s="262" t="str">
        <f>_xlfn.IFNA(IF(I22="Pass",IF(G22&gt;IFERROR(INDEX(DogInfo!A:B,MATCH(C22&amp;$BC$4,DogInfo!A:A,0),2),0),G22,INDEX(DogInfo!A:B,MATCH(C22&amp;$BC$4,DogInfo!A:A,0),2)),INDEX(DogInfo!A:B,MATCH(C22&amp;$BC$4,DogInfo!A:A,0),2)),"")</f>
        <v/>
      </c>
      <c r="BD22" s="262" t="str">
        <f>_xlfn.IFNA(IF(Q22="Pass",IF(O22&gt;IFERROR(INDEX(DogInfo!A:B,MATCH(C22&amp;$BD$4,DogInfo!A:A,0),2),0),O22,INDEX(DogInfo!A:B,MATCH(C22&amp;$BD$4,DogInfo!A:A,0),2)),INDEX(DogInfo!A:B,MATCH(C22&amp;$BD$4,DogInfo!A:A,0),2)),"")</f>
        <v/>
      </c>
      <c r="BE22" s="262" t="str">
        <f>_xlfn.IFNA(IF(Y22="Pass",IF(W22&gt;IFERROR(INDEX(DogInfo!A:B,MATCH(C22&amp;$BE$4,DogInfo!A:A,0),2),0),W22,INDEX(DogInfo!A:B,MATCH(C22&amp;$BE$4,DogInfo!A:A,0),2)),INDEX(DogInfo!A:B,MATCH(C22&amp;$BE$4,DogInfo!A:A,0),2)),"")</f>
        <v/>
      </c>
    </row>
    <row r="23" spans="1:57" x14ac:dyDescent="0.25">
      <c r="A23" s="99">
        <v>19</v>
      </c>
      <c r="B23" s="239"/>
      <c r="C23" s="283"/>
      <c r="D23" s="102" t="str">
        <f>IF($C23="","",VLOOKUP($C23,'SDDA Dogs'!$A:$F,2,FALSE))</f>
        <v/>
      </c>
      <c r="E23" s="211">
        <f t="shared" si="15"/>
        <v>1</v>
      </c>
      <c r="F23" s="103" t="str">
        <f>IF($C23="","",VLOOKUP($C23,'SDDA Dogs'!$A:$O,13,FALSE))</f>
        <v/>
      </c>
      <c r="G23" s="241"/>
      <c r="H23" s="284"/>
      <c r="I23" s="84" t="str">
        <f t="shared" si="16"/>
        <v/>
      </c>
      <c r="J23" s="105">
        <f t="shared" si="0"/>
        <v>0</v>
      </c>
      <c r="K23" s="84" t="str">
        <f t="shared" si="17"/>
        <v/>
      </c>
      <c r="L23" s="105">
        <f t="shared" si="1"/>
        <v>0</v>
      </c>
      <c r="M23" s="84" t="str">
        <f t="shared" si="18"/>
        <v/>
      </c>
      <c r="N23" s="106" t="str">
        <f>IF($C23="","",VLOOKUP($C23,'SDDA Dogs'!$A:$O,14,FALSE))</f>
        <v/>
      </c>
      <c r="O23" s="241"/>
      <c r="P23" s="284"/>
      <c r="Q23" s="84" t="str">
        <f t="shared" si="19"/>
        <v/>
      </c>
      <c r="R23" s="105">
        <f t="shared" si="2"/>
        <v>0</v>
      </c>
      <c r="S23" s="84" t="str">
        <f t="shared" si="20"/>
        <v/>
      </c>
      <c r="T23" s="105">
        <f t="shared" si="3"/>
        <v>0</v>
      </c>
      <c r="U23" s="84" t="str">
        <f t="shared" si="21"/>
        <v/>
      </c>
      <c r="V23" s="106" t="str">
        <f>IF($C23="","",VLOOKUP($C23,'SDDA Dogs'!$A:$O,15,FALSE))</f>
        <v/>
      </c>
      <c r="W23" s="241"/>
      <c r="X23" s="284"/>
      <c r="Y23" s="84" t="str">
        <f t="shared" si="22"/>
        <v/>
      </c>
      <c r="Z23" s="105">
        <f t="shared" si="4"/>
        <v>0</v>
      </c>
      <c r="AA23" s="84" t="str">
        <f t="shared" si="23"/>
        <v/>
      </c>
      <c r="AB23" s="105">
        <f t="shared" si="5"/>
        <v>0</v>
      </c>
      <c r="AC23" s="84" t="str">
        <f t="shared" si="24"/>
        <v/>
      </c>
      <c r="AD23" s="92" t="str">
        <f t="shared" si="25"/>
        <v/>
      </c>
      <c r="AE23" s="89" t="str">
        <f t="shared" si="26"/>
        <v/>
      </c>
      <c r="AF23" s="104" t="str">
        <f t="shared" si="27"/>
        <v/>
      </c>
      <c r="AG23" s="107" t="str">
        <f t="shared" si="28"/>
        <v/>
      </c>
      <c r="AH23" s="92" t="str">
        <f t="shared" si="29"/>
        <v/>
      </c>
      <c r="AI23" s="89" t="str">
        <f t="shared" si="30"/>
        <v/>
      </c>
      <c r="AJ23" s="104" t="str">
        <f t="shared" si="31"/>
        <v/>
      </c>
      <c r="AK23" s="84" t="str">
        <f t="shared" si="32"/>
        <v/>
      </c>
      <c r="AL23" s="264" t="str">
        <f t="shared" si="33"/>
        <v/>
      </c>
      <c r="AM23" s="270">
        <f t="shared" si="6"/>
        <v>0</v>
      </c>
      <c r="AN23" s="270" t="str">
        <f t="shared" si="7"/>
        <v/>
      </c>
      <c r="AO23" s="270" t="str">
        <f t="shared" si="8"/>
        <v/>
      </c>
      <c r="AP23" s="270" t="str">
        <f t="shared" si="9"/>
        <v/>
      </c>
      <c r="AQ23" s="270">
        <f t="shared" si="34"/>
        <v>0</v>
      </c>
      <c r="AR23" s="316">
        <f>MIN(IFERROR(VLOOKUP($C23,'SDDA Dogs'!$A:$O,10,FALSE),0),IFERROR(VLOOKUP($C23,'SDDA Dogs'!$A:$O,11,FALSE),0),IFERROR(VLOOKUP($C23,'SDDA Dogs'!$A:$O,12,FALSE),0))</f>
        <v>0</v>
      </c>
      <c r="AS23" s="272"/>
      <c r="AT23" s="272"/>
      <c r="AU23" s="272" t="str">
        <f>IF(ISERROR(VLOOKUP(C23,'SDDA Dogs'!A:O,6,FALSE)),"",VLOOKUP(C23,'SDDA Dogs'!A:O,6,FALSE))</f>
        <v/>
      </c>
      <c r="AV23" s="270">
        <f t="shared" si="10"/>
        <v>0</v>
      </c>
      <c r="AW23" s="270">
        <f t="shared" si="11"/>
        <v>0</v>
      </c>
      <c r="AX23" s="273">
        <f t="shared" si="12"/>
        <v>0</v>
      </c>
      <c r="AY23" s="274"/>
      <c r="AZ23" s="275">
        <f t="shared" si="13"/>
        <v>0</v>
      </c>
      <c r="BA23" s="275">
        <f t="shared" si="14"/>
        <v>0</v>
      </c>
      <c r="BB23" s="276"/>
      <c r="BC23" s="262" t="str">
        <f>_xlfn.IFNA(IF(I23="Pass",IF(G23&gt;IFERROR(INDEX(DogInfo!A:B,MATCH(C23&amp;$BC$4,DogInfo!A:A,0),2),0),G23,INDEX(DogInfo!A:B,MATCH(C23&amp;$BC$4,DogInfo!A:A,0),2)),INDEX(DogInfo!A:B,MATCH(C23&amp;$BC$4,DogInfo!A:A,0),2)),"")</f>
        <v/>
      </c>
      <c r="BD23" s="262" t="str">
        <f>_xlfn.IFNA(IF(Q23="Pass",IF(O23&gt;IFERROR(INDEX(DogInfo!A:B,MATCH(C23&amp;$BD$4,DogInfo!A:A,0),2),0),O23,INDEX(DogInfo!A:B,MATCH(C23&amp;$BD$4,DogInfo!A:A,0),2)),INDEX(DogInfo!A:B,MATCH(C23&amp;$BD$4,DogInfo!A:A,0),2)),"")</f>
        <v/>
      </c>
      <c r="BE23" s="262" t="str">
        <f>_xlfn.IFNA(IF(Y23="Pass",IF(W23&gt;IFERROR(INDEX(DogInfo!A:B,MATCH(C23&amp;$BE$4,DogInfo!A:A,0),2),0),W23,INDEX(DogInfo!A:B,MATCH(C23&amp;$BE$4,DogInfo!A:A,0),2)),INDEX(DogInfo!A:B,MATCH(C23&amp;$BE$4,DogInfo!A:A,0),2)),"")</f>
        <v/>
      </c>
    </row>
    <row r="24" spans="1:57" x14ac:dyDescent="0.25">
      <c r="A24" s="99">
        <v>20</v>
      </c>
      <c r="B24" s="239"/>
      <c r="C24" s="283"/>
      <c r="D24" s="102" t="str">
        <f>IF($C24="","",VLOOKUP($C24,'SDDA Dogs'!$A:$F,2,FALSE))</f>
        <v/>
      </c>
      <c r="E24" s="211">
        <f t="shared" si="15"/>
        <v>1</v>
      </c>
      <c r="F24" s="103" t="str">
        <f>IF($C24="","",VLOOKUP($C24,'SDDA Dogs'!$A:$O,13,FALSE))</f>
        <v/>
      </c>
      <c r="G24" s="241"/>
      <c r="H24" s="284"/>
      <c r="I24" s="84" t="str">
        <f t="shared" si="16"/>
        <v/>
      </c>
      <c r="J24" s="105">
        <f t="shared" si="0"/>
        <v>0</v>
      </c>
      <c r="K24" s="84" t="str">
        <f t="shared" si="17"/>
        <v/>
      </c>
      <c r="L24" s="105">
        <f t="shared" si="1"/>
        <v>0</v>
      </c>
      <c r="M24" s="84" t="str">
        <f t="shared" si="18"/>
        <v/>
      </c>
      <c r="N24" s="106" t="str">
        <f>IF($C24="","",VLOOKUP($C24,'SDDA Dogs'!$A:$O,14,FALSE))</f>
        <v/>
      </c>
      <c r="O24" s="241"/>
      <c r="P24" s="284"/>
      <c r="Q24" s="84" t="str">
        <f t="shared" si="19"/>
        <v/>
      </c>
      <c r="R24" s="105">
        <f t="shared" si="2"/>
        <v>0</v>
      </c>
      <c r="S24" s="84" t="str">
        <f t="shared" si="20"/>
        <v/>
      </c>
      <c r="T24" s="105">
        <f t="shared" si="3"/>
        <v>0</v>
      </c>
      <c r="U24" s="84" t="str">
        <f t="shared" si="21"/>
        <v/>
      </c>
      <c r="V24" s="106" t="str">
        <f>IF($C24="","",VLOOKUP($C24,'SDDA Dogs'!$A:$O,15,FALSE))</f>
        <v/>
      </c>
      <c r="W24" s="241"/>
      <c r="X24" s="284"/>
      <c r="Y24" s="84" t="str">
        <f t="shared" si="22"/>
        <v/>
      </c>
      <c r="Z24" s="105">
        <f t="shared" si="4"/>
        <v>0</v>
      </c>
      <c r="AA24" s="84" t="str">
        <f t="shared" si="23"/>
        <v/>
      </c>
      <c r="AB24" s="105">
        <f t="shared" si="5"/>
        <v>0</v>
      </c>
      <c r="AC24" s="84" t="str">
        <f t="shared" si="24"/>
        <v/>
      </c>
      <c r="AD24" s="92" t="str">
        <f t="shared" si="25"/>
        <v/>
      </c>
      <c r="AE24" s="89" t="str">
        <f t="shared" si="26"/>
        <v/>
      </c>
      <c r="AF24" s="104" t="str">
        <f t="shared" si="27"/>
        <v/>
      </c>
      <c r="AG24" s="107" t="str">
        <f t="shared" si="28"/>
        <v/>
      </c>
      <c r="AH24" s="92" t="str">
        <f t="shared" si="29"/>
        <v/>
      </c>
      <c r="AI24" s="89" t="str">
        <f t="shared" si="30"/>
        <v/>
      </c>
      <c r="AJ24" s="104" t="str">
        <f t="shared" si="31"/>
        <v/>
      </c>
      <c r="AK24" s="84" t="str">
        <f t="shared" si="32"/>
        <v/>
      </c>
      <c r="AL24" s="264" t="str">
        <f t="shared" si="33"/>
        <v/>
      </c>
      <c r="AM24" s="270">
        <f t="shared" si="6"/>
        <v>0</v>
      </c>
      <c r="AN24" s="270" t="str">
        <f t="shared" si="7"/>
        <v/>
      </c>
      <c r="AO24" s="270" t="str">
        <f t="shared" si="8"/>
        <v/>
      </c>
      <c r="AP24" s="270" t="str">
        <f t="shared" si="9"/>
        <v/>
      </c>
      <c r="AQ24" s="270">
        <f t="shared" si="34"/>
        <v>0</v>
      </c>
      <c r="AR24" s="316">
        <f>MIN(IFERROR(VLOOKUP($C24,'SDDA Dogs'!$A:$O,10,FALSE),0),IFERROR(VLOOKUP($C24,'SDDA Dogs'!$A:$O,11,FALSE),0),IFERROR(VLOOKUP($C24,'SDDA Dogs'!$A:$O,12,FALSE),0))</f>
        <v>0</v>
      </c>
      <c r="AS24" s="272"/>
      <c r="AT24" s="272"/>
      <c r="AU24" s="272" t="str">
        <f>IF(ISERROR(VLOOKUP(C24,'SDDA Dogs'!A:O,6,FALSE)),"",VLOOKUP(C24,'SDDA Dogs'!A:O,6,FALSE))</f>
        <v/>
      </c>
      <c r="AV24" s="270">
        <f t="shared" si="10"/>
        <v>0</v>
      </c>
      <c r="AW24" s="270">
        <f t="shared" si="11"/>
        <v>0</v>
      </c>
      <c r="AX24" s="273">
        <f t="shared" si="12"/>
        <v>0</v>
      </c>
      <c r="AY24" s="274"/>
      <c r="AZ24" s="275">
        <f t="shared" si="13"/>
        <v>0</v>
      </c>
      <c r="BA24" s="275">
        <f t="shared" si="14"/>
        <v>0</v>
      </c>
      <c r="BB24" s="276"/>
      <c r="BC24" s="262" t="str">
        <f>_xlfn.IFNA(IF(I24="Pass",IF(G24&gt;IFERROR(INDEX(DogInfo!A:B,MATCH(C24&amp;$BC$4,DogInfo!A:A,0),2),0),G24,INDEX(DogInfo!A:B,MATCH(C24&amp;$BC$4,DogInfo!A:A,0),2)),INDEX(DogInfo!A:B,MATCH(C24&amp;$BC$4,DogInfo!A:A,0),2)),"")</f>
        <v/>
      </c>
      <c r="BD24" s="262" t="str">
        <f>_xlfn.IFNA(IF(Q24="Pass",IF(O24&gt;IFERROR(INDEX(DogInfo!A:B,MATCH(C24&amp;$BD$4,DogInfo!A:A,0),2),0),O24,INDEX(DogInfo!A:B,MATCH(C24&amp;$BD$4,DogInfo!A:A,0),2)),INDEX(DogInfo!A:B,MATCH(C24&amp;$BD$4,DogInfo!A:A,0),2)),"")</f>
        <v/>
      </c>
      <c r="BE24" s="262" t="str">
        <f>_xlfn.IFNA(IF(Y24="Pass",IF(W24&gt;IFERROR(INDEX(DogInfo!A:B,MATCH(C24&amp;$BE$4,DogInfo!A:A,0),2),0),W24,INDEX(DogInfo!A:B,MATCH(C24&amp;$BE$4,DogInfo!A:A,0),2)),INDEX(DogInfo!A:B,MATCH(C24&amp;$BE$4,DogInfo!A:A,0),2)),"")</f>
        <v/>
      </c>
    </row>
    <row r="25" spans="1:57" x14ac:dyDescent="0.25">
      <c r="A25" s="99">
        <v>21</v>
      </c>
      <c r="B25" s="239"/>
      <c r="C25" s="283"/>
      <c r="D25" s="102" t="str">
        <f>IF($C25="","",VLOOKUP($C25,'SDDA Dogs'!$A:$F,2,FALSE))</f>
        <v/>
      </c>
      <c r="E25" s="211">
        <f t="shared" si="15"/>
        <v>1</v>
      </c>
      <c r="F25" s="103" t="str">
        <f>IF($C25="","",VLOOKUP($C25,'SDDA Dogs'!$A:$O,13,FALSE))</f>
        <v/>
      </c>
      <c r="G25" s="241"/>
      <c r="H25" s="284"/>
      <c r="I25" s="84" t="str">
        <f t="shared" si="16"/>
        <v/>
      </c>
      <c r="J25" s="105">
        <f t="shared" si="0"/>
        <v>0</v>
      </c>
      <c r="K25" s="84" t="str">
        <f t="shared" si="17"/>
        <v/>
      </c>
      <c r="L25" s="105">
        <f t="shared" si="1"/>
        <v>0</v>
      </c>
      <c r="M25" s="84" t="str">
        <f t="shared" si="18"/>
        <v/>
      </c>
      <c r="N25" s="106" t="str">
        <f>IF($C25="","",VLOOKUP($C25,'SDDA Dogs'!$A:$O,14,FALSE))</f>
        <v/>
      </c>
      <c r="O25" s="241"/>
      <c r="P25" s="284"/>
      <c r="Q25" s="84" t="str">
        <f t="shared" si="19"/>
        <v/>
      </c>
      <c r="R25" s="105">
        <f t="shared" si="2"/>
        <v>0</v>
      </c>
      <c r="S25" s="84" t="str">
        <f t="shared" si="20"/>
        <v/>
      </c>
      <c r="T25" s="105">
        <f t="shared" si="3"/>
        <v>0</v>
      </c>
      <c r="U25" s="84" t="str">
        <f t="shared" si="21"/>
        <v/>
      </c>
      <c r="V25" s="106" t="str">
        <f>IF($C25="","",VLOOKUP($C25,'SDDA Dogs'!$A:$O,15,FALSE))</f>
        <v/>
      </c>
      <c r="W25" s="241"/>
      <c r="X25" s="284"/>
      <c r="Y25" s="84" t="str">
        <f t="shared" si="22"/>
        <v/>
      </c>
      <c r="Z25" s="105">
        <f t="shared" si="4"/>
        <v>0</v>
      </c>
      <c r="AA25" s="84" t="str">
        <f t="shared" si="23"/>
        <v/>
      </c>
      <c r="AB25" s="105">
        <f t="shared" si="5"/>
        <v>0</v>
      </c>
      <c r="AC25" s="84" t="str">
        <f t="shared" si="24"/>
        <v/>
      </c>
      <c r="AD25" s="92" t="str">
        <f t="shared" si="25"/>
        <v/>
      </c>
      <c r="AE25" s="89" t="str">
        <f t="shared" si="26"/>
        <v/>
      </c>
      <c r="AF25" s="104" t="str">
        <f t="shared" si="27"/>
        <v/>
      </c>
      <c r="AG25" s="107" t="str">
        <f t="shared" si="28"/>
        <v/>
      </c>
      <c r="AH25" s="92" t="str">
        <f t="shared" si="29"/>
        <v/>
      </c>
      <c r="AI25" s="89" t="str">
        <f t="shared" si="30"/>
        <v/>
      </c>
      <c r="AJ25" s="104" t="str">
        <f t="shared" si="31"/>
        <v/>
      </c>
      <c r="AK25" s="84" t="str">
        <f t="shared" si="32"/>
        <v/>
      </c>
      <c r="AL25" s="264" t="str">
        <f t="shared" si="33"/>
        <v/>
      </c>
      <c r="AM25" s="270">
        <f t="shared" si="6"/>
        <v>0</v>
      </c>
      <c r="AN25" s="270" t="str">
        <f t="shared" si="7"/>
        <v/>
      </c>
      <c r="AO25" s="270" t="str">
        <f t="shared" si="8"/>
        <v/>
      </c>
      <c r="AP25" s="270" t="str">
        <f t="shared" si="9"/>
        <v/>
      </c>
      <c r="AQ25" s="270">
        <f t="shared" si="34"/>
        <v>0</v>
      </c>
      <c r="AR25" s="316">
        <f>MIN(IFERROR(VLOOKUP($C25,'SDDA Dogs'!$A:$O,10,FALSE),0),IFERROR(VLOOKUP($C25,'SDDA Dogs'!$A:$O,11,FALSE),0),IFERROR(VLOOKUP($C25,'SDDA Dogs'!$A:$O,12,FALSE),0))</f>
        <v>0</v>
      </c>
      <c r="AS25" s="272"/>
      <c r="AT25" s="272"/>
      <c r="AU25" s="272" t="str">
        <f>IF(ISERROR(VLOOKUP(C25,'SDDA Dogs'!A:O,6,FALSE)),"",VLOOKUP(C25,'SDDA Dogs'!A:O,6,FALSE))</f>
        <v/>
      </c>
      <c r="AV25" s="270">
        <f t="shared" si="10"/>
        <v>0</v>
      </c>
      <c r="AW25" s="270">
        <f t="shared" si="11"/>
        <v>0</v>
      </c>
      <c r="AX25" s="273">
        <f t="shared" si="12"/>
        <v>0</v>
      </c>
      <c r="AY25" s="274"/>
      <c r="AZ25" s="275">
        <f t="shared" si="13"/>
        <v>0</v>
      </c>
      <c r="BA25" s="275">
        <f t="shared" si="14"/>
        <v>0</v>
      </c>
      <c r="BB25" s="276"/>
      <c r="BC25" s="262" t="str">
        <f>_xlfn.IFNA(IF(I25="Pass",IF(G25&gt;IFERROR(INDEX(DogInfo!A:B,MATCH(C25&amp;$BC$4,DogInfo!A:A,0),2),0),G25,INDEX(DogInfo!A:B,MATCH(C25&amp;$BC$4,DogInfo!A:A,0),2)),INDEX(DogInfo!A:B,MATCH(C25&amp;$BC$4,DogInfo!A:A,0),2)),"")</f>
        <v/>
      </c>
      <c r="BD25" s="262" t="str">
        <f>_xlfn.IFNA(IF(Q25="Pass",IF(O25&gt;IFERROR(INDEX(DogInfo!A:B,MATCH(C25&amp;$BD$4,DogInfo!A:A,0),2),0),O25,INDEX(DogInfo!A:B,MATCH(C25&amp;$BD$4,DogInfo!A:A,0),2)),INDEX(DogInfo!A:B,MATCH(C25&amp;$BD$4,DogInfo!A:A,0),2)),"")</f>
        <v/>
      </c>
      <c r="BE25" s="262" t="str">
        <f>_xlfn.IFNA(IF(Y25="Pass",IF(W25&gt;IFERROR(INDEX(DogInfo!A:B,MATCH(C25&amp;$BE$4,DogInfo!A:A,0),2),0),W25,INDEX(DogInfo!A:B,MATCH(C25&amp;$BE$4,DogInfo!A:A,0),2)),INDEX(DogInfo!A:B,MATCH(C25&amp;$BE$4,DogInfo!A:A,0),2)),"")</f>
        <v/>
      </c>
    </row>
    <row r="26" spans="1:57" x14ac:dyDescent="0.25">
      <c r="A26" s="99">
        <v>22</v>
      </c>
      <c r="B26" s="100"/>
      <c r="C26" s="101"/>
      <c r="D26" s="102" t="str">
        <f>IF($C26="","",VLOOKUP($C26,'SDDA Dogs'!$A:$F,2,FALSE))</f>
        <v/>
      </c>
      <c r="E26" s="211">
        <f t="shared" ref="E26:E54" si="35">--(_xlfn.ISFORMULA(D26))</f>
        <v>1</v>
      </c>
      <c r="F26" s="103" t="str">
        <f>IF($C26="","",VLOOKUP($C26,'SDDA Dogs'!$A:$O,13,FALSE))</f>
        <v/>
      </c>
      <c r="G26" s="137"/>
      <c r="H26" s="217"/>
      <c r="I26" s="84" t="str">
        <f t="shared" ref="I26:I54" si="36">IF(OR(G26="",G26="NE",G26="e",G26="feo"),"",(IF(G26&gt;=30,"Pass","Fail")))</f>
        <v/>
      </c>
      <c r="J26" s="105">
        <f t="shared" si="0"/>
        <v>0</v>
      </c>
      <c r="K26" s="84" t="str">
        <f t="shared" ref="K26:K54" si="37">IF(AND($B26="A",$G26&lt;&gt;0,$H26&lt;&gt;0,J26&lt;&gt;0),(RANK(J26,J$5:J$54,0)),"")</f>
        <v/>
      </c>
      <c r="L26" s="105">
        <f t="shared" si="1"/>
        <v>0</v>
      </c>
      <c r="M26" s="84" t="str">
        <f t="shared" ref="M26:M54" si="38">IF(AND($B26="W",$G26&lt;&gt;0,$H26&lt;&gt;0,L26&lt;&gt;0),(RANK(L26,L$5:L$54,0)),"")</f>
        <v/>
      </c>
      <c r="N26" s="106" t="str">
        <f>IF($C26="","",VLOOKUP($C26,'SDDA Dogs'!$A:$O,14,FALSE))</f>
        <v/>
      </c>
      <c r="O26" s="137"/>
      <c r="P26" s="217"/>
      <c r="Q26" s="84" t="str">
        <f t="shared" ref="Q26:Q54" si="39">IF(OR(O26="",O26="NE",O26="e",O26="feo"),"",(IF(O26&gt;=40,"Pass","Fail")))</f>
        <v/>
      </c>
      <c r="R26" s="105">
        <f t="shared" si="2"/>
        <v>0</v>
      </c>
      <c r="S26" s="84" t="str">
        <f t="shared" ref="S26:S54" si="40">IF(AND($B26="A",$O26&lt;&gt;0,$P26&lt;&gt;0,R26&lt;&gt;0),(RANK(R26,R$5:R$54,0)),"")</f>
        <v/>
      </c>
      <c r="T26" s="105">
        <f t="shared" si="3"/>
        <v>0</v>
      </c>
      <c r="U26" s="84" t="str">
        <f t="shared" ref="U26:U54" si="41">IF(AND($B26="w",$O26&lt;&gt;0,$P26&lt;&gt;0,T26&lt;&gt;0),(RANK(T26,T$5:T$54,0)),"")</f>
        <v/>
      </c>
      <c r="V26" s="106" t="str">
        <f>IF($C26="","",VLOOKUP($C26,'SDDA Dogs'!$A:$O,15,FALSE))</f>
        <v/>
      </c>
      <c r="W26" s="137"/>
      <c r="X26" s="217"/>
      <c r="Y26" s="84" t="str">
        <f t="shared" ref="Y26:Y54" si="42">IF(OR(W26="",W26="NE",W26="e",W26="feo"),"",(IF(W26&gt;=30,"Pass","Fail")))</f>
        <v/>
      </c>
      <c r="Z26" s="105">
        <f t="shared" si="4"/>
        <v>0</v>
      </c>
      <c r="AA26" s="84" t="str">
        <f t="shared" ref="AA26:AA54" si="43">IF(AND($B26="A",$W26&lt;&gt;0,$X26&lt;&gt;0,Z26&lt;&gt;0),(RANK(Z26,Z$5:Z$54,0)),"")</f>
        <v/>
      </c>
      <c r="AB26" s="105">
        <f t="shared" si="5"/>
        <v>0</v>
      </c>
      <c r="AC26" s="84" t="str">
        <f t="shared" ref="AC26:AC54" si="44">IF(AND($B26="w",$W26&lt;&gt;0,$X26&lt;&gt;0,AB26&lt;&gt;0),(RANK(AB26,AB$5:AB$54,0)),"")</f>
        <v/>
      </c>
      <c r="AD26" s="92" t="str">
        <f t="shared" si="25"/>
        <v/>
      </c>
      <c r="AE26" s="89" t="str">
        <f t="shared" ref="AE26:AE54" si="45">IF(AND(ISNUMBER($K26),ISNUMBER($S26),ISNUMBER($AA26))=TRUE,$G26+$O26+$W26,"")</f>
        <v/>
      </c>
      <c r="AF26" s="104" t="str">
        <f t="shared" si="27"/>
        <v/>
      </c>
      <c r="AG26" s="107" t="str">
        <f t="shared" ref="AG26:AG54" si="46">IF(ISNUMBER(AE26),(RANK(AE26,AE$5:AE$54,0)*10)+RANK(AF26,AF$5:AF$54,1),"")</f>
        <v/>
      </c>
      <c r="AH26" s="92" t="str">
        <f t="shared" ref="AH26:AH54" si="47">IF(ISNUMBER(AG26),RANK(AG26,AG$5:AG$54,1),"")</f>
        <v/>
      </c>
      <c r="AI26" s="89" t="str">
        <f t="shared" ref="AI26:AI54" si="48">IF(AND(ISNUMBER($M26),ISNUMBER($U26),ISNUMBER($AC26))=TRUE,$G26+$O26+$W26,"")</f>
        <v/>
      </c>
      <c r="AJ26" s="104" t="str">
        <f t="shared" ref="AJ26:AJ54" si="49">IF(AND(ISNUMBER($M26),ISNUMBER($U26),ISNUMBER($AC26))=TRUE,$H26+$P26+$X26,"")</f>
        <v/>
      </c>
      <c r="AK26" s="84" t="str">
        <f t="shared" ref="AK26:AK54" si="50">IF(ISNUMBER(AI26),(RANK(AI26,AI$5:AI$54,0)*10)+RANK(AJ26,AJ$5:AJ$54,1),"")</f>
        <v/>
      </c>
      <c r="AL26" s="264" t="str">
        <f t="shared" ref="AL26:AL54" si="51">IF(ISNUMBER(AK26),RANK(AK26,AK$5:AK$54,1),"")</f>
        <v/>
      </c>
      <c r="AM26" s="270">
        <f t="shared" si="6"/>
        <v>0</v>
      </c>
      <c r="AN26" s="270" t="str">
        <f t="shared" si="7"/>
        <v/>
      </c>
      <c r="AO26" s="270" t="str">
        <f t="shared" si="8"/>
        <v/>
      </c>
      <c r="AP26" s="270" t="str">
        <f t="shared" si="9"/>
        <v/>
      </c>
      <c r="AQ26" s="270">
        <f t="shared" ref="AQ26:AQ54" si="52">MIN(AN26,AO26,AP26)</f>
        <v>0</v>
      </c>
      <c r="AR26" s="316">
        <f>MIN(IFERROR(VLOOKUP($C26,'SDDA Dogs'!$A:$O,10,FALSE),0),IFERROR(VLOOKUP($C26,'SDDA Dogs'!$A:$O,11,FALSE),0),IFERROR(VLOOKUP($C26,'SDDA Dogs'!$A:$O,12,FALSE),0))</f>
        <v>0</v>
      </c>
      <c r="AS26" s="272"/>
      <c r="AT26" s="272"/>
      <c r="AU26" s="272" t="str">
        <f>IF(ISERROR(VLOOKUP(C26,'SDDA Dogs'!A:O,6,FALSE)),"",VLOOKUP(C26,'SDDA Dogs'!A:O,6,FALSE))</f>
        <v/>
      </c>
      <c r="AV26" s="270">
        <f t="shared" si="10"/>
        <v>0</v>
      </c>
      <c r="AW26" s="270">
        <f t="shared" si="11"/>
        <v>0</v>
      </c>
      <c r="AX26" s="273">
        <f t="shared" si="12"/>
        <v>0</v>
      </c>
      <c r="AY26" s="274"/>
      <c r="AZ26" s="275">
        <f t="shared" si="13"/>
        <v>0</v>
      </c>
      <c r="BA26" s="275">
        <f t="shared" si="14"/>
        <v>0</v>
      </c>
      <c r="BB26" s="276"/>
      <c r="BC26" s="262" t="str">
        <f>_xlfn.IFNA(IF(I26="Pass",IF(G26&gt;IFERROR(INDEX(DogInfo!A:B,MATCH(C26&amp;$BC$4,DogInfo!A:A,0),2),0),G26,INDEX(DogInfo!A:B,MATCH(C26&amp;$BC$4,DogInfo!A:A,0),2)),INDEX(DogInfo!A:B,MATCH(C26&amp;$BC$4,DogInfo!A:A,0),2)),"")</f>
        <v/>
      </c>
      <c r="BD26" s="262" t="str">
        <f>_xlfn.IFNA(IF(Q26="Pass",IF(O26&gt;IFERROR(INDEX(DogInfo!A:B,MATCH(C26&amp;$BD$4,DogInfo!A:A,0),2),0),O26,INDEX(DogInfo!A:B,MATCH(C26&amp;$BD$4,DogInfo!A:A,0),2)),INDEX(DogInfo!A:B,MATCH(C26&amp;$BD$4,DogInfo!A:A,0),2)),"")</f>
        <v/>
      </c>
      <c r="BE26" s="262" t="str">
        <f>_xlfn.IFNA(IF(Y26="Pass",IF(W26&gt;IFERROR(INDEX(DogInfo!A:B,MATCH(C26&amp;$BE$4,DogInfo!A:A,0),2),0),W26,INDEX(DogInfo!A:B,MATCH(C26&amp;$BE$4,DogInfo!A:A,0),2)),INDEX(DogInfo!A:B,MATCH(C26&amp;$BE$4,DogInfo!A:A,0),2)),"")</f>
        <v/>
      </c>
    </row>
    <row r="27" spans="1:57" x14ac:dyDescent="0.25">
      <c r="A27" s="99">
        <v>23</v>
      </c>
      <c r="B27" s="100"/>
      <c r="C27" s="101"/>
      <c r="D27" s="102" t="str">
        <f>IF($C27="","",VLOOKUP($C27,'SDDA Dogs'!$A:$F,2,FALSE))</f>
        <v/>
      </c>
      <c r="E27" s="211">
        <f t="shared" si="35"/>
        <v>1</v>
      </c>
      <c r="F27" s="103" t="str">
        <f>IF($C27="","",VLOOKUP($C27,'SDDA Dogs'!$A:$O,13,FALSE))</f>
        <v/>
      </c>
      <c r="G27" s="137"/>
      <c r="H27" s="217"/>
      <c r="I27" s="84" t="str">
        <f t="shared" si="36"/>
        <v/>
      </c>
      <c r="J27" s="105">
        <f t="shared" si="0"/>
        <v>0</v>
      </c>
      <c r="K27" s="84" t="str">
        <f t="shared" si="37"/>
        <v/>
      </c>
      <c r="L27" s="105">
        <f t="shared" si="1"/>
        <v>0</v>
      </c>
      <c r="M27" s="84" t="str">
        <f t="shared" si="38"/>
        <v/>
      </c>
      <c r="N27" s="106" t="str">
        <f>IF($C27="","",VLOOKUP($C27,'SDDA Dogs'!$A:$O,14,FALSE))</f>
        <v/>
      </c>
      <c r="O27" s="137"/>
      <c r="P27" s="217"/>
      <c r="Q27" s="84" t="str">
        <f t="shared" si="39"/>
        <v/>
      </c>
      <c r="R27" s="105">
        <f t="shared" si="2"/>
        <v>0</v>
      </c>
      <c r="S27" s="84" t="str">
        <f t="shared" si="40"/>
        <v/>
      </c>
      <c r="T27" s="105">
        <f t="shared" si="3"/>
        <v>0</v>
      </c>
      <c r="U27" s="84" t="str">
        <f t="shared" si="41"/>
        <v/>
      </c>
      <c r="V27" s="106" t="str">
        <f>IF($C27="","",VLOOKUP($C27,'SDDA Dogs'!$A:$O,15,FALSE))</f>
        <v/>
      </c>
      <c r="W27" s="137"/>
      <c r="X27" s="217"/>
      <c r="Y27" s="84" t="str">
        <f t="shared" si="42"/>
        <v/>
      </c>
      <c r="Z27" s="105">
        <f t="shared" si="4"/>
        <v>0</v>
      </c>
      <c r="AA27" s="84" t="str">
        <f t="shared" si="43"/>
        <v/>
      </c>
      <c r="AB27" s="105">
        <f t="shared" si="5"/>
        <v>0</v>
      </c>
      <c r="AC27" s="84" t="str">
        <f t="shared" si="44"/>
        <v/>
      </c>
      <c r="AD27" s="92" t="str">
        <f t="shared" si="25"/>
        <v/>
      </c>
      <c r="AE27" s="89" t="str">
        <f t="shared" si="45"/>
        <v/>
      </c>
      <c r="AF27" s="104" t="str">
        <f t="shared" ref="AF27:AF54" si="53">IF(AND(ISNUMBER($K27),ISNUMBER($S27),ISNUMBER($AA27))=TRUE,$H27+$P27+$X27,"")</f>
        <v/>
      </c>
      <c r="AG27" s="107" t="str">
        <f t="shared" si="46"/>
        <v/>
      </c>
      <c r="AH27" s="92" t="str">
        <f t="shared" si="47"/>
        <v/>
      </c>
      <c r="AI27" s="89" t="str">
        <f t="shared" si="48"/>
        <v/>
      </c>
      <c r="AJ27" s="104" t="str">
        <f t="shared" si="49"/>
        <v/>
      </c>
      <c r="AK27" s="84" t="str">
        <f t="shared" si="50"/>
        <v/>
      </c>
      <c r="AL27" s="264" t="str">
        <f t="shared" si="51"/>
        <v/>
      </c>
      <c r="AM27" s="270">
        <f t="shared" si="6"/>
        <v>0</v>
      </c>
      <c r="AN27" s="270" t="str">
        <f t="shared" si="7"/>
        <v/>
      </c>
      <c r="AO27" s="270" t="str">
        <f t="shared" si="8"/>
        <v/>
      </c>
      <c r="AP27" s="270" t="str">
        <f t="shared" si="9"/>
        <v/>
      </c>
      <c r="AQ27" s="270">
        <f t="shared" si="52"/>
        <v>0</v>
      </c>
      <c r="AR27" s="316">
        <f>MIN(IFERROR(VLOOKUP($C27,'SDDA Dogs'!$A:$O,10,FALSE),0),IFERROR(VLOOKUP($C27,'SDDA Dogs'!$A:$O,11,FALSE),0),IFERROR(VLOOKUP($C27,'SDDA Dogs'!$A:$O,12,FALSE),0))</f>
        <v>0</v>
      </c>
      <c r="AS27" s="272"/>
      <c r="AT27" s="272"/>
      <c r="AU27" s="272" t="str">
        <f>IF(ISERROR(VLOOKUP(C27,'SDDA Dogs'!A:O,6,FALSE)),"",VLOOKUP(C27,'SDDA Dogs'!A:O,6,FALSE))</f>
        <v/>
      </c>
      <c r="AV27" s="270">
        <f t="shared" si="10"/>
        <v>0</v>
      </c>
      <c r="AW27" s="270">
        <f t="shared" si="11"/>
        <v>0</v>
      </c>
      <c r="AX27" s="273">
        <f t="shared" si="12"/>
        <v>0</v>
      </c>
      <c r="AY27" s="274"/>
      <c r="AZ27" s="275">
        <f t="shared" si="13"/>
        <v>0</v>
      </c>
      <c r="BA27" s="275">
        <f t="shared" si="14"/>
        <v>0</v>
      </c>
      <c r="BB27" s="276"/>
      <c r="BC27" s="262" t="str">
        <f>_xlfn.IFNA(IF(I27="Pass",IF(G27&gt;IFERROR(INDEX(DogInfo!A:B,MATCH(C27&amp;$BC$4,DogInfo!A:A,0),2),0),G27,INDEX(DogInfo!A:B,MATCH(C27&amp;$BC$4,DogInfo!A:A,0),2)),INDEX(DogInfo!A:B,MATCH(C27&amp;$BC$4,DogInfo!A:A,0),2)),"")</f>
        <v/>
      </c>
      <c r="BD27" s="262" t="str">
        <f>_xlfn.IFNA(IF(Q27="Pass",IF(O27&gt;IFERROR(INDEX(DogInfo!A:B,MATCH(C27&amp;$BD$4,DogInfo!A:A,0),2),0),O27,INDEX(DogInfo!A:B,MATCH(C27&amp;$BD$4,DogInfo!A:A,0),2)),INDEX(DogInfo!A:B,MATCH(C27&amp;$BD$4,DogInfo!A:A,0),2)),"")</f>
        <v/>
      </c>
      <c r="BE27" s="262" t="str">
        <f>_xlfn.IFNA(IF(Y27="Pass",IF(W27&gt;IFERROR(INDEX(DogInfo!A:B,MATCH(C27&amp;$BE$4,DogInfo!A:A,0),2),0),W27,INDEX(DogInfo!A:B,MATCH(C27&amp;$BE$4,DogInfo!A:A,0),2)),INDEX(DogInfo!A:B,MATCH(C27&amp;$BE$4,DogInfo!A:A,0),2)),"")</f>
        <v/>
      </c>
    </row>
    <row r="28" spans="1:57" x14ac:dyDescent="0.25">
      <c r="A28" s="99">
        <v>24</v>
      </c>
      <c r="B28" s="100"/>
      <c r="C28" s="101"/>
      <c r="D28" s="102" t="str">
        <f>IF($C28="","",VLOOKUP($C28,'SDDA Dogs'!$A:$F,2,FALSE))</f>
        <v/>
      </c>
      <c r="E28" s="211">
        <f t="shared" si="35"/>
        <v>1</v>
      </c>
      <c r="F28" s="103" t="str">
        <f>IF($C28="","",VLOOKUP($C28,'SDDA Dogs'!$A:$O,13,FALSE))</f>
        <v/>
      </c>
      <c r="G28" s="137"/>
      <c r="H28" s="217"/>
      <c r="I28" s="84" t="str">
        <f t="shared" si="36"/>
        <v/>
      </c>
      <c r="J28" s="105">
        <f t="shared" si="0"/>
        <v>0</v>
      </c>
      <c r="K28" s="84" t="str">
        <f t="shared" si="37"/>
        <v/>
      </c>
      <c r="L28" s="105">
        <f t="shared" si="1"/>
        <v>0</v>
      </c>
      <c r="M28" s="84" t="str">
        <f t="shared" si="38"/>
        <v/>
      </c>
      <c r="N28" s="106" t="str">
        <f>IF($C28="","",VLOOKUP($C28,'SDDA Dogs'!$A:$O,14,FALSE))</f>
        <v/>
      </c>
      <c r="O28" s="137"/>
      <c r="P28" s="217"/>
      <c r="Q28" s="84" t="str">
        <f t="shared" si="39"/>
        <v/>
      </c>
      <c r="R28" s="105">
        <f t="shared" si="2"/>
        <v>0</v>
      </c>
      <c r="S28" s="84" t="str">
        <f t="shared" si="40"/>
        <v/>
      </c>
      <c r="T28" s="105">
        <f t="shared" si="3"/>
        <v>0</v>
      </c>
      <c r="U28" s="84" t="str">
        <f t="shared" si="41"/>
        <v/>
      </c>
      <c r="V28" s="106" t="str">
        <f>IF($C28="","",VLOOKUP($C28,'SDDA Dogs'!$A:$O,15,FALSE))</f>
        <v/>
      </c>
      <c r="W28" s="137"/>
      <c r="X28" s="217"/>
      <c r="Y28" s="84" t="str">
        <f t="shared" si="42"/>
        <v/>
      </c>
      <c r="Z28" s="105">
        <f t="shared" si="4"/>
        <v>0</v>
      </c>
      <c r="AA28" s="84" t="str">
        <f t="shared" si="43"/>
        <v/>
      </c>
      <c r="AB28" s="105">
        <f t="shared" si="5"/>
        <v>0</v>
      </c>
      <c r="AC28" s="84" t="str">
        <f t="shared" si="44"/>
        <v/>
      </c>
      <c r="AD28" s="92" t="str">
        <f t="shared" si="25"/>
        <v/>
      </c>
      <c r="AE28" s="89" t="str">
        <f t="shared" si="45"/>
        <v/>
      </c>
      <c r="AF28" s="104" t="str">
        <f t="shared" si="53"/>
        <v/>
      </c>
      <c r="AG28" s="107" t="str">
        <f t="shared" si="46"/>
        <v/>
      </c>
      <c r="AH28" s="92" t="str">
        <f t="shared" si="47"/>
        <v/>
      </c>
      <c r="AI28" s="89" t="str">
        <f t="shared" si="48"/>
        <v/>
      </c>
      <c r="AJ28" s="104" t="str">
        <f t="shared" si="49"/>
        <v/>
      </c>
      <c r="AK28" s="84" t="str">
        <f t="shared" si="50"/>
        <v/>
      </c>
      <c r="AL28" s="264" t="str">
        <f t="shared" si="51"/>
        <v/>
      </c>
      <c r="AM28" s="270">
        <f t="shared" si="6"/>
        <v>0</v>
      </c>
      <c r="AN28" s="270" t="str">
        <f t="shared" si="7"/>
        <v/>
      </c>
      <c r="AO28" s="270" t="str">
        <f t="shared" si="8"/>
        <v/>
      </c>
      <c r="AP28" s="270" t="str">
        <f t="shared" si="9"/>
        <v/>
      </c>
      <c r="AQ28" s="270">
        <f t="shared" si="52"/>
        <v>0</v>
      </c>
      <c r="AR28" s="316">
        <f>MIN(IFERROR(VLOOKUP($C28,'SDDA Dogs'!$A:$O,10,FALSE),0),IFERROR(VLOOKUP($C28,'SDDA Dogs'!$A:$O,11,FALSE),0),IFERROR(VLOOKUP($C28,'SDDA Dogs'!$A:$O,12,FALSE),0))</f>
        <v>0</v>
      </c>
      <c r="AS28" s="272"/>
      <c r="AT28" s="272"/>
      <c r="AU28" s="272" t="str">
        <f>IF(ISERROR(VLOOKUP(C28,'SDDA Dogs'!A:O,6,FALSE)),"",VLOOKUP(C28,'SDDA Dogs'!A:O,6,FALSE))</f>
        <v/>
      </c>
      <c r="AV28" s="270">
        <f t="shared" si="10"/>
        <v>0</v>
      </c>
      <c r="AW28" s="270">
        <f t="shared" si="11"/>
        <v>0</v>
      </c>
      <c r="AX28" s="273">
        <f t="shared" si="12"/>
        <v>0</v>
      </c>
      <c r="AY28" s="274"/>
      <c r="AZ28" s="275">
        <f t="shared" si="13"/>
        <v>0</v>
      </c>
      <c r="BA28" s="275">
        <f t="shared" si="14"/>
        <v>0</v>
      </c>
      <c r="BB28" s="276"/>
      <c r="BC28" s="262" t="str">
        <f>_xlfn.IFNA(IF(I28="Pass",IF(G28&gt;IFERROR(INDEX(DogInfo!A:B,MATCH(C28&amp;$BC$4,DogInfo!A:A,0),2),0),G28,INDEX(DogInfo!A:B,MATCH(C28&amp;$BC$4,DogInfo!A:A,0),2)),INDEX(DogInfo!A:B,MATCH(C28&amp;$BC$4,DogInfo!A:A,0),2)),"")</f>
        <v/>
      </c>
      <c r="BD28" s="262" t="str">
        <f>_xlfn.IFNA(IF(Q28="Pass",IF(O28&gt;IFERROR(INDEX(DogInfo!A:B,MATCH(C28&amp;$BD$4,DogInfo!A:A,0),2),0),O28,INDEX(DogInfo!A:B,MATCH(C28&amp;$BD$4,DogInfo!A:A,0),2)),INDEX(DogInfo!A:B,MATCH(C28&amp;$BD$4,DogInfo!A:A,0),2)),"")</f>
        <v/>
      </c>
      <c r="BE28" s="262" t="str">
        <f>_xlfn.IFNA(IF(Y28="Pass",IF(W28&gt;IFERROR(INDEX(DogInfo!A:B,MATCH(C28&amp;$BE$4,DogInfo!A:A,0),2),0),W28,INDEX(DogInfo!A:B,MATCH(C28&amp;$BE$4,DogInfo!A:A,0),2)),INDEX(DogInfo!A:B,MATCH(C28&amp;$BE$4,DogInfo!A:A,0),2)),"")</f>
        <v/>
      </c>
    </row>
    <row r="29" spans="1:57" x14ac:dyDescent="0.25">
      <c r="A29" s="99">
        <v>25</v>
      </c>
      <c r="B29" s="100"/>
      <c r="C29" s="101"/>
      <c r="D29" s="102" t="str">
        <f>IF($C29="","",VLOOKUP($C29,'SDDA Dogs'!$A:$F,2,FALSE))</f>
        <v/>
      </c>
      <c r="E29" s="211">
        <f t="shared" si="35"/>
        <v>1</v>
      </c>
      <c r="F29" s="103" t="str">
        <f>IF($C29="","",VLOOKUP($C29,'SDDA Dogs'!$A:$O,13,FALSE))</f>
        <v/>
      </c>
      <c r="G29" s="137"/>
      <c r="H29" s="217"/>
      <c r="I29" s="84" t="str">
        <f t="shared" si="36"/>
        <v/>
      </c>
      <c r="J29" s="105">
        <f t="shared" si="0"/>
        <v>0</v>
      </c>
      <c r="K29" s="84" t="str">
        <f t="shared" si="37"/>
        <v/>
      </c>
      <c r="L29" s="105">
        <f t="shared" si="1"/>
        <v>0</v>
      </c>
      <c r="M29" s="84" t="str">
        <f t="shared" si="38"/>
        <v/>
      </c>
      <c r="N29" s="106" t="str">
        <f>IF($C29="","",VLOOKUP($C29,'SDDA Dogs'!$A:$O,14,FALSE))</f>
        <v/>
      </c>
      <c r="O29" s="137"/>
      <c r="P29" s="217"/>
      <c r="Q29" s="84" t="str">
        <f t="shared" si="39"/>
        <v/>
      </c>
      <c r="R29" s="105">
        <f t="shared" si="2"/>
        <v>0</v>
      </c>
      <c r="S29" s="84" t="str">
        <f t="shared" si="40"/>
        <v/>
      </c>
      <c r="T29" s="105">
        <f t="shared" si="3"/>
        <v>0</v>
      </c>
      <c r="U29" s="84" t="str">
        <f t="shared" si="41"/>
        <v/>
      </c>
      <c r="V29" s="106" t="str">
        <f>IF($C29="","",VLOOKUP($C29,'SDDA Dogs'!$A:$O,15,FALSE))</f>
        <v/>
      </c>
      <c r="W29" s="137"/>
      <c r="X29" s="217"/>
      <c r="Y29" s="84" t="str">
        <f t="shared" si="42"/>
        <v/>
      </c>
      <c r="Z29" s="105">
        <f t="shared" si="4"/>
        <v>0</v>
      </c>
      <c r="AA29" s="84" t="str">
        <f t="shared" si="43"/>
        <v/>
      </c>
      <c r="AB29" s="105">
        <f t="shared" si="5"/>
        <v>0</v>
      </c>
      <c r="AC29" s="84" t="str">
        <f t="shared" si="44"/>
        <v/>
      </c>
      <c r="AD29" s="92" t="str">
        <f t="shared" si="25"/>
        <v/>
      </c>
      <c r="AE29" s="89" t="str">
        <f t="shared" si="45"/>
        <v/>
      </c>
      <c r="AF29" s="104" t="str">
        <f t="shared" si="53"/>
        <v/>
      </c>
      <c r="AG29" s="107" t="str">
        <f t="shared" si="46"/>
        <v/>
      </c>
      <c r="AH29" s="92" t="str">
        <f t="shared" si="47"/>
        <v/>
      </c>
      <c r="AI29" s="89" t="str">
        <f t="shared" si="48"/>
        <v/>
      </c>
      <c r="AJ29" s="104" t="str">
        <f t="shared" si="49"/>
        <v/>
      </c>
      <c r="AK29" s="84" t="str">
        <f t="shared" si="50"/>
        <v/>
      </c>
      <c r="AL29" s="265" t="str">
        <f t="shared" si="51"/>
        <v/>
      </c>
      <c r="AM29" s="270">
        <f t="shared" si="6"/>
        <v>0</v>
      </c>
      <c r="AN29" s="270" t="str">
        <f t="shared" si="7"/>
        <v/>
      </c>
      <c r="AO29" s="270" t="str">
        <f t="shared" si="8"/>
        <v/>
      </c>
      <c r="AP29" s="270" t="str">
        <f t="shared" si="9"/>
        <v/>
      </c>
      <c r="AQ29" s="270">
        <f t="shared" si="52"/>
        <v>0</v>
      </c>
      <c r="AR29" s="316">
        <f>MIN(IFERROR(VLOOKUP($C29,'SDDA Dogs'!$A:$O,10,FALSE),0),IFERROR(VLOOKUP($C29,'SDDA Dogs'!$A:$O,11,FALSE),0),IFERROR(VLOOKUP($C29,'SDDA Dogs'!$A:$O,12,FALSE),0))</f>
        <v>0</v>
      </c>
      <c r="AS29" s="272"/>
      <c r="AT29" s="272"/>
      <c r="AU29" s="272" t="str">
        <f>IF(ISERROR(VLOOKUP(C29,'SDDA Dogs'!A:O,6,FALSE)),"",VLOOKUP(C29,'SDDA Dogs'!A:O,6,FALSE))</f>
        <v/>
      </c>
      <c r="AV29" s="270">
        <f t="shared" si="10"/>
        <v>0</v>
      </c>
      <c r="AW29" s="270">
        <f t="shared" si="11"/>
        <v>0</v>
      </c>
      <c r="AX29" s="273">
        <f t="shared" si="12"/>
        <v>0</v>
      </c>
      <c r="AY29" s="274"/>
      <c r="AZ29" s="275">
        <f t="shared" si="13"/>
        <v>0</v>
      </c>
      <c r="BA29" s="275">
        <f t="shared" si="14"/>
        <v>0</v>
      </c>
      <c r="BB29" s="276"/>
      <c r="BC29" s="262" t="str">
        <f>_xlfn.IFNA(IF(I29="Pass",IF(G29&gt;IFERROR(INDEX(DogInfo!A:B,MATCH(C29&amp;$BC$4,DogInfo!A:A,0),2),0),G29,INDEX(DogInfo!A:B,MATCH(C29&amp;$BC$4,DogInfo!A:A,0),2)),INDEX(DogInfo!A:B,MATCH(C29&amp;$BC$4,DogInfo!A:A,0),2)),"")</f>
        <v/>
      </c>
      <c r="BD29" s="262" t="str">
        <f>_xlfn.IFNA(IF(Q29="Pass",IF(O29&gt;IFERROR(INDEX(DogInfo!A:B,MATCH(C29&amp;$BD$4,DogInfo!A:A,0),2),0),O29,INDEX(DogInfo!A:B,MATCH(C29&amp;$BD$4,DogInfo!A:A,0),2)),INDEX(DogInfo!A:B,MATCH(C29&amp;$BD$4,DogInfo!A:A,0),2)),"")</f>
        <v/>
      </c>
      <c r="BE29" s="262" t="str">
        <f>_xlfn.IFNA(IF(Y29="Pass",IF(W29&gt;IFERROR(INDEX(DogInfo!A:B,MATCH(C29&amp;$BE$4,DogInfo!A:A,0),2),0),W29,INDEX(DogInfo!A:B,MATCH(C29&amp;$BE$4,DogInfo!A:A,0),2)),INDEX(DogInfo!A:B,MATCH(C29&amp;$BE$4,DogInfo!A:A,0),2)),"")</f>
        <v/>
      </c>
    </row>
    <row r="30" spans="1:57" x14ac:dyDescent="0.25">
      <c r="A30" s="99">
        <v>26</v>
      </c>
      <c r="B30" s="100"/>
      <c r="C30" s="101"/>
      <c r="D30" s="102" t="str">
        <f>IF($C30="","",VLOOKUP($C30,'SDDA Dogs'!$A:$F,2,FALSE))</f>
        <v/>
      </c>
      <c r="E30" s="211">
        <f t="shared" si="35"/>
        <v>1</v>
      </c>
      <c r="F30" s="103" t="str">
        <f>IF($C30="","",VLOOKUP($C30,'SDDA Dogs'!$A:$O,13,FALSE))</f>
        <v/>
      </c>
      <c r="G30" s="137"/>
      <c r="H30" s="217"/>
      <c r="I30" s="84" t="str">
        <f t="shared" si="36"/>
        <v/>
      </c>
      <c r="J30" s="105">
        <f t="shared" si="0"/>
        <v>0</v>
      </c>
      <c r="K30" s="84" t="str">
        <f t="shared" si="37"/>
        <v/>
      </c>
      <c r="L30" s="105">
        <f t="shared" si="1"/>
        <v>0</v>
      </c>
      <c r="M30" s="84" t="str">
        <f t="shared" si="38"/>
        <v/>
      </c>
      <c r="N30" s="106" t="str">
        <f>IF($C30="","",VLOOKUP($C30,'SDDA Dogs'!$A:$O,14,FALSE))</f>
        <v/>
      </c>
      <c r="O30" s="137"/>
      <c r="P30" s="217"/>
      <c r="Q30" s="84" t="str">
        <f t="shared" si="39"/>
        <v/>
      </c>
      <c r="R30" s="105">
        <f t="shared" si="2"/>
        <v>0</v>
      </c>
      <c r="S30" s="84" t="str">
        <f t="shared" si="40"/>
        <v/>
      </c>
      <c r="T30" s="105">
        <f t="shared" si="3"/>
        <v>0</v>
      </c>
      <c r="U30" s="84" t="str">
        <f t="shared" si="41"/>
        <v/>
      </c>
      <c r="V30" s="106" t="str">
        <f>IF($C30="","",VLOOKUP($C30,'SDDA Dogs'!$A:$O,15,FALSE))</f>
        <v/>
      </c>
      <c r="W30" s="137"/>
      <c r="X30" s="217"/>
      <c r="Y30" s="84" t="str">
        <f t="shared" si="42"/>
        <v/>
      </c>
      <c r="Z30" s="105">
        <f t="shared" si="4"/>
        <v>0</v>
      </c>
      <c r="AA30" s="84" t="str">
        <f t="shared" si="43"/>
        <v/>
      </c>
      <c r="AB30" s="105">
        <f t="shared" si="5"/>
        <v>0</v>
      </c>
      <c r="AC30" s="84" t="str">
        <f t="shared" si="44"/>
        <v/>
      </c>
      <c r="AD30" s="92" t="str">
        <f t="shared" si="25"/>
        <v/>
      </c>
      <c r="AE30" s="89" t="str">
        <f t="shared" si="45"/>
        <v/>
      </c>
      <c r="AF30" s="104" t="str">
        <f t="shared" si="53"/>
        <v/>
      </c>
      <c r="AG30" s="107" t="str">
        <f t="shared" si="46"/>
        <v/>
      </c>
      <c r="AH30" s="92" t="str">
        <f t="shared" si="47"/>
        <v/>
      </c>
      <c r="AI30" s="89" t="str">
        <f t="shared" si="48"/>
        <v/>
      </c>
      <c r="AJ30" s="104" t="str">
        <f t="shared" si="49"/>
        <v/>
      </c>
      <c r="AK30" s="84" t="str">
        <f t="shared" si="50"/>
        <v/>
      </c>
      <c r="AL30" s="265" t="str">
        <f t="shared" si="51"/>
        <v/>
      </c>
      <c r="AM30" s="270">
        <f t="shared" si="6"/>
        <v>0</v>
      </c>
      <c r="AN30" s="270" t="str">
        <f t="shared" si="7"/>
        <v/>
      </c>
      <c r="AO30" s="270" t="str">
        <f t="shared" si="8"/>
        <v/>
      </c>
      <c r="AP30" s="270" t="str">
        <f t="shared" si="9"/>
        <v/>
      </c>
      <c r="AQ30" s="270">
        <f t="shared" si="52"/>
        <v>0</v>
      </c>
      <c r="AR30" s="316">
        <f>MIN(IFERROR(VLOOKUP($C30,'SDDA Dogs'!$A:$O,10,FALSE),0),IFERROR(VLOOKUP($C30,'SDDA Dogs'!$A:$O,11,FALSE),0),IFERROR(VLOOKUP($C30,'SDDA Dogs'!$A:$O,12,FALSE),0))</f>
        <v>0</v>
      </c>
      <c r="AS30" s="272"/>
      <c r="AT30" s="272"/>
      <c r="AU30" s="272" t="str">
        <f>IF(ISERROR(VLOOKUP(C30,'SDDA Dogs'!A:O,6,FALSE)),"",VLOOKUP(C30,'SDDA Dogs'!A:O,6,FALSE))</f>
        <v/>
      </c>
      <c r="AV30" s="270">
        <f t="shared" si="10"/>
        <v>0</v>
      </c>
      <c r="AW30" s="270">
        <f t="shared" si="11"/>
        <v>0</v>
      </c>
      <c r="AX30" s="273">
        <f t="shared" ref="AX30:AX54" si="54">(AV30*TrialFeeExc)+(AW30*FeoFee)</f>
        <v>0</v>
      </c>
      <c r="AY30" s="274"/>
      <c r="AZ30" s="275">
        <f t="shared" si="13"/>
        <v>0</v>
      </c>
      <c r="BA30" s="275">
        <f t="shared" si="14"/>
        <v>0</v>
      </c>
      <c r="BB30" s="276"/>
      <c r="BC30" s="262" t="str">
        <f>_xlfn.IFNA(IF(I30="Pass",IF(G30&gt;IFERROR(INDEX(DogInfo!A:B,MATCH(C30&amp;$BC$4,DogInfo!A:A,0),2),0),G30,INDEX(DogInfo!A:B,MATCH(C30&amp;$BC$4,DogInfo!A:A,0),2)),INDEX(DogInfo!A:B,MATCH(C30&amp;$BC$4,DogInfo!A:A,0),2)),"")</f>
        <v/>
      </c>
      <c r="BD30" s="262" t="str">
        <f>_xlfn.IFNA(IF(Q30="Pass",IF(O30&gt;IFERROR(INDEX(DogInfo!A:B,MATCH(C30&amp;$BD$4,DogInfo!A:A,0),2),0),O30,INDEX(DogInfo!A:B,MATCH(C30&amp;$BD$4,DogInfo!A:A,0),2)),INDEX(DogInfo!A:B,MATCH(C30&amp;$BD$4,DogInfo!A:A,0),2)),"")</f>
        <v/>
      </c>
      <c r="BE30" s="262" t="str">
        <f>_xlfn.IFNA(IF(Y30="Pass",IF(W30&gt;IFERROR(INDEX(DogInfo!A:B,MATCH(C30&amp;$BE$4,DogInfo!A:A,0),2),0),W30,INDEX(DogInfo!A:B,MATCH(C30&amp;$BE$4,DogInfo!A:A,0),2)),INDEX(DogInfo!A:B,MATCH(C30&amp;$BE$4,DogInfo!A:A,0),2)),"")</f>
        <v/>
      </c>
    </row>
    <row r="31" spans="1:57" x14ac:dyDescent="0.25">
      <c r="A31" s="99">
        <v>27</v>
      </c>
      <c r="B31" s="100"/>
      <c r="C31" s="101"/>
      <c r="D31" s="102" t="str">
        <f>IF($C31="","",VLOOKUP($C31,'SDDA Dogs'!$A:$F,2,FALSE))</f>
        <v/>
      </c>
      <c r="E31" s="211">
        <f t="shared" si="35"/>
        <v>1</v>
      </c>
      <c r="F31" s="103" t="str">
        <f>IF($C31="","",VLOOKUP($C31,'SDDA Dogs'!$A:$O,13,FALSE))</f>
        <v/>
      </c>
      <c r="G31" s="137"/>
      <c r="H31" s="217"/>
      <c r="I31" s="84" t="str">
        <f t="shared" si="36"/>
        <v/>
      </c>
      <c r="J31" s="105">
        <f t="shared" si="0"/>
        <v>0</v>
      </c>
      <c r="K31" s="84" t="str">
        <f t="shared" si="37"/>
        <v/>
      </c>
      <c r="L31" s="105">
        <f t="shared" si="1"/>
        <v>0</v>
      </c>
      <c r="M31" s="84" t="str">
        <f t="shared" si="38"/>
        <v/>
      </c>
      <c r="N31" s="106" t="str">
        <f>IF($C31="","",VLOOKUP($C31,'SDDA Dogs'!$A:$O,14,FALSE))</f>
        <v/>
      </c>
      <c r="O31" s="137"/>
      <c r="P31" s="217"/>
      <c r="Q31" s="84" t="str">
        <f t="shared" si="39"/>
        <v/>
      </c>
      <c r="R31" s="105">
        <f t="shared" si="2"/>
        <v>0</v>
      </c>
      <c r="S31" s="84" t="str">
        <f t="shared" si="40"/>
        <v/>
      </c>
      <c r="T31" s="105">
        <f t="shared" si="3"/>
        <v>0</v>
      </c>
      <c r="U31" s="84" t="str">
        <f t="shared" si="41"/>
        <v/>
      </c>
      <c r="V31" s="106" t="str">
        <f>IF($C31="","",VLOOKUP($C31,'SDDA Dogs'!$A:$O,15,FALSE))</f>
        <v/>
      </c>
      <c r="W31" s="137"/>
      <c r="X31" s="217"/>
      <c r="Y31" s="84" t="str">
        <f t="shared" si="42"/>
        <v/>
      </c>
      <c r="Z31" s="105">
        <f t="shared" si="4"/>
        <v>0</v>
      </c>
      <c r="AA31" s="84" t="str">
        <f t="shared" si="43"/>
        <v/>
      </c>
      <c r="AB31" s="105">
        <f t="shared" si="5"/>
        <v>0</v>
      </c>
      <c r="AC31" s="84" t="str">
        <f t="shared" si="44"/>
        <v/>
      </c>
      <c r="AD31" s="92" t="str">
        <f t="shared" si="25"/>
        <v/>
      </c>
      <c r="AE31" s="89" t="str">
        <f t="shared" si="45"/>
        <v/>
      </c>
      <c r="AF31" s="104" t="str">
        <f t="shared" si="53"/>
        <v/>
      </c>
      <c r="AG31" s="107" t="str">
        <f t="shared" si="46"/>
        <v/>
      </c>
      <c r="AH31" s="92" t="str">
        <f t="shared" si="47"/>
        <v/>
      </c>
      <c r="AI31" s="89" t="str">
        <f t="shared" si="48"/>
        <v/>
      </c>
      <c r="AJ31" s="104" t="str">
        <f t="shared" si="49"/>
        <v/>
      </c>
      <c r="AK31" s="84" t="str">
        <f t="shared" si="50"/>
        <v/>
      </c>
      <c r="AL31" s="265" t="str">
        <f t="shared" si="51"/>
        <v/>
      </c>
      <c r="AM31" s="270">
        <f t="shared" si="6"/>
        <v>0</v>
      </c>
      <c r="AN31" s="270" t="str">
        <f t="shared" si="7"/>
        <v/>
      </c>
      <c r="AO31" s="270" t="str">
        <f t="shared" si="8"/>
        <v/>
      </c>
      <c r="AP31" s="270" t="str">
        <f t="shared" si="9"/>
        <v/>
      </c>
      <c r="AQ31" s="270">
        <f t="shared" si="52"/>
        <v>0</v>
      </c>
      <c r="AR31" s="316">
        <f>MIN(IFERROR(VLOOKUP($C31,'SDDA Dogs'!$A:$O,10,FALSE),0),IFERROR(VLOOKUP($C31,'SDDA Dogs'!$A:$O,11,FALSE),0),IFERROR(VLOOKUP($C31,'SDDA Dogs'!$A:$O,12,FALSE),0))</f>
        <v>0</v>
      </c>
      <c r="AS31" s="272"/>
      <c r="AT31" s="272"/>
      <c r="AU31" s="272" t="str">
        <f>IF(ISERROR(VLOOKUP(C31,'SDDA Dogs'!A:O,6,FALSE)),"",VLOOKUP(C31,'SDDA Dogs'!A:O,6,FALSE))</f>
        <v/>
      </c>
      <c r="AV31" s="270">
        <f t="shared" si="10"/>
        <v>0</v>
      </c>
      <c r="AW31" s="270">
        <f t="shared" si="11"/>
        <v>0</v>
      </c>
      <c r="AX31" s="273">
        <f t="shared" si="54"/>
        <v>0</v>
      </c>
      <c r="AY31" s="274"/>
      <c r="AZ31" s="275">
        <f t="shared" si="13"/>
        <v>0</v>
      </c>
      <c r="BA31" s="275">
        <f t="shared" si="14"/>
        <v>0</v>
      </c>
      <c r="BB31" s="276"/>
      <c r="BC31" s="262" t="str">
        <f>_xlfn.IFNA(IF(I31="Pass",IF(G31&gt;IFERROR(INDEX(DogInfo!A:B,MATCH(C31&amp;$BC$4,DogInfo!A:A,0),2),0),G31,INDEX(DogInfo!A:B,MATCH(C31&amp;$BC$4,DogInfo!A:A,0),2)),INDEX(DogInfo!A:B,MATCH(C31&amp;$BC$4,DogInfo!A:A,0),2)),"")</f>
        <v/>
      </c>
      <c r="BD31" s="262" t="str">
        <f>_xlfn.IFNA(IF(Q31="Pass",IF(O31&gt;IFERROR(INDEX(DogInfo!A:B,MATCH(C31&amp;$BD$4,DogInfo!A:A,0),2),0),O31,INDEX(DogInfo!A:B,MATCH(C31&amp;$BD$4,DogInfo!A:A,0),2)),INDEX(DogInfo!A:B,MATCH(C31&amp;$BD$4,DogInfo!A:A,0),2)),"")</f>
        <v/>
      </c>
      <c r="BE31" s="262" t="str">
        <f>_xlfn.IFNA(IF(Y31="Pass",IF(W31&gt;IFERROR(INDEX(DogInfo!A:B,MATCH(C31&amp;$BE$4,DogInfo!A:A,0),2),0),W31,INDEX(DogInfo!A:B,MATCH(C31&amp;$BE$4,DogInfo!A:A,0),2)),INDEX(DogInfo!A:B,MATCH(C31&amp;$BE$4,DogInfo!A:A,0),2)),"")</f>
        <v/>
      </c>
    </row>
    <row r="32" spans="1:57" x14ac:dyDescent="0.25">
      <c r="A32" s="99">
        <v>28</v>
      </c>
      <c r="B32" s="100"/>
      <c r="C32" s="101"/>
      <c r="D32" s="102" t="str">
        <f>IF($C32="","",VLOOKUP($C32,'SDDA Dogs'!$A:$F,2,FALSE))</f>
        <v/>
      </c>
      <c r="E32" s="211">
        <f t="shared" si="35"/>
        <v>1</v>
      </c>
      <c r="F32" s="103" t="str">
        <f>IF($C32="","",VLOOKUP($C32,'SDDA Dogs'!$A:$O,13,FALSE))</f>
        <v/>
      </c>
      <c r="G32" s="137"/>
      <c r="H32" s="217"/>
      <c r="I32" s="84" t="str">
        <f t="shared" si="36"/>
        <v/>
      </c>
      <c r="J32" s="105">
        <f t="shared" si="0"/>
        <v>0</v>
      </c>
      <c r="K32" s="84" t="str">
        <f t="shared" si="37"/>
        <v/>
      </c>
      <c r="L32" s="105">
        <f t="shared" si="1"/>
        <v>0</v>
      </c>
      <c r="M32" s="84" t="str">
        <f t="shared" si="38"/>
        <v/>
      </c>
      <c r="N32" s="106" t="str">
        <f>IF($C32="","",VLOOKUP($C32,'SDDA Dogs'!$A:$O,14,FALSE))</f>
        <v/>
      </c>
      <c r="O32" s="137"/>
      <c r="P32" s="217"/>
      <c r="Q32" s="84" t="str">
        <f t="shared" si="39"/>
        <v/>
      </c>
      <c r="R32" s="105">
        <f t="shared" si="2"/>
        <v>0</v>
      </c>
      <c r="S32" s="84" t="str">
        <f t="shared" si="40"/>
        <v/>
      </c>
      <c r="T32" s="105">
        <f t="shared" si="3"/>
        <v>0</v>
      </c>
      <c r="U32" s="84" t="str">
        <f t="shared" si="41"/>
        <v/>
      </c>
      <c r="V32" s="106" t="str">
        <f>IF($C32="","",VLOOKUP($C32,'SDDA Dogs'!$A:$O,15,FALSE))</f>
        <v/>
      </c>
      <c r="W32" s="137"/>
      <c r="X32" s="217"/>
      <c r="Y32" s="84" t="str">
        <f t="shared" si="42"/>
        <v/>
      </c>
      <c r="Z32" s="105">
        <f t="shared" si="4"/>
        <v>0</v>
      </c>
      <c r="AA32" s="84" t="str">
        <f t="shared" si="43"/>
        <v/>
      </c>
      <c r="AB32" s="105">
        <f t="shared" si="5"/>
        <v>0</v>
      </c>
      <c r="AC32" s="84" t="str">
        <f t="shared" si="44"/>
        <v/>
      </c>
      <c r="AD32" s="92" t="str">
        <f t="shared" si="25"/>
        <v/>
      </c>
      <c r="AE32" s="89" t="str">
        <f t="shared" si="45"/>
        <v/>
      </c>
      <c r="AF32" s="104" t="str">
        <f t="shared" si="53"/>
        <v/>
      </c>
      <c r="AG32" s="107" t="str">
        <f t="shared" si="46"/>
        <v/>
      </c>
      <c r="AH32" s="92" t="str">
        <f t="shared" si="47"/>
        <v/>
      </c>
      <c r="AI32" s="89" t="str">
        <f t="shared" si="48"/>
        <v/>
      </c>
      <c r="AJ32" s="104" t="str">
        <f t="shared" si="49"/>
        <v/>
      </c>
      <c r="AK32" s="84" t="str">
        <f t="shared" si="50"/>
        <v/>
      </c>
      <c r="AL32" s="265" t="str">
        <f t="shared" si="51"/>
        <v/>
      </c>
      <c r="AM32" s="270">
        <f t="shared" si="6"/>
        <v>0</v>
      </c>
      <c r="AN32" s="270" t="str">
        <f t="shared" si="7"/>
        <v/>
      </c>
      <c r="AO32" s="270" t="str">
        <f t="shared" si="8"/>
        <v/>
      </c>
      <c r="AP32" s="270" t="str">
        <f t="shared" si="9"/>
        <v/>
      </c>
      <c r="AQ32" s="270">
        <f t="shared" si="52"/>
        <v>0</v>
      </c>
      <c r="AR32" s="316">
        <f>MIN(IFERROR(VLOOKUP($C32,'SDDA Dogs'!$A:$O,10,FALSE),0),IFERROR(VLOOKUP($C32,'SDDA Dogs'!$A:$O,11,FALSE),0),IFERROR(VLOOKUP($C32,'SDDA Dogs'!$A:$O,12,FALSE),0))</f>
        <v>0</v>
      </c>
      <c r="AS32" s="272"/>
      <c r="AT32" s="272"/>
      <c r="AU32" s="272" t="str">
        <f>IF(ISERROR(VLOOKUP(C32,'SDDA Dogs'!A:O,6,FALSE)),"",VLOOKUP(C32,'SDDA Dogs'!A:O,6,FALSE))</f>
        <v/>
      </c>
      <c r="AV32" s="270">
        <f t="shared" si="10"/>
        <v>0</v>
      </c>
      <c r="AW32" s="270">
        <f t="shared" si="11"/>
        <v>0</v>
      </c>
      <c r="AX32" s="273">
        <f t="shared" si="54"/>
        <v>0</v>
      </c>
      <c r="AY32" s="274"/>
      <c r="AZ32" s="275">
        <f t="shared" si="13"/>
        <v>0</v>
      </c>
      <c r="BA32" s="275">
        <f t="shared" si="14"/>
        <v>0</v>
      </c>
      <c r="BB32" s="276"/>
      <c r="BC32" s="262" t="str">
        <f>_xlfn.IFNA(IF(I32="Pass",IF(G32&gt;IFERROR(INDEX(DogInfo!A:B,MATCH(C32&amp;$BC$4,DogInfo!A:A,0),2),0),G32,INDEX(DogInfo!A:B,MATCH(C32&amp;$BC$4,DogInfo!A:A,0),2)),INDEX(DogInfo!A:B,MATCH(C32&amp;$BC$4,DogInfo!A:A,0),2)),"")</f>
        <v/>
      </c>
      <c r="BD32" s="262" t="str">
        <f>_xlfn.IFNA(IF(Q32="Pass",IF(O32&gt;IFERROR(INDEX(DogInfo!A:B,MATCH(C32&amp;$BD$4,DogInfo!A:A,0),2),0),O32,INDEX(DogInfo!A:B,MATCH(C32&amp;$BD$4,DogInfo!A:A,0),2)),INDEX(DogInfo!A:B,MATCH(C32&amp;$BD$4,DogInfo!A:A,0),2)),"")</f>
        <v/>
      </c>
      <c r="BE32" s="262" t="str">
        <f>_xlfn.IFNA(IF(Y32="Pass",IF(W32&gt;IFERROR(INDEX(DogInfo!A:B,MATCH(C32&amp;$BE$4,DogInfo!A:A,0),2),0),W32,INDEX(DogInfo!A:B,MATCH(C32&amp;$BE$4,DogInfo!A:A,0),2)),INDEX(DogInfo!A:B,MATCH(C32&amp;$BE$4,DogInfo!A:A,0),2)),"")</f>
        <v/>
      </c>
    </row>
    <row r="33" spans="1:57" x14ac:dyDescent="0.25">
      <c r="A33" s="99">
        <v>29</v>
      </c>
      <c r="B33" s="100"/>
      <c r="C33" s="101"/>
      <c r="D33" s="102" t="str">
        <f>IF($C33="","",VLOOKUP($C33,'SDDA Dogs'!$A:$F,2,FALSE))</f>
        <v/>
      </c>
      <c r="E33" s="211">
        <f t="shared" si="35"/>
        <v>1</v>
      </c>
      <c r="F33" s="103" t="str">
        <f>IF($C33="","",VLOOKUP($C33,'SDDA Dogs'!$A:$O,13,FALSE))</f>
        <v/>
      </c>
      <c r="G33" s="137"/>
      <c r="H33" s="217"/>
      <c r="I33" s="84" t="str">
        <f t="shared" si="36"/>
        <v/>
      </c>
      <c r="J33" s="105">
        <f t="shared" si="0"/>
        <v>0</v>
      </c>
      <c r="K33" s="84" t="str">
        <f t="shared" si="37"/>
        <v/>
      </c>
      <c r="L33" s="105">
        <f t="shared" si="1"/>
        <v>0</v>
      </c>
      <c r="M33" s="84" t="str">
        <f t="shared" si="38"/>
        <v/>
      </c>
      <c r="N33" s="106" t="str">
        <f>IF($C33="","",VLOOKUP($C33,'SDDA Dogs'!$A:$O,14,FALSE))</f>
        <v/>
      </c>
      <c r="O33" s="137"/>
      <c r="P33" s="217"/>
      <c r="Q33" s="84" t="str">
        <f t="shared" si="39"/>
        <v/>
      </c>
      <c r="R33" s="105">
        <f t="shared" si="2"/>
        <v>0</v>
      </c>
      <c r="S33" s="84" t="str">
        <f t="shared" si="40"/>
        <v/>
      </c>
      <c r="T33" s="105">
        <f t="shared" si="3"/>
        <v>0</v>
      </c>
      <c r="U33" s="84" t="str">
        <f t="shared" si="41"/>
        <v/>
      </c>
      <c r="V33" s="106" t="str">
        <f>IF($C33="","",VLOOKUP($C33,'SDDA Dogs'!$A:$O,15,FALSE))</f>
        <v/>
      </c>
      <c r="W33" s="137"/>
      <c r="X33" s="217"/>
      <c r="Y33" s="84" t="str">
        <f t="shared" si="42"/>
        <v/>
      </c>
      <c r="Z33" s="105">
        <f t="shared" si="4"/>
        <v>0</v>
      </c>
      <c r="AA33" s="84" t="str">
        <f t="shared" si="43"/>
        <v/>
      </c>
      <c r="AB33" s="105">
        <f t="shared" si="5"/>
        <v>0</v>
      </c>
      <c r="AC33" s="84" t="str">
        <f t="shared" si="44"/>
        <v/>
      </c>
      <c r="AD33" s="92" t="str">
        <f t="shared" si="25"/>
        <v/>
      </c>
      <c r="AE33" s="89" t="str">
        <f t="shared" si="45"/>
        <v/>
      </c>
      <c r="AF33" s="104" t="str">
        <f t="shared" si="53"/>
        <v/>
      </c>
      <c r="AG33" s="107" t="str">
        <f t="shared" si="46"/>
        <v/>
      </c>
      <c r="AH33" s="92" t="str">
        <f t="shared" si="47"/>
        <v/>
      </c>
      <c r="AI33" s="89" t="str">
        <f t="shared" si="48"/>
        <v/>
      </c>
      <c r="AJ33" s="104" t="str">
        <f t="shared" si="49"/>
        <v/>
      </c>
      <c r="AK33" s="84" t="str">
        <f t="shared" si="50"/>
        <v/>
      </c>
      <c r="AL33" s="265" t="str">
        <f t="shared" si="51"/>
        <v/>
      </c>
      <c r="AM33" s="270">
        <f t="shared" si="6"/>
        <v>0</v>
      </c>
      <c r="AN33" s="270" t="str">
        <f t="shared" si="7"/>
        <v/>
      </c>
      <c r="AO33" s="270" t="str">
        <f t="shared" si="8"/>
        <v/>
      </c>
      <c r="AP33" s="270" t="str">
        <f t="shared" si="9"/>
        <v/>
      </c>
      <c r="AQ33" s="270">
        <f t="shared" si="52"/>
        <v>0</v>
      </c>
      <c r="AR33" s="316">
        <f>MIN(IFERROR(VLOOKUP($C33,'SDDA Dogs'!$A:$O,10,FALSE),0),IFERROR(VLOOKUP($C33,'SDDA Dogs'!$A:$O,11,FALSE),0),IFERROR(VLOOKUP($C33,'SDDA Dogs'!$A:$O,12,FALSE),0))</f>
        <v>0</v>
      </c>
      <c r="AS33" s="272"/>
      <c r="AT33" s="272"/>
      <c r="AU33" s="272" t="str">
        <f>IF(ISERROR(VLOOKUP(C33,'SDDA Dogs'!A:O,6,FALSE)),"",VLOOKUP(C33,'SDDA Dogs'!A:O,6,FALSE))</f>
        <v/>
      </c>
      <c r="AV33" s="270">
        <f t="shared" si="10"/>
        <v>0</v>
      </c>
      <c r="AW33" s="270">
        <f t="shared" si="11"/>
        <v>0</v>
      </c>
      <c r="AX33" s="273">
        <f t="shared" si="54"/>
        <v>0</v>
      </c>
      <c r="AY33" s="274"/>
      <c r="AZ33" s="275">
        <f t="shared" si="13"/>
        <v>0</v>
      </c>
      <c r="BA33" s="275">
        <f t="shared" si="14"/>
        <v>0</v>
      </c>
      <c r="BB33" s="276"/>
      <c r="BC33" s="262" t="str">
        <f>_xlfn.IFNA(IF(I33="Pass",IF(G33&gt;IFERROR(INDEX(DogInfo!A:B,MATCH(C33&amp;$BC$4,DogInfo!A:A,0),2),0),G33,INDEX(DogInfo!A:B,MATCH(C33&amp;$BC$4,DogInfo!A:A,0),2)),INDEX(DogInfo!A:B,MATCH(C33&amp;$BC$4,DogInfo!A:A,0),2)),"")</f>
        <v/>
      </c>
      <c r="BD33" s="262" t="str">
        <f>_xlfn.IFNA(IF(Q33="Pass",IF(O33&gt;IFERROR(INDEX(DogInfo!A:B,MATCH(C33&amp;$BD$4,DogInfo!A:A,0),2),0),O33,INDEX(DogInfo!A:B,MATCH(C33&amp;$BD$4,DogInfo!A:A,0),2)),INDEX(DogInfo!A:B,MATCH(C33&amp;$BD$4,DogInfo!A:A,0),2)),"")</f>
        <v/>
      </c>
      <c r="BE33" s="262" t="str">
        <f>_xlfn.IFNA(IF(Y33="Pass",IF(W33&gt;IFERROR(INDEX(DogInfo!A:B,MATCH(C33&amp;$BE$4,DogInfo!A:A,0),2),0),W33,INDEX(DogInfo!A:B,MATCH(C33&amp;$BE$4,DogInfo!A:A,0),2)),INDEX(DogInfo!A:B,MATCH(C33&amp;$BE$4,DogInfo!A:A,0),2)),"")</f>
        <v/>
      </c>
    </row>
    <row r="34" spans="1:57" x14ac:dyDescent="0.25">
      <c r="A34" s="99">
        <v>30</v>
      </c>
      <c r="B34" s="100"/>
      <c r="C34" s="101"/>
      <c r="D34" s="102" t="str">
        <f>IF($C34="","",VLOOKUP($C34,'SDDA Dogs'!$A:$F,2,FALSE))</f>
        <v/>
      </c>
      <c r="E34" s="211">
        <f t="shared" si="35"/>
        <v>1</v>
      </c>
      <c r="F34" s="103" t="str">
        <f>IF($C34="","",VLOOKUP($C34,'SDDA Dogs'!$A:$O,13,FALSE))</f>
        <v/>
      </c>
      <c r="G34" s="137"/>
      <c r="H34" s="217"/>
      <c r="I34" s="84" t="str">
        <f t="shared" si="36"/>
        <v/>
      </c>
      <c r="J34" s="105">
        <f t="shared" si="0"/>
        <v>0</v>
      </c>
      <c r="K34" s="84" t="str">
        <f t="shared" si="37"/>
        <v/>
      </c>
      <c r="L34" s="105">
        <f t="shared" si="1"/>
        <v>0</v>
      </c>
      <c r="M34" s="84" t="str">
        <f t="shared" si="38"/>
        <v/>
      </c>
      <c r="N34" s="106" t="str">
        <f>IF($C34="","",VLOOKUP($C34,'SDDA Dogs'!$A:$O,14,FALSE))</f>
        <v/>
      </c>
      <c r="O34" s="137"/>
      <c r="P34" s="217"/>
      <c r="Q34" s="84" t="str">
        <f t="shared" si="39"/>
        <v/>
      </c>
      <c r="R34" s="105">
        <f t="shared" si="2"/>
        <v>0</v>
      </c>
      <c r="S34" s="84" t="str">
        <f t="shared" si="40"/>
        <v/>
      </c>
      <c r="T34" s="105">
        <f t="shared" si="3"/>
        <v>0</v>
      </c>
      <c r="U34" s="84" t="str">
        <f t="shared" si="41"/>
        <v/>
      </c>
      <c r="V34" s="106" t="str">
        <f>IF($C34="","",VLOOKUP($C34,'SDDA Dogs'!$A:$O,15,FALSE))</f>
        <v/>
      </c>
      <c r="W34" s="137"/>
      <c r="X34" s="217"/>
      <c r="Y34" s="84" t="str">
        <f t="shared" si="42"/>
        <v/>
      </c>
      <c r="Z34" s="105">
        <f t="shared" si="4"/>
        <v>0</v>
      </c>
      <c r="AA34" s="84" t="str">
        <f t="shared" si="43"/>
        <v/>
      </c>
      <c r="AB34" s="105">
        <f t="shared" si="5"/>
        <v>0</v>
      </c>
      <c r="AC34" s="84" t="str">
        <f t="shared" si="44"/>
        <v/>
      </c>
      <c r="AD34" s="92" t="str">
        <f t="shared" si="25"/>
        <v/>
      </c>
      <c r="AE34" s="89" t="str">
        <f t="shared" si="45"/>
        <v/>
      </c>
      <c r="AF34" s="104" t="str">
        <f t="shared" si="53"/>
        <v/>
      </c>
      <c r="AG34" s="107" t="str">
        <f t="shared" si="46"/>
        <v/>
      </c>
      <c r="AH34" s="92" t="str">
        <f t="shared" si="47"/>
        <v/>
      </c>
      <c r="AI34" s="89" t="str">
        <f t="shared" si="48"/>
        <v/>
      </c>
      <c r="AJ34" s="104" t="str">
        <f t="shared" si="49"/>
        <v/>
      </c>
      <c r="AK34" s="84" t="str">
        <f t="shared" si="50"/>
        <v/>
      </c>
      <c r="AL34" s="265" t="str">
        <f t="shared" si="51"/>
        <v/>
      </c>
      <c r="AM34" s="270">
        <f t="shared" si="6"/>
        <v>0</v>
      </c>
      <c r="AN34" s="270" t="str">
        <f t="shared" si="7"/>
        <v/>
      </c>
      <c r="AO34" s="270" t="str">
        <f t="shared" si="8"/>
        <v/>
      </c>
      <c r="AP34" s="270" t="str">
        <f t="shared" si="9"/>
        <v/>
      </c>
      <c r="AQ34" s="270">
        <f t="shared" si="52"/>
        <v>0</v>
      </c>
      <c r="AR34" s="316">
        <f>MIN(IFERROR(VLOOKUP($C34,'SDDA Dogs'!$A:$O,10,FALSE),0),IFERROR(VLOOKUP($C34,'SDDA Dogs'!$A:$O,11,FALSE),0),IFERROR(VLOOKUP($C34,'SDDA Dogs'!$A:$O,12,FALSE),0))</f>
        <v>0</v>
      </c>
      <c r="AS34" s="272"/>
      <c r="AT34" s="272"/>
      <c r="AU34" s="272" t="str">
        <f>IF(ISERROR(VLOOKUP(C34,'SDDA Dogs'!A:O,6,FALSE)),"",VLOOKUP(C34,'SDDA Dogs'!A:O,6,FALSE))</f>
        <v/>
      </c>
      <c r="AV34" s="270">
        <f t="shared" si="10"/>
        <v>0</v>
      </c>
      <c r="AW34" s="270">
        <f t="shared" si="11"/>
        <v>0</v>
      </c>
      <c r="AX34" s="273">
        <f t="shared" si="54"/>
        <v>0</v>
      </c>
      <c r="AY34" s="274"/>
      <c r="AZ34" s="275">
        <f t="shared" si="13"/>
        <v>0</v>
      </c>
      <c r="BA34" s="275">
        <f t="shared" si="14"/>
        <v>0</v>
      </c>
      <c r="BB34" s="276"/>
      <c r="BC34" s="262" t="str">
        <f>_xlfn.IFNA(IF(I34="Pass",IF(G34&gt;IFERROR(INDEX(DogInfo!A:B,MATCH(C34&amp;$BC$4,DogInfo!A:A,0),2),0),G34,INDEX(DogInfo!A:B,MATCH(C34&amp;$BC$4,DogInfo!A:A,0),2)),INDEX(DogInfo!A:B,MATCH(C34&amp;$BC$4,DogInfo!A:A,0),2)),"")</f>
        <v/>
      </c>
      <c r="BD34" s="262" t="str">
        <f>_xlfn.IFNA(IF(Q34="Pass",IF(O34&gt;IFERROR(INDEX(DogInfo!A:B,MATCH(C34&amp;$BD$4,DogInfo!A:A,0),2),0),O34,INDEX(DogInfo!A:B,MATCH(C34&amp;$BD$4,DogInfo!A:A,0),2)),INDEX(DogInfo!A:B,MATCH(C34&amp;$BD$4,DogInfo!A:A,0),2)),"")</f>
        <v/>
      </c>
      <c r="BE34" s="262" t="str">
        <f>_xlfn.IFNA(IF(Y34="Pass",IF(W34&gt;IFERROR(INDEX(DogInfo!A:B,MATCH(C34&amp;$BE$4,DogInfo!A:A,0),2),0),W34,INDEX(DogInfo!A:B,MATCH(C34&amp;$BE$4,DogInfo!A:A,0),2)),INDEX(DogInfo!A:B,MATCH(C34&amp;$BE$4,DogInfo!A:A,0),2)),"")</f>
        <v/>
      </c>
    </row>
    <row r="35" spans="1:57" x14ac:dyDescent="0.25">
      <c r="A35" s="99">
        <v>31</v>
      </c>
      <c r="B35" s="100"/>
      <c r="C35" s="101"/>
      <c r="D35" s="102" t="str">
        <f>IF($C35="","",VLOOKUP($C35,'SDDA Dogs'!$A:$F,2,FALSE))</f>
        <v/>
      </c>
      <c r="E35" s="211">
        <f t="shared" si="35"/>
        <v>1</v>
      </c>
      <c r="F35" s="103" t="str">
        <f>IF($C35="","",VLOOKUP($C35,'SDDA Dogs'!$A:$O,13,FALSE))</f>
        <v/>
      </c>
      <c r="G35" s="137"/>
      <c r="H35" s="217"/>
      <c r="I35" s="84" t="str">
        <f t="shared" si="36"/>
        <v/>
      </c>
      <c r="J35" s="105">
        <f t="shared" si="0"/>
        <v>0</v>
      </c>
      <c r="K35" s="84" t="str">
        <f t="shared" si="37"/>
        <v/>
      </c>
      <c r="L35" s="105">
        <f t="shared" si="1"/>
        <v>0</v>
      </c>
      <c r="M35" s="84" t="str">
        <f t="shared" si="38"/>
        <v/>
      </c>
      <c r="N35" s="106" t="str">
        <f>IF($C35="","",VLOOKUP($C35,'SDDA Dogs'!$A:$O,14,FALSE))</f>
        <v/>
      </c>
      <c r="O35" s="137"/>
      <c r="P35" s="217"/>
      <c r="Q35" s="84" t="str">
        <f t="shared" si="39"/>
        <v/>
      </c>
      <c r="R35" s="105">
        <f t="shared" si="2"/>
        <v>0</v>
      </c>
      <c r="S35" s="84" t="str">
        <f t="shared" si="40"/>
        <v/>
      </c>
      <c r="T35" s="105">
        <f t="shared" si="3"/>
        <v>0</v>
      </c>
      <c r="U35" s="84" t="str">
        <f t="shared" si="41"/>
        <v/>
      </c>
      <c r="V35" s="106" t="str">
        <f>IF($C35="","",VLOOKUP($C35,'SDDA Dogs'!$A:$O,15,FALSE))</f>
        <v/>
      </c>
      <c r="W35" s="137"/>
      <c r="X35" s="217"/>
      <c r="Y35" s="84" t="str">
        <f t="shared" si="42"/>
        <v/>
      </c>
      <c r="Z35" s="105">
        <f t="shared" si="4"/>
        <v>0</v>
      </c>
      <c r="AA35" s="84" t="str">
        <f t="shared" si="43"/>
        <v/>
      </c>
      <c r="AB35" s="105">
        <f t="shared" si="5"/>
        <v>0</v>
      </c>
      <c r="AC35" s="84" t="str">
        <f t="shared" si="44"/>
        <v/>
      </c>
      <c r="AD35" s="92" t="str">
        <f t="shared" si="25"/>
        <v/>
      </c>
      <c r="AE35" s="89" t="str">
        <f t="shared" si="45"/>
        <v/>
      </c>
      <c r="AF35" s="104" t="str">
        <f t="shared" si="53"/>
        <v/>
      </c>
      <c r="AG35" s="107" t="str">
        <f t="shared" si="46"/>
        <v/>
      </c>
      <c r="AH35" s="92" t="str">
        <f t="shared" si="47"/>
        <v/>
      </c>
      <c r="AI35" s="89" t="str">
        <f t="shared" si="48"/>
        <v/>
      </c>
      <c r="AJ35" s="104" t="str">
        <f t="shared" si="49"/>
        <v/>
      </c>
      <c r="AK35" s="84" t="str">
        <f t="shared" si="50"/>
        <v/>
      </c>
      <c r="AL35" s="265" t="str">
        <f t="shared" si="51"/>
        <v/>
      </c>
      <c r="AM35" s="270">
        <f t="shared" si="6"/>
        <v>0</v>
      </c>
      <c r="AN35" s="270" t="str">
        <f t="shared" si="7"/>
        <v/>
      </c>
      <c r="AO35" s="270" t="str">
        <f t="shared" si="8"/>
        <v/>
      </c>
      <c r="AP35" s="270" t="str">
        <f t="shared" si="9"/>
        <v/>
      </c>
      <c r="AQ35" s="270">
        <f t="shared" si="52"/>
        <v>0</v>
      </c>
      <c r="AR35" s="316">
        <f>MIN(IFERROR(VLOOKUP($C35,'SDDA Dogs'!$A:$O,10,FALSE),0),IFERROR(VLOOKUP($C35,'SDDA Dogs'!$A:$O,11,FALSE),0),IFERROR(VLOOKUP($C35,'SDDA Dogs'!$A:$O,12,FALSE),0))</f>
        <v>0</v>
      </c>
      <c r="AS35" s="272"/>
      <c r="AT35" s="272"/>
      <c r="AU35" s="272" t="str">
        <f>IF(ISERROR(VLOOKUP(C35,'SDDA Dogs'!A:O,6,FALSE)),"",VLOOKUP(C35,'SDDA Dogs'!A:O,6,FALSE))</f>
        <v/>
      </c>
      <c r="AV35" s="270">
        <f t="shared" si="10"/>
        <v>0</v>
      </c>
      <c r="AW35" s="270">
        <f t="shared" si="11"/>
        <v>0</v>
      </c>
      <c r="AX35" s="273">
        <f t="shared" si="54"/>
        <v>0</v>
      </c>
      <c r="AY35" s="274"/>
      <c r="AZ35" s="275">
        <f t="shared" si="13"/>
        <v>0</v>
      </c>
      <c r="BA35" s="275">
        <f t="shared" si="14"/>
        <v>0</v>
      </c>
      <c r="BB35" s="276"/>
      <c r="BC35" s="262" t="str">
        <f>_xlfn.IFNA(IF(I35="Pass",IF(G35&gt;IFERROR(INDEX(DogInfo!A:B,MATCH(C35&amp;$BC$4,DogInfo!A:A,0),2),0),G35,INDEX(DogInfo!A:B,MATCH(C35&amp;$BC$4,DogInfo!A:A,0),2)),INDEX(DogInfo!A:B,MATCH(C35&amp;$BC$4,DogInfo!A:A,0),2)),"")</f>
        <v/>
      </c>
      <c r="BD35" s="262" t="str">
        <f>_xlfn.IFNA(IF(Q35="Pass",IF(O35&gt;IFERROR(INDEX(DogInfo!A:B,MATCH(C35&amp;$BD$4,DogInfo!A:A,0),2),0),O35,INDEX(DogInfo!A:B,MATCH(C35&amp;$BD$4,DogInfo!A:A,0),2)),INDEX(DogInfo!A:B,MATCH(C35&amp;$BD$4,DogInfo!A:A,0),2)),"")</f>
        <v/>
      </c>
      <c r="BE35" s="262" t="str">
        <f>_xlfn.IFNA(IF(Y35="Pass",IF(W35&gt;IFERROR(INDEX(DogInfo!A:B,MATCH(C35&amp;$BE$4,DogInfo!A:A,0),2),0),W35,INDEX(DogInfo!A:B,MATCH(C35&amp;$BE$4,DogInfo!A:A,0),2)),INDEX(DogInfo!A:B,MATCH(C35&amp;$BE$4,DogInfo!A:A,0),2)),"")</f>
        <v/>
      </c>
    </row>
    <row r="36" spans="1:57" x14ac:dyDescent="0.25">
      <c r="A36" s="99">
        <v>32</v>
      </c>
      <c r="B36" s="100"/>
      <c r="C36" s="101"/>
      <c r="D36" s="102" t="str">
        <f>IF($C36="","",VLOOKUP($C36,'SDDA Dogs'!$A:$F,2,FALSE))</f>
        <v/>
      </c>
      <c r="E36" s="211">
        <f t="shared" si="35"/>
        <v>1</v>
      </c>
      <c r="F36" s="103" t="str">
        <f>IF($C36="","",VLOOKUP($C36,'SDDA Dogs'!$A:$O,13,FALSE))</f>
        <v/>
      </c>
      <c r="G36" s="137"/>
      <c r="H36" s="217"/>
      <c r="I36" s="84" t="str">
        <f t="shared" si="36"/>
        <v/>
      </c>
      <c r="J36" s="105">
        <f t="shared" si="0"/>
        <v>0</v>
      </c>
      <c r="K36" s="84" t="str">
        <f t="shared" si="37"/>
        <v/>
      </c>
      <c r="L36" s="105">
        <f t="shared" si="1"/>
        <v>0</v>
      </c>
      <c r="M36" s="84" t="str">
        <f t="shared" si="38"/>
        <v/>
      </c>
      <c r="N36" s="106" t="str">
        <f>IF($C36="","",VLOOKUP($C36,'SDDA Dogs'!$A:$O,14,FALSE))</f>
        <v/>
      </c>
      <c r="O36" s="137"/>
      <c r="P36" s="217"/>
      <c r="Q36" s="84" t="str">
        <f t="shared" si="39"/>
        <v/>
      </c>
      <c r="R36" s="105">
        <f t="shared" si="2"/>
        <v>0</v>
      </c>
      <c r="S36" s="84" t="str">
        <f t="shared" si="40"/>
        <v/>
      </c>
      <c r="T36" s="105">
        <f t="shared" si="3"/>
        <v>0</v>
      </c>
      <c r="U36" s="84" t="str">
        <f t="shared" si="41"/>
        <v/>
      </c>
      <c r="V36" s="106" t="str">
        <f>IF($C36="","",VLOOKUP($C36,'SDDA Dogs'!$A:$O,15,FALSE))</f>
        <v/>
      </c>
      <c r="W36" s="137"/>
      <c r="X36" s="217"/>
      <c r="Y36" s="84" t="str">
        <f t="shared" si="42"/>
        <v/>
      </c>
      <c r="Z36" s="105">
        <f t="shared" si="4"/>
        <v>0</v>
      </c>
      <c r="AA36" s="84" t="str">
        <f t="shared" si="43"/>
        <v/>
      </c>
      <c r="AB36" s="105">
        <f t="shared" si="5"/>
        <v>0</v>
      </c>
      <c r="AC36" s="84" t="str">
        <f t="shared" si="44"/>
        <v/>
      </c>
      <c r="AD36" s="92" t="str">
        <f t="shared" si="25"/>
        <v/>
      </c>
      <c r="AE36" s="89" t="str">
        <f t="shared" si="45"/>
        <v/>
      </c>
      <c r="AF36" s="104" t="str">
        <f t="shared" si="53"/>
        <v/>
      </c>
      <c r="AG36" s="107" t="str">
        <f t="shared" si="46"/>
        <v/>
      </c>
      <c r="AH36" s="92" t="str">
        <f t="shared" si="47"/>
        <v/>
      </c>
      <c r="AI36" s="89" t="str">
        <f t="shared" si="48"/>
        <v/>
      </c>
      <c r="AJ36" s="104" t="str">
        <f t="shared" si="49"/>
        <v/>
      </c>
      <c r="AK36" s="84" t="str">
        <f t="shared" si="50"/>
        <v/>
      </c>
      <c r="AL36" s="265" t="str">
        <f t="shared" si="51"/>
        <v/>
      </c>
      <c r="AM36" s="270">
        <f t="shared" si="6"/>
        <v>0</v>
      </c>
      <c r="AN36" s="270" t="str">
        <f t="shared" si="7"/>
        <v/>
      </c>
      <c r="AO36" s="270" t="str">
        <f t="shared" si="8"/>
        <v/>
      </c>
      <c r="AP36" s="270" t="str">
        <f t="shared" si="9"/>
        <v/>
      </c>
      <c r="AQ36" s="270">
        <f t="shared" si="52"/>
        <v>0</v>
      </c>
      <c r="AR36" s="316">
        <f>MIN(IFERROR(VLOOKUP($C36,'SDDA Dogs'!$A:$O,10,FALSE),0),IFERROR(VLOOKUP($C36,'SDDA Dogs'!$A:$O,11,FALSE),0),IFERROR(VLOOKUP($C36,'SDDA Dogs'!$A:$O,12,FALSE),0))</f>
        <v>0</v>
      </c>
      <c r="AS36" s="272"/>
      <c r="AT36" s="272"/>
      <c r="AU36" s="272" t="str">
        <f>IF(ISERROR(VLOOKUP(C36,'SDDA Dogs'!A:O,6,FALSE)),"",VLOOKUP(C36,'SDDA Dogs'!A:O,6,FALSE))</f>
        <v/>
      </c>
      <c r="AV36" s="270">
        <f t="shared" si="10"/>
        <v>0</v>
      </c>
      <c r="AW36" s="270">
        <f t="shared" si="11"/>
        <v>0</v>
      </c>
      <c r="AX36" s="273">
        <f t="shared" si="54"/>
        <v>0</v>
      </c>
      <c r="AY36" s="274"/>
      <c r="AZ36" s="275">
        <f t="shared" si="13"/>
        <v>0</v>
      </c>
      <c r="BA36" s="275">
        <f t="shared" si="14"/>
        <v>0</v>
      </c>
      <c r="BB36" s="276"/>
      <c r="BC36" s="262" t="str">
        <f>_xlfn.IFNA(IF(I36="Pass",IF(G36&gt;IFERROR(INDEX(DogInfo!A:B,MATCH(C36&amp;$BC$4,DogInfo!A:A,0),2),0),G36,INDEX(DogInfo!A:B,MATCH(C36&amp;$BC$4,DogInfo!A:A,0),2)),INDEX(DogInfo!A:B,MATCH(C36&amp;$BC$4,DogInfo!A:A,0),2)),"")</f>
        <v/>
      </c>
      <c r="BD36" s="262" t="str">
        <f>_xlfn.IFNA(IF(Q36="Pass",IF(O36&gt;IFERROR(INDEX(DogInfo!A:B,MATCH(C36&amp;$BD$4,DogInfo!A:A,0),2),0),O36,INDEX(DogInfo!A:B,MATCH(C36&amp;$BD$4,DogInfo!A:A,0),2)),INDEX(DogInfo!A:B,MATCH(C36&amp;$BD$4,DogInfo!A:A,0),2)),"")</f>
        <v/>
      </c>
      <c r="BE36" s="262" t="str">
        <f>_xlfn.IFNA(IF(Y36="Pass",IF(W36&gt;IFERROR(INDEX(DogInfo!A:B,MATCH(C36&amp;$BE$4,DogInfo!A:A,0),2),0),W36,INDEX(DogInfo!A:B,MATCH(C36&amp;$BE$4,DogInfo!A:A,0),2)),INDEX(DogInfo!A:B,MATCH(C36&amp;$BE$4,DogInfo!A:A,0),2)),"")</f>
        <v/>
      </c>
    </row>
    <row r="37" spans="1:57" x14ac:dyDescent="0.25">
      <c r="A37" s="99">
        <v>33</v>
      </c>
      <c r="B37" s="100"/>
      <c r="C37" s="101"/>
      <c r="D37" s="102" t="str">
        <f>IF($C37="","",VLOOKUP($C37,'SDDA Dogs'!$A:$F,2,FALSE))</f>
        <v/>
      </c>
      <c r="E37" s="211">
        <f t="shared" si="35"/>
        <v>1</v>
      </c>
      <c r="F37" s="103" t="str">
        <f>IF($C37="","",VLOOKUP($C37,'SDDA Dogs'!$A:$O,13,FALSE))</f>
        <v/>
      </c>
      <c r="G37" s="137"/>
      <c r="H37" s="217"/>
      <c r="I37" s="84" t="str">
        <f t="shared" si="36"/>
        <v/>
      </c>
      <c r="J37" s="105">
        <f t="shared" si="0"/>
        <v>0</v>
      </c>
      <c r="K37" s="84" t="str">
        <f t="shared" si="37"/>
        <v/>
      </c>
      <c r="L37" s="105">
        <f t="shared" si="1"/>
        <v>0</v>
      </c>
      <c r="M37" s="84" t="str">
        <f t="shared" si="38"/>
        <v/>
      </c>
      <c r="N37" s="106" t="str">
        <f>IF($C37="","",VLOOKUP($C37,'SDDA Dogs'!$A:$O,14,FALSE))</f>
        <v/>
      </c>
      <c r="O37" s="137"/>
      <c r="P37" s="217"/>
      <c r="Q37" s="84" t="str">
        <f t="shared" si="39"/>
        <v/>
      </c>
      <c r="R37" s="105">
        <f t="shared" si="2"/>
        <v>0</v>
      </c>
      <c r="S37" s="84" t="str">
        <f t="shared" si="40"/>
        <v/>
      </c>
      <c r="T37" s="105">
        <f t="shared" si="3"/>
        <v>0</v>
      </c>
      <c r="U37" s="84" t="str">
        <f t="shared" si="41"/>
        <v/>
      </c>
      <c r="V37" s="106" t="str">
        <f>IF($C37="","",VLOOKUP($C37,'SDDA Dogs'!$A:$O,15,FALSE))</f>
        <v/>
      </c>
      <c r="W37" s="137"/>
      <c r="X37" s="217"/>
      <c r="Y37" s="84" t="str">
        <f t="shared" si="42"/>
        <v/>
      </c>
      <c r="Z37" s="105">
        <f t="shared" si="4"/>
        <v>0</v>
      </c>
      <c r="AA37" s="84" t="str">
        <f t="shared" si="43"/>
        <v/>
      </c>
      <c r="AB37" s="105">
        <f t="shared" si="5"/>
        <v>0</v>
      </c>
      <c r="AC37" s="84" t="str">
        <f t="shared" si="44"/>
        <v/>
      </c>
      <c r="AD37" s="92" t="str">
        <f t="shared" si="25"/>
        <v/>
      </c>
      <c r="AE37" s="89" t="str">
        <f t="shared" si="45"/>
        <v/>
      </c>
      <c r="AF37" s="104" t="str">
        <f t="shared" si="53"/>
        <v/>
      </c>
      <c r="AG37" s="107" t="str">
        <f t="shared" si="46"/>
        <v/>
      </c>
      <c r="AH37" s="92" t="str">
        <f t="shared" si="47"/>
        <v/>
      </c>
      <c r="AI37" s="89" t="str">
        <f t="shared" si="48"/>
        <v/>
      </c>
      <c r="AJ37" s="104" t="str">
        <f t="shared" si="49"/>
        <v/>
      </c>
      <c r="AK37" s="84" t="str">
        <f t="shared" si="50"/>
        <v/>
      </c>
      <c r="AL37" s="265" t="str">
        <f t="shared" si="51"/>
        <v/>
      </c>
      <c r="AM37" s="270">
        <f t="shared" si="6"/>
        <v>0</v>
      </c>
      <c r="AN37" s="270" t="str">
        <f t="shared" si="7"/>
        <v/>
      </c>
      <c r="AO37" s="270" t="str">
        <f t="shared" si="8"/>
        <v/>
      </c>
      <c r="AP37" s="270" t="str">
        <f t="shared" si="9"/>
        <v/>
      </c>
      <c r="AQ37" s="270">
        <f t="shared" si="52"/>
        <v>0</v>
      </c>
      <c r="AR37" s="316">
        <f>MIN(IFERROR(VLOOKUP($C37,'SDDA Dogs'!$A:$O,10,FALSE),0),IFERROR(VLOOKUP($C37,'SDDA Dogs'!$A:$O,11,FALSE),0),IFERROR(VLOOKUP($C37,'SDDA Dogs'!$A:$O,12,FALSE),0))</f>
        <v>0</v>
      </c>
      <c r="AS37" s="272"/>
      <c r="AT37" s="272"/>
      <c r="AU37" s="272" t="str">
        <f>IF(ISERROR(VLOOKUP(C37,'SDDA Dogs'!A:O,6,FALSE)),"",VLOOKUP(C37,'SDDA Dogs'!A:O,6,FALSE))</f>
        <v/>
      </c>
      <c r="AV37" s="270">
        <f t="shared" si="10"/>
        <v>0</v>
      </c>
      <c r="AW37" s="270">
        <f t="shared" si="11"/>
        <v>0</v>
      </c>
      <c r="AX37" s="273">
        <f t="shared" si="54"/>
        <v>0</v>
      </c>
      <c r="AY37" s="274"/>
      <c r="AZ37" s="275">
        <f t="shared" ref="AZ37:AZ54" si="55">IF(AND(I37="Pass",Q37="Pass",Y37="Pass"),(G37+O37+W37)/((MinScoreCSA + MinScoreISA + MinScoreESA)*2),0)</f>
        <v>0</v>
      </c>
      <c r="BA37" s="275">
        <f t="shared" ref="BA37:BA54" si="56">IF(AND(I37="Pass",Q37="Pass",Y37="Pass"),(H37+P37+X37)/(MaxTmCSE+MaxTmESE+MaxTmISE),0)</f>
        <v>0</v>
      </c>
      <c r="BB37" s="276"/>
      <c r="BC37" s="262" t="str">
        <f>_xlfn.IFNA(IF(I37="Pass",IF(G37&gt;IFERROR(INDEX(DogInfo!A:B,MATCH(C37&amp;$BC$4,DogInfo!A:A,0),2),0),G37,INDEX(DogInfo!A:B,MATCH(C37&amp;$BC$4,DogInfo!A:A,0),2)),INDEX(DogInfo!A:B,MATCH(C37&amp;$BC$4,DogInfo!A:A,0),2)),"")</f>
        <v/>
      </c>
      <c r="BD37" s="262" t="str">
        <f>_xlfn.IFNA(IF(Q37="Pass",IF(O37&gt;IFERROR(INDEX(DogInfo!A:B,MATCH(C37&amp;$BD$4,DogInfo!A:A,0),2),0),O37,INDEX(DogInfo!A:B,MATCH(C37&amp;$BD$4,DogInfo!A:A,0),2)),INDEX(DogInfo!A:B,MATCH(C37&amp;$BD$4,DogInfo!A:A,0),2)),"")</f>
        <v/>
      </c>
      <c r="BE37" s="262" t="str">
        <f>_xlfn.IFNA(IF(Y37="Pass",IF(W37&gt;IFERROR(INDEX(DogInfo!A:B,MATCH(C37&amp;$BE$4,DogInfo!A:A,0),2),0),W37,INDEX(DogInfo!A:B,MATCH(C37&amp;$BE$4,DogInfo!A:A,0),2)),INDEX(DogInfo!A:B,MATCH(C37&amp;$BE$4,DogInfo!A:A,0),2)),"")</f>
        <v/>
      </c>
    </row>
    <row r="38" spans="1:57" x14ac:dyDescent="0.25">
      <c r="A38" s="99">
        <v>34</v>
      </c>
      <c r="B38" s="100"/>
      <c r="C38" s="101"/>
      <c r="D38" s="102" t="str">
        <f>IF($C38="","",VLOOKUP($C38,'SDDA Dogs'!$A:$F,2,FALSE))</f>
        <v/>
      </c>
      <c r="E38" s="211">
        <f t="shared" si="35"/>
        <v>1</v>
      </c>
      <c r="F38" s="103" t="str">
        <f>IF($C38="","",VLOOKUP($C38,'SDDA Dogs'!$A:$O,13,FALSE))</f>
        <v/>
      </c>
      <c r="G38" s="137"/>
      <c r="H38" s="217"/>
      <c r="I38" s="84" t="str">
        <f t="shared" si="36"/>
        <v/>
      </c>
      <c r="J38" s="105">
        <f t="shared" si="0"/>
        <v>0</v>
      </c>
      <c r="K38" s="84" t="str">
        <f t="shared" si="37"/>
        <v/>
      </c>
      <c r="L38" s="105">
        <f t="shared" si="1"/>
        <v>0</v>
      </c>
      <c r="M38" s="84" t="str">
        <f t="shared" si="38"/>
        <v/>
      </c>
      <c r="N38" s="106" t="str">
        <f>IF($C38="","",VLOOKUP($C38,'SDDA Dogs'!$A:$O,14,FALSE))</f>
        <v/>
      </c>
      <c r="O38" s="137"/>
      <c r="P38" s="217"/>
      <c r="Q38" s="84" t="str">
        <f t="shared" si="39"/>
        <v/>
      </c>
      <c r="R38" s="105">
        <f t="shared" si="2"/>
        <v>0</v>
      </c>
      <c r="S38" s="84" t="str">
        <f t="shared" si="40"/>
        <v/>
      </c>
      <c r="T38" s="105">
        <f t="shared" si="3"/>
        <v>0</v>
      </c>
      <c r="U38" s="84" t="str">
        <f t="shared" si="41"/>
        <v/>
      </c>
      <c r="V38" s="106" t="str">
        <f>IF($C38="","",VLOOKUP($C38,'SDDA Dogs'!$A:$O,15,FALSE))</f>
        <v/>
      </c>
      <c r="W38" s="137"/>
      <c r="X38" s="217"/>
      <c r="Y38" s="84" t="str">
        <f t="shared" si="42"/>
        <v/>
      </c>
      <c r="Z38" s="105">
        <f t="shared" si="4"/>
        <v>0</v>
      </c>
      <c r="AA38" s="84" t="str">
        <f t="shared" si="43"/>
        <v/>
      </c>
      <c r="AB38" s="105">
        <f t="shared" si="5"/>
        <v>0</v>
      </c>
      <c r="AC38" s="84" t="str">
        <f t="shared" si="44"/>
        <v/>
      </c>
      <c r="AD38" s="92" t="str">
        <f t="shared" si="25"/>
        <v/>
      </c>
      <c r="AE38" s="89" t="str">
        <f t="shared" si="45"/>
        <v/>
      </c>
      <c r="AF38" s="104" t="str">
        <f t="shared" si="53"/>
        <v/>
      </c>
      <c r="AG38" s="107" t="str">
        <f t="shared" si="46"/>
        <v/>
      </c>
      <c r="AH38" s="92" t="str">
        <f t="shared" si="47"/>
        <v/>
      </c>
      <c r="AI38" s="89" t="str">
        <f t="shared" si="48"/>
        <v/>
      </c>
      <c r="AJ38" s="104" t="str">
        <f t="shared" si="49"/>
        <v/>
      </c>
      <c r="AK38" s="84" t="str">
        <f t="shared" si="50"/>
        <v/>
      </c>
      <c r="AL38" s="265" t="str">
        <f t="shared" si="51"/>
        <v/>
      </c>
      <c r="AM38" s="270">
        <f t="shared" si="6"/>
        <v>0</v>
      </c>
      <c r="AN38" s="270" t="str">
        <f t="shared" si="7"/>
        <v/>
      </c>
      <c r="AO38" s="270" t="str">
        <f t="shared" si="8"/>
        <v/>
      </c>
      <c r="AP38" s="270" t="str">
        <f t="shared" si="9"/>
        <v/>
      </c>
      <c r="AQ38" s="270">
        <f t="shared" si="52"/>
        <v>0</v>
      </c>
      <c r="AR38" s="316">
        <f>MIN(IFERROR(VLOOKUP($C38,'SDDA Dogs'!$A:$O,10,FALSE),0),IFERROR(VLOOKUP($C38,'SDDA Dogs'!$A:$O,11,FALSE),0),IFERROR(VLOOKUP($C38,'SDDA Dogs'!$A:$O,12,FALSE),0))</f>
        <v>0</v>
      </c>
      <c r="AS38" s="272"/>
      <c r="AT38" s="272"/>
      <c r="AU38" s="272" t="str">
        <f>IF(ISERROR(VLOOKUP(C38,'SDDA Dogs'!A:O,6,FALSE)),"",VLOOKUP(C38,'SDDA Dogs'!A:O,6,FALSE))</f>
        <v/>
      </c>
      <c r="AV38" s="270">
        <f t="shared" si="10"/>
        <v>0</v>
      </c>
      <c r="AW38" s="270">
        <f t="shared" si="11"/>
        <v>0</v>
      </c>
      <c r="AX38" s="273">
        <f t="shared" si="54"/>
        <v>0</v>
      </c>
      <c r="AY38" s="274"/>
      <c r="AZ38" s="275">
        <f t="shared" si="55"/>
        <v>0</v>
      </c>
      <c r="BA38" s="275">
        <f t="shared" si="56"/>
        <v>0</v>
      </c>
      <c r="BB38" s="276"/>
      <c r="BC38" s="262" t="str">
        <f>_xlfn.IFNA(IF(I38="Pass",IF(G38&gt;IFERROR(INDEX(DogInfo!A:B,MATCH(C38&amp;$BC$4,DogInfo!A:A,0),2),0),G38,INDEX(DogInfo!A:B,MATCH(C38&amp;$BC$4,DogInfo!A:A,0),2)),INDEX(DogInfo!A:B,MATCH(C38&amp;$BC$4,DogInfo!A:A,0),2)),"")</f>
        <v/>
      </c>
      <c r="BD38" s="262" t="str">
        <f>_xlfn.IFNA(IF(Q38="Pass",IF(O38&gt;IFERROR(INDEX(DogInfo!A:B,MATCH(C38&amp;$BD$4,DogInfo!A:A,0),2),0),O38,INDEX(DogInfo!A:B,MATCH(C38&amp;$BD$4,DogInfo!A:A,0),2)),INDEX(DogInfo!A:B,MATCH(C38&amp;$BD$4,DogInfo!A:A,0),2)),"")</f>
        <v/>
      </c>
      <c r="BE38" s="262" t="str">
        <f>_xlfn.IFNA(IF(Y38="Pass",IF(W38&gt;IFERROR(INDEX(DogInfo!A:B,MATCH(C38&amp;$BE$4,DogInfo!A:A,0),2),0),W38,INDEX(DogInfo!A:B,MATCH(C38&amp;$BE$4,DogInfo!A:A,0),2)),INDEX(DogInfo!A:B,MATCH(C38&amp;$BE$4,DogInfo!A:A,0),2)),"")</f>
        <v/>
      </c>
    </row>
    <row r="39" spans="1:57" x14ac:dyDescent="0.25">
      <c r="A39" s="99">
        <v>35</v>
      </c>
      <c r="B39" s="100"/>
      <c r="C39" s="101"/>
      <c r="D39" s="102" t="str">
        <f>IF($C39="","",VLOOKUP($C39,'SDDA Dogs'!$A:$F,2,FALSE))</f>
        <v/>
      </c>
      <c r="E39" s="211">
        <f t="shared" si="35"/>
        <v>1</v>
      </c>
      <c r="F39" s="103" t="str">
        <f>IF($C39="","",VLOOKUP($C39,'SDDA Dogs'!$A:$O,13,FALSE))</f>
        <v/>
      </c>
      <c r="G39" s="137"/>
      <c r="H39" s="217"/>
      <c r="I39" s="84" t="str">
        <f t="shared" si="36"/>
        <v/>
      </c>
      <c r="J39" s="105">
        <f t="shared" si="0"/>
        <v>0</v>
      </c>
      <c r="K39" s="84" t="str">
        <f t="shared" si="37"/>
        <v/>
      </c>
      <c r="L39" s="105">
        <f t="shared" si="1"/>
        <v>0</v>
      </c>
      <c r="M39" s="84" t="str">
        <f t="shared" si="38"/>
        <v/>
      </c>
      <c r="N39" s="106" t="str">
        <f>IF($C39="","",VLOOKUP($C39,'SDDA Dogs'!$A:$O,14,FALSE))</f>
        <v/>
      </c>
      <c r="O39" s="137"/>
      <c r="P39" s="217"/>
      <c r="Q39" s="84" t="str">
        <f t="shared" si="39"/>
        <v/>
      </c>
      <c r="R39" s="105">
        <f t="shared" si="2"/>
        <v>0</v>
      </c>
      <c r="S39" s="84" t="str">
        <f t="shared" si="40"/>
        <v/>
      </c>
      <c r="T39" s="105">
        <f t="shared" si="3"/>
        <v>0</v>
      </c>
      <c r="U39" s="84" t="str">
        <f t="shared" si="41"/>
        <v/>
      </c>
      <c r="V39" s="106" t="str">
        <f>IF($C39="","",VLOOKUP($C39,'SDDA Dogs'!$A:$O,15,FALSE))</f>
        <v/>
      </c>
      <c r="W39" s="137"/>
      <c r="X39" s="217"/>
      <c r="Y39" s="84" t="str">
        <f t="shared" si="42"/>
        <v/>
      </c>
      <c r="Z39" s="105">
        <f t="shared" si="4"/>
        <v>0</v>
      </c>
      <c r="AA39" s="84" t="str">
        <f t="shared" si="43"/>
        <v/>
      </c>
      <c r="AB39" s="105">
        <f t="shared" si="5"/>
        <v>0</v>
      </c>
      <c r="AC39" s="84" t="str">
        <f t="shared" si="44"/>
        <v/>
      </c>
      <c r="AD39" s="92" t="str">
        <f t="shared" si="25"/>
        <v/>
      </c>
      <c r="AE39" s="89" t="str">
        <f t="shared" si="45"/>
        <v/>
      </c>
      <c r="AF39" s="104" t="str">
        <f t="shared" si="53"/>
        <v/>
      </c>
      <c r="AG39" s="107" t="str">
        <f t="shared" si="46"/>
        <v/>
      </c>
      <c r="AH39" s="92" t="str">
        <f t="shared" si="47"/>
        <v/>
      </c>
      <c r="AI39" s="89" t="str">
        <f t="shared" si="48"/>
        <v/>
      </c>
      <c r="AJ39" s="104" t="str">
        <f t="shared" si="49"/>
        <v/>
      </c>
      <c r="AK39" s="84" t="str">
        <f t="shared" si="50"/>
        <v/>
      </c>
      <c r="AL39" s="265" t="str">
        <f t="shared" si="51"/>
        <v/>
      </c>
      <c r="AM39" s="270">
        <f t="shared" si="6"/>
        <v>0</v>
      </c>
      <c r="AN39" s="270" t="str">
        <f t="shared" si="7"/>
        <v/>
      </c>
      <c r="AO39" s="270" t="str">
        <f t="shared" si="8"/>
        <v/>
      </c>
      <c r="AP39" s="270" t="str">
        <f t="shared" si="9"/>
        <v/>
      </c>
      <c r="AQ39" s="270">
        <f t="shared" si="52"/>
        <v>0</v>
      </c>
      <c r="AR39" s="316">
        <f>MIN(IFERROR(VLOOKUP($C39,'SDDA Dogs'!$A:$O,10,FALSE),0),IFERROR(VLOOKUP($C39,'SDDA Dogs'!$A:$O,11,FALSE),0),IFERROR(VLOOKUP($C39,'SDDA Dogs'!$A:$O,12,FALSE),0))</f>
        <v>0</v>
      </c>
      <c r="AS39" s="272"/>
      <c r="AT39" s="272"/>
      <c r="AU39" s="272" t="str">
        <f>IF(ISERROR(VLOOKUP(C39,'SDDA Dogs'!A:O,6,FALSE)),"",VLOOKUP(C39,'SDDA Dogs'!A:O,6,FALSE))</f>
        <v/>
      </c>
      <c r="AV39" s="270">
        <f t="shared" si="10"/>
        <v>0</v>
      </c>
      <c r="AW39" s="270">
        <f t="shared" si="11"/>
        <v>0</v>
      </c>
      <c r="AX39" s="273">
        <f t="shared" si="54"/>
        <v>0</v>
      </c>
      <c r="AY39" s="274"/>
      <c r="AZ39" s="275">
        <f t="shared" si="55"/>
        <v>0</v>
      </c>
      <c r="BA39" s="275">
        <f t="shared" si="56"/>
        <v>0</v>
      </c>
      <c r="BB39" s="276"/>
      <c r="BC39" s="262" t="str">
        <f>_xlfn.IFNA(IF(I39="Pass",IF(G39&gt;IFERROR(INDEX(DogInfo!A:B,MATCH(C39&amp;$BC$4,DogInfo!A:A,0),2),0),G39,INDEX(DogInfo!A:B,MATCH(C39&amp;$BC$4,DogInfo!A:A,0),2)),INDEX(DogInfo!A:B,MATCH(C39&amp;$BC$4,DogInfo!A:A,0),2)),"")</f>
        <v/>
      </c>
      <c r="BD39" s="262" t="str">
        <f>_xlfn.IFNA(IF(Q39="Pass",IF(O39&gt;IFERROR(INDEX(DogInfo!A:B,MATCH(C39&amp;$BD$4,DogInfo!A:A,0),2),0),O39,INDEX(DogInfo!A:B,MATCH(C39&amp;$BD$4,DogInfo!A:A,0),2)),INDEX(DogInfo!A:B,MATCH(C39&amp;$BD$4,DogInfo!A:A,0),2)),"")</f>
        <v/>
      </c>
      <c r="BE39" s="262" t="str">
        <f>_xlfn.IFNA(IF(Y39="Pass",IF(W39&gt;IFERROR(INDEX(DogInfo!A:B,MATCH(C39&amp;$BE$4,DogInfo!A:A,0),2),0),W39,INDEX(DogInfo!A:B,MATCH(C39&amp;$BE$4,DogInfo!A:A,0),2)),INDEX(DogInfo!A:B,MATCH(C39&amp;$BE$4,DogInfo!A:A,0),2)),"")</f>
        <v/>
      </c>
    </row>
    <row r="40" spans="1:57" x14ac:dyDescent="0.25">
      <c r="A40" s="99">
        <v>36</v>
      </c>
      <c r="B40" s="100"/>
      <c r="C40" s="101"/>
      <c r="D40" s="102" t="str">
        <f>IF($C40="","",VLOOKUP($C40,'SDDA Dogs'!$A:$F,2,FALSE))</f>
        <v/>
      </c>
      <c r="E40" s="211">
        <f t="shared" si="35"/>
        <v>1</v>
      </c>
      <c r="F40" s="103" t="str">
        <f>IF($C40="","",VLOOKUP($C40,'SDDA Dogs'!$A:$O,13,FALSE))</f>
        <v/>
      </c>
      <c r="G40" s="137"/>
      <c r="H40" s="217"/>
      <c r="I40" s="84" t="str">
        <f t="shared" si="36"/>
        <v/>
      </c>
      <c r="J40" s="105">
        <f t="shared" si="0"/>
        <v>0</v>
      </c>
      <c r="K40" s="84" t="str">
        <f t="shared" si="37"/>
        <v/>
      </c>
      <c r="L40" s="105">
        <f t="shared" si="1"/>
        <v>0</v>
      </c>
      <c r="M40" s="84" t="str">
        <f t="shared" si="38"/>
        <v/>
      </c>
      <c r="N40" s="106" t="str">
        <f>IF($C40="","",VLOOKUP($C40,'SDDA Dogs'!$A:$O,14,FALSE))</f>
        <v/>
      </c>
      <c r="O40" s="137"/>
      <c r="P40" s="217"/>
      <c r="Q40" s="84" t="str">
        <f t="shared" si="39"/>
        <v/>
      </c>
      <c r="R40" s="105">
        <f t="shared" si="2"/>
        <v>0</v>
      </c>
      <c r="S40" s="84" t="str">
        <f t="shared" si="40"/>
        <v/>
      </c>
      <c r="T40" s="105">
        <f t="shared" si="3"/>
        <v>0</v>
      </c>
      <c r="U40" s="84" t="str">
        <f t="shared" si="41"/>
        <v/>
      </c>
      <c r="V40" s="106" t="str">
        <f>IF($C40="","",VLOOKUP($C40,'SDDA Dogs'!$A:$O,15,FALSE))</f>
        <v/>
      </c>
      <c r="W40" s="137"/>
      <c r="X40" s="217"/>
      <c r="Y40" s="84" t="str">
        <f t="shared" si="42"/>
        <v/>
      </c>
      <c r="Z40" s="105">
        <f t="shared" si="4"/>
        <v>0</v>
      </c>
      <c r="AA40" s="84" t="str">
        <f t="shared" si="43"/>
        <v/>
      </c>
      <c r="AB40" s="105">
        <f t="shared" si="5"/>
        <v>0</v>
      </c>
      <c r="AC40" s="84" t="str">
        <f t="shared" si="44"/>
        <v/>
      </c>
      <c r="AD40" s="92" t="str">
        <f t="shared" si="25"/>
        <v/>
      </c>
      <c r="AE40" s="89" t="str">
        <f t="shared" si="45"/>
        <v/>
      </c>
      <c r="AF40" s="104" t="str">
        <f t="shared" si="53"/>
        <v/>
      </c>
      <c r="AG40" s="107" t="str">
        <f t="shared" si="46"/>
        <v/>
      </c>
      <c r="AH40" s="92" t="str">
        <f t="shared" si="47"/>
        <v/>
      </c>
      <c r="AI40" s="89" t="str">
        <f t="shared" si="48"/>
        <v/>
      </c>
      <c r="AJ40" s="104" t="str">
        <f t="shared" si="49"/>
        <v/>
      </c>
      <c r="AK40" s="84" t="str">
        <f t="shared" si="50"/>
        <v/>
      </c>
      <c r="AL40" s="265" t="str">
        <f t="shared" si="51"/>
        <v/>
      </c>
      <c r="AM40" s="270">
        <f t="shared" si="6"/>
        <v>0</v>
      </c>
      <c r="AN40" s="270" t="str">
        <f t="shared" si="7"/>
        <v/>
      </c>
      <c r="AO40" s="270" t="str">
        <f t="shared" si="8"/>
        <v/>
      </c>
      <c r="AP40" s="270" t="str">
        <f t="shared" si="9"/>
        <v/>
      </c>
      <c r="AQ40" s="270">
        <f t="shared" si="52"/>
        <v>0</v>
      </c>
      <c r="AR40" s="316">
        <f>MIN(IFERROR(VLOOKUP($C40,'SDDA Dogs'!$A:$O,10,FALSE),0),IFERROR(VLOOKUP($C40,'SDDA Dogs'!$A:$O,11,FALSE),0),IFERROR(VLOOKUP($C40,'SDDA Dogs'!$A:$O,12,FALSE),0))</f>
        <v>0</v>
      </c>
      <c r="AS40" s="272"/>
      <c r="AT40" s="272"/>
      <c r="AU40" s="272" t="str">
        <f>IF(ISERROR(VLOOKUP(C40,'SDDA Dogs'!A:O,6,FALSE)),"",VLOOKUP(C40,'SDDA Dogs'!A:O,6,FALSE))</f>
        <v/>
      </c>
      <c r="AV40" s="270">
        <f t="shared" si="10"/>
        <v>0</v>
      </c>
      <c r="AW40" s="270">
        <f t="shared" si="11"/>
        <v>0</v>
      </c>
      <c r="AX40" s="273">
        <f t="shared" si="54"/>
        <v>0</v>
      </c>
      <c r="AY40" s="274"/>
      <c r="AZ40" s="275">
        <f t="shared" si="55"/>
        <v>0</v>
      </c>
      <c r="BA40" s="275">
        <f t="shared" si="56"/>
        <v>0</v>
      </c>
      <c r="BB40" s="276"/>
      <c r="BC40" s="262" t="str">
        <f>_xlfn.IFNA(IF(I40="Pass",IF(G40&gt;IFERROR(INDEX(DogInfo!A:B,MATCH(C40&amp;$BC$4,DogInfo!A:A,0),2),0),G40,INDEX(DogInfo!A:B,MATCH(C40&amp;$BC$4,DogInfo!A:A,0),2)),INDEX(DogInfo!A:B,MATCH(C40&amp;$BC$4,DogInfo!A:A,0),2)),"")</f>
        <v/>
      </c>
      <c r="BD40" s="262" t="str">
        <f>_xlfn.IFNA(IF(Q40="Pass",IF(O40&gt;IFERROR(INDEX(DogInfo!A:B,MATCH(C40&amp;$BD$4,DogInfo!A:A,0),2),0),O40,INDEX(DogInfo!A:B,MATCH(C40&amp;$BD$4,DogInfo!A:A,0),2)),INDEX(DogInfo!A:B,MATCH(C40&amp;$BD$4,DogInfo!A:A,0),2)),"")</f>
        <v/>
      </c>
      <c r="BE40" s="262" t="str">
        <f>_xlfn.IFNA(IF(Y40="Pass",IF(W40&gt;IFERROR(INDEX(DogInfo!A:B,MATCH(C40&amp;$BE$4,DogInfo!A:A,0),2),0),W40,INDEX(DogInfo!A:B,MATCH(C40&amp;$BE$4,DogInfo!A:A,0),2)),INDEX(DogInfo!A:B,MATCH(C40&amp;$BE$4,DogInfo!A:A,0),2)),"")</f>
        <v/>
      </c>
    </row>
    <row r="41" spans="1:57" x14ac:dyDescent="0.25">
      <c r="A41" s="99">
        <v>37</v>
      </c>
      <c r="B41" s="100"/>
      <c r="C41" s="101"/>
      <c r="D41" s="102" t="str">
        <f>IF($C41="","",VLOOKUP($C41,'SDDA Dogs'!$A:$F,2,FALSE))</f>
        <v/>
      </c>
      <c r="E41" s="211">
        <f t="shared" si="35"/>
        <v>1</v>
      </c>
      <c r="F41" s="103" t="str">
        <f>IF($C41="","",VLOOKUP($C41,'SDDA Dogs'!$A:$O,13,FALSE))</f>
        <v/>
      </c>
      <c r="G41" s="137"/>
      <c r="H41" s="217"/>
      <c r="I41" s="84" t="str">
        <f t="shared" si="36"/>
        <v/>
      </c>
      <c r="J41" s="105">
        <f t="shared" si="0"/>
        <v>0</v>
      </c>
      <c r="K41" s="84" t="str">
        <f t="shared" si="37"/>
        <v/>
      </c>
      <c r="L41" s="105">
        <f t="shared" si="1"/>
        <v>0</v>
      </c>
      <c r="M41" s="84" t="str">
        <f t="shared" si="38"/>
        <v/>
      </c>
      <c r="N41" s="106" t="str">
        <f>IF($C41="","",VLOOKUP($C41,'SDDA Dogs'!$A:$O,14,FALSE))</f>
        <v/>
      </c>
      <c r="O41" s="137"/>
      <c r="P41" s="217"/>
      <c r="Q41" s="84" t="str">
        <f t="shared" si="39"/>
        <v/>
      </c>
      <c r="R41" s="105">
        <f t="shared" si="2"/>
        <v>0</v>
      </c>
      <c r="S41" s="84" t="str">
        <f t="shared" si="40"/>
        <v/>
      </c>
      <c r="T41" s="105">
        <f t="shared" si="3"/>
        <v>0</v>
      </c>
      <c r="U41" s="84" t="str">
        <f t="shared" si="41"/>
        <v/>
      </c>
      <c r="V41" s="106" t="str">
        <f>IF($C41="","",VLOOKUP($C41,'SDDA Dogs'!$A:$O,15,FALSE))</f>
        <v/>
      </c>
      <c r="W41" s="137"/>
      <c r="X41" s="217"/>
      <c r="Y41" s="84" t="str">
        <f t="shared" si="42"/>
        <v/>
      </c>
      <c r="Z41" s="105">
        <f t="shared" si="4"/>
        <v>0</v>
      </c>
      <c r="AA41" s="84" t="str">
        <f t="shared" si="43"/>
        <v/>
      </c>
      <c r="AB41" s="105">
        <f t="shared" si="5"/>
        <v>0</v>
      </c>
      <c r="AC41" s="84" t="str">
        <f t="shared" si="44"/>
        <v/>
      </c>
      <c r="AD41" s="92" t="str">
        <f t="shared" si="25"/>
        <v/>
      </c>
      <c r="AE41" s="89" t="str">
        <f t="shared" si="45"/>
        <v/>
      </c>
      <c r="AF41" s="104" t="str">
        <f t="shared" si="53"/>
        <v/>
      </c>
      <c r="AG41" s="107" t="str">
        <f t="shared" si="46"/>
        <v/>
      </c>
      <c r="AH41" s="92" t="str">
        <f t="shared" si="47"/>
        <v/>
      </c>
      <c r="AI41" s="89" t="str">
        <f t="shared" si="48"/>
        <v/>
      </c>
      <c r="AJ41" s="104" t="str">
        <f t="shared" si="49"/>
        <v/>
      </c>
      <c r="AK41" s="84" t="str">
        <f t="shared" si="50"/>
        <v/>
      </c>
      <c r="AL41" s="265" t="str">
        <f t="shared" si="51"/>
        <v/>
      </c>
      <c r="AM41" s="270">
        <f t="shared" si="6"/>
        <v>0</v>
      </c>
      <c r="AN41" s="270" t="str">
        <f t="shared" si="7"/>
        <v/>
      </c>
      <c r="AO41" s="270" t="str">
        <f t="shared" si="8"/>
        <v/>
      </c>
      <c r="AP41" s="270" t="str">
        <f t="shared" si="9"/>
        <v/>
      </c>
      <c r="AQ41" s="270">
        <f t="shared" si="52"/>
        <v>0</v>
      </c>
      <c r="AR41" s="316">
        <f>MIN(IFERROR(VLOOKUP($C41,'SDDA Dogs'!$A:$O,10,FALSE),0),IFERROR(VLOOKUP($C41,'SDDA Dogs'!$A:$O,11,FALSE),0),IFERROR(VLOOKUP($C41,'SDDA Dogs'!$A:$O,12,FALSE),0))</f>
        <v>0</v>
      </c>
      <c r="AS41" s="272"/>
      <c r="AT41" s="272"/>
      <c r="AU41" s="272" t="str">
        <f>IF(ISERROR(VLOOKUP(C41,'SDDA Dogs'!A:O,6,FALSE)),"",VLOOKUP(C41,'SDDA Dogs'!A:O,6,FALSE))</f>
        <v/>
      </c>
      <c r="AV41" s="270">
        <f t="shared" si="10"/>
        <v>0</v>
      </c>
      <c r="AW41" s="270">
        <f t="shared" si="11"/>
        <v>0</v>
      </c>
      <c r="AX41" s="273">
        <f t="shared" si="54"/>
        <v>0</v>
      </c>
      <c r="AY41" s="274"/>
      <c r="AZ41" s="275">
        <f t="shared" si="55"/>
        <v>0</v>
      </c>
      <c r="BA41" s="275">
        <f t="shared" si="56"/>
        <v>0</v>
      </c>
      <c r="BB41" s="276"/>
      <c r="BC41" s="262" t="str">
        <f>_xlfn.IFNA(IF(I41="Pass",IF(G41&gt;IFERROR(INDEX(DogInfo!A:B,MATCH(C41&amp;$BC$4,DogInfo!A:A,0),2),0),G41,INDEX(DogInfo!A:B,MATCH(C41&amp;$BC$4,DogInfo!A:A,0),2)),INDEX(DogInfo!A:B,MATCH(C41&amp;$BC$4,DogInfo!A:A,0),2)),"")</f>
        <v/>
      </c>
      <c r="BD41" s="262" t="str">
        <f>_xlfn.IFNA(IF(Q41="Pass",IF(O41&gt;IFERROR(INDEX(DogInfo!A:B,MATCH(C41&amp;$BD$4,DogInfo!A:A,0),2),0),O41,INDEX(DogInfo!A:B,MATCH(C41&amp;$BD$4,DogInfo!A:A,0),2)),INDEX(DogInfo!A:B,MATCH(C41&amp;$BD$4,DogInfo!A:A,0),2)),"")</f>
        <v/>
      </c>
      <c r="BE41" s="262" t="str">
        <f>_xlfn.IFNA(IF(Y41="Pass",IF(W41&gt;IFERROR(INDEX(DogInfo!A:B,MATCH(C41&amp;$BE$4,DogInfo!A:A,0),2),0),W41,INDEX(DogInfo!A:B,MATCH(C41&amp;$BE$4,DogInfo!A:A,0),2)),INDEX(DogInfo!A:B,MATCH(C41&amp;$BE$4,DogInfo!A:A,0),2)),"")</f>
        <v/>
      </c>
    </row>
    <row r="42" spans="1:57" x14ac:dyDescent="0.25">
      <c r="A42" s="99">
        <v>38</v>
      </c>
      <c r="B42" s="100"/>
      <c r="C42" s="101"/>
      <c r="D42" s="102" t="str">
        <f>IF($C42="","",VLOOKUP($C42,'SDDA Dogs'!$A:$F,2,FALSE))</f>
        <v/>
      </c>
      <c r="E42" s="211">
        <f t="shared" si="35"/>
        <v>1</v>
      </c>
      <c r="F42" s="103" t="str">
        <f>IF($C42="","",VLOOKUP($C42,'SDDA Dogs'!$A:$O,13,FALSE))</f>
        <v/>
      </c>
      <c r="G42" s="137"/>
      <c r="H42" s="217"/>
      <c r="I42" s="84" t="str">
        <f t="shared" si="36"/>
        <v/>
      </c>
      <c r="J42" s="105">
        <f t="shared" si="0"/>
        <v>0</v>
      </c>
      <c r="K42" s="84" t="str">
        <f t="shared" si="37"/>
        <v/>
      </c>
      <c r="L42" s="105">
        <f t="shared" si="1"/>
        <v>0</v>
      </c>
      <c r="M42" s="84" t="str">
        <f t="shared" si="38"/>
        <v/>
      </c>
      <c r="N42" s="106" t="str">
        <f>IF($C42="","",VLOOKUP($C42,'SDDA Dogs'!$A:$O,14,FALSE))</f>
        <v/>
      </c>
      <c r="O42" s="137"/>
      <c r="P42" s="217"/>
      <c r="Q42" s="84" t="str">
        <f t="shared" si="39"/>
        <v/>
      </c>
      <c r="R42" s="105">
        <f t="shared" si="2"/>
        <v>0</v>
      </c>
      <c r="S42" s="84" t="str">
        <f t="shared" si="40"/>
        <v/>
      </c>
      <c r="T42" s="105">
        <f t="shared" si="3"/>
        <v>0</v>
      </c>
      <c r="U42" s="84" t="str">
        <f t="shared" si="41"/>
        <v/>
      </c>
      <c r="V42" s="106" t="str">
        <f>IF($C42="","",VLOOKUP($C42,'SDDA Dogs'!$A:$O,15,FALSE))</f>
        <v/>
      </c>
      <c r="W42" s="137"/>
      <c r="X42" s="217"/>
      <c r="Y42" s="84" t="str">
        <f t="shared" si="42"/>
        <v/>
      </c>
      <c r="Z42" s="105">
        <f t="shared" si="4"/>
        <v>0</v>
      </c>
      <c r="AA42" s="84" t="str">
        <f t="shared" si="43"/>
        <v/>
      </c>
      <c r="AB42" s="105">
        <f t="shared" si="5"/>
        <v>0</v>
      </c>
      <c r="AC42" s="84" t="str">
        <f t="shared" si="44"/>
        <v/>
      </c>
      <c r="AD42" s="92" t="str">
        <f t="shared" si="25"/>
        <v/>
      </c>
      <c r="AE42" s="89" t="str">
        <f t="shared" si="45"/>
        <v/>
      </c>
      <c r="AF42" s="104" t="str">
        <f t="shared" si="53"/>
        <v/>
      </c>
      <c r="AG42" s="107" t="str">
        <f t="shared" si="46"/>
        <v/>
      </c>
      <c r="AH42" s="92" t="str">
        <f t="shared" si="47"/>
        <v/>
      </c>
      <c r="AI42" s="89" t="str">
        <f t="shared" si="48"/>
        <v/>
      </c>
      <c r="AJ42" s="104" t="str">
        <f t="shared" si="49"/>
        <v/>
      </c>
      <c r="AK42" s="84" t="str">
        <f t="shared" si="50"/>
        <v/>
      </c>
      <c r="AL42" s="265" t="str">
        <f t="shared" si="51"/>
        <v/>
      </c>
      <c r="AM42" s="270">
        <f t="shared" si="6"/>
        <v>0</v>
      </c>
      <c r="AN42" s="270" t="str">
        <f t="shared" si="7"/>
        <v/>
      </c>
      <c r="AO42" s="270" t="str">
        <f t="shared" si="8"/>
        <v/>
      </c>
      <c r="AP42" s="270" t="str">
        <f t="shared" si="9"/>
        <v/>
      </c>
      <c r="AQ42" s="270">
        <f t="shared" si="52"/>
        <v>0</v>
      </c>
      <c r="AR42" s="316">
        <f>MIN(IFERROR(VLOOKUP($C42,'SDDA Dogs'!$A:$O,10,FALSE),0),IFERROR(VLOOKUP($C42,'SDDA Dogs'!$A:$O,11,FALSE),0),IFERROR(VLOOKUP($C42,'SDDA Dogs'!$A:$O,12,FALSE),0))</f>
        <v>0</v>
      </c>
      <c r="AS42" s="272"/>
      <c r="AT42" s="272"/>
      <c r="AU42" s="272" t="str">
        <f>IF(ISERROR(VLOOKUP(C42,'SDDA Dogs'!A:O,6,FALSE)),"",VLOOKUP(C42,'SDDA Dogs'!A:O,6,FALSE))</f>
        <v/>
      </c>
      <c r="AV42" s="270">
        <f t="shared" si="10"/>
        <v>0</v>
      </c>
      <c r="AW42" s="270">
        <f t="shared" si="11"/>
        <v>0</v>
      </c>
      <c r="AX42" s="273">
        <f t="shared" si="54"/>
        <v>0</v>
      </c>
      <c r="AY42" s="274"/>
      <c r="AZ42" s="275">
        <f t="shared" si="55"/>
        <v>0</v>
      </c>
      <c r="BA42" s="275">
        <f t="shared" si="56"/>
        <v>0</v>
      </c>
      <c r="BB42" s="276"/>
      <c r="BC42" s="262" t="str">
        <f>_xlfn.IFNA(IF(I42="Pass",IF(G42&gt;IFERROR(INDEX(DogInfo!A:B,MATCH(C42&amp;$BC$4,DogInfo!A:A,0),2),0),G42,INDEX(DogInfo!A:B,MATCH(C42&amp;$BC$4,DogInfo!A:A,0),2)),INDEX(DogInfo!A:B,MATCH(C42&amp;$BC$4,DogInfo!A:A,0),2)),"")</f>
        <v/>
      </c>
      <c r="BD42" s="262" t="str">
        <f>_xlfn.IFNA(IF(Q42="Pass",IF(O42&gt;IFERROR(INDEX(DogInfo!A:B,MATCH(C42&amp;$BD$4,DogInfo!A:A,0),2),0),O42,INDEX(DogInfo!A:B,MATCH(C42&amp;$BD$4,DogInfo!A:A,0),2)),INDEX(DogInfo!A:B,MATCH(C42&amp;$BD$4,DogInfo!A:A,0),2)),"")</f>
        <v/>
      </c>
      <c r="BE42" s="262" t="str">
        <f>_xlfn.IFNA(IF(Y42="Pass",IF(W42&gt;IFERROR(INDEX(DogInfo!A:B,MATCH(C42&amp;$BE$4,DogInfo!A:A,0),2),0),W42,INDEX(DogInfo!A:B,MATCH(C42&amp;$BE$4,DogInfo!A:A,0),2)),INDEX(DogInfo!A:B,MATCH(C42&amp;$BE$4,DogInfo!A:A,0),2)),"")</f>
        <v/>
      </c>
    </row>
    <row r="43" spans="1:57" x14ac:dyDescent="0.25">
      <c r="A43" s="99">
        <v>39</v>
      </c>
      <c r="B43" s="100"/>
      <c r="C43" s="101"/>
      <c r="D43" s="102" t="str">
        <f>IF($C43="","",VLOOKUP($C43,'SDDA Dogs'!$A:$F,2,FALSE))</f>
        <v/>
      </c>
      <c r="E43" s="211">
        <f t="shared" si="35"/>
        <v>1</v>
      </c>
      <c r="F43" s="103" t="str">
        <f>IF($C43="","",VLOOKUP($C43,'SDDA Dogs'!$A:$O,13,FALSE))</f>
        <v/>
      </c>
      <c r="G43" s="137"/>
      <c r="H43" s="217"/>
      <c r="I43" s="84" t="str">
        <f t="shared" si="36"/>
        <v/>
      </c>
      <c r="J43" s="105">
        <f t="shared" si="0"/>
        <v>0</v>
      </c>
      <c r="K43" s="84" t="str">
        <f t="shared" si="37"/>
        <v/>
      </c>
      <c r="L43" s="105">
        <f t="shared" si="1"/>
        <v>0</v>
      </c>
      <c r="M43" s="84" t="str">
        <f t="shared" si="38"/>
        <v/>
      </c>
      <c r="N43" s="106" t="str">
        <f>IF($C43="","",VLOOKUP($C43,'SDDA Dogs'!$A:$O,14,FALSE))</f>
        <v/>
      </c>
      <c r="O43" s="137"/>
      <c r="P43" s="217"/>
      <c r="Q43" s="84" t="str">
        <f t="shared" si="39"/>
        <v/>
      </c>
      <c r="R43" s="105">
        <f t="shared" si="2"/>
        <v>0</v>
      </c>
      <c r="S43" s="84" t="str">
        <f t="shared" si="40"/>
        <v/>
      </c>
      <c r="T43" s="105">
        <f t="shared" si="3"/>
        <v>0</v>
      </c>
      <c r="U43" s="84" t="str">
        <f t="shared" si="41"/>
        <v/>
      </c>
      <c r="V43" s="106" t="str">
        <f>IF($C43="","",VLOOKUP($C43,'SDDA Dogs'!$A:$O,15,FALSE))</f>
        <v/>
      </c>
      <c r="W43" s="137"/>
      <c r="X43" s="217"/>
      <c r="Y43" s="84" t="str">
        <f t="shared" si="42"/>
        <v/>
      </c>
      <c r="Z43" s="105">
        <f t="shared" si="4"/>
        <v>0</v>
      </c>
      <c r="AA43" s="84" t="str">
        <f t="shared" si="43"/>
        <v/>
      </c>
      <c r="AB43" s="105">
        <f t="shared" si="5"/>
        <v>0</v>
      </c>
      <c r="AC43" s="84" t="str">
        <f t="shared" si="44"/>
        <v/>
      </c>
      <c r="AD43" s="92" t="str">
        <f t="shared" si="25"/>
        <v/>
      </c>
      <c r="AE43" s="89" t="str">
        <f t="shared" si="45"/>
        <v/>
      </c>
      <c r="AF43" s="104" t="str">
        <f t="shared" si="53"/>
        <v/>
      </c>
      <c r="AG43" s="107" t="str">
        <f t="shared" si="46"/>
        <v/>
      </c>
      <c r="AH43" s="92" t="str">
        <f t="shared" si="47"/>
        <v/>
      </c>
      <c r="AI43" s="89" t="str">
        <f t="shared" si="48"/>
        <v/>
      </c>
      <c r="AJ43" s="104" t="str">
        <f t="shared" si="49"/>
        <v/>
      </c>
      <c r="AK43" s="84" t="str">
        <f t="shared" si="50"/>
        <v/>
      </c>
      <c r="AL43" s="265" t="str">
        <f t="shared" si="51"/>
        <v/>
      </c>
      <c r="AM43" s="270">
        <f t="shared" si="6"/>
        <v>0</v>
      </c>
      <c r="AN43" s="270" t="str">
        <f t="shared" si="7"/>
        <v/>
      </c>
      <c r="AO43" s="270" t="str">
        <f t="shared" si="8"/>
        <v/>
      </c>
      <c r="AP43" s="270" t="str">
        <f t="shared" si="9"/>
        <v/>
      </c>
      <c r="AQ43" s="270">
        <f t="shared" si="52"/>
        <v>0</v>
      </c>
      <c r="AR43" s="316">
        <f>MIN(IFERROR(VLOOKUP($C43,'SDDA Dogs'!$A:$O,10,FALSE),0),IFERROR(VLOOKUP($C43,'SDDA Dogs'!$A:$O,11,FALSE),0),IFERROR(VLOOKUP($C43,'SDDA Dogs'!$A:$O,12,FALSE),0))</f>
        <v>0</v>
      </c>
      <c r="AS43" s="272"/>
      <c r="AT43" s="272"/>
      <c r="AU43" s="272" t="str">
        <f>IF(ISERROR(VLOOKUP(C43,'SDDA Dogs'!A:O,6,FALSE)),"",VLOOKUP(C43,'SDDA Dogs'!A:O,6,FALSE))</f>
        <v/>
      </c>
      <c r="AV43" s="270">
        <f t="shared" si="10"/>
        <v>0</v>
      </c>
      <c r="AW43" s="270">
        <f t="shared" si="11"/>
        <v>0</v>
      </c>
      <c r="AX43" s="273">
        <f t="shared" si="54"/>
        <v>0</v>
      </c>
      <c r="AY43" s="274"/>
      <c r="AZ43" s="275">
        <f t="shared" si="55"/>
        <v>0</v>
      </c>
      <c r="BA43" s="275">
        <f t="shared" si="56"/>
        <v>0</v>
      </c>
      <c r="BB43" s="276"/>
      <c r="BC43" s="262" t="str">
        <f>_xlfn.IFNA(IF(I43="Pass",IF(G43&gt;IFERROR(INDEX(DogInfo!A:B,MATCH(C43&amp;$BC$4,DogInfo!A:A,0),2),0),G43,INDEX(DogInfo!A:B,MATCH(C43&amp;$BC$4,DogInfo!A:A,0),2)),INDEX(DogInfo!A:B,MATCH(C43&amp;$BC$4,DogInfo!A:A,0),2)),"")</f>
        <v/>
      </c>
      <c r="BD43" s="262" t="str">
        <f>_xlfn.IFNA(IF(Q43="Pass",IF(O43&gt;IFERROR(INDEX(DogInfo!A:B,MATCH(C43&amp;$BD$4,DogInfo!A:A,0),2),0),O43,INDEX(DogInfo!A:B,MATCH(C43&amp;$BD$4,DogInfo!A:A,0),2)),INDEX(DogInfo!A:B,MATCH(C43&amp;$BD$4,DogInfo!A:A,0),2)),"")</f>
        <v/>
      </c>
      <c r="BE43" s="262" t="str">
        <f>_xlfn.IFNA(IF(Y43="Pass",IF(W43&gt;IFERROR(INDEX(DogInfo!A:B,MATCH(C43&amp;$BE$4,DogInfo!A:A,0),2),0),W43,INDEX(DogInfo!A:B,MATCH(C43&amp;$BE$4,DogInfo!A:A,0),2)),INDEX(DogInfo!A:B,MATCH(C43&amp;$BE$4,DogInfo!A:A,0),2)),"")</f>
        <v/>
      </c>
    </row>
    <row r="44" spans="1:57" x14ac:dyDescent="0.25">
      <c r="A44" s="99">
        <v>40</v>
      </c>
      <c r="B44" s="100"/>
      <c r="C44" s="101"/>
      <c r="D44" s="102" t="str">
        <f>IF($C44="","",VLOOKUP($C44,'SDDA Dogs'!$A:$F,2,FALSE))</f>
        <v/>
      </c>
      <c r="E44" s="211">
        <f t="shared" si="35"/>
        <v>1</v>
      </c>
      <c r="F44" s="103" t="str">
        <f>IF($C44="","",VLOOKUP($C44,'SDDA Dogs'!$A:$O,13,FALSE))</f>
        <v/>
      </c>
      <c r="G44" s="137"/>
      <c r="H44" s="217"/>
      <c r="I44" s="84" t="str">
        <f t="shared" si="36"/>
        <v/>
      </c>
      <c r="J44" s="105">
        <f t="shared" si="0"/>
        <v>0</v>
      </c>
      <c r="K44" s="84" t="str">
        <f t="shared" si="37"/>
        <v/>
      </c>
      <c r="L44" s="105">
        <f t="shared" si="1"/>
        <v>0</v>
      </c>
      <c r="M44" s="84" t="str">
        <f t="shared" si="38"/>
        <v/>
      </c>
      <c r="N44" s="106" t="str">
        <f>IF($C44="","",VLOOKUP($C44,'SDDA Dogs'!$A:$O,14,FALSE))</f>
        <v/>
      </c>
      <c r="O44" s="137"/>
      <c r="P44" s="217"/>
      <c r="Q44" s="84" t="str">
        <f t="shared" si="39"/>
        <v/>
      </c>
      <c r="R44" s="105">
        <f t="shared" si="2"/>
        <v>0</v>
      </c>
      <c r="S44" s="84" t="str">
        <f t="shared" si="40"/>
        <v/>
      </c>
      <c r="T44" s="105">
        <f t="shared" si="3"/>
        <v>0</v>
      </c>
      <c r="U44" s="84" t="str">
        <f t="shared" si="41"/>
        <v/>
      </c>
      <c r="V44" s="106" t="str">
        <f>IF($C44="","",VLOOKUP($C44,'SDDA Dogs'!$A:$O,15,FALSE))</f>
        <v/>
      </c>
      <c r="W44" s="137"/>
      <c r="X44" s="217"/>
      <c r="Y44" s="84" t="str">
        <f t="shared" si="42"/>
        <v/>
      </c>
      <c r="Z44" s="105">
        <f t="shared" si="4"/>
        <v>0</v>
      </c>
      <c r="AA44" s="84" t="str">
        <f t="shared" si="43"/>
        <v/>
      </c>
      <c r="AB44" s="105">
        <f t="shared" si="5"/>
        <v>0</v>
      </c>
      <c r="AC44" s="84" t="str">
        <f t="shared" si="44"/>
        <v/>
      </c>
      <c r="AD44" s="92" t="str">
        <f t="shared" si="25"/>
        <v/>
      </c>
      <c r="AE44" s="89" t="str">
        <f t="shared" si="45"/>
        <v/>
      </c>
      <c r="AF44" s="104" t="str">
        <f t="shared" si="53"/>
        <v/>
      </c>
      <c r="AG44" s="107" t="str">
        <f t="shared" si="46"/>
        <v/>
      </c>
      <c r="AH44" s="92" t="str">
        <f t="shared" si="47"/>
        <v/>
      </c>
      <c r="AI44" s="89" t="str">
        <f t="shared" si="48"/>
        <v/>
      </c>
      <c r="AJ44" s="104" t="str">
        <f t="shared" si="49"/>
        <v/>
      </c>
      <c r="AK44" s="84" t="str">
        <f t="shared" si="50"/>
        <v/>
      </c>
      <c r="AL44" s="265" t="str">
        <f t="shared" si="51"/>
        <v/>
      </c>
      <c r="AM44" s="270">
        <f t="shared" si="6"/>
        <v>0</v>
      </c>
      <c r="AN44" s="270" t="str">
        <f t="shared" si="7"/>
        <v/>
      </c>
      <c r="AO44" s="270" t="str">
        <f t="shared" si="8"/>
        <v/>
      </c>
      <c r="AP44" s="270" t="str">
        <f t="shared" si="9"/>
        <v/>
      </c>
      <c r="AQ44" s="270">
        <f t="shared" si="52"/>
        <v>0</v>
      </c>
      <c r="AR44" s="316">
        <f>MIN(IFERROR(VLOOKUP($C44,'SDDA Dogs'!$A:$O,10,FALSE),0),IFERROR(VLOOKUP($C44,'SDDA Dogs'!$A:$O,11,FALSE),0),IFERROR(VLOOKUP($C44,'SDDA Dogs'!$A:$O,12,FALSE),0))</f>
        <v>0</v>
      </c>
      <c r="AS44" s="272"/>
      <c r="AT44" s="272"/>
      <c r="AU44" s="272" t="str">
        <f>IF(ISERROR(VLOOKUP(C44,'SDDA Dogs'!A:O,6,FALSE)),"",VLOOKUP(C44,'SDDA Dogs'!A:O,6,FALSE))</f>
        <v/>
      </c>
      <c r="AV44" s="270">
        <f t="shared" si="10"/>
        <v>0</v>
      </c>
      <c r="AW44" s="270">
        <f t="shared" si="11"/>
        <v>0</v>
      </c>
      <c r="AX44" s="273">
        <f t="shared" si="54"/>
        <v>0</v>
      </c>
      <c r="AY44" s="274"/>
      <c r="AZ44" s="275">
        <f t="shared" si="55"/>
        <v>0</v>
      </c>
      <c r="BA44" s="275">
        <f t="shared" si="56"/>
        <v>0</v>
      </c>
      <c r="BB44" s="276"/>
      <c r="BC44" s="262" t="str">
        <f>_xlfn.IFNA(IF(I44="Pass",IF(G44&gt;IFERROR(INDEX(DogInfo!A:B,MATCH(C44&amp;$BC$4,DogInfo!A:A,0),2),0),G44,INDEX(DogInfo!A:B,MATCH(C44&amp;$BC$4,DogInfo!A:A,0),2)),INDEX(DogInfo!A:B,MATCH(C44&amp;$BC$4,DogInfo!A:A,0),2)),"")</f>
        <v/>
      </c>
      <c r="BD44" s="262" t="str">
        <f>_xlfn.IFNA(IF(Q44="Pass",IF(O44&gt;IFERROR(INDEX(DogInfo!A:B,MATCH(C44&amp;$BD$4,DogInfo!A:A,0),2),0),O44,INDEX(DogInfo!A:B,MATCH(C44&amp;$BD$4,DogInfo!A:A,0),2)),INDEX(DogInfo!A:B,MATCH(C44&amp;$BD$4,DogInfo!A:A,0),2)),"")</f>
        <v/>
      </c>
      <c r="BE44" s="262" t="str">
        <f>_xlfn.IFNA(IF(Y44="Pass",IF(W44&gt;IFERROR(INDEX(DogInfo!A:B,MATCH(C44&amp;$BE$4,DogInfo!A:A,0),2),0),W44,INDEX(DogInfo!A:B,MATCH(C44&amp;$BE$4,DogInfo!A:A,0),2)),INDEX(DogInfo!A:B,MATCH(C44&amp;$BE$4,DogInfo!A:A,0),2)),"")</f>
        <v/>
      </c>
    </row>
    <row r="45" spans="1:57" x14ac:dyDescent="0.25">
      <c r="A45" s="99">
        <v>41</v>
      </c>
      <c r="B45" s="100"/>
      <c r="C45" s="101"/>
      <c r="D45" s="102" t="str">
        <f>IF($C45="","",VLOOKUP($C45,'SDDA Dogs'!$A:$F,2,FALSE))</f>
        <v/>
      </c>
      <c r="E45" s="211">
        <f t="shared" si="35"/>
        <v>1</v>
      </c>
      <c r="F45" s="103" t="str">
        <f>IF($C45="","",VLOOKUP($C45,'SDDA Dogs'!$A:$O,13,FALSE))</f>
        <v/>
      </c>
      <c r="G45" s="137"/>
      <c r="H45" s="217"/>
      <c r="I45" s="84" t="str">
        <f t="shared" si="36"/>
        <v/>
      </c>
      <c r="J45" s="105">
        <f t="shared" si="0"/>
        <v>0</v>
      </c>
      <c r="K45" s="84" t="str">
        <f t="shared" si="37"/>
        <v/>
      </c>
      <c r="L45" s="105">
        <f t="shared" si="1"/>
        <v>0</v>
      </c>
      <c r="M45" s="84" t="str">
        <f t="shared" si="38"/>
        <v/>
      </c>
      <c r="N45" s="106" t="str">
        <f>IF($C45="","",VLOOKUP($C45,'SDDA Dogs'!$A:$O,14,FALSE))</f>
        <v/>
      </c>
      <c r="O45" s="137"/>
      <c r="P45" s="217"/>
      <c r="Q45" s="84" t="str">
        <f t="shared" si="39"/>
        <v/>
      </c>
      <c r="R45" s="105">
        <f t="shared" si="2"/>
        <v>0</v>
      </c>
      <c r="S45" s="84" t="str">
        <f t="shared" si="40"/>
        <v/>
      </c>
      <c r="T45" s="105">
        <f t="shared" si="3"/>
        <v>0</v>
      </c>
      <c r="U45" s="84" t="str">
        <f t="shared" si="41"/>
        <v/>
      </c>
      <c r="V45" s="106" t="str">
        <f>IF($C45="","",VLOOKUP($C45,'SDDA Dogs'!$A:$O,15,FALSE))</f>
        <v/>
      </c>
      <c r="W45" s="137"/>
      <c r="X45" s="217"/>
      <c r="Y45" s="84" t="str">
        <f t="shared" si="42"/>
        <v/>
      </c>
      <c r="Z45" s="105">
        <f t="shared" si="4"/>
        <v>0</v>
      </c>
      <c r="AA45" s="84" t="str">
        <f t="shared" si="43"/>
        <v/>
      </c>
      <c r="AB45" s="105">
        <f t="shared" si="5"/>
        <v>0</v>
      </c>
      <c r="AC45" s="84" t="str">
        <f t="shared" si="44"/>
        <v/>
      </c>
      <c r="AD45" s="92" t="str">
        <f t="shared" si="25"/>
        <v/>
      </c>
      <c r="AE45" s="89" t="str">
        <f t="shared" si="45"/>
        <v/>
      </c>
      <c r="AF45" s="104" t="str">
        <f t="shared" si="53"/>
        <v/>
      </c>
      <c r="AG45" s="107" t="str">
        <f t="shared" si="46"/>
        <v/>
      </c>
      <c r="AH45" s="92" t="str">
        <f t="shared" si="47"/>
        <v/>
      </c>
      <c r="AI45" s="89" t="str">
        <f t="shared" si="48"/>
        <v/>
      </c>
      <c r="AJ45" s="104" t="str">
        <f t="shared" si="49"/>
        <v/>
      </c>
      <c r="AK45" s="84" t="str">
        <f t="shared" si="50"/>
        <v/>
      </c>
      <c r="AL45" s="265" t="str">
        <f t="shared" si="51"/>
        <v/>
      </c>
      <c r="AM45" s="270">
        <f t="shared" si="6"/>
        <v>0</v>
      </c>
      <c r="AN45" s="270" t="str">
        <f t="shared" si="7"/>
        <v/>
      </c>
      <c r="AO45" s="270" t="str">
        <f t="shared" si="8"/>
        <v/>
      </c>
      <c r="AP45" s="270" t="str">
        <f t="shared" si="9"/>
        <v/>
      </c>
      <c r="AQ45" s="270">
        <f t="shared" si="52"/>
        <v>0</v>
      </c>
      <c r="AR45" s="316">
        <f>MIN(IFERROR(VLOOKUP($C45,'SDDA Dogs'!$A:$O,10,FALSE),0),IFERROR(VLOOKUP($C45,'SDDA Dogs'!$A:$O,11,FALSE),0),IFERROR(VLOOKUP($C45,'SDDA Dogs'!$A:$O,12,FALSE),0))</f>
        <v>0</v>
      </c>
      <c r="AS45" s="272"/>
      <c r="AT45" s="272"/>
      <c r="AU45" s="272" t="str">
        <f>IF(ISERROR(VLOOKUP(C45,'SDDA Dogs'!A:O,6,FALSE)),"",VLOOKUP(C45,'SDDA Dogs'!A:O,6,FALSE))</f>
        <v/>
      </c>
      <c r="AV45" s="270">
        <f t="shared" si="10"/>
        <v>0</v>
      </c>
      <c r="AW45" s="270">
        <f t="shared" si="11"/>
        <v>0</v>
      </c>
      <c r="AX45" s="273">
        <f t="shared" si="54"/>
        <v>0</v>
      </c>
      <c r="AY45" s="274"/>
      <c r="AZ45" s="275">
        <f t="shared" si="55"/>
        <v>0</v>
      </c>
      <c r="BA45" s="275">
        <f t="shared" si="56"/>
        <v>0</v>
      </c>
      <c r="BB45" s="276"/>
      <c r="BC45" s="262" t="str">
        <f>_xlfn.IFNA(IF(I45="Pass",IF(G45&gt;IFERROR(INDEX(DogInfo!A:B,MATCH(C45&amp;$BC$4,DogInfo!A:A,0),2),0),G45,INDEX(DogInfo!A:B,MATCH(C45&amp;$BC$4,DogInfo!A:A,0),2)),INDEX(DogInfo!A:B,MATCH(C45&amp;$BC$4,DogInfo!A:A,0),2)),"")</f>
        <v/>
      </c>
      <c r="BD45" s="262" t="str">
        <f>_xlfn.IFNA(IF(Q45="Pass",IF(O45&gt;IFERROR(INDEX(DogInfo!A:B,MATCH(C45&amp;$BD$4,DogInfo!A:A,0),2),0),O45,INDEX(DogInfo!A:B,MATCH(C45&amp;$BD$4,DogInfo!A:A,0),2)),INDEX(DogInfo!A:B,MATCH(C45&amp;$BD$4,DogInfo!A:A,0),2)),"")</f>
        <v/>
      </c>
      <c r="BE45" s="262" t="str">
        <f>_xlfn.IFNA(IF(Y45="Pass",IF(W45&gt;IFERROR(INDEX(DogInfo!A:B,MATCH(C45&amp;$BE$4,DogInfo!A:A,0),2),0),W45,INDEX(DogInfo!A:B,MATCH(C45&amp;$BE$4,DogInfo!A:A,0),2)),INDEX(DogInfo!A:B,MATCH(C45&amp;$BE$4,DogInfo!A:A,0),2)),"")</f>
        <v/>
      </c>
    </row>
    <row r="46" spans="1:57" x14ac:dyDescent="0.25">
      <c r="A46" s="99">
        <v>42</v>
      </c>
      <c r="B46" s="100"/>
      <c r="C46" s="101"/>
      <c r="D46" s="102" t="str">
        <f>IF($C46="","",VLOOKUP($C46,'SDDA Dogs'!$A:$F,2,FALSE))</f>
        <v/>
      </c>
      <c r="E46" s="211">
        <f t="shared" si="35"/>
        <v>1</v>
      </c>
      <c r="F46" s="103" t="str">
        <f>IF($C46="","",VLOOKUP($C46,'SDDA Dogs'!$A:$O,13,FALSE))</f>
        <v/>
      </c>
      <c r="G46" s="137"/>
      <c r="H46" s="217"/>
      <c r="I46" s="84" t="str">
        <f t="shared" si="36"/>
        <v/>
      </c>
      <c r="J46" s="105">
        <f t="shared" si="0"/>
        <v>0</v>
      </c>
      <c r="K46" s="84" t="str">
        <f t="shared" si="37"/>
        <v/>
      </c>
      <c r="L46" s="105">
        <f t="shared" si="1"/>
        <v>0</v>
      </c>
      <c r="M46" s="84" t="str">
        <f t="shared" si="38"/>
        <v/>
      </c>
      <c r="N46" s="106" t="str">
        <f>IF($C46="","",VLOOKUP($C46,'SDDA Dogs'!$A:$O,14,FALSE))</f>
        <v/>
      </c>
      <c r="O46" s="137"/>
      <c r="P46" s="217"/>
      <c r="Q46" s="84" t="str">
        <f t="shared" si="39"/>
        <v/>
      </c>
      <c r="R46" s="105">
        <f t="shared" si="2"/>
        <v>0</v>
      </c>
      <c r="S46" s="84" t="str">
        <f t="shared" si="40"/>
        <v/>
      </c>
      <c r="T46" s="105">
        <f t="shared" si="3"/>
        <v>0</v>
      </c>
      <c r="U46" s="84" t="str">
        <f t="shared" si="41"/>
        <v/>
      </c>
      <c r="V46" s="106" t="str">
        <f>IF($C46="","",VLOOKUP($C46,'SDDA Dogs'!$A:$O,15,FALSE))</f>
        <v/>
      </c>
      <c r="W46" s="137"/>
      <c r="X46" s="217"/>
      <c r="Y46" s="84" t="str">
        <f t="shared" si="42"/>
        <v/>
      </c>
      <c r="Z46" s="105">
        <f t="shared" si="4"/>
        <v>0</v>
      </c>
      <c r="AA46" s="84" t="str">
        <f t="shared" si="43"/>
        <v/>
      </c>
      <c r="AB46" s="105">
        <f t="shared" si="5"/>
        <v>0</v>
      </c>
      <c r="AC46" s="84" t="str">
        <f t="shared" si="44"/>
        <v/>
      </c>
      <c r="AD46" s="92" t="str">
        <f t="shared" si="25"/>
        <v/>
      </c>
      <c r="AE46" s="89" t="str">
        <f t="shared" si="45"/>
        <v/>
      </c>
      <c r="AF46" s="104" t="str">
        <f t="shared" si="53"/>
        <v/>
      </c>
      <c r="AG46" s="107" t="str">
        <f t="shared" si="46"/>
        <v/>
      </c>
      <c r="AH46" s="92" t="str">
        <f t="shared" si="47"/>
        <v/>
      </c>
      <c r="AI46" s="89" t="str">
        <f t="shared" si="48"/>
        <v/>
      </c>
      <c r="AJ46" s="104" t="str">
        <f t="shared" si="49"/>
        <v/>
      </c>
      <c r="AK46" s="84" t="str">
        <f t="shared" si="50"/>
        <v/>
      </c>
      <c r="AL46" s="265" t="str">
        <f t="shared" si="51"/>
        <v/>
      </c>
      <c r="AM46" s="270">
        <f t="shared" si="6"/>
        <v>0</v>
      </c>
      <c r="AN46" s="270" t="str">
        <f t="shared" si="7"/>
        <v/>
      </c>
      <c r="AO46" s="270" t="str">
        <f t="shared" si="8"/>
        <v/>
      </c>
      <c r="AP46" s="270" t="str">
        <f t="shared" si="9"/>
        <v/>
      </c>
      <c r="AQ46" s="270">
        <f t="shared" si="52"/>
        <v>0</v>
      </c>
      <c r="AR46" s="316">
        <f>MIN(IFERROR(VLOOKUP($C46,'SDDA Dogs'!$A:$O,10,FALSE),0),IFERROR(VLOOKUP($C46,'SDDA Dogs'!$A:$O,11,FALSE),0),IFERROR(VLOOKUP($C46,'SDDA Dogs'!$A:$O,12,FALSE),0))</f>
        <v>0</v>
      </c>
      <c r="AS46" s="272"/>
      <c r="AT46" s="272"/>
      <c r="AU46" s="272" t="str">
        <f>IF(ISERROR(VLOOKUP(C46,'SDDA Dogs'!A:O,6,FALSE)),"",VLOOKUP(C46,'SDDA Dogs'!A:O,6,FALSE))</f>
        <v/>
      </c>
      <c r="AV46" s="270">
        <f t="shared" si="10"/>
        <v>0</v>
      </c>
      <c r="AW46" s="270">
        <f t="shared" si="11"/>
        <v>0</v>
      </c>
      <c r="AX46" s="273">
        <f t="shared" si="54"/>
        <v>0</v>
      </c>
      <c r="AY46" s="274"/>
      <c r="AZ46" s="275">
        <f t="shared" si="55"/>
        <v>0</v>
      </c>
      <c r="BA46" s="275">
        <f t="shared" si="56"/>
        <v>0</v>
      </c>
      <c r="BB46" s="276"/>
      <c r="BC46" s="262" t="str">
        <f>_xlfn.IFNA(IF(I46="Pass",IF(G46&gt;IFERROR(INDEX(DogInfo!A:B,MATCH(C46&amp;$BC$4,DogInfo!A:A,0),2),0),G46,INDEX(DogInfo!A:B,MATCH(C46&amp;$BC$4,DogInfo!A:A,0),2)),INDEX(DogInfo!A:B,MATCH(C46&amp;$BC$4,DogInfo!A:A,0),2)),"")</f>
        <v/>
      </c>
      <c r="BD46" s="262" t="str">
        <f>_xlfn.IFNA(IF(Q46="Pass",IF(O46&gt;IFERROR(INDEX(DogInfo!A:B,MATCH(C46&amp;$BD$4,DogInfo!A:A,0),2),0),O46,INDEX(DogInfo!A:B,MATCH(C46&amp;$BD$4,DogInfo!A:A,0),2)),INDEX(DogInfo!A:B,MATCH(C46&amp;$BD$4,DogInfo!A:A,0),2)),"")</f>
        <v/>
      </c>
      <c r="BE46" s="262" t="str">
        <f>_xlfn.IFNA(IF(Y46="Pass",IF(W46&gt;IFERROR(INDEX(DogInfo!A:B,MATCH(C46&amp;$BE$4,DogInfo!A:A,0),2),0),W46,INDEX(DogInfo!A:B,MATCH(C46&amp;$BE$4,DogInfo!A:A,0),2)),INDEX(DogInfo!A:B,MATCH(C46&amp;$BE$4,DogInfo!A:A,0),2)),"")</f>
        <v/>
      </c>
    </row>
    <row r="47" spans="1:57" x14ac:dyDescent="0.25">
      <c r="A47" s="99">
        <v>43</v>
      </c>
      <c r="B47" s="100"/>
      <c r="C47" s="101"/>
      <c r="D47" s="102" t="str">
        <f>IF($C47="","",VLOOKUP($C47,'SDDA Dogs'!$A:$F,2,FALSE))</f>
        <v/>
      </c>
      <c r="E47" s="211">
        <f t="shared" si="35"/>
        <v>1</v>
      </c>
      <c r="F47" s="103" t="str">
        <f>IF($C47="","",VLOOKUP($C47,'SDDA Dogs'!$A:$O,13,FALSE))</f>
        <v/>
      </c>
      <c r="G47" s="137"/>
      <c r="H47" s="217"/>
      <c r="I47" s="84" t="str">
        <f t="shared" si="36"/>
        <v/>
      </c>
      <c r="J47" s="105">
        <f t="shared" si="0"/>
        <v>0</v>
      </c>
      <c r="K47" s="84" t="str">
        <f t="shared" si="37"/>
        <v/>
      </c>
      <c r="L47" s="105">
        <f t="shared" si="1"/>
        <v>0</v>
      </c>
      <c r="M47" s="84" t="str">
        <f t="shared" si="38"/>
        <v/>
      </c>
      <c r="N47" s="106" t="str">
        <f>IF($C47="","",VLOOKUP($C47,'SDDA Dogs'!$A:$O,14,FALSE))</f>
        <v/>
      </c>
      <c r="O47" s="137"/>
      <c r="P47" s="217"/>
      <c r="Q47" s="84" t="str">
        <f t="shared" si="39"/>
        <v/>
      </c>
      <c r="R47" s="105">
        <f t="shared" si="2"/>
        <v>0</v>
      </c>
      <c r="S47" s="84" t="str">
        <f t="shared" si="40"/>
        <v/>
      </c>
      <c r="T47" s="105">
        <f t="shared" si="3"/>
        <v>0</v>
      </c>
      <c r="U47" s="84" t="str">
        <f t="shared" si="41"/>
        <v/>
      </c>
      <c r="V47" s="106" t="str">
        <f>IF($C47="","",VLOOKUP($C47,'SDDA Dogs'!$A:$O,15,FALSE))</f>
        <v/>
      </c>
      <c r="W47" s="137"/>
      <c r="X47" s="217"/>
      <c r="Y47" s="84" t="str">
        <f t="shared" si="42"/>
        <v/>
      </c>
      <c r="Z47" s="105">
        <f t="shared" si="4"/>
        <v>0</v>
      </c>
      <c r="AA47" s="84" t="str">
        <f t="shared" si="43"/>
        <v/>
      </c>
      <c r="AB47" s="105">
        <f t="shared" si="5"/>
        <v>0</v>
      </c>
      <c r="AC47" s="84" t="str">
        <f t="shared" si="44"/>
        <v/>
      </c>
      <c r="AD47" s="92" t="str">
        <f t="shared" si="25"/>
        <v/>
      </c>
      <c r="AE47" s="89" t="str">
        <f t="shared" si="45"/>
        <v/>
      </c>
      <c r="AF47" s="104" t="str">
        <f t="shared" si="53"/>
        <v/>
      </c>
      <c r="AG47" s="107" t="str">
        <f t="shared" si="46"/>
        <v/>
      </c>
      <c r="AH47" s="92" t="str">
        <f t="shared" si="47"/>
        <v/>
      </c>
      <c r="AI47" s="89" t="str">
        <f t="shared" si="48"/>
        <v/>
      </c>
      <c r="AJ47" s="104" t="str">
        <f t="shared" si="49"/>
        <v/>
      </c>
      <c r="AK47" s="84" t="str">
        <f t="shared" si="50"/>
        <v/>
      </c>
      <c r="AL47" s="265" t="str">
        <f t="shared" si="51"/>
        <v/>
      </c>
      <c r="AM47" s="270">
        <f t="shared" si="6"/>
        <v>0</v>
      </c>
      <c r="AN47" s="270" t="str">
        <f t="shared" si="7"/>
        <v/>
      </c>
      <c r="AO47" s="270" t="str">
        <f t="shared" si="8"/>
        <v/>
      </c>
      <c r="AP47" s="270" t="str">
        <f t="shared" si="9"/>
        <v/>
      </c>
      <c r="AQ47" s="270">
        <f t="shared" si="52"/>
        <v>0</v>
      </c>
      <c r="AR47" s="316">
        <f>MIN(IFERROR(VLOOKUP($C47,'SDDA Dogs'!$A:$O,10,FALSE),0),IFERROR(VLOOKUP($C47,'SDDA Dogs'!$A:$O,11,FALSE),0),IFERROR(VLOOKUP($C47,'SDDA Dogs'!$A:$O,12,FALSE),0))</f>
        <v>0</v>
      </c>
      <c r="AS47" s="272"/>
      <c r="AT47" s="272"/>
      <c r="AU47" s="272" t="str">
        <f>IF(ISERROR(VLOOKUP(C47,'SDDA Dogs'!A:O,6,FALSE)),"",VLOOKUP(C47,'SDDA Dogs'!A:O,6,FALSE))</f>
        <v/>
      </c>
      <c r="AV47" s="270">
        <f t="shared" si="10"/>
        <v>0</v>
      </c>
      <c r="AW47" s="270">
        <f t="shared" si="11"/>
        <v>0</v>
      </c>
      <c r="AX47" s="273">
        <f t="shared" si="54"/>
        <v>0</v>
      </c>
      <c r="AY47" s="274"/>
      <c r="AZ47" s="275">
        <f t="shared" si="55"/>
        <v>0</v>
      </c>
      <c r="BA47" s="275">
        <f t="shared" si="56"/>
        <v>0</v>
      </c>
      <c r="BB47" s="276"/>
      <c r="BC47" s="262" t="str">
        <f>_xlfn.IFNA(IF(I47="Pass",IF(G47&gt;IFERROR(INDEX(DogInfo!A:B,MATCH(C47&amp;$BC$4,DogInfo!A:A,0),2),0),G47,INDEX(DogInfo!A:B,MATCH(C47&amp;$BC$4,DogInfo!A:A,0),2)),INDEX(DogInfo!A:B,MATCH(C47&amp;$BC$4,DogInfo!A:A,0),2)),"")</f>
        <v/>
      </c>
      <c r="BD47" s="262" t="str">
        <f>_xlfn.IFNA(IF(Q47="Pass",IF(O47&gt;IFERROR(INDEX(DogInfo!A:B,MATCH(C47&amp;$BD$4,DogInfo!A:A,0),2),0),O47,INDEX(DogInfo!A:B,MATCH(C47&amp;$BD$4,DogInfo!A:A,0),2)),INDEX(DogInfo!A:B,MATCH(C47&amp;$BD$4,DogInfo!A:A,0),2)),"")</f>
        <v/>
      </c>
      <c r="BE47" s="262" t="str">
        <f>_xlfn.IFNA(IF(Y47="Pass",IF(W47&gt;IFERROR(INDEX(DogInfo!A:B,MATCH(C47&amp;$BE$4,DogInfo!A:A,0),2),0),W47,INDEX(DogInfo!A:B,MATCH(C47&amp;$BE$4,DogInfo!A:A,0),2)),INDEX(DogInfo!A:B,MATCH(C47&amp;$BE$4,DogInfo!A:A,0),2)),"")</f>
        <v/>
      </c>
    </row>
    <row r="48" spans="1:57" x14ac:dyDescent="0.25">
      <c r="A48" s="99">
        <v>44</v>
      </c>
      <c r="B48" s="100"/>
      <c r="C48" s="101"/>
      <c r="D48" s="102" t="str">
        <f>IF($C48="","",VLOOKUP($C48,'SDDA Dogs'!$A:$F,2,FALSE))</f>
        <v/>
      </c>
      <c r="E48" s="211">
        <f t="shared" si="35"/>
        <v>1</v>
      </c>
      <c r="F48" s="103" t="str">
        <f>IF($C48="","",VLOOKUP($C48,'SDDA Dogs'!$A:$O,13,FALSE))</f>
        <v/>
      </c>
      <c r="G48" s="137"/>
      <c r="H48" s="217"/>
      <c r="I48" s="84" t="str">
        <f t="shared" si="36"/>
        <v/>
      </c>
      <c r="J48" s="105">
        <f t="shared" si="0"/>
        <v>0</v>
      </c>
      <c r="K48" s="84" t="str">
        <f t="shared" si="37"/>
        <v/>
      </c>
      <c r="L48" s="105">
        <f t="shared" si="1"/>
        <v>0</v>
      </c>
      <c r="M48" s="84" t="str">
        <f t="shared" si="38"/>
        <v/>
      </c>
      <c r="N48" s="106" t="str">
        <f>IF($C48="","",VLOOKUP($C48,'SDDA Dogs'!$A:$O,14,FALSE))</f>
        <v/>
      </c>
      <c r="O48" s="137"/>
      <c r="P48" s="217"/>
      <c r="Q48" s="84" t="str">
        <f t="shared" si="39"/>
        <v/>
      </c>
      <c r="R48" s="105">
        <f t="shared" si="2"/>
        <v>0</v>
      </c>
      <c r="S48" s="84" t="str">
        <f t="shared" si="40"/>
        <v/>
      </c>
      <c r="T48" s="105">
        <f t="shared" si="3"/>
        <v>0</v>
      </c>
      <c r="U48" s="84" t="str">
        <f t="shared" si="41"/>
        <v/>
      </c>
      <c r="V48" s="106" t="str">
        <f>IF($C48="","",VLOOKUP($C48,'SDDA Dogs'!$A:$O,15,FALSE))</f>
        <v/>
      </c>
      <c r="W48" s="137"/>
      <c r="X48" s="217"/>
      <c r="Y48" s="84" t="str">
        <f t="shared" si="42"/>
        <v/>
      </c>
      <c r="Z48" s="105">
        <f t="shared" si="4"/>
        <v>0</v>
      </c>
      <c r="AA48" s="84" t="str">
        <f t="shared" si="43"/>
        <v/>
      </c>
      <c r="AB48" s="105">
        <f t="shared" si="5"/>
        <v>0</v>
      </c>
      <c r="AC48" s="84" t="str">
        <f t="shared" si="44"/>
        <v/>
      </c>
      <c r="AD48" s="92" t="str">
        <f t="shared" si="25"/>
        <v/>
      </c>
      <c r="AE48" s="89" t="str">
        <f t="shared" si="45"/>
        <v/>
      </c>
      <c r="AF48" s="104" t="str">
        <f t="shared" si="53"/>
        <v/>
      </c>
      <c r="AG48" s="107" t="str">
        <f t="shared" si="46"/>
        <v/>
      </c>
      <c r="AH48" s="92" t="str">
        <f t="shared" si="47"/>
        <v/>
      </c>
      <c r="AI48" s="89" t="str">
        <f t="shared" si="48"/>
        <v/>
      </c>
      <c r="AJ48" s="104" t="str">
        <f t="shared" si="49"/>
        <v/>
      </c>
      <c r="AK48" s="84" t="str">
        <f t="shared" si="50"/>
        <v/>
      </c>
      <c r="AL48" s="265" t="str">
        <f t="shared" si="51"/>
        <v/>
      </c>
      <c r="AM48" s="270">
        <f t="shared" si="6"/>
        <v>0</v>
      </c>
      <c r="AN48" s="270" t="str">
        <f t="shared" si="7"/>
        <v/>
      </c>
      <c r="AO48" s="270" t="str">
        <f t="shared" si="8"/>
        <v/>
      </c>
      <c r="AP48" s="270" t="str">
        <f t="shared" si="9"/>
        <v/>
      </c>
      <c r="AQ48" s="270">
        <f t="shared" si="52"/>
        <v>0</v>
      </c>
      <c r="AR48" s="316">
        <f>MIN(IFERROR(VLOOKUP($C48,'SDDA Dogs'!$A:$O,10,FALSE),0),IFERROR(VLOOKUP($C48,'SDDA Dogs'!$A:$O,11,FALSE),0),IFERROR(VLOOKUP($C48,'SDDA Dogs'!$A:$O,12,FALSE),0))</f>
        <v>0</v>
      </c>
      <c r="AS48" s="272"/>
      <c r="AT48" s="272"/>
      <c r="AU48" s="272" t="str">
        <f>IF(ISERROR(VLOOKUP(C48,'SDDA Dogs'!A:O,6,FALSE)),"",VLOOKUP(C48,'SDDA Dogs'!A:O,6,FALSE))</f>
        <v/>
      </c>
      <c r="AV48" s="270">
        <f t="shared" si="10"/>
        <v>0</v>
      </c>
      <c r="AW48" s="270">
        <f t="shared" si="11"/>
        <v>0</v>
      </c>
      <c r="AX48" s="273">
        <f t="shared" si="54"/>
        <v>0</v>
      </c>
      <c r="AY48" s="274"/>
      <c r="AZ48" s="275">
        <f t="shared" si="55"/>
        <v>0</v>
      </c>
      <c r="BA48" s="275">
        <f t="shared" si="56"/>
        <v>0</v>
      </c>
      <c r="BB48" s="276"/>
      <c r="BC48" s="262" t="str">
        <f>_xlfn.IFNA(IF(I48="Pass",IF(G48&gt;IFERROR(INDEX(DogInfo!A:B,MATCH(C48&amp;$BC$4,DogInfo!A:A,0),2),0),G48,INDEX(DogInfo!A:B,MATCH(C48&amp;$BC$4,DogInfo!A:A,0),2)),INDEX(DogInfo!A:B,MATCH(C48&amp;$BC$4,DogInfo!A:A,0),2)),"")</f>
        <v/>
      </c>
      <c r="BD48" s="262" t="str">
        <f>_xlfn.IFNA(IF(Q48="Pass",IF(O48&gt;IFERROR(INDEX(DogInfo!A:B,MATCH(C48&amp;$BD$4,DogInfo!A:A,0),2),0),O48,INDEX(DogInfo!A:B,MATCH(C48&amp;$BD$4,DogInfo!A:A,0),2)),INDEX(DogInfo!A:B,MATCH(C48&amp;$BD$4,DogInfo!A:A,0),2)),"")</f>
        <v/>
      </c>
      <c r="BE48" s="262" t="str">
        <f>_xlfn.IFNA(IF(Y48="Pass",IF(W48&gt;IFERROR(INDEX(DogInfo!A:B,MATCH(C48&amp;$BE$4,DogInfo!A:A,0),2),0),W48,INDEX(DogInfo!A:B,MATCH(C48&amp;$BE$4,DogInfo!A:A,0),2)),INDEX(DogInfo!A:B,MATCH(C48&amp;$BE$4,DogInfo!A:A,0),2)),"")</f>
        <v/>
      </c>
    </row>
    <row r="49" spans="1:57" x14ac:dyDescent="0.25">
      <c r="A49" s="99">
        <v>45</v>
      </c>
      <c r="B49" s="100"/>
      <c r="C49" s="101"/>
      <c r="D49" s="102" t="str">
        <f>IF($C49="","",VLOOKUP($C49,'SDDA Dogs'!$A:$F,2,FALSE))</f>
        <v/>
      </c>
      <c r="E49" s="211">
        <f t="shared" si="35"/>
        <v>1</v>
      </c>
      <c r="F49" s="103" t="str">
        <f>IF($C49="","",VLOOKUP($C49,'SDDA Dogs'!$A:$O,13,FALSE))</f>
        <v/>
      </c>
      <c r="G49" s="137"/>
      <c r="H49" s="217"/>
      <c r="I49" s="84" t="str">
        <f t="shared" si="36"/>
        <v/>
      </c>
      <c r="J49" s="105">
        <f t="shared" si="0"/>
        <v>0</v>
      </c>
      <c r="K49" s="84" t="str">
        <f t="shared" si="37"/>
        <v/>
      </c>
      <c r="L49" s="105">
        <f t="shared" si="1"/>
        <v>0</v>
      </c>
      <c r="M49" s="84" t="str">
        <f t="shared" si="38"/>
        <v/>
      </c>
      <c r="N49" s="106" t="str">
        <f>IF($C49="","",VLOOKUP($C49,'SDDA Dogs'!$A:$O,14,FALSE))</f>
        <v/>
      </c>
      <c r="O49" s="137"/>
      <c r="P49" s="217"/>
      <c r="Q49" s="84" t="str">
        <f t="shared" si="39"/>
        <v/>
      </c>
      <c r="R49" s="105">
        <f t="shared" si="2"/>
        <v>0</v>
      </c>
      <c r="S49" s="84" t="str">
        <f t="shared" si="40"/>
        <v/>
      </c>
      <c r="T49" s="105">
        <f t="shared" si="3"/>
        <v>0</v>
      </c>
      <c r="U49" s="84" t="str">
        <f t="shared" si="41"/>
        <v/>
      </c>
      <c r="V49" s="106" t="str">
        <f>IF($C49="","",VLOOKUP($C49,'SDDA Dogs'!$A:$O,15,FALSE))</f>
        <v/>
      </c>
      <c r="W49" s="137"/>
      <c r="X49" s="217"/>
      <c r="Y49" s="84" t="str">
        <f t="shared" si="42"/>
        <v/>
      </c>
      <c r="Z49" s="105">
        <f t="shared" si="4"/>
        <v>0</v>
      </c>
      <c r="AA49" s="84" t="str">
        <f t="shared" si="43"/>
        <v/>
      </c>
      <c r="AB49" s="105">
        <f t="shared" si="5"/>
        <v>0</v>
      </c>
      <c r="AC49" s="84" t="str">
        <f t="shared" si="44"/>
        <v/>
      </c>
      <c r="AD49" s="92" t="str">
        <f t="shared" si="25"/>
        <v/>
      </c>
      <c r="AE49" s="89" t="str">
        <f t="shared" si="45"/>
        <v/>
      </c>
      <c r="AF49" s="104" t="str">
        <f t="shared" si="53"/>
        <v/>
      </c>
      <c r="AG49" s="107" t="str">
        <f t="shared" si="46"/>
        <v/>
      </c>
      <c r="AH49" s="92" t="str">
        <f t="shared" si="47"/>
        <v/>
      </c>
      <c r="AI49" s="89" t="str">
        <f t="shared" si="48"/>
        <v/>
      </c>
      <c r="AJ49" s="104" t="str">
        <f t="shared" si="49"/>
        <v/>
      </c>
      <c r="AK49" s="84" t="str">
        <f t="shared" si="50"/>
        <v/>
      </c>
      <c r="AL49" s="265" t="str">
        <f t="shared" si="51"/>
        <v/>
      </c>
      <c r="AM49" s="270">
        <f t="shared" si="6"/>
        <v>0</v>
      </c>
      <c r="AN49" s="270" t="str">
        <f t="shared" si="7"/>
        <v/>
      </c>
      <c r="AO49" s="270" t="str">
        <f t="shared" si="8"/>
        <v/>
      </c>
      <c r="AP49" s="270" t="str">
        <f t="shared" si="9"/>
        <v/>
      </c>
      <c r="AQ49" s="270">
        <f t="shared" si="52"/>
        <v>0</v>
      </c>
      <c r="AR49" s="316">
        <f>MIN(IFERROR(VLOOKUP($C49,'SDDA Dogs'!$A:$O,10,FALSE),0),IFERROR(VLOOKUP($C49,'SDDA Dogs'!$A:$O,11,FALSE),0),IFERROR(VLOOKUP($C49,'SDDA Dogs'!$A:$O,12,FALSE),0))</f>
        <v>0</v>
      </c>
      <c r="AS49" s="272"/>
      <c r="AT49" s="272"/>
      <c r="AU49" s="272" t="str">
        <f>IF(ISERROR(VLOOKUP(C49,'SDDA Dogs'!A:O,6,FALSE)),"",VLOOKUP(C49,'SDDA Dogs'!A:O,6,FALSE))</f>
        <v/>
      </c>
      <c r="AV49" s="270">
        <f t="shared" si="10"/>
        <v>0</v>
      </c>
      <c r="AW49" s="270">
        <f t="shared" si="11"/>
        <v>0</v>
      </c>
      <c r="AX49" s="273">
        <f t="shared" si="54"/>
        <v>0</v>
      </c>
      <c r="AY49" s="274"/>
      <c r="AZ49" s="275">
        <f t="shared" si="55"/>
        <v>0</v>
      </c>
      <c r="BA49" s="275">
        <f t="shared" si="56"/>
        <v>0</v>
      </c>
      <c r="BB49" s="276"/>
      <c r="BC49" s="262" t="str">
        <f>_xlfn.IFNA(IF(I49="Pass",IF(G49&gt;IFERROR(INDEX(DogInfo!A:B,MATCH(C49&amp;$BC$4,DogInfo!A:A,0),2),0),G49,INDEX(DogInfo!A:B,MATCH(C49&amp;$BC$4,DogInfo!A:A,0),2)),INDEX(DogInfo!A:B,MATCH(C49&amp;$BC$4,DogInfo!A:A,0),2)),"")</f>
        <v/>
      </c>
      <c r="BD49" s="262" t="str">
        <f>_xlfn.IFNA(IF(Q49="Pass",IF(O49&gt;IFERROR(INDEX(DogInfo!A:B,MATCH(C49&amp;$BD$4,DogInfo!A:A,0),2),0),O49,INDEX(DogInfo!A:B,MATCH(C49&amp;$BD$4,DogInfo!A:A,0),2)),INDEX(DogInfo!A:B,MATCH(C49&amp;$BD$4,DogInfo!A:A,0),2)),"")</f>
        <v/>
      </c>
      <c r="BE49" s="262" t="str">
        <f>_xlfn.IFNA(IF(Y49="Pass",IF(W49&gt;IFERROR(INDEX(DogInfo!A:B,MATCH(C49&amp;$BE$4,DogInfo!A:A,0),2),0),W49,INDEX(DogInfo!A:B,MATCH(C49&amp;$BE$4,DogInfo!A:A,0),2)),INDEX(DogInfo!A:B,MATCH(C49&amp;$BE$4,DogInfo!A:A,0),2)),"")</f>
        <v/>
      </c>
    </row>
    <row r="50" spans="1:57" x14ac:dyDescent="0.25">
      <c r="A50" s="99">
        <v>46</v>
      </c>
      <c r="B50" s="100"/>
      <c r="C50" s="101"/>
      <c r="D50" s="102" t="str">
        <f>IF($C50="","",VLOOKUP($C50,'SDDA Dogs'!$A:$F,2,FALSE))</f>
        <v/>
      </c>
      <c r="E50" s="211">
        <f t="shared" si="35"/>
        <v>1</v>
      </c>
      <c r="F50" s="103" t="str">
        <f>IF($C50="","",VLOOKUP($C50,'SDDA Dogs'!$A:$O,13,FALSE))</f>
        <v/>
      </c>
      <c r="G50" s="137"/>
      <c r="H50" s="217"/>
      <c r="I50" s="84" t="str">
        <f t="shared" si="36"/>
        <v/>
      </c>
      <c r="J50" s="105">
        <f t="shared" si="0"/>
        <v>0</v>
      </c>
      <c r="K50" s="84" t="str">
        <f t="shared" si="37"/>
        <v/>
      </c>
      <c r="L50" s="105">
        <f t="shared" si="1"/>
        <v>0</v>
      </c>
      <c r="M50" s="84" t="str">
        <f t="shared" si="38"/>
        <v/>
      </c>
      <c r="N50" s="106" t="str">
        <f>IF($C50="","",VLOOKUP($C50,'SDDA Dogs'!$A:$O,14,FALSE))</f>
        <v/>
      </c>
      <c r="O50" s="137"/>
      <c r="P50" s="217"/>
      <c r="Q50" s="84" t="str">
        <f t="shared" si="39"/>
        <v/>
      </c>
      <c r="R50" s="105">
        <f t="shared" si="2"/>
        <v>0</v>
      </c>
      <c r="S50" s="84" t="str">
        <f t="shared" si="40"/>
        <v/>
      </c>
      <c r="T50" s="105">
        <f t="shared" si="3"/>
        <v>0</v>
      </c>
      <c r="U50" s="84" t="str">
        <f t="shared" si="41"/>
        <v/>
      </c>
      <c r="V50" s="106" t="str">
        <f>IF($C50="","",VLOOKUP($C50,'SDDA Dogs'!$A:$O,15,FALSE))</f>
        <v/>
      </c>
      <c r="W50" s="137"/>
      <c r="X50" s="217"/>
      <c r="Y50" s="84" t="str">
        <f t="shared" si="42"/>
        <v/>
      </c>
      <c r="Z50" s="105">
        <f t="shared" si="4"/>
        <v>0</v>
      </c>
      <c r="AA50" s="84" t="str">
        <f t="shared" si="43"/>
        <v/>
      </c>
      <c r="AB50" s="105">
        <f t="shared" si="5"/>
        <v>0</v>
      </c>
      <c r="AC50" s="84" t="str">
        <f t="shared" si="44"/>
        <v/>
      </c>
      <c r="AD50" s="92" t="str">
        <f t="shared" si="25"/>
        <v/>
      </c>
      <c r="AE50" s="89" t="str">
        <f t="shared" si="45"/>
        <v/>
      </c>
      <c r="AF50" s="104" t="str">
        <f t="shared" si="53"/>
        <v/>
      </c>
      <c r="AG50" s="107" t="str">
        <f t="shared" si="46"/>
        <v/>
      </c>
      <c r="AH50" s="92" t="str">
        <f t="shared" si="47"/>
        <v/>
      </c>
      <c r="AI50" s="89" t="str">
        <f t="shared" si="48"/>
        <v/>
      </c>
      <c r="AJ50" s="104" t="str">
        <f t="shared" si="49"/>
        <v/>
      </c>
      <c r="AK50" s="84" t="str">
        <f t="shared" si="50"/>
        <v/>
      </c>
      <c r="AL50" s="265" t="str">
        <f t="shared" si="51"/>
        <v/>
      </c>
      <c r="AM50" s="270">
        <f t="shared" si="6"/>
        <v>0</v>
      </c>
      <c r="AN50" s="270" t="str">
        <f t="shared" si="7"/>
        <v/>
      </c>
      <c r="AO50" s="270" t="str">
        <f t="shared" si="8"/>
        <v/>
      </c>
      <c r="AP50" s="270" t="str">
        <f t="shared" si="9"/>
        <v/>
      </c>
      <c r="AQ50" s="270">
        <f t="shared" si="52"/>
        <v>0</v>
      </c>
      <c r="AR50" s="316">
        <f>MIN(IFERROR(VLOOKUP($C50,'SDDA Dogs'!$A:$O,10,FALSE),0),IFERROR(VLOOKUP($C50,'SDDA Dogs'!$A:$O,11,FALSE),0),IFERROR(VLOOKUP($C50,'SDDA Dogs'!$A:$O,12,FALSE),0))</f>
        <v>0</v>
      </c>
      <c r="AS50" s="272"/>
      <c r="AT50" s="272"/>
      <c r="AU50" s="272" t="str">
        <f>IF(ISERROR(VLOOKUP(C50,'SDDA Dogs'!A:O,6,FALSE)),"",VLOOKUP(C50,'SDDA Dogs'!A:O,6,FALSE))</f>
        <v/>
      </c>
      <c r="AV50" s="270">
        <f t="shared" si="10"/>
        <v>0</v>
      </c>
      <c r="AW50" s="270">
        <f t="shared" si="11"/>
        <v>0</v>
      </c>
      <c r="AX50" s="273">
        <f t="shared" si="54"/>
        <v>0</v>
      </c>
      <c r="AY50" s="274"/>
      <c r="AZ50" s="275">
        <f t="shared" si="55"/>
        <v>0</v>
      </c>
      <c r="BA50" s="275">
        <f t="shared" si="56"/>
        <v>0</v>
      </c>
      <c r="BB50" s="276"/>
      <c r="BC50" s="262" t="str">
        <f>_xlfn.IFNA(IF(I50="Pass",IF(G50&gt;IFERROR(INDEX(DogInfo!A:B,MATCH(C50&amp;$BC$4,DogInfo!A:A,0),2),0),G50,INDEX(DogInfo!A:B,MATCH(C50&amp;$BC$4,DogInfo!A:A,0),2)),INDEX(DogInfo!A:B,MATCH(C50&amp;$BC$4,DogInfo!A:A,0),2)),"")</f>
        <v/>
      </c>
      <c r="BD50" s="262" t="str">
        <f>_xlfn.IFNA(IF(Q50="Pass",IF(O50&gt;IFERROR(INDEX(DogInfo!A:B,MATCH(C50&amp;$BD$4,DogInfo!A:A,0),2),0),O50,INDEX(DogInfo!A:B,MATCH(C50&amp;$BD$4,DogInfo!A:A,0),2)),INDEX(DogInfo!A:B,MATCH(C50&amp;$BD$4,DogInfo!A:A,0),2)),"")</f>
        <v/>
      </c>
      <c r="BE50" s="262" t="str">
        <f>_xlfn.IFNA(IF(Y50="Pass",IF(W50&gt;IFERROR(INDEX(DogInfo!A:B,MATCH(C50&amp;$BE$4,DogInfo!A:A,0),2),0),W50,INDEX(DogInfo!A:B,MATCH(C50&amp;$BE$4,DogInfo!A:A,0),2)),INDEX(DogInfo!A:B,MATCH(C50&amp;$BE$4,DogInfo!A:A,0),2)),"")</f>
        <v/>
      </c>
    </row>
    <row r="51" spans="1:57" x14ac:dyDescent="0.25">
      <c r="A51" s="99">
        <v>47</v>
      </c>
      <c r="B51" s="100"/>
      <c r="C51" s="101"/>
      <c r="D51" s="102" t="str">
        <f>IF($C51="","",VLOOKUP($C51,'SDDA Dogs'!$A:$F,2,FALSE))</f>
        <v/>
      </c>
      <c r="E51" s="211">
        <f t="shared" si="35"/>
        <v>1</v>
      </c>
      <c r="F51" s="103" t="str">
        <f>IF($C51="","",VLOOKUP($C51,'SDDA Dogs'!$A:$O,13,FALSE))</f>
        <v/>
      </c>
      <c r="G51" s="137"/>
      <c r="H51" s="217"/>
      <c r="I51" s="84" t="str">
        <f t="shared" si="36"/>
        <v/>
      </c>
      <c r="J51" s="105">
        <f t="shared" si="0"/>
        <v>0</v>
      </c>
      <c r="K51" s="84" t="str">
        <f t="shared" si="37"/>
        <v/>
      </c>
      <c r="L51" s="105">
        <f t="shared" si="1"/>
        <v>0</v>
      </c>
      <c r="M51" s="84" t="str">
        <f t="shared" si="38"/>
        <v/>
      </c>
      <c r="N51" s="106" t="str">
        <f>IF($C51="","",VLOOKUP($C51,'SDDA Dogs'!$A:$O,14,FALSE))</f>
        <v/>
      </c>
      <c r="O51" s="137"/>
      <c r="P51" s="217"/>
      <c r="Q51" s="84" t="str">
        <f t="shared" si="39"/>
        <v/>
      </c>
      <c r="R51" s="105">
        <f t="shared" si="2"/>
        <v>0</v>
      </c>
      <c r="S51" s="84" t="str">
        <f t="shared" si="40"/>
        <v/>
      </c>
      <c r="T51" s="105">
        <f t="shared" si="3"/>
        <v>0</v>
      </c>
      <c r="U51" s="84" t="str">
        <f t="shared" si="41"/>
        <v/>
      </c>
      <c r="V51" s="106" t="str">
        <f>IF($C51="","",VLOOKUP($C51,'SDDA Dogs'!$A:$O,15,FALSE))</f>
        <v/>
      </c>
      <c r="W51" s="137"/>
      <c r="X51" s="217"/>
      <c r="Y51" s="84" t="str">
        <f t="shared" si="42"/>
        <v/>
      </c>
      <c r="Z51" s="105">
        <f t="shared" si="4"/>
        <v>0</v>
      </c>
      <c r="AA51" s="84" t="str">
        <f t="shared" si="43"/>
        <v/>
      </c>
      <c r="AB51" s="105">
        <f t="shared" si="5"/>
        <v>0</v>
      </c>
      <c r="AC51" s="84" t="str">
        <f t="shared" si="44"/>
        <v/>
      </c>
      <c r="AD51" s="92" t="str">
        <f t="shared" si="25"/>
        <v/>
      </c>
      <c r="AE51" s="89" t="str">
        <f t="shared" si="45"/>
        <v/>
      </c>
      <c r="AF51" s="104" t="str">
        <f t="shared" si="53"/>
        <v/>
      </c>
      <c r="AG51" s="107" t="str">
        <f t="shared" si="46"/>
        <v/>
      </c>
      <c r="AH51" s="92" t="str">
        <f t="shared" si="47"/>
        <v/>
      </c>
      <c r="AI51" s="89" t="str">
        <f t="shared" si="48"/>
        <v/>
      </c>
      <c r="AJ51" s="104" t="str">
        <f t="shared" si="49"/>
        <v/>
      </c>
      <c r="AK51" s="84" t="str">
        <f t="shared" si="50"/>
        <v/>
      </c>
      <c r="AL51" s="265" t="str">
        <f t="shared" si="51"/>
        <v/>
      </c>
      <c r="AM51" s="270">
        <f t="shared" si="6"/>
        <v>0</v>
      </c>
      <c r="AN51" s="270" t="str">
        <f t="shared" si="7"/>
        <v/>
      </c>
      <c r="AO51" s="270" t="str">
        <f t="shared" si="8"/>
        <v/>
      </c>
      <c r="AP51" s="270" t="str">
        <f t="shared" si="9"/>
        <v/>
      </c>
      <c r="AQ51" s="270">
        <f t="shared" si="52"/>
        <v>0</v>
      </c>
      <c r="AR51" s="316">
        <f>MIN(IFERROR(VLOOKUP($C51,'SDDA Dogs'!$A:$O,10,FALSE),0),IFERROR(VLOOKUP($C51,'SDDA Dogs'!$A:$O,11,FALSE),0),IFERROR(VLOOKUP($C51,'SDDA Dogs'!$A:$O,12,FALSE),0))</f>
        <v>0</v>
      </c>
      <c r="AS51" s="272"/>
      <c r="AT51" s="272"/>
      <c r="AU51" s="272" t="str">
        <f>IF(ISERROR(VLOOKUP(C51,'SDDA Dogs'!A:O,6,FALSE)),"",VLOOKUP(C51,'SDDA Dogs'!A:O,6,FALSE))</f>
        <v/>
      </c>
      <c r="AV51" s="270">
        <f t="shared" si="10"/>
        <v>0</v>
      </c>
      <c r="AW51" s="270">
        <f t="shared" si="11"/>
        <v>0</v>
      </c>
      <c r="AX51" s="273">
        <f t="shared" si="54"/>
        <v>0</v>
      </c>
      <c r="AY51" s="274"/>
      <c r="AZ51" s="275">
        <f t="shared" si="55"/>
        <v>0</v>
      </c>
      <c r="BA51" s="275">
        <f t="shared" si="56"/>
        <v>0</v>
      </c>
      <c r="BB51" s="276"/>
      <c r="BC51" s="262" t="str">
        <f>_xlfn.IFNA(IF(I51="Pass",IF(G51&gt;IFERROR(INDEX(DogInfo!A:B,MATCH(C51&amp;$BC$4,DogInfo!A:A,0),2),0),G51,INDEX(DogInfo!A:B,MATCH(C51&amp;$BC$4,DogInfo!A:A,0),2)),INDEX(DogInfo!A:B,MATCH(C51&amp;$BC$4,DogInfo!A:A,0),2)),"")</f>
        <v/>
      </c>
      <c r="BD51" s="262" t="str">
        <f>_xlfn.IFNA(IF(Q51="Pass",IF(O51&gt;IFERROR(INDEX(DogInfo!A:B,MATCH(C51&amp;$BD$4,DogInfo!A:A,0),2),0),O51,INDEX(DogInfo!A:B,MATCH(C51&amp;$BD$4,DogInfo!A:A,0),2)),INDEX(DogInfo!A:B,MATCH(C51&amp;$BD$4,DogInfo!A:A,0),2)),"")</f>
        <v/>
      </c>
      <c r="BE51" s="262" t="str">
        <f>_xlfn.IFNA(IF(Y51="Pass",IF(W51&gt;IFERROR(INDEX(DogInfo!A:B,MATCH(C51&amp;$BE$4,DogInfo!A:A,0),2),0),W51,INDEX(DogInfo!A:B,MATCH(C51&amp;$BE$4,DogInfo!A:A,0),2)),INDEX(DogInfo!A:B,MATCH(C51&amp;$BE$4,DogInfo!A:A,0),2)),"")</f>
        <v/>
      </c>
    </row>
    <row r="52" spans="1:57" x14ac:dyDescent="0.25">
      <c r="A52" s="99">
        <v>48</v>
      </c>
      <c r="B52" s="100"/>
      <c r="C52" s="101"/>
      <c r="D52" s="102" t="str">
        <f>IF($C52="","",VLOOKUP($C52,'SDDA Dogs'!$A:$F,2,FALSE))</f>
        <v/>
      </c>
      <c r="E52" s="211">
        <f t="shared" si="35"/>
        <v>1</v>
      </c>
      <c r="F52" s="103" t="str">
        <f>IF($C52="","",VLOOKUP($C52,'SDDA Dogs'!$A:$O,13,FALSE))</f>
        <v/>
      </c>
      <c r="G52" s="137"/>
      <c r="H52" s="217"/>
      <c r="I52" s="84" t="str">
        <f t="shared" si="36"/>
        <v/>
      </c>
      <c r="J52" s="105">
        <f t="shared" si="0"/>
        <v>0</v>
      </c>
      <c r="K52" s="84" t="str">
        <f t="shared" si="37"/>
        <v/>
      </c>
      <c r="L52" s="105">
        <f t="shared" si="1"/>
        <v>0</v>
      </c>
      <c r="M52" s="84" t="str">
        <f t="shared" si="38"/>
        <v/>
      </c>
      <c r="N52" s="106" t="str">
        <f>IF($C52="","",VLOOKUP($C52,'SDDA Dogs'!$A:$O,14,FALSE))</f>
        <v/>
      </c>
      <c r="O52" s="137"/>
      <c r="P52" s="217"/>
      <c r="Q52" s="84" t="str">
        <f t="shared" si="39"/>
        <v/>
      </c>
      <c r="R52" s="105">
        <f t="shared" si="2"/>
        <v>0</v>
      </c>
      <c r="S52" s="84" t="str">
        <f t="shared" si="40"/>
        <v/>
      </c>
      <c r="T52" s="105">
        <f t="shared" si="3"/>
        <v>0</v>
      </c>
      <c r="U52" s="84" t="str">
        <f t="shared" si="41"/>
        <v/>
      </c>
      <c r="V52" s="106" t="str">
        <f>IF($C52="","",VLOOKUP($C52,'SDDA Dogs'!$A:$O,15,FALSE))</f>
        <v/>
      </c>
      <c r="W52" s="137"/>
      <c r="X52" s="217"/>
      <c r="Y52" s="84" t="str">
        <f t="shared" si="42"/>
        <v/>
      </c>
      <c r="Z52" s="105">
        <f t="shared" si="4"/>
        <v>0</v>
      </c>
      <c r="AA52" s="84" t="str">
        <f t="shared" si="43"/>
        <v/>
      </c>
      <c r="AB52" s="105">
        <f t="shared" si="5"/>
        <v>0</v>
      </c>
      <c r="AC52" s="84" t="str">
        <f t="shared" si="44"/>
        <v/>
      </c>
      <c r="AD52" s="92" t="str">
        <f t="shared" si="25"/>
        <v/>
      </c>
      <c r="AE52" s="89" t="str">
        <f t="shared" si="45"/>
        <v/>
      </c>
      <c r="AF52" s="104" t="str">
        <f t="shared" si="53"/>
        <v/>
      </c>
      <c r="AG52" s="107" t="str">
        <f t="shared" si="46"/>
        <v/>
      </c>
      <c r="AH52" s="92" t="str">
        <f t="shared" si="47"/>
        <v/>
      </c>
      <c r="AI52" s="89" t="str">
        <f t="shared" si="48"/>
        <v/>
      </c>
      <c r="AJ52" s="104" t="str">
        <f t="shared" si="49"/>
        <v/>
      </c>
      <c r="AK52" s="84" t="str">
        <f t="shared" si="50"/>
        <v/>
      </c>
      <c r="AL52" s="265" t="str">
        <f t="shared" si="51"/>
        <v/>
      </c>
      <c r="AM52" s="270">
        <f t="shared" si="6"/>
        <v>0</v>
      </c>
      <c r="AN52" s="270" t="str">
        <f t="shared" si="7"/>
        <v/>
      </c>
      <c r="AO52" s="270" t="str">
        <f t="shared" si="8"/>
        <v/>
      </c>
      <c r="AP52" s="270" t="str">
        <f t="shared" si="9"/>
        <v/>
      </c>
      <c r="AQ52" s="270">
        <f t="shared" si="52"/>
        <v>0</v>
      </c>
      <c r="AR52" s="316">
        <f>MIN(IFERROR(VLOOKUP($C52,'SDDA Dogs'!$A:$O,10,FALSE),0),IFERROR(VLOOKUP($C52,'SDDA Dogs'!$A:$O,11,FALSE),0),IFERROR(VLOOKUP($C52,'SDDA Dogs'!$A:$O,12,FALSE),0))</f>
        <v>0</v>
      </c>
      <c r="AS52" s="272"/>
      <c r="AT52" s="272"/>
      <c r="AU52" s="272" t="str">
        <f>IF(ISERROR(VLOOKUP(C52,'SDDA Dogs'!A:O,6,FALSE)),"",VLOOKUP(C52,'SDDA Dogs'!A:O,6,FALSE))</f>
        <v/>
      </c>
      <c r="AV52" s="270">
        <f t="shared" si="10"/>
        <v>0</v>
      </c>
      <c r="AW52" s="270">
        <f t="shared" si="11"/>
        <v>0</v>
      </c>
      <c r="AX52" s="273">
        <f t="shared" si="54"/>
        <v>0</v>
      </c>
      <c r="AY52" s="274"/>
      <c r="AZ52" s="275">
        <f t="shared" si="55"/>
        <v>0</v>
      </c>
      <c r="BA52" s="275">
        <f t="shared" si="56"/>
        <v>0</v>
      </c>
      <c r="BB52" s="276"/>
      <c r="BC52" s="262" t="str">
        <f>_xlfn.IFNA(IF(I52="Pass",IF(G52&gt;IFERROR(INDEX(DogInfo!A:B,MATCH(C52&amp;$BC$4,DogInfo!A:A,0),2),0),G52,INDEX(DogInfo!A:B,MATCH(C52&amp;$BC$4,DogInfo!A:A,0),2)),INDEX(DogInfo!A:B,MATCH(C52&amp;$BC$4,DogInfo!A:A,0),2)),"")</f>
        <v/>
      </c>
      <c r="BD52" s="262" t="str">
        <f>_xlfn.IFNA(IF(Q52="Pass",IF(O52&gt;IFERROR(INDEX(DogInfo!A:B,MATCH(C52&amp;$BD$4,DogInfo!A:A,0),2),0),O52,INDEX(DogInfo!A:B,MATCH(C52&amp;$BD$4,DogInfo!A:A,0),2)),INDEX(DogInfo!A:B,MATCH(C52&amp;$BD$4,DogInfo!A:A,0),2)),"")</f>
        <v/>
      </c>
      <c r="BE52" s="262" t="str">
        <f>_xlfn.IFNA(IF(Y52="Pass",IF(W52&gt;IFERROR(INDEX(DogInfo!A:B,MATCH(C52&amp;$BE$4,DogInfo!A:A,0),2),0),W52,INDEX(DogInfo!A:B,MATCH(C52&amp;$BE$4,DogInfo!A:A,0),2)),INDEX(DogInfo!A:B,MATCH(C52&amp;$BE$4,DogInfo!A:A,0),2)),"")</f>
        <v/>
      </c>
    </row>
    <row r="53" spans="1:57" x14ac:dyDescent="0.25">
      <c r="A53" s="99">
        <v>49</v>
      </c>
      <c r="B53" s="100"/>
      <c r="C53" s="101"/>
      <c r="D53" s="102" t="str">
        <f>IF($C53="","",VLOOKUP($C53,'SDDA Dogs'!$A:$F,2,FALSE))</f>
        <v/>
      </c>
      <c r="E53" s="211">
        <f t="shared" si="35"/>
        <v>1</v>
      </c>
      <c r="F53" s="103" t="str">
        <f>IF($C53="","",VLOOKUP($C53,'SDDA Dogs'!$A:$O,13,FALSE))</f>
        <v/>
      </c>
      <c r="G53" s="137"/>
      <c r="H53" s="217"/>
      <c r="I53" s="84" t="str">
        <f t="shared" si="36"/>
        <v/>
      </c>
      <c r="J53" s="105">
        <f t="shared" si="0"/>
        <v>0</v>
      </c>
      <c r="K53" s="84" t="str">
        <f t="shared" si="37"/>
        <v/>
      </c>
      <c r="L53" s="105">
        <f t="shared" si="1"/>
        <v>0</v>
      </c>
      <c r="M53" s="84" t="str">
        <f t="shared" si="38"/>
        <v/>
      </c>
      <c r="N53" s="106" t="str">
        <f>IF($C53="","",VLOOKUP($C53,'SDDA Dogs'!$A:$O,14,FALSE))</f>
        <v/>
      </c>
      <c r="O53" s="137"/>
      <c r="P53" s="217"/>
      <c r="Q53" s="84" t="str">
        <f t="shared" si="39"/>
        <v/>
      </c>
      <c r="R53" s="105">
        <f t="shared" si="2"/>
        <v>0</v>
      </c>
      <c r="S53" s="84" t="str">
        <f t="shared" si="40"/>
        <v/>
      </c>
      <c r="T53" s="105">
        <f t="shared" si="3"/>
        <v>0</v>
      </c>
      <c r="U53" s="84" t="str">
        <f t="shared" si="41"/>
        <v/>
      </c>
      <c r="V53" s="106" t="str">
        <f>IF($C53="","",VLOOKUP($C53,'SDDA Dogs'!$A:$O,15,FALSE))</f>
        <v/>
      </c>
      <c r="W53" s="137"/>
      <c r="X53" s="217"/>
      <c r="Y53" s="84" t="str">
        <f t="shared" si="42"/>
        <v/>
      </c>
      <c r="Z53" s="105">
        <f t="shared" si="4"/>
        <v>0</v>
      </c>
      <c r="AA53" s="84" t="str">
        <f t="shared" si="43"/>
        <v/>
      </c>
      <c r="AB53" s="105">
        <f t="shared" si="5"/>
        <v>0</v>
      </c>
      <c r="AC53" s="84" t="str">
        <f t="shared" si="44"/>
        <v/>
      </c>
      <c r="AD53" s="92" t="str">
        <f t="shared" si="25"/>
        <v/>
      </c>
      <c r="AE53" s="89" t="str">
        <f t="shared" si="45"/>
        <v/>
      </c>
      <c r="AF53" s="104" t="str">
        <f t="shared" si="53"/>
        <v/>
      </c>
      <c r="AG53" s="107" t="str">
        <f t="shared" si="46"/>
        <v/>
      </c>
      <c r="AH53" s="92" t="str">
        <f t="shared" si="47"/>
        <v/>
      </c>
      <c r="AI53" s="89" t="str">
        <f t="shared" si="48"/>
        <v/>
      </c>
      <c r="AJ53" s="104" t="str">
        <f t="shared" si="49"/>
        <v/>
      </c>
      <c r="AK53" s="84" t="str">
        <f t="shared" si="50"/>
        <v/>
      </c>
      <c r="AL53" s="265" t="str">
        <f t="shared" si="51"/>
        <v/>
      </c>
      <c r="AM53" s="270">
        <f t="shared" si="6"/>
        <v>0</v>
      </c>
      <c r="AN53" s="270" t="str">
        <f t="shared" si="7"/>
        <v/>
      </c>
      <c r="AO53" s="270" t="str">
        <f t="shared" si="8"/>
        <v/>
      </c>
      <c r="AP53" s="270" t="str">
        <f t="shared" si="9"/>
        <v/>
      </c>
      <c r="AQ53" s="270">
        <f t="shared" si="52"/>
        <v>0</v>
      </c>
      <c r="AR53" s="316">
        <f>MIN(IFERROR(VLOOKUP($C53,'SDDA Dogs'!$A:$O,10,FALSE),0),IFERROR(VLOOKUP($C53,'SDDA Dogs'!$A:$O,11,FALSE),0),IFERROR(VLOOKUP($C53,'SDDA Dogs'!$A:$O,12,FALSE),0))</f>
        <v>0</v>
      </c>
      <c r="AS53" s="272"/>
      <c r="AT53" s="272"/>
      <c r="AU53" s="272" t="str">
        <f>IF(ISERROR(VLOOKUP(C53,'SDDA Dogs'!A:O,6,FALSE)),"",VLOOKUP(C53,'SDDA Dogs'!A:O,6,FALSE))</f>
        <v/>
      </c>
      <c r="AV53" s="270">
        <f t="shared" si="10"/>
        <v>0</v>
      </c>
      <c r="AW53" s="270">
        <f t="shared" si="11"/>
        <v>0</v>
      </c>
      <c r="AX53" s="273">
        <f t="shared" si="54"/>
        <v>0</v>
      </c>
      <c r="AY53" s="274"/>
      <c r="AZ53" s="275">
        <f t="shared" si="55"/>
        <v>0</v>
      </c>
      <c r="BA53" s="275">
        <f t="shared" si="56"/>
        <v>0</v>
      </c>
      <c r="BB53" s="276"/>
      <c r="BC53" s="262" t="str">
        <f>_xlfn.IFNA(IF(I53="Pass",IF(G53&gt;IFERROR(INDEX(DogInfo!A:B,MATCH(C53&amp;$BC$4,DogInfo!A:A,0),2),0),G53,INDEX(DogInfo!A:B,MATCH(C53&amp;$BC$4,DogInfo!A:A,0),2)),INDEX(DogInfo!A:B,MATCH(C53&amp;$BC$4,DogInfo!A:A,0),2)),"")</f>
        <v/>
      </c>
      <c r="BD53" s="262" t="str">
        <f>_xlfn.IFNA(IF(Q53="Pass",IF(O53&gt;IFERROR(INDEX(DogInfo!A:B,MATCH(C53&amp;$BD$4,DogInfo!A:A,0),2),0),O53,INDEX(DogInfo!A:B,MATCH(C53&amp;$BD$4,DogInfo!A:A,0),2)),INDEX(DogInfo!A:B,MATCH(C53&amp;$BD$4,DogInfo!A:A,0),2)),"")</f>
        <v/>
      </c>
      <c r="BE53" s="262" t="str">
        <f>_xlfn.IFNA(IF(Y53="Pass",IF(W53&gt;IFERROR(INDEX(DogInfo!A:B,MATCH(C53&amp;$BE$4,DogInfo!A:A,0),2),0),W53,INDEX(DogInfo!A:B,MATCH(C53&amp;$BE$4,DogInfo!A:A,0),2)),INDEX(DogInfo!A:B,MATCH(C53&amp;$BE$4,DogInfo!A:A,0),2)),"")</f>
        <v/>
      </c>
    </row>
    <row r="54" spans="1:57" x14ac:dyDescent="0.25">
      <c r="A54" s="99">
        <v>50</v>
      </c>
      <c r="B54" s="100"/>
      <c r="C54" s="101"/>
      <c r="D54" s="102" t="str">
        <f>IF($C54="","",VLOOKUP($C54,'SDDA Dogs'!$A:$F,2,FALSE))</f>
        <v/>
      </c>
      <c r="E54" s="211">
        <f t="shared" si="35"/>
        <v>1</v>
      </c>
      <c r="F54" s="103" t="str">
        <f>IF($C54="","",VLOOKUP($C54,'SDDA Dogs'!$A:$O,13,FALSE))</f>
        <v/>
      </c>
      <c r="G54" s="137"/>
      <c r="H54" s="217"/>
      <c r="I54" s="84" t="str">
        <f t="shared" si="36"/>
        <v/>
      </c>
      <c r="J54" s="105">
        <f t="shared" si="0"/>
        <v>0</v>
      </c>
      <c r="K54" s="84" t="str">
        <f t="shared" si="37"/>
        <v/>
      </c>
      <c r="L54" s="105">
        <f t="shared" si="1"/>
        <v>0</v>
      </c>
      <c r="M54" s="84" t="str">
        <f t="shared" si="38"/>
        <v/>
      </c>
      <c r="N54" s="106" t="str">
        <f>IF($C54="","",VLOOKUP($C54,'SDDA Dogs'!$A:$O,14,FALSE))</f>
        <v/>
      </c>
      <c r="O54" s="137"/>
      <c r="P54" s="217"/>
      <c r="Q54" s="84" t="str">
        <f t="shared" si="39"/>
        <v/>
      </c>
      <c r="R54" s="105">
        <f t="shared" si="2"/>
        <v>0</v>
      </c>
      <c r="S54" s="84" t="str">
        <f t="shared" si="40"/>
        <v/>
      </c>
      <c r="T54" s="105">
        <f t="shared" si="3"/>
        <v>0</v>
      </c>
      <c r="U54" s="84" t="str">
        <f t="shared" si="41"/>
        <v/>
      </c>
      <c r="V54" s="106" t="str">
        <f>IF($C54="","",VLOOKUP($C54,'SDDA Dogs'!$A:$O,15,FALSE))</f>
        <v/>
      </c>
      <c r="W54" s="137"/>
      <c r="X54" s="217"/>
      <c r="Y54" s="84" t="str">
        <f t="shared" si="42"/>
        <v/>
      </c>
      <c r="Z54" s="105">
        <f t="shared" si="4"/>
        <v>0</v>
      </c>
      <c r="AA54" s="84" t="str">
        <f t="shared" si="43"/>
        <v/>
      </c>
      <c r="AB54" s="105">
        <f t="shared" si="5"/>
        <v>0</v>
      </c>
      <c r="AC54" s="84" t="str">
        <f t="shared" si="44"/>
        <v/>
      </c>
      <c r="AD54" s="92" t="str">
        <f t="shared" si="25"/>
        <v/>
      </c>
      <c r="AE54" s="89" t="str">
        <f t="shared" si="45"/>
        <v/>
      </c>
      <c r="AF54" s="104" t="str">
        <f t="shared" si="53"/>
        <v/>
      </c>
      <c r="AG54" s="107" t="str">
        <f t="shared" si="46"/>
        <v/>
      </c>
      <c r="AH54" s="92" t="str">
        <f t="shared" si="47"/>
        <v/>
      </c>
      <c r="AI54" s="89" t="str">
        <f t="shared" si="48"/>
        <v/>
      </c>
      <c r="AJ54" s="104" t="str">
        <f t="shared" si="49"/>
        <v/>
      </c>
      <c r="AK54" s="84" t="str">
        <f t="shared" si="50"/>
        <v/>
      </c>
      <c r="AL54" s="265" t="str">
        <f t="shared" si="51"/>
        <v/>
      </c>
      <c r="AM54" s="270">
        <f t="shared" si="6"/>
        <v>0</v>
      </c>
      <c r="AN54" s="270" t="str">
        <f t="shared" si="7"/>
        <v/>
      </c>
      <c r="AO54" s="270" t="str">
        <f t="shared" si="8"/>
        <v/>
      </c>
      <c r="AP54" s="270" t="str">
        <f t="shared" si="9"/>
        <v/>
      </c>
      <c r="AQ54" s="270">
        <f t="shared" si="52"/>
        <v>0</v>
      </c>
      <c r="AR54" s="316">
        <f>MIN(IFERROR(VLOOKUP($C54,'SDDA Dogs'!$A:$O,10,FALSE),0),IFERROR(VLOOKUP($C54,'SDDA Dogs'!$A:$O,11,FALSE),0),IFERROR(VLOOKUP($C54,'SDDA Dogs'!$A:$O,12,FALSE),0))</f>
        <v>0</v>
      </c>
      <c r="AS54" s="272"/>
      <c r="AT54" s="272"/>
      <c r="AU54" s="272" t="str">
        <f>IF(ISERROR(VLOOKUP(C54,'SDDA Dogs'!A:O,6,FALSE)),"",VLOOKUP(C54,'SDDA Dogs'!A:O,6,FALSE))</f>
        <v/>
      </c>
      <c r="AV54" s="270">
        <f t="shared" si="10"/>
        <v>0</v>
      </c>
      <c r="AW54" s="270">
        <f t="shared" si="11"/>
        <v>0</v>
      </c>
      <c r="AX54" s="273">
        <f t="shared" si="54"/>
        <v>0</v>
      </c>
      <c r="AY54" s="274"/>
      <c r="AZ54" s="275">
        <f t="shared" si="55"/>
        <v>0</v>
      </c>
      <c r="BA54" s="275">
        <f t="shared" si="56"/>
        <v>0</v>
      </c>
      <c r="BB54" s="276"/>
      <c r="BC54" s="262" t="str">
        <f>_xlfn.IFNA(IF(I54="Pass",IF(G54&gt;IFERROR(INDEX(DogInfo!A:B,MATCH(C54&amp;$BC$4,DogInfo!A:A,0),2),0),G54,INDEX(DogInfo!A:B,MATCH(C54&amp;$BC$4,DogInfo!A:A,0),2)),INDEX(DogInfo!A:B,MATCH(C54&amp;$BC$4,DogInfo!A:A,0),2)),"")</f>
        <v/>
      </c>
      <c r="BD54" s="262" t="str">
        <f>_xlfn.IFNA(IF(Q54="Pass",IF(O54&gt;IFERROR(INDEX(DogInfo!A:B,MATCH(C54&amp;$BD$4,DogInfo!A:A,0),2),0),O54,INDEX(DogInfo!A:B,MATCH(C54&amp;$BD$4,DogInfo!A:A,0),2)),INDEX(DogInfo!A:B,MATCH(C54&amp;$BD$4,DogInfo!A:A,0),2)),"")</f>
        <v/>
      </c>
      <c r="BE54" s="262" t="str">
        <f>_xlfn.IFNA(IF(Y54="Pass",IF(W54&gt;IFERROR(INDEX(DogInfo!A:B,MATCH(C54&amp;$BE$4,DogInfo!A:A,0),2),0),W54,INDEX(DogInfo!A:B,MATCH(C54&amp;$BE$4,DogInfo!A:A,0),2)),INDEX(DogInfo!A:B,MATCH(C54&amp;$BE$4,DogInfo!A:A,0),2)),"")</f>
        <v/>
      </c>
    </row>
    <row r="55" spans="1:57" x14ac:dyDescent="0.25">
      <c r="A55" s="9" t="s">
        <v>1548</v>
      </c>
      <c r="B55" s="9"/>
      <c r="C55" s="9"/>
      <c r="D55" s="9"/>
      <c r="E55" s="9">
        <f>SUM(E5:E54)</f>
        <v>50</v>
      </c>
      <c r="F55" s="9"/>
      <c r="G55" s="57">
        <f>COUNT(G5:G54)+ COUNTIF(G5:G54,"E") + COUNTIF(G5:G54,"FEO")</f>
        <v>0</v>
      </c>
      <c r="H55" s="57"/>
      <c r="I55" s="57"/>
      <c r="J55" s="57"/>
      <c r="K55" s="57"/>
      <c r="L55" s="57"/>
      <c r="M55" s="57"/>
      <c r="N55" s="57"/>
      <c r="O55" s="57">
        <f>COUNT(O5:O54)+ COUNTIF(O5:O54,"E") + COUNTIF(O5:O54,"FEO")</f>
        <v>0</v>
      </c>
      <c r="P55" s="57"/>
      <c r="Q55" s="57"/>
      <c r="R55" s="57"/>
      <c r="S55" s="57"/>
      <c r="T55" s="57"/>
      <c r="U55" s="57"/>
      <c r="V55" s="57"/>
      <c r="W55" s="57">
        <f>COUNT(W5:W54)+ COUNTIF(W5:W54,"E") + COUNTIF(W5:W54,"FEO")</f>
        <v>0</v>
      </c>
      <c r="X55" s="57"/>
      <c r="Y55" s="10" t="s">
        <v>1549</v>
      </c>
      <c r="Z55" s="57"/>
      <c r="AA55" s="57"/>
      <c r="AB55" s="57"/>
      <c r="AC55" s="57"/>
      <c r="AD55" s="57"/>
      <c r="AE55" s="57"/>
      <c r="AF55" s="57"/>
      <c r="AG55" s="57"/>
      <c r="AH55" s="57">
        <f>G55+O55+W55</f>
        <v>0</v>
      </c>
      <c r="AI55" s="57"/>
      <c r="AJ55" s="57"/>
      <c r="AK55" s="57"/>
      <c r="AL55" s="57"/>
      <c r="AM55" s="57" t="s">
        <v>2455</v>
      </c>
      <c r="AN55" s="57"/>
      <c r="AO55" s="57"/>
      <c r="AP55" s="57"/>
      <c r="AQ55" s="57">
        <f>COUNTIFS(AM5:AM54,0,AQ5:AQ54,1)</f>
        <v>0</v>
      </c>
    </row>
    <row r="56" spans="1:57" x14ac:dyDescent="0.25">
      <c r="A56" t="s">
        <v>9438</v>
      </c>
      <c r="D56">
        <f>50-E55</f>
        <v>0</v>
      </c>
    </row>
    <row r="62" spans="1:57" s="9" customFormat="1" ht="12.75" x14ac:dyDescent="0.2">
      <c r="A62" s="9" t="s">
        <v>624</v>
      </c>
      <c r="C62" s="9">
        <f>TrialNumberDay2</f>
        <v>0</v>
      </c>
      <c r="D62" s="10"/>
      <c r="E62" s="10"/>
      <c r="F62" s="10"/>
      <c r="H62" s="10" t="s">
        <v>3505</v>
      </c>
      <c r="I62" s="398">
        <f>TrialVenue</f>
        <v>0</v>
      </c>
      <c r="J62" s="398"/>
      <c r="K62" s="398"/>
      <c r="L62" s="398"/>
      <c r="M62" s="398"/>
      <c r="N62" s="398"/>
      <c r="O62" s="398"/>
      <c r="P62" s="398"/>
      <c r="R62" s="10"/>
      <c r="S62" s="10"/>
      <c r="T62" s="10"/>
      <c r="U62" s="10"/>
      <c r="V62" s="10"/>
      <c r="X62" s="10" t="s">
        <v>10</v>
      </c>
      <c r="Y62" s="399" t="str">
        <f>TEXT(TrialDateDay2, "mmm-dd-yyyy")</f>
        <v/>
      </c>
      <c r="Z62" s="399"/>
      <c r="AA62" s="399"/>
      <c r="AB62" s="399"/>
      <c r="AC62" s="399"/>
      <c r="AD62" s="399"/>
      <c r="AE62" s="38"/>
      <c r="AF62" s="10"/>
      <c r="AG62" s="38"/>
      <c r="AH62" s="38"/>
      <c r="AI62" s="38"/>
      <c r="AJ62" s="38"/>
      <c r="AK62" s="38"/>
      <c r="AL62" s="38"/>
      <c r="AM62" s="57"/>
      <c r="AN62" s="57"/>
      <c r="AO62" s="57"/>
      <c r="AP62" s="57"/>
      <c r="AQ62" s="57"/>
      <c r="AR62" s="80"/>
      <c r="AS62" s="404"/>
      <c r="AT62" s="404"/>
      <c r="AU62" s="404"/>
      <c r="AV62" s="404"/>
      <c r="AW62" s="404"/>
      <c r="AX62" s="404"/>
      <c r="AZ62" s="60"/>
      <c r="BA62" s="60"/>
    </row>
    <row r="63" spans="1:57" s="25" customFormat="1" ht="12" x14ac:dyDescent="0.25">
      <c r="A63" s="30"/>
      <c r="B63" s="395" t="s">
        <v>611</v>
      </c>
      <c r="C63" s="396"/>
      <c r="D63" s="397"/>
      <c r="E63" s="209"/>
      <c r="F63" s="31"/>
      <c r="G63" s="395" t="s">
        <v>30</v>
      </c>
      <c r="H63" s="396"/>
      <c r="I63" s="396"/>
      <c r="J63" s="396"/>
      <c r="K63" s="396"/>
      <c r="L63" s="396"/>
      <c r="M63" s="397"/>
      <c r="N63" s="31"/>
      <c r="O63" s="395" t="s">
        <v>31</v>
      </c>
      <c r="P63" s="396"/>
      <c r="Q63" s="396"/>
      <c r="R63" s="396"/>
      <c r="S63" s="396"/>
      <c r="T63" s="396"/>
      <c r="U63" s="397"/>
      <c r="V63" s="31"/>
      <c r="W63" s="395" t="s">
        <v>32</v>
      </c>
      <c r="X63" s="396"/>
      <c r="Y63" s="396"/>
      <c r="Z63" s="396"/>
      <c r="AA63" s="396"/>
      <c r="AB63" s="396"/>
      <c r="AC63" s="397"/>
      <c r="AD63" s="35"/>
      <c r="AE63" s="37"/>
      <c r="AF63" s="37"/>
      <c r="AG63" s="31"/>
      <c r="AH63" s="391" t="s">
        <v>651</v>
      </c>
      <c r="AI63" s="392"/>
      <c r="AJ63" s="392"/>
      <c r="AK63" s="392"/>
      <c r="AL63" s="395"/>
      <c r="AM63" s="58"/>
      <c r="AN63" s="58"/>
      <c r="AO63" s="58"/>
      <c r="AP63" s="58"/>
      <c r="AQ63" s="58"/>
      <c r="AR63" s="81"/>
      <c r="AV63" s="58"/>
      <c r="AW63" s="58"/>
      <c r="AZ63" s="61"/>
      <c r="BA63" s="61"/>
    </row>
    <row r="64" spans="1:57" s="3" customFormat="1" ht="51.75" customHeight="1" x14ac:dyDescent="0.25">
      <c r="A64" s="29" t="s">
        <v>605</v>
      </c>
      <c r="B64" s="26" t="s">
        <v>604</v>
      </c>
      <c r="C64" s="7" t="s">
        <v>612</v>
      </c>
      <c r="D64" s="27" t="s">
        <v>2</v>
      </c>
      <c r="E64" s="210" t="s">
        <v>15197</v>
      </c>
      <c r="F64" s="32" t="s">
        <v>660</v>
      </c>
      <c r="G64" s="26" t="s">
        <v>1131</v>
      </c>
      <c r="H64" s="7" t="s">
        <v>602</v>
      </c>
      <c r="I64" s="7" t="s">
        <v>603</v>
      </c>
      <c r="J64" s="24" t="s">
        <v>607</v>
      </c>
      <c r="K64" s="24" t="s">
        <v>618</v>
      </c>
      <c r="L64" s="24" t="s">
        <v>601</v>
      </c>
      <c r="M64" s="28" t="s">
        <v>621</v>
      </c>
      <c r="N64" s="33" t="s">
        <v>661</v>
      </c>
      <c r="O64" s="26" t="s">
        <v>1134</v>
      </c>
      <c r="P64" s="7" t="s">
        <v>606</v>
      </c>
      <c r="Q64" s="7" t="s">
        <v>610</v>
      </c>
      <c r="R64" s="24" t="s">
        <v>608</v>
      </c>
      <c r="S64" s="24" t="s">
        <v>619</v>
      </c>
      <c r="T64" s="24" t="s">
        <v>609</v>
      </c>
      <c r="U64" s="28" t="s">
        <v>622</v>
      </c>
      <c r="V64" s="33" t="s">
        <v>662</v>
      </c>
      <c r="W64" s="26" t="s">
        <v>1133</v>
      </c>
      <c r="X64" s="7" t="s">
        <v>615</v>
      </c>
      <c r="Y64" s="7" t="s">
        <v>617</v>
      </c>
      <c r="Z64" s="24" t="s">
        <v>613</v>
      </c>
      <c r="AA64" s="24" t="s">
        <v>620</v>
      </c>
      <c r="AB64" s="24" t="s">
        <v>614</v>
      </c>
      <c r="AC64" s="28" t="s">
        <v>623</v>
      </c>
      <c r="AD64" s="32" t="s">
        <v>15153</v>
      </c>
      <c r="AE64" s="26" t="s">
        <v>654</v>
      </c>
      <c r="AF64" s="7" t="s">
        <v>655</v>
      </c>
      <c r="AG64" s="34" t="s">
        <v>650</v>
      </c>
      <c r="AH64" s="32" t="s">
        <v>653</v>
      </c>
      <c r="AI64" s="26" t="s">
        <v>656</v>
      </c>
      <c r="AJ64" s="7" t="s">
        <v>657</v>
      </c>
      <c r="AK64" s="26" t="s">
        <v>658</v>
      </c>
      <c r="AL64" s="263" t="s">
        <v>652</v>
      </c>
      <c r="AM64" s="266" t="s">
        <v>1568</v>
      </c>
      <c r="AN64" s="266" t="s">
        <v>1075</v>
      </c>
      <c r="AO64" s="266" t="s">
        <v>1076</v>
      </c>
      <c r="AP64" s="266" t="s">
        <v>1077</v>
      </c>
      <c r="AQ64" s="266" t="s">
        <v>1567</v>
      </c>
      <c r="AR64" s="315" t="s">
        <v>16038</v>
      </c>
      <c r="AS64" s="266" t="s">
        <v>1286</v>
      </c>
      <c r="AT64" s="266" t="s">
        <v>1287</v>
      </c>
      <c r="AU64" s="268" t="s">
        <v>1137</v>
      </c>
      <c r="AV64" s="266" t="s">
        <v>1145</v>
      </c>
      <c r="AW64" s="266" t="s">
        <v>1146</v>
      </c>
      <c r="AX64" s="268" t="s">
        <v>1147</v>
      </c>
      <c r="AY64" s="268"/>
      <c r="AZ64" s="269" t="s">
        <v>1172</v>
      </c>
      <c r="BA64" s="269" t="s">
        <v>1173</v>
      </c>
      <c r="BB64" s="268" t="s">
        <v>1561</v>
      </c>
      <c r="BC64" s="261" t="s">
        <v>15194</v>
      </c>
      <c r="BD64" s="261" t="s">
        <v>15195</v>
      </c>
      <c r="BE64" s="261" t="s">
        <v>15196</v>
      </c>
    </row>
    <row r="65" spans="1:57" x14ac:dyDescent="0.25">
      <c r="A65" s="99">
        <v>1</v>
      </c>
      <c r="B65" s="100"/>
      <c r="C65" s="101"/>
      <c r="D65" s="102" t="str">
        <f>IF($C65="","",VLOOKUP($C65,'SDDA Dogs'!$A:$F,2,FALSE))</f>
        <v/>
      </c>
      <c r="E65" s="211">
        <f>--(_xlfn.ISFORMULA(D65))</f>
        <v>1</v>
      </c>
      <c r="F65" s="103" t="str">
        <f>IF($C65="","",IF(ISERROR(VLOOKUP($C65,$C$5:$AP$54,38,FALSE)=TRUE),VLOOKUP($C65,'SDDA Dogs'!$A:$O,13,FALSE),VLOOKUP($C65,$C$5:$AP$54,38,FALSE)))</f>
        <v/>
      </c>
      <c r="G65" s="137"/>
      <c r="H65" s="217"/>
      <c r="I65" s="84" t="str">
        <f>IF(OR(G65="",G65="NE",G65="e",G65="feo"),"",(IF(G65&gt;=30,"Pass","Fail")))</f>
        <v/>
      </c>
      <c r="J65" s="105">
        <f t="shared" ref="J65:J114" si="57">IF(OR(AND($I65="Pass",$B65="A"),AND($I65="Fail",UseFail="Y",$B65="A")),$G65,0)+IF(OR(AND($I65="Pass",$B65="A"),AND($I65="Fail",UseFail="Y",$B65="A")),(MaxTmCSE-VALUE($H65)),0)</f>
        <v>0</v>
      </c>
      <c r="K65" s="84" t="str">
        <f>IF(AND($B65="A",$G65&lt;&gt;0,$H65&lt;&gt;0,J65&lt;&gt;0),(RANK(J65,J$65:J$114,0)),"")</f>
        <v/>
      </c>
      <c r="L65" s="105">
        <f t="shared" ref="L65:L114" si="58">IF(OR(AND($I65="Pass",$B65="W"),AND($I65="Fail",UseFail="Y",$B65="W")),$G65,0)+IF(OR(AND($I65="Pass",$B65="W"),AND($I65="Fail",UseFail="Y",$B65="W")),(MaxTmCSE-VALUE($H65)),0)</f>
        <v>0</v>
      </c>
      <c r="M65" s="84" t="str">
        <f>IF(AND($B65="W",$G65&lt;&gt;0,$H65&lt;&gt;0,L65&lt;&gt;0),(RANK(L65,L$65:L$114,0)),"")</f>
        <v/>
      </c>
      <c r="N65" s="106" t="str">
        <f>IF($C65="","",IF(ISERROR(VLOOKUP($C65,$C$5:$AP$54,39,FALSE)=TRUE),VLOOKUP($C65,'SDDA Dogs'!$A:$O,14,FALSE),VLOOKUP($C65,$C$5:$AP$54,39,FALSE)))</f>
        <v/>
      </c>
      <c r="O65" s="137"/>
      <c r="P65" s="217"/>
      <c r="Q65" s="84" t="str">
        <f>IF(OR(O65="",O65="NE",O65="e",O65="feo"),"",(IF(O65&gt;=40,"Pass","Fail")))</f>
        <v/>
      </c>
      <c r="R65" s="105">
        <f t="shared" ref="R65:R114" si="59">IF(OR(AND($Q65="Pass",$B65="A"),AND($Q65="Fail",UseFail="Y",$B65="A")),$O65,0)+IF(OR(AND($Q65="Pass",$B65="A"),AND($Q65="Fail",UseFail="Y",$B65="A")),(MaxTmISE-VALUE($P65)),0)</f>
        <v>0</v>
      </c>
      <c r="S65" s="84" t="str">
        <f>IF(AND($B65="A",$O65&lt;&gt;0,$P65&lt;&gt;0,R65&lt;&gt;0),(RANK(R65,R$65:R$114,0)),"")</f>
        <v/>
      </c>
      <c r="T65" s="105">
        <f t="shared" ref="T65:T114" si="60">IF(OR(AND($Q65="Pass",$B65="W"),AND($Q65="Fail",UseFail="Y",$B65="W")),$O65,0)+IF(OR(AND($Q65="Pass",$B65="W"),AND($Q65="Fail",UseFail="Y",$B65="W")),(MaxTmISE-VALUE($P65)),0)</f>
        <v>0</v>
      </c>
      <c r="U65" s="84" t="str">
        <f>IF(AND($B65="w",$O65&lt;&gt;0,$P65&lt;&gt;0,T65&lt;&gt;0),(RANK(T65,T$65:T$114,0)),"")</f>
        <v/>
      </c>
      <c r="V65" s="106" t="str">
        <f>IF($C65="","",IF(ISERROR(VLOOKUP($C65,$C$5:$AP$54,40,FALSE)=TRUE),VLOOKUP($C65,'SDDA Dogs'!$A:$O,15,FALSE),VLOOKUP($C65,$C$5:$AP$54,40,FALSE)))</f>
        <v/>
      </c>
      <c r="W65" s="137"/>
      <c r="X65" s="217"/>
      <c r="Y65" s="84" t="str">
        <f>IF(OR(W65="",W65="NE",W65="e",W65="feo"),"",(IF(W65&gt;=30,"Pass","Fail")))</f>
        <v/>
      </c>
      <c r="Z65" s="105">
        <f t="shared" ref="Z65:Z114" si="61">IF(OR(AND($Y65="Pass",$B65="A"),AND($Y65="Fail",UseFail="Y",$B65="A")),$W65,0)+IF(OR(AND($Y65="Pass",$B65="A"),AND($Y65="Fail",UseFail="Y",$B65="A")),(MaxTmESE-VALUE($X65)),0)</f>
        <v>0</v>
      </c>
      <c r="AA65" s="84" t="str">
        <f>IF(AND($B65="A",$W65&lt;&gt;0,$X65&lt;&gt;0,Z65&lt;&gt;0),(RANK(Z65,Z$65:Z$114,0)),"")</f>
        <v/>
      </c>
      <c r="AB65" s="105">
        <f t="shared" ref="AB65:AB114" si="62">IF(OR(AND($Y65="Pass",$B65="w"),AND($Y65="Fail",UseFail="Y",$B65="w")),$W65,0)+IF(OR(AND($Y65="Pass",$B65="w"),AND($Y65="Fail",UseFail="Y",$B65="w")),(MaxTmESE-VALUE($X65)),0)</f>
        <v>0</v>
      </c>
      <c r="AC65" s="84" t="str">
        <f>IF(AND($B65="w",$W65&lt;&gt;0,$X65&lt;&gt;0,AB65&lt;&gt;0),(RANK(AB65,AB$65:AB$114,0)),"")</f>
        <v/>
      </c>
      <c r="AD65" s="92" t="str">
        <f>IF(AND(AM65=0,AQ65=1,I65="Pass",Q65="Pass",Y65="Pass"),G65+O65+W65,IF(AND(AM65=0,AQ65=1),SUM(BC65:BE65),""))</f>
        <v/>
      </c>
      <c r="AE65" s="89" t="str">
        <f>IF(AND(ISNUMBER($K65),ISNUMBER($S65),ISNUMBER($AA65))=TRUE,$G65+$O65+$W65,"")</f>
        <v/>
      </c>
      <c r="AF65" s="104" t="str">
        <f>IF(AND(ISNUMBER($K65),ISNUMBER($S65),ISNUMBER($AA65))=TRUE,$H65+$P65+$X65,"")</f>
        <v/>
      </c>
      <c r="AG65" s="107" t="str">
        <f>IF(ISNUMBER(AE65),(RANK(AE65,AE$65:AE$114,0)*10)+RANK(AF65,AF$65:AF$114,1),"")</f>
        <v/>
      </c>
      <c r="AH65" s="92" t="str">
        <f>IF(ISNUMBER(AG65),RANK(AG65,AG$65:AG$114,1),"")</f>
        <v/>
      </c>
      <c r="AI65" s="89" t="str">
        <f>IF(AND(ISNUMBER($M65),ISNUMBER($U65),ISNUMBER($AC65))=TRUE,$G65+$O65+$W65,"")</f>
        <v/>
      </c>
      <c r="AJ65" s="104" t="str">
        <f>IF(AND(ISNUMBER($M65),ISNUMBER($U65),ISNUMBER($AC65))=TRUE,$H65+$P65+$X65,"")</f>
        <v/>
      </c>
      <c r="AK65" s="84" t="str">
        <f>IF(ISNUMBER(AI65),(RANK(AI65,AI$65:AI$114,0)*10)+RANK(AJ65,AJ$65:AJ$114,1),"")</f>
        <v/>
      </c>
      <c r="AL65" s="264" t="str">
        <f>IF(ISNUMBER(AK65),RANK(AK65,AK$65:AK$114,1),"")</f>
        <v/>
      </c>
      <c r="AM65" s="270">
        <f t="shared" ref="AM65:AM114" si="63">MIN(F65,N65,V65)</f>
        <v>0</v>
      </c>
      <c r="AN65" s="270" t="str">
        <f t="shared" ref="AN65:AN114" si="64">IF(I65="Pass",F65+1,F65)</f>
        <v/>
      </c>
      <c r="AO65" s="270" t="str">
        <f t="shared" ref="AO65:AO114" si="65">IF(Q65="Pass", N65+1,N65)</f>
        <v/>
      </c>
      <c r="AP65" s="270" t="str">
        <f t="shared" ref="AP65:AP114" si="66">IF(Y65="Pass",V65+1,V65)</f>
        <v/>
      </c>
      <c r="AQ65" s="270">
        <f>MIN(AN65,AO65,AP65)</f>
        <v>0</v>
      </c>
      <c r="AR65" s="316">
        <f>MIN(IFERROR(VLOOKUP($C65,'SDDA Dogs'!$A:$O,10,FALSE),0),IFERROR(VLOOKUP($C65,'SDDA Dogs'!$A:$O,11,FALSE),0),IFERROR(VLOOKUP($C65,'SDDA Dogs'!$A:$O,12,FALSE),0))</f>
        <v>0</v>
      </c>
      <c r="AS65" s="272"/>
      <c r="AT65" s="272"/>
      <c r="AU65" s="272" t="str">
        <f>IF(ISERROR(VLOOKUP(C65,'SDDA Dogs'!A:O,6,FALSE)),"",VLOOKUP(C65,'SDDA Dogs'!A:O,6,FALSE))</f>
        <v/>
      </c>
      <c r="AV65" s="270">
        <f t="shared" ref="AV65:AV114" si="67">IF(OR(ISNUMBER(G65),G65="e"),1,0)+IF(OR(ISNUMBER(O65),O65="e"),1,0)+IF(OR(ISNUMBER(W65),W65="e"),1,0)</f>
        <v>0</v>
      </c>
      <c r="AW65" s="270">
        <f t="shared" ref="AW65:AW114" si="68">IF(G65="FEO",1,0)+IF(O65="FEO",1,0)+IF(W65="FEO",1,0)</f>
        <v>0</v>
      </c>
      <c r="AX65" s="273">
        <f t="shared" ref="AX65:AX114" si="69">(AV65*TrialFeeExc)+(AW65*FeoFee)</f>
        <v>0</v>
      </c>
      <c r="AY65" s="274"/>
      <c r="AZ65" s="275">
        <f t="shared" ref="AZ65:AZ96" si="70">IF(AND(I65="Pass",Q65="Pass",Y65="Pass"),(G65+O65+W65)/((MinScoreCSA + MinScoreISA + MinScoreESA)*2),0)</f>
        <v>0</v>
      </c>
      <c r="BA65" s="275">
        <f t="shared" ref="BA65:BA96" si="71">IF(AND(I65="Pass",Q65="Pass",Y65="Pass"),(H65+P65+X65)/(MaxTmCSE+MaxTmESE+MaxTmISE),0)</f>
        <v>0</v>
      </c>
      <c r="BB65" s="276"/>
      <c r="BC65" s="274">
        <f>_xlfn.IFNA(IF(I65="Pass",IF(AND(G65&gt;=IFERROR(INDEX($C$5:$W$54,MATCH(C65,$C$5:$C$54,0),5),0),G65&gt;=IFERROR(INDEX(DogInfo!A:B,MATCH(C65&amp;$BC$4,DogInfo!A:A,0),2),0)),G65,IF(AND(IFERROR(INDEX($C$5:$W$54,MATCH(C65,$C$5:$C$54,0),5),0)&gt;=G65,IFERROR(INDEX($C$5:$W$54,MATCH(C65,$C$5:$C$54,0),5),0)&gt;=IFERROR(INDEX(DogInfo!A:B,MATCH(C65&amp;$BC$4,DogInfo!A:A,0),2),0)),IFERROR(INDEX($C$5:$W$54,MATCH(C65,$C$5:$C$54,0),5),0),IF(AND(IFERROR(INDEX(DogInfo!A:B,MATCH(C65&amp;$BC$4,DogInfo!A:A,0),2),0)&gt;=IFERROR(INDEX($C$5:$W$54,MATCH(C65,$C$5:$C$54,0),5),0),IFERROR(INDEX(DogInfo!A:B,MATCH(C65&amp;$BC$4,DogInfo!A:A,0),2),0)&gt;=G65),IFERROR(INDEX(DogInfo!A:B,MATCH(C65&amp;$BC$4,DogInfo!A:A,0),2),0),"Error"))),IFERROR(INDEX($C$5:$BE$54,MATCH(C65,$C$5:$C$54,0),53),IFERROR(INDEX(DogInfo!A:B,MATCH(C65&amp;$BC$4,DogInfo!A:A,0),2),0))),"")</f>
        <v>0</v>
      </c>
      <c r="BD65" s="274">
        <f>_xlfn.IFNA(IF(Q65="Pass",IF(AND(O65&gt;=IFERROR(INDEX($C$5:$W$54,MATCH(C65,$C$5:$C$54,0),13),0),O65&gt;=IFERROR(INDEX(DogInfo!A:B,MATCH(C65&amp;$BD$4,DogInfo!A:A,0),2),0)),O65,IF(AND(IFERROR(INDEX($C$5:$W$54,MATCH(C65,$C$5:$C$54,0),13),0)&gt;=O65,IFERROR(INDEX($C$5:$W$54,MATCH(C65,$C$5:$C$54,0),13),0)&gt;=IFERROR(INDEX(DogInfo!A:B,MATCH(C65&amp;$BD$4,DogInfo!A:A,0),2),0)),IFERROR(INDEX($C$5:$W$54,MATCH(C65,$C$5:$C$54,0),13),0),IF(AND(IFERROR(INDEX(DogInfo!A:B,MATCH(C65&amp;$BD$4,DogInfo!A:A,0),2),0)&gt;=IFERROR(INDEX($C$5:$W$54,MATCH(C65,$C$5:$C$54,0),13),0),IFERROR(INDEX(DogInfo!A:B,MATCH(C65&amp;$BD$4,DogInfo!A:A,0),2),0)&gt;=O65),IFERROR(INDEX(DogInfo!A:B,MATCH(C65&amp;$BD$4,DogInfo!A:A,0),2),0),"Error"))),IFERROR(INDEX($C$5:$BE$54,MATCH(C65,$C$5:$C$54,0),54),IFERROR(INDEX(DogInfo!A:B,MATCH(C65&amp;$BD$4,DogInfo!A:A,0),2),0))),"")</f>
        <v>0</v>
      </c>
      <c r="BE65" s="274">
        <f>_xlfn.IFNA(IF(Y65="Pass",IF(AND(W65&gt;=IFERROR(INDEX($C$5:$W$54,MATCH(C65,$C$5:$C$54,0),21),0),O65&gt;=IFERROR(INDEX(DogInfo!A:B,MATCH(C65&amp;$BE$4,DogInfo!A:A,0),2),0)),W65,IF(AND(IFERROR(INDEX($C$5:$W$54,MATCH(C65,$C$5:$C$54,0),21),0)&gt;=W65,IFERROR(INDEX($C$5:$W$54,MATCH(C65,$C$5:$C$54,0),21),0)&gt;=IFERROR(INDEX(DogInfo!A:B,MATCH(C65&amp;$BE$4,DogInfo!A:A,0),2),0)),IFERROR(INDEX($C$5:$W$54,MATCH(C65,$C$5:$C$54,0),21),0),IF(AND(IFERROR(INDEX(DogInfo!A:B,MATCH(C65&amp;$BE$4,DogInfo!A:A,0),2),0)&gt;=IFERROR(INDEX($C$5:$W$54,MATCH(C65,$C$5:$C$54,0),21),0),IFERROR(INDEX(DogInfo!A:B,MATCH(C65&amp;$BE$4,DogInfo!A:A,0),2),0)&gt;=W65),IFERROR(INDEX(DogInfo!A:B,MATCH(C65&amp;$BE$4,DogInfo!A:A,0),2),0),"Error"))),IFERROR(INDEX($C$5:$BE$54,MATCH(C65,$C$5:$C$54,0),55),IFERROR(INDEX(DogInfo!A:B,MATCH(C65&amp;$BE$4,DogInfo!A:A,0),2),0))),"")</f>
        <v>0</v>
      </c>
    </row>
    <row r="66" spans="1:57" x14ac:dyDescent="0.25">
      <c r="A66" s="99">
        <v>2</v>
      </c>
      <c r="B66" s="239"/>
      <c r="C66" s="283"/>
      <c r="D66" s="102" t="str">
        <f>IF($C66="","",VLOOKUP($C66,'SDDA Dogs'!$A:$F,2,FALSE))</f>
        <v/>
      </c>
      <c r="E66" s="211">
        <f t="shared" ref="E66:E85" si="72">--(_xlfn.ISFORMULA(D66))</f>
        <v>1</v>
      </c>
      <c r="F66" s="103" t="str">
        <f>IF($C66="","",IF(ISERROR(VLOOKUP($C66,$C$5:$AP$54,38,FALSE)=TRUE),VLOOKUP($C66,'SDDA Dogs'!$A:$O,13,FALSE),VLOOKUP($C66,$C$5:$AP$54,38,FALSE)))</f>
        <v/>
      </c>
      <c r="G66" s="241"/>
      <c r="H66" s="284"/>
      <c r="I66" s="84" t="str">
        <f t="shared" ref="I66:I85" si="73">IF(OR(G66="",G66="NE",G66="e",G66="feo"),"",(IF(G66&gt;=30,"Pass","Fail")))</f>
        <v/>
      </c>
      <c r="J66" s="105">
        <f t="shared" si="57"/>
        <v>0</v>
      </c>
      <c r="K66" s="84" t="str">
        <f t="shared" ref="K66:K85" si="74">IF(AND($B66="A",$G66&lt;&gt;0,$H66&lt;&gt;0,J66&lt;&gt;0),(RANK(J66,J$65:J$114,0)),"")</f>
        <v/>
      </c>
      <c r="L66" s="105">
        <f t="shared" si="58"/>
        <v>0</v>
      </c>
      <c r="M66" s="84" t="str">
        <f t="shared" ref="M66:M85" si="75">IF(AND($B66="W",$G66&lt;&gt;0,$H66&lt;&gt;0,L66&lt;&gt;0),(RANK(L66,L$65:L$114,0)),"")</f>
        <v/>
      </c>
      <c r="N66" s="106" t="str">
        <f>IF($C66="","",IF(ISERROR(VLOOKUP($C66,$C$5:$AP$54,39,FALSE)=TRUE),VLOOKUP($C66,'SDDA Dogs'!$A:$O,14,FALSE),VLOOKUP($C66,$C$5:$AP$54,39,FALSE)))</f>
        <v/>
      </c>
      <c r="O66" s="241"/>
      <c r="P66" s="284"/>
      <c r="Q66" s="84" t="str">
        <f t="shared" ref="Q66:Q85" si="76">IF(OR(O66="",O66="NE",O66="e",O66="feo"),"",(IF(O66&gt;=40,"Pass","Fail")))</f>
        <v/>
      </c>
      <c r="R66" s="105">
        <f t="shared" si="59"/>
        <v>0</v>
      </c>
      <c r="S66" s="84" t="str">
        <f t="shared" ref="S66:S85" si="77">IF(AND($B66="A",$O66&lt;&gt;0,$P66&lt;&gt;0,R66&lt;&gt;0),(RANK(R66,R$65:R$114,0)),"")</f>
        <v/>
      </c>
      <c r="T66" s="105">
        <f t="shared" si="60"/>
        <v>0</v>
      </c>
      <c r="U66" s="84" t="str">
        <f t="shared" ref="U66:U85" si="78">IF(AND($B66="w",$O66&lt;&gt;0,$P66&lt;&gt;0,T66&lt;&gt;0),(RANK(T66,T$65:T$114,0)),"")</f>
        <v/>
      </c>
      <c r="V66" s="106" t="str">
        <f>IF($C66="","",IF(ISERROR(VLOOKUP($C66,$C$5:$AP$54,40,FALSE)=TRUE),VLOOKUP($C66,'SDDA Dogs'!$A:$O,15,FALSE),VLOOKUP($C66,$C$5:$AP$54,40,FALSE)))</f>
        <v/>
      </c>
      <c r="W66" s="241"/>
      <c r="X66" s="284"/>
      <c r="Y66" s="84" t="str">
        <f t="shared" ref="Y66:Y85" si="79">IF(OR(W66="",W66="NE",W66="e",W66="feo"),"",(IF(W66&gt;=30,"Pass","Fail")))</f>
        <v/>
      </c>
      <c r="Z66" s="105">
        <f t="shared" si="61"/>
        <v>0</v>
      </c>
      <c r="AA66" s="84" t="str">
        <f t="shared" ref="AA66:AA85" si="80">IF(AND($B66="A",$W66&lt;&gt;0,$X66&lt;&gt;0,Z66&lt;&gt;0),(RANK(Z66,Z$65:Z$114,0)),"")</f>
        <v/>
      </c>
      <c r="AB66" s="105">
        <f t="shared" si="62"/>
        <v>0</v>
      </c>
      <c r="AC66" s="84" t="str">
        <f t="shared" ref="AC66:AC85" si="81">IF(AND($B66="w",$W66&lt;&gt;0,$X66&lt;&gt;0,AB66&lt;&gt;0),(RANK(AB66,AB$65:AB$114,0)),"")</f>
        <v/>
      </c>
      <c r="AD66" s="92" t="str">
        <f t="shared" ref="AD66:AD114" si="82">IF(AND(AM66=0,AQ66=1,I66="Pass",Q66="Pass",Y66="Pass"),G66+O66+W66,IF(AND(AM66=0,AQ66=1),SUM(BC66:BE66),""))</f>
        <v/>
      </c>
      <c r="AE66" s="89" t="str">
        <f t="shared" ref="AE66:AE85" si="83">IF(AND(ISNUMBER($K66),ISNUMBER($S66),ISNUMBER($AA66))=TRUE,$G66+$O66+$W66,"")</f>
        <v/>
      </c>
      <c r="AF66" s="104" t="str">
        <f t="shared" ref="AF66:AF85" si="84">IF(AND(ISNUMBER($K66),ISNUMBER($S66),ISNUMBER($AA66))=TRUE,$H66+$P66+$X66,"")</f>
        <v/>
      </c>
      <c r="AG66" s="107" t="str">
        <f t="shared" ref="AG66:AG85" si="85">IF(ISNUMBER(AE66),(RANK(AE66,AE$65:AE$114,0)*10)+RANK(AF66,AF$65:AF$114,1),"")</f>
        <v/>
      </c>
      <c r="AH66" s="92" t="str">
        <f t="shared" ref="AH66:AH85" si="86">IF(ISNUMBER(AG66),RANK(AG66,AG$65:AG$114,1),"")</f>
        <v/>
      </c>
      <c r="AI66" s="89" t="str">
        <f t="shared" ref="AI66:AI85" si="87">IF(AND(ISNUMBER($M66),ISNUMBER($U66),ISNUMBER($AC66))=TRUE,$G66+$O66+$W66,"")</f>
        <v/>
      </c>
      <c r="AJ66" s="104" t="str">
        <f t="shared" ref="AJ66:AJ85" si="88">IF(AND(ISNUMBER($M66),ISNUMBER($U66),ISNUMBER($AC66))=TRUE,$H66+$P66+$X66,"")</f>
        <v/>
      </c>
      <c r="AK66" s="84" t="str">
        <f t="shared" ref="AK66:AK85" si="89">IF(ISNUMBER(AI66),(RANK(AI66,AI$65:AI$114,0)*10)+RANK(AJ66,AJ$65:AJ$114,1),"")</f>
        <v/>
      </c>
      <c r="AL66" s="264" t="str">
        <f t="shared" ref="AL66:AL85" si="90">IF(ISNUMBER(AK66),RANK(AK66,AK$65:AK$114,1),"")</f>
        <v/>
      </c>
      <c r="AM66" s="270">
        <f t="shared" ref="AM66:AM85" si="91">MIN(F66,N66,V66)</f>
        <v>0</v>
      </c>
      <c r="AN66" s="270" t="str">
        <f t="shared" ref="AN66:AN85" si="92">IF(I66="Pass",F66+1,F66)</f>
        <v/>
      </c>
      <c r="AO66" s="270" t="str">
        <f t="shared" ref="AO66:AO85" si="93">IF(Q66="Pass", N66+1,N66)</f>
        <v/>
      </c>
      <c r="AP66" s="270" t="str">
        <f t="shared" ref="AP66:AP85" si="94">IF(Y66="Pass",V66+1,V66)</f>
        <v/>
      </c>
      <c r="AQ66" s="270">
        <f t="shared" ref="AQ66:AQ85" si="95">MIN(AN66,AO66,AP66)</f>
        <v>0</v>
      </c>
      <c r="AR66" s="316">
        <f>MIN(IFERROR(VLOOKUP($C66,'SDDA Dogs'!$A:$O,10,FALSE),0),IFERROR(VLOOKUP($C66,'SDDA Dogs'!$A:$O,11,FALSE),0),IFERROR(VLOOKUP($C66,'SDDA Dogs'!$A:$O,12,FALSE),0))</f>
        <v>0</v>
      </c>
      <c r="AS66" s="272"/>
      <c r="AT66" s="272"/>
      <c r="AU66" s="272" t="str">
        <f>IF(ISERROR(VLOOKUP(C66,'SDDA Dogs'!A:O,6,FALSE)),"",VLOOKUP(C66,'SDDA Dogs'!A:O,6,FALSE))</f>
        <v/>
      </c>
      <c r="AV66" s="270">
        <f t="shared" ref="AV66:AV85" si="96">IF(OR(ISNUMBER(G66),G66="e"),1,0)+IF(OR(ISNUMBER(O66),O66="e"),1,0)+IF(OR(ISNUMBER(W66),W66="e"),1,0)</f>
        <v>0</v>
      </c>
      <c r="AW66" s="270">
        <f t="shared" ref="AW66:AW85" si="97">IF(G66="FEO",1,0)+IF(O66="FEO",1,0)+IF(W66="FEO",1,0)</f>
        <v>0</v>
      </c>
      <c r="AX66" s="273">
        <f t="shared" ref="AX66:AX85" si="98">(AV66*TrialFeeExc)+(AW66*FeoFee)</f>
        <v>0</v>
      </c>
      <c r="AY66" s="274"/>
      <c r="AZ66" s="275">
        <f t="shared" si="70"/>
        <v>0</v>
      </c>
      <c r="BA66" s="275">
        <f t="shared" si="71"/>
        <v>0</v>
      </c>
      <c r="BB66" s="276"/>
      <c r="BC66" s="274">
        <f>_xlfn.IFNA(IF(I66="Pass",IF(AND(G66&gt;=IFERROR(INDEX($C$5:$W$54,MATCH(C66,$C$5:$C$54,0),5),0),G66&gt;=IFERROR(INDEX(DogInfo!A:B,MATCH(C66&amp;$BC$4,DogInfo!A:A,0),2),0)),G66,IF(AND(IFERROR(INDEX($C$5:$W$54,MATCH(C66,$C$5:$C$54,0),5),0)&gt;=G66,IFERROR(INDEX($C$5:$W$54,MATCH(C66,$C$5:$C$54,0),5),0)&gt;=IFERROR(INDEX(DogInfo!A:B,MATCH(C66&amp;$BC$4,DogInfo!A:A,0),2),0)),IFERROR(INDEX($C$5:$W$54,MATCH(C66,$C$5:$C$54,0),5),0),IF(AND(IFERROR(INDEX(DogInfo!A:B,MATCH(C66&amp;$BC$4,DogInfo!A:A,0),2),0)&gt;=IFERROR(INDEX($C$5:$W$54,MATCH(C66,$C$5:$C$54,0),5),0),IFERROR(INDEX(DogInfo!A:B,MATCH(C66&amp;$BC$4,DogInfo!A:A,0),2),0)&gt;=G66),IFERROR(INDEX(DogInfo!A:B,MATCH(C66&amp;$BC$4,DogInfo!A:A,0),2),0),"Error"))),IFERROR(INDEX($C$5:$BE$54,MATCH(C66,$C$5:$C$54,0),53),IFERROR(INDEX(DogInfo!A:B,MATCH(C66&amp;$BC$4,DogInfo!A:A,0),2),0))),"")</f>
        <v>0</v>
      </c>
      <c r="BD66" s="274">
        <f>_xlfn.IFNA(IF(Q66="Pass",IF(AND(O66&gt;=IFERROR(INDEX($C$5:$W$54,MATCH(C66,$C$5:$C$54,0),13),0),O66&gt;=IFERROR(INDEX(DogInfo!A:B,MATCH(C66&amp;$BD$4,DogInfo!A:A,0),2),0)),O66,IF(AND(IFERROR(INDEX($C$5:$W$54,MATCH(C66,$C$5:$C$54,0),13),0)&gt;=O66,IFERROR(INDEX($C$5:$W$54,MATCH(C66,$C$5:$C$54,0),13),0)&gt;=IFERROR(INDEX(DogInfo!A:B,MATCH(C66&amp;$BD$4,DogInfo!A:A,0),2),0)),IFERROR(INDEX($C$5:$W$54,MATCH(C66,$C$5:$C$54,0),13),0),IF(AND(IFERROR(INDEX(DogInfo!A:B,MATCH(C66&amp;$BD$4,DogInfo!A:A,0),2),0)&gt;=IFERROR(INDEX($C$5:$W$54,MATCH(C66,$C$5:$C$54,0),13),0),IFERROR(INDEX(DogInfo!A:B,MATCH(C66&amp;$BD$4,DogInfo!A:A,0),2),0)&gt;=O66),IFERROR(INDEX(DogInfo!A:B,MATCH(C66&amp;$BD$4,DogInfo!A:A,0),2),0),"Error"))),IFERROR(INDEX($C$5:$BE$54,MATCH(C66,$C$5:$C$54,0),54),IFERROR(INDEX(DogInfo!A:B,MATCH(C66&amp;$BD$4,DogInfo!A:A,0),2),0))),"")</f>
        <v>0</v>
      </c>
      <c r="BE66" s="274">
        <f>_xlfn.IFNA(IF(Y66="Pass",IF(AND(W66&gt;=IFERROR(INDEX($C$5:$W$54,MATCH(C66,$C$5:$C$54,0),21),0),O66&gt;=IFERROR(INDEX(DogInfo!A:B,MATCH(C66&amp;$BE$4,DogInfo!A:A,0),2),0)),W66,IF(AND(IFERROR(INDEX($C$5:$W$54,MATCH(C66,$C$5:$C$54,0),21),0)&gt;=W66,IFERROR(INDEX($C$5:$W$54,MATCH(C66,$C$5:$C$54,0),21),0)&gt;=IFERROR(INDEX(DogInfo!A:B,MATCH(C66&amp;$BE$4,DogInfo!A:A,0),2),0)),IFERROR(INDEX($C$5:$W$54,MATCH(C66,$C$5:$C$54,0),21),0),IF(AND(IFERROR(INDEX(DogInfo!A:B,MATCH(C66&amp;$BE$4,DogInfo!A:A,0),2),0)&gt;=IFERROR(INDEX($C$5:$W$54,MATCH(C66,$C$5:$C$54,0),21),0),IFERROR(INDEX(DogInfo!A:B,MATCH(C66&amp;$BE$4,DogInfo!A:A,0),2),0)&gt;=W66),IFERROR(INDEX(DogInfo!A:B,MATCH(C66&amp;$BE$4,DogInfo!A:A,0),2),0),"Error"))),IFERROR(INDEX($C$5:$BE$54,MATCH(C66,$C$5:$C$54,0),55),IFERROR(INDEX(DogInfo!A:B,MATCH(C66&amp;$BE$4,DogInfo!A:A,0),2),0))),"")</f>
        <v>0</v>
      </c>
    </row>
    <row r="67" spans="1:57" x14ac:dyDescent="0.25">
      <c r="A67" s="99">
        <v>3</v>
      </c>
      <c r="B67" s="239"/>
      <c r="C67" s="283"/>
      <c r="D67" s="102" t="str">
        <f>IF($C67="","",VLOOKUP($C67,'SDDA Dogs'!$A:$F,2,FALSE))</f>
        <v/>
      </c>
      <c r="E67" s="211">
        <f t="shared" si="72"/>
        <v>1</v>
      </c>
      <c r="F67" s="103" t="str">
        <f>IF($C67="","",IF(ISERROR(VLOOKUP($C67,$C$5:$AP$54,38,FALSE)=TRUE),VLOOKUP($C67,'SDDA Dogs'!$A:$O,13,FALSE),VLOOKUP($C67,$C$5:$AP$54,38,FALSE)))</f>
        <v/>
      </c>
      <c r="G67" s="241"/>
      <c r="H67" s="284"/>
      <c r="I67" s="84" t="str">
        <f t="shared" si="73"/>
        <v/>
      </c>
      <c r="J67" s="105">
        <f t="shared" si="57"/>
        <v>0</v>
      </c>
      <c r="K67" s="84" t="str">
        <f t="shared" si="74"/>
        <v/>
      </c>
      <c r="L67" s="105">
        <f t="shared" si="58"/>
        <v>0</v>
      </c>
      <c r="M67" s="84" t="str">
        <f t="shared" si="75"/>
        <v/>
      </c>
      <c r="N67" s="106" t="str">
        <f>IF($C67="","",IF(ISERROR(VLOOKUP($C67,$C$5:$AP$54,39,FALSE)=TRUE),VLOOKUP($C67,'SDDA Dogs'!$A:$O,14,FALSE),VLOOKUP($C67,$C$5:$AP$54,39,FALSE)))</f>
        <v/>
      </c>
      <c r="O67" s="241"/>
      <c r="P67" s="284"/>
      <c r="Q67" s="84" t="str">
        <f t="shared" si="76"/>
        <v/>
      </c>
      <c r="R67" s="105">
        <f t="shared" si="59"/>
        <v>0</v>
      </c>
      <c r="S67" s="84" t="str">
        <f t="shared" si="77"/>
        <v/>
      </c>
      <c r="T67" s="105">
        <f t="shared" si="60"/>
        <v>0</v>
      </c>
      <c r="U67" s="84" t="str">
        <f t="shared" si="78"/>
        <v/>
      </c>
      <c r="V67" s="106" t="str">
        <f>IF($C67="","",IF(ISERROR(VLOOKUP($C67,$C$5:$AP$54,40,FALSE)=TRUE),VLOOKUP($C67,'SDDA Dogs'!$A:$O,15,FALSE),VLOOKUP($C67,$C$5:$AP$54,40,FALSE)))</f>
        <v/>
      </c>
      <c r="W67" s="241"/>
      <c r="X67" s="284"/>
      <c r="Y67" s="84" t="str">
        <f t="shared" si="79"/>
        <v/>
      </c>
      <c r="Z67" s="105">
        <f t="shared" si="61"/>
        <v>0</v>
      </c>
      <c r="AA67" s="84" t="str">
        <f t="shared" si="80"/>
        <v/>
      </c>
      <c r="AB67" s="105">
        <f t="shared" si="62"/>
        <v>0</v>
      </c>
      <c r="AC67" s="84" t="str">
        <f t="shared" si="81"/>
        <v/>
      </c>
      <c r="AD67" s="92" t="str">
        <f t="shared" si="82"/>
        <v/>
      </c>
      <c r="AE67" s="89" t="str">
        <f t="shared" si="83"/>
        <v/>
      </c>
      <c r="AF67" s="104" t="str">
        <f t="shared" si="84"/>
        <v/>
      </c>
      <c r="AG67" s="107" t="str">
        <f t="shared" si="85"/>
        <v/>
      </c>
      <c r="AH67" s="92" t="str">
        <f t="shared" si="86"/>
        <v/>
      </c>
      <c r="AI67" s="89" t="str">
        <f t="shared" si="87"/>
        <v/>
      </c>
      <c r="AJ67" s="104" t="str">
        <f t="shared" si="88"/>
        <v/>
      </c>
      <c r="AK67" s="84" t="str">
        <f t="shared" si="89"/>
        <v/>
      </c>
      <c r="AL67" s="264" t="str">
        <f t="shared" si="90"/>
        <v/>
      </c>
      <c r="AM67" s="270">
        <f t="shared" si="91"/>
        <v>0</v>
      </c>
      <c r="AN67" s="270" t="str">
        <f t="shared" si="92"/>
        <v/>
      </c>
      <c r="AO67" s="270" t="str">
        <f t="shared" si="93"/>
        <v/>
      </c>
      <c r="AP67" s="270" t="str">
        <f t="shared" si="94"/>
        <v/>
      </c>
      <c r="AQ67" s="270">
        <f t="shared" si="95"/>
        <v>0</v>
      </c>
      <c r="AR67" s="316">
        <f>MIN(IFERROR(VLOOKUP($C67,'SDDA Dogs'!$A:$O,10,FALSE),0),IFERROR(VLOOKUP($C67,'SDDA Dogs'!$A:$O,11,FALSE),0),IFERROR(VLOOKUP($C67,'SDDA Dogs'!$A:$O,12,FALSE),0))</f>
        <v>0</v>
      </c>
      <c r="AS67" s="272"/>
      <c r="AT67" s="272"/>
      <c r="AU67" s="272" t="str">
        <f>IF(ISERROR(VLOOKUP(C67,'SDDA Dogs'!A:O,6,FALSE)),"",VLOOKUP(C67,'SDDA Dogs'!A:O,6,FALSE))</f>
        <v/>
      </c>
      <c r="AV67" s="270">
        <f t="shared" si="96"/>
        <v>0</v>
      </c>
      <c r="AW67" s="270">
        <f t="shared" si="97"/>
        <v>0</v>
      </c>
      <c r="AX67" s="273">
        <f t="shared" si="98"/>
        <v>0</v>
      </c>
      <c r="AY67" s="274"/>
      <c r="AZ67" s="275">
        <f t="shared" si="70"/>
        <v>0</v>
      </c>
      <c r="BA67" s="275">
        <f t="shared" si="71"/>
        <v>0</v>
      </c>
      <c r="BB67" s="276"/>
      <c r="BC67" s="274">
        <f>_xlfn.IFNA(IF(I67="Pass",IF(AND(G67&gt;=IFERROR(INDEX($C$5:$W$54,MATCH(C67,$C$5:$C$54,0),5),0),G67&gt;=IFERROR(INDEX(DogInfo!A:B,MATCH(C67&amp;$BC$4,DogInfo!A:A,0),2),0)),G67,IF(AND(IFERROR(INDEX($C$5:$W$54,MATCH(C67,$C$5:$C$54,0),5),0)&gt;=G67,IFERROR(INDEX($C$5:$W$54,MATCH(C67,$C$5:$C$54,0),5),0)&gt;=IFERROR(INDEX(DogInfo!A:B,MATCH(C67&amp;$BC$4,DogInfo!A:A,0),2),0)),IFERROR(INDEX($C$5:$W$54,MATCH(C67,$C$5:$C$54,0),5),0),IF(AND(IFERROR(INDEX(DogInfo!A:B,MATCH(C67&amp;$BC$4,DogInfo!A:A,0),2),0)&gt;=IFERROR(INDEX($C$5:$W$54,MATCH(C67,$C$5:$C$54,0),5),0),IFERROR(INDEX(DogInfo!A:B,MATCH(C67&amp;$BC$4,DogInfo!A:A,0),2),0)&gt;=G67),IFERROR(INDEX(DogInfo!A:B,MATCH(C67&amp;$BC$4,DogInfo!A:A,0),2),0),"Error"))),IFERROR(INDEX($C$5:$BE$54,MATCH(C67,$C$5:$C$54,0),53),IFERROR(INDEX(DogInfo!A:B,MATCH(C67&amp;$BC$4,DogInfo!A:A,0),2),0))),"")</f>
        <v>0</v>
      </c>
      <c r="BD67" s="274">
        <f>_xlfn.IFNA(IF(Q67="Pass",IF(AND(O67&gt;=IFERROR(INDEX($C$5:$W$54,MATCH(C67,$C$5:$C$54,0),13),0),O67&gt;=IFERROR(INDEX(DogInfo!A:B,MATCH(C67&amp;$BD$4,DogInfo!A:A,0),2),0)),O67,IF(AND(IFERROR(INDEX($C$5:$W$54,MATCH(C67,$C$5:$C$54,0),13),0)&gt;=O67,IFERROR(INDEX($C$5:$W$54,MATCH(C67,$C$5:$C$54,0),13),0)&gt;=IFERROR(INDEX(DogInfo!A:B,MATCH(C67&amp;$BD$4,DogInfo!A:A,0),2),0)),IFERROR(INDEX($C$5:$W$54,MATCH(C67,$C$5:$C$54,0),13),0),IF(AND(IFERROR(INDEX(DogInfo!A:B,MATCH(C67&amp;$BD$4,DogInfo!A:A,0),2),0)&gt;=IFERROR(INDEX($C$5:$W$54,MATCH(C67,$C$5:$C$54,0),13),0),IFERROR(INDEX(DogInfo!A:B,MATCH(C67&amp;$BD$4,DogInfo!A:A,0),2),0)&gt;=O67),IFERROR(INDEX(DogInfo!A:B,MATCH(C67&amp;$BD$4,DogInfo!A:A,0),2),0),"Error"))),IFERROR(INDEX($C$5:$BE$54,MATCH(C67,$C$5:$C$54,0),54),IFERROR(INDEX(DogInfo!A:B,MATCH(C67&amp;$BD$4,DogInfo!A:A,0),2),0))),"")</f>
        <v>0</v>
      </c>
      <c r="BE67" s="274">
        <f>_xlfn.IFNA(IF(Y67="Pass",IF(AND(W67&gt;=IFERROR(INDEX($C$5:$W$54,MATCH(C67,$C$5:$C$54,0),21),0),O67&gt;=IFERROR(INDEX(DogInfo!A:B,MATCH(C67&amp;$BE$4,DogInfo!A:A,0),2),0)),W67,IF(AND(IFERROR(INDEX($C$5:$W$54,MATCH(C67,$C$5:$C$54,0),21),0)&gt;=W67,IFERROR(INDEX($C$5:$W$54,MATCH(C67,$C$5:$C$54,0),21),0)&gt;=IFERROR(INDEX(DogInfo!A:B,MATCH(C67&amp;$BE$4,DogInfo!A:A,0),2),0)),IFERROR(INDEX($C$5:$W$54,MATCH(C67,$C$5:$C$54,0),21),0),IF(AND(IFERROR(INDEX(DogInfo!A:B,MATCH(C67&amp;$BE$4,DogInfo!A:A,0),2),0)&gt;=IFERROR(INDEX($C$5:$W$54,MATCH(C67,$C$5:$C$54,0),21),0),IFERROR(INDEX(DogInfo!A:B,MATCH(C67&amp;$BE$4,DogInfo!A:A,0),2),0)&gt;=W67),IFERROR(INDEX(DogInfo!A:B,MATCH(C67&amp;$BE$4,DogInfo!A:A,0),2),0),"Error"))),IFERROR(INDEX($C$5:$BE$54,MATCH(C67,$C$5:$C$54,0),55),IFERROR(INDEX(DogInfo!A:B,MATCH(C67&amp;$BE$4,DogInfo!A:A,0),2),0))),"")</f>
        <v>0</v>
      </c>
    </row>
    <row r="68" spans="1:57" x14ac:dyDescent="0.25">
      <c r="A68" s="99">
        <v>4</v>
      </c>
      <c r="B68" s="239"/>
      <c r="C68" s="283"/>
      <c r="D68" s="102" t="str">
        <f>IF($C68="","",VLOOKUP($C68,'SDDA Dogs'!$A:$F,2,FALSE))</f>
        <v/>
      </c>
      <c r="E68" s="211">
        <f t="shared" si="72"/>
        <v>1</v>
      </c>
      <c r="F68" s="103" t="str">
        <f>IF($C68="","",IF(ISERROR(VLOOKUP($C68,$C$5:$AP$54,38,FALSE)=TRUE),VLOOKUP($C68,'SDDA Dogs'!$A:$O,13,FALSE),VLOOKUP($C68,$C$5:$AP$54,38,FALSE)))</f>
        <v/>
      </c>
      <c r="G68" s="241"/>
      <c r="H68" s="284"/>
      <c r="I68" s="84" t="str">
        <f t="shared" si="73"/>
        <v/>
      </c>
      <c r="J68" s="105">
        <f t="shared" si="57"/>
        <v>0</v>
      </c>
      <c r="K68" s="84" t="str">
        <f t="shared" si="74"/>
        <v/>
      </c>
      <c r="L68" s="105">
        <f t="shared" si="58"/>
        <v>0</v>
      </c>
      <c r="M68" s="84" t="str">
        <f t="shared" si="75"/>
        <v/>
      </c>
      <c r="N68" s="106" t="str">
        <f>IF($C68="","",IF(ISERROR(VLOOKUP($C68,$C$5:$AP$54,39,FALSE)=TRUE),VLOOKUP($C68,'SDDA Dogs'!$A:$O,14,FALSE),VLOOKUP($C68,$C$5:$AP$54,39,FALSE)))</f>
        <v/>
      </c>
      <c r="O68" s="241"/>
      <c r="P68" s="284"/>
      <c r="Q68" s="84" t="str">
        <f t="shared" si="76"/>
        <v/>
      </c>
      <c r="R68" s="105">
        <f t="shared" si="59"/>
        <v>0</v>
      </c>
      <c r="S68" s="84" t="str">
        <f t="shared" si="77"/>
        <v/>
      </c>
      <c r="T68" s="105">
        <f t="shared" si="60"/>
        <v>0</v>
      </c>
      <c r="U68" s="84" t="str">
        <f t="shared" si="78"/>
        <v/>
      </c>
      <c r="V68" s="106" t="str">
        <f>IF($C68="","",IF(ISERROR(VLOOKUP($C68,$C$5:$AP$54,40,FALSE)=TRUE),VLOOKUP($C68,'SDDA Dogs'!$A:$O,15,FALSE),VLOOKUP($C68,$C$5:$AP$54,40,FALSE)))</f>
        <v/>
      </c>
      <c r="W68" s="241"/>
      <c r="X68" s="284"/>
      <c r="Y68" s="84" t="str">
        <f t="shared" si="79"/>
        <v/>
      </c>
      <c r="Z68" s="105">
        <f t="shared" si="61"/>
        <v>0</v>
      </c>
      <c r="AA68" s="84" t="str">
        <f t="shared" si="80"/>
        <v/>
      </c>
      <c r="AB68" s="105">
        <f t="shared" si="62"/>
        <v>0</v>
      </c>
      <c r="AC68" s="84" t="str">
        <f t="shared" si="81"/>
        <v/>
      </c>
      <c r="AD68" s="92" t="str">
        <f t="shared" si="82"/>
        <v/>
      </c>
      <c r="AE68" s="89" t="str">
        <f t="shared" si="83"/>
        <v/>
      </c>
      <c r="AF68" s="104" t="str">
        <f t="shared" si="84"/>
        <v/>
      </c>
      <c r="AG68" s="107" t="str">
        <f t="shared" si="85"/>
        <v/>
      </c>
      <c r="AH68" s="92" t="str">
        <f t="shared" si="86"/>
        <v/>
      </c>
      <c r="AI68" s="89" t="str">
        <f t="shared" si="87"/>
        <v/>
      </c>
      <c r="AJ68" s="104" t="str">
        <f t="shared" si="88"/>
        <v/>
      </c>
      <c r="AK68" s="84" t="str">
        <f t="shared" si="89"/>
        <v/>
      </c>
      <c r="AL68" s="264" t="str">
        <f t="shared" si="90"/>
        <v/>
      </c>
      <c r="AM68" s="270">
        <f t="shared" si="91"/>
        <v>0</v>
      </c>
      <c r="AN68" s="270" t="str">
        <f t="shared" si="92"/>
        <v/>
      </c>
      <c r="AO68" s="270" t="str">
        <f t="shared" si="93"/>
        <v/>
      </c>
      <c r="AP68" s="270" t="str">
        <f t="shared" si="94"/>
        <v/>
      </c>
      <c r="AQ68" s="270">
        <f t="shared" si="95"/>
        <v>0</v>
      </c>
      <c r="AR68" s="316">
        <f>MIN(IFERROR(VLOOKUP($C68,'SDDA Dogs'!$A:$O,10,FALSE),0),IFERROR(VLOOKUP($C68,'SDDA Dogs'!$A:$O,11,FALSE),0),IFERROR(VLOOKUP($C68,'SDDA Dogs'!$A:$O,12,FALSE),0))</f>
        <v>0</v>
      </c>
      <c r="AS68" s="272"/>
      <c r="AT68" s="272"/>
      <c r="AU68" s="272" t="str">
        <f>IF(ISERROR(VLOOKUP(C68,'SDDA Dogs'!A:O,6,FALSE)),"",VLOOKUP(C68,'SDDA Dogs'!A:O,6,FALSE))</f>
        <v/>
      </c>
      <c r="AV68" s="270">
        <f t="shared" si="96"/>
        <v>0</v>
      </c>
      <c r="AW68" s="270">
        <f t="shared" si="97"/>
        <v>0</v>
      </c>
      <c r="AX68" s="273">
        <f t="shared" si="98"/>
        <v>0</v>
      </c>
      <c r="AY68" s="274"/>
      <c r="AZ68" s="275">
        <f t="shared" si="70"/>
        <v>0</v>
      </c>
      <c r="BA68" s="275">
        <f t="shared" si="71"/>
        <v>0</v>
      </c>
      <c r="BB68" s="276"/>
      <c r="BC68" s="274">
        <f>_xlfn.IFNA(IF(I68="Pass",IF(AND(G68&gt;=IFERROR(INDEX($C$5:$W$54,MATCH(C68,$C$5:$C$54,0),5),0),G68&gt;=IFERROR(INDEX(DogInfo!A:B,MATCH(C68&amp;$BC$4,DogInfo!A:A,0),2),0)),G68,IF(AND(IFERROR(INDEX($C$5:$W$54,MATCH(C68,$C$5:$C$54,0),5),0)&gt;=G68,IFERROR(INDEX($C$5:$W$54,MATCH(C68,$C$5:$C$54,0),5),0)&gt;=IFERROR(INDEX(DogInfo!A:B,MATCH(C68&amp;$BC$4,DogInfo!A:A,0),2),0)),IFERROR(INDEX($C$5:$W$54,MATCH(C68,$C$5:$C$54,0),5),0),IF(AND(IFERROR(INDEX(DogInfo!A:B,MATCH(C68&amp;$BC$4,DogInfo!A:A,0),2),0)&gt;=IFERROR(INDEX($C$5:$W$54,MATCH(C68,$C$5:$C$54,0),5),0),IFERROR(INDEX(DogInfo!A:B,MATCH(C68&amp;$BC$4,DogInfo!A:A,0),2),0)&gt;=G68),IFERROR(INDEX(DogInfo!A:B,MATCH(C68&amp;$BC$4,DogInfo!A:A,0),2),0),"Error"))),IFERROR(INDEX($C$5:$BE$54,MATCH(C68,$C$5:$C$54,0),53),IFERROR(INDEX(DogInfo!A:B,MATCH(C68&amp;$BC$4,DogInfo!A:A,0),2),0))),"")</f>
        <v>0</v>
      </c>
      <c r="BD68" s="274">
        <f>_xlfn.IFNA(IF(Q68="Pass",IF(AND(O68&gt;=IFERROR(INDEX($C$5:$W$54,MATCH(C68,$C$5:$C$54,0),13),0),O68&gt;=IFERROR(INDEX(DogInfo!A:B,MATCH(C68&amp;$BD$4,DogInfo!A:A,0),2),0)),O68,IF(AND(IFERROR(INDEX($C$5:$W$54,MATCH(C68,$C$5:$C$54,0),13),0)&gt;=O68,IFERROR(INDEX($C$5:$W$54,MATCH(C68,$C$5:$C$54,0),13),0)&gt;=IFERROR(INDEX(DogInfo!A:B,MATCH(C68&amp;$BD$4,DogInfo!A:A,0),2),0)),IFERROR(INDEX($C$5:$W$54,MATCH(C68,$C$5:$C$54,0),13),0),IF(AND(IFERROR(INDEX(DogInfo!A:B,MATCH(C68&amp;$BD$4,DogInfo!A:A,0),2),0)&gt;=IFERROR(INDEX($C$5:$W$54,MATCH(C68,$C$5:$C$54,0),13),0),IFERROR(INDEX(DogInfo!A:B,MATCH(C68&amp;$BD$4,DogInfo!A:A,0),2),0)&gt;=O68),IFERROR(INDEX(DogInfo!A:B,MATCH(C68&amp;$BD$4,DogInfo!A:A,0),2),0),"Error"))),IFERROR(INDEX($C$5:$BE$54,MATCH(C68,$C$5:$C$54,0),54),IFERROR(INDEX(DogInfo!A:B,MATCH(C68&amp;$BD$4,DogInfo!A:A,0),2),0))),"")</f>
        <v>0</v>
      </c>
      <c r="BE68" s="274">
        <f>_xlfn.IFNA(IF(Y68="Pass",IF(AND(W68&gt;=IFERROR(INDEX($C$5:$W$54,MATCH(C68,$C$5:$C$54,0),21),0),O68&gt;=IFERROR(INDEX(DogInfo!A:B,MATCH(C68&amp;$BE$4,DogInfo!A:A,0),2),0)),W68,IF(AND(IFERROR(INDEX($C$5:$W$54,MATCH(C68,$C$5:$C$54,0),21),0)&gt;=W68,IFERROR(INDEX($C$5:$W$54,MATCH(C68,$C$5:$C$54,0),21),0)&gt;=IFERROR(INDEX(DogInfo!A:B,MATCH(C68&amp;$BE$4,DogInfo!A:A,0),2),0)),IFERROR(INDEX($C$5:$W$54,MATCH(C68,$C$5:$C$54,0),21),0),IF(AND(IFERROR(INDEX(DogInfo!A:B,MATCH(C68&amp;$BE$4,DogInfo!A:A,0),2),0)&gt;=IFERROR(INDEX($C$5:$W$54,MATCH(C68,$C$5:$C$54,0),21),0),IFERROR(INDEX(DogInfo!A:B,MATCH(C68&amp;$BE$4,DogInfo!A:A,0),2),0)&gt;=W68),IFERROR(INDEX(DogInfo!A:B,MATCH(C68&amp;$BE$4,DogInfo!A:A,0),2),0),"Error"))),IFERROR(INDEX($C$5:$BE$54,MATCH(C68,$C$5:$C$54,0),55),IFERROR(INDEX(DogInfo!A:B,MATCH(C68&amp;$BE$4,DogInfo!A:A,0),2),0))),"")</f>
        <v>0</v>
      </c>
    </row>
    <row r="69" spans="1:57" x14ac:dyDescent="0.25">
      <c r="A69" s="99">
        <v>5</v>
      </c>
      <c r="B69" s="239"/>
      <c r="C69" s="283"/>
      <c r="D69" s="102" t="str">
        <f>IF($C69="","",VLOOKUP($C69,'SDDA Dogs'!$A:$F,2,FALSE))</f>
        <v/>
      </c>
      <c r="E69" s="211">
        <f t="shared" si="72"/>
        <v>1</v>
      </c>
      <c r="F69" s="103" t="str">
        <f>IF($C69="","",IF(ISERROR(VLOOKUP($C69,$C$5:$AP$54,38,FALSE)=TRUE),VLOOKUP($C69,'SDDA Dogs'!$A:$O,13,FALSE),VLOOKUP($C69,$C$5:$AP$54,38,FALSE)))</f>
        <v/>
      </c>
      <c r="G69" s="241"/>
      <c r="H69" s="284"/>
      <c r="I69" s="84" t="str">
        <f t="shared" si="73"/>
        <v/>
      </c>
      <c r="J69" s="105">
        <f t="shared" si="57"/>
        <v>0</v>
      </c>
      <c r="K69" s="84" t="str">
        <f t="shared" si="74"/>
        <v/>
      </c>
      <c r="L69" s="105">
        <f t="shared" si="58"/>
        <v>0</v>
      </c>
      <c r="M69" s="84" t="str">
        <f t="shared" si="75"/>
        <v/>
      </c>
      <c r="N69" s="106" t="str">
        <f>IF($C69="","",IF(ISERROR(VLOOKUP($C69,$C$5:$AP$54,39,FALSE)=TRUE),VLOOKUP($C69,'SDDA Dogs'!$A:$O,14,FALSE),VLOOKUP($C69,$C$5:$AP$54,39,FALSE)))</f>
        <v/>
      </c>
      <c r="O69" s="241"/>
      <c r="P69" s="284"/>
      <c r="Q69" s="84" t="str">
        <f t="shared" si="76"/>
        <v/>
      </c>
      <c r="R69" s="105">
        <f t="shared" si="59"/>
        <v>0</v>
      </c>
      <c r="S69" s="84" t="str">
        <f t="shared" si="77"/>
        <v/>
      </c>
      <c r="T69" s="105">
        <f t="shared" si="60"/>
        <v>0</v>
      </c>
      <c r="U69" s="84" t="str">
        <f t="shared" si="78"/>
        <v/>
      </c>
      <c r="V69" s="106" t="str">
        <f>IF($C69="","",IF(ISERROR(VLOOKUP($C69,$C$5:$AP$54,40,FALSE)=TRUE),VLOOKUP($C69,'SDDA Dogs'!$A:$O,15,FALSE),VLOOKUP($C69,$C$5:$AP$54,40,FALSE)))</f>
        <v/>
      </c>
      <c r="W69" s="241"/>
      <c r="X69" s="284"/>
      <c r="Y69" s="84" t="str">
        <f t="shared" si="79"/>
        <v/>
      </c>
      <c r="Z69" s="105">
        <f t="shared" si="61"/>
        <v>0</v>
      </c>
      <c r="AA69" s="84" t="str">
        <f t="shared" si="80"/>
        <v/>
      </c>
      <c r="AB69" s="105">
        <f t="shared" si="62"/>
        <v>0</v>
      </c>
      <c r="AC69" s="84" t="str">
        <f t="shared" si="81"/>
        <v/>
      </c>
      <c r="AD69" s="92" t="str">
        <f t="shared" si="82"/>
        <v/>
      </c>
      <c r="AE69" s="89" t="str">
        <f t="shared" si="83"/>
        <v/>
      </c>
      <c r="AF69" s="104" t="str">
        <f t="shared" si="84"/>
        <v/>
      </c>
      <c r="AG69" s="107" t="str">
        <f t="shared" si="85"/>
        <v/>
      </c>
      <c r="AH69" s="92" t="str">
        <f t="shared" si="86"/>
        <v/>
      </c>
      <c r="AI69" s="89" t="str">
        <f t="shared" si="87"/>
        <v/>
      </c>
      <c r="AJ69" s="104" t="str">
        <f t="shared" si="88"/>
        <v/>
      </c>
      <c r="AK69" s="84" t="str">
        <f t="shared" si="89"/>
        <v/>
      </c>
      <c r="AL69" s="264" t="str">
        <f t="shared" si="90"/>
        <v/>
      </c>
      <c r="AM69" s="270">
        <f t="shared" si="91"/>
        <v>0</v>
      </c>
      <c r="AN69" s="270" t="str">
        <f t="shared" si="92"/>
        <v/>
      </c>
      <c r="AO69" s="270" t="str">
        <f t="shared" si="93"/>
        <v/>
      </c>
      <c r="AP69" s="270" t="str">
        <f t="shared" si="94"/>
        <v/>
      </c>
      <c r="AQ69" s="270">
        <f t="shared" si="95"/>
        <v>0</v>
      </c>
      <c r="AR69" s="316">
        <f>MIN(IFERROR(VLOOKUP($C69,'SDDA Dogs'!$A:$O,10,FALSE),0),IFERROR(VLOOKUP($C69,'SDDA Dogs'!$A:$O,11,FALSE),0),IFERROR(VLOOKUP($C69,'SDDA Dogs'!$A:$O,12,FALSE),0))</f>
        <v>0</v>
      </c>
      <c r="AS69" s="272"/>
      <c r="AT69" s="272"/>
      <c r="AU69" s="272" t="str">
        <f>IF(ISERROR(VLOOKUP(C69,'SDDA Dogs'!A:O,6,FALSE)),"",VLOOKUP(C69,'SDDA Dogs'!A:O,6,FALSE))</f>
        <v/>
      </c>
      <c r="AV69" s="270">
        <f t="shared" si="96"/>
        <v>0</v>
      </c>
      <c r="AW69" s="270">
        <f t="shared" si="97"/>
        <v>0</v>
      </c>
      <c r="AX69" s="273">
        <f t="shared" si="98"/>
        <v>0</v>
      </c>
      <c r="AY69" s="274"/>
      <c r="AZ69" s="275">
        <f t="shared" si="70"/>
        <v>0</v>
      </c>
      <c r="BA69" s="275">
        <f t="shared" si="71"/>
        <v>0</v>
      </c>
      <c r="BB69" s="276"/>
      <c r="BC69" s="274">
        <f>_xlfn.IFNA(IF(I69="Pass",IF(AND(G69&gt;=IFERROR(INDEX($C$5:$W$54,MATCH(C69,$C$5:$C$54,0),5),0),G69&gt;=IFERROR(INDEX(DogInfo!A:B,MATCH(C69&amp;$BC$4,DogInfo!A:A,0),2),0)),G69,IF(AND(IFERROR(INDEX($C$5:$W$54,MATCH(C69,$C$5:$C$54,0),5),0)&gt;=G69,IFERROR(INDEX($C$5:$W$54,MATCH(C69,$C$5:$C$54,0),5),0)&gt;=IFERROR(INDEX(DogInfo!A:B,MATCH(C69&amp;$BC$4,DogInfo!A:A,0),2),0)),IFERROR(INDEX($C$5:$W$54,MATCH(C69,$C$5:$C$54,0),5),0),IF(AND(IFERROR(INDEX(DogInfo!A:B,MATCH(C69&amp;$BC$4,DogInfo!A:A,0),2),0)&gt;=IFERROR(INDEX($C$5:$W$54,MATCH(C69,$C$5:$C$54,0),5),0),IFERROR(INDEX(DogInfo!A:B,MATCH(C69&amp;$BC$4,DogInfo!A:A,0),2),0)&gt;=G69),IFERROR(INDEX(DogInfo!A:B,MATCH(C69&amp;$BC$4,DogInfo!A:A,0),2),0),"Error"))),IFERROR(INDEX($C$5:$BE$54,MATCH(C69,$C$5:$C$54,0),53),IFERROR(INDEX(DogInfo!A:B,MATCH(C69&amp;$BC$4,DogInfo!A:A,0),2),0))),"")</f>
        <v>0</v>
      </c>
      <c r="BD69" s="274">
        <f>_xlfn.IFNA(IF(Q69="Pass",IF(AND(O69&gt;=IFERROR(INDEX($C$5:$W$54,MATCH(C69,$C$5:$C$54,0),13),0),O69&gt;=IFERROR(INDEX(DogInfo!A:B,MATCH(C69&amp;$BD$4,DogInfo!A:A,0),2),0)),O69,IF(AND(IFERROR(INDEX($C$5:$W$54,MATCH(C69,$C$5:$C$54,0),13),0)&gt;=O69,IFERROR(INDEX($C$5:$W$54,MATCH(C69,$C$5:$C$54,0),13),0)&gt;=IFERROR(INDEX(DogInfo!A:B,MATCH(C69&amp;$BD$4,DogInfo!A:A,0),2),0)),IFERROR(INDEX($C$5:$W$54,MATCH(C69,$C$5:$C$54,0),13),0),IF(AND(IFERROR(INDEX(DogInfo!A:B,MATCH(C69&amp;$BD$4,DogInfo!A:A,0),2),0)&gt;=IFERROR(INDEX($C$5:$W$54,MATCH(C69,$C$5:$C$54,0),13),0),IFERROR(INDEX(DogInfo!A:B,MATCH(C69&amp;$BD$4,DogInfo!A:A,0),2),0)&gt;=O69),IFERROR(INDEX(DogInfo!A:B,MATCH(C69&amp;$BD$4,DogInfo!A:A,0),2),0),"Error"))),IFERROR(INDEX($C$5:$BE$54,MATCH(C69,$C$5:$C$54,0),54),IFERROR(INDEX(DogInfo!A:B,MATCH(C69&amp;$BD$4,DogInfo!A:A,0),2),0))),"")</f>
        <v>0</v>
      </c>
      <c r="BE69" s="274">
        <f>_xlfn.IFNA(IF(Y69="Pass",IF(AND(W69&gt;=IFERROR(INDEX($C$5:$W$54,MATCH(C69,$C$5:$C$54,0),21),0),O69&gt;=IFERROR(INDEX(DogInfo!A:B,MATCH(C69&amp;$BE$4,DogInfo!A:A,0),2),0)),W69,IF(AND(IFERROR(INDEX($C$5:$W$54,MATCH(C69,$C$5:$C$54,0),21),0)&gt;=W69,IFERROR(INDEX($C$5:$W$54,MATCH(C69,$C$5:$C$54,0),21),0)&gt;=IFERROR(INDEX(DogInfo!A:B,MATCH(C69&amp;$BE$4,DogInfo!A:A,0),2),0)),IFERROR(INDEX($C$5:$W$54,MATCH(C69,$C$5:$C$54,0),21),0),IF(AND(IFERROR(INDEX(DogInfo!A:B,MATCH(C69&amp;$BE$4,DogInfo!A:A,0),2),0)&gt;=IFERROR(INDEX($C$5:$W$54,MATCH(C69,$C$5:$C$54,0),21),0),IFERROR(INDEX(DogInfo!A:B,MATCH(C69&amp;$BE$4,DogInfo!A:A,0),2),0)&gt;=W69),IFERROR(INDEX(DogInfo!A:B,MATCH(C69&amp;$BE$4,DogInfo!A:A,0),2),0),"Error"))),IFERROR(INDEX($C$5:$BE$54,MATCH(C69,$C$5:$C$54,0),55),IFERROR(INDEX(DogInfo!A:B,MATCH(C69&amp;$BE$4,DogInfo!A:A,0),2),0))),"")</f>
        <v>0</v>
      </c>
    </row>
    <row r="70" spans="1:57" x14ac:dyDescent="0.25">
      <c r="A70" s="99">
        <v>6</v>
      </c>
      <c r="B70" s="239"/>
      <c r="C70" s="283"/>
      <c r="D70" s="102" t="str">
        <f>IF($C70="","",VLOOKUP($C70,'SDDA Dogs'!$A:$F,2,FALSE))</f>
        <v/>
      </c>
      <c r="E70" s="211">
        <f t="shared" si="72"/>
        <v>1</v>
      </c>
      <c r="F70" s="103" t="str">
        <f>IF($C70="","",IF(ISERROR(VLOOKUP($C70,$C$5:$AP$54,38,FALSE)=TRUE),VLOOKUP($C70,'SDDA Dogs'!$A:$O,13,FALSE),VLOOKUP($C70,$C$5:$AP$54,38,FALSE)))</f>
        <v/>
      </c>
      <c r="G70" s="241"/>
      <c r="H70" s="284"/>
      <c r="I70" s="84" t="str">
        <f t="shared" si="73"/>
        <v/>
      </c>
      <c r="J70" s="105">
        <f t="shared" si="57"/>
        <v>0</v>
      </c>
      <c r="K70" s="84" t="str">
        <f t="shared" si="74"/>
        <v/>
      </c>
      <c r="L70" s="105">
        <f t="shared" si="58"/>
        <v>0</v>
      </c>
      <c r="M70" s="84" t="str">
        <f t="shared" si="75"/>
        <v/>
      </c>
      <c r="N70" s="106" t="str">
        <f>IF($C70="","",IF(ISERROR(VLOOKUP($C70,$C$5:$AP$54,39,FALSE)=TRUE),VLOOKUP($C70,'SDDA Dogs'!$A:$O,14,FALSE),VLOOKUP($C70,$C$5:$AP$54,39,FALSE)))</f>
        <v/>
      </c>
      <c r="O70" s="241"/>
      <c r="P70" s="284"/>
      <c r="Q70" s="84" t="str">
        <f t="shared" si="76"/>
        <v/>
      </c>
      <c r="R70" s="105">
        <f t="shared" si="59"/>
        <v>0</v>
      </c>
      <c r="S70" s="84" t="str">
        <f t="shared" si="77"/>
        <v/>
      </c>
      <c r="T70" s="105">
        <f t="shared" si="60"/>
        <v>0</v>
      </c>
      <c r="U70" s="84" t="str">
        <f t="shared" si="78"/>
        <v/>
      </c>
      <c r="V70" s="106" t="str">
        <f>IF($C70="","",IF(ISERROR(VLOOKUP($C70,$C$5:$AP$54,40,FALSE)=TRUE),VLOOKUP($C70,'SDDA Dogs'!$A:$O,15,FALSE),VLOOKUP($C70,$C$5:$AP$54,40,FALSE)))</f>
        <v/>
      </c>
      <c r="W70" s="241"/>
      <c r="X70" s="284"/>
      <c r="Y70" s="84" t="str">
        <f t="shared" si="79"/>
        <v/>
      </c>
      <c r="Z70" s="105">
        <f t="shared" si="61"/>
        <v>0</v>
      </c>
      <c r="AA70" s="84" t="str">
        <f t="shared" si="80"/>
        <v/>
      </c>
      <c r="AB70" s="105">
        <f t="shared" si="62"/>
        <v>0</v>
      </c>
      <c r="AC70" s="84" t="str">
        <f t="shared" si="81"/>
        <v/>
      </c>
      <c r="AD70" s="92" t="str">
        <f t="shared" si="82"/>
        <v/>
      </c>
      <c r="AE70" s="89" t="str">
        <f t="shared" si="83"/>
        <v/>
      </c>
      <c r="AF70" s="104" t="str">
        <f t="shared" si="84"/>
        <v/>
      </c>
      <c r="AG70" s="107" t="str">
        <f t="shared" si="85"/>
        <v/>
      </c>
      <c r="AH70" s="92" t="str">
        <f t="shared" si="86"/>
        <v/>
      </c>
      <c r="AI70" s="89" t="str">
        <f t="shared" si="87"/>
        <v/>
      </c>
      <c r="AJ70" s="104" t="str">
        <f t="shared" si="88"/>
        <v/>
      </c>
      <c r="AK70" s="84" t="str">
        <f t="shared" si="89"/>
        <v/>
      </c>
      <c r="AL70" s="264" t="str">
        <f t="shared" si="90"/>
        <v/>
      </c>
      <c r="AM70" s="270">
        <f t="shared" si="91"/>
        <v>0</v>
      </c>
      <c r="AN70" s="270" t="str">
        <f t="shared" si="92"/>
        <v/>
      </c>
      <c r="AO70" s="270" t="str">
        <f t="shared" si="93"/>
        <v/>
      </c>
      <c r="AP70" s="270" t="str">
        <f t="shared" si="94"/>
        <v/>
      </c>
      <c r="AQ70" s="270">
        <f t="shared" si="95"/>
        <v>0</v>
      </c>
      <c r="AR70" s="316">
        <f>MIN(IFERROR(VLOOKUP($C70,'SDDA Dogs'!$A:$O,10,FALSE),0),IFERROR(VLOOKUP($C70,'SDDA Dogs'!$A:$O,11,FALSE),0),IFERROR(VLOOKUP($C70,'SDDA Dogs'!$A:$O,12,FALSE),0))</f>
        <v>0</v>
      </c>
      <c r="AS70" s="272"/>
      <c r="AT70" s="272"/>
      <c r="AU70" s="272" t="str">
        <f>IF(ISERROR(VLOOKUP(C70,'SDDA Dogs'!A:O,6,FALSE)),"",VLOOKUP(C70,'SDDA Dogs'!A:O,6,FALSE))</f>
        <v/>
      </c>
      <c r="AV70" s="270">
        <f t="shared" si="96"/>
        <v>0</v>
      </c>
      <c r="AW70" s="270">
        <f t="shared" si="97"/>
        <v>0</v>
      </c>
      <c r="AX70" s="273">
        <f t="shared" si="98"/>
        <v>0</v>
      </c>
      <c r="AY70" s="274"/>
      <c r="AZ70" s="275">
        <f t="shared" si="70"/>
        <v>0</v>
      </c>
      <c r="BA70" s="275">
        <f t="shared" si="71"/>
        <v>0</v>
      </c>
      <c r="BB70" s="276"/>
      <c r="BC70" s="274">
        <f>_xlfn.IFNA(IF(I70="Pass",IF(AND(G70&gt;=IFERROR(INDEX($C$5:$W$54,MATCH(C70,$C$5:$C$54,0),5),0),G70&gt;=IFERROR(INDEX(DogInfo!A:B,MATCH(C70&amp;$BC$4,DogInfo!A:A,0),2),0)),G70,IF(AND(IFERROR(INDEX($C$5:$W$54,MATCH(C70,$C$5:$C$54,0),5),0)&gt;=G70,IFERROR(INDEX($C$5:$W$54,MATCH(C70,$C$5:$C$54,0),5),0)&gt;=IFERROR(INDEX(DogInfo!A:B,MATCH(C70&amp;$BC$4,DogInfo!A:A,0),2),0)),IFERROR(INDEX($C$5:$W$54,MATCH(C70,$C$5:$C$54,0),5),0),IF(AND(IFERROR(INDEX(DogInfo!A:B,MATCH(C70&amp;$BC$4,DogInfo!A:A,0),2),0)&gt;=IFERROR(INDEX($C$5:$W$54,MATCH(C70,$C$5:$C$54,0),5),0),IFERROR(INDEX(DogInfo!A:B,MATCH(C70&amp;$BC$4,DogInfo!A:A,0),2),0)&gt;=G70),IFERROR(INDEX(DogInfo!A:B,MATCH(C70&amp;$BC$4,DogInfo!A:A,0),2),0),"Error"))),IFERROR(INDEX($C$5:$BE$54,MATCH(C70,$C$5:$C$54,0),53),IFERROR(INDEX(DogInfo!A:B,MATCH(C70&amp;$BC$4,DogInfo!A:A,0),2),0))),"")</f>
        <v>0</v>
      </c>
      <c r="BD70" s="274">
        <f>_xlfn.IFNA(IF(Q70="Pass",IF(AND(O70&gt;=IFERROR(INDEX($C$5:$W$54,MATCH(C70,$C$5:$C$54,0),13),0),O70&gt;=IFERROR(INDEX(DogInfo!A:B,MATCH(C70&amp;$BD$4,DogInfo!A:A,0),2),0)),O70,IF(AND(IFERROR(INDEX($C$5:$W$54,MATCH(C70,$C$5:$C$54,0),13),0)&gt;=O70,IFERROR(INDEX($C$5:$W$54,MATCH(C70,$C$5:$C$54,0),13),0)&gt;=IFERROR(INDEX(DogInfo!A:B,MATCH(C70&amp;$BD$4,DogInfo!A:A,0),2),0)),IFERROR(INDEX($C$5:$W$54,MATCH(C70,$C$5:$C$54,0),13),0),IF(AND(IFERROR(INDEX(DogInfo!A:B,MATCH(C70&amp;$BD$4,DogInfo!A:A,0),2),0)&gt;=IFERROR(INDEX($C$5:$W$54,MATCH(C70,$C$5:$C$54,0),13),0),IFERROR(INDEX(DogInfo!A:B,MATCH(C70&amp;$BD$4,DogInfo!A:A,0),2),0)&gt;=O70),IFERROR(INDEX(DogInfo!A:B,MATCH(C70&amp;$BD$4,DogInfo!A:A,0),2),0),"Error"))),IFERROR(INDEX($C$5:$BE$54,MATCH(C70,$C$5:$C$54,0),54),IFERROR(INDEX(DogInfo!A:B,MATCH(C70&amp;$BD$4,DogInfo!A:A,0),2),0))),"")</f>
        <v>0</v>
      </c>
      <c r="BE70" s="274">
        <f>_xlfn.IFNA(IF(Y70="Pass",IF(AND(W70&gt;=IFERROR(INDEX($C$5:$W$54,MATCH(C70,$C$5:$C$54,0),21),0),O70&gt;=IFERROR(INDEX(DogInfo!A:B,MATCH(C70&amp;$BE$4,DogInfo!A:A,0),2),0)),W70,IF(AND(IFERROR(INDEX($C$5:$W$54,MATCH(C70,$C$5:$C$54,0),21),0)&gt;=W70,IFERROR(INDEX($C$5:$W$54,MATCH(C70,$C$5:$C$54,0),21),0)&gt;=IFERROR(INDEX(DogInfo!A:B,MATCH(C70&amp;$BE$4,DogInfo!A:A,0),2),0)),IFERROR(INDEX($C$5:$W$54,MATCH(C70,$C$5:$C$54,0),21),0),IF(AND(IFERROR(INDEX(DogInfo!A:B,MATCH(C70&amp;$BE$4,DogInfo!A:A,0),2),0)&gt;=IFERROR(INDEX($C$5:$W$54,MATCH(C70,$C$5:$C$54,0),21),0),IFERROR(INDEX(DogInfo!A:B,MATCH(C70&amp;$BE$4,DogInfo!A:A,0),2),0)&gt;=W70),IFERROR(INDEX(DogInfo!A:B,MATCH(C70&amp;$BE$4,DogInfo!A:A,0),2),0),"Error"))),IFERROR(INDEX($C$5:$BE$54,MATCH(C70,$C$5:$C$54,0),55),IFERROR(INDEX(DogInfo!A:B,MATCH(C70&amp;$BE$4,DogInfo!A:A,0),2),0))),"")</f>
        <v>0</v>
      </c>
    </row>
    <row r="71" spans="1:57" x14ac:dyDescent="0.25">
      <c r="A71" s="99">
        <v>7</v>
      </c>
      <c r="B71" s="239"/>
      <c r="C71" s="283"/>
      <c r="D71" s="102" t="str">
        <f>IF($C71="","",VLOOKUP($C71,'SDDA Dogs'!$A:$F,2,FALSE))</f>
        <v/>
      </c>
      <c r="E71" s="211">
        <f t="shared" si="72"/>
        <v>1</v>
      </c>
      <c r="F71" s="103" t="str">
        <f>IF($C71="","",IF(ISERROR(VLOOKUP($C71,$C$5:$AP$54,38,FALSE)=TRUE),VLOOKUP($C71,'SDDA Dogs'!$A:$O,13,FALSE),VLOOKUP($C71,$C$5:$AP$54,38,FALSE)))</f>
        <v/>
      </c>
      <c r="G71" s="241"/>
      <c r="H71" s="284"/>
      <c r="I71" s="84" t="str">
        <f t="shared" si="73"/>
        <v/>
      </c>
      <c r="J71" s="105">
        <f t="shared" si="57"/>
        <v>0</v>
      </c>
      <c r="K71" s="84" t="str">
        <f t="shared" si="74"/>
        <v/>
      </c>
      <c r="L71" s="105">
        <f t="shared" si="58"/>
        <v>0</v>
      </c>
      <c r="M71" s="84" t="str">
        <f t="shared" si="75"/>
        <v/>
      </c>
      <c r="N71" s="106" t="str">
        <f>IF($C71="","",IF(ISERROR(VLOOKUP($C71,$C$5:$AP$54,39,FALSE)=TRUE),VLOOKUP($C71,'SDDA Dogs'!$A:$O,14,FALSE),VLOOKUP($C71,$C$5:$AP$54,39,FALSE)))</f>
        <v/>
      </c>
      <c r="O71" s="241"/>
      <c r="P71" s="284"/>
      <c r="Q71" s="84" t="str">
        <f t="shared" si="76"/>
        <v/>
      </c>
      <c r="R71" s="105">
        <f t="shared" si="59"/>
        <v>0</v>
      </c>
      <c r="S71" s="84" t="str">
        <f t="shared" si="77"/>
        <v/>
      </c>
      <c r="T71" s="105">
        <f t="shared" si="60"/>
        <v>0</v>
      </c>
      <c r="U71" s="84" t="str">
        <f t="shared" si="78"/>
        <v/>
      </c>
      <c r="V71" s="106" t="str">
        <f>IF($C71="","",IF(ISERROR(VLOOKUP($C71,$C$5:$AP$54,40,FALSE)=TRUE),VLOOKUP($C71,'SDDA Dogs'!$A:$O,15,FALSE),VLOOKUP($C71,$C$5:$AP$54,40,FALSE)))</f>
        <v/>
      </c>
      <c r="W71" s="241"/>
      <c r="X71" s="284"/>
      <c r="Y71" s="84" t="str">
        <f t="shared" si="79"/>
        <v/>
      </c>
      <c r="Z71" s="105">
        <f t="shared" si="61"/>
        <v>0</v>
      </c>
      <c r="AA71" s="84" t="str">
        <f t="shared" si="80"/>
        <v/>
      </c>
      <c r="AB71" s="105">
        <f t="shared" si="62"/>
        <v>0</v>
      </c>
      <c r="AC71" s="84" t="str">
        <f t="shared" si="81"/>
        <v/>
      </c>
      <c r="AD71" s="92" t="str">
        <f t="shared" si="82"/>
        <v/>
      </c>
      <c r="AE71" s="89" t="str">
        <f t="shared" si="83"/>
        <v/>
      </c>
      <c r="AF71" s="104" t="str">
        <f t="shared" si="84"/>
        <v/>
      </c>
      <c r="AG71" s="107" t="str">
        <f t="shared" si="85"/>
        <v/>
      </c>
      <c r="AH71" s="92" t="str">
        <f t="shared" si="86"/>
        <v/>
      </c>
      <c r="AI71" s="89" t="str">
        <f t="shared" si="87"/>
        <v/>
      </c>
      <c r="AJ71" s="104" t="str">
        <f t="shared" si="88"/>
        <v/>
      </c>
      <c r="AK71" s="84" t="str">
        <f t="shared" si="89"/>
        <v/>
      </c>
      <c r="AL71" s="264" t="str">
        <f t="shared" si="90"/>
        <v/>
      </c>
      <c r="AM71" s="270">
        <f t="shared" si="91"/>
        <v>0</v>
      </c>
      <c r="AN71" s="270" t="str">
        <f t="shared" si="92"/>
        <v/>
      </c>
      <c r="AO71" s="270" t="str">
        <f t="shared" si="93"/>
        <v/>
      </c>
      <c r="AP71" s="270" t="str">
        <f t="shared" si="94"/>
        <v/>
      </c>
      <c r="AQ71" s="270">
        <f t="shared" si="95"/>
        <v>0</v>
      </c>
      <c r="AR71" s="316">
        <f>MIN(IFERROR(VLOOKUP($C71,'SDDA Dogs'!$A:$O,10,FALSE),0),IFERROR(VLOOKUP($C71,'SDDA Dogs'!$A:$O,11,FALSE),0),IFERROR(VLOOKUP($C71,'SDDA Dogs'!$A:$O,12,FALSE),0))</f>
        <v>0</v>
      </c>
      <c r="AS71" s="272"/>
      <c r="AT71" s="272"/>
      <c r="AU71" s="272" t="str">
        <f>IF(ISERROR(VLOOKUP(C71,'SDDA Dogs'!A:O,6,FALSE)),"",VLOOKUP(C71,'SDDA Dogs'!A:O,6,FALSE))</f>
        <v/>
      </c>
      <c r="AV71" s="270">
        <f t="shared" si="96"/>
        <v>0</v>
      </c>
      <c r="AW71" s="270">
        <f t="shared" si="97"/>
        <v>0</v>
      </c>
      <c r="AX71" s="273">
        <f t="shared" si="98"/>
        <v>0</v>
      </c>
      <c r="AY71" s="274"/>
      <c r="AZ71" s="275">
        <f t="shared" si="70"/>
        <v>0</v>
      </c>
      <c r="BA71" s="275">
        <f t="shared" si="71"/>
        <v>0</v>
      </c>
      <c r="BB71" s="276"/>
      <c r="BC71" s="274">
        <f>_xlfn.IFNA(IF(I71="Pass",IF(AND(G71&gt;=IFERROR(INDEX($C$5:$W$54,MATCH(C71,$C$5:$C$54,0),5),0),G71&gt;=IFERROR(INDEX(DogInfo!A:B,MATCH(C71&amp;$BC$4,DogInfo!A:A,0),2),0)),G71,IF(AND(IFERROR(INDEX($C$5:$W$54,MATCH(C71,$C$5:$C$54,0),5),0)&gt;=G71,IFERROR(INDEX($C$5:$W$54,MATCH(C71,$C$5:$C$54,0),5),0)&gt;=IFERROR(INDEX(DogInfo!A:B,MATCH(C71&amp;$BC$4,DogInfo!A:A,0),2),0)),IFERROR(INDEX($C$5:$W$54,MATCH(C71,$C$5:$C$54,0),5),0),IF(AND(IFERROR(INDEX(DogInfo!A:B,MATCH(C71&amp;$BC$4,DogInfo!A:A,0),2),0)&gt;=IFERROR(INDEX($C$5:$W$54,MATCH(C71,$C$5:$C$54,0),5),0),IFERROR(INDEX(DogInfo!A:B,MATCH(C71&amp;$BC$4,DogInfo!A:A,0),2),0)&gt;=G71),IFERROR(INDEX(DogInfo!A:B,MATCH(C71&amp;$BC$4,DogInfo!A:A,0),2),0),"Error"))),IFERROR(INDEX($C$5:$BE$54,MATCH(C71,$C$5:$C$54,0),53),IFERROR(INDEX(DogInfo!A:B,MATCH(C71&amp;$BC$4,DogInfo!A:A,0),2),0))),"")</f>
        <v>0</v>
      </c>
      <c r="BD71" s="274">
        <f>_xlfn.IFNA(IF(Q71="Pass",IF(AND(O71&gt;=IFERROR(INDEX($C$5:$W$54,MATCH(C71,$C$5:$C$54,0),13),0),O71&gt;=IFERROR(INDEX(DogInfo!A:B,MATCH(C71&amp;$BD$4,DogInfo!A:A,0),2),0)),O71,IF(AND(IFERROR(INDEX($C$5:$W$54,MATCH(C71,$C$5:$C$54,0),13),0)&gt;=O71,IFERROR(INDEX($C$5:$W$54,MATCH(C71,$C$5:$C$54,0),13),0)&gt;=IFERROR(INDEX(DogInfo!A:B,MATCH(C71&amp;$BD$4,DogInfo!A:A,0),2),0)),IFERROR(INDEX($C$5:$W$54,MATCH(C71,$C$5:$C$54,0),13),0),IF(AND(IFERROR(INDEX(DogInfo!A:B,MATCH(C71&amp;$BD$4,DogInfo!A:A,0),2),0)&gt;=IFERROR(INDEX($C$5:$W$54,MATCH(C71,$C$5:$C$54,0),13),0),IFERROR(INDEX(DogInfo!A:B,MATCH(C71&amp;$BD$4,DogInfo!A:A,0),2),0)&gt;=O71),IFERROR(INDEX(DogInfo!A:B,MATCH(C71&amp;$BD$4,DogInfo!A:A,0),2),0),"Error"))),IFERROR(INDEX($C$5:$BE$54,MATCH(C71,$C$5:$C$54,0),54),IFERROR(INDEX(DogInfo!A:B,MATCH(C71&amp;$BD$4,DogInfo!A:A,0),2),0))),"")</f>
        <v>0</v>
      </c>
      <c r="BE71" s="274">
        <f>_xlfn.IFNA(IF(Y71="Pass",IF(AND(W71&gt;=IFERROR(INDEX($C$5:$W$54,MATCH(C71,$C$5:$C$54,0),21),0),O71&gt;=IFERROR(INDEX(DogInfo!A:B,MATCH(C71&amp;$BE$4,DogInfo!A:A,0),2),0)),W71,IF(AND(IFERROR(INDEX($C$5:$W$54,MATCH(C71,$C$5:$C$54,0),21),0)&gt;=W71,IFERROR(INDEX($C$5:$W$54,MATCH(C71,$C$5:$C$54,0),21),0)&gt;=IFERROR(INDEX(DogInfo!A:B,MATCH(C71&amp;$BE$4,DogInfo!A:A,0),2),0)),IFERROR(INDEX($C$5:$W$54,MATCH(C71,$C$5:$C$54,0),21),0),IF(AND(IFERROR(INDEX(DogInfo!A:B,MATCH(C71&amp;$BE$4,DogInfo!A:A,0),2),0)&gt;=IFERROR(INDEX($C$5:$W$54,MATCH(C71,$C$5:$C$54,0),21),0),IFERROR(INDEX(DogInfo!A:B,MATCH(C71&amp;$BE$4,DogInfo!A:A,0),2),0)&gt;=W71),IFERROR(INDEX(DogInfo!A:B,MATCH(C71&amp;$BE$4,DogInfo!A:A,0),2),0),"Error"))),IFERROR(INDEX($C$5:$BE$54,MATCH(C71,$C$5:$C$54,0),55),IFERROR(INDEX(DogInfo!A:B,MATCH(C71&amp;$BE$4,DogInfo!A:A,0),2),0))),"")</f>
        <v>0</v>
      </c>
    </row>
    <row r="72" spans="1:57" x14ac:dyDescent="0.25">
      <c r="A72" s="99">
        <v>8</v>
      </c>
      <c r="B72" s="239"/>
      <c r="C72" s="283"/>
      <c r="D72" s="102" t="str">
        <f>IF($C72="","",VLOOKUP($C72,'SDDA Dogs'!$A:$F,2,FALSE))</f>
        <v/>
      </c>
      <c r="E72" s="211">
        <f t="shared" si="72"/>
        <v>1</v>
      </c>
      <c r="F72" s="103" t="str">
        <f>IF($C72="","",IF(ISERROR(VLOOKUP($C72,$C$5:$AP$54,38,FALSE)=TRUE),VLOOKUP($C72,'SDDA Dogs'!$A:$O,13,FALSE),VLOOKUP($C72,$C$5:$AP$54,38,FALSE)))</f>
        <v/>
      </c>
      <c r="G72" s="241"/>
      <c r="H72" s="284"/>
      <c r="I72" s="84" t="str">
        <f t="shared" si="73"/>
        <v/>
      </c>
      <c r="J72" s="105">
        <f t="shared" si="57"/>
        <v>0</v>
      </c>
      <c r="K72" s="84" t="str">
        <f t="shared" si="74"/>
        <v/>
      </c>
      <c r="L72" s="105">
        <f t="shared" si="58"/>
        <v>0</v>
      </c>
      <c r="M72" s="84" t="str">
        <f t="shared" si="75"/>
        <v/>
      </c>
      <c r="N72" s="106" t="str">
        <f>IF($C72="","",IF(ISERROR(VLOOKUP($C72,$C$5:$AP$54,39,FALSE)=TRUE),VLOOKUP($C72,'SDDA Dogs'!$A:$O,14,FALSE),VLOOKUP($C72,$C$5:$AP$54,39,FALSE)))</f>
        <v/>
      </c>
      <c r="O72" s="241"/>
      <c r="P72" s="284"/>
      <c r="Q72" s="84" t="str">
        <f t="shared" si="76"/>
        <v/>
      </c>
      <c r="R72" s="105">
        <f t="shared" si="59"/>
        <v>0</v>
      </c>
      <c r="S72" s="84" t="str">
        <f t="shared" si="77"/>
        <v/>
      </c>
      <c r="T72" s="105">
        <f t="shared" si="60"/>
        <v>0</v>
      </c>
      <c r="U72" s="84" t="str">
        <f t="shared" si="78"/>
        <v/>
      </c>
      <c r="V72" s="106" t="str">
        <f>IF($C72="","",IF(ISERROR(VLOOKUP($C72,$C$5:$AP$54,40,FALSE)=TRUE),VLOOKUP($C72,'SDDA Dogs'!$A:$O,15,FALSE),VLOOKUP($C72,$C$5:$AP$54,40,FALSE)))</f>
        <v/>
      </c>
      <c r="W72" s="241"/>
      <c r="X72" s="284"/>
      <c r="Y72" s="84" t="str">
        <f t="shared" si="79"/>
        <v/>
      </c>
      <c r="Z72" s="105">
        <f t="shared" si="61"/>
        <v>0</v>
      </c>
      <c r="AA72" s="84" t="str">
        <f t="shared" si="80"/>
        <v/>
      </c>
      <c r="AB72" s="105">
        <f t="shared" si="62"/>
        <v>0</v>
      </c>
      <c r="AC72" s="84" t="str">
        <f t="shared" si="81"/>
        <v/>
      </c>
      <c r="AD72" s="92" t="str">
        <f t="shared" si="82"/>
        <v/>
      </c>
      <c r="AE72" s="89" t="str">
        <f t="shared" si="83"/>
        <v/>
      </c>
      <c r="AF72" s="104" t="str">
        <f t="shared" si="84"/>
        <v/>
      </c>
      <c r="AG72" s="107" t="str">
        <f t="shared" si="85"/>
        <v/>
      </c>
      <c r="AH72" s="92" t="str">
        <f t="shared" si="86"/>
        <v/>
      </c>
      <c r="AI72" s="89" t="str">
        <f t="shared" si="87"/>
        <v/>
      </c>
      <c r="AJ72" s="104" t="str">
        <f t="shared" si="88"/>
        <v/>
      </c>
      <c r="AK72" s="84" t="str">
        <f t="shared" si="89"/>
        <v/>
      </c>
      <c r="AL72" s="264" t="str">
        <f t="shared" si="90"/>
        <v/>
      </c>
      <c r="AM72" s="270">
        <f t="shared" si="91"/>
        <v>0</v>
      </c>
      <c r="AN72" s="270" t="str">
        <f t="shared" si="92"/>
        <v/>
      </c>
      <c r="AO72" s="270" t="str">
        <f t="shared" si="93"/>
        <v/>
      </c>
      <c r="AP72" s="270" t="str">
        <f t="shared" si="94"/>
        <v/>
      </c>
      <c r="AQ72" s="270">
        <f t="shared" si="95"/>
        <v>0</v>
      </c>
      <c r="AR72" s="316">
        <f>MIN(IFERROR(VLOOKUP($C72,'SDDA Dogs'!$A:$O,10,FALSE),0),IFERROR(VLOOKUP($C72,'SDDA Dogs'!$A:$O,11,FALSE),0),IFERROR(VLOOKUP($C72,'SDDA Dogs'!$A:$O,12,FALSE),0))</f>
        <v>0</v>
      </c>
      <c r="AS72" s="272"/>
      <c r="AT72" s="272"/>
      <c r="AU72" s="272" t="str">
        <f>IF(ISERROR(VLOOKUP(C72,'SDDA Dogs'!A:O,6,FALSE)),"",VLOOKUP(C72,'SDDA Dogs'!A:O,6,FALSE))</f>
        <v/>
      </c>
      <c r="AV72" s="270">
        <f t="shared" si="96"/>
        <v>0</v>
      </c>
      <c r="AW72" s="270">
        <f t="shared" si="97"/>
        <v>0</v>
      </c>
      <c r="AX72" s="273">
        <f t="shared" si="98"/>
        <v>0</v>
      </c>
      <c r="AY72" s="274"/>
      <c r="AZ72" s="275">
        <f t="shared" si="70"/>
        <v>0</v>
      </c>
      <c r="BA72" s="275">
        <f t="shared" si="71"/>
        <v>0</v>
      </c>
      <c r="BB72" s="276"/>
      <c r="BC72" s="274">
        <f>_xlfn.IFNA(IF(I72="Pass",IF(AND(G72&gt;=IFERROR(INDEX($C$5:$W$54,MATCH(C72,$C$5:$C$54,0),5),0),G72&gt;=IFERROR(INDEX(DogInfo!A:B,MATCH(C72&amp;$BC$4,DogInfo!A:A,0),2),0)),G72,IF(AND(IFERROR(INDEX($C$5:$W$54,MATCH(C72,$C$5:$C$54,0),5),0)&gt;=G72,IFERROR(INDEX($C$5:$W$54,MATCH(C72,$C$5:$C$54,0),5),0)&gt;=IFERROR(INDEX(DogInfo!A:B,MATCH(C72&amp;$BC$4,DogInfo!A:A,0),2),0)),IFERROR(INDEX($C$5:$W$54,MATCH(C72,$C$5:$C$54,0),5),0),IF(AND(IFERROR(INDEX(DogInfo!A:B,MATCH(C72&amp;$BC$4,DogInfo!A:A,0),2),0)&gt;=IFERROR(INDEX($C$5:$W$54,MATCH(C72,$C$5:$C$54,0),5),0),IFERROR(INDEX(DogInfo!A:B,MATCH(C72&amp;$BC$4,DogInfo!A:A,0),2),0)&gt;=G72),IFERROR(INDEX(DogInfo!A:B,MATCH(C72&amp;$BC$4,DogInfo!A:A,0),2),0),"Error"))),IFERROR(INDEX($C$5:$BE$54,MATCH(C72,$C$5:$C$54,0),53),IFERROR(INDEX(DogInfo!A:B,MATCH(C72&amp;$BC$4,DogInfo!A:A,0),2),0))),"")</f>
        <v>0</v>
      </c>
      <c r="BD72" s="274">
        <f>_xlfn.IFNA(IF(Q72="Pass",IF(AND(O72&gt;=IFERROR(INDEX($C$5:$W$54,MATCH(C72,$C$5:$C$54,0),13),0),O72&gt;=IFERROR(INDEX(DogInfo!A:B,MATCH(C72&amp;$BD$4,DogInfo!A:A,0),2),0)),O72,IF(AND(IFERROR(INDEX($C$5:$W$54,MATCH(C72,$C$5:$C$54,0),13),0)&gt;=O72,IFERROR(INDEX($C$5:$W$54,MATCH(C72,$C$5:$C$54,0),13),0)&gt;=IFERROR(INDEX(DogInfo!A:B,MATCH(C72&amp;$BD$4,DogInfo!A:A,0),2),0)),IFERROR(INDEX($C$5:$W$54,MATCH(C72,$C$5:$C$54,0),13),0),IF(AND(IFERROR(INDEX(DogInfo!A:B,MATCH(C72&amp;$BD$4,DogInfo!A:A,0),2),0)&gt;=IFERROR(INDEX($C$5:$W$54,MATCH(C72,$C$5:$C$54,0),13),0),IFERROR(INDEX(DogInfo!A:B,MATCH(C72&amp;$BD$4,DogInfo!A:A,0),2),0)&gt;=O72),IFERROR(INDEX(DogInfo!A:B,MATCH(C72&amp;$BD$4,DogInfo!A:A,0),2),0),"Error"))),IFERROR(INDEX($C$5:$BE$54,MATCH(C72,$C$5:$C$54,0),54),IFERROR(INDEX(DogInfo!A:B,MATCH(C72&amp;$BD$4,DogInfo!A:A,0),2),0))),"")</f>
        <v>0</v>
      </c>
      <c r="BE72" s="274">
        <f>_xlfn.IFNA(IF(Y72="Pass",IF(AND(W72&gt;=IFERROR(INDEX($C$5:$W$54,MATCH(C72,$C$5:$C$54,0),21),0),O72&gt;=IFERROR(INDEX(DogInfo!A:B,MATCH(C72&amp;$BE$4,DogInfo!A:A,0),2),0)),W72,IF(AND(IFERROR(INDEX($C$5:$W$54,MATCH(C72,$C$5:$C$54,0),21),0)&gt;=W72,IFERROR(INDEX($C$5:$W$54,MATCH(C72,$C$5:$C$54,0),21),0)&gt;=IFERROR(INDEX(DogInfo!A:B,MATCH(C72&amp;$BE$4,DogInfo!A:A,0),2),0)),IFERROR(INDEX($C$5:$W$54,MATCH(C72,$C$5:$C$54,0),21),0),IF(AND(IFERROR(INDEX(DogInfo!A:B,MATCH(C72&amp;$BE$4,DogInfo!A:A,0),2),0)&gt;=IFERROR(INDEX($C$5:$W$54,MATCH(C72,$C$5:$C$54,0),21),0),IFERROR(INDEX(DogInfo!A:B,MATCH(C72&amp;$BE$4,DogInfo!A:A,0),2),0)&gt;=W72),IFERROR(INDEX(DogInfo!A:B,MATCH(C72&amp;$BE$4,DogInfo!A:A,0),2),0),"Error"))),IFERROR(INDEX($C$5:$BE$54,MATCH(C72,$C$5:$C$54,0),55),IFERROR(INDEX(DogInfo!A:B,MATCH(C72&amp;$BE$4,DogInfo!A:A,0),2),0))),"")</f>
        <v>0</v>
      </c>
    </row>
    <row r="73" spans="1:57" x14ac:dyDescent="0.25">
      <c r="A73" s="99">
        <v>9</v>
      </c>
      <c r="B73" s="239"/>
      <c r="C73" s="283"/>
      <c r="D73" s="102" t="str">
        <f>IF($C73="","",VLOOKUP($C73,'SDDA Dogs'!$A:$F,2,FALSE))</f>
        <v/>
      </c>
      <c r="E73" s="211">
        <f t="shared" si="72"/>
        <v>1</v>
      </c>
      <c r="F73" s="103" t="str">
        <f>IF($C73="","",IF(ISERROR(VLOOKUP($C73,$C$5:$AP$54,38,FALSE)=TRUE),VLOOKUP($C73,'SDDA Dogs'!$A:$O,13,FALSE),VLOOKUP($C73,$C$5:$AP$54,38,FALSE)))</f>
        <v/>
      </c>
      <c r="G73" s="241"/>
      <c r="H73" s="284"/>
      <c r="I73" s="84" t="str">
        <f t="shared" si="73"/>
        <v/>
      </c>
      <c r="J73" s="105">
        <f t="shared" si="57"/>
        <v>0</v>
      </c>
      <c r="K73" s="84" t="str">
        <f t="shared" si="74"/>
        <v/>
      </c>
      <c r="L73" s="105">
        <f t="shared" si="58"/>
        <v>0</v>
      </c>
      <c r="M73" s="84" t="str">
        <f t="shared" si="75"/>
        <v/>
      </c>
      <c r="N73" s="106" t="str">
        <f>IF($C73="","",IF(ISERROR(VLOOKUP($C73,$C$5:$AP$54,39,FALSE)=TRUE),VLOOKUP($C73,'SDDA Dogs'!$A:$O,14,FALSE),VLOOKUP($C73,$C$5:$AP$54,39,FALSE)))</f>
        <v/>
      </c>
      <c r="O73" s="241"/>
      <c r="P73" s="284"/>
      <c r="Q73" s="84" t="str">
        <f t="shared" si="76"/>
        <v/>
      </c>
      <c r="R73" s="105">
        <f t="shared" si="59"/>
        <v>0</v>
      </c>
      <c r="S73" s="84" t="str">
        <f t="shared" si="77"/>
        <v/>
      </c>
      <c r="T73" s="105">
        <f t="shared" si="60"/>
        <v>0</v>
      </c>
      <c r="U73" s="84" t="str">
        <f t="shared" si="78"/>
        <v/>
      </c>
      <c r="V73" s="106" t="str">
        <f>IF($C73="","",IF(ISERROR(VLOOKUP($C73,$C$5:$AP$54,40,FALSE)=TRUE),VLOOKUP($C73,'SDDA Dogs'!$A:$O,15,FALSE),VLOOKUP($C73,$C$5:$AP$54,40,FALSE)))</f>
        <v/>
      </c>
      <c r="W73" s="241"/>
      <c r="X73" s="284"/>
      <c r="Y73" s="84" t="str">
        <f t="shared" si="79"/>
        <v/>
      </c>
      <c r="Z73" s="105">
        <f t="shared" si="61"/>
        <v>0</v>
      </c>
      <c r="AA73" s="84" t="str">
        <f t="shared" si="80"/>
        <v/>
      </c>
      <c r="AB73" s="105">
        <f t="shared" si="62"/>
        <v>0</v>
      </c>
      <c r="AC73" s="84" t="str">
        <f t="shared" si="81"/>
        <v/>
      </c>
      <c r="AD73" s="92" t="str">
        <f t="shared" si="82"/>
        <v/>
      </c>
      <c r="AE73" s="89" t="str">
        <f t="shared" si="83"/>
        <v/>
      </c>
      <c r="AF73" s="104" t="str">
        <f t="shared" si="84"/>
        <v/>
      </c>
      <c r="AG73" s="107" t="str">
        <f t="shared" si="85"/>
        <v/>
      </c>
      <c r="AH73" s="92" t="str">
        <f t="shared" si="86"/>
        <v/>
      </c>
      <c r="AI73" s="89" t="str">
        <f t="shared" si="87"/>
        <v/>
      </c>
      <c r="AJ73" s="104" t="str">
        <f t="shared" si="88"/>
        <v/>
      </c>
      <c r="AK73" s="84" t="str">
        <f t="shared" si="89"/>
        <v/>
      </c>
      <c r="AL73" s="264" t="str">
        <f t="shared" si="90"/>
        <v/>
      </c>
      <c r="AM73" s="270">
        <f t="shared" si="91"/>
        <v>0</v>
      </c>
      <c r="AN73" s="270" t="str">
        <f t="shared" si="92"/>
        <v/>
      </c>
      <c r="AO73" s="270" t="str">
        <f t="shared" si="93"/>
        <v/>
      </c>
      <c r="AP73" s="270" t="str">
        <f t="shared" si="94"/>
        <v/>
      </c>
      <c r="AQ73" s="270">
        <f t="shared" si="95"/>
        <v>0</v>
      </c>
      <c r="AR73" s="316">
        <f>MIN(IFERROR(VLOOKUP($C73,'SDDA Dogs'!$A:$O,10,FALSE),0),IFERROR(VLOOKUP($C73,'SDDA Dogs'!$A:$O,11,FALSE),0),IFERROR(VLOOKUP($C73,'SDDA Dogs'!$A:$O,12,FALSE),0))</f>
        <v>0</v>
      </c>
      <c r="AS73" s="272"/>
      <c r="AT73" s="272"/>
      <c r="AU73" s="272" t="str">
        <f>IF(ISERROR(VLOOKUP(C73,'SDDA Dogs'!A:O,6,FALSE)),"",VLOOKUP(C73,'SDDA Dogs'!A:O,6,FALSE))</f>
        <v/>
      </c>
      <c r="AV73" s="270">
        <f t="shared" si="96"/>
        <v>0</v>
      </c>
      <c r="AW73" s="270">
        <f t="shared" si="97"/>
        <v>0</v>
      </c>
      <c r="AX73" s="273">
        <f t="shared" si="98"/>
        <v>0</v>
      </c>
      <c r="AY73" s="274"/>
      <c r="AZ73" s="275">
        <f t="shared" si="70"/>
        <v>0</v>
      </c>
      <c r="BA73" s="275">
        <f t="shared" si="71"/>
        <v>0</v>
      </c>
      <c r="BB73" s="276"/>
      <c r="BC73" s="274">
        <f>_xlfn.IFNA(IF(I73="Pass",IF(AND(G73&gt;=IFERROR(INDEX($C$5:$W$54,MATCH(C73,$C$5:$C$54,0),5),0),G73&gt;=IFERROR(INDEX(DogInfo!A:B,MATCH(C73&amp;$BC$4,DogInfo!A:A,0),2),0)),G73,IF(AND(IFERROR(INDEX($C$5:$W$54,MATCH(C73,$C$5:$C$54,0),5),0)&gt;=G73,IFERROR(INDEX($C$5:$W$54,MATCH(C73,$C$5:$C$54,0),5),0)&gt;=IFERROR(INDEX(DogInfo!A:B,MATCH(C73&amp;$BC$4,DogInfo!A:A,0),2),0)),IFERROR(INDEX($C$5:$W$54,MATCH(C73,$C$5:$C$54,0),5),0),IF(AND(IFERROR(INDEX(DogInfo!A:B,MATCH(C73&amp;$BC$4,DogInfo!A:A,0),2),0)&gt;=IFERROR(INDEX($C$5:$W$54,MATCH(C73,$C$5:$C$54,0),5),0),IFERROR(INDEX(DogInfo!A:B,MATCH(C73&amp;$BC$4,DogInfo!A:A,0),2),0)&gt;=G73),IFERROR(INDEX(DogInfo!A:B,MATCH(C73&amp;$BC$4,DogInfo!A:A,0),2),0),"Error"))),IFERROR(INDEX($C$5:$BE$54,MATCH(C73,$C$5:$C$54,0),53),IFERROR(INDEX(DogInfo!A:B,MATCH(C73&amp;$BC$4,DogInfo!A:A,0),2),0))),"")</f>
        <v>0</v>
      </c>
      <c r="BD73" s="274">
        <f>_xlfn.IFNA(IF(Q73="Pass",IF(AND(O73&gt;=IFERROR(INDEX($C$5:$W$54,MATCH(C73,$C$5:$C$54,0),13),0),O73&gt;=IFERROR(INDEX(DogInfo!A:B,MATCH(C73&amp;$BD$4,DogInfo!A:A,0),2),0)),O73,IF(AND(IFERROR(INDEX($C$5:$W$54,MATCH(C73,$C$5:$C$54,0),13),0)&gt;=O73,IFERROR(INDEX($C$5:$W$54,MATCH(C73,$C$5:$C$54,0),13),0)&gt;=IFERROR(INDEX(DogInfo!A:B,MATCH(C73&amp;$BD$4,DogInfo!A:A,0),2),0)),IFERROR(INDEX($C$5:$W$54,MATCH(C73,$C$5:$C$54,0),13),0),IF(AND(IFERROR(INDEX(DogInfo!A:B,MATCH(C73&amp;$BD$4,DogInfo!A:A,0),2),0)&gt;=IFERROR(INDEX($C$5:$W$54,MATCH(C73,$C$5:$C$54,0),13),0),IFERROR(INDEX(DogInfo!A:B,MATCH(C73&amp;$BD$4,DogInfo!A:A,0),2),0)&gt;=O73),IFERROR(INDEX(DogInfo!A:B,MATCH(C73&amp;$BD$4,DogInfo!A:A,0),2),0),"Error"))),IFERROR(INDEX($C$5:$BE$54,MATCH(C73,$C$5:$C$54,0),54),IFERROR(INDEX(DogInfo!A:B,MATCH(C73&amp;$BD$4,DogInfo!A:A,0),2),0))),"")</f>
        <v>0</v>
      </c>
      <c r="BE73" s="274">
        <f>_xlfn.IFNA(IF(Y73="Pass",IF(AND(W73&gt;=IFERROR(INDEX($C$5:$W$54,MATCH(C73,$C$5:$C$54,0),21),0),O73&gt;=IFERROR(INDEX(DogInfo!A:B,MATCH(C73&amp;$BE$4,DogInfo!A:A,0),2),0)),W73,IF(AND(IFERROR(INDEX($C$5:$W$54,MATCH(C73,$C$5:$C$54,0),21),0)&gt;=W73,IFERROR(INDEX($C$5:$W$54,MATCH(C73,$C$5:$C$54,0),21),0)&gt;=IFERROR(INDEX(DogInfo!A:B,MATCH(C73&amp;$BE$4,DogInfo!A:A,0),2),0)),IFERROR(INDEX($C$5:$W$54,MATCH(C73,$C$5:$C$54,0),21),0),IF(AND(IFERROR(INDEX(DogInfo!A:B,MATCH(C73&amp;$BE$4,DogInfo!A:A,0),2),0)&gt;=IFERROR(INDEX($C$5:$W$54,MATCH(C73,$C$5:$C$54,0),21),0),IFERROR(INDEX(DogInfo!A:B,MATCH(C73&amp;$BE$4,DogInfo!A:A,0),2),0)&gt;=W73),IFERROR(INDEX(DogInfo!A:B,MATCH(C73&amp;$BE$4,DogInfo!A:A,0),2),0),"Error"))),IFERROR(INDEX($C$5:$BE$54,MATCH(C73,$C$5:$C$54,0),55),IFERROR(INDEX(DogInfo!A:B,MATCH(C73&amp;$BE$4,DogInfo!A:A,0),2),0))),"")</f>
        <v>0</v>
      </c>
    </row>
    <row r="74" spans="1:57" x14ac:dyDescent="0.25">
      <c r="A74" s="99">
        <v>10</v>
      </c>
      <c r="B74" s="239"/>
      <c r="C74" s="283"/>
      <c r="D74" s="102" t="str">
        <f>IF($C74="","",VLOOKUP($C74,'SDDA Dogs'!$A:$F,2,FALSE))</f>
        <v/>
      </c>
      <c r="E74" s="211">
        <f t="shared" si="72"/>
        <v>1</v>
      </c>
      <c r="F74" s="103" t="str">
        <f>IF($C74="","",IF(ISERROR(VLOOKUP($C74,$C$5:$AP$54,38,FALSE)=TRUE),VLOOKUP($C74,'SDDA Dogs'!$A:$O,13,FALSE),VLOOKUP($C74,$C$5:$AP$54,38,FALSE)))</f>
        <v/>
      </c>
      <c r="G74" s="241"/>
      <c r="H74" s="284"/>
      <c r="I74" s="84" t="str">
        <f t="shared" si="73"/>
        <v/>
      </c>
      <c r="J74" s="105">
        <f t="shared" si="57"/>
        <v>0</v>
      </c>
      <c r="K74" s="84" t="str">
        <f t="shared" si="74"/>
        <v/>
      </c>
      <c r="L74" s="105">
        <f t="shared" si="58"/>
        <v>0</v>
      </c>
      <c r="M74" s="84" t="str">
        <f t="shared" si="75"/>
        <v/>
      </c>
      <c r="N74" s="106" t="str">
        <f>IF($C74="","",IF(ISERROR(VLOOKUP($C74,$C$5:$AP$54,39,FALSE)=TRUE),VLOOKUP($C74,'SDDA Dogs'!$A:$O,14,FALSE),VLOOKUP($C74,$C$5:$AP$54,39,FALSE)))</f>
        <v/>
      </c>
      <c r="O74" s="241"/>
      <c r="P74" s="284"/>
      <c r="Q74" s="84" t="str">
        <f t="shared" si="76"/>
        <v/>
      </c>
      <c r="R74" s="105">
        <f t="shared" si="59"/>
        <v>0</v>
      </c>
      <c r="S74" s="84" t="str">
        <f t="shared" si="77"/>
        <v/>
      </c>
      <c r="T74" s="105">
        <f t="shared" si="60"/>
        <v>0</v>
      </c>
      <c r="U74" s="84" t="str">
        <f t="shared" si="78"/>
        <v/>
      </c>
      <c r="V74" s="106" t="str">
        <f>IF($C74="","",IF(ISERROR(VLOOKUP($C74,$C$5:$AP$54,40,FALSE)=TRUE),VLOOKUP($C74,'SDDA Dogs'!$A:$O,15,FALSE),VLOOKUP($C74,$C$5:$AP$54,40,FALSE)))</f>
        <v/>
      </c>
      <c r="W74" s="241"/>
      <c r="X74" s="284"/>
      <c r="Y74" s="84" t="str">
        <f t="shared" si="79"/>
        <v/>
      </c>
      <c r="Z74" s="105">
        <f t="shared" si="61"/>
        <v>0</v>
      </c>
      <c r="AA74" s="84" t="str">
        <f t="shared" si="80"/>
        <v/>
      </c>
      <c r="AB74" s="105">
        <f t="shared" si="62"/>
        <v>0</v>
      </c>
      <c r="AC74" s="84" t="str">
        <f t="shared" si="81"/>
        <v/>
      </c>
      <c r="AD74" s="92" t="str">
        <f t="shared" si="82"/>
        <v/>
      </c>
      <c r="AE74" s="89" t="str">
        <f t="shared" si="83"/>
        <v/>
      </c>
      <c r="AF74" s="104" t="str">
        <f t="shared" si="84"/>
        <v/>
      </c>
      <c r="AG74" s="107" t="str">
        <f t="shared" si="85"/>
        <v/>
      </c>
      <c r="AH74" s="92" t="str">
        <f t="shared" si="86"/>
        <v/>
      </c>
      <c r="AI74" s="89" t="str">
        <f t="shared" si="87"/>
        <v/>
      </c>
      <c r="AJ74" s="104" t="str">
        <f t="shared" si="88"/>
        <v/>
      </c>
      <c r="AK74" s="84" t="str">
        <f t="shared" si="89"/>
        <v/>
      </c>
      <c r="AL74" s="264" t="str">
        <f t="shared" si="90"/>
        <v/>
      </c>
      <c r="AM74" s="270">
        <f t="shared" si="91"/>
        <v>0</v>
      </c>
      <c r="AN74" s="270" t="str">
        <f t="shared" si="92"/>
        <v/>
      </c>
      <c r="AO74" s="270" t="str">
        <f t="shared" si="93"/>
        <v/>
      </c>
      <c r="AP74" s="270" t="str">
        <f t="shared" si="94"/>
        <v/>
      </c>
      <c r="AQ74" s="270">
        <f t="shared" si="95"/>
        <v>0</v>
      </c>
      <c r="AR74" s="316">
        <f>MIN(IFERROR(VLOOKUP($C74,'SDDA Dogs'!$A:$O,10,FALSE),0),IFERROR(VLOOKUP($C74,'SDDA Dogs'!$A:$O,11,FALSE),0),IFERROR(VLOOKUP($C74,'SDDA Dogs'!$A:$O,12,FALSE),0))</f>
        <v>0</v>
      </c>
      <c r="AS74" s="272"/>
      <c r="AT74" s="272"/>
      <c r="AU74" s="272" t="str">
        <f>IF(ISERROR(VLOOKUP(C74,'SDDA Dogs'!A:O,6,FALSE)),"",VLOOKUP(C74,'SDDA Dogs'!A:O,6,FALSE))</f>
        <v/>
      </c>
      <c r="AV74" s="270">
        <f t="shared" si="96"/>
        <v>0</v>
      </c>
      <c r="AW74" s="270">
        <f t="shared" si="97"/>
        <v>0</v>
      </c>
      <c r="AX74" s="273">
        <f t="shared" si="98"/>
        <v>0</v>
      </c>
      <c r="AY74" s="274"/>
      <c r="AZ74" s="275">
        <f t="shared" si="70"/>
        <v>0</v>
      </c>
      <c r="BA74" s="275">
        <f t="shared" si="71"/>
        <v>0</v>
      </c>
      <c r="BB74" s="276"/>
      <c r="BC74" s="274">
        <f>_xlfn.IFNA(IF(I74="Pass",IF(AND(G74&gt;=IFERROR(INDEX($C$5:$W$54,MATCH(C74,$C$5:$C$54,0),5),0),G74&gt;=IFERROR(INDEX(DogInfo!A:B,MATCH(C74&amp;$BC$4,DogInfo!A:A,0),2),0)),G74,IF(AND(IFERROR(INDEX($C$5:$W$54,MATCH(C74,$C$5:$C$54,0),5),0)&gt;=G74,IFERROR(INDEX($C$5:$W$54,MATCH(C74,$C$5:$C$54,0),5),0)&gt;=IFERROR(INDEX(DogInfo!A:B,MATCH(C74&amp;$BC$4,DogInfo!A:A,0),2),0)),IFERROR(INDEX($C$5:$W$54,MATCH(C74,$C$5:$C$54,0),5),0),IF(AND(IFERROR(INDEX(DogInfo!A:B,MATCH(C74&amp;$BC$4,DogInfo!A:A,0),2),0)&gt;=IFERROR(INDEX($C$5:$W$54,MATCH(C74,$C$5:$C$54,0),5),0),IFERROR(INDEX(DogInfo!A:B,MATCH(C74&amp;$BC$4,DogInfo!A:A,0),2),0)&gt;=G74),IFERROR(INDEX(DogInfo!A:B,MATCH(C74&amp;$BC$4,DogInfo!A:A,0),2),0),"Error"))),IFERROR(INDEX($C$5:$BE$54,MATCH(C74,$C$5:$C$54,0),53),IFERROR(INDEX(DogInfo!A:B,MATCH(C74&amp;$BC$4,DogInfo!A:A,0),2),0))),"")</f>
        <v>0</v>
      </c>
      <c r="BD74" s="274">
        <f>_xlfn.IFNA(IF(Q74="Pass",IF(AND(O74&gt;=IFERROR(INDEX($C$5:$W$54,MATCH(C74,$C$5:$C$54,0),13),0),O74&gt;=IFERROR(INDEX(DogInfo!A:B,MATCH(C74&amp;$BD$4,DogInfo!A:A,0),2),0)),O74,IF(AND(IFERROR(INDEX($C$5:$W$54,MATCH(C74,$C$5:$C$54,0),13),0)&gt;=O74,IFERROR(INDEX($C$5:$W$54,MATCH(C74,$C$5:$C$54,0),13),0)&gt;=IFERROR(INDEX(DogInfo!A:B,MATCH(C74&amp;$BD$4,DogInfo!A:A,0),2),0)),IFERROR(INDEX($C$5:$W$54,MATCH(C74,$C$5:$C$54,0),13),0),IF(AND(IFERROR(INDEX(DogInfo!A:B,MATCH(C74&amp;$BD$4,DogInfo!A:A,0),2),0)&gt;=IFERROR(INDEX($C$5:$W$54,MATCH(C74,$C$5:$C$54,0),13),0),IFERROR(INDEX(DogInfo!A:B,MATCH(C74&amp;$BD$4,DogInfo!A:A,0),2),0)&gt;=O74),IFERROR(INDEX(DogInfo!A:B,MATCH(C74&amp;$BD$4,DogInfo!A:A,0),2),0),"Error"))),IFERROR(INDEX($C$5:$BE$54,MATCH(C74,$C$5:$C$54,0),54),IFERROR(INDEX(DogInfo!A:B,MATCH(C74&amp;$BD$4,DogInfo!A:A,0),2),0))),"")</f>
        <v>0</v>
      </c>
      <c r="BE74" s="274">
        <f>_xlfn.IFNA(IF(Y74="Pass",IF(AND(W74&gt;=IFERROR(INDEX($C$5:$W$54,MATCH(C74,$C$5:$C$54,0),21),0),O74&gt;=IFERROR(INDEX(DogInfo!A:B,MATCH(C74&amp;$BE$4,DogInfo!A:A,0),2),0)),W74,IF(AND(IFERROR(INDEX($C$5:$W$54,MATCH(C74,$C$5:$C$54,0),21),0)&gt;=W74,IFERROR(INDEX($C$5:$W$54,MATCH(C74,$C$5:$C$54,0),21),0)&gt;=IFERROR(INDEX(DogInfo!A:B,MATCH(C74&amp;$BE$4,DogInfo!A:A,0),2),0)),IFERROR(INDEX($C$5:$W$54,MATCH(C74,$C$5:$C$54,0),21),0),IF(AND(IFERROR(INDEX(DogInfo!A:B,MATCH(C74&amp;$BE$4,DogInfo!A:A,0),2),0)&gt;=IFERROR(INDEX($C$5:$W$54,MATCH(C74,$C$5:$C$54,0),21),0),IFERROR(INDEX(DogInfo!A:B,MATCH(C74&amp;$BE$4,DogInfo!A:A,0),2),0)&gt;=W74),IFERROR(INDEX(DogInfo!A:B,MATCH(C74&amp;$BE$4,DogInfo!A:A,0),2),0),"Error"))),IFERROR(INDEX($C$5:$BE$54,MATCH(C74,$C$5:$C$54,0),55),IFERROR(INDEX(DogInfo!A:B,MATCH(C74&amp;$BE$4,DogInfo!A:A,0),2),0))),"")</f>
        <v>0</v>
      </c>
    </row>
    <row r="75" spans="1:57" x14ac:dyDescent="0.25">
      <c r="A75" s="99">
        <v>11</v>
      </c>
      <c r="B75" s="239"/>
      <c r="C75" s="283"/>
      <c r="D75" s="102" t="str">
        <f>IF($C75="","",VLOOKUP($C75,'SDDA Dogs'!$A:$F,2,FALSE))</f>
        <v/>
      </c>
      <c r="E75" s="211">
        <f t="shared" si="72"/>
        <v>1</v>
      </c>
      <c r="F75" s="103" t="str">
        <f>IF($C75="","",IF(ISERROR(VLOOKUP($C75,$C$5:$AP$54,38,FALSE)=TRUE),VLOOKUP($C75,'SDDA Dogs'!$A:$O,13,FALSE),VLOOKUP($C75,$C$5:$AP$54,38,FALSE)))</f>
        <v/>
      </c>
      <c r="G75" s="241"/>
      <c r="H75" s="284"/>
      <c r="I75" s="84" t="str">
        <f t="shared" si="73"/>
        <v/>
      </c>
      <c r="J75" s="105">
        <f t="shared" si="57"/>
        <v>0</v>
      </c>
      <c r="K75" s="84" t="str">
        <f t="shared" si="74"/>
        <v/>
      </c>
      <c r="L75" s="105">
        <f t="shared" si="58"/>
        <v>0</v>
      </c>
      <c r="M75" s="84" t="str">
        <f t="shared" si="75"/>
        <v/>
      </c>
      <c r="N75" s="106" t="str">
        <f>IF($C75="","",IF(ISERROR(VLOOKUP($C75,$C$5:$AP$54,39,FALSE)=TRUE),VLOOKUP($C75,'SDDA Dogs'!$A:$O,14,FALSE),VLOOKUP($C75,$C$5:$AP$54,39,FALSE)))</f>
        <v/>
      </c>
      <c r="O75" s="241"/>
      <c r="P75" s="284"/>
      <c r="Q75" s="84" t="str">
        <f t="shared" si="76"/>
        <v/>
      </c>
      <c r="R75" s="105">
        <f t="shared" si="59"/>
        <v>0</v>
      </c>
      <c r="S75" s="84" t="str">
        <f t="shared" si="77"/>
        <v/>
      </c>
      <c r="T75" s="105">
        <f t="shared" si="60"/>
        <v>0</v>
      </c>
      <c r="U75" s="84" t="str">
        <f t="shared" si="78"/>
        <v/>
      </c>
      <c r="V75" s="106" t="str">
        <f>IF($C75="","",IF(ISERROR(VLOOKUP($C75,$C$5:$AP$54,40,FALSE)=TRUE),VLOOKUP($C75,'SDDA Dogs'!$A:$O,15,FALSE),VLOOKUP($C75,$C$5:$AP$54,40,FALSE)))</f>
        <v/>
      </c>
      <c r="W75" s="241"/>
      <c r="X75" s="284"/>
      <c r="Y75" s="84" t="str">
        <f t="shared" si="79"/>
        <v/>
      </c>
      <c r="Z75" s="105">
        <f t="shared" si="61"/>
        <v>0</v>
      </c>
      <c r="AA75" s="84" t="str">
        <f t="shared" si="80"/>
        <v/>
      </c>
      <c r="AB75" s="105">
        <f t="shared" si="62"/>
        <v>0</v>
      </c>
      <c r="AC75" s="84" t="str">
        <f t="shared" si="81"/>
        <v/>
      </c>
      <c r="AD75" s="92" t="str">
        <f t="shared" si="82"/>
        <v/>
      </c>
      <c r="AE75" s="89" t="str">
        <f t="shared" si="83"/>
        <v/>
      </c>
      <c r="AF75" s="104" t="str">
        <f t="shared" si="84"/>
        <v/>
      </c>
      <c r="AG75" s="107" t="str">
        <f t="shared" si="85"/>
        <v/>
      </c>
      <c r="AH75" s="92" t="str">
        <f t="shared" si="86"/>
        <v/>
      </c>
      <c r="AI75" s="89" t="str">
        <f t="shared" si="87"/>
        <v/>
      </c>
      <c r="AJ75" s="104" t="str">
        <f t="shared" si="88"/>
        <v/>
      </c>
      <c r="AK75" s="84" t="str">
        <f t="shared" si="89"/>
        <v/>
      </c>
      <c r="AL75" s="264" t="str">
        <f t="shared" si="90"/>
        <v/>
      </c>
      <c r="AM75" s="270">
        <f t="shared" si="91"/>
        <v>0</v>
      </c>
      <c r="AN75" s="270" t="str">
        <f t="shared" si="92"/>
        <v/>
      </c>
      <c r="AO75" s="270" t="str">
        <f t="shared" si="93"/>
        <v/>
      </c>
      <c r="AP75" s="270" t="str">
        <f t="shared" si="94"/>
        <v/>
      </c>
      <c r="AQ75" s="270">
        <f t="shared" si="95"/>
        <v>0</v>
      </c>
      <c r="AR75" s="316">
        <f>MIN(IFERROR(VLOOKUP($C75,'SDDA Dogs'!$A:$O,10,FALSE),0),IFERROR(VLOOKUP($C75,'SDDA Dogs'!$A:$O,11,FALSE),0),IFERROR(VLOOKUP($C75,'SDDA Dogs'!$A:$O,12,FALSE),0))</f>
        <v>0</v>
      </c>
      <c r="AS75" s="272"/>
      <c r="AT75" s="272"/>
      <c r="AU75" s="272" t="str">
        <f>IF(ISERROR(VLOOKUP(C75,'SDDA Dogs'!A:O,6,FALSE)),"",VLOOKUP(C75,'SDDA Dogs'!A:O,6,FALSE))</f>
        <v/>
      </c>
      <c r="AV75" s="270">
        <f t="shared" si="96"/>
        <v>0</v>
      </c>
      <c r="AW75" s="270">
        <f t="shared" si="97"/>
        <v>0</v>
      </c>
      <c r="AX75" s="273">
        <f t="shared" si="98"/>
        <v>0</v>
      </c>
      <c r="AY75" s="274"/>
      <c r="AZ75" s="275">
        <f t="shared" si="70"/>
        <v>0</v>
      </c>
      <c r="BA75" s="275">
        <f t="shared" si="71"/>
        <v>0</v>
      </c>
      <c r="BB75" s="276"/>
      <c r="BC75" s="274">
        <f>_xlfn.IFNA(IF(I75="Pass",IF(AND(G75&gt;=IFERROR(INDEX($C$5:$W$54,MATCH(C75,$C$5:$C$54,0),5),0),G75&gt;=IFERROR(INDEX(DogInfo!A:B,MATCH(C75&amp;$BC$4,DogInfo!A:A,0),2),0)),G75,IF(AND(IFERROR(INDEX($C$5:$W$54,MATCH(C75,$C$5:$C$54,0),5),0)&gt;=G75,IFERROR(INDEX($C$5:$W$54,MATCH(C75,$C$5:$C$54,0),5),0)&gt;=IFERROR(INDEX(DogInfo!A:B,MATCH(C75&amp;$BC$4,DogInfo!A:A,0),2),0)),IFERROR(INDEX($C$5:$W$54,MATCH(C75,$C$5:$C$54,0),5),0),IF(AND(IFERROR(INDEX(DogInfo!A:B,MATCH(C75&amp;$BC$4,DogInfo!A:A,0),2),0)&gt;=IFERROR(INDEX($C$5:$W$54,MATCH(C75,$C$5:$C$54,0),5),0),IFERROR(INDEX(DogInfo!A:B,MATCH(C75&amp;$BC$4,DogInfo!A:A,0),2),0)&gt;=G75),IFERROR(INDEX(DogInfo!A:B,MATCH(C75&amp;$BC$4,DogInfo!A:A,0),2),0),"Error"))),IFERROR(INDEX($C$5:$BE$54,MATCH(C75,$C$5:$C$54,0),53),IFERROR(INDEX(DogInfo!A:B,MATCH(C75&amp;$BC$4,DogInfo!A:A,0),2),0))),"")</f>
        <v>0</v>
      </c>
      <c r="BD75" s="274">
        <f>_xlfn.IFNA(IF(Q75="Pass",IF(AND(O75&gt;=IFERROR(INDEX($C$5:$W$54,MATCH(C75,$C$5:$C$54,0),13),0),O75&gt;=IFERROR(INDEX(DogInfo!A:B,MATCH(C75&amp;$BD$4,DogInfo!A:A,0),2),0)),O75,IF(AND(IFERROR(INDEX($C$5:$W$54,MATCH(C75,$C$5:$C$54,0),13),0)&gt;=O75,IFERROR(INDEX($C$5:$W$54,MATCH(C75,$C$5:$C$54,0),13),0)&gt;=IFERROR(INDEX(DogInfo!A:B,MATCH(C75&amp;$BD$4,DogInfo!A:A,0),2),0)),IFERROR(INDEX($C$5:$W$54,MATCH(C75,$C$5:$C$54,0),13),0),IF(AND(IFERROR(INDEX(DogInfo!A:B,MATCH(C75&amp;$BD$4,DogInfo!A:A,0),2),0)&gt;=IFERROR(INDEX($C$5:$W$54,MATCH(C75,$C$5:$C$54,0),13),0),IFERROR(INDEX(DogInfo!A:B,MATCH(C75&amp;$BD$4,DogInfo!A:A,0),2),0)&gt;=O75),IFERROR(INDEX(DogInfo!A:B,MATCH(C75&amp;$BD$4,DogInfo!A:A,0),2),0),"Error"))),IFERROR(INDEX($C$5:$BE$54,MATCH(C75,$C$5:$C$54,0),54),IFERROR(INDEX(DogInfo!A:B,MATCH(C75&amp;$BD$4,DogInfo!A:A,0),2),0))),"")</f>
        <v>0</v>
      </c>
      <c r="BE75" s="274">
        <f>_xlfn.IFNA(IF(Y75="Pass",IF(AND(W75&gt;=IFERROR(INDEX($C$5:$W$54,MATCH(C75,$C$5:$C$54,0),21),0),O75&gt;=IFERROR(INDEX(DogInfo!A:B,MATCH(C75&amp;$BE$4,DogInfo!A:A,0),2),0)),W75,IF(AND(IFERROR(INDEX($C$5:$W$54,MATCH(C75,$C$5:$C$54,0),21),0)&gt;=W75,IFERROR(INDEX($C$5:$W$54,MATCH(C75,$C$5:$C$54,0),21),0)&gt;=IFERROR(INDEX(DogInfo!A:B,MATCH(C75&amp;$BE$4,DogInfo!A:A,0),2),0)),IFERROR(INDEX($C$5:$W$54,MATCH(C75,$C$5:$C$54,0),21),0),IF(AND(IFERROR(INDEX(DogInfo!A:B,MATCH(C75&amp;$BE$4,DogInfo!A:A,0),2),0)&gt;=IFERROR(INDEX($C$5:$W$54,MATCH(C75,$C$5:$C$54,0),21),0),IFERROR(INDEX(DogInfo!A:B,MATCH(C75&amp;$BE$4,DogInfo!A:A,0),2),0)&gt;=W75),IFERROR(INDEX(DogInfo!A:B,MATCH(C75&amp;$BE$4,DogInfo!A:A,0),2),0),"Error"))),IFERROR(INDEX($C$5:$BE$54,MATCH(C75,$C$5:$C$54,0),55),IFERROR(INDEX(DogInfo!A:B,MATCH(C75&amp;$BE$4,DogInfo!A:A,0),2),0))),"")</f>
        <v>0</v>
      </c>
    </row>
    <row r="76" spans="1:57" x14ac:dyDescent="0.25">
      <c r="A76" s="99">
        <v>12</v>
      </c>
      <c r="B76" s="239"/>
      <c r="C76" s="283"/>
      <c r="D76" s="102" t="str">
        <f>IF($C76="","",VLOOKUP($C76,'SDDA Dogs'!$A:$F,2,FALSE))</f>
        <v/>
      </c>
      <c r="E76" s="211">
        <f t="shared" si="72"/>
        <v>1</v>
      </c>
      <c r="F76" s="103" t="str">
        <f>IF($C76="","",IF(ISERROR(VLOOKUP($C76,$C$5:$AP$54,38,FALSE)=TRUE),VLOOKUP($C76,'SDDA Dogs'!$A:$O,13,FALSE),VLOOKUP($C76,$C$5:$AP$54,38,FALSE)))</f>
        <v/>
      </c>
      <c r="G76" s="241"/>
      <c r="H76" s="284"/>
      <c r="I76" s="84" t="str">
        <f t="shared" si="73"/>
        <v/>
      </c>
      <c r="J76" s="105">
        <f t="shared" si="57"/>
        <v>0</v>
      </c>
      <c r="K76" s="84" t="str">
        <f t="shared" si="74"/>
        <v/>
      </c>
      <c r="L76" s="105">
        <f t="shared" si="58"/>
        <v>0</v>
      </c>
      <c r="M76" s="84" t="str">
        <f t="shared" si="75"/>
        <v/>
      </c>
      <c r="N76" s="106" t="str">
        <f>IF($C76="","",IF(ISERROR(VLOOKUP($C76,$C$5:$AP$54,39,FALSE)=TRUE),VLOOKUP($C76,'SDDA Dogs'!$A:$O,14,FALSE),VLOOKUP($C76,$C$5:$AP$54,39,FALSE)))</f>
        <v/>
      </c>
      <c r="O76" s="241"/>
      <c r="P76" s="284"/>
      <c r="Q76" s="84" t="str">
        <f t="shared" si="76"/>
        <v/>
      </c>
      <c r="R76" s="105">
        <f t="shared" si="59"/>
        <v>0</v>
      </c>
      <c r="S76" s="84" t="str">
        <f t="shared" si="77"/>
        <v/>
      </c>
      <c r="T76" s="105">
        <f t="shared" si="60"/>
        <v>0</v>
      </c>
      <c r="U76" s="84" t="str">
        <f t="shared" si="78"/>
        <v/>
      </c>
      <c r="V76" s="106" t="str">
        <f>IF($C76="","",IF(ISERROR(VLOOKUP($C76,$C$5:$AP$54,40,FALSE)=TRUE),VLOOKUP($C76,'SDDA Dogs'!$A:$O,15,FALSE),VLOOKUP($C76,$C$5:$AP$54,40,FALSE)))</f>
        <v/>
      </c>
      <c r="W76" s="241"/>
      <c r="X76" s="284"/>
      <c r="Y76" s="84" t="str">
        <f t="shared" si="79"/>
        <v/>
      </c>
      <c r="Z76" s="105">
        <f t="shared" si="61"/>
        <v>0</v>
      </c>
      <c r="AA76" s="84" t="str">
        <f t="shared" si="80"/>
        <v/>
      </c>
      <c r="AB76" s="105">
        <f t="shared" si="62"/>
        <v>0</v>
      </c>
      <c r="AC76" s="84" t="str">
        <f t="shared" si="81"/>
        <v/>
      </c>
      <c r="AD76" s="92" t="str">
        <f t="shared" si="82"/>
        <v/>
      </c>
      <c r="AE76" s="89" t="str">
        <f t="shared" si="83"/>
        <v/>
      </c>
      <c r="AF76" s="104" t="str">
        <f t="shared" si="84"/>
        <v/>
      </c>
      <c r="AG76" s="107" t="str">
        <f t="shared" si="85"/>
        <v/>
      </c>
      <c r="AH76" s="92" t="str">
        <f t="shared" si="86"/>
        <v/>
      </c>
      <c r="AI76" s="89" t="str">
        <f t="shared" si="87"/>
        <v/>
      </c>
      <c r="AJ76" s="104" t="str">
        <f t="shared" si="88"/>
        <v/>
      </c>
      <c r="AK76" s="84" t="str">
        <f t="shared" si="89"/>
        <v/>
      </c>
      <c r="AL76" s="264" t="str">
        <f t="shared" si="90"/>
        <v/>
      </c>
      <c r="AM76" s="270">
        <f t="shared" si="91"/>
        <v>0</v>
      </c>
      <c r="AN76" s="270" t="str">
        <f t="shared" si="92"/>
        <v/>
      </c>
      <c r="AO76" s="270" t="str">
        <f t="shared" si="93"/>
        <v/>
      </c>
      <c r="AP76" s="270" t="str">
        <f t="shared" si="94"/>
        <v/>
      </c>
      <c r="AQ76" s="270">
        <f t="shared" si="95"/>
        <v>0</v>
      </c>
      <c r="AR76" s="316">
        <f>MIN(IFERROR(VLOOKUP($C76,'SDDA Dogs'!$A:$O,10,FALSE),0),IFERROR(VLOOKUP($C76,'SDDA Dogs'!$A:$O,11,FALSE),0),IFERROR(VLOOKUP($C76,'SDDA Dogs'!$A:$O,12,FALSE),0))</f>
        <v>0</v>
      </c>
      <c r="AS76" s="272"/>
      <c r="AT76" s="272"/>
      <c r="AU76" s="272" t="str">
        <f>IF(ISERROR(VLOOKUP(C76,'SDDA Dogs'!A:O,6,FALSE)),"",VLOOKUP(C76,'SDDA Dogs'!A:O,6,FALSE))</f>
        <v/>
      </c>
      <c r="AV76" s="270">
        <f t="shared" si="96"/>
        <v>0</v>
      </c>
      <c r="AW76" s="270">
        <f t="shared" si="97"/>
        <v>0</v>
      </c>
      <c r="AX76" s="273">
        <f t="shared" si="98"/>
        <v>0</v>
      </c>
      <c r="AY76" s="274"/>
      <c r="AZ76" s="275">
        <f t="shared" si="70"/>
        <v>0</v>
      </c>
      <c r="BA76" s="275">
        <f t="shared" si="71"/>
        <v>0</v>
      </c>
      <c r="BB76" s="276"/>
      <c r="BC76" s="274">
        <f>_xlfn.IFNA(IF(I76="Pass",IF(AND(G76&gt;=IFERROR(INDEX($C$5:$W$54,MATCH(C76,$C$5:$C$54,0),5),0),G76&gt;=IFERROR(INDEX(DogInfo!A:B,MATCH(C76&amp;$BC$4,DogInfo!A:A,0),2),0)),G76,IF(AND(IFERROR(INDEX($C$5:$W$54,MATCH(C76,$C$5:$C$54,0),5),0)&gt;=G76,IFERROR(INDEX($C$5:$W$54,MATCH(C76,$C$5:$C$54,0),5),0)&gt;=IFERROR(INDEX(DogInfo!A:B,MATCH(C76&amp;$BC$4,DogInfo!A:A,0),2),0)),IFERROR(INDEX($C$5:$W$54,MATCH(C76,$C$5:$C$54,0),5),0),IF(AND(IFERROR(INDEX(DogInfo!A:B,MATCH(C76&amp;$BC$4,DogInfo!A:A,0),2),0)&gt;=IFERROR(INDEX($C$5:$W$54,MATCH(C76,$C$5:$C$54,0),5),0),IFERROR(INDEX(DogInfo!A:B,MATCH(C76&amp;$BC$4,DogInfo!A:A,0),2),0)&gt;=G76),IFERROR(INDEX(DogInfo!A:B,MATCH(C76&amp;$BC$4,DogInfo!A:A,0),2),0),"Error"))),IFERROR(INDEX($C$5:$BE$54,MATCH(C76,$C$5:$C$54,0),53),IFERROR(INDEX(DogInfo!A:B,MATCH(C76&amp;$BC$4,DogInfo!A:A,0),2),0))),"")</f>
        <v>0</v>
      </c>
      <c r="BD76" s="274">
        <f>_xlfn.IFNA(IF(Q76="Pass",IF(AND(O76&gt;=IFERROR(INDEX($C$5:$W$54,MATCH(C76,$C$5:$C$54,0),13),0),O76&gt;=IFERROR(INDEX(DogInfo!A:B,MATCH(C76&amp;$BD$4,DogInfo!A:A,0),2),0)),O76,IF(AND(IFERROR(INDEX($C$5:$W$54,MATCH(C76,$C$5:$C$54,0),13),0)&gt;=O76,IFERROR(INDEX($C$5:$W$54,MATCH(C76,$C$5:$C$54,0),13),0)&gt;=IFERROR(INDEX(DogInfo!A:B,MATCH(C76&amp;$BD$4,DogInfo!A:A,0),2),0)),IFERROR(INDEX($C$5:$W$54,MATCH(C76,$C$5:$C$54,0),13),0),IF(AND(IFERROR(INDEX(DogInfo!A:B,MATCH(C76&amp;$BD$4,DogInfo!A:A,0),2),0)&gt;=IFERROR(INDEX($C$5:$W$54,MATCH(C76,$C$5:$C$54,0),13),0),IFERROR(INDEX(DogInfo!A:B,MATCH(C76&amp;$BD$4,DogInfo!A:A,0),2),0)&gt;=O76),IFERROR(INDEX(DogInfo!A:B,MATCH(C76&amp;$BD$4,DogInfo!A:A,0),2),0),"Error"))),IFERROR(INDEX($C$5:$BE$54,MATCH(C76,$C$5:$C$54,0),54),IFERROR(INDEX(DogInfo!A:B,MATCH(C76&amp;$BD$4,DogInfo!A:A,0),2),0))),"")</f>
        <v>0</v>
      </c>
      <c r="BE76" s="274">
        <f>_xlfn.IFNA(IF(Y76="Pass",IF(AND(W76&gt;=IFERROR(INDEX($C$5:$W$54,MATCH(C76,$C$5:$C$54,0),21),0),O76&gt;=IFERROR(INDEX(DogInfo!A:B,MATCH(C76&amp;$BE$4,DogInfo!A:A,0),2),0)),W76,IF(AND(IFERROR(INDEX($C$5:$W$54,MATCH(C76,$C$5:$C$54,0),21),0)&gt;=W76,IFERROR(INDEX($C$5:$W$54,MATCH(C76,$C$5:$C$54,0),21),0)&gt;=IFERROR(INDEX(DogInfo!A:B,MATCH(C76&amp;$BE$4,DogInfo!A:A,0),2),0)),IFERROR(INDEX($C$5:$W$54,MATCH(C76,$C$5:$C$54,0),21),0),IF(AND(IFERROR(INDEX(DogInfo!A:B,MATCH(C76&amp;$BE$4,DogInfo!A:A,0),2),0)&gt;=IFERROR(INDEX($C$5:$W$54,MATCH(C76,$C$5:$C$54,0),21),0),IFERROR(INDEX(DogInfo!A:B,MATCH(C76&amp;$BE$4,DogInfo!A:A,0),2),0)&gt;=W76),IFERROR(INDEX(DogInfo!A:B,MATCH(C76&amp;$BE$4,DogInfo!A:A,0),2),0),"Error"))),IFERROR(INDEX($C$5:$BE$54,MATCH(C76,$C$5:$C$54,0),55),IFERROR(INDEX(DogInfo!A:B,MATCH(C76&amp;$BE$4,DogInfo!A:A,0),2),0))),"")</f>
        <v>0</v>
      </c>
    </row>
    <row r="77" spans="1:57" x14ac:dyDescent="0.25">
      <c r="A77" s="99">
        <v>13</v>
      </c>
      <c r="B77" s="239"/>
      <c r="C77" s="283"/>
      <c r="D77" s="102" t="str">
        <f>IF($C77="","",VLOOKUP($C77,'SDDA Dogs'!$A:$F,2,FALSE))</f>
        <v/>
      </c>
      <c r="E77" s="211">
        <f t="shared" si="72"/>
        <v>1</v>
      </c>
      <c r="F77" s="103" t="str">
        <f>IF($C77="","",IF(ISERROR(VLOOKUP($C77,$C$5:$AP$54,38,FALSE)=TRUE),VLOOKUP($C77,'SDDA Dogs'!$A:$O,13,FALSE),VLOOKUP($C77,$C$5:$AP$54,38,FALSE)))</f>
        <v/>
      </c>
      <c r="G77" s="241"/>
      <c r="H77" s="284"/>
      <c r="I77" s="84" t="str">
        <f t="shared" si="73"/>
        <v/>
      </c>
      <c r="J77" s="105">
        <f t="shared" si="57"/>
        <v>0</v>
      </c>
      <c r="K77" s="84" t="str">
        <f t="shared" si="74"/>
        <v/>
      </c>
      <c r="L77" s="105">
        <f t="shared" si="58"/>
        <v>0</v>
      </c>
      <c r="M77" s="84" t="str">
        <f t="shared" si="75"/>
        <v/>
      </c>
      <c r="N77" s="106" t="str">
        <f>IF($C77="","",IF(ISERROR(VLOOKUP($C77,$C$5:$AP$54,39,FALSE)=TRUE),VLOOKUP($C77,'SDDA Dogs'!$A:$O,14,FALSE),VLOOKUP($C77,$C$5:$AP$54,39,FALSE)))</f>
        <v/>
      </c>
      <c r="O77" s="241"/>
      <c r="P77" s="284"/>
      <c r="Q77" s="84" t="str">
        <f t="shared" si="76"/>
        <v/>
      </c>
      <c r="R77" s="105">
        <f t="shared" si="59"/>
        <v>0</v>
      </c>
      <c r="S77" s="84" t="str">
        <f t="shared" si="77"/>
        <v/>
      </c>
      <c r="T77" s="105">
        <f t="shared" si="60"/>
        <v>0</v>
      </c>
      <c r="U77" s="84" t="str">
        <f t="shared" si="78"/>
        <v/>
      </c>
      <c r="V77" s="106" t="str">
        <f>IF($C77="","",IF(ISERROR(VLOOKUP($C77,$C$5:$AP$54,40,FALSE)=TRUE),VLOOKUP($C77,'SDDA Dogs'!$A:$O,15,FALSE),VLOOKUP($C77,$C$5:$AP$54,40,FALSE)))</f>
        <v/>
      </c>
      <c r="W77" s="241"/>
      <c r="X77" s="284"/>
      <c r="Y77" s="84" t="str">
        <f t="shared" si="79"/>
        <v/>
      </c>
      <c r="Z77" s="105">
        <f t="shared" si="61"/>
        <v>0</v>
      </c>
      <c r="AA77" s="84" t="str">
        <f t="shared" si="80"/>
        <v/>
      </c>
      <c r="AB77" s="105">
        <f t="shared" si="62"/>
        <v>0</v>
      </c>
      <c r="AC77" s="84" t="str">
        <f t="shared" si="81"/>
        <v/>
      </c>
      <c r="AD77" s="92" t="str">
        <f t="shared" si="82"/>
        <v/>
      </c>
      <c r="AE77" s="89" t="str">
        <f t="shared" si="83"/>
        <v/>
      </c>
      <c r="AF77" s="104" t="str">
        <f t="shared" si="84"/>
        <v/>
      </c>
      <c r="AG77" s="107" t="str">
        <f t="shared" si="85"/>
        <v/>
      </c>
      <c r="AH77" s="92" t="str">
        <f t="shared" si="86"/>
        <v/>
      </c>
      <c r="AI77" s="89" t="str">
        <f t="shared" si="87"/>
        <v/>
      </c>
      <c r="AJ77" s="104" t="str">
        <f t="shared" si="88"/>
        <v/>
      </c>
      <c r="AK77" s="84" t="str">
        <f t="shared" si="89"/>
        <v/>
      </c>
      <c r="AL77" s="264" t="str">
        <f t="shared" si="90"/>
        <v/>
      </c>
      <c r="AM77" s="270">
        <f t="shared" si="91"/>
        <v>0</v>
      </c>
      <c r="AN77" s="270" t="str">
        <f t="shared" si="92"/>
        <v/>
      </c>
      <c r="AO77" s="270" t="str">
        <f t="shared" si="93"/>
        <v/>
      </c>
      <c r="AP77" s="270" t="str">
        <f t="shared" si="94"/>
        <v/>
      </c>
      <c r="AQ77" s="270">
        <f t="shared" si="95"/>
        <v>0</v>
      </c>
      <c r="AR77" s="316">
        <f>MIN(IFERROR(VLOOKUP($C77,'SDDA Dogs'!$A:$O,10,FALSE),0),IFERROR(VLOOKUP($C77,'SDDA Dogs'!$A:$O,11,FALSE),0),IFERROR(VLOOKUP($C77,'SDDA Dogs'!$A:$O,12,FALSE),0))</f>
        <v>0</v>
      </c>
      <c r="AS77" s="272"/>
      <c r="AT77" s="272"/>
      <c r="AU77" s="272" t="str">
        <f>IF(ISERROR(VLOOKUP(C77,'SDDA Dogs'!A:O,6,FALSE)),"",VLOOKUP(C77,'SDDA Dogs'!A:O,6,FALSE))</f>
        <v/>
      </c>
      <c r="AV77" s="270">
        <f t="shared" si="96"/>
        <v>0</v>
      </c>
      <c r="AW77" s="270">
        <f t="shared" si="97"/>
        <v>0</v>
      </c>
      <c r="AX77" s="273">
        <f t="shared" si="98"/>
        <v>0</v>
      </c>
      <c r="AY77" s="274"/>
      <c r="AZ77" s="275">
        <f t="shared" si="70"/>
        <v>0</v>
      </c>
      <c r="BA77" s="275">
        <f t="shared" si="71"/>
        <v>0</v>
      </c>
      <c r="BB77" s="276"/>
      <c r="BC77" s="274">
        <f>_xlfn.IFNA(IF(I77="Pass",IF(AND(G77&gt;=IFERROR(INDEX($C$5:$W$54,MATCH(C77,$C$5:$C$54,0),5),0),G77&gt;=IFERROR(INDEX(DogInfo!A:B,MATCH(C77&amp;$BC$4,DogInfo!A:A,0),2),0)),G77,IF(AND(IFERROR(INDEX($C$5:$W$54,MATCH(C77,$C$5:$C$54,0),5),0)&gt;=G77,IFERROR(INDEX($C$5:$W$54,MATCH(C77,$C$5:$C$54,0),5),0)&gt;=IFERROR(INDEX(DogInfo!A:B,MATCH(C77&amp;$BC$4,DogInfo!A:A,0),2),0)),IFERROR(INDEX($C$5:$W$54,MATCH(C77,$C$5:$C$54,0),5),0),IF(AND(IFERROR(INDEX(DogInfo!A:B,MATCH(C77&amp;$BC$4,DogInfo!A:A,0),2),0)&gt;=IFERROR(INDEX($C$5:$W$54,MATCH(C77,$C$5:$C$54,0),5),0),IFERROR(INDEX(DogInfo!A:B,MATCH(C77&amp;$BC$4,DogInfo!A:A,0),2),0)&gt;=G77),IFERROR(INDEX(DogInfo!A:B,MATCH(C77&amp;$BC$4,DogInfo!A:A,0),2),0),"Error"))),IFERROR(INDEX($C$5:$BE$54,MATCH(C77,$C$5:$C$54,0),53),IFERROR(INDEX(DogInfo!A:B,MATCH(C77&amp;$BC$4,DogInfo!A:A,0),2),0))),"")</f>
        <v>0</v>
      </c>
      <c r="BD77" s="274">
        <f>_xlfn.IFNA(IF(Q77="Pass",IF(AND(O77&gt;=IFERROR(INDEX($C$5:$W$54,MATCH(C77,$C$5:$C$54,0),13),0),O77&gt;=IFERROR(INDEX(DogInfo!A:B,MATCH(C77&amp;$BD$4,DogInfo!A:A,0),2),0)),O77,IF(AND(IFERROR(INDEX($C$5:$W$54,MATCH(C77,$C$5:$C$54,0),13),0)&gt;=O77,IFERROR(INDEX($C$5:$W$54,MATCH(C77,$C$5:$C$54,0),13),0)&gt;=IFERROR(INDEX(DogInfo!A:B,MATCH(C77&amp;$BD$4,DogInfo!A:A,0),2),0)),IFERROR(INDEX($C$5:$W$54,MATCH(C77,$C$5:$C$54,0),13),0),IF(AND(IFERROR(INDEX(DogInfo!A:B,MATCH(C77&amp;$BD$4,DogInfo!A:A,0),2),0)&gt;=IFERROR(INDEX($C$5:$W$54,MATCH(C77,$C$5:$C$54,0),13),0),IFERROR(INDEX(DogInfo!A:B,MATCH(C77&amp;$BD$4,DogInfo!A:A,0),2),0)&gt;=O77),IFERROR(INDEX(DogInfo!A:B,MATCH(C77&amp;$BD$4,DogInfo!A:A,0),2),0),"Error"))),IFERROR(INDEX($C$5:$BE$54,MATCH(C77,$C$5:$C$54,0),54),IFERROR(INDEX(DogInfo!A:B,MATCH(C77&amp;$BD$4,DogInfo!A:A,0),2),0))),"")</f>
        <v>0</v>
      </c>
      <c r="BE77" s="274">
        <f>_xlfn.IFNA(IF(Y77="Pass",IF(AND(W77&gt;=IFERROR(INDEX($C$5:$W$54,MATCH(C77,$C$5:$C$54,0),21),0),O77&gt;=IFERROR(INDEX(DogInfo!A:B,MATCH(C77&amp;$BE$4,DogInfo!A:A,0),2),0)),W77,IF(AND(IFERROR(INDEX($C$5:$W$54,MATCH(C77,$C$5:$C$54,0),21),0)&gt;=W77,IFERROR(INDEX($C$5:$W$54,MATCH(C77,$C$5:$C$54,0),21),0)&gt;=IFERROR(INDEX(DogInfo!A:B,MATCH(C77&amp;$BE$4,DogInfo!A:A,0),2),0)),IFERROR(INDEX($C$5:$W$54,MATCH(C77,$C$5:$C$54,0),21),0),IF(AND(IFERROR(INDEX(DogInfo!A:B,MATCH(C77&amp;$BE$4,DogInfo!A:A,0),2),0)&gt;=IFERROR(INDEX($C$5:$W$54,MATCH(C77,$C$5:$C$54,0),21),0),IFERROR(INDEX(DogInfo!A:B,MATCH(C77&amp;$BE$4,DogInfo!A:A,0),2),0)&gt;=W77),IFERROR(INDEX(DogInfo!A:B,MATCH(C77&amp;$BE$4,DogInfo!A:A,0),2),0),"Error"))),IFERROR(INDEX($C$5:$BE$54,MATCH(C77,$C$5:$C$54,0),55),IFERROR(INDEX(DogInfo!A:B,MATCH(C77&amp;$BE$4,DogInfo!A:A,0),2),0))),"")</f>
        <v>0</v>
      </c>
    </row>
    <row r="78" spans="1:57" x14ac:dyDescent="0.25">
      <c r="A78" s="99">
        <v>14</v>
      </c>
      <c r="B78" s="239"/>
      <c r="C78" s="283"/>
      <c r="D78" s="102" t="str">
        <f>IF($C78="","",VLOOKUP($C78,'SDDA Dogs'!$A:$F,2,FALSE))</f>
        <v/>
      </c>
      <c r="E78" s="211">
        <f t="shared" si="72"/>
        <v>1</v>
      </c>
      <c r="F78" s="103" t="str">
        <f>IF($C78="","",IF(ISERROR(VLOOKUP($C78,$C$5:$AP$54,38,FALSE)=TRUE),VLOOKUP($C78,'SDDA Dogs'!$A:$O,13,FALSE),VLOOKUP($C78,$C$5:$AP$54,38,FALSE)))</f>
        <v/>
      </c>
      <c r="G78" s="241"/>
      <c r="H78" s="284"/>
      <c r="I78" s="84" t="str">
        <f t="shared" si="73"/>
        <v/>
      </c>
      <c r="J78" s="105">
        <f t="shared" si="57"/>
        <v>0</v>
      </c>
      <c r="K78" s="84" t="str">
        <f t="shared" si="74"/>
        <v/>
      </c>
      <c r="L78" s="105">
        <f t="shared" si="58"/>
        <v>0</v>
      </c>
      <c r="M78" s="84" t="str">
        <f t="shared" si="75"/>
        <v/>
      </c>
      <c r="N78" s="106" t="str">
        <f>IF($C78="","",IF(ISERROR(VLOOKUP($C78,$C$5:$AP$54,39,FALSE)=TRUE),VLOOKUP($C78,'SDDA Dogs'!$A:$O,14,FALSE),VLOOKUP($C78,$C$5:$AP$54,39,FALSE)))</f>
        <v/>
      </c>
      <c r="O78" s="241"/>
      <c r="P78" s="284"/>
      <c r="Q78" s="84" t="str">
        <f t="shared" si="76"/>
        <v/>
      </c>
      <c r="R78" s="105">
        <f t="shared" si="59"/>
        <v>0</v>
      </c>
      <c r="S78" s="84" t="str">
        <f t="shared" si="77"/>
        <v/>
      </c>
      <c r="T78" s="105">
        <f t="shared" si="60"/>
        <v>0</v>
      </c>
      <c r="U78" s="84" t="str">
        <f t="shared" si="78"/>
        <v/>
      </c>
      <c r="V78" s="106" t="str">
        <f>IF($C78="","",IF(ISERROR(VLOOKUP($C78,$C$5:$AP$54,40,FALSE)=TRUE),VLOOKUP($C78,'SDDA Dogs'!$A:$O,15,FALSE),VLOOKUP($C78,$C$5:$AP$54,40,FALSE)))</f>
        <v/>
      </c>
      <c r="W78" s="241"/>
      <c r="X78" s="284"/>
      <c r="Y78" s="84" t="str">
        <f t="shared" si="79"/>
        <v/>
      </c>
      <c r="Z78" s="105">
        <f t="shared" si="61"/>
        <v>0</v>
      </c>
      <c r="AA78" s="84" t="str">
        <f t="shared" si="80"/>
        <v/>
      </c>
      <c r="AB78" s="105">
        <f t="shared" si="62"/>
        <v>0</v>
      </c>
      <c r="AC78" s="84" t="str">
        <f t="shared" si="81"/>
        <v/>
      </c>
      <c r="AD78" s="92" t="str">
        <f t="shared" si="82"/>
        <v/>
      </c>
      <c r="AE78" s="89" t="str">
        <f t="shared" si="83"/>
        <v/>
      </c>
      <c r="AF78" s="104" t="str">
        <f t="shared" si="84"/>
        <v/>
      </c>
      <c r="AG78" s="107" t="str">
        <f t="shared" si="85"/>
        <v/>
      </c>
      <c r="AH78" s="92" t="str">
        <f t="shared" si="86"/>
        <v/>
      </c>
      <c r="AI78" s="89" t="str">
        <f t="shared" si="87"/>
        <v/>
      </c>
      <c r="AJ78" s="104" t="str">
        <f t="shared" si="88"/>
        <v/>
      </c>
      <c r="AK78" s="84" t="str">
        <f t="shared" si="89"/>
        <v/>
      </c>
      <c r="AL78" s="264" t="str">
        <f t="shared" si="90"/>
        <v/>
      </c>
      <c r="AM78" s="270">
        <f t="shared" si="91"/>
        <v>0</v>
      </c>
      <c r="AN78" s="270" t="str">
        <f t="shared" si="92"/>
        <v/>
      </c>
      <c r="AO78" s="270" t="str">
        <f t="shared" si="93"/>
        <v/>
      </c>
      <c r="AP78" s="270" t="str">
        <f t="shared" si="94"/>
        <v/>
      </c>
      <c r="AQ78" s="270">
        <f t="shared" si="95"/>
        <v>0</v>
      </c>
      <c r="AR78" s="316">
        <f>MIN(IFERROR(VLOOKUP($C78,'SDDA Dogs'!$A:$O,10,FALSE),0),IFERROR(VLOOKUP($C78,'SDDA Dogs'!$A:$O,11,FALSE),0),IFERROR(VLOOKUP($C78,'SDDA Dogs'!$A:$O,12,FALSE),0))</f>
        <v>0</v>
      </c>
      <c r="AS78" s="272"/>
      <c r="AT78" s="272"/>
      <c r="AU78" s="272" t="str">
        <f>IF(ISERROR(VLOOKUP(C78,'SDDA Dogs'!A:O,6,FALSE)),"",VLOOKUP(C78,'SDDA Dogs'!A:O,6,FALSE))</f>
        <v/>
      </c>
      <c r="AV78" s="270">
        <f t="shared" si="96"/>
        <v>0</v>
      </c>
      <c r="AW78" s="270">
        <f t="shared" si="97"/>
        <v>0</v>
      </c>
      <c r="AX78" s="273">
        <f t="shared" si="98"/>
        <v>0</v>
      </c>
      <c r="AY78" s="274"/>
      <c r="AZ78" s="275">
        <f t="shared" si="70"/>
        <v>0</v>
      </c>
      <c r="BA78" s="275">
        <f t="shared" si="71"/>
        <v>0</v>
      </c>
      <c r="BB78" s="276"/>
      <c r="BC78" s="274">
        <f>_xlfn.IFNA(IF(I78="Pass",IF(AND(G78&gt;=IFERROR(INDEX($C$5:$W$54,MATCH(C78,$C$5:$C$54,0),5),0),G78&gt;=IFERROR(INDEX(DogInfo!A:B,MATCH(C78&amp;$BC$4,DogInfo!A:A,0),2),0)),G78,IF(AND(IFERROR(INDEX($C$5:$W$54,MATCH(C78,$C$5:$C$54,0),5),0)&gt;=G78,IFERROR(INDEX($C$5:$W$54,MATCH(C78,$C$5:$C$54,0),5),0)&gt;=IFERROR(INDEX(DogInfo!A:B,MATCH(C78&amp;$BC$4,DogInfo!A:A,0),2),0)),IFERROR(INDEX($C$5:$W$54,MATCH(C78,$C$5:$C$54,0),5),0),IF(AND(IFERROR(INDEX(DogInfo!A:B,MATCH(C78&amp;$BC$4,DogInfo!A:A,0),2),0)&gt;=IFERROR(INDEX($C$5:$W$54,MATCH(C78,$C$5:$C$54,0),5),0),IFERROR(INDEX(DogInfo!A:B,MATCH(C78&amp;$BC$4,DogInfo!A:A,0),2),0)&gt;=G78),IFERROR(INDEX(DogInfo!A:B,MATCH(C78&amp;$BC$4,DogInfo!A:A,0),2),0),"Error"))),IFERROR(INDEX($C$5:$BE$54,MATCH(C78,$C$5:$C$54,0),53),IFERROR(INDEX(DogInfo!A:B,MATCH(C78&amp;$BC$4,DogInfo!A:A,0),2),0))),"")</f>
        <v>0</v>
      </c>
      <c r="BD78" s="274">
        <f>_xlfn.IFNA(IF(Q78="Pass",IF(AND(O78&gt;=IFERROR(INDEX($C$5:$W$54,MATCH(C78,$C$5:$C$54,0),13),0),O78&gt;=IFERROR(INDEX(DogInfo!A:B,MATCH(C78&amp;$BD$4,DogInfo!A:A,0),2),0)),O78,IF(AND(IFERROR(INDEX($C$5:$W$54,MATCH(C78,$C$5:$C$54,0),13),0)&gt;=O78,IFERROR(INDEX($C$5:$W$54,MATCH(C78,$C$5:$C$54,0),13),0)&gt;=IFERROR(INDEX(DogInfo!A:B,MATCH(C78&amp;$BD$4,DogInfo!A:A,0),2),0)),IFERROR(INDEX($C$5:$W$54,MATCH(C78,$C$5:$C$54,0),13),0),IF(AND(IFERROR(INDEX(DogInfo!A:B,MATCH(C78&amp;$BD$4,DogInfo!A:A,0),2),0)&gt;=IFERROR(INDEX($C$5:$W$54,MATCH(C78,$C$5:$C$54,0),13),0),IFERROR(INDEX(DogInfo!A:B,MATCH(C78&amp;$BD$4,DogInfo!A:A,0),2),0)&gt;=O78),IFERROR(INDEX(DogInfo!A:B,MATCH(C78&amp;$BD$4,DogInfo!A:A,0),2),0),"Error"))),IFERROR(INDEX($C$5:$BE$54,MATCH(C78,$C$5:$C$54,0),54),IFERROR(INDEX(DogInfo!A:B,MATCH(C78&amp;$BD$4,DogInfo!A:A,0),2),0))),"")</f>
        <v>0</v>
      </c>
      <c r="BE78" s="274">
        <f>_xlfn.IFNA(IF(Y78="Pass",IF(AND(W78&gt;=IFERROR(INDEX($C$5:$W$54,MATCH(C78,$C$5:$C$54,0),21),0),O78&gt;=IFERROR(INDEX(DogInfo!A:B,MATCH(C78&amp;$BE$4,DogInfo!A:A,0),2),0)),W78,IF(AND(IFERROR(INDEX($C$5:$W$54,MATCH(C78,$C$5:$C$54,0),21),0)&gt;=W78,IFERROR(INDEX($C$5:$W$54,MATCH(C78,$C$5:$C$54,0),21),0)&gt;=IFERROR(INDEX(DogInfo!A:B,MATCH(C78&amp;$BE$4,DogInfo!A:A,0),2),0)),IFERROR(INDEX($C$5:$W$54,MATCH(C78,$C$5:$C$54,0),21),0),IF(AND(IFERROR(INDEX(DogInfo!A:B,MATCH(C78&amp;$BE$4,DogInfo!A:A,0),2),0)&gt;=IFERROR(INDEX($C$5:$W$54,MATCH(C78,$C$5:$C$54,0),21),0),IFERROR(INDEX(DogInfo!A:B,MATCH(C78&amp;$BE$4,DogInfo!A:A,0),2),0)&gt;=W78),IFERROR(INDEX(DogInfo!A:B,MATCH(C78&amp;$BE$4,DogInfo!A:A,0),2),0),"Error"))),IFERROR(INDEX($C$5:$BE$54,MATCH(C78,$C$5:$C$54,0),55),IFERROR(INDEX(DogInfo!A:B,MATCH(C78&amp;$BE$4,DogInfo!A:A,0),2),0))),"")</f>
        <v>0</v>
      </c>
    </row>
    <row r="79" spans="1:57" x14ac:dyDescent="0.25">
      <c r="A79" s="99">
        <v>15</v>
      </c>
      <c r="B79" s="239"/>
      <c r="C79" s="283"/>
      <c r="D79" s="102" t="str">
        <f>IF($C79="","",VLOOKUP($C79,'SDDA Dogs'!$A:$F,2,FALSE))</f>
        <v/>
      </c>
      <c r="E79" s="211">
        <f t="shared" si="72"/>
        <v>1</v>
      </c>
      <c r="F79" s="103" t="str">
        <f>IF($C79="","",IF(ISERROR(VLOOKUP($C79,$C$5:$AP$54,38,FALSE)=TRUE),VLOOKUP($C79,'SDDA Dogs'!$A:$O,13,FALSE),VLOOKUP($C79,$C$5:$AP$54,38,FALSE)))</f>
        <v/>
      </c>
      <c r="G79" s="241"/>
      <c r="H79" s="284"/>
      <c r="I79" s="84" t="str">
        <f t="shared" si="73"/>
        <v/>
      </c>
      <c r="J79" s="105">
        <f t="shared" si="57"/>
        <v>0</v>
      </c>
      <c r="K79" s="84" t="str">
        <f t="shared" si="74"/>
        <v/>
      </c>
      <c r="L79" s="105">
        <f t="shared" si="58"/>
        <v>0</v>
      </c>
      <c r="M79" s="84" t="str">
        <f t="shared" si="75"/>
        <v/>
      </c>
      <c r="N79" s="106" t="str">
        <f>IF($C79="","",IF(ISERROR(VLOOKUP($C79,$C$5:$AP$54,39,FALSE)=TRUE),VLOOKUP($C79,'SDDA Dogs'!$A:$O,14,FALSE),VLOOKUP($C79,$C$5:$AP$54,39,FALSE)))</f>
        <v/>
      </c>
      <c r="O79" s="241"/>
      <c r="P79" s="284"/>
      <c r="Q79" s="84" t="str">
        <f t="shared" si="76"/>
        <v/>
      </c>
      <c r="R79" s="105">
        <f t="shared" si="59"/>
        <v>0</v>
      </c>
      <c r="S79" s="84" t="str">
        <f t="shared" si="77"/>
        <v/>
      </c>
      <c r="T79" s="105">
        <f t="shared" si="60"/>
        <v>0</v>
      </c>
      <c r="U79" s="84" t="str">
        <f t="shared" si="78"/>
        <v/>
      </c>
      <c r="V79" s="106" t="str">
        <f>IF($C79="","",IF(ISERROR(VLOOKUP($C79,$C$5:$AP$54,40,FALSE)=TRUE),VLOOKUP($C79,'SDDA Dogs'!$A:$O,15,FALSE),VLOOKUP($C79,$C$5:$AP$54,40,FALSE)))</f>
        <v/>
      </c>
      <c r="W79" s="241"/>
      <c r="X79" s="284"/>
      <c r="Y79" s="84" t="str">
        <f t="shared" si="79"/>
        <v/>
      </c>
      <c r="Z79" s="105">
        <f t="shared" si="61"/>
        <v>0</v>
      </c>
      <c r="AA79" s="84" t="str">
        <f t="shared" si="80"/>
        <v/>
      </c>
      <c r="AB79" s="105">
        <f t="shared" si="62"/>
        <v>0</v>
      </c>
      <c r="AC79" s="84" t="str">
        <f t="shared" si="81"/>
        <v/>
      </c>
      <c r="AD79" s="92" t="str">
        <f t="shared" si="82"/>
        <v/>
      </c>
      <c r="AE79" s="89" t="str">
        <f t="shared" si="83"/>
        <v/>
      </c>
      <c r="AF79" s="104" t="str">
        <f t="shared" si="84"/>
        <v/>
      </c>
      <c r="AG79" s="107" t="str">
        <f t="shared" si="85"/>
        <v/>
      </c>
      <c r="AH79" s="92" t="str">
        <f t="shared" si="86"/>
        <v/>
      </c>
      <c r="AI79" s="89" t="str">
        <f t="shared" si="87"/>
        <v/>
      </c>
      <c r="AJ79" s="104" t="str">
        <f t="shared" si="88"/>
        <v/>
      </c>
      <c r="AK79" s="84" t="str">
        <f t="shared" si="89"/>
        <v/>
      </c>
      <c r="AL79" s="264" t="str">
        <f t="shared" si="90"/>
        <v/>
      </c>
      <c r="AM79" s="270">
        <f t="shared" si="91"/>
        <v>0</v>
      </c>
      <c r="AN79" s="270" t="str">
        <f t="shared" si="92"/>
        <v/>
      </c>
      <c r="AO79" s="270" t="str">
        <f t="shared" si="93"/>
        <v/>
      </c>
      <c r="AP79" s="270" t="str">
        <f t="shared" si="94"/>
        <v/>
      </c>
      <c r="AQ79" s="270">
        <f t="shared" si="95"/>
        <v>0</v>
      </c>
      <c r="AR79" s="316">
        <f>MIN(IFERROR(VLOOKUP($C79,'SDDA Dogs'!$A:$O,10,FALSE),0),IFERROR(VLOOKUP($C79,'SDDA Dogs'!$A:$O,11,FALSE),0),IFERROR(VLOOKUP($C79,'SDDA Dogs'!$A:$O,12,FALSE),0))</f>
        <v>0</v>
      </c>
      <c r="AS79" s="272"/>
      <c r="AT79" s="272"/>
      <c r="AU79" s="272" t="str">
        <f>IF(ISERROR(VLOOKUP(C79,'SDDA Dogs'!A:O,6,FALSE)),"",VLOOKUP(C79,'SDDA Dogs'!A:O,6,FALSE))</f>
        <v/>
      </c>
      <c r="AV79" s="270">
        <f t="shared" si="96"/>
        <v>0</v>
      </c>
      <c r="AW79" s="270">
        <f t="shared" si="97"/>
        <v>0</v>
      </c>
      <c r="AX79" s="273">
        <f t="shared" si="98"/>
        <v>0</v>
      </c>
      <c r="AY79" s="274"/>
      <c r="AZ79" s="275">
        <f t="shared" si="70"/>
        <v>0</v>
      </c>
      <c r="BA79" s="275">
        <f t="shared" si="71"/>
        <v>0</v>
      </c>
      <c r="BB79" s="276"/>
      <c r="BC79" s="274">
        <f>_xlfn.IFNA(IF(I79="Pass",IF(AND(G79&gt;=IFERROR(INDEX($C$5:$W$54,MATCH(C79,$C$5:$C$54,0),5),0),G79&gt;=IFERROR(INDEX(DogInfo!A:B,MATCH(C79&amp;$BC$4,DogInfo!A:A,0),2),0)),G79,IF(AND(IFERROR(INDEX($C$5:$W$54,MATCH(C79,$C$5:$C$54,0),5),0)&gt;=G79,IFERROR(INDEX($C$5:$W$54,MATCH(C79,$C$5:$C$54,0),5),0)&gt;=IFERROR(INDEX(DogInfo!A:B,MATCH(C79&amp;$BC$4,DogInfo!A:A,0),2),0)),IFERROR(INDEX($C$5:$W$54,MATCH(C79,$C$5:$C$54,0),5),0),IF(AND(IFERROR(INDEX(DogInfo!A:B,MATCH(C79&amp;$BC$4,DogInfo!A:A,0),2),0)&gt;=IFERROR(INDEX($C$5:$W$54,MATCH(C79,$C$5:$C$54,0),5),0),IFERROR(INDEX(DogInfo!A:B,MATCH(C79&amp;$BC$4,DogInfo!A:A,0),2),0)&gt;=G79),IFERROR(INDEX(DogInfo!A:B,MATCH(C79&amp;$BC$4,DogInfo!A:A,0),2),0),"Error"))),IFERROR(INDEX($C$5:$BE$54,MATCH(C79,$C$5:$C$54,0),53),IFERROR(INDEX(DogInfo!A:B,MATCH(C79&amp;$BC$4,DogInfo!A:A,0),2),0))),"")</f>
        <v>0</v>
      </c>
      <c r="BD79" s="274">
        <f>_xlfn.IFNA(IF(Q79="Pass",IF(AND(O79&gt;=IFERROR(INDEX($C$5:$W$54,MATCH(C79,$C$5:$C$54,0),13),0),O79&gt;=IFERROR(INDEX(DogInfo!A:B,MATCH(C79&amp;$BD$4,DogInfo!A:A,0),2),0)),O79,IF(AND(IFERROR(INDEX($C$5:$W$54,MATCH(C79,$C$5:$C$54,0),13),0)&gt;=O79,IFERROR(INDEX($C$5:$W$54,MATCH(C79,$C$5:$C$54,0),13),0)&gt;=IFERROR(INDEX(DogInfo!A:B,MATCH(C79&amp;$BD$4,DogInfo!A:A,0),2),0)),IFERROR(INDEX($C$5:$W$54,MATCH(C79,$C$5:$C$54,0),13),0),IF(AND(IFERROR(INDEX(DogInfo!A:B,MATCH(C79&amp;$BD$4,DogInfo!A:A,0),2),0)&gt;=IFERROR(INDEX($C$5:$W$54,MATCH(C79,$C$5:$C$54,0),13),0),IFERROR(INDEX(DogInfo!A:B,MATCH(C79&amp;$BD$4,DogInfo!A:A,0),2),0)&gt;=O79),IFERROR(INDEX(DogInfo!A:B,MATCH(C79&amp;$BD$4,DogInfo!A:A,0),2),0),"Error"))),IFERROR(INDEX($C$5:$BE$54,MATCH(C79,$C$5:$C$54,0),54),IFERROR(INDEX(DogInfo!A:B,MATCH(C79&amp;$BD$4,DogInfo!A:A,0),2),0))),"")</f>
        <v>0</v>
      </c>
      <c r="BE79" s="274">
        <f>_xlfn.IFNA(IF(Y79="Pass",IF(AND(W79&gt;=IFERROR(INDEX($C$5:$W$54,MATCH(C79,$C$5:$C$54,0),21),0),O79&gt;=IFERROR(INDEX(DogInfo!A:B,MATCH(C79&amp;$BE$4,DogInfo!A:A,0),2),0)),W79,IF(AND(IFERROR(INDEX($C$5:$W$54,MATCH(C79,$C$5:$C$54,0),21),0)&gt;=W79,IFERROR(INDEX($C$5:$W$54,MATCH(C79,$C$5:$C$54,0),21),0)&gt;=IFERROR(INDEX(DogInfo!A:B,MATCH(C79&amp;$BE$4,DogInfo!A:A,0),2),0)),IFERROR(INDEX($C$5:$W$54,MATCH(C79,$C$5:$C$54,0),21),0),IF(AND(IFERROR(INDEX(DogInfo!A:B,MATCH(C79&amp;$BE$4,DogInfo!A:A,0),2),0)&gt;=IFERROR(INDEX($C$5:$W$54,MATCH(C79,$C$5:$C$54,0),21),0),IFERROR(INDEX(DogInfo!A:B,MATCH(C79&amp;$BE$4,DogInfo!A:A,0),2),0)&gt;=W79),IFERROR(INDEX(DogInfo!A:B,MATCH(C79&amp;$BE$4,DogInfo!A:A,0),2),0),"Error"))),IFERROR(INDEX($C$5:$BE$54,MATCH(C79,$C$5:$C$54,0),55),IFERROR(INDEX(DogInfo!A:B,MATCH(C79&amp;$BE$4,DogInfo!A:A,0),2),0))),"")</f>
        <v>0</v>
      </c>
    </row>
    <row r="80" spans="1:57" x14ac:dyDescent="0.25">
      <c r="A80" s="99">
        <v>16</v>
      </c>
      <c r="B80" s="239"/>
      <c r="C80" s="283"/>
      <c r="D80" s="102" t="str">
        <f>IF($C80="","",VLOOKUP($C80,'SDDA Dogs'!$A:$F,2,FALSE))</f>
        <v/>
      </c>
      <c r="E80" s="211">
        <f t="shared" si="72"/>
        <v>1</v>
      </c>
      <c r="F80" s="103" t="str">
        <f>IF($C80="","",IF(ISERROR(VLOOKUP($C80,$C$5:$AP$54,38,FALSE)=TRUE),VLOOKUP($C80,'SDDA Dogs'!$A:$O,13,FALSE),VLOOKUP($C80,$C$5:$AP$54,38,FALSE)))</f>
        <v/>
      </c>
      <c r="G80" s="241"/>
      <c r="H80" s="284"/>
      <c r="I80" s="84" t="str">
        <f t="shared" si="73"/>
        <v/>
      </c>
      <c r="J80" s="105">
        <f t="shared" si="57"/>
        <v>0</v>
      </c>
      <c r="K80" s="84" t="str">
        <f t="shared" si="74"/>
        <v/>
      </c>
      <c r="L80" s="105">
        <f t="shared" si="58"/>
        <v>0</v>
      </c>
      <c r="M80" s="84" t="str">
        <f t="shared" si="75"/>
        <v/>
      </c>
      <c r="N80" s="106" t="str">
        <f>IF($C80="","",IF(ISERROR(VLOOKUP($C80,$C$5:$AP$54,39,FALSE)=TRUE),VLOOKUP($C80,'SDDA Dogs'!$A:$O,14,FALSE),VLOOKUP($C80,$C$5:$AP$54,39,FALSE)))</f>
        <v/>
      </c>
      <c r="O80" s="241"/>
      <c r="P80" s="284"/>
      <c r="Q80" s="84" t="str">
        <f t="shared" si="76"/>
        <v/>
      </c>
      <c r="R80" s="105">
        <f t="shared" si="59"/>
        <v>0</v>
      </c>
      <c r="S80" s="84" t="str">
        <f t="shared" si="77"/>
        <v/>
      </c>
      <c r="T80" s="105">
        <f t="shared" si="60"/>
        <v>0</v>
      </c>
      <c r="U80" s="84" t="str">
        <f t="shared" si="78"/>
        <v/>
      </c>
      <c r="V80" s="106" t="str">
        <f>IF($C80="","",IF(ISERROR(VLOOKUP($C80,$C$5:$AP$54,40,FALSE)=TRUE),VLOOKUP($C80,'SDDA Dogs'!$A:$O,15,FALSE),VLOOKUP($C80,$C$5:$AP$54,40,FALSE)))</f>
        <v/>
      </c>
      <c r="W80" s="241"/>
      <c r="X80" s="284"/>
      <c r="Y80" s="84" t="str">
        <f t="shared" si="79"/>
        <v/>
      </c>
      <c r="Z80" s="105">
        <f t="shared" si="61"/>
        <v>0</v>
      </c>
      <c r="AA80" s="84" t="str">
        <f t="shared" si="80"/>
        <v/>
      </c>
      <c r="AB80" s="105">
        <f t="shared" si="62"/>
        <v>0</v>
      </c>
      <c r="AC80" s="84" t="str">
        <f t="shared" si="81"/>
        <v/>
      </c>
      <c r="AD80" s="92" t="str">
        <f t="shared" si="82"/>
        <v/>
      </c>
      <c r="AE80" s="89" t="str">
        <f t="shared" si="83"/>
        <v/>
      </c>
      <c r="AF80" s="104" t="str">
        <f t="shared" si="84"/>
        <v/>
      </c>
      <c r="AG80" s="107" t="str">
        <f t="shared" si="85"/>
        <v/>
      </c>
      <c r="AH80" s="92" t="str">
        <f t="shared" si="86"/>
        <v/>
      </c>
      <c r="AI80" s="89" t="str">
        <f t="shared" si="87"/>
        <v/>
      </c>
      <c r="AJ80" s="104" t="str">
        <f t="shared" si="88"/>
        <v/>
      </c>
      <c r="AK80" s="84" t="str">
        <f t="shared" si="89"/>
        <v/>
      </c>
      <c r="AL80" s="264" t="str">
        <f t="shared" si="90"/>
        <v/>
      </c>
      <c r="AM80" s="270">
        <f t="shared" si="91"/>
        <v>0</v>
      </c>
      <c r="AN80" s="270" t="str">
        <f t="shared" si="92"/>
        <v/>
      </c>
      <c r="AO80" s="270" t="str">
        <f t="shared" si="93"/>
        <v/>
      </c>
      <c r="AP80" s="270" t="str">
        <f t="shared" si="94"/>
        <v/>
      </c>
      <c r="AQ80" s="270">
        <f t="shared" si="95"/>
        <v>0</v>
      </c>
      <c r="AR80" s="316">
        <f>MIN(IFERROR(VLOOKUP($C80,'SDDA Dogs'!$A:$O,10,FALSE),0),IFERROR(VLOOKUP($C80,'SDDA Dogs'!$A:$O,11,FALSE),0),IFERROR(VLOOKUP($C80,'SDDA Dogs'!$A:$O,12,FALSE),0))</f>
        <v>0</v>
      </c>
      <c r="AS80" s="272"/>
      <c r="AT80" s="272"/>
      <c r="AU80" s="272" t="str">
        <f>IF(ISERROR(VLOOKUP(C80,'SDDA Dogs'!A:O,6,FALSE)),"",VLOOKUP(C80,'SDDA Dogs'!A:O,6,FALSE))</f>
        <v/>
      </c>
      <c r="AV80" s="270">
        <f t="shared" si="96"/>
        <v>0</v>
      </c>
      <c r="AW80" s="270">
        <f t="shared" si="97"/>
        <v>0</v>
      </c>
      <c r="AX80" s="273">
        <f t="shared" si="98"/>
        <v>0</v>
      </c>
      <c r="AY80" s="274"/>
      <c r="AZ80" s="275">
        <f t="shared" si="70"/>
        <v>0</v>
      </c>
      <c r="BA80" s="275">
        <f t="shared" si="71"/>
        <v>0</v>
      </c>
      <c r="BB80" s="276"/>
      <c r="BC80" s="274">
        <f>_xlfn.IFNA(IF(I80="Pass",IF(AND(G80&gt;=IFERROR(INDEX($C$5:$W$54,MATCH(C80,$C$5:$C$54,0),5),0),G80&gt;=IFERROR(INDEX(DogInfo!A:B,MATCH(C80&amp;$BC$4,DogInfo!A:A,0),2),0)),G80,IF(AND(IFERROR(INDEX($C$5:$W$54,MATCH(C80,$C$5:$C$54,0),5),0)&gt;=G80,IFERROR(INDEX($C$5:$W$54,MATCH(C80,$C$5:$C$54,0),5),0)&gt;=IFERROR(INDEX(DogInfo!A:B,MATCH(C80&amp;$BC$4,DogInfo!A:A,0),2),0)),IFERROR(INDEX($C$5:$W$54,MATCH(C80,$C$5:$C$54,0),5),0),IF(AND(IFERROR(INDEX(DogInfo!A:B,MATCH(C80&amp;$BC$4,DogInfo!A:A,0),2),0)&gt;=IFERROR(INDEX($C$5:$W$54,MATCH(C80,$C$5:$C$54,0),5),0),IFERROR(INDEX(DogInfo!A:B,MATCH(C80&amp;$BC$4,DogInfo!A:A,0),2),0)&gt;=G80),IFERROR(INDEX(DogInfo!A:B,MATCH(C80&amp;$BC$4,DogInfo!A:A,0),2),0),"Error"))),IFERROR(INDEX($C$5:$BE$54,MATCH(C80,$C$5:$C$54,0),53),IFERROR(INDEX(DogInfo!A:B,MATCH(C80&amp;$BC$4,DogInfo!A:A,0),2),0))),"")</f>
        <v>0</v>
      </c>
      <c r="BD80" s="274">
        <f>_xlfn.IFNA(IF(Q80="Pass",IF(AND(O80&gt;=IFERROR(INDEX($C$5:$W$54,MATCH(C80,$C$5:$C$54,0),13),0),O80&gt;=IFERROR(INDEX(DogInfo!A:B,MATCH(C80&amp;$BD$4,DogInfo!A:A,0),2),0)),O80,IF(AND(IFERROR(INDEX($C$5:$W$54,MATCH(C80,$C$5:$C$54,0),13),0)&gt;=O80,IFERROR(INDEX($C$5:$W$54,MATCH(C80,$C$5:$C$54,0),13),0)&gt;=IFERROR(INDEX(DogInfo!A:B,MATCH(C80&amp;$BD$4,DogInfo!A:A,0),2),0)),IFERROR(INDEX($C$5:$W$54,MATCH(C80,$C$5:$C$54,0),13),0),IF(AND(IFERROR(INDEX(DogInfo!A:B,MATCH(C80&amp;$BD$4,DogInfo!A:A,0),2),0)&gt;=IFERROR(INDEX($C$5:$W$54,MATCH(C80,$C$5:$C$54,0),13),0),IFERROR(INDEX(DogInfo!A:B,MATCH(C80&amp;$BD$4,DogInfo!A:A,0),2),0)&gt;=O80),IFERROR(INDEX(DogInfo!A:B,MATCH(C80&amp;$BD$4,DogInfo!A:A,0),2),0),"Error"))),IFERROR(INDEX($C$5:$BE$54,MATCH(C80,$C$5:$C$54,0),54),IFERROR(INDEX(DogInfo!A:B,MATCH(C80&amp;$BD$4,DogInfo!A:A,0),2),0))),"")</f>
        <v>0</v>
      </c>
      <c r="BE80" s="274">
        <f>_xlfn.IFNA(IF(Y80="Pass",IF(AND(W80&gt;=IFERROR(INDEX($C$5:$W$54,MATCH(C80,$C$5:$C$54,0),21),0),O80&gt;=IFERROR(INDEX(DogInfo!A:B,MATCH(C80&amp;$BE$4,DogInfo!A:A,0),2),0)),W80,IF(AND(IFERROR(INDEX($C$5:$W$54,MATCH(C80,$C$5:$C$54,0),21),0)&gt;=W80,IFERROR(INDEX($C$5:$W$54,MATCH(C80,$C$5:$C$54,0),21),0)&gt;=IFERROR(INDEX(DogInfo!A:B,MATCH(C80&amp;$BE$4,DogInfo!A:A,0),2),0)),IFERROR(INDEX($C$5:$W$54,MATCH(C80,$C$5:$C$54,0),21),0),IF(AND(IFERROR(INDEX(DogInfo!A:B,MATCH(C80&amp;$BE$4,DogInfo!A:A,0),2),0)&gt;=IFERROR(INDEX($C$5:$W$54,MATCH(C80,$C$5:$C$54,0),21),0),IFERROR(INDEX(DogInfo!A:B,MATCH(C80&amp;$BE$4,DogInfo!A:A,0),2),0)&gt;=W80),IFERROR(INDEX(DogInfo!A:B,MATCH(C80&amp;$BE$4,DogInfo!A:A,0),2),0),"Error"))),IFERROR(INDEX($C$5:$BE$54,MATCH(C80,$C$5:$C$54,0),55),IFERROR(INDEX(DogInfo!A:B,MATCH(C80&amp;$BE$4,DogInfo!A:A,0),2),0))),"")</f>
        <v>0</v>
      </c>
    </row>
    <row r="81" spans="1:57" x14ac:dyDescent="0.25">
      <c r="A81" s="99">
        <v>17</v>
      </c>
      <c r="B81" s="239"/>
      <c r="C81" s="283"/>
      <c r="D81" s="102" t="str">
        <f>IF($C81="","",VLOOKUP($C81,'SDDA Dogs'!$A:$F,2,FALSE))</f>
        <v/>
      </c>
      <c r="E81" s="211">
        <f t="shared" si="72"/>
        <v>1</v>
      </c>
      <c r="F81" s="103" t="str">
        <f>IF($C81="","",IF(ISERROR(VLOOKUP($C81,$C$5:$AP$54,38,FALSE)=TRUE),VLOOKUP($C81,'SDDA Dogs'!$A:$O,13,FALSE),VLOOKUP($C81,$C$5:$AP$54,38,FALSE)))</f>
        <v/>
      </c>
      <c r="G81" s="241"/>
      <c r="H81" s="284"/>
      <c r="I81" s="84" t="str">
        <f t="shared" si="73"/>
        <v/>
      </c>
      <c r="J81" s="105">
        <f t="shared" si="57"/>
        <v>0</v>
      </c>
      <c r="K81" s="84" t="str">
        <f t="shared" si="74"/>
        <v/>
      </c>
      <c r="L81" s="105">
        <f t="shared" si="58"/>
        <v>0</v>
      </c>
      <c r="M81" s="84" t="str">
        <f t="shared" si="75"/>
        <v/>
      </c>
      <c r="N81" s="106" t="str">
        <f>IF($C81="","",IF(ISERROR(VLOOKUP($C81,$C$5:$AP$54,39,FALSE)=TRUE),VLOOKUP($C81,'SDDA Dogs'!$A:$O,14,FALSE),VLOOKUP($C81,$C$5:$AP$54,39,FALSE)))</f>
        <v/>
      </c>
      <c r="O81" s="241"/>
      <c r="P81" s="284"/>
      <c r="Q81" s="84" t="str">
        <f t="shared" si="76"/>
        <v/>
      </c>
      <c r="R81" s="105">
        <f t="shared" si="59"/>
        <v>0</v>
      </c>
      <c r="S81" s="84" t="str">
        <f t="shared" si="77"/>
        <v/>
      </c>
      <c r="T81" s="105">
        <f t="shared" si="60"/>
        <v>0</v>
      </c>
      <c r="U81" s="84" t="str">
        <f t="shared" si="78"/>
        <v/>
      </c>
      <c r="V81" s="106" t="str">
        <f>IF($C81="","",IF(ISERROR(VLOOKUP($C81,$C$5:$AP$54,40,FALSE)=TRUE),VLOOKUP($C81,'SDDA Dogs'!$A:$O,15,FALSE),VLOOKUP($C81,$C$5:$AP$54,40,FALSE)))</f>
        <v/>
      </c>
      <c r="W81" s="241"/>
      <c r="X81" s="284"/>
      <c r="Y81" s="84" t="str">
        <f t="shared" si="79"/>
        <v/>
      </c>
      <c r="Z81" s="105">
        <f t="shared" si="61"/>
        <v>0</v>
      </c>
      <c r="AA81" s="84" t="str">
        <f t="shared" si="80"/>
        <v/>
      </c>
      <c r="AB81" s="105">
        <f t="shared" si="62"/>
        <v>0</v>
      </c>
      <c r="AC81" s="84" t="str">
        <f t="shared" si="81"/>
        <v/>
      </c>
      <c r="AD81" s="92" t="str">
        <f t="shared" si="82"/>
        <v/>
      </c>
      <c r="AE81" s="89" t="str">
        <f t="shared" si="83"/>
        <v/>
      </c>
      <c r="AF81" s="104" t="str">
        <f t="shared" si="84"/>
        <v/>
      </c>
      <c r="AG81" s="107" t="str">
        <f t="shared" si="85"/>
        <v/>
      </c>
      <c r="AH81" s="92" t="str">
        <f t="shared" si="86"/>
        <v/>
      </c>
      <c r="AI81" s="89" t="str">
        <f t="shared" si="87"/>
        <v/>
      </c>
      <c r="AJ81" s="104" t="str">
        <f t="shared" si="88"/>
        <v/>
      </c>
      <c r="AK81" s="84" t="str">
        <f t="shared" si="89"/>
        <v/>
      </c>
      <c r="AL81" s="264" t="str">
        <f t="shared" si="90"/>
        <v/>
      </c>
      <c r="AM81" s="270">
        <f t="shared" si="91"/>
        <v>0</v>
      </c>
      <c r="AN81" s="270" t="str">
        <f t="shared" si="92"/>
        <v/>
      </c>
      <c r="AO81" s="270" t="str">
        <f t="shared" si="93"/>
        <v/>
      </c>
      <c r="AP81" s="270" t="str">
        <f t="shared" si="94"/>
        <v/>
      </c>
      <c r="AQ81" s="270">
        <f t="shared" si="95"/>
        <v>0</v>
      </c>
      <c r="AR81" s="316">
        <f>MIN(IFERROR(VLOOKUP($C81,'SDDA Dogs'!$A:$O,10,FALSE),0),IFERROR(VLOOKUP($C81,'SDDA Dogs'!$A:$O,11,FALSE),0),IFERROR(VLOOKUP($C81,'SDDA Dogs'!$A:$O,12,FALSE),0))</f>
        <v>0</v>
      </c>
      <c r="AS81" s="272"/>
      <c r="AT81" s="272"/>
      <c r="AU81" s="272" t="str">
        <f>IF(ISERROR(VLOOKUP(C81,'SDDA Dogs'!A:O,6,FALSE)),"",VLOOKUP(C81,'SDDA Dogs'!A:O,6,FALSE))</f>
        <v/>
      </c>
      <c r="AV81" s="270">
        <f t="shared" si="96"/>
        <v>0</v>
      </c>
      <c r="AW81" s="270">
        <f t="shared" si="97"/>
        <v>0</v>
      </c>
      <c r="AX81" s="273">
        <f t="shared" si="98"/>
        <v>0</v>
      </c>
      <c r="AY81" s="274"/>
      <c r="AZ81" s="275">
        <f t="shared" si="70"/>
        <v>0</v>
      </c>
      <c r="BA81" s="275">
        <f t="shared" si="71"/>
        <v>0</v>
      </c>
      <c r="BB81" s="276"/>
      <c r="BC81" s="274">
        <f>_xlfn.IFNA(IF(I81="Pass",IF(AND(G81&gt;=IFERROR(INDEX($C$5:$W$54,MATCH(C81,$C$5:$C$54,0),5),0),G81&gt;=IFERROR(INDEX(DogInfo!A:B,MATCH(C81&amp;$BC$4,DogInfo!A:A,0),2),0)),G81,IF(AND(IFERROR(INDEX($C$5:$W$54,MATCH(C81,$C$5:$C$54,0),5),0)&gt;=G81,IFERROR(INDEX($C$5:$W$54,MATCH(C81,$C$5:$C$54,0),5),0)&gt;=IFERROR(INDEX(DogInfo!A:B,MATCH(C81&amp;$BC$4,DogInfo!A:A,0),2),0)),IFERROR(INDEX($C$5:$W$54,MATCH(C81,$C$5:$C$54,0),5),0),IF(AND(IFERROR(INDEX(DogInfo!A:B,MATCH(C81&amp;$BC$4,DogInfo!A:A,0),2),0)&gt;=IFERROR(INDEX($C$5:$W$54,MATCH(C81,$C$5:$C$54,0),5),0),IFERROR(INDEX(DogInfo!A:B,MATCH(C81&amp;$BC$4,DogInfo!A:A,0),2),0)&gt;=G81),IFERROR(INDEX(DogInfo!A:B,MATCH(C81&amp;$BC$4,DogInfo!A:A,0),2),0),"Error"))),IFERROR(INDEX($C$5:$BE$54,MATCH(C81,$C$5:$C$54,0),53),IFERROR(INDEX(DogInfo!A:B,MATCH(C81&amp;$BC$4,DogInfo!A:A,0),2),0))),"")</f>
        <v>0</v>
      </c>
      <c r="BD81" s="274">
        <f>_xlfn.IFNA(IF(Q81="Pass",IF(AND(O81&gt;=IFERROR(INDEX($C$5:$W$54,MATCH(C81,$C$5:$C$54,0),13),0),O81&gt;=IFERROR(INDEX(DogInfo!A:B,MATCH(C81&amp;$BD$4,DogInfo!A:A,0),2),0)),O81,IF(AND(IFERROR(INDEX($C$5:$W$54,MATCH(C81,$C$5:$C$54,0),13),0)&gt;=O81,IFERROR(INDEX($C$5:$W$54,MATCH(C81,$C$5:$C$54,0),13),0)&gt;=IFERROR(INDEX(DogInfo!A:B,MATCH(C81&amp;$BD$4,DogInfo!A:A,0),2),0)),IFERROR(INDEX($C$5:$W$54,MATCH(C81,$C$5:$C$54,0),13),0),IF(AND(IFERROR(INDEX(DogInfo!A:B,MATCH(C81&amp;$BD$4,DogInfo!A:A,0),2),0)&gt;=IFERROR(INDEX($C$5:$W$54,MATCH(C81,$C$5:$C$54,0),13),0),IFERROR(INDEX(DogInfo!A:B,MATCH(C81&amp;$BD$4,DogInfo!A:A,0),2),0)&gt;=O81),IFERROR(INDEX(DogInfo!A:B,MATCH(C81&amp;$BD$4,DogInfo!A:A,0),2),0),"Error"))),IFERROR(INDEX($C$5:$BE$54,MATCH(C81,$C$5:$C$54,0),54),IFERROR(INDEX(DogInfo!A:B,MATCH(C81&amp;$BD$4,DogInfo!A:A,0),2),0))),"")</f>
        <v>0</v>
      </c>
      <c r="BE81" s="274">
        <f>_xlfn.IFNA(IF(Y81="Pass",IF(AND(W81&gt;=IFERROR(INDEX($C$5:$W$54,MATCH(C81,$C$5:$C$54,0),21),0),O81&gt;=IFERROR(INDEX(DogInfo!A:B,MATCH(C81&amp;$BE$4,DogInfo!A:A,0),2),0)),W81,IF(AND(IFERROR(INDEX($C$5:$W$54,MATCH(C81,$C$5:$C$54,0),21),0)&gt;=W81,IFERROR(INDEX($C$5:$W$54,MATCH(C81,$C$5:$C$54,0),21),0)&gt;=IFERROR(INDEX(DogInfo!A:B,MATCH(C81&amp;$BE$4,DogInfo!A:A,0),2),0)),IFERROR(INDEX($C$5:$W$54,MATCH(C81,$C$5:$C$54,0),21),0),IF(AND(IFERROR(INDEX(DogInfo!A:B,MATCH(C81&amp;$BE$4,DogInfo!A:A,0),2),0)&gt;=IFERROR(INDEX($C$5:$W$54,MATCH(C81,$C$5:$C$54,0),21),0),IFERROR(INDEX(DogInfo!A:B,MATCH(C81&amp;$BE$4,DogInfo!A:A,0),2),0)&gt;=W81),IFERROR(INDEX(DogInfo!A:B,MATCH(C81&amp;$BE$4,DogInfo!A:A,0),2),0),"Error"))),IFERROR(INDEX($C$5:$BE$54,MATCH(C81,$C$5:$C$54,0),55),IFERROR(INDEX(DogInfo!A:B,MATCH(C81&amp;$BE$4,DogInfo!A:A,0),2),0))),"")</f>
        <v>0</v>
      </c>
    </row>
    <row r="82" spans="1:57" x14ac:dyDescent="0.25">
      <c r="A82" s="99">
        <v>18</v>
      </c>
      <c r="B82" s="239"/>
      <c r="C82" s="283"/>
      <c r="D82" s="102" t="str">
        <f>IF($C82="","",VLOOKUP($C82,'SDDA Dogs'!$A:$F,2,FALSE))</f>
        <v/>
      </c>
      <c r="E82" s="211">
        <f t="shared" si="72"/>
        <v>1</v>
      </c>
      <c r="F82" s="103" t="str">
        <f>IF($C82="","",IF(ISERROR(VLOOKUP($C82,$C$5:$AP$54,38,FALSE)=TRUE),VLOOKUP($C82,'SDDA Dogs'!$A:$O,13,FALSE),VLOOKUP($C82,$C$5:$AP$54,38,FALSE)))</f>
        <v/>
      </c>
      <c r="G82" s="241"/>
      <c r="H82" s="284"/>
      <c r="I82" s="84" t="str">
        <f t="shared" si="73"/>
        <v/>
      </c>
      <c r="J82" s="105">
        <f t="shared" si="57"/>
        <v>0</v>
      </c>
      <c r="K82" s="84" t="str">
        <f t="shared" si="74"/>
        <v/>
      </c>
      <c r="L82" s="105">
        <f t="shared" si="58"/>
        <v>0</v>
      </c>
      <c r="M82" s="84" t="str">
        <f t="shared" si="75"/>
        <v/>
      </c>
      <c r="N82" s="106" t="str">
        <f>IF($C82="","",IF(ISERROR(VLOOKUP($C82,$C$5:$AP$54,39,FALSE)=TRUE),VLOOKUP($C82,'SDDA Dogs'!$A:$O,14,FALSE),VLOOKUP($C82,$C$5:$AP$54,39,FALSE)))</f>
        <v/>
      </c>
      <c r="O82" s="241"/>
      <c r="P82" s="284"/>
      <c r="Q82" s="84" t="str">
        <f t="shared" si="76"/>
        <v/>
      </c>
      <c r="R82" s="105">
        <f t="shared" si="59"/>
        <v>0</v>
      </c>
      <c r="S82" s="84" t="str">
        <f t="shared" si="77"/>
        <v/>
      </c>
      <c r="T82" s="105">
        <f t="shared" si="60"/>
        <v>0</v>
      </c>
      <c r="U82" s="84" t="str">
        <f t="shared" si="78"/>
        <v/>
      </c>
      <c r="V82" s="106" t="str">
        <f>IF($C82="","",IF(ISERROR(VLOOKUP($C82,$C$5:$AP$54,40,FALSE)=TRUE),VLOOKUP($C82,'SDDA Dogs'!$A:$O,15,FALSE),VLOOKUP($C82,$C$5:$AP$54,40,FALSE)))</f>
        <v/>
      </c>
      <c r="W82" s="241"/>
      <c r="X82" s="284"/>
      <c r="Y82" s="84" t="str">
        <f t="shared" si="79"/>
        <v/>
      </c>
      <c r="Z82" s="105">
        <f t="shared" si="61"/>
        <v>0</v>
      </c>
      <c r="AA82" s="84" t="str">
        <f t="shared" si="80"/>
        <v/>
      </c>
      <c r="AB82" s="105">
        <f t="shared" si="62"/>
        <v>0</v>
      </c>
      <c r="AC82" s="84" t="str">
        <f t="shared" si="81"/>
        <v/>
      </c>
      <c r="AD82" s="92" t="str">
        <f t="shared" si="82"/>
        <v/>
      </c>
      <c r="AE82" s="89" t="str">
        <f t="shared" si="83"/>
        <v/>
      </c>
      <c r="AF82" s="104" t="str">
        <f t="shared" si="84"/>
        <v/>
      </c>
      <c r="AG82" s="107" t="str">
        <f t="shared" si="85"/>
        <v/>
      </c>
      <c r="AH82" s="92" t="str">
        <f t="shared" si="86"/>
        <v/>
      </c>
      <c r="AI82" s="89" t="str">
        <f t="shared" si="87"/>
        <v/>
      </c>
      <c r="AJ82" s="104" t="str">
        <f t="shared" si="88"/>
        <v/>
      </c>
      <c r="AK82" s="84" t="str">
        <f t="shared" si="89"/>
        <v/>
      </c>
      <c r="AL82" s="264" t="str">
        <f t="shared" si="90"/>
        <v/>
      </c>
      <c r="AM82" s="270">
        <f t="shared" si="91"/>
        <v>0</v>
      </c>
      <c r="AN82" s="270" t="str">
        <f t="shared" si="92"/>
        <v/>
      </c>
      <c r="AO82" s="270" t="str">
        <f t="shared" si="93"/>
        <v/>
      </c>
      <c r="AP82" s="270" t="str">
        <f t="shared" si="94"/>
        <v/>
      </c>
      <c r="AQ82" s="270">
        <f t="shared" si="95"/>
        <v>0</v>
      </c>
      <c r="AR82" s="316">
        <f>MIN(IFERROR(VLOOKUP($C82,'SDDA Dogs'!$A:$O,10,FALSE),0),IFERROR(VLOOKUP($C82,'SDDA Dogs'!$A:$O,11,FALSE),0),IFERROR(VLOOKUP($C82,'SDDA Dogs'!$A:$O,12,FALSE),0))</f>
        <v>0</v>
      </c>
      <c r="AS82" s="272"/>
      <c r="AT82" s="272"/>
      <c r="AU82" s="272" t="str">
        <f>IF(ISERROR(VLOOKUP(C82,'SDDA Dogs'!A:O,6,FALSE)),"",VLOOKUP(C82,'SDDA Dogs'!A:O,6,FALSE))</f>
        <v/>
      </c>
      <c r="AV82" s="270">
        <f t="shared" si="96"/>
        <v>0</v>
      </c>
      <c r="AW82" s="270">
        <f t="shared" si="97"/>
        <v>0</v>
      </c>
      <c r="AX82" s="273">
        <f t="shared" si="98"/>
        <v>0</v>
      </c>
      <c r="AY82" s="274"/>
      <c r="AZ82" s="275">
        <f t="shared" si="70"/>
        <v>0</v>
      </c>
      <c r="BA82" s="275">
        <f t="shared" si="71"/>
        <v>0</v>
      </c>
      <c r="BB82" s="276"/>
      <c r="BC82" s="274">
        <f>_xlfn.IFNA(IF(I82="Pass",IF(AND(G82&gt;=IFERROR(INDEX($C$5:$W$54,MATCH(C82,$C$5:$C$54,0),5),0),G82&gt;=IFERROR(INDEX(DogInfo!A:B,MATCH(C82&amp;$BC$4,DogInfo!A:A,0),2),0)),G82,IF(AND(IFERROR(INDEX($C$5:$W$54,MATCH(C82,$C$5:$C$54,0),5),0)&gt;=G82,IFERROR(INDEX($C$5:$W$54,MATCH(C82,$C$5:$C$54,0),5),0)&gt;=IFERROR(INDEX(DogInfo!A:B,MATCH(C82&amp;$BC$4,DogInfo!A:A,0),2),0)),IFERROR(INDEX($C$5:$W$54,MATCH(C82,$C$5:$C$54,0),5),0),IF(AND(IFERROR(INDEX(DogInfo!A:B,MATCH(C82&amp;$BC$4,DogInfo!A:A,0),2),0)&gt;=IFERROR(INDEX($C$5:$W$54,MATCH(C82,$C$5:$C$54,0),5),0),IFERROR(INDEX(DogInfo!A:B,MATCH(C82&amp;$BC$4,DogInfo!A:A,0),2),0)&gt;=G82),IFERROR(INDEX(DogInfo!A:B,MATCH(C82&amp;$BC$4,DogInfo!A:A,0),2),0),"Error"))),IFERROR(INDEX($C$5:$BE$54,MATCH(C82,$C$5:$C$54,0),53),IFERROR(INDEX(DogInfo!A:B,MATCH(C82&amp;$BC$4,DogInfo!A:A,0),2),0))),"")</f>
        <v>0</v>
      </c>
      <c r="BD82" s="274">
        <f>_xlfn.IFNA(IF(Q82="Pass",IF(AND(O82&gt;=IFERROR(INDEX($C$5:$W$54,MATCH(C82,$C$5:$C$54,0),13),0),O82&gt;=IFERROR(INDEX(DogInfo!A:B,MATCH(C82&amp;$BD$4,DogInfo!A:A,0),2),0)),O82,IF(AND(IFERROR(INDEX($C$5:$W$54,MATCH(C82,$C$5:$C$54,0),13),0)&gt;=O82,IFERROR(INDEX($C$5:$W$54,MATCH(C82,$C$5:$C$54,0),13),0)&gt;=IFERROR(INDEX(DogInfo!A:B,MATCH(C82&amp;$BD$4,DogInfo!A:A,0),2),0)),IFERROR(INDEX($C$5:$W$54,MATCH(C82,$C$5:$C$54,0),13),0),IF(AND(IFERROR(INDEX(DogInfo!A:B,MATCH(C82&amp;$BD$4,DogInfo!A:A,0),2),0)&gt;=IFERROR(INDEX($C$5:$W$54,MATCH(C82,$C$5:$C$54,0),13),0),IFERROR(INDEX(DogInfo!A:B,MATCH(C82&amp;$BD$4,DogInfo!A:A,0),2),0)&gt;=O82),IFERROR(INDEX(DogInfo!A:B,MATCH(C82&amp;$BD$4,DogInfo!A:A,0),2),0),"Error"))),IFERROR(INDEX($C$5:$BE$54,MATCH(C82,$C$5:$C$54,0),54),IFERROR(INDEX(DogInfo!A:B,MATCH(C82&amp;$BD$4,DogInfo!A:A,0),2),0))),"")</f>
        <v>0</v>
      </c>
      <c r="BE82" s="274">
        <f>_xlfn.IFNA(IF(Y82="Pass",IF(AND(W82&gt;=IFERROR(INDEX($C$5:$W$54,MATCH(C82,$C$5:$C$54,0),21),0),O82&gt;=IFERROR(INDEX(DogInfo!A:B,MATCH(C82&amp;$BE$4,DogInfo!A:A,0),2),0)),W82,IF(AND(IFERROR(INDEX($C$5:$W$54,MATCH(C82,$C$5:$C$54,0),21),0)&gt;=W82,IFERROR(INDEX($C$5:$W$54,MATCH(C82,$C$5:$C$54,0),21),0)&gt;=IFERROR(INDEX(DogInfo!A:B,MATCH(C82&amp;$BE$4,DogInfo!A:A,0),2),0)),IFERROR(INDEX($C$5:$W$54,MATCH(C82,$C$5:$C$54,0),21),0),IF(AND(IFERROR(INDEX(DogInfo!A:B,MATCH(C82&amp;$BE$4,DogInfo!A:A,0),2),0)&gt;=IFERROR(INDEX($C$5:$W$54,MATCH(C82,$C$5:$C$54,0),21),0),IFERROR(INDEX(DogInfo!A:B,MATCH(C82&amp;$BE$4,DogInfo!A:A,0),2),0)&gt;=W82),IFERROR(INDEX(DogInfo!A:B,MATCH(C82&amp;$BE$4,DogInfo!A:A,0),2),0),"Error"))),IFERROR(INDEX($C$5:$BE$54,MATCH(C82,$C$5:$C$54,0),55),IFERROR(INDEX(DogInfo!A:B,MATCH(C82&amp;$BE$4,DogInfo!A:A,0),2),0))),"")</f>
        <v>0</v>
      </c>
    </row>
    <row r="83" spans="1:57" x14ac:dyDescent="0.25">
      <c r="A83" s="99">
        <v>19</v>
      </c>
      <c r="B83" s="239"/>
      <c r="C83" s="283"/>
      <c r="D83" s="102" t="str">
        <f>IF($C83="","",VLOOKUP($C83,'SDDA Dogs'!$A:$F,2,FALSE))</f>
        <v/>
      </c>
      <c r="E83" s="211">
        <f t="shared" si="72"/>
        <v>1</v>
      </c>
      <c r="F83" s="103" t="str">
        <f>IF($C83="","",IF(ISERROR(VLOOKUP($C83,$C$5:$AP$54,38,FALSE)=TRUE),VLOOKUP($C83,'SDDA Dogs'!$A:$O,13,FALSE),VLOOKUP($C83,$C$5:$AP$54,38,FALSE)))</f>
        <v/>
      </c>
      <c r="G83" s="241"/>
      <c r="H83" s="284"/>
      <c r="I83" s="84" t="str">
        <f t="shared" si="73"/>
        <v/>
      </c>
      <c r="J83" s="105">
        <f t="shared" si="57"/>
        <v>0</v>
      </c>
      <c r="K83" s="84" t="str">
        <f t="shared" si="74"/>
        <v/>
      </c>
      <c r="L83" s="105">
        <f t="shared" si="58"/>
        <v>0</v>
      </c>
      <c r="M83" s="84" t="str">
        <f t="shared" si="75"/>
        <v/>
      </c>
      <c r="N83" s="106" t="str">
        <f>IF($C83="","",IF(ISERROR(VLOOKUP($C83,$C$5:$AP$54,39,FALSE)=TRUE),VLOOKUP($C83,'SDDA Dogs'!$A:$O,14,FALSE),VLOOKUP($C83,$C$5:$AP$54,39,FALSE)))</f>
        <v/>
      </c>
      <c r="O83" s="241"/>
      <c r="P83" s="284"/>
      <c r="Q83" s="84" t="str">
        <f t="shared" si="76"/>
        <v/>
      </c>
      <c r="R83" s="105">
        <f t="shared" si="59"/>
        <v>0</v>
      </c>
      <c r="S83" s="84" t="str">
        <f t="shared" si="77"/>
        <v/>
      </c>
      <c r="T83" s="105">
        <f t="shared" si="60"/>
        <v>0</v>
      </c>
      <c r="U83" s="84" t="str">
        <f t="shared" si="78"/>
        <v/>
      </c>
      <c r="V83" s="106" t="str">
        <f>IF($C83="","",IF(ISERROR(VLOOKUP($C83,$C$5:$AP$54,40,FALSE)=TRUE),VLOOKUP($C83,'SDDA Dogs'!$A:$O,15,FALSE),VLOOKUP($C83,$C$5:$AP$54,40,FALSE)))</f>
        <v/>
      </c>
      <c r="W83" s="241"/>
      <c r="X83" s="284"/>
      <c r="Y83" s="84" t="str">
        <f t="shared" si="79"/>
        <v/>
      </c>
      <c r="Z83" s="105">
        <f t="shared" si="61"/>
        <v>0</v>
      </c>
      <c r="AA83" s="84" t="str">
        <f t="shared" si="80"/>
        <v/>
      </c>
      <c r="AB83" s="105">
        <f t="shared" si="62"/>
        <v>0</v>
      </c>
      <c r="AC83" s="84" t="str">
        <f t="shared" si="81"/>
        <v/>
      </c>
      <c r="AD83" s="92" t="str">
        <f t="shared" si="82"/>
        <v/>
      </c>
      <c r="AE83" s="89" t="str">
        <f t="shared" si="83"/>
        <v/>
      </c>
      <c r="AF83" s="104" t="str">
        <f t="shared" si="84"/>
        <v/>
      </c>
      <c r="AG83" s="107" t="str">
        <f t="shared" si="85"/>
        <v/>
      </c>
      <c r="AH83" s="92" t="str">
        <f t="shared" si="86"/>
        <v/>
      </c>
      <c r="AI83" s="89" t="str">
        <f t="shared" si="87"/>
        <v/>
      </c>
      <c r="AJ83" s="104" t="str">
        <f t="shared" si="88"/>
        <v/>
      </c>
      <c r="AK83" s="84" t="str">
        <f t="shared" si="89"/>
        <v/>
      </c>
      <c r="AL83" s="264" t="str">
        <f t="shared" si="90"/>
        <v/>
      </c>
      <c r="AM83" s="270">
        <f t="shared" si="91"/>
        <v>0</v>
      </c>
      <c r="AN83" s="270" t="str">
        <f t="shared" si="92"/>
        <v/>
      </c>
      <c r="AO83" s="270" t="str">
        <f t="shared" si="93"/>
        <v/>
      </c>
      <c r="AP83" s="270" t="str">
        <f t="shared" si="94"/>
        <v/>
      </c>
      <c r="AQ83" s="270">
        <f t="shared" si="95"/>
        <v>0</v>
      </c>
      <c r="AR83" s="316">
        <f>MIN(IFERROR(VLOOKUP($C83,'SDDA Dogs'!$A:$O,10,FALSE),0),IFERROR(VLOOKUP($C83,'SDDA Dogs'!$A:$O,11,FALSE),0),IFERROR(VLOOKUP($C83,'SDDA Dogs'!$A:$O,12,FALSE),0))</f>
        <v>0</v>
      </c>
      <c r="AS83" s="272"/>
      <c r="AT83" s="272"/>
      <c r="AU83" s="272" t="str">
        <f>IF(ISERROR(VLOOKUP(C83,'SDDA Dogs'!A:O,6,FALSE)),"",VLOOKUP(C83,'SDDA Dogs'!A:O,6,FALSE))</f>
        <v/>
      </c>
      <c r="AV83" s="270">
        <f t="shared" si="96"/>
        <v>0</v>
      </c>
      <c r="AW83" s="270">
        <f t="shared" si="97"/>
        <v>0</v>
      </c>
      <c r="AX83" s="273">
        <f t="shared" si="98"/>
        <v>0</v>
      </c>
      <c r="AY83" s="274"/>
      <c r="AZ83" s="275">
        <f t="shared" si="70"/>
        <v>0</v>
      </c>
      <c r="BA83" s="275">
        <f t="shared" si="71"/>
        <v>0</v>
      </c>
      <c r="BB83" s="276"/>
      <c r="BC83" s="274">
        <f>_xlfn.IFNA(IF(I83="Pass",IF(AND(G83&gt;=IFERROR(INDEX($C$5:$W$54,MATCH(C83,$C$5:$C$54,0),5),0),G83&gt;=IFERROR(INDEX(DogInfo!A:B,MATCH(C83&amp;$BC$4,DogInfo!A:A,0),2),0)),G83,IF(AND(IFERROR(INDEX($C$5:$W$54,MATCH(C83,$C$5:$C$54,0),5),0)&gt;=G83,IFERROR(INDEX($C$5:$W$54,MATCH(C83,$C$5:$C$54,0),5),0)&gt;=IFERROR(INDEX(DogInfo!A:B,MATCH(C83&amp;$BC$4,DogInfo!A:A,0),2),0)),IFERROR(INDEX($C$5:$W$54,MATCH(C83,$C$5:$C$54,0),5),0),IF(AND(IFERROR(INDEX(DogInfo!A:B,MATCH(C83&amp;$BC$4,DogInfo!A:A,0),2),0)&gt;=IFERROR(INDEX($C$5:$W$54,MATCH(C83,$C$5:$C$54,0),5),0),IFERROR(INDEX(DogInfo!A:B,MATCH(C83&amp;$BC$4,DogInfo!A:A,0),2),0)&gt;=G83),IFERROR(INDEX(DogInfo!A:B,MATCH(C83&amp;$BC$4,DogInfo!A:A,0),2),0),"Error"))),IFERROR(INDEX($C$5:$BE$54,MATCH(C83,$C$5:$C$54,0),53),IFERROR(INDEX(DogInfo!A:B,MATCH(C83&amp;$BC$4,DogInfo!A:A,0),2),0))),"")</f>
        <v>0</v>
      </c>
      <c r="BD83" s="274">
        <f>_xlfn.IFNA(IF(Q83="Pass",IF(AND(O83&gt;=IFERROR(INDEX($C$5:$W$54,MATCH(C83,$C$5:$C$54,0),13),0),O83&gt;=IFERROR(INDEX(DogInfo!A:B,MATCH(C83&amp;$BD$4,DogInfo!A:A,0),2),0)),O83,IF(AND(IFERROR(INDEX($C$5:$W$54,MATCH(C83,$C$5:$C$54,0),13),0)&gt;=O83,IFERROR(INDEX($C$5:$W$54,MATCH(C83,$C$5:$C$54,0),13),0)&gt;=IFERROR(INDEX(DogInfo!A:B,MATCH(C83&amp;$BD$4,DogInfo!A:A,0),2),0)),IFERROR(INDEX($C$5:$W$54,MATCH(C83,$C$5:$C$54,0),13),0),IF(AND(IFERROR(INDEX(DogInfo!A:B,MATCH(C83&amp;$BD$4,DogInfo!A:A,0),2),0)&gt;=IFERROR(INDEX($C$5:$W$54,MATCH(C83,$C$5:$C$54,0),13),0),IFERROR(INDEX(DogInfo!A:B,MATCH(C83&amp;$BD$4,DogInfo!A:A,0),2),0)&gt;=O83),IFERROR(INDEX(DogInfo!A:B,MATCH(C83&amp;$BD$4,DogInfo!A:A,0),2),0),"Error"))),IFERROR(INDEX($C$5:$BE$54,MATCH(C83,$C$5:$C$54,0),54),IFERROR(INDEX(DogInfo!A:B,MATCH(C83&amp;$BD$4,DogInfo!A:A,0),2),0))),"")</f>
        <v>0</v>
      </c>
      <c r="BE83" s="274">
        <f>_xlfn.IFNA(IF(Y83="Pass",IF(AND(W83&gt;=IFERROR(INDEX($C$5:$W$54,MATCH(C83,$C$5:$C$54,0),21),0),O83&gt;=IFERROR(INDEX(DogInfo!A:B,MATCH(C83&amp;$BE$4,DogInfo!A:A,0),2),0)),W83,IF(AND(IFERROR(INDEX($C$5:$W$54,MATCH(C83,$C$5:$C$54,0),21),0)&gt;=W83,IFERROR(INDEX($C$5:$W$54,MATCH(C83,$C$5:$C$54,0),21),0)&gt;=IFERROR(INDEX(DogInfo!A:B,MATCH(C83&amp;$BE$4,DogInfo!A:A,0),2),0)),IFERROR(INDEX($C$5:$W$54,MATCH(C83,$C$5:$C$54,0),21),0),IF(AND(IFERROR(INDEX(DogInfo!A:B,MATCH(C83&amp;$BE$4,DogInfo!A:A,0),2),0)&gt;=IFERROR(INDEX($C$5:$W$54,MATCH(C83,$C$5:$C$54,0),21),0),IFERROR(INDEX(DogInfo!A:B,MATCH(C83&amp;$BE$4,DogInfo!A:A,0),2),0)&gt;=W83),IFERROR(INDEX(DogInfo!A:B,MATCH(C83&amp;$BE$4,DogInfo!A:A,0),2),0),"Error"))),IFERROR(INDEX($C$5:$BE$54,MATCH(C83,$C$5:$C$54,0),55),IFERROR(INDEX(DogInfo!A:B,MATCH(C83&amp;$BE$4,DogInfo!A:A,0),2),0))),"")</f>
        <v>0</v>
      </c>
    </row>
    <row r="84" spans="1:57" x14ac:dyDescent="0.25">
      <c r="A84" s="99">
        <v>20</v>
      </c>
      <c r="B84" s="239"/>
      <c r="C84" s="283"/>
      <c r="D84" s="102" t="str">
        <f>IF($C84="","",VLOOKUP($C84,'SDDA Dogs'!$A:$F,2,FALSE))</f>
        <v/>
      </c>
      <c r="E84" s="211">
        <f t="shared" si="72"/>
        <v>1</v>
      </c>
      <c r="F84" s="103" t="str">
        <f>IF($C84="","",IF(ISERROR(VLOOKUP($C84,$C$5:$AP$54,38,FALSE)=TRUE),VLOOKUP($C84,'SDDA Dogs'!$A:$O,13,FALSE),VLOOKUP($C84,$C$5:$AP$54,38,FALSE)))</f>
        <v/>
      </c>
      <c r="G84" s="241"/>
      <c r="H84" s="284"/>
      <c r="I84" s="84" t="str">
        <f t="shared" si="73"/>
        <v/>
      </c>
      <c r="J84" s="105">
        <f t="shared" si="57"/>
        <v>0</v>
      </c>
      <c r="K84" s="84" t="str">
        <f t="shared" si="74"/>
        <v/>
      </c>
      <c r="L84" s="105">
        <f t="shared" si="58"/>
        <v>0</v>
      </c>
      <c r="M84" s="84" t="str">
        <f t="shared" si="75"/>
        <v/>
      </c>
      <c r="N84" s="106" t="str">
        <f>IF($C84="","",IF(ISERROR(VLOOKUP($C84,$C$5:$AP$54,39,FALSE)=TRUE),VLOOKUP($C84,'SDDA Dogs'!$A:$O,14,FALSE),VLOOKUP($C84,$C$5:$AP$54,39,FALSE)))</f>
        <v/>
      </c>
      <c r="O84" s="241"/>
      <c r="P84" s="284"/>
      <c r="Q84" s="84" t="str">
        <f t="shared" si="76"/>
        <v/>
      </c>
      <c r="R84" s="105">
        <f t="shared" si="59"/>
        <v>0</v>
      </c>
      <c r="S84" s="84" t="str">
        <f t="shared" si="77"/>
        <v/>
      </c>
      <c r="T84" s="105">
        <f t="shared" si="60"/>
        <v>0</v>
      </c>
      <c r="U84" s="84" t="str">
        <f t="shared" si="78"/>
        <v/>
      </c>
      <c r="V84" s="106" t="str">
        <f>IF($C84="","",IF(ISERROR(VLOOKUP($C84,$C$5:$AP$54,40,FALSE)=TRUE),VLOOKUP($C84,'SDDA Dogs'!$A:$O,15,FALSE),VLOOKUP($C84,$C$5:$AP$54,40,FALSE)))</f>
        <v/>
      </c>
      <c r="W84" s="241"/>
      <c r="X84" s="284"/>
      <c r="Y84" s="84" t="str">
        <f t="shared" si="79"/>
        <v/>
      </c>
      <c r="Z84" s="105">
        <f t="shared" si="61"/>
        <v>0</v>
      </c>
      <c r="AA84" s="84" t="str">
        <f t="shared" si="80"/>
        <v/>
      </c>
      <c r="AB84" s="105">
        <f t="shared" si="62"/>
        <v>0</v>
      </c>
      <c r="AC84" s="84" t="str">
        <f t="shared" si="81"/>
        <v/>
      </c>
      <c r="AD84" s="92" t="str">
        <f t="shared" si="82"/>
        <v/>
      </c>
      <c r="AE84" s="89" t="str">
        <f t="shared" si="83"/>
        <v/>
      </c>
      <c r="AF84" s="104" t="str">
        <f t="shared" si="84"/>
        <v/>
      </c>
      <c r="AG84" s="107" t="str">
        <f t="shared" si="85"/>
        <v/>
      </c>
      <c r="AH84" s="92" t="str">
        <f t="shared" si="86"/>
        <v/>
      </c>
      <c r="AI84" s="89" t="str">
        <f t="shared" si="87"/>
        <v/>
      </c>
      <c r="AJ84" s="104" t="str">
        <f t="shared" si="88"/>
        <v/>
      </c>
      <c r="AK84" s="84" t="str">
        <f t="shared" si="89"/>
        <v/>
      </c>
      <c r="AL84" s="264" t="str">
        <f t="shared" si="90"/>
        <v/>
      </c>
      <c r="AM84" s="270">
        <f t="shared" si="91"/>
        <v>0</v>
      </c>
      <c r="AN84" s="270" t="str">
        <f t="shared" si="92"/>
        <v/>
      </c>
      <c r="AO84" s="270" t="str">
        <f t="shared" si="93"/>
        <v/>
      </c>
      <c r="AP84" s="270" t="str">
        <f t="shared" si="94"/>
        <v/>
      </c>
      <c r="AQ84" s="270">
        <f t="shared" si="95"/>
        <v>0</v>
      </c>
      <c r="AR84" s="316">
        <f>MIN(IFERROR(VLOOKUP($C84,'SDDA Dogs'!$A:$O,10,FALSE),0),IFERROR(VLOOKUP($C84,'SDDA Dogs'!$A:$O,11,FALSE),0),IFERROR(VLOOKUP($C84,'SDDA Dogs'!$A:$O,12,FALSE),0))</f>
        <v>0</v>
      </c>
      <c r="AS84" s="272"/>
      <c r="AT84" s="272"/>
      <c r="AU84" s="272" t="str">
        <f>IF(ISERROR(VLOOKUP(C84,'SDDA Dogs'!A:O,6,FALSE)),"",VLOOKUP(C84,'SDDA Dogs'!A:O,6,FALSE))</f>
        <v/>
      </c>
      <c r="AV84" s="270">
        <f t="shared" si="96"/>
        <v>0</v>
      </c>
      <c r="AW84" s="270">
        <f t="shared" si="97"/>
        <v>0</v>
      </c>
      <c r="AX84" s="273">
        <f t="shared" si="98"/>
        <v>0</v>
      </c>
      <c r="AY84" s="274"/>
      <c r="AZ84" s="275">
        <f t="shared" si="70"/>
        <v>0</v>
      </c>
      <c r="BA84" s="275">
        <f t="shared" si="71"/>
        <v>0</v>
      </c>
      <c r="BB84" s="276"/>
      <c r="BC84" s="274">
        <f>_xlfn.IFNA(IF(I84="Pass",IF(AND(G84&gt;=IFERROR(INDEX($C$5:$W$54,MATCH(C84,$C$5:$C$54,0),5),0),G84&gt;=IFERROR(INDEX(DogInfo!A:B,MATCH(C84&amp;$BC$4,DogInfo!A:A,0),2),0)),G84,IF(AND(IFERROR(INDEX($C$5:$W$54,MATCH(C84,$C$5:$C$54,0),5),0)&gt;=G84,IFERROR(INDEX($C$5:$W$54,MATCH(C84,$C$5:$C$54,0),5),0)&gt;=IFERROR(INDEX(DogInfo!A:B,MATCH(C84&amp;$BC$4,DogInfo!A:A,0),2),0)),IFERROR(INDEX($C$5:$W$54,MATCH(C84,$C$5:$C$54,0),5),0),IF(AND(IFERROR(INDEX(DogInfo!A:B,MATCH(C84&amp;$BC$4,DogInfo!A:A,0),2),0)&gt;=IFERROR(INDEX($C$5:$W$54,MATCH(C84,$C$5:$C$54,0),5),0),IFERROR(INDEX(DogInfo!A:B,MATCH(C84&amp;$BC$4,DogInfo!A:A,0),2),0)&gt;=G84),IFERROR(INDEX(DogInfo!A:B,MATCH(C84&amp;$BC$4,DogInfo!A:A,0),2),0),"Error"))),IFERROR(INDEX($C$5:$BE$54,MATCH(C84,$C$5:$C$54,0),53),IFERROR(INDEX(DogInfo!A:B,MATCH(C84&amp;$BC$4,DogInfo!A:A,0),2),0))),"")</f>
        <v>0</v>
      </c>
      <c r="BD84" s="274">
        <f>_xlfn.IFNA(IF(Q84="Pass",IF(AND(O84&gt;=IFERROR(INDEX($C$5:$W$54,MATCH(C84,$C$5:$C$54,0),13),0),O84&gt;=IFERROR(INDEX(DogInfo!A:B,MATCH(C84&amp;$BD$4,DogInfo!A:A,0),2),0)),O84,IF(AND(IFERROR(INDEX($C$5:$W$54,MATCH(C84,$C$5:$C$54,0),13),0)&gt;=O84,IFERROR(INDEX($C$5:$W$54,MATCH(C84,$C$5:$C$54,0),13),0)&gt;=IFERROR(INDEX(DogInfo!A:B,MATCH(C84&amp;$BD$4,DogInfo!A:A,0),2),0)),IFERROR(INDEX($C$5:$W$54,MATCH(C84,$C$5:$C$54,0),13),0),IF(AND(IFERROR(INDEX(DogInfo!A:B,MATCH(C84&amp;$BD$4,DogInfo!A:A,0),2),0)&gt;=IFERROR(INDEX($C$5:$W$54,MATCH(C84,$C$5:$C$54,0),13),0),IFERROR(INDEX(DogInfo!A:B,MATCH(C84&amp;$BD$4,DogInfo!A:A,0),2),0)&gt;=O84),IFERROR(INDEX(DogInfo!A:B,MATCH(C84&amp;$BD$4,DogInfo!A:A,0),2),0),"Error"))),IFERROR(INDEX($C$5:$BE$54,MATCH(C84,$C$5:$C$54,0),54),IFERROR(INDEX(DogInfo!A:B,MATCH(C84&amp;$BD$4,DogInfo!A:A,0),2),0))),"")</f>
        <v>0</v>
      </c>
      <c r="BE84" s="274">
        <f>_xlfn.IFNA(IF(Y84="Pass",IF(AND(W84&gt;=IFERROR(INDEX($C$5:$W$54,MATCH(C84,$C$5:$C$54,0),21),0),O84&gt;=IFERROR(INDEX(DogInfo!A:B,MATCH(C84&amp;$BE$4,DogInfo!A:A,0),2),0)),W84,IF(AND(IFERROR(INDEX($C$5:$W$54,MATCH(C84,$C$5:$C$54,0),21),0)&gt;=W84,IFERROR(INDEX($C$5:$W$54,MATCH(C84,$C$5:$C$54,0),21),0)&gt;=IFERROR(INDEX(DogInfo!A:B,MATCH(C84&amp;$BE$4,DogInfo!A:A,0),2),0)),IFERROR(INDEX($C$5:$W$54,MATCH(C84,$C$5:$C$54,0),21),0),IF(AND(IFERROR(INDEX(DogInfo!A:B,MATCH(C84&amp;$BE$4,DogInfo!A:A,0),2),0)&gt;=IFERROR(INDEX($C$5:$W$54,MATCH(C84,$C$5:$C$54,0),21),0),IFERROR(INDEX(DogInfo!A:B,MATCH(C84&amp;$BE$4,DogInfo!A:A,0),2),0)&gt;=W84),IFERROR(INDEX(DogInfo!A:B,MATCH(C84&amp;$BE$4,DogInfo!A:A,0),2),0),"Error"))),IFERROR(INDEX($C$5:$BE$54,MATCH(C84,$C$5:$C$54,0),55),IFERROR(INDEX(DogInfo!A:B,MATCH(C84&amp;$BE$4,DogInfo!A:A,0),2),0))),"")</f>
        <v>0</v>
      </c>
    </row>
    <row r="85" spans="1:57" x14ac:dyDescent="0.25">
      <c r="A85" s="99">
        <v>21</v>
      </c>
      <c r="B85" s="239"/>
      <c r="C85" s="283"/>
      <c r="D85" s="102" t="str">
        <f>IF($C85="","",VLOOKUP($C85,'SDDA Dogs'!$A:$F,2,FALSE))</f>
        <v/>
      </c>
      <c r="E85" s="211">
        <f t="shared" si="72"/>
        <v>1</v>
      </c>
      <c r="F85" s="103" t="str">
        <f>IF($C85="","",IF(ISERROR(VLOOKUP($C85,$C$5:$AP$54,38,FALSE)=TRUE),VLOOKUP($C85,'SDDA Dogs'!$A:$O,13,FALSE),VLOOKUP($C85,$C$5:$AP$54,38,FALSE)))</f>
        <v/>
      </c>
      <c r="G85" s="241"/>
      <c r="H85" s="284"/>
      <c r="I85" s="84" t="str">
        <f t="shared" si="73"/>
        <v/>
      </c>
      <c r="J85" s="105">
        <f t="shared" si="57"/>
        <v>0</v>
      </c>
      <c r="K85" s="84" t="str">
        <f t="shared" si="74"/>
        <v/>
      </c>
      <c r="L85" s="105">
        <f t="shared" si="58"/>
        <v>0</v>
      </c>
      <c r="M85" s="84" t="str">
        <f t="shared" si="75"/>
        <v/>
      </c>
      <c r="N85" s="106" t="str">
        <f>IF($C85="","",IF(ISERROR(VLOOKUP($C85,$C$5:$AP$54,39,FALSE)=TRUE),VLOOKUP($C85,'SDDA Dogs'!$A:$O,14,FALSE),VLOOKUP($C85,$C$5:$AP$54,39,FALSE)))</f>
        <v/>
      </c>
      <c r="O85" s="241"/>
      <c r="P85" s="284"/>
      <c r="Q85" s="84" t="str">
        <f t="shared" si="76"/>
        <v/>
      </c>
      <c r="R85" s="105">
        <f t="shared" si="59"/>
        <v>0</v>
      </c>
      <c r="S85" s="84" t="str">
        <f t="shared" si="77"/>
        <v/>
      </c>
      <c r="T85" s="105">
        <f t="shared" si="60"/>
        <v>0</v>
      </c>
      <c r="U85" s="84" t="str">
        <f t="shared" si="78"/>
        <v/>
      </c>
      <c r="V85" s="106" t="str">
        <f>IF($C85="","",IF(ISERROR(VLOOKUP($C85,$C$5:$AP$54,40,FALSE)=TRUE),VLOOKUP($C85,'SDDA Dogs'!$A:$O,15,FALSE),VLOOKUP($C85,$C$5:$AP$54,40,FALSE)))</f>
        <v/>
      </c>
      <c r="W85" s="241"/>
      <c r="X85" s="284"/>
      <c r="Y85" s="84" t="str">
        <f t="shared" si="79"/>
        <v/>
      </c>
      <c r="Z85" s="105">
        <f t="shared" si="61"/>
        <v>0</v>
      </c>
      <c r="AA85" s="84" t="str">
        <f t="shared" si="80"/>
        <v/>
      </c>
      <c r="AB85" s="105">
        <f t="shared" si="62"/>
        <v>0</v>
      </c>
      <c r="AC85" s="84" t="str">
        <f t="shared" si="81"/>
        <v/>
      </c>
      <c r="AD85" s="92" t="str">
        <f t="shared" si="82"/>
        <v/>
      </c>
      <c r="AE85" s="89" t="str">
        <f t="shared" si="83"/>
        <v/>
      </c>
      <c r="AF85" s="104" t="str">
        <f t="shared" si="84"/>
        <v/>
      </c>
      <c r="AG85" s="107" t="str">
        <f t="shared" si="85"/>
        <v/>
      </c>
      <c r="AH85" s="92" t="str">
        <f t="shared" si="86"/>
        <v/>
      </c>
      <c r="AI85" s="89" t="str">
        <f t="shared" si="87"/>
        <v/>
      </c>
      <c r="AJ85" s="104" t="str">
        <f t="shared" si="88"/>
        <v/>
      </c>
      <c r="AK85" s="84" t="str">
        <f t="shared" si="89"/>
        <v/>
      </c>
      <c r="AL85" s="264" t="str">
        <f t="shared" si="90"/>
        <v/>
      </c>
      <c r="AM85" s="270">
        <f t="shared" si="91"/>
        <v>0</v>
      </c>
      <c r="AN85" s="270" t="str">
        <f t="shared" si="92"/>
        <v/>
      </c>
      <c r="AO85" s="270" t="str">
        <f t="shared" si="93"/>
        <v/>
      </c>
      <c r="AP85" s="270" t="str">
        <f t="shared" si="94"/>
        <v/>
      </c>
      <c r="AQ85" s="270">
        <f t="shared" si="95"/>
        <v>0</v>
      </c>
      <c r="AR85" s="316">
        <f>MIN(IFERROR(VLOOKUP($C85,'SDDA Dogs'!$A:$O,10,FALSE),0),IFERROR(VLOOKUP($C85,'SDDA Dogs'!$A:$O,11,FALSE),0),IFERROR(VLOOKUP($C85,'SDDA Dogs'!$A:$O,12,FALSE),0))</f>
        <v>0</v>
      </c>
      <c r="AS85" s="272"/>
      <c r="AT85" s="272"/>
      <c r="AU85" s="272" t="str">
        <f>IF(ISERROR(VLOOKUP(C85,'SDDA Dogs'!A:O,6,FALSE)),"",VLOOKUP(C85,'SDDA Dogs'!A:O,6,FALSE))</f>
        <v/>
      </c>
      <c r="AV85" s="270">
        <f t="shared" si="96"/>
        <v>0</v>
      </c>
      <c r="AW85" s="270">
        <f t="shared" si="97"/>
        <v>0</v>
      </c>
      <c r="AX85" s="273">
        <f t="shared" si="98"/>
        <v>0</v>
      </c>
      <c r="AY85" s="274"/>
      <c r="AZ85" s="275">
        <f t="shared" si="70"/>
        <v>0</v>
      </c>
      <c r="BA85" s="275">
        <f t="shared" si="71"/>
        <v>0</v>
      </c>
      <c r="BB85" s="276"/>
      <c r="BC85" s="274">
        <f>_xlfn.IFNA(IF(I85="Pass",IF(AND(G85&gt;=IFERROR(INDEX($C$5:$W$54,MATCH(C85,$C$5:$C$54,0),5),0),G85&gt;=IFERROR(INDEX(DogInfo!A:B,MATCH(C85&amp;$BC$4,DogInfo!A:A,0),2),0)),G85,IF(AND(IFERROR(INDEX($C$5:$W$54,MATCH(C85,$C$5:$C$54,0),5),0)&gt;=G85,IFERROR(INDEX($C$5:$W$54,MATCH(C85,$C$5:$C$54,0),5),0)&gt;=IFERROR(INDEX(DogInfo!A:B,MATCH(C85&amp;$BC$4,DogInfo!A:A,0),2),0)),IFERROR(INDEX($C$5:$W$54,MATCH(C85,$C$5:$C$54,0),5),0),IF(AND(IFERROR(INDEX(DogInfo!A:B,MATCH(C85&amp;$BC$4,DogInfo!A:A,0),2),0)&gt;=IFERROR(INDEX($C$5:$W$54,MATCH(C85,$C$5:$C$54,0),5),0),IFERROR(INDEX(DogInfo!A:B,MATCH(C85&amp;$BC$4,DogInfo!A:A,0),2),0)&gt;=G85),IFERROR(INDEX(DogInfo!A:B,MATCH(C85&amp;$BC$4,DogInfo!A:A,0),2),0),"Error"))),IFERROR(INDEX($C$5:$BE$54,MATCH(C85,$C$5:$C$54,0),53),IFERROR(INDEX(DogInfo!A:B,MATCH(C85&amp;$BC$4,DogInfo!A:A,0),2),0))),"")</f>
        <v>0</v>
      </c>
      <c r="BD85" s="274">
        <f>_xlfn.IFNA(IF(Q85="Pass",IF(AND(O85&gt;=IFERROR(INDEX($C$5:$W$54,MATCH(C85,$C$5:$C$54,0),13),0),O85&gt;=IFERROR(INDEX(DogInfo!A:B,MATCH(C85&amp;$BD$4,DogInfo!A:A,0),2),0)),O85,IF(AND(IFERROR(INDEX($C$5:$W$54,MATCH(C85,$C$5:$C$54,0),13),0)&gt;=O85,IFERROR(INDEX($C$5:$W$54,MATCH(C85,$C$5:$C$54,0),13),0)&gt;=IFERROR(INDEX(DogInfo!A:B,MATCH(C85&amp;$BD$4,DogInfo!A:A,0),2),0)),IFERROR(INDEX($C$5:$W$54,MATCH(C85,$C$5:$C$54,0),13),0),IF(AND(IFERROR(INDEX(DogInfo!A:B,MATCH(C85&amp;$BD$4,DogInfo!A:A,0),2),0)&gt;=IFERROR(INDEX($C$5:$W$54,MATCH(C85,$C$5:$C$54,0),13),0),IFERROR(INDEX(DogInfo!A:B,MATCH(C85&amp;$BD$4,DogInfo!A:A,0),2),0)&gt;=O85),IFERROR(INDEX(DogInfo!A:B,MATCH(C85&amp;$BD$4,DogInfo!A:A,0),2),0),"Error"))),IFERROR(INDEX($C$5:$BE$54,MATCH(C85,$C$5:$C$54,0),54),IFERROR(INDEX(DogInfo!A:B,MATCH(C85&amp;$BD$4,DogInfo!A:A,0),2),0))),"")</f>
        <v>0</v>
      </c>
      <c r="BE85" s="274">
        <f>_xlfn.IFNA(IF(Y85="Pass",IF(AND(W85&gt;=IFERROR(INDEX($C$5:$W$54,MATCH(C85,$C$5:$C$54,0),21),0),O85&gt;=IFERROR(INDEX(DogInfo!A:B,MATCH(C85&amp;$BE$4,DogInfo!A:A,0),2),0)),W85,IF(AND(IFERROR(INDEX($C$5:$W$54,MATCH(C85,$C$5:$C$54,0),21),0)&gt;=W85,IFERROR(INDEX($C$5:$W$54,MATCH(C85,$C$5:$C$54,0),21),0)&gt;=IFERROR(INDEX(DogInfo!A:B,MATCH(C85&amp;$BE$4,DogInfo!A:A,0),2),0)),IFERROR(INDEX($C$5:$W$54,MATCH(C85,$C$5:$C$54,0),21),0),IF(AND(IFERROR(INDEX(DogInfo!A:B,MATCH(C85&amp;$BE$4,DogInfo!A:A,0),2),0)&gt;=IFERROR(INDEX($C$5:$W$54,MATCH(C85,$C$5:$C$54,0),21),0),IFERROR(INDEX(DogInfo!A:B,MATCH(C85&amp;$BE$4,DogInfo!A:A,0),2),0)&gt;=W85),IFERROR(INDEX(DogInfo!A:B,MATCH(C85&amp;$BE$4,DogInfo!A:A,0),2),0),"Error"))),IFERROR(INDEX($C$5:$BE$54,MATCH(C85,$C$5:$C$54,0),55),IFERROR(INDEX(DogInfo!A:B,MATCH(C85&amp;$BE$4,DogInfo!A:A,0),2),0))),"")</f>
        <v>0</v>
      </c>
    </row>
    <row r="86" spans="1:57" x14ac:dyDescent="0.25">
      <c r="A86" s="99">
        <v>22</v>
      </c>
      <c r="B86" s="100"/>
      <c r="C86" s="101"/>
      <c r="D86" s="102" t="str">
        <f>IF($C86="","",VLOOKUP($C86,'SDDA Dogs'!$A:$F,2,FALSE))</f>
        <v/>
      </c>
      <c r="E86" s="211">
        <f t="shared" ref="E86:E114" si="99">--(_xlfn.ISFORMULA(D86))</f>
        <v>1</v>
      </c>
      <c r="F86" s="103" t="str">
        <f>IF($C86="","",IF(ISERROR(VLOOKUP($C86,$C$5:$AP$54,38,FALSE)=TRUE),VLOOKUP($C86,'SDDA Dogs'!$A:$O,13,FALSE),VLOOKUP($C86,$C$5:$AP$54,38,FALSE)))</f>
        <v/>
      </c>
      <c r="G86" s="137"/>
      <c r="H86" s="217"/>
      <c r="I86" s="84" t="str">
        <f t="shared" ref="I86:I114" si="100">IF(OR(G86="",G86="NE",G86="e",G86="feo"),"",(IF(G86&gt;=30,"Pass","Fail")))</f>
        <v/>
      </c>
      <c r="J86" s="105">
        <f t="shared" si="57"/>
        <v>0</v>
      </c>
      <c r="K86" s="84" t="str">
        <f t="shared" ref="K86:K114" si="101">IF(AND($B86="A",$G86&lt;&gt;0,$H86&lt;&gt;0,J86&lt;&gt;0),(RANK(J86,J$65:J$114,0)),"")</f>
        <v/>
      </c>
      <c r="L86" s="105">
        <f t="shared" si="58"/>
        <v>0</v>
      </c>
      <c r="M86" s="84" t="str">
        <f t="shared" ref="M86:M114" si="102">IF(AND($B86="W",$G86&lt;&gt;0,$H86&lt;&gt;0,L86&lt;&gt;0),(RANK(L86,L$65:L$114,0)),"")</f>
        <v/>
      </c>
      <c r="N86" s="106" t="str">
        <f>IF($C86="","",IF(ISERROR(VLOOKUP($C86,$C$5:$AP$54,39,FALSE)=TRUE),VLOOKUP($C86,'SDDA Dogs'!$A:$O,14,FALSE),VLOOKUP($C86,$C$5:$AP$54,39,FALSE)))</f>
        <v/>
      </c>
      <c r="O86" s="137"/>
      <c r="P86" s="217"/>
      <c r="Q86" s="84" t="str">
        <f t="shared" ref="Q86:Q114" si="103">IF(OR(O86="",O86="NE",O86="e",O86="feo"),"",(IF(O86&gt;=40,"Pass","Fail")))</f>
        <v/>
      </c>
      <c r="R86" s="105">
        <f t="shared" si="59"/>
        <v>0</v>
      </c>
      <c r="S86" s="84" t="str">
        <f t="shared" ref="S86:S114" si="104">IF(AND($B86="A",$O86&lt;&gt;0,$P86&lt;&gt;0,R86&lt;&gt;0),(RANK(R86,R$65:R$114,0)),"")</f>
        <v/>
      </c>
      <c r="T86" s="105">
        <f t="shared" si="60"/>
        <v>0</v>
      </c>
      <c r="U86" s="84" t="str">
        <f t="shared" ref="U86:U114" si="105">IF(AND($B86="w",$O86&lt;&gt;0,$P86&lt;&gt;0,T86&lt;&gt;0),(RANK(T86,T$65:T$114,0)),"")</f>
        <v/>
      </c>
      <c r="V86" s="106" t="str">
        <f>IF($C86="","",IF(ISERROR(VLOOKUP($C86,$C$5:$AP$54,40,FALSE)=TRUE),VLOOKUP($C86,'SDDA Dogs'!$A:$O,15,FALSE),VLOOKUP($C86,$C$5:$AP$54,40,FALSE)))</f>
        <v/>
      </c>
      <c r="W86" s="137"/>
      <c r="X86" s="217"/>
      <c r="Y86" s="84" t="str">
        <f t="shared" ref="Y86:Y114" si="106">IF(OR(W86="",W86="NE",W86="e",W86="feo"),"",(IF(W86&gt;=30,"Pass","Fail")))</f>
        <v/>
      </c>
      <c r="Z86" s="105">
        <f t="shared" si="61"/>
        <v>0</v>
      </c>
      <c r="AA86" s="84" t="str">
        <f t="shared" ref="AA86:AA114" si="107">IF(AND($B86="A",$W86&lt;&gt;0,$X86&lt;&gt;0,Z86&lt;&gt;0),(RANK(Z86,Z$65:Z$114,0)),"")</f>
        <v/>
      </c>
      <c r="AB86" s="105">
        <f t="shared" si="62"/>
        <v>0</v>
      </c>
      <c r="AC86" s="84" t="str">
        <f t="shared" ref="AC86:AC114" si="108">IF(AND($B86="w",$W86&lt;&gt;0,$X86&lt;&gt;0,AB86&lt;&gt;0),(RANK(AB86,AB$65:AB$114,0)),"")</f>
        <v/>
      </c>
      <c r="AD86" s="92" t="str">
        <f t="shared" si="82"/>
        <v/>
      </c>
      <c r="AE86" s="89" t="str">
        <f t="shared" ref="AE86:AE114" si="109">IF(AND(ISNUMBER($K86),ISNUMBER($S86),ISNUMBER($AA86))=TRUE,$G86+$O86+$W86,"")</f>
        <v/>
      </c>
      <c r="AF86" s="104" t="str">
        <f t="shared" ref="AF86:AF114" si="110">IF(AND(ISNUMBER($K86),ISNUMBER($S86),ISNUMBER($AA86))=TRUE,$H86+$P86+$X86,"")</f>
        <v/>
      </c>
      <c r="AG86" s="107" t="str">
        <f t="shared" ref="AG86:AG114" si="111">IF(ISNUMBER(AE86),(RANK(AE86,AE$65:AE$114,0)*10)+RANK(AF86,AF$65:AF$114,1),"")</f>
        <v/>
      </c>
      <c r="AH86" s="92" t="str">
        <f t="shared" ref="AH86:AH114" si="112">IF(ISNUMBER(AG86),RANK(AG86,AG$65:AG$114,1),"")</f>
        <v/>
      </c>
      <c r="AI86" s="89" t="str">
        <f t="shared" ref="AI86:AI114" si="113">IF(AND(ISNUMBER($M86),ISNUMBER($U86),ISNUMBER($AC86))=TRUE,$G86+$O86+$W86,"")</f>
        <v/>
      </c>
      <c r="AJ86" s="104" t="str">
        <f t="shared" ref="AJ86:AJ114" si="114">IF(AND(ISNUMBER($M86),ISNUMBER($U86),ISNUMBER($AC86))=TRUE,$H86+$P86+$X86,"")</f>
        <v/>
      </c>
      <c r="AK86" s="84" t="str">
        <f t="shared" ref="AK86:AK114" si="115">IF(ISNUMBER(AI86),(RANK(AI86,AI$65:AI$114,0)*10)+RANK(AJ86,AJ$65:AJ$114,1),"")</f>
        <v/>
      </c>
      <c r="AL86" s="264" t="str">
        <f t="shared" ref="AL86:AL114" si="116">IF(ISNUMBER(AK86),RANK(AK86,AK$65:AK$114,1),"")</f>
        <v/>
      </c>
      <c r="AM86" s="270">
        <f t="shared" si="63"/>
        <v>0</v>
      </c>
      <c r="AN86" s="270" t="str">
        <f t="shared" si="64"/>
        <v/>
      </c>
      <c r="AO86" s="270" t="str">
        <f t="shared" si="65"/>
        <v/>
      </c>
      <c r="AP86" s="270" t="str">
        <f t="shared" si="66"/>
        <v/>
      </c>
      <c r="AQ86" s="270">
        <f t="shared" ref="AQ86:AQ114" si="117">MIN(AN86,AO86,AP86)</f>
        <v>0</v>
      </c>
      <c r="AR86" s="316">
        <f>MIN(IFERROR(VLOOKUP($C86,'SDDA Dogs'!$A:$O,10,FALSE),0),IFERROR(VLOOKUP($C86,'SDDA Dogs'!$A:$O,11,FALSE),0),IFERROR(VLOOKUP($C86,'SDDA Dogs'!$A:$O,12,FALSE),0))</f>
        <v>0</v>
      </c>
      <c r="AS86" s="272"/>
      <c r="AT86" s="272"/>
      <c r="AU86" s="272" t="str">
        <f>IF(ISERROR(VLOOKUP(C86,'SDDA Dogs'!A:O,6,FALSE)),"",VLOOKUP(C86,'SDDA Dogs'!A:O,6,FALSE))</f>
        <v/>
      </c>
      <c r="AV86" s="270">
        <f t="shared" si="67"/>
        <v>0</v>
      </c>
      <c r="AW86" s="270">
        <f t="shared" si="68"/>
        <v>0</v>
      </c>
      <c r="AX86" s="273">
        <f t="shared" si="69"/>
        <v>0</v>
      </c>
      <c r="AY86" s="274"/>
      <c r="AZ86" s="275">
        <f t="shared" si="70"/>
        <v>0</v>
      </c>
      <c r="BA86" s="275">
        <f t="shared" si="71"/>
        <v>0</v>
      </c>
      <c r="BB86" s="276"/>
      <c r="BC86" s="274">
        <f>_xlfn.IFNA(IF(I86="Pass",IF(AND(G86&gt;=IFERROR(INDEX($C$5:$W$54,MATCH(C86,$C$5:$C$54,0),5),0),G86&gt;=IFERROR(INDEX(DogInfo!A:B,MATCH(C86&amp;$BC$4,DogInfo!A:A,0),2),0)),G86,IF(AND(IFERROR(INDEX($C$5:$W$54,MATCH(C86,$C$5:$C$54,0),5),0)&gt;=G86,IFERROR(INDEX($C$5:$W$54,MATCH(C86,$C$5:$C$54,0),5),0)&gt;=IFERROR(INDEX(DogInfo!A:B,MATCH(C86&amp;$BC$4,DogInfo!A:A,0),2),0)),IFERROR(INDEX($C$5:$W$54,MATCH(C86,$C$5:$C$54,0),5),0),IF(AND(IFERROR(INDEX(DogInfo!A:B,MATCH(C86&amp;$BC$4,DogInfo!A:A,0),2),0)&gt;=IFERROR(INDEX($C$5:$W$54,MATCH(C86,$C$5:$C$54,0),5),0),IFERROR(INDEX(DogInfo!A:B,MATCH(C86&amp;$BC$4,DogInfo!A:A,0),2),0)&gt;=G86),IFERROR(INDEX(DogInfo!A:B,MATCH(C86&amp;$BC$4,DogInfo!A:A,0),2),0),"Error"))),IFERROR(INDEX($C$5:$BE$54,MATCH(C86,$C$5:$C$54,0),53),IFERROR(INDEX(DogInfo!A:B,MATCH(C86&amp;$BC$4,DogInfo!A:A,0),2),0))),"")</f>
        <v>0</v>
      </c>
      <c r="BD86" s="274">
        <f>_xlfn.IFNA(IF(Q86="Pass",IF(AND(O86&gt;=IFERROR(INDEX($C$5:$W$54,MATCH(C86,$C$5:$C$54,0),13),0),O86&gt;=IFERROR(INDEX(DogInfo!A:B,MATCH(C86&amp;$BD$4,DogInfo!A:A,0),2),0)),O86,IF(AND(IFERROR(INDEX($C$5:$W$54,MATCH(C86,$C$5:$C$54,0),13),0)&gt;=O86,IFERROR(INDEX($C$5:$W$54,MATCH(C86,$C$5:$C$54,0),13),0)&gt;=IFERROR(INDEX(DogInfo!A:B,MATCH(C86&amp;$BD$4,DogInfo!A:A,0),2),0)),IFERROR(INDEX($C$5:$W$54,MATCH(C86,$C$5:$C$54,0),13),0),IF(AND(IFERROR(INDEX(DogInfo!A:B,MATCH(C86&amp;$BD$4,DogInfo!A:A,0),2),0)&gt;=IFERROR(INDEX($C$5:$W$54,MATCH(C86,$C$5:$C$54,0),13),0),IFERROR(INDEX(DogInfo!A:B,MATCH(C86&amp;$BD$4,DogInfo!A:A,0),2),0)&gt;=O86),IFERROR(INDEX(DogInfo!A:B,MATCH(C86&amp;$BD$4,DogInfo!A:A,0),2),0),"Error"))),IFERROR(INDEX($C$5:$BE$54,MATCH(C86,$C$5:$C$54,0),54),IFERROR(INDEX(DogInfo!A:B,MATCH(C86&amp;$BD$4,DogInfo!A:A,0),2),0))),"")</f>
        <v>0</v>
      </c>
      <c r="BE86" s="274">
        <f>_xlfn.IFNA(IF(Y86="Pass",IF(AND(W86&gt;=IFERROR(INDEX($C$5:$W$54,MATCH(C86,$C$5:$C$54,0),21),0),O86&gt;=IFERROR(INDEX(DogInfo!A:B,MATCH(C86&amp;$BE$4,DogInfo!A:A,0),2),0)),W86,IF(AND(IFERROR(INDEX($C$5:$W$54,MATCH(C86,$C$5:$C$54,0),21),0)&gt;=W86,IFERROR(INDEX($C$5:$W$54,MATCH(C86,$C$5:$C$54,0),21),0)&gt;=IFERROR(INDEX(DogInfo!A:B,MATCH(C86&amp;$BE$4,DogInfo!A:A,0),2),0)),IFERROR(INDEX($C$5:$W$54,MATCH(C86,$C$5:$C$54,0),21),0),IF(AND(IFERROR(INDEX(DogInfo!A:B,MATCH(C86&amp;$BE$4,DogInfo!A:A,0),2),0)&gt;=IFERROR(INDEX($C$5:$W$54,MATCH(C86,$C$5:$C$54,0),21),0),IFERROR(INDEX(DogInfo!A:B,MATCH(C86&amp;$BE$4,DogInfo!A:A,0),2),0)&gt;=W86),IFERROR(INDEX(DogInfo!A:B,MATCH(C86&amp;$BE$4,DogInfo!A:A,0),2),0),"Error"))),IFERROR(INDEX($C$5:$BE$54,MATCH(C86,$C$5:$C$54,0),55),IFERROR(INDEX(DogInfo!A:B,MATCH(C86&amp;$BE$4,DogInfo!A:A,0),2),0))),"")</f>
        <v>0</v>
      </c>
    </row>
    <row r="87" spans="1:57" x14ac:dyDescent="0.25">
      <c r="A87" s="99">
        <v>23</v>
      </c>
      <c r="B87" s="100"/>
      <c r="C87" s="101"/>
      <c r="D87" s="102" t="str">
        <f>IF($C87="","",VLOOKUP($C87,'SDDA Dogs'!$A:$F,2,FALSE))</f>
        <v/>
      </c>
      <c r="E87" s="211">
        <f t="shared" si="99"/>
        <v>1</v>
      </c>
      <c r="F87" s="103" t="str">
        <f>IF($C87="","",IF(ISERROR(VLOOKUP($C87,$C$5:$AP$54,38,FALSE)=TRUE),VLOOKUP($C87,'SDDA Dogs'!$A:$O,13,FALSE),VLOOKUP($C87,$C$5:$AP$54,38,FALSE)))</f>
        <v/>
      </c>
      <c r="G87" s="137"/>
      <c r="H87" s="217"/>
      <c r="I87" s="84" t="str">
        <f t="shared" si="100"/>
        <v/>
      </c>
      <c r="J87" s="105">
        <f t="shared" si="57"/>
        <v>0</v>
      </c>
      <c r="K87" s="84" t="str">
        <f t="shared" si="101"/>
        <v/>
      </c>
      <c r="L87" s="105">
        <f t="shared" si="58"/>
        <v>0</v>
      </c>
      <c r="M87" s="84" t="str">
        <f t="shared" si="102"/>
        <v/>
      </c>
      <c r="N87" s="106" t="str">
        <f>IF($C87="","",IF(ISERROR(VLOOKUP($C87,$C$5:$AP$54,39,FALSE)=TRUE),VLOOKUP($C87,'SDDA Dogs'!$A:$O,14,FALSE),VLOOKUP($C87,$C$5:$AP$54,39,FALSE)))</f>
        <v/>
      </c>
      <c r="O87" s="137"/>
      <c r="P87" s="217"/>
      <c r="Q87" s="84" t="str">
        <f t="shared" si="103"/>
        <v/>
      </c>
      <c r="R87" s="105">
        <f t="shared" si="59"/>
        <v>0</v>
      </c>
      <c r="S87" s="84" t="str">
        <f t="shared" si="104"/>
        <v/>
      </c>
      <c r="T87" s="105">
        <f t="shared" si="60"/>
        <v>0</v>
      </c>
      <c r="U87" s="84" t="str">
        <f t="shared" si="105"/>
        <v/>
      </c>
      <c r="V87" s="106" t="str">
        <f>IF($C87="","",IF(ISERROR(VLOOKUP($C87,$C$5:$AP$54,40,FALSE)=TRUE),VLOOKUP($C87,'SDDA Dogs'!$A:$O,15,FALSE),VLOOKUP($C87,$C$5:$AP$54,40,FALSE)))</f>
        <v/>
      </c>
      <c r="W87" s="137"/>
      <c r="X87" s="217"/>
      <c r="Y87" s="84" t="str">
        <f t="shared" si="106"/>
        <v/>
      </c>
      <c r="Z87" s="105">
        <f t="shared" si="61"/>
        <v>0</v>
      </c>
      <c r="AA87" s="84" t="str">
        <f t="shared" si="107"/>
        <v/>
      </c>
      <c r="AB87" s="105">
        <f t="shared" si="62"/>
        <v>0</v>
      </c>
      <c r="AC87" s="84" t="str">
        <f t="shared" si="108"/>
        <v/>
      </c>
      <c r="AD87" s="92" t="str">
        <f t="shared" si="82"/>
        <v/>
      </c>
      <c r="AE87" s="89" t="str">
        <f t="shared" si="109"/>
        <v/>
      </c>
      <c r="AF87" s="104" t="str">
        <f t="shared" si="110"/>
        <v/>
      </c>
      <c r="AG87" s="107" t="str">
        <f t="shared" si="111"/>
        <v/>
      </c>
      <c r="AH87" s="92" t="str">
        <f t="shared" si="112"/>
        <v/>
      </c>
      <c r="AI87" s="89" t="str">
        <f t="shared" si="113"/>
        <v/>
      </c>
      <c r="AJ87" s="104" t="str">
        <f t="shared" si="114"/>
        <v/>
      </c>
      <c r="AK87" s="84" t="str">
        <f t="shared" si="115"/>
        <v/>
      </c>
      <c r="AL87" s="264" t="str">
        <f t="shared" si="116"/>
        <v/>
      </c>
      <c r="AM87" s="270">
        <f t="shared" si="63"/>
        <v>0</v>
      </c>
      <c r="AN87" s="270" t="str">
        <f t="shared" si="64"/>
        <v/>
      </c>
      <c r="AO87" s="270" t="str">
        <f t="shared" si="65"/>
        <v/>
      </c>
      <c r="AP87" s="270" t="str">
        <f t="shared" si="66"/>
        <v/>
      </c>
      <c r="AQ87" s="270">
        <f t="shared" si="117"/>
        <v>0</v>
      </c>
      <c r="AR87" s="316">
        <f>MIN(IFERROR(VLOOKUP($C87,'SDDA Dogs'!$A:$O,10,FALSE),0),IFERROR(VLOOKUP($C87,'SDDA Dogs'!$A:$O,11,FALSE),0),IFERROR(VLOOKUP($C87,'SDDA Dogs'!$A:$O,12,FALSE),0))</f>
        <v>0</v>
      </c>
      <c r="AS87" s="272"/>
      <c r="AT87" s="272"/>
      <c r="AU87" s="272" t="str">
        <f>IF(ISERROR(VLOOKUP(C87,'SDDA Dogs'!A:O,6,FALSE)),"",VLOOKUP(C87,'SDDA Dogs'!A:O,6,FALSE))</f>
        <v/>
      </c>
      <c r="AV87" s="270">
        <f t="shared" si="67"/>
        <v>0</v>
      </c>
      <c r="AW87" s="270">
        <f t="shared" si="68"/>
        <v>0</v>
      </c>
      <c r="AX87" s="273">
        <f t="shared" si="69"/>
        <v>0</v>
      </c>
      <c r="AY87" s="274"/>
      <c r="AZ87" s="275">
        <f t="shared" si="70"/>
        <v>0</v>
      </c>
      <c r="BA87" s="275">
        <f t="shared" si="71"/>
        <v>0</v>
      </c>
      <c r="BB87" s="276"/>
      <c r="BC87" s="274">
        <f>_xlfn.IFNA(IF(I87="Pass",IF(AND(G87&gt;=IFERROR(INDEX($C$5:$W$54,MATCH(C87,$C$5:$C$54,0),5),0),G87&gt;=IFERROR(INDEX(DogInfo!A:B,MATCH(C87&amp;$BC$4,DogInfo!A:A,0),2),0)),G87,IF(AND(IFERROR(INDEX($C$5:$W$54,MATCH(C87,$C$5:$C$54,0),5),0)&gt;=G87,IFERROR(INDEX($C$5:$W$54,MATCH(C87,$C$5:$C$54,0),5),0)&gt;=IFERROR(INDEX(DogInfo!A:B,MATCH(C87&amp;$BC$4,DogInfo!A:A,0),2),0)),IFERROR(INDEX($C$5:$W$54,MATCH(C87,$C$5:$C$54,0),5),0),IF(AND(IFERROR(INDEX(DogInfo!A:B,MATCH(C87&amp;$BC$4,DogInfo!A:A,0),2),0)&gt;=IFERROR(INDEX($C$5:$W$54,MATCH(C87,$C$5:$C$54,0),5),0),IFERROR(INDEX(DogInfo!A:B,MATCH(C87&amp;$BC$4,DogInfo!A:A,0),2),0)&gt;=G87),IFERROR(INDEX(DogInfo!A:B,MATCH(C87&amp;$BC$4,DogInfo!A:A,0),2),0),"Error"))),IFERROR(INDEX($C$5:$BE$54,MATCH(C87,$C$5:$C$54,0),53),IFERROR(INDEX(DogInfo!A:B,MATCH(C87&amp;$BC$4,DogInfo!A:A,0),2),0))),"")</f>
        <v>0</v>
      </c>
      <c r="BD87" s="274">
        <f>_xlfn.IFNA(IF(Q87="Pass",IF(AND(O87&gt;=IFERROR(INDEX($C$5:$W$54,MATCH(C87,$C$5:$C$54,0),13),0),O87&gt;=IFERROR(INDEX(DogInfo!A:B,MATCH(C87&amp;$BD$4,DogInfo!A:A,0),2),0)),O87,IF(AND(IFERROR(INDEX($C$5:$W$54,MATCH(C87,$C$5:$C$54,0),13),0)&gt;=O87,IFERROR(INDEX($C$5:$W$54,MATCH(C87,$C$5:$C$54,0),13),0)&gt;=IFERROR(INDEX(DogInfo!A:B,MATCH(C87&amp;$BD$4,DogInfo!A:A,0),2),0)),IFERROR(INDEX($C$5:$W$54,MATCH(C87,$C$5:$C$54,0),13),0),IF(AND(IFERROR(INDEX(DogInfo!A:B,MATCH(C87&amp;$BD$4,DogInfo!A:A,0),2),0)&gt;=IFERROR(INDEX($C$5:$W$54,MATCH(C87,$C$5:$C$54,0),13),0),IFERROR(INDEX(DogInfo!A:B,MATCH(C87&amp;$BD$4,DogInfo!A:A,0),2),0)&gt;=O87),IFERROR(INDEX(DogInfo!A:B,MATCH(C87&amp;$BD$4,DogInfo!A:A,0),2),0),"Error"))),IFERROR(INDEX($C$5:$BE$54,MATCH(C87,$C$5:$C$54,0),54),IFERROR(INDEX(DogInfo!A:B,MATCH(C87&amp;$BD$4,DogInfo!A:A,0),2),0))),"")</f>
        <v>0</v>
      </c>
      <c r="BE87" s="274">
        <f>_xlfn.IFNA(IF(Y87="Pass",IF(AND(W87&gt;=IFERROR(INDEX($C$5:$W$54,MATCH(C87,$C$5:$C$54,0),21),0),O87&gt;=IFERROR(INDEX(DogInfo!A:B,MATCH(C87&amp;$BE$4,DogInfo!A:A,0),2),0)),W87,IF(AND(IFERROR(INDEX($C$5:$W$54,MATCH(C87,$C$5:$C$54,0),21),0)&gt;=W87,IFERROR(INDEX($C$5:$W$54,MATCH(C87,$C$5:$C$54,0),21),0)&gt;=IFERROR(INDEX(DogInfo!A:B,MATCH(C87&amp;$BE$4,DogInfo!A:A,0),2),0)),IFERROR(INDEX($C$5:$W$54,MATCH(C87,$C$5:$C$54,0),21),0),IF(AND(IFERROR(INDEX(DogInfo!A:B,MATCH(C87&amp;$BE$4,DogInfo!A:A,0),2),0)&gt;=IFERROR(INDEX($C$5:$W$54,MATCH(C87,$C$5:$C$54,0),21),0),IFERROR(INDEX(DogInfo!A:B,MATCH(C87&amp;$BE$4,DogInfo!A:A,0),2),0)&gt;=W87),IFERROR(INDEX(DogInfo!A:B,MATCH(C87&amp;$BE$4,DogInfo!A:A,0),2),0),"Error"))),IFERROR(INDEX($C$5:$BE$54,MATCH(C87,$C$5:$C$54,0),55),IFERROR(INDEX(DogInfo!A:B,MATCH(C87&amp;$BE$4,DogInfo!A:A,0),2),0))),"")</f>
        <v>0</v>
      </c>
    </row>
    <row r="88" spans="1:57" x14ac:dyDescent="0.25">
      <c r="A88" s="99">
        <v>24</v>
      </c>
      <c r="B88" s="100"/>
      <c r="C88" s="101"/>
      <c r="D88" s="102" t="str">
        <f>IF($C88="","",VLOOKUP($C88,'SDDA Dogs'!$A:$F,2,FALSE))</f>
        <v/>
      </c>
      <c r="E88" s="211">
        <f t="shared" si="99"/>
        <v>1</v>
      </c>
      <c r="F88" s="103" t="str">
        <f>IF($C88="","",IF(ISERROR(VLOOKUP($C88,$C$5:$AP$54,38,FALSE)=TRUE),VLOOKUP($C88,'SDDA Dogs'!$A:$O,13,FALSE),VLOOKUP($C88,$C$5:$AP$54,38,FALSE)))</f>
        <v/>
      </c>
      <c r="G88" s="137"/>
      <c r="H88" s="217"/>
      <c r="I88" s="84" t="str">
        <f t="shared" si="100"/>
        <v/>
      </c>
      <c r="J88" s="105">
        <f t="shared" si="57"/>
        <v>0</v>
      </c>
      <c r="K88" s="84" t="str">
        <f t="shared" si="101"/>
        <v/>
      </c>
      <c r="L88" s="105">
        <f t="shared" si="58"/>
        <v>0</v>
      </c>
      <c r="M88" s="84" t="str">
        <f t="shared" si="102"/>
        <v/>
      </c>
      <c r="N88" s="106" t="str">
        <f>IF($C88="","",IF(ISERROR(VLOOKUP($C88,$C$5:$AP$54,39,FALSE)=TRUE),VLOOKUP($C88,'SDDA Dogs'!$A:$O,14,FALSE),VLOOKUP($C88,$C$5:$AP$54,39,FALSE)))</f>
        <v/>
      </c>
      <c r="O88" s="137"/>
      <c r="P88" s="217"/>
      <c r="Q88" s="84" t="str">
        <f t="shared" si="103"/>
        <v/>
      </c>
      <c r="R88" s="105">
        <f t="shared" si="59"/>
        <v>0</v>
      </c>
      <c r="S88" s="84" t="str">
        <f t="shared" si="104"/>
        <v/>
      </c>
      <c r="T88" s="105">
        <f t="shared" si="60"/>
        <v>0</v>
      </c>
      <c r="U88" s="84" t="str">
        <f t="shared" si="105"/>
        <v/>
      </c>
      <c r="V88" s="106" t="str">
        <f>IF($C88="","",IF(ISERROR(VLOOKUP($C88,$C$5:$AP$54,40,FALSE)=TRUE),VLOOKUP($C88,'SDDA Dogs'!$A:$O,15,FALSE),VLOOKUP($C88,$C$5:$AP$54,40,FALSE)))</f>
        <v/>
      </c>
      <c r="W88" s="137"/>
      <c r="X88" s="217"/>
      <c r="Y88" s="84" t="str">
        <f t="shared" si="106"/>
        <v/>
      </c>
      <c r="Z88" s="105">
        <f t="shared" si="61"/>
        <v>0</v>
      </c>
      <c r="AA88" s="84" t="str">
        <f t="shared" si="107"/>
        <v/>
      </c>
      <c r="AB88" s="105">
        <f t="shared" si="62"/>
        <v>0</v>
      </c>
      <c r="AC88" s="84" t="str">
        <f t="shared" si="108"/>
        <v/>
      </c>
      <c r="AD88" s="92" t="str">
        <f t="shared" si="82"/>
        <v/>
      </c>
      <c r="AE88" s="89" t="str">
        <f t="shared" si="109"/>
        <v/>
      </c>
      <c r="AF88" s="104" t="str">
        <f t="shared" si="110"/>
        <v/>
      </c>
      <c r="AG88" s="107" t="str">
        <f t="shared" si="111"/>
        <v/>
      </c>
      <c r="AH88" s="92" t="str">
        <f t="shared" si="112"/>
        <v/>
      </c>
      <c r="AI88" s="89" t="str">
        <f t="shared" si="113"/>
        <v/>
      </c>
      <c r="AJ88" s="104" t="str">
        <f t="shared" si="114"/>
        <v/>
      </c>
      <c r="AK88" s="84" t="str">
        <f t="shared" si="115"/>
        <v/>
      </c>
      <c r="AL88" s="264" t="str">
        <f t="shared" si="116"/>
        <v/>
      </c>
      <c r="AM88" s="270">
        <f t="shared" si="63"/>
        <v>0</v>
      </c>
      <c r="AN88" s="270" t="str">
        <f t="shared" si="64"/>
        <v/>
      </c>
      <c r="AO88" s="270" t="str">
        <f t="shared" si="65"/>
        <v/>
      </c>
      <c r="AP88" s="270" t="str">
        <f t="shared" si="66"/>
        <v/>
      </c>
      <c r="AQ88" s="270">
        <f t="shared" si="117"/>
        <v>0</v>
      </c>
      <c r="AR88" s="316">
        <f>MIN(IFERROR(VLOOKUP($C88,'SDDA Dogs'!$A:$O,10,FALSE),0),IFERROR(VLOOKUP($C88,'SDDA Dogs'!$A:$O,11,FALSE),0),IFERROR(VLOOKUP($C88,'SDDA Dogs'!$A:$O,12,FALSE),0))</f>
        <v>0</v>
      </c>
      <c r="AS88" s="272"/>
      <c r="AT88" s="272"/>
      <c r="AU88" s="272" t="str">
        <f>IF(ISERROR(VLOOKUP(C88,'SDDA Dogs'!A:O,6,FALSE)),"",VLOOKUP(C88,'SDDA Dogs'!A:O,6,FALSE))</f>
        <v/>
      </c>
      <c r="AV88" s="270">
        <f t="shared" si="67"/>
        <v>0</v>
      </c>
      <c r="AW88" s="270">
        <f t="shared" si="68"/>
        <v>0</v>
      </c>
      <c r="AX88" s="273">
        <f t="shared" si="69"/>
        <v>0</v>
      </c>
      <c r="AY88" s="274"/>
      <c r="AZ88" s="275">
        <f t="shared" si="70"/>
        <v>0</v>
      </c>
      <c r="BA88" s="275">
        <f t="shared" si="71"/>
        <v>0</v>
      </c>
      <c r="BB88" s="276"/>
      <c r="BC88" s="274">
        <f>_xlfn.IFNA(IF(I88="Pass",IF(AND(G88&gt;=IFERROR(INDEX($C$5:$W$54,MATCH(C88,$C$5:$C$54,0),5),0),G88&gt;=IFERROR(INDEX(DogInfo!A:B,MATCH(C88&amp;$BC$4,DogInfo!A:A,0),2),0)),G88,IF(AND(IFERROR(INDEX($C$5:$W$54,MATCH(C88,$C$5:$C$54,0),5),0)&gt;=G88,IFERROR(INDEX($C$5:$W$54,MATCH(C88,$C$5:$C$54,0),5),0)&gt;=IFERROR(INDEX(DogInfo!A:B,MATCH(C88&amp;$BC$4,DogInfo!A:A,0),2),0)),IFERROR(INDEX($C$5:$W$54,MATCH(C88,$C$5:$C$54,0),5),0),IF(AND(IFERROR(INDEX(DogInfo!A:B,MATCH(C88&amp;$BC$4,DogInfo!A:A,0),2),0)&gt;=IFERROR(INDEX($C$5:$W$54,MATCH(C88,$C$5:$C$54,0),5),0),IFERROR(INDEX(DogInfo!A:B,MATCH(C88&amp;$BC$4,DogInfo!A:A,0),2),0)&gt;=G88),IFERROR(INDEX(DogInfo!A:B,MATCH(C88&amp;$BC$4,DogInfo!A:A,0),2),0),"Error"))),IFERROR(INDEX($C$5:$BE$54,MATCH(C88,$C$5:$C$54,0),53),IFERROR(INDEX(DogInfo!A:B,MATCH(C88&amp;$BC$4,DogInfo!A:A,0),2),0))),"")</f>
        <v>0</v>
      </c>
      <c r="BD88" s="274">
        <f>_xlfn.IFNA(IF(Q88="Pass",IF(AND(O88&gt;=IFERROR(INDEX($C$5:$W$54,MATCH(C88,$C$5:$C$54,0),13),0),O88&gt;=IFERROR(INDEX(DogInfo!A:B,MATCH(C88&amp;$BD$4,DogInfo!A:A,0),2),0)),O88,IF(AND(IFERROR(INDEX($C$5:$W$54,MATCH(C88,$C$5:$C$54,0),13),0)&gt;=O88,IFERROR(INDEX($C$5:$W$54,MATCH(C88,$C$5:$C$54,0),13),0)&gt;=IFERROR(INDEX(DogInfo!A:B,MATCH(C88&amp;$BD$4,DogInfo!A:A,0),2),0)),IFERROR(INDEX($C$5:$W$54,MATCH(C88,$C$5:$C$54,0),13),0),IF(AND(IFERROR(INDEX(DogInfo!A:B,MATCH(C88&amp;$BD$4,DogInfo!A:A,0),2),0)&gt;=IFERROR(INDEX($C$5:$W$54,MATCH(C88,$C$5:$C$54,0),13),0),IFERROR(INDEX(DogInfo!A:B,MATCH(C88&amp;$BD$4,DogInfo!A:A,0),2),0)&gt;=O88),IFERROR(INDEX(DogInfo!A:B,MATCH(C88&amp;$BD$4,DogInfo!A:A,0),2),0),"Error"))),IFERROR(INDEX($C$5:$BE$54,MATCH(C88,$C$5:$C$54,0),54),IFERROR(INDEX(DogInfo!A:B,MATCH(C88&amp;$BD$4,DogInfo!A:A,0),2),0))),"")</f>
        <v>0</v>
      </c>
      <c r="BE88" s="274">
        <f>_xlfn.IFNA(IF(Y88="Pass",IF(AND(W88&gt;=IFERROR(INDEX($C$5:$W$54,MATCH(C88,$C$5:$C$54,0),21),0),O88&gt;=IFERROR(INDEX(DogInfo!A:B,MATCH(C88&amp;$BE$4,DogInfo!A:A,0),2),0)),W88,IF(AND(IFERROR(INDEX($C$5:$W$54,MATCH(C88,$C$5:$C$54,0),21),0)&gt;=W88,IFERROR(INDEX($C$5:$W$54,MATCH(C88,$C$5:$C$54,0),21),0)&gt;=IFERROR(INDEX(DogInfo!A:B,MATCH(C88&amp;$BE$4,DogInfo!A:A,0),2),0)),IFERROR(INDEX($C$5:$W$54,MATCH(C88,$C$5:$C$54,0),21),0),IF(AND(IFERROR(INDEX(DogInfo!A:B,MATCH(C88&amp;$BE$4,DogInfo!A:A,0),2),0)&gt;=IFERROR(INDEX($C$5:$W$54,MATCH(C88,$C$5:$C$54,0),21),0),IFERROR(INDEX(DogInfo!A:B,MATCH(C88&amp;$BE$4,DogInfo!A:A,0),2),0)&gt;=W88),IFERROR(INDEX(DogInfo!A:B,MATCH(C88&amp;$BE$4,DogInfo!A:A,0),2),0),"Error"))),IFERROR(INDEX($C$5:$BE$54,MATCH(C88,$C$5:$C$54,0),55),IFERROR(INDEX(DogInfo!A:B,MATCH(C88&amp;$BE$4,DogInfo!A:A,0),2),0))),"")</f>
        <v>0</v>
      </c>
    </row>
    <row r="89" spans="1:57" x14ac:dyDescent="0.25">
      <c r="A89" s="99">
        <v>25</v>
      </c>
      <c r="B89" s="100"/>
      <c r="C89" s="101"/>
      <c r="D89" s="102" t="str">
        <f>IF($C89="","",VLOOKUP($C89,'SDDA Dogs'!$A:$F,2,FALSE))</f>
        <v/>
      </c>
      <c r="E89" s="211">
        <f t="shared" si="99"/>
        <v>1</v>
      </c>
      <c r="F89" s="103" t="str">
        <f>IF($C89="","",IF(ISERROR(VLOOKUP($C89,$C$5:$AP$54,38,FALSE)=TRUE),VLOOKUP($C89,'SDDA Dogs'!$A:$O,13,FALSE),VLOOKUP($C89,$C$5:$AP$54,38,FALSE)))</f>
        <v/>
      </c>
      <c r="G89" s="137"/>
      <c r="H89" s="217"/>
      <c r="I89" s="84" t="str">
        <f t="shared" si="100"/>
        <v/>
      </c>
      <c r="J89" s="105">
        <f t="shared" si="57"/>
        <v>0</v>
      </c>
      <c r="K89" s="84" t="str">
        <f t="shared" si="101"/>
        <v/>
      </c>
      <c r="L89" s="105">
        <f t="shared" si="58"/>
        <v>0</v>
      </c>
      <c r="M89" s="84" t="str">
        <f t="shared" si="102"/>
        <v/>
      </c>
      <c r="N89" s="106" t="str">
        <f>IF($C89="","",IF(ISERROR(VLOOKUP($C89,$C$5:$AP$54,39,FALSE)=TRUE),VLOOKUP($C89,'SDDA Dogs'!$A:$O,14,FALSE),VLOOKUP($C89,$C$5:$AP$54,39,FALSE)))</f>
        <v/>
      </c>
      <c r="O89" s="137"/>
      <c r="P89" s="217"/>
      <c r="Q89" s="84" t="str">
        <f t="shared" si="103"/>
        <v/>
      </c>
      <c r="R89" s="105">
        <f t="shared" si="59"/>
        <v>0</v>
      </c>
      <c r="S89" s="84" t="str">
        <f t="shared" si="104"/>
        <v/>
      </c>
      <c r="T89" s="105">
        <f t="shared" si="60"/>
        <v>0</v>
      </c>
      <c r="U89" s="84" t="str">
        <f t="shared" si="105"/>
        <v/>
      </c>
      <c r="V89" s="106" t="str">
        <f>IF($C89="","",IF(ISERROR(VLOOKUP($C89,$C$5:$AP$54,40,FALSE)=TRUE),VLOOKUP($C89,'SDDA Dogs'!$A:$O,15,FALSE),VLOOKUP($C89,$C$5:$AP$54,40,FALSE)))</f>
        <v/>
      </c>
      <c r="W89" s="137"/>
      <c r="X89" s="217"/>
      <c r="Y89" s="84" t="str">
        <f t="shared" si="106"/>
        <v/>
      </c>
      <c r="Z89" s="105">
        <f t="shared" si="61"/>
        <v>0</v>
      </c>
      <c r="AA89" s="84" t="str">
        <f t="shared" si="107"/>
        <v/>
      </c>
      <c r="AB89" s="105">
        <f t="shared" si="62"/>
        <v>0</v>
      </c>
      <c r="AC89" s="84" t="str">
        <f t="shared" si="108"/>
        <v/>
      </c>
      <c r="AD89" s="92" t="str">
        <f t="shared" si="82"/>
        <v/>
      </c>
      <c r="AE89" s="89" t="str">
        <f t="shared" si="109"/>
        <v/>
      </c>
      <c r="AF89" s="104" t="str">
        <f t="shared" si="110"/>
        <v/>
      </c>
      <c r="AG89" s="107" t="str">
        <f t="shared" si="111"/>
        <v/>
      </c>
      <c r="AH89" s="92" t="str">
        <f t="shared" si="112"/>
        <v/>
      </c>
      <c r="AI89" s="89" t="str">
        <f t="shared" si="113"/>
        <v/>
      </c>
      <c r="AJ89" s="104" t="str">
        <f t="shared" si="114"/>
        <v/>
      </c>
      <c r="AK89" s="84" t="str">
        <f t="shared" si="115"/>
        <v/>
      </c>
      <c r="AL89" s="265" t="str">
        <f t="shared" si="116"/>
        <v/>
      </c>
      <c r="AM89" s="270">
        <f t="shared" si="63"/>
        <v>0</v>
      </c>
      <c r="AN89" s="270" t="str">
        <f t="shared" si="64"/>
        <v/>
      </c>
      <c r="AO89" s="270" t="str">
        <f t="shared" si="65"/>
        <v/>
      </c>
      <c r="AP89" s="270" t="str">
        <f t="shared" si="66"/>
        <v/>
      </c>
      <c r="AQ89" s="270">
        <f t="shared" si="117"/>
        <v>0</v>
      </c>
      <c r="AR89" s="316">
        <f>MIN(IFERROR(VLOOKUP($C89,'SDDA Dogs'!$A:$O,10,FALSE),0),IFERROR(VLOOKUP($C89,'SDDA Dogs'!$A:$O,11,FALSE),0),IFERROR(VLOOKUP($C89,'SDDA Dogs'!$A:$O,12,FALSE),0))</f>
        <v>0</v>
      </c>
      <c r="AS89" s="272"/>
      <c r="AT89" s="272"/>
      <c r="AU89" s="272" t="str">
        <f>IF(ISERROR(VLOOKUP(C89,'SDDA Dogs'!A:O,6,FALSE)),"",VLOOKUP(C89,'SDDA Dogs'!A:O,6,FALSE))</f>
        <v/>
      </c>
      <c r="AV89" s="270">
        <f t="shared" si="67"/>
        <v>0</v>
      </c>
      <c r="AW89" s="270">
        <f t="shared" si="68"/>
        <v>0</v>
      </c>
      <c r="AX89" s="273">
        <f t="shared" si="69"/>
        <v>0</v>
      </c>
      <c r="AY89" s="274"/>
      <c r="AZ89" s="275">
        <f t="shared" si="70"/>
        <v>0</v>
      </c>
      <c r="BA89" s="275">
        <f t="shared" si="71"/>
        <v>0</v>
      </c>
      <c r="BB89" s="276"/>
      <c r="BC89" s="274">
        <f>_xlfn.IFNA(IF(I89="Pass",IF(AND(G89&gt;=IFERROR(INDEX($C$5:$W$54,MATCH(C89,$C$5:$C$54,0),5),0),G89&gt;=IFERROR(INDEX(DogInfo!A:B,MATCH(C89&amp;$BC$4,DogInfo!A:A,0),2),0)),G89,IF(AND(IFERROR(INDEX($C$5:$W$54,MATCH(C89,$C$5:$C$54,0),5),0)&gt;=G89,IFERROR(INDEX($C$5:$W$54,MATCH(C89,$C$5:$C$54,0),5),0)&gt;=IFERROR(INDEX(DogInfo!A:B,MATCH(C89&amp;$BC$4,DogInfo!A:A,0),2),0)),IFERROR(INDEX($C$5:$W$54,MATCH(C89,$C$5:$C$54,0),5),0),IF(AND(IFERROR(INDEX(DogInfo!A:B,MATCH(C89&amp;$BC$4,DogInfo!A:A,0),2),0)&gt;=IFERROR(INDEX($C$5:$W$54,MATCH(C89,$C$5:$C$54,0),5),0),IFERROR(INDEX(DogInfo!A:B,MATCH(C89&amp;$BC$4,DogInfo!A:A,0),2),0)&gt;=G89),IFERROR(INDEX(DogInfo!A:B,MATCH(C89&amp;$BC$4,DogInfo!A:A,0),2),0),"Error"))),IFERROR(INDEX($C$5:$BE$54,MATCH(C89,$C$5:$C$54,0),53),IFERROR(INDEX(DogInfo!A:B,MATCH(C89&amp;$BC$4,DogInfo!A:A,0),2),0))),"")</f>
        <v>0</v>
      </c>
      <c r="BD89" s="274">
        <f>_xlfn.IFNA(IF(Q89="Pass",IF(AND(O89&gt;=IFERROR(INDEX($C$5:$W$54,MATCH(C89,$C$5:$C$54,0),13),0),O89&gt;=IFERROR(INDEX(DogInfo!A:B,MATCH(C89&amp;$BD$4,DogInfo!A:A,0),2),0)),O89,IF(AND(IFERROR(INDEX($C$5:$W$54,MATCH(C89,$C$5:$C$54,0),13),0)&gt;=O89,IFERROR(INDEX($C$5:$W$54,MATCH(C89,$C$5:$C$54,0),13),0)&gt;=IFERROR(INDEX(DogInfo!A:B,MATCH(C89&amp;$BD$4,DogInfo!A:A,0),2),0)),IFERROR(INDEX($C$5:$W$54,MATCH(C89,$C$5:$C$54,0),13),0),IF(AND(IFERROR(INDEX(DogInfo!A:B,MATCH(C89&amp;$BD$4,DogInfo!A:A,0),2),0)&gt;=IFERROR(INDEX($C$5:$W$54,MATCH(C89,$C$5:$C$54,0),13),0),IFERROR(INDEX(DogInfo!A:B,MATCH(C89&amp;$BD$4,DogInfo!A:A,0),2),0)&gt;=O89),IFERROR(INDEX(DogInfo!A:B,MATCH(C89&amp;$BD$4,DogInfo!A:A,0),2),0),"Error"))),IFERROR(INDEX($C$5:$BE$54,MATCH(C89,$C$5:$C$54,0),54),IFERROR(INDEX(DogInfo!A:B,MATCH(C89&amp;$BD$4,DogInfo!A:A,0),2),0))),"")</f>
        <v>0</v>
      </c>
      <c r="BE89" s="274">
        <f>_xlfn.IFNA(IF(Y89="Pass",IF(AND(W89&gt;=IFERROR(INDEX($C$5:$W$54,MATCH(C89,$C$5:$C$54,0),21),0),O89&gt;=IFERROR(INDEX(DogInfo!A:B,MATCH(C89&amp;$BE$4,DogInfo!A:A,0),2),0)),W89,IF(AND(IFERROR(INDEX($C$5:$W$54,MATCH(C89,$C$5:$C$54,0),21),0)&gt;=W89,IFERROR(INDEX($C$5:$W$54,MATCH(C89,$C$5:$C$54,0),21),0)&gt;=IFERROR(INDEX(DogInfo!A:B,MATCH(C89&amp;$BE$4,DogInfo!A:A,0),2),0)),IFERROR(INDEX($C$5:$W$54,MATCH(C89,$C$5:$C$54,0),21),0),IF(AND(IFERROR(INDEX(DogInfo!A:B,MATCH(C89&amp;$BE$4,DogInfo!A:A,0),2),0)&gt;=IFERROR(INDEX($C$5:$W$54,MATCH(C89,$C$5:$C$54,0),21),0),IFERROR(INDEX(DogInfo!A:B,MATCH(C89&amp;$BE$4,DogInfo!A:A,0),2),0)&gt;=W89),IFERROR(INDEX(DogInfo!A:B,MATCH(C89&amp;$BE$4,DogInfo!A:A,0),2),0),"Error"))),IFERROR(INDEX($C$5:$BE$54,MATCH(C89,$C$5:$C$54,0),55),IFERROR(INDEX(DogInfo!A:B,MATCH(C89&amp;$BE$4,DogInfo!A:A,0),2),0))),"")</f>
        <v>0</v>
      </c>
    </row>
    <row r="90" spans="1:57" x14ac:dyDescent="0.25">
      <c r="A90" s="99">
        <v>26</v>
      </c>
      <c r="B90" s="100"/>
      <c r="C90" s="101"/>
      <c r="D90" s="102" t="str">
        <f>IF($C90="","",VLOOKUP($C90,'SDDA Dogs'!$A:$F,2,FALSE))</f>
        <v/>
      </c>
      <c r="E90" s="211">
        <f t="shared" si="99"/>
        <v>1</v>
      </c>
      <c r="F90" s="103" t="str">
        <f>IF($C90="","",IF(ISERROR(VLOOKUP($C90,$C$5:$AP$54,38,FALSE)=TRUE),VLOOKUP($C90,'SDDA Dogs'!$A:$O,13,FALSE),VLOOKUP($C90,$C$5:$AP$54,38,FALSE)))</f>
        <v/>
      </c>
      <c r="G90" s="137"/>
      <c r="H90" s="217"/>
      <c r="I90" s="84" t="str">
        <f t="shared" si="100"/>
        <v/>
      </c>
      <c r="J90" s="105">
        <f t="shared" si="57"/>
        <v>0</v>
      </c>
      <c r="K90" s="84" t="str">
        <f t="shared" si="101"/>
        <v/>
      </c>
      <c r="L90" s="105">
        <f t="shared" si="58"/>
        <v>0</v>
      </c>
      <c r="M90" s="84" t="str">
        <f t="shared" si="102"/>
        <v/>
      </c>
      <c r="N90" s="106" t="str">
        <f>IF($C90="","",IF(ISERROR(VLOOKUP($C90,$C$5:$AP$54,39,FALSE)=TRUE),VLOOKUP($C90,'SDDA Dogs'!$A:$O,14,FALSE),VLOOKUP($C90,$C$5:$AP$54,39,FALSE)))</f>
        <v/>
      </c>
      <c r="O90" s="137"/>
      <c r="P90" s="217"/>
      <c r="Q90" s="84" t="str">
        <f t="shared" si="103"/>
        <v/>
      </c>
      <c r="R90" s="105">
        <f t="shared" si="59"/>
        <v>0</v>
      </c>
      <c r="S90" s="84" t="str">
        <f t="shared" si="104"/>
        <v/>
      </c>
      <c r="T90" s="105">
        <f t="shared" si="60"/>
        <v>0</v>
      </c>
      <c r="U90" s="84" t="str">
        <f t="shared" si="105"/>
        <v/>
      </c>
      <c r="V90" s="106" t="str">
        <f>IF($C90="","",IF(ISERROR(VLOOKUP($C90,$C$5:$AP$54,40,FALSE)=TRUE),VLOOKUP($C90,'SDDA Dogs'!$A:$O,15,FALSE),VLOOKUP($C90,$C$5:$AP$54,40,FALSE)))</f>
        <v/>
      </c>
      <c r="W90" s="137"/>
      <c r="X90" s="217"/>
      <c r="Y90" s="84" t="str">
        <f t="shared" si="106"/>
        <v/>
      </c>
      <c r="Z90" s="105">
        <f t="shared" si="61"/>
        <v>0</v>
      </c>
      <c r="AA90" s="84" t="str">
        <f t="shared" si="107"/>
        <v/>
      </c>
      <c r="AB90" s="105">
        <f t="shared" si="62"/>
        <v>0</v>
      </c>
      <c r="AC90" s="84" t="str">
        <f t="shared" si="108"/>
        <v/>
      </c>
      <c r="AD90" s="92" t="str">
        <f t="shared" si="82"/>
        <v/>
      </c>
      <c r="AE90" s="89" t="str">
        <f t="shared" si="109"/>
        <v/>
      </c>
      <c r="AF90" s="104" t="str">
        <f t="shared" si="110"/>
        <v/>
      </c>
      <c r="AG90" s="107" t="str">
        <f t="shared" si="111"/>
        <v/>
      </c>
      <c r="AH90" s="92" t="str">
        <f t="shared" si="112"/>
        <v/>
      </c>
      <c r="AI90" s="89" t="str">
        <f t="shared" si="113"/>
        <v/>
      </c>
      <c r="AJ90" s="104" t="str">
        <f t="shared" si="114"/>
        <v/>
      </c>
      <c r="AK90" s="84" t="str">
        <f t="shared" si="115"/>
        <v/>
      </c>
      <c r="AL90" s="265" t="str">
        <f t="shared" si="116"/>
        <v/>
      </c>
      <c r="AM90" s="270">
        <f t="shared" si="63"/>
        <v>0</v>
      </c>
      <c r="AN90" s="270" t="str">
        <f t="shared" si="64"/>
        <v/>
      </c>
      <c r="AO90" s="270" t="str">
        <f t="shared" si="65"/>
        <v/>
      </c>
      <c r="AP90" s="270" t="str">
        <f t="shared" si="66"/>
        <v/>
      </c>
      <c r="AQ90" s="270">
        <f t="shared" si="117"/>
        <v>0</v>
      </c>
      <c r="AR90" s="316">
        <f>MIN(IFERROR(VLOOKUP($C90,'SDDA Dogs'!$A:$O,10,FALSE),0),IFERROR(VLOOKUP($C90,'SDDA Dogs'!$A:$O,11,FALSE),0),IFERROR(VLOOKUP($C90,'SDDA Dogs'!$A:$O,12,FALSE),0))</f>
        <v>0</v>
      </c>
      <c r="AS90" s="272"/>
      <c r="AT90" s="272"/>
      <c r="AU90" s="272" t="str">
        <f>IF(ISERROR(VLOOKUP(C90,'SDDA Dogs'!A:O,6,FALSE)),"",VLOOKUP(C90,'SDDA Dogs'!A:O,6,FALSE))</f>
        <v/>
      </c>
      <c r="AV90" s="270">
        <f t="shared" si="67"/>
        <v>0</v>
      </c>
      <c r="AW90" s="270">
        <f t="shared" si="68"/>
        <v>0</v>
      </c>
      <c r="AX90" s="273">
        <f t="shared" si="69"/>
        <v>0</v>
      </c>
      <c r="AY90" s="274"/>
      <c r="AZ90" s="275">
        <f t="shared" si="70"/>
        <v>0</v>
      </c>
      <c r="BA90" s="275">
        <f t="shared" si="71"/>
        <v>0</v>
      </c>
      <c r="BB90" s="276"/>
      <c r="BC90" s="274">
        <f>_xlfn.IFNA(IF(I90="Pass",IF(AND(G90&gt;=IFERROR(INDEX($C$5:$W$54,MATCH(C90,$C$5:$C$54,0),5),0),G90&gt;=IFERROR(INDEX(DogInfo!A:B,MATCH(C90&amp;$BC$4,DogInfo!A:A,0),2),0)),G90,IF(AND(IFERROR(INDEX($C$5:$W$54,MATCH(C90,$C$5:$C$54,0),5),0)&gt;=G90,IFERROR(INDEX($C$5:$W$54,MATCH(C90,$C$5:$C$54,0),5),0)&gt;=IFERROR(INDEX(DogInfo!A:B,MATCH(C90&amp;$BC$4,DogInfo!A:A,0),2),0)),IFERROR(INDEX($C$5:$W$54,MATCH(C90,$C$5:$C$54,0),5),0),IF(AND(IFERROR(INDEX(DogInfo!A:B,MATCH(C90&amp;$BC$4,DogInfo!A:A,0),2),0)&gt;=IFERROR(INDEX($C$5:$W$54,MATCH(C90,$C$5:$C$54,0),5),0),IFERROR(INDEX(DogInfo!A:B,MATCH(C90&amp;$BC$4,DogInfo!A:A,0),2),0)&gt;=G90),IFERROR(INDEX(DogInfo!A:B,MATCH(C90&amp;$BC$4,DogInfo!A:A,0),2),0),"Error"))),IFERROR(INDEX($C$5:$BE$54,MATCH(C90,$C$5:$C$54,0),53),IFERROR(INDEX(DogInfo!A:B,MATCH(C90&amp;$BC$4,DogInfo!A:A,0),2),0))),"")</f>
        <v>0</v>
      </c>
      <c r="BD90" s="274">
        <f>_xlfn.IFNA(IF(Q90="Pass",IF(AND(O90&gt;=IFERROR(INDEX($C$5:$W$54,MATCH(C90,$C$5:$C$54,0),13),0),O90&gt;=IFERROR(INDEX(DogInfo!A:B,MATCH(C90&amp;$BD$4,DogInfo!A:A,0),2),0)),O90,IF(AND(IFERROR(INDEX($C$5:$W$54,MATCH(C90,$C$5:$C$54,0),13),0)&gt;=O90,IFERROR(INDEX($C$5:$W$54,MATCH(C90,$C$5:$C$54,0),13),0)&gt;=IFERROR(INDEX(DogInfo!A:B,MATCH(C90&amp;$BD$4,DogInfo!A:A,0),2),0)),IFERROR(INDEX($C$5:$W$54,MATCH(C90,$C$5:$C$54,0),13),0),IF(AND(IFERROR(INDEX(DogInfo!A:B,MATCH(C90&amp;$BD$4,DogInfo!A:A,0),2),0)&gt;=IFERROR(INDEX($C$5:$W$54,MATCH(C90,$C$5:$C$54,0),13),0),IFERROR(INDEX(DogInfo!A:B,MATCH(C90&amp;$BD$4,DogInfo!A:A,0),2),0)&gt;=O90),IFERROR(INDEX(DogInfo!A:B,MATCH(C90&amp;$BD$4,DogInfo!A:A,0),2),0),"Error"))),IFERROR(INDEX($C$5:$BE$54,MATCH(C90,$C$5:$C$54,0),54),IFERROR(INDEX(DogInfo!A:B,MATCH(C90&amp;$BD$4,DogInfo!A:A,0),2),0))),"")</f>
        <v>0</v>
      </c>
      <c r="BE90" s="274">
        <f>_xlfn.IFNA(IF(Y90="Pass",IF(AND(W90&gt;=IFERROR(INDEX($C$5:$W$54,MATCH(C90,$C$5:$C$54,0),21),0),O90&gt;=IFERROR(INDEX(DogInfo!A:B,MATCH(C90&amp;$BE$4,DogInfo!A:A,0),2),0)),W90,IF(AND(IFERROR(INDEX($C$5:$W$54,MATCH(C90,$C$5:$C$54,0),21),0)&gt;=W90,IFERROR(INDEX($C$5:$W$54,MATCH(C90,$C$5:$C$54,0),21),0)&gt;=IFERROR(INDEX(DogInfo!A:B,MATCH(C90&amp;$BE$4,DogInfo!A:A,0),2),0)),IFERROR(INDEX($C$5:$W$54,MATCH(C90,$C$5:$C$54,0),21),0),IF(AND(IFERROR(INDEX(DogInfo!A:B,MATCH(C90&amp;$BE$4,DogInfo!A:A,0),2),0)&gt;=IFERROR(INDEX($C$5:$W$54,MATCH(C90,$C$5:$C$54,0),21),0),IFERROR(INDEX(DogInfo!A:B,MATCH(C90&amp;$BE$4,DogInfo!A:A,0),2),0)&gt;=W90),IFERROR(INDEX(DogInfo!A:B,MATCH(C90&amp;$BE$4,DogInfo!A:A,0),2),0),"Error"))),IFERROR(INDEX($C$5:$BE$54,MATCH(C90,$C$5:$C$54,0),55),IFERROR(INDEX(DogInfo!A:B,MATCH(C90&amp;$BE$4,DogInfo!A:A,0),2),0))),"")</f>
        <v>0</v>
      </c>
    </row>
    <row r="91" spans="1:57" x14ac:dyDescent="0.25">
      <c r="A91" s="99">
        <v>27</v>
      </c>
      <c r="B91" s="100"/>
      <c r="C91" s="101"/>
      <c r="D91" s="102" t="str">
        <f>IF($C91="","",VLOOKUP($C91,'SDDA Dogs'!$A:$F,2,FALSE))</f>
        <v/>
      </c>
      <c r="E91" s="211">
        <f t="shared" si="99"/>
        <v>1</v>
      </c>
      <c r="F91" s="103" t="str">
        <f>IF($C91="","",IF(ISERROR(VLOOKUP($C91,$C$5:$AP$54,38,FALSE)=TRUE),VLOOKUP($C91,'SDDA Dogs'!$A:$O,13,FALSE),VLOOKUP($C91,$C$5:$AP$54,38,FALSE)))</f>
        <v/>
      </c>
      <c r="G91" s="137"/>
      <c r="H91" s="217"/>
      <c r="I91" s="84" t="str">
        <f t="shared" si="100"/>
        <v/>
      </c>
      <c r="J91" s="105">
        <f t="shared" si="57"/>
        <v>0</v>
      </c>
      <c r="K91" s="84" t="str">
        <f t="shared" si="101"/>
        <v/>
      </c>
      <c r="L91" s="105">
        <f t="shared" si="58"/>
        <v>0</v>
      </c>
      <c r="M91" s="84" t="str">
        <f t="shared" si="102"/>
        <v/>
      </c>
      <c r="N91" s="106" t="str">
        <f>IF($C91="","",IF(ISERROR(VLOOKUP($C91,$C$5:$AP$54,39,FALSE)=TRUE),VLOOKUP($C91,'SDDA Dogs'!$A:$O,14,FALSE),VLOOKUP($C91,$C$5:$AP$54,39,FALSE)))</f>
        <v/>
      </c>
      <c r="O91" s="137"/>
      <c r="P91" s="217"/>
      <c r="Q91" s="84" t="str">
        <f t="shared" si="103"/>
        <v/>
      </c>
      <c r="R91" s="105">
        <f t="shared" si="59"/>
        <v>0</v>
      </c>
      <c r="S91" s="84" t="str">
        <f t="shared" si="104"/>
        <v/>
      </c>
      <c r="T91" s="105">
        <f t="shared" si="60"/>
        <v>0</v>
      </c>
      <c r="U91" s="84" t="str">
        <f t="shared" si="105"/>
        <v/>
      </c>
      <c r="V91" s="106" t="str">
        <f>IF($C91="","",IF(ISERROR(VLOOKUP($C91,$C$5:$AP$54,40,FALSE)=TRUE),VLOOKUP($C91,'SDDA Dogs'!$A:$O,15,FALSE),VLOOKUP($C91,$C$5:$AP$54,40,FALSE)))</f>
        <v/>
      </c>
      <c r="W91" s="137"/>
      <c r="X91" s="217"/>
      <c r="Y91" s="84" t="str">
        <f t="shared" si="106"/>
        <v/>
      </c>
      <c r="Z91" s="105">
        <f t="shared" si="61"/>
        <v>0</v>
      </c>
      <c r="AA91" s="84" t="str">
        <f t="shared" si="107"/>
        <v/>
      </c>
      <c r="AB91" s="105">
        <f t="shared" si="62"/>
        <v>0</v>
      </c>
      <c r="AC91" s="84" t="str">
        <f t="shared" si="108"/>
        <v/>
      </c>
      <c r="AD91" s="92" t="str">
        <f t="shared" si="82"/>
        <v/>
      </c>
      <c r="AE91" s="89" t="str">
        <f t="shared" si="109"/>
        <v/>
      </c>
      <c r="AF91" s="104" t="str">
        <f t="shared" si="110"/>
        <v/>
      </c>
      <c r="AG91" s="107" t="str">
        <f t="shared" si="111"/>
        <v/>
      </c>
      <c r="AH91" s="92" t="str">
        <f t="shared" si="112"/>
        <v/>
      </c>
      <c r="AI91" s="89" t="str">
        <f t="shared" si="113"/>
        <v/>
      </c>
      <c r="AJ91" s="104" t="str">
        <f t="shared" si="114"/>
        <v/>
      </c>
      <c r="AK91" s="84" t="str">
        <f t="shared" si="115"/>
        <v/>
      </c>
      <c r="AL91" s="265" t="str">
        <f t="shared" si="116"/>
        <v/>
      </c>
      <c r="AM91" s="270">
        <f t="shared" si="63"/>
        <v>0</v>
      </c>
      <c r="AN91" s="270" t="str">
        <f t="shared" si="64"/>
        <v/>
      </c>
      <c r="AO91" s="270" t="str">
        <f t="shared" si="65"/>
        <v/>
      </c>
      <c r="AP91" s="270" t="str">
        <f t="shared" si="66"/>
        <v/>
      </c>
      <c r="AQ91" s="270">
        <f t="shared" si="117"/>
        <v>0</v>
      </c>
      <c r="AR91" s="316">
        <f>MIN(IFERROR(VLOOKUP($C91,'SDDA Dogs'!$A:$O,10,FALSE),0),IFERROR(VLOOKUP($C91,'SDDA Dogs'!$A:$O,11,FALSE),0),IFERROR(VLOOKUP($C91,'SDDA Dogs'!$A:$O,12,FALSE),0))</f>
        <v>0</v>
      </c>
      <c r="AS91" s="272"/>
      <c r="AT91" s="272"/>
      <c r="AU91" s="272" t="str">
        <f>IF(ISERROR(VLOOKUP(C91,'SDDA Dogs'!A:O,6,FALSE)),"",VLOOKUP(C91,'SDDA Dogs'!A:O,6,FALSE))</f>
        <v/>
      </c>
      <c r="AV91" s="270">
        <f t="shared" si="67"/>
        <v>0</v>
      </c>
      <c r="AW91" s="270">
        <f t="shared" si="68"/>
        <v>0</v>
      </c>
      <c r="AX91" s="273">
        <f t="shared" si="69"/>
        <v>0</v>
      </c>
      <c r="AY91" s="274"/>
      <c r="AZ91" s="275">
        <f t="shared" si="70"/>
        <v>0</v>
      </c>
      <c r="BA91" s="275">
        <f t="shared" si="71"/>
        <v>0</v>
      </c>
      <c r="BB91" s="276"/>
      <c r="BC91" s="274">
        <f>_xlfn.IFNA(IF(I91="Pass",IF(AND(G91&gt;=IFERROR(INDEX($C$5:$W$54,MATCH(C91,$C$5:$C$54,0),5),0),G91&gt;=IFERROR(INDEX(DogInfo!A:B,MATCH(C91&amp;$BC$4,DogInfo!A:A,0),2),0)),G91,IF(AND(IFERROR(INDEX($C$5:$W$54,MATCH(C91,$C$5:$C$54,0),5),0)&gt;=G91,IFERROR(INDEX($C$5:$W$54,MATCH(C91,$C$5:$C$54,0),5),0)&gt;=IFERROR(INDEX(DogInfo!A:B,MATCH(C91&amp;$BC$4,DogInfo!A:A,0),2),0)),IFERROR(INDEX($C$5:$W$54,MATCH(C91,$C$5:$C$54,0),5),0),IF(AND(IFERROR(INDEX(DogInfo!A:B,MATCH(C91&amp;$BC$4,DogInfo!A:A,0),2),0)&gt;=IFERROR(INDEX($C$5:$W$54,MATCH(C91,$C$5:$C$54,0),5),0),IFERROR(INDEX(DogInfo!A:B,MATCH(C91&amp;$BC$4,DogInfo!A:A,0),2),0)&gt;=G91),IFERROR(INDEX(DogInfo!A:B,MATCH(C91&amp;$BC$4,DogInfo!A:A,0),2),0),"Error"))),IFERROR(INDEX($C$5:$BE$54,MATCH(C91,$C$5:$C$54,0),53),IFERROR(INDEX(DogInfo!A:B,MATCH(C91&amp;$BC$4,DogInfo!A:A,0),2),0))),"")</f>
        <v>0</v>
      </c>
      <c r="BD91" s="274">
        <f>_xlfn.IFNA(IF(Q91="Pass",IF(AND(O91&gt;=IFERROR(INDEX($C$5:$W$54,MATCH(C91,$C$5:$C$54,0),13),0),O91&gt;=IFERROR(INDEX(DogInfo!A:B,MATCH(C91&amp;$BD$4,DogInfo!A:A,0),2),0)),O91,IF(AND(IFERROR(INDEX($C$5:$W$54,MATCH(C91,$C$5:$C$54,0),13),0)&gt;=O91,IFERROR(INDEX($C$5:$W$54,MATCH(C91,$C$5:$C$54,0),13),0)&gt;=IFERROR(INDEX(DogInfo!A:B,MATCH(C91&amp;$BD$4,DogInfo!A:A,0),2),0)),IFERROR(INDEX($C$5:$W$54,MATCH(C91,$C$5:$C$54,0),13),0),IF(AND(IFERROR(INDEX(DogInfo!A:B,MATCH(C91&amp;$BD$4,DogInfo!A:A,0),2),0)&gt;=IFERROR(INDEX($C$5:$W$54,MATCH(C91,$C$5:$C$54,0),13),0),IFERROR(INDEX(DogInfo!A:B,MATCH(C91&amp;$BD$4,DogInfo!A:A,0),2),0)&gt;=O91),IFERROR(INDEX(DogInfo!A:B,MATCH(C91&amp;$BD$4,DogInfo!A:A,0),2),0),"Error"))),IFERROR(INDEX($C$5:$BE$54,MATCH(C91,$C$5:$C$54,0),54),IFERROR(INDEX(DogInfo!A:B,MATCH(C91&amp;$BD$4,DogInfo!A:A,0),2),0))),"")</f>
        <v>0</v>
      </c>
      <c r="BE91" s="274">
        <f>_xlfn.IFNA(IF(Y91="Pass",IF(AND(W91&gt;=IFERROR(INDEX($C$5:$W$54,MATCH(C91,$C$5:$C$54,0),21),0),O91&gt;=IFERROR(INDEX(DogInfo!A:B,MATCH(C91&amp;$BE$4,DogInfo!A:A,0),2),0)),W91,IF(AND(IFERROR(INDEX($C$5:$W$54,MATCH(C91,$C$5:$C$54,0),21),0)&gt;=W91,IFERROR(INDEX($C$5:$W$54,MATCH(C91,$C$5:$C$54,0),21),0)&gt;=IFERROR(INDEX(DogInfo!A:B,MATCH(C91&amp;$BE$4,DogInfo!A:A,0),2),0)),IFERROR(INDEX($C$5:$W$54,MATCH(C91,$C$5:$C$54,0),21),0),IF(AND(IFERROR(INDEX(DogInfo!A:B,MATCH(C91&amp;$BE$4,DogInfo!A:A,0),2),0)&gt;=IFERROR(INDEX($C$5:$W$54,MATCH(C91,$C$5:$C$54,0),21),0),IFERROR(INDEX(DogInfo!A:B,MATCH(C91&amp;$BE$4,DogInfo!A:A,0),2),0)&gt;=W91),IFERROR(INDEX(DogInfo!A:B,MATCH(C91&amp;$BE$4,DogInfo!A:A,0),2),0),"Error"))),IFERROR(INDEX($C$5:$BE$54,MATCH(C91,$C$5:$C$54,0),55),IFERROR(INDEX(DogInfo!A:B,MATCH(C91&amp;$BE$4,DogInfo!A:A,0),2),0))),"")</f>
        <v>0</v>
      </c>
    </row>
    <row r="92" spans="1:57" x14ac:dyDescent="0.25">
      <c r="A92" s="99">
        <v>28</v>
      </c>
      <c r="B92" s="100"/>
      <c r="C92" s="101"/>
      <c r="D92" s="102" t="str">
        <f>IF($C92="","",VLOOKUP($C92,'SDDA Dogs'!$A:$F,2,FALSE))</f>
        <v/>
      </c>
      <c r="E92" s="211">
        <f t="shared" si="99"/>
        <v>1</v>
      </c>
      <c r="F92" s="103" t="str">
        <f>IF($C92="","",IF(ISERROR(VLOOKUP($C92,$C$5:$AP$54,38,FALSE)=TRUE),VLOOKUP($C92,'SDDA Dogs'!$A:$O,13,FALSE),VLOOKUP($C92,$C$5:$AP$54,38,FALSE)))</f>
        <v/>
      </c>
      <c r="G92" s="137"/>
      <c r="H92" s="217"/>
      <c r="I92" s="84" t="str">
        <f t="shared" si="100"/>
        <v/>
      </c>
      <c r="J92" s="105">
        <f t="shared" si="57"/>
        <v>0</v>
      </c>
      <c r="K92" s="84" t="str">
        <f t="shared" si="101"/>
        <v/>
      </c>
      <c r="L92" s="105">
        <f t="shared" si="58"/>
        <v>0</v>
      </c>
      <c r="M92" s="84" t="str">
        <f t="shared" si="102"/>
        <v/>
      </c>
      <c r="N92" s="106" t="str">
        <f>IF($C92="","",IF(ISERROR(VLOOKUP($C92,$C$5:$AP$54,39,FALSE)=TRUE),VLOOKUP($C92,'SDDA Dogs'!$A:$O,14,FALSE),VLOOKUP($C92,$C$5:$AP$54,39,FALSE)))</f>
        <v/>
      </c>
      <c r="O92" s="137"/>
      <c r="P92" s="217"/>
      <c r="Q92" s="84" t="str">
        <f t="shared" si="103"/>
        <v/>
      </c>
      <c r="R92" s="105">
        <f t="shared" si="59"/>
        <v>0</v>
      </c>
      <c r="S92" s="84" t="str">
        <f t="shared" si="104"/>
        <v/>
      </c>
      <c r="T92" s="105">
        <f t="shared" si="60"/>
        <v>0</v>
      </c>
      <c r="U92" s="84" t="str">
        <f t="shared" si="105"/>
        <v/>
      </c>
      <c r="V92" s="106" t="str">
        <f>IF($C92="","",IF(ISERROR(VLOOKUP($C92,$C$5:$AP$54,40,FALSE)=TRUE),VLOOKUP($C92,'SDDA Dogs'!$A:$O,15,FALSE),VLOOKUP($C92,$C$5:$AP$54,40,FALSE)))</f>
        <v/>
      </c>
      <c r="W92" s="137"/>
      <c r="X92" s="217"/>
      <c r="Y92" s="84" t="str">
        <f t="shared" si="106"/>
        <v/>
      </c>
      <c r="Z92" s="105">
        <f t="shared" si="61"/>
        <v>0</v>
      </c>
      <c r="AA92" s="84" t="str">
        <f t="shared" si="107"/>
        <v/>
      </c>
      <c r="AB92" s="105">
        <f t="shared" si="62"/>
        <v>0</v>
      </c>
      <c r="AC92" s="84" t="str">
        <f t="shared" si="108"/>
        <v/>
      </c>
      <c r="AD92" s="92" t="str">
        <f t="shared" si="82"/>
        <v/>
      </c>
      <c r="AE92" s="89" t="str">
        <f t="shared" si="109"/>
        <v/>
      </c>
      <c r="AF92" s="104" t="str">
        <f t="shared" si="110"/>
        <v/>
      </c>
      <c r="AG92" s="107" t="str">
        <f t="shared" si="111"/>
        <v/>
      </c>
      <c r="AH92" s="92" t="str">
        <f t="shared" si="112"/>
        <v/>
      </c>
      <c r="AI92" s="89" t="str">
        <f t="shared" si="113"/>
        <v/>
      </c>
      <c r="AJ92" s="104" t="str">
        <f t="shared" si="114"/>
        <v/>
      </c>
      <c r="AK92" s="84" t="str">
        <f t="shared" si="115"/>
        <v/>
      </c>
      <c r="AL92" s="265" t="str">
        <f t="shared" si="116"/>
        <v/>
      </c>
      <c r="AM92" s="270">
        <f t="shared" si="63"/>
        <v>0</v>
      </c>
      <c r="AN92" s="270" t="str">
        <f t="shared" si="64"/>
        <v/>
      </c>
      <c r="AO92" s="270" t="str">
        <f t="shared" si="65"/>
        <v/>
      </c>
      <c r="AP92" s="270" t="str">
        <f t="shared" si="66"/>
        <v/>
      </c>
      <c r="AQ92" s="270">
        <f t="shared" si="117"/>
        <v>0</v>
      </c>
      <c r="AR92" s="316">
        <f>MIN(IFERROR(VLOOKUP($C92,'SDDA Dogs'!$A:$O,10,FALSE),0),IFERROR(VLOOKUP($C92,'SDDA Dogs'!$A:$O,11,FALSE),0),IFERROR(VLOOKUP($C92,'SDDA Dogs'!$A:$O,12,FALSE),0))</f>
        <v>0</v>
      </c>
      <c r="AS92" s="272"/>
      <c r="AT92" s="272"/>
      <c r="AU92" s="272" t="str">
        <f>IF(ISERROR(VLOOKUP(C92,'SDDA Dogs'!A:O,6,FALSE)),"",VLOOKUP(C92,'SDDA Dogs'!A:O,6,FALSE))</f>
        <v/>
      </c>
      <c r="AV92" s="270">
        <f t="shared" si="67"/>
        <v>0</v>
      </c>
      <c r="AW92" s="270">
        <f t="shared" si="68"/>
        <v>0</v>
      </c>
      <c r="AX92" s="273">
        <f t="shared" si="69"/>
        <v>0</v>
      </c>
      <c r="AY92" s="274"/>
      <c r="AZ92" s="275">
        <f t="shared" si="70"/>
        <v>0</v>
      </c>
      <c r="BA92" s="275">
        <f t="shared" si="71"/>
        <v>0</v>
      </c>
      <c r="BB92" s="276"/>
      <c r="BC92" s="274">
        <f>_xlfn.IFNA(IF(I92="Pass",IF(AND(G92&gt;=IFERROR(INDEX($C$5:$W$54,MATCH(C92,$C$5:$C$54,0),5),0),G92&gt;=IFERROR(INDEX(DogInfo!A:B,MATCH(C92&amp;$BC$4,DogInfo!A:A,0),2),0)),G92,IF(AND(IFERROR(INDEX($C$5:$W$54,MATCH(C92,$C$5:$C$54,0),5),0)&gt;=G92,IFERROR(INDEX($C$5:$W$54,MATCH(C92,$C$5:$C$54,0),5),0)&gt;=IFERROR(INDEX(DogInfo!A:B,MATCH(C92&amp;$BC$4,DogInfo!A:A,0),2),0)),IFERROR(INDEX($C$5:$W$54,MATCH(C92,$C$5:$C$54,0),5),0),IF(AND(IFERROR(INDEX(DogInfo!A:B,MATCH(C92&amp;$BC$4,DogInfo!A:A,0),2),0)&gt;=IFERROR(INDEX($C$5:$W$54,MATCH(C92,$C$5:$C$54,0),5),0),IFERROR(INDEX(DogInfo!A:B,MATCH(C92&amp;$BC$4,DogInfo!A:A,0),2),0)&gt;=G92),IFERROR(INDEX(DogInfo!A:B,MATCH(C92&amp;$BC$4,DogInfo!A:A,0),2),0),"Error"))),IFERROR(INDEX($C$5:$BE$54,MATCH(C92,$C$5:$C$54,0),53),IFERROR(INDEX(DogInfo!A:B,MATCH(C92&amp;$BC$4,DogInfo!A:A,0),2),0))),"")</f>
        <v>0</v>
      </c>
      <c r="BD92" s="274">
        <f>_xlfn.IFNA(IF(Q92="Pass",IF(AND(O92&gt;=IFERROR(INDEX($C$5:$W$54,MATCH(C92,$C$5:$C$54,0),13),0),O92&gt;=IFERROR(INDEX(DogInfo!A:B,MATCH(C92&amp;$BD$4,DogInfo!A:A,0),2),0)),O92,IF(AND(IFERROR(INDEX($C$5:$W$54,MATCH(C92,$C$5:$C$54,0),13),0)&gt;=O92,IFERROR(INDEX($C$5:$W$54,MATCH(C92,$C$5:$C$54,0),13),0)&gt;=IFERROR(INDEX(DogInfo!A:B,MATCH(C92&amp;$BD$4,DogInfo!A:A,0),2),0)),IFERROR(INDEX($C$5:$W$54,MATCH(C92,$C$5:$C$54,0),13),0),IF(AND(IFERROR(INDEX(DogInfo!A:B,MATCH(C92&amp;$BD$4,DogInfo!A:A,0),2),0)&gt;=IFERROR(INDEX($C$5:$W$54,MATCH(C92,$C$5:$C$54,0),13),0),IFERROR(INDEX(DogInfo!A:B,MATCH(C92&amp;$BD$4,DogInfo!A:A,0),2),0)&gt;=O92),IFERROR(INDEX(DogInfo!A:B,MATCH(C92&amp;$BD$4,DogInfo!A:A,0),2),0),"Error"))),IFERROR(INDEX($C$5:$BE$54,MATCH(C92,$C$5:$C$54,0),54),IFERROR(INDEX(DogInfo!A:B,MATCH(C92&amp;$BD$4,DogInfo!A:A,0),2),0))),"")</f>
        <v>0</v>
      </c>
      <c r="BE92" s="274">
        <f>_xlfn.IFNA(IF(Y92="Pass",IF(AND(W92&gt;=IFERROR(INDEX($C$5:$W$54,MATCH(C92,$C$5:$C$54,0),21),0),O92&gt;=IFERROR(INDEX(DogInfo!A:B,MATCH(C92&amp;$BE$4,DogInfo!A:A,0),2),0)),W92,IF(AND(IFERROR(INDEX($C$5:$W$54,MATCH(C92,$C$5:$C$54,0),21),0)&gt;=W92,IFERROR(INDEX($C$5:$W$54,MATCH(C92,$C$5:$C$54,0),21),0)&gt;=IFERROR(INDEX(DogInfo!A:B,MATCH(C92&amp;$BE$4,DogInfo!A:A,0),2),0)),IFERROR(INDEX($C$5:$W$54,MATCH(C92,$C$5:$C$54,0),21),0),IF(AND(IFERROR(INDEX(DogInfo!A:B,MATCH(C92&amp;$BE$4,DogInfo!A:A,0),2),0)&gt;=IFERROR(INDEX($C$5:$W$54,MATCH(C92,$C$5:$C$54,0),21),0),IFERROR(INDEX(DogInfo!A:B,MATCH(C92&amp;$BE$4,DogInfo!A:A,0),2),0)&gt;=W92),IFERROR(INDEX(DogInfo!A:B,MATCH(C92&amp;$BE$4,DogInfo!A:A,0),2),0),"Error"))),IFERROR(INDEX($C$5:$BE$54,MATCH(C92,$C$5:$C$54,0),55),IFERROR(INDEX(DogInfo!A:B,MATCH(C92&amp;$BE$4,DogInfo!A:A,0),2),0))),"")</f>
        <v>0</v>
      </c>
    </row>
    <row r="93" spans="1:57" x14ac:dyDescent="0.25">
      <c r="A93" s="99">
        <v>29</v>
      </c>
      <c r="B93" s="100"/>
      <c r="C93" s="101"/>
      <c r="D93" s="102" t="str">
        <f>IF($C93="","",VLOOKUP($C93,'SDDA Dogs'!$A:$F,2,FALSE))</f>
        <v/>
      </c>
      <c r="E93" s="211">
        <f t="shared" si="99"/>
        <v>1</v>
      </c>
      <c r="F93" s="103" t="str">
        <f>IF($C93="","",IF(ISERROR(VLOOKUP($C93,$C$5:$AP$54,38,FALSE)=TRUE),VLOOKUP($C93,'SDDA Dogs'!$A:$O,13,FALSE),VLOOKUP($C93,$C$5:$AP$54,38,FALSE)))</f>
        <v/>
      </c>
      <c r="G93" s="137"/>
      <c r="H93" s="217"/>
      <c r="I93" s="84" t="str">
        <f t="shared" si="100"/>
        <v/>
      </c>
      <c r="J93" s="105">
        <f t="shared" si="57"/>
        <v>0</v>
      </c>
      <c r="K93" s="84" t="str">
        <f t="shared" si="101"/>
        <v/>
      </c>
      <c r="L93" s="105">
        <f t="shared" si="58"/>
        <v>0</v>
      </c>
      <c r="M93" s="84" t="str">
        <f t="shared" si="102"/>
        <v/>
      </c>
      <c r="N93" s="106" t="str">
        <f>IF($C93="","",IF(ISERROR(VLOOKUP($C93,$C$5:$AP$54,39,FALSE)=TRUE),VLOOKUP($C93,'SDDA Dogs'!$A:$O,14,FALSE),VLOOKUP($C93,$C$5:$AP$54,39,FALSE)))</f>
        <v/>
      </c>
      <c r="O93" s="137"/>
      <c r="P93" s="217"/>
      <c r="Q93" s="84" t="str">
        <f t="shared" si="103"/>
        <v/>
      </c>
      <c r="R93" s="105">
        <f t="shared" si="59"/>
        <v>0</v>
      </c>
      <c r="S93" s="84" t="str">
        <f t="shared" si="104"/>
        <v/>
      </c>
      <c r="T93" s="105">
        <f t="shared" si="60"/>
        <v>0</v>
      </c>
      <c r="U93" s="84" t="str">
        <f t="shared" si="105"/>
        <v/>
      </c>
      <c r="V93" s="106" t="str">
        <f>IF($C93="","",IF(ISERROR(VLOOKUP($C93,$C$5:$AP$54,40,FALSE)=TRUE),VLOOKUP($C93,'SDDA Dogs'!$A:$O,15,FALSE),VLOOKUP($C93,$C$5:$AP$54,40,FALSE)))</f>
        <v/>
      </c>
      <c r="W93" s="137"/>
      <c r="X93" s="217"/>
      <c r="Y93" s="84" t="str">
        <f t="shared" si="106"/>
        <v/>
      </c>
      <c r="Z93" s="105">
        <f t="shared" si="61"/>
        <v>0</v>
      </c>
      <c r="AA93" s="84" t="str">
        <f t="shared" si="107"/>
        <v/>
      </c>
      <c r="AB93" s="105">
        <f t="shared" si="62"/>
        <v>0</v>
      </c>
      <c r="AC93" s="84" t="str">
        <f t="shared" si="108"/>
        <v/>
      </c>
      <c r="AD93" s="92" t="str">
        <f t="shared" si="82"/>
        <v/>
      </c>
      <c r="AE93" s="89" t="str">
        <f t="shared" si="109"/>
        <v/>
      </c>
      <c r="AF93" s="104" t="str">
        <f t="shared" si="110"/>
        <v/>
      </c>
      <c r="AG93" s="107" t="str">
        <f t="shared" si="111"/>
        <v/>
      </c>
      <c r="AH93" s="92" t="str">
        <f t="shared" si="112"/>
        <v/>
      </c>
      <c r="AI93" s="89" t="str">
        <f t="shared" si="113"/>
        <v/>
      </c>
      <c r="AJ93" s="104" t="str">
        <f t="shared" si="114"/>
        <v/>
      </c>
      <c r="AK93" s="84" t="str">
        <f t="shared" si="115"/>
        <v/>
      </c>
      <c r="AL93" s="265" t="str">
        <f t="shared" si="116"/>
        <v/>
      </c>
      <c r="AM93" s="270">
        <f t="shared" si="63"/>
        <v>0</v>
      </c>
      <c r="AN93" s="270" t="str">
        <f t="shared" si="64"/>
        <v/>
      </c>
      <c r="AO93" s="270" t="str">
        <f t="shared" si="65"/>
        <v/>
      </c>
      <c r="AP93" s="270" t="str">
        <f t="shared" si="66"/>
        <v/>
      </c>
      <c r="AQ93" s="270">
        <f t="shared" si="117"/>
        <v>0</v>
      </c>
      <c r="AR93" s="316">
        <f>MIN(IFERROR(VLOOKUP($C93,'SDDA Dogs'!$A:$O,10,FALSE),0),IFERROR(VLOOKUP($C93,'SDDA Dogs'!$A:$O,11,FALSE),0),IFERROR(VLOOKUP($C93,'SDDA Dogs'!$A:$O,12,FALSE),0))</f>
        <v>0</v>
      </c>
      <c r="AS93" s="272"/>
      <c r="AT93" s="272"/>
      <c r="AU93" s="272" t="str">
        <f>IF(ISERROR(VLOOKUP(C93,'SDDA Dogs'!A:O,6,FALSE)),"",VLOOKUP(C93,'SDDA Dogs'!A:O,6,FALSE))</f>
        <v/>
      </c>
      <c r="AV93" s="270">
        <f t="shared" si="67"/>
        <v>0</v>
      </c>
      <c r="AW93" s="270">
        <f t="shared" si="68"/>
        <v>0</v>
      </c>
      <c r="AX93" s="273">
        <f t="shared" si="69"/>
        <v>0</v>
      </c>
      <c r="AY93" s="274"/>
      <c r="AZ93" s="275">
        <f t="shared" si="70"/>
        <v>0</v>
      </c>
      <c r="BA93" s="275">
        <f t="shared" si="71"/>
        <v>0</v>
      </c>
      <c r="BB93" s="276"/>
      <c r="BC93" s="274">
        <f>_xlfn.IFNA(IF(I93="Pass",IF(AND(G93&gt;=IFERROR(INDEX($C$5:$W$54,MATCH(C93,$C$5:$C$54,0),5),0),G93&gt;=IFERROR(INDEX(DogInfo!A:B,MATCH(C93&amp;$BC$4,DogInfo!A:A,0),2),0)),G93,IF(AND(IFERROR(INDEX($C$5:$W$54,MATCH(C93,$C$5:$C$54,0),5),0)&gt;=G93,IFERROR(INDEX($C$5:$W$54,MATCH(C93,$C$5:$C$54,0),5),0)&gt;=IFERROR(INDEX(DogInfo!A:B,MATCH(C93&amp;$BC$4,DogInfo!A:A,0),2),0)),IFERROR(INDEX($C$5:$W$54,MATCH(C93,$C$5:$C$54,0),5),0),IF(AND(IFERROR(INDEX(DogInfo!A:B,MATCH(C93&amp;$BC$4,DogInfo!A:A,0),2),0)&gt;=IFERROR(INDEX($C$5:$W$54,MATCH(C93,$C$5:$C$54,0),5),0),IFERROR(INDEX(DogInfo!A:B,MATCH(C93&amp;$BC$4,DogInfo!A:A,0),2),0)&gt;=G93),IFERROR(INDEX(DogInfo!A:B,MATCH(C93&amp;$BC$4,DogInfo!A:A,0),2),0),"Error"))),IFERROR(INDEX($C$5:$BE$54,MATCH(C93,$C$5:$C$54,0),53),IFERROR(INDEX(DogInfo!A:B,MATCH(C93&amp;$BC$4,DogInfo!A:A,0),2),0))),"")</f>
        <v>0</v>
      </c>
      <c r="BD93" s="274">
        <f>_xlfn.IFNA(IF(Q93="Pass",IF(AND(O93&gt;=IFERROR(INDEX($C$5:$W$54,MATCH(C93,$C$5:$C$54,0),13),0),O93&gt;=IFERROR(INDEX(DogInfo!A:B,MATCH(C93&amp;$BD$4,DogInfo!A:A,0),2),0)),O93,IF(AND(IFERROR(INDEX($C$5:$W$54,MATCH(C93,$C$5:$C$54,0),13),0)&gt;=O93,IFERROR(INDEX($C$5:$W$54,MATCH(C93,$C$5:$C$54,0),13),0)&gt;=IFERROR(INDEX(DogInfo!A:B,MATCH(C93&amp;$BD$4,DogInfo!A:A,0),2),0)),IFERROR(INDEX($C$5:$W$54,MATCH(C93,$C$5:$C$54,0),13),0),IF(AND(IFERROR(INDEX(DogInfo!A:B,MATCH(C93&amp;$BD$4,DogInfo!A:A,0),2),0)&gt;=IFERROR(INDEX($C$5:$W$54,MATCH(C93,$C$5:$C$54,0),13),0),IFERROR(INDEX(DogInfo!A:B,MATCH(C93&amp;$BD$4,DogInfo!A:A,0),2),0)&gt;=O93),IFERROR(INDEX(DogInfo!A:B,MATCH(C93&amp;$BD$4,DogInfo!A:A,0),2),0),"Error"))),IFERROR(INDEX($C$5:$BE$54,MATCH(C93,$C$5:$C$54,0),54),IFERROR(INDEX(DogInfo!A:B,MATCH(C93&amp;$BD$4,DogInfo!A:A,0),2),0))),"")</f>
        <v>0</v>
      </c>
      <c r="BE93" s="274">
        <f>_xlfn.IFNA(IF(Y93="Pass",IF(AND(W93&gt;=IFERROR(INDEX($C$5:$W$54,MATCH(C93,$C$5:$C$54,0),21),0),O93&gt;=IFERROR(INDEX(DogInfo!A:B,MATCH(C93&amp;$BE$4,DogInfo!A:A,0),2),0)),W93,IF(AND(IFERROR(INDEX($C$5:$W$54,MATCH(C93,$C$5:$C$54,0),21),0)&gt;=W93,IFERROR(INDEX($C$5:$W$54,MATCH(C93,$C$5:$C$54,0),21),0)&gt;=IFERROR(INDEX(DogInfo!A:B,MATCH(C93&amp;$BE$4,DogInfo!A:A,0),2),0)),IFERROR(INDEX($C$5:$W$54,MATCH(C93,$C$5:$C$54,0),21),0),IF(AND(IFERROR(INDEX(DogInfo!A:B,MATCH(C93&amp;$BE$4,DogInfo!A:A,0),2),0)&gt;=IFERROR(INDEX($C$5:$W$54,MATCH(C93,$C$5:$C$54,0),21),0),IFERROR(INDEX(DogInfo!A:B,MATCH(C93&amp;$BE$4,DogInfo!A:A,0),2),0)&gt;=W93),IFERROR(INDEX(DogInfo!A:B,MATCH(C93&amp;$BE$4,DogInfo!A:A,0),2),0),"Error"))),IFERROR(INDEX($C$5:$BE$54,MATCH(C93,$C$5:$C$54,0),55),IFERROR(INDEX(DogInfo!A:B,MATCH(C93&amp;$BE$4,DogInfo!A:A,0),2),0))),"")</f>
        <v>0</v>
      </c>
    </row>
    <row r="94" spans="1:57" x14ac:dyDescent="0.25">
      <c r="A94" s="99">
        <v>30</v>
      </c>
      <c r="B94" s="100"/>
      <c r="C94" s="101"/>
      <c r="D94" s="102" t="str">
        <f>IF($C94="","",VLOOKUP($C94,'SDDA Dogs'!$A:$F,2,FALSE))</f>
        <v/>
      </c>
      <c r="E94" s="211">
        <f t="shared" si="99"/>
        <v>1</v>
      </c>
      <c r="F94" s="103" t="str">
        <f>IF($C94="","",IF(ISERROR(VLOOKUP($C94,$C$5:$AP$54,38,FALSE)=TRUE),VLOOKUP($C94,'SDDA Dogs'!$A:$O,13,FALSE),VLOOKUP($C94,$C$5:$AP$54,38,FALSE)))</f>
        <v/>
      </c>
      <c r="G94" s="137"/>
      <c r="H94" s="217"/>
      <c r="I94" s="84" t="str">
        <f t="shared" si="100"/>
        <v/>
      </c>
      <c r="J94" s="105">
        <f t="shared" si="57"/>
        <v>0</v>
      </c>
      <c r="K94" s="84" t="str">
        <f t="shared" si="101"/>
        <v/>
      </c>
      <c r="L94" s="105">
        <f t="shared" si="58"/>
        <v>0</v>
      </c>
      <c r="M94" s="84" t="str">
        <f t="shared" si="102"/>
        <v/>
      </c>
      <c r="N94" s="106" t="str">
        <f>IF($C94="","",IF(ISERROR(VLOOKUP($C94,$C$5:$AP$54,39,FALSE)=TRUE),VLOOKUP($C94,'SDDA Dogs'!$A:$O,14,FALSE),VLOOKUP($C94,$C$5:$AP$54,39,FALSE)))</f>
        <v/>
      </c>
      <c r="O94" s="137"/>
      <c r="P94" s="217"/>
      <c r="Q94" s="84" t="str">
        <f t="shared" si="103"/>
        <v/>
      </c>
      <c r="R94" s="105">
        <f t="shared" si="59"/>
        <v>0</v>
      </c>
      <c r="S94" s="84" t="str">
        <f t="shared" si="104"/>
        <v/>
      </c>
      <c r="T94" s="105">
        <f t="shared" si="60"/>
        <v>0</v>
      </c>
      <c r="U94" s="84" t="str">
        <f t="shared" si="105"/>
        <v/>
      </c>
      <c r="V94" s="106" t="str">
        <f>IF($C94="","",IF(ISERROR(VLOOKUP($C94,$C$5:$AP$54,40,FALSE)=TRUE),VLOOKUP($C94,'SDDA Dogs'!$A:$O,15,FALSE),VLOOKUP($C94,$C$5:$AP$54,40,FALSE)))</f>
        <v/>
      </c>
      <c r="W94" s="137"/>
      <c r="X94" s="217"/>
      <c r="Y94" s="84" t="str">
        <f t="shared" si="106"/>
        <v/>
      </c>
      <c r="Z94" s="105">
        <f t="shared" si="61"/>
        <v>0</v>
      </c>
      <c r="AA94" s="84" t="str">
        <f t="shared" si="107"/>
        <v/>
      </c>
      <c r="AB94" s="105">
        <f t="shared" si="62"/>
        <v>0</v>
      </c>
      <c r="AC94" s="84" t="str">
        <f t="shared" si="108"/>
        <v/>
      </c>
      <c r="AD94" s="92" t="str">
        <f t="shared" si="82"/>
        <v/>
      </c>
      <c r="AE94" s="89" t="str">
        <f t="shared" si="109"/>
        <v/>
      </c>
      <c r="AF94" s="104" t="str">
        <f t="shared" si="110"/>
        <v/>
      </c>
      <c r="AG94" s="107" t="str">
        <f t="shared" si="111"/>
        <v/>
      </c>
      <c r="AH94" s="92" t="str">
        <f t="shared" si="112"/>
        <v/>
      </c>
      <c r="AI94" s="89" t="str">
        <f t="shared" si="113"/>
        <v/>
      </c>
      <c r="AJ94" s="104" t="str">
        <f t="shared" si="114"/>
        <v/>
      </c>
      <c r="AK94" s="84" t="str">
        <f t="shared" si="115"/>
        <v/>
      </c>
      <c r="AL94" s="265" t="str">
        <f t="shared" si="116"/>
        <v/>
      </c>
      <c r="AM94" s="270">
        <f t="shared" si="63"/>
        <v>0</v>
      </c>
      <c r="AN94" s="270" t="str">
        <f t="shared" si="64"/>
        <v/>
      </c>
      <c r="AO94" s="270" t="str">
        <f t="shared" si="65"/>
        <v/>
      </c>
      <c r="AP94" s="270" t="str">
        <f t="shared" si="66"/>
        <v/>
      </c>
      <c r="AQ94" s="270">
        <f t="shared" si="117"/>
        <v>0</v>
      </c>
      <c r="AR94" s="316">
        <f>MIN(IFERROR(VLOOKUP($C94,'SDDA Dogs'!$A:$O,10,FALSE),0),IFERROR(VLOOKUP($C94,'SDDA Dogs'!$A:$O,11,FALSE),0),IFERROR(VLOOKUP($C94,'SDDA Dogs'!$A:$O,12,FALSE),0))</f>
        <v>0</v>
      </c>
      <c r="AS94" s="272"/>
      <c r="AT94" s="272"/>
      <c r="AU94" s="272" t="str">
        <f>IF(ISERROR(VLOOKUP(C94,'SDDA Dogs'!A:O,6,FALSE)),"",VLOOKUP(C94,'SDDA Dogs'!A:O,6,FALSE))</f>
        <v/>
      </c>
      <c r="AV94" s="270">
        <f t="shared" si="67"/>
        <v>0</v>
      </c>
      <c r="AW94" s="270">
        <f t="shared" si="68"/>
        <v>0</v>
      </c>
      <c r="AX94" s="273">
        <f t="shared" si="69"/>
        <v>0</v>
      </c>
      <c r="AY94" s="274"/>
      <c r="AZ94" s="275">
        <f t="shared" si="70"/>
        <v>0</v>
      </c>
      <c r="BA94" s="275">
        <f t="shared" si="71"/>
        <v>0</v>
      </c>
      <c r="BB94" s="276"/>
      <c r="BC94" s="274">
        <f>_xlfn.IFNA(IF(I94="Pass",IF(AND(G94&gt;=IFERROR(INDEX($C$5:$W$54,MATCH(C94,$C$5:$C$54,0),5),0),G94&gt;=IFERROR(INDEX(DogInfo!A:B,MATCH(C94&amp;$BC$4,DogInfo!A:A,0),2),0)),G94,IF(AND(IFERROR(INDEX($C$5:$W$54,MATCH(C94,$C$5:$C$54,0),5),0)&gt;=G94,IFERROR(INDEX($C$5:$W$54,MATCH(C94,$C$5:$C$54,0),5),0)&gt;=IFERROR(INDEX(DogInfo!A:B,MATCH(C94&amp;$BC$4,DogInfo!A:A,0),2),0)),IFERROR(INDEX($C$5:$W$54,MATCH(C94,$C$5:$C$54,0),5),0),IF(AND(IFERROR(INDEX(DogInfo!A:B,MATCH(C94&amp;$BC$4,DogInfo!A:A,0),2),0)&gt;=IFERROR(INDEX($C$5:$W$54,MATCH(C94,$C$5:$C$54,0),5),0),IFERROR(INDEX(DogInfo!A:B,MATCH(C94&amp;$BC$4,DogInfo!A:A,0),2),0)&gt;=G94),IFERROR(INDEX(DogInfo!A:B,MATCH(C94&amp;$BC$4,DogInfo!A:A,0),2),0),"Error"))),IFERROR(INDEX($C$5:$BE$54,MATCH(C94,$C$5:$C$54,0),53),IFERROR(INDEX(DogInfo!A:B,MATCH(C94&amp;$BC$4,DogInfo!A:A,0),2),0))),"")</f>
        <v>0</v>
      </c>
      <c r="BD94" s="274">
        <f>_xlfn.IFNA(IF(Q94="Pass",IF(AND(O94&gt;=IFERROR(INDEX($C$5:$W$54,MATCH(C94,$C$5:$C$54,0),13),0),O94&gt;=IFERROR(INDEX(DogInfo!A:B,MATCH(C94&amp;$BD$4,DogInfo!A:A,0),2),0)),O94,IF(AND(IFERROR(INDEX($C$5:$W$54,MATCH(C94,$C$5:$C$54,0),13),0)&gt;=O94,IFERROR(INDEX($C$5:$W$54,MATCH(C94,$C$5:$C$54,0),13),0)&gt;=IFERROR(INDEX(DogInfo!A:B,MATCH(C94&amp;$BD$4,DogInfo!A:A,0),2),0)),IFERROR(INDEX($C$5:$W$54,MATCH(C94,$C$5:$C$54,0),13),0),IF(AND(IFERROR(INDEX(DogInfo!A:B,MATCH(C94&amp;$BD$4,DogInfo!A:A,0),2),0)&gt;=IFERROR(INDEX($C$5:$W$54,MATCH(C94,$C$5:$C$54,0),13),0),IFERROR(INDEX(DogInfo!A:B,MATCH(C94&amp;$BD$4,DogInfo!A:A,0),2),0)&gt;=O94),IFERROR(INDEX(DogInfo!A:B,MATCH(C94&amp;$BD$4,DogInfo!A:A,0),2),0),"Error"))),IFERROR(INDEX($C$5:$BE$54,MATCH(C94,$C$5:$C$54,0),54),IFERROR(INDEX(DogInfo!A:B,MATCH(C94&amp;$BD$4,DogInfo!A:A,0),2),0))),"")</f>
        <v>0</v>
      </c>
      <c r="BE94" s="274">
        <f>_xlfn.IFNA(IF(Y94="Pass",IF(AND(W94&gt;=IFERROR(INDEX($C$5:$W$54,MATCH(C94,$C$5:$C$54,0),21),0),O94&gt;=IFERROR(INDEX(DogInfo!A:B,MATCH(C94&amp;$BE$4,DogInfo!A:A,0),2),0)),W94,IF(AND(IFERROR(INDEX($C$5:$W$54,MATCH(C94,$C$5:$C$54,0),21),0)&gt;=W94,IFERROR(INDEX($C$5:$W$54,MATCH(C94,$C$5:$C$54,0),21),0)&gt;=IFERROR(INDEX(DogInfo!A:B,MATCH(C94&amp;$BE$4,DogInfo!A:A,0),2),0)),IFERROR(INDEX($C$5:$W$54,MATCH(C94,$C$5:$C$54,0),21),0),IF(AND(IFERROR(INDEX(DogInfo!A:B,MATCH(C94&amp;$BE$4,DogInfo!A:A,0),2),0)&gt;=IFERROR(INDEX($C$5:$W$54,MATCH(C94,$C$5:$C$54,0),21),0),IFERROR(INDEX(DogInfo!A:B,MATCH(C94&amp;$BE$4,DogInfo!A:A,0),2),0)&gt;=W94),IFERROR(INDEX(DogInfo!A:B,MATCH(C94&amp;$BE$4,DogInfo!A:A,0),2),0),"Error"))),IFERROR(INDEX($C$5:$BE$54,MATCH(C94,$C$5:$C$54,0),55),IFERROR(INDEX(DogInfo!A:B,MATCH(C94&amp;$BE$4,DogInfo!A:A,0),2),0))),"")</f>
        <v>0</v>
      </c>
    </row>
    <row r="95" spans="1:57" x14ac:dyDescent="0.25">
      <c r="A95" s="99">
        <v>31</v>
      </c>
      <c r="B95" s="100"/>
      <c r="C95" s="101"/>
      <c r="D95" s="102" t="str">
        <f>IF($C95="","",VLOOKUP($C95,'SDDA Dogs'!$A:$F,2,FALSE))</f>
        <v/>
      </c>
      <c r="E95" s="211">
        <f t="shared" si="99"/>
        <v>1</v>
      </c>
      <c r="F95" s="103" t="str">
        <f>IF($C95="","",IF(ISERROR(VLOOKUP($C95,$C$5:$AP$54,38,FALSE)=TRUE),VLOOKUP($C95,'SDDA Dogs'!$A:$O,13,FALSE),VLOOKUP($C95,$C$5:$AP$54,38,FALSE)))</f>
        <v/>
      </c>
      <c r="G95" s="137"/>
      <c r="H95" s="217"/>
      <c r="I95" s="84" t="str">
        <f t="shared" si="100"/>
        <v/>
      </c>
      <c r="J95" s="105">
        <f t="shared" si="57"/>
        <v>0</v>
      </c>
      <c r="K95" s="84" t="str">
        <f t="shared" si="101"/>
        <v/>
      </c>
      <c r="L95" s="105">
        <f t="shared" si="58"/>
        <v>0</v>
      </c>
      <c r="M95" s="84" t="str">
        <f t="shared" si="102"/>
        <v/>
      </c>
      <c r="N95" s="106" t="str">
        <f>IF($C95="","",IF(ISERROR(VLOOKUP($C95,$C$5:$AP$54,39,FALSE)=TRUE),VLOOKUP($C95,'SDDA Dogs'!$A:$O,14,FALSE),VLOOKUP($C95,$C$5:$AP$54,39,FALSE)))</f>
        <v/>
      </c>
      <c r="O95" s="137"/>
      <c r="P95" s="217"/>
      <c r="Q95" s="84" t="str">
        <f t="shared" si="103"/>
        <v/>
      </c>
      <c r="R95" s="105">
        <f t="shared" si="59"/>
        <v>0</v>
      </c>
      <c r="S95" s="84" t="str">
        <f t="shared" si="104"/>
        <v/>
      </c>
      <c r="T95" s="105">
        <f t="shared" si="60"/>
        <v>0</v>
      </c>
      <c r="U95" s="84" t="str">
        <f t="shared" si="105"/>
        <v/>
      </c>
      <c r="V95" s="106" t="str">
        <f>IF($C95="","",IF(ISERROR(VLOOKUP($C95,$C$5:$AP$54,40,FALSE)=TRUE),VLOOKUP($C95,'SDDA Dogs'!$A:$O,15,FALSE),VLOOKUP($C95,$C$5:$AP$54,40,FALSE)))</f>
        <v/>
      </c>
      <c r="W95" s="137"/>
      <c r="X95" s="217"/>
      <c r="Y95" s="84" t="str">
        <f t="shared" si="106"/>
        <v/>
      </c>
      <c r="Z95" s="105">
        <f t="shared" si="61"/>
        <v>0</v>
      </c>
      <c r="AA95" s="84" t="str">
        <f t="shared" si="107"/>
        <v/>
      </c>
      <c r="AB95" s="105">
        <f t="shared" si="62"/>
        <v>0</v>
      </c>
      <c r="AC95" s="84" t="str">
        <f t="shared" si="108"/>
        <v/>
      </c>
      <c r="AD95" s="92" t="str">
        <f t="shared" si="82"/>
        <v/>
      </c>
      <c r="AE95" s="89" t="str">
        <f t="shared" si="109"/>
        <v/>
      </c>
      <c r="AF95" s="104" t="str">
        <f t="shared" si="110"/>
        <v/>
      </c>
      <c r="AG95" s="107" t="str">
        <f t="shared" si="111"/>
        <v/>
      </c>
      <c r="AH95" s="92" t="str">
        <f t="shared" si="112"/>
        <v/>
      </c>
      <c r="AI95" s="89" t="str">
        <f t="shared" si="113"/>
        <v/>
      </c>
      <c r="AJ95" s="104" t="str">
        <f t="shared" si="114"/>
        <v/>
      </c>
      <c r="AK95" s="84" t="str">
        <f t="shared" si="115"/>
        <v/>
      </c>
      <c r="AL95" s="265" t="str">
        <f t="shared" si="116"/>
        <v/>
      </c>
      <c r="AM95" s="270">
        <f t="shared" si="63"/>
        <v>0</v>
      </c>
      <c r="AN95" s="270" t="str">
        <f t="shared" si="64"/>
        <v/>
      </c>
      <c r="AO95" s="270" t="str">
        <f t="shared" si="65"/>
        <v/>
      </c>
      <c r="AP95" s="270" t="str">
        <f t="shared" si="66"/>
        <v/>
      </c>
      <c r="AQ95" s="270">
        <f t="shared" si="117"/>
        <v>0</v>
      </c>
      <c r="AR95" s="316">
        <f>MIN(IFERROR(VLOOKUP($C95,'SDDA Dogs'!$A:$O,10,FALSE),0),IFERROR(VLOOKUP($C95,'SDDA Dogs'!$A:$O,11,FALSE),0),IFERROR(VLOOKUP($C95,'SDDA Dogs'!$A:$O,12,FALSE),0))</f>
        <v>0</v>
      </c>
      <c r="AS95" s="272"/>
      <c r="AT95" s="272"/>
      <c r="AU95" s="272" t="str">
        <f>IF(ISERROR(VLOOKUP(C95,'SDDA Dogs'!A:O,6,FALSE)),"",VLOOKUP(C95,'SDDA Dogs'!A:O,6,FALSE))</f>
        <v/>
      </c>
      <c r="AV95" s="270">
        <f t="shared" si="67"/>
        <v>0</v>
      </c>
      <c r="AW95" s="270">
        <f t="shared" si="68"/>
        <v>0</v>
      </c>
      <c r="AX95" s="273">
        <f t="shared" si="69"/>
        <v>0</v>
      </c>
      <c r="AY95" s="274"/>
      <c r="AZ95" s="275">
        <f t="shared" si="70"/>
        <v>0</v>
      </c>
      <c r="BA95" s="275">
        <f t="shared" si="71"/>
        <v>0</v>
      </c>
      <c r="BB95" s="276"/>
      <c r="BC95" s="274">
        <f>_xlfn.IFNA(IF(I95="Pass",IF(AND(G95&gt;=IFERROR(INDEX($C$5:$W$54,MATCH(C95,$C$5:$C$54,0),5),0),G95&gt;=IFERROR(INDEX(DogInfo!A:B,MATCH(C95&amp;$BC$4,DogInfo!A:A,0),2),0)),G95,IF(AND(IFERROR(INDEX($C$5:$W$54,MATCH(C95,$C$5:$C$54,0),5),0)&gt;=G95,IFERROR(INDEX($C$5:$W$54,MATCH(C95,$C$5:$C$54,0),5),0)&gt;=IFERROR(INDEX(DogInfo!A:B,MATCH(C95&amp;$BC$4,DogInfo!A:A,0),2),0)),IFERROR(INDEX($C$5:$W$54,MATCH(C95,$C$5:$C$54,0),5),0),IF(AND(IFERROR(INDEX(DogInfo!A:B,MATCH(C95&amp;$BC$4,DogInfo!A:A,0),2),0)&gt;=IFERROR(INDEX($C$5:$W$54,MATCH(C95,$C$5:$C$54,0),5),0),IFERROR(INDEX(DogInfo!A:B,MATCH(C95&amp;$BC$4,DogInfo!A:A,0),2),0)&gt;=G95),IFERROR(INDEX(DogInfo!A:B,MATCH(C95&amp;$BC$4,DogInfo!A:A,0),2),0),"Error"))),IFERROR(INDEX($C$5:$BE$54,MATCH(C95,$C$5:$C$54,0),53),IFERROR(INDEX(DogInfo!A:B,MATCH(C95&amp;$BC$4,DogInfo!A:A,0),2),0))),"")</f>
        <v>0</v>
      </c>
      <c r="BD95" s="274">
        <f>_xlfn.IFNA(IF(Q95="Pass",IF(AND(O95&gt;=IFERROR(INDEX($C$5:$W$54,MATCH(C95,$C$5:$C$54,0),13),0),O95&gt;=IFERROR(INDEX(DogInfo!A:B,MATCH(C95&amp;$BD$4,DogInfo!A:A,0),2),0)),O95,IF(AND(IFERROR(INDEX($C$5:$W$54,MATCH(C95,$C$5:$C$54,0),13),0)&gt;=O95,IFERROR(INDEX($C$5:$W$54,MATCH(C95,$C$5:$C$54,0),13),0)&gt;=IFERROR(INDEX(DogInfo!A:B,MATCH(C95&amp;$BD$4,DogInfo!A:A,0),2),0)),IFERROR(INDEX($C$5:$W$54,MATCH(C95,$C$5:$C$54,0),13),0),IF(AND(IFERROR(INDEX(DogInfo!A:B,MATCH(C95&amp;$BD$4,DogInfo!A:A,0),2),0)&gt;=IFERROR(INDEX($C$5:$W$54,MATCH(C95,$C$5:$C$54,0),13),0),IFERROR(INDEX(DogInfo!A:B,MATCH(C95&amp;$BD$4,DogInfo!A:A,0),2),0)&gt;=O95),IFERROR(INDEX(DogInfo!A:B,MATCH(C95&amp;$BD$4,DogInfo!A:A,0),2),0),"Error"))),IFERROR(INDEX($C$5:$BE$54,MATCH(C95,$C$5:$C$54,0),54),IFERROR(INDEX(DogInfo!A:B,MATCH(C95&amp;$BD$4,DogInfo!A:A,0),2),0))),"")</f>
        <v>0</v>
      </c>
      <c r="BE95" s="274">
        <f>_xlfn.IFNA(IF(Y95="Pass",IF(AND(W95&gt;=IFERROR(INDEX($C$5:$W$54,MATCH(C95,$C$5:$C$54,0),21),0),O95&gt;=IFERROR(INDEX(DogInfo!A:B,MATCH(C95&amp;$BE$4,DogInfo!A:A,0),2),0)),W95,IF(AND(IFERROR(INDEX($C$5:$W$54,MATCH(C95,$C$5:$C$54,0),21),0)&gt;=W95,IFERROR(INDEX($C$5:$W$54,MATCH(C95,$C$5:$C$54,0),21),0)&gt;=IFERROR(INDEX(DogInfo!A:B,MATCH(C95&amp;$BE$4,DogInfo!A:A,0),2),0)),IFERROR(INDEX($C$5:$W$54,MATCH(C95,$C$5:$C$54,0),21),0),IF(AND(IFERROR(INDEX(DogInfo!A:B,MATCH(C95&amp;$BE$4,DogInfo!A:A,0),2),0)&gt;=IFERROR(INDEX($C$5:$W$54,MATCH(C95,$C$5:$C$54,0),21),0),IFERROR(INDEX(DogInfo!A:B,MATCH(C95&amp;$BE$4,DogInfo!A:A,0),2),0)&gt;=W95),IFERROR(INDEX(DogInfo!A:B,MATCH(C95&amp;$BE$4,DogInfo!A:A,0),2),0),"Error"))),IFERROR(INDEX($C$5:$BE$54,MATCH(C95,$C$5:$C$54,0),55),IFERROR(INDEX(DogInfo!A:B,MATCH(C95&amp;$BE$4,DogInfo!A:A,0),2),0))),"")</f>
        <v>0</v>
      </c>
    </row>
    <row r="96" spans="1:57" x14ac:dyDescent="0.25">
      <c r="A96" s="99">
        <v>32</v>
      </c>
      <c r="B96" s="100"/>
      <c r="C96" s="101"/>
      <c r="D96" s="102" t="str">
        <f>IF($C96="","",VLOOKUP($C96,'SDDA Dogs'!$A:$F,2,FALSE))</f>
        <v/>
      </c>
      <c r="E96" s="211">
        <f t="shared" si="99"/>
        <v>1</v>
      </c>
      <c r="F96" s="103" t="str">
        <f>IF($C96="","",IF(ISERROR(VLOOKUP($C96,$C$5:$AP$54,38,FALSE)=TRUE),VLOOKUP($C96,'SDDA Dogs'!$A:$O,13,FALSE),VLOOKUP($C96,$C$5:$AP$54,38,FALSE)))</f>
        <v/>
      </c>
      <c r="G96" s="137"/>
      <c r="H96" s="217"/>
      <c r="I96" s="84" t="str">
        <f t="shared" si="100"/>
        <v/>
      </c>
      <c r="J96" s="105">
        <f t="shared" si="57"/>
        <v>0</v>
      </c>
      <c r="K96" s="84" t="str">
        <f t="shared" si="101"/>
        <v/>
      </c>
      <c r="L96" s="105">
        <f t="shared" si="58"/>
        <v>0</v>
      </c>
      <c r="M96" s="84" t="str">
        <f t="shared" si="102"/>
        <v/>
      </c>
      <c r="N96" s="106" t="str">
        <f>IF($C96="","",IF(ISERROR(VLOOKUP($C96,$C$5:$AP$54,39,FALSE)=TRUE),VLOOKUP($C96,'SDDA Dogs'!$A:$O,14,FALSE),VLOOKUP($C96,$C$5:$AP$54,39,FALSE)))</f>
        <v/>
      </c>
      <c r="O96" s="137"/>
      <c r="P96" s="217"/>
      <c r="Q96" s="84" t="str">
        <f t="shared" si="103"/>
        <v/>
      </c>
      <c r="R96" s="105">
        <f t="shared" si="59"/>
        <v>0</v>
      </c>
      <c r="S96" s="84" t="str">
        <f t="shared" si="104"/>
        <v/>
      </c>
      <c r="T96" s="105">
        <f t="shared" si="60"/>
        <v>0</v>
      </c>
      <c r="U96" s="84" t="str">
        <f t="shared" si="105"/>
        <v/>
      </c>
      <c r="V96" s="106" t="str">
        <f>IF($C96="","",IF(ISERROR(VLOOKUP($C96,$C$5:$AP$54,40,FALSE)=TRUE),VLOOKUP($C96,'SDDA Dogs'!$A:$O,15,FALSE),VLOOKUP($C96,$C$5:$AP$54,40,FALSE)))</f>
        <v/>
      </c>
      <c r="W96" s="137"/>
      <c r="X96" s="217"/>
      <c r="Y96" s="84" t="str">
        <f t="shared" si="106"/>
        <v/>
      </c>
      <c r="Z96" s="105">
        <f t="shared" si="61"/>
        <v>0</v>
      </c>
      <c r="AA96" s="84" t="str">
        <f t="shared" si="107"/>
        <v/>
      </c>
      <c r="AB96" s="105">
        <f t="shared" si="62"/>
        <v>0</v>
      </c>
      <c r="AC96" s="84" t="str">
        <f t="shared" si="108"/>
        <v/>
      </c>
      <c r="AD96" s="92" t="str">
        <f t="shared" si="82"/>
        <v/>
      </c>
      <c r="AE96" s="89" t="str">
        <f t="shared" si="109"/>
        <v/>
      </c>
      <c r="AF96" s="104" t="str">
        <f t="shared" si="110"/>
        <v/>
      </c>
      <c r="AG96" s="107" t="str">
        <f t="shared" si="111"/>
        <v/>
      </c>
      <c r="AH96" s="92" t="str">
        <f t="shared" si="112"/>
        <v/>
      </c>
      <c r="AI96" s="89" t="str">
        <f t="shared" si="113"/>
        <v/>
      </c>
      <c r="AJ96" s="104" t="str">
        <f t="shared" si="114"/>
        <v/>
      </c>
      <c r="AK96" s="84" t="str">
        <f t="shared" si="115"/>
        <v/>
      </c>
      <c r="AL96" s="265" t="str">
        <f t="shared" si="116"/>
        <v/>
      </c>
      <c r="AM96" s="270">
        <f t="shared" si="63"/>
        <v>0</v>
      </c>
      <c r="AN96" s="270" t="str">
        <f t="shared" si="64"/>
        <v/>
      </c>
      <c r="AO96" s="270" t="str">
        <f t="shared" si="65"/>
        <v/>
      </c>
      <c r="AP96" s="270" t="str">
        <f t="shared" si="66"/>
        <v/>
      </c>
      <c r="AQ96" s="270">
        <f t="shared" si="117"/>
        <v>0</v>
      </c>
      <c r="AR96" s="316">
        <f>MIN(IFERROR(VLOOKUP($C96,'SDDA Dogs'!$A:$O,10,FALSE),0),IFERROR(VLOOKUP($C96,'SDDA Dogs'!$A:$O,11,FALSE),0),IFERROR(VLOOKUP($C96,'SDDA Dogs'!$A:$O,12,FALSE),0))</f>
        <v>0</v>
      </c>
      <c r="AS96" s="272"/>
      <c r="AT96" s="272"/>
      <c r="AU96" s="272" t="str">
        <f>IF(ISERROR(VLOOKUP(C96,'SDDA Dogs'!A:O,6,FALSE)),"",VLOOKUP(C96,'SDDA Dogs'!A:O,6,FALSE))</f>
        <v/>
      </c>
      <c r="AV96" s="270">
        <f t="shared" si="67"/>
        <v>0</v>
      </c>
      <c r="AW96" s="270">
        <f t="shared" si="68"/>
        <v>0</v>
      </c>
      <c r="AX96" s="273">
        <f t="shared" si="69"/>
        <v>0</v>
      </c>
      <c r="AY96" s="274"/>
      <c r="AZ96" s="275">
        <f t="shared" si="70"/>
        <v>0</v>
      </c>
      <c r="BA96" s="275">
        <f t="shared" si="71"/>
        <v>0</v>
      </c>
      <c r="BB96" s="276"/>
      <c r="BC96" s="274">
        <f>_xlfn.IFNA(IF(I96="Pass",IF(AND(G96&gt;=IFERROR(INDEX($C$5:$W$54,MATCH(C96,$C$5:$C$54,0),5),0),G96&gt;=IFERROR(INDEX(DogInfo!A:B,MATCH(C96&amp;$BC$4,DogInfo!A:A,0),2),0)),G96,IF(AND(IFERROR(INDEX($C$5:$W$54,MATCH(C96,$C$5:$C$54,0),5),0)&gt;=G96,IFERROR(INDEX($C$5:$W$54,MATCH(C96,$C$5:$C$54,0),5),0)&gt;=IFERROR(INDEX(DogInfo!A:B,MATCH(C96&amp;$BC$4,DogInfo!A:A,0),2),0)),IFERROR(INDEX($C$5:$W$54,MATCH(C96,$C$5:$C$54,0),5),0),IF(AND(IFERROR(INDEX(DogInfo!A:B,MATCH(C96&amp;$BC$4,DogInfo!A:A,0),2),0)&gt;=IFERROR(INDEX($C$5:$W$54,MATCH(C96,$C$5:$C$54,0),5),0),IFERROR(INDEX(DogInfo!A:B,MATCH(C96&amp;$BC$4,DogInfo!A:A,0),2),0)&gt;=G96),IFERROR(INDEX(DogInfo!A:B,MATCH(C96&amp;$BC$4,DogInfo!A:A,0),2),0),"Error"))),IFERROR(INDEX($C$5:$BE$54,MATCH(C96,$C$5:$C$54,0),53),IFERROR(INDEX(DogInfo!A:B,MATCH(C96&amp;$BC$4,DogInfo!A:A,0),2),0))),"")</f>
        <v>0</v>
      </c>
      <c r="BD96" s="274">
        <f>_xlfn.IFNA(IF(Q96="Pass",IF(AND(O96&gt;=IFERROR(INDEX($C$5:$W$54,MATCH(C96,$C$5:$C$54,0),13),0),O96&gt;=IFERROR(INDEX(DogInfo!A:B,MATCH(C96&amp;$BD$4,DogInfo!A:A,0),2),0)),O96,IF(AND(IFERROR(INDEX($C$5:$W$54,MATCH(C96,$C$5:$C$54,0),13),0)&gt;=O96,IFERROR(INDEX($C$5:$W$54,MATCH(C96,$C$5:$C$54,0),13),0)&gt;=IFERROR(INDEX(DogInfo!A:B,MATCH(C96&amp;$BD$4,DogInfo!A:A,0),2),0)),IFERROR(INDEX($C$5:$W$54,MATCH(C96,$C$5:$C$54,0),13),0),IF(AND(IFERROR(INDEX(DogInfo!A:B,MATCH(C96&amp;$BD$4,DogInfo!A:A,0),2),0)&gt;=IFERROR(INDEX($C$5:$W$54,MATCH(C96,$C$5:$C$54,0),13),0),IFERROR(INDEX(DogInfo!A:B,MATCH(C96&amp;$BD$4,DogInfo!A:A,0),2),0)&gt;=O96),IFERROR(INDEX(DogInfo!A:B,MATCH(C96&amp;$BD$4,DogInfo!A:A,0),2),0),"Error"))),IFERROR(INDEX($C$5:$BE$54,MATCH(C96,$C$5:$C$54,0),54),IFERROR(INDEX(DogInfo!A:B,MATCH(C96&amp;$BD$4,DogInfo!A:A,0),2),0))),"")</f>
        <v>0</v>
      </c>
      <c r="BE96" s="274">
        <f>_xlfn.IFNA(IF(Y96="Pass",IF(AND(W96&gt;=IFERROR(INDEX($C$5:$W$54,MATCH(C96,$C$5:$C$54,0),21),0),O96&gt;=IFERROR(INDEX(DogInfo!A:B,MATCH(C96&amp;$BE$4,DogInfo!A:A,0),2),0)),W96,IF(AND(IFERROR(INDEX($C$5:$W$54,MATCH(C96,$C$5:$C$54,0),21),0)&gt;=W96,IFERROR(INDEX($C$5:$W$54,MATCH(C96,$C$5:$C$54,0),21),0)&gt;=IFERROR(INDEX(DogInfo!A:B,MATCH(C96&amp;$BE$4,DogInfo!A:A,0),2),0)),IFERROR(INDEX($C$5:$W$54,MATCH(C96,$C$5:$C$54,0),21),0),IF(AND(IFERROR(INDEX(DogInfo!A:B,MATCH(C96&amp;$BE$4,DogInfo!A:A,0),2),0)&gt;=IFERROR(INDEX($C$5:$W$54,MATCH(C96,$C$5:$C$54,0),21),0),IFERROR(INDEX(DogInfo!A:B,MATCH(C96&amp;$BE$4,DogInfo!A:A,0),2),0)&gt;=W96),IFERROR(INDEX(DogInfo!A:B,MATCH(C96&amp;$BE$4,DogInfo!A:A,0),2),0),"Error"))),IFERROR(INDEX($C$5:$BE$54,MATCH(C96,$C$5:$C$54,0),55),IFERROR(INDEX(DogInfo!A:B,MATCH(C96&amp;$BE$4,DogInfo!A:A,0),2),0))),"")</f>
        <v>0</v>
      </c>
    </row>
    <row r="97" spans="1:57" x14ac:dyDescent="0.25">
      <c r="A97" s="99">
        <v>33</v>
      </c>
      <c r="B97" s="100"/>
      <c r="C97" s="101"/>
      <c r="D97" s="102" t="str">
        <f>IF($C97="","",VLOOKUP($C97,'SDDA Dogs'!$A:$F,2,FALSE))</f>
        <v/>
      </c>
      <c r="E97" s="211">
        <f t="shared" si="99"/>
        <v>1</v>
      </c>
      <c r="F97" s="103" t="str">
        <f>IF($C97="","",IF(ISERROR(VLOOKUP($C97,$C$5:$AP$54,38,FALSE)=TRUE),VLOOKUP($C97,'SDDA Dogs'!$A:$O,13,FALSE),VLOOKUP($C97,$C$5:$AP$54,38,FALSE)))</f>
        <v/>
      </c>
      <c r="G97" s="137"/>
      <c r="H97" s="217"/>
      <c r="I97" s="84" t="str">
        <f t="shared" si="100"/>
        <v/>
      </c>
      <c r="J97" s="105">
        <f t="shared" si="57"/>
        <v>0</v>
      </c>
      <c r="K97" s="84" t="str">
        <f t="shared" si="101"/>
        <v/>
      </c>
      <c r="L97" s="105">
        <f t="shared" si="58"/>
        <v>0</v>
      </c>
      <c r="M97" s="84" t="str">
        <f t="shared" si="102"/>
        <v/>
      </c>
      <c r="N97" s="106" t="str">
        <f>IF($C97="","",IF(ISERROR(VLOOKUP($C97,$C$5:$AP$54,39,FALSE)=TRUE),VLOOKUP($C97,'SDDA Dogs'!$A:$O,14,FALSE),VLOOKUP($C97,$C$5:$AP$54,39,FALSE)))</f>
        <v/>
      </c>
      <c r="O97" s="137"/>
      <c r="P97" s="217"/>
      <c r="Q97" s="84" t="str">
        <f t="shared" si="103"/>
        <v/>
      </c>
      <c r="R97" s="105">
        <f t="shared" si="59"/>
        <v>0</v>
      </c>
      <c r="S97" s="84" t="str">
        <f t="shared" si="104"/>
        <v/>
      </c>
      <c r="T97" s="105">
        <f t="shared" si="60"/>
        <v>0</v>
      </c>
      <c r="U97" s="84" t="str">
        <f t="shared" si="105"/>
        <v/>
      </c>
      <c r="V97" s="106" t="str">
        <f>IF($C97="","",IF(ISERROR(VLOOKUP($C97,$C$5:$AP$54,40,FALSE)=TRUE),VLOOKUP($C97,'SDDA Dogs'!$A:$O,15,FALSE),VLOOKUP($C97,$C$5:$AP$54,40,FALSE)))</f>
        <v/>
      </c>
      <c r="W97" s="137"/>
      <c r="X97" s="217"/>
      <c r="Y97" s="84" t="str">
        <f t="shared" si="106"/>
        <v/>
      </c>
      <c r="Z97" s="105">
        <f t="shared" si="61"/>
        <v>0</v>
      </c>
      <c r="AA97" s="84" t="str">
        <f t="shared" si="107"/>
        <v/>
      </c>
      <c r="AB97" s="105">
        <f t="shared" si="62"/>
        <v>0</v>
      </c>
      <c r="AC97" s="84" t="str">
        <f t="shared" si="108"/>
        <v/>
      </c>
      <c r="AD97" s="92" t="str">
        <f t="shared" si="82"/>
        <v/>
      </c>
      <c r="AE97" s="89" t="str">
        <f t="shared" si="109"/>
        <v/>
      </c>
      <c r="AF97" s="104" t="str">
        <f t="shared" si="110"/>
        <v/>
      </c>
      <c r="AG97" s="107" t="str">
        <f t="shared" si="111"/>
        <v/>
      </c>
      <c r="AH97" s="92" t="str">
        <f t="shared" si="112"/>
        <v/>
      </c>
      <c r="AI97" s="89" t="str">
        <f t="shared" si="113"/>
        <v/>
      </c>
      <c r="AJ97" s="104" t="str">
        <f t="shared" si="114"/>
        <v/>
      </c>
      <c r="AK97" s="84" t="str">
        <f t="shared" si="115"/>
        <v/>
      </c>
      <c r="AL97" s="265" t="str">
        <f t="shared" si="116"/>
        <v/>
      </c>
      <c r="AM97" s="270">
        <f t="shared" si="63"/>
        <v>0</v>
      </c>
      <c r="AN97" s="270" t="str">
        <f t="shared" si="64"/>
        <v/>
      </c>
      <c r="AO97" s="270" t="str">
        <f t="shared" si="65"/>
        <v/>
      </c>
      <c r="AP97" s="270" t="str">
        <f t="shared" si="66"/>
        <v/>
      </c>
      <c r="AQ97" s="270">
        <f t="shared" si="117"/>
        <v>0</v>
      </c>
      <c r="AR97" s="316">
        <f>MIN(IFERROR(VLOOKUP($C97,'SDDA Dogs'!$A:$O,10,FALSE),0),IFERROR(VLOOKUP($C97,'SDDA Dogs'!$A:$O,11,FALSE),0),IFERROR(VLOOKUP($C97,'SDDA Dogs'!$A:$O,12,FALSE),0))</f>
        <v>0</v>
      </c>
      <c r="AS97" s="272"/>
      <c r="AT97" s="272"/>
      <c r="AU97" s="272" t="str">
        <f>IF(ISERROR(VLOOKUP(C97,'SDDA Dogs'!A:O,6,FALSE)),"",VLOOKUP(C97,'SDDA Dogs'!A:O,6,FALSE))</f>
        <v/>
      </c>
      <c r="AV97" s="270">
        <f t="shared" si="67"/>
        <v>0</v>
      </c>
      <c r="AW97" s="270">
        <f t="shared" si="68"/>
        <v>0</v>
      </c>
      <c r="AX97" s="273">
        <f t="shared" si="69"/>
        <v>0</v>
      </c>
      <c r="AY97" s="274"/>
      <c r="AZ97" s="275">
        <f t="shared" ref="AZ97:AZ114" si="118">IF(AND(I97="Pass",Q97="Pass",Y97="Pass"),(G97+O97+W97)/((MinScoreCSA + MinScoreISA + MinScoreESA)*2),0)</f>
        <v>0</v>
      </c>
      <c r="BA97" s="275">
        <f t="shared" ref="BA97:BA114" si="119">IF(AND(I97="Pass",Q97="Pass",Y97="Pass"),(H97+P97+X97)/(MaxTmCSE+MaxTmESE+MaxTmISE),0)</f>
        <v>0</v>
      </c>
      <c r="BB97" s="276"/>
      <c r="BC97" s="274">
        <f>_xlfn.IFNA(IF(I97="Pass",IF(AND(G97&gt;=IFERROR(INDEX($C$5:$W$54,MATCH(C97,$C$5:$C$54,0),5),0),G97&gt;=IFERROR(INDEX(DogInfo!A:B,MATCH(C97&amp;$BC$4,DogInfo!A:A,0),2),0)),G97,IF(AND(IFERROR(INDEX($C$5:$W$54,MATCH(C97,$C$5:$C$54,0),5),0)&gt;=G97,IFERROR(INDEX($C$5:$W$54,MATCH(C97,$C$5:$C$54,0),5),0)&gt;=IFERROR(INDEX(DogInfo!A:B,MATCH(C97&amp;$BC$4,DogInfo!A:A,0),2),0)),IFERROR(INDEX($C$5:$W$54,MATCH(C97,$C$5:$C$54,0),5),0),IF(AND(IFERROR(INDEX(DogInfo!A:B,MATCH(C97&amp;$BC$4,DogInfo!A:A,0),2),0)&gt;=IFERROR(INDEX($C$5:$W$54,MATCH(C97,$C$5:$C$54,0),5),0),IFERROR(INDEX(DogInfo!A:B,MATCH(C97&amp;$BC$4,DogInfo!A:A,0),2),0)&gt;=G97),IFERROR(INDEX(DogInfo!A:B,MATCH(C97&amp;$BC$4,DogInfo!A:A,0),2),0),"Error"))),IFERROR(INDEX($C$5:$BE$54,MATCH(C97,$C$5:$C$54,0),53),IFERROR(INDEX(DogInfo!A:B,MATCH(C97&amp;$BC$4,DogInfo!A:A,0),2),0))),"")</f>
        <v>0</v>
      </c>
      <c r="BD97" s="274">
        <f>_xlfn.IFNA(IF(Q97="Pass",IF(AND(O97&gt;=IFERROR(INDEX($C$5:$W$54,MATCH(C97,$C$5:$C$54,0),13),0),O97&gt;=IFERROR(INDEX(DogInfo!A:B,MATCH(C97&amp;$BD$4,DogInfo!A:A,0),2),0)),O97,IF(AND(IFERROR(INDEX($C$5:$W$54,MATCH(C97,$C$5:$C$54,0),13),0)&gt;=O97,IFERROR(INDEX($C$5:$W$54,MATCH(C97,$C$5:$C$54,0),13),0)&gt;=IFERROR(INDEX(DogInfo!A:B,MATCH(C97&amp;$BD$4,DogInfo!A:A,0),2),0)),IFERROR(INDEX($C$5:$W$54,MATCH(C97,$C$5:$C$54,0),13),0),IF(AND(IFERROR(INDEX(DogInfo!A:B,MATCH(C97&amp;$BD$4,DogInfo!A:A,0),2),0)&gt;=IFERROR(INDEX($C$5:$W$54,MATCH(C97,$C$5:$C$54,0),13),0),IFERROR(INDEX(DogInfo!A:B,MATCH(C97&amp;$BD$4,DogInfo!A:A,0),2),0)&gt;=O97),IFERROR(INDEX(DogInfo!A:B,MATCH(C97&amp;$BD$4,DogInfo!A:A,0),2),0),"Error"))),IFERROR(INDEX($C$5:$BE$54,MATCH(C97,$C$5:$C$54,0),54),IFERROR(INDEX(DogInfo!A:B,MATCH(C97&amp;$BD$4,DogInfo!A:A,0),2),0))),"")</f>
        <v>0</v>
      </c>
      <c r="BE97" s="274">
        <f>_xlfn.IFNA(IF(Y97="Pass",IF(AND(W97&gt;=IFERROR(INDEX($C$5:$W$54,MATCH(C97,$C$5:$C$54,0),21),0),O97&gt;=IFERROR(INDEX(DogInfo!A:B,MATCH(C97&amp;$BE$4,DogInfo!A:A,0),2),0)),W97,IF(AND(IFERROR(INDEX($C$5:$W$54,MATCH(C97,$C$5:$C$54,0),21),0)&gt;=W97,IFERROR(INDEX($C$5:$W$54,MATCH(C97,$C$5:$C$54,0),21),0)&gt;=IFERROR(INDEX(DogInfo!A:B,MATCH(C97&amp;$BE$4,DogInfo!A:A,0),2),0)),IFERROR(INDEX($C$5:$W$54,MATCH(C97,$C$5:$C$54,0),21),0),IF(AND(IFERROR(INDEX(DogInfo!A:B,MATCH(C97&amp;$BE$4,DogInfo!A:A,0),2),0)&gt;=IFERROR(INDEX($C$5:$W$54,MATCH(C97,$C$5:$C$54,0),21),0),IFERROR(INDEX(DogInfo!A:B,MATCH(C97&amp;$BE$4,DogInfo!A:A,0),2),0)&gt;=W97),IFERROR(INDEX(DogInfo!A:B,MATCH(C97&amp;$BE$4,DogInfo!A:A,0),2),0),"Error"))),IFERROR(INDEX($C$5:$BE$54,MATCH(C97,$C$5:$C$54,0),55),IFERROR(INDEX(DogInfo!A:B,MATCH(C97&amp;$BE$4,DogInfo!A:A,0),2),0))),"")</f>
        <v>0</v>
      </c>
    </row>
    <row r="98" spans="1:57" x14ac:dyDescent="0.25">
      <c r="A98" s="99">
        <v>34</v>
      </c>
      <c r="B98" s="100"/>
      <c r="C98" s="101"/>
      <c r="D98" s="102" t="str">
        <f>IF($C98="","",VLOOKUP($C98,'SDDA Dogs'!$A:$F,2,FALSE))</f>
        <v/>
      </c>
      <c r="E98" s="211">
        <f t="shared" si="99"/>
        <v>1</v>
      </c>
      <c r="F98" s="103" t="str">
        <f>IF($C98="","",IF(ISERROR(VLOOKUP($C98,$C$5:$AP$54,38,FALSE)=TRUE),VLOOKUP($C98,'SDDA Dogs'!$A:$O,13,FALSE),VLOOKUP($C98,$C$5:$AP$54,38,FALSE)))</f>
        <v/>
      </c>
      <c r="G98" s="137"/>
      <c r="H98" s="217"/>
      <c r="I98" s="84" t="str">
        <f t="shared" si="100"/>
        <v/>
      </c>
      <c r="J98" s="105">
        <f t="shared" si="57"/>
        <v>0</v>
      </c>
      <c r="K98" s="84" t="str">
        <f t="shared" si="101"/>
        <v/>
      </c>
      <c r="L98" s="105">
        <f t="shared" si="58"/>
        <v>0</v>
      </c>
      <c r="M98" s="84" t="str">
        <f t="shared" si="102"/>
        <v/>
      </c>
      <c r="N98" s="106" t="str">
        <f>IF($C98="","",IF(ISERROR(VLOOKUP($C98,$C$5:$AP$54,39,FALSE)=TRUE),VLOOKUP($C98,'SDDA Dogs'!$A:$O,14,FALSE),VLOOKUP($C98,$C$5:$AP$54,39,FALSE)))</f>
        <v/>
      </c>
      <c r="O98" s="137"/>
      <c r="P98" s="217"/>
      <c r="Q98" s="84" t="str">
        <f t="shared" si="103"/>
        <v/>
      </c>
      <c r="R98" s="105">
        <f t="shared" si="59"/>
        <v>0</v>
      </c>
      <c r="S98" s="84" t="str">
        <f t="shared" si="104"/>
        <v/>
      </c>
      <c r="T98" s="105">
        <f t="shared" si="60"/>
        <v>0</v>
      </c>
      <c r="U98" s="84" t="str">
        <f t="shared" si="105"/>
        <v/>
      </c>
      <c r="V98" s="106" t="str">
        <f>IF($C98="","",IF(ISERROR(VLOOKUP($C98,$C$5:$AP$54,40,FALSE)=TRUE),VLOOKUP($C98,'SDDA Dogs'!$A:$O,15,FALSE),VLOOKUP($C98,$C$5:$AP$54,40,FALSE)))</f>
        <v/>
      </c>
      <c r="W98" s="137"/>
      <c r="X98" s="217"/>
      <c r="Y98" s="84" t="str">
        <f t="shared" si="106"/>
        <v/>
      </c>
      <c r="Z98" s="105">
        <f t="shared" si="61"/>
        <v>0</v>
      </c>
      <c r="AA98" s="84" t="str">
        <f t="shared" si="107"/>
        <v/>
      </c>
      <c r="AB98" s="105">
        <f t="shared" si="62"/>
        <v>0</v>
      </c>
      <c r="AC98" s="84" t="str">
        <f t="shared" si="108"/>
        <v/>
      </c>
      <c r="AD98" s="92" t="str">
        <f t="shared" si="82"/>
        <v/>
      </c>
      <c r="AE98" s="89" t="str">
        <f t="shared" si="109"/>
        <v/>
      </c>
      <c r="AF98" s="104" t="str">
        <f t="shared" si="110"/>
        <v/>
      </c>
      <c r="AG98" s="107" t="str">
        <f t="shared" si="111"/>
        <v/>
      </c>
      <c r="AH98" s="92" t="str">
        <f t="shared" si="112"/>
        <v/>
      </c>
      <c r="AI98" s="89" t="str">
        <f t="shared" si="113"/>
        <v/>
      </c>
      <c r="AJ98" s="104" t="str">
        <f t="shared" si="114"/>
        <v/>
      </c>
      <c r="AK98" s="84" t="str">
        <f t="shared" si="115"/>
        <v/>
      </c>
      <c r="AL98" s="265" t="str">
        <f t="shared" si="116"/>
        <v/>
      </c>
      <c r="AM98" s="270">
        <f t="shared" si="63"/>
        <v>0</v>
      </c>
      <c r="AN98" s="270" t="str">
        <f t="shared" si="64"/>
        <v/>
      </c>
      <c r="AO98" s="270" t="str">
        <f t="shared" si="65"/>
        <v/>
      </c>
      <c r="AP98" s="270" t="str">
        <f t="shared" si="66"/>
        <v/>
      </c>
      <c r="AQ98" s="270">
        <f t="shared" si="117"/>
        <v>0</v>
      </c>
      <c r="AR98" s="316">
        <f>MIN(IFERROR(VLOOKUP($C98,'SDDA Dogs'!$A:$O,10,FALSE),0),IFERROR(VLOOKUP($C98,'SDDA Dogs'!$A:$O,11,FALSE),0),IFERROR(VLOOKUP($C98,'SDDA Dogs'!$A:$O,12,FALSE),0))</f>
        <v>0</v>
      </c>
      <c r="AS98" s="272"/>
      <c r="AT98" s="272"/>
      <c r="AU98" s="272" t="str">
        <f>IF(ISERROR(VLOOKUP(C98,'SDDA Dogs'!A:O,6,FALSE)),"",VLOOKUP(C98,'SDDA Dogs'!A:O,6,FALSE))</f>
        <v/>
      </c>
      <c r="AV98" s="270">
        <f t="shared" si="67"/>
        <v>0</v>
      </c>
      <c r="AW98" s="270">
        <f t="shared" si="68"/>
        <v>0</v>
      </c>
      <c r="AX98" s="273">
        <f t="shared" si="69"/>
        <v>0</v>
      </c>
      <c r="AY98" s="274"/>
      <c r="AZ98" s="275">
        <f t="shared" si="118"/>
        <v>0</v>
      </c>
      <c r="BA98" s="275">
        <f t="shared" si="119"/>
        <v>0</v>
      </c>
      <c r="BB98" s="276"/>
      <c r="BC98" s="274">
        <f>_xlfn.IFNA(IF(I98="Pass",IF(AND(G98&gt;=IFERROR(INDEX($C$5:$W$54,MATCH(C98,$C$5:$C$54,0),5),0),G98&gt;=IFERROR(INDEX(DogInfo!A:B,MATCH(C98&amp;$BC$4,DogInfo!A:A,0),2),0)),G98,IF(AND(IFERROR(INDEX($C$5:$W$54,MATCH(C98,$C$5:$C$54,0),5),0)&gt;=G98,IFERROR(INDEX($C$5:$W$54,MATCH(C98,$C$5:$C$54,0),5),0)&gt;=IFERROR(INDEX(DogInfo!A:B,MATCH(C98&amp;$BC$4,DogInfo!A:A,0),2),0)),IFERROR(INDEX($C$5:$W$54,MATCH(C98,$C$5:$C$54,0),5),0),IF(AND(IFERROR(INDEX(DogInfo!A:B,MATCH(C98&amp;$BC$4,DogInfo!A:A,0),2),0)&gt;=IFERROR(INDEX($C$5:$W$54,MATCH(C98,$C$5:$C$54,0),5),0),IFERROR(INDEX(DogInfo!A:B,MATCH(C98&amp;$BC$4,DogInfo!A:A,0),2),0)&gt;=G98),IFERROR(INDEX(DogInfo!A:B,MATCH(C98&amp;$BC$4,DogInfo!A:A,0),2),0),"Error"))),IFERROR(INDEX($C$5:$BE$54,MATCH(C98,$C$5:$C$54,0),53),IFERROR(INDEX(DogInfo!A:B,MATCH(C98&amp;$BC$4,DogInfo!A:A,0),2),0))),"")</f>
        <v>0</v>
      </c>
      <c r="BD98" s="274">
        <f>_xlfn.IFNA(IF(Q98="Pass",IF(AND(O98&gt;=IFERROR(INDEX($C$5:$W$54,MATCH(C98,$C$5:$C$54,0),13),0),O98&gt;=IFERROR(INDEX(DogInfo!A:B,MATCH(C98&amp;$BD$4,DogInfo!A:A,0),2),0)),O98,IF(AND(IFERROR(INDEX($C$5:$W$54,MATCH(C98,$C$5:$C$54,0),13),0)&gt;=O98,IFERROR(INDEX($C$5:$W$54,MATCH(C98,$C$5:$C$54,0),13),0)&gt;=IFERROR(INDEX(DogInfo!A:B,MATCH(C98&amp;$BD$4,DogInfo!A:A,0),2),0)),IFERROR(INDEX($C$5:$W$54,MATCH(C98,$C$5:$C$54,0),13),0),IF(AND(IFERROR(INDEX(DogInfo!A:B,MATCH(C98&amp;$BD$4,DogInfo!A:A,0),2),0)&gt;=IFERROR(INDEX($C$5:$W$54,MATCH(C98,$C$5:$C$54,0),13),0),IFERROR(INDEX(DogInfo!A:B,MATCH(C98&amp;$BD$4,DogInfo!A:A,0),2),0)&gt;=O98),IFERROR(INDEX(DogInfo!A:B,MATCH(C98&amp;$BD$4,DogInfo!A:A,0),2),0),"Error"))),IFERROR(INDEX($C$5:$BE$54,MATCH(C98,$C$5:$C$54,0),54),IFERROR(INDEX(DogInfo!A:B,MATCH(C98&amp;$BD$4,DogInfo!A:A,0),2),0))),"")</f>
        <v>0</v>
      </c>
      <c r="BE98" s="274">
        <f>_xlfn.IFNA(IF(Y98="Pass",IF(AND(W98&gt;=IFERROR(INDEX($C$5:$W$54,MATCH(C98,$C$5:$C$54,0),21),0),O98&gt;=IFERROR(INDEX(DogInfo!A:B,MATCH(C98&amp;$BE$4,DogInfo!A:A,0),2),0)),W98,IF(AND(IFERROR(INDEX($C$5:$W$54,MATCH(C98,$C$5:$C$54,0),21),0)&gt;=W98,IFERROR(INDEX($C$5:$W$54,MATCH(C98,$C$5:$C$54,0),21),0)&gt;=IFERROR(INDEX(DogInfo!A:B,MATCH(C98&amp;$BE$4,DogInfo!A:A,0),2),0)),IFERROR(INDEX($C$5:$W$54,MATCH(C98,$C$5:$C$54,0),21),0),IF(AND(IFERROR(INDEX(DogInfo!A:B,MATCH(C98&amp;$BE$4,DogInfo!A:A,0),2),0)&gt;=IFERROR(INDEX($C$5:$W$54,MATCH(C98,$C$5:$C$54,0),21),0),IFERROR(INDEX(DogInfo!A:B,MATCH(C98&amp;$BE$4,DogInfo!A:A,0),2),0)&gt;=W98),IFERROR(INDEX(DogInfo!A:B,MATCH(C98&amp;$BE$4,DogInfo!A:A,0),2),0),"Error"))),IFERROR(INDEX($C$5:$BE$54,MATCH(C98,$C$5:$C$54,0),55),IFERROR(INDEX(DogInfo!A:B,MATCH(C98&amp;$BE$4,DogInfo!A:A,0),2),0))),"")</f>
        <v>0</v>
      </c>
    </row>
    <row r="99" spans="1:57" x14ac:dyDescent="0.25">
      <c r="A99" s="99">
        <v>35</v>
      </c>
      <c r="B99" s="100"/>
      <c r="C99" s="101"/>
      <c r="D99" s="102" t="str">
        <f>IF($C99="","",VLOOKUP($C99,'SDDA Dogs'!$A:$F,2,FALSE))</f>
        <v/>
      </c>
      <c r="E99" s="211">
        <f t="shared" si="99"/>
        <v>1</v>
      </c>
      <c r="F99" s="103" t="str">
        <f>IF($C99="","",IF(ISERROR(VLOOKUP($C99,$C$5:$AP$54,38,FALSE)=TRUE),VLOOKUP($C99,'SDDA Dogs'!$A:$O,13,FALSE),VLOOKUP($C99,$C$5:$AP$54,38,FALSE)))</f>
        <v/>
      </c>
      <c r="G99" s="137"/>
      <c r="H99" s="217"/>
      <c r="I99" s="84" t="str">
        <f t="shared" si="100"/>
        <v/>
      </c>
      <c r="J99" s="105">
        <f t="shared" si="57"/>
        <v>0</v>
      </c>
      <c r="K99" s="84" t="str">
        <f t="shared" si="101"/>
        <v/>
      </c>
      <c r="L99" s="105">
        <f t="shared" si="58"/>
        <v>0</v>
      </c>
      <c r="M99" s="84" t="str">
        <f t="shared" si="102"/>
        <v/>
      </c>
      <c r="N99" s="106" t="str">
        <f>IF($C99="","",IF(ISERROR(VLOOKUP($C99,$C$5:$AP$54,39,FALSE)=TRUE),VLOOKUP($C99,'SDDA Dogs'!$A:$O,14,FALSE),VLOOKUP($C99,$C$5:$AP$54,39,FALSE)))</f>
        <v/>
      </c>
      <c r="O99" s="137"/>
      <c r="P99" s="217"/>
      <c r="Q99" s="84" t="str">
        <f t="shared" si="103"/>
        <v/>
      </c>
      <c r="R99" s="105">
        <f t="shared" si="59"/>
        <v>0</v>
      </c>
      <c r="S99" s="84" t="str">
        <f t="shared" si="104"/>
        <v/>
      </c>
      <c r="T99" s="105">
        <f t="shared" si="60"/>
        <v>0</v>
      </c>
      <c r="U99" s="84" t="str">
        <f t="shared" si="105"/>
        <v/>
      </c>
      <c r="V99" s="106" t="str">
        <f>IF($C99="","",IF(ISERROR(VLOOKUP($C99,$C$5:$AP$54,40,FALSE)=TRUE),VLOOKUP($C99,'SDDA Dogs'!$A:$O,15,FALSE),VLOOKUP($C99,$C$5:$AP$54,40,FALSE)))</f>
        <v/>
      </c>
      <c r="W99" s="137"/>
      <c r="X99" s="217"/>
      <c r="Y99" s="84" t="str">
        <f t="shared" si="106"/>
        <v/>
      </c>
      <c r="Z99" s="105">
        <f t="shared" si="61"/>
        <v>0</v>
      </c>
      <c r="AA99" s="84" t="str">
        <f t="shared" si="107"/>
        <v/>
      </c>
      <c r="AB99" s="105">
        <f t="shared" si="62"/>
        <v>0</v>
      </c>
      <c r="AC99" s="84" t="str">
        <f t="shared" si="108"/>
        <v/>
      </c>
      <c r="AD99" s="92" t="str">
        <f t="shared" si="82"/>
        <v/>
      </c>
      <c r="AE99" s="89" t="str">
        <f t="shared" si="109"/>
        <v/>
      </c>
      <c r="AF99" s="104" t="str">
        <f t="shared" si="110"/>
        <v/>
      </c>
      <c r="AG99" s="107" t="str">
        <f t="shared" si="111"/>
        <v/>
      </c>
      <c r="AH99" s="92" t="str">
        <f t="shared" si="112"/>
        <v/>
      </c>
      <c r="AI99" s="89" t="str">
        <f t="shared" si="113"/>
        <v/>
      </c>
      <c r="AJ99" s="104" t="str">
        <f t="shared" si="114"/>
        <v/>
      </c>
      <c r="AK99" s="84" t="str">
        <f t="shared" si="115"/>
        <v/>
      </c>
      <c r="AL99" s="265" t="str">
        <f t="shared" si="116"/>
        <v/>
      </c>
      <c r="AM99" s="270">
        <f t="shared" si="63"/>
        <v>0</v>
      </c>
      <c r="AN99" s="270" t="str">
        <f t="shared" si="64"/>
        <v/>
      </c>
      <c r="AO99" s="270" t="str">
        <f t="shared" si="65"/>
        <v/>
      </c>
      <c r="AP99" s="270" t="str">
        <f t="shared" si="66"/>
        <v/>
      </c>
      <c r="AQ99" s="270">
        <f t="shared" si="117"/>
        <v>0</v>
      </c>
      <c r="AR99" s="316">
        <f>MIN(IFERROR(VLOOKUP($C99,'SDDA Dogs'!$A:$O,10,FALSE),0),IFERROR(VLOOKUP($C99,'SDDA Dogs'!$A:$O,11,FALSE),0),IFERROR(VLOOKUP($C99,'SDDA Dogs'!$A:$O,12,FALSE),0))</f>
        <v>0</v>
      </c>
      <c r="AS99" s="272"/>
      <c r="AT99" s="272"/>
      <c r="AU99" s="272" t="str">
        <f>IF(ISERROR(VLOOKUP(C99,'SDDA Dogs'!A:O,6,FALSE)),"",VLOOKUP(C99,'SDDA Dogs'!A:O,6,FALSE))</f>
        <v/>
      </c>
      <c r="AV99" s="270">
        <f t="shared" si="67"/>
        <v>0</v>
      </c>
      <c r="AW99" s="270">
        <f t="shared" si="68"/>
        <v>0</v>
      </c>
      <c r="AX99" s="273">
        <f t="shared" si="69"/>
        <v>0</v>
      </c>
      <c r="AY99" s="274"/>
      <c r="AZ99" s="275">
        <f t="shared" si="118"/>
        <v>0</v>
      </c>
      <c r="BA99" s="275">
        <f t="shared" si="119"/>
        <v>0</v>
      </c>
      <c r="BB99" s="276"/>
      <c r="BC99" s="274">
        <f>_xlfn.IFNA(IF(I99="Pass",IF(AND(G99&gt;=IFERROR(INDEX($C$5:$W$54,MATCH(C99,$C$5:$C$54,0),5),0),G99&gt;=IFERROR(INDEX(DogInfo!A:B,MATCH(C99&amp;$BC$4,DogInfo!A:A,0),2),0)),G99,IF(AND(IFERROR(INDEX($C$5:$W$54,MATCH(C99,$C$5:$C$54,0),5),0)&gt;=G99,IFERROR(INDEX($C$5:$W$54,MATCH(C99,$C$5:$C$54,0),5),0)&gt;=IFERROR(INDEX(DogInfo!A:B,MATCH(C99&amp;$BC$4,DogInfo!A:A,0),2),0)),IFERROR(INDEX($C$5:$W$54,MATCH(C99,$C$5:$C$54,0),5),0),IF(AND(IFERROR(INDEX(DogInfo!A:B,MATCH(C99&amp;$BC$4,DogInfo!A:A,0),2),0)&gt;=IFERROR(INDEX($C$5:$W$54,MATCH(C99,$C$5:$C$54,0),5),0),IFERROR(INDEX(DogInfo!A:B,MATCH(C99&amp;$BC$4,DogInfo!A:A,0),2),0)&gt;=G99),IFERROR(INDEX(DogInfo!A:B,MATCH(C99&amp;$BC$4,DogInfo!A:A,0),2),0),"Error"))),IFERROR(INDEX($C$5:$BE$54,MATCH(C99,$C$5:$C$54,0),53),IFERROR(INDEX(DogInfo!A:B,MATCH(C99&amp;$BC$4,DogInfo!A:A,0),2),0))),"")</f>
        <v>0</v>
      </c>
      <c r="BD99" s="274">
        <f>_xlfn.IFNA(IF(Q99="Pass",IF(AND(O99&gt;=IFERROR(INDEX($C$5:$W$54,MATCH(C99,$C$5:$C$54,0),13),0),O99&gt;=IFERROR(INDEX(DogInfo!A:B,MATCH(C99&amp;$BD$4,DogInfo!A:A,0),2),0)),O99,IF(AND(IFERROR(INDEX($C$5:$W$54,MATCH(C99,$C$5:$C$54,0),13),0)&gt;=O99,IFERROR(INDEX($C$5:$W$54,MATCH(C99,$C$5:$C$54,0),13),0)&gt;=IFERROR(INDEX(DogInfo!A:B,MATCH(C99&amp;$BD$4,DogInfo!A:A,0),2),0)),IFERROR(INDEX($C$5:$W$54,MATCH(C99,$C$5:$C$54,0),13),0),IF(AND(IFERROR(INDEX(DogInfo!A:B,MATCH(C99&amp;$BD$4,DogInfo!A:A,0),2),0)&gt;=IFERROR(INDEX($C$5:$W$54,MATCH(C99,$C$5:$C$54,0),13),0),IFERROR(INDEX(DogInfo!A:B,MATCH(C99&amp;$BD$4,DogInfo!A:A,0),2),0)&gt;=O99),IFERROR(INDEX(DogInfo!A:B,MATCH(C99&amp;$BD$4,DogInfo!A:A,0),2),0),"Error"))),IFERROR(INDEX($C$5:$BE$54,MATCH(C99,$C$5:$C$54,0),54),IFERROR(INDEX(DogInfo!A:B,MATCH(C99&amp;$BD$4,DogInfo!A:A,0),2),0))),"")</f>
        <v>0</v>
      </c>
      <c r="BE99" s="274">
        <f>_xlfn.IFNA(IF(Y99="Pass",IF(AND(W99&gt;=IFERROR(INDEX($C$5:$W$54,MATCH(C99,$C$5:$C$54,0),21),0),O99&gt;=IFERROR(INDEX(DogInfo!A:B,MATCH(C99&amp;$BE$4,DogInfo!A:A,0),2),0)),W99,IF(AND(IFERROR(INDEX($C$5:$W$54,MATCH(C99,$C$5:$C$54,0),21),0)&gt;=W99,IFERROR(INDEX($C$5:$W$54,MATCH(C99,$C$5:$C$54,0),21),0)&gt;=IFERROR(INDEX(DogInfo!A:B,MATCH(C99&amp;$BE$4,DogInfo!A:A,0),2),0)),IFERROR(INDEX($C$5:$W$54,MATCH(C99,$C$5:$C$54,0),21),0),IF(AND(IFERROR(INDEX(DogInfo!A:B,MATCH(C99&amp;$BE$4,DogInfo!A:A,0),2),0)&gt;=IFERROR(INDEX($C$5:$W$54,MATCH(C99,$C$5:$C$54,0),21),0),IFERROR(INDEX(DogInfo!A:B,MATCH(C99&amp;$BE$4,DogInfo!A:A,0),2),0)&gt;=W99),IFERROR(INDEX(DogInfo!A:B,MATCH(C99&amp;$BE$4,DogInfo!A:A,0),2),0),"Error"))),IFERROR(INDEX($C$5:$BE$54,MATCH(C99,$C$5:$C$54,0),55),IFERROR(INDEX(DogInfo!A:B,MATCH(C99&amp;$BE$4,DogInfo!A:A,0),2),0))),"")</f>
        <v>0</v>
      </c>
    </row>
    <row r="100" spans="1:57" x14ac:dyDescent="0.25">
      <c r="A100" s="99">
        <v>36</v>
      </c>
      <c r="B100" s="100"/>
      <c r="C100" s="101"/>
      <c r="D100" s="102" t="str">
        <f>IF($C100="","",VLOOKUP($C100,'SDDA Dogs'!$A:$F,2,FALSE))</f>
        <v/>
      </c>
      <c r="E100" s="211">
        <f t="shared" si="99"/>
        <v>1</v>
      </c>
      <c r="F100" s="103" t="str">
        <f>IF($C100="","",IF(ISERROR(VLOOKUP($C100,$C$5:$AP$54,38,FALSE)=TRUE),VLOOKUP($C100,'SDDA Dogs'!$A:$O,13,FALSE),VLOOKUP($C100,$C$5:$AP$54,38,FALSE)))</f>
        <v/>
      </c>
      <c r="G100" s="137"/>
      <c r="H100" s="217"/>
      <c r="I100" s="84" t="str">
        <f t="shared" si="100"/>
        <v/>
      </c>
      <c r="J100" s="105">
        <f t="shared" si="57"/>
        <v>0</v>
      </c>
      <c r="K100" s="84" t="str">
        <f t="shared" si="101"/>
        <v/>
      </c>
      <c r="L100" s="105">
        <f t="shared" si="58"/>
        <v>0</v>
      </c>
      <c r="M100" s="84" t="str">
        <f t="shared" si="102"/>
        <v/>
      </c>
      <c r="N100" s="106" t="str">
        <f>IF($C100="","",IF(ISERROR(VLOOKUP($C100,$C$5:$AP$54,39,FALSE)=TRUE),VLOOKUP($C100,'SDDA Dogs'!$A:$O,14,FALSE),VLOOKUP($C100,$C$5:$AP$54,39,FALSE)))</f>
        <v/>
      </c>
      <c r="O100" s="137"/>
      <c r="P100" s="217"/>
      <c r="Q100" s="84" t="str">
        <f t="shared" si="103"/>
        <v/>
      </c>
      <c r="R100" s="105">
        <f t="shared" si="59"/>
        <v>0</v>
      </c>
      <c r="S100" s="84" t="str">
        <f t="shared" si="104"/>
        <v/>
      </c>
      <c r="T100" s="105">
        <f t="shared" si="60"/>
        <v>0</v>
      </c>
      <c r="U100" s="84" t="str">
        <f t="shared" si="105"/>
        <v/>
      </c>
      <c r="V100" s="106" t="str">
        <f>IF($C100="","",IF(ISERROR(VLOOKUP($C100,$C$5:$AP$54,40,FALSE)=TRUE),VLOOKUP($C100,'SDDA Dogs'!$A:$O,15,FALSE),VLOOKUP($C100,$C$5:$AP$54,40,FALSE)))</f>
        <v/>
      </c>
      <c r="W100" s="137"/>
      <c r="X100" s="217"/>
      <c r="Y100" s="84" t="str">
        <f t="shared" si="106"/>
        <v/>
      </c>
      <c r="Z100" s="105">
        <f t="shared" si="61"/>
        <v>0</v>
      </c>
      <c r="AA100" s="84" t="str">
        <f t="shared" si="107"/>
        <v/>
      </c>
      <c r="AB100" s="105">
        <f t="shared" si="62"/>
        <v>0</v>
      </c>
      <c r="AC100" s="84" t="str">
        <f t="shared" si="108"/>
        <v/>
      </c>
      <c r="AD100" s="92" t="str">
        <f t="shared" si="82"/>
        <v/>
      </c>
      <c r="AE100" s="89" t="str">
        <f t="shared" si="109"/>
        <v/>
      </c>
      <c r="AF100" s="104" t="str">
        <f t="shared" si="110"/>
        <v/>
      </c>
      <c r="AG100" s="107" t="str">
        <f t="shared" si="111"/>
        <v/>
      </c>
      <c r="AH100" s="92" t="str">
        <f t="shared" si="112"/>
        <v/>
      </c>
      <c r="AI100" s="89" t="str">
        <f t="shared" si="113"/>
        <v/>
      </c>
      <c r="AJ100" s="104" t="str">
        <f t="shared" si="114"/>
        <v/>
      </c>
      <c r="AK100" s="84" t="str">
        <f t="shared" si="115"/>
        <v/>
      </c>
      <c r="AL100" s="265" t="str">
        <f t="shared" si="116"/>
        <v/>
      </c>
      <c r="AM100" s="270">
        <f t="shared" si="63"/>
        <v>0</v>
      </c>
      <c r="AN100" s="270" t="str">
        <f t="shared" si="64"/>
        <v/>
      </c>
      <c r="AO100" s="270" t="str">
        <f t="shared" si="65"/>
        <v/>
      </c>
      <c r="AP100" s="270" t="str">
        <f t="shared" si="66"/>
        <v/>
      </c>
      <c r="AQ100" s="270">
        <f t="shared" si="117"/>
        <v>0</v>
      </c>
      <c r="AR100" s="316">
        <f>MIN(IFERROR(VLOOKUP($C100,'SDDA Dogs'!$A:$O,10,FALSE),0),IFERROR(VLOOKUP($C100,'SDDA Dogs'!$A:$O,11,FALSE),0),IFERROR(VLOOKUP($C100,'SDDA Dogs'!$A:$O,12,FALSE),0))</f>
        <v>0</v>
      </c>
      <c r="AS100" s="272"/>
      <c r="AT100" s="272"/>
      <c r="AU100" s="272" t="str">
        <f>IF(ISERROR(VLOOKUP(C100,'SDDA Dogs'!A:O,6,FALSE)),"",VLOOKUP(C100,'SDDA Dogs'!A:O,6,FALSE))</f>
        <v/>
      </c>
      <c r="AV100" s="270">
        <f t="shared" si="67"/>
        <v>0</v>
      </c>
      <c r="AW100" s="270">
        <f t="shared" si="68"/>
        <v>0</v>
      </c>
      <c r="AX100" s="273">
        <f t="shared" si="69"/>
        <v>0</v>
      </c>
      <c r="AY100" s="274"/>
      <c r="AZ100" s="275">
        <f t="shared" si="118"/>
        <v>0</v>
      </c>
      <c r="BA100" s="275">
        <f t="shared" si="119"/>
        <v>0</v>
      </c>
      <c r="BB100" s="276"/>
      <c r="BC100" s="274">
        <f>_xlfn.IFNA(IF(I100="Pass",IF(AND(G100&gt;=IFERROR(INDEX($C$5:$W$54,MATCH(C100,$C$5:$C$54,0),5),0),G100&gt;=IFERROR(INDEX(DogInfo!A:B,MATCH(C100&amp;$BC$4,DogInfo!A:A,0),2),0)),G100,IF(AND(IFERROR(INDEX($C$5:$W$54,MATCH(C100,$C$5:$C$54,0),5),0)&gt;=G100,IFERROR(INDEX($C$5:$W$54,MATCH(C100,$C$5:$C$54,0),5),0)&gt;=IFERROR(INDEX(DogInfo!A:B,MATCH(C100&amp;$BC$4,DogInfo!A:A,0),2),0)),IFERROR(INDEX($C$5:$W$54,MATCH(C100,$C$5:$C$54,0),5),0),IF(AND(IFERROR(INDEX(DogInfo!A:B,MATCH(C100&amp;$BC$4,DogInfo!A:A,0),2),0)&gt;=IFERROR(INDEX($C$5:$W$54,MATCH(C100,$C$5:$C$54,0),5),0),IFERROR(INDEX(DogInfo!A:B,MATCH(C100&amp;$BC$4,DogInfo!A:A,0),2),0)&gt;=G100),IFERROR(INDEX(DogInfo!A:B,MATCH(C100&amp;$BC$4,DogInfo!A:A,0),2),0),"Error"))),IFERROR(INDEX($C$5:$BE$54,MATCH(C100,$C$5:$C$54,0),53),IFERROR(INDEX(DogInfo!A:B,MATCH(C100&amp;$BC$4,DogInfo!A:A,0),2),0))),"")</f>
        <v>0</v>
      </c>
      <c r="BD100" s="274">
        <f>_xlfn.IFNA(IF(Q100="Pass",IF(AND(O100&gt;=IFERROR(INDEX($C$5:$W$54,MATCH(C100,$C$5:$C$54,0),13),0),O100&gt;=IFERROR(INDEX(DogInfo!A:B,MATCH(C100&amp;$BD$4,DogInfo!A:A,0),2),0)),O100,IF(AND(IFERROR(INDEX($C$5:$W$54,MATCH(C100,$C$5:$C$54,0),13),0)&gt;=O100,IFERROR(INDEX($C$5:$W$54,MATCH(C100,$C$5:$C$54,0),13),0)&gt;=IFERROR(INDEX(DogInfo!A:B,MATCH(C100&amp;$BD$4,DogInfo!A:A,0),2),0)),IFERROR(INDEX($C$5:$W$54,MATCH(C100,$C$5:$C$54,0),13),0),IF(AND(IFERROR(INDEX(DogInfo!A:B,MATCH(C100&amp;$BD$4,DogInfo!A:A,0),2),0)&gt;=IFERROR(INDEX($C$5:$W$54,MATCH(C100,$C$5:$C$54,0),13),0),IFERROR(INDEX(DogInfo!A:B,MATCH(C100&amp;$BD$4,DogInfo!A:A,0),2),0)&gt;=O100),IFERROR(INDEX(DogInfo!A:B,MATCH(C100&amp;$BD$4,DogInfo!A:A,0),2),0),"Error"))),IFERROR(INDEX($C$5:$BE$54,MATCH(C100,$C$5:$C$54,0),54),IFERROR(INDEX(DogInfo!A:B,MATCH(C100&amp;$BD$4,DogInfo!A:A,0),2),0))),"")</f>
        <v>0</v>
      </c>
      <c r="BE100" s="274">
        <f>_xlfn.IFNA(IF(Y100="Pass",IF(AND(W100&gt;=IFERROR(INDEX($C$5:$W$54,MATCH(C100,$C$5:$C$54,0),21),0),O100&gt;=IFERROR(INDEX(DogInfo!A:B,MATCH(C100&amp;$BE$4,DogInfo!A:A,0),2),0)),W100,IF(AND(IFERROR(INDEX($C$5:$W$54,MATCH(C100,$C$5:$C$54,0),21),0)&gt;=W100,IFERROR(INDEX($C$5:$W$54,MATCH(C100,$C$5:$C$54,0),21),0)&gt;=IFERROR(INDEX(DogInfo!A:B,MATCH(C100&amp;$BE$4,DogInfo!A:A,0),2),0)),IFERROR(INDEX($C$5:$W$54,MATCH(C100,$C$5:$C$54,0),21),0),IF(AND(IFERROR(INDEX(DogInfo!A:B,MATCH(C100&amp;$BE$4,DogInfo!A:A,0),2),0)&gt;=IFERROR(INDEX($C$5:$W$54,MATCH(C100,$C$5:$C$54,0),21),0),IFERROR(INDEX(DogInfo!A:B,MATCH(C100&amp;$BE$4,DogInfo!A:A,0),2),0)&gt;=W100),IFERROR(INDEX(DogInfo!A:B,MATCH(C100&amp;$BE$4,DogInfo!A:A,0),2),0),"Error"))),IFERROR(INDEX($C$5:$BE$54,MATCH(C100,$C$5:$C$54,0),55),IFERROR(INDEX(DogInfo!A:B,MATCH(C100&amp;$BE$4,DogInfo!A:A,0),2),0))),"")</f>
        <v>0</v>
      </c>
    </row>
    <row r="101" spans="1:57" x14ac:dyDescent="0.25">
      <c r="A101" s="99">
        <v>37</v>
      </c>
      <c r="B101" s="100"/>
      <c r="C101" s="101"/>
      <c r="D101" s="102" t="str">
        <f>IF($C101="","",VLOOKUP($C101,'SDDA Dogs'!$A:$F,2,FALSE))</f>
        <v/>
      </c>
      <c r="E101" s="211">
        <f t="shared" si="99"/>
        <v>1</v>
      </c>
      <c r="F101" s="103" t="str">
        <f>IF($C101="","",IF(ISERROR(VLOOKUP($C101,$C$5:$AP$54,38,FALSE)=TRUE),VLOOKUP($C101,'SDDA Dogs'!$A:$O,13,FALSE),VLOOKUP($C101,$C$5:$AP$54,38,FALSE)))</f>
        <v/>
      </c>
      <c r="G101" s="137"/>
      <c r="H101" s="217"/>
      <c r="I101" s="84" t="str">
        <f t="shared" si="100"/>
        <v/>
      </c>
      <c r="J101" s="105">
        <f t="shared" si="57"/>
        <v>0</v>
      </c>
      <c r="K101" s="84" t="str">
        <f t="shared" si="101"/>
        <v/>
      </c>
      <c r="L101" s="105">
        <f t="shared" si="58"/>
        <v>0</v>
      </c>
      <c r="M101" s="84" t="str">
        <f t="shared" si="102"/>
        <v/>
      </c>
      <c r="N101" s="106" t="str">
        <f>IF($C101="","",IF(ISERROR(VLOOKUP($C101,$C$5:$AP$54,39,FALSE)=TRUE),VLOOKUP($C101,'SDDA Dogs'!$A:$O,14,FALSE),VLOOKUP($C101,$C$5:$AP$54,39,FALSE)))</f>
        <v/>
      </c>
      <c r="O101" s="137"/>
      <c r="P101" s="217"/>
      <c r="Q101" s="84" t="str">
        <f t="shared" si="103"/>
        <v/>
      </c>
      <c r="R101" s="105">
        <f t="shared" si="59"/>
        <v>0</v>
      </c>
      <c r="S101" s="84" t="str">
        <f t="shared" si="104"/>
        <v/>
      </c>
      <c r="T101" s="105">
        <f t="shared" si="60"/>
        <v>0</v>
      </c>
      <c r="U101" s="84" t="str">
        <f t="shared" si="105"/>
        <v/>
      </c>
      <c r="V101" s="106" t="str">
        <f>IF($C101="","",IF(ISERROR(VLOOKUP($C101,$C$5:$AP$54,40,FALSE)=TRUE),VLOOKUP($C101,'SDDA Dogs'!$A:$O,15,FALSE),VLOOKUP($C101,$C$5:$AP$54,40,FALSE)))</f>
        <v/>
      </c>
      <c r="W101" s="137"/>
      <c r="X101" s="217"/>
      <c r="Y101" s="84" t="str">
        <f t="shared" si="106"/>
        <v/>
      </c>
      <c r="Z101" s="105">
        <f t="shared" si="61"/>
        <v>0</v>
      </c>
      <c r="AA101" s="84" t="str">
        <f t="shared" si="107"/>
        <v/>
      </c>
      <c r="AB101" s="105">
        <f t="shared" si="62"/>
        <v>0</v>
      </c>
      <c r="AC101" s="84" t="str">
        <f t="shared" si="108"/>
        <v/>
      </c>
      <c r="AD101" s="92" t="str">
        <f t="shared" si="82"/>
        <v/>
      </c>
      <c r="AE101" s="89" t="str">
        <f t="shared" si="109"/>
        <v/>
      </c>
      <c r="AF101" s="104" t="str">
        <f t="shared" si="110"/>
        <v/>
      </c>
      <c r="AG101" s="107" t="str">
        <f t="shared" si="111"/>
        <v/>
      </c>
      <c r="AH101" s="92" t="str">
        <f t="shared" si="112"/>
        <v/>
      </c>
      <c r="AI101" s="89" t="str">
        <f t="shared" si="113"/>
        <v/>
      </c>
      <c r="AJ101" s="104" t="str">
        <f t="shared" si="114"/>
        <v/>
      </c>
      <c r="AK101" s="84" t="str">
        <f t="shared" si="115"/>
        <v/>
      </c>
      <c r="AL101" s="265" t="str">
        <f t="shared" si="116"/>
        <v/>
      </c>
      <c r="AM101" s="270">
        <f t="shared" si="63"/>
        <v>0</v>
      </c>
      <c r="AN101" s="270" t="str">
        <f t="shared" si="64"/>
        <v/>
      </c>
      <c r="AO101" s="270" t="str">
        <f t="shared" si="65"/>
        <v/>
      </c>
      <c r="AP101" s="270" t="str">
        <f t="shared" si="66"/>
        <v/>
      </c>
      <c r="AQ101" s="270">
        <f t="shared" si="117"/>
        <v>0</v>
      </c>
      <c r="AR101" s="316">
        <f>MIN(IFERROR(VLOOKUP($C101,'SDDA Dogs'!$A:$O,10,FALSE),0),IFERROR(VLOOKUP($C101,'SDDA Dogs'!$A:$O,11,FALSE),0),IFERROR(VLOOKUP($C101,'SDDA Dogs'!$A:$O,12,FALSE),0))</f>
        <v>0</v>
      </c>
      <c r="AS101" s="272"/>
      <c r="AT101" s="272"/>
      <c r="AU101" s="272" t="str">
        <f>IF(ISERROR(VLOOKUP(C101,'SDDA Dogs'!A:O,6,FALSE)),"",VLOOKUP(C101,'SDDA Dogs'!A:O,6,FALSE))</f>
        <v/>
      </c>
      <c r="AV101" s="270">
        <f t="shared" si="67"/>
        <v>0</v>
      </c>
      <c r="AW101" s="270">
        <f t="shared" si="68"/>
        <v>0</v>
      </c>
      <c r="AX101" s="273">
        <f t="shared" si="69"/>
        <v>0</v>
      </c>
      <c r="AY101" s="274"/>
      <c r="AZ101" s="275">
        <f t="shared" si="118"/>
        <v>0</v>
      </c>
      <c r="BA101" s="275">
        <f t="shared" si="119"/>
        <v>0</v>
      </c>
      <c r="BB101" s="276"/>
      <c r="BC101" s="274">
        <f>_xlfn.IFNA(IF(I101="Pass",IF(AND(G101&gt;=IFERROR(INDEX($C$5:$W$54,MATCH(C101,$C$5:$C$54,0),5),0),G101&gt;=IFERROR(INDEX(DogInfo!A:B,MATCH(C101&amp;$BC$4,DogInfo!A:A,0),2),0)),G101,IF(AND(IFERROR(INDEX($C$5:$W$54,MATCH(C101,$C$5:$C$54,0),5),0)&gt;=G101,IFERROR(INDEX($C$5:$W$54,MATCH(C101,$C$5:$C$54,0),5),0)&gt;=IFERROR(INDEX(DogInfo!A:B,MATCH(C101&amp;$BC$4,DogInfo!A:A,0),2),0)),IFERROR(INDEX($C$5:$W$54,MATCH(C101,$C$5:$C$54,0),5),0),IF(AND(IFERROR(INDEX(DogInfo!A:B,MATCH(C101&amp;$BC$4,DogInfo!A:A,0),2),0)&gt;=IFERROR(INDEX($C$5:$W$54,MATCH(C101,$C$5:$C$54,0),5),0),IFERROR(INDEX(DogInfo!A:B,MATCH(C101&amp;$BC$4,DogInfo!A:A,0),2),0)&gt;=G101),IFERROR(INDEX(DogInfo!A:B,MATCH(C101&amp;$BC$4,DogInfo!A:A,0),2),0),"Error"))),IFERROR(INDEX($C$5:$BE$54,MATCH(C101,$C$5:$C$54,0),53),IFERROR(INDEX(DogInfo!A:B,MATCH(C101&amp;$BC$4,DogInfo!A:A,0),2),0))),"")</f>
        <v>0</v>
      </c>
      <c r="BD101" s="274">
        <f>_xlfn.IFNA(IF(Q101="Pass",IF(AND(O101&gt;=IFERROR(INDEX($C$5:$W$54,MATCH(C101,$C$5:$C$54,0),13),0),O101&gt;=IFERROR(INDEX(DogInfo!A:B,MATCH(C101&amp;$BD$4,DogInfo!A:A,0),2),0)),O101,IF(AND(IFERROR(INDEX($C$5:$W$54,MATCH(C101,$C$5:$C$54,0),13),0)&gt;=O101,IFERROR(INDEX($C$5:$W$54,MATCH(C101,$C$5:$C$54,0),13),0)&gt;=IFERROR(INDEX(DogInfo!A:B,MATCH(C101&amp;$BD$4,DogInfo!A:A,0),2),0)),IFERROR(INDEX($C$5:$W$54,MATCH(C101,$C$5:$C$54,0),13),0),IF(AND(IFERROR(INDEX(DogInfo!A:B,MATCH(C101&amp;$BD$4,DogInfo!A:A,0),2),0)&gt;=IFERROR(INDEX($C$5:$W$54,MATCH(C101,$C$5:$C$54,0),13),0),IFERROR(INDEX(DogInfo!A:B,MATCH(C101&amp;$BD$4,DogInfo!A:A,0),2),0)&gt;=O101),IFERROR(INDEX(DogInfo!A:B,MATCH(C101&amp;$BD$4,DogInfo!A:A,0),2),0),"Error"))),IFERROR(INDEX($C$5:$BE$54,MATCH(C101,$C$5:$C$54,0),54),IFERROR(INDEX(DogInfo!A:B,MATCH(C101&amp;$BD$4,DogInfo!A:A,0),2),0))),"")</f>
        <v>0</v>
      </c>
      <c r="BE101" s="274">
        <f>_xlfn.IFNA(IF(Y101="Pass",IF(AND(W101&gt;=IFERROR(INDEX($C$5:$W$54,MATCH(C101,$C$5:$C$54,0),21),0),O101&gt;=IFERROR(INDEX(DogInfo!A:B,MATCH(C101&amp;$BE$4,DogInfo!A:A,0),2),0)),W101,IF(AND(IFERROR(INDEX($C$5:$W$54,MATCH(C101,$C$5:$C$54,0),21),0)&gt;=W101,IFERROR(INDEX($C$5:$W$54,MATCH(C101,$C$5:$C$54,0),21),0)&gt;=IFERROR(INDEX(DogInfo!A:B,MATCH(C101&amp;$BE$4,DogInfo!A:A,0),2),0)),IFERROR(INDEX($C$5:$W$54,MATCH(C101,$C$5:$C$54,0),21),0),IF(AND(IFERROR(INDEX(DogInfo!A:B,MATCH(C101&amp;$BE$4,DogInfo!A:A,0),2),0)&gt;=IFERROR(INDEX($C$5:$W$54,MATCH(C101,$C$5:$C$54,0),21),0),IFERROR(INDEX(DogInfo!A:B,MATCH(C101&amp;$BE$4,DogInfo!A:A,0),2),0)&gt;=W101),IFERROR(INDEX(DogInfo!A:B,MATCH(C101&amp;$BE$4,DogInfo!A:A,0),2),0),"Error"))),IFERROR(INDEX($C$5:$BE$54,MATCH(C101,$C$5:$C$54,0),55),IFERROR(INDEX(DogInfo!A:B,MATCH(C101&amp;$BE$4,DogInfo!A:A,0),2),0))),"")</f>
        <v>0</v>
      </c>
    </row>
    <row r="102" spans="1:57" x14ac:dyDescent="0.25">
      <c r="A102" s="99">
        <v>38</v>
      </c>
      <c r="B102" s="100"/>
      <c r="C102" s="101"/>
      <c r="D102" s="102" t="str">
        <f>IF($C102="","",VLOOKUP($C102,'SDDA Dogs'!$A:$F,2,FALSE))</f>
        <v/>
      </c>
      <c r="E102" s="211">
        <f t="shared" si="99"/>
        <v>1</v>
      </c>
      <c r="F102" s="103" t="str">
        <f>IF($C102="","",IF(ISERROR(VLOOKUP($C102,$C$5:$AP$54,38,FALSE)=TRUE),VLOOKUP($C102,'SDDA Dogs'!$A:$O,13,FALSE),VLOOKUP($C102,$C$5:$AP$54,38,FALSE)))</f>
        <v/>
      </c>
      <c r="G102" s="137"/>
      <c r="H102" s="217"/>
      <c r="I102" s="84" t="str">
        <f t="shared" si="100"/>
        <v/>
      </c>
      <c r="J102" s="105">
        <f t="shared" si="57"/>
        <v>0</v>
      </c>
      <c r="K102" s="84" t="str">
        <f t="shared" si="101"/>
        <v/>
      </c>
      <c r="L102" s="105">
        <f t="shared" si="58"/>
        <v>0</v>
      </c>
      <c r="M102" s="84" t="str">
        <f t="shared" si="102"/>
        <v/>
      </c>
      <c r="N102" s="106" t="str">
        <f>IF($C102="","",IF(ISERROR(VLOOKUP($C102,$C$5:$AP$54,39,FALSE)=TRUE),VLOOKUP($C102,'SDDA Dogs'!$A:$O,14,FALSE),VLOOKUP($C102,$C$5:$AP$54,39,FALSE)))</f>
        <v/>
      </c>
      <c r="O102" s="137"/>
      <c r="P102" s="217"/>
      <c r="Q102" s="84" t="str">
        <f t="shared" si="103"/>
        <v/>
      </c>
      <c r="R102" s="105">
        <f t="shared" si="59"/>
        <v>0</v>
      </c>
      <c r="S102" s="84" t="str">
        <f t="shared" si="104"/>
        <v/>
      </c>
      <c r="T102" s="105">
        <f t="shared" si="60"/>
        <v>0</v>
      </c>
      <c r="U102" s="84" t="str">
        <f t="shared" si="105"/>
        <v/>
      </c>
      <c r="V102" s="106" t="str">
        <f>IF($C102="","",IF(ISERROR(VLOOKUP($C102,$C$5:$AP$54,40,FALSE)=TRUE),VLOOKUP($C102,'SDDA Dogs'!$A:$O,15,FALSE),VLOOKUP($C102,$C$5:$AP$54,40,FALSE)))</f>
        <v/>
      </c>
      <c r="W102" s="137"/>
      <c r="X102" s="217"/>
      <c r="Y102" s="84" t="str">
        <f t="shared" si="106"/>
        <v/>
      </c>
      <c r="Z102" s="105">
        <f t="shared" si="61"/>
        <v>0</v>
      </c>
      <c r="AA102" s="84" t="str">
        <f t="shared" si="107"/>
        <v/>
      </c>
      <c r="AB102" s="105">
        <f t="shared" si="62"/>
        <v>0</v>
      </c>
      <c r="AC102" s="84" t="str">
        <f t="shared" si="108"/>
        <v/>
      </c>
      <c r="AD102" s="92" t="str">
        <f t="shared" si="82"/>
        <v/>
      </c>
      <c r="AE102" s="89" t="str">
        <f t="shared" si="109"/>
        <v/>
      </c>
      <c r="AF102" s="104" t="str">
        <f t="shared" si="110"/>
        <v/>
      </c>
      <c r="AG102" s="107" t="str">
        <f t="shared" si="111"/>
        <v/>
      </c>
      <c r="AH102" s="92" t="str">
        <f t="shared" si="112"/>
        <v/>
      </c>
      <c r="AI102" s="89" t="str">
        <f t="shared" si="113"/>
        <v/>
      </c>
      <c r="AJ102" s="104" t="str">
        <f t="shared" si="114"/>
        <v/>
      </c>
      <c r="AK102" s="84" t="str">
        <f t="shared" si="115"/>
        <v/>
      </c>
      <c r="AL102" s="265" t="str">
        <f t="shared" si="116"/>
        <v/>
      </c>
      <c r="AM102" s="270">
        <f t="shared" si="63"/>
        <v>0</v>
      </c>
      <c r="AN102" s="270" t="str">
        <f t="shared" si="64"/>
        <v/>
      </c>
      <c r="AO102" s="270" t="str">
        <f t="shared" si="65"/>
        <v/>
      </c>
      <c r="AP102" s="270" t="str">
        <f t="shared" si="66"/>
        <v/>
      </c>
      <c r="AQ102" s="270">
        <f t="shared" si="117"/>
        <v>0</v>
      </c>
      <c r="AR102" s="316">
        <f>MIN(IFERROR(VLOOKUP($C102,'SDDA Dogs'!$A:$O,10,FALSE),0),IFERROR(VLOOKUP($C102,'SDDA Dogs'!$A:$O,11,FALSE),0),IFERROR(VLOOKUP($C102,'SDDA Dogs'!$A:$O,12,FALSE),0))</f>
        <v>0</v>
      </c>
      <c r="AS102" s="272"/>
      <c r="AT102" s="272"/>
      <c r="AU102" s="272" t="str">
        <f>IF(ISERROR(VLOOKUP(C102,'SDDA Dogs'!A:O,6,FALSE)),"",VLOOKUP(C102,'SDDA Dogs'!A:O,6,FALSE))</f>
        <v/>
      </c>
      <c r="AV102" s="270">
        <f t="shared" si="67"/>
        <v>0</v>
      </c>
      <c r="AW102" s="270">
        <f t="shared" si="68"/>
        <v>0</v>
      </c>
      <c r="AX102" s="273">
        <f t="shared" si="69"/>
        <v>0</v>
      </c>
      <c r="AY102" s="274"/>
      <c r="AZ102" s="275">
        <f t="shared" si="118"/>
        <v>0</v>
      </c>
      <c r="BA102" s="275">
        <f t="shared" si="119"/>
        <v>0</v>
      </c>
      <c r="BB102" s="276"/>
      <c r="BC102" s="274">
        <f>_xlfn.IFNA(IF(I102="Pass",IF(AND(G102&gt;=IFERROR(INDEX($C$5:$W$54,MATCH(C102,$C$5:$C$54,0),5),0),G102&gt;=IFERROR(INDEX(DogInfo!A:B,MATCH(C102&amp;$BC$4,DogInfo!A:A,0),2),0)),G102,IF(AND(IFERROR(INDEX($C$5:$W$54,MATCH(C102,$C$5:$C$54,0),5),0)&gt;=G102,IFERROR(INDEX($C$5:$W$54,MATCH(C102,$C$5:$C$54,0),5),0)&gt;=IFERROR(INDEX(DogInfo!A:B,MATCH(C102&amp;$BC$4,DogInfo!A:A,0),2),0)),IFERROR(INDEX($C$5:$W$54,MATCH(C102,$C$5:$C$54,0),5),0),IF(AND(IFERROR(INDEX(DogInfo!A:B,MATCH(C102&amp;$BC$4,DogInfo!A:A,0),2),0)&gt;=IFERROR(INDEX($C$5:$W$54,MATCH(C102,$C$5:$C$54,0),5),0),IFERROR(INDEX(DogInfo!A:B,MATCH(C102&amp;$BC$4,DogInfo!A:A,0),2),0)&gt;=G102),IFERROR(INDEX(DogInfo!A:B,MATCH(C102&amp;$BC$4,DogInfo!A:A,0),2),0),"Error"))),IFERROR(INDEX($C$5:$BE$54,MATCH(C102,$C$5:$C$54,0),53),IFERROR(INDEX(DogInfo!A:B,MATCH(C102&amp;$BC$4,DogInfo!A:A,0),2),0))),"")</f>
        <v>0</v>
      </c>
      <c r="BD102" s="274">
        <f>_xlfn.IFNA(IF(Q102="Pass",IF(AND(O102&gt;=IFERROR(INDEX($C$5:$W$54,MATCH(C102,$C$5:$C$54,0),13),0),O102&gt;=IFERROR(INDEX(DogInfo!A:B,MATCH(C102&amp;$BD$4,DogInfo!A:A,0),2),0)),O102,IF(AND(IFERROR(INDEX($C$5:$W$54,MATCH(C102,$C$5:$C$54,0),13),0)&gt;=O102,IFERROR(INDEX($C$5:$W$54,MATCH(C102,$C$5:$C$54,0),13),0)&gt;=IFERROR(INDEX(DogInfo!A:B,MATCH(C102&amp;$BD$4,DogInfo!A:A,0),2),0)),IFERROR(INDEX($C$5:$W$54,MATCH(C102,$C$5:$C$54,0),13),0),IF(AND(IFERROR(INDEX(DogInfo!A:B,MATCH(C102&amp;$BD$4,DogInfo!A:A,0),2),0)&gt;=IFERROR(INDEX($C$5:$W$54,MATCH(C102,$C$5:$C$54,0),13),0),IFERROR(INDEX(DogInfo!A:B,MATCH(C102&amp;$BD$4,DogInfo!A:A,0),2),0)&gt;=O102),IFERROR(INDEX(DogInfo!A:B,MATCH(C102&amp;$BD$4,DogInfo!A:A,0),2),0),"Error"))),IFERROR(INDEX($C$5:$BE$54,MATCH(C102,$C$5:$C$54,0),54),IFERROR(INDEX(DogInfo!A:B,MATCH(C102&amp;$BD$4,DogInfo!A:A,0),2),0))),"")</f>
        <v>0</v>
      </c>
      <c r="BE102" s="274">
        <f>_xlfn.IFNA(IF(Y102="Pass",IF(AND(W102&gt;=IFERROR(INDEX($C$5:$W$54,MATCH(C102,$C$5:$C$54,0),21),0),O102&gt;=IFERROR(INDEX(DogInfo!A:B,MATCH(C102&amp;$BE$4,DogInfo!A:A,0),2),0)),W102,IF(AND(IFERROR(INDEX($C$5:$W$54,MATCH(C102,$C$5:$C$54,0),21),0)&gt;=W102,IFERROR(INDEX($C$5:$W$54,MATCH(C102,$C$5:$C$54,0),21),0)&gt;=IFERROR(INDEX(DogInfo!A:B,MATCH(C102&amp;$BE$4,DogInfo!A:A,0),2),0)),IFERROR(INDEX($C$5:$W$54,MATCH(C102,$C$5:$C$54,0),21),0),IF(AND(IFERROR(INDEX(DogInfo!A:B,MATCH(C102&amp;$BE$4,DogInfo!A:A,0),2),0)&gt;=IFERROR(INDEX($C$5:$W$54,MATCH(C102,$C$5:$C$54,0),21),0),IFERROR(INDEX(DogInfo!A:B,MATCH(C102&amp;$BE$4,DogInfo!A:A,0),2),0)&gt;=W102),IFERROR(INDEX(DogInfo!A:B,MATCH(C102&amp;$BE$4,DogInfo!A:A,0),2),0),"Error"))),IFERROR(INDEX($C$5:$BE$54,MATCH(C102,$C$5:$C$54,0),55),IFERROR(INDEX(DogInfo!A:B,MATCH(C102&amp;$BE$4,DogInfo!A:A,0),2),0))),"")</f>
        <v>0</v>
      </c>
    </row>
    <row r="103" spans="1:57" x14ac:dyDescent="0.25">
      <c r="A103" s="99">
        <v>39</v>
      </c>
      <c r="B103" s="100"/>
      <c r="C103" s="101"/>
      <c r="D103" s="102" t="str">
        <f>IF($C103="","",VLOOKUP($C103,'SDDA Dogs'!$A:$F,2,FALSE))</f>
        <v/>
      </c>
      <c r="E103" s="211">
        <f t="shared" si="99"/>
        <v>1</v>
      </c>
      <c r="F103" s="103" t="str">
        <f>IF($C103="","",IF(ISERROR(VLOOKUP($C103,$C$5:$AP$54,38,FALSE)=TRUE),VLOOKUP($C103,'SDDA Dogs'!$A:$O,13,FALSE),VLOOKUP($C103,$C$5:$AP$54,38,FALSE)))</f>
        <v/>
      </c>
      <c r="G103" s="137"/>
      <c r="H103" s="217"/>
      <c r="I103" s="84" t="str">
        <f t="shared" si="100"/>
        <v/>
      </c>
      <c r="J103" s="105">
        <f t="shared" si="57"/>
        <v>0</v>
      </c>
      <c r="K103" s="84" t="str">
        <f t="shared" si="101"/>
        <v/>
      </c>
      <c r="L103" s="105">
        <f t="shared" si="58"/>
        <v>0</v>
      </c>
      <c r="M103" s="84" t="str">
        <f t="shared" si="102"/>
        <v/>
      </c>
      <c r="N103" s="106" t="str">
        <f>IF($C103="","",IF(ISERROR(VLOOKUP($C103,$C$5:$AP$54,39,FALSE)=TRUE),VLOOKUP($C103,'SDDA Dogs'!$A:$O,14,FALSE),VLOOKUP($C103,$C$5:$AP$54,39,FALSE)))</f>
        <v/>
      </c>
      <c r="O103" s="137"/>
      <c r="P103" s="217"/>
      <c r="Q103" s="84" t="str">
        <f t="shared" si="103"/>
        <v/>
      </c>
      <c r="R103" s="105">
        <f t="shared" si="59"/>
        <v>0</v>
      </c>
      <c r="S103" s="84" t="str">
        <f t="shared" si="104"/>
        <v/>
      </c>
      <c r="T103" s="105">
        <f t="shared" si="60"/>
        <v>0</v>
      </c>
      <c r="U103" s="84" t="str">
        <f t="shared" si="105"/>
        <v/>
      </c>
      <c r="V103" s="106" t="str">
        <f>IF($C103="","",IF(ISERROR(VLOOKUP($C103,$C$5:$AP$54,40,FALSE)=TRUE),VLOOKUP($C103,'SDDA Dogs'!$A:$O,15,FALSE),VLOOKUP($C103,$C$5:$AP$54,40,FALSE)))</f>
        <v/>
      </c>
      <c r="W103" s="137"/>
      <c r="X103" s="217"/>
      <c r="Y103" s="84" t="str">
        <f t="shared" si="106"/>
        <v/>
      </c>
      <c r="Z103" s="105">
        <f t="shared" si="61"/>
        <v>0</v>
      </c>
      <c r="AA103" s="84" t="str">
        <f t="shared" si="107"/>
        <v/>
      </c>
      <c r="AB103" s="105">
        <f t="shared" si="62"/>
        <v>0</v>
      </c>
      <c r="AC103" s="84" t="str">
        <f t="shared" si="108"/>
        <v/>
      </c>
      <c r="AD103" s="92" t="str">
        <f t="shared" si="82"/>
        <v/>
      </c>
      <c r="AE103" s="89" t="str">
        <f t="shared" si="109"/>
        <v/>
      </c>
      <c r="AF103" s="104" t="str">
        <f t="shared" si="110"/>
        <v/>
      </c>
      <c r="AG103" s="107" t="str">
        <f t="shared" si="111"/>
        <v/>
      </c>
      <c r="AH103" s="92" t="str">
        <f t="shared" si="112"/>
        <v/>
      </c>
      <c r="AI103" s="89" t="str">
        <f t="shared" si="113"/>
        <v/>
      </c>
      <c r="AJ103" s="104" t="str">
        <f t="shared" si="114"/>
        <v/>
      </c>
      <c r="AK103" s="84" t="str">
        <f t="shared" si="115"/>
        <v/>
      </c>
      <c r="AL103" s="265" t="str">
        <f t="shared" si="116"/>
        <v/>
      </c>
      <c r="AM103" s="270">
        <f t="shared" si="63"/>
        <v>0</v>
      </c>
      <c r="AN103" s="270" t="str">
        <f t="shared" si="64"/>
        <v/>
      </c>
      <c r="AO103" s="270" t="str">
        <f t="shared" si="65"/>
        <v/>
      </c>
      <c r="AP103" s="270" t="str">
        <f t="shared" si="66"/>
        <v/>
      </c>
      <c r="AQ103" s="270">
        <f t="shared" si="117"/>
        <v>0</v>
      </c>
      <c r="AR103" s="316">
        <f>MIN(IFERROR(VLOOKUP($C103,'SDDA Dogs'!$A:$O,10,FALSE),0),IFERROR(VLOOKUP($C103,'SDDA Dogs'!$A:$O,11,FALSE),0),IFERROR(VLOOKUP($C103,'SDDA Dogs'!$A:$O,12,FALSE),0))</f>
        <v>0</v>
      </c>
      <c r="AS103" s="272"/>
      <c r="AT103" s="272"/>
      <c r="AU103" s="272" t="str">
        <f>IF(ISERROR(VLOOKUP(C103,'SDDA Dogs'!A:O,6,FALSE)),"",VLOOKUP(C103,'SDDA Dogs'!A:O,6,FALSE))</f>
        <v/>
      </c>
      <c r="AV103" s="270">
        <f t="shared" si="67"/>
        <v>0</v>
      </c>
      <c r="AW103" s="270">
        <f t="shared" si="68"/>
        <v>0</v>
      </c>
      <c r="AX103" s="273">
        <f t="shared" si="69"/>
        <v>0</v>
      </c>
      <c r="AY103" s="274"/>
      <c r="AZ103" s="275">
        <f t="shared" si="118"/>
        <v>0</v>
      </c>
      <c r="BA103" s="275">
        <f t="shared" si="119"/>
        <v>0</v>
      </c>
      <c r="BB103" s="276"/>
      <c r="BC103" s="274">
        <f>_xlfn.IFNA(IF(I103="Pass",IF(AND(G103&gt;=IFERROR(INDEX($C$5:$W$54,MATCH(C103,$C$5:$C$54,0),5),0),G103&gt;=IFERROR(INDEX(DogInfo!A:B,MATCH(C103&amp;$BC$4,DogInfo!A:A,0),2),0)),G103,IF(AND(IFERROR(INDEX($C$5:$W$54,MATCH(C103,$C$5:$C$54,0),5),0)&gt;=G103,IFERROR(INDEX($C$5:$W$54,MATCH(C103,$C$5:$C$54,0),5),0)&gt;=IFERROR(INDEX(DogInfo!A:B,MATCH(C103&amp;$BC$4,DogInfo!A:A,0),2),0)),IFERROR(INDEX($C$5:$W$54,MATCH(C103,$C$5:$C$54,0),5),0),IF(AND(IFERROR(INDEX(DogInfo!A:B,MATCH(C103&amp;$BC$4,DogInfo!A:A,0),2),0)&gt;=IFERROR(INDEX($C$5:$W$54,MATCH(C103,$C$5:$C$54,0),5),0),IFERROR(INDEX(DogInfo!A:B,MATCH(C103&amp;$BC$4,DogInfo!A:A,0),2),0)&gt;=G103),IFERROR(INDEX(DogInfo!A:B,MATCH(C103&amp;$BC$4,DogInfo!A:A,0),2),0),"Error"))),IFERROR(INDEX($C$5:$BE$54,MATCH(C103,$C$5:$C$54,0),53),IFERROR(INDEX(DogInfo!A:B,MATCH(C103&amp;$BC$4,DogInfo!A:A,0),2),0))),"")</f>
        <v>0</v>
      </c>
      <c r="BD103" s="274">
        <f>_xlfn.IFNA(IF(Q103="Pass",IF(AND(O103&gt;=IFERROR(INDEX($C$5:$W$54,MATCH(C103,$C$5:$C$54,0),13),0),O103&gt;=IFERROR(INDEX(DogInfo!A:B,MATCH(C103&amp;$BD$4,DogInfo!A:A,0),2),0)),O103,IF(AND(IFERROR(INDEX($C$5:$W$54,MATCH(C103,$C$5:$C$54,0),13),0)&gt;=O103,IFERROR(INDEX($C$5:$W$54,MATCH(C103,$C$5:$C$54,0),13),0)&gt;=IFERROR(INDEX(DogInfo!A:B,MATCH(C103&amp;$BD$4,DogInfo!A:A,0),2),0)),IFERROR(INDEX($C$5:$W$54,MATCH(C103,$C$5:$C$54,0),13),0),IF(AND(IFERROR(INDEX(DogInfo!A:B,MATCH(C103&amp;$BD$4,DogInfo!A:A,0),2),0)&gt;=IFERROR(INDEX($C$5:$W$54,MATCH(C103,$C$5:$C$54,0),13),0),IFERROR(INDEX(DogInfo!A:B,MATCH(C103&amp;$BD$4,DogInfo!A:A,0),2),0)&gt;=O103),IFERROR(INDEX(DogInfo!A:B,MATCH(C103&amp;$BD$4,DogInfo!A:A,0),2),0),"Error"))),IFERROR(INDEX($C$5:$BE$54,MATCH(C103,$C$5:$C$54,0),54),IFERROR(INDEX(DogInfo!A:B,MATCH(C103&amp;$BD$4,DogInfo!A:A,0),2),0))),"")</f>
        <v>0</v>
      </c>
      <c r="BE103" s="274">
        <f>_xlfn.IFNA(IF(Y103="Pass",IF(AND(W103&gt;=IFERROR(INDEX($C$5:$W$54,MATCH(C103,$C$5:$C$54,0),21),0),O103&gt;=IFERROR(INDEX(DogInfo!A:B,MATCH(C103&amp;$BE$4,DogInfo!A:A,0),2),0)),W103,IF(AND(IFERROR(INDEX($C$5:$W$54,MATCH(C103,$C$5:$C$54,0),21),0)&gt;=W103,IFERROR(INDEX($C$5:$W$54,MATCH(C103,$C$5:$C$54,0),21),0)&gt;=IFERROR(INDEX(DogInfo!A:B,MATCH(C103&amp;$BE$4,DogInfo!A:A,0),2),0)),IFERROR(INDEX($C$5:$W$54,MATCH(C103,$C$5:$C$54,0),21),0),IF(AND(IFERROR(INDEX(DogInfo!A:B,MATCH(C103&amp;$BE$4,DogInfo!A:A,0),2),0)&gt;=IFERROR(INDEX($C$5:$W$54,MATCH(C103,$C$5:$C$54,0),21),0),IFERROR(INDEX(DogInfo!A:B,MATCH(C103&amp;$BE$4,DogInfo!A:A,0),2),0)&gt;=W103),IFERROR(INDEX(DogInfo!A:B,MATCH(C103&amp;$BE$4,DogInfo!A:A,0),2),0),"Error"))),IFERROR(INDEX($C$5:$BE$54,MATCH(C103,$C$5:$C$54,0),55),IFERROR(INDEX(DogInfo!A:B,MATCH(C103&amp;$BE$4,DogInfo!A:A,0),2),0))),"")</f>
        <v>0</v>
      </c>
    </row>
    <row r="104" spans="1:57" x14ac:dyDescent="0.25">
      <c r="A104" s="99">
        <v>40</v>
      </c>
      <c r="B104" s="100"/>
      <c r="C104" s="101"/>
      <c r="D104" s="102" t="str">
        <f>IF($C104="","",VLOOKUP($C104,'SDDA Dogs'!$A:$F,2,FALSE))</f>
        <v/>
      </c>
      <c r="E104" s="211">
        <f t="shared" si="99"/>
        <v>1</v>
      </c>
      <c r="F104" s="103" t="str">
        <f>IF($C104="","",IF(ISERROR(VLOOKUP($C104,$C$5:$AP$54,38,FALSE)=TRUE),VLOOKUP($C104,'SDDA Dogs'!$A:$O,13,FALSE),VLOOKUP($C104,$C$5:$AP$54,38,FALSE)))</f>
        <v/>
      </c>
      <c r="G104" s="137"/>
      <c r="H104" s="217"/>
      <c r="I104" s="84" t="str">
        <f t="shared" si="100"/>
        <v/>
      </c>
      <c r="J104" s="105">
        <f t="shared" si="57"/>
        <v>0</v>
      </c>
      <c r="K104" s="84" t="str">
        <f t="shared" si="101"/>
        <v/>
      </c>
      <c r="L104" s="105">
        <f t="shared" si="58"/>
        <v>0</v>
      </c>
      <c r="M104" s="84" t="str">
        <f t="shared" si="102"/>
        <v/>
      </c>
      <c r="N104" s="106" t="str">
        <f>IF($C104="","",IF(ISERROR(VLOOKUP($C104,$C$5:$AP$54,39,FALSE)=TRUE),VLOOKUP($C104,'SDDA Dogs'!$A:$O,14,FALSE),VLOOKUP($C104,$C$5:$AP$54,39,FALSE)))</f>
        <v/>
      </c>
      <c r="O104" s="137"/>
      <c r="P104" s="217"/>
      <c r="Q104" s="84" t="str">
        <f t="shared" si="103"/>
        <v/>
      </c>
      <c r="R104" s="105">
        <f t="shared" si="59"/>
        <v>0</v>
      </c>
      <c r="S104" s="84" t="str">
        <f t="shared" si="104"/>
        <v/>
      </c>
      <c r="T104" s="105">
        <f t="shared" si="60"/>
        <v>0</v>
      </c>
      <c r="U104" s="84" t="str">
        <f t="shared" si="105"/>
        <v/>
      </c>
      <c r="V104" s="106" t="str">
        <f>IF($C104="","",IF(ISERROR(VLOOKUP($C104,$C$5:$AP$54,40,FALSE)=TRUE),VLOOKUP($C104,'SDDA Dogs'!$A:$O,15,FALSE),VLOOKUP($C104,$C$5:$AP$54,40,FALSE)))</f>
        <v/>
      </c>
      <c r="W104" s="137"/>
      <c r="X104" s="217"/>
      <c r="Y104" s="84" t="str">
        <f t="shared" si="106"/>
        <v/>
      </c>
      <c r="Z104" s="105">
        <f t="shared" si="61"/>
        <v>0</v>
      </c>
      <c r="AA104" s="84" t="str">
        <f t="shared" si="107"/>
        <v/>
      </c>
      <c r="AB104" s="105">
        <f t="shared" si="62"/>
        <v>0</v>
      </c>
      <c r="AC104" s="84" t="str">
        <f t="shared" si="108"/>
        <v/>
      </c>
      <c r="AD104" s="92" t="str">
        <f t="shared" si="82"/>
        <v/>
      </c>
      <c r="AE104" s="89" t="str">
        <f t="shared" si="109"/>
        <v/>
      </c>
      <c r="AF104" s="104" t="str">
        <f t="shared" si="110"/>
        <v/>
      </c>
      <c r="AG104" s="107" t="str">
        <f t="shared" si="111"/>
        <v/>
      </c>
      <c r="AH104" s="92" t="str">
        <f t="shared" si="112"/>
        <v/>
      </c>
      <c r="AI104" s="89" t="str">
        <f t="shared" si="113"/>
        <v/>
      </c>
      <c r="AJ104" s="104" t="str">
        <f t="shared" si="114"/>
        <v/>
      </c>
      <c r="AK104" s="84" t="str">
        <f t="shared" si="115"/>
        <v/>
      </c>
      <c r="AL104" s="265" t="str">
        <f t="shared" si="116"/>
        <v/>
      </c>
      <c r="AM104" s="270">
        <f t="shared" si="63"/>
        <v>0</v>
      </c>
      <c r="AN104" s="270" t="str">
        <f t="shared" si="64"/>
        <v/>
      </c>
      <c r="AO104" s="270" t="str">
        <f t="shared" si="65"/>
        <v/>
      </c>
      <c r="AP104" s="270" t="str">
        <f t="shared" si="66"/>
        <v/>
      </c>
      <c r="AQ104" s="270">
        <f t="shared" si="117"/>
        <v>0</v>
      </c>
      <c r="AR104" s="316">
        <f>MIN(IFERROR(VLOOKUP($C104,'SDDA Dogs'!$A:$O,10,FALSE),0),IFERROR(VLOOKUP($C104,'SDDA Dogs'!$A:$O,11,FALSE),0),IFERROR(VLOOKUP($C104,'SDDA Dogs'!$A:$O,12,FALSE),0))</f>
        <v>0</v>
      </c>
      <c r="AS104" s="272"/>
      <c r="AT104" s="272"/>
      <c r="AU104" s="272" t="str">
        <f>IF(ISERROR(VLOOKUP(C104,'SDDA Dogs'!A:O,6,FALSE)),"",VLOOKUP(C104,'SDDA Dogs'!A:O,6,FALSE))</f>
        <v/>
      </c>
      <c r="AV104" s="270">
        <f t="shared" si="67"/>
        <v>0</v>
      </c>
      <c r="AW104" s="270">
        <f t="shared" si="68"/>
        <v>0</v>
      </c>
      <c r="AX104" s="273">
        <f t="shared" si="69"/>
        <v>0</v>
      </c>
      <c r="AY104" s="274"/>
      <c r="AZ104" s="275">
        <f t="shared" si="118"/>
        <v>0</v>
      </c>
      <c r="BA104" s="275">
        <f t="shared" si="119"/>
        <v>0</v>
      </c>
      <c r="BB104" s="276"/>
      <c r="BC104" s="274">
        <f>_xlfn.IFNA(IF(I104="Pass",IF(AND(G104&gt;=IFERROR(INDEX($C$5:$W$54,MATCH(C104,$C$5:$C$54,0),5),0),G104&gt;=IFERROR(INDEX(DogInfo!A:B,MATCH(C104&amp;$BC$4,DogInfo!A:A,0),2),0)),G104,IF(AND(IFERROR(INDEX($C$5:$W$54,MATCH(C104,$C$5:$C$54,0),5),0)&gt;=G104,IFERROR(INDEX($C$5:$W$54,MATCH(C104,$C$5:$C$54,0),5),0)&gt;=IFERROR(INDEX(DogInfo!A:B,MATCH(C104&amp;$BC$4,DogInfo!A:A,0),2),0)),IFERROR(INDEX($C$5:$W$54,MATCH(C104,$C$5:$C$54,0),5),0),IF(AND(IFERROR(INDEX(DogInfo!A:B,MATCH(C104&amp;$BC$4,DogInfo!A:A,0),2),0)&gt;=IFERROR(INDEX($C$5:$W$54,MATCH(C104,$C$5:$C$54,0),5),0),IFERROR(INDEX(DogInfo!A:B,MATCH(C104&amp;$BC$4,DogInfo!A:A,0),2),0)&gt;=G104),IFERROR(INDEX(DogInfo!A:B,MATCH(C104&amp;$BC$4,DogInfo!A:A,0),2),0),"Error"))),IFERROR(INDEX($C$5:$BE$54,MATCH(C104,$C$5:$C$54,0),53),IFERROR(INDEX(DogInfo!A:B,MATCH(C104&amp;$BC$4,DogInfo!A:A,0),2),0))),"")</f>
        <v>0</v>
      </c>
      <c r="BD104" s="274">
        <f>_xlfn.IFNA(IF(Q104="Pass",IF(AND(O104&gt;=IFERROR(INDEX($C$5:$W$54,MATCH(C104,$C$5:$C$54,0),13),0),O104&gt;=IFERROR(INDEX(DogInfo!A:B,MATCH(C104&amp;$BD$4,DogInfo!A:A,0),2),0)),O104,IF(AND(IFERROR(INDEX($C$5:$W$54,MATCH(C104,$C$5:$C$54,0),13),0)&gt;=O104,IFERROR(INDEX($C$5:$W$54,MATCH(C104,$C$5:$C$54,0),13),0)&gt;=IFERROR(INDEX(DogInfo!A:B,MATCH(C104&amp;$BD$4,DogInfo!A:A,0),2),0)),IFERROR(INDEX($C$5:$W$54,MATCH(C104,$C$5:$C$54,0),13),0),IF(AND(IFERROR(INDEX(DogInfo!A:B,MATCH(C104&amp;$BD$4,DogInfo!A:A,0),2),0)&gt;=IFERROR(INDEX($C$5:$W$54,MATCH(C104,$C$5:$C$54,0),13),0),IFERROR(INDEX(DogInfo!A:B,MATCH(C104&amp;$BD$4,DogInfo!A:A,0),2),0)&gt;=O104),IFERROR(INDEX(DogInfo!A:B,MATCH(C104&amp;$BD$4,DogInfo!A:A,0),2),0),"Error"))),IFERROR(INDEX($C$5:$BE$54,MATCH(C104,$C$5:$C$54,0),54),IFERROR(INDEX(DogInfo!A:B,MATCH(C104&amp;$BD$4,DogInfo!A:A,0),2),0))),"")</f>
        <v>0</v>
      </c>
      <c r="BE104" s="274">
        <f>_xlfn.IFNA(IF(Y104="Pass",IF(AND(W104&gt;=IFERROR(INDEX($C$5:$W$54,MATCH(C104,$C$5:$C$54,0),21),0),O104&gt;=IFERROR(INDEX(DogInfo!A:B,MATCH(C104&amp;$BE$4,DogInfo!A:A,0),2),0)),W104,IF(AND(IFERROR(INDEX($C$5:$W$54,MATCH(C104,$C$5:$C$54,0),21),0)&gt;=W104,IFERROR(INDEX($C$5:$W$54,MATCH(C104,$C$5:$C$54,0),21),0)&gt;=IFERROR(INDEX(DogInfo!A:B,MATCH(C104&amp;$BE$4,DogInfo!A:A,0),2),0)),IFERROR(INDEX($C$5:$W$54,MATCH(C104,$C$5:$C$54,0),21),0),IF(AND(IFERROR(INDEX(DogInfo!A:B,MATCH(C104&amp;$BE$4,DogInfo!A:A,0),2),0)&gt;=IFERROR(INDEX($C$5:$W$54,MATCH(C104,$C$5:$C$54,0),21),0),IFERROR(INDEX(DogInfo!A:B,MATCH(C104&amp;$BE$4,DogInfo!A:A,0),2),0)&gt;=W104),IFERROR(INDEX(DogInfo!A:B,MATCH(C104&amp;$BE$4,DogInfo!A:A,0),2),0),"Error"))),IFERROR(INDEX($C$5:$BE$54,MATCH(C104,$C$5:$C$54,0),55),IFERROR(INDEX(DogInfo!A:B,MATCH(C104&amp;$BE$4,DogInfo!A:A,0),2),0))),"")</f>
        <v>0</v>
      </c>
    </row>
    <row r="105" spans="1:57" x14ac:dyDescent="0.25">
      <c r="A105" s="99">
        <v>41</v>
      </c>
      <c r="B105" s="100"/>
      <c r="C105" s="101"/>
      <c r="D105" s="102" t="str">
        <f>IF($C105="","",VLOOKUP($C105,'SDDA Dogs'!$A:$F,2,FALSE))</f>
        <v/>
      </c>
      <c r="E105" s="211">
        <f t="shared" si="99"/>
        <v>1</v>
      </c>
      <c r="F105" s="103" t="str">
        <f>IF($C105="","",IF(ISERROR(VLOOKUP($C105,$C$5:$AP$54,38,FALSE)=TRUE),VLOOKUP($C105,'SDDA Dogs'!$A:$O,13,FALSE),VLOOKUP($C105,$C$5:$AP$54,38,FALSE)))</f>
        <v/>
      </c>
      <c r="G105" s="137"/>
      <c r="H105" s="217"/>
      <c r="I105" s="84" t="str">
        <f t="shared" si="100"/>
        <v/>
      </c>
      <c r="J105" s="105">
        <f t="shared" si="57"/>
        <v>0</v>
      </c>
      <c r="K105" s="84" t="str">
        <f t="shared" si="101"/>
        <v/>
      </c>
      <c r="L105" s="105">
        <f t="shared" si="58"/>
        <v>0</v>
      </c>
      <c r="M105" s="84" t="str">
        <f t="shared" si="102"/>
        <v/>
      </c>
      <c r="N105" s="106" t="str">
        <f>IF($C105="","",IF(ISERROR(VLOOKUP($C105,$C$5:$AP$54,39,FALSE)=TRUE),VLOOKUP($C105,'SDDA Dogs'!$A:$O,14,FALSE),VLOOKUP($C105,$C$5:$AP$54,39,FALSE)))</f>
        <v/>
      </c>
      <c r="O105" s="137"/>
      <c r="P105" s="217"/>
      <c r="Q105" s="84" t="str">
        <f t="shared" si="103"/>
        <v/>
      </c>
      <c r="R105" s="105">
        <f t="shared" si="59"/>
        <v>0</v>
      </c>
      <c r="S105" s="84" t="str">
        <f t="shared" si="104"/>
        <v/>
      </c>
      <c r="T105" s="105">
        <f t="shared" si="60"/>
        <v>0</v>
      </c>
      <c r="U105" s="84" t="str">
        <f t="shared" si="105"/>
        <v/>
      </c>
      <c r="V105" s="106" t="str">
        <f>IF($C105="","",IF(ISERROR(VLOOKUP($C105,$C$5:$AP$54,40,FALSE)=TRUE),VLOOKUP($C105,'SDDA Dogs'!$A:$O,15,FALSE),VLOOKUP($C105,$C$5:$AP$54,40,FALSE)))</f>
        <v/>
      </c>
      <c r="W105" s="137"/>
      <c r="X105" s="217"/>
      <c r="Y105" s="84" t="str">
        <f t="shared" si="106"/>
        <v/>
      </c>
      <c r="Z105" s="105">
        <f t="shared" si="61"/>
        <v>0</v>
      </c>
      <c r="AA105" s="84" t="str">
        <f t="shared" si="107"/>
        <v/>
      </c>
      <c r="AB105" s="105">
        <f t="shared" si="62"/>
        <v>0</v>
      </c>
      <c r="AC105" s="84" t="str">
        <f t="shared" si="108"/>
        <v/>
      </c>
      <c r="AD105" s="92" t="str">
        <f t="shared" si="82"/>
        <v/>
      </c>
      <c r="AE105" s="89" t="str">
        <f t="shared" si="109"/>
        <v/>
      </c>
      <c r="AF105" s="104" t="str">
        <f t="shared" si="110"/>
        <v/>
      </c>
      <c r="AG105" s="107" t="str">
        <f t="shared" si="111"/>
        <v/>
      </c>
      <c r="AH105" s="92" t="str">
        <f t="shared" si="112"/>
        <v/>
      </c>
      <c r="AI105" s="89" t="str">
        <f t="shared" si="113"/>
        <v/>
      </c>
      <c r="AJ105" s="104" t="str">
        <f t="shared" si="114"/>
        <v/>
      </c>
      <c r="AK105" s="84" t="str">
        <f t="shared" si="115"/>
        <v/>
      </c>
      <c r="AL105" s="265" t="str">
        <f t="shared" si="116"/>
        <v/>
      </c>
      <c r="AM105" s="270">
        <f t="shared" si="63"/>
        <v>0</v>
      </c>
      <c r="AN105" s="270" t="str">
        <f t="shared" si="64"/>
        <v/>
      </c>
      <c r="AO105" s="270" t="str">
        <f t="shared" si="65"/>
        <v/>
      </c>
      <c r="AP105" s="270" t="str">
        <f t="shared" si="66"/>
        <v/>
      </c>
      <c r="AQ105" s="270">
        <f t="shared" si="117"/>
        <v>0</v>
      </c>
      <c r="AR105" s="316">
        <f>MIN(IFERROR(VLOOKUP($C105,'SDDA Dogs'!$A:$O,10,FALSE),0),IFERROR(VLOOKUP($C105,'SDDA Dogs'!$A:$O,11,FALSE),0),IFERROR(VLOOKUP($C105,'SDDA Dogs'!$A:$O,12,FALSE),0))</f>
        <v>0</v>
      </c>
      <c r="AS105" s="272"/>
      <c r="AT105" s="272"/>
      <c r="AU105" s="272" t="str">
        <f>IF(ISERROR(VLOOKUP(C105,'SDDA Dogs'!A:O,6,FALSE)),"",VLOOKUP(C105,'SDDA Dogs'!A:O,6,FALSE))</f>
        <v/>
      </c>
      <c r="AV105" s="270">
        <f t="shared" si="67"/>
        <v>0</v>
      </c>
      <c r="AW105" s="270">
        <f t="shared" si="68"/>
        <v>0</v>
      </c>
      <c r="AX105" s="273">
        <f t="shared" si="69"/>
        <v>0</v>
      </c>
      <c r="AY105" s="274"/>
      <c r="AZ105" s="275">
        <f t="shared" si="118"/>
        <v>0</v>
      </c>
      <c r="BA105" s="275">
        <f t="shared" si="119"/>
        <v>0</v>
      </c>
      <c r="BB105" s="276"/>
      <c r="BC105" s="274">
        <f>_xlfn.IFNA(IF(I105="Pass",IF(AND(G105&gt;=IFERROR(INDEX($C$5:$W$54,MATCH(C105,$C$5:$C$54,0),5),0),G105&gt;=IFERROR(INDEX(DogInfo!A:B,MATCH(C105&amp;$BC$4,DogInfo!A:A,0),2),0)),G105,IF(AND(IFERROR(INDEX($C$5:$W$54,MATCH(C105,$C$5:$C$54,0),5),0)&gt;=G105,IFERROR(INDEX($C$5:$W$54,MATCH(C105,$C$5:$C$54,0),5),0)&gt;=IFERROR(INDEX(DogInfo!A:B,MATCH(C105&amp;$BC$4,DogInfo!A:A,0),2),0)),IFERROR(INDEX($C$5:$W$54,MATCH(C105,$C$5:$C$54,0),5),0),IF(AND(IFERROR(INDEX(DogInfo!A:B,MATCH(C105&amp;$BC$4,DogInfo!A:A,0),2),0)&gt;=IFERROR(INDEX($C$5:$W$54,MATCH(C105,$C$5:$C$54,0),5),0),IFERROR(INDEX(DogInfo!A:B,MATCH(C105&amp;$BC$4,DogInfo!A:A,0),2),0)&gt;=G105),IFERROR(INDEX(DogInfo!A:B,MATCH(C105&amp;$BC$4,DogInfo!A:A,0),2),0),"Error"))),IFERROR(INDEX($C$5:$BE$54,MATCH(C105,$C$5:$C$54,0),53),IFERROR(INDEX(DogInfo!A:B,MATCH(C105&amp;$BC$4,DogInfo!A:A,0),2),0))),"")</f>
        <v>0</v>
      </c>
      <c r="BD105" s="274">
        <f>_xlfn.IFNA(IF(Q105="Pass",IF(AND(O105&gt;=IFERROR(INDEX($C$5:$W$54,MATCH(C105,$C$5:$C$54,0),13),0),O105&gt;=IFERROR(INDEX(DogInfo!A:B,MATCH(C105&amp;$BD$4,DogInfo!A:A,0),2),0)),O105,IF(AND(IFERROR(INDEX($C$5:$W$54,MATCH(C105,$C$5:$C$54,0),13),0)&gt;=O105,IFERROR(INDEX($C$5:$W$54,MATCH(C105,$C$5:$C$54,0),13),0)&gt;=IFERROR(INDEX(DogInfo!A:B,MATCH(C105&amp;$BD$4,DogInfo!A:A,0),2),0)),IFERROR(INDEX($C$5:$W$54,MATCH(C105,$C$5:$C$54,0),13),0),IF(AND(IFERROR(INDEX(DogInfo!A:B,MATCH(C105&amp;$BD$4,DogInfo!A:A,0),2),0)&gt;=IFERROR(INDEX($C$5:$W$54,MATCH(C105,$C$5:$C$54,0),13),0),IFERROR(INDEX(DogInfo!A:B,MATCH(C105&amp;$BD$4,DogInfo!A:A,0),2),0)&gt;=O105),IFERROR(INDEX(DogInfo!A:B,MATCH(C105&amp;$BD$4,DogInfo!A:A,0),2),0),"Error"))),IFERROR(INDEX($C$5:$BE$54,MATCH(C105,$C$5:$C$54,0),54),IFERROR(INDEX(DogInfo!A:B,MATCH(C105&amp;$BD$4,DogInfo!A:A,0),2),0))),"")</f>
        <v>0</v>
      </c>
      <c r="BE105" s="274">
        <f>_xlfn.IFNA(IF(Y105="Pass",IF(AND(W105&gt;=IFERROR(INDEX($C$5:$W$54,MATCH(C105,$C$5:$C$54,0),21),0),O105&gt;=IFERROR(INDEX(DogInfo!A:B,MATCH(C105&amp;$BE$4,DogInfo!A:A,0),2),0)),W105,IF(AND(IFERROR(INDEX($C$5:$W$54,MATCH(C105,$C$5:$C$54,0),21),0)&gt;=W105,IFERROR(INDEX($C$5:$W$54,MATCH(C105,$C$5:$C$54,0),21),0)&gt;=IFERROR(INDEX(DogInfo!A:B,MATCH(C105&amp;$BE$4,DogInfo!A:A,0),2),0)),IFERROR(INDEX($C$5:$W$54,MATCH(C105,$C$5:$C$54,0),21),0),IF(AND(IFERROR(INDEX(DogInfo!A:B,MATCH(C105&amp;$BE$4,DogInfo!A:A,0),2),0)&gt;=IFERROR(INDEX($C$5:$W$54,MATCH(C105,$C$5:$C$54,0),21),0),IFERROR(INDEX(DogInfo!A:B,MATCH(C105&amp;$BE$4,DogInfo!A:A,0),2),0)&gt;=W105),IFERROR(INDEX(DogInfo!A:B,MATCH(C105&amp;$BE$4,DogInfo!A:A,0),2),0),"Error"))),IFERROR(INDEX($C$5:$BE$54,MATCH(C105,$C$5:$C$54,0),55),IFERROR(INDEX(DogInfo!A:B,MATCH(C105&amp;$BE$4,DogInfo!A:A,0),2),0))),"")</f>
        <v>0</v>
      </c>
    </row>
    <row r="106" spans="1:57" x14ac:dyDescent="0.25">
      <c r="A106" s="99">
        <v>42</v>
      </c>
      <c r="B106" s="100"/>
      <c r="C106" s="101"/>
      <c r="D106" s="102" t="str">
        <f>IF($C106="","",VLOOKUP($C106,'SDDA Dogs'!$A:$F,2,FALSE))</f>
        <v/>
      </c>
      <c r="E106" s="211">
        <f t="shared" si="99"/>
        <v>1</v>
      </c>
      <c r="F106" s="103" t="str">
        <f>IF($C106="","",IF(ISERROR(VLOOKUP($C106,$C$5:$AP$54,38,FALSE)=TRUE),VLOOKUP($C106,'SDDA Dogs'!$A:$O,13,FALSE),VLOOKUP($C106,$C$5:$AP$54,38,FALSE)))</f>
        <v/>
      </c>
      <c r="G106" s="137"/>
      <c r="H106" s="217"/>
      <c r="I106" s="84" t="str">
        <f t="shared" si="100"/>
        <v/>
      </c>
      <c r="J106" s="105">
        <f t="shared" si="57"/>
        <v>0</v>
      </c>
      <c r="K106" s="84" t="str">
        <f t="shared" si="101"/>
        <v/>
      </c>
      <c r="L106" s="105">
        <f t="shared" si="58"/>
        <v>0</v>
      </c>
      <c r="M106" s="84" t="str">
        <f t="shared" si="102"/>
        <v/>
      </c>
      <c r="N106" s="106" t="str">
        <f>IF($C106="","",IF(ISERROR(VLOOKUP($C106,$C$5:$AP$54,39,FALSE)=TRUE),VLOOKUP($C106,'SDDA Dogs'!$A:$O,14,FALSE),VLOOKUP($C106,$C$5:$AP$54,39,FALSE)))</f>
        <v/>
      </c>
      <c r="O106" s="137"/>
      <c r="P106" s="217"/>
      <c r="Q106" s="84" t="str">
        <f t="shared" si="103"/>
        <v/>
      </c>
      <c r="R106" s="105">
        <f t="shared" si="59"/>
        <v>0</v>
      </c>
      <c r="S106" s="84" t="str">
        <f t="shared" si="104"/>
        <v/>
      </c>
      <c r="T106" s="105">
        <f t="shared" si="60"/>
        <v>0</v>
      </c>
      <c r="U106" s="84" t="str">
        <f t="shared" si="105"/>
        <v/>
      </c>
      <c r="V106" s="106" t="str">
        <f>IF($C106="","",IF(ISERROR(VLOOKUP($C106,$C$5:$AP$54,40,FALSE)=TRUE),VLOOKUP($C106,'SDDA Dogs'!$A:$O,15,FALSE),VLOOKUP($C106,$C$5:$AP$54,40,FALSE)))</f>
        <v/>
      </c>
      <c r="W106" s="137"/>
      <c r="X106" s="217"/>
      <c r="Y106" s="84" t="str">
        <f t="shared" si="106"/>
        <v/>
      </c>
      <c r="Z106" s="105">
        <f t="shared" si="61"/>
        <v>0</v>
      </c>
      <c r="AA106" s="84" t="str">
        <f t="shared" si="107"/>
        <v/>
      </c>
      <c r="AB106" s="105">
        <f t="shared" si="62"/>
        <v>0</v>
      </c>
      <c r="AC106" s="84" t="str">
        <f t="shared" si="108"/>
        <v/>
      </c>
      <c r="AD106" s="92" t="str">
        <f t="shared" si="82"/>
        <v/>
      </c>
      <c r="AE106" s="89" t="str">
        <f t="shared" si="109"/>
        <v/>
      </c>
      <c r="AF106" s="104" t="str">
        <f t="shared" si="110"/>
        <v/>
      </c>
      <c r="AG106" s="107" t="str">
        <f t="shared" si="111"/>
        <v/>
      </c>
      <c r="AH106" s="92" t="str">
        <f t="shared" si="112"/>
        <v/>
      </c>
      <c r="AI106" s="89" t="str">
        <f t="shared" si="113"/>
        <v/>
      </c>
      <c r="AJ106" s="104" t="str">
        <f t="shared" si="114"/>
        <v/>
      </c>
      <c r="AK106" s="84" t="str">
        <f t="shared" si="115"/>
        <v/>
      </c>
      <c r="AL106" s="265" t="str">
        <f t="shared" si="116"/>
        <v/>
      </c>
      <c r="AM106" s="270">
        <f t="shared" si="63"/>
        <v>0</v>
      </c>
      <c r="AN106" s="270" t="str">
        <f t="shared" si="64"/>
        <v/>
      </c>
      <c r="AO106" s="270" t="str">
        <f t="shared" si="65"/>
        <v/>
      </c>
      <c r="AP106" s="270" t="str">
        <f t="shared" si="66"/>
        <v/>
      </c>
      <c r="AQ106" s="270">
        <f t="shared" si="117"/>
        <v>0</v>
      </c>
      <c r="AR106" s="316">
        <f>MIN(IFERROR(VLOOKUP($C106,'SDDA Dogs'!$A:$O,10,FALSE),0),IFERROR(VLOOKUP($C106,'SDDA Dogs'!$A:$O,11,FALSE),0),IFERROR(VLOOKUP($C106,'SDDA Dogs'!$A:$O,12,FALSE),0))</f>
        <v>0</v>
      </c>
      <c r="AS106" s="272"/>
      <c r="AT106" s="272"/>
      <c r="AU106" s="272" t="str">
        <f>IF(ISERROR(VLOOKUP(C106,'SDDA Dogs'!A:O,6,FALSE)),"",VLOOKUP(C106,'SDDA Dogs'!A:O,6,FALSE))</f>
        <v/>
      </c>
      <c r="AV106" s="270">
        <f t="shared" si="67"/>
        <v>0</v>
      </c>
      <c r="AW106" s="270">
        <f t="shared" si="68"/>
        <v>0</v>
      </c>
      <c r="AX106" s="273">
        <f t="shared" si="69"/>
        <v>0</v>
      </c>
      <c r="AY106" s="274"/>
      <c r="AZ106" s="275">
        <f t="shared" si="118"/>
        <v>0</v>
      </c>
      <c r="BA106" s="275">
        <f t="shared" si="119"/>
        <v>0</v>
      </c>
      <c r="BB106" s="276"/>
      <c r="BC106" s="274">
        <f>_xlfn.IFNA(IF(I106="Pass",IF(AND(G106&gt;=IFERROR(INDEX($C$5:$W$54,MATCH(C106,$C$5:$C$54,0),5),0),G106&gt;=IFERROR(INDEX(DogInfo!A:B,MATCH(C106&amp;$BC$4,DogInfo!A:A,0),2),0)),G106,IF(AND(IFERROR(INDEX($C$5:$W$54,MATCH(C106,$C$5:$C$54,0),5),0)&gt;=G106,IFERROR(INDEX($C$5:$W$54,MATCH(C106,$C$5:$C$54,0),5),0)&gt;=IFERROR(INDEX(DogInfo!A:B,MATCH(C106&amp;$BC$4,DogInfo!A:A,0),2),0)),IFERROR(INDEX($C$5:$W$54,MATCH(C106,$C$5:$C$54,0),5),0),IF(AND(IFERROR(INDEX(DogInfo!A:B,MATCH(C106&amp;$BC$4,DogInfo!A:A,0),2),0)&gt;=IFERROR(INDEX($C$5:$W$54,MATCH(C106,$C$5:$C$54,0),5),0),IFERROR(INDEX(DogInfo!A:B,MATCH(C106&amp;$BC$4,DogInfo!A:A,0),2),0)&gt;=G106),IFERROR(INDEX(DogInfo!A:B,MATCH(C106&amp;$BC$4,DogInfo!A:A,0),2),0),"Error"))),IFERROR(INDEX($C$5:$BE$54,MATCH(C106,$C$5:$C$54,0),53),IFERROR(INDEX(DogInfo!A:B,MATCH(C106&amp;$BC$4,DogInfo!A:A,0),2),0))),"")</f>
        <v>0</v>
      </c>
      <c r="BD106" s="274">
        <f>_xlfn.IFNA(IF(Q106="Pass",IF(AND(O106&gt;=IFERROR(INDEX($C$5:$W$54,MATCH(C106,$C$5:$C$54,0),13),0),O106&gt;=IFERROR(INDEX(DogInfo!A:B,MATCH(C106&amp;$BD$4,DogInfo!A:A,0),2),0)),O106,IF(AND(IFERROR(INDEX($C$5:$W$54,MATCH(C106,$C$5:$C$54,0),13),0)&gt;=O106,IFERROR(INDEX($C$5:$W$54,MATCH(C106,$C$5:$C$54,0),13),0)&gt;=IFERROR(INDEX(DogInfo!A:B,MATCH(C106&amp;$BD$4,DogInfo!A:A,0),2),0)),IFERROR(INDEX($C$5:$W$54,MATCH(C106,$C$5:$C$54,0),13),0),IF(AND(IFERROR(INDEX(DogInfo!A:B,MATCH(C106&amp;$BD$4,DogInfo!A:A,0),2),0)&gt;=IFERROR(INDEX($C$5:$W$54,MATCH(C106,$C$5:$C$54,0),13),0),IFERROR(INDEX(DogInfo!A:B,MATCH(C106&amp;$BD$4,DogInfo!A:A,0),2),0)&gt;=O106),IFERROR(INDEX(DogInfo!A:B,MATCH(C106&amp;$BD$4,DogInfo!A:A,0),2),0),"Error"))),IFERROR(INDEX($C$5:$BE$54,MATCH(C106,$C$5:$C$54,0),54),IFERROR(INDEX(DogInfo!A:B,MATCH(C106&amp;$BD$4,DogInfo!A:A,0),2),0))),"")</f>
        <v>0</v>
      </c>
      <c r="BE106" s="274">
        <f>_xlfn.IFNA(IF(Y106="Pass",IF(AND(W106&gt;=IFERROR(INDEX($C$5:$W$54,MATCH(C106,$C$5:$C$54,0),21),0),O106&gt;=IFERROR(INDEX(DogInfo!A:B,MATCH(C106&amp;$BE$4,DogInfo!A:A,0),2),0)),W106,IF(AND(IFERROR(INDEX($C$5:$W$54,MATCH(C106,$C$5:$C$54,0),21),0)&gt;=W106,IFERROR(INDEX($C$5:$W$54,MATCH(C106,$C$5:$C$54,0),21),0)&gt;=IFERROR(INDEX(DogInfo!A:B,MATCH(C106&amp;$BE$4,DogInfo!A:A,0),2),0)),IFERROR(INDEX($C$5:$W$54,MATCH(C106,$C$5:$C$54,0),21),0),IF(AND(IFERROR(INDEX(DogInfo!A:B,MATCH(C106&amp;$BE$4,DogInfo!A:A,0),2),0)&gt;=IFERROR(INDEX($C$5:$W$54,MATCH(C106,$C$5:$C$54,0),21),0),IFERROR(INDEX(DogInfo!A:B,MATCH(C106&amp;$BE$4,DogInfo!A:A,0),2),0)&gt;=W106),IFERROR(INDEX(DogInfo!A:B,MATCH(C106&amp;$BE$4,DogInfo!A:A,0),2),0),"Error"))),IFERROR(INDEX($C$5:$BE$54,MATCH(C106,$C$5:$C$54,0),55),IFERROR(INDEX(DogInfo!A:B,MATCH(C106&amp;$BE$4,DogInfo!A:A,0),2),0))),"")</f>
        <v>0</v>
      </c>
    </row>
    <row r="107" spans="1:57" x14ac:dyDescent="0.25">
      <c r="A107" s="99">
        <v>43</v>
      </c>
      <c r="B107" s="100"/>
      <c r="C107" s="101"/>
      <c r="D107" s="102" t="str">
        <f>IF($C107="","",VLOOKUP($C107,'SDDA Dogs'!$A:$F,2,FALSE))</f>
        <v/>
      </c>
      <c r="E107" s="211">
        <f t="shared" si="99"/>
        <v>1</v>
      </c>
      <c r="F107" s="103" t="str">
        <f>IF($C107="","",IF(ISERROR(VLOOKUP($C107,$C$5:$AP$54,38,FALSE)=TRUE),VLOOKUP($C107,'SDDA Dogs'!$A:$O,13,FALSE),VLOOKUP($C107,$C$5:$AP$54,38,FALSE)))</f>
        <v/>
      </c>
      <c r="G107" s="137"/>
      <c r="H107" s="217"/>
      <c r="I107" s="84" t="str">
        <f t="shared" si="100"/>
        <v/>
      </c>
      <c r="J107" s="105">
        <f t="shared" si="57"/>
        <v>0</v>
      </c>
      <c r="K107" s="84" t="str">
        <f t="shared" si="101"/>
        <v/>
      </c>
      <c r="L107" s="105">
        <f t="shared" si="58"/>
        <v>0</v>
      </c>
      <c r="M107" s="84" t="str">
        <f t="shared" si="102"/>
        <v/>
      </c>
      <c r="N107" s="106" t="str">
        <f>IF($C107="","",IF(ISERROR(VLOOKUP($C107,$C$5:$AP$54,39,FALSE)=TRUE),VLOOKUP($C107,'SDDA Dogs'!$A:$O,14,FALSE),VLOOKUP($C107,$C$5:$AP$54,39,FALSE)))</f>
        <v/>
      </c>
      <c r="O107" s="137"/>
      <c r="P107" s="217"/>
      <c r="Q107" s="84" t="str">
        <f t="shared" si="103"/>
        <v/>
      </c>
      <c r="R107" s="105">
        <f t="shared" si="59"/>
        <v>0</v>
      </c>
      <c r="S107" s="84" t="str">
        <f t="shared" si="104"/>
        <v/>
      </c>
      <c r="T107" s="105">
        <f t="shared" si="60"/>
        <v>0</v>
      </c>
      <c r="U107" s="84" t="str">
        <f t="shared" si="105"/>
        <v/>
      </c>
      <c r="V107" s="106" t="str">
        <f>IF($C107="","",IF(ISERROR(VLOOKUP($C107,$C$5:$AP$54,40,FALSE)=TRUE),VLOOKUP($C107,'SDDA Dogs'!$A:$O,15,FALSE),VLOOKUP($C107,$C$5:$AP$54,40,FALSE)))</f>
        <v/>
      </c>
      <c r="W107" s="137"/>
      <c r="X107" s="217"/>
      <c r="Y107" s="84" t="str">
        <f t="shared" si="106"/>
        <v/>
      </c>
      <c r="Z107" s="105">
        <f t="shared" si="61"/>
        <v>0</v>
      </c>
      <c r="AA107" s="84" t="str">
        <f t="shared" si="107"/>
        <v/>
      </c>
      <c r="AB107" s="105">
        <f t="shared" si="62"/>
        <v>0</v>
      </c>
      <c r="AC107" s="84" t="str">
        <f t="shared" si="108"/>
        <v/>
      </c>
      <c r="AD107" s="92" t="str">
        <f t="shared" si="82"/>
        <v/>
      </c>
      <c r="AE107" s="89" t="str">
        <f t="shared" si="109"/>
        <v/>
      </c>
      <c r="AF107" s="104" t="str">
        <f t="shared" si="110"/>
        <v/>
      </c>
      <c r="AG107" s="107" t="str">
        <f t="shared" si="111"/>
        <v/>
      </c>
      <c r="AH107" s="92" t="str">
        <f t="shared" si="112"/>
        <v/>
      </c>
      <c r="AI107" s="89" t="str">
        <f t="shared" si="113"/>
        <v/>
      </c>
      <c r="AJ107" s="104" t="str">
        <f t="shared" si="114"/>
        <v/>
      </c>
      <c r="AK107" s="84" t="str">
        <f t="shared" si="115"/>
        <v/>
      </c>
      <c r="AL107" s="265" t="str">
        <f t="shared" si="116"/>
        <v/>
      </c>
      <c r="AM107" s="270">
        <f t="shared" si="63"/>
        <v>0</v>
      </c>
      <c r="AN107" s="270" t="str">
        <f t="shared" si="64"/>
        <v/>
      </c>
      <c r="AO107" s="270" t="str">
        <f t="shared" si="65"/>
        <v/>
      </c>
      <c r="AP107" s="270" t="str">
        <f t="shared" si="66"/>
        <v/>
      </c>
      <c r="AQ107" s="270">
        <f t="shared" si="117"/>
        <v>0</v>
      </c>
      <c r="AR107" s="316">
        <f>MIN(IFERROR(VLOOKUP($C107,'SDDA Dogs'!$A:$O,10,FALSE),0),IFERROR(VLOOKUP($C107,'SDDA Dogs'!$A:$O,11,FALSE),0),IFERROR(VLOOKUP($C107,'SDDA Dogs'!$A:$O,12,FALSE),0))</f>
        <v>0</v>
      </c>
      <c r="AS107" s="272"/>
      <c r="AT107" s="272"/>
      <c r="AU107" s="272" t="str">
        <f>IF(ISERROR(VLOOKUP(C107,'SDDA Dogs'!A:O,6,FALSE)),"",VLOOKUP(C107,'SDDA Dogs'!A:O,6,FALSE))</f>
        <v/>
      </c>
      <c r="AV107" s="270">
        <f t="shared" si="67"/>
        <v>0</v>
      </c>
      <c r="AW107" s="270">
        <f t="shared" si="68"/>
        <v>0</v>
      </c>
      <c r="AX107" s="273">
        <f t="shared" si="69"/>
        <v>0</v>
      </c>
      <c r="AY107" s="274"/>
      <c r="AZ107" s="275">
        <f t="shared" si="118"/>
        <v>0</v>
      </c>
      <c r="BA107" s="275">
        <f t="shared" si="119"/>
        <v>0</v>
      </c>
      <c r="BB107" s="276"/>
      <c r="BC107" s="274">
        <f>_xlfn.IFNA(IF(I107="Pass",IF(AND(G107&gt;=IFERROR(INDEX($C$5:$W$54,MATCH(C107,$C$5:$C$54,0),5),0),G107&gt;=IFERROR(INDEX(DogInfo!A:B,MATCH(C107&amp;$BC$4,DogInfo!A:A,0),2),0)),G107,IF(AND(IFERROR(INDEX($C$5:$W$54,MATCH(C107,$C$5:$C$54,0),5),0)&gt;=G107,IFERROR(INDEX($C$5:$W$54,MATCH(C107,$C$5:$C$54,0),5),0)&gt;=IFERROR(INDEX(DogInfo!A:B,MATCH(C107&amp;$BC$4,DogInfo!A:A,0),2),0)),IFERROR(INDEX($C$5:$W$54,MATCH(C107,$C$5:$C$54,0),5),0),IF(AND(IFERROR(INDEX(DogInfo!A:B,MATCH(C107&amp;$BC$4,DogInfo!A:A,0),2),0)&gt;=IFERROR(INDEX($C$5:$W$54,MATCH(C107,$C$5:$C$54,0),5),0),IFERROR(INDEX(DogInfo!A:B,MATCH(C107&amp;$BC$4,DogInfo!A:A,0),2),0)&gt;=G107),IFERROR(INDEX(DogInfo!A:B,MATCH(C107&amp;$BC$4,DogInfo!A:A,0),2),0),"Error"))),IFERROR(INDEX($C$5:$BE$54,MATCH(C107,$C$5:$C$54,0),53),IFERROR(INDEX(DogInfo!A:B,MATCH(C107&amp;$BC$4,DogInfo!A:A,0),2),0))),"")</f>
        <v>0</v>
      </c>
      <c r="BD107" s="274">
        <f>_xlfn.IFNA(IF(Q107="Pass",IF(AND(O107&gt;=IFERROR(INDEX($C$5:$W$54,MATCH(C107,$C$5:$C$54,0),13),0),O107&gt;=IFERROR(INDEX(DogInfo!A:B,MATCH(C107&amp;$BD$4,DogInfo!A:A,0),2),0)),O107,IF(AND(IFERROR(INDEX($C$5:$W$54,MATCH(C107,$C$5:$C$54,0),13),0)&gt;=O107,IFERROR(INDEX($C$5:$W$54,MATCH(C107,$C$5:$C$54,0),13),0)&gt;=IFERROR(INDEX(DogInfo!A:B,MATCH(C107&amp;$BD$4,DogInfo!A:A,0),2),0)),IFERROR(INDEX($C$5:$W$54,MATCH(C107,$C$5:$C$54,0),13),0),IF(AND(IFERROR(INDEX(DogInfo!A:B,MATCH(C107&amp;$BD$4,DogInfo!A:A,0),2),0)&gt;=IFERROR(INDEX($C$5:$W$54,MATCH(C107,$C$5:$C$54,0),13),0),IFERROR(INDEX(DogInfo!A:B,MATCH(C107&amp;$BD$4,DogInfo!A:A,0),2),0)&gt;=O107),IFERROR(INDEX(DogInfo!A:B,MATCH(C107&amp;$BD$4,DogInfo!A:A,0),2),0),"Error"))),IFERROR(INDEX($C$5:$BE$54,MATCH(C107,$C$5:$C$54,0),54),IFERROR(INDEX(DogInfo!A:B,MATCH(C107&amp;$BD$4,DogInfo!A:A,0),2),0))),"")</f>
        <v>0</v>
      </c>
      <c r="BE107" s="274">
        <f>_xlfn.IFNA(IF(Y107="Pass",IF(AND(W107&gt;=IFERROR(INDEX($C$5:$W$54,MATCH(C107,$C$5:$C$54,0),21),0),O107&gt;=IFERROR(INDEX(DogInfo!A:B,MATCH(C107&amp;$BE$4,DogInfo!A:A,0),2),0)),W107,IF(AND(IFERROR(INDEX($C$5:$W$54,MATCH(C107,$C$5:$C$54,0),21),0)&gt;=W107,IFERROR(INDEX($C$5:$W$54,MATCH(C107,$C$5:$C$54,0),21),0)&gt;=IFERROR(INDEX(DogInfo!A:B,MATCH(C107&amp;$BE$4,DogInfo!A:A,0),2),0)),IFERROR(INDEX($C$5:$W$54,MATCH(C107,$C$5:$C$54,0),21),0),IF(AND(IFERROR(INDEX(DogInfo!A:B,MATCH(C107&amp;$BE$4,DogInfo!A:A,0),2),0)&gt;=IFERROR(INDEX($C$5:$W$54,MATCH(C107,$C$5:$C$54,0),21),0),IFERROR(INDEX(DogInfo!A:B,MATCH(C107&amp;$BE$4,DogInfo!A:A,0),2),0)&gt;=W107),IFERROR(INDEX(DogInfo!A:B,MATCH(C107&amp;$BE$4,DogInfo!A:A,0),2),0),"Error"))),IFERROR(INDEX($C$5:$BE$54,MATCH(C107,$C$5:$C$54,0),55),IFERROR(INDEX(DogInfo!A:B,MATCH(C107&amp;$BE$4,DogInfo!A:A,0),2),0))),"")</f>
        <v>0</v>
      </c>
    </row>
    <row r="108" spans="1:57" x14ac:dyDescent="0.25">
      <c r="A108" s="99">
        <v>44</v>
      </c>
      <c r="B108" s="100"/>
      <c r="C108" s="101"/>
      <c r="D108" s="102" t="str">
        <f>IF($C108="","",VLOOKUP($C108,'SDDA Dogs'!$A:$F,2,FALSE))</f>
        <v/>
      </c>
      <c r="E108" s="211">
        <f t="shared" si="99"/>
        <v>1</v>
      </c>
      <c r="F108" s="103" t="str">
        <f>IF($C108="","",IF(ISERROR(VLOOKUP($C108,$C$5:$AP$54,38,FALSE)=TRUE),VLOOKUP($C108,'SDDA Dogs'!$A:$O,13,FALSE),VLOOKUP($C108,$C$5:$AP$54,38,FALSE)))</f>
        <v/>
      </c>
      <c r="G108" s="137"/>
      <c r="H108" s="217"/>
      <c r="I108" s="84" t="str">
        <f t="shared" si="100"/>
        <v/>
      </c>
      <c r="J108" s="105">
        <f t="shared" si="57"/>
        <v>0</v>
      </c>
      <c r="K108" s="84" t="str">
        <f t="shared" si="101"/>
        <v/>
      </c>
      <c r="L108" s="105">
        <f t="shared" si="58"/>
        <v>0</v>
      </c>
      <c r="M108" s="84" t="str">
        <f t="shared" si="102"/>
        <v/>
      </c>
      <c r="N108" s="106" t="str">
        <f>IF($C108="","",IF(ISERROR(VLOOKUP($C108,$C$5:$AP$54,39,FALSE)=TRUE),VLOOKUP($C108,'SDDA Dogs'!$A:$O,14,FALSE),VLOOKUP($C108,$C$5:$AP$54,39,FALSE)))</f>
        <v/>
      </c>
      <c r="O108" s="137"/>
      <c r="P108" s="217"/>
      <c r="Q108" s="84" t="str">
        <f t="shared" si="103"/>
        <v/>
      </c>
      <c r="R108" s="105">
        <f t="shared" si="59"/>
        <v>0</v>
      </c>
      <c r="S108" s="84" t="str">
        <f t="shared" si="104"/>
        <v/>
      </c>
      <c r="T108" s="105">
        <f t="shared" si="60"/>
        <v>0</v>
      </c>
      <c r="U108" s="84" t="str">
        <f t="shared" si="105"/>
        <v/>
      </c>
      <c r="V108" s="106" t="str">
        <f>IF($C108="","",IF(ISERROR(VLOOKUP($C108,$C$5:$AP$54,40,FALSE)=TRUE),VLOOKUP($C108,'SDDA Dogs'!$A:$O,15,FALSE),VLOOKUP($C108,$C$5:$AP$54,40,FALSE)))</f>
        <v/>
      </c>
      <c r="W108" s="137"/>
      <c r="X108" s="217"/>
      <c r="Y108" s="84" t="str">
        <f t="shared" si="106"/>
        <v/>
      </c>
      <c r="Z108" s="105">
        <f t="shared" si="61"/>
        <v>0</v>
      </c>
      <c r="AA108" s="84" t="str">
        <f t="shared" si="107"/>
        <v/>
      </c>
      <c r="AB108" s="105">
        <f t="shared" si="62"/>
        <v>0</v>
      </c>
      <c r="AC108" s="84" t="str">
        <f t="shared" si="108"/>
        <v/>
      </c>
      <c r="AD108" s="92" t="str">
        <f t="shared" si="82"/>
        <v/>
      </c>
      <c r="AE108" s="89" t="str">
        <f t="shared" si="109"/>
        <v/>
      </c>
      <c r="AF108" s="104" t="str">
        <f t="shared" si="110"/>
        <v/>
      </c>
      <c r="AG108" s="107" t="str">
        <f t="shared" si="111"/>
        <v/>
      </c>
      <c r="AH108" s="92" t="str">
        <f t="shared" si="112"/>
        <v/>
      </c>
      <c r="AI108" s="89" t="str">
        <f t="shared" si="113"/>
        <v/>
      </c>
      <c r="AJ108" s="104" t="str">
        <f t="shared" si="114"/>
        <v/>
      </c>
      <c r="AK108" s="84" t="str">
        <f t="shared" si="115"/>
        <v/>
      </c>
      <c r="AL108" s="265" t="str">
        <f t="shared" si="116"/>
        <v/>
      </c>
      <c r="AM108" s="270">
        <f t="shared" si="63"/>
        <v>0</v>
      </c>
      <c r="AN108" s="270" t="str">
        <f t="shared" si="64"/>
        <v/>
      </c>
      <c r="AO108" s="270" t="str">
        <f t="shared" si="65"/>
        <v/>
      </c>
      <c r="AP108" s="270" t="str">
        <f t="shared" si="66"/>
        <v/>
      </c>
      <c r="AQ108" s="270">
        <f t="shared" si="117"/>
        <v>0</v>
      </c>
      <c r="AR108" s="316">
        <f>MIN(IFERROR(VLOOKUP($C108,'SDDA Dogs'!$A:$O,10,FALSE),0),IFERROR(VLOOKUP($C108,'SDDA Dogs'!$A:$O,11,FALSE),0),IFERROR(VLOOKUP($C108,'SDDA Dogs'!$A:$O,12,FALSE),0))</f>
        <v>0</v>
      </c>
      <c r="AS108" s="272"/>
      <c r="AT108" s="272"/>
      <c r="AU108" s="272" t="str">
        <f>IF(ISERROR(VLOOKUP(C108,'SDDA Dogs'!A:O,6,FALSE)),"",VLOOKUP(C108,'SDDA Dogs'!A:O,6,FALSE))</f>
        <v/>
      </c>
      <c r="AV108" s="270">
        <f t="shared" si="67"/>
        <v>0</v>
      </c>
      <c r="AW108" s="270">
        <f t="shared" si="68"/>
        <v>0</v>
      </c>
      <c r="AX108" s="273">
        <f t="shared" si="69"/>
        <v>0</v>
      </c>
      <c r="AY108" s="274"/>
      <c r="AZ108" s="275">
        <f t="shared" si="118"/>
        <v>0</v>
      </c>
      <c r="BA108" s="275">
        <f t="shared" si="119"/>
        <v>0</v>
      </c>
      <c r="BB108" s="276"/>
      <c r="BC108" s="274">
        <f>_xlfn.IFNA(IF(I108="Pass",IF(AND(G108&gt;=IFERROR(INDEX($C$5:$W$54,MATCH(C108,$C$5:$C$54,0),5),0),G108&gt;=IFERROR(INDEX(DogInfo!A:B,MATCH(C108&amp;$BC$4,DogInfo!A:A,0),2),0)),G108,IF(AND(IFERROR(INDEX($C$5:$W$54,MATCH(C108,$C$5:$C$54,0),5),0)&gt;=G108,IFERROR(INDEX($C$5:$W$54,MATCH(C108,$C$5:$C$54,0),5),0)&gt;=IFERROR(INDEX(DogInfo!A:B,MATCH(C108&amp;$BC$4,DogInfo!A:A,0),2),0)),IFERROR(INDEX($C$5:$W$54,MATCH(C108,$C$5:$C$54,0),5),0),IF(AND(IFERROR(INDEX(DogInfo!A:B,MATCH(C108&amp;$BC$4,DogInfo!A:A,0),2),0)&gt;=IFERROR(INDEX($C$5:$W$54,MATCH(C108,$C$5:$C$54,0),5),0),IFERROR(INDEX(DogInfo!A:B,MATCH(C108&amp;$BC$4,DogInfo!A:A,0),2),0)&gt;=G108),IFERROR(INDEX(DogInfo!A:B,MATCH(C108&amp;$BC$4,DogInfo!A:A,0),2),0),"Error"))),IFERROR(INDEX($C$5:$BE$54,MATCH(C108,$C$5:$C$54,0),53),IFERROR(INDEX(DogInfo!A:B,MATCH(C108&amp;$BC$4,DogInfo!A:A,0),2),0))),"")</f>
        <v>0</v>
      </c>
      <c r="BD108" s="274">
        <f>_xlfn.IFNA(IF(Q108="Pass",IF(AND(O108&gt;=IFERROR(INDEX($C$5:$W$54,MATCH(C108,$C$5:$C$54,0),13),0),O108&gt;=IFERROR(INDEX(DogInfo!A:B,MATCH(C108&amp;$BD$4,DogInfo!A:A,0),2),0)),O108,IF(AND(IFERROR(INDEX($C$5:$W$54,MATCH(C108,$C$5:$C$54,0),13),0)&gt;=O108,IFERROR(INDEX($C$5:$W$54,MATCH(C108,$C$5:$C$54,0),13),0)&gt;=IFERROR(INDEX(DogInfo!A:B,MATCH(C108&amp;$BD$4,DogInfo!A:A,0),2),0)),IFERROR(INDEX($C$5:$W$54,MATCH(C108,$C$5:$C$54,0),13),0),IF(AND(IFERROR(INDEX(DogInfo!A:B,MATCH(C108&amp;$BD$4,DogInfo!A:A,0),2),0)&gt;=IFERROR(INDEX($C$5:$W$54,MATCH(C108,$C$5:$C$54,0),13),0),IFERROR(INDEX(DogInfo!A:B,MATCH(C108&amp;$BD$4,DogInfo!A:A,0),2),0)&gt;=O108),IFERROR(INDEX(DogInfo!A:B,MATCH(C108&amp;$BD$4,DogInfo!A:A,0),2),0),"Error"))),IFERROR(INDEX($C$5:$BE$54,MATCH(C108,$C$5:$C$54,0),54),IFERROR(INDEX(DogInfo!A:B,MATCH(C108&amp;$BD$4,DogInfo!A:A,0),2),0))),"")</f>
        <v>0</v>
      </c>
      <c r="BE108" s="274">
        <f>_xlfn.IFNA(IF(Y108="Pass",IF(AND(W108&gt;=IFERROR(INDEX($C$5:$W$54,MATCH(C108,$C$5:$C$54,0),21),0),O108&gt;=IFERROR(INDEX(DogInfo!A:B,MATCH(C108&amp;$BE$4,DogInfo!A:A,0),2),0)),W108,IF(AND(IFERROR(INDEX($C$5:$W$54,MATCH(C108,$C$5:$C$54,0),21),0)&gt;=W108,IFERROR(INDEX($C$5:$W$54,MATCH(C108,$C$5:$C$54,0),21),0)&gt;=IFERROR(INDEX(DogInfo!A:B,MATCH(C108&amp;$BE$4,DogInfo!A:A,0),2),0)),IFERROR(INDEX($C$5:$W$54,MATCH(C108,$C$5:$C$54,0),21),0),IF(AND(IFERROR(INDEX(DogInfo!A:B,MATCH(C108&amp;$BE$4,DogInfo!A:A,0),2),0)&gt;=IFERROR(INDEX($C$5:$W$54,MATCH(C108,$C$5:$C$54,0),21),0),IFERROR(INDEX(DogInfo!A:B,MATCH(C108&amp;$BE$4,DogInfo!A:A,0),2),0)&gt;=W108),IFERROR(INDEX(DogInfo!A:B,MATCH(C108&amp;$BE$4,DogInfo!A:A,0),2),0),"Error"))),IFERROR(INDEX($C$5:$BE$54,MATCH(C108,$C$5:$C$54,0),55),IFERROR(INDEX(DogInfo!A:B,MATCH(C108&amp;$BE$4,DogInfo!A:A,0),2),0))),"")</f>
        <v>0</v>
      </c>
    </row>
    <row r="109" spans="1:57" x14ac:dyDescent="0.25">
      <c r="A109" s="99">
        <v>45</v>
      </c>
      <c r="B109" s="100"/>
      <c r="C109" s="101"/>
      <c r="D109" s="102" t="str">
        <f>IF($C109="","",VLOOKUP($C109,'SDDA Dogs'!$A:$F,2,FALSE))</f>
        <v/>
      </c>
      <c r="E109" s="211">
        <f t="shared" si="99"/>
        <v>1</v>
      </c>
      <c r="F109" s="103" t="str">
        <f>IF($C109="","",IF(ISERROR(VLOOKUP($C109,$C$5:$AP$54,38,FALSE)=TRUE),VLOOKUP($C109,'SDDA Dogs'!$A:$O,13,FALSE),VLOOKUP($C109,$C$5:$AP$54,38,FALSE)))</f>
        <v/>
      </c>
      <c r="G109" s="137"/>
      <c r="H109" s="217"/>
      <c r="I109" s="84" t="str">
        <f t="shared" si="100"/>
        <v/>
      </c>
      <c r="J109" s="105">
        <f t="shared" si="57"/>
        <v>0</v>
      </c>
      <c r="K109" s="84" t="str">
        <f t="shared" si="101"/>
        <v/>
      </c>
      <c r="L109" s="105">
        <f t="shared" si="58"/>
        <v>0</v>
      </c>
      <c r="M109" s="84" t="str">
        <f t="shared" si="102"/>
        <v/>
      </c>
      <c r="N109" s="106" t="str">
        <f>IF($C109="","",IF(ISERROR(VLOOKUP($C109,$C$5:$AP$54,39,FALSE)=TRUE),VLOOKUP($C109,'SDDA Dogs'!$A:$O,14,FALSE),VLOOKUP($C109,$C$5:$AP$54,39,FALSE)))</f>
        <v/>
      </c>
      <c r="O109" s="137"/>
      <c r="P109" s="217"/>
      <c r="Q109" s="84" t="str">
        <f t="shared" si="103"/>
        <v/>
      </c>
      <c r="R109" s="105">
        <f t="shared" si="59"/>
        <v>0</v>
      </c>
      <c r="S109" s="84" t="str">
        <f t="shared" si="104"/>
        <v/>
      </c>
      <c r="T109" s="105">
        <f t="shared" si="60"/>
        <v>0</v>
      </c>
      <c r="U109" s="84" t="str">
        <f t="shared" si="105"/>
        <v/>
      </c>
      <c r="V109" s="106" t="str">
        <f>IF($C109="","",IF(ISERROR(VLOOKUP($C109,$C$5:$AP$54,40,FALSE)=TRUE),VLOOKUP($C109,'SDDA Dogs'!$A:$O,15,FALSE),VLOOKUP($C109,$C$5:$AP$54,40,FALSE)))</f>
        <v/>
      </c>
      <c r="W109" s="137"/>
      <c r="X109" s="217"/>
      <c r="Y109" s="84" t="str">
        <f t="shared" si="106"/>
        <v/>
      </c>
      <c r="Z109" s="105">
        <f t="shared" si="61"/>
        <v>0</v>
      </c>
      <c r="AA109" s="84" t="str">
        <f t="shared" si="107"/>
        <v/>
      </c>
      <c r="AB109" s="105">
        <f t="shared" si="62"/>
        <v>0</v>
      </c>
      <c r="AC109" s="84" t="str">
        <f t="shared" si="108"/>
        <v/>
      </c>
      <c r="AD109" s="92" t="str">
        <f t="shared" si="82"/>
        <v/>
      </c>
      <c r="AE109" s="89" t="str">
        <f t="shared" si="109"/>
        <v/>
      </c>
      <c r="AF109" s="104" t="str">
        <f t="shared" si="110"/>
        <v/>
      </c>
      <c r="AG109" s="107" t="str">
        <f t="shared" si="111"/>
        <v/>
      </c>
      <c r="AH109" s="92" t="str">
        <f t="shared" si="112"/>
        <v/>
      </c>
      <c r="AI109" s="89" t="str">
        <f t="shared" si="113"/>
        <v/>
      </c>
      <c r="AJ109" s="104" t="str">
        <f t="shared" si="114"/>
        <v/>
      </c>
      <c r="AK109" s="84" t="str">
        <f t="shared" si="115"/>
        <v/>
      </c>
      <c r="AL109" s="265" t="str">
        <f t="shared" si="116"/>
        <v/>
      </c>
      <c r="AM109" s="270">
        <f t="shared" si="63"/>
        <v>0</v>
      </c>
      <c r="AN109" s="270" t="str">
        <f t="shared" si="64"/>
        <v/>
      </c>
      <c r="AO109" s="270" t="str">
        <f t="shared" si="65"/>
        <v/>
      </c>
      <c r="AP109" s="270" t="str">
        <f t="shared" si="66"/>
        <v/>
      </c>
      <c r="AQ109" s="270">
        <f t="shared" si="117"/>
        <v>0</v>
      </c>
      <c r="AR109" s="316">
        <f>MIN(IFERROR(VLOOKUP($C109,'SDDA Dogs'!$A:$O,10,FALSE),0),IFERROR(VLOOKUP($C109,'SDDA Dogs'!$A:$O,11,FALSE),0),IFERROR(VLOOKUP($C109,'SDDA Dogs'!$A:$O,12,FALSE),0))</f>
        <v>0</v>
      </c>
      <c r="AS109" s="272"/>
      <c r="AT109" s="272"/>
      <c r="AU109" s="272" t="str">
        <f>IF(ISERROR(VLOOKUP(C109,'SDDA Dogs'!A:O,6,FALSE)),"",VLOOKUP(C109,'SDDA Dogs'!A:O,6,FALSE))</f>
        <v/>
      </c>
      <c r="AV109" s="270">
        <f t="shared" si="67"/>
        <v>0</v>
      </c>
      <c r="AW109" s="270">
        <f t="shared" si="68"/>
        <v>0</v>
      </c>
      <c r="AX109" s="273">
        <f t="shared" si="69"/>
        <v>0</v>
      </c>
      <c r="AY109" s="274"/>
      <c r="AZ109" s="275">
        <f t="shared" si="118"/>
        <v>0</v>
      </c>
      <c r="BA109" s="275">
        <f t="shared" si="119"/>
        <v>0</v>
      </c>
      <c r="BB109" s="276"/>
      <c r="BC109" s="274">
        <f>_xlfn.IFNA(IF(I109="Pass",IF(AND(G109&gt;=IFERROR(INDEX($C$5:$W$54,MATCH(C109,$C$5:$C$54,0),5),0),G109&gt;=IFERROR(INDEX(DogInfo!A:B,MATCH(C109&amp;$BC$4,DogInfo!A:A,0),2),0)),G109,IF(AND(IFERROR(INDEX($C$5:$W$54,MATCH(C109,$C$5:$C$54,0),5),0)&gt;=G109,IFERROR(INDEX($C$5:$W$54,MATCH(C109,$C$5:$C$54,0),5),0)&gt;=IFERROR(INDEX(DogInfo!A:B,MATCH(C109&amp;$BC$4,DogInfo!A:A,0),2),0)),IFERROR(INDEX($C$5:$W$54,MATCH(C109,$C$5:$C$54,0),5),0),IF(AND(IFERROR(INDEX(DogInfo!A:B,MATCH(C109&amp;$BC$4,DogInfo!A:A,0),2),0)&gt;=IFERROR(INDEX($C$5:$W$54,MATCH(C109,$C$5:$C$54,0),5),0),IFERROR(INDEX(DogInfo!A:B,MATCH(C109&amp;$BC$4,DogInfo!A:A,0),2),0)&gt;=G109),IFERROR(INDEX(DogInfo!A:B,MATCH(C109&amp;$BC$4,DogInfo!A:A,0),2),0),"Error"))),IFERROR(INDEX($C$5:$BE$54,MATCH(C109,$C$5:$C$54,0),53),IFERROR(INDEX(DogInfo!A:B,MATCH(C109&amp;$BC$4,DogInfo!A:A,0),2),0))),"")</f>
        <v>0</v>
      </c>
      <c r="BD109" s="274">
        <f>_xlfn.IFNA(IF(Q109="Pass",IF(AND(O109&gt;=IFERROR(INDEX($C$5:$W$54,MATCH(C109,$C$5:$C$54,0),13),0),O109&gt;=IFERROR(INDEX(DogInfo!A:B,MATCH(C109&amp;$BD$4,DogInfo!A:A,0),2),0)),O109,IF(AND(IFERROR(INDEX($C$5:$W$54,MATCH(C109,$C$5:$C$54,0),13),0)&gt;=O109,IFERROR(INDEX($C$5:$W$54,MATCH(C109,$C$5:$C$54,0),13),0)&gt;=IFERROR(INDEX(DogInfo!A:B,MATCH(C109&amp;$BD$4,DogInfo!A:A,0),2),0)),IFERROR(INDEX($C$5:$W$54,MATCH(C109,$C$5:$C$54,0),13),0),IF(AND(IFERROR(INDEX(DogInfo!A:B,MATCH(C109&amp;$BD$4,DogInfo!A:A,0),2),0)&gt;=IFERROR(INDEX($C$5:$W$54,MATCH(C109,$C$5:$C$54,0),13),0),IFERROR(INDEX(DogInfo!A:B,MATCH(C109&amp;$BD$4,DogInfo!A:A,0),2),0)&gt;=O109),IFERROR(INDEX(DogInfo!A:B,MATCH(C109&amp;$BD$4,DogInfo!A:A,0),2),0),"Error"))),IFERROR(INDEX($C$5:$BE$54,MATCH(C109,$C$5:$C$54,0),54),IFERROR(INDEX(DogInfo!A:B,MATCH(C109&amp;$BD$4,DogInfo!A:A,0),2),0))),"")</f>
        <v>0</v>
      </c>
      <c r="BE109" s="274">
        <f>_xlfn.IFNA(IF(Y109="Pass",IF(AND(W109&gt;=IFERROR(INDEX($C$5:$W$54,MATCH(C109,$C$5:$C$54,0),21),0),O109&gt;=IFERROR(INDEX(DogInfo!A:B,MATCH(C109&amp;$BE$4,DogInfo!A:A,0),2),0)),W109,IF(AND(IFERROR(INDEX($C$5:$W$54,MATCH(C109,$C$5:$C$54,0),21),0)&gt;=W109,IFERROR(INDEX($C$5:$W$54,MATCH(C109,$C$5:$C$54,0),21),0)&gt;=IFERROR(INDEX(DogInfo!A:B,MATCH(C109&amp;$BE$4,DogInfo!A:A,0),2),0)),IFERROR(INDEX($C$5:$W$54,MATCH(C109,$C$5:$C$54,0),21),0),IF(AND(IFERROR(INDEX(DogInfo!A:B,MATCH(C109&amp;$BE$4,DogInfo!A:A,0),2),0)&gt;=IFERROR(INDEX($C$5:$W$54,MATCH(C109,$C$5:$C$54,0),21),0),IFERROR(INDEX(DogInfo!A:B,MATCH(C109&amp;$BE$4,DogInfo!A:A,0),2),0)&gt;=W109),IFERROR(INDEX(DogInfo!A:B,MATCH(C109&amp;$BE$4,DogInfo!A:A,0),2),0),"Error"))),IFERROR(INDEX($C$5:$BE$54,MATCH(C109,$C$5:$C$54,0),55),IFERROR(INDEX(DogInfo!A:B,MATCH(C109&amp;$BE$4,DogInfo!A:A,0),2),0))),"")</f>
        <v>0</v>
      </c>
    </row>
    <row r="110" spans="1:57" x14ac:dyDescent="0.25">
      <c r="A110" s="99">
        <v>46</v>
      </c>
      <c r="B110" s="100"/>
      <c r="C110" s="101"/>
      <c r="D110" s="102" t="str">
        <f>IF($C110="","",VLOOKUP($C110,'SDDA Dogs'!$A:$F,2,FALSE))</f>
        <v/>
      </c>
      <c r="E110" s="211">
        <f t="shared" si="99"/>
        <v>1</v>
      </c>
      <c r="F110" s="103" t="str">
        <f>IF($C110="","",IF(ISERROR(VLOOKUP($C110,$C$5:$AP$54,38,FALSE)=TRUE),VLOOKUP($C110,'SDDA Dogs'!$A:$O,13,FALSE),VLOOKUP($C110,$C$5:$AP$54,38,FALSE)))</f>
        <v/>
      </c>
      <c r="G110" s="137"/>
      <c r="H110" s="217"/>
      <c r="I110" s="84" t="str">
        <f t="shared" si="100"/>
        <v/>
      </c>
      <c r="J110" s="105">
        <f t="shared" si="57"/>
        <v>0</v>
      </c>
      <c r="K110" s="84" t="str">
        <f t="shared" si="101"/>
        <v/>
      </c>
      <c r="L110" s="105">
        <f t="shared" si="58"/>
        <v>0</v>
      </c>
      <c r="M110" s="84" t="str">
        <f t="shared" si="102"/>
        <v/>
      </c>
      <c r="N110" s="106" t="str">
        <f>IF($C110="","",IF(ISERROR(VLOOKUP($C110,$C$5:$AP$54,39,FALSE)=TRUE),VLOOKUP($C110,'SDDA Dogs'!$A:$O,14,FALSE),VLOOKUP($C110,$C$5:$AP$54,39,FALSE)))</f>
        <v/>
      </c>
      <c r="O110" s="137"/>
      <c r="P110" s="217"/>
      <c r="Q110" s="84" t="str">
        <f t="shared" si="103"/>
        <v/>
      </c>
      <c r="R110" s="105">
        <f t="shared" si="59"/>
        <v>0</v>
      </c>
      <c r="S110" s="84" t="str">
        <f t="shared" si="104"/>
        <v/>
      </c>
      <c r="T110" s="105">
        <f t="shared" si="60"/>
        <v>0</v>
      </c>
      <c r="U110" s="84" t="str">
        <f t="shared" si="105"/>
        <v/>
      </c>
      <c r="V110" s="106" t="str">
        <f>IF($C110="","",IF(ISERROR(VLOOKUP($C110,$C$5:$AP$54,40,FALSE)=TRUE),VLOOKUP($C110,'SDDA Dogs'!$A:$O,15,FALSE),VLOOKUP($C110,$C$5:$AP$54,40,FALSE)))</f>
        <v/>
      </c>
      <c r="W110" s="137"/>
      <c r="X110" s="217"/>
      <c r="Y110" s="84" t="str">
        <f t="shared" si="106"/>
        <v/>
      </c>
      <c r="Z110" s="105">
        <f t="shared" si="61"/>
        <v>0</v>
      </c>
      <c r="AA110" s="84" t="str">
        <f t="shared" si="107"/>
        <v/>
      </c>
      <c r="AB110" s="105">
        <f t="shared" si="62"/>
        <v>0</v>
      </c>
      <c r="AC110" s="84" t="str">
        <f t="shared" si="108"/>
        <v/>
      </c>
      <c r="AD110" s="92" t="str">
        <f t="shared" si="82"/>
        <v/>
      </c>
      <c r="AE110" s="89" t="str">
        <f t="shared" si="109"/>
        <v/>
      </c>
      <c r="AF110" s="104" t="str">
        <f t="shared" si="110"/>
        <v/>
      </c>
      <c r="AG110" s="107" t="str">
        <f t="shared" si="111"/>
        <v/>
      </c>
      <c r="AH110" s="92" t="str">
        <f t="shared" si="112"/>
        <v/>
      </c>
      <c r="AI110" s="89" t="str">
        <f t="shared" si="113"/>
        <v/>
      </c>
      <c r="AJ110" s="104" t="str">
        <f t="shared" si="114"/>
        <v/>
      </c>
      <c r="AK110" s="84" t="str">
        <f t="shared" si="115"/>
        <v/>
      </c>
      <c r="AL110" s="265" t="str">
        <f t="shared" si="116"/>
        <v/>
      </c>
      <c r="AM110" s="270">
        <f t="shared" si="63"/>
        <v>0</v>
      </c>
      <c r="AN110" s="270" t="str">
        <f t="shared" si="64"/>
        <v/>
      </c>
      <c r="AO110" s="270" t="str">
        <f t="shared" si="65"/>
        <v/>
      </c>
      <c r="AP110" s="270" t="str">
        <f t="shared" si="66"/>
        <v/>
      </c>
      <c r="AQ110" s="270">
        <f t="shared" si="117"/>
        <v>0</v>
      </c>
      <c r="AR110" s="316">
        <f>MIN(IFERROR(VLOOKUP($C110,'SDDA Dogs'!$A:$O,10,FALSE),0),IFERROR(VLOOKUP($C110,'SDDA Dogs'!$A:$O,11,FALSE),0),IFERROR(VLOOKUP($C110,'SDDA Dogs'!$A:$O,12,FALSE),0))</f>
        <v>0</v>
      </c>
      <c r="AS110" s="272"/>
      <c r="AT110" s="272"/>
      <c r="AU110" s="272" t="str">
        <f>IF(ISERROR(VLOOKUP(C110,'SDDA Dogs'!A:O,6,FALSE)),"",VLOOKUP(C110,'SDDA Dogs'!A:O,6,FALSE))</f>
        <v/>
      </c>
      <c r="AV110" s="270">
        <f t="shared" si="67"/>
        <v>0</v>
      </c>
      <c r="AW110" s="270">
        <f t="shared" si="68"/>
        <v>0</v>
      </c>
      <c r="AX110" s="273">
        <f t="shared" si="69"/>
        <v>0</v>
      </c>
      <c r="AY110" s="274"/>
      <c r="AZ110" s="275">
        <f t="shared" si="118"/>
        <v>0</v>
      </c>
      <c r="BA110" s="275">
        <f t="shared" si="119"/>
        <v>0</v>
      </c>
      <c r="BB110" s="276"/>
      <c r="BC110" s="274">
        <f>_xlfn.IFNA(IF(I110="Pass",IF(AND(G110&gt;=IFERROR(INDEX($C$5:$W$54,MATCH(C110,$C$5:$C$54,0),5),0),G110&gt;=IFERROR(INDEX(DogInfo!A:B,MATCH(C110&amp;$BC$4,DogInfo!A:A,0),2),0)),G110,IF(AND(IFERROR(INDEX($C$5:$W$54,MATCH(C110,$C$5:$C$54,0),5),0)&gt;=G110,IFERROR(INDEX($C$5:$W$54,MATCH(C110,$C$5:$C$54,0),5),0)&gt;=IFERROR(INDEX(DogInfo!A:B,MATCH(C110&amp;$BC$4,DogInfo!A:A,0),2),0)),IFERROR(INDEX($C$5:$W$54,MATCH(C110,$C$5:$C$54,0),5),0),IF(AND(IFERROR(INDEX(DogInfo!A:B,MATCH(C110&amp;$BC$4,DogInfo!A:A,0),2),0)&gt;=IFERROR(INDEX($C$5:$W$54,MATCH(C110,$C$5:$C$54,0),5),0),IFERROR(INDEX(DogInfo!A:B,MATCH(C110&amp;$BC$4,DogInfo!A:A,0),2),0)&gt;=G110),IFERROR(INDEX(DogInfo!A:B,MATCH(C110&amp;$BC$4,DogInfo!A:A,0),2),0),"Error"))),IFERROR(INDEX($C$5:$BE$54,MATCH(C110,$C$5:$C$54,0),53),IFERROR(INDEX(DogInfo!A:B,MATCH(C110&amp;$BC$4,DogInfo!A:A,0),2),0))),"")</f>
        <v>0</v>
      </c>
      <c r="BD110" s="274">
        <f>_xlfn.IFNA(IF(Q110="Pass",IF(AND(O110&gt;=IFERROR(INDEX($C$5:$W$54,MATCH(C110,$C$5:$C$54,0),13),0),O110&gt;=IFERROR(INDEX(DogInfo!A:B,MATCH(C110&amp;$BD$4,DogInfo!A:A,0),2),0)),O110,IF(AND(IFERROR(INDEX($C$5:$W$54,MATCH(C110,$C$5:$C$54,0),13),0)&gt;=O110,IFERROR(INDEX($C$5:$W$54,MATCH(C110,$C$5:$C$54,0),13),0)&gt;=IFERROR(INDEX(DogInfo!A:B,MATCH(C110&amp;$BD$4,DogInfo!A:A,0),2),0)),IFERROR(INDEX($C$5:$W$54,MATCH(C110,$C$5:$C$54,0),13),0),IF(AND(IFERROR(INDEX(DogInfo!A:B,MATCH(C110&amp;$BD$4,DogInfo!A:A,0),2),0)&gt;=IFERROR(INDEX($C$5:$W$54,MATCH(C110,$C$5:$C$54,0),13),0),IFERROR(INDEX(DogInfo!A:B,MATCH(C110&amp;$BD$4,DogInfo!A:A,0),2),0)&gt;=O110),IFERROR(INDEX(DogInfo!A:B,MATCH(C110&amp;$BD$4,DogInfo!A:A,0),2),0),"Error"))),IFERROR(INDEX($C$5:$BE$54,MATCH(C110,$C$5:$C$54,0),54),IFERROR(INDEX(DogInfo!A:B,MATCH(C110&amp;$BD$4,DogInfo!A:A,0),2),0))),"")</f>
        <v>0</v>
      </c>
      <c r="BE110" s="274">
        <f>_xlfn.IFNA(IF(Y110="Pass",IF(AND(W110&gt;=IFERROR(INDEX($C$5:$W$54,MATCH(C110,$C$5:$C$54,0),21),0),O110&gt;=IFERROR(INDEX(DogInfo!A:B,MATCH(C110&amp;$BE$4,DogInfo!A:A,0),2),0)),W110,IF(AND(IFERROR(INDEX($C$5:$W$54,MATCH(C110,$C$5:$C$54,0),21),0)&gt;=W110,IFERROR(INDEX($C$5:$W$54,MATCH(C110,$C$5:$C$54,0),21),0)&gt;=IFERROR(INDEX(DogInfo!A:B,MATCH(C110&amp;$BE$4,DogInfo!A:A,0),2),0)),IFERROR(INDEX($C$5:$W$54,MATCH(C110,$C$5:$C$54,0),21),0),IF(AND(IFERROR(INDEX(DogInfo!A:B,MATCH(C110&amp;$BE$4,DogInfo!A:A,0),2),0)&gt;=IFERROR(INDEX($C$5:$W$54,MATCH(C110,$C$5:$C$54,0),21),0),IFERROR(INDEX(DogInfo!A:B,MATCH(C110&amp;$BE$4,DogInfo!A:A,0),2),0)&gt;=W110),IFERROR(INDEX(DogInfo!A:B,MATCH(C110&amp;$BE$4,DogInfo!A:A,0),2),0),"Error"))),IFERROR(INDEX($C$5:$BE$54,MATCH(C110,$C$5:$C$54,0),55),IFERROR(INDEX(DogInfo!A:B,MATCH(C110&amp;$BE$4,DogInfo!A:A,0),2),0))),"")</f>
        <v>0</v>
      </c>
    </row>
    <row r="111" spans="1:57" x14ac:dyDescent="0.25">
      <c r="A111" s="99">
        <v>47</v>
      </c>
      <c r="B111" s="100"/>
      <c r="C111" s="101"/>
      <c r="D111" s="102" t="str">
        <f>IF($C111="","",VLOOKUP($C111,'SDDA Dogs'!$A:$F,2,FALSE))</f>
        <v/>
      </c>
      <c r="E111" s="211">
        <f t="shared" si="99"/>
        <v>1</v>
      </c>
      <c r="F111" s="103" t="str">
        <f>IF($C111="","",IF(ISERROR(VLOOKUP($C111,$C$5:$AP$54,38,FALSE)=TRUE),VLOOKUP($C111,'SDDA Dogs'!$A:$O,13,FALSE),VLOOKUP($C111,$C$5:$AP$54,38,FALSE)))</f>
        <v/>
      </c>
      <c r="G111" s="137"/>
      <c r="H111" s="217"/>
      <c r="I111" s="84" t="str">
        <f t="shared" si="100"/>
        <v/>
      </c>
      <c r="J111" s="105">
        <f t="shared" si="57"/>
        <v>0</v>
      </c>
      <c r="K111" s="84" t="str">
        <f t="shared" si="101"/>
        <v/>
      </c>
      <c r="L111" s="105">
        <f t="shared" si="58"/>
        <v>0</v>
      </c>
      <c r="M111" s="84" t="str">
        <f t="shared" si="102"/>
        <v/>
      </c>
      <c r="N111" s="106" t="str">
        <f>IF($C111="","",IF(ISERROR(VLOOKUP($C111,$C$5:$AP$54,39,FALSE)=TRUE),VLOOKUP($C111,'SDDA Dogs'!$A:$O,14,FALSE),VLOOKUP($C111,$C$5:$AP$54,39,FALSE)))</f>
        <v/>
      </c>
      <c r="O111" s="137"/>
      <c r="P111" s="217"/>
      <c r="Q111" s="84" t="str">
        <f t="shared" si="103"/>
        <v/>
      </c>
      <c r="R111" s="105">
        <f t="shared" si="59"/>
        <v>0</v>
      </c>
      <c r="S111" s="84" t="str">
        <f t="shared" si="104"/>
        <v/>
      </c>
      <c r="T111" s="105">
        <f t="shared" si="60"/>
        <v>0</v>
      </c>
      <c r="U111" s="84" t="str">
        <f t="shared" si="105"/>
        <v/>
      </c>
      <c r="V111" s="106" t="str">
        <f>IF($C111="","",IF(ISERROR(VLOOKUP($C111,$C$5:$AP$54,40,FALSE)=TRUE),VLOOKUP($C111,'SDDA Dogs'!$A:$O,15,FALSE),VLOOKUP($C111,$C$5:$AP$54,40,FALSE)))</f>
        <v/>
      </c>
      <c r="W111" s="137"/>
      <c r="X111" s="217"/>
      <c r="Y111" s="84" t="str">
        <f t="shared" si="106"/>
        <v/>
      </c>
      <c r="Z111" s="105">
        <f t="shared" si="61"/>
        <v>0</v>
      </c>
      <c r="AA111" s="84" t="str">
        <f t="shared" si="107"/>
        <v/>
      </c>
      <c r="AB111" s="105">
        <f t="shared" si="62"/>
        <v>0</v>
      </c>
      <c r="AC111" s="84" t="str">
        <f t="shared" si="108"/>
        <v/>
      </c>
      <c r="AD111" s="92" t="str">
        <f t="shared" si="82"/>
        <v/>
      </c>
      <c r="AE111" s="89" t="str">
        <f t="shared" si="109"/>
        <v/>
      </c>
      <c r="AF111" s="104" t="str">
        <f t="shared" si="110"/>
        <v/>
      </c>
      <c r="AG111" s="107" t="str">
        <f t="shared" si="111"/>
        <v/>
      </c>
      <c r="AH111" s="92" t="str">
        <f t="shared" si="112"/>
        <v/>
      </c>
      <c r="AI111" s="89" t="str">
        <f t="shared" si="113"/>
        <v/>
      </c>
      <c r="AJ111" s="104" t="str">
        <f t="shared" si="114"/>
        <v/>
      </c>
      <c r="AK111" s="84" t="str">
        <f t="shared" si="115"/>
        <v/>
      </c>
      <c r="AL111" s="265" t="str">
        <f t="shared" si="116"/>
        <v/>
      </c>
      <c r="AM111" s="270">
        <f t="shared" si="63"/>
        <v>0</v>
      </c>
      <c r="AN111" s="270" t="str">
        <f t="shared" si="64"/>
        <v/>
      </c>
      <c r="AO111" s="270" t="str">
        <f t="shared" si="65"/>
        <v/>
      </c>
      <c r="AP111" s="270" t="str">
        <f t="shared" si="66"/>
        <v/>
      </c>
      <c r="AQ111" s="270">
        <f t="shared" si="117"/>
        <v>0</v>
      </c>
      <c r="AR111" s="316">
        <f>MIN(IFERROR(VLOOKUP($C111,'SDDA Dogs'!$A:$O,10,FALSE),0),IFERROR(VLOOKUP($C111,'SDDA Dogs'!$A:$O,11,FALSE),0),IFERROR(VLOOKUP($C111,'SDDA Dogs'!$A:$O,12,FALSE),0))</f>
        <v>0</v>
      </c>
      <c r="AS111" s="272"/>
      <c r="AT111" s="272"/>
      <c r="AU111" s="272" t="str">
        <f>IF(ISERROR(VLOOKUP(C111,'SDDA Dogs'!A:O,6,FALSE)),"",VLOOKUP(C111,'SDDA Dogs'!A:O,6,FALSE))</f>
        <v/>
      </c>
      <c r="AV111" s="270">
        <f t="shared" si="67"/>
        <v>0</v>
      </c>
      <c r="AW111" s="270">
        <f t="shared" si="68"/>
        <v>0</v>
      </c>
      <c r="AX111" s="273">
        <f t="shared" si="69"/>
        <v>0</v>
      </c>
      <c r="AY111" s="274"/>
      <c r="AZ111" s="275">
        <f t="shared" si="118"/>
        <v>0</v>
      </c>
      <c r="BA111" s="275">
        <f t="shared" si="119"/>
        <v>0</v>
      </c>
      <c r="BB111" s="276"/>
      <c r="BC111" s="274">
        <f>_xlfn.IFNA(IF(I111="Pass",IF(AND(G111&gt;=IFERROR(INDEX($C$5:$W$54,MATCH(C111,$C$5:$C$54,0),5),0),G111&gt;=IFERROR(INDEX(DogInfo!A:B,MATCH(C111&amp;$BC$4,DogInfo!A:A,0),2),0)),G111,IF(AND(IFERROR(INDEX($C$5:$W$54,MATCH(C111,$C$5:$C$54,0),5),0)&gt;=G111,IFERROR(INDEX($C$5:$W$54,MATCH(C111,$C$5:$C$54,0),5),0)&gt;=IFERROR(INDEX(DogInfo!A:B,MATCH(C111&amp;$BC$4,DogInfo!A:A,0),2),0)),IFERROR(INDEX($C$5:$W$54,MATCH(C111,$C$5:$C$54,0),5),0),IF(AND(IFERROR(INDEX(DogInfo!A:B,MATCH(C111&amp;$BC$4,DogInfo!A:A,0),2),0)&gt;=IFERROR(INDEX($C$5:$W$54,MATCH(C111,$C$5:$C$54,0),5),0),IFERROR(INDEX(DogInfo!A:B,MATCH(C111&amp;$BC$4,DogInfo!A:A,0),2),0)&gt;=G111),IFERROR(INDEX(DogInfo!A:B,MATCH(C111&amp;$BC$4,DogInfo!A:A,0),2),0),"Error"))),IFERROR(INDEX($C$5:$BE$54,MATCH(C111,$C$5:$C$54,0),53),IFERROR(INDEX(DogInfo!A:B,MATCH(C111&amp;$BC$4,DogInfo!A:A,0),2),0))),"")</f>
        <v>0</v>
      </c>
      <c r="BD111" s="274">
        <f>_xlfn.IFNA(IF(Q111="Pass",IF(AND(O111&gt;=IFERROR(INDEX($C$5:$W$54,MATCH(C111,$C$5:$C$54,0),13),0),O111&gt;=IFERROR(INDEX(DogInfo!A:B,MATCH(C111&amp;$BD$4,DogInfo!A:A,0),2),0)),O111,IF(AND(IFERROR(INDEX($C$5:$W$54,MATCH(C111,$C$5:$C$54,0),13),0)&gt;=O111,IFERROR(INDEX($C$5:$W$54,MATCH(C111,$C$5:$C$54,0),13),0)&gt;=IFERROR(INDEX(DogInfo!A:B,MATCH(C111&amp;$BD$4,DogInfo!A:A,0),2),0)),IFERROR(INDEX($C$5:$W$54,MATCH(C111,$C$5:$C$54,0),13),0),IF(AND(IFERROR(INDEX(DogInfo!A:B,MATCH(C111&amp;$BD$4,DogInfo!A:A,0),2),0)&gt;=IFERROR(INDEX($C$5:$W$54,MATCH(C111,$C$5:$C$54,0),13),0),IFERROR(INDEX(DogInfo!A:B,MATCH(C111&amp;$BD$4,DogInfo!A:A,0),2),0)&gt;=O111),IFERROR(INDEX(DogInfo!A:B,MATCH(C111&amp;$BD$4,DogInfo!A:A,0),2),0),"Error"))),IFERROR(INDEX($C$5:$BE$54,MATCH(C111,$C$5:$C$54,0),54),IFERROR(INDEX(DogInfo!A:B,MATCH(C111&amp;$BD$4,DogInfo!A:A,0),2),0))),"")</f>
        <v>0</v>
      </c>
      <c r="BE111" s="274">
        <f>_xlfn.IFNA(IF(Y111="Pass",IF(AND(W111&gt;=IFERROR(INDEX($C$5:$W$54,MATCH(C111,$C$5:$C$54,0),21),0),O111&gt;=IFERROR(INDEX(DogInfo!A:B,MATCH(C111&amp;$BE$4,DogInfo!A:A,0),2),0)),W111,IF(AND(IFERROR(INDEX($C$5:$W$54,MATCH(C111,$C$5:$C$54,0),21),0)&gt;=W111,IFERROR(INDEX($C$5:$W$54,MATCH(C111,$C$5:$C$54,0),21),0)&gt;=IFERROR(INDEX(DogInfo!A:B,MATCH(C111&amp;$BE$4,DogInfo!A:A,0),2),0)),IFERROR(INDEX($C$5:$W$54,MATCH(C111,$C$5:$C$54,0),21),0),IF(AND(IFERROR(INDEX(DogInfo!A:B,MATCH(C111&amp;$BE$4,DogInfo!A:A,0),2),0)&gt;=IFERROR(INDEX($C$5:$W$54,MATCH(C111,$C$5:$C$54,0),21),0),IFERROR(INDEX(DogInfo!A:B,MATCH(C111&amp;$BE$4,DogInfo!A:A,0),2),0)&gt;=W111),IFERROR(INDEX(DogInfo!A:B,MATCH(C111&amp;$BE$4,DogInfo!A:A,0),2),0),"Error"))),IFERROR(INDEX($C$5:$BE$54,MATCH(C111,$C$5:$C$54,0),55),IFERROR(INDEX(DogInfo!A:B,MATCH(C111&amp;$BE$4,DogInfo!A:A,0),2),0))),"")</f>
        <v>0</v>
      </c>
    </row>
    <row r="112" spans="1:57" x14ac:dyDescent="0.25">
      <c r="A112" s="99">
        <v>48</v>
      </c>
      <c r="B112" s="100"/>
      <c r="C112" s="101"/>
      <c r="D112" s="102" t="str">
        <f>IF($C112="","",VLOOKUP($C112,'SDDA Dogs'!$A:$F,2,FALSE))</f>
        <v/>
      </c>
      <c r="E112" s="211">
        <f t="shared" si="99"/>
        <v>1</v>
      </c>
      <c r="F112" s="103" t="str">
        <f>IF($C112="","",IF(ISERROR(VLOOKUP($C112,$C$5:$AP$54,38,FALSE)=TRUE),VLOOKUP($C112,'SDDA Dogs'!$A:$O,13,FALSE),VLOOKUP($C112,$C$5:$AP$54,38,FALSE)))</f>
        <v/>
      </c>
      <c r="G112" s="137"/>
      <c r="H112" s="217"/>
      <c r="I112" s="84" t="str">
        <f t="shared" si="100"/>
        <v/>
      </c>
      <c r="J112" s="105">
        <f t="shared" si="57"/>
        <v>0</v>
      </c>
      <c r="K112" s="84" t="str">
        <f t="shared" si="101"/>
        <v/>
      </c>
      <c r="L112" s="105">
        <f t="shared" si="58"/>
        <v>0</v>
      </c>
      <c r="M112" s="84" t="str">
        <f t="shared" si="102"/>
        <v/>
      </c>
      <c r="N112" s="106" t="str">
        <f>IF($C112="","",IF(ISERROR(VLOOKUP($C112,$C$5:$AP$54,39,FALSE)=TRUE),VLOOKUP($C112,'SDDA Dogs'!$A:$O,14,FALSE),VLOOKUP($C112,$C$5:$AP$54,39,FALSE)))</f>
        <v/>
      </c>
      <c r="O112" s="137"/>
      <c r="P112" s="217"/>
      <c r="Q112" s="84" t="str">
        <f t="shared" si="103"/>
        <v/>
      </c>
      <c r="R112" s="105">
        <f t="shared" si="59"/>
        <v>0</v>
      </c>
      <c r="S112" s="84" t="str">
        <f t="shared" si="104"/>
        <v/>
      </c>
      <c r="T112" s="105">
        <f t="shared" si="60"/>
        <v>0</v>
      </c>
      <c r="U112" s="84" t="str">
        <f t="shared" si="105"/>
        <v/>
      </c>
      <c r="V112" s="106" t="str">
        <f>IF($C112="","",IF(ISERROR(VLOOKUP($C112,$C$5:$AP$54,40,FALSE)=TRUE),VLOOKUP($C112,'SDDA Dogs'!$A:$O,15,FALSE),VLOOKUP($C112,$C$5:$AP$54,40,FALSE)))</f>
        <v/>
      </c>
      <c r="W112" s="137"/>
      <c r="X112" s="217"/>
      <c r="Y112" s="84" t="str">
        <f t="shared" si="106"/>
        <v/>
      </c>
      <c r="Z112" s="105">
        <f t="shared" si="61"/>
        <v>0</v>
      </c>
      <c r="AA112" s="84" t="str">
        <f t="shared" si="107"/>
        <v/>
      </c>
      <c r="AB112" s="105">
        <f t="shared" si="62"/>
        <v>0</v>
      </c>
      <c r="AC112" s="84" t="str">
        <f t="shared" si="108"/>
        <v/>
      </c>
      <c r="AD112" s="92" t="str">
        <f t="shared" si="82"/>
        <v/>
      </c>
      <c r="AE112" s="89" t="str">
        <f t="shared" si="109"/>
        <v/>
      </c>
      <c r="AF112" s="104" t="str">
        <f t="shared" si="110"/>
        <v/>
      </c>
      <c r="AG112" s="107" t="str">
        <f t="shared" si="111"/>
        <v/>
      </c>
      <c r="AH112" s="92" t="str">
        <f t="shared" si="112"/>
        <v/>
      </c>
      <c r="AI112" s="89" t="str">
        <f t="shared" si="113"/>
        <v/>
      </c>
      <c r="AJ112" s="104" t="str">
        <f t="shared" si="114"/>
        <v/>
      </c>
      <c r="AK112" s="84" t="str">
        <f t="shared" si="115"/>
        <v/>
      </c>
      <c r="AL112" s="265" t="str">
        <f t="shared" si="116"/>
        <v/>
      </c>
      <c r="AM112" s="270">
        <f t="shared" si="63"/>
        <v>0</v>
      </c>
      <c r="AN112" s="270" t="str">
        <f t="shared" si="64"/>
        <v/>
      </c>
      <c r="AO112" s="270" t="str">
        <f t="shared" si="65"/>
        <v/>
      </c>
      <c r="AP112" s="270" t="str">
        <f t="shared" si="66"/>
        <v/>
      </c>
      <c r="AQ112" s="270">
        <f t="shared" si="117"/>
        <v>0</v>
      </c>
      <c r="AR112" s="316">
        <f>MIN(IFERROR(VLOOKUP($C112,'SDDA Dogs'!$A:$O,10,FALSE),0),IFERROR(VLOOKUP($C112,'SDDA Dogs'!$A:$O,11,FALSE),0),IFERROR(VLOOKUP($C112,'SDDA Dogs'!$A:$O,12,FALSE),0))</f>
        <v>0</v>
      </c>
      <c r="AS112" s="272"/>
      <c r="AT112" s="272"/>
      <c r="AU112" s="272" t="str">
        <f>IF(ISERROR(VLOOKUP(C112,'SDDA Dogs'!A:O,6,FALSE)),"",VLOOKUP(C112,'SDDA Dogs'!A:O,6,FALSE))</f>
        <v/>
      </c>
      <c r="AV112" s="270">
        <f t="shared" si="67"/>
        <v>0</v>
      </c>
      <c r="AW112" s="270">
        <f t="shared" si="68"/>
        <v>0</v>
      </c>
      <c r="AX112" s="273">
        <f t="shared" si="69"/>
        <v>0</v>
      </c>
      <c r="AY112" s="274"/>
      <c r="AZ112" s="275">
        <f t="shared" si="118"/>
        <v>0</v>
      </c>
      <c r="BA112" s="275">
        <f t="shared" si="119"/>
        <v>0</v>
      </c>
      <c r="BB112" s="276"/>
      <c r="BC112" s="274">
        <f>_xlfn.IFNA(IF(I112="Pass",IF(AND(G112&gt;=IFERROR(INDEX($C$5:$W$54,MATCH(C112,$C$5:$C$54,0),5),0),G112&gt;=IFERROR(INDEX(DogInfo!A:B,MATCH(C112&amp;$BC$4,DogInfo!A:A,0),2),0)),G112,IF(AND(IFERROR(INDEX($C$5:$W$54,MATCH(C112,$C$5:$C$54,0),5),0)&gt;=G112,IFERROR(INDEX($C$5:$W$54,MATCH(C112,$C$5:$C$54,0),5),0)&gt;=IFERROR(INDEX(DogInfo!A:B,MATCH(C112&amp;$BC$4,DogInfo!A:A,0),2),0)),IFERROR(INDEX($C$5:$W$54,MATCH(C112,$C$5:$C$54,0),5),0),IF(AND(IFERROR(INDEX(DogInfo!A:B,MATCH(C112&amp;$BC$4,DogInfo!A:A,0),2),0)&gt;=IFERROR(INDEX($C$5:$W$54,MATCH(C112,$C$5:$C$54,0),5),0),IFERROR(INDEX(DogInfo!A:B,MATCH(C112&amp;$BC$4,DogInfo!A:A,0),2),0)&gt;=G112),IFERROR(INDEX(DogInfo!A:B,MATCH(C112&amp;$BC$4,DogInfo!A:A,0),2),0),"Error"))),IFERROR(INDEX($C$5:$BE$54,MATCH(C112,$C$5:$C$54,0),53),IFERROR(INDEX(DogInfo!A:B,MATCH(C112&amp;$BC$4,DogInfo!A:A,0),2),0))),"")</f>
        <v>0</v>
      </c>
      <c r="BD112" s="274">
        <f>_xlfn.IFNA(IF(Q112="Pass",IF(AND(O112&gt;=IFERROR(INDEX($C$5:$W$54,MATCH(C112,$C$5:$C$54,0),13),0),O112&gt;=IFERROR(INDEX(DogInfo!A:B,MATCH(C112&amp;$BD$4,DogInfo!A:A,0),2),0)),O112,IF(AND(IFERROR(INDEX($C$5:$W$54,MATCH(C112,$C$5:$C$54,0),13),0)&gt;=O112,IFERROR(INDEX($C$5:$W$54,MATCH(C112,$C$5:$C$54,0),13),0)&gt;=IFERROR(INDEX(DogInfo!A:B,MATCH(C112&amp;$BD$4,DogInfo!A:A,0),2),0)),IFERROR(INDEX($C$5:$W$54,MATCH(C112,$C$5:$C$54,0),13),0),IF(AND(IFERROR(INDEX(DogInfo!A:B,MATCH(C112&amp;$BD$4,DogInfo!A:A,0),2),0)&gt;=IFERROR(INDEX($C$5:$W$54,MATCH(C112,$C$5:$C$54,0),13),0),IFERROR(INDEX(DogInfo!A:B,MATCH(C112&amp;$BD$4,DogInfo!A:A,0),2),0)&gt;=O112),IFERROR(INDEX(DogInfo!A:B,MATCH(C112&amp;$BD$4,DogInfo!A:A,0),2),0),"Error"))),IFERROR(INDEX($C$5:$BE$54,MATCH(C112,$C$5:$C$54,0),54),IFERROR(INDEX(DogInfo!A:B,MATCH(C112&amp;$BD$4,DogInfo!A:A,0),2),0))),"")</f>
        <v>0</v>
      </c>
      <c r="BE112" s="274">
        <f>_xlfn.IFNA(IF(Y112="Pass",IF(AND(W112&gt;=IFERROR(INDEX($C$5:$W$54,MATCH(C112,$C$5:$C$54,0),21),0),O112&gt;=IFERROR(INDEX(DogInfo!A:B,MATCH(C112&amp;$BE$4,DogInfo!A:A,0),2),0)),W112,IF(AND(IFERROR(INDEX($C$5:$W$54,MATCH(C112,$C$5:$C$54,0),21),0)&gt;=W112,IFERROR(INDEX($C$5:$W$54,MATCH(C112,$C$5:$C$54,0),21),0)&gt;=IFERROR(INDEX(DogInfo!A:B,MATCH(C112&amp;$BE$4,DogInfo!A:A,0),2),0)),IFERROR(INDEX($C$5:$W$54,MATCH(C112,$C$5:$C$54,0),21),0),IF(AND(IFERROR(INDEX(DogInfo!A:B,MATCH(C112&amp;$BE$4,DogInfo!A:A,0),2),0)&gt;=IFERROR(INDEX($C$5:$W$54,MATCH(C112,$C$5:$C$54,0),21),0),IFERROR(INDEX(DogInfo!A:B,MATCH(C112&amp;$BE$4,DogInfo!A:A,0),2),0)&gt;=W112),IFERROR(INDEX(DogInfo!A:B,MATCH(C112&amp;$BE$4,DogInfo!A:A,0),2),0),"Error"))),IFERROR(INDEX($C$5:$BE$54,MATCH(C112,$C$5:$C$54,0),55),IFERROR(INDEX(DogInfo!A:B,MATCH(C112&amp;$BE$4,DogInfo!A:A,0),2),0))),"")</f>
        <v>0</v>
      </c>
    </row>
    <row r="113" spans="1:57" x14ac:dyDescent="0.25">
      <c r="A113" s="99">
        <v>49</v>
      </c>
      <c r="B113" s="100"/>
      <c r="C113" s="101"/>
      <c r="D113" s="102" t="str">
        <f>IF($C113="","",VLOOKUP($C113,'SDDA Dogs'!$A:$F,2,FALSE))</f>
        <v/>
      </c>
      <c r="E113" s="211">
        <f t="shared" si="99"/>
        <v>1</v>
      </c>
      <c r="F113" s="103" t="str">
        <f>IF($C113="","",IF(ISERROR(VLOOKUP($C113,$C$5:$AP$54,38,FALSE)=TRUE),VLOOKUP($C113,'SDDA Dogs'!$A:$O,13,FALSE),VLOOKUP($C113,$C$5:$AP$54,38,FALSE)))</f>
        <v/>
      </c>
      <c r="G113" s="137"/>
      <c r="H113" s="217"/>
      <c r="I113" s="84" t="str">
        <f t="shared" si="100"/>
        <v/>
      </c>
      <c r="J113" s="105">
        <f t="shared" si="57"/>
        <v>0</v>
      </c>
      <c r="K113" s="84" t="str">
        <f t="shared" si="101"/>
        <v/>
      </c>
      <c r="L113" s="105">
        <f t="shared" si="58"/>
        <v>0</v>
      </c>
      <c r="M113" s="84" t="str">
        <f t="shared" si="102"/>
        <v/>
      </c>
      <c r="N113" s="106" t="str">
        <f>IF($C113="","",IF(ISERROR(VLOOKUP($C113,$C$5:$AP$54,39,FALSE)=TRUE),VLOOKUP($C113,'SDDA Dogs'!$A:$O,14,FALSE),VLOOKUP($C113,$C$5:$AP$54,39,FALSE)))</f>
        <v/>
      </c>
      <c r="O113" s="137"/>
      <c r="P113" s="217"/>
      <c r="Q113" s="84" t="str">
        <f t="shared" si="103"/>
        <v/>
      </c>
      <c r="R113" s="105">
        <f t="shared" si="59"/>
        <v>0</v>
      </c>
      <c r="S113" s="84" t="str">
        <f t="shared" si="104"/>
        <v/>
      </c>
      <c r="T113" s="105">
        <f t="shared" si="60"/>
        <v>0</v>
      </c>
      <c r="U113" s="84" t="str">
        <f t="shared" si="105"/>
        <v/>
      </c>
      <c r="V113" s="106" t="str">
        <f>IF($C113="","",IF(ISERROR(VLOOKUP($C113,$C$5:$AP$54,40,FALSE)=TRUE),VLOOKUP($C113,'SDDA Dogs'!$A:$O,15,FALSE),VLOOKUP($C113,$C$5:$AP$54,40,FALSE)))</f>
        <v/>
      </c>
      <c r="W113" s="137"/>
      <c r="X113" s="217"/>
      <c r="Y113" s="84" t="str">
        <f t="shared" si="106"/>
        <v/>
      </c>
      <c r="Z113" s="105">
        <f t="shared" si="61"/>
        <v>0</v>
      </c>
      <c r="AA113" s="84" t="str">
        <f t="shared" si="107"/>
        <v/>
      </c>
      <c r="AB113" s="105">
        <f t="shared" si="62"/>
        <v>0</v>
      </c>
      <c r="AC113" s="84" t="str">
        <f t="shared" si="108"/>
        <v/>
      </c>
      <c r="AD113" s="92" t="str">
        <f t="shared" si="82"/>
        <v/>
      </c>
      <c r="AE113" s="89" t="str">
        <f t="shared" si="109"/>
        <v/>
      </c>
      <c r="AF113" s="104" t="str">
        <f t="shared" si="110"/>
        <v/>
      </c>
      <c r="AG113" s="107" t="str">
        <f t="shared" si="111"/>
        <v/>
      </c>
      <c r="AH113" s="92" t="str">
        <f t="shared" si="112"/>
        <v/>
      </c>
      <c r="AI113" s="89" t="str">
        <f t="shared" si="113"/>
        <v/>
      </c>
      <c r="AJ113" s="104" t="str">
        <f t="shared" si="114"/>
        <v/>
      </c>
      <c r="AK113" s="84" t="str">
        <f t="shared" si="115"/>
        <v/>
      </c>
      <c r="AL113" s="265" t="str">
        <f t="shared" si="116"/>
        <v/>
      </c>
      <c r="AM113" s="270">
        <f t="shared" si="63"/>
        <v>0</v>
      </c>
      <c r="AN113" s="270" t="str">
        <f t="shared" si="64"/>
        <v/>
      </c>
      <c r="AO113" s="270" t="str">
        <f t="shared" si="65"/>
        <v/>
      </c>
      <c r="AP113" s="270" t="str">
        <f t="shared" si="66"/>
        <v/>
      </c>
      <c r="AQ113" s="270">
        <f t="shared" si="117"/>
        <v>0</v>
      </c>
      <c r="AR113" s="316">
        <f>MIN(IFERROR(VLOOKUP($C113,'SDDA Dogs'!$A:$O,10,FALSE),0),IFERROR(VLOOKUP($C113,'SDDA Dogs'!$A:$O,11,FALSE),0),IFERROR(VLOOKUP($C113,'SDDA Dogs'!$A:$O,12,FALSE),0))</f>
        <v>0</v>
      </c>
      <c r="AS113" s="272"/>
      <c r="AT113" s="272"/>
      <c r="AU113" s="272" t="str">
        <f>IF(ISERROR(VLOOKUP(C113,'SDDA Dogs'!A:O,6,FALSE)),"",VLOOKUP(C113,'SDDA Dogs'!A:O,6,FALSE))</f>
        <v/>
      </c>
      <c r="AV113" s="270">
        <f t="shared" si="67"/>
        <v>0</v>
      </c>
      <c r="AW113" s="270">
        <f t="shared" si="68"/>
        <v>0</v>
      </c>
      <c r="AX113" s="273">
        <f t="shared" si="69"/>
        <v>0</v>
      </c>
      <c r="AY113" s="274"/>
      <c r="AZ113" s="275">
        <f t="shared" si="118"/>
        <v>0</v>
      </c>
      <c r="BA113" s="275">
        <f t="shared" si="119"/>
        <v>0</v>
      </c>
      <c r="BB113" s="276"/>
      <c r="BC113" s="274">
        <f>_xlfn.IFNA(IF(I113="Pass",IF(AND(G113&gt;=IFERROR(INDEX($C$5:$W$54,MATCH(C113,$C$5:$C$54,0),5),0),G113&gt;=IFERROR(INDEX(DogInfo!A:B,MATCH(C113&amp;$BC$4,DogInfo!A:A,0),2),0)),G113,IF(AND(IFERROR(INDEX($C$5:$W$54,MATCH(C113,$C$5:$C$54,0),5),0)&gt;=G113,IFERROR(INDEX($C$5:$W$54,MATCH(C113,$C$5:$C$54,0),5),0)&gt;=IFERROR(INDEX(DogInfo!A:B,MATCH(C113&amp;$BC$4,DogInfo!A:A,0),2),0)),IFERROR(INDEX($C$5:$W$54,MATCH(C113,$C$5:$C$54,0),5),0),IF(AND(IFERROR(INDEX(DogInfo!A:B,MATCH(C113&amp;$BC$4,DogInfo!A:A,0),2),0)&gt;=IFERROR(INDEX($C$5:$W$54,MATCH(C113,$C$5:$C$54,0),5),0),IFERROR(INDEX(DogInfo!A:B,MATCH(C113&amp;$BC$4,DogInfo!A:A,0),2),0)&gt;=G113),IFERROR(INDEX(DogInfo!A:B,MATCH(C113&amp;$BC$4,DogInfo!A:A,0),2),0),"Error"))),IFERROR(INDEX($C$5:$BE$54,MATCH(C113,$C$5:$C$54,0),53),IFERROR(INDEX(DogInfo!A:B,MATCH(C113&amp;$BC$4,DogInfo!A:A,0),2),0))),"")</f>
        <v>0</v>
      </c>
      <c r="BD113" s="274">
        <f>_xlfn.IFNA(IF(Q113="Pass",IF(AND(O113&gt;=IFERROR(INDEX($C$5:$W$54,MATCH(C113,$C$5:$C$54,0),13),0),O113&gt;=IFERROR(INDEX(DogInfo!A:B,MATCH(C113&amp;$BD$4,DogInfo!A:A,0),2),0)),O113,IF(AND(IFERROR(INDEX($C$5:$W$54,MATCH(C113,$C$5:$C$54,0),13),0)&gt;=O113,IFERROR(INDEX($C$5:$W$54,MATCH(C113,$C$5:$C$54,0),13),0)&gt;=IFERROR(INDEX(DogInfo!A:B,MATCH(C113&amp;$BD$4,DogInfo!A:A,0),2),0)),IFERROR(INDEX($C$5:$W$54,MATCH(C113,$C$5:$C$54,0),13),0),IF(AND(IFERROR(INDEX(DogInfo!A:B,MATCH(C113&amp;$BD$4,DogInfo!A:A,0),2),0)&gt;=IFERROR(INDEX($C$5:$W$54,MATCH(C113,$C$5:$C$54,0),13),0),IFERROR(INDEX(DogInfo!A:B,MATCH(C113&amp;$BD$4,DogInfo!A:A,0),2),0)&gt;=O113),IFERROR(INDEX(DogInfo!A:B,MATCH(C113&amp;$BD$4,DogInfo!A:A,0),2),0),"Error"))),IFERROR(INDEX($C$5:$BE$54,MATCH(C113,$C$5:$C$54,0),54),IFERROR(INDEX(DogInfo!A:B,MATCH(C113&amp;$BD$4,DogInfo!A:A,0),2),0))),"")</f>
        <v>0</v>
      </c>
      <c r="BE113" s="274">
        <f>_xlfn.IFNA(IF(Y113="Pass",IF(AND(W113&gt;=IFERROR(INDEX($C$5:$W$54,MATCH(C113,$C$5:$C$54,0),21),0),O113&gt;=IFERROR(INDEX(DogInfo!A:B,MATCH(C113&amp;$BE$4,DogInfo!A:A,0),2),0)),W113,IF(AND(IFERROR(INDEX($C$5:$W$54,MATCH(C113,$C$5:$C$54,0),21),0)&gt;=W113,IFERROR(INDEX($C$5:$W$54,MATCH(C113,$C$5:$C$54,0),21),0)&gt;=IFERROR(INDEX(DogInfo!A:B,MATCH(C113&amp;$BE$4,DogInfo!A:A,0),2),0)),IFERROR(INDEX($C$5:$W$54,MATCH(C113,$C$5:$C$54,0),21),0),IF(AND(IFERROR(INDEX(DogInfo!A:B,MATCH(C113&amp;$BE$4,DogInfo!A:A,0),2),0)&gt;=IFERROR(INDEX($C$5:$W$54,MATCH(C113,$C$5:$C$54,0),21),0),IFERROR(INDEX(DogInfo!A:B,MATCH(C113&amp;$BE$4,DogInfo!A:A,0),2),0)&gt;=W113),IFERROR(INDEX(DogInfo!A:B,MATCH(C113&amp;$BE$4,DogInfo!A:A,0),2),0),"Error"))),IFERROR(INDEX($C$5:$BE$54,MATCH(C113,$C$5:$C$54,0),55),IFERROR(INDEX(DogInfo!A:B,MATCH(C113&amp;$BE$4,DogInfo!A:A,0),2),0))),"")</f>
        <v>0</v>
      </c>
    </row>
    <row r="114" spans="1:57" x14ac:dyDescent="0.25">
      <c r="A114" s="99">
        <v>50</v>
      </c>
      <c r="B114" s="100"/>
      <c r="C114" s="101"/>
      <c r="D114" s="102" t="str">
        <f>IF($C114="","",VLOOKUP($C114,'SDDA Dogs'!$A:$F,2,FALSE))</f>
        <v/>
      </c>
      <c r="E114" s="211">
        <f t="shared" si="99"/>
        <v>1</v>
      </c>
      <c r="F114" s="103" t="str">
        <f>IF($C114="","",IF(ISERROR(VLOOKUP($C114,$C$5:$AP$54,38,FALSE)=TRUE),VLOOKUP($C114,'SDDA Dogs'!$A:$O,13,FALSE),VLOOKUP($C114,$C$5:$AP$54,38,FALSE)))</f>
        <v/>
      </c>
      <c r="G114" s="137"/>
      <c r="H114" s="217"/>
      <c r="I114" s="84" t="str">
        <f t="shared" si="100"/>
        <v/>
      </c>
      <c r="J114" s="105">
        <f t="shared" si="57"/>
        <v>0</v>
      </c>
      <c r="K114" s="84" t="str">
        <f t="shared" si="101"/>
        <v/>
      </c>
      <c r="L114" s="105">
        <f t="shared" si="58"/>
        <v>0</v>
      </c>
      <c r="M114" s="84" t="str">
        <f t="shared" si="102"/>
        <v/>
      </c>
      <c r="N114" s="106" t="str">
        <f>IF($C114="","",IF(ISERROR(VLOOKUP($C114,$C$5:$AP$54,39,FALSE)=TRUE),VLOOKUP($C114,'SDDA Dogs'!$A:$O,14,FALSE),VLOOKUP($C114,$C$5:$AP$54,39,FALSE)))</f>
        <v/>
      </c>
      <c r="O114" s="137"/>
      <c r="P114" s="217"/>
      <c r="Q114" s="84" t="str">
        <f t="shared" si="103"/>
        <v/>
      </c>
      <c r="R114" s="105">
        <f t="shared" si="59"/>
        <v>0</v>
      </c>
      <c r="S114" s="84" t="str">
        <f t="shared" si="104"/>
        <v/>
      </c>
      <c r="T114" s="105">
        <f t="shared" si="60"/>
        <v>0</v>
      </c>
      <c r="U114" s="84" t="str">
        <f t="shared" si="105"/>
        <v/>
      </c>
      <c r="V114" s="106" t="str">
        <f>IF($C114="","",IF(ISERROR(VLOOKUP($C114,$C$5:$AP$54,40,FALSE)=TRUE),VLOOKUP($C114,'SDDA Dogs'!$A:$O,15,FALSE),VLOOKUP($C114,$C$5:$AP$54,40,FALSE)))</f>
        <v/>
      </c>
      <c r="W114" s="137"/>
      <c r="X114" s="217"/>
      <c r="Y114" s="84" t="str">
        <f t="shared" si="106"/>
        <v/>
      </c>
      <c r="Z114" s="105">
        <f t="shared" si="61"/>
        <v>0</v>
      </c>
      <c r="AA114" s="84" t="str">
        <f t="shared" si="107"/>
        <v/>
      </c>
      <c r="AB114" s="105">
        <f t="shared" si="62"/>
        <v>0</v>
      </c>
      <c r="AC114" s="84" t="str">
        <f t="shared" si="108"/>
        <v/>
      </c>
      <c r="AD114" s="92" t="str">
        <f t="shared" si="82"/>
        <v/>
      </c>
      <c r="AE114" s="89" t="str">
        <f t="shared" si="109"/>
        <v/>
      </c>
      <c r="AF114" s="104" t="str">
        <f t="shared" si="110"/>
        <v/>
      </c>
      <c r="AG114" s="107" t="str">
        <f t="shared" si="111"/>
        <v/>
      </c>
      <c r="AH114" s="92" t="str">
        <f t="shared" si="112"/>
        <v/>
      </c>
      <c r="AI114" s="89" t="str">
        <f t="shared" si="113"/>
        <v/>
      </c>
      <c r="AJ114" s="104" t="str">
        <f t="shared" si="114"/>
        <v/>
      </c>
      <c r="AK114" s="84" t="str">
        <f t="shared" si="115"/>
        <v/>
      </c>
      <c r="AL114" s="265" t="str">
        <f t="shared" si="116"/>
        <v/>
      </c>
      <c r="AM114" s="270">
        <f t="shared" si="63"/>
        <v>0</v>
      </c>
      <c r="AN114" s="270" t="str">
        <f t="shared" si="64"/>
        <v/>
      </c>
      <c r="AO114" s="270" t="str">
        <f t="shared" si="65"/>
        <v/>
      </c>
      <c r="AP114" s="270" t="str">
        <f t="shared" si="66"/>
        <v/>
      </c>
      <c r="AQ114" s="270">
        <f t="shared" si="117"/>
        <v>0</v>
      </c>
      <c r="AR114" s="316">
        <f>MIN(IFERROR(VLOOKUP($C114,'SDDA Dogs'!$A:$O,10,FALSE),0),IFERROR(VLOOKUP($C114,'SDDA Dogs'!$A:$O,11,FALSE),0),IFERROR(VLOOKUP($C114,'SDDA Dogs'!$A:$O,12,FALSE),0))</f>
        <v>0</v>
      </c>
      <c r="AS114" s="272"/>
      <c r="AT114" s="272"/>
      <c r="AU114" s="272" t="str">
        <f>IF(ISERROR(VLOOKUP(C114,'SDDA Dogs'!A:O,6,FALSE)),"",VLOOKUP(C114,'SDDA Dogs'!A:O,6,FALSE))</f>
        <v/>
      </c>
      <c r="AV114" s="270">
        <f t="shared" si="67"/>
        <v>0</v>
      </c>
      <c r="AW114" s="270">
        <f t="shared" si="68"/>
        <v>0</v>
      </c>
      <c r="AX114" s="273">
        <f t="shared" si="69"/>
        <v>0</v>
      </c>
      <c r="AY114" s="274"/>
      <c r="AZ114" s="275">
        <f t="shared" si="118"/>
        <v>0</v>
      </c>
      <c r="BA114" s="275">
        <f t="shared" si="119"/>
        <v>0</v>
      </c>
      <c r="BB114" s="276"/>
      <c r="BC114" s="274">
        <f>_xlfn.IFNA(IF(I114="Pass",IF(AND(G114&gt;=IFERROR(INDEX($C$5:$W$54,MATCH(C114,$C$5:$C$54,0),5),0),G114&gt;=IFERROR(INDEX(DogInfo!A:B,MATCH(C114&amp;$BC$4,DogInfo!A:A,0),2),0)),G114,IF(AND(IFERROR(INDEX($C$5:$W$54,MATCH(C114,$C$5:$C$54,0),5),0)&gt;=G114,IFERROR(INDEX($C$5:$W$54,MATCH(C114,$C$5:$C$54,0),5),0)&gt;=IFERROR(INDEX(DogInfo!A:B,MATCH(C114&amp;$BC$4,DogInfo!A:A,0),2),0)),IFERROR(INDEX($C$5:$W$54,MATCH(C114,$C$5:$C$54,0),5),0),IF(AND(IFERROR(INDEX(DogInfo!A:B,MATCH(C114&amp;$BC$4,DogInfo!A:A,0),2),0)&gt;=IFERROR(INDEX($C$5:$W$54,MATCH(C114,$C$5:$C$54,0),5),0),IFERROR(INDEX(DogInfo!A:B,MATCH(C114&amp;$BC$4,DogInfo!A:A,0),2),0)&gt;=G114),IFERROR(INDEX(DogInfo!A:B,MATCH(C114&amp;$BC$4,DogInfo!A:A,0),2),0),"Error"))),IFERROR(INDEX($C$5:$BE$54,MATCH(C114,$C$5:$C$54,0),53),IFERROR(INDEX(DogInfo!A:B,MATCH(C114&amp;$BC$4,DogInfo!A:A,0),2),0))),"")</f>
        <v>0</v>
      </c>
      <c r="BD114" s="274">
        <f>_xlfn.IFNA(IF(Q114="Pass",IF(AND(O114&gt;=IFERROR(INDEX($C$5:$W$54,MATCH(C114,$C$5:$C$54,0),13),0),O114&gt;=IFERROR(INDEX(DogInfo!A:B,MATCH(C114&amp;$BD$4,DogInfo!A:A,0),2),0)),O114,IF(AND(IFERROR(INDEX($C$5:$W$54,MATCH(C114,$C$5:$C$54,0),13),0)&gt;=O114,IFERROR(INDEX($C$5:$W$54,MATCH(C114,$C$5:$C$54,0),13),0)&gt;=IFERROR(INDEX(DogInfo!A:B,MATCH(C114&amp;$BD$4,DogInfo!A:A,0),2),0)),IFERROR(INDEX($C$5:$W$54,MATCH(C114,$C$5:$C$54,0),13),0),IF(AND(IFERROR(INDEX(DogInfo!A:B,MATCH(C114&amp;$BD$4,DogInfo!A:A,0),2),0)&gt;=IFERROR(INDEX($C$5:$W$54,MATCH(C114,$C$5:$C$54,0),13),0),IFERROR(INDEX(DogInfo!A:B,MATCH(C114&amp;$BD$4,DogInfo!A:A,0),2),0)&gt;=O114),IFERROR(INDEX(DogInfo!A:B,MATCH(C114&amp;$BD$4,DogInfo!A:A,0),2),0),"Error"))),IFERROR(INDEX($C$5:$BE$54,MATCH(C114,$C$5:$C$54,0),54),IFERROR(INDEX(DogInfo!A:B,MATCH(C114&amp;$BD$4,DogInfo!A:A,0),2),0))),"")</f>
        <v>0</v>
      </c>
      <c r="BE114" s="274">
        <f>_xlfn.IFNA(IF(Y114="Pass",IF(AND(W114&gt;=IFERROR(INDEX($C$5:$W$54,MATCH(C114,$C$5:$C$54,0),21),0),O114&gt;=IFERROR(INDEX(DogInfo!A:B,MATCH(C114&amp;$BE$4,DogInfo!A:A,0),2),0)),W114,IF(AND(IFERROR(INDEX($C$5:$W$54,MATCH(C114,$C$5:$C$54,0),21),0)&gt;=W114,IFERROR(INDEX($C$5:$W$54,MATCH(C114,$C$5:$C$54,0),21),0)&gt;=IFERROR(INDEX(DogInfo!A:B,MATCH(C114&amp;$BE$4,DogInfo!A:A,0),2),0)),IFERROR(INDEX($C$5:$W$54,MATCH(C114,$C$5:$C$54,0),21),0),IF(AND(IFERROR(INDEX(DogInfo!A:B,MATCH(C114&amp;$BE$4,DogInfo!A:A,0),2),0)&gt;=IFERROR(INDEX($C$5:$W$54,MATCH(C114,$C$5:$C$54,0),21),0),IFERROR(INDEX(DogInfo!A:B,MATCH(C114&amp;$BE$4,DogInfo!A:A,0),2),0)&gt;=W114),IFERROR(INDEX(DogInfo!A:B,MATCH(C114&amp;$BE$4,DogInfo!A:A,0),2),0),"Error"))),IFERROR(INDEX($C$5:$BE$54,MATCH(C114,$C$5:$C$54,0),55),IFERROR(INDEX(DogInfo!A:B,MATCH(C114&amp;$BE$4,DogInfo!A:A,0),2),0))),"")</f>
        <v>0</v>
      </c>
    </row>
    <row r="115" spans="1:57" x14ac:dyDescent="0.25">
      <c r="A115" s="9" t="s">
        <v>1548</v>
      </c>
      <c r="B115" s="9"/>
      <c r="C115" s="9"/>
      <c r="D115" s="9"/>
      <c r="E115" s="9">
        <f>SUM(E65:E114)</f>
        <v>50</v>
      </c>
      <c r="F115" s="9"/>
      <c r="G115" s="57">
        <f>COUNT(G65:G114)+ COUNTIF(G65:G114,"E") + COUNTIF(G65:G114,"FEO")</f>
        <v>0</v>
      </c>
      <c r="H115" s="57"/>
      <c r="I115" s="57"/>
      <c r="J115" s="57"/>
      <c r="K115" s="57"/>
      <c r="L115" s="57"/>
      <c r="M115" s="57"/>
      <c r="N115" s="57"/>
      <c r="O115" s="57">
        <f>COUNT(O65:O114)+ COUNTIF(O65:O114,"E") + COUNTIF(O65:O114,"FEO")</f>
        <v>0</v>
      </c>
      <c r="P115" s="57"/>
      <c r="Q115" s="57"/>
      <c r="R115" s="57"/>
      <c r="S115" s="57"/>
      <c r="T115" s="57"/>
      <c r="U115" s="57"/>
      <c r="V115" s="57"/>
      <c r="W115" s="57">
        <f>COUNT(W65:W114)+ COUNTIF(W65:W114,"E") + COUNTIF(W65:W114,"FEO")</f>
        <v>0</v>
      </c>
      <c r="X115" s="57"/>
      <c r="Y115" s="10" t="s">
        <v>1549</v>
      </c>
      <c r="Z115" s="57"/>
      <c r="AA115" s="57"/>
      <c r="AB115" s="57"/>
      <c r="AC115" s="57"/>
      <c r="AD115" s="57"/>
      <c r="AE115" s="57"/>
      <c r="AF115" s="57"/>
      <c r="AG115" s="57"/>
      <c r="AH115" s="57">
        <f>G115+O115+W115</f>
        <v>0</v>
      </c>
      <c r="AI115" s="57"/>
      <c r="AJ115" s="57"/>
      <c r="AK115" s="57"/>
      <c r="AL115" s="57"/>
      <c r="AM115" s="57" t="s">
        <v>2455</v>
      </c>
      <c r="AN115" s="57"/>
      <c r="AO115" s="57"/>
      <c r="AP115" s="57"/>
      <c r="AQ115" s="57">
        <f>COUNTIFS(AM65:AM114,0,AQ65:AQ114,1)</f>
        <v>0</v>
      </c>
    </row>
    <row r="116" spans="1:57" x14ac:dyDescent="0.25">
      <c r="A116" t="s">
        <v>9438</v>
      </c>
      <c r="D116">
        <f>50-E115</f>
        <v>0</v>
      </c>
    </row>
  </sheetData>
  <sheetProtection algorithmName="SHA-512" hashValue="ZjbtCu6afiBRRXQm+3LUp62muHiAVXG/Gaw/gU77ND1+4VYDllv+gnb5l9Hk4XH7yEeVW55JopfsBr1+YRbqDA==" saltValue="+hrshioKmbPq6874qyr0wA==" spinCount="100000" sheet="1" selectLockedCells="1"/>
  <mergeCells count="16">
    <mergeCell ref="B63:D63"/>
    <mergeCell ref="G63:M63"/>
    <mergeCell ref="O63:U63"/>
    <mergeCell ref="W63:AC63"/>
    <mergeCell ref="AH63:AL63"/>
    <mergeCell ref="AS62:AX62"/>
    <mergeCell ref="I2:P2"/>
    <mergeCell ref="Y2:AD2"/>
    <mergeCell ref="AH3:AL3"/>
    <mergeCell ref="B3:D3"/>
    <mergeCell ref="G3:M3"/>
    <mergeCell ref="O3:U3"/>
    <mergeCell ref="W3:AC3"/>
    <mergeCell ref="AS2:AX2"/>
    <mergeCell ref="I62:P62"/>
    <mergeCell ref="Y62:AD62"/>
  </mergeCells>
  <conditionalFormatting sqref="A64:AL64">
    <cfRule type="expression" dxfId="90" priority="10">
      <formula>(MOD(ROW(),2))=0</formula>
    </cfRule>
  </conditionalFormatting>
  <conditionalFormatting sqref="A4:AM4">
    <cfRule type="expression" dxfId="89" priority="230">
      <formula>(MOD(ROW(),2))=0</formula>
    </cfRule>
  </conditionalFormatting>
  <conditionalFormatting sqref="A5:AQ54">
    <cfRule type="expression" dxfId="88" priority="161">
      <formula>MOD(ROW(),2)=0</formula>
    </cfRule>
  </conditionalFormatting>
  <conditionalFormatting sqref="B5:B54">
    <cfRule type="expression" dxfId="87" priority="122">
      <formula>AND(B5="a",AM5&gt;0)</formula>
    </cfRule>
  </conditionalFormatting>
  <conditionalFormatting sqref="B65:B114">
    <cfRule type="expression" dxfId="86" priority="80">
      <formula>AND(B65="a",AM65&gt;0)</formula>
    </cfRule>
  </conditionalFormatting>
  <conditionalFormatting sqref="C5:C54">
    <cfRule type="expression" dxfId="85" priority="7">
      <formula>AND(COUNTIF(C$5:C$54,C5)&gt;1,C5&gt;0)</formula>
    </cfRule>
  </conditionalFormatting>
  <conditionalFormatting sqref="C65:C114">
    <cfRule type="expression" dxfId="84" priority="6">
      <formula>AND(COUNTIF(C$65:C$114,C65)&gt;1,C65&gt;0)</formula>
    </cfRule>
  </conditionalFormatting>
  <conditionalFormatting sqref="E65:E114">
    <cfRule type="expression" dxfId="83" priority="24">
      <formula>MOD(ROW(),2)=0</formula>
    </cfRule>
  </conditionalFormatting>
  <conditionalFormatting sqref="F65:G114">
    <cfRule type="expression" dxfId="82" priority="37">
      <formula>MOD(ROW(),2)=0</formula>
    </cfRule>
  </conditionalFormatting>
  <conditionalFormatting sqref="G5:G54">
    <cfRule type="top10" dxfId="80" priority="60" rank="1"/>
  </conditionalFormatting>
  <conditionalFormatting sqref="G65:G114">
    <cfRule type="top10" dxfId="78" priority="36" rank="1"/>
  </conditionalFormatting>
  <conditionalFormatting sqref="H5:H54">
    <cfRule type="top10" dxfId="77" priority="75" bottom="1" rank="1"/>
  </conditionalFormatting>
  <conditionalFormatting sqref="H65:H114">
    <cfRule type="top10" dxfId="76" priority="44" bottom="1" rank="1"/>
  </conditionalFormatting>
  <conditionalFormatting sqref="O5:O54">
    <cfRule type="top10" dxfId="74" priority="56" rank="1"/>
  </conditionalFormatting>
  <conditionalFormatting sqref="O65:O114">
    <cfRule type="top10" dxfId="72" priority="32" rank="1"/>
    <cfRule type="expression" dxfId="71" priority="33">
      <formula>MOD(ROW(),2)=0</formula>
    </cfRule>
  </conditionalFormatting>
  <conditionalFormatting sqref="P5:P54">
    <cfRule type="top10" dxfId="70" priority="115" bottom="1" rank="1"/>
  </conditionalFormatting>
  <conditionalFormatting sqref="P65:P114">
    <cfRule type="top10" dxfId="69" priority="71" bottom="1" rank="1"/>
  </conditionalFormatting>
  <conditionalFormatting sqref="W5:W54">
    <cfRule type="top10" dxfId="67" priority="43" rank="1"/>
  </conditionalFormatting>
  <conditionalFormatting sqref="W65:W114">
    <cfRule type="top10" dxfId="65" priority="28" rank="1"/>
    <cfRule type="expression" dxfId="64" priority="29">
      <formula>MOD(ROW(),2)=0</formula>
    </cfRule>
  </conditionalFormatting>
  <conditionalFormatting sqref="X5:X54">
    <cfRule type="top10" dxfId="63" priority="114" bottom="1" rank="1"/>
  </conditionalFormatting>
  <conditionalFormatting sqref="X65:X114">
    <cfRule type="top10" dxfId="62" priority="74" bottom="1" rank="1"/>
  </conditionalFormatting>
  <conditionalFormatting sqref="AD65:AD114">
    <cfRule type="expression" dxfId="61" priority="9">
      <formula>MOD(ROW(),2)=0</formula>
    </cfRule>
  </conditionalFormatting>
  <conditionalFormatting sqref="AE65:AQ114 A65:D114 X65:AC114 P65:V114 H65:N114">
    <cfRule type="expression" dxfId="60" priority="158">
      <formula>MOD(ROW(),2)=0</formula>
    </cfRule>
  </conditionalFormatting>
  <conditionalFormatting sqref="AH5:AH54">
    <cfRule type="cellIs" dxfId="59" priority="125" operator="equal">
      <formula>1</formula>
    </cfRule>
  </conditionalFormatting>
  <conditionalFormatting sqref="AH65:AH114">
    <cfRule type="cellIs" dxfId="58" priority="90" operator="equal">
      <formula>1</formula>
    </cfRule>
  </conditionalFormatting>
  <conditionalFormatting sqref="AL5:AL54">
    <cfRule type="cellIs" dxfId="57" priority="123" operator="equal">
      <formula>1</formula>
    </cfRule>
  </conditionalFormatting>
  <conditionalFormatting sqref="AL65:AL114">
    <cfRule type="cellIs" dxfId="56" priority="89" operator="equal">
      <formula>1</formula>
    </cfRule>
  </conditionalFormatting>
  <conditionalFormatting sqref="AQ5:AQ54">
    <cfRule type="expression" dxfId="55" priority="118">
      <formula>AND(AM5=0,AQ5=1)</formula>
    </cfRule>
  </conditionalFormatting>
  <conditionalFormatting sqref="AQ65:AQ114">
    <cfRule type="expression" dxfId="54" priority="88">
      <formula>AND(AM65=0,AQ65=1)</formula>
    </cfRule>
  </conditionalFormatting>
  <conditionalFormatting sqref="AQ4:AX4">
    <cfRule type="expression" dxfId="53" priority="4">
      <formula>(MOD(ROW(),2))=0</formula>
    </cfRule>
  </conditionalFormatting>
  <conditionalFormatting sqref="AR64">
    <cfRule type="expression" dxfId="52" priority="2">
      <formula>(MOD(ROW(),2))=0</formula>
    </cfRule>
  </conditionalFormatting>
  <conditionalFormatting sqref="AR5:XFD54">
    <cfRule type="expression" dxfId="51" priority="5">
      <formula>MOD(ROW(),2)=0</formula>
    </cfRule>
  </conditionalFormatting>
  <conditionalFormatting sqref="AR65:XFD114">
    <cfRule type="expression" dxfId="50" priority="1">
      <formula>MOD(ROW(),2)=0</formula>
    </cfRule>
  </conditionalFormatting>
  <conditionalFormatting sqref="BB4:BE4">
    <cfRule type="expression" dxfId="49" priority="12">
      <formula>(MOD(ROW(),2))=0</formula>
    </cfRule>
  </conditionalFormatting>
  <dataValidations count="7">
    <dataValidation type="time" allowBlank="1" showInputMessage="1" showErrorMessage="1" errorTitle="Time Error" error="Time cannot exceed 4 minutes (mm:ss.0)" sqref="H5:H54 H65:H114" xr:uid="{00000000-0002-0000-0600-000000000000}">
      <formula1>0</formula1>
      <formula2>0.00277777777777778</formula2>
    </dataValidation>
    <dataValidation type="custom" allowBlank="1" showInputMessage="1" showErrorMessage="1" errorTitle="Error in Stream" error="The stream is either (A)mateur or (W)orking." sqref="B5:B54 B65:B114" xr:uid="{00000000-0002-0000-0600-000002000000}">
      <formula1>OR(B5="A",B5="W")</formula1>
    </dataValidation>
    <dataValidation type="custom" allowBlank="1" showInputMessage="1" showErrorMessage="1" error="Container scores should be between 30 and 60, 0 for fail,blank,&quot;E&quot; (Entered) or &quot;NE&quot; (Not Entered)." sqref="G5:G54 G65:G114" xr:uid="{00000000-0002-0000-0600-000005000000}">
      <formula1>OR(AND(G5&gt;=30,G5&lt;=60),G5=0,G5="NE",G5="e",G5="feo")</formula1>
    </dataValidation>
    <dataValidation type="custom" allowBlank="1" showInputMessage="1" showErrorMessage="1" error="Excellent Exterior scores should be between 30 and 60, 0 for fail,blank,&quot;E&quot; (Entered) or &quot;NE&quot; (Not Entered)." sqref="W5:W54 W65:W114" xr:uid="{00000000-0002-0000-0600-000006000000}">
      <formula1>OR(AND(W5&gt;=30,W5&lt;=60),W5=0,W5="NE",W5="e",W5="feo")</formula1>
    </dataValidation>
    <dataValidation type="custom" allowBlank="1" showInputMessage="1" showErrorMessage="1" error="Excellent Interior scores should be between 40 and 80, 0 for fail, blank,&quot;E&quot; (Entered) or &quot;NE&quot; (Not Entered)." sqref="O5:O54 O65:O114" xr:uid="{00000000-0002-0000-0600-000007000000}">
      <formula1>OR(AND(O5&gt;=40,O5&lt;=80),O5=0,O5="NE",O5="e",O5="feo")</formula1>
    </dataValidation>
    <dataValidation type="time" allowBlank="1" showInputMessage="1" showErrorMessage="1" errorTitle="Time error" error="Time cannot exceed 15 minutes (mm:ss.0)" sqref="P5:P54 P65:P114" xr:uid="{A062F780-D34F-4B30-AB2F-55BCA568222A}">
      <formula1>0</formula1>
      <formula2>0.0104166666666667</formula2>
    </dataValidation>
    <dataValidation type="time" allowBlank="1" showInputMessage="1" showErrorMessage="1" errorTitle="Time Error" error="Time cannot exceed 5 minutes (mm:ss.0)" sqref="X5:X54 X65:X114" xr:uid="{7E3C91C6-9FE0-4F19-8354-2D4550229128}">
      <formula1>0</formula1>
      <formula2>0.00347222222222222</formula2>
    </dataValidation>
  </dataValidations>
  <printOptions horizontalCentered="1"/>
  <pageMargins left="0.5" right="0.5" top="0.5" bottom="0.5" header="0.3" footer="0.3"/>
  <pageSetup orientation="landscape" r:id="rId1"/>
  <headerFooter>
    <oddHeader>&amp;L&amp;G&amp;RScore Sheet Excellent</oddHeader>
    <oddFooter>&amp;L&amp;8The use of this workbook is at the sole discretion of the trial organizer.  SDDA or its agents shall not be held liable for any errors in the data.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347AD957-6B71-4149-994F-926A41FD45F1}">
            <xm:f>AND(G5="E",VLOOKUP($C5,'SDDA Dogs'!$A:$O,10)+0=0)</xm:f>
            <x14:dxf>
              <fill>
                <patternFill>
                  <bgColor rgb="FFFF0000"/>
                </patternFill>
              </fill>
            </x14:dxf>
          </x14:cfRule>
          <xm:sqref>G5:G54</xm:sqref>
        </x14:conditionalFormatting>
        <x14:conditionalFormatting xmlns:xm="http://schemas.microsoft.com/office/excel/2006/main">
          <x14:cfRule type="expression" priority="35" id="{0A83D5D1-56EF-4D28-87D8-0B850755E0BC}">
            <xm:f>AND(G65="E",VLOOKUP($C65,'SDDA Dogs'!$A:$O,10)+0=0)</xm:f>
            <x14:dxf>
              <fill>
                <patternFill>
                  <bgColor rgb="FFFF0000"/>
                </patternFill>
              </fill>
            </x14:dxf>
          </x14:cfRule>
          <xm:sqref>G65:G114</xm:sqref>
        </x14:conditionalFormatting>
        <x14:conditionalFormatting xmlns:xm="http://schemas.microsoft.com/office/excel/2006/main">
          <x14:cfRule type="expression" priority="34" id="{E96CBF6A-979F-4DD5-AB59-2BC8E6CDB956}">
            <xm:f>AND(O5="E",VLOOKUP($C5,'SDDA Dogs'!$A:$O,11)+0=0)</xm:f>
            <x14:dxf>
              <fill>
                <patternFill>
                  <bgColor rgb="FFFF0000"/>
                </patternFill>
              </fill>
            </x14:dxf>
          </x14:cfRule>
          <xm:sqref>O5:O54</xm:sqref>
        </x14:conditionalFormatting>
        <x14:conditionalFormatting xmlns:xm="http://schemas.microsoft.com/office/excel/2006/main">
          <x14:cfRule type="expression" priority="31" id="{B2C8C5F5-9A7F-4F3E-92EC-73C923B2516D}">
            <xm:f>AND(O65="E",VLOOKUP($C65,'SDDA Dogs'!$A:$O,11)+0=0)</xm:f>
            <x14:dxf>
              <fill>
                <patternFill>
                  <bgColor rgb="FFFF0000"/>
                </patternFill>
              </fill>
            </x14:dxf>
          </x14:cfRule>
          <xm:sqref>O65:O114</xm:sqref>
        </x14:conditionalFormatting>
        <x14:conditionalFormatting xmlns:xm="http://schemas.microsoft.com/office/excel/2006/main">
          <x14:cfRule type="expression" priority="30" id="{86E187D1-DFD9-482B-80E8-25BAFE7D0C44}">
            <xm:f>AND(W5="E",VLOOKUP($C5,'SDDA Dogs'!$A:$O,12)+0=0)</xm:f>
            <x14:dxf>
              <fill>
                <patternFill>
                  <bgColor rgb="FFFF0000"/>
                </patternFill>
              </fill>
            </x14:dxf>
          </x14:cfRule>
          <xm:sqref>W5:W54</xm:sqref>
        </x14:conditionalFormatting>
        <x14:conditionalFormatting xmlns:xm="http://schemas.microsoft.com/office/excel/2006/main">
          <x14:cfRule type="expression" priority="27" id="{E1FC343A-0B25-4303-A9ED-DF16C50177ED}">
            <xm:f>AND(W65="E",VLOOKUP($C65,'SDDA Dogs'!$A:$O,12)+0=0)</xm:f>
            <x14:dxf>
              <fill>
                <patternFill>
                  <bgColor rgb="FFFF0000"/>
                </patternFill>
              </fill>
            </x14:dxf>
          </x14:cfRule>
          <xm:sqref>W65:W114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errorTitle="Error in Dog Number" error="The dog number has not been registered.  Please enter a valid number." xr:uid="{00000000-0002-0000-0600-000008000000}">
          <x14:formula1>
            <xm:f>'SDDA Dogs'!$A:$A</xm:f>
          </x14:formula1>
          <xm:sqref>C5:C54 C65:C114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544"/>
  <sheetViews>
    <sheetView zoomScale="70" zoomScaleNormal="70" zoomScalePageLayoutView="70" workbookViewId="0"/>
  </sheetViews>
  <sheetFormatPr defaultColWidth="10.7109375" defaultRowHeight="30" customHeight="1" x14ac:dyDescent="0.4"/>
  <cols>
    <col min="1" max="1" width="8.85546875" style="42" customWidth="1"/>
    <col min="2" max="2" width="19" style="42" customWidth="1"/>
    <col min="3" max="3" width="19.42578125" style="42" customWidth="1"/>
    <col min="4" max="6" width="14" style="42" customWidth="1"/>
    <col min="7" max="7" width="49.7109375" style="42" customWidth="1"/>
    <col min="8" max="8" width="50.85546875" style="43" customWidth="1"/>
    <col min="9" max="9" width="29.28515625" style="43" customWidth="1"/>
    <col min="10" max="10" width="10.2851562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9" ht="30" customHeight="1" x14ac:dyDescent="0.4">
      <c r="A2" s="402" t="s">
        <v>1143</v>
      </c>
      <c r="B2" s="402"/>
      <c r="C2" s="43"/>
      <c r="D2" s="403" t="s">
        <v>1185</v>
      </c>
      <c r="E2" s="403"/>
      <c r="F2" s="403"/>
      <c r="G2" s="403"/>
      <c r="H2" s="403"/>
      <c r="I2" s="403"/>
    </row>
    <row r="3" spans="1:9" s="44" customFormat="1" ht="54" customHeight="1" x14ac:dyDescent="0.4">
      <c r="A3" s="67" t="s">
        <v>605</v>
      </c>
      <c r="B3" s="67" t="s">
        <v>1139</v>
      </c>
      <c r="C3" s="68" t="s">
        <v>12407</v>
      </c>
      <c r="D3" s="67" t="s">
        <v>1142</v>
      </c>
      <c r="E3" s="67" t="s">
        <v>1135</v>
      </c>
      <c r="F3" s="67" t="s">
        <v>1136</v>
      </c>
      <c r="G3" s="69" t="s">
        <v>1207</v>
      </c>
      <c r="H3" s="69" t="s">
        <v>1137</v>
      </c>
    </row>
    <row r="4" spans="1:9" ht="30" customHeight="1" x14ac:dyDescent="0.4">
      <c r="A4" s="49">
        <v>1</v>
      </c>
      <c r="B4" s="49" t="str">
        <f>IF(OR(VLOOKUP(Table193[[#This Row],[Ln'#]],Excellent!A$5:AW$54,7,FALSE)="E",VLOOKUP(Table193[[#This Row],[Ln'#]],Excellent!A$5:AW$54,7,FALSE)="FEO"),"Entered or FEO","Not Entered")</f>
        <v>Not Entered</v>
      </c>
      <c r="C4" s="50"/>
      <c r="D4" s="48"/>
      <c r="E4" s="48"/>
      <c r="F4" s="48" t="str">
        <f>IF(Table193[[#This Row],[Status]]="Not Entered","",VLOOKUP(Table193[[#This Row],[Ln'#]],Excellent!$A$5:$AU$54,3,FALSE))</f>
        <v/>
      </c>
      <c r="G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" s="51" t="str">
        <f>IF(Table193[[#This Row],[Status]]="Not Entered","",VLOOKUP(Table193[[#This Row],[Ln'#]],Excellent!$A$5:$AU$54,47,FALSE))</f>
        <v/>
      </c>
    </row>
    <row r="5" spans="1:9" ht="30" customHeight="1" x14ac:dyDescent="0.4">
      <c r="A5" s="49">
        <v>2</v>
      </c>
      <c r="B5" s="49" t="str">
        <f>IF(OR(VLOOKUP(Table193[[#This Row],[Ln'#]],Excellent!A$5:AW$54,7,FALSE)="E",VLOOKUP(Table193[[#This Row],[Ln'#]],Excellent!A$5:AW$54,7,FALSE)="FEO"),"Entered or FEO","Not Entered")</f>
        <v>Not Entered</v>
      </c>
      <c r="C5" s="50"/>
      <c r="D5" s="48"/>
      <c r="E5" s="48"/>
      <c r="F5" s="48" t="str">
        <f>IF(Table193[[#This Row],[Status]]="Not Entered","",VLOOKUP(Table193[[#This Row],[Ln'#]],Excellent!$A$5:$AU$54,3,FALSE))</f>
        <v/>
      </c>
      <c r="G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" s="51" t="str">
        <f>IF(Table193[[#This Row],[Status]]="Not Entered","",VLOOKUP(Table193[[#This Row],[Ln'#]],Excellent!$A$5:$AU$54,47,FALSE))</f>
        <v/>
      </c>
    </row>
    <row r="6" spans="1:9" ht="30" customHeight="1" x14ac:dyDescent="0.4">
      <c r="A6" s="49">
        <v>3</v>
      </c>
      <c r="B6" s="49" t="str">
        <f>IF(OR(VLOOKUP(Table193[[#This Row],[Ln'#]],Excellent!A$5:AW$54,7,FALSE)="E",VLOOKUP(Table193[[#This Row],[Ln'#]],Excellent!A$5:AW$54,7,FALSE)="FEO"),"Entered or FEO","Not Entered")</f>
        <v>Not Entered</v>
      </c>
      <c r="C6" s="50"/>
      <c r="D6" s="48"/>
      <c r="E6" s="48"/>
      <c r="F6" s="48" t="str">
        <f>IF(Table193[[#This Row],[Status]]="Not Entered","",VLOOKUP(Table193[[#This Row],[Ln'#]],Excellent!$A$5:$AU$54,3,FALSE))</f>
        <v/>
      </c>
      <c r="G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6" s="51" t="str">
        <f>IF(Table193[[#This Row],[Status]]="Not Entered","",VLOOKUP(Table193[[#This Row],[Ln'#]],Excellent!$A$5:$AU$54,47,FALSE))</f>
        <v/>
      </c>
    </row>
    <row r="7" spans="1:9" ht="30" customHeight="1" x14ac:dyDescent="0.4">
      <c r="A7" s="49">
        <v>4</v>
      </c>
      <c r="B7" s="49" t="str">
        <f>IF(OR(VLOOKUP(Table193[[#This Row],[Ln'#]],Excellent!A$5:AW$54,7,FALSE)="E",VLOOKUP(Table193[[#This Row],[Ln'#]],Excellent!A$5:AW$54,7,FALSE)="FEO"),"Entered or FEO","Not Entered")</f>
        <v>Not Entered</v>
      </c>
      <c r="C7" s="50"/>
      <c r="D7" s="48"/>
      <c r="E7" s="48"/>
      <c r="F7" s="48" t="str">
        <f>IF(Table193[[#This Row],[Status]]="Not Entered","",VLOOKUP(Table193[[#This Row],[Ln'#]],Excellent!$A$5:$AU$54,3,FALSE))</f>
        <v/>
      </c>
      <c r="G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7" s="51" t="str">
        <f>IF(Table193[[#This Row],[Status]]="Not Entered","",VLOOKUP(Table193[[#This Row],[Ln'#]],Excellent!$A$5:$AU$54,47,FALSE))</f>
        <v/>
      </c>
    </row>
    <row r="8" spans="1:9" ht="30" customHeight="1" x14ac:dyDescent="0.4">
      <c r="A8" s="49">
        <v>5</v>
      </c>
      <c r="B8" s="49" t="str">
        <f>IF(OR(VLOOKUP(Table193[[#This Row],[Ln'#]],Excellent!A$5:AW$54,7,FALSE)="E",VLOOKUP(Table193[[#This Row],[Ln'#]],Excellent!A$5:AW$54,7,FALSE)="FEO"),"Entered or FEO","Not Entered")</f>
        <v>Not Entered</v>
      </c>
      <c r="C8" s="50"/>
      <c r="D8" s="48"/>
      <c r="E8" s="48"/>
      <c r="F8" s="48" t="str">
        <f>IF(Table193[[#This Row],[Status]]="Not Entered","",VLOOKUP(Table193[[#This Row],[Ln'#]],Excellent!$A$5:$AU$54,3,FALSE))</f>
        <v/>
      </c>
      <c r="G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8" s="51" t="str">
        <f>IF(Table193[[#This Row],[Status]]="Not Entered","",VLOOKUP(Table193[[#This Row],[Ln'#]],Excellent!$A$5:$AU$54,47,FALSE))</f>
        <v/>
      </c>
    </row>
    <row r="9" spans="1:9" ht="30" customHeight="1" x14ac:dyDescent="0.4">
      <c r="A9" s="49">
        <v>6</v>
      </c>
      <c r="B9" s="49" t="str">
        <f>IF(OR(VLOOKUP(Table193[[#This Row],[Ln'#]],Excellent!A$5:AW$54,7,FALSE)="E",VLOOKUP(Table193[[#This Row],[Ln'#]],Excellent!A$5:AW$54,7,FALSE)="FEO"),"Entered or FEO","Not Entered")</f>
        <v>Not Entered</v>
      </c>
      <c r="C9" s="50"/>
      <c r="D9" s="48"/>
      <c r="E9" s="48"/>
      <c r="F9" s="48" t="str">
        <f>IF(Table193[[#This Row],[Status]]="Not Entered","",VLOOKUP(Table193[[#This Row],[Ln'#]],Excellent!$A$5:$AU$54,3,FALSE))</f>
        <v/>
      </c>
      <c r="G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9" s="51" t="str">
        <f>IF(Table193[[#This Row],[Status]]="Not Entered","",VLOOKUP(Table193[[#This Row],[Ln'#]],Excellent!$A$5:$AU$54,47,FALSE))</f>
        <v/>
      </c>
    </row>
    <row r="10" spans="1:9" ht="30" customHeight="1" x14ac:dyDescent="0.4">
      <c r="A10" s="49">
        <v>7</v>
      </c>
      <c r="B10" s="49" t="str">
        <f>IF(OR(VLOOKUP(Table193[[#This Row],[Ln'#]],Excellent!A$5:AW$54,7,FALSE)="E",VLOOKUP(Table193[[#This Row],[Ln'#]],Excellent!A$5:AW$54,7,FALSE)="FEO"),"Entered or FEO","Not Entered")</f>
        <v>Not Entered</v>
      </c>
      <c r="C10" s="50"/>
      <c r="D10" s="48"/>
      <c r="E10" s="48"/>
      <c r="F10" s="48" t="str">
        <f>IF(Table193[[#This Row],[Status]]="Not Entered","",VLOOKUP(Table193[[#This Row],[Ln'#]],Excellent!$A$5:$AU$54,3,FALSE))</f>
        <v/>
      </c>
      <c r="G1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0" s="51" t="str">
        <f>IF(Table193[[#This Row],[Status]]="Not Entered","",VLOOKUP(Table193[[#This Row],[Ln'#]],Excellent!$A$5:$AU$54,47,FALSE))</f>
        <v/>
      </c>
    </row>
    <row r="11" spans="1:9" ht="30" customHeight="1" x14ac:dyDescent="0.4">
      <c r="A11" s="49">
        <v>8</v>
      </c>
      <c r="B11" s="49" t="str">
        <f>IF(OR(VLOOKUP(Table193[[#This Row],[Ln'#]],Excellent!A$5:AW$54,7,FALSE)="E",VLOOKUP(Table193[[#This Row],[Ln'#]],Excellent!A$5:AW$54,7,FALSE)="FEO"),"Entered or FEO","Not Entered")</f>
        <v>Not Entered</v>
      </c>
      <c r="C11" s="50"/>
      <c r="D11" s="48"/>
      <c r="E11" s="48"/>
      <c r="F11" s="48" t="str">
        <f>IF(Table193[[#This Row],[Status]]="Not Entered","",VLOOKUP(Table193[[#This Row],[Ln'#]],Excellent!$A$5:$AU$54,3,FALSE))</f>
        <v/>
      </c>
      <c r="G1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1" s="51" t="str">
        <f>IF(Table193[[#This Row],[Status]]="Not Entered","",VLOOKUP(Table193[[#This Row],[Ln'#]],Excellent!$A$5:$AU$54,47,FALSE))</f>
        <v/>
      </c>
    </row>
    <row r="12" spans="1:9" ht="30" customHeight="1" x14ac:dyDescent="0.4">
      <c r="A12" s="49">
        <v>9</v>
      </c>
      <c r="B12" s="49" t="str">
        <f>IF(OR(VLOOKUP(Table193[[#This Row],[Ln'#]],Excellent!A$5:AW$54,7,FALSE)="E",VLOOKUP(Table193[[#This Row],[Ln'#]],Excellent!A$5:AW$54,7,FALSE)="FEO"),"Entered or FEO","Not Entered")</f>
        <v>Not Entered</v>
      </c>
      <c r="C12" s="50"/>
      <c r="D12" s="48"/>
      <c r="E12" s="48"/>
      <c r="F12" s="48" t="str">
        <f>IF(Table193[[#This Row],[Status]]="Not Entered","",VLOOKUP(Table193[[#This Row],[Ln'#]],Excellent!$A$5:$AU$54,3,FALSE))</f>
        <v/>
      </c>
      <c r="G1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2" s="51" t="str">
        <f>IF(Table193[[#This Row],[Status]]="Not Entered","",VLOOKUP(Table193[[#This Row],[Ln'#]],Excellent!$A$5:$AU$54,47,FALSE))</f>
        <v/>
      </c>
    </row>
    <row r="13" spans="1:9" ht="30" customHeight="1" x14ac:dyDescent="0.4">
      <c r="A13" s="49">
        <v>10</v>
      </c>
      <c r="B13" s="49" t="str">
        <f>IF(OR(VLOOKUP(Table193[[#This Row],[Ln'#]],Excellent!A$5:AW$54,7,FALSE)="E",VLOOKUP(Table193[[#This Row],[Ln'#]],Excellent!A$5:AW$54,7,FALSE)="FEO"),"Entered or FEO","Not Entered")</f>
        <v>Not Entered</v>
      </c>
      <c r="C13" s="50"/>
      <c r="D13" s="48"/>
      <c r="E13" s="48"/>
      <c r="F13" s="48" t="str">
        <f>IF(Table193[[#This Row],[Status]]="Not Entered","",VLOOKUP(Table193[[#This Row],[Ln'#]],Excellent!$A$5:$AU$54,3,FALSE))</f>
        <v/>
      </c>
      <c r="G1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3" s="51" t="str">
        <f>IF(Table193[[#This Row],[Status]]="Not Entered","",VLOOKUP(Table193[[#This Row],[Ln'#]],Excellent!$A$5:$AU$54,47,FALSE))</f>
        <v/>
      </c>
    </row>
    <row r="14" spans="1:9" ht="30" customHeight="1" x14ac:dyDescent="0.4">
      <c r="A14" s="49">
        <v>11</v>
      </c>
      <c r="B14" s="49" t="str">
        <f>IF(OR(VLOOKUP(Table193[[#This Row],[Ln'#]],Excellent!A$5:AW$54,7,FALSE)="E",VLOOKUP(Table193[[#This Row],[Ln'#]],Excellent!A$5:AW$54,7,FALSE)="FEO"),"Entered or FEO","Not Entered")</f>
        <v>Not Entered</v>
      </c>
      <c r="C14" s="50"/>
      <c r="D14" s="48"/>
      <c r="E14" s="48"/>
      <c r="F14" s="48" t="str">
        <f>IF(Table193[[#This Row],[Status]]="Not Entered","",VLOOKUP(Table193[[#This Row],[Ln'#]],Excellent!$A$5:$AU$54,3,FALSE))</f>
        <v/>
      </c>
      <c r="G1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4" s="51" t="str">
        <f>IF(Table193[[#This Row],[Status]]="Not Entered","",VLOOKUP(Table193[[#This Row],[Ln'#]],Excellent!$A$5:$AU$54,47,FALSE))</f>
        <v/>
      </c>
    </row>
    <row r="15" spans="1:9" ht="30" customHeight="1" x14ac:dyDescent="0.4">
      <c r="A15" s="49">
        <v>12</v>
      </c>
      <c r="B15" s="49" t="str">
        <f>IF(OR(VLOOKUP(Table193[[#This Row],[Ln'#]],Excellent!A$5:AW$54,7,FALSE)="E",VLOOKUP(Table193[[#This Row],[Ln'#]],Excellent!A$5:AW$54,7,FALSE)="FEO"),"Entered or FEO","Not Entered")</f>
        <v>Not Entered</v>
      </c>
      <c r="C15" s="50"/>
      <c r="D15" s="48"/>
      <c r="E15" s="48"/>
      <c r="F15" s="48" t="str">
        <f>IF(Table193[[#This Row],[Status]]="Not Entered","",VLOOKUP(Table193[[#This Row],[Ln'#]],Excellent!$A$5:$AU$54,3,FALSE))</f>
        <v/>
      </c>
      <c r="G1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5" s="51" t="str">
        <f>IF(Table193[[#This Row],[Status]]="Not Entered","",VLOOKUP(Table193[[#This Row],[Ln'#]],Excellent!$A$5:$AU$54,47,FALSE))</f>
        <v/>
      </c>
    </row>
    <row r="16" spans="1:9" ht="30" customHeight="1" x14ac:dyDescent="0.4">
      <c r="A16" s="49">
        <v>13</v>
      </c>
      <c r="B16" s="49" t="str">
        <f>IF(OR(VLOOKUP(Table193[[#This Row],[Ln'#]],Excellent!A$5:AW$54,7,FALSE)="E",VLOOKUP(Table193[[#This Row],[Ln'#]],Excellent!A$5:AW$54,7,FALSE)="FEO"),"Entered or FEO","Not Entered")</f>
        <v>Not Entered</v>
      </c>
      <c r="C16" s="50"/>
      <c r="D16" s="48"/>
      <c r="E16" s="48"/>
      <c r="F16" s="48" t="str">
        <f>IF(Table193[[#This Row],[Status]]="Not Entered","",VLOOKUP(Table193[[#This Row],[Ln'#]],Excellent!$A$5:$AU$54,3,FALSE))</f>
        <v/>
      </c>
      <c r="G1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6" s="51" t="str">
        <f>IF(Table193[[#This Row],[Status]]="Not Entered","",VLOOKUP(Table193[[#This Row],[Ln'#]],Excellent!$A$5:$AU$54,47,FALSE))</f>
        <v/>
      </c>
    </row>
    <row r="17" spans="1:8" ht="30" customHeight="1" x14ac:dyDescent="0.4">
      <c r="A17" s="49">
        <v>14</v>
      </c>
      <c r="B17" s="49" t="str">
        <f>IF(OR(VLOOKUP(Table193[[#This Row],[Ln'#]],Excellent!A$5:AW$54,7,FALSE)="E",VLOOKUP(Table193[[#This Row],[Ln'#]],Excellent!A$5:AW$54,7,FALSE)="FEO"),"Entered or FEO","Not Entered")</f>
        <v>Not Entered</v>
      </c>
      <c r="C17" s="50"/>
      <c r="D17" s="48"/>
      <c r="E17" s="48"/>
      <c r="F17" s="48" t="str">
        <f>IF(Table193[[#This Row],[Status]]="Not Entered","",VLOOKUP(Table193[[#This Row],[Ln'#]],Excellent!$A$5:$AU$54,3,FALSE))</f>
        <v/>
      </c>
      <c r="G1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7" s="51" t="str">
        <f>IF(Table193[[#This Row],[Status]]="Not Entered","",VLOOKUP(Table193[[#This Row],[Ln'#]],Excellent!$A$5:$AU$54,47,FALSE))</f>
        <v/>
      </c>
    </row>
    <row r="18" spans="1:8" ht="30" customHeight="1" x14ac:dyDescent="0.4">
      <c r="A18" s="49">
        <v>15</v>
      </c>
      <c r="B18" s="49" t="str">
        <f>IF(OR(VLOOKUP(Table193[[#This Row],[Ln'#]],Excellent!A$5:AW$54,7,FALSE)="E",VLOOKUP(Table193[[#This Row],[Ln'#]],Excellent!A$5:AW$54,7,FALSE)="FEO"),"Entered or FEO","Not Entered")</f>
        <v>Not Entered</v>
      </c>
      <c r="C18" s="50"/>
      <c r="D18" s="48"/>
      <c r="E18" s="48"/>
      <c r="F18" s="48" t="str">
        <f>IF(Table193[[#This Row],[Status]]="Not Entered","",VLOOKUP(Table193[[#This Row],[Ln'#]],Excellent!$A$5:$AU$54,3,FALSE))</f>
        <v/>
      </c>
      <c r="G1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8" s="51" t="str">
        <f>IF(Table193[[#This Row],[Status]]="Not Entered","",VLOOKUP(Table193[[#This Row],[Ln'#]],Excellent!$A$5:$AU$54,47,FALSE))</f>
        <v/>
      </c>
    </row>
    <row r="19" spans="1:8" ht="30" customHeight="1" x14ac:dyDescent="0.4">
      <c r="A19" s="49">
        <v>16</v>
      </c>
      <c r="B19" s="49" t="str">
        <f>IF(OR(VLOOKUP(Table193[[#This Row],[Ln'#]],Excellent!A$5:AW$54,7,FALSE)="E",VLOOKUP(Table193[[#This Row],[Ln'#]],Excellent!A$5:AW$54,7,FALSE)="FEO"),"Entered or FEO","Not Entered")</f>
        <v>Not Entered</v>
      </c>
      <c r="C19" s="50"/>
      <c r="D19" s="48"/>
      <c r="E19" s="48"/>
      <c r="F19" s="48" t="str">
        <f>IF(Table193[[#This Row],[Status]]="Not Entered","",VLOOKUP(Table193[[#This Row],[Ln'#]],Excellent!$A$5:$AU$54,3,FALSE))</f>
        <v/>
      </c>
      <c r="G1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9" s="51" t="str">
        <f>IF(Table193[[#This Row],[Status]]="Not Entered","",VLOOKUP(Table193[[#This Row],[Ln'#]],Excellent!$A$5:$AU$54,47,FALSE))</f>
        <v/>
      </c>
    </row>
    <row r="20" spans="1:8" ht="30" customHeight="1" x14ac:dyDescent="0.4">
      <c r="A20" s="49">
        <v>17</v>
      </c>
      <c r="B20" s="49" t="str">
        <f>IF(OR(VLOOKUP(Table193[[#This Row],[Ln'#]],Excellent!A$5:AW$54,7,FALSE)="E",VLOOKUP(Table193[[#This Row],[Ln'#]],Excellent!A$5:AW$54,7,FALSE)="FEO"),"Entered or FEO","Not Entered")</f>
        <v>Not Entered</v>
      </c>
      <c r="C20" s="50"/>
      <c r="D20" s="48"/>
      <c r="E20" s="48"/>
      <c r="F20" s="48" t="str">
        <f>IF(Table193[[#This Row],[Status]]="Not Entered","",VLOOKUP(Table193[[#This Row],[Ln'#]],Excellent!$A$5:$AU$54,3,FALSE))</f>
        <v/>
      </c>
      <c r="G2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0" s="51" t="str">
        <f>IF(Table193[[#This Row],[Status]]="Not Entered","",VLOOKUP(Table193[[#This Row],[Ln'#]],Excellent!$A$5:$AU$54,47,FALSE))</f>
        <v/>
      </c>
    </row>
    <row r="21" spans="1:8" ht="30" customHeight="1" x14ac:dyDescent="0.4">
      <c r="A21" s="49">
        <v>18</v>
      </c>
      <c r="B21" s="49" t="str">
        <f>IF(OR(VLOOKUP(Table193[[#This Row],[Ln'#]],Excellent!A$5:AW$54,7,FALSE)="E",VLOOKUP(Table193[[#This Row],[Ln'#]],Excellent!A$5:AW$54,7,FALSE)="FEO"),"Entered or FEO","Not Entered")</f>
        <v>Not Entered</v>
      </c>
      <c r="C21" s="50"/>
      <c r="D21" s="48"/>
      <c r="E21" s="48"/>
      <c r="F21" s="48" t="str">
        <f>IF(Table193[[#This Row],[Status]]="Not Entered","",VLOOKUP(Table193[[#This Row],[Ln'#]],Excellent!$A$5:$AU$54,3,FALSE))</f>
        <v/>
      </c>
      <c r="G2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1" s="51" t="str">
        <f>IF(Table193[[#This Row],[Status]]="Not Entered","",VLOOKUP(Table193[[#This Row],[Ln'#]],Excellent!$A$5:$AU$54,47,FALSE))</f>
        <v/>
      </c>
    </row>
    <row r="22" spans="1:8" ht="30" customHeight="1" x14ac:dyDescent="0.4">
      <c r="A22" s="49">
        <v>19</v>
      </c>
      <c r="B22" s="49" t="str">
        <f>IF(OR(VLOOKUP(Table193[[#This Row],[Ln'#]],Excellent!A$5:AW$54,7,FALSE)="E",VLOOKUP(Table193[[#This Row],[Ln'#]],Excellent!A$5:AW$54,7,FALSE)="FEO"),"Entered or FEO","Not Entered")</f>
        <v>Not Entered</v>
      </c>
      <c r="C22" s="50"/>
      <c r="D22" s="48"/>
      <c r="E22" s="48"/>
      <c r="F22" s="48" t="str">
        <f>IF(Table193[[#This Row],[Status]]="Not Entered","",VLOOKUP(Table193[[#This Row],[Ln'#]],Excellent!$A$5:$AU$54,3,FALSE))</f>
        <v/>
      </c>
      <c r="G2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2" s="51" t="str">
        <f>IF(Table193[[#This Row],[Status]]="Not Entered","",VLOOKUP(Table193[[#This Row],[Ln'#]],Excellent!$A$5:$AU$54,47,FALSE))</f>
        <v/>
      </c>
    </row>
    <row r="23" spans="1:8" ht="30" customHeight="1" x14ac:dyDescent="0.4">
      <c r="A23" s="49">
        <v>20</v>
      </c>
      <c r="B23" s="49" t="str">
        <f>IF(OR(VLOOKUP(Table193[[#This Row],[Ln'#]],Excellent!A$5:AW$54,7,FALSE)="E",VLOOKUP(Table193[[#This Row],[Ln'#]],Excellent!A$5:AW$54,7,FALSE)="FEO"),"Entered or FEO","Not Entered")</f>
        <v>Not Entered</v>
      </c>
      <c r="C23" s="50"/>
      <c r="D23" s="48"/>
      <c r="E23" s="48"/>
      <c r="F23" s="48" t="str">
        <f>IF(Table193[[#This Row],[Status]]="Not Entered","",VLOOKUP(Table193[[#This Row],[Ln'#]],Excellent!$A$5:$AU$54,3,FALSE))</f>
        <v/>
      </c>
      <c r="G2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3" s="51" t="str">
        <f>IF(Table193[[#This Row],[Status]]="Not Entered","",VLOOKUP(Table193[[#This Row],[Ln'#]],Excellent!$A$5:$AU$54,47,FALSE))</f>
        <v/>
      </c>
    </row>
    <row r="24" spans="1:8" ht="30" customHeight="1" x14ac:dyDescent="0.4">
      <c r="A24" s="49">
        <v>21</v>
      </c>
      <c r="B24" s="49" t="str">
        <f>IF(OR(VLOOKUP(Table193[[#This Row],[Ln'#]],Excellent!A$5:AW$54,7,FALSE)="E",VLOOKUP(Table193[[#This Row],[Ln'#]],Excellent!A$5:AW$54,7,FALSE)="FEO"),"Entered or FEO","Not Entered")</f>
        <v>Not Entered</v>
      </c>
      <c r="C24" s="50"/>
      <c r="D24" s="48"/>
      <c r="E24" s="48"/>
      <c r="F24" s="48" t="str">
        <f>IF(Table193[[#This Row],[Status]]="Not Entered","",VLOOKUP(Table193[[#This Row],[Ln'#]],Excellent!$A$5:$AU$54,3,FALSE))</f>
        <v/>
      </c>
      <c r="G2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4" s="51" t="str">
        <f>IF(Table193[[#This Row],[Status]]="Not Entered","",VLOOKUP(Table193[[#This Row],[Ln'#]],Excellent!$A$5:$AU$54,47,FALSE))</f>
        <v/>
      </c>
    </row>
    <row r="25" spans="1:8" ht="30" customHeight="1" x14ac:dyDescent="0.4">
      <c r="A25" s="243">
        <v>22</v>
      </c>
      <c r="B25" s="49" t="str">
        <f>IF(OR(VLOOKUP(Table193[[#This Row],[Ln'#]],Excellent!A$5:AW$54,7,FALSE)="E",VLOOKUP(Table193[[#This Row],[Ln'#]],Excellent!A$5:AW$54,7,FALSE)="FEO"),"Entered or FEO","Not Entered")</f>
        <v>Not Entered</v>
      </c>
      <c r="C25" s="50"/>
      <c r="D25" s="48"/>
      <c r="E25" s="48"/>
      <c r="F25" s="48" t="str">
        <f>IF(Table193[[#This Row],[Status]]="Not Entered","",VLOOKUP(Table193[[#This Row],[Ln'#]],Excellent!$A$5:$AU$54,3,FALSE))</f>
        <v/>
      </c>
      <c r="G2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5" s="51" t="str">
        <f>IF(Table193[[#This Row],[Status]]="Not Entered","",VLOOKUP(Table193[[#This Row],[Ln'#]],Excellent!$A$5:$AU$54,47,FALSE))</f>
        <v/>
      </c>
    </row>
    <row r="26" spans="1:8" ht="30" customHeight="1" x14ac:dyDescent="0.4">
      <c r="A26" s="243">
        <v>23</v>
      </c>
      <c r="B26" s="49" t="str">
        <f>IF(OR(VLOOKUP(Table193[[#This Row],[Ln'#]],Excellent!A$5:AW$54,7,FALSE)="E",VLOOKUP(Table193[[#This Row],[Ln'#]],Excellent!A$5:AW$54,7,FALSE)="FEO"),"Entered or FEO","Not Entered")</f>
        <v>Not Entered</v>
      </c>
      <c r="C26" s="50"/>
      <c r="D26" s="48"/>
      <c r="E26" s="48"/>
      <c r="F26" s="48" t="str">
        <f>IF(Table193[[#This Row],[Status]]="Not Entered","",VLOOKUP(Table193[[#This Row],[Ln'#]],Excellent!$A$5:$AU$54,3,FALSE))</f>
        <v/>
      </c>
      <c r="G2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6" s="51" t="str">
        <f>IF(Table193[[#This Row],[Status]]="Not Entered","",VLOOKUP(Table193[[#This Row],[Ln'#]],Excellent!$A$5:$AU$54,47,FALSE))</f>
        <v/>
      </c>
    </row>
    <row r="27" spans="1:8" ht="30" customHeight="1" x14ac:dyDescent="0.4">
      <c r="A27" s="243">
        <v>24</v>
      </c>
      <c r="B27" s="49" t="str">
        <f>IF(OR(VLOOKUP(Table193[[#This Row],[Ln'#]],Excellent!A$5:AW$54,7,FALSE)="E",VLOOKUP(Table193[[#This Row],[Ln'#]],Excellent!A$5:AW$54,7,FALSE)="FEO"),"Entered or FEO","Not Entered")</f>
        <v>Not Entered</v>
      </c>
      <c r="C27" s="50"/>
      <c r="D27" s="48"/>
      <c r="E27" s="48"/>
      <c r="F27" s="48" t="str">
        <f>IF(Table193[[#This Row],[Status]]="Not Entered","",VLOOKUP(Table193[[#This Row],[Ln'#]],Excellent!$A$5:$AU$54,3,FALSE))</f>
        <v/>
      </c>
      <c r="G2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7" s="51" t="str">
        <f>IF(Table193[[#This Row],[Status]]="Not Entered","",VLOOKUP(Table193[[#This Row],[Ln'#]],Excellent!$A$5:$AU$54,47,FALSE))</f>
        <v/>
      </c>
    </row>
    <row r="28" spans="1:8" ht="30" customHeight="1" x14ac:dyDescent="0.4">
      <c r="A28" s="243">
        <v>25</v>
      </c>
      <c r="B28" s="49" t="str">
        <f>IF(OR(VLOOKUP(Table193[[#This Row],[Ln'#]],Excellent!A$5:AW$54,7,FALSE)="E",VLOOKUP(Table193[[#This Row],[Ln'#]],Excellent!A$5:AW$54,7,FALSE)="FEO"),"Entered or FEO","Not Entered")</f>
        <v>Not Entered</v>
      </c>
      <c r="C28" s="50"/>
      <c r="D28" s="48"/>
      <c r="E28" s="48"/>
      <c r="F28" s="48" t="str">
        <f>IF(Table193[[#This Row],[Status]]="Not Entered","",VLOOKUP(Table193[[#This Row],[Ln'#]],Excellent!$A$5:$AU$54,3,FALSE))</f>
        <v/>
      </c>
      <c r="G2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8" s="51" t="str">
        <f>IF(Table193[[#This Row],[Status]]="Not Entered","",VLOOKUP(Table193[[#This Row],[Ln'#]],Excellent!$A$5:$AU$54,47,FALSE))</f>
        <v/>
      </c>
    </row>
    <row r="29" spans="1:8" ht="30" customHeight="1" x14ac:dyDescent="0.4">
      <c r="A29" s="243">
        <v>26</v>
      </c>
      <c r="B29" s="49" t="str">
        <f>IF(OR(VLOOKUP(Table193[[#This Row],[Ln'#]],Excellent!A$5:AW$54,7,FALSE)="E",VLOOKUP(Table193[[#This Row],[Ln'#]],Excellent!A$5:AW$54,7,FALSE)="FEO"),"Entered or FEO","Not Entered")</f>
        <v>Not Entered</v>
      </c>
      <c r="C29" s="50"/>
      <c r="D29" s="48"/>
      <c r="E29" s="48"/>
      <c r="F29" s="48" t="str">
        <f>IF(Table193[[#This Row],[Status]]="Not Entered","",VLOOKUP(Table193[[#This Row],[Ln'#]],Excellent!$A$5:$AU$54,3,FALSE))</f>
        <v/>
      </c>
      <c r="G2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9" s="51" t="str">
        <f>IF(Table193[[#This Row],[Status]]="Not Entered","",VLOOKUP(Table193[[#This Row],[Ln'#]],Excellent!$A$5:$AU$54,47,FALSE))</f>
        <v/>
      </c>
    </row>
    <row r="30" spans="1:8" ht="30" customHeight="1" x14ac:dyDescent="0.4">
      <c r="A30" s="243">
        <v>27</v>
      </c>
      <c r="B30" s="49" t="str">
        <f>IF(OR(VLOOKUP(Table193[[#This Row],[Ln'#]],Excellent!A$5:AW$54,7,FALSE)="E",VLOOKUP(Table193[[#This Row],[Ln'#]],Excellent!A$5:AW$54,7,FALSE)="FEO"),"Entered or FEO","Not Entered")</f>
        <v>Not Entered</v>
      </c>
      <c r="C30" s="50"/>
      <c r="D30" s="48"/>
      <c r="E30" s="48"/>
      <c r="F30" s="48" t="str">
        <f>IF(Table193[[#This Row],[Status]]="Not Entered","",VLOOKUP(Table193[[#This Row],[Ln'#]],Excellent!$A$5:$AU$54,3,FALSE))</f>
        <v/>
      </c>
      <c r="G3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0" s="51" t="str">
        <f>IF(Table193[[#This Row],[Status]]="Not Entered","",VLOOKUP(Table193[[#This Row],[Ln'#]],Excellent!$A$5:$AU$54,47,FALSE))</f>
        <v/>
      </c>
    </row>
    <row r="31" spans="1:8" ht="30" customHeight="1" x14ac:dyDescent="0.4">
      <c r="A31" s="243">
        <v>28</v>
      </c>
      <c r="B31" s="49" t="str">
        <f>IF(OR(VLOOKUP(Table193[[#This Row],[Ln'#]],Excellent!A$5:AW$54,7,FALSE)="E",VLOOKUP(Table193[[#This Row],[Ln'#]],Excellent!A$5:AW$54,7,FALSE)="FEO"),"Entered or FEO","Not Entered")</f>
        <v>Not Entered</v>
      </c>
      <c r="C31" s="50"/>
      <c r="D31" s="48"/>
      <c r="E31" s="48"/>
      <c r="F31" s="48" t="str">
        <f>IF(Table193[[#This Row],[Status]]="Not Entered","",VLOOKUP(Table193[[#This Row],[Ln'#]],Excellent!$A$5:$AU$54,3,FALSE))</f>
        <v/>
      </c>
      <c r="G3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1" s="51" t="str">
        <f>IF(Table193[[#This Row],[Status]]="Not Entered","",VLOOKUP(Table193[[#This Row],[Ln'#]],Excellent!$A$5:$AU$54,47,FALSE))</f>
        <v/>
      </c>
    </row>
    <row r="32" spans="1:8" ht="30" customHeight="1" x14ac:dyDescent="0.4">
      <c r="A32" s="243">
        <v>29</v>
      </c>
      <c r="B32" s="49" t="str">
        <f>IF(OR(VLOOKUP(Table193[[#This Row],[Ln'#]],Excellent!A$5:AW$54,7,FALSE)="E",VLOOKUP(Table193[[#This Row],[Ln'#]],Excellent!A$5:AW$54,7,FALSE)="FEO"),"Entered or FEO","Not Entered")</f>
        <v>Not Entered</v>
      </c>
      <c r="C32" s="50"/>
      <c r="D32" s="48"/>
      <c r="E32" s="48"/>
      <c r="F32" s="48" t="str">
        <f>IF(Table193[[#This Row],[Status]]="Not Entered","",VLOOKUP(Table193[[#This Row],[Ln'#]],Excellent!$A$5:$AU$54,3,FALSE))</f>
        <v/>
      </c>
      <c r="G3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2" s="51" t="str">
        <f>IF(Table193[[#This Row],[Status]]="Not Entered","",VLOOKUP(Table193[[#This Row],[Ln'#]],Excellent!$A$5:$AU$54,47,FALSE))</f>
        <v/>
      </c>
    </row>
    <row r="33" spans="1:8" ht="30" customHeight="1" x14ac:dyDescent="0.4">
      <c r="A33" s="243">
        <v>30</v>
      </c>
      <c r="B33" s="49" t="str">
        <f>IF(OR(VLOOKUP(Table193[[#This Row],[Ln'#]],Excellent!A$5:AW$54,7,FALSE)="E",VLOOKUP(Table193[[#This Row],[Ln'#]],Excellent!A$5:AW$54,7,FALSE)="FEO"),"Entered or FEO","Not Entered")</f>
        <v>Not Entered</v>
      </c>
      <c r="C33" s="50"/>
      <c r="D33" s="48"/>
      <c r="E33" s="48"/>
      <c r="F33" s="48" t="str">
        <f>IF(Table193[[#This Row],[Status]]="Not Entered","",VLOOKUP(Table193[[#This Row],[Ln'#]],Excellent!$A$5:$AU$54,3,FALSE))</f>
        <v/>
      </c>
      <c r="G3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3" s="51" t="str">
        <f>IF(Table193[[#This Row],[Status]]="Not Entered","",VLOOKUP(Table193[[#This Row],[Ln'#]],Excellent!$A$5:$AU$54,47,FALSE))</f>
        <v/>
      </c>
    </row>
    <row r="34" spans="1:8" ht="30" customHeight="1" x14ac:dyDescent="0.4">
      <c r="A34" s="243">
        <v>31</v>
      </c>
      <c r="B34" s="49" t="str">
        <f>IF(OR(VLOOKUP(Table193[[#This Row],[Ln'#]],Excellent!A$5:AW$54,7,FALSE)="E",VLOOKUP(Table193[[#This Row],[Ln'#]],Excellent!A$5:AW$54,7,FALSE)="FEO"),"Entered or FEO","Not Entered")</f>
        <v>Not Entered</v>
      </c>
      <c r="C34" s="50"/>
      <c r="D34" s="48"/>
      <c r="E34" s="48"/>
      <c r="F34" s="48" t="str">
        <f>IF(Table193[[#This Row],[Status]]="Not Entered","",VLOOKUP(Table193[[#This Row],[Ln'#]],Excellent!$A$5:$AU$54,3,FALSE))</f>
        <v/>
      </c>
      <c r="G3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4" s="51" t="str">
        <f>IF(Table193[[#This Row],[Status]]="Not Entered","",VLOOKUP(Table193[[#This Row],[Ln'#]],Excellent!$A$5:$AU$54,47,FALSE))</f>
        <v/>
      </c>
    </row>
    <row r="35" spans="1:8" ht="30" customHeight="1" x14ac:dyDescent="0.4">
      <c r="A35" s="243">
        <v>32</v>
      </c>
      <c r="B35" s="49" t="str">
        <f>IF(OR(VLOOKUP(Table193[[#This Row],[Ln'#]],Excellent!A$5:AW$54,7,FALSE)="E",VLOOKUP(Table193[[#This Row],[Ln'#]],Excellent!A$5:AW$54,7,FALSE)="FEO"),"Entered or FEO","Not Entered")</f>
        <v>Not Entered</v>
      </c>
      <c r="C35" s="50"/>
      <c r="D35" s="48"/>
      <c r="E35" s="48"/>
      <c r="F35" s="48" t="str">
        <f>IF(Table193[[#This Row],[Status]]="Not Entered","",VLOOKUP(Table193[[#This Row],[Ln'#]],Excellent!$A$5:$AU$54,3,FALSE))</f>
        <v/>
      </c>
      <c r="G3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5" s="51" t="str">
        <f>IF(Table193[[#This Row],[Status]]="Not Entered","",VLOOKUP(Table193[[#This Row],[Ln'#]],Excellent!$A$5:$AU$54,47,FALSE))</f>
        <v/>
      </c>
    </row>
    <row r="36" spans="1:8" ht="30" customHeight="1" x14ac:dyDescent="0.4">
      <c r="A36" s="243">
        <v>33</v>
      </c>
      <c r="B36" s="49" t="str">
        <f>IF(OR(VLOOKUP(Table193[[#This Row],[Ln'#]],Excellent!A$5:AW$54,7,FALSE)="E",VLOOKUP(Table193[[#This Row],[Ln'#]],Excellent!A$5:AW$54,7,FALSE)="FEO"),"Entered or FEO","Not Entered")</f>
        <v>Not Entered</v>
      </c>
      <c r="C36" s="50"/>
      <c r="D36" s="48"/>
      <c r="E36" s="48"/>
      <c r="F36" s="48" t="str">
        <f>IF(Table193[[#This Row],[Status]]="Not Entered","",VLOOKUP(Table193[[#This Row],[Ln'#]],Excellent!$A$5:$AU$54,3,FALSE))</f>
        <v/>
      </c>
      <c r="G3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6" s="51" t="str">
        <f>IF(Table193[[#This Row],[Status]]="Not Entered","",VLOOKUP(Table193[[#This Row],[Ln'#]],Excellent!$A$5:$AU$54,47,FALSE))</f>
        <v/>
      </c>
    </row>
    <row r="37" spans="1:8" ht="30" customHeight="1" x14ac:dyDescent="0.4">
      <c r="A37" s="243">
        <v>34</v>
      </c>
      <c r="B37" s="49" t="str">
        <f>IF(OR(VLOOKUP(Table193[[#This Row],[Ln'#]],Excellent!A$5:AW$54,7,FALSE)="E",VLOOKUP(Table193[[#This Row],[Ln'#]],Excellent!A$5:AW$54,7,FALSE)="FEO"),"Entered or FEO","Not Entered")</f>
        <v>Not Entered</v>
      </c>
      <c r="C37" s="50"/>
      <c r="D37" s="48"/>
      <c r="E37" s="48"/>
      <c r="F37" s="48" t="str">
        <f>IF(Table193[[#This Row],[Status]]="Not Entered","",VLOOKUP(Table193[[#This Row],[Ln'#]],Excellent!$A$5:$AU$54,3,FALSE))</f>
        <v/>
      </c>
      <c r="G3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7" s="51" t="str">
        <f>IF(Table193[[#This Row],[Status]]="Not Entered","",VLOOKUP(Table193[[#This Row],[Ln'#]],Excellent!$A$5:$AU$54,47,FALSE))</f>
        <v/>
      </c>
    </row>
    <row r="38" spans="1:8" ht="30" customHeight="1" x14ac:dyDescent="0.4">
      <c r="A38" s="243">
        <v>35</v>
      </c>
      <c r="B38" s="49" t="str">
        <f>IF(OR(VLOOKUP(Table193[[#This Row],[Ln'#]],Excellent!A$5:AW$54,7,FALSE)="E",VLOOKUP(Table193[[#This Row],[Ln'#]],Excellent!A$5:AW$54,7,FALSE)="FEO"),"Entered or FEO","Not Entered")</f>
        <v>Not Entered</v>
      </c>
      <c r="C38" s="50"/>
      <c r="D38" s="48"/>
      <c r="E38" s="48"/>
      <c r="F38" s="48" t="str">
        <f>IF(Table193[[#This Row],[Status]]="Not Entered","",VLOOKUP(Table193[[#This Row],[Ln'#]],Excellent!$A$5:$AU$54,3,FALSE))</f>
        <v/>
      </c>
      <c r="G3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8" s="51" t="str">
        <f>IF(Table193[[#This Row],[Status]]="Not Entered","",VLOOKUP(Table193[[#This Row],[Ln'#]],Excellent!$A$5:$AU$54,47,FALSE))</f>
        <v/>
      </c>
    </row>
    <row r="39" spans="1:8" ht="30" customHeight="1" x14ac:dyDescent="0.4">
      <c r="A39" s="243">
        <v>36</v>
      </c>
      <c r="B39" s="49" t="str">
        <f>IF(OR(VLOOKUP(Table193[[#This Row],[Ln'#]],Excellent!A$5:AW$54,7,FALSE)="E",VLOOKUP(Table193[[#This Row],[Ln'#]],Excellent!A$5:AW$54,7,FALSE)="FEO"),"Entered or FEO","Not Entered")</f>
        <v>Not Entered</v>
      </c>
      <c r="C39" s="50"/>
      <c r="D39" s="48"/>
      <c r="E39" s="48"/>
      <c r="F39" s="48" t="str">
        <f>IF(Table193[[#This Row],[Status]]="Not Entered","",VLOOKUP(Table193[[#This Row],[Ln'#]],Excellent!$A$5:$AU$54,3,FALSE))</f>
        <v/>
      </c>
      <c r="G3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9" s="51" t="str">
        <f>IF(Table193[[#This Row],[Status]]="Not Entered","",VLOOKUP(Table193[[#This Row],[Ln'#]],Excellent!$A$5:$AU$54,47,FALSE))</f>
        <v/>
      </c>
    </row>
    <row r="40" spans="1:8" ht="30" customHeight="1" x14ac:dyDescent="0.4">
      <c r="A40" s="243">
        <v>37</v>
      </c>
      <c r="B40" s="49" t="str">
        <f>IF(OR(VLOOKUP(Table193[[#This Row],[Ln'#]],Excellent!A$5:AW$54,7,FALSE)="E",VLOOKUP(Table193[[#This Row],[Ln'#]],Excellent!A$5:AW$54,7,FALSE)="FEO"),"Entered or FEO","Not Entered")</f>
        <v>Not Entered</v>
      </c>
      <c r="C40" s="50"/>
      <c r="D40" s="48"/>
      <c r="E40" s="48"/>
      <c r="F40" s="48" t="str">
        <f>IF(Table193[[#This Row],[Status]]="Not Entered","",VLOOKUP(Table193[[#This Row],[Ln'#]],Excellent!$A$5:$AU$54,3,FALSE))</f>
        <v/>
      </c>
      <c r="G4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0" s="51" t="str">
        <f>IF(Table193[[#This Row],[Status]]="Not Entered","",VLOOKUP(Table193[[#This Row],[Ln'#]],Excellent!$A$5:$AU$54,47,FALSE))</f>
        <v/>
      </c>
    </row>
    <row r="41" spans="1:8" ht="30" customHeight="1" x14ac:dyDescent="0.4">
      <c r="A41" s="243">
        <v>38</v>
      </c>
      <c r="B41" s="49" t="str">
        <f>IF(OR(VLOOKUP(Table193[[#This Row],[Ln'#]],Excellent!A$5:AW$54,7,FALSE)="E",VLOOKUP(Table193[[#This Row],[Ln'#]],Excellent!A$5:AW$54,7,FALSE)="FEO"),"Entered or FEO","Not Entered")</f>
        <v>Not Entered</v>
      </c>
      <c r="C41" s="50"/>
      <c r="D41" s="48"/>
      <c r="E41" s="48"/>
      <c r="F41" s="48" t="str">
        <f>IF(Table193[[#This Row],[Status]]="Not Entered","",VLOOKUP(Table193[[#This Row],[Ln'#]],Excellent!$A$5:$AU$54,3,FALSE))</f>
        <v/>
      </c>
      <c r="G4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1" s="51" t="str">
        <f>IF(Table193[[#This Row],[Status]]="Not Entered","",VLOOKUP(Table193[[#This Row],[Ln'#]],Excellent!$A$5:$AU$54,47,FALSE))</f>
        <v/>
      </c>
    </row>
    <row r="42" spans="1:8" ht="30" customHeight="1" x14ac:dyDescent="0.4">
      <c r="A42" s="243">
        <v>39</v>
      </c>
      <c r="B42" s="49" t="str">
        <f>IF(OR(VLOOKUP(Table193[[#This Row],[Ln'#]],Excellent!A$5:AW$54,7,FALSE)="E",VLOOKUP(Table193[[#This Row],[Ln'#]],Excellent!A$5:AW$54,7,FALSE)="FEO"),"Entered or FEO","Not Entered")</f>
        <v>Not Entered</v>
      </c>
      <c r="C42" s="50"/>
      <c r="D42" s="48"/>
      <c r="E42" s="48"/>
      <c r="F42" s="48" t="str">
        <f>IF(Table193[[#This Row],[Status]]="Not Entered","",VLOOKUP(Table193[[#This Row],[Ln'#]],Excellent!$A$5:$AU$54,3,FALSE))</f>
        <v/>
      </c>
      <c r="G4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2" s="51" t="str">
        <f>IF(Table193[[#This Row],[Status]]="Not Entered","",VLOOKUP(Table193[[#This Row],[Ln'#]],Excellent!$A$5:$AU$54,47,FALSE))</f>
        <v/>
      </c>
    </row>
    <row r="43" spans="1:8" ht="30" customHeight="1" x14ac:dyDescent="0.4">
      <c r="A43" s="243">
        <v>40</v>
      </c>
      <c r="B43" s="49" t="str">
        <f>IF(OR(VLOOKUP(Table193[[#This Row],[Ln'#]],Excellent!A$5:AW$54,7,FALSE)="E",VLOOKUP(Table193[[#This Row],[Ln'#]],Excellent!A$5:AW$54,7,FALSE)="FEO"),"Entered or FEO","Not Entered")</f>
        <v>Not Entered</v>
      </c>
      <c r="C43" s="50"/>
      <c r="D43" s="48"/>
      <c r="E43" s="48"/>
      <c r="F43" s="48" t="str">
        <f>IF(Table193[[#This Row],[Status]]="Not Entered","",VLOOKUP(Table193[[#This Row],[Ln'#]],Excellent!$A$5:$AU$54,3,FALSE))</f>
        <v/>
      </c>
      <c r="G4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3" s="51" t="str">
        <f>IF(Table193[[#This Row],[Status]]="Not Entered","",VLOOKUP(Table193[[#This Row],[Ln'#]],Excellent!$A$5:$AU$54,47,FALSE))</f>
        <v/>
      </c>
    </row>
    <row r="44" spans="1:8" ht="30" customHeight="1" x14ac:dyDescent="0.4">
      <c r="A44" s="243">
        <v>41</v>
      </c>
      <c r="B44" s="49" t="str">
        <f>IF(OR(VLOOKUP(Table193[[#This Row],[Ln'#]],Excellent!A$5:AW$54,7,FALSE)="E",VLOOKUP(Table193[[#This Row],[Ln'#]],Excellent!A$5:AW$54,7,FALSE)="FEO"),"Entered or FEO","Not Entered")</f>
        <v>Not Entered</v>
      </c>
      <c r="C44" s="50"/>
      <c r="D44" s="48"/>
      <c r="E44" s="48"/>
      <c r="F44" s="48" t="str">
        <f>IF(Table193[[#This Row],[Status]]="Not Entered","",VLOOKUP(Table193[[#This Row],[Ln'#]],Excellent!$A$5:$AU$54,3,FALSE))</f>
        <v/>
      </c>
      <c r="G4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4" s="51" t="str">
        <f>IF(Table193[[#This Row],[Status]]="Not Entered","",VLOOKUP(Table193[[#This Row],[Ln'#]],Excellent!$A$5:$AU$54,47,FALSE))</f>
        <v/>
      </c>
    </row>
    <row r="45" spans="1:8" ht="30" customHeight="1" x14ac:dyDescent="0.4">
      <c r="A45" s="243">
        <v>42</v>
      </c>
      <c r="B45" s="49" t="str">
        <f>IF(OR(VLOOKUP(Table193[[#This Row],[Ln'#]],Excellent!A$5:AW$54,7,FALSE)="E",VLOOKUP(Table193[[#This Row],[Ln'#]],Excellent!A$5:AW$54,7,FALSE)="FEO"),"Entered or FEO","Not Entered")</f>
        <v>Not Entered</v>
      </c>
      <c r="C45" s="50"/>
      <c r="D45" s="48"/>
      <c r="E45" s="48"/>
      <c r="F45" s="48" t="str">
        <f>IF(Table193[[#This Row],[Status]]="Not Entered","",VLOOKUP(Table193[[#This Row],[Ln'#]],Excellent!$A$5:$AU$54,3,FALSE))</f>
        <v/>
      </c>
      <c r="G4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5" s="51" t="str">
        <f>IF(Table193[[#This Row],[Status]]="Not Entered","",VLOOKUP(Table193[[#This Row],[Ln'#]],Excellent!$A$5:$AU$54,47,FALSE))</f>
        <v/>
      </c>
    </row>
    <row r="46" spans="1:8" ht="30" customHeight="1" x14ac:dyDescent="0.4">
      <c r="A46" s="243">
        <v>43</v>
      </c>
      <c r="B46" s="49" t="str">
        <f>IF(OR(VLOOKUP(Table193[[#This Row],[Ln'#]],Excellent!A$5:AW$54,7,FALSE)="E",VLOOKUP(Table193[[#This Row],[Ln'#]],Excellent!A$5:AW$54,7,FALSE)="FEO"),"Entered or FEO","Not Entered")</f>
        <v>Not Entered</v>
      </c>
      <c r="C46" s="50"/>
      <c r="D46" s="48"/>
      <c r="E46" s="48"/>
      <c r="F46" s="48" t="str">
        <f>IF(Table193[[#This Row],[Status]]="Not Entered","",VLOOKUP(Table193[[#This Row],[Ln'#]],Excellent!$A$5:$AU$54,3,FALSE))</f>
        <v/>
      </c>
      <c r="G4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6" s="51" t="str">
        <f>IF(Table193[[#This Row],[Status]]="Not Entered","",VLOOKUP(Table193[[#This Row],[Ln'#]],Excellent!$A$5:$AU$54,47,FALSE))</f>
        <v/>
      </c>
    </row>
    <row r="47" spans="1:8" ht="30" customHeight="1" x14ac:dyDescent="0.4">
      <c r="A47" s="243">
        <v>44</v>
      </c>
      <c r="B47" s="49" t="str">
        <f>IF(OR(VLOOKUP(Table193[[#This Row],[Ln'#]],Excellent!A$5:AW$54,7,FALSE)="E",VLOOKUP(Table193[[#This Row],[Ln'#]],Excellent!A$5:AW$54,7,FALSE)="FEO"),"Entered or FEO","Not Entered")</f>
        <v>Not Entered</v>
      </c>
      <c r="C47" s="50"/>
      <c r="D47" s="48"/>
      <c r="E47" s="48"/>
      <c r="F47" s="48" t="str">
        <f>IF(Table193[[#This Row],[Status]]="Not Entered","",VLOOKUP(Table193[[#This Row],[Ln'#]],Excellent!$A$5:$AU$54,3,FALSE))</f>
        <v/>
      </c>
      <c r="G4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7" s="51" t="str">
        <f>IF(Table193[[#This Row],[Status]]="Not Entered","",VLOOKUP(Table193[[#This Row],[Ln'#]],Excellent!$A$5:$AU$54,47,FALSE))</f>
        <v/>
      </c>
    </row>
    <row r="48" spans="1:8" ht="30" customHeight="1" x14ac:dyDescent="0.4">
      <c r="A48" s="243">
        <v>45</v>
      </c>
      <c r="B48" s="49" t="str">
        <f>IF(OR(VLOOKUP(Table193[[#This Row],[Ln'#]],Excellent!A$5:AW$54,7,FALSE)="E",VLOOKUP(Table193[[#This Row],[Ln'#]],Excellent!A$5:AW$54,7,FALSE)="FEO"),"Entered or FEO","Not Entered")</f>
        <v>Not Entered</v>
      </c>
      <c r="C48" s="50"/>
      <c r="D48" s="48"/>
      <c r="E48" s="48"/>
      <c r="F48" s="48" t="str">
        <f>IF(Table193[[#This Row],[Status]]="Not Entered","",VLOOKUP(Table193[[#This Row],[Ln'#]],Excellent!$A$5:$AU$54,3,FALSE))</f>
        <v/>
      </c>
      <c r="G4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8" s="51" t="str">
        <f>IF(Table193[[#This Row],[Status]]="Not Entered","",VLOOKUP(Table193[[#This Row],[Ln'#]],Excellent!$A$5:$AU$54,47,FALSE))</f>
        <v/>
      </c>
    </row>
    <row r="49" spans="1:19" ht="30" customHeight="1" x14ac:dyDescent="0.4">
      <c r="A49" s="243">
        <v>46</v>
      </c>
      <c r="B49" s="49" t="str">
        <f>IF(OR(VLOOKUP(Table193[[#This Row],[Ln'#]],Excellent!A$5:AW$54,7,FALSE)="E",VLOOKUP(Table193[[#This Row],[Ln'#]],Excellent!A$5:AW$54,7,FALSE)="FEO"),"Entered or FEO","Not Entered")</f>
        <v>Not Entered</v>
      </c>
      <c r="C49" s="50"/>
      <c r="D49" s="48"/>
      <c r="E49" s="48"/>
      <c r="F49" s="48" t="str">
        <f>IF(Table193[[#This Row],[Status]]="Not Entered","",VLOOKUP(Table193[[#This Row],[Ln'#]],Excellent!$A$5:$AU$54,3,FALSE))</f>
        <v/>
      </c>
      <c r="G4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9" s="51" t="str">
        <f>IF(Table193[[#This Row],[Status]]="Not Entered","",VLOOKUP(Table193[[#This Row],[Ln'#]],Excellent!$A$5:$AU$54,47,FALSE))</f>
        <v/>
      </c>
    </row>
    <row r="50" spans="1:19" ht="30" customHeight="1" x14ac:dyDescent="0.4">
      <c r="A50" s="243">
        <v>47</v>
      </c>
      <c r="B50" s="49" t="str">
        <f>IF(OR(VLOOKUP(Table193[[#This Row],[Ln'#]],Excellent!A$5:AW$54,7,FALSE)="E",VLOOKUP(Table193[[#This Row],[Ln'#]],Excellent!A$5:AW$54,7,FALSE)="FEO"),"Entered or FEO","Not Entered")</f>
        <v>Not Entered</v>
      </c>
      <c r="C50" s="50"/>
      <c r="D50" s="48"/>
      <c r="E50" s="48"/>
      <c r="F50" s="48" t="str">
        <f>IF(Table193[[#This Row],[Status]]="Not Entered","",VLOOKUP(Table193[[#This Row],[Ln'#]],Excellent!$A$5:$AU$54,3,FALSE))</f>
        <v/>
      </c>
      <c r="G5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0" s="51" t="str">
        <f>IF(Table193[[#This Row],[Status]]="Not Entered","",VLOOKUP(Table193[[#This Row],[Ln'#]],Excellent!$A$5:$AU$54,47,FALSE))</f>
        <v/>
      </c>
    </row>
    <row r="51" spans="1:19" ht="30" customHeight="1" x14ac:dyDescent="0.4">
      <c r="A51" s="243">
        <v>48</v>
      </c>
      <c r="B51" s="49" t="str">
        <f>IF(OR(VLOOKUP(Table193[[#This Row],[Ln'#]],Excellent!A$5:AW$54,7,FALSE)="E",VLOOKUP(Table193[[#This Row],[Ln'#]],Excellent!A$5:AW$54,7,FALSE)="FEO"),"Entered or FEO","Not Entered")</f>
        <v>Not Entered</v>
      </c>
      <c r="C51" s="50"/>
      <c r="D51" s="48"/>
      <c r="E51" s="48"/>
      <c r="F51" s="48" t="str">
        <f>IF(Table193[[#This Row],[Status]]="Not Entered","",VLOOKUP(Table193[[#This Row],[Ln'#]],Excellent!$A$5:$AU$54,3,FALSE))</f>
        <v/>
      </c>
      <c r="G5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1" s="51" t="str">
        <f>IF(Table193[[#This Row],[Status]]="Not Entered","",VLOOKUP(Table193[[#This Row],[Ln'#]],Excellent!$A$5:$AU$54,47,FALSE))</f>
        <v/>
      </c>
    </row>
    <row r="52" spans="1:19" ht="30" customHeight="1" x14ac:dyDescent="0.4">
      <c r="A52" s="243">
        <v>49</v>
      </c>
      <c r="B52" s="49" t="str">
        <f>IF(OR(VLOOKUP(Table193[[#This Row],[Ln'#]],Excellent!A$5:AW$54,7,FALSE)="E",VLOOKUP(Table193[[#This Row],[Ln'#]],Excellent!A$5:AW$54,7,FALSE)="FEO"),"Entered or FEO","Not Entered")</f>
        <v>Not Entered</v>
      </c>
      <c r="C52" s="50"/>
      <c r="D52" s="48"/>
      <c r="E52" s="48"/>
      <c r="F52" s="48" t="str">
        <f>IF(Table193[[#This Row],[Status]]="Not Entered","",VLOOKUP(Table193[[#This Row],[Ln'#]],Excellent!$A$5:$AU$54,3,FALSE))</f>
        <v/>
      </c>
      <c r="G5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2" s="51" t="str">
        <f>IF(Table193[[#This Row],[Status]]="Not Entered","",VLOOKUP(Table193[[#This Row],[Ln'#]],Excellent!$A$5:$AU$54,47,FALSE))</f>
        <v/>
      </c>
    </row>
    <row r="53" spans="1:19" ht="30" customHeight="1" x14ac:dyDescent="0.4">
      <c r="A53" s="243">
        <v>50</v>
      </c>
      <c r="B53" s="49" t="str">
        <f>IF(OR(VLOOKUP(Table193[[#This Row],[Ln'#]],Excellent!A$5:AW$54,7,FALSE)="E",VLOOKUP(Table193[[#This Row],[Ln'#]],Excellent!A$5:AW$54,7,FALSE)="FEO"),"Entered or FEO","Not Entered")</f>
        <v>Not Entered</v>
      </c>
      <c r="C53" s="50"/>
      <c r="D53" s="48"/>
      <c r="E53" s="48"/>
      <c r="F53" s="48" t="str">
        <f>IF(Table193[[#This Row],[Status]]="Not Entered","",VLOOKUP(Table193[[#This Row],[Ln'#]],Excellent!$A$5:$AU$54,3,FALSE))</f>
        <v/>
      </c>
      <c r="G5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3" s="51" t="str">
        <f>IF(Table193[[#This Row],[Status]]="Not Entered","",VLOOKUP(Table193[[#This Row],[Ln'#]],Excellent!$A$5:$AU$54,47,FALSE))</f>
        <v/>
      </c>
    </row>
    <row r="54" spans="1:19" ht="30" customHeight="1" x14ac:dyDescent="0.4">
      <c r="A54" s="48"/>
      <c r="B54" s="48"/>
      <c r="C54" s="48"/>
      <c r="D54" s="48" t="s">
        <v>1141</v>
      </c>
      <c r="E54" s="48">
        <f>SUBTOTAL(102,Table193[Running Order])</f>
        <v>0</v>
      </c>
      <c r="F54" s="48"/>
      <c r="G54" s="51"/>
      <c r="H54" s="51"/>
    </row>
    <row r="55" spans="1:19" ht="30" customHeight="1" x14ac:dyDescent="0.4">
      <c r="A55" s="116"/>
      <c r="B55" s="116"/>
      <c r="C55" s="116"/>
      <c r="D55" s="116"/>
      <c r="E55" s="116"/>
      <c r="F55" s="116"/>
      <c r="G55" s="116"/>
      <c r="H55" s="117"/>
      <c r="I55" s="117"/>
      <c r="K55" s="48"/>
      <c r="L55" s="48"/>
      <c r="M55" s="48"/>
      <c r="N55" s="48"/>
      <c r="O55" s="48"/>
      <c r="P55" s="48"/>
      <c r="Q55" s="48"/>
      <c r="R55" s="51"/>
      <c r="S55" s="51"/>
    </row>
    <row r="56" spans="1:19" ht="30" customHeight="1" x14ac:dyDescent="0.4">
      <c r="A56" s="192" t="s">
        <v>1143</v>
      </c>
      <c r="B56" s="403" t="s">
        <v>2536</v>
      </c>
      <c r="C56" s="403"/>
      <c r="D56" s="403"/>
      <c r="E56" s="403"/>
      <c r="F56" s="403"/>
      <c r="G56" s="403"/>
      <c r="H56" s="403"/>
      <c r="I56" s="403"/>
      <c r="K56" s="48"/>
      <c r="L56" s="48"/>
      <c r="M56" s="48"/>
      <c r="N56" s="48"/>
      <c r="O56" s="48"/>
      <c r="P56" s="48"/>
      <c r="Q56" s="48"/>
      <c r="R56" s="51"/>
      <c r="S56" s="51"/>
    </row>
    <row r="57" spans="1:19" ht="47.25" x14ac:dyDescent="0.4">
      <c r="A57" s="67" t="s">
        <v>605</v>
      </c>
      <c r="B57" s="67" t="s">
        <v>2493</v>
      </c>
      <c r="C57" s="67" t="s">
        <v>2494</v>
      </c>
      <c r="D57" s="67" t="s">
        <v>1142</v>
      </c>
      <c r="E57" s="67" t="s">
        <v>1135</v>
      </c>
      <c r="F57" s="67" t="s">
        <v>1136</v>
      </c>
      <c r="G57" s="69" t="s">
        <v>1207</v>
      </c>
      <c r="H57" s="69" t="s">
        <v>1137</v>
      </c>
      <c r="J57" s="48"/>
      <c r="K57" s="48"/>
      <c r="L57" s="48"/>
      <c r="M57" s="48"/>
      <c r="N57" s="48"/>
      <c r="O57" s="48"/>
      <c r="P57" s="48"/>
      <c r="Q57" s="51"/>
      <c r="R57" s="51"/>
    </row>
    <row r="58" spans="1:19" ht="30" customHeight="1" x14ac:dyDescent="0.45">
      <c r="A58" s="49">
        <v>1</v>
      </c>
      <c r="B58" s="144" t="str">
        <f>IF(OR(VLOOKUP(Table1313429[[#This Row],[Ln'#]],Excellent!A$5:AU$54,7,FALSE)="E",VLOOKUP(Table1313429[[#This Row],[Ln'#]],Excellent!A$5:AU$54,7,FALSE)="FEO"),"x","")</f>
        <v/>
      </c>
      <c r="C58" s="144" t="str">
        <f>IF(OR(VLOOKUP(Table1313429[[#This Row],[Ln'#]],Excellent!A$5:AU$54,15,FALSE)="E",VLOOKUP(Table1313429[[#This Row],[Ln'#]],Excellent!A$5:AU$54,15,FALSE)="FEO"),"x","")</f>
        <v/>
      </c>
      <c r="D58" s="48"/>
      <c r="E58" s="48"/>
      <c r="F58" s="48" t="str">
        <f>IF(AND(Table1313429[[#This Row],[Status Container]]="",Table1313429[[#This Row],[Status Interior]]=""),"",VLOOKUP(Table1313429[[#This Row],[Ln'#]],Excellent!$A$5:$AU$54,3,FALSE))</f>
        <v/>
      </c>
      <c r="G58" s="51" t="str">
        <f>IF(Table1313429[[#This Row],[Dog ID]]="","",(VLOOKUP(Table1313429[[#This Row],[Dog ID]],Excellent!C$5:$D$54,2,FALSE)&amp;" - " &amp;VLOOKUP(Table1313429[[#This Row],[Dog ID]],'SDDA Dogs'!A:C,3,FALSE)))</f>
        <v/>
      </c>
      <c r="H58" s="51" t="str">
        <f>IF(Table1313429[[#This Row],[Dog ID]]="","",(VLOOKUP(Table1313429[[#This Row],[Dog ID]],Excellent!C$5:$AU54,45,FALSE)))</f>
        <v/>
      </c>
      <c r="J58" s="48"/>
      <c r="K58" s="48"/>
      <c r="L58" s="48"/>
      <c r="M58" s="48"/>
      <c r="N58" s="48"/>
      <c r="O58" s="48"/>
      <c r="P58" s="48"/>
      <c r="Q58" s="51"/>
      <c r="R58" s="51"/>
    </row>
    <row r="59" spans="1:19" ht="30" customHeight="1" x14ac:dyDescent="0.45">
      <c r="A59" s="49">
        <v>2</v>
      </c>
      <c r="B59" s="144" t="str">
        <f>IF(OR(VLOOKUP(Table1313429[[#This Row],[Ln'#]],Excellent!A$5:AU$54,7,FALSE)="E",VLOOKUP(Table1313429[[#This Row],[Ln'#]],Excellent!A$5:AU$54,7,FALSE)="FEO"),"x","")</f>
        <v/>
      </c>
      <c r="C59" s="144" t="str">
        <f>IF(OR(VLOOKUP(Table1313429[[#This Row],[Ln'#]],Excellent!A$5:AU$54,15,FALSE)="E",VLOOKUP(Table1313429[[#This Row],[Ln'#]],Excellent!A$5:AU$54,15,FALSE)="FEO"),"x","")</f>
        <v/>
      </c>
      <c r="D59" s="48"/>
      <c r="E59" s="48"/>
      <c r="F59" s="48" t="str">
        <f>IF(AND(Table1313429[[#This Row],[Status Container]]="",Table1313429[[#This Row],[Status Interior]]=""),"",VLOOKUP(Table1313429[[#This Row],[Ln'#]],Excellent!$A$5:$AU$54,3,FALSE))</f>
        <v/>
      </c>
      <c r="G59" s="51" t="str">
        <f>IF(Table1313429[[#This Row],[Dog ID]]="","",(VLOOKUP(Table1313429[[#This Row],[Dog ID]],Excellent!C$5:$D$54,2,FALSE)&amp;" - " &amp;VLOOKUP(Table1313429[[#This Row],[Dog ID]],'SDDA Dogs'!A:C,3,FALSE)))</f>
        <v/>
      </c>
      <c r="H59" s="51" t="str">
        <f>IF(Table1313429[[#This Row],[Dog ID]]="","",(VLOOKUP(Table1313429[[#This Row],[Dog ID]],Excellent!C$5:$AU55,45,FALSE)))</f>
        <v/>
      </c>
      <c r="J59" s="48"/>
      <c r="K59" s="48"/>
      <c r="L59" s="48"/>
      <c r="M59" s="48"/>
      <c r="N59" s="48"/>
      <c r="O59" s="48"/>
      <c r="P59" s="48"/>
      <c r="Q59" s="51"/>
      <c r="R59" s="51"/>
    </row>
    <row r="60" spans="1:19" ht="30" customHeight="1" x14ac:dyDescent="0.45">
      <c r="A60" s="49">
        <v>3</v>
      </c>
      <c r="B60" s="144" t="str">
        <f>IF(OR(VLOOKUP(Table1313429[[#This Row],[Ln'#]],Excellent!A$5:AU$54,7,FALSE)="E",VLOOKUP(Table1313429[[#This Row],[Ln'#]],Excellent!A$5:AU$54,7,FALSE)="FEO"),"x","")</f>
        <v/>
      </c>
      <c r="C60" s="144" t="str">
        <f>IF(OR(VLOOKUP(Table1313429[[#This Row],[Ln'#]],Excellent!A$5:AU$54,15,FALSE)="E",VLOOKUP(Table1313429[[#This Row],[Ln'#]],Excellent!A$5:AU$54,15,FALSE)="FEO"),"x","")</f>
        <v/>
      </c>
      <c r="D60" s="48"/>
      <c r="E60" s="48"/>
      <c r="F60" s="48" t="str">
        <f>IF(AND(Table1313429[[#This Row],[Status Container]]="",Table1313429[[#This Row],[Status Interior]]=""),"",VLOOKUP(Table1313429[[#This Row],[Ln'#]],Excellent!$A$5:$AU$54,3,FALSE))</f>
        <v/>
      </c>
      <c r="G60" s="51" t="str">
        <f>IF(Table1313429[[#This Row],[Dog ID]]="","",(VLOOKUP(Table1313429[[#This Row],[Dog ID]],Excellent!C$5:$D$54,2,FALSE)&amp;" - " &amp;VLOOKUP(Table1313429[[#This Row],[Dog ID]],'SDDA Dogs'!A:C,3,FALSE)))</f>
        <v/>
      </c>
      <c r="H60" s="51" t="str">
        <f>IF(Table1313429[[#This Row],[Dog ID]]="","",(VLOOKUP(Table1313429[[#This Row],[Dog ID]],Excellent!C$5:$AU56,45,FALSE)))</f>
        <v/>
      </c>
      <c r="J60" s="48"/>
      <c r="K60" s="48"/>
      <c r="L60" s="48"/>
      <c r="M60" s="48"/>
      <c r="N60" s="48"/>
      <c r="O60" s="48"/>
      <c r="P60" s="48"/>
      <c r="Q60" s="51"/>
      <c r="R60" s="51"/>
    </row>
    <row r="61" spans="1:19" ht="30" customHeight="1" x14ac:dyDescent="0.45">
      <c r="A61" s="49">
        <v>4</v>
      </c>
      <c r="B61" s="144" t="str">
        <f>IF(OR(VLOOKUP(Table1313429[[#This Row],[Ln'#]],Excellent!A$5:AU$54,7,FALSE)="E",VLOOKUP(Table1313429[[#This Row],[Ln'#]],Excellent!A$5:AU$54,7,FALSE)="FEO"),"x","")</f>
        <v/>
      </c>
      <c r="C61" s="144" t="str">
        <f>IF(OR(VLOOKUP(Table1313429[[#This Row],[Ln'#]],Excellent!A$5:AU$54,15,FALSE)="E",VLOOKUP(Table1313429[[#This Row],[Ln'#]],Excellent!A$5:AU$54,15,FALSE)="FEO"),"x","")</f>
        <v/>
      </c>
      <c r="D61" s="48"/>
      <c r="E61" s="48"/>
      <c r="F61" s="48" t="str">
        <f>IF(AND(Table1313429[[#This Row],[Status Container]]="",Table1313429[[#This Row],[Status Interior]]=""),"",VLOOKUP(Table1313429[[#This Row],[Ln'#]],Excellent!$A$5:$AU$54,3,FALSE))</f>
        <v/>
      </c>
      <c r="G61" s="51" t="str">
        <f>IF(Table1313429[[#This Row],[Dog ID]]="","",(VLOOKUP(Table1313429[[#This Row],[Dog ID]],Excellent!C$5:$D$54,2,FALSE)&amp;" - " &amp;VLOOKUP(Table1313429[[#This Row],[Dog ID]],'SDDA Dogs'!A:C,3,FALSE)))</f>
        <v/>
      </c>
      <c r="H61" s="51" t="str">
        <f>IF(Table1313429[[#This Row],[Dog ID]]="","",(VLOOKUP(Table1313429[[#This Row],[Dog ID]],Excellent!C$5:$AU57,45,FALSE)))</f>
        <v/>
      </c>
      <c r="J61" s="48"/>
      <c r="K61" s="48"/>
      <c r="L61" s="48"/>
      <c r="M61" s="48"/>
      <c r="N61" s="48"/>
      <c r="O61" s="48"/>
      <c r="P61" s="48"/>
      <c r="Q61" s="51"/>
      <c r="R61" s="51"/>
    </row>
    <row r="62" spans="1:19" ht="30" customHeight="1" x14ac:dyDescent="0.45">
      <c r="A62" s="49">
        <v>5</v>
      </c>
      <c r="B62" s="144" t="str">
        <f>IF(OR(VLOOKUP(Table1313429[[#This Row],[Ln'#]],Excellent!A$5:AU$54,7,FALSE)="E",VLOOKUP(Table1313429[[#This Row],[Ln'#]],Excellent!A$5:AU$54,7,FALSE)="FEO"),"x","")</f>
        <v/>
      </c>
      <c r="C62" s="144" t="str">
        <f>IF(OR(VLOOKUP(Table1313429[[#This Row],[Ln'#]],Excellent!A$5:AU$54,15,FALSE)="E",VLOOKUP(Table1313429[[#This Row],[Ln'#]],Excellent!A$5:AU$54,15,FALSE)="FEO"),"x","")</f>
        <v/>
      </c>
      <c r="D62" s="48"/>
      <c r="E62" s="48"/>
      <c r="F62" s="48" t="str">
        <f>IF(AND(Table1313429[[#This Row],[Status Container]]="",Table1313429[[#This Row],[Status Interior]]=""),"",VLOOKUP(Table1313429[[#This Row],[Ln'#]],Excellent!$A$5:$AU$54,3,FALSE))</f>
        <v/>
      </c>
      <c r="G62" s="51" t="str">
        <f>IF(Table1313429[[#This Row],[Dog ID]]="","",(VLOOKUP(Table1313429[[#This Row],[Dog ID]],Excellent!C$5:$D$54,2,FALSE)&amp;" - " &amp;VLOOKUP(Table1313429[[#This Row],[Dog ID]],'SDDA Dogs'!A:C,3,FALSE)))</f>
        <v/>
      </c>
      <c r="H62" s="51" t="str">
        <f>IF(Table1313429[[#This Row],[Dog ID]]="","",(VLOOKUP(Table1313429[[#This Row],[Dog ID]],Excellent!C$5:$AU58,45,FALSE)))</f>
        <v/>
      </c>
      <c r="J62" s="48"/>
      <c r="K62" s="48"/>
      <c r="L62" s="48"/>
      <c r="M62" s="48"/>
      <c r="N62" s="48"/>
      <c r="O62" s="48"/>
      <c r="P62" s="48"/>
      <c r="Q62" s="51"/>
      <c r="R62" s="51"/>
    </row>
    <row r="63" spans="1:19" ht="30" customHeight="1" x14ac:dyDescent="0.45">
      <c r="A63" s="49">
        <v>6</v>
      </c>
      <c r="B63" s="144" t="str">
        <f>IF(OR(VLOOKUP(Table1313429[[#This Row],[Ln'#]],Excellent!A$5:AU$54,7,FALSE)="E",VLOOKUP(Table1313429[[#This Row],[Ln'#]],Excellent!A$5:AU$54,7,FALSE)="FEO"),"x","")</f>
        <v/>
      </c>
      <c r="C63" s="144" t="str">
        <f>IF(OR(VLOOKUP(Table1313429[[#This Row],[Ln'#]],Excellent!A$5:AU$54,15,FALSE)="E",VLOOKUP(Table1313429[[#This Row],[Ln'#]],Excellent!A$5:AU$54,15,FALSE)="FEO"),"x","")</f>
        <v/>
      </c>
      <c r="D63" s="48"/>
      <c r="E63" s="48"/>
      <c r="F63" s="48" t="str">
        <f>IF(AND(Table1313429[[#This Row],[Status Container]]="",Table1313429[[#This Row],[Status Interior]]=""),"",VLOOKUP(Table1313429[[#This Row],[Ln'#]],Excellent!$A$5:$AU$54,3,FALSE))</f>
        <v/>
      </c>
      <c r="G63" s="51" t="str">
        <f>IF(Table1313429[[#This Row],[Dog ID]]="","",(VLOOKUP(Table1313429[[#This Row],[Dog ID]],Excellent!C$5:$D$54,2,FALSE)&amp;" - " &amp;VLOOKUP(Table1313429[[#This Row],[Dog ID]],'SDDA Dogs'!A:C,3,FALSE)))</f>
        <v/>
      </c>
      <c r="H63" s="51" t="str">
        <f>IF(Table1313429[[#This Row],[Dog ID]]="","",(VLOOKUP(Table1313429[[#This Row],[Dog ID]],Excellent!C$5:$AU59,45,FALSE)))</f>
        <v/>
      </c>
      <c r="J63" s="48"/>
      <c r="K63" s="48"/>
      <c r="L63" s="48"/>
      <c r="M63" s="48"/>
      <c r="N63" s="48"/>
      <c r="O63" s="48"/>
      <c r="P63" s="48"/>
      <c r="Q63" s="51"/>
      <c r="R63" s="51"/>
    </row>
    <row r="64" spans="1:19" ht="30" customHeight="1" x14ac:dyDescent="0.45">
      <c r="A64" s="49">
        <v>7</v>
      </c>
      <c r="B64" s="144" t="str">
        <f>IF(OR(VLOOKUP(Table1313429[[#This Row],[Ln'#]],Excellent!A$5:AU$54,7,FALSE)="E",VLOOKUP(Table1313429[[#This Row],[Ln'#]],Excellent!A$5:AU$54,7,FALSE)="FEO"),"x","")</f>
        <v/>
      </c>
      <c r="C64" s="144" t="str">
        <f>IF(OR(VLOOKUP(Table1313429[[#This Row],[Ln'#]],Excellent!A$5:AU$54,15,FALSE)="E",VLOOKUP(Table1313429[[#This Row],[Ln'#]],Excellent!A$5:AU$54,15,FALSE)="FEO"),"x","")</f>
        <v/>
      </c>
      <c r="D64" s="48"/>
      <c r="E64" s="48"/>
      <c r="F64" s="48" t="str">
        <f>IF(AND(Table1313429[[#This Row],[Status Container]]="",Table1313429[[#This Row],[Status Interior]]=""),"",VLOOKUP(Table1313429[[#This Row],[Ln'#]],Excellent!$A$5:$AU$54,3,FALSE))</f>
        <v/>
      </c>
      <c r="G64" s="51" t="str">
        <f>IF(Table1313429[[#This Row],[Dog ID]]="","",(VLOOKUP(Table1313429[[#This Row],[Dog ID]],Excellent!C$5:$D$54,2,FALSE)&amp;" - " &amp;VLOOKUP(Table1313429[[#This Row],[Dog ID]],'SDDA Dogs'!A:C,3,FALSE)))</f>
        <v/>
      </c>
      <c r="H64" s="51" t="str">
        <f>IF(Table1313429[[#This Row],[Dog ID]]="","",(VLOOKUP(Table1313429[[#This Row],[Dog ID]],Excellent!C$5:$AU60,45,FALSE)))</f>
        <v/>
      </c>
      <c r="J64" s="48"/>
      <c r="K64" s="48"/>
      <c r="L64" s="48"/>
      <c r="M64" s="48"/>
      <c r="N64" s="48"/>
      <c r="O64" s="48"/>
      <c r="P64" s="48"/>
      <c r="Q64" s="51"/>
      <c r="R64" s="51"/>
    </row>
    <row r="65" spans="1:18" ht="30" customHeight="1" x14ac:dyDescent="0.45">
      <c r="A65" s="49">
        <v>8</v>
      </c>
      <c r="B65" s="144" t="str">
        <f>IF(OR(VLOOKUP(Table1313429[[#This Row],[Ln'#]],Excellent!A$5:AU$54,7,FALSE)="E",VLOOKUP(Table1313429[[#This Row],[Ln'#]],Excellent!A$5:AU$54,7,FALSE)="FEO"),"x","")</f>
        <v/>
      </c>
      <c r="C65" s="144" t="str">
        <f>IF(OR(VLOOKUP(Table1313429[[#This Row],[Ln'#]],Excellent!A$5:AU$54,15,FALSE)="E",VLOOKUP(Table1313429[[#This Row],[Ln'#]],Excellent!A$5:AU$54,15,FALSE)="FEO"),"x","")</f>
        <v/>
      </c>
      <c r="D65" s="48"/>
      <c r="E65" s="48"/>
      <c r="F65" s="48" t="str">
        <f>IF(AND(Table1313429[[#This Row],[Status Container]]="",Table1313429[[#This Row],[Status Interior]]=""),"",VLOOKUP(Table1313429[[#This Row],[Ln'#]],Excellent!$A$5:$AU$54,3,FALSE))</f>
        <v/>
      </c>
      <c r="G65" s="51" t="str">
        <f>IF(Table1313429[[#This Row],[Dog ID]]="","",(VLOOKUP(Table1313429[[#This Row],[Dog ID]],Excellent!C$5:$D$54,2,FALSE)&amp;" - " &amp;VLOOKUP(Table1313429[[#This Row],[Dog ID]],'SDDA Dogs'!A:C,3,FALSE)))</f>
        <v/>
      </c>
      <c r="H65" s="51" t="str">
        <f>IF(Table1313429[[#This Row],[Dog ID]]="","",(VLOOKUP(Table1313429[[#This Row],[Dog ID]],Excellent!C$5:$AU61,45,FALSE)))</f>
        <v/>
      </c>
      <c r="J65" s="48"/>
      <c r="K65" s="48"/>
      <c r="L65" s="48"/>
      <c r="M65" s="48"/>
      <c r="N65" s="48"/>
      <c r="O65" s="48"/>
      <c r="P65" s="48"/>
      <c r="Q65" s="51"/>
      <c r="R65" s="51"/>
    </row>
    <row r="66" spans="1:18" ht="30" customHeight="1" x14ac:dyDescent="0.45">
      <c r="A66" s="49">
        <v>9</v>
      </c>
      <c r="B66" s="144" t="str">
        <f>IF(OR(VLOOKUP(Table1313429[[#This Row],[Ln'#]],Excellent!A$5:AU$54,7,FALSE)="E",VLOOKUP(Table1313429[[#This Row],[Ln'#]],Excellent!A$5:AU$54,7,FALSE)="FEO"),"x","")</f>
        <v/>
      </c>
      <c r="C66" s="144" t="str">
        <f>IF(OR(VLOOKUP(Table1313429[[#This Row],[Ln'#]],Excellent!A$5:AU$54,15,FALSE)="E",VLOOKUP(Table1313429[[#This Row],[Ln'#]],Excellent!A$5:AU$54,15,FALSE)="FEO"),"x","")</f>
        <v/>
      </c>
      <c r="D66" s="48"/>
      <c r="E66" s="48"/>
      <c r="F66" s="48" t="str">
        <f>IF(AND(Table1313429[[#This Row],[Status Container]]="",Table1313429[[#This Row],[Status Interior]]=""),"",VLOOKUP(Table1313429[[#This Row],[Ln'#]],Excellent!$A$5:$AU$54,3,FALSE))</f>
        <v/>
      </c>
      <c r="G66" s="51" t="str">
        <f>IF(Table1313429[[#This Row],[Dog ID]]="","",(VLOOKUP(Table1313429[[#This Row],[Dog ID]],Excellent!C$5:$D$54,2,FALSE)&amp;" - " &amp;VLOOKUP(Table1313429[[#This Row],[Dog ID]],'SDDA Dogs'!A:C,3,FALSE)))</f>
        <v/>
      </c>
      <c r="H66" s="51" t="str">
        <f>IF(Table1313429[[#This Row],[Dog ID]]="","",(VLOOKUP(Table1313429[[#This Row],[Dog ID]],Excellent!C$5:$AU62,45,FALSE)))</f>
        <v/>
      </c>
      <c r="J66" s="48"/>
      <c r="K66" s="48"/>
      <c r="L66" s="48"/>
      <c r="M66" s="48"/>
      <c r="N66" s="48"/>
      <c r="O66" s="48"/>
      <c r="P66" s="48"/>
      <c r="Q66" s="51"/>
      <c r="R66" s="51"/>
    </row>
    <row r="67" spans="1:18" ht="30" customHeight="1" x14ac:dyDescent="0.45">
      <c r="A67" s="49">
        <v>10</v>
      </c>
      <c r="B67" s="144" t="str">
        <f>IF(OR(VLOOKUP(Table1313429[[#This Row],[Ln'#]],Excellent!A$5:AU$54,7,FALSE)="E",VLOOKUP(Table1313429[[#This Row],[Ln'#]],Excellent!A$5:AU$54,7,FALSE)="FEO"),"x","")</f>
        <v/>
      </c>
      <c r="C67" s="144" t="str">
        <f>IF(OR(VLOOKUP(Table1313429[[#This Row],[Ln'#]],Excellent!A$5:AU$54,15,FALSE)="E",VLOOKUP(Table1313429[[#This Row],[Ln'#]],Excellent!A$5:AU$54,15,FALSE)="FEO"),"x","")</f>
        <v/>
      </c>
      <c r="D67" s="48"/>
      <c r="E67" s="48"/>
      <c r="F67" s="48" t="str">
        <f>IF(AND(Table1313429[[#This Row],[Status Container]]="",Table1313429[[#This Row],[Status Interior]]=""),"",VLOOKUP(Table1313429[[#This Row],[Ln'#]],Excellent!$A$5:$AU$54,3,FALSE))</f>
        <v/>
      </c>
      <c r="G67" s="51" t="str">
        <f>IF(Table1313429[[#This Row],[Dog ID]]="","",(VLOOKUP(Table1313429[[#This Row],[Dog ID]],Excellent!C$5:$D$54,2,FALSE)&amp;" - " &amp;VLOOKUP(Table1313429[[#This Row],[Dog ID]],'SDDA Dogs'!A:C,3,FALSE)))</f>
        <v/>
      </c>
      <c r="H67" s="51" t="str">
        <f>IF(Table1313429[[#This Row],[Dog ID]]="","",(VLOOKUP(Table1313429[[#This Row],[Dog ID]],Excellent!C$5:$AU63,45,FALSE)))</f>
        <v/>
      </c>
      <c r="J67" s="48"/>
      <c r="K67" s="48"/>
      <c r="L67" s="48"/>
      <c r="M67" s="48"/>
      <c r="N67" s="48"/>
      <c r="O67" s="48"/>
      <c r="P67" s="48"/>
      <c r="Q67" s="51"/>
      <c r="R67" s="51"/>
    </row>
    <row r="68" spans="1:18" ht="30" customHeight="1" x14ac:dyDescent="0.45">
      <c r="A68" s="49">
        <v>11</v>
      </c>
      <c r="B68" s="144" t="str">
        <f>IF(OR(VLOOKUP(Table1313429[[#This Row],[Ln'#]],Excellent!A$5:AU$54,7,FALSE)="E",VLOOKUP(Table1313429[[#This Row],[Ln'#]],Excellent!A$5:AU$54,7,FALSE)="FEO"),"x","")</f>
        <v/>
      </c>
      <c r="C68" s="144" t="str">
        <f>IF(OR(VLOOKUP(Table1313429[[#This Row],[Ln'#]],Excellent!A$5:AU$54,15,FALSE)="E",VLOOKUP(Table1313429[[#This Row],[Ln'#]],Excellent!A$5:AU$54,15,FALSE)="FEO"),"x","")</f>
        <v/>
      </c>
      <c r="D68" s="48"/>
      <c r="E68" s="48"/>
      <c r="F68" s="48" t="str">
        <f>IF(AND(Table1313429[[#This Row],[Status Container]]="",Table1313429[[#This Row],[Status Interior]]=""),"",VLOOKUP(Table1313429[[#This Row],[Ln'#]],Excellent!$A$5:$AU$54,3,FALSE))</f>
        <v/>
      </c>
      <c r="G68" s="51" t="str">
        <f>IF(Table1313429[[#This Row],[Dog ID]]="","",(VLOOKUP(Table1313429[[#This Row],[Dog ID]],Excellent!C$5:$D$54,2,FALSE)&amp;" - " &amp;VLOOKUP(Table1313429[[#This Row],[Dog ID]],'SDDA Dogs'!A:C,3,FALSE)))</f>
        <v/>
      </c>
      <c r="H68" s="51" t="str">
        <f>IF(Table1313429[[#This Row],[Dog ID]]="","",(VLOOKUP(Table1313429[[#This Row],[Dog ID]],Excellent!C$5:$AU64,45,FALSE)))</f>
        <v/>
      </c>
      <c r="J68" s="48"/>
      <c r="K68" s="48"/>
      <c r="L68" s="48"/>
      <c r="M68" s="48"/>
      <c r="N68" s="48"/>
      <c r="O68" s="48"/>
      <c r="P68" s="48"/>
      <c r="Q68" s="51"/>
      <c r="R68" s="51"/>
    </row>
    <row r="69" spans="1:18" ht="30" customHeight="1" x14ac:dyDescent="0.45">
      <c r="A69" s="49">
        <v>12</v>
      </c>
      <c r="B69" s="144" t="str">
        <f>IF(OR(VLOOKUP(Table1313429[[#This Row],[Ln'#]],Excellent!A$5:AU$54,7,FALSE)="E",VLOOKUP(Table1313429[[#This Row],[Ln'#]],Excellent!A$5:AU$54,7,FALSE)="FEO"),"x","")</f>
        <v/>
      </c>
      <c r="C69" s="144" t="str">
        <f>IF(OR(VLOOKUP(Table1313429[[#This Row],[Ln'#]],Excellent!A$5:AU$54,15,FALSE)="E",VLOOKUP(Table1313429[[#This Row],[Ln'#]],Excellent!A$5:AU$54,15,FALSE)="FEO"),"x","")</f>
        <v/>
      </c>
      <c r="D69" s="48"/>
      <c r="E69" s="48"/>
      <c r="F69" s="48" t="str">
        <f>IF(AND(Table1313429[[#This Row],[Status Container]]="",Table1313429[[#This Row],[Status Interior]]=""),"",VLOOKUP(Table1313429[[#This Row],[Ln'#]],Excellent!$A$5:$AU$54,3,FALSE))</f>
        <v/>
      </c>
      <c r="G69" s="51" t="str">
        <f>IF(Table1313429[[#This Row],[Dog ID]]="","",(VLOOKUP(Table1313429[[#This Row],[Dog ID]],Excellent!C$5:$D$54,2,FALSE)&amp;" - " &amp;VLOOKUP(Table1313429[[#This Row],[Dog ID]],'SDDA Dogs'!A:C,3,FALSE)))</f>
        <v/>
      </c>
      <c r="H69" s="51" t="str">
        <f>IF(Table1313429[[#This Row],[Dog ID]]="","",(VLOOKUP(Table1313429[[#This Row],[Dog ID]],Excellent!C$5:$AU65,45,FALSE)))</f>
        <v/>
      </c>
      <c r="J69" s="48"/>
      <c r="K69" s="48"/>
      <c r="L69" s="48"/>
      <c r="M69" s="48"/>
      <c r="N69" s="48"/>
      <c r="O69" s="48"/>
      <c r="P69" s="48"/>
      <c r="Q69" s="51"/>
      <c r="R69" s="51"/>
    </row>
    <row r="70" spans="1:18" ht="30" customHeight="1" x14ac:dyDescent="0.45">
      <c r="A70" s="49">
        <v>13</v>
      </c>
      <c r="B70" s="144" t="str">
        <f>IF(OR(VLOOKUP(Table1313429[[#This Row],[Ln'#]],Excellent!A$5:AU$54,7,FALSE)="E",VLOOKUP(Table1313429[[#This Row],[Ln'#]],Excellent!A$5:AU$54,7,FALSE)="FEO"),"x","")</f>
        <v/>
      </c>
      <c r="C70" s="144" t="str">
        <f>IF(OR(VLOOKUP(Table1313429[[#This Row],[Ln'#]],Excellent!A$5:AU$54,15,FALSE)="E",VLOOKUP(Table1313429[[#This Row],[Ln'#]],Excellent!A$5:AU$54,15,FALSE)="FEO"),"x","")</f>
        <v/>
      </c>
      <c r="D70" s="48"/>
      <c r="E70" s="48"/>
      <c r="F70" s="48" t="str">
        <f>IF(AND(Table1313429[[#This Row],[Status Container]]="",Table1313429[[#This Row],[Status Interior]]=""),"",VLOOKUP(Table1313429[[#This Row],[Ln'#]],Excellent!$A$5:$AU$54,3,FALSE))</f>
        <v/>
      </c>
      <c r="G70" s="51" t="str">
        <f>IF(Table1313429[[#This Row],[Dog ID]]="","",(VLOOKUP(Table1313429[[#This Row],[Dog ID]],Excellent!C$5:$D$54,2,FALSE)&amp;" - " &amp;VLOOKUP(Table1313429[[#This Row],[Dog ID]],'SDDA Dogs'!A:C,3,FALSE)))</f>
        <v/>
      </c>
      <c r="H70" s="51" t="str">
        <f>IF(Table1313429[[#This Row],[Dog ID]]="","",(VLOOKUP(Table1313429[[#This Row],[Dog ID]],Excellent!C$5:$AU66,45,FALSE)))</f>
        <v/>
      </c>
      <c r="J70" s="48"/>
      <c r="K70" s="48"/>
      <c r="L70" s="48"/>
      <c r="M70" s="48"/>
      <c r="N70" s="48"/>
      <c r="O70" s="48"/>
      <c r="P70" s="48"/>
      <c r="Q70" s="51"/>
      <c r="R70" s="51"/>
    </row>
    <row r="71" spans="1:18" ht="30" customHeight="1" x14ac:dyDescent="0.45">
      <c r="A71" s="49">
        <v>14</v>
      </c>
      <c r="B71" s="144" t="str">
        <f>IF(OR(VLOOKUP(Table1313429[[#This Row],[Ln'#]],Excellent!A$5:AU$54,7,FALSE)="E",VLOOKUP(Table1313429[[#This Row],[Ln'#]],Excellent!A$5:AU$54,7,FALSE)="FEO"),"x","")</f>
        <v/>
      </c>
      <c r="C71" s="144" t="str">
        <f>IF(OR(VLOOKUP(Table1313429[[#This Row],[Ln'#]],Excellent!A$5:AU$54,15,FALSE)="E",VLOOKUP(Table1313429[[#This Row],[Ln'#]],Excellent!A$5:AU$54,15,FALSE)="FEO"),"x","")</f>
        <v/>
      </c>
      <c r="D71" s="48"/>
      <c r="E71" s="48"/>
      <c r="F71" s="48" t="str">
        <f>IF(AND(Table1313429[[#This Row],[Status Container]]="",Table1313429[[#This Row],[Status Interior]]=""),"",VLOOKUP(Table1313429[[#This Row],[Ln'#]],Excellent!$A$5:$AU$54,3,FALSE))</f>
        <v/>
      </c>
      <c r="G71" s="51" t="str">
        <f>IF(Table1313429[[#This Row],[Dog ID]]="","",(VLOOKUP(Table1313429[[#This Row],[Dog ID]],Excellent!C$5:$D$54,2,FALSE)&amp;" - " &amp;VLOOKUP(Table1313429[[#This Row],[Dog ID]],'SDDA Dogs'!A:C,3,FALSE)))</f>
        <v/>
      </c>
      <c r="H71" s="51" t="str">
        <f>IF(Table1313429[[#This Row],[Dog ID]]="","",(VLOOKUP(Table1313429[[#This Row],[Dog ID]],Excellent!C$5:$AU67,45,FALSE)))</f>
        <v/>
      </c>
      <c r="J71" s="48"/>
      <c r="K71" s="48"/>
      <c r="L71" s="48"/>
      <c r="M71" s="48"/>
      <c r="N71" s="48"/>
      <c r="O71" s="48"/>
      <c r="P71" s="48"/>
      <c r="Q71" s="51"/>
      <c r="R71" s="51"/>
    </row>
    <row r="72" spans="1:18" ht="30" customHeight="1" x14ac:dyDescent="0.45">
      <c r="A72" s="49">
        <v>15</v>
      </c>
      <c r="B72" s="144" t="str">
        <f>IF(OR(VLOOKUP(Table1313429[[#This Row],[Ln'#]],Excellent!A$5:AU$54,7,FALSE)="E",VLOOKUP(Table1313429[[#This Row],[Ln'#]],Excellent!A$5:AU$54,7,FALSE)="FEO"),"x","")</f>
        <v/>
      </c>
      <c r="C72" s="144" t="str">
        <f>IF(OR(VLOOKUP(Table1313429[[#This Row],[Ln'#]],Excellent!A$5:AU$54,15,FALSE)="E",VLOOKUP(Table1313429[[#This Row],[Ln'#]],Excellent!A$5:AU$54,15,FALSE)="FEO"),"x","")</f>
        <v/>
      </c>
      <c r="D72" s="48"/>
      <c r="E72" s="48"/>
      <c r="F72" s="48" t="str">
        <f>IF(AND(Table1313429[[#This Row],[Status Container]]="",Table1313429[[#This Row],[Status Interior]]=""),"",VLOOKUP(Table1313429[[#This Row],[Ln'#]],Excellent!$A$5:$AU$54,3,FALSE))</f>
        <v/>
      </c>
      <c r="G72" s="51" t="str">
        <f>IF(Table1313429[[#This Row],[Dog ID]]="","",(VLOOKUP(Table1313429[[#This Row],[Dog ID]],Excellent!C$5:$D$54,2,FALSE)&amp;" - " &amp;VLOOKUP(Table1313429[[#This Row],[Dog ID]],'SDDA Dogs'!A:C,3,FALSE)))</f>
        <v/>
      </c>
      <c r="H72" s="51" t="str">
        <f>IF(Table1313429[[#This Row],[Dog ID]]="","",(VLOOKUP(Table1313429[[#This Row],[Dog ID]],Excellent!C$5:$AU68,45,FALSE)))</f>
        <v/>
      </c>
      <c r="J72" s="48"/>
      <c r="K72" s="48"/>
      <c r="L72" s="48"/>
      <c r="M72" s="48"/>
      <c r="N72" s="48"/>
      <c r="O72" s="48"/>
      <c r="P72" s="48"/>
      <c r="Q72" s="51"/>
      <c r="R72" s="51"/>
    </row>
    <row r="73" spans="1:18" ht="30" customHeight="1" x14ac:dyDescent="0.45">
      <c r="A73" s="49">
        <v>16</v>
      </c>
      <c r="B73" s="144" t="str">
        <f>IF(OR(VLOOKUP(Table1313429[[#This Row],[Ln'#]],Excellent!A$5:AU$54,7,FALSE)="E",VLOOKUP(Table1313429[[#This Row],[Ln'#]],Excellent!A$5:AU$54,7,FALSE)="FEO"),"x","")</f>
        <v/>
      </c>
      <c r="C73" s="144" t="str">
        <f>IF(OR(VLOOKUP(Table1313429[[#This Row],[Ln'#]],Excellent!A$5:AU$54,15,FALSE)="E",VLOOKUP(Table1313429[[#This Row],[Ln'#]],Excellent!A$5:AU$54,15,FALSE)="FEO"),"x","")</f>
        <v/>
      </c>
      <c r="D73" s="48"/>
      <c r="E73" s="48"/>
      <c r="F73" s="48" t="str">
        <f>IF(AND(Table1313429[[#This Row],[Status Container]]="",Table1313429[[#This Row],[Status Interior]]=""),"",VLOOKUP(Table1313429[[#This Row],[Ln'#]],Excellent!$A$5:$AU$54,3,FALSE))</f>
        <v/>
      </c>
      <c r="G73" s="51" t="str">
        <f>IF(Table1313429[[#This Row],[Dog ID]]="","",(VLOOKUP(Table1313429[[#This Row],[Dog ID]],Excellent!C$5:$D$54,2,FALSE)&amp;" - " &amp;VLOOKUP(Table1313429[[#This Row],[Dog ID]],'SDDA Dogs'!A:C,3,FALSE)))</f>
        <v/>
      </c>
      <c r="H73" s="51" t="str">
        <f>IF(Table1313429[[#This Row],[Dog ID]]="","",(VLOOKUP(Table1313429[[#This Row],[Dog ID]],Excellent!C$5:$AU69,45,FALSE)))</f>
        <v/>
      </c>
      <c r="J73" s="48"/>
      <c r="K73" s="48"/>
      <c r="L73" s="48"/>
      <c r="M73" s="48"/>
      <c r="N73" s="48"/>
      <c r="O73" s="48"/>
      <c r="P73" s="48"/>
      <c r="Q73" s="51"/>
      <c r="R73" s="51"/>
    </row>
    <row r="74" spans="1:18" ht="30" customHeight="1" x14ac:dyDescent="0.45">
      <c r="A74" s="49">
        <v>17</v>
      </c>
      <c r="B74" s="144" t="str">
        <f>IF(OR(VLOOKUP(Table1313429[[#This Row],[Ln'#]],Excellent!A$5:AU$54,7,FALSE)="E",VLOOKUP(Table1313429[[#This Row],[Ln'#]],Excellent!A$5:AU$54,7,FALSE)="FEO"),"x","")</f>
        <v/>
      </c>
      <c r="C74" s="144" t="str">
        <f>IF(OR(VLOOKUP(Table1313429[[#This Row],[Ln'#]],Excellent!A$5:AU$54,15,FALSE)="E",VLOOKUP(Table1313429[[#This Row],[Ln'#]],Excellent!A$5:AU$54,15,FALSE)="FEO"),"x","")</f>
        <v/>
      </c>
      <c r="D74" s="48"/>
      <c r="E74" s="48"/>
      <c r="F74" s="48" t="str">
        <f>IF(AND(Table1313429[[#This Row],[Status Container]]="",Table1313429[[#This Row],[Status Interior]]=""),"",VLOOKUP(Table1313429[[#This Row],[Ln'#]],Excellent!$A$5:$AU$54,3,FALSE))</f>
        <v/>
      </c>
      <c r="G74" s="51" t="str">
        <f>IF(Table1313429[[#This Row],[Dog ID]]="","",(VLOOKUP(Table1313429[[#This Row],[Dog ID]],Excellent!C$5:$D$54,2,FALSE)&amp;" - " &amp;VLOOKUP(Table1313429[[#This Row],[Dog ID]],'SDDA Dogs'!A:C,3,FALSE)))</f>
        <v/>
      </c>
      <c r="H74" s="51" t="str">
        <f>IF(Table1313429[[#This Row],[Dog ID]]="","",(VLOOKUP(Table1313429[[#This Row],[Dog ID]],Excellent!C$5:$AU70,45,FALSE)))</f>
        <v/>
      </c>
      <c r="J74" s="48"/>
      <c r="K74" s="48"/>
      <c r="L74" s="48"/>
      <c r="M74" s="48"/>
      <c r="N74" s="48"/>
      <c r="O74" s="48"/>
      <c r="P74" s="48"/>
      <c r="Q74" s="51"/>
      <c r="R74" s="51"/>
    </row>
    <row r="75" spans="1:18" ht="30" customHeight="1" x14ac:dyDescent="0.45">
      <c r="A75" s="49">
        <v>18</v>
      </c>
      <c r="B75" s="144" t="str">
        <f>IF(OR(VLOOKUP(Table1313429[[#This Row],[Ln'#]],Excellent!A$5:AU$54,7,FALSE)="E",VLOOKUP(Table1313429[[#This Row],[Ln'#]],Excellent!A$5:AU$54,7,FALSE)="FEO"),"x","")</f>
        <v/>
      </c>
      <c r="C75" s="144" t="str">
        <f>IF(OR(VLOOKUP(Table1313429[[#This Row],[Ln'#]],Excellent!A$5:AU$54,15,FALSE)="E",VLOOKUP(Table1313429[[#This Row],[Ln'#]],Excellent!A$5:AU$54,15,FALSE)="FEO"),"x","")</f>
        <v/>
      </c>
      <c r="D75" s="48"/>
      <c r="E75" s="48"/>
      <c r="F75" s="48" t="str">
        <f>IF(AND(Table1313429[[#This Row],[Status Container]]="",Table1313429[[#This Row],[Status Interior]]=""),"",VLOOKUP(Table1313429[[#This Row],[Ln'#]],Excellent!$A$5:$AU$54,3,FALSE))</f>
        <v/>
      </c>
      <c r="G75" s="51" t="str">
        <f>IF(Table1313429[[#This Row],[Dog ID]]="","",(VLOOKUP(Table1313429[[#This Row],[Dog ID]],Excellent!C$5:$D$54,2,FALSE)&amp;" - " &amp;VLOOKUP(Table1313429[[#This Row],[Dog ID]],'SDDA Dogs'!A:C,3,FALSE)))</f>
        <v/>
      </c>
      <c r="H75" s="51" t="str">
        <f>IF(Table1313429[[#This Row],[Dog ID]]="","",(VLOOKUP(Table1313429[[#This Row],[Dog ID]],Excellent!C$5:$AU71,45,FALSE)))</f>
        <v/>
      </c>
      <c r="J75" s="48"/>
      <c r="K75" s="48"/>
      <c r="L75" s="48"/>
      <c r="M75" s="48"/>
      <c r="N75" s="48"/>
      <c r="O75" s="48"/>
      <c r="P75" s="48"/>
      <c r="Q75" s="51"/>
      <c r="R75" s="51"/>
    </row>
    <row r="76" spans="1:18" ht="30" customHeight="1" x14ac:dyDescent="0.45">
      <c r="A76" s="49">
        <v>19</v>
      </c>
      <c r="B76" s="144" t="str">
        <f>IF(OR(VLOOKUP(Table1313429[[#This Row],[Ln'#]],Excellent!A$5:AU$54,7,FALSE)="E",VLOOKUP(Table1313429[[#This Row],[Ln'#]],Excellent!A$5:AU$54,7,FALSE)="FEO"),"x","")</f>
        <v/>
      </c>
      <c r="C76" s="144" t="str">
        <f>IF(OR(VLOOKUP(Table1313429[[#This Row],[Ln'#]],Excellent!A$5:AU$54,15,FALSE)="E",VLOOKUP(Table1313429[[#This Row],[Ln'#]],Excellent!A$5:AU$54,15,FALSE)="FEO"),"x","")</f>
        <v/>
      </c>
      <c r="D76" s="48"/>
      <c r="E76" s="48"/>
      <c r="F76" s="48" t="str">
        <f>IF(AND(Table1313429[[#This Row],[Status Container]]="",Table1313429[[#This Row],[Status Interior]]=""),"",VLOOKUP(Table1313429[[#This Row],[Ln'#]],Excellent!$A$5:$AU$54,3,FALSE))</f>
        <v/>
      </c>
      <c r="G76" s="51" t="str">
        <f>IF(Table1313429[[#This Row],[Dog ID]]="","",(VLOOKUP(Table1313429[[#This Row],[Dog ID]],Excellent!C$5:$D$54,2,FALSE)&amp;" - " &amp;VLOOKUP(Table1313429[[#This Row],[Dog ID]],'SDDA Dogs'!A:C,3,FALSE)))</f>
        <v/>
      </c>
      <c r="H76" s="51" t="str">
        <f>IF(Table1313429[[#This Row],[Dog ID]]="","",(VLOOKUP(Table1313429[[#This Row],[Dog ID]],Excellent!C$5:$AU72,45,FALSE)))</f>
        <v/>
      </c>
      <c r="J76" s="48"/>
      <c r="K76" s="48"/>
      <c r="L76" s="48"/>
      <c r="M76" s="48"/>
      <c r="N76" s="48"/>
      <c r="O76" s="48"/>
      <c r="P76" s="48"/>
      <c r="Q76" s="51"/>
      <c r="R76" s="51"/>
    </row>
    <row r="77" spans="1:18" ht="30" customHeight="1" x14ac:dyDescent="0.45">
      <c r="A77" s="49">
        <v>20</v>
      </c>
      <c r="B77" s="144" t="str">
        <f>IF(OR(VLOOKUP(Table1313429[[#This Row],[Ln'#]],Excellent!A$5:AU$54,7,FALSE)="E",VLOOKUP(Table1313429[[#This Row],[Ln'#]],Excellent!A$5:AU$54,7,FALSE)="FEO"),"x","")</f>
        <v/>
      </c>
      <c r="C77" s="144" t="str">
        <f>IF(OR(VLOOKUP(Table1313429[[#This Row],[Ln'#]],Excellent!A$5:AU$54,15,FALSE)="E",VLOOKUP(Table1313429[[#This Row],[Ln'#]],Excellent!A$5:AU$54,15,FALSE)="FEO"),"x","")</f>
        <v/>
      </c>
      <c r="D77" s="48"/>
      <c r="E77" s="48"/>
      <c r="F77" s="48" t="str">
        <f>IF(AND(Table1313429[[#This Row],[Status Container]]="",Table1313429[[#This Row],[Status Interior]]=""),"",VLOOKUP(Table1313429[[#This Row],[Ln'#]],Excellent!$A$5:$AU$54,3,FALSE))</f>
        <v/>
      </c>
      <c r="G77" s="51" t="str">
        <f>IF(Table1313429[[#This Row],[Dog ID]]="","",(VLOOKUP(Table1313429[[#This Row],[Dog ID]],Excellent!C$5:$D$54,2,FALSE)&amp;" - " &amp;VLOOKUP(Table1313429[[#This Row],[Dog ID]],'SDDA Dogs'!A:C,3,FALSE)))</f>
        <v/>
      </c>
      <c r="H77" s="51" t="str">
        <f>IF(Table1313429[[#This Row],[Dog ID]]="","",(VLOOKUP(Table1313429[[#This Row],[Dog ID]],Excellent!C$5:$AU73,45,FALSE)))</f>
        <v/>
      </c>
      <c r="J77" s="48"/>
      <c r="K77" s="48"/>
      <c r="L77" s="48"/>
      <c r="M77" s="48"/>
      <c r="N77" s="48"/>
      <c r="O77" s="48"/>
      <c r="P77" s="48"/>
      <c r="Q77" s="51"/>
      <c r="R77" s="51"/>
    </row>
    <row r="78" spans="1:18" ht="30" customHeight="1" x14ac:dyDescent="0.45">
      <c r="A78" s="49">
        <v>21</v>
      </c>
      <c r="B78" s="144" t="str">
        <f>IF(OR(VLOOKUP(Table1313429[[#This Row],[Ln'#]],Excellent!A$5:AU$54,7,FALSE)="E",VLOOKUP(Table1313429[[#This Row],[Ln'#]],Excellent!A$5:AU$54,7,FALSE)="FEO"),"x","")</f>
        <v/>
      </c>
      <c r="C78" s="144" t="str">
        <f>IF(OR(VLOOKUP(Table1313429[[#This Row],[Ln'#]],Excellent!A$5:AU$54,15,FALSE)="E",VLOOKUP(Table1313429[[#This Row],[Ln'#]],Excellent!A$5:AU$54,15,FALSE)="FEO"),"x","")</f>
        <v/>
      </c>
      <c r="D78" s="48"/>
      <c r="E78" s="48"/>
      <c r="F78" s="48" t="str">
        <f>IF(AND(Table1313429[[#This Row],[Status Container]]="",Table1313429[[#This Row],[Status Interior]]=""),"",VLOOKUP(Table1313429[[#This Row],[Ln'#]],Excellent!$A$5:$AU$54,3,FALSE))</f>
        <v/>
      </c>
      <c r="G78" s="51" t="str">
        <f>IF(Table1313429[[#This Row],[Dog ID]]="","",(VLOOKUP(Table1313429[[#This Row],[Dog ID]],Excellent!C$5:$D$54,2,FALSE)&amp;" - " &amp;VLOOKUP(Table1313429[[#This Row],[Dog ID]],'SDDA Dogs'!A:C,3,FALSE)))</f>
        <v/>
      </c>
      <c r="H78" s="51" t="str">
        <f>IF(Table1313429[[#This Row],[Dog ID]]="","",(VLOOKUP(Table1313429[[#This Row],[Dog ID]],Excellent!C$5:$AU74,45,FALSE)))</f>
        <v/>
      </c>
      <c r="J78" s="48"/>
      <c r="K78" s="48"/>
      <c r="L78" s="48"/>
      <c r="M78" s="48"/>
      <c r="N78" s="48"/>
      <c r="O78" s="48"/>
      <c r="P78" s="48"/>
      <c r="Q78" s="51"/>
      <c r="R78" s="51"/>
    </row>
    <row r="79" spans="1:18" ht="30" customHeight="1" x14ac:dyDescent="0.45">
      <c r="A79" s="243">
        <v>22</v>
      </c>
      <c r="B79" s="144" t="str">
        <f>IF(OR(VLOOKUP(Table1313429[[#This Row],[Ln'#]],Excellent!A$5:AU$54,7,FALSE)="E",VLOOKUP(Table1313429[[#This Row],[Ln'#]],Excellent!A$5:AU$54,7,FALSE)="FEO"),"x","")</f>
        <v/>
      </c>
      <c r="C79" s="144" t="str">
        <f>IF(OR(VLOOKUP(Table1313429[[#This Row],[Ln'#]],Excellent!A$5:AU$54,15,FALSE)="E",VLOOKUP(Table1313429[[#This Row],[Ln'#]],Excellent!A$5:AU$54,15,FALSE)="FEO"),"x","")</f>
        <v/>
      </c>
      <c r="D79" s="48"/>
      <c r="E79" s="48"/>
      <c r="F79" s="48" t="str">
        <f>IF(AND(Table1313429[[#This Row],[Status Container]]="",Table1313429[[#This Row],[Status Interior]]=""),"",VLOOKUP(Table1313429[[#This Row],[Ln'#]],Excellent!$A$5:$AU$54,3,FALSE))</f>
        <v/>
      </c>
      <c r="G79" s="51" t="str">
        <f>IF(Table1313429[[#This Row],[Dog ID]]="","",(VLOOKUP(Table1313429[[#This Row],[Dog ID]],Excellent!C$5:$D$54,2,FALSE)&amp;" - " &amp;VLOOKUP(Table1313429[[#This Row],[Dog ID]],'SDDA Dogs'!A:C,3,FALSE)))</f>
        <v/>
      </c>
      <c r="H79" s="51" t="str">
        <f>IF(Table1313429[[#This Row],[Dog ID]]="","",(VLOOKUP(Table1313429[[#This Row],[Dog ID]],Excellent!C$5:$AU75,45,FALSE)))</f>
        <v/>
      </c>
      <c r="J79" s="48"/>
      <c r="K79" s="48"/>
      <c r="L79" s="48"/>
      <c r="M79" s="48"/>
      <c r="N79" s="48"/>
      <c r="O79" s="48"/>
      <c r="P79" s="48"/>
      <c r="Q79" s="51"/>
      <c r="R79" s="51"/>
    </row>
    <row r="80" spans="1:18" ht="30" customHeight="1" x14ac:dyDescent="0.45">
      <c r="A80" s="243">
        <v>23</v>
      </c>
      <c r="B80" s="144" t="str">
        <f>IF(OR(VLOOKUP(Table1313429[[#This Row],[Ln'#]],Excellent!A$5:AU$54,7,FALSE)="E",VLOOKUP(Table1313429[[#This Row],[Ln'#]],Excellent!A$5:AU$54,7,FALSE)="FEO"),"x","")</f>
        <v/>
      </c>
      <c r="C80" s="144" t="str">
        <f>IF(OR(VLOOKUP(Table1313429[[#This Row],[Ln'#]],Excellent!A$5:AU$54,15,FALSE)="E",VLOOKUP(Table1313429[[#This Row],[Ln'#]],Excellent!A$5:AU$54,15,FALSE)="FEO"),"x","")</f>
        <v/>
      </c>
      <c r="D80" s="48"/>
      <c r="E80" s="48"/>
      <c r="F80" s="48" t="str">
        <f>IF(AND(Table1313429[[#This Row],[Status Container]]="",Table1313429[[#This Row],[Status Interior]]=""),"",VLOOKUP(Table1313429[[#This Row],[Ln'#]],Excellent!$A$5:$AU$54,3,FALSE))</f>
        <v/>
      </c>
      <c r="G80" s="51" t="str">
        <f>IF(Table1313429[[#This Row],[Dog ID]]="","",(VLOOKUP(Table1313429[[#This Row],[Dog ID]],Excellent!C$5:$D$54,2,FALSE)&amp;" - " &amp;VLOOKUP(Table1313429[[#This Row],[Dog ID]],'SDDA Dogs'!A:C,3,FALSE)))</f>
        <v/>
      </c>
      <c r="H80" s="51" t="str">
        <f>IF(Table1313429[[#This Row],[Dog ID]]="","",(VLOOKUP(Table1313429[[#This Row],[Dog ID]],Excellent!C$5:$AU76,45,FALSE)))</f>
        <v/>
      </c>
      <c r="J80" s="48"/>
      <c r="K80" s="48"/>
      <c r="L80" s="48"/>
      <c r="M80" s="48"/>
      <c r="N80" s="48"/>
      <c r="O80" s="48"/>
      <c r="P80" s="48"/>
      <c r="Q80" s="51"/>
      <c r="R80" s="51"/>
    </row>
    <row r="81" spans="1:18" ht="30" customHeight="1" x14ac:dyDescent="0.45">
      <c r="A81" s="243">
        <v>24</v>
      </c>
      <c r="B81" s="144" t="str">
        <f>IF(OR(VLOOKUP(Table1313429[[#This Row],[Ln'#]],Excellent!A$5:AU$54,7,FALSE)="E",VLOOKUP(Table1313429[[#This Row],[Ln'#]],Excellent!A$5:AU$54,7,FALSE)="FEO"),"x","")</f>
        <v/>
      </c>
      <c r="C81" s="144" t="str">
        <f>IF(OR(VLOOKUP(Table1313429[[#This Row],[Ln'#]],Excellent!A$5:AU$54,15,FALSE)="E",VLOOKUP(Table1313429[[#This Row],[Ln'#]],Excellent!A$5:AU$54,15,FALSE)="FEO"),"x","")</f>
        <v/>
      </c>
      <c r="D81" s="48"/>
      <c r="E81" s="48"/>
      <c r="F81" s="48" t="str">
        <f>IF(AND(Table1313429[[#This Row],[Status Container]]="",Table1313429[[#This Row],[Status Interior]]=""),"",VLOOKUP(Table1313429[[#This Row],[Ln'#]],Excellent!$A$5:$AU$54,3,FALSE))</f>
        <v/>
      </c>
      <c r="G81" s="51" t="str">
        <f>IF(Table1313429[[#This Row],[Dog ID]]="","",(VLOOKUP(Table1313429[[#This Row],[Dog ID]],Excellent!C$5:$D$54,2,FALSE)&amp;" - " &amp;VLOOKUP(Table1313429[[#This Row],[Dog ID]],'SDDA Dogs'!A:C,3,FALSE)))</f>
        <v/>
      </c>
      <c r="H81" s="51" t="str">
        <f>IF(Table1313429[[#This Row],[Dog ID]]="","",(VLOOKUP(Table1313429[[#This Row],[Dog ID]],Excellent!C$5:$AU77,45,FALSE)))</f>
        <v/>
      </c>
      <c r="J81" s="48"/>
      <c r="K81" s="48"/>
      <c r="L81" s="48"/>
      <c r="M81" s="48"/>
      <c r="N81" s="48"/>
      <c r="O81" s="48"/>
      <c r="P81" s="48"/>
      <c r="Q81" s="51"/>
      <c r="R81" s="51"/>
    </row>
    <row r="82" spans="1:18" ht="30" customHeight="1" x14ac:dyDescent="0.45">
      <c r="A82" s="243">
        <v>25</v>
      </c>
      <c r="B82" s="144" t="str">
        <f>IF(OR(VLOOKUP(Table1313429[[#This Row],[Ln'#]],Excellent!A$5:AU$54,7,FALSE)="E",VLOOKUP(Table1313429[[#This Row],[Ln'#]],Excellent!A$5:AU$54,7,FALSE)="FEO"),"x","")</f>
        <v/>
      </c>
      <c r="C82" s="144" t="str">
        <f>IF(OR(VLOOKUP(Table1313429[[#This Row],[Ln'#]],Excellent!A$5:AU$54,15,FALSE)="E",VLOOKUP(Table1313429[[#This Row],[Ln'#]],Excellent!A$5:AU$54,15,FALSE)="FEO"),"x","")</f>
        <v/>
      </c>
      <c r="D82" s="48"/>
      <c r="E82" s="48"/>
      <c r="F82" s="48" t="str">
        <f>IF(AND(Table1313429[[#This Row],[Status Container]]="",Table1313429[[#This Row],[Status Interior]]=""),"",VLOOKUP(Table1313429[[#This Row],[Ln'#]],Excellent!$A$5:$AU$54,3,FALSE))</f>
        <v/>
      </c>
      <c r="G82" s="51" t="str">
        <f>IF(Table1313429[[#This Row],[Dog ID]]="","",(VLOOKUP(Table1313429[[#This Row],[Dog ID]],Excellent!C$5:$D$54,2,FALSE)&amp;" - " &amp;VLOOKUP(Table1313429[[#This Row],[Dog ID]],'SDDA Dogs'!A:C,3,FALSE)))</f>
        <v/>
      </c>
      <c r="H82" s="51" t="str">
        <f>IF(Table1313429[[#This Row],[Dog ID]]="","",(VLOOKUP(Table1313429[[#This Row],[Dog ID]],Excellent!C$5:$AU78,45,FALSE)))</f>
        <v/>
      </c>
      <c r="J82" s="48"/>
      <c r="K82" s="48"/>
      <c r="L82" s="48"/>
      <c r="M82" s="48"/>
      <c r="N82" s="48"/>
      <c r="O82" s="48"/>
      <c r="P82" s="48"/>
      <c r="Q82" s="51"/>
      <c r="R82" s="51"/>
    </row>
    <row r="83" spans="1:18" ht="30" customHeight="1" x14ac:dyDescent="0.45">
      <c r="A83" s="243">
        <v>26</v>
      </c>
      <c r="B83" s="144" t="str">
        <f>IF(OR(VLOOKUP(Table1313429[[#This Row],[Ln'#]],Excellent!A$5:AU$54,7,FALSE)="E",VLOOKUP(Table1313429[[#This Row],[Ln'#]],Excellent!A$5:AU$54,7,FALSE)="FEO"),"x","")</f>
        <v/>
      </c>
      <c r="C83" s="144" t="str">
        <f>IF(OR(VLOOKUP(Table1313429[[#This Row],[Ln'#]],Excellent!A$5:AU$54,15,FALSE)="E",VLOOKUP(Table1313429[[#This Row],[Ln'#]],Excellent!A$5:AU$54,15,FALSE)="FEO"),"x","")</f>
        <v/>
      </c>
      <c r="D83" s="48"/>
      <c r="E83" s="48"/>
      <c r="F83" s="48" t="str">
        <f>IF(AND(Table1313429[[#This Row],[Status Container]]="",Table1313429[[#This Row],[Status Interior]]=""),"",VLOOKUP(Table1313429[[#This Row],[Ln'#]],Excellent!$A$5:$AU$54,3,FALSE))</f>
        <v/>
      </c>
      <c r="G83" s="51" t="str">
        <f>IF(Table1313429[[#This Row],[Dog ID]]="","",(VLOOKUP(Table1313429[[#This Row],[Dog ID]],Excellent!C$5:$D$54,2,FALSE)&amp;" - " &amp;VLOOKUP(Table1313429[[#This Row],[Dog ID]],'SDDA Dogs'!A:C,3,FALSE)))</f>
        <v/>
      </c>
      <c r="H83" s="51" t="str">
        <f>IF(Table1313429[[#This Row],[Dog ID]]="","",(VLOOKUP(Table1313429[[#This Row],[Dog ID]],Excellent!C$5:$AU79,45,FALSE)))</f>
        <v/>
      </c>
      <c r="J83" s="48"/>
      <c r="K83" s="48"/>
      <c r="L83" s="48"/>
      <c r="M83" s="48"/>
      <c r="N83" s="48"/>
      <c r="O83" s="48"/>
      <c r="P83" s="48"/>
      <c r="Q83" s="51"/>
      <c r="R83" s="51"/>
    </row>
    <row r="84" spans="1:18" ht="30" customHeight="1" x14ac:dyDescent="0.45">
      <c r="A84" s="243">
        <v>27</v>
      </c>
      <c r="B84" s="144" t="str">
        <f>IF(OR(VLOOKUP(Table1313429[[#This Row],[Ln'#]],Excellent!A$5:AU$54,7,FALSE)="E",VLOOKUP(Table1313429[[#This Row],[Ln'#]],Excellent!A$5:AU$54,7,FALSE)="FEO"),"x","")</f>
        <v/>
      </c>
      <c r="C84" s="144" t="str">
        <f>IF(OR(VLOOKUP(Table1313429[[#This Row],[Ln'#]],Excellent!A$5:AU$54,15,FALSE)="E",VLOOKUP(Table1313429[[#This Row],[Ln'#]],Excellent!A$5:AU$54,15,FALSE)="FEO"),"x","")</f>
        <v/>
      </c>
      <c r="D84" s="48"/>
      <c r="E84" s="48"/>
      <c r="F84" s="48" t="str">
        <f>IF(AND(Table1313429[[#This Row],[Status Container]]="",Table1313429[[#This Row],[Status Interior]]=""),"",VLOOKUP(Table1313429[[#This Row],[Ln'#]],Excellent!$A$5:$AU$54,3,FALSE))</f>
        <v/>
      </c>
      <c r="G84" s="51" t="str">
        <f>IF(Table1313429[[#This Row],[Dog ID]]="","",(VLOOKUP(Table1313429[[#This Row],[Dog ID]],Excellent!C$5:$D$54,2,FALSE)&amp;" - " &amp;VLOOKUP(Table1313429[[#This Row],[Dog ID]],'SDDA Dogs'!A:C,3,FALSE)))</f>
        <v/>
      </c>
      <c r="H84" s="51" t="str">
        <f>IF(Table1313429[[#This Row],[Dog ID]]="","",(VLOOKUP(Table1313429[[#This Row],[Dog ID]],Excellent!C$5:$AU80,45,FALSE)))</f>
        <v/>
      </c>
      <c r="J84" s="48"/>
      <c r="K84" s="48"/>
      <c r="L84" s="48"/>
      <c r="M84" s="48"/>
      <c r="N84" s="48"/>
      <c r="O84" s="48"/>
      <c r="P84" s="48"/>
      <c r="Q84" s="51"/>
      <c r="R84" s="51"/>
    </row>
    <row r="85" spans="1:18" ht="30" customHeight="1" x14ac:dyDescent="0.45">
      <c r="A85" s="243">
        <v>28</v>
      </c>
      <c r="B85" s="144" t="str">
        <f>IF(OR(VLOOKUP(Table1313429[[#This Row],[Ln'#]],Excellent!A$5:AU$54,7,FALSE)="E",VLOOKUP(Table1313429[[#This Row],[Ln'#]],Excellent!A$5:AU$54,7,FALSE)="FEO"),"x","")</f>
        <v/>
      </c>
      <c r="C85" s="144" t="str">
        <f>IF(OR(VLOOKUP(Table1313429[[#This Row],[Ln'#]],Excellent!A$5:AU$54,15,FALSE)="E",VLOOKUP(Table1313429[[#This Row],[Ln'#]],Excellent!A$5:AU$54,15,FALSE)="FEO"),"x","")</f>
        <v/>
      </c>
      <c r="D85" s="48"/>
      <c r="E85" s="48"/>
      <c r="F85" s="48" t="str">
        <f>IF(AND(Table1313429[[#This Row],[Status Container]]="",Table1313429[[#This Row],[Status Interior]]=""),"",VLOOKUP(Table1313429[[#This Row],[Ln'#]],Excellent!$A$5:$AU$54,3,FALSE))</f>
        <v/>
      </c>
      <c r="G85" s="51" t="str">
        <f>IF(Table1313429[[#This Row],[Dog ID]]="","",(VLOOKUP(Table1313429[[#This Row],[Dog ID]],Excellent!C$5:$D$54,2,FALSE)&amp;" - " &amp;VLOOKUP(Table1313429[[#This Row],[Dog ID]],'SDDA Dogs'!A:C,3,FALSE)))</f>
        <v/>
      </c>
      <c r="H85" s="51" t="str">
        <f>IF(Table1313429[[#This Row],[Dog ID]]="","",(VLOOKUP(Table1313429[[#This Row],[Dog ID]],Excellent!C$5:$AU81,45,FALSE)))</f>
        <v/>
      </c>
      <c r="J85" s="48"/>
      <c r="K85" s="48"/>
      <c r="L85" s="48"/>
      <c r="M85" s="48"/>
      <c r="N85" s="48"/>
      <c r="O85" s="48"/>
      <c r="P85" s="48"/>
      <c r="Q85" s="51"/>
      <c r="R85" s="51"/>
    </row>
    <row r="86" spans="1:18" ht="30" customHeight="1" x14ac:dyDescent="0.45">
      <c r="A86" s="243">
        <v>29</v>
      </c>
      <c r="B86" s="144" t="str">
        <f>IF(OR(VLOOKUP(Table1313429[[#This Row],[Ln'#]],Excellent!A$5:AU$54,7,FALSE)="E",VLOOKUP(Table1313429[[#This Row],[Ln'#]],Excellent!A$5:AU$54,7,FALSE)="FEO"),"x","")</f>
        <v/>
      </c>
      <c r="C86" s="144" t="str">
        <f>IF(OR(VLOOKUP(Table1313429[[#This Row],[Ln'#]],Excellent!A$5:AU$54,15,FALSE)="E",VLOOKUP(Table1313429[[#This Row],[Ln'#]],Excellent!A$5:AU$54,15,FALSE)="FEO"),"x","")</f>
        <v/>
      </c>
      <c r="D86" s="48"/>
      <c r="E86" s="48"/>
      <c r="F86" s="48" t="str">
        <f>IF(AND(Table1313429[[#This Row],[Status Container]]="",Table1313429[[#This Row],[Status Interior]]=""),"",VLOOKUP(Table1313429[[#This Row],[Ln'#]],Excellent!$A$5:$AU$54,3,FALSE))</f>
        <v/>
      </c>
      <c r="G86" s="51" t="str">
        <f>IF(Table1313429[[#This Row],[Dog ID]]="","",(VLOOKUP(Table1313429[[#This Row],[Dog ID]],Excellent!C$5:$D$54,2,FALSE)&amp;" - " &amp;VLOOKUP(Table1313429[[#This Row],[Dog ID]],'SDDA Dogs'!A:C,3,FALSE)))</f>
        <v/>
      </c>
      <c r="H86" s="51" t="str">
        <f>IF(Table1313429[[#This Row],[Dog ID]]="","",(VLOOKUP(Table1313429[[#This Row],[Dog ID]],Excellent!C$5:$AU82,45,FALSE)))</f>
        <v/>
      </c>
      <c r="J86" s="48"/>
      <c r="K86" s="48"/>
      <c r="L86" s="48"/>
      <c r="M86" s="48"/>
      <c r="N86" s="48"/>
      <c r="O86" s="48"/>
      <c r="P86" s="48"/>
      <c r="Q86" s="51"/>
      <c r="R86" s="51"/>
    </row>
    <row r="87" spans="1:18" ht="30" customHeight="1" x14ac:dyDescent="0.45">
      <c r="A87" s="243">
        <v>30</v>
      </c>
      <c r="B87" s="144" t="str">
        <f>IF(OR(VLOOKUP(Table1313429[[#This Row],[Ln'#]],Excellent!A$5:AU$54,7,FALSE)="E",VLOOKUP(Table1313429[[#This Row],[Ln'#]],Excellent!A$5:AU$54,7,FALSE)="FEO"),"x","")</f>
        <v/>
      </c>
      <c r="C87" s="144" t="str">
        <f>IF(OR(VLOOKUP(Table1313429[[#This Row],[Ln'#]],Excellent!A$5:AU$54,15,FALSE)="E",VLOOKUP(Table1313429[[#This Row],[Ln'#]],Excellent!A$5:AU$54,15,FALSE)="FEO"),"x","")</f>
        <v/>
      </c>
      <c r="D87" s="48"/>
      <c r="E87" s="48"/>
      <c r="F87" s="48" t="str">
        <f>IF(AND(Table1313429[[#This Row],[Status Container]]="",Table1313429[[#This Row],[Status Interior]]=""),"",VLOOKUP(Table1313429[[#This Row],[Ln'#]],Excellent!$A$5:$AU$54,3,FALSE))</f>
        <v/>
      </c>
      <c r="G87" s="51" t="str">
        <f>IF(Table1313429[[#This Row],[Dog ID]]="","",(VLOOKUP(Table1313429[[#This Row],[Dog ID]],Excellent!C$5:$D$54,2,FALSE)&amp;" - " &amp;VLOOKUP(Table1313429[[#This Row],[Dog ID]],'SDDA Dogs'!A:C,3,FALSE)))</f>
        <v/>
      </c>
      <c r="H87" s="51" t="str">
        <f>IF(Table1313429[[#This Row],[Dog ID]]="","",(VLOOKUP(Table1313429[[#This Row],[Dog ID]],Excellent!C$5:$AU83,45,FALSE)))</f>
        <v/>
      </c>
      <c r="J87" s="48"/>
      <c r="K87" s="48"/>
      <c r="L87" s="48"/>
      <c r="M87" s="48"/>
      <c r="N87" s="48"/>
      <c r="O87" s="48"/>
      <c r="P87" s="48"/>
      <c r="Q87" s="51"/>
      <c r="R87" s="51"/>
    </row>
    <row r="88" spans="1:18" ht="30" customHeight="1" x14ac:dyDescent="0.45">
      <c r="A88" s="243">
        <v>31</v>
      </c>
      <c r="B88" s="144" t="str">
        <f>IF(OR(VLOOKUP(Table1313429[[#This Row],[Ln'#]],Excellent!A$5:AU$54,7,FALSE)="E",VLOOKUP(Table1313429[[#This Row],[Ln'#]],Excellent!A$5:AU$54,7,FALSE)="FEO"),"x","")</f>
        <v/>
      </c>
      <c r="C88" s="144" t="str">
        <f>IF(OR(VLOOKUP(Table1313429[[#This Row],[Ln'#]],Excellent!A$5:AU$54,15,FALSE)="E",VLOOKUP(Table1313429[[#This Row],[Ln'#]],Excellent!A$5:AU$54,15,FALSE)="FEO"),"x","")</f>
        <v/>
      </c>
      <c r="D88" s="48"/>
      <c r="E88" s="48"/>
      <c r="F88" s="48" t="str">
        <f>IF(AND(Table1313429[[#This Row],[Status Container]]="",Table1313429[[#This Row],[Status Interior]]=""),"",VLOOKUP(Table1313429[[#This Row],[Ln'#]],Excellent!$A$5:$AU$54,3,FALSE))</f>
        <v/>
      </c>
      <c r="G88" s="51" t="str">
        <f>IF(Table1313429[[#This Row],[Dog ID]]="","",(VLOOKUP(Table1313429[[#This Row],[Dog ID]],Excellent!C$5:$D$54,2,FALSE)&amp;" - " &amp;VLOOKUP(Table1313429[[#This Row],[Dog ID]],'SDDA Dogs'!A:C,3,FALSE)))</f>
        <v/>
      </c>
      <c r="H88" s="51" t="str">
        <f>IF(Table1313429[[#This Row],[Dog ID]]="","",(VLOOKUP(Table1313429[[#This Row],[Dog ID]],Excellent!C$5:$AU84,45,FALSE)))</f>
        <v/>
      </c>
      <c r="J88" s="48"/>
      <c r="K88" s="48"/>
      <c r="L88" s="48"/>
      <c r="M88" s="48"/>
      <c r="N88" s="48"/>
      <c r="O88" s="48"/>
      <c r="P88" s="48"/>
      <c r="Q88" s="51"/>
      <c r="R88" s="51"/>
    </row>
    <row r="89" spans="1:18" ht="30" customHeight="1" x14ac:dyDescent="0.45">
      <c r="A89" s="243">
        <v>32</v>
      </c>
      <c r="B89" s="144" t="str">
        <f>IF(OR(VLOOKUP(Table1313429[[#This Row],[Ln'#]],Excellent!A$5:AU$54,7,FALSE)="E",VLOOKUP(Table1313429[[#This Row],[Ln'#]],Excellent!A$5:AU$54,7,FALSE)="FEO"),"x","")</f>
        <v/>
      </c>
      <c r="C89" s="144" t="str">
        <f>IF(OR(VLOOKUP(Table1313429[[#This Row],[Ln'#]],Excellent!A$5:AU$54,15,FALSE)="E",VLOOKUP(Table1313429[[#This Row],[Ln'#]],Excellent!A$5:AU$54,15,FALSE)="FEO"),"x","")</f>
        <v/>
      </c>
      <c r="D89" s="48"/>
      <c r="E89" s="48"/>
      <c r="F89" s="48" t="str">
        <f>IF(AND(Table1313429[[#This Row],[Status Container]]="",Table1313429[[#This Row],[Status Interior]]=""),"",VLOOKUP(Table1313429[[#This Row],[Ln'#]],Excellent!$A$5:$AU$54,3,FALSE))</f>
        <v/>
      </c>
      <c r="G89" s="51" t="str">
        <f>IF(Table1313429[[#This Row],[Dog ID]]="","",(VLOOKUP(Table1313429[[#This Row],[Dog ID]],Excellent!C$5:$D$54,2,FALSE)&amp;" - " &amp;VLOOKUP(Table1313429[[#This Row],[Dog ID]],'SDDA Dogs'!A:C,3,FALSE)))</f>
        <v/>
      </c>
      <c r="H89" s="51" t="str">
        <f>IF(Table1313429[[#This Row],[Dog ID]]="","",(VLOOKUP(Table1313429[[#This Row],[Dog ID]],Excellent!C$5:$AU85,45,FALSE)))</f>
        <v/>
      </c>
      <c r="J89" s="48"/>
      <c r="K89" s="48"/>
      <c r="L89" s="48"/>
      <c r="M89" s="48"/>
      <c r="N89" s="48"/>
      <c r="O89" s="48"/>
      <c r="P89" s="48"/>
      <c r="Q89" s="51"/>
      <c r="R89" s="51"/>
    </row>
    <row r="90" spans="1:18" ht="30" customHeight="1" x14ac:dyDescent="0.45">
      <c r="A90" s="243">
        <v>33</v>
      </c>
      <c r="B90" s="144" t="str">
        <f>IF(OR(VLOOKUP(Table1313429[[#This Row],[Ln'#]],Excellent!A$5:AU$54,7,FALSE)="E",VLOOKUP(Table1313429[[#This Row],[Ln'#]],Excellent!A$5:AU$54,7,FALSE)="FEO"),"x","")</f>
        <v/>
      </c>
      <c r="C90" s="144" t="str">
        <f>IF(OR(VLOOKUP(Table1313429[[#This Row],[Ln'#]],Excellent!A$5:AU$54,15,FALSE)="E",VLOOKUP(Table1313429[[#This Row],[Ln'#]],Excellent!A$5:AU$54,15,FALSE)="FEO"),"x","")</f>
        <v/>
      </c>
      <c r="D90" s="48"/>
      <c r="E90" s="48"/>
      <c r="F90" s="48" t="str">
        <f>IF(AND(Table1313429[[#This Row],[Status Container]]="",Table1313429[[#This Row],[Status Interior]]=""),"",VLOOKUP(Table1313429[[#This Row],[Ln'#]],Excellent!$A$5:$AU$54,3,FALSE))</f>
        <v/>
      </c>
      <c r="G90" s="51" t="str">
        <f>IF(Table1313429[[#This Row],[Dog ID]]="","",(VLOOKUP(Table1313429[[#This Row],[Dog ID]],Excellent!C$5:$D$54,2,FALSE)&amp;" - " &amp;VLOOKUP(Table1313429[[#This Row],[Dog ID]],'SDDA Dogs'!A:C,3,FALSE)))</f>
        <v/>
      </c>
      <c r="H90" s="51" t="str">
        <f>IF(Table1313429[[#This Row],[Dog ID]]="","",(VLOOKUP(Table1313429[[#This Row],[Dog ID]],Excellent!C$5:$AU86,45,FALSE)))</f>
        <v/>
      </c>
      <c r="J90" s="48"/>
      <c r="K90" s="48"/>
      <c r="L90" s="48"/>
      <c r="M90" s="48"/>
      <c r="N90" s="48"/>
      <c r="O90" s="48"/>
      <c r="P90" s="48"/>
      <c r="Q90" s="51"/>
      <c r="R90" s="51"/>
    </row>
    <row r="91" spans="1:18" ht="30" customHeight="1" x14ac:dyDescent="0.45">
      <c r="A91" s="243">
        <v>34</v>
      </c>
      <c r="B91" s="144" t="str">
        <f>IF(OR(VLOOKUP(Table1313429[[#This Row],[Ln'#]],Excellent!A$5:AU$54,7,FALSE)="E",VLOOKUP(Table1313429[[#This Row],[Ln'#]],Excellent!A$5:AU$54,7,FALSE)="FEO"),"x","")</f>
        <v/>
      </c>
      <c r="C91" s="144" t="str">
        <f>IF(OR(VLOOKUP(Table1313429[[#This Row],[Ln'#]],Excellent!A$5:AU$54,15,FALSE)="E",VLOOKUP(Table1313429[[#This Row],[Ln'#]],Excellent!A$5:AU$54,15,FALSE)="FEO"),"x","")</f>
        <v/>
      </c>
      <c r="D91" s="48"/>
      <c r="E91" s="48"/>
      <c r="F91" s="48" t="str">
        <f>IF(AND(Table1313429[[#This Row],[Status Container]]="",Table1313429[[#This Row],[Status Interior]]=""),"",VLOOKUP(Table1313429[[#This Row],[Ln'#]],Excellent!$A$5:$AU$54,3,FALSE))</f>
        <v/>
      </c>
      <c r="G91" s="51" t="str">
        <f>IF(Table1313429[[#This Row],[Dog ID]]="","",(VLOOKUP(Table1313429[[#This Row],[Dog ID]],Excellent!C$5:$D$54,2,FALSE)&amp;" - " &amp;VLOOKUP(Table1313429[[#This Row],[Dog ID]],'SDDA Dogs'!A:C,3,FALSE)))</f>
        <v/>
      </c>
      <c r="H91" s="51" t="str">
        <f>IF(Table1313429[[#This Row],[Dog ID]]="","",(VLOOKUP(Table1313429[[#This Row],[Dog ID]],Excellent!C$5:$AU87,45,FALSE)))</f>
        <v/>
      </c>
      <c r="J91" s="48"/>
      <c r="K91" s="48"/>
      <c r="L91" s="48"/>
      <c r="M91" s="48"/>
      <c r="N91" s="48"/>
      <c r="O91" s="48"/>
      <c r="P91" s="48"/>
      <c r="Q91" s="51"/>
      <c r="R91" s="51"/>
    </row>
    <row r="92" spans="1:18" ht="30" customHeight="1" x14ac:dyDescent="0.45">
      <c r="A92" s="243">
        <v>35</v>
      </c>
      <c r="B92" s="144" t="str">
        <f>IF(OR(VLOOKUP(Table1313429[[#This Row],[Ln'#]],Excellent!A$5:AU$54,7,FALSE)="E",VLOOKUP(Table1313429[[#This Row],[Ln'#]],Excellent!A$5:AU$54,7,FALSE)="FEO"),"x","")</f>
        <v/>
      </c>
      <c r="C92" s="144" t="str">
        <f>IF(OR(VLOOKUP(Table1313429[[#This Row],[Ln'#]],Excellent!A$5:AU$54,15,FALSE)="E",VLOOKUP(Table1313429[[#This Row],[Ln'#]],Excellent!A$5:AU$54,15,FALSE)="FEO"),"x","")</f>
        <v/>
      </c>
      <c r="D92" s="48"/>
      <c r="E92" s="48"/>
      <c r="F92" s="48" t="str">
        <f>IF(AND(Table1313429[[#This Row],[Status Container]]="",Table1313429[[#This Row],[Status Interior]]=""),"",VLOOKUP(Table1313429[[#This Row],[Ln'#]],Excellent!$A$5:$AU$54,3,FALSE))</f>
        <v/>
      </c>
      <c r="G92" s="51" t="str">
        <f>IF(Table1313429[[#This Row],[Dog ID]]="","",(VLOOKUP(Table1313429[[#This Row],[Dog ID]],Excellent!C$5:$D$54,2,FALSE)&amp;" - " &amp;VLOOKUP(Table1313429[[#This Row],[Dog ID]],'SDDA Dogs'!A:C,3,FALSE)))</f>
        <v/>
      </c>
      <c r="H92" s="51" t="str">
        <f>IF(Table1313429[[#This Row],[Dog ID]]="","",(VLOOKUP(Table1313429[[#This Row],[Dog ID]],Excellent!C$5:$AU88,45,FALSE)))</f>
        <v/>
      </c>
      <c r="J92" s="48"/>
      <c r="K92" s="48"/>
      <c r="L92" s="48"/>
      <c r="M92" s="48"/>
      <c r="N92" s="48"/>
      <c r="O92" s="48"/>
      <c r="P92" s="48"/>
      <c r="Q92" s="51"/>
      <c r="R92" s="51"/>
    </row>
    <row r="93" spans="1:18" ht="30" customHeight="1" x14ac:dyDescent="0.45">
      <c r="A93" s="243">
        <v>36</v>
      </c>
      <c r="B93" s="144" t="str">
        <f>IF(OR(VLOOKUP(Table1313429[[#This Row],[Ln'#]],Excellent!A$5:AU$54,7,FALSE)="E",VLOOKUP(Table1313429[[#This Row],[Ln'#]],Excellent!A$5:AU$54,7,FALSE)="FEO"),"x","")</f>
        <v/>
      </c>
      <c r="C93" s="144" t="str">
        <f>IF(OR(VLOOKUP(Table1313429[[#This Row],[Ln'#]],Excellent!A$5:AU$54,15,FALSE)="E",VLOOKUP(Table1313429[[#This Row],[Ln'#]],Excellent!A$5:AU$54,15,FALSE)="FEO"),"x","")</f>
        <v/>
      </c>
      <c r="D93" s="48"/>
      <c r="E93" s="48"/>
      <c r="F93" s="48" t="str">
        <f>IF(AND(Table1313429[[#This Row],[Status Container]]="",Table1313429[[#This Row],[Status Interior]]=""),"",VLOOKUP(Table1313429[[#This Row],[Ln'#]],Excellent!$A$5:$AU$54,3,FALSE))</f>
        <v/>
      </c>
      <c r="G93" s="51" t="str">
        <f>IF(Table1313429[[#This Row],[Dog ID]]="","",(VLOOKUP(Table1313429[[#This Row],[Dog ID]],Excellent!C$5:$D$54,2,FALSE)&amp;" - " &amp;VLOOKUP(Table1313429[[#This Row],[Dog ID]],'SDDA Dogs'!A:C,3,FALSE)))</f>
        <v/>
      </c>
      <c r="H93" s="51" t="str">
        <f>IF(Table1313429[[#This Row],[Dog ID]]="","",(VLOOKUP(Table1313429[[#This Row],[Dog ID]],Excellent!C$5:$AU89,45,FALSE)))</f>
        <v/>
      </c>
      <c r="J93" s="48"/>
      <c r="K93" s="48"/>
      <c r="L93" s="48"/>
      <c r="M93" s="48"/>
      <c r="N93" s="48"/>
      <c r="O93" s="48"/>
      <c r="P93" s="48"/>
      <c r="Q93" s="51"/>
      <c r="R93" s="51"/>
    </row>
    <row r="94" spans="1:18" ht="30" customHeight="1" x14ac:dyDescent="0.45">
      <c r="A94" s="243">
        <v>37</v>
      </c>
      <c r="B94" s="144" t="str">
        <f>IF(OR(VLOOKUP(Table1313429[[#This Row],[Ln'#]],Excellent!A$5:AU$54,7,FALSE)="E",VLOOKUP(Table1313429[[#This Row],[Ln'#]],Excellent!A$5:AU$54,7,FALSE)="FEO"),"x","")</f>
        <v/>
      </c>
      <c r="C94" s="144" t="str">
        <f>IF(OR(VLOOKUP(Table1313429[[#This Row],[Ln'#]],Excellent!A$5:AU$54,15,FALSE)="E",VLOOKUP(Table1313429[[#This Row],[Ln'#]],Excellent!A$5:AU$54,15,FALSE)="FEO"),"x","")</f>
        <v/>
      </c>
      <c r="D94" s="48"/>
      <c r="E94" s="48"/>
      <c r="F94" s="48" t="str">
        <f>IF(AND(Table1313429[[#This Row],[Status Container]]="",Table1313429[[#This Row],[Status Interior]]=""),"",VLOOKUP(Table1313429[[#This Row],[Ln'#]],Excellent!$A$5:$AU$54,3,FALSE))</f>
        <v/>
      </c>
      <c r="G94" s="51" t="str">
        <f>IF(Table1313429[[#This Row],[Dog ID]]="","",(VLOOKUP(Table1313429[[#This Row],[Dog ID]],Excellent!C$5:$D$54,2,FALSE)&amp;" - " &amp;VLOOKUP(Table1313429[[#This Row],[Dog ID]],'SDDA Dogs'!A:C,3,FALSE)))</f>
        <v/>
      </c>
      <c r="H94" s="51" t="str">
        <f>IF(Table1313429[[#This Row],[Dog ID]]="","",(VLOOKUP(Table1313429[[#This Row],[Dog ID]],Excellent!C$5:$AU90,45,FALSE)))</f>
        <v/>
      </c>
      <c r="J94" s="48"/>
      <c r="K94" s="48"/>
      <c r="L94" s="48"/>
      <c r="M94" s="48"/>
      <c r="N94" s="48"/>
      <c r="O94" s="48"/>
      <c r="P94" s="48"/>
      <c r="Q94" s="51"/>
      <c r="R94" s="51"/>
    </row>
    <row r="95" spans="1:18" ht="30" customHeight="1" x14ac:dyDescent="0.45">
      <c r="A95" s="243">
        <v>38</v>
      </c>
      <c r="B95" s="144" t="str">
        <f>IF(OR(VLOOKUP(Table1313429[[#This Row],[Ln'#]],Excellent!A$5:AU$54,7,FALSE)="E",VLOOKUP(Table1313429[[#This Row],[Ln'#]],Excellent!A$5:AU$54,7,FALSE)="FEO"),"x","")</f>
        <v/>
      </c>
      <c r="C95" s="144" t="str">
        <f>IF(OR(VLOOKUP(Table1313429[[#This Row],[Ln'#]],Excellent!A$5:AU$54,15,FALSE)="E",VLOOKUP(Table1313429[[#This Row],[Ln'#]],Excellent!A$5:AU$54,15,FALSE)="FEO"),"x","")</f>
        <v/>
      </c>
      <c r="D95" s="48"/>
      <c r="E95" s="48"/>
      <c r="F95" s="48" t="str">
        <f>IF(AND(Table1313429[[#This Row],[Status Container]]="",Table1313429[[#This Row],[Status Interior]]=""),"",VLOOKUP(Table1313429[[#This Row],[Ln'#]],Excellent!$A$5:$AU$54,3,FALSE))</f>
        <v/>
      </c>
      <c r="G95" s="51" t="str">
        <f>IF(Table1313429[[#This Row],[Dog ID]]="","",(VLOOKUP(Table1313429[[#This Row],[Dog ID]],Excellent!C$5:$D$54,2,FALSE)&amp;" - " &amp;VLOOKUP(Table1313429[[#This Row],[Dog ID]],'SDDA Dogs'!A:C,3,FALSE)))</f>
        <v/>
      </c>
      <c r="H95" s="51" t="str">
        <f>IF(Table1313429[[#This Row],[Dog ID]]="","",(VLOOKUP(Table1313429[[#This Row],[Dog ID]],Excellent!C$5:$AU91,45,FALSE)))</f>
        <v/>
      </c>
      <c r="J95" s="48"/>
      <c r="K95" s="48"/>
      <c r="L95" s="48"/>
      <c r="M95" s="48"/>
      <c r="N95" s="48"/>
      <c r="O95" s="48"/>
      <c r="P95" s="48"/>
      <c r="Q95" s="51"/>
      <c r="R95" s="51"/>
    </row>
    <row r="96" spans="1:18" ht="30" customHeight="1" x14ac:dyDescent="0.45">
      <c r="A96" s="243">
        <v>39</v>
      </c>
      <c r="B96" s="144" t="str">
        <f>IF(OR(VLOOKUP(Table1313429[[#This Row],[Ln'#]],Excellent!A$5:AU$54,7,FALSE)="E",VLOOKUP(Table1313429[[#This Row],[Ln'#]],Excellent!A$5:AU$54,7,FALSE)="FEO"),"x","")</f>
        <v/>
      </c>
      <c r="C96" s="144" t="str">
        <f>IF(OR(VLOOKUP(Table1313429[[#This Row],[Ln'#]],Excellent!A$5:AU$54,15,FALSE)="E",VLOOKUP(Table1313429[[#This Row],[Ln'#]],Excellent!A$5:AU$54,15,FALSE)="FEO"),"x","")</f>
        <v/>
      </c>
      <c r="D96" s="48"/>
      <c r="E96" s="48"/>
      <c r="F96" s="48" t="str">
        <f>IF(AND(Table1313429[[#This Row],[Status Container]]="",Table1313429[[#This Row],[Status Interior]]=""),"",VLOOKUP(Table1313429[[#This Row],[Ln'#]],Excellent!$A$5:$AU$54,3,FALSE))</f>
        <v/>
      </c>
      <c r="G96" s="51" t="str">
        <f>IF(Table1313429[[#This Row],[Dog ID]]="","",(VLOOKUP(Table1313429[[#This Row],[Dog ID]],Excellent!C$5:$D$54,2,FALSE)&amp;" - " &amp;VLOOKUP(Table1313429[[#This Row],[Dog ID]],'SDDA Dogs'!A:C,3,FALSE)))</f>
        <v/>
      </c>
      <c r="H96" s="51" t="str">
        <f>IF(Table1313429[[#This Row],[Dog ID]]="","",(VLOOKUP(Table1313429[[#This Row],[Dog ID]],Excellent!C$5:$AU92,45,FALSE)))</f>
        <v/>
      </c>
      <c r="J96" s="48"/>
      <c r="K96" s="48"/>
      <c r="L96" s="48"/>
      <c r="M96" s="48"/>
      <c r="N96" s="48"/>
      <c r="O96" s="48"/>
      <c r="P96" s="48"/>
      <c r="Q96" s="51"/>
      <c r="R96" s="51"/>
    </row>
    <row r="97" spans="1:19" ht="30" customHeight="1" x14ac:dyDescent="0.45">
      <c r="A97" s="243">
        <v>40</v>
      </c>
      <c r="B97" s="144" t="str">
        <f>IF(OR(VLOOKUP(Table1313429[[#This Row],[Ln'#]],Excellent!A$5:AU$54,7,FALSE)="E",VLOOKUP(Table1313429[[#This Row],[Ln'#]],Excellent!A$5:AU$54,7,FALSE)="FEO"),"x","")</f>
        <v/>
      </c>
      <c r="C97" s="144" t="str">
        <f>IF(OR(VLOOKUP(Table1313429[[#This Row],[Ln'#]],Excellent!A$5:AU$54,15,FALSE)="E",VLOOKUP(Table1313429[[#This Row],[Ln'#]],Excellent!A$5:AU$54,15,FALSE)="FEO"),"x","")</f>
        <v/>
      </c>
      <c r="D97" s="48"/>
      <c r="E97" s="48"/>
      <c r="F97" s="48" t="str">
        <f>IF(AND(Table1313429[[#This Row],[Status Container]]="",Table1313429[[#This Row],[Status Interior]]=""),"",VLOOKUP(Table1313429[[#This Row],[Ln'#]],Excellent!$A$5:$AU$54,3,FALSE))</f>
        <v/>
      </c>
      <c r="G97" s="51" t="str">
        <f>IF(Table1313429[[#This Row],[Dog ID]]="","",(VLOOKUP(Table1313429[[#This Row],[Dog ID]],Excellent!C$5:$D$54,2,FALSE)&amp;" - " &amp;VLOOKUP(Table1313429[[#This Row],[Dog ID]],'SDDA Dogs'!A:C,3,FALSE)))</f>
        <v/>
      </c>
      <c r="H97" s="51" t="str">
        <f>IF(Table1313429[[#This Row],[Dog ID]]="","",(VLOOKUP(Table1313429[[#This Row],[Dog ID]],Excellent!C$5:$AU93,45,FALSE)))</f>
        <v/>
      </c>
      <c r="J97" s="48"/>
      <c r="K97" s="48"/>
      <c r="L97" s="48"/>
      <c r="M97" s="48"/>
      <c r="N97" s="48"/>
      <c r="O97" s="48"/>
      <c r="P97" s="48"/>
      <c r="Q97" s="51"/>
      <c r="R97" s="51"/>
    </row>
    <row r="98" spans="1:19" ht="30" customHeight="1" x14ac:dyDescent="0.45">
      <c r="A98" s="243">
        <v>41</v>
      </c>
      <c r="B98" s="144" t="str">
        <f>IF(OR(VLOOKUP(Table1313429[[#This Row],[Ln'#]],Excellent!A$5:AU$54,7,FALSE)="E",VLOOKUP(Table1313429[[#This Row],[Ln'#]],Excellent!A$5:AU$54,7,FALSE)="FEO"),"x","")</f>
        <v/>
      </c>
      <c r="C98" s="144" t="str">
        <f>IF(OR(VLOOKUP(Table1313429[[#This Row],[Ln'#]],Excellent!A$5:AU$54,15,FALSE)="E",VLOOKUP(Table1313429[[#This Row],[Ln'#]],Excellent!A$5:AU$54,15,FALSE)="FEO"),"x","")</f>
        <v/>
      </c>
      <c r="D98" s="48"/>
      <c r="E98" s="48"/>
      <c r="F98" s="48" t="str">
        <f>IF(AND(Table1313429[[#This Row],[Status Container]]="",Table1313429[[#This Row],[Status Interior]]=""),"",VLOOKUP(Table1313429[[#This Row],[Ln'#]],Excellent!$A$5:$AU$54,3,FALSE))</f>
        <v/>
      </c>
      <c r="G98" s="51" t="str">
        <f>IF(Table1313429[[#This Row],[Dog ID]]="","",(VLOOKUP(Table1313429[[#This Row],[Dog ID]],Excellent!C$5:$D$54,2,FALSE)&amp;" - " &amp;VLOOKUP(Table1313429[[#This Row],[Dog ID]],'SDDA Dogs'!A:C,3,FALSE)))</f>
        <v/>
      </c>
      <c r="H98" s="51" t="str">
        <f>IF(Table1313429[[#This Row],[Dog ID]]="","",(VLOOKUP(Table1313429[[#This Row],[Dog ID]],Excellent!C$5:$AU94,45,FALSE)))</f>
        <v/>
      </c>
      <c r="J98" s="48"/>
      <c r="K98" s="48"/>
      <c r="L98" s="48"/>
      <c r="M98" s="48"/>
      <c r="N98" s="48"/>
      <c r="O98" s="48"/>
      <c r="P98" s="48"/>
      <c r="Q98" s="51"/>
      <c r="R98" s="51"/>
    </row>
    <row r="99" spans="1:19" ht="30" customHeight="1" x14ac:dyDescent="0.45">
      <c r="A99" s="243">
        <v>42</v>
      </c>
      <c r="B99" s="144" t="str">
        <f>IF(OR(VLOOKUP(Table1313429[[#This Row],[Ln'#]],Excellent!A$5:AU$54,7,FALSE)="E",VLOOKUP(Table1313429[[#This Row],[Ln'#]],Excellent!A$5:AU$54,7,FALSE)="FEO"),"x","")</f>
        <v/>
      </c>
      <c r="C99" s="144" t="str">
        <f>IF(OR(VLOOKUP(Table1313429[[#This Row],[Ln'#]],Excellent!A$5:AU$54,15,FALSE)="E",VLOOKUP(Table1313429[[#This Row],[Ln'#]],Excellent!A$5:AU$54,15,FALSE)="FEO"),"x","")</f>
        <v/>
      </c>
      <c r="D99" s="48"/>
      <c r="E99" s="48"/>
      <c r="F99" s="48" t="str">
        <f>IF(AND(Table1313429[[#This Row],[Status Container]]="",Table1313429[[#This Row],[Status Interior]]=""),"",VLOOKUP(Table1313429[[#This Row],[Ln'#]],Excellent!$A$5:$AU$54,3,FALSE))</f>
        <v/>
      </c>
      <c r="G99" s="51" t="str">
        <f>IF(Table1313429[[#This Row],[Dog ID]]="","",(VLOOKUP(Table1313429[[#This Row],[Dog ID]],Excellent!C$5:$D$54,2,FALSE)&amp;" - " &amp;VLOOKUP(Table1313429[[#This Row],[Dog ID]],'SDDA Dogs'!A:C,3,FALSE)))</f>
        <v/>
      </c>
      <c r="H99" s="51" t="str">
        <f>IF(Table1313429[[#This Row],[Dog ID]]="","",(VLOOKUP(Table1313429[[#This Row],[Dog ID]],Excellent!C$5:$AU95,45,FALSE)))</f>
        <v/>
      </c>
      <c r="J99" s="48"/>
      <c r="K99" s="48"/>
      <c r="L99" s="48"/>
      <c r="M99" s="48"/>
      <c r="N99" s="48"/>
      <c r="O99" s="48"/>
      <c r="P99" s="48"/>
      <c r="Q99" s="51"/>
      <c r="R99" s="51"/>
    </row>
    <row r="100" spans="1:19" ht="30" customHeight="1" x14ac:dyDescent="0.45">
      <c r="A100" s="243">
        <v>43</v>
      </c>
      <c r="B100" s="144" t="str">
        <f>IF(OR(VLOOKUP(Table1313429[[#This Row],[Ln'#]],Excellent!A$5:AU$54,7,FALSE)="E",VLOOKUP(Table1313429[[#This Row],[Ln'#]],Excellent!A$5:AU$54,7,FALSE)="FEO"),"x","")</f>
        <v/>
      </c>
      <c r="C100" s="144" t="str">
        <f>IF(OR(VLOOKUP(Table1313429[[#This Row],[Ln'#]],Excellent!A$5:AU$54,15,FALSE)="E",VLOOKUP(Table1313429[[#This Row],[Ln'#]],Excellent!A$5:AU$54,15,FALSE)="FEO"),"x","")</f>
        <v/>
      </c>
      <c r="D100" s="48"/>
      <c r="E100" s="48"/>
      <c r="F100" s="48" t="str">
        <f>IF(AND(Table1313429[[#This Row],[Status Container]]="",Table1313429[[#This Row],[Status Interior]]=""),"",VLOOKUP(Table1313429[[#This Row],[Ln'#]],Excellent!$A$5:$AU$54,3,FALSE))</f>
        <v/>
      </c>
      <c r="G100" s="51" t="str">
        <f>IF(Table1313429[[#This Row],[Dog ID]]="","",(VLOOKUP(Table1313429[[#This Row],[Dog ID]],Excellent!C$5:$D$54,2,FALSE)&amp;" - " &amp;VLOOKUP(Table1313429[[#This Row],[Dog ID]],'SDDA Dogs'!A:C,3,FALSE)))</f>
        <v/>
      </c>
      <c r="H100" s="51" t="str">
        <f>IF(Table1313429[[#This Row],[Dog ID]]="","",(VLOOKUP(Table1313429[[#This Row],[Dog ID]],Excellent!C$5:$AU96,45,FALSE)))</f>
        <v/>
      </c>
      <c r="J100" s="48"/>
      <c r="K100" s="48"/>
      <c r="L100" s="48"/>
      <c r="M100" s="48"/>
      <c r="N100" s="48"/>
      <c r="O100" s="48"/>
      <c r="P100" s="48"/>
      <c r="Q100" s="51"/>
      <c r="R100" s="51"/>
    </row>
    <row r="101" spans="1:19" ht="30" customHeight="1" x14ac:dyDescent="0.45">
      <c r="A101" s="243">
        <v>44</v>
      </c>
      <c r="B101" s="144" t="str">
        <f>IF(OR(VLOOKUP(Table1313429[[#This Row],[Ln'#]],Excellent!A$5:AU$54,7,FALSE)="E",VLOOKUP(Table1313429[[#This Row],[Ln'#]],Excellent!A$5:AU$54,7,FALSE)="FEO"),"x","")</f>
        <v/>
      </c>
      <c r="C101" s="144" t="str">
        <f>IF(OR(VLOOKUP(Table1313429[[#This Row],[Ln'#]],Excellent!A$5:AU$54,15,FALSE)="E",VLOOKUP(Table1313429[[#This Row],[Ln'#]],Excellent!A$5:AU$54,15,FALSE)="FEO"),"x","")</f>
        <v/>
      </c>
      <c r="D101" s="48"/>
      <c r="E101" s="48"/>
      <c r="F101" s="48" t="str">
        <f>IF(AND(Table1313429[[#This Row],[Status Container]]="",Table1313429[[#This Row],[Status Interior]]=""),"",VLOOKUP(Table1313429[[#This Row],[Ln'#]],Excellent!$A$5:$AU$54,3,FALSE))</f>
        <v/>
      </c>
      <c r="G101" s="51" t="str">
        <f>IF(Table1313429[[#This Row],[Dog ID]]="","",(VLOOKUP(Table1313429[[#This Row],[Dog ID]],Excellent!C$5:$D$54,2,FALSE)&amp;" - " &amp;VLOOKUP(Table1313429[[#This Row],[Dog ID]],'SDDA Dogs'!A:C,3,FALSE)))</f>
        <v/>
      </c>
      <c r="H101" s="51" t="str">
        <f>IF(Table1313429[[#This Row],[Dog ID]]="","",(VLOOKUP(Table1313429[[#This Row],[Dog ID]],Excellent!C$5:$AU97,45,FALSE)))</f>
        <v/>
      </c>
      <c r="J101" s="48"/>
      <c r="K101" s="48"/>
      <c r="L101" s="48"/>
      <c r="M101" s="48"/>
      <c r="N101" s="48"/>
      <c r="O101" s="48"/>
      <c r="P101" s="48"/>
      <c r="Q101" s="51"/>
      <c r="R101" s="51"/>
    </row>
    <row r="102" spans="1:19" ht="30" customHeight="1" x14ac:dyDescent="0.45">
      <c r="A102" s="243">
        <v>45</v>
      </c>
      <c r="B102" s="144" t="str">
        <f>IF(OR(VLOOKUP(Table1313429[[#This Row],[Ln'#]],Excellent!A$5:AU$54,7,FALSE)="E",VLOOKUP(Table1313429[[#This Row],[Ln'#]],Excellent!A$5:AU$54,7,FALSE)="FEO"),"x","")</f>
        <v/>
      </c>
      <c r="C102" s="144" t="str">
        <f>IF(OR(VLOOKUP(Table1313429[[#This Row],[Ln'#]],Excellent!A$5:AU$54,15,FALSE)="E",VLOOKUP(Table1313429[[#This Row],[Ln'#]],Excellent!A$5:AU$54,15,FALSE)="FEO"),"x","")</f>
        <v/>
      </c>
      <c r="D102" s="48"/>
      <c r="E102" s="48"/>
      <c r="F102" s="48" t="str">
        <f>IF(AND(Table1313429[[#This Row],[Status Container]]="",Table1313429[[#This Row],[Status Interior]]=""),"",VLOOKUP(Table1313429[[#This Row],[Ln'#]],Excellent!$A$5:$AU$54,3,FALSE))</f>
        <v/>
      </c>
      <c r="G102" s="51" t="str">
        <f>IF(Table1313429[[#This Row],[Dog ID]]="","",(VLOOKUP(Table1313429[[#This Row],[Dog ID]],Excellent!C$5:$D$54,2,FALSE)&amp;" - " &amp;VLOOKUP(Table1313429[[#This Row],[Dog ID]],'SDDA Dogs'!A:C,3,FALSE)))</f>
        <v/>
      </c>
      <c r="H102" s="51" t="str">
        <f>IF(Table1313429[[#This Row],[Dog ID]]="","",(VLOOKUP(Table1313429[[#This Row],[Dog ID]],Excellent!C$5:$AU98,45,FALSE)))</f>
        <v/>
      </c>
      <c r="J102" s="48"/>
      <c r="K102" s="48"/>
      <c r="L102" s="48"/>
      <c r="M102" s="48"/>
      <c r="N102" s="48"/>
      <c r="O102" s="48"/>
      <c r="P102" s="48"/>
      <c r="Q102" s="51"/>
      <c r="R102" s="51"/>
    </row>
    <row r="103" spans="1:19" ht="30" customHeight="1" x14ac:dyDescent="0.45">
      <c r="A103" s="243">
        <v>46</v>
      </c>
      <c r="B103" s="144" t="str">
        <f>IF(OR(VLOOKUP(Table1313429[[#This Row],[Ln'#]],Excellent!A$5:AU$54,7,FALSE)="E",VLOOKUP(Table1313429[[#This Row],[Ln'#]],Excellent!A$5:AU$54,7,FALSE)="FEO"),"x","")</f>
        <v/>
      </c>
      <c r="C103" s="144" t="str">
        <f>IF(OR(VLOOKUP(Table1313429[[#This Row],[Ln'#]],Excellent!A$5:AU$54,15,FALSE)="E",VLOOKUP(Table1313429[[#This Row],[Ln'#]],Excellent!A$5:AU$54,15,FALSE)="FEO"),"x","")</f>
        <v/>
      </c>
      <c r="D103" s="48"/>
      <c r="E103" s="48"/>
      <c r="F103" s="48" t="str">
        <f>IF(AND(Table1313429[[#This Row],[Status Container]]="",Table1313429[[#This Row],[Status Interior]]=""),"",VLOOKUP(Table1313429[[#This Row],[Ln'#]],Excellent!$A$5:$AU$54,3,FALSE))</f>
        <v/>
      </c>
      <c r="G103" s="51" t="str">
        <f>IF(Table1313429[[#This Row],[Dog ID]]="","",(VLOOKUP(Table1313429[[#This Row],[Dog ID]],Excellent!C$5:$D$54,2,FALSE)&amp;" - " &amp;VLOOKUP(Table1313429[[#This Row],[Dog ID]],'SDDA Dogs'!A:C,3,FALSE)))</f>
        <v/>
      </c>
      <c r="H103" s="51" t="str">
        <f>IF(Table1313429[[#This Row],[Dog ID]]="","",(VLOOKUP(Table1313429[[#This Row],[Dog ID]],Excellent!C$5:$AU99,45,FALSE)))</f>
        <v/>
      </c>
      <c r="J103" s="48"/>
      <c r="K103" s="48"/>
      <c r="L103" s="48"/>
      <c r="M103" s="48"/>
      <c r="N103" s="48"/>
      <c r="O103" s="48"/>
      <c r="P103" s="48"/>
      <c r="Q103" s="51"/>
      <c r="R103" s="51"/>
    </row>
    <row r="104" spans="1:19" ht="30" customHeight="1" x14ac:dyDescent="0.45">
      <c r="A104" s="243">
        <v>47</v>
      </c>
      <c r="B104" s="144" t="str">
        <f>IF(OR(VLOOKUP(Table1313429[[#This Row],[Ln'#]],Excellent!A$5:AU$54,7,FALSE)="E",VLOOKUP(Table1313429[[#This Row],[Ln'#]],Excellent!A$5:AU$54,7,FALSE)="FEO"),"x","")</f>
        <v/>
      </c>
      <c r="C104" s="144" t="str">
        <f>IF(OR(VLOOKUP(Table1313429[[#This Row],[Ln'#]],Excellent!A$5:AU$54,15,FALSE)="E",VLOOKUP(Table1313429[[#This Row],[Ln'#]],Excellent!A$5:AU$54,15,FALSE)="FEO"),"x","")</f>
        <v/>
      </c>
      <c r="D104" s="48"/>
      <c r="E104" s="48"/>
      <c r="F104" s="48" t="str">
        <f>IF(AND(Table1313429[[#This Row],[Status Container]]="",Table1313429[[#This Row],[Status Interior]]=""),"",VLOOKUP(Table1313429[[#This Row],[Ln'#]],Excellent!$A$5:$AU$54,3,FALSE))</f>
        <v/>
      </c>
      <c r="G104" s="51" t="str">
        <f>IF(Table1313429[[#This Row],[Dog ID]]="","",(VLOOKUP(Table1313429[[#This Row],[Dog ID]],Excellent!C$5:$D$54,2,FALSE)&amp;" - " &amp;VLOOKUP(Table1313429[[#This Row],[Dog ID]],'SDDA Dogs'!A:C,3,FALSE)))</f>
        <v/>
      </c>
      <c r="H104" s="51" t="str">
        <f>IF(Table1313429[[#This Row],[Dog ID]]="","",(VLOOKUP(Table1313429[[#This Row],[Dog ID]],Excellent!C$5:$AU100,45,FALSE)))</f>
        <v/>
      </c>
      <c r="J104" s="48"/>
      <c r="K104" s="48"/>
      <c r="L104" s="48"/>
      <c r="M104" s="48"/>
      <c r="N104" s="48"/>
      <c r="O104" s="48"/>
      <c r="P104" s="48"/>
      <c r="Q104" s="51"/>
      <c r="R104" s="51"/>
    </row>
    <row r="105" spans="1:19" ht="30" customHeight="1" x14ac:dyDescent="0.45">
      <c r="A105" s="243">
        <v>48</v>
      </c>
      <c r="B105" s="144" t="str">
        <f>IF(OR(VLOOKUP(Table1313429[[#This Row],[Ln'#]],Excellent!A$5:AU$54,7,FALSE)="E",VLOOKUP(Table1313429[[#This Row],[Ln'#]],Excellent!A$5:AU$54,7,FALSE)="FEO"),"x","")</f>
        <v/>
      </c>
      <c r="C105" s="144" t="str">
        <f>IF(OR(VLOOKUP(Table1313429[[#This Row],[Ln'#]],Excellent!A$5:AU$54,15,FALSE)="E",VLOOKUP(Table1313429[[#This Row],[Ln'#]],Excellent!A$5:AU$54,15,FALSE)="FEO"),"x","")</f>
        <v/>
      </c>
      <c r="D105" s="48"/>
      <c r="E105" s="48"/>
      <c r="F105" s="48" t="str">
        <f>IF(AND(Table1313429[[#This Row],[Status Container]]="",Table1313429[[#This Row],[Status Interior]]=""),"",VLOOKUP(Table1313429[[#This Row],[Ln'#]],Excellent!$A$5:$AU$54,3,FALSE))</f>
        <v/>
      </c>
      <c r="G105" s="51" t="str">
        <f>IF(Table1313429[[#This Row],[Dog ID]]="","",(VLOOKUP(Table1313429[[#This Row],[Dog ID]],Excellent!C$5:$D$54,2,FALSE)&amp;" - " &amp;VLOOKUP(Table1313429[[#This Row],[Dog ID]],'SDDA Dogs'!A:C,3,FALSE)))</f>
        <v/>
      </c>
      <c r="H105" s="51" t="str">
        <f>IF(Table1313429[[#This Row],[Dog ID]]="","",(VLOOKUP(Table1313429[[#This Row],[Dog ID]],Excellent!C$5:$AU101,45,FALSE)))</f>
        <v/>
      </c>
      <c r="J105" s="48"/>
      <c r="K105" s="48"/>
      <c r="L105" s="48"/>
      <c r="M105" s="48"/>
      <c r="N105" s="48"/>
      <c r="O105" s="48"/>
      <c r="P105" s="48"/>
      <c r="Q105" s="51"/>
      <c r="R105" s="51"/>
    </row>
    <row r="106" spans="1:19" ht="30" customHeight="1" x14ac:dyDescent="0.45">
      <c r="A106" s="243">
        <v>49</v>
      </c>
      <c r="B106" s="144" t="str">
        <f>IF(OR(VLOOKUP(Table1313429[[#This Row],[Ln'#]],Excellent!A$5:AU$54,7,FALSE)="E",VLOOKUP(Table1313429[[#This Row],[Ln'#]],Excellent!A$5:AU$54,7,FALSE)="FEO"),"x","")</f>
        <v/>
      </c>
      <c r="C106" s="144" t="str">
        <f>IF(OR(VLOOKUP(Table1313429[[#This Row],[Ln'#]],Excellent!A$5:AU$54,15,FALSE)="E",VLOOKUP(Table1313429[[#This Row],[Ln'#]],Excellent!A$5:AU$54,15,FALSE)="FEO"),"x","")</f>
        <v/>
      </c>
      <c r="D106" s="48"/>
      <c r="E106" s="48"/>
      <c r="F106" s="48" t="str">
        <f>IF(AND(Table1313429[[#This Row],[Status Container]]="",Table1313429[[#This Row],[Status Interior]]=""),"",VLOOKUP(Table1313429[[#This Row],[Ln'#]],Excellent!$A$5:$AU$54,3,FALSE))</f>
        <v/>
      </c>
      <c r="G106" s="51" t="str">
        <f>IF(Table1313429[[#This Row],[Dog ID]]="","",(VLOOKUP(Table1313429[[#This Row],[Dog ID]],Excellent!C$5:$D$54,2,FALSE)&amp;" - " &amp;VLOOKUP(Table1313429[[#This Row],[Dog ID]],'SDDA Dogs'!A:C,3,FALSE)))</f>
        <v/>
      </c>
      <c r="H106" s="51" t="str">
        <f>IF(Table1313429[[#This Row],[Dog ID]]="","",(VLOOKUP(Table1313429[[#This Row],[Dog ID]],Excellent!C$5:$AU102,45,FALSE)))</f>
        <v/>
      </c>
      <c r="J106" s="48"/>
      <c r="K106" s="48"/>
      <c r="L106" s="48"/>
      <c r="M106" s="48"/>
      <c r="N106" s="48"/>
      <c r="O106" s="48"/>
      <c r="P106" s="48"/>
      <c r="Q106" s="51"/>
      <c r="R106" s="51"/>
    </row>
    <row r="107" spans="1:19" ht="30" customHeight="1" x14ac:dyDescent="0.45">
      <c r="A107" s="243">
        <v>50</v>
      </c>
      <c r="B107" s="144" t="str">
        <f>IF(OR(VLOOKUP(Table1313429[[#This Row],[Ln'#]],Excellent!A$5:AU$54,7,FALSE)="E",VLOOKUP(Table1313429[[#This Row],[Ln'#]],Excellent!A$5:AU$54,7,FALSE)="FEO"),"x","")</f>
        <v/>
      </c>
      <c r="C107" s="144" t="str">
        <f>IF(OR(VLOOKUP(Table1313429[[#This Row],[Ln'#]],Excellent!A$5:AU$54,15,FALSE)="E",VLOOKUP(Table1313429[[#This Row],[Ln'#]],Excellent!A$5:AU$54,15,FALSE)="FEO"),"x","")</f>
        <v/>
      </c>
      <c r="D107" s="48"/>
      <c r="E107" s="48"/>
      <c r="F107" s="48" t="str">
        <f>IF(AND(Table1313429[[#This Row],[Status Container]]="",Table1313429[[#This Row],[Status Interior]]=""),"",VLOOKUP(Table1313429[[#This Row],[Ln'#]],Excellent!$A$5:$AU$54,3,FALSE))</f>
        <v/>
      </c>
      <c r="G107" s="51" t="str">
        <f>IF(Table1313429[[#This Row],[Dog ID]]="","",(VLOOKUP(Table1313429[[#This Row],[Dog ID]],Excellent!C$5:$D$54,2,FALSE)&amp;" - " &amp;VLOOKUP(Table1313429[[#This Row],[Dog ID]],'SDDA Dogs'!A:C,3,FALSE)))</f>
        <v/>
      </c>
      <c r="H107" s="51" t="str">
        <f>IF(Table1313429[[#This Row],[Dog ID]]="","",(VLOOKUP(Table1313429[[#This Row],[Dog ID]],Excellent!C$5:$AU103,45,FALSE)))</f>
        <v/>
      </c>
      <c r="J107" s="48"/>
      <c r="K107" s="48"/>
      <c r="L107" s="48"/>
      <c r="M107" s="48"/>
      <c r="N107" s="48"/>
      <c r="O107" s="48"/>
      <c r="P107" s="48"/>
      <c r="Q107" s="51"/>
      <c r="R107" s="51"/>
    </row>
    <row r="108" spans="1:19" ht="30" customHeight="1" x14ac:dyDescent="0.4">
      <c r="A108" s="48"/>
      <c r="B108" s="48"/>
      <c r="C108" s="48"/>
      <c r="D108" s="48" t="s">
        <v>1141</v>
      </c>
      <c r="E108" s="48">
        <f>SUBTOTAL(102,Table1313429[Running Order])</f>
        <v>0</v>
      </c>
      <c r="F108" s="48"/>
      <c r="G108" s="51"/>
      <c r="H108" s="51"/>
      <c r="J108" s="48"/>
      <c r="K108" s="48"/>
      <c r="L108" s="48"/>
      <c r="M108" s="48"/>
      <c r="N108" s="48"/>
      <c r="O108" s="48"/>
      <c r="P108" s="48"/>
      <c r="Q108" s="51"/>
      <c r="R108" s="51"/>
    </row>
    <row r="109" spans="1:19" ht="30" customHeight="1" x14ac:dyDescent="0.4">
      <c r="A109" s="116"/>
      <c r="B109" s="116"/>
      <c r="C109" s="116"/>
      <c r="D109" s="116"/>
      <c r="E109" s="116"/>
      <c r="F109" s="116"/>
      <c r="G109" s="116"/>
      <c r="H109" s="117"/>
      <c r="I109" s="117"/>
      <c r="K109" s="48"/>
      <c r="L109" s="48"/>
      <c r="M109" s="48"/>
      <c r="N109" s="48"/>
      <c r="O109" s="48"/>
      <c r="P109" s="48"/>
      <c r="Q109" s="48"/>
      <c r="R109" s="51"/>
      <c r="S109" s="51"/>
    </row>
    <row r="111" spans="1:19" ht="30" customHeight="1" x14ac:dyDescent="0.4">
      <c r="A111" s="402" t="s">
        <v>1143</v>
      </c>
      <c r="B111" s="402"/>
      <c r="C111" s="43"/>
      <c r="D111" s="403" t="s">
        <v>1186</v>
      </c>
      <c r="E111" s="403"/>
      <c r="F111" s="403"/>
      <c r="G111" s="403"/>
      <c r="H111" s="403"/>
      <c r="I111" s="403"/>
    </row>
    <row r="112" spans="1:19" ht="54" customHeight="1" x14ac:dyDescent="0.4">
      <c r="A112" s="67" t="s">
        <v>605</v>
      </c>
      <c r="B112" s="67" t="s">
        <v>1139</v>
      </c>
      <c r="C112" s="68" t="s">
        <v>12407</v>
      </c>
      <c r="D112" s="67" t="s">
        <v>1142</v>
      </c>
      <c r="E112" s="67" t="s">
        <v>1135</v>
      </c>
      <c r="F112" s="67" t="s">
        <v>1136</v>
      </c>
      <c r="G112" s="69" t="s">
        <v>1207</v>
      </c>
      <c r="H112" s="69" t="s">
        <v>1137</v>
      </c>
    </row>
    <row r="113" spans="1:8" ht="30" customHeight="1" x14ac:dyDescent="0.4">
      <c r="A113" s="49">
        <v>1</v>
      </c>
      <c r="B113" s="49" t="str">
        <f>IF(OR(VLOOKUP(Table17105[[#This Row],[Ln'#]],Excellent!A$5:AW$54,15,FALSE)="E",VLOOKUP(Table17105[[#This Row],[Ln'#]],Excellent!A$5:AW$54,15,FALSE)="FEO"),"Entered or FEO","Not Entered")</f>
        <v>Not Entered</v>
      </c>
      <c r="C113" s="50"/>
      <c r="D113" s="48"/>
      <c r="E113" s="48"/>
      <c r="F113" s="48" t="str">
        <f>IF(Table17105[[#This Row],[Status]]="Not Entered","",VLOOKUP(Table17105[[#This Row],[Ln'#]],Excellent!$A$5:$AW$54,3,FALSE))</f>
        <v/>
      </c>
      <c r="G113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3" s="51" t="str">
        <f>IF(Table17105[[#This Row],[Status]]="Not Entered","",VLOOKUP(Table17105[[#This Row],[Ln'#]],Excellent!$A$4:$AW$54,47,FALSE))</f>
        <v/>
      </c>
    </row>
    <row r="114" spans="1:8" ht="30" customHeight="1" x14ac:dyDescent="0.4">
      <c r="A114" s="49">
        <v>2</v>
      </c>
      <c r="B114" s="243" t="str">
        <f>IF(OR(VLOOKUP(Table17105[[#This Row],[Ln'#]],Excellent!A$5:AW$54,15,FALSE)="E",VLOOKUP(Table17105[[#This Row],[Ln'#]],Excellent!A$5:AW$54,15,FALSE)="FEO"),"Entered or FEO","Not Entered")</f>
        <v>Not Entered</v>
      </c>
      <c r="C114" s="244"/>
      <c r="D114" s="245"/>
      <c r="E114" s="245"/>
      <c r="F114" s="245" t="str">
        <f>IF(Table17105[[#This Row],[Status]]="Not Entered","",VLOOKUP(Table17105[[#This Row],[Ln'#]],Excellent!$A$5:$AW$54,3,FALSE))</f>
        <v/>
      </c>
      <c r="G114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4" s="247" t="str">
        <f>IF(Table17105[[#This Row],[Status]]="Not Entered","",VLOOKUP(Table17105[[#This Row],[Ln'#]],Excellent!$A$4:$AW$54,47,FALSE))</f>
        <v/>
      </c>
    </row>
    <row r="115" spans="1:8" ht="30" customHeight="1" x14ac:dyDescent="0.4">
      <c r="A115" s="49">
        <v>3</v>
      </c>
      <c r="B115" s="243" t="str">
        <f>IF(OR(VLOOKUP(Table17105[[#This Row],[Ln'#]],Excellent!A$5:AW$54,15,FALSE)="E",VLOOKUP(Table17105[[#This Row],[Ln'#]],Excellent!A$5:AW$54,15,FALSE)="FEO"),"Entered or FEO","Not Entered")</f>
        <v>Not Entered</v>
      </c>
      <c r="C115" s="244"/>
      <c r="D115" s="245"/>
      <c r="E115" s="245"/>
      <c r="F115" s="245" t="str">
        <f>IF(Table17105[[#This Row],[Status]]="Not Entered","",VLOOKUP(Table17105[[#This Row],[Ln'#]],Excellent!$A$5:$AW$54,3,FALSE))</f>
        <v/>
      </c>
      <c r="G115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5" s="247" t="str">
        <f>IF(Table17105[[#This Row],[Status]]="Not Entered","",VLOOKUP(Table17105[[#This Row],[Ln'#]],Excellent!$A$4:$AW$54,47,FALSE))</f>
        <v/>
      </c>
    </row>
    <row r="116" spans="1:8" ht="30" customHeight="1" x14ac:dyDescent="0.4">
      <c r="A116" s="49">
        <v>4</v>
      </c>
      <c r="B116" s="243" t="str">
        <f>IF(OR(VLOOKUP(Table17105[[#This Row],[Ln'#]],Excellent!A$5:AW$54,15,FALSE)="E",VLOOKUP(Table17105[[#This Row],[Ln'#]],Excellent!A$5:AW$54,15,FALSE)="FEO"),"Entered or FEO","Not Entered")</f>
        <v>Not Entered</v>
      </c>
      <c r="C116" s="244"/>
      <c r="D116" s="245"/>
      <c r="E116" s="245"/>
      <c r="F116" s="245" t="str">
        <f>IF(Table17105[[#This Row],[Status]]="Not Entered","",VLOOKUP(Table17105[[#This Row],[Ln'#]],Excellent!$A$5:$AW$54,3,FALSE))</f>
        <v/>
      </c>
      <c r="G116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6" s="247" t="str">
        <f>IF(Table17105[[#This Row],[Status]]="Not Entered","",VLOOKUP(Table17105[[#This Row],[Ln'#]],Excellent!$A$4:$AW$54,47,FALSE))</f>
        <v/>
      </c>
    </row>
    <row r="117" spans="1:8" ht="30" customHeight="1" x14ac:dyDescent="0.4">
      <c r="A117" s="49">
        <v>5</v>
      </c>
      <c r="B117" s="243" t="str">
        <f>IF(OR(VLOOKUP(Table17105[[#This Row],[Ln'#]],Excellent!A$5:AW$54,15,FALSE)="E",VLOOKUP(Table17105[[#This Row],[Ln'#]],Excellent!A$5:AW$54,15,FALSE)="FEO"),"Entered or FEO","Not Entered")</f>
        <v>Not Entered</v>
      </c>
      <c r="C117" s="244"/>
      <c r="D117" s="245"/>
      <c r="E117" s="245"/>
      <c r="F117" s="245" t="str">
        <f>IF(Table17105[[#This Row],[Status]]="Not Entered","",VLOOKUP(Table17105[[#This Row],[Ln'#]],Excellent!$A$5:$AW$54,3,FALSE))</f>
        <v/>
      </c>
      <c r="G117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7" s="247" t="str">
        <f>IF(Table17105[[#This Row],[Status]]="Not Entered","",VLOOKUP(Table17105[[#This Row],[Ln'#]],Excellent!$A$4:$AW$54,47,FALSE))</f>
        <v/>
      </c>
    </row>
    <row r="118" spans="1:8" ht="30" customHeight="1" x14ac:dyDescent="0.4">
      <c r="A118" s="49">
        <v>6</v>
      </c>
      <c r="B118" s="243" t="str">
        <f>IF(OR(VLOOKUP(Table17105[[#This Row],[Ln'#]],Excellent!A$5:AW$54,15,FALSE)="E",VLOOKUP(Table17105[[#This Row],[Ln'#]],Excellent!A$5:AW$54,15,FALSE)="FEO"),"Entered or FEO","Not Entered")</f>
        <v>Not Entered</v>
      </c>
      <c r="C118" s="244"/>
      <c r="D118" s="245"/>
      <c r="E118" s="245"/>
      <c r="F118" s="245" t="str">
        <f>IF(Table17105[[#This Row],[Status]]="Not Entered","",VLOOKUP(Table17105[[#This Row],[Ln'#]],Excellent!$A$5:$AW$54,3,FALSE))</f>
        <v/>
      </c>
      <c r="G118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8" s="247" t="str">
        <f>IF(Table17105[[#This Row],[Status]]="Not Entered","",VLOOKUP(Table17105[[#This Row],[Ln'#]],Excellent!$A$4:$AW$54,47,FALSE))</f>
        <v/>
      </c>
    </row>
    <row r="119" spans="1:8" ht="30" customHeight="1" x14ac:dyDescent="0.4">
      <c r="A119" s="49">
        <v>7</v>
      </c>
      <c r="B119" s="243" t="str">
        <f>IF(OR(VLOOKUP(Table17105[[#This Row],[Ln'#]],Excellent!A$5:AW$54,15,FALSE)="E",VLOOKUP(Table17105[[#This Row],[Ln'#]],Excellent!A$5:AW$54,15,FALSE)="FEO"),"Entered or FEO","Not Entered")</f>
        <v>Not Entered</v>
      </c>
      <c r="C119" s="244"/>
      <c r="D119" s="245"/>
      <c r="E119" s="245"/>
      <c r="F119" s="245" t="str">
        <f>IF(Table17105[[#This Row],[Status]]="Not Entered","",VLOOKUP(Table17105[[#This Row],[Ln'#]],Excellent!$A$5:$AW$54,3,FALSE))</f>
        <v/>
      </c>
      <c r="G119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9" s="247" t="str">
        <f>IF(Table17105[[#This Row],[Status]]="Not Entered","",VLOOKUP(Table17105[[#This Row],[Ln'#]],Excellent!$A$4:$AW$54,47,FALSE))</f>
        <v/>
      </c>
    </row>
    <row r="120" spans="1:8" ht="30" customHeight="1" x14ac:dyDescent="0.4">
      <c r="A120" s="49">
        <v>8</v>
      </c>
      <c r="B120" s="243" t="str">
        <f>IF(OR(VLOOKUP(Table17105[[#This Row],[Ln'#]],Excellent!A$5:AW$54,15,FALSE)="E",VLOOKUP(Table17105[[#This Row],[Ln'#]],Excellent!A$5:AW$54,15,FALSE)="FEO"),"Entered or FEO","Not Entered")</f>
        <v>Not Entered</v>
      </c>
      <c r="C120" s="244"/>
      <c r="D120" s="245"/>
      <c r="E120" s="245"/>
      <c r="F120" s="245" t="str">
        <f>IF(Table17105[[#This Row],[Status]]="Not Entered","",VLOOKUP(Table17105[[#This Row],[Ln'#]],Excellent!$A$5:$AW$54,3,FALSE))</f>
        <v/>
      </c>
      <c r="G120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0" s="247" t="str">
        <f>IF(Table17105[[#This Row],[Status]]="Not Entered","",VLOOKUP(Table17105[[#This Row],[Ln'#]],Excellent!$A$4:$AW$54,47,FALSE))</f>
        <v/>
      </c>
    </row>
    <row r="121" spans="1:8" ht="30" customHeight="1" x14ac:dyDescent="0.4">
      <c r="A121" s="49">
        <v>9</v>
      </c>
      <c r="B121" s="243" t="str">
        <f>IF(OR(VLOOKUP(Table17105[[#This Row],[Ln'#]],Excellent!A$5:AW$54,15,FALSE)="E",VLOOKUP(Table17105[[#This Row],[Ln'#]],Excellent!A$5:AW$54,15,FALSE)="FEO"),"Entered or FEO","Not Entered")</f>
        <v>Not Entered</v>
      </c>
      <c r="C121" s="244"/>
      <c r="D121" s="245"/>
      <c r="E121" s="245"/>
      <c r="F121" s="245" t="str">
        <f>IF(Table17105[[#This Row],[Status]]="Not Entered","",VLOOKUP(Table17105[[#This Row],[Ln'#]],Excellent!$A$5:$AW$54,3,FALSE))</f>
        <v/>
      </c>
      <c r="G121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1" s="247" t="str">
        <f>IF(Table17105[[#This Row],[Status]]="Not Entered","",VLOOKUP(Table17105[[#This Row],[Ln'#]],Excellent!$A$4:$AW$54,47,FALSE))</f>
        <v/>
      </c>
    </row>
    <row r="122" spans="1:8" ht="30" customHeight="1" x14ac:dyDescent="0.4">
      <c r="A122" s="49">
        <v>10</v>
      </c>
      <c r="B122" s="243" t="str">
        <f>IF(OR(VLOOKUP(Table17105[[#This Row],[Ln'#]],Excellent!A$5:AW$54,15,FALSE)="E",VLOOKUP(Table17105[[#This Row],[Ln'#]],Excellent!A$5:AW$54,15,FALSE)="FEO"),"Entered or FEO","Not Entered")</f>
        <v>Not Entered</v>
      </c>
      <c r="C122" s="244"/>
      <c r="D122" s="245"/>
      <c r="E122" s="245"/>
      <c r="F122" s="245" t="str">
        <f>IF(Table17105[[#This Row],[Status]]="Not Entered","",VLOOKUP(Table17105[[#This Row],[Ln'#]],Excellent!$A$5:$AW$54,3,FALSE))</f>
        <v/>
      </c>
      <c r="G122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2" s="247" t="str">
        <f>IF(Table17105[[#This Row],[Status]]="Not Entered","",VLOOKUP(Table17105[[#This Row],[Ln'#]],Excellent!$A$4:$AW$54,47,FALSE))</f>
        <v/>
      </c>
    </row>
    <row r="123" spans="1:8" ht="30" customHeight="1" x14ac:dyDescent="0.4">
      <c r="A123" s="49">
        <v>11</v>
      </c>
      <c r="B123" s="243" t="str">
        <f>IF(OR(VLOOKUP(Table17105[[#This Row],[Ln'#]],Excellent!A$5:AW$54,15,FALSE)="E",VLOOKUP(Table17105[[#This Row],[Ln'#]],Excellent!A$5:AW$54,15,FALSE)="FEO"),"Entered or FEO","Not Entered")</f>
        <v>Not Entered</v>
      </c>
      <c r="C123" s="244"/>
      <c r="D123" s="245"/>
      <c r="E123" s="245"/>
      <c r="F123" s="245" t="str">
        <f>IF(Table17105[[#This Row],[Status]]="Not Entered","",VLOOKUP(Table17105[[#This Row],[Ln'#]],Excellent!$A$5:$AW$54,3,FALSE))</f>
        <v/>
      </c>
      <c r="G123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3" s="247" t="str">
        <f>IF(Table17105[[#This Row],[Status]]="Not Entered","",VLOOKUP(Table17105[[#This Row],[Ln'#]],Excellent!$A$4:$AW$54,47,FALSE))</f>
        <v/>
      </c>
    </row>
    <row r="124" spans="1:8" ht="30" customHeight="1" x14ac:dyDescent="0.4">
      <c r="A124" s="49">
        <v>12</v>
      </c>
      <c r="B124" s="243" t="str">
        <f>IF(OR(VLOOKUP(Table17105[[#This Row],[Ln'#]],Excellent!A$5:AW$54,15,FALSE)="E",VLOOKUP(Table17105[[#This Row],[Ln'#]],Excellent!A$5:AW$54,15,FALSE)="FEO"),"Entered or FEO","Not Entered")</f>
        <v>Not Entered</v>
      </c>
      <c r="C124" s="244"/>
      <c r="D124" s="245"/>
      <c r="E124" s="245"/>
      <c r="F124" s="245" t="str">
        <f>IF(Table17105[[#This Row],[Status]]="Not Entered","",VLOOKUP(Table17105[[#This Row],[Ln'#]],Excellent!$A$5:$AW$54,3,FALSE))</f>
        <v/>
      </c>
      <c r="G124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4" s="247" t="str">
        <f>IF(Table17105[[#This Row],[Status]]="Not Entered","",VLOOKUP(Table17105[[#This Row],[Ln'#]],Excellent!$A$4:$AW$54,47,FALSE))</f>
        <v/>
      </c>
    </row>
    <row r="125" spans="1:8" ht="30" customHeight="1" x14ac:dyDescent="0.4">
      <c r="A125" s="49">
        <v>13</v>
      </c>
      <c r="B125" s="243" t="str">
        <f>IF(OR(VLOOKUP(Table17105[[#This Row],[Ln'#]],Excellent!A$5:AW$54,15,FALSE)="E",VLOOKUP(Table17105[[#This Row],[Ln'#]],Excellent!A$5:AW$54,15,FALSE)="FEO"),"Entered or FEO","Not Entered")</f>
        <v>Not Entered</v>
      </c>
      <c r="C125" s="244"/>
      <c r="D125" s="245"/>
      <c r="E125" s="245"/>
      <c r="F125" s="245" t="str">
        <f>IF(Table17105[[#This Row],[Status]]="Not Entered","",VLOOKUP(Table17105[[#This Row],[Ln'#]],Excellent!$A$5:$AW$54,3,FALSE))</f>
        <v/>
      </c>
      <c r="G125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5" s="247" t="str">
        <f>IF(Table17105[[#This Row],[Status]]="Not Entered","",VLOOKUP(Table17105[[#This Row],[Ln'#]],Excellent!$A$4:$AW$54,47,FALSE))</f>
        <v/>
      </c>
    </row>
    <row r="126" spans="1:8" ht="30" customHeight="1" x14ac:dyDescent="0.4">
      <c r="A126" s="49">
        <v>14</v>
      </c>
      <c r="B126" s="243" t="str">
        <f>IF(OR(VLOOKUP(Table17105[[#This Row],[Ln'#]],Excellent!A$5:AW$54,15,FALSE)="E",VLOOKUP(Table17105[[#This Row],[Ln'#]],Excellent!A$5:AW$54,15,FALSE)="FEO"),"Entered or FEO","Not Entered")</f>
        <v>Not Entered</v>
      </c>
      <c r="C126" s="244"/>
      <c r="D126" s="245"/>
      <c r="E126" s="245"/>
      <c r="F126" s="245" t="str">
        <f>IF(Table17105[[#This Row],[Status]]="Not Entered","",VLOOKUP(Table17105[[#This Row],[Ln'#]],Excellent!$A$5:$AW$54,3,FALSE))</f>
        <v/>
      </c>
      <c r="G126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6" s="247" t="str">
        <f>IF(Table17105[[#This Row],[Status]]="Not Entered","",VLOOKUP(Table17105[[#This Row],[Ln'#]],Excellent!$A$4:$AW$54,47,FALSE))</f>
        <v/>
      </c>
    </row>
    <row r="127" spans="1:8" ht="30" customHeight="1" x14ac:dyDescent="0.4">
      <c r="A127" s="49">
        <v>15</v>
      </c>
      <c r="B127" s="243" t="str">
        <f>IF(OR(VLOOKUP(Table17105[[#This Row],[Ln'#]],Excellent!A$5:AW$54,15,FALSE)="E",VLOOKUP(Table17105[[#This Row],[Ln'#]],Excellent!A$5:AW$54,15,FALSE)="FEO"),"Entered or FEO","Not Entered")</f>
        <v>Not Entered</v>
      </c>
      <c r="C127" s="244"/>
      <c r="D127" s="245"/>
      <c r="E127" s="245"/>
      <c r="F127" s="245" t="str">
        <f>IF(Table17105[[#This Row],[Status]]="Not Entered","",VLOOKUP(Table17105[[#This Row],[Ln'#]],Excellent!$A$5:$AW$54,3,FALSE))</f>
        <v/>
      </c>
      <c r="G127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7" s="247" t="str">
        <f>IF(Table17105[[#This Row],[Status]]="Not Entered","",VLOOKUP(Table17105[[#This Row],[Ln'#]],Excellent!$A$4:$AW$54,47,FALSE))</f>
        <v/>
      </c>
    </row>
    <row r="128" spans="1:8" ht="30" customHeight="1" x14ac:dyDescent="0.4">
      <c r="A128" s="49">
        <v>16</v>
      </c>
      <c r="B128" s="243" t="str">
        <f>IF(OR(VLOOKUP(Table17105[[#This Row],[Ln'#]],Excellent!A$5:AW$54,15,FALSE)="E",VLOOKUP(Table17105[[#This Row],[Ln'#]],Excellent!A$5:AW$54,15,FALSE)="FEO"),"Entered or FEO","Not Entered")</f>
        <v>Not Entered</v>
      </c>
      <c r="C128" s="244"/>
      <c r="D128" s="245"/>
      <c r="E128" s="245"/>
      <c r="F128" s="245" t="str">
        <f>IF(Table17105[[#This Row],[Status]]="Not Entered","",VLOOKUP(Table17105[[#This Row],[Ln'#]],Excellent!$A$5:$AW$54,3,FALSE))</f>
        <v/>
      </c>
      <c r="G128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8" s="247" t="str">
        <f>IF(Table17105[[#This Row],[Status]]="Not Entered","",VLOOKUP(Table17105[[#This Row],[Ln'#]],Excellent!$A$4:$AW$54,47,FALSE))</f>
        <v/>
      </c>
    </row>
    <row r="129" spans="1:8" ht="30" customHeight="1" x14ac:dyDescent="0.4">
      <c r="A129" s="49">
        <v>17</v>
      </c>
      <c r="B129" s="243" t="str">
        <f>IF(OR(VLOOKUP(Table17105[[#This Row],[Ln'#]],Excellent!A$5:AW$54,15,FALSE)="E",VLOOKUP(Table17105[[#This Row],[Ln'#]],Excellent!A$5:AW$54,15,FALSE)="FEO"),"Entered or FEO","Not Entered")</f>
        <v>Not Entered</v>
      </c>
      <c r="C129" s="244"/>
      <c r="D129" s="245"/>
      <c r="E129" s="245"/>
      <c r="F129" s="245" t="str">
        <f>IF(Table17105[[#This Row],[Status]]="Not Entered","",VLOOKUP(Table17105[[#This Row],[Ln'#]],Excellent!$A$5:$AW$54,3,FALSE))</f>
        <v/>
      </c>
      <c r="G129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9" s="247" t="str">
        <f>IF(Table17105[[#This Row],[Status]]="Not Entered","",VLOOKUP(Table17105[[#This Row],[Ln'#]],Excellent!$A$4:$AW$54,47,FALSE))</f>
        <v/>
      </c>
    </row>
    <row r="130" spans="1:8" ht="30" customHeight="1" x14ac:dyDescent="0.4">
      <c r="A130" s="49">
        <v>18</v>
      </c>
      <c r="B130" s="243" t="str">
        <f>IF(OR(VLOOKUP(Table17105[[#This Row],[Ln'#]],Excellent!A$5:AW$54,15,FALSE)="E",VLOOKUP(Table17105[[#This Row],[Ln'#]],Excellent!A$5:AW$54,15,FALSE)="FEO"),"Entered or FEO","Not Entered")</f>
        <v>Not Entered</v>
      </c>
      <c r="C130" s="244"/>
      <c r="D130" s="245"/>
      <c r="E130" s="245"/>
      <c r="F130" s="245" t="str">
        <f>IF(Table17105[[#This Row],[Status]]="Not Entered","",VLOOKUP(Table17105[[#This Row],[Ln'#]],Excellent!$A$5:$AW$54,3,FALSE))</f>
        <v/>
      </c>
      <c r="G130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0" s="247" t="str">
        <f>IF(Table17105[[#This Row],[Status]]="Not Entered","",VLOOKUP(Table17105[[#This Row],[Ln'#]],Excellent!$A$4:$AW$54,47,FALSE))</f>
        <v/>
      </c>
    </row>
    <row r="131" spans="1:8" ht="30" customHeight="1" x14ac:dyDescent="0.4">
      <c r="A131" s="49">
        <v>19</v>
      </c>
      <c r="B131" s="243" t="str">
        <f>IF(OR(VLOOKUP(Table17105[[#This Row],[Ln'#]],Excellent!A$5:AW$54,15,FALSE)="E",VLOOKUP(Table17105[[#This Row],[Ln'#]],Excellent!A$5:AW$54,15,FALSE)="FEO"),"Entered or FEO","Not Entered")</f>
        <v>Not Entered</v>
      </c>
      <c r="C131" s="244"/>
      <c r="D131" s="245"/>
      <c r="E131" s="245"/>
      <c r="F131" s="245" t="str">
        <f>IF(Table17105[[#This Row],[Status]]="Not Entered","",VLOOKUP(Table17105[[#This Row],[Ln'#]],Excellent!$A$5:$AW$54,3,FALSE))</f>
        <v/>
      </c>
      <c r="G131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1" s="247" t="str">
        <f>IF(Table17105[[#This Row],[Status]]="Not Entered","",VLOOKUP(Table17105[[#This Row],[Ln'#]],Excellent!$A$4:$AW$54,47,FALSE))</f>
        <v/>
      </c>
    </row>
    <row r="132" spans="1:8" ht="30" customHeight="1" x14ac:dyDescent="0.4">
      <c r="A132" s="49">
        <v>20</v>
      </c>
      <c r="B132" s="243" t="str">
        <f>IF(OR(VLOOKUP(Table17105[[#This Row],[Ln'#]],Excellent!A$5:AW$54,15,FALSE)="E",VLOOKUP(Table17105[[#This Row],[Ln'#]],Excellent!A$5:AW$54,15,FALSE)="FEO"),"Entered or FEO","Not Entered")</f>
        <v>Not Entered</v>
      </c>
      <c r="C132" s="244"/>
      <c r="D132" s="245"/>
      <c r="E132" s="245"/>
      <c r="F132" s="245" t="str">
        <f>IF(Table17105[[#This Row],[Status]]="Not Entered","",VLOOKUP(Table17105[[#This Row],[Ln'#]],Excellent!$A$5:$AW$54,3,FALSE))</f>
        <v/>
      </c>
      <c r="G132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2" s="247" t="str">
        <f>IF(Table17105[[#This Row],[Status]]="Not Entered","",VLOOKUP(Table17105[[#This Row],[Ln'#]],Excellent!$A$4:$AW$54,47,FALSE))</f>
        <v/>
      </c>
    </row>
    <row r="133" spans="1:8" ht="30" customHeight="1" x14ac:dyDescent="0.4">
      <c r="A133" s="49">
        <v>21</v>
      </c>
      <c r="B133" s="243" t="str">
        <f>IF(OR(VLOOKUP(Table17105[[#This Row],[Ln'#]],Excellent!A$5:AW$54,15,FALSE)="E",VLOOKUP(Table17105[[#This Row],[Ln'#]],Excellent!A$5:AW$54,15,FALSE)="FEO"),"Entered or FEO","Not Entered")</f>
        <v>Not Entered</v>
      </c>
      <c r="C133" s="244"/>
      <c r="D133" s="245"/>
      <c r="E133" s="245"/>
      <c r="F133" s="245" t="str">
        <f>IF(Table17105[[#This Row],[Status]]="Not Entered","",VLOOKUP(Table17105[[#This Row],[Ln'#]],Excellent!$A$5:$AW$54,3,FALSE))</f>
        <v/>
      </c>
      <c r="G133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3" s="247" t="str">
        <f>IF(Table17105[[#This Row],[Status]]="Not Entered","",VLOOKUP(Table17105[[#This Row],[Ln'#]],Excellent!$A$4:$AW$54,47,FALSE))</f>
        <v/>
      </c>
    </row>
    <row r="134" spans="1:8" ht="30" customHeight="1" x14ac:dyDescent="0.4">
      <c r="A134" s="243">
        <v>22</v>
      </c>
      <c r="B134" s="49" t="str">
        <f>IF(OR(VLOOKUP(Table17105[[#This Row],[Ln'#]],Excellent!A$5:AW$54,15,FALSE)="E",VLOOKUP(Table17105[[#This Row],[Ln'#]],Excellent!A$5:AW$54,15,FALSE)="FEO"),"Entered or FEO","Not Entered")</f>
        <v>Not Entered</v>
      </c>
      <c r="C134" s="50"/>
      <c r="D134" s="48"/>
      <c r="E134" s="48"/>
      <c r="F134" s="48" t="str">
        <f>IF(Table17105[[#This Row],[Status]]="Not Entered","",VLOOKUP(Table17105[[#This Row],[Ln'#]],Excellent!$A$5:$AW$54,3,FALSE))</f>
        <v/>
      </c>
      <c r="G134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4" s="51" t="str">
        <f>IF(Table17105[[#This Row],[Status]]="Not Entered","",VLOOKUP(Table17105[[#This Row],[Ln'#]],Excellent!$A$4:$AW$54,47,FALSE))</f>
        <v/>
      </c>
    </row>
    <row r="135" spans="1:8" ht="30" customHeight="1" x14ac:dyDescent="0.4">
      <c r="A135" s="243">
        <v>23</v>
      </c>
      <c r="B135" s="49" t="str">
        <f>IF(OR(VLOOKUP(Table17105[[#This Row],[Ln'#]],Excellent!A$5:AW$54,15,FALSE)="E",VLOOKUP(Table17105[[#This Row],[Ln'#]],Excellent!A$5:AW$54,15,FALSE)="FEO"),"Entered or FEO","Not Entered")</f>
        <v>Not Entered</v>
      </c>
      <c r="C135" s="50"/>
      <c r="D135" s="48"/>
      <c r="E135" s="48"/>
      <c r="F135" s="48" t="str">
        <f>IF(Table17105[[#This Row],[Status]]="Not Entered","",VLOOKUP(Table17105[[#This Row],[Ln'#]],Excellent!$A$5:$AW$54,3,FALSE))</f>
        <v/>
      </c>
      <c r="G135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5" s="51" t="str">
        <f>IF(Table17105[[#This Row],[Status]]="Not Entered","",VLOOKUP(Table17105[[#This Row],[Ln'#]],Excellent!$A$4:$AW$54,47,FALSE))</f>
        <v/>
      </c>
    </row>
    <row r="136" spans="1:8" ht="30" customHeight="1" x14ac:dyDescent="0.4">
      <c r="A136" s="243">
        <v>24</v>
      </c>
      <c r="B136" s="49" t="str">
        <f>IF(OR(VLOOKUP(Table17105[[#This Row],[Ln'#]],Excellent!A$5:AW$54,15,FALSE)="E",VLOOKUP(Table17105[[#This Row],[Ln'#]],Excellent!A$5:AW$54,15,FALSE)="FEO"),"Entered or FEO","Not Entered")</f>
        <v>Not Entered</v>
      </c>
      <c r="C136" s="50"/>
      <c r="D136" s="48"/>
      <c r="E136" s="48"/>
      <c r="F136" s="48" t="str">
        <f>IF(Table17105[[#This Row],[Status]]="Not Entered","",VLOOKUP(Table17105[[#This Row],[Ln'#]],Excellent!$A$5:$AW$54,3,FALSE))</f>
        <v/>
      </c>
      <c r="G136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6" s="51" t="str">
        <f>IF(Table17105[[#This Row],[Status]]="Not Entered","",VLOOKUP(Table17105[[#This Row],[Ln'#]],Excellent!$A$4:$AW$54,47,FALSE))</f>
        <v/>
      </c>
    </row>
    <row r="137" spans="1:8" ht="30" customHeight="1" x14ac:dyDescent="0.4">
      <c r="A137" s="243">
        <v>25</v>
      </c>
      <c r="B137" s="49" t="str">
        <f>IF(OR(VLOOKUP(Table17105[[#This Row],[Ln'#]],Excellent!A$5:AW$54,15,FALSE)="E",VLOOKUP(Table17105[[#This Row],[Ln'#]],Excellent!A$5:AW$54,15,FALSE)="FEO"),"Entered or FEO","Not Entered")</f>
        <v>Not Entered</v>
      </c>
      <c r="C137" s="50"/>
      <c r="D137" s="48"/>
      <c r="E137" s="48"/>
      <c r="F137" s="48" t="str">
        <f>IF(Table17105[[#This Row],[Status]]="Not Entered","",VLOOKUP(Table17105[[#This Row],[Ln'#]],Excellent!$A$5:$AW$54,3,FALSE))</f>
        <v/>
      </c>
      <c r="G137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7" s="51" t="str">
        <f>IF(Table17105[[#This Row],[Status]]="Not Entered","",VLOOKUP(Table17105[[#This Row],[Ln'#]],Excellent!$A$4:$AW$54,47,FALSE))</f>
        <v/>
      </c>
    </row>
    <row r="138" spans="1:8" ht="30" customHeight="1" x14ac:dyDescent="0.4">
      <c r="A138" s="243">
        <v>26</v>
      </c>
      <c r="B138" s="49" t="str">
        <f>IF(OR(VLOOKUP(Table17105[[#This Row],[Ln'#]],Excellent!A$5:AW$54,15,FALSE)="E",VLOOKUP(Table17105[[#This Row],[Ln'#]],Excellent!A$5:AW$54,15,FALSE)="FEO"),"Entered or FEO","Not Entered")</f>
        <v>Not Entered</v>
      </c>
      <c r="C138" s="50"/>
      <c r="D138" s="48"/>
      <c r="E138" s="48"/>
      <c r="F138" s="48" t="str">
        <f>IF(Table17105[[#This Row],[Status]]="Not Entered","",VLOOKUP(Table17105[[#This Row],[Ln'#]],Excellent!$A$5:$AW$54,3,FALSE))</f>
        <v/>
      </c>
      <c r="G138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8" s="51" t="str">
        <f>IF(Table17105[[#This Row],[Status]]="Not Entered","",VLOOKUP(Table17105[[#This Row],[Ln'#]],Excellent!$A$4:$AW$54,47,FALSE))</f>
        <v/>
      </c>
    </row>
    <row r="139" spans="1:8" ht="30" customHeight="1" x14ac:dyDescent="0.4">
      <c r="A139" s="243">
        <v>27</v>
      </c>
      <c r="B139" s="49" t="str">
        <f>IF(OR(VLOOKUP(Table17105[[#This Row],[Ln'#]],Excellent!A$5:AW$54,15,FALSE)="E",VLOOKUP(Table17105[[#This Row],[Ln'#]],Excellent!A$5:AW$54,15,FALSE)="FEO"),"Entered or FEO","Not Entered")</f>
        <v>Not Entered</v>
      </c>
      <c r="C139" s="50"/>
      <c r="D139" s="48"/>
      <c r="E139" s="48"/>
      <c r="F139" s="48" t="str">
        <f>IF(Table17105[[#This Row],[Status]]="Not Entered","",VLOOKUP(Table17105[[#This Row],[Ln'#]],Excellent!$A$5:$AW$54,3,FALSE))</f>
        <v/>
      </c>
      <c r="G139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9" s="51" t="str">
        <f>IF(Table17105[[#This Row],[Status]]="Not Entered","",VLOOKUP(Table17105[[#This Row],[Ln'#]],Excellent!$A$4:$AW$54,47,FALSE))</f>
        <v/>
      </c>
    </row>
    <row r="140" spans="1:8" ht="30" customHeight="1" x14ac:dyDescent="0.4">
      <c r="A140" s="243">
        <v>28</v>
      </c>
      <c r="B140" s="49" t="str">
        <f>IF(OR(VLOOKUP(Table17105[[#This Row],[Ln'#]],Excellent!A$5:AW$54,15,FALSE)="E",VLOOKUP(Table17105[[#This Row],[Ln'#]],Excellent!A$5:AW$54,15,FALSE)="FEO"),"Entered or FEO","Not Entered")</f>
        <v>Not Entered</v>
      </c>
      <c r="C140" s="50"/>
      <c r="D140" s="48"/>
      <c r="E140" s="48"/>
      <c r="F140" s="48" t="str">
        <f>IF(Table17105[[#This Row],[Status]]="Not Entered","",VLOOKUP(Table17105[[#This Row],[Ln'#]],Excellent!$A$5:$AW$54,3,FALSE))</f>
        <v/>
      </c>
      <c r="G140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0" s="51" t="str">
        <f>IF(Table17105[[#This Row],[Status]]="Not Entered","",VLOOKUP(Table17105[[#This Row],[Ln'#]],Excellent!$A$4:$AW$54,47,FALSE))</f>
        <v/>
      </c>
    </row>
    <row r="141" spans="1:8" ht="30" customHeight="1" x14ac:dyDescent="0.4">
      <c r="A141" s="243">
        <v>29</v>
      </c>
      <c r="B141" s="49" t="str">
        <f>IF(OR(VLOOKUP(Table17105[[#This Row],[Ln'#]],Excellent!A$5:AW$54,15,FALSE)="E",VLOOKUP(Table17105[[#This Row],[Ln'#]],Excellent!A$5:AW$54,15,FALSE)="FEO"),"Entered or FEO","Not Entered")</f>
        <v>Not Entered</v>
      </c>
      <c r="C141" s="50"/>
      <c r="D141" s="48"/>
      <c r="E141" s="48"/>
      <c r="F141" s="48" t="str">
        <f>IF(Table17105[[#This Row],[Status]]="Not Entered","",VLOOKUP(Table17105[[#This Row],[Ln'#]],Excellent!$A$5:$AW$54,3,FALSE))</f>
        <v/>
      </c>
      <c r="G141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1" s="51" t="str">
        <f>IF(Table17105[[#This Row],[Status]]="Not Entered","",VLOOKUP(Table17105[[#This Row],[Ln'#]],Excellent!$A$4:$AW$54,47,FALSE))</f>
        <v/>
      </c>
    </row>
    <row r="142" spans="1:8" ht="30" customHeight="1" x14ac:dyDescent="0.4">
      <c r="A142" s="243">
        <v>30</v>
      </c>
      <c r="B142" s="49" t="str">
        <f>IF(OR(VLOOKUP(Table17105[[#This Row],[Ln'#]],Excellent!A$5:AW$54,15,FALSE)="E",VLOOKUP(Table17105[[#This Row],[Ln'#]],Excellent!A$5:AW$54,15,FALSE)="FEO"),"Entered or FEO","Not Entered")</f>
        <v>Not Entered</v>
      </c>
      <c r="C142" s="50"/>
      <c r="D142" s="48"/>
      <c r="E142" s="48"/>
      <c r="F142" s="48" t="str">
        <f>IF(Table17105[[#This Row],[Status]]="Not Entered","",VLOOKUP(Table17105[[#This Row],[Ln'#]],Excellent!$A$5:$AW$54,3,FALSE))</f>
        <v/>
      </c>
      <c r="G142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2" s="51" t="str">
        <f>IF(Table17105[[#This Row],[Status]]="Not Entered","",VLOOKUP(Table17105[[#This Row],[Ln'#]],Excellent!$A$4:$AW$54,47,FALSE))</f>
        <v/>
      </c>
    </row>
    <row r="143" spans="1:8" ht="30" customHeight="1" x14ac:dyDescent="0.4">
      <c r="A143" s="243">
        <v>31</v>
      </c>
      <c r="B143" s="49" t="str">
        <f>IF(OR(VLOOKUP(Table17105[[#This Row],[Ln'#]],Excellent!A$5:AW$54,15,FALSE)="E",VLOOKUP(Table17105[[#This Row],[Ln'#]],Excellent!A$5:AW$54,15,FALSE)="FEO"),"Entered or FEO","Not Entered")</f>
        <v>Not Entered</v>
      </c>
      <c r="C143" s="50"/>
      <c r="D143" s="48"/>
      <c r="E143" s="48"/>
      <c r="F143" s="48" t="str">
        <f>IF(Table17105[[#This Row],[Status]]="Not Entered","",VLOOKUP(Table17105[[#This Row],[Ln'#]],Excellent!$A$5:$AW$54,3,FALSE))</f>
        <v/>
      </c>
      <c r="G143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3" s="51" t="str">
        <f>IF(Table17105[[#This Row],[Status]]="Not Entered","",VLOOKUP(Table17105[[#This Row],[Ln'#]],Excellent!$A$4:$AW$54,47,FALSE))</f>
        <v/>
      </c>
    </row>
    <row r="144" spans="1:8" ht="30" customHeight="1" x14ac:dyDescent="0.4">
      <c r="A144" s="243">
        <v>32</v>
      </c>
      <c r="B144" s="49" t="str">
        <f>IF(OR(VLOOKUP(Table17105[[#This Row],[Ln'#]],Excellent!A$5:AW$54,15,FALSE)="E",VLOOKUP(Table17105[[#This Row],[Ln'#]],Excellent!A$5:AW$54,15,FALSE)="FEO"),"Entered or FEO","Not Entered")</f>
        <v>Not Entered</v>
      </c>
      <c r="C144" s="50"/>
      <c r="D144" s="48"/>
      <c r="E144" s="48"/>
      <c r="F144" s="48" t="str">
        <f>IF(Table17105[[#This Row],[Status]]="Not Entered","",VLOOKUP(Table17105[[#This Row],[Ln'#]],Excellent!$A$5:$AW$54,3,FALSE))</f>
        <v/>
      </c>
      <c r="G144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4" s="51" t="str">
        <f>IF(Table17105[[#This Row],[Status]]="Not Entered","",VLOOKUP(Table17105[[#This Row],[Ln'#]],Excellent!$A$4:$AW$54,47,FALSE))</f>
        <v/>
      </c>
    </row>
    <row r="145" spans="1:8" ht="30" customHeight="1" x14ac:dyDescent="0.4">
      <c r="A145" s="243">
        <v>33</v>
      </c>
      <c r="B145" s="49" t="str">
        <f>IF(OR(VLOOKUP(Table17105[[#This Row],[Ln'#]],Excellent!A$5:AW$54,15,FALSE)="E",VLOOKUP(Table17105[[#This Row],[Ln'#]],Excellent!A$5:AW$54,15,FALSE)="FEO"),"Entered or FEO","Not Entered")</f>
        <v>Not Entered</v>
      </c>
      <c r="C145" s="50"/>
      <c r="D145" s="48"/>
      <c r="E145" s="48"/>
      <c r="F145" s="48" t="str">
        <f>IF(Table17105[[#This Row],[Status]]="Not Entered","",VLOOKUP(Table17105[[#This Row],[Ln'#]],Excellent!$A$5:$AW$54,3,FALSE))</f>
        <v/>
      </c>
      <c r="G145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5" s="51" t="str">
        <f>IF(Table17105[[#This Row],[Status]]="Not Entered","",VLOOKUP(Table17105[[#This Row],[Ln'#]],Excellent!$A$4:$AW$54,47,FALSE))</f>
        <v/>
      </c>
    </row>
    <row r="146" spans="1:8" ht="30" customHeight="1" x14ac:dyDescent="0.4">
      <c r="A146" s="243">
        <v>34</v>
      </c>
      <c r="B146" s="49" t="str">
        <f>IF(OR(VLOOKUP(Table17105[[#This Row],[Ln'#]],Excellent!A$5:AW$54,15,FALSE)="E",VLOOKUP(Table17105[[#This Row],[Ln'#]],Excellent!A$5:AW$54,15,FALSE)="FEO"),"Entered or FEO","Not Entered")</f>
        <v>Not Entered</v>
      </c>
      <c r="C146" s="50"/>
      <c r="D146" s="48"/>
      <c r="E146" s="48"/>
      <c r="F146" s="48" t="str">
        <f>IF(Table17105[[#This Row],[Status]]="Not Entered","",VLOOKUP(Table17105[[#This Row],[Ln'#]],Excellent!$A$5:$AW$54,3,FALSE))</f>
        <v/>
      </c>
      <c r="G146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6" s="51" t="str">
        <f>IF(Table17105[[#This Row],[Status]]="Not Entered","",VLOOKUP(Table17105[[#This Row],[Ln'#]],Excellent!$A$4:$AW$54,47,FALSE))</f>
        <v/>
      </c>
    </row>
    <row r="147" spans="1:8" ht="30" customHeight="1" x14ac:dyDescent="0.4">
      <c r="A147" s="243">
        <v>35</v>
      </c>
      <c r="B147" s="49" t="str">
        <f>IF(OR(VLOOKUP(Table17105[[#This Row],[Ln'#]],Excellent!A$5:AW$54,15,FALSE)="E",VLOOKUP(Table17105[[#This Row],[Ln'#]],Excellent!A$5:AW$54,15,FALSE)="FEO"),"Entered or FEO","Not Entered")</f>
        <v>Not Entered</v>
      </c>
      <c r="C147" s="50"/>
      <c r="D147" s="48"/>
      <c r="E147" s="48"/>
      <c r="F147" s="48" t="str">
        <f>IF(Table17105[[#This Row],[Status]]="Not Entered","",VLOOKUP(Table17105[[#This Row],[Ln'#]],Excellent!$A$5:$AW$54,3,FALSE))</f>
        <v/>
      </c>
      <c r="G147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7" s="51" t="str">
        <f>IF(Table17105[[#This Row],[Status]]="Not Entered","",VLOOKUP(Table17105[[#This Row],[Ln'#]],Excellent!$A$4:$AW$54,47,FALSE))</f>
        <v/>
      </c>
    </row>
    <row r="148" spans="1:8" ht="30" customHeight="1" x14ac:dyDescent="0.4">
      <c r="A148" s="243">
        <v>36</v>
      </c>
      <c r="B148" s="49" t="str">
        <f>IF(OR(VLOOKUP(Table17105[[#This Row],[Ln'#]],Excellent!A$5:AW$54,15,FALSE)="E",VLOOKUP(Table17105[[#This Row],[Ln'#]],Excellent!A$5:AW$54,15,FALSE)="FEO"),"Entered or FEO","Not Entered")</f>
        <v>Not Entered</v>
      </c>
      <c r="C148" s="50"/>
      <c r="D148" s="48"/>
      <c r="E148" s="48"/>
      <c r="F148" s="48" t="str">
        <f>IF(Table17105[[#This Row],[Status]]="Not Entered","",VLOOKUP(Table17105[[#This Row],[Ln'#]],Excellent!$A$5:$AW$54,3,FALSE))</f>
        <v/>
      </c>
      <c r="G148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8" s="51" t="str">
        <f>IF(Table17105[[#This Row],[Status]]="Not Entered","",VLOOKUP(Table17105[[#This Row],[Ln'#]],Excellent!$A$4:$AW$54,47,FALSE))</f>
        <v/>
      </c>
    </row>
    <row r="149" spans="1:8" ht="30" customHeight="1" x14ac:dyDescent="0.4">
      <c r="A149" s="243">
        <v>37</v>
      </c>
      <c r="B149" s="49" t="str">
        <f>IF(OR(VLOOKUP(Table17105[[#This Row],[Ln'#]],Excellent!A$5:AW$54,15,FALSE)="E",VLOOKUP(Table17105[[#This Row],[Ln'#]],Excellent!A$5:AW$54,15,FALSE)="FEO"),"Entered or FEO","Not Entered")</f>
        <v>Not Entered</v>
      </c>
      <c r="C149" s="50"/>
      <c r="D149" s="48"/>
      <c r="E149" s="48"/>
      <c r="F149" s="48" t="str">
        <f>IF(Table17105[[#This Row],[Status]]="Not Entered","",VLOOKUP(Table17105[[#This Row],[Ln'#]],Excellent!$A$5:$AW$54,3,FALSE))</f>
        <v/>
      </c>
      <c r="G149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9" s="51" t="str">
        <f>IF(Table17105[[#This Row],[Status]]="Not Entered","",VLOOKUP(Table17105[[#This Row],[Ln'#]],Excellent!$A$4:$AW$54,47,FALSE))</f>
        <v/>
      </c>
    </row>
    <row r="150" spans="1:8" ht="30" customHeight="1" x14ac:dyDescent="0.4">
      <c r="A150" s="243">
        <v>38</v>
      </c>
      <c r="B150" s="49" t="str">
        <f>IF(OR(VLOOKUP(Table17105[[#This Row],[Ln'#]],Excellent!A$5:AW$54,15,FALSE)="E",VLOOKUP(Table17105[[#This Row],[Ln'#]],Excellent!A$5:AW$54,15,FALSE)="FEO"),"Entered or FEO","Not Entered")</f>
        <v>Not Entered</v>
      </c>
      <c r="C150" s="50"/>
      <c r="D150" s="48"/>
      <c r="E150" s="48"/>
      <c r="F150" s="48" t="str">
        <f>IF(Table17105[[#This Row],[Status]]="Not Entered","",VLOOKUP(Table17105[[#This Row],[Ln'#]],Excellent!$A$5:$AW$54,3,FALSE))</f>
        <v/>
      </c>
      <c r="G150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0" s="51" t="str">
        <f>IF(Table17105[[#This Row],[Status]]="Not Entered","",VLOOKUP(Table17105[[#This Row],[Ln'#]],Excellent!$A$4:$AW$54,47,FALSE))</f>
        <v/>
      </c>
    </row>
    <row r="151" spans="1:8" ht="30" customHeight="1" x14ac:dyDescent="0.4">
      <c r="A151" s="243">
        <v>39</v>
      </c>
      <c r="B151" s="49" t="str">
        <f>IF(OR(VLOOKUP(Table17105[[#This Row],[Ln'#]],Excellent!A$5:AW$54,15,FALSE)="E",VLOOKUP(Table17105[[#This Row],[Ln'#]],Excellent!A$5:AW$54,15,FALSE)="FEO"),"Entered or FEO","Not Entered")</f>
        <v>Not Entered</v>
      </c>
      <c r="C151" s="50"/>
      <c r="D151" s="48"/>
      <c r="E151" s="48"/>
      <c r="F151" s="48" t="str">
        <f>IF(Table17105[[#This Row],[Status]]="Not Entered","",VLOOKUP(Table17105[[#This Row],[Ln'#]],Excellent!$A$5:$AW$54,3,FALSE))</f>
        <v/>
      </c>
      <c r="G151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1" s="51" t="str">
        <f>IF(Table17105[[#This Row],[Status]]="Not Entered","",VLOOKUP(Table17105[[#This Row],[Ln'#]],Excellent!$A$4:$AW$54,47,FALSE))</f>
        <v/>
      </c>
    </row>
    <row r="152" spans="1:8" ht="30" customHeight="1" x14ac:dyDescent="0.4">
      <c r="A152" s="243">
        <v>40</v>
      </c>
      <c r="B152" s="49" t="str">
        <f>IF(OR(VLOOKUP(Table17105[[#This Row],[Ln'#]],Excellent!A$5:AW$54,15,FALSE)="E",VLOOKUP(Table17105[[#This Row],[Ln'#]],Excellent!A$5:AW$54,15,FALSE)="FEO"),"Entered or FEO","Not Entered")</f>
        <v>Not Entered</v>
      </c>
      <c r="C152" s="50"/>
      <c r="D152" s="48"/>
      <c r="E152" s="48"/>
      <c r="F152" s="48" t="str">
        <f>IF(Table17105[[#This Row],[Status]]="Not Entered","",VLOOKUP(Table17105[[#This Row],[Ln'#]],Excellent!$A$5:$AW$54,3,FALSE))</f>
        <v/>
      </c>
      <c r="G152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2" s="51" t="str">
        <f>IF(Table17105[[#This Row],[Status]]="Not Entered","",VLOOKUP(Table17105[[#This Row],[Ln'#]],Excellent!$A$4:$AW$54,47,FALSE))</f>
        <v/>
      </c>
    </row>
    <row r="153" spans="1:8" ht="30" customHeight="1" x14ac:dyDescent="0.4">
      <c r="A153" s="243">
        <v>41</v>
      </c>
      <c r="B153" s="49" t="str">
        <f>IF(OR(VLOOKUP(Table17105[[#This Row],[Ln'#]],Excellent!A$5:AW$54,15,FALSE)="E",VLOOKUP(Table17105[[#This Row],[Ln'#]],Excellent!A$5:AW$54,15,FALSE)="FEO"),"Entered or FEO","Not Entered")</f>
        <v>Not Entered</v>
      </c>
      <c r="C153" s="50"/>
      <c r="D153" s="48"/>
      <c r="E153" s="48"/>
      <c r="F153" s="48" t="str">
        <f>IF(Table17105[[#This Row],[Status]]="Not Entered","",VLOOKUP(Table17105[[#This Row],[Ln'#]],Excellent!$A$5:$AW$54,3,FALSE))</f>
        <v/>
      </c>
      <c r="G153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3" s="51" t="str">
        <f>IF(Table17105[[#This Row],[Status]]="Not Entered","",VLOOKUP(Table17105[[#This Row],[Ln'#]],Excellent!$A$4:$AW$54,47,FALSE))</f>
        <v/>
      </c>
    </row>
    <row r="154" spans="1:8" ht="30" customHeight="1" x14ac:dyDescent="0.4">
      <c r="A154" s="243">
        <v>42</v>
      </c>
      <c r="B154" s="49" t="str">
        <f>IF(OR(VLOOKUP(Table17105[[#This Row],[Ln'#]],Excellent!A$5:AW$54,15,FALSE)="E",VLOOKUP(Table17105[[#This Row],[Ln'#]],Excellent!A$5:AW$54,15,FALSE)="FEO"),"Entered or FEO","Not Entered")</f>
        <v>Not Entered</v>
      </c>
      <c r="C154" s="50"/>
      <c r="D154" s="48"/>
      <c r="E154" s="48"/>
      <c r="F154" s="48" t="str">
        <f>IF(Table17105[[#This Row],[Status]]="Not Entered","",VLOOKUP(Table17105[[#This Row],[Ln'#]],Excellent!$A$5:$AW$54,3,FALSE))</f>
        <v/>
      </c>
      <c r="G154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4" s="51" t="str">
        <f>IF(Table17105[[#This Row],[Status]]="Not Entered","",VLOOKUP(Table17105[[#This Row],[Ln'#]],Excellent!$A$4:$AW$54,47,FALSE))</f>
        <v/>
      </c>
    </row>
    <row r="155" spans="1:8" ht="30" customHeight="1" x14ac:dyDescent="0.4">
      <c r="A155" s="243">
        <v>43</v>
      </c>
      <c r="B155" s="49" t="str">
        <f>IF(OR(VLOOKUP(Table17105[[#This Row],[Ln'#]],Excellent!A$5:AW$54,15,FALSE)="E",VLOOKUP(Table17105[[#This Row],[Ln'#]],Excellent!A$5:AW$54,15,FALSE)="FEO"),"Entered or FEO","Not Entered")</f>
        <v>Not Entered</v>
      </c>
      <c r="C155" s="50"/>
      <c r="D155" s="48"/>
      <c r="E155" s="48"/>
      <c r="F155" s="48" t="str">
        <f>IF(Table17105[[#This Row],[Status]]="Not Entered","",VLOOKUP(Table17105[[#This Row],[Ln'#]],Excellent!$A$5:$AW$54,3,FALSE))</f>
        <v/>
      </c>
      <c r="G155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5" s="51" t="str">
        <f>IF(Table17105[[#This Row],[Status]]="Not Entered","",VLOOKUP(Table17105[[#This Row],[Ln'#]],Excellent!$A$4:$AW$54,47,FALSE))</f>
        <v/>
      </c>
    </row>
    <row r="156" spans="1:8" ht="30" customHeight="1" x14ac:dyDescent="0.4">
      <c r="A156" s="243">
        <v>44</v>
      </c>
      <c r="B156" s="49" t="str">
        <f>IF(OR(VLOOKUP(Table17105[[#This Row],[Ln'#]],Excellent!A$5:AW$54,15,FALSE)="E",VLOOKUP(Table17105[[#This Row],[Ln'#]],Excellent!A$5:AW$54,15,FALSE)="FEO"),"Entered or FEO","Not Entered")</f>
        <v>Not Entered</v>
      </c>
      <c r="C156" s="50"/>
      <c r="D156" s="48"/>
      <c r="E156" s="48"/>
      <c r="F156" s="48" t="str">
        <f>IF(Table17105[[#This Row],[Status]]="Not Entered","",VLOOKUP(Table17105[[#This Row],[Ln'#]],Excellent!$A$5:$AW$54,3,FALSE))</f>
        <v/>
      </c>
      <c r="G156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6" s="51" t="str">
        <f>IF(Table17105[[#This Row],[Status]]="Not Entered","",VLOOKUP(Table17105[[#This Row],[Ln'#]],Excellent!$A$4:$AW$54,47,FALSE))</f>
        <v/>
      </c>
    </row>
    <row r="157" spans="1:8" ht="30" customHeight="1" x14ac:dyDescent="0.4">
      <c r="A157" s="243">
        <v>45</v>
      </c>
      <c r="B157" s="49" t="str">
        <f>IF(OR(VLOOKUP(Table17105[[#This Row],[Ln'#]],Excellent!A$5:AW$54,15,FALSE)="E",VLOOKUP(Table17105[[#This Row],[Ln'#]],Excellent!A$5:AW$54,15,FALSE)="FEO"),"Entered or FEO","Not Entered")</f>
        <v>Not Entered</v>
      </c>
      <c r="C157" s="50"/>
      <c r="D157" s="48"/>
      <c r="E157" s="48"/>
      <c r="F157" s="48" t="str">
        <f>IF(Table17105[[#This Row],[Status]]="Not Entered","",VLOOKUP(Table17105[[#This Row],[Ln'#]],Excellent!$A$5:$AW$54,3,FALSE))</f>
        <v/>
      </c>
      <c r="G157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7" s="51" t="str">
        <f>IF(Table17105[[#This Row],[Status]]="Not Entered","",VLOOKUP(Table17105[[#This Row],[Ln'#]],Excellent!$A$4:$AW$54,47,FALSE))</f>
        <v/>
      </c>
    </row>
    <row r="158" spans="1:8" ht="30" customHeight="1" x14ac:dyDescent="0.4">
      <c r="A158" s="243">
        <v>46</v>
      </c>
      <c r="B158" s="49" t="str">
        <f>IF(OR(VLOOKUP(Table17105[[#This Row],[Ln'#]],Excellent!A$5:AW$54,15,FALSE)="E",VLOOKUP(Table17105[[#This Row],[Ln'#]],Excellent!A$5:AW$54,15,FALSE)="FEO"),"Entered or FEO","Not Entered")</f>
        <v>Not Entered</v>
      </c>
      <c r="C158" s="50"/>
      <c r="D158" s="48"/>
      <c r="E158" s="48"/>
      <c r="F158" s="48" t="str">
        <f>IF(Table17105[[#This Row],[Status]]="Not Entered","",VLOOKUP(Table17105[[#This Row],[Ln'#]],Excellent!$A$5:$AW$54,3,FALSE))</f>
        <v/>
      </c>
      <c r="G158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8" s="51" t="str">
        <f>IF(Table17105[[#This Row],[Status]]="Not Entered","",VLOOKUP(Table17105[[#This Row],[Ln'#]],Excellent!$A$4:$AW$54,47,FALSE))</f>
        <v/>
      </c>
    </row>
    <row r="159" spans="1:8" ht="30" customHeight="1" x14ac:dyDescent="0.4">
      <c r="A159" s="243">
        <v>47</v>
      </c>
      <c r="B159" s="49" t="str">
        <f>IF(OR(VLOOKUP(Table17105[[#This Row],[Ln'#]],Excellent!A$5:AW$54,15,FALSE)="E",VLOOKUP(Table17105[[#This Row],[Ln'#]],Excellent!A$5:AW$54,15,FALSE)="FEO"),"Entered or FEO","Not Entered")</f>
        <v>Not Entered</v>
      </c>
      <c r="C159" s="50"/>
      <c r="D159" s="48"/>
      <c r="E159" s="48"/>
      <c r="F159" s="48" t="str">
        <f>IF(Table17105[[#This Row],[Status]]="Not Entered","",VLOOKUP(Table17105[[#This Row],[Ln'#]],Excellent!$A$5:$AW$54,3,FALSE))</f>
        <v/>
      </c>
      <c r="G159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9" s="51" t="str">
        <f>IF(Table17105[[#This Row],[Status]]="Not Entered","",VLOOKUP(Table17105[[#This Row],[Ln'#]],Excellent!$A$4:$AW$54,47,FALSE))</f>
        <v/>
      </c>
    </row>
    <row r="160" spans="1:8" ht="30" customHeight="1" x14ac:dyDescent="0.4">
      <c r="A160" s="243">
        <v>48</v>
      </c>
      <c r="B160" s="49" t="str">
        <f>IF(OR(VLOOKUP(Table17105[[#This Row],[Ln'#]],Excellent!A$5:AW$54,15,FALSE)="E",VLOOKUP(Table17105[[#This Row],[Ln'#]],Excellent!A$5:AW$54,15,FALSE)="FEO"),"Entered or FEO","Not Entered")</f>
        <v>Not Entered</v>
      </c>
      <c r="C160" s="50"/>
      <c r="D160" s="48"/>
      <c r="E160" s="48"/>
      <c r="F160" s="48" t="str">
        <f>IF(Table17105[[#This Row],[Status]]="Not Entered","",VLOOKUP(Table17105[[#This Row],[Ln'#]],Excellent!$A$5:$AW$54,3,FALSE))</f>
        <v/>
      </c>
      <c r="G160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60" s="51" t="str">
        <f>IF(Table17105[[#This Row],[Status]]="Not Entered","",VLOOKUP(Table17105[[#This Row],[Ln'#]],Excellent!$A$4:$AW$54,47,FALSE))</f>
        <v/>
      </c>
    </row>
    <row r="161" spans="1:19" ht="30" customHeight="1" x14ac:dyDescent="0.4">
      <c r="A161" s="243">
        <v>49</v>
      </c>
      <c r="B161" s="49" t="str">
        <f>IF(OR(VLOOKUP(Table17105[[#This Row],[Ln'#]],Excellent!A$5:AW$54,15,FALSE)="E",VLOOKUP(Table17105[[#This Row],[Ln'#]],Excellent!A$5:AW$54,15,FALSE)="FEO"),"Entered or FEO","Not Entered")</f>
        <v>Not Entered</v>
      </c>
      <c r="C161" s="50"/>
      <c r="D161" s="48"/>
      <c r="E161" s="48"/>
      <c r="F161" s="48" t="str">
        <f>IF(Table17105[[#This Row],[Status]]="Not Entered","",VLOOKUP(Table17105[[#This Row],[Ln'#]],Excellent!$A$5:$AW$54,3,FALSE))</f>
        <v/>
      </c>
      <c r="G161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61" s="51" t="str">
        <f>IF(Table17105[[#This Row],[Status]]="Not Entered","",VLOOKUP(Table17105[[#This Row],[Ln'#]],Excellent!$A$4:$AW$54,47,FALSE))</f>
        <v/>
      </c>
    </row>
    <row r="162" spans="1:19" ht="30" customHeight="1" x14ac:dyDescent="0.4">
      <c r="A162" s="243">
        <v>50</v>
      </c>
      <c r="B162" s="49" t="str">
        <f>IF(OR(VLOOKUP(Table17105[[#This Row],[Ln'#]],Excellent!A$5:AW$54,15,FALSE)="E",VLOOKUP(Table17105[[#This Row],[Ln'#]],Excellent!A$5:AW$54,15,FALSE)="FEO"),"Entered or FEO","Not Entered")</f>
        <v>Not Entered</v>
      </c>
      <c r="C162" s="50"/>
      <c r="D162" s="48"/>
      <c r="E162" s="48"/>
      <c r="F162" s="48" t="str">
        <f>IF(Table17105[[#This Row],[Status]]="Not Entered","",VLOOKUP(Table17105[[#This Row],[Ln'#]],Excellent!$A$5:$AW$54,3,FALSE))</f>
        <v/>
      </c>
      <c r="G162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62" s="51" t="str">
        <f>IF(Table17105[[#This Row],[Status]]="Not Entered","",VLOOKUP(Table17105[[#This Row],[Ln'#]],Excellent!$A$4:$AW$54,47,FALSE))</f>
        <v/>
      </c>
    </row>
    <row r="163" spans="1:19" ht="30" customHeight="1" x14ac:dyDescent="0.4">
      <c r="A163" s="48"/>
      <c r="B163" s="48"/>
      <c r="C163" s="48"/>
      <c r="D163" s="48" t="s">
        <v>1141</v>
      </c>
      <c r="E163" s="48">
        <f>SUBTOTAL(102,Table17105[Running Order])</f>
        <v>0</v>
      </c>
      <c r="F163" s="48"/>
      <c r="G163" s="51"/>
      <c r="H163" s="51"/>
    </row>
    <row r="164" spans="1:19" ht="30" customHeight="1" x14ac:dyDescent="0.4">
      <c r="A164" s="48"/>
      <c r="B164" s="48"/>
      <c r="C164" s="48"/>
      <c r="D164" s="48"/>
      <c r="E164" s="48"/>
      <c r="F164" s="48"/>
      <c r="G164" s="48"/>
      <c r="H164" s="51"/>
      <c r="I164" s="51"/>
      <c r="K164" s="145"/>
      <c r="L164" s="145"/>
      <c r="M164" s="145"/>
      <c r="N164" s="145"/>
      <c r="O164" s="145"/>
      <c r="P164" s="145"/>
      <c r="Q164" s="145"/>
      <c r="R164" s="146"/>
      <c r="S164" s="146"/>
    </row>
    <row r="165" spans="1:19" ht="30" customHeight="1" x14ac:dyDescent="0.4">
      <c r="A165" s="192" t="s">
        <v>1143</v>
      </c>
      <c r="B165" s="403" t="s">
        <v>2537</v>
      </c>
      <c r="C165" s="403"/>
      <c r="D165" s="403"/>
      <c r="E165" s="403"/>
      <c r="F165" s="403"/>
      <c r="G165" s="403"/>
      <c r="H165" s="403"/>
      <c r="I165" s="403"/>
      <c r="K165" s="145"/>
      <c r="L165" s="145"/>
      <c r="M165" s="145"/>
      <c r="N165" s="145"/>
      <c r="O165" s="145"/>
      <c r="P165" s="145"/>
      <c r="Q165" s="145"/>
      <c r="R165" s="146"/>
      <c r="S165" s="146"/>
    </row>
    <row r="166" spans="1:19" ht="47.25" x14ac:dyDescent="0.4">
      <c r="A166" s="67" t="s">
        <v>605</v>
      </c>
      <c r="B166" s="67" t="s">
        <v>2493</v>
      </c>
      <c r="C166" s="67" t="s">
        <v>2496</v>
      </c>
      <c r="D166" s="67" t="s">
        <v>1142</v>
      </c>
      <c r="E166" s="67" t="s">
        <v>1135</v>
      </c>
      <c r="F166" s="67" t="s">
        <v>1136</v>
      </c>
      <c r="G166" s="69" t="s">
        <v>1207</v>
      </c>
      <c r="H166" s="69" t="s">
        <v>1137</v>
      </c>
      <c r="J166" s="145"/>
      <c r="K166" s="145"/>
      <c r="L166" s="145"/>
      <c r="M166" s="145"/>
      <c r="N166" s="145"/>
      <c r="O166" s="145"/>
      <c r="P166" s="145"/>
      <c r="Q166" s="146"/>
      <c r="R166" s="146"/>
    </row>
    <row r="167" spans="1:19" ht="30" customHeight="1" x14ac:dyDescent="0.45">
      <c r="A167" s="49">
        <v>1</v>
      </c>
      <c r="B167" s="144" t="str">
        <f>IF(OR(VLOOKUP(Table131303538[[#This Row],[Ln'#]],Excellent!A$5:AU$54,7,FALSE)="E",VLOOKUP(Table131303538[[#This Row],[Ln'#]],Excellent!A$5:AU$54,7,FALSE)="FEO"),"x","")</f>
        <v/>
      </c>
      <c r="C167" s="144" t="str">
        <f>IF(OR(VLOOKUP(Table131303538[[#This Row],[Ln'#]],Excellent!A$5:AU$54,23,FALSE)="E",VLOOKUP(Table131303538[[#This Row],[Ln'#]],Excellent!A$5:AU$54,23,FALSE)="FEO"),"x","")</f>
        <v/>
      </c>
      <c r="D167" s="48"/>
      <c r="E167" s="48"/>
      <c r="F167" s="48" t="str">
        <f>IF(AND(Table131303538[[#This Row],[Status Container]]="",Table131303538[[#This Row],[Status Exterior]]=""),"",VLOOKUP(Table131303538[[#This Row],[Ln'#]],Excellent!$A$5:$AU$54,3,FALSE))</f>
        <v/>
      </c>
      <c r="G16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67" s="51" t="str">
        <f>IF(Table131303538[[#This Row],[Dog ID]]="","",(VLOOKUP(Table131303538[[#This Row],[Dog ID]],Excellent!C$5:$AU54,45,FALSE)))</f>
        <v/>
      </c>
      <c r="J167" s="145"/>
      <c r="K167" s="145"/>
      <c r="L167" s="145"/>
      <c r="M167" s="145"/>
      <c r="N167" s="145"/>
      <c r="O167" s="145"/>
      <c r="P167" s="145"/>
      <c r="Q167" s="146"/>
      <c r="R167" s="146"/>
    </row>
    <row r="168" spans="1:19" ht="30" customHeight="1" x14ac:dyDescent="0.45">
      <c r="A168" s="49">
        <v>2</v>
      </c>
      <c r="B168" s="144" t="str">
        <f>IF(OR(VLOOKUP(Table131303538[[#This Row],[Ln'#]],Excellent!A$5:AU$54,7,FALSE)="E",VLOOKUP(Table131303538[[#This Row],[Ln'#]],Excellent!A$5:AU$54,7,FALSE)="FEO"),"x","")</f>
        <v/>
      </c>
      <c r="C168" s="144" t="str">
        <f>IF(OR(VLOOKUP(Table131303538[[#This Row],[Ln'#]],Excellent!A$5:AU$54,23,FALSE)="E",VLOOKUP(Table131303538[[#This Row],[Ln'#]],Excellent!A$5:AU$54,23,FALSE)="FEO"),"x","")</f>
        <v/>
      </c>
      <c r="D168" s="48"/>
      <c r="E168" s="48"/>
      <c r="F168" s="48" t="str">
        <f>IF(AND(Table131303538[[#This Row],[Status Container]]="",Table131303538[[#This Row],[Status Exterior]]=""),"",VLOOKUP(Table131303538[[#This Row],[Ln'#]],Excellent!$A$5:$AU$54,3,FALSE))</f>
        <v/>
      </c>
      <c r="G16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68" s="51" t="str">
        <f>IF(Table131303538[[#This Row],[Dog ID]]="","",(VLOOKUP(Table131303538[[#This Row],[Dog ID]],Excellent!C$5:$AU55,45,FALSE)))</f>
        <v/>
      </c>
      <c r="J168" s="145"/>
      <c r="K168" s="145"/>
      <c r="L168" s="145"/>
      <c r="M168" s="145"/>
      <c r="N168" s="145"/>
      <c r="O168" s="145"/>
      <c r="P168" s="145"/>
      <c r="Q168" s="146"/>
      <c r="R168" s="146"/>
    </row>
    <row r="169" spans="1:19" ht="30" customHeight="1" x14ac:dyDescent="0.45">
      <c r="A169" s="49">
        <v>3</v>
      </c>
      <c r="B169" s="144" t="str">
        <f>IF(OR(VLOOKUP(Table131303538[[#This Row],[Ln'#]],Excellent!A$5:AU$54,7,FALSE)="E",VLOOKUP(Table131303538[[#This Row],[Ln'#]],Excellent!A$5:AU$54,7,FALSE)="FEO"),"x","")</f>
        <v/>
      </c>
      <c r="C169" s="144" t="str">
        <f>IF(OR(VLOOKUP(Table131303538[[#This Row],[Ln'#]],Excellent!A$5:AU$54,23,FALSE)="E",VLOOKUP(Table131303538[[#This Row],[Ln'#]],Excellent!A$5:AU$54,23,FALSE)="FEO"),"x","")</f>
        <v/>
      </c>
      <c r="D169" s="48"/>
      <c r="E169" s="48"/>
      <c r="F169" s="48" t="str">
        <f>IF(AND(Table131303538[[#This Row],[Status Container]]="",Table131303538[[#This Row],[Status Exterior]]=""),"",VLOOKUP(Table131303538[[#This Row],[Ln'#]],Excellent!$A$5:$AU$54,3,FALSE))</f>
        <v/>
      </c>
      <c r="G16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69" s="51" t="str">
        <f>IF(Table131303538[[#This Row],[Dog ID]]="","",(VLOOKUP(Table131303538[[#This Row],[Dog ID]],Excellent!C$5:$AU56,45,FALSE)))</f>
        <v/>
      </c>
      <c r="J169" s="145"/>
      <c r="K169" s="145"/>
      <c r="L169" s="145"/>
      <c r="M169" s="145"/>
      <c r="N169" s="145"/>
      <c r="O169" s="145"/>
      <c r="P169" s="145"/>
      <c r="Q169" s="146"/>
      <c r="R169" s="146"/>
    </row>
    <row r="170" spans="1:19" ht="30" customHeight="1" x14ac:dyDescent="0.45">
      <c r="A170" s="49">
        <v>4</v>
      </c>
      <c r="B170" s="144" t="str">
        <f>IF(OR(VLOOKUP(Table131303538[[#This Row],[Ln'#]],Excellent!A$5:AU$54,7,FALSE)="E",VLOOKUP(Table131303538[[#This Row],[Ln'#]],Excellent!A$5:AU$54,7,FALSE)="FEO"),"x","")</f>
        <v/>
      </c>
      <c r="C170" s="144" t="str">
        <f>IF(OR(VLOOKUP(Table131303538[[#This Row],[Ln'#]],Excellent!A$5:AU$54,23,FALSE)="E",VLOOKUP(Table131303538[[#This Row],[Ln'#]],Excellent!A$5:AU$54,23,FALSE)="FEO"),"x","")</f>
        <v/>
      </c>
      <c r="D170" s="48"/>
      <c r="E170" s="48"/>
      <c r="F170" s="48" t="str">
        <f>IF(AND(Table131303538[[#This Row],[Status Container]]="",Table131303538[[#This Row],[Status Exterior]]=""),"",VLOOKUP(Table131303538[[#This Row],[Ln'#]],Excellent!$A$5:$AU$54,3,FALSE))</f>
        <v/>
      </c>
      <c r="G170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0" s="51" t="str">
        <f>IF(Table131303538[[#This Row],[Dog ID]]="","",(VLOOKUP(Table131303538[[#This Row],[Dog ID]],Excellent!C$5:$AU57,45,FALSE)))</f>
        <v/>
      </c>
      <c r="J170" s="145"/>
      <c r="K170" s="145"/>
      <c r="L170" s="145"/>
      <c r="M170" s="145"/>
      <c r="N170" s="145"/>
      <c r="O170" s="145"/>
      <c r="P170" s="145"/>
      <c r="Q170" s="146"/>
      <c r="R170" s="146"/>
    </row>
    <row r="171" spans="1:19" ht="30" customHeight="1" x14ac:dyDescent="0.45">
      <c r="A171" s="49">
        <v>5</v>
      </c>
      <c r="B171" s="144" t="str">
        <f>IF(OR(VLOOKUP(Table131303538[[#This Row],[Ln'#]],Excellent!A$5:AU$54,7,FALSE)="E",VLOOKUP(Table131303538[[#This Row],[Ln'#]],Excellent!A$5:AU$54,7,FALSE)="FEO"),"x","")</f>
        <v/>
      </c>
      <c r="C171" s="144" t="str">
        <f>IF(OR(VLOOKUP(Table131303538[[#This Row],[Ln'#]],Excellent!A$5:AU$54,23,FALSE)="E",VLOOKUP(Table131303538[[#This Row],[Ln'#]],Excellent!A$5:AU$54,23,FALSE)="FEO"),"x","")</f>
        <v/>
      </c>
      <c r="D171" s="48"/>
      <c r="E171" s="48"/>
      <c r="F171" s="48" t="str">
        <f>IF(AND(Table131303538[[#This Row],[Status Container]]="",Table131303538[[#This Row],[Status Exterior]]=""),"",VLOOKUP(Table131303538[[#This Row],[Ln'#]],Excellent!$A$5:$AU$54,3,FALSE))</f>
        <v/>
      </c>
      <c r="G171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1" s="51" t="str">
        <f>IF(Table131303538[[#This Row],[Dog ID]]="","",(VLOOKUP(Table131303538[[#This Row],[Dog ID]],Excellent!C$5:$AU58,45,FALSE)))</f>
        <v/>
      </c>
      <c r="J171" s="145"/>
      <c r="K171" s="145"/>
      <c r="L171" s="145"/>
      <c r="M171" s="145"/>
      <c r="N171" s="145"/>
      <c r="O171" s="145"/>
      <c r="P171" s="145"/>
      <c r="Q171" s="146"/>
      <c r="R171" s="146"/>
    </row>
    <row r="172" spans="1:19" ht="30" customHeight="1" x14ac:dyDescent="0.45">
      <c r="A172" s="49">
        <v>6</v>
      </c>
      <c r="B172" s="144" t="str">
        <f>IF(OR(VLOOKUP(Table131303538[[#This Row],[Ln'#]],Excellent!A$5:AU$54,7,FALSE)="E",VLOOKUP(Table131303538[[#This Row],[Ln'#]],Excellent!A$5:AU$54,7,FALSE)="FEO"),"x","")</f>
        <v/>
      </c>
      <c r="C172" s="144" t="str">
        <f>IF(OR(VLOOKUP(Table131303538[[#This Row],[Ln'#]],Excellent!A$5:AU$54,23,FALSE)="E",VLOOKUP(Table131303538[[#This Row],[Ln'#]],Excellent!A$5:AU$54,23,FALSE)="FEO"),"x","")</f>
        <v/>
      </c>
      <c r="D172" s="48"/>
      <c r="E172" s="48"/>
      <c r="F172" s="48" t="str">
        <f>IF(AND(Table131303538[[#This Row],[Status Container]]="",Table131303538[[#This Row],[Status Exterior]]=""),"",VLOOKUP(Table131303538[[#This Row],[Ln'#]],Excellent!$A$5:$AU$54,3,FALSE))</f>
        <v/>
      </c>
      <c r="G172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2" s="51" t="str">
        <f>IF(Table131303538[[#This Row],[Dog ID]]="","",(VLOOKUP(Table131303538[[#This Row],[Dog ID]],Excellent!C$5:$AU59,45,FALSE)))</f>
        <v/>
      </c>
      <c r="J172" s="145"/>
      <c r="K172" s="145"/>
      <c r="L172" s="145"/>
      <c r="M172" s="145"/>
      <c r="N172" s="145"/>
      <c r="O172" s="145"/>
      <c r="P172" s="145"/>
      <c r="Q172" s="146"/>
      <c r="R172" s="146"/>
    </row>
    <row r="173" spans="1:19" ht="30" customHeight="1" x14ac:dyDescent="0.45">
      <c r="A173" s="49">
        <v>7</v>
      </c>
      <c r="B173" s="144" t="str">
        <f>IF(OR(VLOOKUP(Table131303538[[#This Row],[Ln'#]],Excellent!A$5:AU$54,7,FALSE)="E",VLOOKUP(Table131303538[[#This Row],[Ln'#]],Excellent!A$5:AU$54,7,FALSE)="FEO"),"x","")</f>
        <v/>
      </c>
      <c r="C173" s="144" t="str">
        <f>IF(OR(VLOOKUP(Table131303538[[#This Row],[Ln'#]],Excellent!A$5:AU$54,23,FALSE)="E",VLOOKUP(Table131303538[[#This Row],[Ln'#]],Excellent!A$5:AU$54,23,FALSE)="FEO"),"x","")</f>
        <v/>
      </c>
      <c r="D173" s="48"/>
      <c r="E173" s="48"/>
      <c r="F173" s="48" t="str">
        <f>IF(AND(Table131303538[[#This Row],[Status Container]]="",Table131303538[[#This Row],[Status Exterior]]=""),"",VLOOKUP(Table131303538[[#This Row],[Ln'#]],Excellent!$A$5:$AU$54,3,FALSE))</f>
        <v/>
      </c>
      <c r="G173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3" s="51" t="str">
        <f>IF(Table131303538[[#This Row],[Dog ID]]="","",(VLOOKUP(Table131303538[[#This Row],[Dog ID]],Excellent!C$5:$AU60,45,FALSE)))</f>
        <v/>
      </c>
      <c r="J173" s="145"/>
      <c r="K173" s="145"/>
      <c r="L173" s="145"/>
      <c r="M173" s="145"/>
      <c r="N173" s="145"/>
      <c r="O173" s="145"/>
      <c r="P173" s="145"/>
      <c r="Q173" s="146"/>
      <c r="R173" s="146"/>
    </row>
    <row r="174" spans="1:19" ht="30" customHeight="1" x14ac:dyDescent="0.45">
      <c r="A174" s="49">
        <v>8</v>
      </c>
      <c r="B174" s="144" t="str">
        <f>IF(OR(VLOOKUP(Table131303538[[#This Row],[Ln'#]],Excellent!A$5:AU$54,7,FALSE)="E",VLOOKUP(Table131303538[[#This Row],[Ln'#]],Excellent!A$5:AU$54,7,FALSE)="FEO"),"x","")</f>
        <v/>
      </c>
      <c r="C174" s="144" t="str">
        <f>IF(OR(VLOOKUP(Table131303538[[#This Row],[Ln'#]],Excellent!A$5:AU$54,23,FALSE)="E",VLOOKUP(Table131303538[[#This Row],[Ln'#]],Excellent!A$5:AU$54,23,FALSE)="FEO"),"x","")</f>
        <v/>
      </c>
      <c r="D174" s="48"/>
      <c r="E174" s="48"/>
      <c r="F174" s="48" t="str">
        <f>IF(AND(Table131303538[[#This Row],[Status Container]]="",Table131303538[[#This Row],[Status Exterior]]=""),"",VLOOKUP(Table131303538[[#This Row],[Ln'#]],Excellent!$A$5:$AU$54,3,FALSE))</f>
        <v/>
      </c>
      <c r="G174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4" s="51" t="str">
        <f>IF(Table131303538[[#This Row],[Dog ID]]="","",(VLOOKUP(Table131303538[[#This Row],[Dog ID]],Excellent!C$5:$AU61,45,FALSE)))</f>
        <v/>
      </c>
      <c r="J174" s="145"/>
      <c r="K174" s="145"/>
      <c r="L174" s="145"/>
      <c r="M174" s="145"/>
      <c r="N174" s="145"/>
      <c r="O174" s="145"/>
      <c r="P174" s="145"/>
      <c r="Q174" s="146"/>
      <c r="R174" s="146"/>
    </row>
    <row r="175" spans="1:19" ht="30" customHeight="1" x14ac:dyDescent="0.45">
      <c r="A175" s="49">
        <v>9</v>
      </c>
      <c r="B175" s="144" t="str">
        <f>IF(OR(VLOOKUP(Table131303538[[#This Row],[Ln'#]],Excellent!A$5:AU$54,7,FALSE)="E",VLOOKUP(Table131303538[[#This Row],[Ln'#]],Excellent!A$5:AU$54,7,FALSE)="FEO"),"x","")</f>
        <v/>
      </c>
      <c r="C175" s="144" t="str">
        <f>IF(OR(VLOOKUP(Table131303538[[#This Row],[Ln'#]],Excellent!A$5:AU$54,23,FALSE)="E",VLOOKUP(Table131303538[[#This Row],[Ln'#]],Excellent!A$5:AU$54,23,FALSE)="FEO"),"x","")</f>
        <v/>
      </c>
      <c r="D175" s="48"/>
      <c r="E175" s="48"/>
      <c r="F175" s="48" t="str">
        <f>IF(AND(Table131303538[[#This Row],[Status Container]]="",Table131303538[[#This Row],[Status Exterior]]=""),"",VLOOKUP(Table131303538[[#This Row],[Ln'#]],Excellent!$A$5:$AU$54,3,FALSE))</f>
        <v/>
      </c>
      <c r="G175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5" s="51" t="str">
        <f>IF(Table131303538[[#This Row],[Dog ID]]="","",(VLOOKUP(Table131303538[[#This Row],[Dog ID]],Excellent!C$5:$AU62,45,FALSE)))</f>
        <v/>
      </c>
      <c r="J175" s="145"/>
      <c r="K175" s="145"/>
      <c r="L175" s="145"/>
      <c r="M175" s="145"/>
      <c r="N175" s="145"/>
      <c r="O175" s="145"/>
      <c r="P175" s="145"/>
      <c r="Q175" s="146"/>
      <c r="R175" s="146"/>
    </row>
    <row r="176" spans="1:19" ht="30" customHeight="1" x14ac:dyDescent="0.45">
      <c r="A176" s="49">
        <v>10</v>
      </c>
      <c r="B176" s="144" t="str">
        <f>IF(OR(VLOOKUP(Table131303538[[#This Row],[Ln'#]],Excellent!A$5:AU$54,7,FALSE)="E",VLOOKUP(Table131303538[[#This Row],[Ln'#]],Excellent!A$5:AU$54,7,FALSE)="FEO"),"x","")</f>
        <v/>
      </c>
      <c r="C176" s="144" t="str">
        <f>IF(OR(VLOOKUP(Table131303538[[#This Row],[Ln'#]],Excellent!A$5:AU$54,23,FALSE)="E",VLOOKUP(Table131303538[[#This Row],[Ln'#]],Excellent!A$5:AU$54,23,FALSE)="FEO"),"x","")</f>
        <v/>
      </c>
      <c r="D176" s="48"/>
      <c r="E176" s="48"/>
      <c r="F176" s="48" t="str">
        <f>IF(AND(Table131303538[[#This Row],[Status Container]]="",Table131303538[[#This Row],[Status Exterior]]=""),"",VLOOKUP(Table131303538[[#This Row],[Ln'#]],Excellent!$A$5:$AU$54,3,FALSE))</f>
        <v/>
      </c>
      <c r="G176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6" s="51" t="str">
        <f>IF(Table131303538[[#This Row],[Dog ID]]="","",(VLOOKUP(Table131303538[[#This Row],[Dog ID]],Excellent!C$5:$AU63,45,FALSE)))</f>
        <v/>
      </c>
      <c r="J176" s="145"/>
      <c r="K176" s="145"/>
      <c r="L176" s="145"/>
      <c r="M176" s="145"/>
      <c r="N176" s="145"/>
      <c r="O176" s="145"/>
      <c r="P176" s="145"/>
      <c r="Q176" s="146"/>
      <c r="R176" s="146"/>
    </row>
    <row r="177" spans="1:18" ht="30" customHeight="1" x14ac:dyDescent="0.45">
      <c r="A177" s="49">
        <v>11</v>
      </c>
      <c r="B177" s="144" t="str">
        <f>IF(OR(VLOOKUP(Table131303538[[#This Row],[Ln'#]],Excellent!A$5:AU$54,7,FALSE)="E",VLOOKUP(Table131303538[[#This Row],[Ln'#]],Excellent!A$5:AU$54,7,FALSE)="FEO"),"x","")</f>
        <v/>
      </c>
      <c r="C177" s="144" t="str">
        <f>IF(OR(VLOOKUP(Table131303538[[#This Row],[Ln'#]],Excellent!A$5:AU$54,23,FALSE)="E",VLOOKUP(Table131303538[[#This Row],[Ln'#]],Excellent!A$5:AU$54,23,FALSE)="FEO"),"x","")</f>
        <v/>
      </c>
      <c r="D177" s="48"/>
      <c r="E177" s="48"/>
      <c r="F177" s="48" t="str">
        <f>IF(AND(Table131303538[[#This Row],[Status Container]]="",Table131303538[[#This Row],[Status Exterior]]=""),"",VLOOKUP(Table131303538[[#This Row],[Ln'#]],Excellent!$A$5:$AU$54,3,FALSE))</f>
        <v/>
      </c>
      <c r="G17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7" s="51" t="str">
        <f>IF(Table131303538[[#This Row],[Dog ID]]="","",(VLOOKUP(Table131303538[[#This Row],[Dog ID]],Excellent!C$5:$AU64,45,FALSE)))</f>
        <v/>
      </c>
      <c r="J177" s="145"/>
      <c r="K177" s="145"/>
      <c r="L177" s="145"/>
      <c r="M177" s="145"/>
      <c r="N177" s="145"/>
      <c r="O177" s="145"/>
      <c r="P177" s="145"/>
      <c r="Q177" s="146"/>
      <c r="R177" s="146"/>
    </row>
    <row r="178" spans="1:18" ht="30" customHeight="1" x14ac:dyDescent="0.45">
      <c r="A178" s="49">
        <v>12</v>
      </c>
      <c r="B178" s="144" t="str">
        <f>IF(OR(VLOOKUP(Table131303538[[#This Row],[Ln'#]],Excellent!A$5:AU$54,7,FALSE)="E",VLOOKUP(Table131303538[[#This Row],[Ln'#]],Excellent!A$5:AU$54,7,FALSE)="FEO"),"x","")</f>
        <v/>
      </c>
      <c r="C178" s="144" t="str">
        <f>IF(OR(VLOOKUP(Table131303538[[#This Row],[Ln'#]],Excellent!A$5:AU$54,23,FALSE)="E",VLOOKUP(Table131303538[[#This Row],[Ln'#]],Excellent!A$5:AU$54,23,FALSE)="FEO"),"x","")</f>
        <v/>
      </c>
      <c r="D178" s="48"/>
      <c r="E178" s="48"/>
      <c r="F178" s="48" t="str">
        <f>IF(AND(Table131303538[[#This Row],[Status Container]]="",Table131303538[[#This Row],[Status Exterior]]=""),"",VLOOKUP(Table131303538[[#This Row],[Ln'#]],Excellent!$A$5:$AU$54,3,FALSE))</f>
        <v/>
      </c>
      <c r="G17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8" s="51" t="str">
        <f>IF(Table131303538[[#This Row],[Dog ID]]="","",(VLOOKUP(Table131303538[[#This Row],[Dog ID]],Excellent!C$5:$AU65,45,FALSE)))</f>
        <v/>
      </c>
      <c r="J178" s="145"/>
      <c r="K178" s="145"/>
      <c r="L178" s="145"/>
      <c r="M178" s="145"/>
      <c r="N178" s="145"/>
      <c r="O178" s="145"/>
      <c r="P178" s="145"/>
      <c r="Q178" s="146"/>
      <c r="R178" s="146"/>
    </row>
    <row r="179" spans="1:18" ht="30" customHeight="1" x14ac:dyDescent="0.45">
      <c r="A179" s="49">
        <v>13</v>
      </c>
      <c r="B179" s="144" t="str">
        <f>IF(OR(VLOOKUP(Table131303538[[#This Row],[Ln'#]],Excellent!A$5:AU$54,7,FALSE)="E",VLOOKUP(Table131303538[[#This Row],[Ln'#]],Excellent!A$5:AU$54,7,FALSE)="FEO"),"x","")</f>
        <v/>
      </c>
      <c r="C179" s="144" t="str">
        <f>IF(OR(VLOOKUP(Table131303538[[#This Row],[Ln'#]],Excellent!A$5:AU$54,23,FALSE)="E",VLOOKUP(Table131303538[[#This Row],[Ln'#]],Excellent!A$5:AU$54,23,FALSE)="FEO"),"x","")</f>
        <v/>
      </c>
      <c r="D179" s="48"/>
      <c r="E179" s="48"/>
      <c r="F179" s="48" t="str">
        <f>IF(AND(Table131303538[[#This Row],[Status Container]]="",Table131303538[[#This Row],[Status Exterior]]=""),"",VLOOKUP(Table131303538[[#This Row],[Ln'#]],Excellent!$A$5:$AU$54,3,FALSE))</f>
        <v/>
      </c>
      <c r="G17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9" s="51" t="str">
        <f>IF(Table131303538[[#This Row],[Dog ID]]="","",(VLOOKUP(Table131303538[[#This Row],[Dog ID]],Excellent!C$5:$AU66,45,FALSE)))</f>
        <v/>
      </c>
      <c r="J179" s="145"/>
      <c r="K179" s="145"/>
      <c r="L179" s="145"/>
      <c r="M179" s="145"/>
      <c r="N179" s="145"/>
      <c r="O179" s="145"/>
      <c r="P179" s="145"/>
      <c r="Q179" s="146"/>
      <c r="R179" s="146"/>
    </row>
    <row r="180" spans="1:18" ht="30" customHeight="1" x14ac:dyDescent="0.45">
      <c r="A180" s="49">
        <v>14</v>
      </c>
      <c r="B180" s="144" t="str">
        <f>IF(OR(VLOOKUP(Table131303538[[#This Row],[Ln'#]],Excellent!A$5:AU$54,7,FALSE)="E",VLOOKUP(Table131303538[[#This Row],[Ln'#]],Excellent!A$5:AU$54,7,FALSE)="FEO"),"x","")</f>
        <v/>
      </c>
      <c r="C180" s="144" t="str">
        <f>IF(OR(VLOOKUP(Table131303538[[#This Row],[Ln'#]],Excellent!A$5:AU$54,23,FALSE)="E",VLOOKUP(Table131303538[[#This Row],[Ln'#]],Excellent!A$5:AU$54,23,FALSE)="FEO"),"x","")</f>
        <v/>
      </c>
      <c r="D180" s="48"/>
      <c r="E180" s="48"/>
      <c r="F180" s="48" t="str">
        <f>IF(AND(Table131303538[[#This Row],[Status Container]]="",Table131303538[[#This Row],[Status Exterior]]=""),"",VLOOKUP(Table131303538[[#This Row],[Ln'#]],Excellent!$A$5:$AU$54,3,FALSE))</f>
        <v/>
      </c>
      <c r="G180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0" s="51" t="str">
        <f>IF(Table131303538[[#This Row],[Dog ID]]="","",(VLOOKUP(Table131303538[[#This Row],[Dog ID]],Excellent!C$5:$AU67,45,FALSE)))</f>
        <v/>
      </c>
      <c r="J180" s="145"/>
      <c r="K180" s="145"/>
      <c r="L180" s="145"/>
      <c r="M180" s="145"/>
      <c r="N180" s="145"/>
      <c r="O180" s="145"/>
      <c r="P180" s="145"/>
      <c r="Q180" s="146"/>
      <c r="R180" s="146"/>
    </row>
    <row r="181" spans="1:18" ht="30" customHeight="1" x14ac:dyDescent="0.45">
      <c r="A181" s="49">
        <v>15</v>
      </c>
      <c r="B181" s="144" t="str">
        <f>IF(OR(VLOOKUP(Table131303538[[#This Row],[Ln'#]],Excellent!A$5:AU$54,7,FALSE)="E",VLOOKUP(Table131303538[[#This Row],[Ln'#]],Excellent!A$5:AU$54,7,FALSE)="FEO"),"x","")</f>
        <v/>
      </c>
      <c r="C181" s="144" t="str">
        <f>IF(OR(VLOOKUP(Table131303538[[#This Row],[Ln'#]],Excellent!A$5:AU$54,23,FALSE)="E",VLOOKUP(Table131303538[[#This Row],[Ln'#]],Excellent!A$5:AU$54,23,FALSE)="FEO"),"x","")</f>
        <v/>
      </c>
      <c r="D181" s="48"/>
      <c r="E181" s="48"/>
      <c r="F181" s="48" t="str">
        <f>IF(AND(Table131303538[[#This Row],[Status Container]]="",Table131303538[[#This Row],[Status Exterior]]=""),"",VLOOKUP(Table131303538[[#This Row],[Ln'#]],Excellent!$A$5:$AU$54,3,FALSE))</f>
        <v/>
      </c>
      <c r="G181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1" s="51" t="str">
        <f>IF(Table131303538[[#This Row],[Dog ID]]="","",(VLOOKUP(Table131303538[[#This Row],[Dog ID]],Excellent!C$5:$AU68,45,FALSE)))</f>
        <v/>
      </c>
      <c r="J181" s="145"/>
      <c r="K181" s="145"/>
      <c r="L181" s="145"/>
      <c r="M181" s="145"/>
      <c r="N181" s="145"/>
      <c r="O181" s="145"/>
      <c r="P181" s="145"/>
      <c r="Q181" s="146"/>
      <c r="R181" s="146"/>
    </row>
    <row r="182" spans="1:18" ht="30" customHeight="1" x14ac:dyDescent="0.45">
      <c r="A182" s="49">
        <v>16</v>
      </c>
      <c r="B182" s="144" t="str">
        <f>IF(OR(VLOOKUP(Table131303538[[#This Row],[Ln'#]],Excellent!A$5:AU$54,7,FALSE)="E",VLOOKUP(Table131303538[[#This Row],[Ln'#]],Excellent!A$5:AU$54,7,FALSE)="FEO"),"x","")</f>
        <v/>
      </c>
      <c r="C182" s="144" t="str">
        <f>IF(OR(VLOOKUP(Table131303538[[#This Row],[Ln'#]],Excellent!A$5:AU$54,23,FALSE)="E",VLOOKUP(Table131303538[[#This Row],[Ln'#]],Excellent!A$5:AU$54,23,FALSE)="FEO"),"x","")</f>
        <v/>
      </c>
      <c r="D182" s="48"/>
      <c r="E182" s="48"/>
      <c r="F182" s="48" t="str">
        <f>IF(AND(Table131303538[[#This Row],[Status Container]]="",Table131303538[[#This Row],[Status Exterior]]=""),"",VLOOKUP(Table131303538[[#This Row],[Ln'#]],Excellent!$A$5:$AU$54,3,FALSE))</f>
        <v/>
      </c>
      <c r="G182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2" s="51" t="str">
        <f>IF(Table131303538[[#This Row],[Dog ID]]="","",(VLOOKUP(Table131303538[[#This Row],[Dog ID]],Excellent!C$5:$AU69,45,FALSE)))</f>
        <v/>
      </c>
      <c r="J182" s="145"/>
      <c r="K182" s="145"/>
      <c r="L182" s="145"/>
      <c r="M182" s="145"/>
      <c r="N182" s="145"/>
      <c r="O182" s="145"/>
      <c r="P182" s="145"/>
      <c r="Q182" s="146"/>
      <c r="R182" s="146"/>
    </row>
    <row r="183" spans="1:18" ht="30" customHeight="1" x14ac:dyDescent="0.45">
      <c r="A183" s="49">
        <v>17</v>
      </c>
      <c r="B183" s="144" t="str">
        <f>IF(OR(VLOOKUP(Table131303538[[#This Row],[Ln'#]],Excellent!A$5:AU$54,7,FALSE)="E",VLOOKUP(Table131303538[[#This Row],[Ln'#]],Excellent!A$5:AU$54,7,FALSE)="FEO"),"x","")</f>
        <v/>
      </c>
      <c r="C183" s="144" t="str">
        <f>IF(OR(VLOOKUP(Table131303538[[#This Row],[Ln'#]],Excellent!A$5:AU$54,23,FALSE)="E",VLOOKUP(Table131303538[[#This Row],[Ln'#]],Excellent!A$5:AU$54,23,FALSE)="FEO"),"x","")</f>
        <v/>
      </c>
      <c r="D183" s="48"/>
      <c r="E183" s="48"/>
      <c r="F183" s="48" t="str">
        <f>IF(AND(Table131303538[[#This Row],[Status Container]]="",Table131303538[[#This Row],[Status Exterior]]=""),"",VLOOKUP(Table131303538[[#This Row],[Ln'#]],Excellent!$A$5:$AU$54,3,FALSE))</f>
        <v/>
      </c>
      <c r="G183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3" s="51" t="str">
        <f>IF(Table131303538[[#This Row],[Dog ID]]="","",(VLOOKUP(Table131303538[[#This Row],[Dog ID]],Excellent!C$5:$AU70,45,FALSE)))</f>
        <v/>
      </c>
      <c r="J183" s="145"/>
      <c r="K183" s="145"/>
      <c r="L183" s="145"/>
      <c r="M183" s="145"/>
      <c r="N183" s="145"/>
      <c r="O183" s="145"/>
      <c r="P183" s="145"/>
      <c r="Q183" s="146"/>
      <c r="R183" s="146"/>
    </row>
    <row r="184" spans="1:18" ht="30" customHeight="1" x14ac:dyDescent="0.45">
      <c r="A184" s="49">
        <v>18</v>
      </c>
      <c r="B184" s="144" t="str">
        <f>IF(OR(VLOOKUP(Table131303538[[#This Row],[Ln'#]],Excellent!A$5:AU$54,7,FALSE)="E",VLOOKUP(Table131303538[[#This Row],[Ln'#]],Excellent!A$5:AU$54,7,FALSE)="FEO"),"x","")</f>
        <v/>
      </c>
      <c r="C184" s="144" t="str">
        <f>IF(OR(VLOOKUP(Table131303538[[#This Row],[Ln'#]],Excellent!A$5:AU$54,23,FALSE)="E",VLOOKUP(Table131303538[[#This Row],[Ln'#]],Excellent!A$5:AU$54,23,FALSE)="FEO"),"x","")</f>
        <v/>
      </c>
      <c r="D184" s="48"/>
      <c r="E184" s="48"/>
      <c r="F184" s="48" t="str">
        <f>IF(AND(Table131303538[[#This Row],[Status Container]]="",Table131303538[[#This Row],[Status Exterior]]=""),"",VLOOKUP(Table131303538[[#This Row],[Ln'#]],Excellent!$A$5:$AU$54,3,FALSE))</f>
        <v/>
      </c>
      <c r="G184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4" s="51" t="str">
        <f>IF(Table131303538[[#This Row],[Dog ID]]="","",(VLOOKUP(Table131303538[[#This Row],[Dog ID]],Excellent!C$5:$AU71,45,FALSE)))</f>
        <v/>
      </c>
      <c r="J184" s="145"/>
      <c r="K184" s="145"/>
      <c r="L184" s="145"/>
      <c r="M184" s="145"/>
      <c r="N184" s="145"/>
      <c r="O184" s="145"/>
      <c r="P184" s="145"/>
      <c r="Q184" s="146"/>
      <c r="R184" s="146"/>
    </row>
    <row r="185" spans="1:18" ht="30" customHeight="1" x14ac:dyDescent="0.45">
      <c r="A185" s="49">
        <v>19</v>
      </c>
      <c r="B185" s="144" t="str">
        <f>IF(OR(VLOOKUP(Table131303538[[#This Row],[Ln'#]],Excellent!A$5:AU$54,7,FALSE)="E",VLOOKUP(Table131303538[[#This Row],[Ln'#]],Excellent!A$5:AU$54,7,FALSE)="FEO"),"x","")</f>
        <v/>
      </c>
      <c r="C185" s="144" t="str">
        <f>IF(OR(VLOOKUP(Table131303538[[#This Row],[Ln'#]],Excellent!A$5:AU$54,23,FALSE)="E",VLOOKUP(Table131303538[[#This Row],[Ln'#]],Excellent!A$5:AU$54,23,FALSE)="FEO"),"x","")</f>
        <v/>
      </c>
      <c r="D185" s="48"/>
      <c r="E185" s="48"/>
      <c r="F185" s="48" t="str">
        <f>IF(AND(Table131303538[[#This Row],[Status Container]]="",Table131303538[[#This Row],[Status Exterior]]=""),"",VLOOKUP(Table131303538[[#This Row],[Ln'#]],Excellent!$A$5:$AU$54,3,FALSE))</f>
        <v/>
      </c>
      <c r="G185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5" s="51" t="str">
        <f>IF(Table131303538[[#This Row],[Dog ID]]="","",(VLOOKUP(Table131303538[[#This Row],[Dog ID]],Excellent!C$5:$AU72,45,FALSE)))</f>
        <v/>
      </c>
      <c r="J185" s="145"/>
      <c r="K185" s="145"/>
      <c r="L185" s="145"/>
      <c r="M185" s="145"/>
      <c r="N185" s="145"/>
      <c r="O185" s="145"/>
      <c r="P185" s="145"/>
      <c r="Q185" s="146"/>
      <c r="R185" s="146"/>
    </row>
    <row r="186" spans="1:18" ht="30" customHeight="1" x14ac:dyDescent="0.45">
      <c r="A186" s="49">
        <v>20</v>
      </c>
      <c r="B186" s="144" t="str">
        <f>IF(OR(VLOOKUP(Table131303538[[#This Row],[Ln'#]],Excellent!A$5:AU$54,7,FALSE)="E",VLOOKUP(Table131303538[[#This Row],[Ln'#]],Excellent!A$5:AU$54,7,FALSE)="FEO"),"x","")</f>
        <v/>
      </c>
      <c r="C186" s="144" t="str">
        <f>IF(OR(VLOOKUP(Table131303538[[#This Row],[Ln'#]],Excellent!A$5:AU$54,23,FALSE)="E",VLOOKUP(Table131303538[[#This Row],[Ln'#]],Excellent!A$5:AU$54,23,FALSE)="FEO"),"x","")</f>
        <v/>
      </c>
      <c r="D186" s="48"/>
      <c r="E186" s="48"/>
      <c r="F186" s="48" t="str">
        <f>IF(AND(Table131303538[[#This Row],[Status Container]]="",Table131303538[[#This Row],[Status Exterior]]=""),"",VLOOKUP(Table131303538[[#This Row],[Ln'#]],Excellent!$A$5:$AU$54,3,FALSE))</f>
        <v/>
      </c>
      <c r="G186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6" s="51" t="str">
        <f>IF(Table131303538[[#This Row],[Dog ID]]="","",(VLOOKUP(Table131303538[[#This Row],[Dog ID]],Excellent!C$5:$AU73,45,FALSE)))</f>
        <v/>
      </c>
      <c r="J186" s="145"/>
      <c r="K186" s="145"/>
      <c r="L186" s="145"/>
      <c r="M186" s="145"/>
      <c r="N186" s="145"/>
      <c r="O186" s="145"/>
      <c r="P186" s="145"/>
      <c r="Q186" s="146"/>
      <c r="R186" s="146"/>
    </row>
    <row r="187" spans="1:18" ht="30" customHeight="1" x14ac:dyDescent="0.45">
      <c r="A187" s="49">
        <v>21</v>
      </c>
      <c r="B187" s="144" t="str">
        <f>IF(OR(VLOOKUP(Table131303538[[#This Row],[Ln'#]],Excellent!A$5:AU$54,7,FALSE)="E",VLOOKUP(Table131303538[[#This Row],[Ln'#]],Excellent!A$5:AU$54,7,FALSE)="FEO"),"x","")</f>
        <v/>
      </c>
      <c r="C187" s="144" t="str">
        <f>IF(OR(VLOOKUP(Table131303538[[#This Row],[Ln'#]],Excellent!A$5:AU$54,23,FALSE)="E",VLOOKUP(Table131303538[[#This Row],[Ln'#]],Excellent!A$5:AU$54,23,FALSE)="FEO"),"x","")</f>
        <v/>
      </c>
      <c r="D187" s="48"/>
      <c r="E187" s="48"/>
      <c r="F187" s="48" t="str">
        <f>IF(AND(Table131303538[[#This Row],[Status Container]]="",Table131303538[[#This Row],[Status Exterior]]=""),"",VLOOKUP(Table131303538[[#This Row],[Ln'#]],Excellent!$A$5:$AU$54,3,FALSE))</f>
        <v/>
      </c>
      <c r="G18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7" s="51" t="str">
        <f>IF(Table131303538[[#This Row],[Dog ID]]="","",(VLOOKUP(Table131303538[[#This Row],[Dog ID]],Excellent!C$5:$AU74,45,FALSE)))</f>
        <v/>
      </c>
      <c r="J187" s="145"/>
      <c r="K187" s="145"/>
      <c r="L187" s="145"/>
      <c r="M187" s="145"/>
      <c r="N187" s="145"/>
      <c r="O187" s="145"/>
      <c r="P187" s="145"/>
      <c r="Q187" s="146"/>
      <c r="R187" s="146"/>
    </row>
    <row r="188" spans="1:18" ht="30" customHeight="1" x14ac:dyDescent="0.45">
      <c r="A188" s="243">
        <v>22</v>
      </c>
      <c r="B188" s="144" t="str">
        <f>IF(OR(VLOOKUP(Table131303538[[#This Row],[Ln'#]],Excellent!A$5:AU$54,7,FALSE)="E",VLOOKUP(Table131303538[[#This Row],[Ln'#]],Excellent!A$5:AU$54,7,FALSE)="FEO"),"x","")</f>
        <v/>
      </c>
      <c r="C188" s="144" t="str">
        <f>IF(OR(VLOOKUP(Table131303538[[#This Row],[Ln'#]],Excellent!A$5:AU$54,23,FALSE)="E",VLOOKUP(Table131303538[[#This Row],[Ln'#]],Excellent!A$5:AU$54,23,FALSE)="FEO"),"x","")</f>
        <v/>
      </c>
      <c r="D188" s="48"/>
      <c r="E188" s="48"/>
      <c r="F188" s="48" t="str">
        <f>IF(AND(Table131303538[[#This Row],[Status Container]]="",Table131303538[[#This Row],[Status Exterior]]=""),"",VLOOKUP(Table131303538[[#This Row],[Ln'#]],Excellent!$A$5:$AU$54,3,FALSE))</f>
        <v/>
      </c>
      <c r="G18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8" s="51" t="str">
        <f>IF(Table131303538[[#This Row],[Dog ID]]="","",(VLOOKUP(Table131303538[[#This Row],[Dog ID]],Excellent!C$5:$AU75,45,FALSE)))</f>
        <v/>
      </c>
      <c r="J188" s="145"/>
      <c r="K188" s="145"/>
      <c r="L188" s="145"/>
      <c r="M188" s="145"/>
      <c r="N188" s="145"/>
      <c r="O188" s="145"/>
      <c r="P188" s="145"/>
      <c r="Q188" s="146"/>
      <c r="R188" s="146"/>
    </row>
    <row r="189" spans="1:18" ht="30" customHeight="1" x14ac:dyDescent="0.45">
      <c r="A189" s="243">
        <v>23</v>
      </c>
      <c r="B189" s="144" t="str">
        <f>IF(OR(VLOOKUP(Table131303538[[#This Row],[Ln'#]],Excellent!A$5:AU$54,7,FALSE)="E",VLOOKUP(Table131303538[[#This Row],[Ln'#]],Excellent!A$5:AU$54,7,FALSE)="FEO"),"x","")</f>
        <v/>
      </c>
      <c r="C189" s="144" t="str">
        <f>IF(OR(VLOOKUP(Table131303538[[#This Row],[Ln'#]],Excellent!A$5:AU$54,23,FALSE)="E",VLOOKUP(Table131303538[[#This Row],[Ln'#]],Excellent!A$5:AU$54,23,FALSE)="FEO"),"x","")</f>
        <v/>
      </c>
      <c r="D189" s="48"/>
      <c r="E189" s="48"/>
      <c r="F189" s="48" t="str">
        <f>IF(AND(Table131303538[[#This Row],[Status Container]]="",Table131303538[[#This Row],[Status Exterior]]=""),"",VLOOKUP(Table131303538[[#This Row],[Ln'#]],Excellent!$A$5:$AU$54,3,FALSE))</f>
        <v/>
      </c>
      <c r="G18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9" s="51" t="str">
        <f>IF(Table131303538[[#This Row],[Dog ID]]="","",(VLOOKUP(Table131303538[[#This Row],[Dog ID]],Excellent!C$5:$AU76,45,FALSE)))</f>
        <v/>
      </c>
      <c r="J189" s="145"/>
      <c r="K189" s="145"/>
      <c r="L189" s="145"/>
      <c r="M189" s="145"/>
      <c r="N189" s="145"/>
      <c r="O189" s="145"/>
      <c r="P189" s="145"/>
      <c r="Q189" s="146"/>
      <c r="R189" s="146"/>
    </row>
    <row r="190" spans="1:18" ht="30" customHeight="1" x14ac:dyDescent="0.45">
      <c r="A190" s="243">
        <v>24</v>
      </c>
      <c r="B190" s="144" t="str">
        <f>IF(OR(VLOOKUP(Table131303538[[#This Row],[Ln'#]],Excellent!A$5:AU$54,7,FALSE)="E",VLOOKUP(Table131303538[[#This Row],[Ln'#]],Excellent!A$5:AU$54,7,FALSE)="FEO"),"x","")</f>
        <v/>
      </c>
      <c r="C190" s="144" t="str">
        <f>IF(OR(VLOOKUP(Table131303538[[#This Row],[Ln'#]],Excellent!A$5:AU$54,23,FALSE)="E",VLOOKUP(Table131303538[[#This Row],[Ln'#]],Excellent!A$5:AU$54,23,FALSE)="FEO"),"x","")</f>
        <v/>
      </c>
      <c r="D190" s="48"/>
      <c r="E190" s="48"/>
      <c r="F190" s="48" t="str">
        <f>IF(AND(Table131303538[[#This Row],[Status Container]]="",Table131303538[[#This Row],[Status Exterior]]=""),"",VLOOKUP(Table131303538[[#This Row],[Ln'#]],Excellent!$A$5:$AU$54,3,FALSE))</f>
        <v/>
      </c>
      <c r="G190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0" s="51" t="str">
        <f>IF(Table131303538[[#This Row],[Dog ID]]="","",(VLOOKUP(Table131303538[[#This Row],[Dog ID]],Excellent!C$5:$AU77,45,FALSE)))</f>
        <v/>
      </c>
      <c r="J190" s="145"/>
      <c r="K190" s="145"/>
      <c r="L190" s="145"/>
      <c r="M190" s="145"/>
      <c r="N190" s="145"/>
      <c r="O190" s="145"/>
      <c r="P190" s="145"/>
      <c r="Q190" s="146"/>
      <c r="R190" s="146"/>
    </row>
    <row r="191" spans="1:18" ht="30" customHeight="1" x14ac:dyDescent="0.45">
      <c r="A191" s="243">
        <v>25</v>
      </c>
      <c r="B191" s="144" t="str">
        <f>IF(OR(VLOOKUP(Table131303538[[#This Row],[Ln'#]],Excellent!A$5:AU$54,7,FALSE)="E",VLOOKUP(Table131303538[[#This Row],[Ln'#]],Excellent!A$5:AU$54,7,FALSE)="FEO"),"x","")</f>
        <v/>
      </c>
      <c r="C191" s="144" t="str">
        <f>IF(OR(VLOOKUP(Table131303538[[#This Row],[Ln'#]],Excellent!A$5:AU$54,23,FALSE)="E",VLOOKUP(Table131303538[[#This Row],[Ln'#]],Excellent!A$5:AU$54,23,FALSE)="FEO"),"x","")</f>
        <v/>
      </c>
      <c r="D191" s="48"/>
      <c r="E191" s="48"/>
      <c r="F191" s="48" t="str">
        <f>IF(AND(Table131303538[[#This Row],[Status Container]]="",Table131303538[[#This Row],[Status Exterior]]=""),"",VLOOKUP(Table131303538[[#This Row],[Ln'#]],Excellent!$A$5:$AU$54,3,FALSE))</f>
        <v/>
      </c>
      <c r="G191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1" s="51" t="str">
        <f>IF(Table131303538[[#This Row],[Dog ID]]="","",(VLOOKUP(Table131303538[[#This Row],[Dog ID]],Excellent!C$5:$AU78,45,FALSE)))</f>
        <v/>
      </c>
      <c r="J191" s="145"/>
      <c r="K191" s="145"/>
      <c r="L191" s="145"/>
      <c r="M191" s="145"/>
      <c r="N191" s="145"/>
      <c r="O191" s="145"/>
      <c r="P191" s="145"/>
      <c r="Q191" s="146"/>
      <c r="R191" s="146"/>
    </row>
    <row r="192" spans="1:18" ht="30" customHeight="1" x14ac:dyDescent="0.45">
      <c r="A192" s="243">
        <v>26</v>
      </c>
      <c r="B192" s="144" t="str">
        <f>IF(OR(VLOOKUP(Table131303538[[#This Row],[Ln'#]],Excellent!A$5:AU$54,7,FALSE)="E",VLOOKUP(Table131303538[[#This Row],[Ln'#]],Excellent!A$5:AU$54,7,FALSE)="FEO"),"x","")</f>
        <v/>
      </c>
      <c r="C192" s="144" t="str">
        <f>IF(OR(VLOOKUP(Table131303538[[#This Row],[Ln'#]],Excellent!A$5:AU$54,23,FALSE)="E",VLOOKUP(Table131303538[[#This Row],[Ln'#]],Excellent!A$5:AU$54,23,FALSE)="FEO"),"x","")</f>
        <v/>
      </c>
      <c r="D192" s="48"/>
      <c r="E192" s="48"/>
      <c r="F192" s="48" t="str">
        <f>IF(AND(Table131303538[[#This Row],[Status Container]]="",Table131303538[[#This Row],[Status Exterior]]=""),"",VLOOKUP(Table131303538[[#This Row],[Ln'#]],Excellent!$A$5:$AU$54,3,FALSE))</f>
        <v/>
      </c>
      <c r="G192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2" s="51" t="str">
        <f>IF(Table131303538[[#This Row],[Dog ID]]="","",(VLOOKUP(Table131303538[[#This Row],[Dog ID]],Excellent!C$5:$AU79,45,FALSE)))</f>
        <v/>
      </c>
      <c r="J192" s="145"/>
      <c r="K192" s="145"/>
      <c r="L192" s="145"/>
      <c r="M192" s="145"/>
      <c r="N192" s="145"/>
      <c r="O192" s="145"/>
      <c r="P192" s="145"/>
      <c r="Q192" s="146"/>
      <c r="R192" s="146"/>
    </row>
    <row r="193" spans="1:18" ht="30" customHeight="1" x14ac:dyDescent="0.45">
      <c r="A193" s="243">
        <v>27</v>
      </c>
      <c r="B193" s="144" t="str">
        <f>IF(OR(VLOOKUP(Table131303538[[#This Row],[Ln'#]],Excellent!A$5:AU$54,7,FALSE)="E",VLOOKUP(Table131303538[[#This Row],[Ln'#]],Excellent!A$5:AU$54,7,FALSE)="FEO"),"x","")</f>
        <v/>
      </c>
      <c r="C193" s="144" t="str">
        <f>IF(OR(VLOOKUP(Table131303538[[#This Row],[Ln'#]],Excellent!A$5:AU$54,23,FALSE)="E",VLOOKUP(Table131303538[[#This Row],[Ln'#]],Excellent!A$5:AU$54,23,FALSE)="FEO"),"x","")</f>
        <v/>
      </c>
      <c r="D193" s="48"/>
      <c r="E193" s="48"/>
      <c r="F193" s="48" t="str">
        <f>IF(AND(Table131303538[[#This Row],[Status Container]]="",Table131303538[[#This Row],[Status Exterior]]=""),"",VLOOKUP(Table131303538[[#This Row],[Ln'#]],Excellent!$A$5:$AU$54,3,FALSE))</f>
        <v/>
      </c>
      <c r="G193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3" s="51" t="str">
        <f>IF(Table131303538[[#This Row],[Dog ID]]="","",(VLOOKUP(Table131303538[[#This Row],[Dog ID]],Excellent!C$5:$AU80,45,FALSE)))</f>
        <v/>
      </c>
      <c r="J193" s="145"/>
      <c r="K193" s="145"/>
      <c r="L193" s="145"/>
      <c r="M193" s="145"/>
      <c r="N193" s="145"/>
      <c r="O193" s="145"/>
      <c r="P193" s="145"/>
      <c r="Q193" s="146"/>
      <c r="R193" s="146"/>
    </row>
    <row r="194" spans="1:18" ht="30" customHeight="1" x14ac:dyDescent="0.45">
      <c r="A194" s="243">
        <v>28</v>
      </c>
      <c r="B194" s="144" t="str">
        <f>IF(OR(VLOOKUP(Table131303538[[#This Row],[Ln'#]],Excellent!A$5:AU$54,7,FALSE)="E",VLOOKUP(Table131303538[[#This Row],[Ln'#]],Excellent!A$5:AU$54,7,FALSE)="FEO"),"x","")</f>
        <v/>
      </c>
      <c r="C194" s="144" t="str">
        <f>IF(OR(VLOOKUP(Table131303538[[#This Row],[Ln'#]],Excellent!A$5:AU$54,23,FALSE)="E",VLOOKUP(Table131303538[[#This Row],[Ln'#]],Excellent!A$5:AU$54,23,FALSE)="FEO"),"x","")</f>
        <v/>
      </c>
      <c r="D194" s="48"/>
      <c r="E194" s="48"/>
      <c r="F194" s="48" t="str">
        <f>IF(AND(Table131303538[[#This Row],[Status Container]]="",Table131303538[[#This Row],[Status Exterior]]=""),"",VLOOKUP(Table131303538[[#This Row],[Ln'#]],Excellent!$A$5:$AU$54,3,FALSE))</f>
        <v/>
      </c>
      <c r="G194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4" s="51" t="str">
        <f>IF(Table131303538[[#This Row],[Dog ID]]="","",(VLOOKUP(Table131303538[[#This Row],[Dog ID]],Excellent!C$5:$AU81,45,FALSE)))</f>
        <v/>
      </c>
      <c r="J194" s="145"/>
      <c r="K194" s="145"/>
      <c r="L194" s="145"/>
      <c r="M194" s="145"/>
      <c r="N194" s="145"/>
      <c r="O194" s="145"/>
      <c r="P194" s="145"/>
      <c r="Q194" s="146"/>
      <c r="R194" s="146"/>
    </row>
    <row r="195" spans="1:18" ht="30" customHeight="1" x14ac:dyDescent="0.45">
      <c r="A195" s="243">
        <v>29</v>
      </c>
      <c r="B195" s="144" t="str">
        <f>IF(OR(VLOOKUP(Table131303538[[#This Row],[Ln'#]],Excellent!A$5:AU$54,7,FALSE)="E",VLOOKUP(Table131303538[[#This Row],[Ln'#]],Excellent!A$5:AU$54,7,FALSE)="FEO"),"x","")</f>
        <v/>
      </c>
      <c r="C195" s="144" t="str">
        <f>IF(OR(VLOOKUP(Table131303538[[#This Row],[Ln'#]],Excellent!A$5:AU$54,23,FALSE)="E",VLOOKUP(Table131303538[[#This Row],[Ln'#]],Excellent!A$5:AU$54,23,FALSE)="FEO"),"x","")</f>
        <v/>
      </c>
      <c r="D195" s="48"/>
      <c r="E195" s="48"/>
      <c r="F195" s="48" t="str">
        <f>IF(AND(Table131303538[[#This Row],[Status Container]]="",Table131303538[[#This Row],[Status Exterior]]=""),"",VLOOKUP(Table131303538[[#This Row],[Ln'#]],Excellent!$A$5:$AU$54,3,FALSE))</f>
        <v/>
      </c>
      <c r="G195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5" s="51" t="str">
        <f>IF(Table131303538[[#This Row],[Dog ID]]="","",(VLOOKUP(Table131303538[[#This Row],[Dog ID]],Excellent!C$5:$AU82,45,FALSE)))</f>
        <v/>
      </c>
      <c r="J195" s="145"/>
      <c r="K195" s="145"/>
      <c r="L195" s="145"/>
      <c r="M195" s="145"/>
      <c r="N195" s="145"/>
      <c r="O195" s="145"/>
      <c r="P195" s="145"/>
      <c r="Q195" s="146"/>
      <c r="R195" s="146"/>
    </row>
    <row r="196" spans="1:18" ht="30" customHeight="1" x14ac:dyDescent="0.45">
      <c r="A196" s="243">
        <v>30</v>
      </c>
      <c r="B196" s="144" t="str">
        <f>IF(OR(VLOOKUP(Table131303538[[#This Row],[Ln'#]],Excellent!A$5:AU$54,7,FALSE)="E",VLOOKUP(Table131303538[[#This Row],[Ln'#]],Excellent!A$5:AU$54,7,FALSE)="FEO"),"x","")</f>
        <v/>
      </c>
      <c r="C196" s="144" t="str">
        <f>IF(OR(VLOOKUP(Table131303538[[#This Row],[Ln'#]],Excellent!A$5:AU$54,23,FALSE)="E",VLOOKUP(Table131303538[[#This Row],[Ln'#]],Excellent!A$5:AU$54,23,FALSE)="FEO"),"x","")</f>
        <v/>
      </c>
      <c r="D196" s="48"/>
      <c r="E196" s="48"/>
      <c r="F196" s="48" t="str">
        <f>IF(AND(Table131303538[[#This Row],[Status Container]]="",Table131303538[[#This Row],[Status Exterior]]=""),"",VLOOKUP(Table131303538[[#This Row],[Ln'#]],Excellent!$A$5:$AU$54,3,FALSE))</f>
        <v/>
      </c>
      <c r="G196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6" s="51" t="str">
        <f>IF(Table131303538[[#This Row],[Dog ID]]="","",(VLOOKUP(Table131303538[[#This Row],[Dog ID]],Excellent!C$5:$AU83,45,FALSE)))</f>
        <v/>
      </c>
      <c r="J196" s="145"/>
      <c r="K196" s="145"/>
      <c r="L196" s="145"/>
      <c r="M196" s="145"/>
      <c r="N196" s="145"/>
      <c r="O196" s="145"/>
      <c r="P196" s="145"/>
      <c r="Q196" s="146"/>
      <c r="R196" s="146"/>
    </row>
    <row r="197" spans="1:18" ht="30" customHeight="1" x14ac:dyDescent="0.45">
      <c r="A197" s="243">
        <v>31</v>
      </c>
      <c r="B197" s="144" t="str">
        <f>IF(OR(VLOOKUP(Table131303538[[#This Row],[Ln'#]],Excellent!A$5:AU$54,7,FALSE)="E",VLOOKUP(Table131303538[[#This Row],[Ln'#]],Excellent!A$5:AU$54,7,FALSE)="FEO"),"x","")</f>
        <v/>
      </c>
      <c r="C197" s="144" t="str">
        <f>IF(OR(VLOOKUP(Table131303538[[#This Row],[Ln'#]],Excellent!A$5:AU$54,23,FALSE)="E",VLOOKUP(Table131303538[[#This Row],[Ln'#]],Excellent!A$5:AU$54,23,FALSE)="FEO"),"x","")</f>
        <v/>
      </c>
      <c r="D197" s="48"/>
      <c r="E197" s="48"/>
      <c r="F197" s="48" t="str">
        <f>IF(AND(Table131303538[[#This Row],[Status Container]]="",Table131303538[[#This Row],[Status Exterior]]=""),"",VLOOKUP(Table131303538[[#This Row],[Ln'#]],Excellent!$A$5:$AU$54,3,FALSE))</f>
        <v/>
      </c>
      <c r="G19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7" s="51" t="str">
        <f>IF(Table131303538[[#This Row],[Dog ID]]="","",(VLOOKUP(Table131303538[[#This Row],[Dog ID]],Excellent!C$5:$AU84,45,FALSE)))</f>
        <v/>
      </c>
      <c r="J197" s="145"/>
      <c r="K197" s="145"/>
      <c r="L197" s="145"/>
      <c r="M197" s="145"/>
      <c r="N197" s="145"/>
      <c r="O197" s="145"/>
      <c r="P197" s="145"/>
      <c r="Q197" s="146"/>
      <c r="R197" s="146"/>
    </row>
    <row r="198" spans="1:18" ht="30" customHeight="1" x14ac:dyDescent="0.45">
      <c r="A198" s="243">
        <v>32</v>
      </c>
      <c r="B198" s="144" t="str">
        <f>IF(OR(VLOOKUP(Table131303538[[#This Row],[Ln'#]],Excellent!A$5:AU$54,7,FALSE)="E",VLOOKUP(Table131303538[[#This Row],[Ln'#]],Excellent!A$5:AU$54,7,FALSE)="FEO"),"x","")</f>
        <v/>
      </c>
      <c r="C198" s="144" t="str">
        <f>IF(OR(VLOOKUP(Table131303538[[#This Row],[Ln'#]],Excellent!A$5:AU$54,23,FALSE)="E",VLOOKUP(Table131303538[[#This Row],[Ln'#]],Excellent!A$5:AU$54,23,FALSE)="FEO"),"x","")</f>
        <v/>
      </c>
      <c r="D198" s="48"/>
      <c r="E198" s="48"/>
      <c r="F198" s="48" t="str">
        <f>IF(AND(Table131303538[[#This Row],[Status Container]]="",Table131303538[[#This Row],[Status Exterior]]=""),"",VLOOKUP(Table131303538[[#This Row],[Ln'#]],Excellent!$A$5:$AU$54,3,FALSE))</f>
        <v/>
      </c>
      <c r="G19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8" s="51" t="str">
        <f>IF(Table131303538[[#This Row],[Dog ID]]="","",(VLOOKUP(Table131303538[[#This Row],[Dog ID]],Excellent!C$5:$AU85,45,FALSE)))</f>
        <v/>
      </c>
      <c r="J198" s="145"/>
      <c r="K198" s="145"/>
      <c r="L198" s="145"/>
      <c r="M198" s="145"/>
      <c r="N198" s="145"/>
      <c r="O198" s="145"/>
      <c r="P198" s="145"/>
      <c r="Q198" s="146"/>
      <c r="R198" s="146"/>
    </row>
    <row r="199" spans="1:18" ht="30" customHeight="1" x14ac:dyDescent="0.45">
      <c r="A199" s="243">
        <v>33</v>
      </c>
      <c r="B199" s="144" t="str">
        <f>IF(OR(VLOOKUP(Table131303538[[#This Row],[Ln'#]],Excellent!A$5:AU$54,7,FALSE)="E",VLOOKUP(Table131303538[[#This Row],[Ln'#]],Excellent!A$5:AU$54,7,FALSE)="FEO"),"x","")</f>
        <v/>
      </c>
      <c r="C199" s="144" t="str">
        <f>IF(OR(VLOOKUP(Table131303538[[#This Row],[Ln'#]],Excellent!A$5:AU$54,23,FALSE)="E",VLOOKUP(Table131303538[[#This Row],[Ln'#]],Excellent!A$5:AU$54,23,FALSE)="FEO"),"x","")</f>
        <v/>
      </c>
      <c r="D199" s="48"/>
      <c r="E199" s="48"/>
      <c r="F199" s="48" t="str">
        <f>IF(AND(Table131303538[[#This Row],[Status Container]]="",Table131303538[[#This Row],[Status Exterior]]=""),"",VLOOKUP(Table131303538[[#This Row],[Ln'#]],Excellent!$A$5:$AU$54,3,FALSE))</f>
        <v/>
      </c>
      <c r="G19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9" s="51" t="str">
        <f>IF(Table131303538[[#This Row],[Dog ID]]="","",(VLOOKUP(Table131303538[[#This Row],[Dog ID]],Excellent!C$5:$AU86,45,FALSE)))</f>
        <v/>
      </c>
      <c r="J199" s="145"/>
      <c r="K199" s="145"/>
      <c r="L199" s="145"/>
      <c r="M199" s="145"/>
      <c r="N199" s="145"/>
      <c r="O199" s="145"/>
      <c r="P199" s="145"/>
      <c r="Q199" s="146"/>
      <c r="R199" s="146"/>
    </row>
    <row r="200" spans="1:18" ht="30" customHeight="1" x14ac:dyDescent="0.45">
      <c r="A200" s="243">
        <v>34</v>
      </c>
      <c r="B200" s="144" t="str">
        <f>IF(OR(VLOOKUP(Table131303538[[#This Row],[Ln'#]],Excellent!A$5:AU$54,7,FALSE)="E",VLOOKUP(Table131303538[[#This Row],[Ln'#]],Excellent!A$5:AU$54,7,FALSE)="FEO"),"x","")</f>
        <v/>
      </c>
      <c r="C200" s="144" t="str">
        <f>IF(OR(VLOOKUP(Table131303538[[#This Row],[Ln'#]],Excellent!A$5:AU$54,23,FALSE)="E",VLOOKUP(Table131303538[[#This Row],[Ln'#]],Excellent!A$5:AU$54,23,FALSE)="FEO"),"x","")</f>
        <v/>
      </c>
      <c r="D200" s="48"/>
      <c r="E200" s="48"/>
      <c r="F200" s="48" t="str">
        <f>IF(AND(Table131303538[[#This Row],[Status Container]]="",Table131303538[[#This Row],[Status Exterior]]=""),"",VLOOKUP(Table131303538[[#This Row],[Ln'#]],Excellent!$A$5:$AU$54,3,FALSE))</f>
        <v/>
      </c>
      <c r="G200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0" s="51" t="str">
        <f>IF(Table131303538[[#This Row],[Dog ID]]="","",(VLOOKUP(Table131303538[[#This Row],[Dog ID]],Excellent!C$5:$AU87,45,FALSE)))</f>
        <v/>
      </c>
      <c r="J200" s="145"/>
      <c r="K200" s="145"/>
      <c r="L200" s="145"/>
      <c r="M200" s="145"/>
      <c r="N200" s="145"/>
      <c r="O200" s="145"/>
      <c r="P200" s="145"/>
      <c r="Q200" s="146"/>
      <c r="R200" s="146"/>
    </row>
    <row r="201" spans="1:18" ht="30" customHeight="1" x14ac:dyDescent="0.45">
      <c r="A201" s="243">
        <v>35</v>
      </c>
      <c r="B201" s="144" t="str">
        <f>IF(OR(VLOOKUP(Table131303538[[#This Row],[Ln'#]],Excellent!A$5:AU$54,7,FALSE)="E",VLOOKUP(Table131303538[[#This Row],[Ln'#]],Excellent!A$5:AU$54,7,FALSE)="FEO"),"x","")</f>
        <v/>
      </c>
      <c r="C201" s="144" t="str">
        <f>IF(OR(VLOOKUP(Table131303538[[#This Row],[Ln'#]],Excellent!A$5:AU$54,23,FALSE)="E",VLOOKUP(Table131303538[[#This Row],[Ln'#]],Excellent!A$5:AU$54,23,FALSE)="FEO"),"x","")</f>
        <v/>
      </c>
      <c r="D201" s="48"/>
      <c r="E201" s="48"/>
      <c r="F201" s="48" t="str">
        <f>IF(AND(Table131303538[[#This Row],[Status Container]]="",Table131303538[[#This Row],[Status Exterior]]=""),"",VLOOKUP(Table131303538[[#This Row],[Ln'#]],Excellent!$A$5:$AU$54,3,FALSE))</f>
        <v/>
      </c>
      <c r="G201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1" s="51" t="str">
        <f>IF(Table131303538[[#This Row],[Dog ID]]="","",(VLOOKUP(Table131303538[[#This Row],[Dog ID]],Excellent!C$5:$AU88,45,FALSE)))</f>
        <v/>
      </c>
      <c r="J201" s="145"/>
      <c r="K201" s="145"/>
      <c r="L201" s="145"/>
      <c r="M201" s="145"/>
      <c r="N201" s="145"/>
      <c r="O201" s="145"/>
      <c r="P201" s="145"/>
      <c r="Q201" s="146"/>
      <c r="R201" s="146"/>
    </row>
    <row r="202" spans="1:18" ht="30" customHeight="1" x14ac:dyDescent="0.45">
      <c r="A202" s="243">
        <v>36</v>
      </c>
      <c r="B202" s="144" t="str">
        <f>IF(OR(VLOOKUP(Table131303538[[#This Row],[Ln'#]],Excellent!A$5:AU$54,7,FALSE)="E",VLOOKUP(Table131303538[[#This Row],[Ln'#]],Excellent!A$5:AU$54,7,FALSE)="FEO"),"x","")</f>
        <v/>
      </c>
      <c r="C202" s="144" t="str">
        <f>IF(OR(VLOOKUP(Table131303538[[#This Row],[Ln'#]],Excellent!A$5:AU$54,23,FALSE)="E",VLOOKUP(Table131303538[[#This Row],[Ln'#]],Excellent!A$5:AU$54,23,FALSE)="FEO"),"x","")</f>
        <v/>
      </c>
      <c r="D202" s="48"/>
      <c r="E202" s="48"/>
      <c r="F202" s="48" t="str">
        <f>IF(AND(Table131303538[[#This Row],[Status Container]]="",Table131303538[[#This Row],[Status Exterior]]=""),"",VLOOKUP(Table131303538[[#This Row],[Ln'#]],Excellent!$A$5:$AU$54,3,FALSE))</f>
        <v/>
      </c>
      <c r="G202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2" s="51" t="str">
        <f>IF(Table131303538[[#This Row],[Dog ID]]="","",(VLOOKUP(Table131303538[[#This Row],[Dog ID]],Excellent!C$5:$AU89,45,FALSE)))</f>
        <v/>
      </c>
      <c r="J202" s="145"/>
      <c r="K202" s="145"/>
      <c r="L202" s="145"/>
      <c r="M202" s="145"/>
      <c r="N202" s="145"/>
      <c r="O202" s="145"/>
      <c r="P202" s="145"/>
      <c r="Q202" s="146"/>
      <c r="R202" s="146"/>
    </row>
    <row r="203" spans="1:18" ht="30" customHeight="1" x14ac:dyDescent="0.45">
      <c r="A203" s="243">
        <v>37</v>
      </c>
      <c r="B203" s="144" t="str">
        <f>IF(OR(VLOOKUP(Table131303538[[#This Row],[Ln'#]],Excellent!A$5:AU$54,7,FALSE)="E",VLOOKUP(Table131303538[[#This Row],[Ln'#]],Excellent!A$5:AU$54,7,FALSE)="FEO"),"x","")</f>
        <v/>
      </c>
      <c r="C203" s="144" t="str">
        <f>IF(OR(VLOOKUP(Table131303538[[#This Row],[Ln'#]],Excellent!A$5:AU$54,23,FALSE)="E",VLOOKUP(Table131303538[[#This Row],[Ln'#]],Excellent!A$5:AU$54,23,FALSE)="FEO"),"x","")</f>
        <v/>
      </c>
      <c r="D203" s="48"/>
      <c r="E203" s="48"/>
      <c r="F203" s="48" t="str">
        <f>IF(AND(Table131303538[[#This Row],[Status Container]]="",Table131303538[[#This Row],[Status Exterior]]=""),"",VLOOKUP(Table131303538[[#This Row],[Ln'#]],Excellent!$A$5:$AU$54,3,FALSE))</f>
        <v/>
      </c>
      <c r="G203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3" s="51" t="str">
        <f>IF(Table131303538[[#This Row],[Dog ID]]="","",(VLOOKUP(Table131303538[[#This Row],[Dog ID]],Excellent!C$5:$AU90,45,FALSE)))</f>
        <v/>
      </c>
      <c r="J203" s="145"/>
      <c r="K203" s="145"/>
      <c r="L203" s="145"/>
      <c r="M203" s="145"/>
      <c r="N203" s="145"/>
      <c r="O203" s="145"/>
      <c r="P203" s="145"/>
      <c r="Q203" s="146"/>
      <c r="R203" s="146"/>
    </row>
    <row r="204" spans="1:18" ht="30" customHeight="1" x14ac:dyDescent="0.45">
      <c r="A204" s="243">
        <v>38</v>
      </c>
      <c r="B204" s="144" t="str">
        <f>IF(OR(VLOOKUP(Table131303538[[#This Row],[Ln'#]],Excellent!A$5:AU$54,7,FALSE)="E",VLOOKUP(Table131303538[[#This Row],[Ln'#]],Excellent!A$5:AU$54,7,FALSE)="FEO"),"x","")</f>
        <v/>
      </c>
      <c r="C204" s="144" t="str">
        <f>IF(OR(VLOOKUP(Table131303538[[#This Row],[Ln'#]],Excellent!A$5:AU$54,23,FALSE)="E",VLOOKUP(Table131303538[[#This Row],[Ln'#]],Excellent!A$5:AU$54,23,FALSE)="FEO"),"x","")</f>
        <v/>
      </c>
      <c r="D204" s="48"/>
      <c r="E204" s="48"/>
      <c r="F204" s="48" t="str">
        <f>IF(AND(Table131303538[[#This Row],[Status Container]]="",Table131303538[[#This Row],[Status Exterior]]=""),"",VLOOKUP(Table131303538[[#This Row],[Ln'#]],Excellent!$A$5:$AU$54,3,FALSE))</f>
        <v/>
      </c>
      <c r="G204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4" s="51" t="str">
        <f>IF(Table131303538[[#This Row],[Dog ID]]="","",(VLOOKUP(Table131303538[[#This Row],[Dog ID]],Excellent!C$5:$AU91,45,FALSE)))</f>
        <v/>
      </c>
      <c r="J204" s="145"/>
      <c r="K204" s="145"/>
      <c r="L204" s="145"/>
      <c r="M204" s="145"/>
      <c r="N204" s="145"/>
      <c r="O204" s="145"/>
      <c r="P204" s="145"/>
      <c r="Q204" s="146"/>
      <c r="R204" s="146"/>
    </row>
    <row r="205" spans="1:18" ht="30" customHeight="1" x14ac:dyDescent="0.45">
      <c r="A205" s="243">
        <v>39</v>
      </c>
      <c r="B205" s="144" t="str">
        <f>IF(OR(VLOOKUP(Table131303538[[#This Row],[Ln'#]],Excellent!A$5:AU$54,7,FALSE)="E",VLOOKUP(Table131303538[[#This Row],[Ln'#]],Excellent!A$5:AU$54,7,FALSE)="FEO"),"x","")</f>
        <v/>
      </c>
      <c r="C205" s="144" t="str">
        <f>IF(OR(VLOOKUP(Table131303538[[#This Row],[Ln'#]],Excellent!A$5:AU$54,23,FALSE)="E",VLOOKUP(Table131303538[[#This Row],[Ln'#]],Excellent!A$5:AU$54,23,FALSE)="FEO"),"x","")</f>
        <v/>
      </c>
      <c r="D205" s="48"/>
      <c r="E205" s="48"/>
      <c r="F205" s="48" t="str">
        <f>IF(AND(Table131303538[[#This Row],[Status Container]]="",Table131303538[[#This Row],[Status Exterior]]=""),"",VLOOKUP(Table131303538[[#This Row],[Ln'#]],Excellent!$A$5:$AU$54,3,FALSE))</f>
        <v/>
      </c>
      <c r="G205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5" s="51" t="str">
        <f>IF(Table131303538[[#This Row],[Dog ID]]="","",(VLOOKUP(Table131303538[[#This Row],[Dog ID]],Excellent!C$5:$AU92,45,FALSE)))</f>
        <v/>
      </c>
      <c r="J205" s="145"/>
      <c r="K205" s="145"/>
      <c r="L205" s="145"/>
      <c r="M205" s="145"/>
      <c r="N205" s="145"/>
      <c r="O205" s="145"/>
      <c r="P205" s="145"/>
      <c r="Q205" s="146"/>
      <c r="R205" s="146"/>
    </row>
    <row r="206" spans="1:18" ht="30" customHeight="1" x14ac:dyDescent="0.45">
      <c r="A206" s="243">
        <v>40</v>
      </c>
      <c r="B206" s="144" t="str">
        <f>IF(OR(VLOOKUP(Table131303538[[#This Row],[Ln'#]],Excellent!A$5:AU$54,7,FALSE)="E",VLOOKUP(Table131303538[[#This Row],[Ln'#]],Excellent!A$5:AU$54,7,FALSE)="FEO"),"x","")</f>
        <v/>
      </c>
      <c r="C206" s="144" t="str">
        <f>IF(OR(VLOOKUP(Table131303538[[#This Row],[Ln'#]],Excellent!A$5:AU$54,23,FALSE)="E",VLOOKUP(Table131303538[[#This Row],[Ln'#]],Excellent!A$5:AU$54,23,FALSE)="FEO"),"x","")</f>
        <v/>
      </c>
      <c r="D206" s="48"/>
      <c r="E206" s="48"/>
      <c r="F206" s="48" t="str">
        <f>IF(AND(Table131303538[[#This Row],[Status Container]]="",Table131303538[[#This Row],[Status Exterior]]=""),"",VLOOKUP(Table131303538[[#This Row],[Ln'#]],Excellent!$A$5:$AU$54,3,FALSE))</f>
        <v/>
      </c>
      <c r="G206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6" s="51" t="str">
        <f>IF(Table131303538[[#This Row],[Dog ID]]="","",(VLOOKUP(Table131303538[[#This Row],[Dog ID]],Excellent!C$5:$AU93,45,FALSE)))</f>
        <v/>
      </c>
      <c r="J206" s="145"/>
      <c r="K206" s="145"/>
      <c r="L206" s="145"/>
      <c r="M206" s="145"/>
      <c r="N206" s="145"/>
      <c r="O206" s="145"/>
      <c r="P206" s="145"/>
      <c r="Q206" s="146"/>
      <c r="R206" s="146"/>
    </row>
    <row r="207" spans="1:18" ht="30" customHeight="1" x14ac:dyDescent="0.45">
      <c r="A207" s="243">
        <v>41</v>
      </c>
      <c r="B207" s="144" t="str">
        <f>IF(OR(VLOOKUP(Table131303538[[#This Row],[Ln'#]],Excellent!A$5:AU$54,7,FALSE)="E",VLOOKUP(Table131303538[[#This Row],[Ln'#]],Excellent!A$5:AU$54,7,FALSE)="FEO"),"x","")</f>
        <v/>
      </c>
      <c r="C207" s="144" t="str">
        <f>IF(OR(VLOOKUP(Table131303538[[#This Row],[Ln'#]],Excellent!A$5:AU$54,23,FALSE)="E",VLOOKUP(Table131303538[[#This Row],[Ln'#]],Excellent!A$5:AU$54,23,FALSE)="FEO"),"x","")</f>
        <v/>
      </c>
      <c r="D207" s="48"/>
      <c r="E207" s="48"/>
      <c r="F207" s="48" t="str">
        <f>IF(AND(Table131303538[[#This Row],[Status Container]]="",Table131303538[[#This Row],[Status Exterior]]=""),"",VLOOKUP(Table131303538[[#This Row],[Ln'#]],Excellent!$A$5:$AU$54,3,FALSE))</f>
        <v/>
      </c>
      <c r="G207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7" s="51" t="str">
        <f>IF(Table131303538[[#This Row],[Dog ID]]="","",(VLOOKUP(Table131303538[[#This Row],[Dog ID]],Excellent!C$5:$AU94,45,FALSE)))</f>
        <v/>
      </c>
      <c r="J207" s="145"/>
      <c r="K207" s="145"/>
      <c r="L207" s="145"/>
      <c r="M207" s="145"/>
      <c r="N207" s="145"/>
      <c r="O207" s="145"/>
      <c r="P207" s="145"/>
      <c r="Q207" s="146"/>
      <c r="R207" s="146"/>
    </row>
    <row r="208" spans="1:18" ht="30" customHeight="1" x14ac:dyDescent="0.45">
      <c r="A208" s="243">
        <v>42</v>
      </c>
      <c r="B208" s="144" t="str">
        <f>IF(OR(VLOOKUP(Table131303538[[#This Row],[Ln'#]],Excellent!A$5:AU$54,7,FALSE)="E",VLOOKUP(Table131303538[[#This Row],[Ln'#]],Excellent!A$5:AU$54,7,FALSE)="FEO"),"x","")</f>
        <v/>
      </c>
      <c r="C208" s="144" t="str">
        <f>IF(OR(VLOOKUP(Table131303538[[#This Row],[Ln'#]],Excellent!A$5:AU$54,23,FALSE)="E",VLOOKUP(Table131303538[[#This Row],[Ln'#]],Excellent!A$5:AU$54,23,FALSE)="FEO"),"x","")</f>
        <v/>
      </c>
      <c r="D208" s="48"/>
      <c r="E208" s="48"/>
      <c r="F208" s="48" t="str">
        <f>IF(AND(Table131303538[[#This Row],[Status Container]]="",Table131303538[[#This Row],[Status Exterior]]=""),"",VLOOKUP(Table131303538[[#This Row],[Ln'#]],Excellent!$A$5:$AU$54,3,FALSE))</f>
        <v/>
      </c>
      <c r="G208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8" s="51" t="str">
        <f>IF(Table131303538[[#This Row],[Dog ID]]="","",(VLOOKUP(Table131303538[[#This Row],[Dog ID]],Excellent!C$5:$AU95,45,FALSE)))</f>
        <v/>
      </c>
      <c r="J208" s="145"/>
      <c r="K208" s="145"/>
      <c r="L208" s="145"/>
      <c r="M208" s="145"/>
      <c r="N208" s="145"/>
      <c r="O208" s="145"/>
      <c r="P208" s="145"/>
      <c r="Q208" s="146"/>
      <c r="R208" s="146"/>
    </row>
    <row r="209" spans="1:19" ht="30" customHeight="1" x14ac:dyDescent="0.45">
      <c r="A209" s="243">
        <v>43</v>
      </c>
      <c r="B209" s="144" t="str">
        <f>IF(OR(VLOOKUP(Table131303538[[#This Row],[Ln'#]],Excellent!A$5:AU$54,7,FALSE)="E",VLOOKUP(Table131303538[[#This Row],[Ln'#]],Excellent!A$5:AU$54,7,FALSE)="FEO"),"x","")</f>
        <v/>
      </c>
      <c r="C209" s="144" t="str">
        <f>IF(OR(VLOOKUP(Table131303538[[#This Row],[Ln'#]],Excellent!A$5:AU$54,23,FALSE)="E",VLOOKUP(Table131303538[[#This Row],[Ln'#]],Excellent!A$5:AU$54,23,FALSE)="FEO"),"x","")</f>
        <v/>
      </c>
      <c r="D209" s="48"/>
      <c r="E209" s="48"/>
      <c r="F209" s="48" t="str">
        <f>IF(AND(Table131303538[[#This Row],[Status Container]]="",Table131303538[[#This Row],[Status Exterior]]=""),"",VLOOKUP(Table131303538[[#This Row],[Ln'#]],Excellent!$A$5:$AU$54,3,FALSE))</f>
        <v/>
      </c>
      <c r="G209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9" s="51" t="str">
        <f>IF(Table131303538[[#This Row],[Dog ID]]="","",(VLOOKUP(Table131303538[[#This Row],[Dog ID]],Excellent!C$5:$AU96,45,FALSE)))</f>
        <v/>
      </c>
      <c r="J209" s="145"/>
      <c r="K209" s="145"/>
      <c r="L209" s="145"/>
      <c r="M209" s="145"/>
      <c r="N209" s="145"/>
      <c r="O209" s="145"/>
      <c r="P209" s="145"/>
      <c r="Q209" s="146"/>
      <c r="R209" s="146"/>
    </row>
    <row r="210" spans="1:19" ht="30" customHeight="1" x14ac:dyDescent="0.45">
      <c r="A210" s="243">
        <v>44</v>
      </c>
      <c r="B210" s="144" t="str">
        <f>IF(OR(VLOOKUP(Table131303538[[#This Row],[Ln'#]],Excellent!A$5:AU$54,7,FALSE)="E",VLOOKUP(Table131303538[[#This Row],[Ln'#]],Excellent!A$5:AU$54,7,FALSE)="FEO"),"x","")</f>
        <v/>
      </c>
      <c r="C210" s="144" t="str">
        <f>IF(OR(VLOOKUP(Table131303538[[#This Row],[Ln'#]],Excellent!A$5:AU$54,23,FALSE)="E",VLOOKUP(Table131303538[[#This Row],[Ln'#]],Excellent!A$5:AU$54,23,FALSE)="FEO"),"x","")</f>
        <v/>
      </c>
      <c r="D210" s="48"/>
      <c r="E210" s="48"/>
      <c r="F210" s="48" t="str">
        <f>IF(AND(Table131303538[[#This Row],[Status Container]]="",Table131303538[[#This Row],[Status Exterior]]=""),"",VLOOKUP(Table131303538[[#This Row],[Ln'#]],Excellent!$A$5:$AU$54,3,FALSE))</f>
        <v/>
      </c>
      <c r="G210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0" s="51" t="str">
        <f>IF(Table131303538[[#This Row],[Dog ID]]="","",(VLOOKUP(Table131303538[[#This Row],[Dog ID]],Excellent!C$5:$AU97,45,FALSE)))</f>
        <v/>
      </c>
      <c r="J210" s="145"/>
      <c r="K210" s="145"/>
      <c r="L210" s="145"/>
      <c r="M210" s="145"/>
      <c r="N210" s="145"/>
      <c r="O210" s="145"/>
      <c r="P210" s="145"/>
      <c r="Q210" s="146"/>
      <c r="R210" s="146"/>
    </row>
    <row r="211" spans="1:19" ht="30" customHeight="1" x14ac:dyDescent="0.45">
      <c r="A211" s="243">
        <v>45</v>
      </c>
      <c r="B211" s="144" t="str">
        <f>IF(OR(VLOOKUP(Table131303538[[#This Row],[Ln'#]],Excellent!A$5:AU$54,7,FALSE)="E",VLOOKUP(Table131303538[[#This Row],[Ln'#]],Excellent!A$5:AU$54,7,FALSE)="FEO"),"x","")</f>
        <v/>
      </c>
      <c r="C211" s="144" t="str">
        <f>IF(OR(VLOOKUP(Table131303538[[#This Row],[Ln'#]],Excellent!A$5:AU$54,23,FALSE)="E",VLOOKUP(Table131303538[[#This Row],[Ln'#]],Excellent!A$5:AU$54,23,FALSE)="FEO"),"x","")</f>
        <v/>
      </c>
      <c r="D211" s="48"/>
      <c r="E211" s="48"/>
      <c r="F211" s="48" t="str">
        <f>IF(AND(Table131303538[[#This Row],[Status Container]]="",Table131303538[[#This Row],[Status Exterior]]=""),"",VLOOKUP(Table131303538[[#This Row],[Ln'#]],Excellent!$A$5:$AU$54,3,FALSE))</f>
        <v/>
      </c>
      <c r="G211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1" s="51" t="str">
        <f>IF(Table131303538[[#This Row],[Dog ID]]="","",(VLOOKUP(Table131303538[[#This Row],[Dog ID]],Excellent!C$5:$AU98,45,FALSE)))</f>
        <v/>
      </c>
      <c r="J211" s="145"/>
      <c r="K211" s="145"/>
      <c r="L211" s="145"/>
      <c r="M211" s="145"/>
      <c r="N211" s="145"/>
      <c r="O211" s="145"/>
      <c r="P211" s="145"/>
      <c r="Q211" s="146"/>
      <c r="R211" s="146"/>
    </row>
    <row r="212" spans="1:19" ht="30" customHeight="1" x14ac:dyDescent="0.45">
      <c r="A212" s="243">
        <v>46</v>
      </c>
      <c r="B212" s="144" t="str">
        <f>IF(OR(VLOOKUP(Table131303538[[#This Row],[Ln'#]],Excellent!A$5:AU$54,7,FALSE)="E",VLOOKUP(Table131303538[[#This Row],[Ln'#]],Excellent!A$5:AU$54,7,FALSE)="FEO"),"x","")</f>
        <v/>
      </c>
      <c r="C212" s="144" t="str">
        <f>IF(OR(VLOOKUP(Table131303538[[#This Row],[Ln'#]],Excellent!A$5:AU$54,23,FALSE)="E",VLOOKUP(Table131303538[[#This Row],[Ln'#]],Excellent!A$5:AU$54,23,FALSE)="FEO"),"x","")</f>
        <v/>
      </c>
      <c r="D212" s="48"/>
      <c r="E212" s="48"/>
      <c r="F212" s="48" t="str">
        <f>IF(AND(Table131303538[[#This Row],[Status Container]]="",Table131303538[[#This Row],[Status Exterior]]=""),"",VLOOKUP(Table131303538[[#This Row],[Ln'#]],Excellent!$A$5:$AU$54,3,FALSE))</f>
        <v/>
      </c>
      <c r="G212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2" s="51" t="str">
        <f>IF(Table131303538[[#This Row],[Dog ID]]="","",(VLOOKUP(Table131303538[[#This Row],[Dog ID]],Excellent!C$5:$AU99,45,FALSE)))</f>
        <v/>
      </c>
      <c r="J212" s="145"/>
      <c r="K212" s="145"/>
      <c r="L212" s="145"/>
      <c r="M212" s="145"/>
      <c r="N212" s="145"/>
      <c r="O212" s="145"/>
      <c r="P212" s="145"/>
      <c r="Q212" s="146"/>
      <c r="R212" s="146"/>
    </row>
    <row r="213" spans="1:19" ht="30" customHeight="1" x14ac:dyDescent="0.45">
      <c r="A213" s="243">
        <v>47</v>
      </c>
      <c r="B213" s="144" t="str">
        <f>IF(OR(VLOOKUP(Table131303538[[#This Row],[Ln'#]],Excellent!A$5:AU$54,7,FALSE)="E",VLOOKUP(Table131303538[[#This Row],[Ln'#]],Excellent!A$5:AU$54,7,FALSE)="FEO"),"x","")</f>
        <v/>
      </c>
      <c r="C213" s="144" t="str">
        <f>IF(OR(VLOOKUP(Table131303538[[#This Row],[Ln'#]],Excellent!A$5:AU$54,23,FALSE)="E",VLOOKUP(Table131303538[[#This Row],[Ln'#]],Excellent!A$5:AU$54,23,FALSE)="FEO"),"x","")</f>
        <v/>
      </c>
      <c r="D213" s="48"/>
      <c r="E213" s="48"/>
      <c r="F213" s="48" t="str">
        <f>IF(AND(Table131303538[[#This Row],[Status Container]]="",Table131303538[[#This Row],[Status Exterior]]=""),"",VLOOKUP(Table131303538[[#This Row],[Ln'#]],Excellent!$A$5:$AU$54,3,FALSE))</f>
        <v/>
      </c>
      <c r="G213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3" s="51" t="str">
        <f>IF(Table131303538[[#This Row],[Dog ID]]="","",(VLOOKUP(Table131303538[[#This Row],[Dog ID]],Excellent!C$5:$AU100,45,FALSE)))</f>
        <v/>
      </c>
      <c r="J213" s="145"/>
      <c r="K213" s="145"/>
      <c r="L213" s="145"/>
      <c r="M213" s="145"/>
      <c r="N213" s="145"/>
      <c r="O213" s="145"/>
      <c r="P213" s="145"/>
      <c r="Q213" s="146"/>
      <c r="R213" s="146"/>
    </row>
    <row r="214" spans="1:19" ht="30" customHeight="1" x14ac:dyDescent="0.45">
      <c r="A214" s="243">
        <v>48</v>
      </c>
      <c r="B214" s="144" t="str">
        <f>IF(OR(VLOOKUP(Table131303538[[#This Row],[Ln'#]],Excellent!A$5:AU$54,7,FALSE)="E",VLOOKUP(Table131303538[[#This Row],[Ln'#]],Excellent!A$5:AU$54,7,FALSE)="FEO"),"x","")</f>
        <v/>
      </c>
      <c r="C214" s="144" t="str">
        <f>IF(OR(VLOOKUP(Table131303538[[#This Row],[Ln'#]],Excellent!A$5:AU$54,23,FALSE)="E",VLOOKUP(Table131303538[[#This Row],[Ln'#]],Excellent!A$5:AU$54,23,FALSE)="FEO"),"x","")</f>
        <v/>
      </c>
      <c r="D214" s="48"/>
      <c r="E214" s="48"/>
      <c r="F214" s="48" t="str">
        <f>IF(AND(Table131303538[[#This Row],[Status Container]]="",Table131303538[[#This Row],[Status Exterior]]=""),"",VLOOKUP(Table131303538[[#This Row],[Ln'#]],Excellent!$A$5:$AU$54,3,FALSE))</f>
        <v/>
      </c>
      <c r="G214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4" s="51" t="str">
        <f>IF(Table131303538[[#This Row],[Dog ID]]="","",(VLOOKUP(Table131303538[[#This Row],[Dog ID]],Excellent!C$5:$AU101,45,FALSE)))</f>
        <v/>
      </c>
      <c r="J214" s="145"/>
      <c r="K214" s="145"/>
      <c r="L214" s="145"/>
      <c r="M214" s="145"/>
      <c r="N214" s="145"/>
      <c r="O214" s="145"/>
      <c r="P214" s="145"/>
      <c r="Q214" s="146"/>
      <c r="R214" s="146"/>
    </row>
    <row r="215" spans="1:19" ht="30" customHeight="1" x14ac:dyDescent="0.45">
      <c r="A215" s="243">
        <v>49</v>
      </c>
      <c r="B215" s="144" t="str">
        <f>IF(OR(VLOOKUP(Table131303538[[#This Row],[Ln'#]],Excellent!A$5:AU$54,7,FALSE)="E",VLOOKUP(Table131303538[[#This Row],[Ln'#]],Excellent!A$5:AU$54,7,FALSE)="FEO"),"x","")</f>
        <v/>
      </c>
      <c r="C215" s="144" t="str">
        <f>IF(OR(VLOOKUP(Table131303538[[#This Row],[Ln'#]],Excellent!A$5:AU$54,23,FALSE)="E",VLOOKUP(Table131303538[[#This Row],[Ln'#]],Excellent!A$5:AU$54,23,FALSE)="FEO"),"x","")</f>
        <v/>
      </c>
      <c r="D215" s="48"/>
      <c r="E215" s="48"/>
      <c r="F215" s="48" t="str">
        <f>IF(AND(Table131303538[[#This Row],[Status Container]]="",Table131303538[[#This Row],[Status Exterior]]=""),"",VLOOKUP(Table131303538[[#This Row],[Ln'#]],Excellent!$A$5:$AU$54,3,FALSE))</f>
        <v/>
      </c>
      <c r="G215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5" s="51" t="str">
        <f>IF(Table131303538[[#This Row],[Dog ID]]="","",(VLOOKUP(Table131303538[[#This Row],[Dog ID]],Excellent!C$5:$AU102,45,FALSE)))</f>
        <v/>
      </c>
      <c r="J215" s="145"/>
      <c r="K215" s="145"/>
      <c r="L215" s="145"/>
      <c r="M215" s="145"/>
      <c r="N215" s="145"/>
      <c r="O215" s="145"/>
      <c r="P215" s="145"/>
      <c r="Q215" s="146"/>
      <c r="R215" s="146"/>
    </row>
    <row r="216" spans="1:19" ht="30" customHeight="1" x14ac:dyDescent="0.45">
      <c r="A216" s="243">
        <v>50</v>
      </c>
      <c r="B216" s="144" t="str">
        <f>IF(OR(VLOOKUP(Table131303538[[#This Row],[Ln'#]],Excellent!A$5:AU$54,7,FALSE)="E",VLOOKUP(Table131303538[[#This Row],[Ln'#]],Excellent!A$5:AU$54,7,FALSE)="FEO"),"x","")</f>
        <v/>
      </c>
      <c r="C216" s="144" t="str">
        <f>IF(OR(VLOOKUP(Table131303538[[#This Row],[Ln'#]],Excellent!A$5:AU$54,23,FALSE)="E",VLOOKUP(Table131303538[[#This Row],[Ln'#]],Excellent!A$5:AU$54,23,FALSE)="FEO"),"x","")</f>
        <v/>
      </c>
      <c r="D216" s="48"/>
      <c r="E216" s="48"/>
      <c r="F216" s="48" t="str">
        <f>IF(AND(Table131303538[[#This Row],[Status Container]]="",Table131303538[[#This Row],[Status Exterior]]=""),"",VLOOKUP(Table131303538[[#This Row],[Ln'#]],Excellent!$A$5:$AU$54,3,FALSE))</f>
        <v/>
      </c>
      <c r="G216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6" s="51" t="str">
        <f>IF(Table131303538[[#This Row],[Dog ID]]="","",(VLOOKUP(Table131303538[[#This Row],[Dog ID]],Excellent!C$5:$AU103,45,FALSE)))</f>
        <v/>
      </c>
      <c r="J216" s="145"/>
      <c r="K216" s="145"/>
      <c r="L216" s="145"/>
      <c r="M216" s="145"/>
      <c r="N216" s="145"/>
      <c r="O216" s="145"/>
      <c r="P216" s="145"/>
      <c r="Q216" s="146"/>
      <c r="R216" s="146"/>
    </row>
    <row r="217" spans="1:19" ht="30" customHeight="1" x14ac:dyDescent="0.4">
      <c r="A217" s="48"/>
      <c r="B217" s="48"/>
      <c r="C217" s="48"/>
      <c r="D217" s="48" t="s">
        <v>1141</v>
      </c>
      <c r="E217" s="48">
        <f>SUBTOTAL(102,Table131303538[Running Order])</f>
        <v>0</v>
      </c>
      <c r="F217" s="48"/>
      <c r="G217" s="51"/>
      <c r="H217" s="51"/>
      <c r="J217" s="145"/>
      <c r="K217" s="145"/>
      <c r="L217" s="145"/>
      <c r="M217" s="145"/>
      <c r="N217" s="145"/>
      <c r="O217" s="145"/>
      <c r="P217" s="145"/>
      <c r="Q217" s="146"/>
      <c r="R217" s="146"/>
    </row>
    <row r="218" spans="1:19" ht="30" customHeight="1" x14ac:dyDescent="0.4">
      <c r="A218" s="48"/>
      <c r="B218" s="48"/>
      <c r="C218" s="48"/>
      <c r="D218" s="48"/>
      <c r="E218" s="48"/>
      <c r="F218" s="48"/>
      <c r="G218" s="48"/>
      <c r="H218" s="51"/>
      <c r="I218" s="51"/>
      <c r="K218" s="145"/>
      <c r="L218" s="145"/>
      <c r="M218" s="145"/>
      <c r="N218" s="145"/>
      <c r="O218" s="145"/>
      <c r="P218" s="145"/>
      <c r="Q218" s="145"/>
      <c r="R218" s="146"/>
      <c r="S218" s="146"/>
    </row>
    <row r="220" spans="1:19" ht="30" customHeight="1" x14ac:dyDescent="0.4">
      <c r="A220" s="402" t="s">
        <v>1143</v>
      </c>
      <c r="B220" s="402"/>
      <c r="C220" s="43"/>
      <c r="D220" s="403" t="s">
        <v>1187</v>
      </c>
      <c r="E220" s="403"/>
      <c r="F220" s="403"/>
      <c r="G220" s="403"/>
      <c r="H220" s="403"/>
      <c r="I220" s="403"/>
    </row>
    <row r="221" spans="1:19" ht="54" customHeight="1" x14ac:dyDescent="0.4">
      <c r="A221" s="67" t="s">
        <v>605</v>
      </c>
      <c r="B221" s="67" t="s">
        <v>1139</v>
      </c>
      <c r="C221" s="68" t="s">
        <v>12407</v>
      </c>
      <c r="D221" s="67" t="s">
        <v>1142</v>
      </c>
      <c r="E221" s="67" t="s">
        <v>1135</v>
      </c>
      <c r="F221" s="67" t="s">
        <v>1136</v>
      </c>
      <c r="G221" s="69" t="s">
        <v>1207</v>
      </c>
      <c r="H221" s="69" t="s">
        <v>1137</v>
      </c>
      <c r="J221" s="71"/>
      <c r="K221" s="71"/>
      <c r="L221" s="71"/>
      <c r="M221" s="71"/>
      <c r="N221" s="71"/>
      <c r="O221" s="71"/>
      <c r="P221" s="71"/>
      <c r="Q221" s="71"/>
      <c r="R221" s="71"/>
    </row>
    <row r="222" spans="1:19" ht="30" customHeight="1" x14ac:dyDescent="0.4">
      <c r="A222" s="49">
        <v>1</v>
      </c>
      <c r="B222" s="49" t="str">
        <f>IF(OR(VLOOKUP(Table1710128[[#This Row],[Ln'#]],Excellent!A$5:AW$54,23,FALSE)="E",VLOOKUP(Table1710128[[#This Row],[Ln'#]],Excellent!A$5:AU$54,23,FALSE)="FEO"),"Entered or FEO","Not Entered")</f>
        <v>Not Entered</v>
      </c>
      <c r="C222" s="50"/>
      <c r="D222" s="48"/>
      <c r="E222" s="48"/>
      <c r="F222" s="48" t="str">
        <f>IF(Table1710128[[#This Row],[Status]]="Not Entered","",VLOOKUP(Table1710128[[#This Row],[Ln'#]],Excellent!$A$5:$AW$54,3,FALSE))</f>
        <v/>
      </c>
      <c r="G222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2" s="51" t="str">
        <f>IF(Table1710128[[#This Row],[Status]]="Not Entered","",VLOOKUP(Table1710128[[#This Row],[Ln'#]],Excellent!$A$5:$AW$54,47,FALSE))</f>
        <v/>
      </c>
    </row>
    <row r="223" spans="1:19" ht="30" customHeight="1" x14ac:dyDescent="0.4">
      <c r="A223" s="49">
        <v>2</v>
      </c>
      <c r="B223" s="243" t="str">
        <f>IF(OR(VLOOKUP(Table1710128[[#This Row],[Ln'#]],Excellent!A$5:AW$54,23,FALSE)="E",VLOOKUP(Table1710128[[#This Row],[Ln'#]],Excellent!A$5:AU$54,23,FALSE)="FEO"),"Entered or FEO","Not Entered")</f>
        <v>Not Entered</v>
      </c>
      <c r="C223" s="244"/>
      <c r="D223" s="245"/>
      <c r="E223" s="245"/>
      <c r="F223" s="245" t="str">
        <f>IF(Table1710128[[#This Row],[Status]]="Not Entered","",VLOOKUP(Table1710128[[#This Row],[Ln'#]],Excellent!$A$5:$AW$54,3,FALSE))</f>
        <v/>
      </c>
      <c r="G223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3" s="247" t="str">
        <f>IF(Table1710128[[#This Row],[Status]]="Not Entered","",VLOOKUP(Table1710128[[#This Row],[Ln'#]],Excellent!$A$5:$AW$54,47,FALSE))</f>
        <v/>
      </c>
    </row>
    <row r="224" spans="1:19" ht="30" customHeight="1" x14ac:dyDescent="0.4">
      <c r="A224" s="49">
        <v>3</v>
      </c>
      <c r="B224" s="243" t="str">
        <f>IF(OR(VLOOKUP(Table1710128[[#This Row],[Ln'#]],Excellent!A$5:AW$54,23,FALSE)="E",VLOOKUP(Table1710128[[#This Row],[Ln'#]],Excellent!A$5:AU$54,23,FALSE)="FEO"),"Entered or FEO","Not Entered")</f>
        <v>Not Entered</v>
      </c>
      <c r="C224" s="244"/>
      <c r="D224" s="245"/>
      <c r="E224" s="245"/>
      <c r="F224" s="245" t="str">
        <f>IF(Table1710128[[#This Row],[Status]]="Not Entered","",VLOOKUP(Table1710128[[#This Row],[Ln'#]],Excellent!$A$5:$AW$54,3,FALSE))</f>
        <v/>
      </c>
      <c r="G224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4" s="247" t="str">
        <f>IF(Table1710128[[#This Row],[Status]]="Not Entered","",VLOOKUP(Table1710128[[#This Row],[Ln'#]],Excellent!$A$5:$AW$54,47,FALSE))</f>
        <v/>
      </c>
    </row>
    <row r="225" spans="1:8" ht="30" customHeight="1" x14ac:dyDescent="0.4">
      <c r="A225" s="49">
        <v>4</v>
      </c>
      <c r="B225" s="243" t="str">
        <f>IF(OR(VLOOKUP(Table1710128[[#This Row],[Ln'#]],Excellent!A$5:AW$54,23,FALSE)="E",VLOOKUP(Table1710128[[#This Row],[Ln'#]],Excellent!A$5:AU$54,23,FALSE)="FEO"),"Entered or FEO","Not Entered")</f>
        <v>Not Entered</v>
      </c>
      <c r="C225" s="244"/>
      <c r="D225" s="245"/>
      <c r="E225" s="245"/>
      <c r="F225" s="245" t="str">
        <f>IF(Table1710128[[#This Row],[Status]]="Not Entered","",VLOOKUP(Table1710128[[#This Row],[Ln'#]],Excellent!$A$5:$AW$54,3,FALSE))</f>
        <v/>
      </c>
      <c r="G225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5" s="247" t="str">
        <f>IF(Table1710128[[#This Row],[Status]]="Not Entered","",VLOOKUP(Table1710128[[#This Row],[Ln'#]],Excellent!$A$5:$AW$54,47,FALSE))</f>
        <v/>
      </c>
    </row>
    <row r="226" spans="1:8" ht="30" customHeight="1" x14ac:dyDescent="0.4">
      <c r="A226" s="49">
        <v>5</v>
      </c>
      <c r="B226" s="243" t="str">
        <f>IF(OR(VLOOKUP(Table1710128[[#This Row],[Ln'#]],Excellent!A$5:AW$54,23,FALSE)="E",VLOOKUP(Table1710128[[#This Row],[Ln'#]],Excellent!A$5:AU$54,23,FALSE)="FEO"),"Entered or FEO","Not Entered")</f>
        <v>Not Entered</v>
      </c>
      <c r="C226" s="244"/>
      <c r="D226" s="245"/>
      <c r="E226" s="245"/>
      <c r="F226" s="245" t="str">
        <f>IF(Table1710128[[#This Row],[Status]]="Not Entered","",VLOOKUP(Table1710128[[#This Row],[Ln'#]],Excellent!$A$5:$AW$54,3,FALSE))</f>
        <v/>
      </c>
      <c r="G226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6" s="247" t="str">
        <f>IF(Table1710128[[#This Row],[Status]]="Not Entered","",VLOOKUP(Table1710128[[#This Row],[Ln'#]],Excellent!$A$5:$AW$54,47,FALSE))</f>
        <v/>
      </c>
    </row>
    <row r="227" spans="1:8" ht="30" customHeight="1" x14ac:dyDescent="0.4">
      <c r="A227" s="49">
        <v>6</v>
      </c>
      <c r="B227" s="243" t="str">
        <f>IF(OR(VLOOKUP(Table1710128[[#This Row],[Ln'#]],Excellent!A$5:AW$54,23,FALSE)="E",VLOOKUP(Table1710128[[#This Row],[Ln'#]],Excellent!A$5:AU$54,23,FALSE)="FEO"),"Entered or FEO","Not Entered")</f>
        <v>Not Entered</v>
      </c>
      <c r="C227" s="244"/>
      <c r="D227" s="245"/>
      <c r="E227" s="245"/>
      <c r="F227" s="245" t="str">
        <f>IF(Table1710128[[#This Row],[Status]]="Not Entered","",VLOOKUP(Table1710128[[#This Row],[Ln'#]],Excellent!$A$5:$AW$54,3,FALSE))</f>
        <v/>
      </c>
      <c r="G227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7" s="247" t="str">
        <f>IF(Table1710128[[#This Row],[Status]]="Not Entered","",VLOOKUP(Table1710128[[#This Row],[Ln'#]],Excellent!$A$5:$AW$54,47,FALSE))</f>
        <v/>
      </c>
    </row>
    <row r="228" spans="1:8" ht="30" customHeight="1" x14ac:dyDescent="0.4">
      <c r="A228" s="49">
        <v>7</v>
      </c>
      <c r="B228" s="243" t="str">
        <f>IF(OR(VLOOKUP(Table1710128[[#This Row],[Ln'#]],Excellent!A$5:AW$54,23,FALSE)="E",VLOOKUP(Table1710128[[#This Row],[Ln'#]],Excellent!A$5:AU$54,23,FALSE)="FEO"),"Entered or FEO","Not Entered")</f>
        <v>Not Entered</v>
      </c>
      <c r="C228" s="244"/>
      <c r="D228" s="245"/>
      <c r="E228" s="245"/>
      <c r="F228" s="245" t="str">
        <f>IF(Table1710128[[#This Row],[Status]]="Not Entered","",VLOOKUP(Table1710128[[#This Row],[Ln'#]],Excellent!$A$5:$AW$54,3,FALSE))</f>
        <v/>
      </c>
      <c r="G228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8" s="247" t="str">
        <f>IF(Table1710128[[#This Row],[Status]]="Not Entered","",VLOOKUP(Table1710128[[#This Row],[Ln'#]],Excellent!$A$5:$AW$54,47,FALSE))</f>
        <v/>
      </c>
    </row>
    <row r="229" spans="1:8" ht="30" customHeight="1" x14ac:dyDescent="0.4">
      <c r="A229" s="49">
        <v>8</v>
      </c>
      <c r="B229" s="243" t="str">
        <f>IF(OR(VLOOKUP(Table1710128[[#This Row],[Ln'#]],Excellent!A$5:AW$54,23,FALSE)="E",VLOOKUP(Table1710128[[#This Row],[Ln'#]],Excellent!A$5:AU$54,23,FALSE)="FEO"),"Entered or FEO","Not Entered")</f>
        <v>Not Entered</v>
      </c>
      <c r="C229" s="244"/>
      <c r="D229" s="245"/>
      <c r="E229" s="245"/>
      <c r="F229" s="245" t="str">
        <f>IF(Table1710128[[#This Row],[Status]]="Not Entered","",VLOOKUP(Table1710128[[#This Row],[Ln'#]],Excellent!$A$5:$AW$54,3,FALSE))</f>
        <v/>
      </c>
      <c r="G229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9" s="247" t="str">
        <f>IF(Table1710128[[#This Row],[Status]]="Not Entered","",VLOOKUP(Table1710128[[#This Row],[Ln'#]],Excellent!$A$5:$AW$54,47,FALSE))</f>
        <v/>
      </c>
    </row>
    <row r="230" spans="1:8" ht="30" customHeight="1" x14ac:dyDescent="0.4">
      <c r="A230" s="49">
        <v>9</v>
      </c>
      <c r="B230" s="243" t="str">
        <f>IF(OR(VLOOKUP(Table1710128[[#This Row],[Ln'#]],Excellent!A$5:AW$54,23,FALSE)="E",VLOOKUP(Table1710128[[#This Row],[Ln'#]],Excellent!A$5:AU$54,23,FALSE)="FEO"),"Entered or FEO","Not Entered")</f>
        <v>Not Entered</v>
      </c>
      <c r="C230" s="244"/>
      <c r="D230" s="245"/>
      <c r="E230" s="245"/>
      <c r="F230" s="245" t="str">
        <f>IF(Table1710128[[#This Row],[Status]]="Not Entered","",VLOOKUP(Table1710128[[#This Row],[Ln'#]],Excellent!$A$5:$AW$54,3,FALSE))</f>
        <v/>
      </c>
      <c r="G230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0" s="247" t="str">
        <f>IF(Table1710128[[#This Row],[Status]]="Not Entered","",VLOOKUP(Table1710128[[#This Row],[Ln'#]],Excellent!$A$5:$AW$54,47,FALSE))</f>
        <v/>
      </c>
    </row>
    <row r="231" spans="1:8" ht="30" customHeight="1" x14ac:dyDescent="0.4">
      <c r="A231" s="49">
        <v>10</v>
      </c>
      <c r="B231" s="243" t="str">
        <f>IF(OR(VLOOKUP(Table1710128[[#This Row],[Ln'#]],Excellent!A$5:AW$54,23,FALSE)="E",VLOOKUP(Table1710128[[#This Row],[Ln'#]],Excellent!A$5:AU$54,23,FALSE)="FEO"),"Entered or FEO","Not Entered")</f>
        <v>Not Entered</v>
      </c>
      <c r="C231" s="244"/>
      <c r="D231" s="245"/>
      <c r="E231" s="245"/>
      <c r="F231" s="245" t="str">
        <f>IF(Table1710128[[#This Row],[Status]]="Not Entered","",VLOOKUP(Table1710128[[#This Row],[Ln'#]],Excellent!$A$5:$AW$54,3,FALSE))</f>
        <v/>
      </c>
      <c r="G231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1" s="247" t="str">
        <f>IF(Table1710128[[#This Row],[Status]]="Not Entered","",VLOOKUP(Table1710128[[#This Row],[Ln'#]],Excellent!$A$5:$AW$54,47,FALSE))</f>
        <v/>
      </c>
    </row>
    <row r="232" spans="1:8" ht="30" customHeight="1" x14ac:dyDescent="0.4">
      <c r="A232" s="49">
        <v>11</v>
      </c>
      <c r="B232" s="243" t="str">
        <f>IF(OR(VLOOKUP(Table1710128[[#This Row],[Ln'#]],Excellent!A$5:AW$54,23,FALSE)="E",VLOOKUP(Table1710128[[#This Row],[Ln'#]],Excellent!A$5:AU$54,23,FALSE)="FEO"),"Entered or FEO","Not Entered")</f>
        <v>Not Entered</v>
      </c>
      <c r="C232" s="244"/>
      <c r="D232" s="245"/>
      <c r="E232" s="245"/>
      <c r="F232" s="245" t="str">
        <f>IF(Table1710128[[#This Row],[Status]]="Not Entered","",VLOOKUP(Table1710128[[#This Row],[Ln'#]],Excellent!$A$5:$AW$54,3,FALSE))</f>
        <v/>
      </c>
      <c r="G232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2" s="247" t="str">
        <f>IF(Table1710128[[#This Row],[Status]]="Not Entered","",VLOOKUP(Table1710128[[#This Row],[Ln'#]],Excellent!$A$5:$AW$54,47,FALSE))</f>
        <v/>
      </c>
    </row>
    <row r="233" spans="1:8" ht="30" customHeight="1" x14ac:dyDescent="0.4">
      <c r="A233" s="49">
        <v>12</v>
      </c>
      <c r="B233" s="243" t="str">
        <f>IF(OR(VLOOKUP(Table1710128[[#This Row],[Ln'#]],Excellent!A$5:AW$54,23,FALSE)="E",VLOOKUP(Table1710128[[#This Row],[Ln'#]],Excellent!A$5:AU$54,23,FALSE)="FEO"),"Entered or FEO","Not Entered")</f>
        <v>Not Entered</v>
      </c>
      <c r="C233" s="244"/>
      <c r="D233" s="245"/>
      <c r="E233" s="245"/>
      <c r="F233" s="245" t="str">
        <f>IF(Table1710128[[#This Row],[Status]]="Not Entered","",VLOOKUP(Table1710128[[#This Row],[Ln'#]],Excellent!$A$5:$AW$54,3,FALSE))</f>
        <v/>
      </c>
      <c r="G233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3" s="247" t="str">
        <f>IF(Table1710128[[#This Row],[Status]]="Not Entered","",VLOOKUP(Table1710128[[#This Row],[Ln'#]],Excellent!$A$5:$AW$54,47,FALSE))</f>
        <v/>
      </c>
    </row>
    <row r="234" spans="1:8" ht="30" customHeight="1" x14ac:dyDescent="0.4">
      <c r="A234" s="49">
        <v>13</v>
      </c>
      <c r="B234" s="243" t="str">
        <f>IF(OR(VLOOKUP(Table1710128[[#This Row],[Ln'#]],Excellent!A$5:AW$54,23,FALSE)="E",VLOOKUP(Table1710128[[#This Row],[Ln'#]],Excellent!A$5:AU$54,23,FALSE)="FEO"),"Entered or FEO","Not Entered")</f>
        <v>Not Entered</v>
      </c>
      <c r="C234" s="244"/>
      <c r="D234" s="245"/>
      <c r="E234" s="245"/>
      <c r="F234" s="245" t="str">
        <f>IF(Table1710128[[#This Row],[Status]]="Not Entered","",VLOOKUP(Table1710128[[#This Row],[Ln'#]],Excellent!$A$5:$AW$54,3,FALSE))</f>
        <v/>
      </c>
      <c r="G234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4" s="247" t="str">
        <f>IF(Table1710128[[#This Row],[Status]]="Not Entered","",VLOOKUP(Table1710128[[#This Row],[Ln'#]],Excellent!$A$5:$AW$54,47,FALSE))</f>
        <v/>
      </c>
    </row>
    <row r="235" spans="1:8" ht="30" customHeight="1" x14ac:dyDescent="0.4">
      <c r="A235" s="49">
        <v>14</v>
      </c>
      <c r="B235" s="243" t="str">
        <f>IF(OR(VLOOKUP(Table1710128[[#This Row],[Ln'#]],Excellent!A$5:AW$54,23,FALSE)="E",VLOOKUP(Table1710128[[#This Row],[Ln'#]],Excellent!A$5:AU$54,23,FALSE)="FEO"),"Entered or FEO","Not Entered")</f>
        <v>Not Entered</v>
      </c>
      <c r="C235" s="244"/>
      <c r="D235" s="245"/>
      <c r="E235" s="245"/>
      <c r="F235" s="245" t="str">
        <f>IF(Table1710128[[#This Row],[Status]]="Not Entered","",VLOOKUP(Table1710128[[#This Row],[Ln'#]],Excellent!$A$5:$AW$54,3,FALSE))</f>
        <v/>
      </c>
      <c r="G235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5" s="247" t="str">
        <f>IF(Table1710128[[#This Row],[Status]]="Not Entered","",VLOOKUP(Table1710128[[#This Row],[Ln'#]],Excellent!$A$5:$AW$54,47,FALSE))</f>
        <v/>
      </c>
    </row>
    <row r="236" spans="1:8" ht="30" customHeight="1" x14ac:dyDescent="0.4">
      <c r="A236" s="49">
        <v>15</v>
      </c>
      <c r="B236" s="243" t="str">
        <f>IF(OR(VLOOKUP(Table1710128[[#This Row],[Ln'#]],Excellent!A$5:AW$54,23,FALSE)="E",VLOOKUP(Table1710128[[#This Row],[Ln'#]],Excellent!A$5:AU$54,23,FALSE)="FEO"),"Entered or FEO","Not Entered")</f>
        <v>Not Entered</v>
      </c>
      <c r="C236" s="244"/>
      <c r="D236" s="245"/>
      <c r="E236" s="245"/>
      <c r="F236" s="245" t="str">
        <f>IF(Table1710128[[#This Row],[Status]]="Not Entered","",VLOOKUP(Table1710128[[#This Row],[Ln'#]],Excellent!$A$5:$AW$54,3,FALSE))</f>
        <v/>
      </c>
      <c r="G236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6" s="247" t="str">
        <f>IF(Table1710128[[#This Row],[Status]]="Not Entered","",VLOOKUP(Table1710128[[#This Row],[Ln'#]],Excellent!$A$5:$AW$54,47,FALSE))</f>
        <v/>
      </c>
    </row>
    <row r="237" spans="1:8" ht="30" customHeight="1" x14ac:dyDescent="0.4">
      <c r="A237" s="49">
        <v>16</v>
      </c>
      <c r="B237" s="243" t="str">
        <f>IF(OR(VLOOKUP(Table1710128[[#This Row],[Ln'#]],Excellent!A$5:AW$54,23,FALSE)="E",VLOOKUP(Table1710128[[#This Row],[Ln'#]],Excellent!A$5:AU$54,23,FALSE)="FEO"),"Entered or FEO","Not Entered")</f>
        <v>Not Entered</v>
      </c>
      <c r="C237" s="244"/>
      <c r="D237" s="245"/>
      <c r="E237" s="245"/>
      <c r="F237" s="245" t="str">
        <f>IF(Table1710128[[#This Row],[Status]]="Not Entered","",VLOOKUP(Table1710128[[#This Row],[Ln'#]],Excellent!$A$5:$AW$54,3,FALSE))</f>
        <v/>
      </c>
      <c r="G237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7" s="247" t="str">
        <f>IF(Table1710128[[#This Row],[Status]]="Not Entered","",VLOOKUP(Table1710128[[#This Row],[Ln'#]],Excellent!$A$5:$AW$54,47,FALSE))</f>
        <v/>
      </c>
    </row>
    <row r="238" spans="1:8" ht="30" customHeight="1" x14ac:dyDescent="0.4">
      <c r="A238" s="49">
        <v>17</v>
      </c>
      <c r="B238" s="243" t="str">
        <f>IF(OR(VLOOKUP(Table1710128[[#This Row],[Ln'#]],Excellent!A$5:AW$54,23,FALSE)="E",VLOOKUP(Table1710128[[#This Row],[Ln'#]],Excellent!A$5:AU$54,23,FALSE)="FEO"),"Entered or FEO","Not Entered")</f>
        <v>Not Entered</v>
      </c>
      <c r="C238" s="244"/>
      <c r="D238" s="245"/>
      <c r="E238" s="245"/>
      <c r="F238" s="245" t="str">
        <f>IF(Table1710128[[#This Row],[Status]]="Not Entered","",VLOOKUP(Table1710128[[#This Row],[Ln'#]],Excellent!$A$5:$AW$54,3,FALSE))</f>
        <v/>
      </c>
      <c r="G238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8" s="247" t="str">
        <f>IF(Table1710128[[#This Row],[Status]]="Not Entered","",VLOOKUP(Table1710128[[#This Row],[Ln'#]],Excellent!$A$5:$AW$54,47,FALSE))</f>
        <v/>
      </c>
    </row>
    <row r="239" spans="1:8" ht="30" customHeight="1" x14ac:dyDescent="0.4">
      <c r="A239" s="49">
        <v>18</v>
      </c>
      <c r="B239" s="243" t="str">
        <f>IF(OR(VLOOKUP(Table1710128[[#This Row],[Ln'#]],Excellent!A$5:AW$54,23,FALSE)="E",VLOOKUP(Table1710128[[#This Row],[Ln'#]],Excellent!A$5:AU$54,23,FALSE)="FEO"),"Entered or FEO","Not Entered")</f>
        <v>Not Entered</v>
      </c>
      <c r="C239" s="244"/>
      <c r="D239" s="245"/>
      <c r="E239" s="245"/>
      <c r="F239" s="245" t="str">
        <f>IF(Table1710128[[#This Row],[Status]]="Not Entered","",VLOOKUP(Table1710128[[#This Row],[Ln'#]],Excellent!$A$5:$AW$54,3,FALSE))</f>
        <v/>
      </c>
      <c r="G239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9" s="247" t="str">
        <f>IF(Table1710128[[#This Row],[Status]]="Not Entered","",VLOOKUP(Table1710128[[#This Row],[Ln'#]],Excellent!$A$5:$AW$54,47,FALSE))</f>
        <v/>
      </c>
    </row>
    <row r="240" spans="1:8" ht="30" customHeight="1" x14ac:dyDescent="0.4">
      <c r="A240" s="49">
        <v>19</v>
      </c>
      <c r="B240" s="243" t="str">
        <f>IF(OR(VLOOKUP(Table1710128[[#This Row],[Ln'#]],Excellent!A$5:AW$54,23,FALSE)="E",VLOOKUP(Table1710128[[#This Row],[Ln'#]],Excellent!A$5:AU$54,23,FALSE)="FEO"),"Entered or FEO","Not Entered")</f>
        <v>Not Entered</v>
      </c>
      <c r="C240" s="244"/>
      <c r="D240" s="245"/>
      <c r="E240" s="245"/>
      <c r="F240" s="245" t="str">
        <f>IF(Table1710128[[#This Row],[Status]]="Not Entered","",VLOOKUP(Table1710128[[#This Row],[Ln'#]],Excellent!$A$5:$AW$54,3,FALSE))</f>
        <v/>
      </c>
      <c r="G240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0" s="247" t="str">
        <f>IF(Table1710128[[#This Row],[Status]]="Not Entered","",VLOOKUP(Table1710128[[#This Row],[Ln'#]],Excellent!$A$5:$AW$54,47,FALSE))</f>
        <v/>
      </c>
    </row>
    <row r="241" spans="1:8" ht="30" customHeight="1" x14ac:dyDescent="0.4">
      <c r="A241" s="49">
        <v>20</v>
      </c>
      <c r="B241" s="243" t="str">
        <f>IF(OR(VLOOKUP(Table1710128[[#This Row],[Ln'#]],Excellent!A$5:AW$54,23,FALSE)="E",VLOOKUP(Table1710128[[#This Row],[Ln'#]],Excellent!A$5:AU$54,23,FALSE)="FEO"),"Entered or FEO","Not Entered")</f>
        <v>Not Entered</v>
      </c>
      <c r="C241" s="244"/>
      <c r="D241" s="245"/>
      <c r="E241" s="245"/>
      <c r="F241" s="245" t="str">
        <f>IF(Table1710128[[#This Row],[Status]]="Not Entered","",VLOOKUP(Table1710128[[#This Row],[Ln'#]],Excellent!$A$5:$AW$54,3,FALSE))</f>
        <v/>
      </c>
      <c r="G241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1" s="247" t="str">
        <f>IF(Table1710128[[#This Row],[Status]]="Not Entered","",VLOOKUP(Table1710128[[#This Row],[Ln'#]],Excellent!$A$5:$AW$54,47,FALSE))</f>
        <v/>
      </c>
    </row>
    <row r="242" spans="1:8" ht="30" customHeight="1" x14ac:dyDescent="0.4">
      <c r="A242" s="49">
        <v>21</v>
      </c>
      <c r="B242" s="243" t="str">
        <f>IF(OR(VLOOKUP(Table1710128[[#This Row],[Ln'#]],Excellent!A$5:AW$54,23,FALSE)="E",VLOOKUP(Table1710128[[#This Row],[Ln'#]],Excellent!A$5:AU$54,23,FALSE)="FEO"),"Entered or FEO","Not Entered")</f>
        <v>Not Entered</v>
      </c>
      <c r="C242" s="244"/>
      <c r="D242" s="245"/>
      <c r="E242" s="245"/>
      <c r="F242" s="245" t="str">
        <f>IF(Table1710128[[#This Row],[Status]]="Not Entered","",VLOOKUP(Table1710128[[#This Row],[Ln'#]],Excellent!$A$5:$AW$54,3,FALSE))</f>
        <v/>
      </c>
      <c r="G242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2" s="247" t="str">
        <f>IF(Table1710128[[#This Row],[Status]]="Not Entered","",VLOOKUP(Table1710128[[#This Row],[Ln'#]],Excellent!$A$5:$AW$54,47,FALSE))</f>
        <v/>
      </c>
    </row>
    <row r="243" spans="1:8" ht="30" customHeight="1" x14ac:dyDescent="0.4">
      <c r="A243" s="243">
        <v>22</v>
      </c>
      <c r="B243" s="49" t="str">
        <f>IF(OR(VLOOKUP(Table1710128[[#This Row],[Ln'#]],Excellent!A$5:AW$54,23,FALSE)="E",VLOOKUP(Table1710128[[#This Row],[Ln'#]],Excellent!A$5:AU$54,23,FALSE)="FEO"),"Entered or FEO","Not Entered")</f>
        <v>Not Entered</v>
      </c>
      <c r="C243" s="50"/>
      <c r="D243" s="48"/>
      <c r="E243" s="48"/>
      <c r="F243" s="48" t="str">
        <f>IF(Table1710128[[#This Row],[Status]]="Not Entered","",VLOOKUP(Table1710128[[#This Row],[Ln'#]],Excellent!$A$5:$AW$54,3,FALSE))</f>
        <v/>
      </c>
      <c r="G243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3" s="51" t="str">
        <f>IF(Table1710128[[#This Row],[Status]]="Not Entered","",VLOOKUP(Table1710128[[#This Row],[Ln'#]],Excellent!$A$5:$AW$54,47,FALSE))</f>
        <v/>
      </c>
    </row>
    <row r="244" spans="1:8" ht="30" customHeight="1" x14ac:dyDescent="0.4">
      <c r="A244" s="243">
        <v>23</v>
      </c>
      <c r="B244" s="49" t="str">
        <f>IF(OR(VLOOKUP(Table1710128[[#This Row],[Ln'#]],Excellent!A$5:AW$54,23,FALSE)="E",VLOOKUP(Table1710128[[#This Row],[Ln'#]],Excellent!A$5:AU$54,23,FALSE)="FEO"),"Entered or FEO","Not Entered")</f>
        <v>Not Entered</v>
      </c>
      <c r="C244" s="50"/>
      <c r="D244" s="48"/>
      <c r="E244" s="48"/>
      <c r="F244" s="48" t="str">
        <f>IF(Table1710128[[#This Row],[Status]]="Not Entered","",VLOOKUP(Table1710128[[#This Row],[Ln'#]],Excellent!$A$5:$AW$54,3,FALSE))</f>
        <v/>
      </c>
      <c r="G244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4" s="51" t="str">
        <f>IF(Table1710128[[#This Row],[Status]]="Not Entered","",VLOOKUP(Table1710128[[#This Row],[Ln'#]],Excellent!$A$5:$AW$54,47,FALSE))</f>
        <v/>
      </c>
    </row>
    <row r="245" spans="1:8" ht="30" customHeight="1" x14ac:dyDescent="0.4">
      <c r="A245" s="243">
        <v>24</v>
      </c>
      <c r="B245" s="49" t="str">
        <f>IF(OR(VLOOKUP(Table1710128[[#This Row],[Ln'#]],Excellent!A$5:AW$54,23,FALSE)="E",VLOOKUP(Table1710128[[#This Row],[Ln'#]],Excellent!A$5:AU$54,23,FALSE)="FEO"),"Entered or FEO","Not Entered")</f>
        <v>Not Entered</v>
      </c>
      <c r="C245" s="50"/>
      <c r="D245" s="48"/>
      <c r="E245" s="48"/>
      <c r="F245" s="48" t="str">
        <f>IF(Table1710128[[#This Row],[Status]]="Not Entered","",VLOOKUP(Table1710128[[#This Row],[Ln'#]],Excellent!$A$5:$AW$54,3,FALSE))</f>
        <v/>
      </c>
      <c r="G245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5" s="51" t="str">
        <f>IF(Table1710128[[#This Row],[Status]]="Not Entered","",VLOOKUP(Table1710128[[#This Row],[Ln'#]],Excellent!$A$5:$AW$54,47,FALSE))</f>
        <v/>
      </c>
    </row>
    <row r="246" spans="1:8" ht="30" customHeight="1" x14ac:dyDescent="0.4">
      <c r="A246" s="243">
        <v>25</v>
      </c>
      <c r="B246" s="49" t="str">
        <f>IF(OR(VLOOKUP(Table1710128[[#This Row],[Ln'#]],Excellent!A$5:AW$54,23,FALSE)="E",VLOOKUP(Table1710128[[#This Row],[Ln'#]],Excellent!A$5:AU$54,23,FALSE)="FEO"),"Entered or FEO","Not Entered")</f>
        <v>Not Entered</v>
      </c>
      <c r="C246" s="50"/>
      <c r="D246" s="48"/>
      <c r="E246" s="48"/>
      <c r="F246" s="48" t="str">
        <f>IF(Table1710128[[#This Row],[Status]]="Not Entered","",VLOOKUP(Table1710128[[#This Row],[Ln'#]],Excellent!$A$5:$AW$54,3,FALSE))</f>
        <v/>
      </c>
      <c r="G246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6" s="51" t="str">
        <f>IF(Table1710128[[#This Row],[Status]]="Not Entered","",VLOOKUP(Table1710128[[#This Row],[Ln'#]],Excellent!$A$5:$AW$54,47,FALSE))</f>
        <v/>
      </c>
    </row>
    <row r="247" spans="1:8" ht="30" customHeight="1" x14ac:dyDescent="0.4">
      <c r="A247" s="243">
        <v>26</v>
      </c>
      <c r="B247" s="49" t="str">
        <f>IF(OR(VLOOKUP(Table1710128[[#This Row],[Ln'#]],Excellent!A$5:AW$54,23,FALSE)="E",VLOOKUP(Table1710128[[#This Row],[Ln'#]],Excellent!A$5:AU$54,23,FALSE)="FEO"),"Entered or FEO","Not Entered")</f>
        <v>Not Entered</v>
      </c>
      <c r="C247" s="50"/>
      <c r="D247" s="48"/>
      <c r="E247" s="48"/>
      <c r="F247" s="48" t="str">
        <f>IF(Table1710128[[#This Row],[Status]]="Not Entered","",VLOOKUP(Table1710128[[#This Row],[Ln'#]],Excellent!$A$5:$AW$54,3,FALSE))</f>
        <v/>
      </c>
      <c r="G247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7" s="51" t="str">
        <f>IF(Table1710128[[#This Row],[Status]]="Not Entered","",VLOOKUP(Table1710128[[#This Row],[Ln'#]],Excellent!$A$5:$AW$54,47,FALSE))</f>
        <v/>
      </c>
    </row>
    <row r="248" spans="1:8" ht="30" customHeight="1" x14ac:dyDescent="0.4">
      <c r="A248" s="243">
        <v>27</v>
      </c>
      <c r="B248" s="49" t="str">
        <f>IF(OR(VLOOKUP(Table1710128[[#This Row],[Ln'#]],Excellent!A$5:AW$54,23,FALSE)="E",VLOOKUP(Table1710128[[#This Row],[Ln'#]],Excellent!A$5:AU$54,23,FALSE)="FEO"),"Entered or FEO","Not Entered")</f>
        <v>Not Entered</v>
      </c>
      <c r="C248" s="50"/>
      <c r="D248" s="48"/>
      <c r="E248" s="48"/>
      <c r="F248" s="48" t="str">
        <f>IF(Table1710128[[#This Row],[Status]]="Not Entered","",VLOOKUP(Table1710128[[#This Row],[Ln'#]],Excellent!$A$5:$AW$54,3,FALSE))</f>
        <v/>
      </c>
      <c r="G248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8" s="51" t="str">
        <f>IF(Table1710128[[#This Row],[Status]]="Not Entered","",VLOOKUP(Table1710128[[#This Row],[Ln'#]],Excellent!$A$5:$AW$54,47,FALSE))</f>
        <v/>
      </c>
    </row>
    <row r="249" spans="1:8" ht="30" customHeight="1" x14ac:dyDescent="0.4">
      <c r="A249" s="243">
        <v>28</v>
      </c>
      <c r="B249" s="49" t="str">
        <f>IF(OR(VLOOKUP(Table1710128[[#This Row],[Ln'#]],Excellent!A$5:AW$54,23,FALSE)="E",VLOOKUP(Table1710128[[#This Row],[Ln'#]],Excellent!A$5:AU$54,23,FALSE)="FEO"),"Entered or FEO","Not Entered")</f>
        <v>Not Entered</v>
      </c>
      <c r="C249" s="50"/>
      <c r="D249" s="48"/>
      <c r="E249" s="48"/>
      <c r="F249" s="48" t="str">
        <f>IF(Table1710128[[#This Row],[Status]]="Not Entered","",VLOOKUP(Table1710128[[#This Row],[Ln'#]],Excellent!$A$5:$AW$54,3,FALSE))</f>
        <v/>
      </c>
      <c r="G249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9" s="51" t="str">
        <f>IF(Table1710128[[#This Row],[Status]]="Not Entered","",VLOOKUP(Table1710128[[#This Row],[Ln'#]],Excellent!$A$5:$AW$54,47,FALSE))</f>
        <v/>
      </c>
    </row>
    <row r="250" spans="1:8" ht="30" customHeight="1" x14ac:dyDescent="0.4">
      <c r="A250" s="243">
        <v>29</v>
      </c>
      <c r="B250" s="49" t="str">
        <f>IF(OR(VLOOKUP(Table1710128[[#This Row],[Ln'#]],Excellent!A$5:AW$54,23,FALSE)="E",VLOOKUP(Table1710128[[#This Row],[Ln'#]],Excellent!A$5:AU$54,23,FALSE)="FEO"),"Entered or FEO","Not Entered")</f>
        <v>Not Entered</v>
      </c>
      <c r="C250" s="50"/>
      <c r="D250" s="48"/>
      <c r="E250" s="48"/>
      <c r="F250" s="48" t="str">
        <f>IF(Table1710128[[#This Row],[Status]]="Not Entered","",VLOOKUP(Table1710128[[#This Row],[Ln'#]],Excellent!$A$5:$AW$54,3,FALSE))</f>
        <v/>
      </c>
      <c r="G250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0" s="51" t="str">
        <f>IF(Table1710128[[#This Row],[Status]]="Not Entered","",VLOOKUP(Table1710128[[#This Row],[Ln'#]],Excellent!$A$5:$AW$54,47,FALSE))</f>
        <v/>
      </c>
    </row>
    <row r="251" spans="1:8" ht="30" customHeight="1" x14ac:dyDescent="0.4">
      <c r="A251" s="243">
        <v>30</v>
      </c>
      <c r="B251" s="49" t="str">
        <f>IF(OR(VLOOKUP(Table1710128[[#This Row],[Ln'#]],Excellent!A$5:AW$54,23,FALSE)="E",VLOOKUP(Table1710128[[#This Row],[Ln'#]],Excellent!A$5:AU$54,23,FALSE)="FEO"),"Entered or FEO","Not Entered")</f>
        <v>Not Entered</v>
      </c>
      <c r="C251" s="50"/>
      <c r="D251" s="48"/>
      <c r="E251" s="48"/>
      <c r="F251" s="48" t="str">
        <f>IF(Table1710128[[#This Row],[Status]]="Not Entered","",VLOOKUP(Table1710128[[#This Row],[Ln'#]],Excellent!$A$5:$AW$54,3,FALSE))</f>
        <v/>
      </c>
      <c r="G251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1" s="51" t="str">
        <f>IF(Table1710128[[#This Row],[Status]]="Not Entered","",VLOOKUP(Table1710128[[#This Row],[Ln'#]],Excellent!$A$5:$AW$54,47,FALSE))</f>
        <v/>
      </c>
    </row>
    <row r="252" spans="1:8" ht="30" customHeight="1" x14ac:dyDescent="0.4">
      <c r="A252" s="243">
        <v>31</v>
      </c>
      <c r="B252" s="49" t="str">
        <f>IF(OR(VLOOKUP(Table1710128[[#This Row],[Ln'#]],Excellent!A$5:AW$54,23,FALSE)="E",VLOOKUP(Table1710128[[#This Row],[Ln'#]],Excellent!A$5:AU$54,23,FALSE)="FEO"),"Entered or FEO","Not Entered")</f>
        <v>Not Entered</v>
      </c>
      <c r="C252" s="50"/>
      <c r="D252" s="48"/>
      <c r="E252" s="48"/>
      <c r="F252" s="48" t="str">
        <f>IF(Table1710128[[#This Row],[Status]]="Not Entered","",VLOOKUP(Table1710128[[#This Row],[Ln'#]],Excellent!$A$5:$AW$54,3,FALSE))</f>
        <v/>
      </c>
      <c r="G252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2" s="51" t="str">
        <f>IF(Table1710128[[#This Row],[Status]]="Not Entered","",VLOOKUP(Table1710128[[#This Row],[Ln'#]],Excellent!$A$5:$AW$54,47,FALSE))</f>
        <v/>
      </c>
    </row>
    <row r="253" spans="1:8" ht="30" customHeight="1" x14ac:dyDescent="0.4">
      <c r="A253" s="243">
        <v>32</v>
      </c>
      <c r="B253" s="49" t="str">
        <f>IF(OR(VLOOKUP(Table1710128[[#This Row],[Ln'#]],Excellent!A$5:AW$54,23,FALSE)="E",VLOOKUP(Table1710128[[#This Row],[Ln'#]],Excellent!A$5:AU$54,23,FALSE)="FEO"),"Entered or FEO","Not Entered")</f>
        <v>Not Entered</v>
      </c>
      <c r="C253" s="50"/>
      <c r="D253" s="48"/>
      <c r="E253" s="48"/>
      <c r="F253" s="48" t="str">
        <f>IF(Table1710128[[#This Row],[Status]]="Not Entered","",VLOOKUP(Table1710128[[#This Row],[Ln'#]],Excellent!$A$5:$AW$54,3,FALSE))</f>
        <v/>
      </c>
      <c r="G253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3" s="51" t="str">
        <f>IF(Table1710128[[#This Row],[Status]]="Not Entered","",VLOOKUP(Table1710128[[#This Row],[Ln'#]],Excellent!$A$5:$AW$54,47,FALSE))</f>
        <v/>
      </c>
    </row>
    <row r="254" spans="1:8" ht="30" customHeight="1" x14ac:dyDescent="0.4">
      <c r="A254" s="243">
        <v>33</v>
      </c>
      <c r="B254" s="49" t="str">
        <f>IF(OR(VLOOKUP(Table1710128[[#This Row],[Ln'#]],Excellent!A$5:AW$54,23,FALSE)="E",VLOOKUP(Table1710128[[#This Row],[Ln'#]],Excellent!A$5:AU$54,23,FALSE)="FEO"),"Entered or FEO","Not Entered")</f>
        <v>Not Entered</v>
      </c>
      <c r="C254" s="50"/>
      <c r="D254" s="48"/>
      <c r="E254" s="48"/>
      <c r="F254" s="48" t="str">
        <f>IF(Table1710128[[#This Row],[Status]]="Not Entered","",VLOOKUP(Table1710128[[#This Row],[Ln'#]],Excellent!$A$5:$AW$54,3,FALSE))</f>
        <v/>
      </c>
      <c r="G254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4" s="51" t="str">
        <f>IF(Table1710128[[#This Row],[Status]]="Not Entered","",VLOOKUP(Table1710128[[#This Row],[Ln'#]],Excellent!$A$5:$AW$54,47,FALSE))</f>
        <v/>
      </c>
    </row>
    <row r="255" spans="1:8" ht="30" customHeight="1" x14ac:dyDescent="0.4">
      <c r="A255" s="243">
        <v>34</v>
      </c>
      <c r="B255" s="49" t="str">
        <f>IF(OR(VLOOKUP(Table1710128[[#This Row],[Ln'#]],Excellent!A$5:AW$54,23,FALSE)="E",VLOOKUP(Table1710128[[#This Row],[Ln'#]],Excellent!A$5:AU$54,23,FALSE)="FEO"),"Entered or FEO","Not Entered")</f>
        <v>Not Entered</v>
      </c>
      <c r="C255" s="50"/>
      <c r="D255" s="48"/>
      <c r="E255" s="48"/>
      <c r="F255" s="48" t="str">
        <f>IF(Table1710128[[#This Row],[Status]]="Not Entered","",VLOOKUP(Table1710128[[#This Row],[Ln'#]],Excellent!$A$5:$AW$54,3,FALSE))</f>
        <v/>
      </c>
      <c r="G255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5" s="51" t="str">
        <f>IF(Table1710128[[#This Row],[Status]]="Not Entered","",VLOOKUP(Table1710128[[#This Row],[Ln'#]],Excellent!$A$5:$AW$54,47,FALSE))</f>
        <v/>
      </c>
    </row>
    <row r="256" spans="1:8" ht="30" customHeight="1" x14ac:dyDescent="0.4">
      <c r="A256" s="243">
        <v>35</v>
      </c>
      <c r="B256" s="49" t="str">
        <f>IF(OR(VLOOKUP(Table1710128[[#This Row],[Ln'#]],Excellent!A$5:AW$54,23,FALSE)="E",VLOOKUP(Table1710128[[#This Row],[Ln'#]],Excellent!A$5:AU$54,23,FALSE)="FEO"),"Entered or FEO","Not Entered")</f>
        <v>Not Entered</v>
      </c>
      <c r="C256" s="50"/>
      <c r="D256" s="48"/>
      <c r="E256" s="48"/>
      <c r="F256" s="48" t="str">
        <f>IF(Table1710128[[#This Row],[Status]]="Not Entered","",VLOOKUP(Table1710128[[#This Row],[Ln'#]],Excellent!$A$5:$AW$54,3,FALSE))</f>
        <v/>
      </c>
      <c r="G256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6" s="51" t="str">
        <f>IF(Table1710128[[#This Row],[Status]]="Not Entered","",VLOOKUP(Table1710128[[#This Row],[Ln'#]],Excellent!$A$5:$AW$54,47,FALSE))</f>
        <v/>
      </c>
    </row>
    <row r="257" spans="1:8" ht="30" customHeight="1" x14ac:dyDescent="0.4">
      <c r="A257" s="243">
        <v>36</v>
      </c>
      <c r="B257" s="49" t="str">
        <f>IF(OR(VLOOKUP(Table1710128[[#This Row],[Ln'#]],Excellent!A$5:AW$54,23,FALSE)="E",VLOOKUP(Table1710128[[#This Row],[Ln'#]],Excellent!A$5:AU$54,23,FALSE)="FEO"),"Entered or FEO","Not Entered")</f>
        <v>Not Entered</v>
      </c>
      <c r="C257" s="50"/>
      <c r="D257" s="48"/>
      <c r="E257" s="48"/>
      <c r="F257" s="48" t="str">
        <f>IF(Table1710128[[#This Row],[Status]]="Not Entered","",VLOOKUP(Table1710128[[#This Row],[Ln'#]],Excellent!$A$5:$AW$54,3,FALSE))</f>
        <v/>
      </c>
      <c r="G257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7" s="51" t="str">
        <f>IF(Table1710128[[#This Row],[Status]]="Not Entered","",VLOOKUP(Table1710128[[#This Row],[Ln'#]],Excellent!$A$5:$AW$54,47,FALSE))</f>
        <v/>
      </c>
    </row>
    <row r="258" spans="1:8" ht="30" customHeight="1" x14ac:dyDescent="0.4">
      <c r="A258" s="243">
        <v>37</v>
      </c>
      <c r="B258" s="49" t="str">
        <f>IF(OR(VLOOKUP(Table1710128[[#This Row],[Ln'#]],Excellent!A$5:AW$54,23,FALSE)="E",VLOOKUP(Table1710128[[#This Row],[Ln'#]],Excellent!A$5:AU$54,23,FALSE)="FEO"),"Entered or FEO","Not Entered")</f>
        <v>Not Entered</v>
      </c>
      <c r="C258" s="50"/>
      <c r="D258" s="48"/>
      <c r="E258" s="48"/>
      <c r="F258" s="48" t="str">
        <f>IF(Table1710128[[#This Row],[Status]]="Not Entered","",VLOOKUP(Table1710128[[#This Row],[Ln'#]],Excellent!$A$5:$AW$54,3,FALSE))</f>
        <v/>
      </c>
      <c r="G258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8" s="51" t="str">
        <f>IF(Table1710128[[#This Row],[Status]]="Not Entered","",VLOOKUP(Table1710128[[#This Row],[Ln'#]],Excellent!$A$5:$AW$54,47,FALSE))</f>
        <v/>
      </c>
    </row>
    <row r="259" spans="1:8" ht="30" customHeight="1" x14ac:dyDescent="0.4">
      <c r="A259" s="243">
        <v>38</v>
      </c>
      <c r="B259" s="49" t="str">
        <f>IF(OR(VLOOKUP(Table1710128[[#This Row],[Ln'#]],Excellent!A$5:AW$54,23,FALSE)="E",VLOOKUP(Table1710128[[#This Row],[Ln'#]],Excellent!A$5:AU$54,23,FALSE)="FEO"),"Entered or FEO","Not Entered")</f>
        <v>Not Entered</v>
      </c>
      <c r="C259" s="50"/>
      <c r="D259" s="48"/>
      <c r="E259" s="48"/>
      <c r="F259" s="48" t="str">
        <f>IF(Table1710128[[#This Row],[Status]]="Not Entered","",VLOOKUP(Table1710128[[#This Row],[Ln'#]],Excellent!$A$5:$AW$54,3,FALSE))</f>
        <v/>
      </c>
      <c r="G259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9" s="51" t="str">
        <f>IF(Table1710128[[#This Row],[Status]]="Not Entered","",VLOOKUP(Table1710128[[#This Row],[Ln'#]],Excellent!$A$5:$AW$54,47,FALSE))</f>
        <v/>
      </c>
    </row>
    <row r="260" spans="1:8" ht="30" customHeight="1" x14ac:dyDescent="0.4">
      <c r="A260" s="243">
        <v>39</v>
      </c>
      <c r="B260" s="49" t="str">
        <f>IF(OR(VLOOKUP(Table1710128[[#This Row],[Ln'#]],Excellent!A$5:AW$54,23,FALSE)="E",VLOOKUP(Table1710128[[#This Row],[Ln'#]],Excellent!A$5:AU$54,23,FALSE)="FEO"),"Entered or FEO","Not Entered")</f>
        <v>Not Entered</v>
      </c>
      <c r="C260" s="50"/>
      <c r="D260" s="48"/>
      <c r="E260" s="48"/>
      <c r="F260" s="48" t="str">
        <f>IF(Table1710128[[#This Row],[Status]]="Not Entered","",VLOOKUP(Table1710128[[#This Row],[Ln'#]],Excellent!$A$5:$AW$54,3,FALSE))</f>
        <v/>
      </c>
      <c r="G260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0" s="51" t="str">
        <f>IF(Table1710128[[#This Row],[Status]]="Not Entered","",VLOOKUP(Table1710128[[#This Row],[Ln'#]],Excellent!$A$5:$AW$54,47,FALSE))</f>
        <v/>
      </c>
    </row>
    <row r="261" spans="1:8" ht="30" customHeight="1" x14ac:dyDescent="0.4">
      <c r="A261" s="243">
        <v>40</v>
      </c>
      <c r="B261" s="49" t="str">
        <f>IF(OR(VLOOKUP(Table1710128[[#This Row],[Ln'#]],Excellent!A$5:AW$54,23,FALSE)="E",VLOOKUP(Table1710128[[#This Row],[Ln'#]],Excellent!A$5:AU$54,23,FALSE)="FEO"),"Entered or FEO","Not Entered")</f>
        <v>Not Entered</v>
      </c>
      <c r="C261" s="50"/>
      <c r="D261" s="48"/>
      <c r="E261" s="48"/>
      <c r="F261" s="48" t="str">
        <f>IF(Table1710128[[#This Row],[Status]]="Not Entered","",VLOOKUP(Table1710128[[#This Row],[Ln'#]],Excellent!$A$5:$AW$54,3,FALSE))</f>
        <v/>
      </c>
      <c r="G261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1" s="51" t="str">
        <f>IF(Table1710128[[#This Row],[Status]]="Not Entered","",VLOOKUP(Table1710128[[#This Row],[Ln'#]],Excellent!$A$5:$AW$54,47,FALSE))</f>
        <v/>
      </c>
    </row>
    <row r="262" spans="1:8" ht="30" customHeight="1" x14ac:dyDescent="0.4">
      <c r="A262" s="243">
        <v>41</v>
      </c>
      <c r="B262" s="49" t="str">
        <f>IF(OR(VLOOKUP(Table1710128[[#This Row],[Ln'#]],Excellent!A$5:AW$54,23,FALSE)="E",VLOOKUP(Table1710128[[#This Row],[Ln'#]],Excellent!A$5:AU$54,23,FALSE)="FEO"),"Entered or FEO","Not Entered")</f>
        <v>Not Entered</v>
      </c>
      <c r="C262" s="50"/>
      <c r="D262" s="48"/>
      <c r="E262" s="48"/>
      <c r="F262" s="48" t="str">
        <f>IF(Table1710128[[#This Row],[Status]]="Not Entered","",VLOOKUP(Table1710128[[#This Row],[Ln'#]],Excellent!$A$5:$AW$54,3,FALSE))</f>
        <v/>
      </c>
      <c r="G262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2" s="51" t="str">
        <f>IF(Table1710128[[#This Row],[Status]]="Not Entered","",VLOOKUP(Table1710128[[#This Row],[Ln'#]],Excellent!$A$5:$AW$54,47,FALSE))</f>
        <v/>
      </c>
    </row>
    <row r="263" spans="1:8" ht="30" customHeight="1" x14ac:dyDescent="0.4">
      <c r="A263" s="243">
        <v>42</v>
      </c>
      <c r="B263" s="49" t="str">
        <f>IF(OR(VLOOKUP(Table1710128[[#This Row],[Ln'#]],Excellent!A$5:AW$54,23,FALSE)="E",VLOOKUP(Table1710128[[#This Row],[Ln'#]],Excellent!A$5:AU$54,23,FALSE)="FEO"),"Entered or FEO","Not Entered")</f>
        <v>Not Entered</v>
      </c>
      <c r="C263" s="50"/>
      <c r="D263" s="48"/>
      <c r="E263" s="48"/>
      <c r="F263" s="48" t="str">
        <f>IF(Table1710128[[#This Row],[Status]]="Not Entered","",VLOOKUP(Table1710128[[#This Row],[Ln'#]],Excellent!$A$5:$AW$54,3,FALSE))</f>
        <v/>
      </c>
      <c r="G263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3" s="51" t="str">
        <f>IF(Table1710128[[#This Row],[Status]]="Not Entered","",VLOOKUP(Table1710128[[#This Row],[Ln'#]],Excellent!$A$5:$AW$54,47,FALSE))</f>
        <v/>
      </c>
    </row>
    <row r="264" spans="1:8" ht="30" customHeight="1" x14ac:dyDescent="0.4">
      <c r="A264" s="243">
        <v>43</v>
      </c>
      <c r="B264" s="49" t="str">
        <f>IF(OR(VLOOKUP(Table1710128[[#This Row],[Ln'#]],Excellent!A$5:AW$54,23,FALSE)="E",VLOOKUP(Table1710128[[#This Row],[Ln'#]],Excellent!A$5:AU$54,23,FALSE)="FEO"),"Entered or FEO","Not Entered")</f>
        <v>Not Entered</v>
      </c>
      <c r="C264" s="50"/>
      <c r="D264" s="48"/>
      <c r="E264" s="48"/>
      <c r="F264" s="48" t="str">
        <f>IF(Table1710128[[#This Row],[Status]]="Not Entered","",VLOOKUP(Table1710128[[#This Row],[Ln'#]],Excellent!$A$5:$AW$54,3,FALSE))</f>
        <v/>
      </c>
      <c r="G264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4" s="51" t="str">
        <f>IF(Table1710128[[#This Row],[Status]]="Not Entered","",VLOOKUP(Table1710128[[#This Row],[Ln'#]],Excellent!$A$5:$AW$54,47,FALSE))</f>
        <v/>
      </c>
    </row>
    <row r="265" spans="1:8" ht="30" customHeight="1" x14ac:dyDescent="0.4">
      <c r="A265" s="243">
        <v>44</v>
      </c>
      <c r="B265" s="49" t="str">
        <f>IF(OR(VLOOKUP(Table1710128[[#This Row],[Ln'#]],Excellent!A$5:AW$54,23,FALSE)="E",VLOOKUP(Table1710128[[#This Row],[Ln'#]],Excellent!A$5:AU$54,23,FALSE)="FEO"),"Entered or FEO","Not Entered")</f>
        <v>Not Entered</v>
      </c>
      <c r="C265" s="50"/>
      <c r="D265" s="48"/>
      <c r="E265" s="48"/>
      <c r="F265" s="48" t="str">
        <f>IF(Table1710128[[#This Row],[Status]]="Not Entered","",VLOOKUP(Table1710128[[#This Row],[Ln'#]],Excellent!$A$5:$AW$54,3,FALSE))</f>
        <v/>
      </c>
      <c r="G265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5" s="51" t="str">
        <f>IF(Table1710128[[#This Row],[Status]]="Not Entered","",VLOOKUP(Table1710128[[#This Row],[Ln'#]],Excellent!$A$5:$AW$54,47,FALSE))</f>
        <v/>
      </c>
    </row>
    <row r="266" spans="1:8" ht="30" customHeight="1" x14ac:dyDescent="0.4">
      <c r="A266" s="243">
        <v>45</v>
      </c>
      <c r="B266" s="49" t="str">
        <f>IF(OR(VLOOKUP(Table1710128[[#This Row],[Ln'#]],Excellent!A$5:AW$54,23,FALSE)="E",VLOOKUP(Table1710128[[#This Row],[Ln'#]],Excellent!A$5:AU$54,23,FALSE)="FEO"),"Entered or FEO","Not Entered")</f>
        <v>Not Entered</v>
      </c>
      <c r="C266" s="50"/>
      <c r="D266" s="48"/>
      <c r="E266" s="48"/>
      <c r="F266" s="48" t="str">
        <f>IF(Table1710128[[#This Row],[Status]]="Not Entered","",VLOOKUP(Table1710128[[#This Row],[Ln'#]],Excellent!$A$5:$AW$54,3,FALSE))</f>
        <v/>
      </c>
      <c r="G266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6" s="51" t="str">
        <f>IF(Table1710128[[#This Row],[Status]]="Not Entered","",VLOOKUP(Table1710128[[#This Row],[Ln'#]],Excellent!$A$5:$AW$54,47,FALSE))</f>
        <v/>
      </c>
    </row>
    <row r="267" spans="1:8" ht="30" customHeight="1" x14ac:dyDescent="0.4">
      <c r="A267" s="243">
        <v>46</v>
      </c>
      <c r="B267" s="49" t="str">
        <f>IF(OR(VLOOKUP(Table1710128[[#This Row],[Ln'#]],Excellent!A$5:AW$54,23,FALSE)="E",VLOOKUP(Table1710128[[#This Row],[Ln'#]],Excellent!A$5:AU$54,23,FALSE)="FEO"),"Entered or FEO","Not Entered")</f>
        <v>Not Entered</v>
      </c>
      <c r="C267" s="50"/>
      <c r="D267" s="48"/>
      <c r="E267" s="48"/>
      <c r="F267" s="48" t="str">
        <f>IF(Table1710128[[#This Row],[Status]]="Not Entered","",VLOOKUP(Table1710128[[#This Row],[Ln'#]],Excellent!$A$5:$AW$54,3,FALSE))</f>
        <v/>
      </c>
      <c r="G267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7" s="51" t="str">
        <f>IF(Table1710128[[#This Row],[Status]]="Not Entered","",VLOOKUP(Table1710128[[#This Row],[Ln'#]],Excellent!$A$5:$AW$54,47,FALSE))</f>
        <v/>
      </c>
    </row>
    <row r="268" spans="1:8" ht="30" customHeight="1" x14ac:dyDescent="0.4">
      <c r="A268" s="243">
        <v>47</v>
      </c>
      <c r="B268" s="49" t="str">
        <f>IF(OR(VLOOKUP(Table1710128[[#This Row],[Ln'#]],Excellent!A$5:AW$54,23,FALSE)="E",VLOOKUP(Table1710128[[#This Row],[Ln'#]],Excellent!A$5:AU$54,23,FALSE)="FEO"),"Entered or FEO","Not Entered")</f>
        <v>Not Entered</v>
      </c>
      <c r="C268" s="50"/>
      <c r="D268" s="48"/>
      <c r="E268" s="48"/>
      <c r="F268" s="48" t="str">
        <f>IF(Table1710128[[#This Row],[Status]]="Not Entered","",VLOOKUP(Table1710128[[#This Row],[Ln'#]],Excellent!$A$5:$AW$54,3,FALSE))</f>
        <v/>
      </c>
      <c r="G268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8" s="51" t="str">
        <f>IF(Table1710128[[#This Row],[Status]]="Not Entered","",VLOOKUP(Table1710128[[#This Row],[Ln'#]],Excellent!$A$5:$AW$54,47,FALSE))</f>
        <v/>
      </c>
    </row>
    <row r="269" spans="1:8" ht="30" customHeight="1" x14ac:dyDescent="0.4">
      <c r="A269" s="243">
        <v>48</v>
      </c>
      <c r="B269" s="49" t="str">
        <f>IF(OR(VLOOKUP(Table1710128[[#This Row],[Ln'#]],Excellent!A$5:AW$54,23,FALSE)="E",VLOOKUP(Table1710128[[#This Row],[Ln'#]],Excellent!A$5:AU$54,23,FALSE)="FEO"),"Entered or FEO","Not Entered")</f>
        <v>Not Entered</v>
      </c>
      <c r="C269" s="50"/>
      <c r="D269" s="48"/>
      <c r="E269" s="48"/>
      <c r="F269" s="48" t="str">
        <f>IF(Table1710128[[#This Row],[Status]]="Not Entered","",VLOOKUP(Table1710128[[#This Row],[Ln'#]],Excellent!$A$5:$AW$54,3,FALSE))</f>
        <v/>
      </c>
      <c r="G269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9" s="51" t="str">
        <f>IF(Table1710128[[#This Row],[Status]]="Not Entered","",VLOOKUP(Table1710128[[#This Row],[Ln'#]],Excellent!$A$5:$AW$54,47,FALSE))</f>
        <v/>
      </c>
    </row>
    <row r="270" spans="1:8" ht="30" customHeight="1" x14ac:dyDescent="0.4">
      <c r="A270" s="243">
        <v>49</v>
      </c>
      <c r="B270" s="49" t="str">
        <f>IF(OR(VLOOKUP(Table1710128[[#This Row],[Ln'#]],Excellent!A$5:AW$54,23,FALSE)="E",VLOOKUP(Table1710128[[#This Row],[Ln'#]],Excellent!A$5:AU$54,23,FALSE)="FEO"),"Entered or FEO","Not Entered")</f>
        <v>Not Entered</v>
      </c>
      <c r="C270" s="50"/>
      <c r="D270" s="48"/>
      <c r="E270" s="48"/>
      <c r="F270" s="48" t="str">
        <f>IF(Table1710128[[#This Row],[Status]]="Not Entered","",VLOOKUP(Table1710128[[#This Row],[Ln'#]],Excellent!$A$5:$AW$54,3,FALSE))</f>
        <v/>
      </c>
      <c r="G270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70" s="51" t="str">
        <f>IF(Table1710128[[#This Row],[Status]]="Not Entered","",VLOOKUP(Table1710128[[#This Row],[Ln'#]],Excellent!$A$5:$AW$54,47,FALSE))</f>
        <v/>
      </c>
    </row>
    <row r="271" spans="1:8" ht="30" customHeight="1" x14ac:dyDescent="0.4">
      <c r="A271" s="243">
        <v>50</v>
      </c>
      <c r="B271" s="49" t="str">
        <f>IF(OR(VLOOKUP(Table1710128[[#This Row],[Ln'#]],Excellent!A$5:AW$54,23,FALSE)="E",VLOOKUP(Table1710128[[#This Row],[Ln'#]],Excellent!A$5:AU$54,23,FALSE)="FEO"),"Entered or FEO","Not Entered")</f>
        <v>Not Entered</v>
      </c>
      <c r="C271" s="50"/>
      <c r="D271" s="48"/>
      <c r="E271" s="48"/>
      <c r="F271" s="48" t="str">
        <f>IF(Table1710128[[#This Row],[Status]]="Not Entered","",VLOOKUP(Table1710128[[#This Row],[Ln'#]],Excellent!$A$5:$AW$54,3,FALSE))</f>
        <v/>
      </c>
      <c r="G271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71" s="51" t="str">
        <f>IF(Table1710128[[#This Row],[Status]]="Not Entered","",VLOOKUP(Table1710128[[#This Row],[Ln'#]],Excellent!$A$5:$AW$54,47,FALSE))</f>
        <v/>
      </c>
    </row>
    <row r="272" spans="1:8" ht="30" customHeight="1" x14ac:dyDescent="0.4">
      <c r="A272" s="48"/>
      <c r="B272" s="48"/>
      <c r="C272" s="48"/>
      <c r="D272" s="48" t="s">
        <v>1141</v>
      </c>
      <c r="E272" s="48">
        <f>SUBTOTAL(102,Table1710128[Running Order])</f>
        <v>0</v>
      </c>
      <c r="F272" s="48"/>
      <c r="G272" s="51"/>
      <c r="H272" s="51"/>
    </row>
    <row r="274" spans="1:9" ht="30" customHeight="1" x14ac:dyDescent="0.4">
      <c r="A274" s="402" t="s">
        <v>1143</v>
      </c>
      <c r="B274" s="402"/>
      <c r="C274" s="43"/>
      <c r="D274" s="403" t="s">
        <v>1722</v>
      </c>
      <c r="E274" s="403"/>
      <c r="F274" s="403"/>
      <c r="G274" s="403"/>
      <c r="H274" s="403"/>
      <c r="I274" s="403"/>
    </row>
    <row r="275" spans="1:9" ht="47.25" x14ac:dyDescent="0.4">
      <c r="A275" s="67" t="s">
        <v>605</v>
      </c>
      <c r="B275" s="67" t="s">
        <v>1139</v>
      </c>
      <c r="C275" s="68" t="s">
        <v>12407</v>
      </c>
      <c r="D275" s="67" t="s">
        <v>1142</v>
      </c>
      <c r="E275" s="67" t="s">
        <v>1135</v>
      </c>
      <c r="F275" s="67" t="s">
        <v>1136</v>
      </c>
      <c r="G275" s="69" t="s">
        <v>1207</v>
      </c>
      <c r="H275" s="69" t="s">
        <v>1137</v>
      </c>
    </row>
    <row r="276" spans="1:9" ht="30" customHeight="1" x14ac:dyDescent="0.4">
      <c r="A276" s="49">
        <v>1</v>
      </c>
      <c r="B276" s="49" t="str">
        <f>IF(OR(VLOOKUP(Table19321[[#This Row],[Ln'#]],Excellent!A$65:AW$114,7,FALSE)="E",VLOOKUP(Table19321[[#This Row],[Ln'#]],Excellent!A$65:AW$114,7,FALSE)="FEO"),"Entered or FEO","Not Entered")</f>
        <v>Not Entered</v>
      </c>
      <c r="C276" s="50"/>
      <c r="D276" s="48"/>
      <c r="E276" s="48"/>
      <c r="F276" s="48" t="str">
        <f>IF(Table19321[[#This Row],[Status]]="Not Entered","",VLOOKUP(Table19321[[#This Row],[Ln'#]],Excellent!$A$65:$AW$114,3,FALSE))</f>
        <v/>
      </c>
      <c r="G276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6" s="51" t="str">
        <f>IF(Table19321[[#This Row],[Status]]="Not Entered","",VLOOKUP(Table19321[[#This Row],[Ln'#]],Excellent!$A$65:$AW$114,47,FALSE))</f>
        <v/>
      </c>
    </row>
    <row r="277" spans="1:9" ht="30" customHeight="1" x14ac:dyDescent="0.4">
      <c r="A277" s="49">
        <v>2</v>
      </c>
      <c r="B277" s="243" t="str">
        <f>IF(OR(VLOOKUP(Table19321[[#This Row],[Ln'#]],Excellent!A$65:AW$114,7,FALSE)="E",VLOOKUP(Table19321[[#This Row],[Ln'#]],Excellent!A$65:AW$114,7,FALSE)="FEO"),"Entered or FEO","Not Entered")</f>
        <v>Not Entered</v>
      </c>
      <c r="C277" s="244"/>
      <c r="D277" s="245"/>
      <c r="E277" s="245"/>
      <c r="F277" s="245" t="str">
        <f>IF(Table19321[[#This Row],[Status]]="Not Entered","",VLOOKUP(Table19321[[#This Row],[Ln'#]],Excellent!$A$65:$AW$114,3,FALSE))</f>
        <v/>
      </c>
      <c r="G277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7" s="247" t="str">
        <f>IF(Table19321[[#This Row],[Status]]="Not Entered","",VLOOKUP(Table19321[[#This Row],[Ln'#]],Excellent!$A$65:$AW$114,47,FALSE))</f>
        <v/>
      </c>
    </row>
    <row r="278" spans="1:9" ht="30" customHeight="1" x14ac:dyDescent="0.4">
      <c r="A278" s="49">
        <v>3</v>
      </c>
      <c r="B278" s="243" t="str">
        <f>IF(OR(VLOOKUP(Table19321[[#This Row],[Ln'#]],Excellent!A$65:AW$114,7,FALSE)="E",VLOOKUP(Table19321[[#This Row],[Ln'#]],Excellent!A$65:AW$114,7,FALSE)="FEO"),"Entered or FEO","Not Entered")</f>
        <v>Not Entered</v>
      </c>
      <c r="C278" s="244"/>
      <c r="D278" s="245"/>
      <c r="E278" s="245"/>
      <c r="F278" s="245" t="str">
        <f>IF(Table19321[[#This Row],[Status]]="Not Entered","",VLOOKUP(Table19321[[#This Row],[Ln'#]],Excellent!$A$65:$AW$114,3,FALSE))</f>
        <v/>
      </c>
      <c r="G278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8" s="247" t="str">
        <f>IF(Table19321[[#This Row],[Status]]="Not Entered","",VLOOKUP(Table19321[[#This Row],[Ln'#]],Excellent!$A$65:$AW$114,47,FALSE))</f>
        <v/>
      </c>
    </row>
    <row r="279" spans="1:9" ht="30" customHeight="1" x14ac:dyDescent="0.4">
      <c r="A279" s="49">
        <v>4</v>
      </c>
      <c r="B279" s="243" t="str">
        <f>IF(OR(VLOOKUP(Table19321[[#This Row],[Ln'#]],Excellent!A$65:AW$114,7,FALSE)="E",VLOOKUP(Table19321[[#This Row],[Ln'#]],Excellent!A$65:AW$114,7,FALSE)="FEO"),"Entered or FEO","Not Entered")</f>
        <v>Not Entered</v>
      </c>
      <c r="C279" s="244"/>
      <c r="D279" s="245"/>
      <c r="E279" s="245"/>
      <c r="F279" s="245" t="str">
        <f>IF(Table19321[[#This Row],[Status]]="Not Entered","",VLOOKUP(Table19321[[#This Row],[Ln'#]],Excellent!$A$65:$AW$114,3,FALSE))</f>
        <v/>
      </c>
      <c r="G279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9" s="247" t="str">
        <f>IF(Table19321[[#This Row],[Status]]="Not Entered","",VLOOKUP(Table19321[[#This Row],[Ln'#]],Excellent!$A$65:$AW$114,47,FALSE))</f>
        <v/>
      </c>
    </row>
    <row r="280" spans="1:9" ht="30" customHeight="1" x14ac:dyDescent="0.4">
      <c r="A280" s="49">
        <v>5</v>
      </c>
      <c r="B280" s="243" t="str">
        <f>IF(OR(VLOOKUP(Table19321[[#This Row],[Ln'#]],Excellent!A$65:AW$114,7,FALSE)="E",VLOOKUP(Table19321[[#This Row],[Ln'#]],Excellent!A$65:AW$114,7,FALSE)="FEO"),"Entered or FEO","Not Entered")</f>
        <v>Not Entered</v>
      </c>
      <c r="C280" s="244"/>
      <c r="D280" s="245"/>
      <c r="E280" s="245"/>
      <c r="F280" s="245" t="str">
        <f>IF(Table19321[[#This Row],[Status]]="Not Entered","",VLOOKUP(Table19321[[#This Row],[Ln'#]],Excellent!$A$65:$AW$114,3,FALSE))</f>
        <v/>
      </c>
      <c r="G280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0" s="247" t="str">
        <f>IF(Table19321[[#This Row],[Status]]="Not Entered","",VLOOKUP(Table19321[[#This Row],[Ln'#]],Excellent!$A$65:$AW$114,47,FALSE))</f>
        <v/>
      </c>
    </row>
    <row r="281" spans="1:9" ht="30" customHeight="1" x14ac:dyDescent="0.4">
      <c r="A281" s="49">
        <v>6</v>
      </c>
      <c r="B281" s="243" t="str">
        <f>IF(OR(VLOOKUP(Table19321[[#This Row],[Ln'#]],Excellent!A$65:AW$114,7,FALSE)="E",VLOOKUP(Table19321[[#This Row],[Ln'#]],Excellent!A$65:AW$114,7,FALSE)="FEO"),"Entered or FEO","Not Entered")</f>
        <v>Not Entered</v>
      </c>
      <c r="C281" s="244"/>
      <c r="D281" s="245"/>
      <c r="E281" s="245"/>
      <c r="F281" s="245" t="str">
        <f>IF(Table19321[[#This Row],[Status]]="Not Entered","",VLOOKUP(Table19321[[#This Row],[Ln'#]],Excellent!$A$65:$AW$114,3,FALSE))</f>
        <v/>
      </c>
      <c r="G281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1" s="247" t="str">
        <f>IF(Table19321[[#This Row],[Status]]="Not Entered","",VLOOKUP(Table19321[[#This Row],[Ln'#]],Excellent!$A$65:$AW$114,47,FALSE))</f>
        <v/>
      </c>
    </row>
    <row r="282" spans="1:9" ht="30" customHeight="1" x14ac:dyDescent="0.4">
      <c r="A282" s="49">
        <v>7</v>
      </c>
      <c r="B282" s="243" t="str">
        <f>IF(OR(VLOOKUP(Table19321[[#This Row],[Ln'#]],Excellent!A$65:AW$114,7,FALSE)="E",VLOOKUP(Table19321[[#This Row],[Ln'#]],Excellent!A$65:AW$114,7,FALSE)="FEO"),"Entered or FEO","Not Entered")</f>
        <v>Not Entered</v>
      </c>
      <c r="C282" s="244"/>
      <c r="D282" s="245"/>
      <c r="E282" s="245"/>
      <c r="F282" s="245" t="str">
        <f>IF(Table19321[[#This Row],[Status]]="Not Entered","",VLOOKUP(Table19321[[#This Row],[Ln'#]],Excellent!$A$65:$AW$114,3,FALSE))</f>
        <v/>
      </c>
      <c r="G282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2" s="247" t="str">
        <f>IF(Table19321[[#This Row],[Status]]="Not Entered","",VLOOKUP(Table19321[[#This Row],[Ln'#]],Excellent!$A$65:$AW$114,47,FALSE))</f>
        <v/>
      </c>
    </row>
    <row r="283" spans="1:9" ht="30" customHeight="1" x14ac:dyDescent="0.4">
      <c r="A283" s="49">
        <v>8</v>
      </c>
      <c r="B283" s="243" t="str">
        <f>IF(OR(VLOOKUP(Table19321[[#This Row],[Ln'#]],Excellent!A$65:AW$114,7,FALSE)="E",VLOOKUP(Table19321[[#This Row],[Ln'#]],Excellent!A$65:AW$114,7,FALSE)="FEO"),"Entered or FEO","Not Entered")</f>
        <v>Not Entered</v>
      </c>
      <c r="C283" s="244"/>
      <c r="D283" s="245"/>
      <c r="E283" s="245"/>
      <c r="F283" s="245" t="str">
        <f>IF(Table19321[[#This Row],[Status]]="Not Entered","",VLOOKUP(Table19321[[#This Row],[Ln'#]],Excellent!$A$65:$AW$114,3,FALSE))</f>
        <v/>
      </c>
      <c r="G283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3" s="247" t="str">
        <f>IF(Table19321[[#This Row],[Status]]="Not Entered","",VLOOKUP(Table19321[[#This Row],[Ln'#]],Excellent!$A$65:$AW$114,47,FALSE))</f>
        <v/>
      </c>
    </row>
    <row r="284" spans="1:9" ht="30" customHeight="1" x14ac:dyDescent="0.4">
      <c r="A284" s="49">
        <v>9</v>
      </c>
      <c r="B284" s="243" t="str">
        <f>IF(OR(VLOOKUP(Table19321[[#This Row],[Ln'#]],Excellent!A$65:AW$114,7,FALSE)="E",VLOOKUP(Table19321[[#This Row],[Ln'#]],Excellent!A$65:AW$114,7,FALSE)="FEO"),"Entered or FEO","Not Entered")</f>
        <v>Not Entered</v>
      </c>
      <c r="C284" s="244"/>
      <c r="D284" s="245"/>
      <c r="E284" s="245"/>
      <c r="F284" s="245" t="str">
        <f>IF(Table19321[[#This Row],[Status]]="Not Entered","",VLOOKUP(Table19321[[#This Row],[Ln'#]],Excellent!$A$65:$AW$114,3,FALSE))</f>
        <v/>
      </c>
      <c r="G284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4" s="247" t="str">
        <f>IF(Table19321[[#This Row],[Status]]="Not Entered","",VLOOKUP(Table19321[[#This Row],[Ln'#]],Excellent!$A$65:$AW$114,47,FALSE))</f>
        <v/>
      </c>
    </row>
    <row r="285" spans="1:9" ht="30" customHeight="1" x14ac:dyDescent="0.4">
      <c r="A285" s="49">
        <v>10</v>
      </c>
      <c r="B285" s="243" t="str">
        <f>IF(OR(VLOOKUP(Table19321[[#This Row],[Ln'#]],Excellent!A$65:AW$114,7,FALSE)="E",VLOOKUP(Table19321[[#This Row],[Ln'#]],Excellent!A$65:AW$114,7,FALSE)="FEO"),"Entered or FEO","Not Entered")</f>
        <v>Not Entered</v>
      </c>
      <c r="C285" s="244"/>
      <c r="D285" s="245"/>
      <c r="E285" s="245"/>
      <c r="F285" s="245" t="str">
        <f>IF(Table19321[[#This Row],[Status]]="Not Entered","",VLOOKUP(Table19321[[#This Row],[Ln'#]],Excellent!$A$65:$AW$114,3,FALSE))</f>
        <v/>
      </c>
      <c r="G285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5" s="247" t="str">
        <f>IF(Table19321[[#This Row],[Status]]="Not Entered","",VLOOKUP(Table19321[[#This Row],[Ln'#]],Excellent!$A$65:$AW$114,47,FALSE))</f>
        <v/>
      </c>
    </row>
    <row r="286" spans="1:9" ht="30" customHeight="1" x14ac:dyDescent="0.4">
      <c r="A286" s="49">
        <v>11</v>
      </c>
      <c r="B286" s="243" t="str">
        <f>IF(OR(VLOOKUP(Table19321[[#This Row],[Ln'#]],Excellent!A$65:AW$114,7,FALSE)="E",VLOOKUP(Table19321[[#This Row],[Ln'#]],Excellent!A$65:AW$114,7,FALSE)="FEO"),"Entered or FEO","Not Entered")</f>
        <v>Not Entered</v>
      </c>
      <c r="C286" s="244"/>
      <c r="D286" s="245"/>
      <c r="E286" s="245"/>
      <c r="F286" s="245" t="str">
        <f>IF(Table19321[[#This Row],[Status]]="Not Entered","",VLOOKUP(Table19321[[#This Row],[Ln'#]],Excellent!$A$65:$AW$114,3,FALSE))</f>
        <v/>
      </c>
      <c r="G286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6" s="247" t="str">
        <f>IF(Table19321[[#This Row],[Status]]="Not Entered","",VLOOKUP(Table19321[[#This Row],[Ln'#]],Excellent!$A$65:$AW$114,47,FALSE))</f>
        <v/>
      </c>
    </row>
    <row r="287" spans="1:9" ht="30" customHeight="1" x14ac:dyDescent="0.4">
      <c r="A287" s="49">
        <v>12</v>
      </c>
      <c r="B287" s="243" t="str">
        <f>IF(OR(VLOOKUP(Table19321[[#This Row],[Ln'#]],Excellent!A$65:AW$114,7,FALSE)="E",VLOOKUP(Table19321[[#This Row],[Ln'#]],Excellent!A$65:AW$114,7,FALSE)="FEO"),"Entered or FEO","Not Entered")</f>
        <v>Not Entered</v>
      </c>
      <c r="C287" s="244"/>
      <c r="D287" s="245"/>
      <c r="E287" s="245"/>
      <c r="F287" s="245" t="str">
        <f>IF(Table19321[[#This Row],[Status]]="Not Entered","",VLOOKUP(Table19321[[#This Row],[Ln'#]],Excellent!$A$65:$AW$114,3,FALSE))</f>
        <v/>
      </c>
      <c r="G287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7" s="247" t="str">
        <f>IF(Table19321[[#This Row],[Status]]="Not Entered","",VLOOKUP(Table19321[[#This Row],[Ln'#]],Excellent!$A$65:$AW$114,47,FALSE))</f>
        <v/>
      </c>
    </row>
    <row r="288" spans="1:9" ht="30" customHeight="1" x14ac:dyDescent="0.4">
      <c r="A288" s="49">
        <v>13</v>
      </c>
      <c r="B288" s="243" t="str">
        <f>IF(OR(VLOOKUP(Table19321[[#This Row],[Ln'#]],Excellent!A$65:AW$114,7,FALSE)="E",VLOOKUP(Table19321[[#This Row],[Ln'#]],Excellent!A$65:AW$114,7,FALSE)="FEO"),"Entered or FEO","Not Entered")</f>
        <v>Not Entered</v>
      </c>
      <c r="C288" s="244"/>
      <c r="D288" s="245"/>
      <c r="E288" s="245"/>
      <c r="F288" s="245" t="str">
        <f>IF(Table19321[[#This Row],[Status]]="Not Entered","",VLOOKUP(Table19321[[#This Row],[Ln'#]],Excellent!$A$65:$AW$114,3,FALSE))</f>
        <v/>
      </c>
      <c r="G288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8" s="247" t="str">
        <f>IF(Table19321[[#This Row],[Status]]="Not Entered","",VLOOKUP(Table19321[[#This Row],[Ln'#]],Excellent!$A$65:$AW$114,47,FALSE))</f>
        <v/>
      </c>
    </row>
    <row r="289" spans="1:8" ht="30" customHeight="1" x14ac:dyDescent="0.4">
      <c r="A289" s="49">
        <v>14</v>
      </c>
      <c r="B289" s="243" t="str">
        <f>IF(OR(VLOOKUP(Table19321[[#This Row],[Ln'#]],Excellent!A$65:AW$114,7,FALSE)="E",VLOOKUP(Table19321[[#This Row],[Ln'#]],Excellent!A$65:AW$114,7,FALSE)="FEO"),"Entered or FEO","Not Entered")</f>
        <v>Not Entered</v>
      </c>
      <c r="C289" s="244"/>
      <c r="D289" s="245"/>
      <c r="E289" s="245"/>
      <c r="F289" s="245" t="str">
        <f>IF(Table19321[[#This Row],[Status]]="Not Entered","",VLOOKUP(Table19321[[#This Row],[Ln'#]],Excellent!$A$65:$AW$114,3,FALSE))</f>
        <v/>
      </c>
      <c r="G289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9" s="247" t="str">
        <f>IF(Table19321[[#This Row],[Status]]="Not Entered","",VLOOKUP(Table19321[[#This Row],[Ln'#]],Excellent!$A$65:$AW$114,47,FALSE))</f>
        <v/>
      </c>
    </row>
    <row r="290" spans="1:8" ht="30" customHeight="1" x14ac:dyDescent="0.4">
      <c r="A290" s="49">
        <v>15</v>
      </c>
      <c r="B290" s="243" t="str">
        <f>IF(OR(VLOOKUP(Table19321[[#This Row],[Ln'#]],Excellent!A$65:AW$114,7,FALSE)="E",VLOOKUP(Table19321[[#This Row],[Ln'#]],Excellent!A$65:AW$114,7,FALSE)="FEO"),"Entered or FEO","Not Entered")</f>
        <v>Not Entered</v>
      </c>
      <c r="C290" s="244"/>
      <c r="D290" s="245"/>
      <c r="E290" s="245"/>
      <c r="F290" s="245" t="str">
        <f>IF(Table19321[[#This Row],[Status]]="Not Entered","",VLOOKUP(Table19321[[#This Row],[Ln'#]],Excellent!$A$65:$AW$114,3,FALSE))</f>
        <v/>
      </c>
      <c r="G290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0" s="247" t="str">
        <f>IF(Table19321[[#This Row],[Status]]="Not Entered","",VLOOKUP(Table19321[[#This Row],[Ln'#]],Excellent!$A$65:$AW$114,47,FALSE))</f>
        <v/>
      </c>
    </row>
    <row r="291" spans="1:8" ht="30" customHeight="1" x14ac:dyDescent="0.4">
      <c r="A291" s="49">
        <v>16</v>
      </c>
      <c r="B291" s="243" t="str">
        <f>IF(OR(VLOOKUP(Table19321[[#This Row],[Ln'#]],Excellent!A$65:AW$114,7,FALSE)="E",VLOOKUP(Table19321[[#This Row],[Ln'#]],Excellent!A$65:AW$114,7,FALSE)="FEO"),"Entered or FEO","Not Entered")</f>
        <v>Not Entered</v>
      </c>
      <c r="C291" s="244"/>
      <c r="D291" s="245"/>
      <c r="E291" s="245"/>
      <c r="F291" s="245" t="str">
        <f>IF(Table19321[[#This Row],[Status]]="Not Entered","",VLOOKUP(Table19321[[#This Row],[Ln'#]],Excellent!$A$65:$AW$114,3,FALSE))</f>
        <v/>
      </c>
      <c r="G291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1" s="247" t="str">
        <f>IF(Table19321[[#This Row],[Status]]="Not Entered","",VLOOKUP(Table19321[[#This Row],[Ln'#]],Excellent!$A$65:$AW$114,47,FALSE))</f>
        <v/>
      </c>
    </row>
    <row r="292" spans="1:8" ht="30" customHeight="1" x14ac:dyDescent="0.4">
      <c r="A292" s="49">
        <v>17</v>
      </c>
      <c r="B292" s="243" t="str">
        <f>IF(OR(VLOOKUP(Table19321[[#This Row],[Ln'#]],Excellent!A$65:AW$114,7,FALSE)="E",VLOOKUP(Table19321[[#This Row],[Ln'#]],Excellent!A$65:AW$114,7,FALSE)="FEO"),"Entered or FEO","Not Entered")</f>
        <v>Not Entered</v>
      </c>
      <c r="C292" s="244"/>
      <c r="D292" s="245"/>
      <c r="E292" s="245"/>
      <c r="F292" s="245" t="str">
        <f>IF(Table19321[[#This Row],[Status]]="Not Entered","",VLOOKUP(Table19321[[#This Row],[Ln'#]],Excellent!$A$65:$AW$114,3,FALSE))</f>
        <v/>
      </c>
      <c r="G292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2" s="247" t="str">
        <f>IF(Table19321[[#This Row],[Status]]="Not Entered","",VLOOKUP(Table19321[[#This Row],[Ln'#]],Excellent!$A$65:$AW$114,47,FALSE))</f>
        <v/>
      </c>
    </row>
    <row r="293" spans="1:8" ht="30" customHeight="1" x14ac:dyDescent="0.4">
      <c r="A293" s="49">
        <v>18</v>
      </c>
      <c r="B293" s="243" t="str">
        <f>IF(OR(VLOOKUP(Table19321[[#This Row],[Ln'#]],Excellent!A$65:AW$114,7,FALSE)="E",VLOOKUP(Table19321[[#This Row],[Ln'#]],Excellent!A$65:AW$114,7,FALSE)="FEO"),"Entered or FEO","Not Entered")</f>
        <v>Not Entered</v>
      </c>
      <c r="C293" s="244"/>
      <c r="D293" s="245"/>
      <c r="E293" s="245"/>
      <c r="F293" s="245" t="str">
        <f>IF(Table19321[[#This Row],[Status]]="Not Entered","",VLOOKUP(Table19321[[#This Row],[Ln'#]],Excellent!$A$65:$AW$114,3,FALSE))</f>
        <v/>
      </c>
      <c r="G293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3" s="247" t="str">
        <f>IF(Table19321[[#This Row],[Status]]="Not Entered","",VLOOKUP(Table19321[[#This Row],[Ln'#]],Excellent!$A$65:$AW$114,47,FALSE))</f>
        <v/>
      </c>
    </row>
    <row r="294" spans="1:8" ht="30" customHeight="1" x14ac:dyDescent="0.4">
      <c r="A294" s="49">
        <v>19</v>
      </c>
      <c r="B294" s="243" t="str">
        <f>IF(OR(VLOOKUP(Table19321[[#This Row],[Ln'#]],Excellent!A$65:AW$114,7,FALSE)="E",VLOOKUP(Table19321[[#This Row],[Ln'#]],Excellent!A$65:AW$114,7,FALSE)="FEO"),"Entered or FEO","Not Entered")</f>
        <v>Not Entered</v>
      </c>
      <c r="C294" s="244"/>
      <c r="D294" s="245"/>
      <c r="E294" s="245"/>
      <c r="F294" s="245" t="str">
        <f>IF(Table19321[[#This Row],[Status]]="Not Entered","",VLOOKUP(Table19321[[#This Row],[Ln'#]],Excellent!$A$65:$AW$114,3,FALSE))</f>
        <v/>
      </c>
      <c r="G294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4" s="247" t="str">
        <f>IF(Table19321[[#This Row],[Status]]="Not Entered","",VLOOKUP(Table19321[[#This Row],[Ln'#]],Excellent!$A$65:$AW$114,47,FALSE))</f>
        <v/>
      </c>
    </row>
    <row r="295" spans="1:8" ht="30" customHeight="1" x14ac:dyDescent="0.4">
      <c r="A295" s="49">
        <v>20</v>
      </c>
      <c r="B295" s="243" t="str">
        <f>IF(OR(VLOOKUP(Table19321[[#This Row],[Ln'#]],Excellent!A$65:AW$114,7,FALSE)="E",VLOOKUP(Table19321[[#This Row],[Ln'#]],Excellent!A$65:AW$114,7,FALSE)="FEO"),"Entered or FEO","Not Entered")</f>
        <v>Not Entered</v>
      </c>
      <c r="C295" s="244"/>
      <c r="D295" s="245"/>
      <c r="E295" s="245"/>
      <c r="F295" s="245" t="str">
        <f>IF(Table19321[[#This Row],[Status]]="Not Entered","",VLOOKUP(Table19321[[#This Row],[Ln'#]],Excellent!$A$65:$AW$114,3,FALSE))</f>
        <v/>
      </c>
      <c r="G295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5" s="247" t="str">
        <f>IF(Table19321[[#This Row],[Status]]="Not Entered","",VLOOKUP(Table19321[[#This Row],[Ln'#]],Excellent!$A$65:$AW$114,47,FALSE))</f>
        <v/>
      </c>
    </row>
    <row r="296" spans="1:8" ht="30" customHeight="1" x14ac:dyDescent="0.4">
      <c r="A296" s="49">
        <v>21</v>
      </c>
      <c r="B296" s="243" t="str">
        <f>IF(OR(VLOOKUP(Table19321[[#This Row],[Ln'#]],Excellent!A$65:AW$114,7,FALSE)="E",VLOOKUP(Table19321[[#This Row],[Ln'#]],Excellent!A$65:AW$114,7,FALSE)="FEO"),"Entered or FEO","Not Entered")</f>
        <v>Not Entered</v>
      </c>
      <c r="C296" s="244"/>
      <c r="D296" s="245"/>
      <c r="E296" s="245"/>
      <c r="F296" s="245" t="str">
        <f>IF(Table19321[[#This Row],[Status]]="Not Entered","",VLOOKUP(Table19321[[#This Row],[Ln'#]],Excellent!$A$65:$AW$114,3,FALSE))</f>
        <v/>
      </c>
      <c r="G296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6" s="247" t="str">
        <f>IF(Table19321[[#This Row],[Status]]="Not Entered","",VLOOKUP(Table19321[[#This Row],[Ln'#]],Excellent!$A$65:$AW$114,47,FALSE))</f>
        <v/>
      </c>
    </row>
    <row r="297" spans="1:8" ht="30" customHeight="1" x14ac:dyDescent="0.4">
      <c r="A297" s="243">
        <v>22</v>
      </c>
      <c r="B297" s="49" t="str">
        <f>IF(OR(VLOOKUP(Table19321[[#This Row],[Ln'#]],Excellent!A$65:AW$114,7,FALSE)="E",VLOOKUP(Table19321[[#This Row],[Ln'#]],Excellent!A$65:AW$114,7,FALSE)="FEO"),"Entered or FEO","Not Entered")</f>
        <v>Not Entered</v>
      </c>
      <c r="C297" s="50"/>
      <c r="D297" s="48"/>
      <c r="E297" s="48"/>
      <c r="F297" s="48" t="str">
        <f>IF(Table19321[[#This Row],[Status]]="Not Entered","",VLOOKUP(Table19321[[#This Row],[Ln'#]],Excellent!$A$65:$AW$114,3,FALSE))</f>
        <v/>
      </c>
      <c r="G297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7" s="51" t="str">
        <f>IF(Table19321[[#This Row],[Status]]="Not Entered","",VLOOKUP(Table19321[[#This Row],[Ln'#]],Excellent!$A$65:$AW$114,47,FALSE))</f>
        <v/>
      </c>
    </row>
    <row r="298" spans="1:8" ht="30" customHeight="1" x14ac:dyDescent="0.4">
      <c r="A298" s="243">
        <v>23</v>
      </c>
      <c r="B298" s="49" t="str">
        <f>IF(OR(VLOOKUP(Table19321[[#This Row],[Ln'#]],Excellent!A$65:AW$114,7,FALSE)="E",VLOOKUP(Table19321[[#This Row],[Ln'#]],Excellent!A$65:AW$114,7,FALSE)="FEO"),"Entered or FEO","Not Entered")</f>
        <v>Not Entered</v>
      </c>
      <c r="C298" s="50"/>
      <c r="D298" s="48"/>
      <c r="E298" s="48"/>
      <c r="F298" s="48" t="str">
        <f>IF(Table19321[[#This Row],[Status]]="Not Entered","",VLOOKUP(Table19321[[#This Row],[Ln'#]],Excellent!$A$65:$AW$114,3,FALSE))</f>
        <v/>
      </c>
      <c r="G298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8" s="51" t="str">
        <f>IF(Table19321[[#This Row],[Status]]="Not Entered","",VLOOKUP(Table19321[[#This Row],[Ln'#]],Excellent!$A$65:$AW$114,47,FALSE))</f>
        <v/>
      </c>
    </row>
    <row r="299" spans="1:8" ht="30" customHeight="1" x14ac:dyDescent="0.4">
      <c r="A299" s="243">
        <v>24</v>
      </c>
      <c r="B299" s="49" t="str">
        <f>IF(OR(VLOOKUP(Table19321[[#This Row],[Ln'#]],Excellent!A$65:AW$114,7,FALSE)="E",VLOOKUP(Table19321[[#This Row],[Ln'#]],Excellent!A$65:AW$114,7,FALSE)="FEO"),"Entered or FEO","Not Entered")</f>
        <v>Not Entered</v>
      </c>
      <c r="C299" s="50"/>
      <c r="D299" s="48"/>
      <c r="E299" s="48"/>
      <c r="F299" s="48" t="str">
        <f>IF(Table19321[[#This Row],[Status]]="Not Entered","",VLOOKUP(Table19321[[#This Row],[Ln'#]],Excellent!$A$65:$AW$114,3,FALSE))</f>
        <v/>
      </c>
      <c r="G299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9" s="51" t="str">
        <f>IF(Table19321[[#This Row],[Status]]="Not Entered","",VLOOKUP(Table19321[[#This Row],[Ln'#]],Excellent!$A$65:$AW$114,47,FALSE))</f>
        <v/>
      </c>
    </row>
    <row r="300" spans="1:8" ht="30" customHeight="1" x14ac:dyDescent="0.4">
      <c r="A300" s="243">
        <v>25</v>
      </c>
      <c r="B300" s="49" t="str">
        <f>IF(OR(VLOOKUP(Table19321[[#This Row],[Ln'#]],Excellent!A$65:AW$114,7,FALSE)="E",VLOOKUP(Table19321[[#This Row],[Ln'#]],Excellent!A$65:AW$114,7,FALSE)="FEO"),"Entered or FEO","Not Entered")</f>
        <v>Not Entered</v>
      </c>
      <c r="C300" s="50"/>
      <c r="D300" s="48"/>
      <c r="E300" s="48"/>
      <c r="F300" s="48" t="str">
        <f>IF(Table19321[[#This Row],[Status]]="Not Entered","",VLOOKUP(Table19321[[#This Row],[Ln'#]],Excellent!$A$65:$AW$114,3,FALSE))</f>
        <v/>
      </c>
      <c r="G300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0" s="51" t="str">
        <f>IF(Table19321[[#This Row],[Status]]="Not Entered","",VLOOKUP(Table19321[[#This Row],[Ln'#]],Excellent!$A$65:$AW$114,47,FALSE))</f>
        <v/>
      </c>
    </row>
    <row r="301" spans="1:8" ht="30" customHeight="1" x14ac:dyDescent="0.4">
      <c r="A301" s="243">
        <v>26</v>
      </c>
      <c r="B301" s="49" t="str">
        <f>IF(OR(VLOOKUP(Table19321[[#This Row],[Ln'#]],Excellent!A$65:AW$114,7,FALSE)="E",VLOOKUP(Table19321[[#This Row],[Ln'#]],Excellent!A$65:AW$114,7,FALSE)="FEO"),"Entered or FEO","Not Entered")</f>
        <v>Not Entered</v>
      </c>
      <c r="C301" s="50"/>
      <c r="D301" s="48"/>
      <c r="E301" s="48"/>
      <c r="F301" s="48" t="str">
        <f>IF(Table19321[[#This Row],[Status]]="Not Entered","",VLOOKUP(Table19321[[#This Row],[Ln'#]],Excellent!$A$65:$AW$114,3,FALSE))</f>
        <v/>
      </c>
      <c r="G301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1" s="51" t="str">
        <f>IF(Table19321[[#This Row],[Status]]="Not Entered","",VLOOKUP(Table19321[[#This Row],[Ln'#]],Excellent!$A$65:$AW$114,47,FALSE))</f>
        <v/>
      </c>
    </row>
    <row r="302" spans="1:8" ht="30" customHeight="1" x14ac:dyDescent="0.4">
      <c r="A302" s="243">
        <v>27</v>
      </c>
      <c r="B302" s="49" t="str">
        <f>IF(OR(VLOOKUP(Table19321[[#This Row],[Ln'#]],Excellent!A$65:AW$114,7,FALSE)="E",VLOOKUP(Table19321[[#This Row],[Ln'#]],Excellent!A$65:AW$114,7,FALSE)="FEO"),"Entered or FEO","Not Entered")</f>
        <v>Not Entered</v>
      </c>
      <c r="C302" s="50"/>
      <c r="D302" s="48"/>
      <c r="E302" s="48"/>
      <c r="F302" s="48" t="str">
        <f>IF(Table19321[[#This Row],[Status]]="Not Entered","",VLOOKUP(Table19321[[#This Row],[Ln'#]],Excellent!$A$65:$AW$114,3,FALSE))</f>
        <v/>
      </c>
      <c r="G302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2" s="51" t="str">
        <f>IF(Table19321[[#This Row],[Status]]="Not Entered","",VLOOKUP(Table19321[[#This Row],[Ln'#]],Excellent!$A$65:$AW$114,47,FALSE))</f>
        <v/>
      </c>
    </row>
    <row r="303" spans="1:8" ht="30" customHeight="1" x14ac:dyDescent="0.4">
      <c r="A303" s="243">
        <v>28</v>
      </c>
      <c r="B303" s="49" t="str">
        <f>IF(OR(VLOOKUP(Table19321[[#This Row],[Ln'#]],Excellent!A$65:AW$114,7,FALSE)="E",VLOOKUP(Table19321[[#This Row],[Ln'#]],Excellent!A$65:AW$114,7,FALSE)="FEO"),"Entered or FEO","Not Entered")</f>
        <v>Not Entered</v>
      </c>
      <c r="C303" s="50"/>
      <c r="D303" s="48"/>
      <c r="E303" s="48"/>
      <c r="F303" s="48" t="str">
        <f>IF(Table19321[[#This Row],[Status]]="Not Entered","",VLOOKUP(Table19321[[#This Row],[Ln'#]],Excellent!$A$65:$AW$114,3,FALSE))</f>
        <v/>
      </c>
      <c r="G303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3" s="51" t="str">
        <f>IF(Table19321[[#This Row],[Status]]="Not Entered","",VLOOKUP(Table19321[[#This Row],[Ln'#]],Excellent!$A$65:$AW$114,47,FALSE))</f>
        <v/>
      </c>
    </row>
    <row r="304" spans="1:8" ht="30" customHeight="1" x14ac:dyDescent="0.4">
      <c r="A304" s="243">
        <v>29</v>
      </c>
      <c r="B304" s="49" t="str">
        <f>IF(OR(VLOOKUP(Table19321[[#This Row],[Ln'#]],Excellent!A$65:AW$114,7,FALSE)="E",VLOOKUP(Table19321[[#This Row],[Ln'#]],Excellent!A$65:AW$114,7,FALSE)="FEO"),"Entered or FEO","Not Entered")</f>
        <v>Not Entered</v>
      </c>
      <c r="C304" s="50"/>
      <c r="D304" s="48"/>
      <c r="E304" s="48"/>
      <c r="F304" s="48" t="str">
        <f>IF(Table19321[[#This Row],[Status]]="Not Entered","",VLOOKUP(Table19321[[#This Row],[Ln'#]],Excellent!$A$65:$AW$114,3,FALSE))</f>
        <v/>
      </c>
      <c r="G304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4" s="51" t="str">
        <f>IF(Table19321[[#This Row],[Status]]="Not Entered","",VLOOKUP(Table19321[[#This Row],[Ln'#]],Excellent!$A$65:$AW$114,47,FALSE))</f>
        <v/>
      </c>
    </row>
    <row r="305" spans="1:8" ht="30" customHeight="1" x14ac:dyDescent="0.4">
      <c r="A305" s="243">
        <v>30</v>
      </c>
      <c r="B305" s="49" t="str">
        <f>IF(OR(VLOOKUP(Table19321[[#This Row],[Ln'#]],Excellent!A$65:AW$114,7,FALSE)="E",VLOOKUP(Table19321[[#This Row],[Ln'#]],Excellent!A$65:AW$114,7,FALSE)="FEO"),"Entered or FEO","Not Entered")</f>
        <v>Not Entered</v>
      </c>
      <c r="C305" s="50"/>
      <c r="D305" s="48"/>
      <c r="E305" s="48"/>
      <c r="F305" s="48" t="str">
        <f>IF(Table19321[[#This Row],[Status]]="Not Entered","",VLOOKUP(Table19321[[#This Row],[Ln'#]],Excellent!$A$65:$AW$114,3,FALSE))</f>
        <v/>
      </c>
      <c r="G305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5" s="51" t="str">
        <f>IF(Table19321[[#This Row],[Status]]="Not Entered","",VLOOKUP(Table19321[[#This Row],[Ln'#]],Excellent!$A$65:$AW$114,47,FALSE))</f>
        <v/>
      </c>
    </row>
    <row r="306" spans="1:8" ht="30" customHeight="1" x14ac:dyDescent="0.4">
      <c r="A306" s="243">
        <v>31</v>
      </c>
      <c r="B306" s="49" t="str">
        <f>IF(OR(VLOOKUP(Table19321[[#This Row],[Ln'#]],Excellent!A$65:AW$114,7,FALSE)="E",VLOOKUP(Table19321[[#This Row],[Ln'#]],Excellent!A$65:AW$114,7,FALSE)="FEO"),"Entered or FEO","Not Entered")</f>
        <v>Not Entered</v>
      </c>
      <c r="C306" s="50"/>
      <c r="D306" s="48"/>
      <c r="E306" s="48"/>
      <c r="F306" s="48" t="str">
        <f>IF(Table19321[[#This Row],[Status]]="Not Entered","",VLOOKUP(Table19321[[#This Row],[Ln'#]],Excellent!$A$65:$AW$114,3,FALSE))</f>
        <v/>
      </c>
      <c r="G306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6" s="51" t="str">
        <f>IF(Table19321[[#This Row],[Status]]="Not Entered","",VLOOKUP(Table19321[[#This Row],[Ln'#]],Excellent!$A$65:$AW$114,47,FALSE))</f>
        <v/>
      </c>
    </row>
    <row r="307" spans="1:8" ht="30" customHeight="1" x14ac:dyDescent="0.4">
      <c r="A307" s="243">
        <v>32</v>
      </c>
      <c r="B307" s="49" t="str">
        <f>IF(OR(VLOOKUP(Table19321[[#This Row],[Ln'#]],Excellent!A$65:AW$114,7,FALSE)="E",VLOOKUP(Table19321[[#This Row],[Ln'#]],Excellent!A$65:AW$114,7,FALSE)="FEO"),"Entered or FEO","Not Entered")</f>
        <v>Not Entered</v>
      </c>
      <c r="C307" s="50"/>
      <c r="D307" s="48"/>
      <c r="E307" s="48"/>
      <c r="F307" s="48" t="str">
        <f>IF(Table19321[[#This Row],[Status]]="Not Entered","",VLOOKUP(Table19321[[#This Row],[Ln'#]],Excellent!$A$65:$AW$114,3,FALSE))</f>
        <v/>
      </c>
      <c r="G307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7" s="51" t="str">
        <f>IF(Table19321[[#This Row],[Status]]="Not Entered","",VLOOKUP(Table19321[[#This Row],[Ln'#]],Excellent!$A$65:$AW$114,47,FALSE))</f>
        <v/>
      </c>
    </row>
    <row r="308" spans="1:8" ht="30" customHeight="1" x14ac:dyDescent="0.4">
      <c r="A308" s="243">
        <v>33</v>
      </c>
      <c r="B308" s="49" t="str">
        <f>IF(OR(VLOOKUP(Table19321[[#This Row],[Ln'#]],Excellent!A$65:AW$114,7,FALSE)="E",VLOOKUP(Table19321[[#This Row],[Ln'#]],Excellent!A$65:AW$114,7,FALSE)="FEO"),"Entered or FEO","Not Entered")</f>
        <v>Not Entered</v>
      </c>
      <c r="C308" s="50"/>
      <c r="D308" s="48"/>
      <c r="E308" s="48"/>
      <c r="F308" s="48" t="str">
        <f>IF(Table19321[[#This Row],[Status]]="Not Entered","",VLOOKUP(Table19321[[#This Row],[Ln'#]],Excellent!$A$65:$AW$114,3,FALSE))</f>
        <v/>
      </c>
      <c r="G308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8" s="51" t="str">
        <f>IF(Table19321[[#This Row],[Status]]="Not Entered","",VLOOKUP(Table19321[[#This Row],[Ln'#]],Excellent!$A$65:$AW$114,47,FALSE))</f>
        <v/>
      </c>
    </row>
    <row r="309" spans="1:8" ht="30" customHeight="1" x14ac:dyDescent="0.4">
      <c r="A309" s="243">
        <v>34</v>
      </c>
      <c r="B309" s="49" t="str">
        <f>IF(OR(VLOOKUP(Table19321[[#This Row],[Ln'#]],Excellent!A$65:AW$114,7,FALSE)="E",VLOOKUP(Table19321[[#This Row],[Ln'#]],Excellent!A$65:AW$114,7,FALSE)="FEO"),"Entered or FEO","Not Entered")</f>
        <v>Not Entered</v>
      </c>
      <c r="C309" s="50"/>
      <c r="D309" s="48"/>
      <c r="E309" s="48"/>
      <c r="F309" s="48" t="str">
        <f>IF(Table19321[[#This Row],[Status]]="Not Entered","",VLOOKUP(Table19321[[#This Row],[Ln'#]],Excellent!$A$65:$AW$114,3,FALSE))</f>
        <v/>
      </c>
      <c r="G309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9" s="51" t="str">
        <f>IF(Table19321[[#This Row],[Status]]="Not Entered","",VLOOKUP(Table19321[[#This Row],[Ln'#]],Excellent!$A$65:$AW$114,47,FALSE))</f>
        <v/>
      </c>
    </row>
    <row r="310" spans="1:8" ht="30" customHeight="1" x14ac:dyDescent="0.4">
      <c r="A310" s="243">
        <v>35</v>
      </c>
      <c r="B310" s="49" t="str">
        <f>IF(OR(VLOOKUP(Table19321[[#This Row],[Ln'#]],Excellent!A$65:AW$114,7,FALSE)="E",VLOOKUP(Table19321[[#This Row],[Ln'#]],Excellent!A$65:AW$114,7,FALSE)="FEO"),"Entered or FEO","Not Entered")</f>
        <v>Not Entered</v>
      </c>
      <c r="C310" s="50"/>
      <c r="D310" s="48"/>
      <c r="E310" s="48"/>
      <c r="F310" s="48" t="str">
        <f>IF(Table19321[[#This Row],[Status]]="Not Entered","",VLOOKUP(Table19321[[#This Row],[Ln'#]],Excellent!$A$65:$AW$114,3,FALSE))</f>
        <v/>
      </c>
      <c r="G310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0" s="51" t="str">
        <f>IF(Table19321[[#This Row],[Status]]="Not Entered","",VLOOKUP(Table19321[[#This Row],[Ln'#]],Excellent!$A$65:$AW$114,47,FALSE))</f>
        <v/>
      </c>
    </row>
    <row r="311" spans="1:8" ht="30" customHeight="1" x14ac:dyDescent="0.4">
      <c r="A311" s="243">
        <v>36</v>
      </c>
      <c r="B311" s="49" t="str">
        <f>IF(OR(VLOOKUP(Table19321[[#This Row],[Ln'#]],Excellent!A$65:AW$114,7,FALSE)="E",VLOOKUP(Table19321[[#This Row],[Ln'#]],Excellent!A$65:AW$114,7,FALSE)="FEO"),"Entered or FEO","Not Entered")</f>
        <v>Not Entered</v>
      </c>
      <c r="C311" s="50"/>
      <c r="D311" s="48"/>
      <c r="E311" s="48"/>
      <c r="F311" s="48" t="str">
        <f>IF(Table19321[[#This Row],[Status]]="Not Entered","",VLOOKUP(Table19321[[#This Row],[Ln'#]],Excellent!$A$65:$AW$114,3,FALSE))</f>
        <v/>
      </c>
      <c r="G311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1" s="51" t="str">
        <f>IF(Table19321[[#This Row],[Status]]="Not Entered","",VLOOKUP(Table19321[[#This Row],[Ln'#]],Excellent!$A$65:$AW$114,47,FALSE))</f>
        <v/>
      </c>
    </row>
    <row r="312" spans="1:8" ht="30" customHeight="1" x14ac:dyDescent="0.4">
      <c r="A312" s="243">
        <v>37</v>
      </c>
      <c r="B312" s="49" t="str">
        <f>IF(OR(VLOOKUP(Table19321[[#This Row],[Ln'#]],Excellent!A$65:AW$114,7,FALSE)="E",VLOOKUP(Table19321[[#This Row],[Ln'#]],Excellent!A$65:AW$114,7,FALSE)="FEO"),"Entered or FEO","Not Entered")</f>
        <v>Not Entered</v>
      </c>
      <c r="C312" s="50"/>
      <c r="D312" s="48"/>
      <c r="E312" s="48"/>
      <c r="F312" s="48" t="str">
        <f>IF(Table19321[[#This Row],[Status]]="Not Entered","",VLOOKUP(Table19321[[#This Row],[Ln'#]],Excellent!$A$65:$AW$114,3,FALSE))</f>
        <v/>
      </c>
      <c r="G312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2" s="51" t="str">
        <f>IF(Table19321[[#This Row],[Status]]="Not Entered","",VLOOKUP(Table19321[[#This Row],[Ln'#]],Excellent!$A$65:$AW$114,47,FALSE))</f>
        <v/>
      </c>
    </row>
    <row r="313" spans="1:8" ht="30" customHeight="1" x14ac:dyDescent="0.4">
      <c r="A313" s="243">
        <v>38</v>
      </c>
      <c r="B313" s="49" t="str">
        <f>IF(OR(VLOOKUP(Table19321[[#This Row],[Ln'#]],Excellent!A$65:AW$114,7,FALSE)="E",VLOOKUP(Table19321[[#This Row],[Ln'#]],Excellent!A$65:AW$114,7,FALSE)="FEO"),"Entered or FEO","Not Entered")</f>
        <v>Not Entered</v>
      </c>
      <c r="C313" s="50"/>
      <c r="D313" s="48"/>
      <c r="E313" s="48"/>
      <c r="F313" s="48" t="str">
        <f>IF(Table19321[[#This Row],[Status]]="Not Entered","",VLOOKUP(Table19321[[#This Row],[Ln'#]],Excellent!$A$65:$AW$114,3,FALSE))</f>
        <v/>
      </c>
      <c r="G313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3" s="51" t="str">
        <f>IF(Table19321[[#This Row],[Status]]="Not Entered","",VLOOKUP(Table19321[[#This Row],[Ln'#]],Excellent!$A$65:$AW$114,47,FALSE))</f>
        <v/>
      </c>
    </row>
    <row r="314" spans="1:8" ht="30" customHeight="1" x14ac:dyDescent="0.4">
      <c r="A314" s="243">
        <v>39</v>
      </c>
      <c r="B314" s="49" t="str">
        <f>IF(OR(VLOOKUP(Table19321[[#This Row],[Ln'#]],Excellent!A$65:AW$114,7,FALSE)="E",VLOOKUP(Table19321[[#This Row],[Ln'#]],Excellent!A$65:AW$114,7,FALSE)="FEO"),"Entered or FEO","Not Entered")</f>
        <v>Not Entered</v>
      </c>
      <c r="C314" s="50"/>
      <c r="D314" s="48"/>
      <c r="E314" s="48"/>
      <c r="F314" s="48" t="str">
        <f>IF(Table19321[[#This Row],[Status]]="Not Entered","",VLOOKUP(Table19321[[#This Row],[Ln'#]],Excellent!$A$65:$AW$114,3,FALSE))</f>
        <v/>
      </c>
      <c r="G314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4" s="51" t="str">
        <f>IF(Table19321[[#This Row],[Status]]="Not Entered","",VLOOKUP(Table19321[[#This Row],[Ln'#]],Excellent!$A$65:$AW$114,47,FALSE))</f>
        <v/>
      </c>
    </row>
    <row r="315" spans="1:8" ht="30" customHeight="1" x14ac:dyDescent="0.4">
      <c r="A315" s="243">
        <v>40</v>
      </c>
      <c r="B315" s="49" t="str">
        <f>IF(OR(VLOOKUP(Table19321[[#This Row],[Ln'#]],Excellent!A$65:AW$114,7,FALSE)="E",VLOOKUP(Table19321[[#This Row],[Ln'#]],Excellent!A$65:AW$114,7,FALSE)="FEO"),"Entered or FEO","Not Entered")</f>
        <v>Not Entered</v>
      </c>
      <c r="C315" s="50"/>
      <c r="D315" s="48"/>
      <c r="E315" s="48"/>
      <c r="F315" s="48" t="str">
        <f>IF(Table19321[[#This Row],[Status]]="Not Entered","",VLOOKUP(Table19321[[#This Row],[Ln'#]],Excellent!$A$65:$AW$114,3,FALSE))</f>
        <v/>
      </c>
      <c r="G315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5" s="51" t="str">
        <f>IF(Table19321[[#This Row],[Status]]="Not Entered","",VLOOKUP(Table19321[[#This Row],[Ln'#]],Excellent!$A$65:$AW$114,47,FALSE))</f>
        <v/>
      </c>
    </row>
    <row r="316" spans="1:8" ht="30" customHeight="1" x14ac:dyDescent="0.4">
      <c r="A316" s="243">
        <v>41</v>
      </c>
      <c r="B316" s="49" t="str">
        <f>IF(OR(VLOOKUP(Table19321[[#This Row],[Ln'#]],Excellent!A$65:AW$114,7,FALSE)="E",VLOOKUP(Table19321[[#This Row],[Ln'#]],Excellent!A$65:AW$114,7,FALSE)="FEO"),"Entered or FEO","Not Entered")</f>
        <v>Not Entered</v>
      </c>
      <c r="C316" s="50"/>
      <c r="D316" s="48"/>
      <c r="E316" s="48"/>
      <c r="F316" s="48" t="str">
        <f>IF(Table19321[[#This Row],[Status]]="Not Entered","",VLOOKUP(Table19321[[#This Row],[Ln'#]],Excellent!$A$65:$AW$114,3,FALSE))</f>
        <v/>
      </c>
      <c r="G316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6" s="51" t="str">
        <f>IF(Table19321[[#This Row],[Status]]="Not Entered","",VLOOKUP(Table19321[[#This Row],[Ln'#]],Excellent!$A$65:$AW$114,47,FALSE))</f>
        <v/>
      </c>
    </row>
    <row r="317" spans="1:8" ht="30" customHeight="1" x14ac:dyDescent="0.4">
      <c r="A317" s="243">
        <v>42</v>
      </c>
      <c r="B317" s="49" t="str">
        <f>IF(OR(VLOOKUP(Table19321[[#This Row],[Ln'#]],Excellent!A$65:AW$114,7,FALSE)="E",VLOOKUP(Table19321[[#This Row],[Ln'#]],Excellent!A$65:AW$114,7,FALSE)="FEO"),"Entered or FEO","Not Entered")</f>
        <v>Not Entered</v>
      </c>
      <c r="C317" s="50"/>
      <c r="D317" s="48"/>
      <c r="E317" s="48"/>
      <c r="F317" s="48" t="str">
        <f>IF(Table19321[[#This Row],[Status]]="Not Entered","",VLOOKUP(Table19321[[#This Row],[Ln'#]],Excellent!$A$65:$AW$114,3,FALSE))</f>
        <v/>
      </c>
      <c r="G317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7" s="51" t="str">
        <f>IF(Table19321[[#This Row],[Status]]="Not Entered","",VLOOKUP(Table19321[[#This Row],[Ln'#]],Excellent!$A$65:$AW$114,47,FALSE))</f>
        <v/>
      </c>
    </row>
    <row r="318" spans="1:8" ht="30" customHeight="1" x14ac:dyDescent="0.4">
      <c r="A318" s="243">
        <v>43</v>
      </c>
      <c r="B318" s="49" t="str">
        <f>IF(OR(VLOOKUP(Table19321[[#This Row],[Ln'#]],Excellent!A$65:AW$114,7,FALSE)="E",VLOOKUP(Table19321[[#This Row],[Ln'#]],Excellent!A$65:AW$114,7,FALSE)="FEO"),"Entered or FEO","Not Entered")</f>
        <v>Not Entered</v>
      </c>
      <c r="C318" s="50"/>
      <c r="D318" s="48"/>
      <c r="E318" s="48"/>
      <c r="F318" s="48" t="str">
        <f>IF(Table19321[[#This Row],[Status]]="Not Entered","",VLOOKUP(Table19321[[#This Row],[Ln'#]],Excellent!$A$65:$AW$114,3,FALSE))</f>
        <v/>
      </c>
      <c r="G318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8" s="51" t="str">
        <f>IF(Table19321[[#This Row],[Status]]="Not Entered","",VLOOKUP(Table19321[[#This Row],[Ln'#]],Excellent!$A$65:$AW$114,47,FALSE))</f>
        <v/>
      </c>
    </row>
    <row r="319" spans="1:8" ht="30" customHeight="1" x14ac:dyDescent="0.4">
      <c r="A319" s="243">
        <v>44</v>
      </c>
      <c r="B319" s="49" t="str">
        <f>IF(OR(VLOOKUP(Table19321[[#This Row],[Ln'#]],Excellent!A$65:AW$114,7,FALSE)="E",VLOOKUP(Table19321[[#This Row],[Ln'#]],Excellent!A$65:AW$114,7,FALSE)="FEO"),"Entered or FEO","Not Entered")</f>
        <v>Not Entered</v>
      </c>
      <c r="C319" s="50"/>
      <c r="D319" s="48"/>
      <c r="E319" s="48"/>
      <c r="F319" s="48" t="str">
        <f>IF(Table19321[[#This Row],[Status]]="Not Entered","",VLOOKUP(Table19321[[#This Row],[Ln'#]],Excellent!$A$65:$AW$114,3,FALSE))</f>
        <v/>
      </c>
      <c r="G319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9" s="51" t="str">
        <f>IF(Table19321[[#This Row],[Status]]="Not Entered","",VLOOKUP(Table19321[[#This Row],[Ln'#]],Excellent!$A$65:$AW$114,47,FALSE))</f>
        <v/>
      </c>
    </row>
    <row r="320" spans="1:8" ht="30" customHeight="1" x14ac:dyDescent="0.4">
      <c r="A320" s="243">
        <v>45</v>
      </c>
      <c r="B320" s="49" t="str">
        <f>IF(OR(VLOOKUP(Table19321[[#This Row],[Ln'#]],Excellent!A$65:AW$114,7,FALSE)="E",VLOOKUP(Table19321[[#This Row],[Ln'#]],Excellent!A$65:AW$114,7,FALSE)="FEO"),"Entered or FEO","Not Entered")</f>
        <v>Not Entered</v>
      </c>
      <c r="C320" s="50"/>
      <c r="D320" s="48"/>
      <c r="E320" s="48"/>
      <c r="F320" s="48" t="str">
        <f>IF(Table19321[[#This Row],[Status]]="Not Entered","",VLOOKUP(Table19321[[#This Row],[Ln'#]],Excellent!$A$65:$AW$114,3,FALSE))</f>
        <v/>
      </c>
      <c r="G320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0" s="51" t="str">
        <f>IF(Table19321[[#This Row],[Status]]="Not Entered","",VLOOKUP(Table19321[[#This Row],[Ln'#]],Excellent!$A$65:$AW$114,47,FALSE))</f>
        <v/>
      </c>
    </row>
    <row r="321" spans="1:19" ht="30" customHeight="1" x14ac:dyDescent="0.4">
      <c r="A321" s="243">
        <v>46</v>
      </c>
      <c r="B321" s="49" t="str">
        <f>IF(OR(VLOOKUP(Table19321[[#This Row],[Ln'#]],Excellent!A$65:AW$114,7,FALSE)="E",VLOOKUP(Table19321[[#This Row],[Ln'#]],Excellent!A$65:AW$114,7,FALSE)="FEO"),"Entered or FEO","Not Entered")</f>
        <v>Not Entered</v>
      </c>
      <c r="C321" s="50"/>
      <c r="D321" s="48"/>
      <c r="E321" s="48"/>
      <c r="F321" s="48" t="str">
        <f>IF(Table19321[[#This Row],[Status]]="Not Entered","",VLOOKUP(Table19321[[#This Row],[Ln'#]],Excellent!$A$65:$AW$114,3,FALSE))</f>
        <v/>
      </c>
      <c r="G321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1" s="51" t="str">
        <f>IF(Table19321[[#This Row],[Status]]="Not Entered","",VLOOKUP(Table19321[[#This Row],[Ln'#]],Excellent!$A$65:$AW$114,47,FALSE))</f>
        <v/>
      </c>
    </row>
    <row r="322" spans="1:19" ht="30" customHeight="1" x14ac:dyDescent="0.4">
      <c r="A322" s="243">
        <v>47</v>
      </c>
      <c r="B322" s="49" t="str">
        <f>IF(OR(VLOOKUP(Table19321[[#This Row],[Ln'#]],Excellent!A$65:AW$114,7,FALSE)="E",VLOOKUP(Table19321[[#This Row],[Ln'#]],Excellent!A$65:AW$114,7,FALSE)="FEO"),"Entered or FEO","Not Entered")</f>
        <v>Not Entered</v>
      </c>
      <c r="C322" s="50"/>
      <c r="D322" s="48"/>
      <c r="E322" s="48"/>
      <c r="F322" s="48" t="str">
        <f>IF(Table19321[[#This Row],[Status]]="Not Entered","",VLOOKUP(Table19321[[#This Row],[Ln'#]],Excellent!$A$65:$AW$114,3,FALSE))</f>
        <v/>
      </c>
      <c r="G322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2" s="51" t="str">
        <f>IF(Table19321[[#This Row],[Status]]="Not Entered","",VLOOKUP(Table19321[[#This Row],[Ln'#]],Excellent!$A$65:$AW$114,47,FALSE))</f>
        <v/>
      </c>
    </row>
    <row r="323" spans="1:19" ht="30" customHeight="1" x14ac:dyDescent="0.4">
      <c r="A323" s="243">
        <v>48</v>
      </c>
      <c r="B323" s="49" t="str">
        <f>IF(OR(VLOOKUP(Table19321[[#This Row],[Ln'#]],Excellent!A$65:AW$114,7,FALSE)="E",VLOOKUP(Table19321[[#This Row],[Ln'#]],Excellent!A$65:AW$114,7,FALSE)="FEO"),"Entered or FEO","Not Entered")</f>
        <v>Not Entered</v>
      </c>
      <c r="C323" s="50"/>
      <c r="D323" s="48"/>
      <c r="E323" s="48"/>
      <c r="F323" s="48" t="str">
        <f>IF(Table19321[[#This Row],[Status]]="Not Entered","",VLOOKUP(Table19321[[#This Row],[Ln'#]],Excellent!$A$65:$AW$114,3,FALSE))</f>
        <v/>
      </c>
      <c r="G323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3" s="51" t="str">
        <f>IF(Table19321[[#This Row],[Status]]="Not Entered","",VLOOKUP(Table19321[[#This Row],[Ln'#]],Excellent!$A$65:$AW$114,47,FALSE))</f>
        <v/>
      </c>
    </row>
    <row r="324" spans="1:19" ht="30" customHeight="1" x14ac:dyDescent="0.4">
      <c r="A324" s="243">
        <v>49</v>
      </c>
      <c r="B324" s="49" t="str">
        <f>IF(OR(VLOOKUP(Table19321[[#This Row],[Ln'#]],Excellent!A$65:AW$114,7,FALSE)="E",VLOOKUP(Table19321[[#This Row],[Ln'#]],Excellent!A$65:AW$114,7,FALSE)="FEO"),"Entered or FEO","Not Entered")</f>
        <v>Not Entered</v>
      </c>
      <c r="C324" s="50"/>
      <c r="D324" s="48"/>
      <c r="E324" s="48"/>
      <c r="F324" s="48" t="str">
        <f>IF(Table19321[[#This Row],[Status]]="Not Entered","",VLOOKUP(Table19321[[#This Row],[Ln'#]],Excellent!$A$65:$AW$114,3,FALSE))</f>
        <v/>
      </c>
      <c r="G324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4" s="51" t="str">
        <f>IF(Table19321[[#This Row],[Status]]="Not Entered","",VLOOKUP(Table19321[[#This Row],[Ln'#]],Excellent!$A$65:$AW$114,47,FALSE))</f>
        <v/>
      </c>
    </row>
    <row r="325" spans="1:19" ht="30" customHeight="1" x14ac:dyDescent="0.4">
      <c r="A325" s="243">
        <v>50</v>
      </c>
      <c r="B325" s="49" t="str">
        <f>IF(OR(VLOOKUP(Table19321[[#This Row],[Ln'#]],Excellent!A$65:AW$114,7,FALSE)="E",VLOOKUP(Table19321[[#This Row],[Ln'#]],Excellent!A$65:AW$114,7,FALSE)="FEO"),"Entered or FEO","Not Entered")</f>
        <v>Not Entered</v>
      </c>
      <c r="C325" s="50"/>
      <c r="D325" s="48"/>
      <c r="E325" s="48"/>
      <c r="F325" s="48" t="str">
        <f>IF(Table19321[[#This Row],[Status]]="Not Entered","",VLOOKUP(Table19321[[#This Row],[Ln'#]],Excellent!$A$65:$AW$114,3,FALSE))</f>
        <v/>
      </c>
      <c r="G325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5" s="51" t="str">
        <f>IF(Table19321[[#This Row],[Status]]="Not Entered","",VLOOKUP(Table19321[[#This Row],[Ln'#]],Excellent!$A$65:$AW$114,47,FALSE))</f>
        <v/>
      </c>
    </row>
    <row r="326" spans="1:19" ht="30" customHeight="1" x14ac:dyDescent="0.4">
      <c r="A326" s="48"/>
      <c r="B326" s="48"/>
      <c r="C326" s="48"/>
      <c r="D326" s="48" t="s">
        <v>1141</v>
      </c>
      <c r="E326" s="48">
        <f>SUBTOTAL(102,Table19321[Running Order])</f>
        <v>0</v>
      </c>
      <c r="F326" s="48"/>
      <c r="G326" s="51"/>
      <c r="H326" s="51"/>
    </row>
    <row r="327" spans="1:19" ht="30" customHeight="1" x14ac:dyDescent="0.4">
      <c r="A327" s="48"/>
      <c r="B327" s="48"/>
      <c r="C327" s="48"/>
      <c r="D327" s="48"/>
      <c r="E327" s="48"/>
      <c r="F327" s="48"/>
      <c r="G327" s="48"/>
      <c r="H327" s="51"/>
      <c r="I327" s="51"/>
      <c r="K327" s="48"/>
      <c r="L327" s="48"/>
      <c r="M327" s="48"/>
      <c r="N327" s="48"/>
      <c r="O327" s="48"/>
      <c r="P327" s="48"/>
      <c r="Q327" s="48"/>
      <c r="R327" s="51"/>
      <c r="S327" s="51"/>
    </row>
    <row r="328" spans="1:19" ht="30" customHeight="1" x14ac:dyDescent="0.4">
      <c r="A328" s="192" t="s">
        <v>1143</v>
      </c>
      <c r="B328" s="403" t="s">
        <v>2538</v>
      </c>
      <c r="C328" s="403"/>
      <c r="D328" s="403"/>
      <c r="E328" s="403"/>
      <c r="F328" s="403"/>
      <c r="G328" s="403"/>
      <c r="H328" s="403"/>
      <c r="I328" s="403"/>
      <c r="K328" s="48"/>
      <c r="L328" s="48"/>
      <c r="M328" s="48"/>
      <c r="N328" s="48"/>
      <c r="O328" s="48"/>
      <c r="P328" s="48"/>
      <c r="Q328" s="48"/>
      <c r="R328" s="51"/>
      <c r="S328" s="51"/>
    </row>
    <row r="329" spans="1:19" ht="47.25" x14ac:dyDescent="0.4">
      <c r="A329" s="67" t="s">
        <v>605</v>
      </c>
      <c r="B329" s="67" t="s">
        <v>2493</v>
      </c>
      <c r="C329" s="67" t="s">
        <v>2494</v>
      </c>
      <c r="D329" s="67" t="s">
        <v>1142</v>
      </c>
      <c r="E329" s="67" t="s">
        <v>1135</v>
      </c>
      <c r="F329" s="67" t="s">
        <v>1136</v>
      </c>
      <c r="G329" s="69" t="s">
        <v>1207</v>
      </c>
      <c r="H329" s="69" t="s">
        <v>1137</v>
      </c>
      <c r="J329" s="48"/>
      <c r="K329" s="48"/>
      <c r="L329" s="48"/>
      <c r="M329" s="48"/>
      <c r="N329" s="48"/>
      <c r="O329" s="48"/>
      <c r="P329" s="48"/>
      <c r="Q329" s="51"/>
      <c r="R329" s="51"/>
    </row>
    <row r="330" spans="1:19" ht="30" customHeight="1" x14ac:dyDescent="0.45">
      <c r="A330" s="49">
        <v>1</v>
      </c>
      <c r="B330" s="144" t="str">
        <f>IF(OR(VLOOKUP(Table131323639[[#This Row],[Ln'#]],Excellent!A$65:AU$114,7,FALSE)="E",VLOOKUP(Table131323639[[#This Row],[Ln'#]],Excellent!A$65:AU$114,7,FALSE)="FEO"),"x","")</f>
        <v/>
      </c>
      <c r="C330" s="144" t="str">
        <f>IF(OR(VLOOKUP(Table131323639[[#This Row],[Ln'#]],Excellent!A$65:AU$114,15,FALSE)="E",VLOOKUP(Table131323639[[#This Row],[Ln'#]],Excellent!A$65:AU$114,15,FALSE)="FEO"),"x","")</f>
        <v/>
      </c>
      <c r="D330" s="48"/>
      <c r="E330" s="48"/>
      <c r="F330" s="48" t="str">
        <f>IF(AND(Table131323639[[#This Row],[Status Container]]="",Table131323639[[#This Row],[Status Interior]]=""),"",VLOOKUP(Table131323639[[#This Row],[Ln'#]],Excellent!$A$65:$AU$114,3,FALSE))</f>
        <v/>
      </c>
      <c r="G33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0" s="51" t="str">
        <f>IF(Table131323639[[#This Row],[Dog ID]]="","",(VLOOKUP(Table131323639[[#This Row],[Dog ID]],Excellent!C$65:$AU114,45,FALSE)))</f>
        <v/>
      </c>
      <c r="J330" s="48"/>
      <c r="K330" s="48"/>
      <c r="L330" s="48"/>
      <c r="M330" s="48"/>
      <c r="N330" s="48"/>
      <c r="O330" s="48"/>
      <c r="P330" s="48"/>
      <c r="Q330" s="51"/>
      <c r="R330" s="51"/>
    </row>
    <row r="331" spans="1:19" ht="30" customHeight="1" x14ac:dyDescent="0.45">
      <c r="A331" s="49">
        <v>2</v>
      </c>
      <c r="B331" s="144" t="str">
        <f>IF(OR(VLOOKUP(Table131323639[[#This Row],[Ln'#]],Excellent!A$65:AU$114,7,FALSE)="E",VLOOKUP(Table131323639[[#This Row],[Ln'#]],Excellent!A$65:AU$114,7,FALSE)="FEO"),"x","")</f>
        <v/>
      </c>
      <c r="C331" s="144" t="str">
        <f>IF(OR(VLOOKUP(Table131323639[[#This Row],[Ln'#]],Excellent!A$65:AU$114,15,FALSE)="E",VLOOKUP(Table131323639[[#This Row],[Ln'#]],Excellent!A$65:AU$114,15,FALSE)="FEO"),"x","")</f>
        <v/>
      </c>
      <c r="D331" s="48"/>
      <c r="E331" s="48"/>
      <c r="F331" s="48" t="str">
        <f>IF(AND(Table131323639[[#This Row],[Status Container]]="",Table131323639[[#This Row],[Status Interior]]=""),"",VLOOKUP(Table131323639[[#This Row],[Ln'#]],Excellent!$A$65:$AU$114,3,FALSE))</f>
        <v/>
      </c>
      <c r="G33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1" s="51" t="str">
        <f>IF(Table131323639[[#This Row],[Dog ID]]="","",(VLOOKUP(Table131323639[[#This Row],[Dog ID]],Excellent!C$65:$AU115,45,FALSE)))</f>
        <v/>
      </c>
      <c r="J331" s="48"/>
      <c r="K331" s="48"/>
      <c r="L331" s="48"/>
      <c r="M331" s="48"/>
      <c r="N331" s="48"/>
      <c r="O331" s="48"/>
      <c r="P331" s="48"/>
      <c r="Q331" s="51"/>
      <c r="R331" s="51"/>
    </row>
    <row r="332" spans="1:19" ht="30" customHeight="1" x14ac:dyDescent="0.45">
      <c r="A332" s="49">
        <v>3</v>
      </c>
      <c r="B332" s="144" t="str">
        <f>IF(OR(VLOOKUP(Table131323639[[#This Row],[Ln'#]],Excellent!A$65:AU$114,7,FALSE)="E",VLOOKUP(Table131323639[[#This Row],[Ln'#]],Excellent!A$65:AU$114,7,FALSE)="FEO"),"x","")</f>
        <v/>
      </c>
      <c r="C332" s="144" t="str">
        <f>IF(OR(VLOOKUP(Table131323639[[#This Row],[Ln'#]],Excellent!A$65:AU$114,15,FALSE)="E",VLOOKUP(Table131323639[[#This Row],[Ln'#]],Excellent!A$65:AU$114,15,FALSE)="FEO"),"x","")</f>
        <v/>
      </c>
      <c r="D332" s="48"/>
      <c r="E332" s="48"/>
      <c r="F332" s="48" t="str">
        <f>IF(AND(Table131323639[[#This Row],[Status Container]]="",Table131323639[[#This Row],[Status Interior]]=""),"",VLOOKUP(Table131323639[[#This Row],[Ln'#]],Excellent!$A$65:$AU$114,3,FALSE))</f>
        <v/>
      </c>
      <c r="G33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2" s="51" t="str">
        <f>IF(Table131323639[[#This Row],[Dog ID]]="","",(VLOOKUP(Table131323639[[#This Row],[Dog ID]],Excellent!C$65:$AU116,45,FALSE)))</f>
        <v/>
      </c>
      <c r="J332" s="48"/>
      <c r="K332" s="48"/>
      <c r="L332" s="48"/>
      <c r="M332" s="48"/>
      <c r="N332" s="48"/>
      <c r="O332" s="48"/>
      <c r="P332" s="48"/>
      <c r="Q332" s="51"/>
      <c r="R332" s="51"/>
    </row>
    <row r="333" spans="1:19" ht="30" customHeight="1" x14ac:dyDescent="0.45">
      <c r="A333" s="49">
        <v>4</v>
      </c>
      <c r="B333" s="144" t="str">
        <f>IF(OR(VLOOKUP(Table131323639[[#This Row],[Ln'#]],Excellent!A$65:AU$114,7,FALSE)="E",VLOOKUP(Table131323639[[#This Row],[Ln'#]],Excellent!A$65:AU$114,7,FALSE)="FEO"),"x","")</f>
        <v/>
      </c>
      <c r="C333" s="144" t="str">
        <f>IF(OR(VLOOKUP(Table131323639[[#This Row],[Ln'#]],Excellent!A$65:AU$114,15,FALSE)="E",VLOOKUP(Table131323639[[#This Row],[Ln'#]],Excellent!A$65:AU$114,15,FALSE)="FEO"),"x","")</f>
        <v/>
      </c>
      <c r="D333" s="48"/>
      <c r="E333" s="48"/>
      <c r="F333" s="48" t="str">
        <f>IF(AND(Table131323639[[#This Row],[Status Container]]="",Table131323639[[#This Row],[Status Interior]]=""),"",VLOOKUP(Table131323639[[#This Row],[Ln'#]],Excellent!$A$65:$AU$114,3,FALSE))</f>
        <v/>
      </c>
      <c r="G33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3" s="51" t="str">
        <f>IF(Table131323639[[#This Row],[Dog ID]]="","",(VLOOKUP(Table131323639[[#This Row],[Dog ID]],Excellent!C$65:$AU117,45,FALSE)))</f>
        <v/>
      </c>
      <c r="J333" s="48"/>
      <c r="K333" s="48"/>
      <c r="L333" s="48"/>
      <c r="M333" s="48"/>
      <c r="N333" s="48"/>
      <c r="O333" s="48"/>
      <c r="P333" s="48"/>
      <c r="Q333" s="51"/>
      <c r="R333" s="51"/>
    </row>
    <row r="334" spans="1:19" ht="30" customHeight="1" x14ac:dyDescent="0.45">
      <c r="A334" s="49">
        <v>5</v>
      </c>
      <c r="B334" s="144" t="str">
        <f>IF(OR(VLOOKUP(Table131323639[[#This Row],[Ln'#]],Excellent!A$65:AU$114,7,FALSE)="E",VLOOKUP(Table131323639[[#This Row],[Ln'#]],Excellent!A$65:AU$114,7,FALSE)="FEO"),"x","")</f>
        <v/>
      </c>
      <c r="C334" s="144" t="str">
        <f>IF(OR(VLOOKUP(Table131323639[[#This Row],[Ln'#]],Excellent!A$65:AU$114,15,FALSE)="E",VLOOKUP(Table131323639[[#This Row],[Ln'#]],Excellent!A$65:AU$114,15,FALSE)="FEO"),"x","")</f>
        <v/>
      </c>
      <c r="D334" s="48"/>
      <c r="E334" s="48"/>
      <c r="F334" s="48" t="str">
        <f>IF(AND(Table131323639[[#This Row],[Status Container]]="",Table131323639[[#This Row],[Status Interior]]=""),"",VLOOKUP(Table131323639[[#This Row],[Ln'#]],Excellent!$A$65:$AU$114,3,FALSE))</f>
        <v/>
      </c>
      <c r="G33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4" s="51" t="str">
        <f>IF(Table131323639[[#This Row],[Dog ID]]="","",(VLOOKUP(Table131323639[[#This Row],[Dog ID]],Excellent!C$65:$AU118,45,FALSE)))</f>
        <v/>
      </c>
      <c r="J334" s="48"/>
      <c r="K334" s="48"/>
      <c r="L334" s="48"/>
      <c r="M334" s="48"/>
      <c r="N334" s="48"/>
      <c r="O334" s="48"/>
      <c r="P334" s="48"/>
      <c r="Q334" s="51"/>
      <c r="R334" s="51"/>
    </row>
    <row r="335" spans="1:19" ht="30" customHeight="1" x14ac:dyDescent="0.45">
      <c r="A335" s="49">
        <v>6</v>
      </c>
      <c r="B335" s="144" t="str">
        <f>IF(OR(VLOOKUP(Table131323639[[#This Row],[Ln'#]],Excellent!A$65:AU$114,7,FALSE)="E",VLOOKUP(Table131323639[[#This Row],[Ln'#]],Excellent!A$65:AU$114,7,FALSE)="FEO"),"x","")</f>
        <v/>
      </c>
      <c r="C335" s="144" t="str">
        <f>IF(OR(VLOOKUP(Table131323639[[#This Row],[Ln'#]],Excellent!A$65:AU$114,15,FALSE)="E",VLOOKUP(Table131323639[[#This Row],[Ln'#]],Excellent!A$65:AU$114,15,FALSE)="FEO"),"x","")</f>
        <v/>
      </c>
      <c r="D335" s="48"/>
      <c r="E335" s="48"/>
      <c r="F335" s="48" t="str">
        <f>IF(AND(Table131323639[[#This Row],[Status Container]]="",Table131323639[[#This Row],[Status Interior]]=""),"",VLOOKUP(Table131323639[[#This Row],[Ln'#]],Excellent!$A$65:$AU$114,3,FALSE))</f>
        <v/>
      </c>
      <c r="G33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5" s="51" t="str">
        <f>IF(Table131323639[[#This Row],[Dog ID]]="","",(VLOOKUP(Table131323639[[#This Row],[Dog ID]],Excellent!C$65:$AU119,45,FALSE)))</f>
        <v/>
      </c>
      <c r="J335" s="48"/>
      <c r="K335" s="48"/>
      <c r="L335" s="48"/>
      <c r="M335" s="48"/>
      <c r="N335" s="48"/>
      <c r="O335" s="48"/>
      <c r="P335" s="48"/>
      <c r="Q335" s="51"/>
      <c r="R335" s="51"/>
    </row>
    <row r="336" spans="1:19" ht="30" customHeight="1" x14ac:dyDescent="0.45">
      <c r="A336" s="49">
        <v>7</v>
      </c>
      <c r="B336" s="144" t="str">
        <f>IF(OR(VLOOKUP(Table131323639[[#This Row],[Ln'#]],Excellent!A$65:AU$114,7,FALSE)="E",VLOOKUP(Table131323639[[#This Row],[Ln'#]],Excellent!A$65:AU$114,7,FALSE)="FEO"),"x","")</f>
        <v/>
      </c>
      <c r="C336" s="144" t="str">
        <f>IF(OR(VLOOKUP(Table131323639[[#This Row],[Ln'#]],Excellent!A$65:AU$114,15,FALSE)="E",VLOOKUP(Table131323639[[#This Row],[Ln'#]],Excellent!A$65:AU$114,15,FALSE)="FEO"),"x","")</f>
        <v/>
      </c>
      <c r="D336" s="48"/>
      <c r="E336" s="48"/>
      <c r="F336" s="48" t="str">
        <f>IF(AND(Table131323639[[#This Row],[Status Container]]="",Table131323639[[#This Row],[Status Interior]]=""),"",VLOOKUP(Table131323639[[#This Row],[Ln'#]],Excellent!$A$65:$AU$114,3,FALSE))</f>
        <v/>
      </c>
      <c r="G33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6" s="51" t="str">
        <f>IF(Table131323639[[#This Row],[Dog ID]]="","",(VLOOKUP(Table131323639[[#This Row],[Dog ID]],Excellent!C$65:$AU120,45,FALSE)))</f>
        <v/>
      </c>
      <c r="J336" s="48"/>
      <c r="K336" s="48"/>
      <c r="L336" s="48"/>
      <c r="M336" s="48"/>
      <c r="N336" s="48"/>
      <c r="O336" s="48"/>
      <c r="P336" s="48"/>
      <c r="Q336" s="51"/>
      <c r="R336" s="51"/>
    </row>
    <row r="337" spans="1:18" ht="30" customHeight="1" x14ac:dyDescent="0.45">
      <c r="A337" s="49">
        <v>8</v>
      </c>
      <c r="B337" s="144" t="str">
        <f>IF(OR(VLOOKUP(Table131323639[[#This Row],[Ln'#]],Excellent!A$65:AU$114,7,FALSE)="E",VLOOKUP(Table131323639[[#This Row],[Ln'#]],Excellent!A$65:AU$114,7,FALSE)="FEO"),"x","")</f>
        <v/>
      </c>
      <c r="C337" s="144" t="str">
        <f>IF(OR(VLOOKUP(Table131323639[[#This Row],[Ln'#]],Excellent!A$65:AU$114,15,FALSE)="E",VLOOKUP(Table131323639[[#This Row],[Ln'#]],Excellent!A$65:AU$114,15,FALSE)="FEO"),"x","")</f>
        <v/>
      </c>
      <c r="D337" s="48"/>
      <c r="E337" s="48"/>
      <c r="F337" s="48" t="str">
        <f>IF(AND(Table131323639[[#This Row],[Status Container]]="",Table131323639[[#This Row],[Status Interior]]=""),"",VLOOKUP(Table131323639[[#This Row],[Ln'#]],Excellent!$A$65:$AU$114,3,FALSE))</f>
        <v/>
      </c>
      <c r="G33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7" s="51" t="str">
        <f>IF(Table131323639[[#This Row],[Dog ID]]="","",(VLOOKUP(Table131323639[[#This Row],[Dog ID]],Excellent!C$65:$AU121,45,FALSE)))</f>
        <v/>
      </c>
      <c r="J337" s="48"/>
      <c r="K337" s="48"/>
      <c r="L337" s="48"/>
      <c r="M337" s="48"/>
      <c r="N337" s="48"/>
      <c r="O337" s="48"/>
      <c r="P337" s="48"/>
      <c r="Q337" s="51"/>
      <c r="R337" s="51"/>
    </row>
    <row r="338" spans="1:18" ht="30" customHeight="1" x14ac:dyDescent="0.45">
      <c r="A338" s="49">
        <v>9</v>
      </c>
      <c r="B338" s="144" t="str">
        <f>IF(OR(VLOOKUP(Table131323639[[#This Row],[Ln'#]],Excellent!A$65:AU$114,7,FALSE)="E",VLOOKUP(Table131323639[[#This Row],[Ln'#]],Excellent!A$65:AU$114,7,FALSE)="FEO"),"x","")</f>
        <v/>
      </c>
      <c r="C338" s="144" t="str">
        <f>IF(OR(VLOOKUP(Table131323639[[#This Row],[Ln'#]],Excellent!A$65:AU$114,15,FALSE)="E",VLOOKUP(Table131323639[[#This Row],[Ln'#]],Excellent!A$65:AU$114,15,FALSE)="FEO"),"x","")</f>
        <v/>
      </c>
      <c r="D338" s="48"/>
      <c r="E338" s="48"/>
      <c r="F338" s="48" t="str">
        <f>IF(AND(Table131323639[[#This Row],[Status Container]]="",Table131323639[[#This Row],[Status Interior]]=""),"",VLOOKUP(Table131323639[[#This Row],[Ln'#]],Excellent!$A$65:$AU$114,3,FALSE))</f>
        <v/>
      </c>
      <c r="G33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8" s="51" t="str">
        <f>IF(Table131323639[[#This Row],[Dog ID]]="","",(VLOOKUP(Table131323639[[#This Row],[Dog ID]],Excellent!C$65:$AU122,45,FALSE)))</f>
        <v/>
      </c>
      <c r="J338" s="48"/>
      <c r="K338" s="48"/>
      <c r="L338" s="48"/>
      <c r="M338" s="48"/>
      <c r="N338" s="48"/>
      <c r="O338" s="48"/>
      <c r="P338" s="48"/>
      <c r="Q338" s="51"/>
      <c r="R338" s="51"/>
    </row>
    <row r="339" spans="1:18" ht="30" customHeight="1" x14ac:dyDescent="0.45">
      <c r="A339" s="49">
        <v>10</v>
      </c>
      <c r="B339" s="144" t="str">
        <f>IF(OR(VLOOKUP(Table131323639[[#This Row],[Ln'#]],Excellent!A$65:AU$114,7,FALSE)="E",VLOOKUP(Table131323639[[#This Row],[Ln'#]],Excellent!A$65:AU$114,7,FALSE)="FEO"),"x","")</f>
        <v/>
      </c>
      <c r="C339" s="144" t="str">
        <f>IF(OR(VLOOKUP(Table131323639[[#This Row],[Ln'#]],Excellent!A$65:AU$114,15,FALSE)="E",VLOOKUP(Table131323639[[#This Row],[Ln'#]],Excellent!A$65:AU$114,15,FALSE)="FEO"),"x","")</f>
        <v/>
      </c>
      <c r="D339" s="48"/>
      <c r="E339" s="48"/>
      <c r="F339" s="48" t="str">
        <f>IF(AND(Table131323639[[#This Row],[Status Container]]="",Table131323639[[#This Row],[Status Interior]]=""),"",VLOOKUP(Table131323639[[#This Row],[Ln'#]],Excellent!$A$65:$AU$114,3,FALSE))</f>
        <v/>
      </c>
      <c r="G33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9" s="51" t="str">
        <f>IF(Table131323639[[#This Row],[Dog ID]]="","",(VLOOKUP(Table131323639[[#This Row],[Dog ID]],Excellent!C$65:$AU123,45,FALSE)))</f>
        <v/>
      </c>
      <c r="J339" s="48"/>
      <c r="K339" s="48"/>
      <c r="L339" s="48"/>
      <c r="M339" s="48"/>
      <c r="N339" s="48"/>
      <c r="O339" s="48"/>
      <c r="P339" s="48"/>
      <c r="Q339" s="51"/>
      <c r="R339" s="51"/>
    </row>
    <row r="340" spans="1:18" ht="30" customHeight="1" x14ac:dyDescent="0.45">
      <c r="A340" s="49">
        <v>11</v>
      </c>
      <c r="B340" s="144" t="str">
        <f>IF(OR(VLOOKUP(Table131323639[[#This Row],[Ln'#]],Excellent!A$65:AU$114,7,FALSE)="E",VLOOKUP(Table131323639[[#This Row],[Ln'#]],Excellent!A$65:AU$114,7,FALSE)="FEO"),"x","")</f>
        <v/>
      </c>
      <c r="C340" s="144" t="str">
        <f>IF(OR(VLOOKUP(Table131323639[[#This Row],[Ln'#]],Excellent!A$65:AU$114,15,FALSE)="E",VLOOKUP(Table131323639[[#This Row],[Ln'#]],Excellent!A$65:AU$114,15,FALSE)="FEO"),"x","")</f>
        <v/>
      </c>
      <c r="D340" s="48"/>
      <c r="E340" s="48"/>
      <c r="F340" s="48" t="str">
        <f>IF(AND(Table131323639[[#This Row],[Status Container]]="",Table131323639[[#This Row],[Status Interior]]=""),"",VLOOKUP(Table131323639[[#This Row],[Ln'#]],Excellent!$A$65:$AU$114,3,FALSE))</f>
        <v/>
      </c>
      <c r="G34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0" s="51" t="str">
        <f>IF(Table131323639[[#This Row],[Dog ID]]="","",(VLOOKUP(Table131323639[[#This Row],[Dog ID]],Excellent!C$65:$AU124,45,FALSE)))</f>
        <v/>
      </c>
      <c r="J340" s="48"/>
      <c r="K340" s="48"/>
      <c r="L340" s="48"/>
      <c r="M340" s="48"/>
      <c r="N340" s="48"/>
      <c r="O340" s="48"/>
      <c r="P340" s="48"/>
      <c r="Q340" s="51"/>
      <c r="R340" s="51"/>
    </row>
    <row r="341" spans="1:18" ht="30" customHeight="1" x14ac:dyDescent="0.45">
      <c r="A341" s="49">
        <v>12</v>
      </c>
      <c r="B341" s="144" t="str">
        <f>IF(OR(VLOOKUP(Table131323639[[#This Row],[Ln'#]],Excellent!A$65:AU$114,7,FALSE)="E",VLOOKUP(Table131323639[[#This Row],[Ln'#]],Excellent!A$65:AU$114,7,FALSE)="FEO"),"x","")</f>
        <v/>
      </c>
      <c r="C341" s="144" t="str">
        <f>IF(OR(VLOOKUP(Table131323639[[#This Row],[Ln'#]],Excellent!A$65:AU$114,15,FALSE)="E",VLOOKUP(Table131323639[[#This Row],[Ln'#]],Excellent!A$65:AU$114,15,FALSE)="FEO"),"x","")</f>
        <v/>
      </c>
      <c r="D341" s="48"/>
      <c r="E341" s="48"/>
      <c r="F341" s="48" t="str">
        <f>IF(AND(Table131323639[[#This Row],[Status Container]]="",Table131323639[[#This Row],[Status Interior]]=""),"",VLOOKUP(Table131323639[[#This Row],[Ln'#]],Excellent!$A$65:$AU$114,3,FALSE))</f>
        <v/>
      </c>
      <c r="G34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1" s="51" t="str">
        <f>IF(Table131323639[[#This Row],[Dog ID]]="","",(VLOOKUP(Table131323639[[#This Row],[Dog ID]],Excellent!C$65:$AU125,45,FALSE)))</f>
        <v/>
      </c>
      <c r="J341" s="48"/>
      <c r="K341" s="48"/>
      <c r="L341" s="48"/>
      <c r="M341" s="48"/>
      <c r="N341" s="48"/>
      <c r="O341" s="48"/>
      <c r="P341" s="48"/>
      <c r="Q341" s="51"/>
      <c r="R341" s="51"/>
    </row>
    <row r="342" spans="1:18" ht="30" customHeight="1" x14ac:dyDescent="0.45">
      <c r="A342" s="49">
        <v>13</v>
      </c>
      <c r="B342" s="144" t="str">
        <f>IF(OR(VLOOKUP(Table131323639[[#This Row],[Ln'#]],Excellent!A$65:AU$114,7,FALSE)="E",VLOOKUP(Table131323639[[#This Row],[Ln'#]],Excellent!A$65:AU$114,7,FALSE)="FEO"),"x","")</f>
        <v/>
      </c>
      <c r="C342" s="144" t="str">
        <f>IF(OR(VLOOKUP(Table131323639[[#This Row],[Ln'#]],Excellent!A$65:AU$114,15,FALSE)="E",VLOOKUP(Table131323639[[#This Row],[Ln'#]],Excellent!A$65:AU$114,15,FALSE)="FEO"),"x","")</f>
        <v/>
      </c>
      <c r="D342" s="48"/>
      <c r="E342" s="48"/>
      <c r="F342" s="48" t="str">
        <f>IF(AND(Table131323639[[#This Row],[Status Container]]="",Table131323639[[#This Row],[Status Interior]]=""),"",VLOOKUP(Table131323639[[#This Row],[Ln'#]],Excellent!$A$65:$AU$114,3,FALSE))</f>
        <v/>
      </c>
      <c r="G34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2" s="51" t="str">
        <f>IF(Table131323639[[#This Row],[Dog ID]]="","",(VLOOKUP(Table131323639[[#This Row],[Dog ID]],Excellent!C$65:$AU126,45,FALSE)))</f>
        <v/>
      </c>
      <c r="J342" s="48"/>
      <c r="K342" s="48"/>
      <c r="L342" s="48"/>
      <c r="M342" s="48"/>
      <c r="N342" s="48"/>
      <c r="O342" s="48"/>
      <c r="P342" s="48"/>
      <c r="Q342" s="51"/>
      <c r="R342" s="51"/>
    </row>
    <row r="343" spans="1:18" ht="30" customHeight="1" x14ac:dyDescent="0.45">
      <c r="A343" s="49">
        <v>14</v>
      </c>
      <c r="B343" s="144" t="str">
        <f>IF(OR(VLOOKUP(Table131323639[[#This Row],[Ln'#]],Excellent!A$65:AU$114,7,FALSE)="E",VLOOKUP(Table131323639[[#This Row],[Ln'#]],Excellent!A$65:AU$114,7,FALSE)="FEO"),"x","")</f>
        <v/>
      </c>
      <c r="C343" s="144" t="str">
        <f>IF(OR(VLOOKUP(Table131323639[[#This Row],[Ln'#]],Excellent!A$65:AU$114,15,FALSE)="E",VLOOKUP(Table131323639[[#This Row],[Ln'#]],Excellent!A$65:AU$114,15,FALSE)="FEO"),"x","")</f>
        <v/>
      </c>
      <c r="D343" s="48"/>
      <c r="E343" s="48"/>
      <c r="F343" s="48" t="str">
        <f>IF(AND(Table131323639[[#This Row],[Status Container]]="",Table131323639[[#This Row],[Status Interior]]=""),"",VLOOKUP(Table131323639[[#This Row],[Ln'#]],Excellent!$A$65:$AU$114,3,FALSE))</f>
        <v/>
      </c>
      <c r="G34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3" s="51" t="str">
        <f>IF(Table131323639[[#This Row],[Dog ID]]="","",(VLOOKUP(Table131323639[[#This Row],[Dog ID]],Excellent!C$65:$AU127,45,FALSE)))</f>
        <v/>
      </c>
      <c r="J343" s="48"/>
      <c r="K343" s="48"/>
      <c r="L343" s="48"/>
      <c r="M343" s="48"/>
      <c r="N343" s="48"/>
      <c r="O343" s="48"/>
      <c r="P343" s="48"/>
      <c r="Q343" s="51"/>
      <c r="R343" s="51"/>
    </row>
    <row r="344" spans="1:18" ht="30" customHeight="1" x14ac:dyDescent="0.45">
      <c r="A344" s="49">
        <v>15</v>
      </c>
      <c r="B344" s="144" t="str">
        <f>IF(OR(VLOOKUP(Table131323639[[#This Row],[Ln'#]],Excellent!A$65:AU$114,7,FALSE)="E",VLOOKUP(Table131323639[[#This Row],[Ln'#]],Excellent!A$65:AU$114,7,FALSE)="FEO"),"x","")</f>
        <v/>
      </c>
      <c r="C344" s="144" t="str">
        <f>IF(OR(VLOOKUP(Table131323639[[#This Row],[Ln'#]],Excellent!A$65:AU$114,15,FALSE)="E",VLOOKUP(Table131323639[[#This Row],[Ln'#]],Excellent!A$65:AU$114,15,FALSE)="FEO"),"x","")</f>
        <v/>
      </c>
      <c r="D344" s="48"/>
      <c r="E344" s="48"/>
      <c r="F344" s="48" t="str">
        <f>IF(AND(Table131323639[[#This Row],[Status Container]]="",Table131323639[[#This Row],[Status Interior]]=""),"",VLOOKUP(Table131323639[[#This Row],[Ln'#]],Excellent!$A$65:$AU$114,3,FALSE))</f>
        <v/>
      </c>
      <c r="G34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4" s="51" t="str">
        <f>IF(Table131323639[[#This Row],[Dog ID]]="","",(VLOOKUP(Table131323639[[#This Row],[Dog ID]],Excellent!C$65:$AU128,45,FALSE)))</f>
        <v/>
      </c>
      <c r="J344" s="48"/>
      <c r="K344" s="48"/>
      <c r="L344" s="48"/>
      <c r="M344" s="48"/>
      <c r="N344" s="48"/>
      <c r="O344" s="48"/>
      <c r="P344" s="48"/>
      <c r="Q344" s="51"/>
      <c r="R344" s="51"/>
    </row>
    <row r="345" spans="1:18" ht="30" customHeight="1" x14ac:dyDescent="0.45">
      <c r="A345" s="49">
        <v>16</v>
      </c>
      <c r="B345" s="144" t="str">
        <f>IF(OR(VLOOKUP(Table131323639[[#This Row],[Ln'#]],Excellent!A$65:AU$114,7,FALSE)="E",VLOOKUP(Table131323639[[#This Row],[Ln'#]],Excellent!A$65:AU$114,7,FALSE)="FEO"),"x","")</f>
        <v/>
      </c>
      <c r="C345" s="144" t="str">
        <f>IF(OR(VLOOKUP(Table131323639[[#This Row],[Ln'#]],Excellent!A$65:AU$114,15,FALSE)="E",VLOOKUP(Table131323639[[#This Row],[Ln'#]],Excellent!A$65:AU$114,15,FALSE)="FEO"),"x","")</f>
        <v/>
      </c>
      <c r="D345" s="48"/>
      <c r="E345" s="48"/>
      <c r="F345" s="48" t="str">
        <f>IF(AND(Table131323639[[#This Row],[Status Container]]="",Table131323639[[#This Row],[Status Interior]]=""),"",VLOOKUP(Table131323639[[#This Row],[Ln'#]],Excellent!$A$65:$AU$114,3,FALSE))</f>
        <v/>
      </c>
      <c r="G34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5" s="51" t="str">
        <f>IF(Table131323639[[#This Row],[Dog ID]]="","",(VLOOKUP(Table131323639[[#This Row],[Dog ID]],Excellent!C$65:$AU129,45,FALSE)))</f>
        <v/>
      </c>
      <c r="J345" s="48"/>
      <c r="K345" s="48"/>
      <c r="L345" s="48"/>
      <c r="M345" s="48"/>
      <c r="N345" s="48"/>
      <c r="O345" s="48"/>
      <c r="P345" s="48"/>
      <c r="Q345" s="51"/>
      <c r="R345" s="51"/>
    </row>
    <row r="346" spans="1:18" ht="30" customHeight="1" x14ac:dyDescent="0.45">
      <c r="A346" s="49">
        <v>17</v>
      </c>
      <c r="B346" s="144" t="str">
        <f>IF(OR(VLOOKUP(Table131323639[[#This Row],[Ln'#]],Excellent!A$65:AU$114,7,FALSE)="E",VLOOKUP(Table131323639[[#This Row],[Ln'#]],Excellent!A$65:AU$114,7,FALSE)="FEO"),"x","")</f>
        <v/>
      </c>
      <c r="C346" s="144" t="str">
        <f>IF(OR(VLOOKUP(Table131323639[[#This Row],[Ln'#]],Excellent!A$65:AU$114,15,FALSE)="E",VLOOKUP(Table131323639[[#This Row],[Ln'#]],Excellent!A$65:AU$114,15,FALSE)="FEO"),"x","")</f>
        <v/>
      </c>
      <c r="D346" s="48"/>
      <c r="E346" s="48"/>
      <c r="F346" s="48" t="str">
        <f>IF(AND(Table131323639[[#This Row],[Status Container]]="",Table131323639[[#This Row],[Status Interior]]=""),"",VLOOKUP(Table131323639[[#This Row],[Ln'#]],Excellent!$A$65:$AU$114,3,FALSE))</f>
        <v/>
      </c>
      <c r="G34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6" s="51" t="str">
        <f>IF(Table131323639[[#This Row],[Dog ID]]="","",(VLOOKUP(Table131323639[[#This Row],[Dog ID]],Excellent!C$65:$AU130,45,FALSE)))</f>
        <v/>
      </c>
      <c r="J346" s="48"/>
      <c r="K346" s="48"/>
      <c r="L346" s="48"/>
      <c r="M346" s="48"/>
      <c r="N346" s="48"/>
      <c r="O346" s="48"/>
      <c r="P346" s="48"/>
      <c r="Q346" s="51"/>
      <c r="R346" s="51"/>
    </row>
    <row r="347" spans="1:18" ht="30" customHeight="1" x14ac:dyDescent="0.45">
      <c r="A347" s="49">
        <v>18</v>
      </c>
      <c r="B347" s="144" t="str">
        <f>IF(OR(VLOOKUP(Table131323639[[#This Row],[Ln'#]],Excellent!A$65:AU$114,7,FALSE)="E",VLOOKUP(Table131323639[[#This Row],[Ln'#]],Excellent!A$65:AU$114,7,FALSE)="FEO"),"x","")</f>
        <v/>
      </c>
      <c r="C347" s="144" t="str">
        <f>IF(OR(VLOOKUP(Table131323639[[#This Row],[Ln'#]],Excellent!A$65:AU$114,15,FALSE)="E",VLOOKUP(Table131323639[[#This Row],[Ln'#]],Excellent!A$65:AU$114,15,FALSE)="FEO"),"x","")</f>
        <v/>
      </c>
      <c r="D347" s="48"/>
      <c r="E347" s="48"/>
      <c r="F347" s="48" t="str">
        <f>IF(AND(Table131323639[[#This Row],[Status Container]]="",Table131323639[[#This Row],[Status Interior]]=""),"",VLOOKUP(Table131323639[[#This Row],[Ln'#]],Excellent!$A$65:$AU$114,3,FALSE))</f>
        <v/>
      </c>
      <c r="G34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7" s="51" t="str">
        <f>IF(Table131323639[[#This Row],[Dog ID]]="","",(VLOOKUP(Table131323639[[#This Row],[Dog ID]],Excellent!C$65:$AU131,45,FALSE)))</f>
        <v/>
      </c>
      <c r="J347" s="48"/>
      <c r="K347" s="48"/>
      <c r="L347" s="48"/>
      <c r="M347" s="48"/>
      <c r="N347" s="48"/>
      <c r="O347" s="48"/>
      <c r="P347" s="48"/>
      <c r="Q347" s="51"/>
      <c r="R347" s="51"/>
    </row>
    <row r="348" spans="1:18" ht="30" customHeight="1" x14ac:dyDescent="0.45">
      <c r="A348" s="49">
        <v>19</v>
      </c>
      <c r="B348" s="144" t="str">
        <f>IF(OR(VLOOKUP(Table131323639[[#This Row],[Ln'#]],Excellent!A$65:AU$114,7,FALSE)="E",VLOOKUP(Table131323639[[#This Row],[Ln'#]],Excellent!A$65:AU$114,7,FALSE)="FEO"),"x","")</f>
        <v/>
      </c>
      <c r="C348" s="144" t="str">
        <f>IF(OR(VLOOKUP(Table131323639[[#This Row],[Ln'#]],Excellent!A$65:AU$114,15,FALSE)="E",VLOOKUP(Table131323639[[#This Row],[Ln'#]],Excellent!A$65:AU$114,15,FALSE)="FEO"),"x","")</f>
        <v/>
      </c>
      <c r="D348" s="48"/>
      <c r="E348" s="48"/>
      <c r="F348" s="48" t="str">
        <f>IF(AND(Table131323639[[#This Row],[Status Container]]="",Table131323639[[#This Row],[Status Interior]]=""),"",VLOOKUP(Table131323639[[#This Row],[Ln'#]],Excellent!$A$65:$AU$114,3,FALSE))</f>
        <v/>
      </c>
      <c r="G34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8" s="51" t="str">
        <f>IF(Table131323639[[#This Row],[Dog ID]]="","",(VLOOKUP(Table131323639[[#This Row],[Dog ID]],Excellent!C$65:$AU132,45,FALSE)))</f>
        <v/>
      </c>
      <c r="J348" s="48"/>
      <c r="K348" s="48"/>
      <c r="L348" s="48"/>
      <c r="M348" s="48"/>
      <c r="N348" s="48"/>
      <c r="O348" s="48"/>
      <c r="P348" s="48"/>
      <c r="Q348" s="51"/>
      <c r="R348" s="51"/>
    </row>
    <row r="349" spans="1:18" ht="30" customHeight="1" x14ac:dyDescent="0.45">
      <c r="A349" s="49">
        <v>20</v>
      </c>
      <c r="B349" s="144" t="str">
        <f>IF(OR(VLOOKUP(Table131323639[[#This Row],[Ln'#]],Excellent!A$65:AU$114,7,FALSE)="E",VLOOKUP(Table131323639[[#This Row],[Ln'#]],Excellent!A$65:AU$114,7,FALSE)="FEO"),"x","")</f>
        <v/>
      </c>
      <c r="C349" s="144" t="str">
        <f>IF(OR(VLOOKUP(Table131323639[[#This Row],[Ln'#]],Excellent!A$65:AU$114,15,FALSE)="E",VLOOKUP(Table131323639[[#This Row],[Ln'#]],Excellent!A$65:AU$114,15,FALSE)="FEO"),"x","")</f>
        <v/>
      </c>
      <c r="D349" s="48"/>
      <c r="E349" s="48"/>
      <c r="F349" s="48" t="str">
        <f>IF(AND(Table131323639[[#This Row],[Status Container]]="",Table131323639[[#This Row],[Status Interior]]=""),"",VLOOKUP(Table131323639[[#This Row],[Ln'#]],Excellent!$A$65:$AU$114,3,FALSE))</f>
        <v/>
      </c>
      <c r="G34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9" s="51" t="str">
        <f>IF(Table131323639[[#This Row],[Dog ID]]="","",(VLOOKUP(Table131323639[[#This Row],[Dog ID]],Excellent!C$65:$AU133,45,FALSE)))</f>
        <v/>
      </c>
      <c r="J349" s="48"/>
      <c r="K349" s="48"/>
      <c r="L349" s="48"/>
      <c r="M349" s="48"/>
      <c r="N349" s="48"/>
      <c r="O349" s="48"/>
      <c r="P349" s="48"/>
      <c r="Q349" s="51"/>
      <c r="R349" s="51"/>
    </row>
    <row r="350" spans="1:18" ht="30" customHeight="1" x14ac:dyDescent="0.45">
      <c r="A350" s="49">
        <v>21</v>
      </c>
      <c r="B350" s="144" t="str">
        <f>IF(OR(VLOOKUP(Table131323639[[#This Row],[Ln'#]],Excellent!A$65:AU$114,7,FALSE)="E",VLOOKUP(Table131323639[[#This Row],[Ln'#]],Excellent!A$65:AU$114,7,FALSE)="FEO"),"x","")</f>
        <v/>
      </c>
      <c r="C350" s="144" t="str">
        <f>IF(OR(VLOOKUP(Table131323639[[#This Row],[Ln'#]],Excellent!A$65:AU$114,15,FALSE)="E",VLOOKUP(Table131323639[[#This Row],[Ln'#]],Excellent!A$65:AU$114,15,FALSE)="FEO"),"x","")</f>
        <v/>
      </c>
      <c r="D350" s="48"/>
      <c r="E350" s="48"/>
      <c r="F350" s="48" t="str">
        <f>IF(AND(Table131323639[[#This Row],[Status Container]]="",Table131323639[[#This Row],[Status Interior]]=""),"",VLOOKUP(Table131323639[[#This Row],[Ln'#]],Excellent!$A$65:$AU$114,3,FALSE))</f>
        <v/>
      </c>
      <c r="G35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0" s="51" t="str">
        <f>IF(Table131323639[[#This Row],[Dog ID]]="","",(VLOOKUP(Table131323639[[#This Row],[Dog ID]],Excellent!C$65:$AU134,45,FALSE)))</f>
        <v/>
      </c>
      <c r="J350" s="48"/>
      <c r="K350" s="48"/>
      <c r="L350" s="48"/>
      <c r="M350" s="48"/>
      <c r="N350" s="48"/>
      <c r="O350" s="48"/>
      <c r="P350" s="48"/>
      <c r="Q350" s="51"/>
      <c r="R350" s="51"/>
    </row>
    <row r="351" spans="1:18" ht="30" customHeight="1" x14ac:dyDescent="0.45">
      <c r="A351" s="243">
        <v>22</v>
      </c>
      <c r="B351" s="144" t="str">
        <f>IF(OR(VLOOKUP(Table131323639[[#This Row],[Ln'#]],Excellent!A$65:AU$114,7,FALSE)="E",VLOOKUP(Table131323639[[#This Row],[Ln'#]],Excellent!A$65:AU$114,7,FALSE)="FEO"),"x","")</f>
        <v/>
      </c>
      <c r="C351" s="144" t="str">
        <f>IF(OR(VLOOKUP(Table131323639[[#This Row],[Ln'#]],Excellent!A$65:AU$114,15,FALSE)="E",VLOOKUP(Table131323639[[#This Row],[Ln'#]],Excellent!A$65:AU$114,15,FALSE)="FEO"),"x","")</f>
        <v/>
      </c>
      <c r="D351" s="48"/>
      <c r="E351" s="48"/>
      <c r="F351" s="48" t="str">
        <f>IF(AND(Table131323639[[#This Row],[Status Container]]="",Table131323639[[#This Row],[Status Interior]]=""),"",VLOOKUP(Table131323639[[#This Row],[Ln'#]],Excellent!$A$65:$AU$114,3,FALSE))</f>
        <v/>
      </c>
      <c r="G35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1" s="51" t="str">
        <f>IF(Table131323639[[#This Row],[Dog ID]]="","",(VLOOKUP(Table131323639[[#This Row],[Dog ID]],Excellent!C$65:$AU135,45,FALSE)))</f>
        <v/>
      </c>
      <c r="J351" s="48"/>
      <c r="K351" s="48"/>
      <c r="L351" s="48"/>
      <c r="M351" s="48"/>
      <c r="N351" s="48"/>
      <c r="O351" s="48"/>
      <c r="P351" s="48"/>
      <c r="Q351" s="51"/>
      <c r="R351" s="51"/>
    </row>
    <row r="352" spans="1:18" ht="30" customHeight="1" x14ac:dyDescent="0.45">
      <c r="A352" s="243">
        <v>23</v>
      </c>
      <c r="B352" s="144" t="str">
        <f>IF(OR(VLOOKUP(Table131323639[[#This Row],[Ln'#]],Excellent!A$65:AU$114,7,FALSE)="E",VLOOKUP(Table131323639[[#This Row],[Ln'#]],Excellent!A$65:AU$114,7,FALSE)="FEO"),"x","")</f>
        <v/>
      </c>
      <c r="C352" s="144" t="str">
        <f>IF(OR(VLOOKUP(Table131323639[[#This Row],[Ln'#]],Excellent!A$65:AU$114,15,FALSE)="E",VLOOKUP(Table131323639[[#This Row],[Ln'#]],Excellent!A$65:AU$114,15,FALSE)="FEO"),"x","")</f>
        <v/>
      </c>
      <c r="D352" s="48"/>
      <c r="E352" s="48"/>
      <c r="F352" s="48" t="str">
        <f>IF(AND(Table131323639[[#This Row],[Status Container]]="",Table131323639[[#This Row],[Status Interior]]=""),"",VLOOKUP(Table131323639[[#This Row],[Ln'#]],Excellent!$A$65:$AU$114,3,FALSE))</f>
        <v/>
      </c>
      <c r="G35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2" s="51" t="str">
        <f>IF(Table131323639[[#This Row],[Dog ID]]="","",(VLOOKUP(Table131323639[[#This Row],[Dog ID]],Excellent!C$65:$AU136,45,FALSE)))</f>
        <v/>
      </c>
      <c r="J352" s="48"/>
      <c r="K352" s="48"/>
      <c r="L352" s="48"/>
      <c r="M352" s="48"/>
      <c r="N352" s="48"/>
      <c r="O352" s="48"/>
      <c r="P352" s="48"/>
      <c r="Q352" s="51"/>
      <c r="R352" s="51"/>
    </row>
    <row r="353" spans="1:18" ht="30" customHeight="1" x14ac:dyDescent="0.45">
      <c r="A353" s="243">
        <v>24</v>
      </c>
      <c r="B353" s="144" t="str">
        <f>IF(OR(VLOOKUP(Table131323639[[#This Row],[Ln'#]],Excellent!A$65:AU$114,7,FALSE)="E",VLOOKUP(Table131323639[[#This Row],[Ln'#]],Excellent!A$65:AU$114,7,FALSE)="FEO"),"x","")</f>
        <v/>
      </c>
      <c r="C353" s="144" t="str">
        <f>IF(OR(VLOOKUP(Table131323639[[#This Row],[Ln'#]],Excellent!A$65:AU$114,15,FALSE)="E",VLOOKUP(Table131323639[[#This Row],[Ln'#]],Excellent!A$65:AU$114,15,FALSE)="FEO"),"x","")</f>
        <v/>
      </c>
      <c r="D353" s="48"/>
      <c r="E353" s="48"/>
      <c r="F353" s="48" t="str">
        <f>IF(AND(Table131323639[[#This Row],[Status Container]]="",Table131323639[[#This Row],[Status Interior]]=""),"",VLOOKUP(Table131323639[[#This Row],[Ln'#]],Excellent!$A$65:$AU$114,3,FALSE))</f>
        <v/>
      </c>
      <c r="G35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3" s="51" t="str">
        <f>IF(Table131323639[[#This Row],[Dog ID]]="","",(VLOOKUP(Table131323639[[#This Row],[Dog ID]],Excellent!C$65:$AU137,45,FALSE)))</f>
        <v/>
      </c>
      <c r="J353" s="48"/>
      <c r="K353" s="48"/>
      <c r="L353" s="48"/>
      <c r="M353" s="48"/>
      <c r="N353" s="48"/>
      <c r="O353" s="48"/>
      <c r="P353" s="48"/>
      <c r="Q353" s="51"/>
      <c r="R353" s="51"/>
    </row>
    <row r="354" spans="1:18" ht="30" customHeight="1" x14ac:dyDescent="0.45">
      <c r="A354" s="243">
        <v>25</v>
      </c>
      <c r="B354" s="144" t="str">
        <f>IF(OR(VLOOKUP(Table131323639[[#This Row],[Ln'#]],Excellent!A$65:AU$114,7,FALSE)="E",VLOOKUP(Table131323639[[#This Row],[Ln'#]],Excellent!A$65:AU$114,7,FALSE)="FEO"),"x","")</f>
        <v/>
      </c>
      <c r="C354" s="144" t="str">
        <f>IF(OR(VLOOKUP(Table131323639[[#This Row],[Ln'#]],Excellent!A$65:AU$114,15,FALSE)="E",VLOOKUP(Table131323639[[#This Row],[Ln'#]],Excellent!A$65:AU$114,15,FALSE)="FEO"),"x","")</f>
        <v/>
      </c>
      <c r="D354" s="48"/>
      <c r="E354" s="48"/>
      <c r="F354" s="48" t="str">
        <f>IF(AND(Table131323639[[#This Row],[Status Container]]="",Table131323639[[#This Row],[Status Interior]]=""),"",VLOOKUP(Table131323639[[#This Row],[Ln'#]],Excellent!$A$65:$AU$114,3,FALSE))</f>
        <v/>
      </c>
      <c r="G35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4" s="51" t="str">
        <f>IF(Table131323639[[#This Row],[Dog ID]]="","",(VLOOKUP(Table131323639[[#This Row],[Dog ID]],Excellent!C$65:$AU138,45,FALSE)))</f>
        <v/>
      </c>
      <c r="J354" s="48"/>
      <c r="K354" s="48"/>
      <c r="L354" s="48"/>
      <c r="M354" s="48"/>
      <c r="N354" s="48"/>
      <c r="O354" s="48"/>
      <c r="P354" s="48"/>
      <c r="Q354" s="51"/>
      <c r="R354" s="51"/>
    </row>
    <row r="355" spans="1:18" ht="30" customHeight="1" x14ac:dyDescent="0.45">
      <c r="A355" s="243">
        <v>26</v>
      </c>
      <c r="B355" s="144" t="str">
        <f>IF(OR(VLOOKUP(Table131323639[[#This Row],[Ln'#]],Excellent!A$65:AU$114,7,FALSE)="E",VLOOKUP(Table131323639[[#This Row],[Ln'#]],Excellent!A$65:AU$114,7,FALSE)="FEO"),"x","")</f>
        <v/>
      </c>
      <c r="C355" s="144" t="str">
        <f>IF(OR(VLOOKUP(Table131323639[[#This Row],[Ln'#]],Excellent!A$65:AU$114,15,FALSE)="E",VLOOKUP(Table131323639[[#This Row],[Ln'#]],Excellent!A$65:AU$114,15,FALSE)="FEO"),"x","")</f>
        <v/>
      </c>
      <c r="D355" s="48"/>
      <c r="E355" s="48"/>
      <c r="F355" s="48" t="str">
        <f>IF(AND(Table131323639[[#This Row],[Status Container]]="",Table131323639[[#This Row],[Status Interior]]=""),"",VLOOKUP(Table131323639[[#This Row],[Ln'#]],Excellent!$A$65:$AU$114,3,FALSE))</f>
        <v/>
      </c>
      <c r="G35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5" s="51" t="str">
        <f>IF(Table131323639[[#This Row],[Dog ID]]="","",(VLOOKUP(Table131323639[[#This Row],[Dog ID]],Excellent!C$65:$AU139,45,FALSE)))</f>
        <v/>
      </c>
      <c r="J355" s="48"/>
      <c r="K355" s="48"/>
      <c r="L355" s="48"/>
      <c r="M355" s="48"/>
      <c r="N355" s="48"/>
      <c r="O355" s="48"/>
      <c r="P355" s="48"/>
      <c r="Q355" s="51"/>
      <c r="R355" s="51"/>
    </row>
    <row r="356" spans="1:18" ht="30" customHeight="1" x14ac:dyDescent="0.45">
      <c r="A356" s="243">
        <v>27</v>
      </c>
      <c r="B356" s="144" t="str">
        <f>IF(OR(VLOOKUP(Table131323639[[#This Row],[Ln'#]],Excellent!A$65:AU$114,7,FALSE)="E",VLOOKUP(Table131323639[[#This Row],[Ln'#]],Excellent!A$65:AU$114,7,FALSE)="FEO"),"x","")</f>
        <v/>
      </c>
      <c r="C356" s="144" t="str">
        <f>IF(OR(VLOOKUP(Table131323639[[#This Row],[Ln'#]],Excellent!A$65:AU$114,15,FALSE)="E",VLOOKUP(Table131323639[[#This Row],[Ln'#]],Excellent!A$65:AU$114,15,FALSE)="FEO"),"x","")</f>
        <v/>
      </c>
      <c r="D356" s="48"/>
      <c r="E356" s="48"/>
      <c r="F356" s="48" t="str">
        <f>IF(AND(Table131323639[[#This Row],[Status Container]]="",Table131323639[[#This Row],[Status Interior]]=""),"",VLOOKUP(Table131323639[[#This Row],[Ln'#]],Excellent!$A$65:$AU$114,3,FALSE))</f>
        <v/>
      </c>
      <c r="G35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6" s="51" t="str">
        <f>IF(Table131323639[[#This Row],[Dog ID]]="","",(VLOOKUP(Table131323639[[#This Row],[Dog ID]],Excellent!C$65:$AU140,45,FALSE)))</f>
        <v/>
      </c>
      <c r="J356" s="48"/>
      <c r="K356" s="48"/>
      <c r="L356" s="48"/>
      <c r="M356" s="48"/>
      <c r="N356" s="48"/>
      <c r="O356" s="48"/>
      <c r="P356" s="48"/>
      <c r="Q356" s="51"/>
      <c r="R356" s="51"/>
    </row>
    <row r="357" spans="1:18" ht="30" customHeight="1" x14ac:dyDescent="0.45">
      <c r="A357" s="243">
        <v>28</v>
      </c>
      <c r="B357" s="144" t="str">
        <f>IF(OR(VLOOKUP(Table131323639[[#This Row],[Ln'#]],Excellent!A$65:AU$114,7,FALSE)="E",VLOOKUP(Table131323639[[#This Row],[Ln'#]],Excellent!A$65:AU$114,7,FALSE)="FEO"),"x","")</f>
        <v/>
      </c>
      <c r="C357" s="144" t="str">
        <f>IF(OR(VLOOKUP(Table131323639[[#This Row],[Ln'#]],Excellent!A$65:AU$114,15,FALSE)="E",VLOOKUP(Table131323639[[#This Row],[Ln'#]],Excellent!A$65:AU$114,15,FALSE)="FEO"),"x","")</f>
        <v/>
      </c>
      <c r="D357" s="48"/>
      <c r="E357" s="48"/>
      <c r="F357" s="48" t="str">
        <f>IF(AND(Table131323639[[#This Row],[Status Container]]="",Table131323639[[#This Row],[Status Interior]]=""),"",VLOOKUP(Table131323639[[#This Row],[Ln'#]],Excellent!$A$65:$AU$114,3,FALSE))</f>
        <v/>
      </c>
      <c r="G35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7" s="51" t="str">
        <f>IF(Table131323639[[#This Row],[Dog ID]]="","",(VLOOKUP(Table131323639[[#This Row],[Dog ID]],Excellent!C$65:$AU141,45,FALSE)))</f>
        <v/>
      </c>
      <c r="J357" s="48"/>
      <c r="K357" s="48"/>
      <c r="L357" s="48"/>
      <c r="M357" s="48"/>
      <c r="N357" s="48"/>
      <c r="O357" s="48"/>
      <c r="P357" s="48"/>
      <c r="Q357" s="51"/>
      <c r="R357" s="51"/>
    </row>
    <row r="358" spans="1:18" ht="30" customHeight="1" x14ac:dyDescent="0.45">
      <c r="A358" s="243">
        <v>29</v>
      </c>
      <c r="B358" s="144" t="str">
        <f>IF(OR(VLOOKUP(Table131323639[[#This Row],[Ln'#]],Excellent!A$65:AU$114,7,FALSE)="E",VLOOKUP(Table131323639[[#This Row],[Ln'#]],Excellent!A$65:AU$114,7,FALSE)="FEO"),"x","")</f>
        <v/>
      </c>
      <c r="C358" s="144" t="str">
        <f>IF(OR(VLOOKUP(Table131323639[[#This Row],[Ln'#]],Excellent!A$65:AU$114,15,FALSE)="E",VLOOKUP(Table131323639[[#This Row],[Ln'#]],Excellent!A$65:AU$114,15,FALSE)="FEO"),"x","")</f>
        <v/>
      </c>
      <c r="D358" s="48"/>
      <c r="E358" s="48"/>
      <c r="F358" s="48" t="str">
        <f>IF(AND(Table131323639[[#This Row],[Status Container]]="",Table131323639[[#This Row],[Status Interior]]=""),"",VLOOKUP(Table131323639[[#This Row],[Ln'#]],Excellent!$A$65:$AU$114,3,FALSE))</f>
        <v/>
      </c>
      <c r="G35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8" s="51" t="str">
        <f>IF(Table131323639[[#This Row],[Dog ID]]="","",(VLOOKUP(Table131323639[[#This Row],[Dog ID]],Excellent!C$65:$AU142,45,FALSE)))</f>
        <v/>
      </c>
      <c r="J358" s="48"/>
      <c r="K358" s="48"/>
      <c r="L358" s="48"/>
      <c r="M358" s="48"/>
      <c r="N358" s="48"/>
      <c r="O358" s="48"/>
      <c r="P358" s="48"/>
      <c r="Q358" s="51"/>
      <c r="R358" s="51"/>
    </row>
    <row r="359" spans="1:18" ht="30" customHeight="1" x14ac:dyDescent="0.45">
      <c r="A359" s="243">
        <v>30</v>
      </c>
      <c r="B359" s="144" t="str">
        <f>IF(OR(VLOOKUP(Table131323639[[#This Row],[Ln'#]],Excellent!A$65:AU$114,7,FALSE)="E",VLOOKUP(Table131323639[[#This Row],[Ln'#]],Excellent!A$65:AU$114,7,FALSE)="FEO"),"x","")</f>
        <v/>
      </c>
      <c r="C359" s="144" t="str">
        <f>IF(OR(VLOOKUP(Table131323639[[#This Row],[Ln'#]],Excellent!A$65:AU$114,15,FALSE)="E",VLOOKUP(Table131323639[[#This Row],[Ln'#]],Excellent!A$65:AU$114,15,FALSE)="FEO"),"x","")</f>
        <v/>
      </c>
      <c r="D359" s="48"/>
      <c r="E359" s="48"/>
      <c r="F359" s="48" t="str">
        <f>IF(AND(Table131323639[[#This Row],[Status Container]]="",Table131323639[[#This Row],[Status Interior]]=""),"",VLOOKUP(Table131323639[[#This Row],[Ln'#]],Excellent!$A$65:$AU$114,3,FALSE))</f>
        <v/>
      </c>
      <c r="G35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9" s="51" t="str">
        <f>IF(Table131323639[[#This Row],[Dog ID]]="","",(VLOOKUP(Table131323639[[#This Row],[Dog ID]],Excellent!C$65:$AU143,45,FALSE)))</f>
        <v/>
      </c>
      <c r="J359" s="48"/>
      <c r="K359" s="48"/>
      <c r="L359" s="48"/>
      <c r="M359" s="48"/>
      <c r="N359" s="48"/>
      <c r="O359" s="48"/>
      <c r="P359" s="48"/>
      <c r="Q359" s="51"/>
      <c r="R359" s="51"/>
    </row>
    <row r="360" spans="1:18" ht="30" customHeight="1" x14ac:dyDescent="0.45">
      <c r="A360" s="243">
        <v>31</v>
      </c>
      <c r="B360" s="144" t="str">
        <f>IF(OR(VLOOKUP(Table131323639[[#This Row],[Ln'#]],Excellent!A$65:AU$114,7,FALSE)="E",VLOOKUP(Table131323639[[#This Row],[Ln'#]],Excellent!A$65:AU$114,7,FALSE)="FEO"),"x","")</f>
        <v/>
      </c>
      <c r="C360" s="144" t="str">
        <f>IF(OR(VLOOKUP(Table131323639[[#This Row],[Ln'#]],Excellent!A$65:AU$114,15,FALSE)="E",VLOOKUP(Table131323639[[#This Row],[Ln'#]],Excellent!A$65:AU$114,15,FALSE)="FEO"),"x","")</f>
        <v/>
      </c>
      <c r="D360" s="48"/>
      <c r="E360" s="48"/>
      <c r="F360" s="48" t="str">
        <f>IF(AND(Table131323639[[#This Row],[Status Container]]="",Table131323639[[#This Row],[Status Interior]]=""),"",VLOOKUP(Table131323639[[#This Row],[Ln'#]],Excellent!$A$65:$AU$114,3,FALSE))</f>
        <v/>
      </c>
      <c r="G36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0" s="51" t="str">
        <f>IF(Table131323639[[#This Row],[Dog ID]]="","",(VLOOKUP(Table131323639[[#This Row],[Dog ID]],Excellent!C$65:$AU144,45,FALSE)))</f>
        <v/>
      </c>
      <c r="J360" s="48"/>
      <c r="K360" s="48"/>
      <c r="L360" s="48"/>
      <c r="M360" s="48"/>
      <c r="N360" s="48"/>
      <c r="O360" s="48"/>
      <c r="P360" s="48"/>
      <c r="Q360" s="51"/>
      <c r="R360" s="51"/>
    </row>
    <row r="361" spans="1:18" ht="30" customHeight="1" x14ac:dyDescent="0.45">
      <c r="A361" s="243">
        <v>32</v>
      </c>
      <c r="B361" s="144" t="str">
        <f>IF(OR(VLOOKUP(Table131323639[[#This Row],[Ln'#]],Excellent!A$65:AU$114,7,FALSE)="E",VLOOKUP(Table131323639[[#This Row],[Ln'#]],Excellent!A$65:AU$114,7,FALSE)="FEO"),"x","")</f>
        <v/>
      </c>
      <c r="C361" s="144" t="str">
        <f>IF(OR(VLOOKUP(Table131323639[[#This Row],[Ln'#]],Excellent!A$65:AU$114,15,FALSE)="E",VLOOKUP(Table131323639[[#This Row],[Ln'#]],Excellent!A$65:AU$114,15,FALSE)="FEO"),"x","")</f>
        <v/>
      </c>
      <c r="D361" s="48"/>
      <c r="E361" s="48"/>
      <c r="F361" s="48" t="str">
        <f>IF(AND(Table131323639[[#This Row],[Status Container]]="",Table131323639[[#This Row],[Status Interior]]=""),"",VLOOKUP(Table131323639[[#This Row],[Ln'#]],Excellent!$A$65:$AU$114,3,FALSE))</f>
        <v/>
      </c>
      <c r="G36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1" s="51" t="str">
        <f>IF(Table131323639[[#This Row],[Dog ID]]="","",(VLOOKUP(Table131323639[[#This Row],[Dog ID]],Excellent!C$65:$AU145,45,FALSE)))</f>
        <v/>
      </c>
      <c r="J361" s="48"/>
      <c r="K361" s="48"/>
      <c r="L361" s="48"/>
      <c r="M361" s="48"/>
      <c r="N361" s="48"/>
      <c r="O361" s="48"/>
      <c r="P361" s="48"/>
      <c r="Q361" s="51"/>
      <c r="R361" s="51"/>
    </row>
    <row r="362" spans="1:18" ht="30" customHeight="1" x14ac:dyDescent="0.45">
      <c r="A362" s="243">
        <v>33</v>
      </c>
      <c r="B362" s="144" t="str">
        <f>IF(OR(VLOOKUP(Table131323639[[#This Row],[Ln'#]],Excellent!A$65:AU$114,7,FALSE)="E",VLOOKUP(Table131323639[[#This Row],[Ln'#]],Excellent!A$65:AU$114,7,FALSE)="FEO"),"x","")</f>
        <v/>
      </c>
      <c r="C362" s="144" t="str">
        <f>IF(OR(VLOOKUP(Table131323639[[#This Row],[Ln'#]],Excellent!A$65:AU$114,15,FALSE)="E",VLOOKUP(Table131323639[[#This Row],[Ln'#]],Excellent!A$65:AU$114,15,FALSE)="FEO"),"x","")</f>
        <v/>
      </c>
      <c r="D362" s="48"/>
      <c r="E362" s="48"/>
      <c r="F362" s="48" t="str">
        <f>IF(AND(Table131323639[[#This Row],[Status Container]]="",Table131323639[[#This Row],[Status Interior]]=""),"",VLOOKUP(Table131323639[[#This Row],[Ln'#]],Excellent!$A$65:$AU$114,3,FALSE))</f>
        <v/>
      </c>
      <c r="G36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2" s="51" t="str">
        <f>IF(Table131323639[[#This Row],[Dog ID]]="","",(VLOOKUP(Table131323639[[#This Row],[Dog ID]],Excellent!C$65:$AU146,45,FALSE)))</f>
        <v/>
      </c>
      <c r="J362" s="48"/>
      <c r="K362" s="48"/>
      <c r="L362" s="48"/>
      <c r="M362" s="48"/>
      <c r="N362" s="48"/>
      <c r="O362" s="48"/>
      <c r="P362" s="48"/>
      <c r="Q362" s="51"/>
      <c r="R362" s="51"/>
    </row>
    <row r="363" spans="1:18" ht="30" customHeight="1" x14ac:dyDescent="0.45">
      <c r="A363" s="243">
        <v>34</v>
      </c>
      <c r="B363" s="144" t="str">
        <f>IF(OR(VLOOKUP(Table131323639[[#This Row],[Ln'#]],Excellent!A$65:AU$114,7,FALSE)="E",VLOOKUP(Table131323639[[#This Row],[Ln'#]],Excellent!A$65:AU$114,7,FALSE)="FEO"),"x","")</f>
        <v/>
      </c>
      <c r="C363" s="144" t="str">
        <f>IF(OR(VLOOKUP(Table131323639[[#This Row],[Ln'#]],Excellent!A$65:AU$114,15,FALSE)="E",VLOOKUP(Table131323639[[#This Row],[Ln'#]],Excellent!A$65:AU$114,15,FALSE)="FEO"),"x","")</f>
        <v/>
      </c>
      <c r="D363" s="48"/>
      <c r="E363" s="48"/>
      <c r="F363" s="48" t="str">
        <f>IF(AND(Table131323639[[#This Row],[Status Container]]="",Table131323639[[#This Row],[Status Interior]]=""),"",VLOOKUP(Table131323639[[#This Row],[Ln'#]],Excellent!$A$65:$AU$114,3,FALSE))</f>
        <v/>
      </c>
      <c r="G36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3" s="51" t="str">
        <f>IF(Table131323639[[#This Row],[Dog ID]]="","",(VLOOKUP(Table131323639[[#This Row],[Dog ID]],Excellent!C$65:$AU147,45,FALSE)))</f>
        <v/>
      </c>
      <c r="J363" s="48"/>
      <c r="K363" s="48"/>
      <c r="L363" s="48"/>
      <c r="M363" s="48"/>
      <c r="N363" s="48"/>
      <c r="O363" s="48"/>
      <c r="P363" s="48"/>
      <c r="Q363" s="51"/>
      <c r="R363" s="51"/>
    </row>
    <row r="364" spans="1:18" ht="30" customHeight="1" x14ac:dyDescent="0.45">
      <c r="A364" s="243">
        <v>35</v>
      </c>
      <c r="B364" s="144" t="str">
        <f>IF(OR(VLOOKUP(Table131323639[[#This Row],[Ln'#]],Excellent!A$65:AU$114,7,FALSE)="E",VLOOKUP(Table131323639[[#This Row],[Ln'#]],Excellent!A$65:AU$114,7,FALSE)="FEO"),"x","")</f>
        <v/>
      </c>
      <c r="C364" s="144" t="str">
        <f>IF(OR(VLOOKUP(Table131323639[[#This Row],[Ln'#]],Excellent!A$65:AU$114,15,FALSE)="E",VLOOKUP(Table131323639[[#This Row],[Ln'#]],Excellent!A$65:AU$114,15,FALSE)="FEO"),"x","")</f>
        <v/>
      </c>
      <c r="D364" s="48"/>
      <c r="E364" s="48"/>
      <c r="F364" s="48" t="str">
        <f>IF(AND(Table131323639[[#This Row],[Status Container]]="",Table131323639[[#This Row],[Status Interior]]=""),"",VLOOKUP(Table131323639[[#This Row],[Ln'#]],Excellent!$A$65:$AU$114,3,FALSE))</f>
        <v/>
      </c>
      <c r="G36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4" s="51" t="str">
        <f>IF(Table131323639[[#This Row],[Dog ID]]="","",(VLOOKUP(Table131323639[[#This Row],[Dog ID]],Excellent!C$65:$AU148,45,FALSE)))</f>
        <v/>
      </c>
      <c r="J364" s="48"/>
      <c r="K364" s="48"/>
      <c r="L364" s="48"/>
      <c r="M364" s="48"/>
      <c r="N364" s="48"/>
      <c r="O364" s="48"/>
      <c r="P364" s="48"/>
      <c r="Q364" s="51"/>
      <c r="R364" s="51"/>
    </row>
    <row r="365" spans="1:18" ht="30" customHeight="1" x14ac:dyDescent="0.45">
      <c r="A365" s="243">
        <v>36</v>
      </c>
      <c r="B365" s="144" t="str">
        <f>IF(OR(VLOOKUP(Table131323639[[#This Row],[Ln'#]],Excellent!A$65:AU$114,7,FALSE)="E",VLOOKUP(Table131323639[[#This Row],[Ln'#]],Excellent!A$65:AU$114,7,FALSE)="FEO"),"x","")</f>
        <v/>
      </c>
      <c r="C365" s="144" t="str">
        <f>IF(OR(VLOOKUP(Table131323639[[#This Row],[Ln'#]],Excellent!A$65:AU$114,15,FALSE)="E",VLOOKUP(Table131323639[[#This Row],[Ln'#]],Excellent!A$65:AU$114,15,FALSE)="FEO"),"x","")</f>
        <v/>
      </c>
      <c r="D365" s="48"/>
      <c r="E365" s="48"/>
      <c r="F365" s="48" t="str">
        <f>IF(AND(Table131323639[[#This Row],[Status Container]]="",Table131323639[[#This Row],[Status Interior]]=""),"",VLOOKUP(Table131323639[[#This Row],[Ln'#]],Excellent!$A$65:$AU$114,3,FALSE))</f>
        <v/>
      </c>
      <c r="G36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5" s="51" t="str">
        <f>IF(Table131323639[[#This Row],[Dog ID]]="","",(VLOOKUP(Table131323639[[#This Row],[Dog ID]],Excellent!C$65:$AU149,45,FALSE)))</f>
        <v/>
      </c>
      <c r="J365" s="48"/>
      <c r="K365" s="48"/>
      <c r="L365" s="48"/>
      <c r="M365" s="48"/>
      <c r="N365" s="48"/>
      <c r="O365" s="48"/>
      <c r="P365" s="48"/>
      <c r="Q365" s="51"/>
      <c r="R365" s="51"/>
    </row>
    <row r="366" spans="1:18" ht="30" customHeight="1" x14ac:dyDescent="0.45">
      <c r="A366" s="243">
        <v>37</v>
      </c>
      <c r="B366" s="144" t="str">
        <f>IF(OR(VLOOKUP(Table131323639[[#This Row],[Ln'#]],Excellent!A$65:AU$114,7,FALSE)="E",VLOOKUP(Table131323639[[#This Row],[Ln'#]],Excellent!A$65:AU$114,7,FALSE)="FEO"),"x","")</f>
        <v/>
      </c>
      <c r="C366" s="144" t="str">
        <f>IF(OR(VLOOKUP(Table131323639[[#This Row],[Ln'#]],Excellent!A$65:AU$114,15,FALSE)="E",VLOOKUP(Table131323639[[#This Row],[Ln'#]],Excellent!A$65:AU$114,15,FALSE)="FEO"),"x","")</f>
        <v/>
      </c>
      <c r="D366" s="48"/>
      <c r="E366" s="48"/>
      <c r="F366" s="48" t="str">
        <f>IF(AND(Table131323639[[#This Row],[Status Container]]="",Table131323639[[#This Row],[Status Interior]]=""),"",VLOOKUP(Table131323639[[#This Row],[Ln'#]],Excellent!$A$65:$AU$114,3,FALSE))</f>
        <v/>
      </c>
      <c r="G36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6" s="51" t="str">
        <f>IF(Table131323639[[#This Row],[Dog ID]]="","",(VLOOKUP(Table131323639[[#This Row],[Dog ID]],Excellent!C$65:$AU150,45,FALSE)))</f>
        <v/>
      </c>
      <c r="J366" s="48"/>
      <c r="K366" s="48"/>
      <c r="L366" s="48"/>
      <c r="M366" s="48"/>
      <c r="N366" s="48"/>
      <c r="O366" s="48"/>
      <c r="P366" s="48"/>
      <c r="Q366" s="51"/>
      <c r="R366" s="51"/>
    </row>
    <row r="367" spans="1:18" ht="30" customHeight="1" x14ac:dyDescent="0.45">
      <c r="A367" s="243">
        <v>38</v>
      </c>
      <c r="B367" s="144" t="str">
        <f>IF(OR(VLOOKUP(Table131323639[[#This Row],[Ln'#]],Excellent!A$65:AU$114,7,FALSE)="E",VLOOKUP(Table131323639[[#This Row],[Ln'#]],Excellent!A$65:AU$114,7,FALSE)="FEO"),"x","")</f>
        <v/>
      </c>
      <c r="C367" s="144" t="str">
        <f>IF(OR(VLOOKUP(Table131323639[[#This Row],[Ln'#]],Excellent!A$65:AU$114,15,FALSE)="E",VLOOKUP(Table131323639[[#This Row],[Ln'#]],Excellent!A$65:AU$114,15,FALSE)="FEO"),"x","")</f>
        <v/>
      </c>
      <c r="D367" s="48"/>
      <c r="E367" s="48"/>
      <c r="F367" s="48" t="str">
        <f>IF(AND(Table131323639[[#This Row],[Status Container]]="",Table131323639[[#This Row],[Status Interior]]=""),"",VLOOKUP(Table131323639[[#This Row],[Ln'#]],Excellent!$A$65:$AU$114,3,FALSE))</f>
        <v/>
      </c>
      <c r="G36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7" s="51" t="str">
        <f>IF(Table131323639[[#This Row],[Dog ID]]="","",(VLOOKUP(Table131323639[[#This Row],[Dog ID]],Excellent!C$65:$AU151,45,FALSE)))</f>
        <v/>
      </c>
      <c r="J367" s="48"/>
      <c r="K367" s="48"/>
      <c r="L367" s="48"/>
      <c r="M367" s="48"/>
      <c r="N367" s="48"/>
      <c r="O367" s="48"/>
      <c r="P367" s="48"/>
      <c r="Q367" s="51"/>
      <c r="R367" s="51"/>
    </row>
    <row r="368" spans="1:18" ht="30" customHeight="1" x14ac:dyDescent="0.45">
      <c r="A368" s="243">
        <v>39</v>
      </c>
      <c r="B368" s="144" t="str">
        <f>IF(OR(VLOOKUP(Table131323639[[#This Row],[Ln'#]],Excellent!A$65:AU$114,7,FALSE)="E",VLOOKUP(Table131323639[[#This Row],[Ln'#]],Excellent!A$65:AU$114,7,FALSE)="FEO"),"x","")</f>
        <v/>
      </c>
      <c r="C368" s="144" t="str">
        <f>IF(OR(VLOOKUP(Table131323639[[#This Row],[Ln'#]],Excellent!A$65:AU$114,15,FALSE)="E",VLOOKUP(Table131323639[[#This Row],[Ln'#]],Excellent!A$65:AU$114,15,FALSE)="FEO"),"x","")</f>
        <v/>
      </c>
      <c r="D368" s="48"/>
      <c r="E368" s="48"/>
      <c r="F368" s="48" t="str">
        <f>IF(AND(Table131323639[[#This Row],[Status Container]]="",Table131323639[[#This Row],[Status Interior]]=""),"",VLOOKUP(Table131323639[[#This Row],[Ln'#]],Excellent!$A$65:$AU$114,3,FALSE))</f>
        <v/>
      </c>
      <c r="G36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8" s="51" t="str">
        <f>IF(Table131323639[[#This Row],[Dog ID]]="","",(VLOOKUP(Table131323639[[#This Row],[Dog ID]],Excellent!C$65:$AU152,45,FALSE)))</f>
        <v/>
      </c>
      <c r="J368" s="48"/>
      <c r="K368" s="48"/>
      <c r="L368" s="48"/>
      <c r="M368" s="48"/>
      <c r="N368" s="48"/>
      <c r="O368" s="48"/>
      <c r="P368" s="48"/>
      <c r="Q368" s="51"/>
      <c r="R368" s="51"/>
    </row>
    <row r="369" spans="1:19" ht="30" customHeight="1" x14ac:dyDescent="0.45">
      <c r="A369" s="243">
        <v>40</v>
      </c>
      <c r="B369" s="144" t="str">
        <f>IF(OR(VLOOKUP(Table131323639[[#This Row],[Ln'#]],Excellent!A$65:AU$114,7,FALSE)="E",VLOOKUP(Table131323639[[#This Row],[Ln'#]],Excellent!A$65:AU$114,7,FALSE)="FEO"),"x","")</f>
        <v/>
      </c>
      <c r="C369" s="144" t="str">
        <f>IF(OR(VLOOKUP(Table131323639[[#This Row],[Ln'#]],Excellent!A$65:AU$114,15,FALSE)="E",VLOOKUP(Table131323639[[#This Row],[Ln'#]],Excellent!A$65:AU$114,15,FALSE)="FEO"),"x","")</f>
        <v/>
      </c>
      <c r="D369" s="48"/>
      <c r="E369" s="48"/>
      <c r="F369" s="48" t="str">
        <f>IF(AND(Table131323639[[#This Row],[Status Container]]="",Table131323639[[#This Row],[Status Interior]]=""),"",VLOOKUP(Table131323639[[#This Row],[Ln'#]],Excellent!$A$65:$AU$114,3,FALSE))</f>
        <v/>
      </c>
      <c r="G36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9" s="51" t="str">
        <f>IF(Table131323639[[#This Row],[Dog ID]]="","",(VLOOKUP(Table131323639[[#This Row],[Dog ID]],Excellent!C$65:$AU153,45,FALSE)))</f>
        <v/>
      </c>
      <c r="J369" s="48"/>
      <c r="K369" s="48"/>
      <c r="L369" s="48"/>
      <c r="M369" s="48"/>
      <c r="N369" s="48"/>
      <c r="O369" s="48"/>
      <c r="P369" s="48"/>
      <c r="Q369" s="51"/>
      <c r="R369" s="51"/>
    </row>
    <row r="370" spans="1:19" ht="30" customHeight="1" x14ac:dyDescent="0.45">
      <c r="A370" s="243">
        <v>41</v>
      </c>
      <c r="B370" s="144" t="str">
        <f>IF(OR(VLOOKUP(Table131323639[[#This Row],[Ln'#]],Excellent!A$65:AU$114,7,FALSE)="E",VLOOKUP(Table131323639[[#This Row],[Ln'#]],Excellent!A$65:AU$114,7,FALSE)="FEO"),"x","")</f>
        <v/>
      </c>
      <c r="C370" s="144" t="str">
        <f>IF(OR(VLOOKUP(Table131323639[[#This Row],[Ln'#]],Excellent!A$65:AU$114,15,FALSE)="E",VLOOKUP(Table131323639[[#This Row],[Ln'#]],Excellent!A$65:AU$114,15,FALSE)="FEO"),"x","")</f>
        <v/>
      </c>
      <c r="D370" s="48"/>
      <c r="E370" s="48"/>
      <c r="F370" s="48" t="str">
        <f>IF(AND(Table131323639[[#This Row],[Status Container]]="",Table131323639[[#This Row],[Status Interior]]=""),"",VLOOKUP(Table131323639[[#This Row],[Ln'#]],Excellent!$A$65:$AU$114,3,FALSE))</f>
        <v/>
      </c>
      <c r="G37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0" s="51" t="str">
        <f>IF(Table131323639[[#This Row],[Dog ID]]="","",(VLOOKUP(Table131323639[[#This Row],[Dog ID]],Excellent!C$65:$AU154,45,FALSE)))</f>
        <v/>
      </c>
      <c r="J370" s="48"/>
      <c r="K370" s="48"/>
      <c r="L370" s="48"/>
      <c r="M370" s="48"/>
      <c r="N370" s="48"/>
      <c r="O370" s="48"/>
      <c r="P370" s="48"/>
      <c r="Q370" s="51"/>
      <c r="R370" s="51"/>
    </row>
    <row r="371" spans="1:19" ht="30" customHeight="1" x14ac:dyDescent="0.45">
      <c r="A371" s="243">
        <v>42</v>
      </c>
      <c r="B371" s="144" t="str">
        <f>IF(OR(VLOOKUP(Table131323639[[#This Row],[Ln'#]],Excellent!A$65:AU$114,7,FALSE)="E",VLOOKUP(Table131323639[[#This Row],[Ln'#]],Excellent!A$65:AU$114,7,FALSE)="FEO"),"x","")</f>
        <v/>
      </c>
      <c r="C371" s="144" t="str">
        <f>IF(OR(VLOOKUP(Table131323639[[#This Row],[Ln'#]],Excellent!A$65:AU$114,15,FALSE)="E",VLOOKUP(Table131323639[[#This Row],[Ln'#]],Excellent!A$65:AU$114,15,FALSE)="FEO"),"x","")</f>
        <v/>
      </c>
      <c r="D371" s="48"/>
      <c r="E371" s="48"/>
      <c r="F371" s="48" t="str">
        <f>IF(AND(Table131323639[[#This Row],[Status Container]]="",Table131323639[[#This Row],[Status Interior]]=""),"",VLOOKUP(Table131323639[[#This Row],[Ln'#]],Excellent!$A$65:$AU$114,3,FALSE))</f>
        <v/>
      </c>
      <c r="G37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1" s="51" t="str">
        <f>IF(Table131323639[[#This Row],[Dog ID]]="","",(VLOOKUP(Table131323639[[#This Row],[Dog ID]],Excellent!C$65:$AU155,45,FALSE)))</f>
        <v/>
      </c>
      <c r="J371" s="48"/>
      <c r="K371" s="48"/>
      <c r="L371" s="48"/>
      <c r="M371" s="48"/>
      <c r="N371" s="48"/>
      <c r="O371" s="48"/>
      <c r="P371" s="48"/>
      <c r="Q371" s="51"/>
      <c r="R371" s="51"/>
    </row>
    <row r="372" spans="1:19" ht="30" customHeight="1" x14ac:dyDescent="0.45">
      <c r="A372" s="243">
        <v>43</v>
      </c>
      <c r="B372" s="144" t="str">
        <f>IF(OR(VLOOKUP(Table131323639[[#This Row],[Ln'#]],Excellent!A$65:AU$114,7,FALSE)="E",VLOOKUP(Table131323639[[#This Row],[Ln'#]],Excellent!A$65:AU$114,7,FALSE)="FEO"),"x","")</f>
        <v/>
      </c>
      <c r="C372" s="144" t="str">
        <f>IF(OR(VLOOKUP(Table131323639[[#This Row],[Ln'#]],Excellent!A$65:AU$114,15,FALSE)="E",VLOOKUP(Table131323639[[#This Row],[Ln'#]],Excellent!A$65:AU$114,15,FALSE)="FEO"),"x","")</f>
        <v/>
      </c>
      <c r="D372" s="48"/>
      <c r="E372" s="48"/>
      <c r="F372" s="48" t="str">
        <f>IF(AND(Table131323639[[#This Row],[Status Container]]="",Table131323639[[#This Row],[Status Interior]]=""),"",VLOOKUP(Table131323639[[#This Row],[Ln'#]],Excellent!$A$65:$AU$114,3,FALSE))</f>
        <v/>
      </c>
      <c r="G37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2" s="51" t="str">
        <f>IF(Table131323639[[#This Row],[Dog ID]]="","",(VLOOKUP(Table131323639[[#This Row],[Dog ID]],Excellent!C$65:$AU156,45,FALSE)))</f>
        <v/>
      </c>
      <c r="J372" s="48"/>
      <c r="K372" s="48"/>
      <c r="L372" s="48"/>
      <c r="M372" s="48"/>
      <c r="N372" s="48"/>
      <c r="O372" s="48"/>
      <c r="P372" s="48"/>
      <c r="Q372" s="51"/>
      <c r="R372" s="51"/>
    </row>
    <row r="373" spans="1:19" ht="30" customHeight="1" x14ac:dyDescent="0.45">
      <c r="A373" s="243">
        <v>44</v>
      </c>
      <c r="B373" s="144" t="str">
        <f>IF(OR(VLOOKUP(Table131323639[[#This Row],[Ln'#]],Excellent!A$65:AU$114,7,FALSE)="E",VLOOKUP(Table131323639[[#This Row],[Ln'#]],Excellent!A$65:AU$114,7,FALSE)="FEO"),"x","")</f>
        <v/>
      </c>
      <c r="C373" s="144" t="str">
        <f>IF(OR(VLOOKUP(Table131323639[[#This Row],[Ln'#]],Excellent!A$65:AU$114,15,FALSE)="E",VLOOKUP(Table131323639[[#This Row],[Ln'#]],Excellent!A$65:AU$114,15,FALSE)="FEO"),"x","")</f>
        <v/>
      </c>
      <c r="D373" s="48"/>
      <c r="E373" s="48"/>
      <c r="F373" s="48" t="str">
        <f>IF(AND(Table131323639[[#This Row],[Status Container]]="",Table131323639[[#This Row],[Status Interior]]=""),"",VLOOKUP(Table131323639[[#This Row],[Ln'#]],Excellent!$A$65:$AU$114,3,FALSE))</f>
        <v/>
      </c>
      <c r="G37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3" s="51" t="str">
        <f>IF(Table131323639[[#This Row],[Dog ID]]="","",(VLOOKUP(Table131323639[[#This Row],[Dog ID]],Excellent!C$65:$AU157,45,FALSE)))</f>
        <v/>
      </c>
      <c r="J373" s="48"/>
      <c r="K373" s="48"/>
      <c r="L373" s="48"/>
      <c r="M373" s="48"/>
      <c r="N373" s="48"/>
      <c r="O373" s="48"/>
      <c r="P373" s="48"/>
      <c r="Q373" s="51"/>
      <c r="R373" s="51"/>
    </row>
    <row r="374" spans="1:19" ht="30" customHeight="1" x14ac:dyDescent="0.45">
      <c r="A374" s="243">
        <v>45</v>
      </c>
      <c r="B374" s="144" t="str">
        <f>IF(OR(VLOOKUP(Table131323639[[#This Row],[Ln'#]],Excellent!A$65:AU$114,7,FALSE)="E",VLOOKUP(Table131323639[[#This Row],[Ln'#]],Excellent!A$65:AU$114,7,FALSE)="FEO"),"x","")</f>
        <v/>
      </c>
      <c r="C374" s="144" t="str">
        <f>IF(OR(VLOOKUP(Table131323639[[#This Row],[Ln'#]],Excellent!A$65:AU$114,15,FALSE)="E",VLOOKUP(Table131323639[[#This Row],[Ln'#]],Excellent!A$65:AU$114,15,FALSE)="FEO"),"x","")</f>
        <v/>
      </c>
      <c r="D374" s="48"/>
      <c r="E374" s="48"/>
      <c r="F374" s="48" t="str">
        <f>IF(AND(Table131323639[[#This Row],[Status Container]]="",Table131323639[[#This Row],[Status Interior]]=""),"",VLOOKUP(Table131323639[[#This Row],[Ln'#]],Excellent!$A$65:$AU$114,3,FALSE))</f>
        <v/>
      </c>
      <c r="G37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4" s="51" t="str">
        <f>IF(Table131323639[[#This Row],[Dog ID]]="","",(VLOOKUP(Table131323639[[#This Row],[Dog ID]],Excellent!C$65:$AU158,45,FALSE)))</f>
        <v/>
      </c>
      <c r="J374" s="48"/>
      <c r="K374" s="48"/>
      <c r="L374" s="48"/>
      <c r="M374" s="48"/>
      <c r="N374" s="48"/>
      <c r="O374" s="48"/>
      <c r="P374" s="48"/>
      <c r="Q374" s="51"/>
      <c r="R374" s="51"/>
    </row>
    <row r="375" spans="1:19" ht="30" customHeight="1" x14ac:dyDescent="0.45">
      <c r="A375" s="243">
        <v>46</v>
      </c>
      <c r="B375" s="144" t="str">
        <f>IF(OR(VLOOKUP(Table131323639[[#This Row],[Ln'#]],Excellent!A$65:AU$114,7,FALSE)="E",VLOOKUP(Table131323639[[#This Row],[Ln'#]],Excellent!A$65:AU$114,7,FALSE)="FEO"),"x","")</f>
        <v/>
      </c>
      <c r="C375" s="144" t="str">
        <f>IF(OR(VLOOKUP(Table131323639[[#This Row],[Ln'#]],Excellent!A$65:AU$114,15,FALSE)="E",VLOOKUP(Table131323639[[#This Row],[Ln'#]],Excellent!A$65:AU$114,15,FALSE)="FEO"),"x","")</f>
        <v/>
      </c>
      <c r="D375" s="48"/>
      <c r="E375" s="48"/>
      <c r="F375" s="48" t="str">
        <f>IF(AND(Table131323639[[#This Row],[Status Container]]="",Table131323639[[#This Row],[Status Interior]]=""),"",VLOOKUP(Table131323639[[#This Row],[Ln'#]],Excellent!$A$65:$AU$114,3,FALSE))</f>
        <v/>
      </c>
      <c r="G37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5" s="51" t="str">
        <f>IF(Table131323639[[#This Row],[Dog ID]]="","",(VLOOKUP(Table131323639[[#This Row],[Dog ID]],Excellent!C$65:$AU159,45,FALSE)))</f>
        <v/>
      </c>
      <c r="J375" s="48"/>
      <c r="K375" s="48"/>
      <c r="L375" s="48"/>
      <c r="M375" s="48"/>
      <c r="N375" s="48"/>
      <c r="O375" s="48"/>
      <c r="P375" s="48"/>
      <c r="Q375" s="51"/>
      <c r="R375" s="51"/>
    </row>
    <row r="376" spans="1:19" ht="30" customHeight="1" x14ac:dyDescent="0.45">
      <c r="A376" s="243">
        <v>47</v>
      </c>
      <c r="B376" s="144" t="str">
        <f>IF(OR(VLOOKUP(Table131323639[[#This Row],[Ln'#]],Excellent!A$65:AU$114,7,FALSE)="E",VLOOKUP(Table131323639[[#This Row],[Ln'#]],Excellent!A$65:AU$114,7,FALSE)="FEO"),"x","")</f>
        <v/>
      </c>
      <c r="C376" s="144" t="str">
        <f>IF(OR(VLOOKUP(Table131323639[[#This Row],[Ln'#]],Excellent!A$65:AU$114,15,FALSE)="E",VLOOKUP(Table131323639[[#This Row],[Ln'#]],Excellent!A$65:AU$114,15,FALSE)="FEO"),"x","")</f>
        <v/>
      </c>
      <c r="D376" s="48"/>
      <c r="E376" s="48"/>
      <c r="F376" s="48" t="str">
        <f>IF(AND(Table131323639[[#This Row],[Status Container]]="",Table131323639[[#This Row],[Status Interior]]=""),"",VLOOKUP(Table131323639[[#This Row],[Ln'#]],Excellent!$A$65:$AU$114,3,FALSE))</f>
        <v/>
      </c>
      <c r="G37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6" s="51" t="str">
        <f>IF(Table131323639[[#This Row],[Dog ID]]="","",(VLOOKUP(Table131323639[[#This Row],[Dog ID]],Excellent!C$65:$AU160,45,FALSE)))</f>
        <v/>
      </c>
      <c r="J376" s="48"/>
      <c r="K376" s="48"/>
      <c r="L376" s="48"/>
      <c r="M376" s="48"/>
      <c r="N376" s="48"/>
      <c r="O376" s="48"/>
      <c r="P376" s="48"/>
      <c r="Q376" s="51"/>
      <c r="R376" s="51"/>
    </row>
    <row r="377" spans="1:19" ht="30" customHeight="1" x14ac:dyDescent="0.45">
      <c r="A377" s="243">
        <v>48</v>
      </c>
      <c r="B377" s="144" t="str">
        <f>IF(OR(VLOOKUP(Table131323639[[#This Row],[Ln'#]],Excellent!A$65:AU$114,7,FALSE)="E",VLOOKUP(Table131323639[[#This Row],[Ln'#]],Excellent!A$65:AU$114,7,FALSE)="FEO"),"x","")</f>
        <v/>
      </c>
      <c r="C377" s="144" t="str">
        <f>IF(OR(VLOOKUP(Table131323639[[#This Row],[Ln'#]],Excellent!A$65:AU$114,15,FALSE)="E",VLOOKUP(Table131323639[[#This Row],[Ln'#]],Excellent!A$65:AU$114,15,FALSE)="FEO"),"x","")</f>
        <v/>
      </c>
      <c r="D377" s="48"/>
      <c r="E377" s="48"/>
      <c r="F377" s="48" t="str">
        <f>IF(AND(Table131323639[[#This Row],[Status Container]]="",Table131323639[[#This Row],[Status Interior]]=""),"",VLOOKUP(Table131323639[[#This Row],[Ln'#]],Excellent!$A$65:$AU$114,3,FALSE))</f>
        <v/>
      </c>
      <c r="G37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7" s="51" t="str">
        <f>IF(Table131323639[[#This Row],[Dog ID]]="","",(VLOOKUP(Table131323639[[#This Row],[Dog ID]],Excellent!C$65:$AU161,45,FALSE)))</f>
        <v/>
      </c>
      <c r="J377" s="48"/>
      <c r="K377" s="48"/>
      <c r="L377" s="48"/>
      <c r="M377" s="48"/>
      <c r="N377" s="48"/>
      <c r="O377" s="48"/>
      <c r="P377" s="48"/>
      <c r="Q377" s="51"/>
      <c r="R377" s="51"/>
    </row>
    <row r="378" spans="1:19" ht="30" customHeight="1" x14ac:dyDescent="0.45">
      <c r="A378" s="243">
        <v>49</v>
      </c>
      <c r="B378" s="144" t="str">
        <f>IF(OR(VLOOKUP(Table131323639[[#This Row],[Ln'#]],Excellent!A$65:AU$114,7,FALSE)="E",VLOOKUP(Table131323639[[#This Row],[Ln'#]],Excellent!A$65:AU$114,7,FALSE)="FEO"),"x","")</f>
        <v/>
      </c>
      <c r="C378" s="144" t="str">
        <f>IF(OR(VLOOKUP(Table131323639[[#This Row],[Ln'#]],Excellent!A$65:AU$114,15,FALSE)="E",VLOOKUP(Table131323639[[#This Row],[Ln'#]],Excellent!A$65:AU$114,15,FALSE)="FEO"),"x","")</f>
        <v/>
      </c>
      <c r="D378" s="48"/>
      <c r="E378" s="48"/>
      <c r="F378" s="48" t="str">
        <f>IF(AND(Table131323639[[#This Row],[Status Container]]="",Table131323639[[#This Row],[Status Interior]]=""),"",VLOOKUP(Table131323639[[#This Row],[Ln'#]],Excellent!$A$65:$AU$114,3,FALSE))</f>
        <v/>
      </c>
      <c r="G37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8" s="51" t="str">
        <f>IF(Table131323639[[#This Row],[Dog ID]]="","",(VLOOKUP(Table131323639[[#This Row],[Dog ID]],Excellent!C$65:$AU162,45,FALSE)))</f>
        <v/>
      </c>
      <c r="J378" s="48"/>
      <c r="K378" s="48"/>
      <c r="L378" s="48"/>
      <c r="M378" s="48"/>
      <c r="N378" s="48"/>
      <c r="O378" s="48"/>
      <c r="P378" s="48"/>
      <c r="Q378" s="51"/>
      <c r="R378" s="51"/>
    </row>
    <row r="379" spans="1:19" ht="30" customHeight="1" x14ac:dyDescent="0.45">
      <c r="A379" s="243">
        <v>50</v>
      </c>
      <c r="B379" s="144" t="str">
        <f>IF(OR(VLOOKUP(Table131323639[[#This Row],[Ln'#]],Excellent!A$65:AU$114,7,FALSE)="E",VLOOKUP(Table131323639[[#This Row],[Ln'#]],Excellent!A$65:AU$114,7,FALSE)="FEO"),"x","")</f>
        <v/>
      </c>
      <c r="C379" s="144" t="str">
        <f>IF(OR(VLOOKUP(Table131323639[[#This Row],[Ln'#]],Excellent!A$65:AU$114,15,FALSE)="E",VLOOKUP(Table131323639[[#This Row],[Ln'#]],Excellent!A$65:AU$114,15,FALSE)="FEO"),"x","")</f>
        <v/>
      </c>
      <c r="D379" s="48"/>
      <c r="E379" s="48"/>
      <c r="F379" s="48" t="str">
        <f>IF(AND(Table131323639[[#This Row],[Status Container]]="",Table131323639[[#This Row],[Status Interior]]=""),"",VLOOKUP(Table131323639[[#This Row],[Ln'#]],Excellent!$A$65:$AU$114,3,FALSE))</f>
        <v/>
      </c>
      <c r="G37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9" s="51" t="str">
        <f>IF(Table131323639[[#This Row],[Dog ID]]="","",(VLOOKUP(Table131323639[[#This Row],[Dog ID]],Excellent!C$65:$AU163,45,FALSE)))</f>
        <v/>
      </c>
      <c r="J379" s="48"/>
      <c r="K379" s="48"/>
      <c r="L379" s="48"/>
      <c r="M379" s="48"/>
      <c r="N379" s="48"/>
      <c r="O379" s="48"/>
      <c r="P379" s="48"/>
      <c r="Q379" s="51"/>
      <c r="R379" s="51"/>
    </row>
    <row r="380" spans="1:19" ht="30" customHeight="1" x14ac:dyDescent="0.4">
      <c r="A380" s="48"/>
      <c r="B380" s="48"/>
      <c r="C380" s="48"/>
      <c r="D380" s="48" t="s">
        <v>1141</v>
      </c>
      <c r="E380" s="48">
        <f>SUBTOTAL(102,Table131323639[Running Order])</f>
        <v>0</v>
      </c>
      <c r="F380" s="48"/>
      <c r="G380" s="51"/>
      <c r="H380" s="51"/>
      <c r="J380" s="48"/>
      <c r="K380" s="48"/>
      <c r="L380" s="48"/>
      <c r="M380" s="48"/>
      <c r="N380" s="48"/>
      <c r="O380" s="48"/>
      <c r="P380" s="48"/>
      <c r="Q380" s="51"/>
      <c r="R380" s="51"/>
    </row>
    <row r="381" spans="1:19" ht="30" customHeight="1" x14ac:dyDescent="0.4">
      <c r="A381" s="48"/>
      <c r="B381" s="48"/>
      <c r="C381" s="48"/>
      <c r="D381" s="48"/>
      <c r="E381" s="48"/>
      <c r="F381" s="48"/>
      <c r="G381" s="48"/>
      <c r="H381" s="51"/>
      <c r="I381" s="51"/>
      <c r="K381" s="48"/>
      <c r="L381" s="48"/>
      <c r="M381" s="48"/>
      <c r="N381" s="48"/>
      <c r="O381" s="48"/>
      <c r="P381" s="48"/>
      <c r="Q381" s="48"/>
      <c r="R381" s="51"/>
      <c r="S381" s="51"/>
    </row>
    <row r="383" spans="1:19" ht="30" customHeight="1" x14ac:dyDescent="0.4">
      <c r="A383" s="402" t="s">
        <v>1143</v>
      </c>
      <c r="B383" s="402"/>
      <c r="C383" s="43"/>
      <c r="D383" s="403" t="s">
        <v>1723</v>
      </c>
      <c r="E383" s="403"/>
      <c r="F383" s="403"/>
      <c r="G383" s="403"/>
      <c r="H383" s="403"/>
      <c r="I383" s="403"/>
    </row>
    <row r="384" spans="1:19" ht="47.25" x14ac:dyDescent="0.4">
      <c r="A384" s="67" t="s">
        <v>605</v>
      </c>
      <c r="B384" s="67" t="s">
        <v>1139</v>
      </c>
      <c r="C384" s="68" t="s">
        <v>12407</v>
      </c>
      <c r="D384" s="67" t="s">
        <v>1142</v>
      </c>
      <c r="E384" s="67" t="s">
        <v>1135</v>
      </c>
      <c r="F384" s="67" t="s">
        <v>1136</v>
      </c>
      <c r="G384" s="69" t="s">
        <v>1207</v>
      </c>
      <c r="H384" s="69" t="s">
        <v>1137</v>
      </c>
    </row>
    <row r="385" spans="1:8" ht="30" customHeight="1" x14ac:dyDescent="0.4">
      <c r="A385" s="49">
        <v>1</v>
      </c>
      <c r="B385" s="49" t="str">
        <f>IF(OR(VLOOKUP(Table1710522[[#This Row],[Ln'#]],Excellent!A$65:AW$114,15,FALSE)="E",VLOOKUP(Table1710522[[#This Row],[Ln'#]],Excellent!A$65:AW$114,15,FALSE)="FEO"),"Entered or FEO","Not Entered")</f>
        <v>Not Entered</v>
      </c>
      <c r="C385" s="50"/>
      <c r="D385" s="48"/>
      <c r="E385" s="48"/>
      <c r="F385" s="48" t="str">
        <f>IF(Table1710522[[#This Row],[Status]]="Not Entered","",VLOOKUP(Table1710522[[#This Row],[Ln'#]],Excellent!$A$65:$AW$114,3,FALSE))</f>
        <v/>
      </c>
      <c r="G385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5" s="51" t="str">
        <f>IF(Table1710522[[#This Row],[Status]]="Not Entered","",VLOOKUP(Table1710522[[#This Row],[Ln'#]],Excellent!$A$65:$AW$114,47,FALSE))</f>
        <v/>
      </c>
    </row>
    <row r="386" spans="1:8" ht="30" customHeight="1" x14ac:dyDescent="0.4">
      <c r="A386" s="49">
        <v>2</v>
      </c>
      <c r="B386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6" s="244"/>
      <c r="D386" s="245"/>
      <c r="E386" s="245"/>
      <c r="F386" s="245" t="str">
        <f>IF(Table1710522[[#This Row],[Status]]="Not Entered","",VLOOKUP(Table1710522[[#This Row],[Ln'#]],Excellent!$A$65:$AW$114,3,FALSE))</f>
        <v/>
      </c>
      <c r="G386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6" s="247" t="str">
        <f>IF(Table1710522[[#This Row],[Status]]="Not Entered","",VLOOKUP(Table1710522[[#This Row],[Ln'#]],Excellent!$A$65:$AW$114,47,FALSE))</f>
        <v/>
      </c>
    </row>
    <row r="387" spans="1:8" ht="30" customHeight="1" x14ac:dyDescent="0.4">
      <c r="A387" s="49">
        <v>3</v>
      </c>
      <c r="B387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7" s="244"/>
      <c r="D387" s="245"/>
      <c r="E387" s="245"/>
      <c r="F387" s="245" t="str">
        <f>IF(Table1710522[[#This Row],[Status]]="Not Entered","",VLOOKUP(Table1710522[[#This Row],[Ln'#]],Excellent!$A$65:$AW$114,3,FALSE))</f>
        <v/>
      </c>
      <c r="G387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7" s="247" t="str">
        <f>IF(Table1710522[[#This Row],[Status]]="Not Entered","",VLOOKUP(Table1710522[[#This Row],[Ln'#]],Excellent!$A$65:$AW$114,47,FALSE))</f>
        <v/>
      </c>
    </row>
    <row r="388" spans="1:8" ht="30" customHeight="1" x14ac:dyDescent="0.4">
      <c r="A388" s="49">
        <v>4</v>
      </c>
      <c r="B388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8" s="244"/>
      <c r="D388" s="245"/>
      <c r="E388" s="245"/>
      <c r="F388" s="245" t="str">
        <f>IF(Table1710522[[#This Row],[Status]]="Not Entered","",VLOOKUP(Table1710522[[#This Row],[Ln'#]],Excellent!$A$65:$AW$114,3,FALSE))</f>
        <v/>
      </c>
      <c r="G388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8" s="247" t="str">
        <f>IF(Table1710522[[#This Row],[Status]]="Not Entered","",VLOOKUP(Table1710522[[#This Row],[Ln'#]],Excellent!$A$65:$AW$114,47,FALSE))</f>
        <v/>
      </c>
    </row>
    <row r="389" spans="1:8" ht="30" customHeight="1" x14ac:dyDescent="0.4">
      <c r="A389" s="49">
        <v>5</v>
      </c>
      <c r="B389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9" s="244"/>
      <c r="D389" s="245"/>
      <c r="E389" s="245"/>
      <c r="F389" s="245" t="str">
        <f>IF(Table1710522[[#This Row],[Status]]="Not Entered","",VLOOKUP(Table1710522[[#This Row],[Ln'#]],Excellent!$A$65:$AW$114,3,FALSE))</f>
        <v/>
      </c>
      <c r="G389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9" s="247" t="str">
        <f>IF(Table1710522[[#This Row],[Status]]="Not Entered","",VLOOKUP(Table1710522[[#This Row],[Ln'#]],Excellent!$A$65:$AW$114,47,FALSE))</f>
        <v/>
      </c>
    </row>
    <row r="390" spans="1:8" ht="30" customHeight="1" x14ac:dyDescent="0.4">
      <c r="A390" s="49">
        <v>6</v>
      </c>
      <c r="B390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0" s="244"/>
      <c r="D390" s="245"/>
      <c r="E390" s="245"/>
      <c r="F390" s="245" t="str">
        <f>IF(Table1710522[[#This Row],[Status]]="Not Entered","",VLOOKUP(Table1710522[[#This Row],[Ln'#]],Excellent!$A$65:$AW$114,3,FALSE))</f>
        <v/>
      </c>
      <c r="G390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0" s="247" t="str">
        <f>IF(Table1710522[[#This Row],[Status]]="Not Entered","",VLOOKUP(Table1710522[[#This Row],[Ln'#]],Excellent!$A$65:$AW$114,47,FALSE))</f>
        <v/>
      </c>
    </row>
    <row r="391" spans="1:8" ht="30" customHeight="1" x14ac:dyDescent="0.4">
      <c r="A391" s="49">
        <v>7</v>
      </c>
      <c r="B391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1" s="244"/>
      <c r="D391" s="245"/>
      <c r="E391" s="245"/>
      <c r="F391" s="245" t="str">
        <f>IF(Table1710522[[#This Row],[Status]]="Not Entered","",VLOOKUP(Table1710522[[#This Row],[Ln'#]],Excellent!$A$65:$AW$114,3,FALSE))</f>
        <v/>
      </c>
      <c r="G391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1" s="247" t="str">
        <f>IF(Table1710522[[#This Row],[Status]]="Not Entered","",VLOOKUP(Table1710522[[#This Row],[Ln'#]],Excellent!$A$65:$AW$114,47,FALSE))</f>
        <v/>
      </c>
    </row>
    <row r="392" spans="1:8" ht="30" customHeight="1" x14ac:dyDescent="0.4">
      <c r="A392" s="49">
        <v>8</v>
      </c>
      <c r="B392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2" s="244"/>
      <c r="D392" s="245"/>
      <c r="E392" s="245"/>
      <c r="F392" s="245" t="str">
        <f>IF(Table1710522[[#This Row],[Status]]="Not Entered","",VLOOKUP(Table1710522[[#This Row],[Ln'#]],Excellent!$A$65:$AW$114,3,FALSE))</f>
        <v/>
      </c>
      <c r="G392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2" s="247" t="str">
        <f>IF(Table1710522[[#This Row],[Status]]="Not Entered","",VLOOKUP(Table1710522[[#This Row],[Ln'#]],Excellent!$A$65:$AW$114,47,FALSE))</f>
        <v/>
      </c>
    </row>
    <row r="393" spans="1:8" ht="30" customHeight="1" x14ac:dyDescent="0.4">
      <c r="A393" s="49">
        <v>9</v>
      </c>
      <c r="B393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3" s="244"/>
      <c r="D393" s="245"/>
      <c r="E393" s="245"/>
      <c r="F393" s="245" t="str">
        <f>IF(Table1710522[[#This Row],[Status]]="Not Entered","",VLOOKUP(Table1710522[[#This Row],[Ln'#]],Excellent!$A$65:$AW$114,3,FALSE))</f>
        <v/>
      </c>
      <c r="G393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3" s="247" t="str">
        <f>IF(Table1710522[[#This Row],[Status]]="Not Entered","",VLOOKUP(Table1710522[[#This Row],[Ln'#]],Excellent!$A$65:$AW$114,47,FALSE))</f>
        <v/>
      </c>
    </row>
    <row r="394" spans="1:8" ht="30" customHeight="1" x14ac:dyDescent="0.4">
      <c r="A394" s="49">
        <v>10</v>
      </c>
      <c r="B394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4" s="244"/>
      <c r="D394" s="245"/>
      <c r="E394" s="245"/>
      <c r="F394" s="245" t="str">
        <f>IF(Table1710522[[#This Row],[Status]]="Not Entered","",VLOOKUP(Table1710522[[#This Row],[Ln'#]],Excellent!$A$65:$AW$114,3,FALSE))</f>
        <v/>
      </c>
      <c r="G394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4" s="247" t="str">
        <f>IF(Table1710522[[#This Row],[Status]]="Not Entered","",VLOOKUP(Table1710522[[#This Row],[Ln'#]],Excellent!$A$65:$AW$114,47,FALSE))</f>
        <v/>
      </c>
    </row>
    <row r="395" spans="1:8" ht="30" customHeight="1" x14ac:dyDescent="0.4">
      <c r="A395" s="49">
        <v>11</v>
      </c>
      <c r="B395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5" s="244"/>
      <c r="D395" s="245"/>
      <c r="E395" s="245"/>
      <c r="F395" s="245" t="str">
        <f>IF(Table1710522[[#This Row],[Status]]="Not Entered","",VLOOKUP(Table1710522[[#This Row],[Ln'#]],Excellent!$A$65:$AW$114,3,FALSE))</f>
        <v/>
      </c>
      <c r="G395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5" s="247" t="str">
        <f>IF(Table1710522[[#This Row],[Status]]="Not Entered","",VLOOKUP(Table1710522[[#This Row],[Ln'#]],Excellent!$A$65:$AW$114,47,FALSE))</f>
        <v/>
      </c>
    </row>
    <row r="396" spans="1:8" ht="30" customHeight="1" x14ac:dyDescent="0.4">
      <c r="A396" s="49">
        <v>12</v>
      </c>
      <c r="B396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6" s="244"/>
      <c r="D396" s="245"/>
      <c r="E396" s="245"/>
      <c r="F396" s="245" t="str">
        <f>IF(Table1710522[[#This Row],[Status]]="Not Entered","",VLOOKUP(Table1710522[[#This Row],[Ln'#]],Excellent!$A$65:$AW$114,3,FALSE))</f>
        <v/>
      </c>
      <c r="G396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6" s="247" t="str">
        <f>IF(Table1710522[[#This Row],[Status]]="Not Entered","",VLOOKUP(Table1710522[[#This Row],[Ln'#]],Excellent!$A$65:$AW$114,47,FALSE))</f>
        <v/>
      </c>
    </row>
    <row r="397" spans="1:8" ht="30" customHeight="1" x14ac:dyDescent="0.4">
      <c r="A397" s="49">
        <v>13</v>
      </c>
      <c r="B397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7" s="244"/>
      <c r="D397" s="245"/>
      <c r="E397" s="245"/>
      <c r="F397" s="245" t="str">
        <f>IF(Table1710522[[#This Row],[Status]]="Not Entered","",VLOOKUP(Table1710522[[#This Row],[Ln'#]],Excellent!$A$65:$AW$114,3,FALSE))</f>
        <v/>
      </c>
      <c r="G397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7" s="247" t="str">
        <f>IF(Table1710522[[#This Row],[Status]]="Not Entered","",VLOOKUP(Table1710522[[#This Row],[Ln'#]],Excellent!$A$65:$AW$114,47,FALSE))</f>
        <v/>
      </c>
    </row>
    <row r="398" spans="1:8" ht="30" customHeight="1" x14ac:dyDescent="0.4">
      <c r="A398" s="49">
        <v>14</v>
      </c>
      <c r="B398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8" s="244"/>
      <c r="D398" s="245"/>
      <c r="E398" s="245"/>
      <c r="F398" s="245" t="str">
        <f>IF(Table1710522[[#This Row],[Status]]="Not Entered","",VLOOKUP(Table1710522[[#This Row],[Ln'#]],Excellent!$A$65:$AW$114,3,FALSE))</f>
        <v/>
      </c>
      <c r="G398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8" s="247" t="str">
        <f>IF(Table1710522[[#This Row],[Status]]="Not Entered","",VLOOKUP(Table1710522[[#This Row],[Ln'#]],Excellent!$A$65:$AW$114,47,FALSE))</f>
        <v/>
      </c>
    </row>
    <row r="399" spans="1:8" ht="30" customHeight="1" x14ac:dyDescent="0.4">
      <c r="A399" s="49">
        <v>15</v>
      </c>
      <c r="B399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9" s="244"/>
      <c r="D399" s="245"/>
      <c r="E399" s="245"/>
      <c r="F399" s="245" t="str">
        <f>IF(Table1710522[[#This Row],[Status]]="Not Entered","",VLOOKUP(Table1710522[[#This Row],[Ln'#]],Excellent!$A$65:$AW$114,3,FALSE))</f>
        <v/>
      </c>
      <c r="G399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9" s="247" t="str">
        <f>IF(Table1710522[[#This Row],[Status]]="Not Entered","",VLOOKUP(Table1710522[[#This Row],[Ln'#]],Excellent!$A$65:$AW$114,47,FALSE))</f>
        <v/>
      </c>
    </row>
    <row r="400" spans="1:8" ht="30" customHeight="1" x14ac:dyDescent="0.4">
      <c r="A400" s="49">
        <v>16</v>
      </c>
      <c r="B400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0" s="244"/>
      <c r="D400" s="245"/>
      <c r="E400" s="245"/>
      <c r="F400" s="245" t="str">
        <f>IF(Table1710522[[#This Row],[Status]]="Not Entered","",VLOOKUP(Table1710522[[#This Row],[Ln'#]],Excellent!$A$65:$AW$114,3,FALSE))</f>
        <v/>
      </c>
      <c r="G400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0" s="247" t="str">
        <f>IF(Table1710522[[#This Row],[Status]]="Not Entered","",VLOOKUP(Table1710522[[#This Row],[Ln'#]],Excellent!$A$65:$AW$114,47,FALSE))</f>
        <v/>
      </c>
    </row>
    <row r="401" spans="1:8" ht="30" customHeight="1" x14ac:dyDescent="0.4">
      <c r="A401" s="49">
        <v>17</v>
      </c>
      <c r="B401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1" s="244"/>
      <c r="D401" s="245"/>
      <c r="E401" s="245"/>
      <c r="F401" s="245" t="str">
        <f>IF(Table1710522[[#This Row],[Status]]="Not Entered","",VLOOKUP(Table1710522[[#This Row],[Ln'#]],Excellent!$A$65:$AW$114,3,FALSE))</f>
        <v/>
      </c>
      <c r="G401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1" s="247" t="str">
        <f>IF(Table1710522[[#This Row],[Status]]="Not Entered","",VLOOKUP(Table1710522[[#This Row],[Ln'#]],Excellent!$A$65:$AW$114,47,FALSE))</f>
        <v/>
      </c>
    </row>
    <row r="402" spans="1:8" ht="30" customHeight="1" x14ac:dyDescent="0.4">
      <c r="A402" s="49">
        <v>18</v>
      </c>
      <c r="B402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2" s="244"/>
      <c r="D402" s="245"/>
      <c r="E402" s="245"/>
      <c r="F402" s="245" t="str">
        <f>IF(Table1710522[[#This Row],[Status]]="Not Entered","",VLOOKUP(Table1710522[[#This Row],[Ln'#]],Excellent!$A$65:$AW$114,3,FALSE))</f>
        <v/>
      </c>
      <c r="G402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2" s="247" t="str">
        <f>IF(Table1710522[[#This Row],[Status]]="Not Entered","",VLOOKUP(Table1710522[[#This Row],[Ln'#]],Excellent!$A$65:$AW$114,47,FALSE))</f>
        <v/>
      </c>
    </row>
    <row r="403" spans="1:8" ht="30" customHeight="1" x14ac:dyDescent="0.4">
      <c r="A403" s="49">
        <v>19</v>
      </c>
      <c r="B403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3" s="244"/>
      <c r="D403" s="245"/>
      <c r="E403" s="245"/>
      <c r="F403" s="245" t="str">
        <f>IF(Table1710522[[#This Row],[Status]]="Not Entered","",VLOOKUP(Table1710522[[#This Row],[Ln'#]],Excellent!$A$65:$AW$114,3,FALSE))</f>
        <v/>
      </c>
      <c r="G403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3" s="247" t="str">
        <f>IF(Table1710522[[#This Row],[Status]]="Not Entered","",VLOOKUP(Table1710522[[#This Row],[Ln'#]],Excellent!$A$65:$AW$114,47,FALSE))</f>
        <v/>
      </c>
    </row>
    <row r="404" spans="1:8" ht="30" customHeight="1" x14ac:dyDescent="0.4">
      <c r="A404" s="49">
        <v>20</v>
      </c>
      <c r="B404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4" s="244"/>
      <c r="D404" s="245"/>
      <c r="E404" s="245"/>
      <c r="F404" s="245" t="str">
        <f>IF(Table1710522[[#This Row],[Status]]="Not Entered","",VLOOKUP(Table1710522[[#This Row],[Ln'#]],Excellent!$A$65:$AW$114,3,FALSE))</f>
        <v/>
      </c>
      <c r="G404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4" s="247" t="str">
        <f>IF(Table1710522[[#This Row],[Status]]="Not Entered","",VLOOKUP(Table1710522[[#This Row],[Ln'#]],Excellent!$A$65:$AW$114,47,FALSE))</f>
        <v/>
      </c>
    </row>
    <row r="405" spans="1:8" ht="30" customHeight="1" x14ac:dyDescent="0.4">
      <c r="A405" s="49">
        <v>21</v>
      </c>
      <c r="B405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5" s="244"/>
      <c r="D405" s="245"/>
      <c r="E405" s="245"/>
      <c r="F405" s="245" t="str">
        <f>IF(Table1710522[[#This Row],[Status]]="Not Entered","",VLOOKUP(Table1710522[[#This Row],[Ln'#]],Excellent!$A$65:$AW$114,3,FALSE))</f>
        <v/>
      </c>
      <c r="G405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5" s="247" t="str">
        <f>IF(Table1710522[[#This Row],[Status]]="Not Entered","",VLOOKUP(Table1710522[[#This Row],[Ln'#]],Excellent!$A$65:$AW$114,47,FALSE))</f>
        <v/>
      </c>
    </row>
    <row r="406" spans="1:8" ht="30" customHeight="1" x14ac:dyDescent="0.4">
      <c r="A406" s="243">
        <v>22</v>
      </c>
      <c r="B406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6" s="50"/>
      <c r="D406" s="48"/>
      <c r="E406" s="48"/>
      <c r="F406" s="48" t="str">
        <f>IF(Table1710522[[#This Row],[Status]]="Not Entered","",VLOOKUP(Table1710522[[#This Row],[Ln'#]],Excellent!$A$65:$AW$114,3,FALSE))</f>
        <v/>
      </c>
      <c r="G406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6" s="51" t="str">
        <f>IF(Table1710522[[#This Row],[Status]]="Not Entered","",VLOOKUP(Table1710522[[#This Row],[Ln'#]],Excellent!$A$65:$AW$114,47,FALSE))</f>
        <v/>
      </c>
    </row>
    <row r="407" spans="1:8" ht="30" customHeight="1" x14ac:dyDescent="0.4">
      <c r="A407" s="243">
        <v>23</v>
      </c>
      <c r="B407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7" s="50"/>
      <c r="D407" s="48"/>
      <c r="E407" s="48"/>
      <c r="F407" s="48" t="str">
        <f>IF(Table1710522[[#This Row],[Status]]="Not Entered","",VLOOKUP(Table1710522[[#This Row],[Ln'#]],Excellent!$A$65:$AW$114,3,FALSE))</f>
        <v/>
      </c>
      <c r="G407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7" s="51" t="str">
        <f>IF(Table1710522[[#This Row],[Status]]="Not Entered","",VLOOKUP(Table1710522[[#This Row],[Ln'#]],Excellent!$A$65:$AW$114,47,FALSE))</f>
        <v/>
      </c>
    </row>
    <row r="408" spans="1:8" ht="30" customHeight="1" x14ac:dyDescent="0.4">
      <c r="A408" s="243">
        <v>24</v>
      </c>
      <c r="B408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8" s="50"/>
      <c r="D408" s="48"/>
      <c r="E408" s="48"/>
      <c r="F408" s="48" t="str">
        <f>IF(Table1710522[[#This Row],[Status]]="Not Entered","",VLOOKUP(Table1710522[[#This Row],[Ln'#]],Excellent!$A$65:$AW$114,3,FALSE))</f>
        <v/>
      </c>
      <c r="G408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8" s="51" t="str">
        <f>IF(Table1710522[[#This Row],[Status]]="Not Entered","",VLOOKUP(Table1710522[[#This Row],[Ln'#]],Excellent!$A$65:$AW$114,47,FALSE))</f>
        <v/>
      </c>
    </row>
    <row r="409" spans="1:8" ht="30" customHeight="1" x14ac:dyDescent="0.4">
      <c r="A409" s="243">
        <v>25</v>
      </c>
      <c r="B409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9" s="50"/>
      <c r="D409" s="48"/>
      <c r="E409" s="48"/>
      <c r="F409" s="48" t="str">
        <f>IF(Table1710522[[#This Row],[Status]]="Not Entered","",VLOOKUP(Table1710522[[#This Row],[Ln'#]],Excellent!$A$65:$AW$114,3,FALSE))</f>
        <v/>
      </c>
      <c r="G409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9" s="51" t="str">
        <f>IF(Table1710522[[#This Row],[Status]]="Not Entered","",VLOOKUP(Table1710522[[#This Row],[Ln'#]],Excellent!$A$65:$AW$114,47,FALSE))</f>
        <v/>
      </c>
    </row>
    <row r="410" spans="1:8" ht="30" customHeight="1" x14ac:dyDescent="0.4">
      <c r="A410" s="243">
        <v>26</v>
      </c>
      <c r="B410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0" s="50"/>
      <c r="D410" s="48"/>
      <c r="E410" s="48"/>
      <c r="F410" s="48" t="str">
        <f>IF(Table1710522[[#This Row],[Status]]="Not Entered","",VLOOKUP(Table1710522[[#This Row],[Ln'#]],Excellent!$A$65:$AW$114,3,FALSE))</f>
        <v/>
      </c>
      <c r="G410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0" s="51" t="str">
        <f>IF(Table1710522[[#This Row],[Status]]="Not Entered","",VLOOKUP(Table1710522[[#This Row],[Ln'#]],Excellent!$A$65:$AW$114,47,FALSE))</f>
        <v/>
      </c>
    </row>
    <row r="411" spans="1:8" ht="30" customHeight="1" x14ac:dyDescent="0.4">
      <c r="A411" s="243">
        <v>27</v>
      </c>
      <c r="B411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1" s="50"/>
      <c r="D411" s="48"/>
      <c r="E411" s="48"/>
      <c r="F411" s="48" t="str">
        <f>IF(Table1710522[[#This Row],[Status]]="Not Entered","",VLOOKUP(Table1710522[[#This Row],[Ln'#]],Excellent!$A$65:$AW$114,3,FALSE))</f>
        <v/>
      </c>
      <c r="G411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1" s="51" t="str">
        <f>IF(Table1710522[[#This Row],[Status]]="Not Entered","",VLOOKUP(Table1710522[[#This Row],[Ln'#]],Excellent!$A$65:$AW$114,47,FALSE))</f>
        <v/>
      </c>
    </row>
    <row r="412" spans="1:8" ht="30" customHeight="1" x14ac:dyDescent="0.4">
      <c r="A412" s="243">
        <v>28</v>
      </c>
      <c r="B412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2" s="50"/>
      <c r="D412" s="48"/>
      <c r="E412" s="48"/>
      <c r="F412" s="48" t="str">
        <f>IF(Table1710522[[#This Row],[Status]]="Not Entered","",VLOOKUP(Table1710522[[#This Row],[Ln'#]],Excellent!$A$65:$AW$114,3,FALSE))</f>
        <v/>
      </c>
      <c r="G412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2" s="51" t="str">
        <f>IF(Table1710522[[#This Row],[Status]]="Not Entered","",VLOOKUP(Table1710522[[#This Row],[Ln'#]],Excellent!$A$65:$AW$114,47,FALSE))</f>
        <v/>
      </c>
    </row>
    <row r="413" spans="1:8" ht="30" customHeight="1" x14ac:dyDescent="0.4">
      <c r="A413" s="243">
        <v>29</v>
      </c>
      <c r="B413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3" s="50"/>
      <c r="D413" s="48"/>
      <c r="E413" s="48"/>
      <c r="F413" s="48" t="str">
        <f>IF(Table1710522[[#This Row],[Status]]="Not Entered","",VLOOKUP(Table1710522[[#This Row],[Ln'#]],Excellent!$A$65:$AW$114,3,FALSE))</f>
        <v/>
      </c>
      <c r="G413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3" s="51" t="str">
        <f>IF(Table1710522[[#This Row],[Status]]="Not Entered","",VLOOKUP(Table1710522[[#This Row],[Ln'#]],Excellent!$A$65:$AW$114,47,FALSE))</f>
        <v/>
      </c>
    </row>
    <row r="414" spans="1:8" ht="30" customHeight="1" x14ac:dyDescent="0.4">
      <c r="A414" s="243">
        <v>30</v>
      </c>
      <c r="B414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4" s="50"/>
      <c r="D414" s="48"/>
      <c r="E414" s="48"/>
      <c r="F414" s="48" t="str">
        <f>IF(Table1710522[[#This Row],[Status]]="Not Entered","",VLOOKUP(Table1710522[[#This Row],[Ln'#]],Excellent!$A$65:$AW$114,3,FALSE))</f>
        <v/>
      </c>
      <c r="G414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4" s="51" t="str">
        <f>IF(Table1710522[[#This Row],[Status]]="Not Entered","",VLOOKUP(Table1710522[[#This Row],[Ln'#]],Excellent!$A$65:$AW$114,47,FALSE))</f>
        <v/>
      </c>
    </row>
    <row r="415" spans="1:8" ht="30" customHeight="1" x14ac:dyDescent="0.4">
      <c r="A415" s="243">
        <v>31</v>
      </c>
      <c r="B415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5" s="50"/>
      <c r="D415" s="48"/>
      <c r="E415" s="48"/>
      <c r="F415" s="48" t="str">
        <f>IF(Table1710522[[#This Row],[Status]]="Not Entered","",VLOOKUP(Table1710522[[#This Row],[Ln'#]],Excellent!$A$65:$AW$114,3,FALSE))</f>
        <v/>
      </c>
      <c r="G415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5" s="51" t="str">
        <f>IF(Table1710522[[#This Row],[Status]]="Not Entered","",VLOOKUP(Table1710522[[#This Row],[Ln'#]],Excellent!$A$65:$AW$114,47,FALSE))</f>
        <v/>
      </c>
    </row>
    <row r="416" spans="1:8" ht="30" customHeight="1" x14ac:dyDescent="0.4">
      <c r="A416" s="243">
        <v>32</v>
      </c>
      <c r="B416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6" s="50"/>
      <c r="D416" s="48"/>
      <c r="E416" s="48"/>
      <c r="F416" s="48" t="str">
        <f>IF(Table1710522[[#This Row],[Status]]="Not Entered","",VLOOKUP(Table1710522[[#This Row],[Ln'#]],Excellent!$A$65:$AW$114,3,FALSE))</f>
        <v/>
      </c>
      <c r="G416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6" s="51" t="str">
        <f>IF(Table1710522[[#This Row],[Status]]="Not Entered","",VLOOKUP(Table1710522[[#This Row],[Ln'#]],Excellent!$A$65:$AW$114,47,FALSE))</f>
        <v/>
      </c>
    </row>
    <row r="417" spans="1:8" ht="30" customHeight="1" x14ac:dyDescent="0.4">
      <c r="A417" s="243">
        <v>33</v>
      </c>
      <c r="B417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7" s="50"/>
      <c r="D417" s="48"/>
      <c r="E417" s="48"/>
      <c r="F417" s="48" t="str">
        <f>IF(Table1710522[[#This Row],[Status]]="Not Entered","",VLOOKUP(Table1710522[[#This Row],[Ln'#]],Excellent!$A$65:$AW$114,3,FALSE))</f>
        <v/>
      </c>
      <c r="G417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7" s="51" t="str">
        <f>IF(Table1710522[[#This Row],[Status]]="Not Entered","",VLOOKUP(Table1710522[[#This Row],[Ln'#]],Excellent!$A$65:$AW$114,47,FALSE))</f>
        <v/>
      </c>
    </row>
    <row r="418" spans="1:8" ht="30" customHeight="1" x14ac:dyDescent="0.4">
      <c r="A418" s="243">
        <v>34</v>
      </c>
      <c r="B418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8" s="50"/>
      <c r="D418" s="48"/>
      <c r="E418" s="48"/>
      <c r="F418" s="48" t="str">
        <f>IF(Table1710522[[#This Row],[Status]]="Not Entered","",VLOOKUP(Table1710522[[#This Row],[Ln'#]],Excellent!$A$65:$AW$114,3,FALSE))</f>
        <v/>
      </c>
      <c r="G418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8" s="51" t="str">
        <f>IF(Table1710522[[#This Row],[Status]]="Not Entered","",VLOOKUP(Table1710522[[#This Row],[Ln'#]],Excellent!$A$65:$AW$114,47,FALSE))</f>
        <v/>
      </c>
    </row>
    <row r="419" spans="1:8" ht="30" customHeight="1" x14ac:dyDescent="0.4">
      <c r="A419" s="243">
        <v>35</v>
      </c>
      <c r="B419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9" s="50"/>
      <c r="D419" s="48"/>
      <c r="E419" s="48"/>
      <c r="F419" s="48" t="str">
        <f>IF(Table1710522[[#This Row],[Status]]="Not Entered","",VLOOKUP(Table1710522[[#This Row],[Ln'#]],Excellent!$A$65:$AW$114,3,FALSE))</f>
        <v/>
      </c>
      <c r="G419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9" s="51" t="str">
        <f>IF(Table1710522[[#This Row],[Status]]="Not Entered","",VLOOKUP(Table1710522[[#This Row],[Ln'#]],Excellent!$A$65:$AW$114,47,FALSE))</f>
        <v/>
      </c>
    </row>
    <row r="420" spans="1:8" ht="30" customHeight="1" x14ac:dyDescent="0.4">
      <c r="A420" s="243">
        <v>36</v>
      </c>
      <c r="B420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0" s="50"/>
      <c r="D420" s="48"/>
      <c r="E420" s="48"/>
      <c r="F420" s="48" t="str">
        <f>IF(Table1710522[[#This Row],[Status]]="Not Entered","",VLOOKUP(Table1710522[[#This Row],[Ln'#]],Excellent!$A$65:$AW$114,3,FALSE))</f>
        <v/>
      </c>
      <c r="G420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0" s="51" t="str">
        <f>IF(Table1710522[[#This Row],[Status]]="Not Entered","",VLOOKUP(Table1710522[[#This Row],[Ln'#]],Excellent!$A$65:$AW$114,47,FALSE))</f>
        <v/>
      </c>
    </row>
    <row r="421" spans="1:8" ht="30" customHeight="1" x14ac:dyDescent="0.4">
      <c r="A421" s="243">
        <v>37</v>
      </c>
      <c r="B421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1" s="50"/>
      <c r="D421" s="48"/>
      <c r="E421" s="48"/>
      <c r="F421" s="48" t="str">
        <f>IF(Table1710522[[#This Row],[Status]]="Not Entered","",VLOOKUP(Table1710522[[#This Row],[Ln'#]],Excellent!$A$65:$AW$114,3,FALSE))</f>
        <v/>
      </c>
      <c r="G421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1" s="51" t="str">
        <f>IF(Table1710522[[#This Row],[Status]]="Not Entered","",VLOOKUP(Table1710522[[#This Row],[Ln'#]],Excellent!$A$65:$AW$114,47,FALSE))</f>
        <v/>
      </c>
    </row>
    <row r="422" spans="1:8" ht="30" customHeight="1" x14ac:dyDescent="0.4">
      <c r="A422" s="243">
        <v>38</v>
      </c>
      <c r="B422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2" s="50"/>
      <c r="D422" s="48"/>
      <c r="E422" s="48"/>
      <c r="F422" s="48" t="str">
        <f>IF(Table1710522[[#This Row],[Status]]="Not Entered","",VLOOKUP(Table1710522[[#This Row],[Ln'#]],Excellent!$A$65:$AW$114,3,FALSE))</f>
        <v/>
      </c>
      <c r="G422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2" s="51" t="str">
        <f>IF(Table1710522[[#This Row],[Status]]="Not Entered","",VLOOKUP(Table1710522[[#This Row],[Ln'#]],Excellent!$A$65:$AW$114,47,FALSE))</f>
        <v/>
      </c>
    </row>
    <row r="423" spans="1:8" ht="30" customHeight="1" x14ac:dyDescent="0.4">
      <c r="A423" s="243">
        <v>39</v>
      </c>
      <c r="B423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3" s="50"/>
      <c r="D423" s="48"/>
      <c r="E423" s="48"/>
      <c r="F423" s="48" t="str">
        <f>IF(Table1710522[[#This Row],[Status]]="Not Entered","",VLOOKUP(Table1710522[[#This Row],[Ln'#]],Excellent!$A$65:$AW$114,3,FALSE))</f>
        <v/>
      </c>
      <c r="G423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3" s="51" t="str">
        <f>IF(Table1710522[[#This Row],[Status]]="Not Entered","",VLOOKUP(Table1710522[[#This Row],[Ln'#]],Excellent!$A$65:$AW$114,47,FALSE))</f>
        <v/>
      </c>
    </row>
    <row r="424" spans="1:8" ht="30" customHeight="1" x14ac:dyDescent="0.4">
      <c r="A424" s="243">
        <v>40</v>
      </c>
      <c r="B424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4" s="50"/>
      <c r="D424" s="48"/>
      <c r="E424" s="48"/>
      <c r="F424" s="48" t="str">
        <f>IF(Table1710522[[#This Row],[Status]]="Not Entered","",VLOOKUP(Table1710522[[#This Row],[Ln'#]],Excellent!$A$65:$AW$114,3,FALSE))</f>
        <v/>
      </c>
      <c r="G424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4" s="51" t="str">
        <f>IF(Table1710522[[#This Row],[Status]]="Not Entered","",VLOOKUP(Table1710522[[#This Row],[Ln'#]],Excellent!$A$65:$AW$114,47,FALSE))</f>
        <v/>
      </c>
    </row>
    <row r="425" spans="1:8" ht="30" customHeight="1" x14ac:dyDescent="0.4">
      <c r="A425" s="243">
        <v>41</v>
      </c>
      <c r="B425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5" s="50"/>
      <c r="D425" s="48"/>
      <c r="E425" s="48"/>
      <c r="F425" s="48" t="str">
        <f>IF(Table1710522[[#This Row],[Status]]="Not Entered","",VLOOKUP(Table1710522[[#This Row],[Ln'#]],Excellent!$A$65:$AW$114,3,FALSE))</f>
        <v/>
      </c>
      <c r="G425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5" s="51" t="str">
        <f>IF(Table1710522[[#This Row],[Status]]="Not Entered","",VLOOKUP(Table1710522[[#This Row],[Ln'#]],Excellent!$A$65:$AW$114,47,FALSE))</f>
        <v/>
      </c>
    </row>
    <row r="426" spans="1:8" ht="30" customHeight="1" x14ac:dyDescent="0.4">
      <c r="A426" s="243">
        <v>42</v>
      </c>
      <c r="B426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6" s="50"/>
      <c r="D426" s="48"/>
      <c r="E426" s="48"/>
      <c r="F426" s="48" t="str">
        <f>IF(Table1710522[[#This Row],[Status]]="Not Entered","",VLOOKUP(Table1710522[[#This Row],[Ln'#]],Excellent!$A$65:$AW$114,3,FALSE))</f>
        <v/>
      </c>
      <c r="G426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6" s="51" t="str">
        <f>IF(Table1710522[[#This Row],[Status]]="Not Entered","",VLOOKUP(Table1710522[[#This Row],[Ln'#]],Excellent!$A$65:$AW$114,47,FALSE))</f>
        <v/>
      </c>
    </row>
    <row r="427" spans="1:8" ht="30" customHeight="1" x14ac:dyDescent="0.4">
      <c r="A427" s="243">
        <v>43</v>
      </c>
      <c r="B427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7" s="50"/>
      <c r="D427" s="48"/>
      <c r="E427" s="48"/>
      <c r="F427" s="48" t="str">
        <f>IF(Table1710522[[#This Row],[Status]]="Not Entered","",VLOOKUP(Table1710522[[#This Row],[Ln'#]],Excellent!$A$65:$AW$114,3,FALSE))</f>
        <v/>
      </c>
      <c r="G427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7" s="51" t="str">
        <f>IF(Table1710522[[#This Row],[Status]]="Not Entered","",VLOOKUP(Table1710522[[#This Row],[Ln'#]],Excellent!$A$65:$AW$114,47,FALSE))</f>
        <v/>
      </c>
    </row>
    <row r="428" spans="1:8" ht="30" customHeight="1" x14ac:dyDescent="0.4">
      <c r="A428" s="243">
        <v>44</v>
      </c>
      <c r="B428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8" s="50"/>
      <c r="D428" s="48"/>
      <c r="E428" s="48"/>
      <c r="F428" s="48" t="str">
        <f>IF(Table1710522[[#This Row],[Status]]="Not Entered","",VLOOKUP(Table1710522[[#This Row],[Ln'#]],Excellent!$A$65:$AW$114,3,FALSE))</f>
        <v/>
      </c>
      <c r="G428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8" s="51" t="str">
        <f>IF(Table1710522[[#This Row],[Status]]="Not Entered","",VLOOKUP(Table1710522[[#This Row],[Ln'#]],Excellent!$A$65:$AW$114,47,FALSE))</f>
        <v/>
      </c>
    </row>
    <row r="429" spans="1:8" ht="30" customHeight="1" x14ac:dyDescent="0.4">
      <c r="A429" s="243">
        <v>45</v>
      </c>
      <c r="B429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9" s="50"/>
      <c r="D429" s="48"/>
      <c r="E429" s="48"/>
      <c r="F429" s="48" t="str">
        <f>IF(Table1710522[[#This Row],[Status]]="Not Entered","",VLOOKUP(Table1710522[[#This Row],[Ln'#]],Excellent!$A$65:$AW$114,3,FALSE))</f>
        <v/>
      </c>
      <c r="G429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9" s="51" t="str">
        <f>IF(Table1710522[[#This Row],[Status]]="Not Entered","",VLOOKUP(Table1710522[[#This Row],[Ln'#]],Excellent!$A$65:$AW$114,47,FALSE))</f>
        <v/>
      </c>
    </row>
    <row r="430" spans="1:8" ht="30" customHeight="1" x14ac:dyDescent="0.4">
      <c r="A430" s="243">
        <v>46</v>
      </c>
      <c r="B430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0" s="50"/>
      <c r="D430" s="48"/>
      <c r="E430" s="48"/>
      <c r="F430" s="48" t="str">
        <f>IF(Table1710522[[#This Row],[Status]]="Not Entered","",VLOOKUP(Table1710522[[#This Row],[Ln'#]],Excellent!$A$65:$AW$114,3,FALSE))</f>
        <v/>
      </c>
      <c r="G430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0" s="51" t="str">
        <f>IF(Table1710522[[#This Row],[Status]]="Not Entered","",VLOOKUP(Table1710522[[#This Row],[Ln'#]],Excellent!$A$65:$AW$114,47,FALSE))</f>
        <v/>
      </c>
    </row>
    <row r="431" spans="1:8" ht="30" customHeight="1" x14ac:dyDescent="0.4">
      <c r="A431" s="243">
        <v>47</v>
      </c>
      <c r="B431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1" s="50"/>
      <c r="D431" s="48"/>
      <c r="E431" s="48"/>
      <c r="F431" s="48" t="str">
        <f>IF(Table1710522[[#This Row],[Status]]="Not Entered","",VLOOKUP(Table1710522[[#This Row],[Ln'#]],Excellent!$A$65:$AW$114,3,FALSE))</f>
        <v/>
      </c>
      <c r="G431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1" s="51" t="str">
        <f>IF(Table1710522[[#This Row],[Status]]="Not Entered","",VLOOKUP(Table1710522[[#This Row],[Ln'#]],Excellent!$A$65:$AW$114,47,FALSE))</f>
        <v/>
      </c>
    </row>
    <row r="432" spans="1:8" ht="30" customHeight="1" x14ac:dyDescent="0.4">
      <c r="A432" s="243">
        <v>48</v>
      </c>
      <c r="B432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2" s="50"/>
      <c r="D432" s="48"/>
      <c r="E432" s="48"/>
      <c r="F432" s="48" t="str">
        <f>IF(Table1710522[[#This Row],[Status]]="Not Entered","",VLOOKUP(Table1710522[[#This Row],[Ln'#]],Excellent!$A$65:$AW$114,3,FALSE))</f>
        <v/>
      </c>
      <c r="G432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2" s="51" t="str">
        <f>IF(Table1710522[[#This Row],[Status]]="Not Entered","",VLOOKUP(Table1710522[[#This Row],[Ln'#]],Excellent!$A$65:$AW$114,47,FALSE))</f>
        <v/>
      </c>
    </row>
    <row r="433" spans="1:19" ht="30" customHeight="1" x14ac:dyDescent="0.4">
      <c r="A433" s="243">
        <v>49</v>
      </c>
      <c r="B433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3" s="50"/>
      <c r="D433" s="48"/>
      <c r="E433" s="48"/>
      <c r="F433" s="48" t="str">
        <f>IF(Table1710522[[#This Row],[Status]]="Not Entered","",VLOOKUP(Table1710522[[#This Row],[Ln'#]],Excellent!$A$65:$AW$114,3,FALSE))</f>
        <v/>
      </c>
      <c r="G433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3" s="51" t="str">
        <f>IF(Table1710522[[#This Row],[Status]]="Not Entered","",VLOOKUP(Table1710522[[#This Row],[Ln'#]],Excellent!$A$65:$AW$114,47,FALSE))</f>
        <v/>
      </c>
    </row>
    <row r="434" spans="1:19" ht="30" customHeight="1" x14ac:dyDescent="0.4">
      <c r="A434" s="243">
        <v>50</v>
      </c>
      <c r="B434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4" s="50"/>
      <c r="D434" s="48"/>
      <c r="E434" s="48"/>
      <c r="F434" s="48" t="str">
        <f>IF(Table1710522[[#This Row],[Status]]="Not Entered","",VLOOKUP(Table1710522[[#This Row],[Ln'#]],Excellent!$A$65:$AW$114,3,FALSE))</f>
        <v/>
      </c>
      <c r="G434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4" s="51" t="str">
        <f>IF(Table1710522[[#This Row],[Status]]="Not Entered","",VLOOKUP(Table1710522[[#This Row],[Ln'#]],Excellent!$A$65:$AW$114,47,FALSE))</f>
        <v/>
      </c>
    </row>
    <row r="435" spans="1:19" ht="30" customHeight="1" x14ac:dyDescent="0.4">
      <c r="A435" s="48"/>
      <c r="B435" s="48"/>
      <c r="C435" s="48"/>
      <c r="D435" s="48" t="s">
        <v>1141</v>
      </c>
      <c r="E435" s="48">
        <f>SUBTOTAL(102,Table1710522[Running Order])</f>
        <v>0</v>
      </c>
      <c r="F435" s="48"/>
      <c r="G435" s="51"/>
      <c r="H435" s="51"/>
    </row>
    <row r="436" spans="1:19" ht="30" customHeight="1" x14ac:dyDescent="0.4">
      <c r="A436" s="48"/>
      <c r="B436" s="48"/>
      <c r="C436" s="48"/>
      <c r="D436" s="48"/>
      <c r="E436" s="48"/>
      <c r="F436" s="48"/>
      <c r="G436" s="48"/>
      <c r="H436" s="51"/>
      <c r="I436" s="51"/>
      <c r="K436" s="145"/>
      <c r="L436" s="145"/>
      <c r="M436" s="145"/>
      <c r="N436" s="145"/>
      <c r="O436" s="145"/>
      <c r="P436" s="145"/>
      <c r="Q436" s="145"/>
      <c r="R436" s="146"/>
      <c r="S436" s="146"/>
    </row>
    <row r="437" spans="1:19" ht="30" customHeight="1" x14ac:dyDescent="0.4">
      <c r="A437" s="192" t="s">
        <v>1143</v>
      </c>
      <c r="B437" s="403" t="s">
        <v>2539</v>
      </c>
      <c r="C437" s="403"/>
      <c r="D437" s="403"/>
      <c r="E437" s="403"/>
      <c r="F437" s="403"/>
      <c r="G437" s="403"/>
      <c r="H437" s="403"/>
      <c r="I437" s="403"/>
      <c r="K437" s="145"/>
      <c r="L437" s="145"/>
      <c r="M437" s="145"/>
      <c r="N437" s="145"/>
      <c r="O437" s="145"/>
      <c r="P437" s="145"/>
      <c r="Q437" s="145"/>
      <c r="R437" s="146"/>
      <c r="S437" s="146"/>
    </row>
    <row r="438" spans="1:19" ht="47.25" x14ac:dyDescent="0.4">
      <c r="A438" s="67" t="s">
        <v>605</v>
      </c>
      <c r="B438" s="67" t="s">
        <v>2493</v>
      </c>
      <c r="C438" s="67" t="s">
        <v>2496</v>
      </c>
      <c r="D438" s="67" t="s">
        <v>1142</v>
      </c>
      <c r="E438" s="67" t="s">
        <v>1135</v>
      </c>
      <c r="F438" s="67" t="s">
        <v>1136</v>
      </c>
      <c r="G438" s="69" t="s">
        <v>1207</v>
      </c>
      <c r="H438" s="69" t="s">
        <v>1137</v>
      </c>
      <c r="J438" s="145"/>
      <c r="K438" s="145"/>
      <c r="L438" s="145"/>
      <c r="M438" s="145"/>
      <c r="N438" s="145"/>
      <c r="O438" s="145"/>
      <c r="P438" s="145"/>
      <c r="Q438" s="146"/>
      <c r="R438" s="146"/>
    </row>
    <row r="439" spans="1:19" ht="30" customHeight="1" x14ac:dyDescent="0.45">
      <c r="A439" s="49">
        <v>1</v>
      </c>
      <c r="B439" s="144" t="str">
        <f>IF(OR(VLOOKUP(Table13130333740[[#This Row],[Ln'#]],Excellent!A$65:AU$114,7,FALSE)="E",VLOOKUP(Table13130333740[[#This Row],[Ln'#]],Excellent!A$65:AU$114,7,FALSE)="FEO"),"x","")</f>
        <v/>
      </c>
      <c r="C439" s="144" t="str">
        <f>IF(OR(VLOOKUP(Table13130333740[[#This Row],[Ln'#]],Excellent!A$65:AU$114,23,FALSE)="E",VLOOKUP(Table13130333740[[#This Row],[Ln'#]],Excellent!A$65:AU$114,23,FALSE)="FEO"),"x","")</f>
        <v/>
      </c>
      <c r="D439" s="48"/>
      <c r="E439" s="48"/>
      <c r="F439" s="48" t="str">
        <f>IF(AND(Table13130333740[[#This Row],[Status Container]]="",Table13130333740[[#This Row],[Status Exterior]]=""),"",VLOOKUP(Table13130333740[[#This Row],[Ln'#]],Excellent!$A$65:$AU$114,3,FALSE))</f>
        <v/>
      </c>
      <c r="G43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39" s="51" t="str">
        <f>IF(Table13130333740[[#This Row],[Dog ID]]="","",(VLOOKUP(Table13130333740[[#This Row],[Dog ID]],Excellent!C$65:$AU114,45,FALSE)))</f>
        <v/>
      </c>
      <c r="J439" s="145"/>
      <c r="K439" s="145"/>
      <c r="L439" s="145"/>
      <c r="M439" s="145"/>
      <c r="N439" s="145"/>
      <c r="O439" s="145"/>
      <c r="P439" s="145"/>
      <c r="Q439" s="146"/>
      <c r="R439" s="146"/>
    </row>
    <row r="440" spans="1:19" ht="30" customHeight="1" x14ac:dyDescent="0.45">
      <c r="A440" s="49">
        <v>2</v>
      </c>
      <c r="B440" s="144" t="str">
        <f>IF(OR(VLOOKUP(Table13130333740[[#This Row],[Ln'#]],Excellent!A$65:AU$114,7,FALSE)="E",VLOOKUP(Table13130333740[[#This Row],[Ln'#]],Excellent!A$65:AU$114,7,FALSE)="FEO"),"x","")</f>
        <v/>
      </c>
      <c r="C440" s="144" t="str">
        <f>IF(OR(VLOOKUP(Table13130333740[[#This Row],[Ln'#]],Excellent!A$65:AU$114,23,FALSE)="E",VLOOKUP(Table13130333740[[#This Row],[Ln'#]],Excellent!A$65:AU$114,23,FALSE)="FEO"),"x","")</f>
        <v/>
      </c>
      <c r="D440" s="48"/>
      <c r="E440" s="48"/>
      <c r="F440" s="48" t="str">
        <f>IF(AND(Table13130333740[[#This Row],[Status Container]]="",Table13130333740[[#This Row],[Status Exterior]]=""),"",VLOOKUP(Table13130333740[[#This Row],[Ln'#]],Excellent!$A$65:$AU$114,3,FALSE))</f>
        <v/>
      </c>
      <c r="G44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0" s="51" t="str">
        <f>IF(Table13130333740[[#This Row],[Dog ID]]="","",(VLOOKUP(Table13130333740[[#This Row],[Dog ID]],Excellent!C$65:$AU115,45,FALSE)))</f>
        <v/>
      </c>
      <c r="J440" s="145"/>
      <c r="K440" s="145"/>
      <c r="L440" s="145"/>
      <c r="M440" s="145"/>
      <c r="N440" s="145"/>
      <c r="O440" s="145"/>
      <c r="P440" s="145"/>
      <c r="Q440" s="146"/>
      <c r="R440" s="146"/>
    </row>
    <row r="441" spans="1:19" ht="30" customHeight="1" x14ac:dyDescent="0.45">
      <c r="A441" s="49">
        <v>3</v>
      </c>
      <c r="B441" s="144" t="str">
        <f>IF(OR(VLOOKUP(Table13130333740[[#This Row],[Ln'#]],Excellent!A$65:AU$114,7,FALSE)="E",VLOOKUP(Table13130333740[[#This Row],[Ln'#]],Excellent!A$65:AU$114,7,FALSE)="FEO"),"x","")</f>
        <v/>
      </c>
      <c r="C441" s="144" t="str">
        <f>IF(OR(VLOOKUP(Table13130333740[[#This Row],[Ln'#]],Excellent!A$65:AU$114,23,FALSE)="E",VLOOKUP(Table13130333740[[#This Row],[Ln'#]],Excellent!A$65:AU$114,23,FALSE)="FEO"),"x","")</f>
        <v/>
      </c>
      <c r="D441" s="48"/>
      <c r="E441" s="48"/>
      <c r="F441" s="48" t="str">
        <f>IF(AND(Table13130333740[[#This Row],[Status Container]]="",Table13130333740[[#This Row],[Status Exterior]]=""),"",VLOOKUP(Table13130333740[[#This Row],[Ln'#]],Excellent!$A$65:$AU$114,3,FALSE))</f>
        <v/>
      </c>
      <c r="G44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1" s="51" t="str">
        <f>IF(Table13130333740[[#This Row],[Dog ID]]="","",(VLOOKUP(Table13130333740[[#This Row],[Dog ID]],Excellent!C$65:$AU116,45,FALSE)))</f>
        <v/>
      </c>
      <c r="J441" s="145"/>
      <c r="K441" s="145"/>
      <c r="L441" s="145"/>
      <c r="M441" s="145"/>
      <c r="N441" s="145"/>
      <c r="O441" s="145"/>
      <c r="P441" s="145"/>
      <c r="Q441" s="146"/>
      <c r="R441" s="146"/>
    </row>
    <row r="442" spans="1:19" ht="30" customHeight="1" x14ac:dyDescent="0.45">
      <c r="A442" s="49">
        <v>4</v>
      </c>
      <c r="B442" s="144" t="str">
        <f>IF(OR(VLOOKUP(Table13130333740[[#This Row],[Ln'#]],Excellent!A$65:AU$114,7,FALSE)="E",VLOOKUP(Table13130333740[[#This Row],[Ln'#]],Excellent!A$65:AU$114,7,FALSE)="FEO"),"x","")</f>
        <v/>
      </c>
      <c r="C442" s="144" t="str">
        <f>IF(OR(VLOOKUP(Table13130333740[[#This Row],[Ln'#]],Excellent!A$65:AU$114,23,FALSE)="E",VLOOKUP(Table13130333740[[#This Row],[Ln'#]],Excellent!A$65:AU$114,23,FALSE)="FEO"),"x","")</f>
        <v/>
      </c>
      <c r="D442" s="48"/>
      <c r="E442" s="48"/>
      <c r="F442" s="48" t="str">
        <f>IF(AND(Table13130333740[[#This Row],[Status Container]]="",Table13130333740[[#This Row],[Status Exterior]]=""),"",VLOOKUP(Table13130333740[[#This Row],[Ln'#]],Excellent!$A$65:$AU$114,3,FALSE))</f>
        <v/>
      </c>
      <c r="G44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2" s="51" t="str">
        <f>IF(Table13130333740[[#This Row],[Dog ID]]="","",(VLOOKUP(Table13130333740[[#This Row],[Dog ID]],Excellent!C$65:$AU117,45,FALSE)))</f>
        <v/>
      </c>
      <c r="J442" s="145"/>
      <c r="K442" s="145"/>
      <c r="L442" s="145"/>
      <c r="M442" s="145"/>
      <c r="N442" s="145"/>
      <c r="O442" s="145"/>
      <c r="P442" s="145"/>
      <c r="Q442" s="146"/>
      <c r="R442" s="146"/>
    </row>
    <row r="443" spans="1:19" ht="30" customHeight="1" x14ac:dyDescent="0.45">
      <c r="A443" s="49">
        <v>5</v>
      </c>
      <c r="B443" s="144" t="str">
        <f>IF(OR(VLOOKUP(Table13130333740[[#This Row],[Ln'#]],Excellent!A$65:AU$114,7,FALSE)="E",VLOOKUP(Table13130333740[[#This Row],[Ln'#]],Excellent!A$65:AU$114,7,FALSE)="FEO"),"x","")</f>
        <v/>
      </c>
      <c r="C443" s="144" t="str">
        <f>IF(OR(VLOOKUP(Table13130333740[[#This Row],[Ln'#]],Excellent!A$65:AU$114,23,FALSE)="E",VLOOKUP(Table13130333740[[#This Row],[Ln'#]],Excellent!A$65:AU$114,23,FALSE)="FEO"),"x","")</f>
        <v/>
      </c>
      <c r="D443" s="48"/>
      <c r="E443" s="48"/>
      <c r="F443" s="48" t="str">
        <f>IF(AND(Table13130333740[[#This Row],[Status Container]]="",Table13130333740[[#This Row],[Status Exterior]]=""),"",VLOOKUP(Table13130333740[[#This Row],[Ln'#]],Excellent!$A$65:$AU$114,3,FALSE))</f>
        <v/>
      </c>
      <c r="G44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3" s="51" t="str">
        <f>IF(Table13130333740[[#This Row],[Dog ID]]="","",(VLOOKUP(Table13130333740[[#This Row],[Dog ID]],Excellent!C$65:$AU118,45,FALSE)))</f>
        <v/>
      </c>
      <c r="J443" s="145"/>
      <c r="K443" s="145"/>
      <c r="L443" s="145"/>
      <c r="M443" s="145"/>
      <c r="N443" s="145"/>
      <c r="O443" s="145"/>
      <c r="P443" s="145"/>
      <c r="Q443" s="146"/>
      <c r="R443" s="146"/>
    </row>
    <row r="444" spans="1:19" ht="30" customHeight="1" x14ac:dyDescent="0.45">
      <c r="A444" s="49">
        <v>6</v>
      </c>
      <c r="B444" s="144" t="str">
        <f>IF(OR(VLOOKUP(Table13130333740[[#This Row],[Ln'#]],Excellent!A$65:AU$114,7,FALSE)="E",VLOOKUP(Table13130333740[[#This Row],[Ln'#]],Excellent!A$65:AU$114,7,FALSE)="FEO"),"x","")</f>
        <v/>
      </c>
      <c r="C444" s="144" t="str">
        <f>IF(OR(VLOOKUP(Table13130333740[[#This Row],[Ln'#]],Excellent!A$65:AU$114,23,FALSE)="E",VLOOKUP(Table13130333740[[#This Row],[Ln'#]],Excellent!A$65:AU$114,23,FALSE)="FEO"),"x","")</f>
        <v/>
      </c>
      <c r="D444" s="48"/>
      <c r="E444" s="48"/>
      <c r="F444" s="48" t="str">
        <f>IF(AND(Table13130333740[[#This Row],[Status Container]]="",Table13130333740[[#This Row],[Status Exterior]]=""),"",VLOOKUP(Table13130333740[[#This Row],[Ln'#]],Excellent!$A$65:$AU$114,3,FALSE))</f>
        <v/>
      </c>
      <c r="G44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4" s="51" t="str">
        <f>IF(Table13130333740[[#This Row],[Dog ID]]="","",(VLOOKUP(Table13130333740[[#This Row],[Dog ID]],Excellent!C$65:$AU119,45,FALSE)))</f>
        <v/>
      </c>
      <c r="J444" s="145"/>
      <c r="K444" s="145"/>
      <c r="L444" s="145"/>
      <c r="M444" s="145"/>
      <c r="N444" s="145"/>
      <c r="O444" s="145"/>
      <c r="P444" s="145"/>
      <c r="Q444" s="146"/>
      <c r="R444" s="146"/>
    </row>
    <row r="445" spans="1:19" ht="30" customHeight="1" x14ac:dyDescent="0.45">
      <c r="A445" s="49">
        <v>7</v>
      </c>
      <c r="B445" s="144" t="str">
        <f>IF(OR(VLOOKUP(Table13130333740[[#This Row],[Ln'#]],Excellent!A$65:AU$114,7,FALSE)="E",VLOOKUP(Table13130333740[[#This Row],[Ln'#]],Excellent!A$65:AU$114,7,FALSE)="FEO"),"x","")</f>
        <v/>
      </c>
      <c r="C445" s="144" t="str">
        <f>IF(OR(VLOOKUP(Table13130333740[[#This Row],[Ln'#]],Excellent!A$65:AU$114,23,FALSE)="E",VLOOKUP(Table13130333740[[#This Row],[Ln'#]],Excellent!A$65:AU$114,23,FALSE)="FEO"),"x","")</f>
        <v/>
      </c>
      <c r="D445" s="48"/>
      <c r="E445" s="48"/>
      <c r="F445" s="48" t="str">
        <f>IF(AND(Table13130333740[[#This Row],[Status Container]]="",Table13130333740[[#This Row],[Status Exterior]]=""),"",VLOOKUP(Table13130333740[[#This Row],[Ln'#]],Excellent!$A$65:$AU$114,3,FALSE))</f>
        <v/>
      </c>
      <c r="G44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5" s="51" t="str">
        <f>IF(Table13130333740[[#This Row],[Dog ID]]="","",(VLOOKUP(Table13130333740[[#This Row],[Dog ID]],Excellent!C$65:$AU120,45,FALSE)))</f>
        <v/>
      </c>
      <c r="J445" s="145"/>
      <c r="K445" s="145"/>
      <c r="L445" s="145"/>
      <c r="M445" s="145"/>
      <c r="N445" s="145"/>
      <c r="O445" s="145"/>
      <c r="P445" s="145"/>
      <c r="Q445" s="146"/>
      <c r="R445" s="146"/>
    </row>
    <row r="446" spans="1:19" ht="30" customHeight="1" x14ac:dyDescent="0.45">
      <c r="A446" s="49">
        <v>8</v>
      </c>
      <c r="B446" s="144" t="str">
        <f>IF(OR(VLOOKUP(Table13130333740[[#This Row],[Ln'#]],Excellent!A$65:AU$114,7,FALSE)="E",VLOOKUP(Table13130333740[[#This Row],[Ln'#]],Excellent!A$65:AU$114,7,FALSE)="FEO"),"x","")</f>
        <v/>
      </c>
      <c r="C446" s="144" t="str">
        <f>IF(OR(VLOOKUP(Table13130333740[[#This Row],[Ln'#]],Excellent!A$65:AU$114,23,FALSE)="E",VLOOKUP(Table13130333740[[#This Row],[Ln'#]],Excellent!A$65:AU$114,23,FALSE)="FEO"),"x","")</f>
        <v/>
      </c>
      <c r="D446" s="48"/>
      <c r="E446" s="48"/>
      <c r="F446" s="48" t="str">
        <f>IF(AND(Table13130333740[[#This Row],[Status Container]]="",Table13130333740[[#This Row],[Status Exterior]]=""),"",VLOOKUP(Table13130333740[[#This Row],[Ln'#]],Excellent!$A$65:$AU$114,3,FALSE))</f>
        <v/>
      </c>
      <c r="G44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6" s="51" t="str">
        <f>IF(Table13130333740[[#This Row],[Dog ID]]="","",(VLOOKUP(Table13130333740[[#This Row],[Dog ID]],Excellent!C$65:$AU121,45,FALSE)))</f>
        <v/>
      </c>
      <c r="J446" s="145"/>
      <c r="K446" s="145"/>
      <c r="L446" s="145"/>
      <c r="M446" s="145"/>
      <c r="N446" s="145"/>
      <c r="O446" s="145"/>
      <c r="P446" s="145"/>
      <c r="Q446" s="146"/>
      <c r="R446" s="146"/>
    </row>
    <row r="447" spans="1:19" ht="30" customHeight="1" x14ac:dyDescent="0.45">
      <c r="A447" s="49">
        <v>9</v>
      </c>
      <c r="B447" s="144" t="str">
        <f>IF(OR(VLOOKUP(Table13130333740[[#This Row],[Ln'#]],Excellent!A$65:AU$114,7,FALSE)="E",VLOOKUP(Table13130333740[[#This Row],[Ln'#]],Excellent!A$65:AU$114,7,FALSE)="FEO"),"x","")</f>
        <v/>
      </c>
      <c r="C447" s="144" t="str">
        <f>IF(OR(VLOOKUP(Table13130333740[[#This Row],[Ln'#]],Excellent!A$65:AU$114,23,FALSE)="E",VLOOKUP(Table13130333740[[#This Row],[Ln'#]],Excellent!A$65:AU$114,23,FALSE)="FEO"),"x","")</f>
        <v/>
      </c>
      <c r="D447" s="48"/>
      <c r="E447" s="48"/>
      <c r="F447" s="48" t="str">
        <f>IF(AND(Table13130333740[[#This Row],[Status Container]]="",Table13130333740[[#This Row],[Status Exterior]]=""),"",VLOOKUP(Table13130333740[[#This Row],[Ln'#]],Excellent!$A$65:$AU$114,3,FALSE))</f>
        <v/>
      </c>
      <c r="G44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7" s="51" t="str">
        <f>IF(Table13130333740[[#This Row],[Dog ID]]="","",(VLOOKUP(Table13130333740[[#This Row],[Dog ID]],Excellent!C$65:$AU122,45,FALSE)))</f>
        <v/>
      </c>
      <c r="J447" s="145"/>
      <c r="K447" s="145"/>
      <c r="L447" s="145"/>
      <c r="M447" s="145"/>
      <c r="N447" s="145"/>
      <c r="O447" s="145"/>
      <c r="P447" s="145"/>
      <c r="Q447" s="146"/>
      <c r="R447" s="146"/>
    </row>
    <row r="448" spans="1:19" ht="30" customHeight="1" x14ac:dyDescent="0.45">
      <c r="A448" s="49">
        <v>10</v>
      </c>
      <c r="B448" s="144" t="str">
        <f>IF(OR(VLOOKUP(Table13130333740[[#This Row],[Ln'#]],Excellent!A$65:AU$114,7,FALSE)="E",VLOOKUP(Table13130333740[[#This Row],[Ln'#]],Excellent!A$65:AU$114,7,FALSE)="FEO"),"x","")</f>
        <v/>
      </c>
      <c r="C448" s="144" t="str">
        <f>IF(OR(VLOOKUP(Table13130333740[[#This Row],[Ln'#]],Excellent!A$65:AU$114,23,FALSE)="E",VLOOKUP(Table13130333740[[#This Row],[Ln'#]],Excellent!A$65:AU$114,23,FALSE)="FEO"),"x","")</f>
        <v/>
      </c>
      <c r="D448" s="48"/>
      <c r="E448" s="48"/>
      <c r="F448" s="48" t="str">
        <f>IF(AND(Table13130333740[[#This Row],[Status Container]]="",Table13130333740[[#This Row],[Status Exterior]]=""),"",VLOOKUP(Table13130333740[[#This Row],[Ln'#]],Excellent!$A$65:$AU$114,3,FALSE))</f>
        <v/>
      </c>
      <c r="G44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8" s="51" t="str">
        <f>IF(Table13130333740[[#This Row],[Dog ID]]="","",(VLOOKUP(Table13130333740[[#This Row],[Dog ID]],Excellent!C$65:$AU123,45,FALSE)))</f>
        <v/>
      </c>
      <c r="J448" s="145"/>
      <c r="K448" s="145"/>
      <c r="L448" s="145"/>
      <c r="M448" s="145"/>
      <c r="N448" s="145"/>
      <c r="O448" s="145"/>
      <c r="P448" s="145"/>
      <c r="Q448" s="146"/>
      <c r="R448" s="146"/>
    </row>
    <row r="449" spans="1:18" ht="30" customHeight="1" x14ac:dyDescent="0.45">
      <c r="A449" s="49">
        <v>11</v>
      </c>
      <c r="B449" s="144" t="str">
        <f>IF(OR(VLOOKUP(Table13130333740[[#This Row],[Ln'#]],Excellent!A$65:AU$114,7,FALSE)="E",VLOOKUP(Table13130333740[[#This Row],[Ln'#]],Excellent!A$65:AU$114,7,FALSE)="FEO"),"x","")</f>
        <v/>
      </c>
      <c r="C449" s="144" t="str">
        <f>IF(OR(VLOOKUP(Table13130333740[[#This Row],[Ln'#]],Excellent!A$65:AU$114,23,FALSE)="E",VLOOKUP(Table13130333740[[#This Row],[Ln'#]],Excellent!A$65:AU$114,23,FALSE)="FEO"),"x","")</f>
        <v/>
      </c>
      <c r="D449" s="48"/>
      <c r="E449" s="48"/>
      <c r="F449" s="48" t="str">
        <f>IF(AND(Table13130333740[[#This Row],[Status Container]]="",Table13130333740[[#This Row],[Status Exterior]]=""),"",VLOOKUP(Table13130333740[[#This Row],[Ln'#]],Excellent!$A$65:$AU$114,3,FALSE))</f>
        <v/>
      </c>
      <c r="G44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9" s="51" t="str">
        <f>IF(Table13130333740[[#This Row],[Dog ID]]="","",(VLOOKUP(Table13130333740[[#This Row],[Dog ID]],Excellent!C$65:$AU124,45,FALSE)))</f>
        <v/>
      </c>
      <c r="J449" s="145"/>
      <c r="K449" s="145"/>
      <c r="L449" s="145"/>
      <c r="M449" s="145"/>
      <c r="N449" s="145"/>
      <c r="O449" s="145"/>
      <c r="P449" s="145"/>
      <c r="Q449" s="146"/>
      <c r="R449" s="146"/>
    </row>
    <row r="450" spans="1:18" ht="30" customHeight="1" x14ac:dyDescent="0.45">
      <c r="A450" s="49">
        <v>12</v>
      </c>
      <c r="B450" s="144" t="str">
        <f>IF(OR(VLOOKUP(Table13130333740[[#This Row],[Ln'#]],Excellent!A$65:AU$114,7,FALSE)="E",VLOOKUP(Table13130333740[[#This Row],[Ln'#]],Excellent!A$65:AU$114,7,FALSE)="FEO"),"x","")</f>
        <v/>
      </c>
      <c r="C450" s="144" t="str">
        <f>IF(OR(VLOOKUP(Table13130333740[[#This Row],[Ln'#]],Excellent!A$65:AU$114,23,FALSE)="E",VLOOKUP(Table13130333740[[#This Row],[Ln'#]],Excellent!A$65:AU$114,23,FALSE)="FEO"),"x","")</f>
        <v/>
      </c>
      <c r="D450" s="48"/>
      <c r="E450" s="48"/>
      <c r="F450" s="48" t="str">
        <f>IF(AND(Table13130333740[[#This Row],[Status Container]]="",Table13130333740[[#This Row],[Status Exterior]]=""),"",VLOOKUP(Table13130333740[[#This Row],[Ln'#]],Excellent!$A$65:$AU$114,3,FALSE))</f>
        <v/>
      </c>
      <c r="G45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0" s="51" t="str">
        <f>IF(Table13130333740[[#This Row],[Dog ID]]="","",(VLOOKUP(Table13130333740[[#This Row],[Dog ID]],Excellent!C$65:$AU125,45,FALSE)))</f>
        <v/>
      </c>
      <c r="J450" s="145"/>
      <c r="K450" s="145"/>
      <c r="L450" s="145"/>
      <c r="M450" s="145"/>
      <c r="N450" s="145"/>
      <c r="O450" s="145"/>
      <c r="P450" s="145"/>
      <c r="Q450" s="146"/>
      <c r="R450" s="146"/>
    </row>
    <row r="451" spans="1:18" ht="30" customHeight="1" x14ac:dyDescent="0.45">
      <c r="A451" s="49">
        <v>13</v>
      </c>
      <c r="B451" s="144" t="str">
        <f>IF(OR(VLOOKUP(Table13130333740[[#This Row],[Ln'#]],Excellent!A$65:AU$114,7,FALSE)="E",VLOOKUP(Table13130333740[[#This Row],[Ln'#]],Excellent!A$65:AU$114,7,FALSE)="FEO"),"x","")</f>
        <v/>
      </c>
      <c r="C451" s="144" t="str">
        <f>IF(OR(VLOOKUP(Table13130333740[[#This Row],[Ln'#]],Excellent!A$65:AU$114,23,FALSE)="E",VLOOKUP(Table13130333740[[#This Row],[Ln'#]],Excellent!A$65:AU$114,23,FALSE)="FEO"),"x","")</f>
        <v/>
      </c>
      <c r="D451" s="48"/>
      <c r="E451" s="48"/>
      <c r="F451" s="48" t="str">
        <f>IF(AND(Table13130333740[[#This Row],[Status Container]]="",Table13130333740[[#This Row],[Status Exterior]]=""),"",VLOOKUP(Table13130333740[[#This Row],[Ln'#]],Excellent!$A$65:$AU$114,3,FALSE))</f>
        <v/>
      </c>
      <c r="G45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1" s="51" t="str">
        <f>IF(Table13130333740[[#This Row],[Dog ID]]="","",(VLOOKUP(Table13130333740[[#This Row],[Dog ID]],Excellent!C$65:$AU126,45,FALSE)))</f>
        <v/>
      </c>
      <c r="J451" s="145"/>
      <c r="K451" s="145"/>
      <c r="L451" s="145"/>
      <c r="M451" s="145"/>
      <c r="N451" s="145"/>
      <c r="O451" s="145"/>
      <c r="P451" s="145"/>
      <c r="Q451" s="146"/>
      <c r="R451" s="146"/>
    </row>
    <row r="452" spans="1:18" ht="30" customHeight="1" x14ac:dyDescent="0.45">
      <c r="A452" s="49">
        <v>14</v>
      </c>
      <c r="B452" s="144" t="str">
        <f>IF(OR(VLOOKUP(Table13130333740[[#This Row],[Ln'#]],Excellent!A$65:AU$114,7,FALSE)="E",VLOOKUP(Table13130333740[[#This Row],[Ln'#]],Excellent!A$65:AU$114,7,FALSE)="FEO"),"x","")</f>
        <v/>
      </c>
      <c r="C452" s="144" t="str">
        <f>IF(OR(VLOOKUP(Table13130333740[[#This Row],[Ln'#]],Excellent!A$65:AU$114,23,FALSE)="E",VLOOKUP(Table13130333740[[#This Row],[Ln'#]],Excellent!A$65:AU$114,23,FALSE)="FEO"),"x","")</f>
        <v/>
      </c>
      <c r="D452" s="48"/>
      <c r="E452" s="48"/>
      <c r="F452" s="48" t="str">
        <f>IF(AND(Table13130333740[[#This Row],[Status Container]]="",Table13130333740[[#This Row],[Status Exterior]]=""),"",VLOOKUP(Table13130333740[[#This Row],[Ln'#]],Excellent!$A$65:$AU$114,3,FALSE))</f>
        <v/>
      </c>
      <c r="G45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2" s="51" t="str">
        <f>IF(Table13130333740[[#This Row],[Dog ID]]="","",(VLOOKUP(Table13130333740[[#This Row],[Dog ID]],Excellent!C$65:$AU127,45,FALSE)))</f>
        <v/>
      </c>
      <c r="J452" s="145"/>
      <c r="K452" s="145"/>
      <c r="L452" s="145"/>
      <c r="M452" s="145"/>
      <c r="N452" s="145"/>
      <c r="O452" s="145"/>
      <c r="P452" s="145"/>
      <c r="Q452" s="146"/>
      <c r="R452" s="146"/>
    </row>
    <row r="453" spans="1:18" ht="30" customHeight="1" x14ac:dyDescent="0.45">
      <c r="A453" s="49">
        <v>15</v>
      </c>
      <c r="B453" s="144" t="str">
        <f>IF(OR(VLOOKUP(Table13130333740[[#This Row],[Ln'#]],Excellent!A$65:AU$114,7,FALSE)="E",VLOOKUP(Table13130333740[[#This Row],[Ln'#]],Excellent!A$65:AU$114,7,FALSE)="FEO"),"x","")</f>
        <v/>
      </c>
      <c r="C453" s="144" t="str">
        <f>IF(OR(VLOOKUP(Table13130333740[[#This Row],[Ln'#]],Excellent!A$65:AU$114,23,FALSE)="E",VLOOKUP(Table13130333740[[#This Row],[Ln'#]],Excellent!A$65:AU$114,23,FALSE)="FEO"),"x","")</f>
        <v/>
      </c>
      <c r="D453" s="48"/>
      <c r="E453" s="48"/>
      <c r="F453" s="48" t="str">
        <f>IF(AND(Table13130333740[[#This Row],[Status Container]]="",Table13130333740[[#This Row],[Status Exterior]]=""),"",VLOOKUP(Table13130333740[[#This Row],[Ln'#]],Excellent!$A$65:$AU$114,3,FALSE))</f>
        <v/>
      </c>
      <c r="G45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3" s="51" t="str">
        <f>IF(Table13130333740[[#This Row],[Dog ID]]="","",(VLOOKUP(Table13130333740[[#This Row],[Dog ID]],Excellent!C$65:$AU128,45,FALSE)))</f>
        <v/>
      </c>
      <c r="J453" s="145"/>
      <c r="K453" s="145"/>
      <c r="L453" s="145"/>
      <c r="M453" s="145"/>
      <c r="N453" s="145"/>
      <c r="O453" s="145"/>
      <c r="P453" s="145"/>
      <c r="Q453" s="146"/>
      <c r="R453" s="146"/>
    </row>
    <row r="454" spans="1:18" ht="30" customHeight="1" x14ac:dyDescent="0.45">
      <c r="A454" s="49">
        <v>16</v>
      </c>
      <c r="B454" s="144" t="str">
        <f>IF(OR(VLOOKUP(Table13130333740[[#This Row],[Ln'#]],Excellent!A$65:AU$114,7,FALSE)="E",VLOOKUP(Table13130333740[[#This Row],[Ln'#]],Excellent!A$65:AU$114,7,FALSE)="FEO"),"x","")</f>
        <v/>
      </c>
      <c r="C454" s="144" t="str">
        <f>IF(OR(VLOOKUP(Table13130333740[[#This Row],[Ln'#]],Excellent!A$65:AU$114,23,FALSE)="E",VLOOKUP(Table13130333740[[#This Row],[Ln'#]],Excellent!A$65:AU$114,23,FALSE)="FEO"),"x","")</f>
        <v/>
      </c>
      <c r="D454" s="48"/>
      <c r="E454" s="48"/>
      <c r="F454" s="48" t="str">
        <f>IF(AND(Table13130333740[[#This Row],[Status Container]]="",Table13130333740[[#This Row],[Status Exterior]]=""),"",VLOOKUP(Table13130333740[[#This Row],[Ln'#]],Excellent!$A$65:$AU$114,3,FALSE))</f>
        <v/>
      </c>
      <c r="G45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4" s="51" t="str">
        <f>IF(Table13130333740[[#This Row],[Dog ID]]="","",(VLOOKUP(Table13130333740[[#This Row],[Dog ID]],Excellent!C$65:$AU129,45,FALSE)))</f>
        <v/>
      </c>
      <c r="J454" s="145"/>
      <c r="K454" s="145"/>
      <c r="L454" s="145"/>
      <c r="M454" s="145"/>
      <c r="N454" s="145"/>
      <c r="O454" s="145"/>
      <c r="P454" s="145"/>
      <c r="Q454" s="146"/>
      <c r="R454" s="146"/>
    </row>
    <row r="455" spans="1:18" ht="30" customHeight="1" x14ac:dyDescent="0.45">
      <c r="A455" s="49">
        <v>17</v>
      </c>
      <c r="B455" s="144" t="str">
        <f>IF(OR(VLOOKUP(Table13130333740[[#This Row],[Ln'#]],Excellent!A$65:AU$114,7,FALSE)="E",VLOOKUP(Table13130333740[[#This Row],[Ln'#]],Excellent!A$65:AU$114,7,FALSE)="FEO"),"x","")</f>
        <v/>
      </c>
      <c r="C455" s="144" t="str">
        <f>IF(OR(VLOOKUP(Table13130333740[[#This Row],[Ln'#]],Excellent!A$65:AU$114,23,FALSE)="E",VLOOKUP(Table13130333740[[#This Row],[Ln'#]],Excellent!A$65:AU$114,23,FALSE)="FEO"),"x","")</f>
        <v/>
      </c>
      <c r="D455" s="48"/>
      <c r="E455" s="48"/>
      <c r="F455" s="48" t="str">
        <f>IF(AND(Table13130333740[[#This Row],[Status Container]]="",Table13130333740[[#This Row],[Status Exterior]]=""),"",VLOOKUP(Table13130333740[[#This Row],[Ln'#]],Excellent!$A$65:$AU$114,3,FALSE))</f>
        <v/>
      </c>
      <c r="G45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5" s="51" t="str">
        <f>IF(Table13130333740[[#This Row],[Dog ID]]="","",(VLOOKUP(Table13130333740[[#This Row],[Dog ID]],Excellent!C$65:$AU130,45,FALSE)))</f>
        <v/>
      </c>
      <c r="J455" s="145"/>
      <c r="K455" s="145"/>
      <c r="L455" s="145"/>
      <c r="M455" s="145"/>
      <c r="N455" s="145"/>
      <c r="O455" s="145"/>
      <c r="P455" s="145"/>
      <c r="Q455" s="146"/>
      <c r="R455" s="146"/>
    </row>
    <row r="456" spans="1:18" ht="30" customHeight="1" x14ac:dyDescent="0.45">
      <c r="A456" s="49">
        <v>18</v>
      </c>
      <c r="B456" s="144" t="str">
        <f>IF(OR(VLOOKUP(Table13130333740[[#This Row],[Ln'#]],Excellent!A$65:AU$114,7,FALSE)="E",VLOOKUP(Table13130333740[[#This Row],[Ln'#]],Excellent!A$65:AU$114,7,FALSE)="FEO"),"x","")</f>
        <v/>
      </c>
      <c r="C456" s="144" t="str">
        <f>IF(OR(VLOOKUP(Table13130333740[[#This Row],[Ln'#]],Excellent!A$65:AU$114,23,FALSE)="E",VLOOKUP(Table13130333740[[#This Row],[Ln'#]],Excellent!A$65:AU$114,23,FALSE)="FEO"),"x","")</f>
        <v/>
      </c>
      <c r="D456" s="48"/>
      <c r="E456" s="48"/>
      <c r="F456" s="48" t="str">
        <f>IF(AND(Table13130333740[[#This Row],[Status Container]]="",Table13130333740[[#This Row],[Status Exterior]]=""),"",VLOOKUP(Table13130333740[[#This Row],[Ln'#]],Excellent!$A$65:$AU$114,3,FALSE))</f>
        <v/>
      </c>
      <c r="G45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6" s="51" t="str">
        <f>IF(Table13130333740[[#This Row],[Dog ID]]="","",(VLOOKUP(Table13130333740[[#This Row],[Dog ID]],Excellent!C$65:$AU131,45,FALSE)))</f>
        <v/>
      </c>
      <c r="J456" s="145"/>
      <c r="K456" s="145"/>
      <c r="L456" s="145"/>
      <c r="M456" s="145"/>
      <c r="N456" s="145"/>
      <c r="O456" s="145"/>
      <c r="P456" s="145"/>
      <c r="Q456" s="146"/>
      <c r="R456" s="146"/>
    </row>
    <row r="457" spans="1:18" ht="30" customHeight="1" x14ac:dyDescent="0.45">
      <c r="A457" s="49">
        <v>19</v>
      </c>
      <c r="B457" s="144" t="str">
        <f>IF(OR(VLOOKUP(Table13130333740[[#This Row],[Ln'#]],Excellent!A$65:AU$114,7,FALSE)="E",VLOOKUP(Table13130333740[[#This Row],[Ln'#]],Excellent!A$65:AU$114,7,FALSE)="FEO"),"x","")</f>
        <v/>
      </c>
      <c r="C457" s="144" t="str">
        <f>IF(OR(VLOOKUP(Table13130333740[[#This Row],[Ln'#]],Excellent!A$65:AU$114,23,FALSE)="E",VLOOKUP(Table13130333740[[#This Row],[Ln'#]],Excellent!A$65:AU$114,23,FALSE)="FEO"),"x","")</f>
        <v/>
      </c>
      <c r="D457" s="48"/>
      <c r="E457" s="48"/>
      <c r="F457" s="48" t="str">
        <f>IF(AND(Table13130333740[[#This Row],[Status Container]]="",Table13130333740[[#This Row],[Status Exterior]]=""),"",VLOOKUP(Table13130333740[[#This Row],[Ln'#]],Excellent!$A$65:$AU$114,3,FALSE))</f>
        <v/>
      </c>
      <c r="G45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7" s="51" t="str">
        <f>IF(Table13130333740[[#This Row],[Dog ID]]="","",(VLOOKUP(Table13130333740[[#This Row],[Dog ID]],Excellent!C$65:$AU132,45,FALSE)))</f>
        <v/>
      </c>
      <c r="J457" s="145"/>
      <c r="K457" s="145"/>
      <c r="L457" s="145"/>
      <c r="M457" s="145"/>
      <c r="N457" s="145"/>
      <c r="O457" s="145"/>
      <c r="P457" s="145"/>
      <c r="Q457" s="146"/>
      <c r="R457" s="146"/>
    </row>
    <row r="458" spans="1:18" ht="30" customHeight="1" x14ac:dyDescent="0.45">
      <c r="A458" s="49">
        <v>20</v>
      </c>
      <c r="B458" s="144" t="str">
        <f>IF(OR(VLOOKUP(Table13130333740[[#This Row],[Ln'#]],Excellent!A$65:AU$114,7,FALSE)="E",VLOOKUP(Table13130333740[[#This Row],[Ln'#]],Excellent!A$65:AU$114,7,FALSE)="FEO"),"x","")</f>
        <v/>
      </c>
      <c r="C458" s="144" t="str">
        <f>IF(OR(VLOOKUP(Table13130333740[[#This Row],[Ln'#]],Excellent!A$65:AU$114,23,FALSE)="E",VLOOKUP(Table13130333740[[#This Row],[Ln'#]],Excellent!A$65:AU$114,23,FALSE)="FEO"),"x","")</f>
        <v/>
      </c>
      <c r="D458" s="48"/>
      <c r="E458" s="48"/>
      <c r="F458" s="48" t="str">
        <f>IF(AND(Table13130333740[[#This Row],[Status Container]]="",Table13130333740[[#This Row],[Status Exterior]]=""),"",VLOOKUP(Table13130333740[[#This Row],[Ln'#]],Excellent!$A$65:$AU$114,3,FALSE))</f>
        <v/>
      </c>
      <c r="G45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8" s="51" t="str">
        <f>IF(Table13130333740[[#This Row],[Dog ID]]="","",(VLOOKUP(Table13130333740[[#This Row],[Dog ID]],Excellent!C$65:$AU133,45,FALSE)))</f>
        <v/>
      </c>
      <c r="J458" s="145"/>
      <c r="K458" s="145"/>
      <c r="L458" s="145"/>
      <c r="M458" s="145"/>
      <c r="N458" s="145"/>
      <c r="O458" s="145"/>
      <c r="P458" s="145"/>
      <c r="Q458" s="146"/>
      <c r="R458" s="146"/>
    </row>
    <row r="459" spans="1:18" ht="30" customHeight="1" x14ac:dyDescent="0.45">
      <c r="A459" s="49">
        <v>21</v>
      </c>
      <c r="B459" s="144" t="str">
        <f>IF(OR(VLOOKUP(Table13130333740[[#This Row],[Ln'#]],Excellent!A$65:AU$114,7,FALSE)="E",VLOOKUP(Table13130333740[[#This Row],[Ln'#]],Excellent!A$65:AU$114,7,FALSE)="FEO"),"x","")</f>
        <v/>
      </c>
      <c r="C459" s="144" t="str">
        <f>IF(OR(VLOOKUP(Table13130333740[[#This Row],[Ln'#]],Excellent!A$65:AU$114,23,FALSE)="E",VLOOKUP(Table13130333740[[#This Row],[Ln'#]],Excellent!A$65:AU$114,23,FALSE)="FEO"),"x","")</f>
        <v/>
      </c>
      <c r="D459" s="48"/>
      <c r="E459" s="48"/>
      <c r="F459" s="48" t="str">
        <f>IF(AND(Table13130333740[[#This Row],[Status Container]]="",Table13130333740[[#This Row],[Status Exterior]]=""),"",VLOOKUP(Table13130333740[[#This Row],[Ln'#]],Excellent!$A$65:$AU$114,3,FALSE))</f>
        <v/>
      </c>
      <c r="G45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9" s="51" t="str">
        <f>IF(Table13130333740[[#This Row],[Dog ID]]="","",(VLOOKUP(Table13130333740[[#This Row],[Dog ID]],Excellent!C$65:$AU134,45,FALSE)))</f>
        <v/>
      </c>
      <c r="J459" s="145"/>
      <c r="K459" s="145"/>
      <c r="L459" s="145"/>
      <c r="M459" s="145"/>
      <c r="N459" s="145"/>
      <c r="O459" s="145"/>
      <c r="P459" s="145"/>
      <c r="Q459" s="146"/>
      <c r="R459" s="146"/>
    </row>
    <row r="460" spans="1:18" ht="30" customHeight="1" x14ac:dyDescent="0.45">
      <c r="A460" s="243">
        <v>22</v>
      </c>
      <c r="B460" s="144" t="str">
        <f>IF(OR(VLOOKUP(Table13130333740[[#This Row],[Ln'#]],Excellent!A$65:AU$114,7,FALSE)="E",VLOOKUP(Table13130333740[[#This Row],[Ln'#]],Excellent!A$65:AU$114,7,FALSE)="FEO"),"x","")</f>
        <v/>
      </c>
      <c r="C460" s="144" t="str">
        <f>IF(OR(VLOOKUP(Table13130333740[[#This Row],[Ln'#]],Excellent!A$65:AU$114,23,FALSE)="E",VLOOKUP(Table13130333740[[#This Row],[Ln'#]],Excellent!A$65:AU$114,23,FALSE)="FEO"),"x","")</f>
        <v/>
      </c>
      <c r="D460" s="48"/>
      <c r="E460" s="48"/>
      <c r="F460" s="48" t="str">
        <f>IF(AND(Table13130333740[[#This Row],[Status Container]]="",Table13130333740[[#This Row],[Status Exterior]]=""),"",VLOOKUP(Table13130333740[[#This Row],[Ln'#]],Excellent!$A$65:$AU$114,3,FALSE))</f>
        <v/>
      </c>
      <c r="G46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0" s="51" t="str">
        <f>IF(Table13130333740[[#This Row],[Dog ID]]="","",(VLOOKUP(Table13130333740[[#This Row],[Dog ID]],Excellent!C$65:$AU135,45,FALSE)))</f>
        <v/>
      </c>
      <c r="J460" s="145"/>
      <c r="K460" s="145"/>
      <c r="L460" s="145"/>
      <c r="M460" s="145"/>
      <c r="N460" s="145"/>
      <c r="O460" s="145"/>
      <c r="P460" s="145"/>
      <c r="Q460" s="146"/>
      <c r="R460" s="146"/>
    </row>
    <row r="461" spans="1:18" ht="30" customHeight="1" x14ac:dyDescent="0.45">
      <c r="A461" s="243">
        <v>23</v>
      </c>
      <c r="B461" s="144" t="str">
        <f>IF(OR(VLOOKUP(Table13130333740[[#This Row],[Ln'#]],Excellent!A$65:AU$114,7,FALSE)="E",VLOOKUP(Table13130333740[[#This Row],[Ln'#]],Excellent!A$65:AU$114,7,FALSE)="FEO"),"x","")</f>
        <v/>
      </c>
      <c r="C461" s="144" t="str">
        <f>IF(OR(VLOOKUP(Table13130333740[[#This Row],[Ln'#]],Excellent!A$65:AU$114,23,FALSE)="E",VLOOKUP(Table13130333740[[#This Row],[Ln'#]],Excellent!A$65:AU$114,23,FALSE)="FEO"),"x","")</f>
        <v/>
      </c>
      <c r="D461" s="48"/>
      <c r="E461" s="48"/>
      <c r="F461" s="48" t="str">
        <f>IF(AND(Table13130333740[[#This Row],[Status Container]]="",Table13130333740[[#This Row],[Status Exterior]]=""),"",VLOOKUP(Table13130333740[[#This Row],[Ln'#]],Excellent!$A$65:$AU$114,3,FALSE))</f>
        <v/>
      </c>
      <c r="G46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1" s="51" t="str">
        <f>IF(Table13130333740[[#This Row],[Dog ID]]="","",(VLOOKUP(Table13130333740[[#This Row],[Dog ID]],Excellent!C$65:$AU136,45,FALSE)))</f>
        <v/>
      </c>
      <c r="J461" s="145"/>
      <c r="K461" s="145"/>
      <c r="L461" s="145"/>
      <c r="M461" s="145"/>
      <c r="N461" s="145"/>
      <c r="O461" s="145"/>
      <c r="P461" s="145"/>
      <c r="Q461" s="146"/>
      <c r="R461" s="146"/>
    </row>
    <row r="462" spans="1:18" ht="30" customHeight="1" x14ac:dyDescent="0.45">
      <c r="A462" s="243">
        <v>24</v>
      </c>
      <c r="B462" s="144" t="str">
        <f>IF(OR(VLOOKUP(Table13130333740[[#This Row],[Ln'#]],Excellent!A$65:AU$114,7,FALSE)="E",VLOOKUP(Table13130333740[[#This Row],[Ln'#]],Excellent!A$65:AU$114,7,FALSE)="FEO"),"x","")</f>
        <v/>
      </c>
      <c r="C462" s="144" t="str">
        <f>IF(OR(VLOOKUP(Table13130333740[[#This Row],[Ln'#]],Excellent!A$65:AU$114,23,FALSE)="E",VLOOKUP(Table13130333740[[#This Row],[Ln'#]],Excellent!A$65:AU$114,23,FALSE)="FEO"),"x","")</f>
        <v/>
      </c>
      <c r="D462" s="48"/>
      <c r="E462" s="48"/>
      <c r="F462" s="48" t="str">
        <f>IF(AND(Table13130333740[[#This Row],[Status Container]]="",Table13130333740[[#This Row],[Status Exterior]]=""),"",VLOOKUP(Table13130333740[[#This Row],[Ln'#]],Excellent!$A$65:$AU$114,3,FALSE))</f>
        <v/>
      </c>
      <c r="G46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2" s="51" t="str">
        <f>IF(Table13130333740[[#This Row],[Dog ID]]="","",(VLOOKUP(Table13130333740[[#This Row],[Dog ID]],Excellent!C$65:$AU137,45,FALSE)))</f>
        <v/>
      </c>
      <c r="J462" s="145"/>
      <c r="K462" s="145"/>
      <c r="L462" s="145"/>
      <c r="M462" s="145"/>
      <c r="N462" s="145"/>
      <c r="O462" s="145"/>
      <c r="P462" s="145"/>
      <c r="Q462" s="146"/>
      <c r="R462" s="146"/>
    </row>
    <row r="463" spans="1:18" ht="30" customHeight="1" x14ac:dyDescent="0.45">
      <c r="A463" s="243">
        <v>25</v>
      </c>
      <c r="B463" s="144" t="str">
        <f>IF(OR(VLOOKUP(Table13130333740[[#This Row],[Ln'#]],Excellent!A$65:AU$114,7,FALSE)="E",VLOOKUP(Table13130333740[[#This Row],[Ln'#]],Excellent!A$65:AU$114,7,FALSE)="FEO"),"x","")</f>
        <v/>
      </c>
      <c r="C463" s="144" t="str">
        <f>IF(OR(VLOOKUP(Table13130333740[[#This Row],[Ln'#]],Excellent!A$65:AU$114,23,FALSE)="E",VLOOKUP(Table13130333740[[#This Row],[Ln'#]],Excellent!A$65:AU$114,23,FALSE)="FEO"),"x","")</f>
        <v/>
      </c>
      <c r="D463" s="48"/>
      <c r="E463" s="48"/>
      <c r="F463" s="48" t="str">
        <f>IF(AND(Table13130333740[[#This Row],[Status Container]]="",Table13130333740[[#This Row],[Status Exterior]]=""),"",VLOOKUP(Table13130333740[[#This Row],[Ln'#]],Excellent!$A$65:$AU$114,3,FALSE))</f>
        <v/>
      </c>
      <c r="G46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3" s="51" t="str">
        <f>IF(Table13130333740[[#This Row],[Dog ID]]="","",(VLOOKUP(Table13130333740[[#This Row],[Dog ID]],Excellent!C$65:$AU138,45,FALSE)))</f>
        <v/>
      </c>
      <c r="J463" s="145"/>
      <c r="K463" s="145"/>
      <c r="L463" s="145"/>
      <c r="M463" s="145"/>
      <c r="N463" s="145"/>
      <c r="O463" s="145"/>
      <c r="P463" s="145"/>
      <c r="Q463" s="146"/>
      <c r="R463" s="146"/>
    </row>
    <row r="464" spans="1:18" ht="30" customHeight="1" x14ac:dyDescent="0.45">
      <c r="A464" s="243">
        <v>26</v>
      </c>
      <c r="B464" s="144" t="str">
        <f>IF(OR(VLOOKUP(Table13130333740[[#This Row],[Ln'#]],Excellent!A$65:AU$114,7,FALSE)="E",VLOOKUP(Table13130333740[[#This Row],[Ln'#]],Excellent!A$65:AU$114,7,FALSE)="FEO"),"x","")</f>
        <v/>
      </c>
      <c r="C464" s="144" t="str">
        <f>IF(OR(VLOOKUP(Table13130333740[[#This Row],[Ln'#]],Excellent!A$65:AU$114,23,FALSE)="E",VLOOKUP(Table13130333740[[#This Row],[Ln'#]],Excellent!A$65:AU$114,23,FALSE)="FEO"),"x","")</f>
        <v/>
      </c>
      <c r="D464" s="48"/>
      <c r="E464" s="48"/>
      <c r="F464" s="48" t="str">
        <f>IF(AND(Table13130333740[[#This Row],[Status Container]]="",Table13130333740[[#This Row],[Status Exterior]]=""),"",VLOOKUP(Table13130333740[[#This Row],[Ln'#]],Excellent!$A$65:$AU$114,3,FALSE))</f>
        <v/>
      </c>
      <c r="G46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4" s="51" t="str">
        <f>IF(Table13130333740[[#This Row],[Dog ID]]="","",(VLOOKUP(Table13130333740[[#This Row],[Dog ID]],Excellent!C$65:$AU139,45,FALSE)))</f>
        <v/>
      </c>
      <c r="J464" s="145"/>
      <c r="K464" s="145"/>
      <c r="L464" s="145"/>
      <c r="M464" s="145"/>
      <c r="N464" s="145"/>
      <c r="O464" s="145"/>
      <c r="P464" s="145"/>
      <c r="Q464" s="146"/>
      <c r="R464" s="146"/>
    </row>
    <row r="465" spans="1:18" ht="30" customHeight="1" x14ac:dyDescent="0.45">
      <c r="A465" s="243">
        <v>27</v>
      </c>
      <c r="B465" s="144" t="str">
        <f>IF(OR(VLOOKUP(Table13130333740[[#This Row],[Ln'#]],Excellent!A$65:AU$114,7,FALSE)="E",VLOOKUP(Table13130333740[[#This Row],[Ln'#]],Excellent!A$65:AU$114,7,FALSE)="FEO"),"x","")</f>
        <v/>
      </c>
      <c r="C465" s="144" t="str">
        <f>IF(OR(VLOOKUP(Table13130333740[[#This Row],[Ln'#]],Excellent!A$65:AU$114,23,FALSE)="E",VLOOKUP(Table13130333740[[#This Row],[Ln'#]],Excellent!A$65:AU$114,23,FALSE)="FEO"),"x","")</f>
        <v/>
      </c>
      <c r="D465" s="48"/>
      <c r="E465" s="48"/>
      <c r="F465" s="48" t="str">
        <f>IF(AND(Table13130333740[[#This Row],[Status Container]]="",Table13130333740[[#This Row],[Status Exterior]]=""),"",VLOOKUP(Table13130333740[[#This Row],[Ln'#]],Excellent!$A$65:$AU$114,3,FALSE))</f>
        <v/>
      </c>
      <c r="G46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5" s="51" t="str">
        <f>IF(Table13130333740[[#This Row],[Dog ID]]="","",(VLOOKUP(Table13130333740[[#This Row],[Dog ID]],Excellent!C$65:$AU140,45,FALSE)))</f>
        <v/>
      </c>
      <c r="J465" s="145"/>
      <c r="K465" s="145"/>
      <c r="L465" s="145"/>
      <c r="M465" s="145"/>
      <c r="N465" s="145"/>
      <c r="O465" s="145"/>
      <c r="P465" s="145"/>
      <c r="Q465" s="146"/>
      <c r="R465" s="146"/>
    </row>
    <row r="466" spans="1:18" ht="30" customHeight="1" x14ac:dyDescent="0.45">
      <c r="A466" s="243">
        <v>28</v>
      </c>
      <c r="B466" s="144" t="str">
        <f>IF(OR(VLOOKUP(Table13130333740[[#This Row],[Ln'#]],Excellent!A$65:AU$114,7,FALSE)="E",VLOOKUP(Table13130333740[[#This Row],[Ln'#]],Excellent!A$65:AU$114,7,FALSE)="FEO"),"x","")</f>
        <v/>
      </c>
      <c r="C466" s="144" t="str">
        <f>IF(OR(VLOOKUP(Table13130333740[[#This Row],[Ln'#]],Excellent!A$65:AU$114,23,FALSE)="E",VLOOKUP(Table13130333740[[#This Row],[Ln'#]],Excellent!A$65:AU$114,23,FALSE)="FEO"),"x","")</f>
        <v/>
      </c>
      <c r="D466" s="48"/>
      <c r="E466" s="48"/>
      <c r="F466" s="48" t="str">
        <f>IF(AND(Table13130333740[[#This Row],[Status Container]]="",Table13130333740[[#This Row],[Status Exterior]]=""),"",VLOOKUP(Table13130333740[[#This Row],[Ln'#]],Excellent!$A$65:$AU$114,3,FALSE))</f>
        <v/>
      </c>
      <c r="G46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6" s="51" t="str">
        <f>IF(Table13130333740[[#This Row],[Dog ID]]="","",(VLOOKUP(Table13130333740[[#This Row],[Dog ID]],Excellent!C$65:$AU141,45,FALSE)))</f>
        <v/>
      </c>
      <c r="J466" s="145"/>
      <c r="K466" s="145"/>
      <c r="L466" s="145"/>
      <c r="M466" s="145"/>
      <c r="N466" s="145"/>
      <c r="O466" s="145"/>
      <c r="P466" s="145"/>
      <c r="Q466" s="146"/>
      <c r="R466" s="146"/>
    </row>
    <row r="467" spans="1:18" ht="30" customHeight="1" x14ac:dyDescent="0.45">
      <c r="A467" s="243">
        <v>29</v>
      </c>
      <c r="B467" s="144" t="str">
        <f>IF(OR(VLOOKUP(Table13130333740[[#This Row],[Ln'#]],Excellent!A$65:AU$114,7,FALSE)="E",VLOOKUP(Table13130333740[[#This Row],[Ln'#]],Excellent!A$65:AU$114,7,FALSE)="FEO"),"x","")</f>
        <v/>
      </c>
      <c r="C467" s="144" t="str">
        <f>IF(OR(VLOOKUP(Table13130333740[[#This Row],[Ln'#]],Excellent!A$65:AU$114,23,FALSE)="E",VLOOKUP(Table13130333740[[#This Row],[Ln'#]],Excellent!A$65:AU$114,23,FALSE)="FEO"),"x","")</f>
        <v/>
      </c>
      <c r="D467" s="48"/>
      <c r="E467" s="48"/>
      <c r="F467" s="48" t="str">
        <f>IF(AND(Table13130333740[[#This Row],[Status Container]]="",Table13130333740[[#This Row],[Status Exterior]]=""),"",VLOOKUP(Table13130333740[[#This Row],[Ln'#]],Excellent!$A$65:$AU$114,3,FALSE))</f>
        <v/>
      </c>
      <c r="G46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7" s="51" t="str">
        <f>IF(Table13130333740[[#This Row],[Dog ID]]="","",(VLOOKUP(Table13130333740[[#This Row],[Dog ID]],Excellent!C$65:$AU142,45,FALSE)))</f>
        <v/>
      </c>
      <c r="J467" s="145"/>
      <c r="K467" s="145"/>
      <c r="L467" s="145"/>
      <c r="M467" s="145"/>
      <c r="N467" s="145"/>
      <c r="O467" s="145"/>
      <c r="P467" s="145"/>
      <c r="Q467" s="146"/>
      <c r="R467" s="146"/>
    </row>
    <row r="468" spans="1:18" ht="30" customHeight="1" x14ac:dyDescent="0.45">
      <c r="A468" s="243">
        <v>30</v>
      </c>
      <c r="B468" s="144" t="str">
        <f>IF(OR(VLOOKUP(Table13130333740[[#This Row],[Ln'#]],Excellent!A$65:AU$114,7,FALSE)="E",VLOOKUP(Table13130333740[[#This Row],[Ln'#]],Excellent!A$65:AU$114,7,FALSE)="FEO"),"x","")</f>
        <v/>
      </c>
      <c r="C468" s="144" t="str">
        <f>IF(OR(VLOOKUP(Table13130333740[[#This Row],[Ln'#]],Excellent!A$65:AU$114,23,FALSE)="E",VLOOKUP(Table13130333740[[#This Row],[Ln'#]],Excellent!A$65:AU$114,23,FALSE)="FEO"),"x","")</f>
        <v/>
      </c>
      <c r="D468" s="48"/>
      <c r="E468" s="48"/>
      <c r="F468" s="48" t="str">
        <f>IF(AND(Table13130333740[[#This Row],[Status Container]]="",Table13130333740[[#This Row],[Status Exterior]]=""),"",VLOOKUP(Table13130333740[[#This Row],[Ln'#]],Excellent!$A$65:$AU$114,3,FALSE))</f>
        <v/>
      </c>
      <c r="G46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8" s="51" t="str">
        <f>IF(Table13130333740[[#This Row],[Dog ID]]="","",(VLOOKUP(Table13130333740[[#This Row],[Dog ID]],Excellent!C$65:$AU143,45,FALSE)))</f>
        <v/>
      </c>
      <c r="J468" s="145"/>
      <c r="K468" s="145"/>
      <c r="L468" s="145"/>
      <c r="M468" s="145"/>
      <c r="N468" s="145"/>
      <c r="O468" s="145"/>
      <c r="P468" s="145"/>
      <c r="Q468" s="146"/>
      <c r="R468" s="146"/>
    </row>
    <row r="469" spans="1:18" ht="30" customHeight="1" x14ac:dyDescent="0.45">
      <c r="A469" s="243">
        <v>31</v>
      </c>
      <c r="B469" s="144" t="str">
        <f>IF(OR(VLOOKUP(Table13130333740[[#This Row],[Ln'#]],Excellent!A$65:AU$114,7,FALSE)="E",VLOOKUP(Table13130333740[[#This Row],[Ln'#]],Excellent!A$65:AU$114,7,FALSE)="FEO"),"x","")</f>
        <v/>
      </c>
      <c r="C469" s="144" t="str">
        <f>IF(OR(VLOOKUP(Table13130333740[[#This Row],[Ln'#]],Excellent!A$65:AU$114,23,FALSE)="E",VLOOKUP(Table13130333740[[#This Row],[Ln'#]],Excellent!A$65:AU$114,23,FALSE)="FEO"),"x","")</f>
        <v/>
      </c>
      <c r="D469" s="48"/>
      <c r="E469" s="48"/>
      <c r="F469" s="48" t="str">
        <f>IF(AND(Table13130333740[[#This Row],[Status Container]]="",Table13130333740[[#This Row],[Status Exterior]]=""),"",VLOOKUP(Table13130333740[[#This Row],[Ln'#]],Excellent!$A$65:$AU$114,3,FALSE))</f>
        <v/>
      </c>
      <c r="G46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9" s="51" t="str">
        <f>IF(Table13130333740[[#This Row],[Dog ID]]="","",(VLOOKUP(Table13130333740[[#This Row],[Dog ID]],Excellent!C$65:$AU144,45,FALSE)))</f>
        <v/>
      </c>
      <c r="J469" s="145"/>
      <c r="K469" s="145"/>
      <c r="L469" s="145"/>
      <c r="M469" s="145"/>
      <c r="N469" s="145"/>
      <c r="O469" s="145"/>
      <c r="P469" s="145"/>
      <c r="Q469" s="146"/>
      <c r="R469" s="146"/>
    </row>
    <row r="470" spans="1:18" ht="30" customHeight="1" x14ac:dyDescent="0.45">
      <c r="A470" s="243">
        <v>32</v>
      </c>
      <c r="B470" s="144" t="str">
        <f>IF(OR(VLOOKUP(Table13130333740[[#This Row],[Ln'#]],Excellent!A$65:AU$114,7,FALSE)="E",VLOOKUP(Table13130333740[[#This Row],[Ln'#]],Excellent!A$65:AU$114,7,FALSE)="FEO"),"x","")</f>
        <v/>
      </c>
      <c r="C470" s="144" t="str">
        <f>IF(OR(VLOOKUP(Table13130333740[[#This Row],[Ln'#]],Excellent!A$65:AU$114,23,FALSE)="E",VLOOKUP(Table13130333740[[#This Row],[Ln'#]],Excellent!A$65:AU$114,23,FALSE)="FEO"),"x","")</f>
        <v/>
      </c>
      <c r="D470" s="48"/>
      <c r="E470" s="48"/>
      <c r="F470" s="48" t="str">
        <f>IF(AND(Table13130333740[[#This Row],[Status Container]]="",Table13130333740[[#This Row],[Status Exterior]]=""),"",VLOOKUP(Table13130333740[[#This Row],[Ln'#]],Excellent!$A$65:$AU$114,3,FALSE))</f>
        <v/>
      </c>
      <c r="G47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0" s="51" t="str">
        <f>IF(Table13130333740[[#This Row],[Dog ID]]="","",(VLOOKUP(Table13130333740[[#This Row],[Dog ID]],Excellent!C$65:$AU145,45,FALSE)))</f>
        <v/>
      </c>
      <c r="J470" s="145"/>
      <c r="K470" s="145"/>
      <c r="L470" s="145"/>
      <c r="M470" s="145"/>
      <c r="N470" s="145"/>
      <c r="O470" s="145"/>
      <c r="P470" s="145"/>
      <c r="Q470" s="146"/>
      <c r="R470" s="146"/>
    </row>
    <row r="471" spans="1:18" ht="30" customHeight="1" x14ac:dyDescent="0.45">
      <c r="A471" s="243">
        <v>33</v>
      </c>
      <c r="B471" s="144" t="str">
        <f>IF(OR(VLOOKUP(Table13130333740[[#This Row],[Ln'#]],Excellent!A$65:AU$114,7,FALSE)="E",VLOOKUP(Table13130333740[[#This Row],[Ln'#]],Excellent!A$65:AU$114,7,FALSE)="FEO"),"x","")</f>
        <v/>
      </c>
      <c r="C471" s="144" t="str">
        <f>IF(OR(VLOOKUP(Table13130333740[[#This Row],[Ln'#]],Excellent!A$65:AU$114,23,FALSE)="E",VLOOKUP(Table13130333740[[#This Row],[Ln'#]],Excellent!A$65:AU$114,23,FALSE)="FEO"),"x","")</f>
        <v/>
      </c>
      <c r="D471" s="48"/>
      <c r="E471" s="48"/>
      <c r="F471" s="48" t="str">
        <f>IF(AND(Table13130333740[[#This Row],[Status Container]]="",Table13130333740[[#This Row],[Status Exterior]]=""),"",VLOOKUP(Table13130333740[[#This Row],[Ln'#]],Excellent!$A$65:$AU$114,3,FALSE))</f>
        <v/>
      </c>
      <c r="G47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1" s="51" t="str">
        <f>IF(Table13130333740[[#This Row],[Dog ID]]="","",(VLOOKUP(Table13130333740[[#This Row],[Dog ID]],Excellent!C$65:$AU146,45,FALSE)))</f>
        <v/>
      </c>
      <c r="J471" s="145"/>
      <c r="K471" s="145"/>
      <c r="L471" s="145"/>
      <c r="M471" s="145"/>
      <c r="N471" s="145"/>
      <c r="O471" s="145"/>
      <c r="P471" s="145"/>
      <c r="Q471" s="146"/>
      <c r="R471" s="146"/>
    </row>
    <row r="472" spans="1:18" ht="30" customHeight="1" x14ac:dyDescent="0.45">
      <c r="A472" s="243">
        <v>34</v>
      </c>
      <c r="B472" s="144" t="str">
        <f>IF(OR(VLOOKUP(Table13130333740[[#This Row],[Ln'#]],Excellent!A$65:AU$114,7,FALSE)="E",VLOOKUP(Table13130333740[[#This Row],[Ln'#]],Excellent!A$65:AU$114,7,FALSE)="FEO"),"x","")</f>
        <v/>
      </c>
      <c r="C472" s="144" t="str">
        <f>IF(OR(VLOOKUP(Table13130333740[[#This Row],[Ln'#]],Excellent!A$65:AU$114,23,FALSE)="E",VLOOKUP(Table13130333740[[#This Row],[Ln'#]],Excellent!A$65:AU$114,23,FALSE)="FEO"),"x","")</f>
        <v/>
      </c>
      <c r="D472" s="48"/>
      <c r="E472" s="48"/>
      <c r="F472" s="48" t="str">
        <f>IF(AND(Table13130333740[[#This Row],[Status Container]]="",Table13130333740[[#This Row],[Status Exterior]]=""),"",VLOOKUP(Table13130333740[[#This Row],[Ln'#]],Excellent!$A$65:$AU$114,3,FALSE))</f>
        <v/>
      </c>
      <c r="G47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2" s="51" t="str">
        <f>IF(Table13130333740[[#This Row],[Dog ID]]="","",(VLOOKUP(Table13130333740[[#This Row],[Dog ID]],Excellent!C$65:$AU147,45,FALSE)))</f>
        <v/>
      </c>
      <c r="J472" s="145"/>
      <c r="K472" s="145"/>
      <c r="L472" s="145"/>
      <c r="M472" s="145"/>
      <c r="N472" s="145"/>
      <c r="O472" s="145"/>
      <c r="P472" s="145"/>
      <c r="Q472" s="146"/>
      <c r="R472" s="146"/>
    </row>
    <row r="473" spans="1:18" ht="30" customHeight="1" x14ac:dyDescent="0.45">
      <c r="A473" s="243">
        <v>35</v>
      </c>
      <c r="B473" s="144" t="str">
        <f>IF(OR(VLOOKUP(Table13130333740[[#This Row],[Ln'#]],Excellent!A$65:AU$114,7,FALSE)="E",VLOOKUP(Table13130333740[[#This Row],[Ln'#]],Excellent!A$65:AU$114,7,FALSE)="FEO"),"x","")</f>
        <v/>
      </c>
      <c r="C473" s="144" t="str">
        <f>IF(OR(VLOOKUP(Table13130333740[[#This Row],[Ln'#]],Excellent!A$65:AU$114,23,FALSE)="E",VLOOKUP(Table13130333740[[#This Row],[Ln'#]],Excellent!A$65:AU$114,23,FALSE)="FEO"),"x","")</f>
        <v/>
      </c>
      <c r="D473" s="48"/>
      <c r="E473" s="48"/>
      <c r="F473" s="48" t="str">
        <f>IF(AND(Table13130333740[[#This Row],[Status Container]]="",Table13130333740[[#This Row],[Status Exterior]]=""),"",VLOOKUP(Table13130333740[[#This Row],[Ln'#]],Excellent!$A$65:$AU$114,3,FALSE))</f>
        <v/>
      </c>
      <c r="G47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3" s="51" t="str">
        <f>IF(Table13130333740[[#This Row],[Dog ID]]="","",(VLOOKUP(Table13130333740[[#This Row],[Dog ID]],Excellent!C$65:$AU148,45,FALSE)))</f>
        <v/>
      </c>
      <c r="J473" s="145"/>
      <c r="K473" s="145"/>
      <c r="L473" s="145"/>
      <c r="M473" s="145"/>
      <c r="N473" s="145"/>
      <c r="O473" s="145"/>
      <c r="P473" s="145"/>
      <c r="Q473" s="146"/>
      <c r="R473" s="146"/>
    </row>
    <row r="474" spans="1:18" ht="30" customHeight="1" x14ac:dyDescent="0.45">
      <c r="A474" s="243">
        <v>36</v>
      </c>
      <c r="B474" s="144" t="str">
        <f>IF(OR(VLOOKUP(Table13130333740[[#This Row],[Ln'#]],Excellent!A$65:AU$114,7,FALSE)="E",VLOOKUP(Table13130333740[[#This Row],[Ln'#]],Excellent!A$65:AU$114,7,FALSE)="FEO"),"x","")</f>
        <v/>
      </c>
      <c r="C474" s="144" t="str">
        <f>IF(OR(VLOOKUP(Table13130333740[[#This Row],[Ln'#]],Excellent!A$65:AU$114,23,FALSE)="E",VLOOKUP(Table13130333740[[#This Row],[Ln'#]],Excellent!A$65:AU$114,23,FALSE)="FEO"),"x","")</f>
        <v/>
      </c>
      <c r="D474" s="48"/>
      <c r="E474" s="48"/>
      <c r="F474" s="48" t="str">
        <f>IF(AND(Table13130333740[[#This Row],[Status Container]]="",Table13130333740[[#This Row],[Status Exterior]]=""),"",VLOOKUP(Table13130333740[[#This Row],[Ln'#]],Excellent!$A$65:$AU$114,3,FALSE))</f>
        <v/>
      </c>
      <c r="G47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4" s="51" t="str">
        <f>IF(Table13130333740[[#This Row],[Dog ID]]="","",(VLOOKUP(Table13130333740[[#This Row],[Dog ID]],Excellent!C$65:$AU149,45,FALSE)))</f>
        <v/>
      </c>
      <c r="J474" s="145"/>
      <c r="K474" s="145"/>
      <c r="L474" s="145"/>
      <c r="M474" s="145"/>
      <c r="N474" s="145"/>
      <c r="O474" s="145"/>
      <c r="P474" s="145"/>
      <c r="Q474" s="146"/>
      <c r="R474" s="146"/>
    </row>
    <row r="475" spans="1:18" ht="30" customHeight="1" x14ac:dyDescent="0.45">
      <c r="A475" s="243">
        <v>37</v>
      </c>
      <c r="B475" s="144" t="str">
        <f>IF(OR(VLOOKUP(Table13130333740[[#This Row],[Ln'#]],Excellent!A$65:AU$114,7,FALSE)="E",VLOOKUP(Table13130333740[[#This Row],[Ln'#]],Excellent!A$65:AU$114,7,FALSE)="FEO"),"x","")</f>
        <v/>
      </c>
      <c r="C475" s="144" t="str">
        <f>IF(OR(VLOOKUP(Table13130333740[[#This Row],[Ln'#]],Excellent!A$65:AU$114,23,FALSE)="E",VLOOKUP(Table13130333740[[#This Row],[Ln'#]],Excellent!A$65:AU$114,23,FALSE)="FEO"),"x","")</f>
        <v/>
      </c>
      <c r="D475" s="48"/>
      <c r="E475" s="48"/>
      <c r="F475" s="48" t="str">
        <f>IF(AND(Table13130333740[[#This Row],[Status Container]]="",Table13130333740[[#This Row],[Status Exterior]]=""),"",VLOOKUP(Table13130333740[[#This Row],[Ln'#]],Excellent!$A$65:$AU$114,3,FALSE))</f>
        <v/>
      </c>
      <c r="G47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5" s="51" t="str">
        <f>IF(Table13130333740[[#This Row],[Dog ID]]="","",(VLOOKUP(Table13130333740[[#This Row],[Dog ID]],Excellent!C$65:$AU150,45,FALSE)))</f>
        <v/>
      </c>
      <c r="J475" s="145"/>
      <c r="K475" s="145"/>
      <c r="L475" s="145"/>
      <c r="M475" s="145"/>
      <c r="N475" s="145"/>
      <c r="O475" s="145"/>
      <c r="P475" s="145"/>
      <c r="Q475" s="146"/>
      <c r="R475" s="146"/>
    </row>
    <row r="476" spans="1:18" ht="30" customHeight="1" x14ac:dyDescent="0.45">
      <c r="A476" s="243">
        <v>38</v>
      </c>
      <c r="B476" s="144" t="str">
        <f>IF(OR(VLOOKUP(Table13130333740[[#This Row],[Ln'#]],Excellent!A$65:AU$114,7,FALSE)="E",VLOOKUP(Table13130333740[[#This Row],[Ln'#]],Excellent!A$65:AU$114,7,FALSE)="FEO"),"x","")</f>
        <v/>
      </c>
      <c r="C476" s="144" t="str">
        <f>IF(OR(VLOOKUP(Table13130333740[[#This Row],[Ln'#]],Excellent!A$65:AU$114,23,FALSE)="E",VLOOKUP(Table13130333740[[#This Row],[Ln'#]],Excellent!A$65:AU$114,23,FALSE)="FEO"),"x","")</f>
        <v/>
      </c>
      <c r="D476" s="48"/>
      <c r="E476" s="48"/>
      <c r="F476" s="48" t="str">
        <f>IF(AND(Table13130333740[[#This Row],[Status Container]]="",Table13130333740[[#This Row],[Status Exterior]]=""),"",VLOOKUP(Table13130333740[[#This Row],[Ln'#]],Excellent!$A$65:$AU$114,3,FALSE))</f>
        <v/>
      </c>
      <c r="G47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6" s="51" t="str">
        <f>IF(Table13130333740[[#This Row],[Dog ID]]="","",(VLOOKUP(Table13130333740[[#This Row],[Dog ID]],Excellent!C$65:$AU151,45,FALSE)))</f>
        <v/>
      </c>
      <c r="J476" s="145"/>
      <c r="K476" s="145"/>
      <c r="L476" s="145"/>
      <c r="M476" s="145"/>
      <c r="N476" s="145"/>
      <c r="O476" s="145"/>
      <c r="P476" s="145"/>
      <c r="Q476" s="146"/>
      <c r="R476" s="146"/>
    </row>
    <row r="477" spans="1:18" ht="30" customHeight="1" x14ac:dyDescent="0.45">
      <c r="A477" s="243">
        <v>39</v>
      </c>
      <c r="B477" s="144" t="str">
        <f>IF(OR(VLOOKUP(Table13130333740[[#This Row],[Ln'#]],Excellent!A$65:AU$114,7,FALSE)="E",VLOOKUP(Table13130333740[[#This Row],[Ln'#]],Excellent!A$65:AU$114,7,FALSE)="FEO"),"x","")</f>
        <v/>
      </c>
      <c r="C477" s="144" t="str">
        <f>IF(OR(VLOOKUP(Table13130333740[[#This Row],[Ln'#]],Excellent!A$65:AU$114,23,FALSE)="E",VLOOKUP(Table13130333740[[#This Row],[Ln'#]],Excellent!A$65:AU$114,23,FALSE)="FEO"),"x","")</f>
        <v/>
      </c>
      <c r="D477" s="48"/>
      <c r="E477" s="48"/>
      <c r="F477" s="48" t="str">
        <f>IF(AND(Table13130333740[[#This Row],[Status Container]]="",Table13130333740[[#This Row],[Status Exterior]]=""),"",VLOOKUP(Table13130333740[[#This Row],[Ln'#]],Excellent!$A$65:$AU$114,3,FALSE))</f>
        <v/>
      </c>
      <c r="G47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7" s="51" t="str">
        <f>IF(Table13130333740[[#This Row],[Dog ID]]="","",(VLOOKUP(Table13130333740[[#This Row],[Dog ID]],Excellent!C$65:$AU152,45,FALSE)))</f>
        <v/>
      </c>
      <c r="J477" s="145"/>
      <c r="K477" s="145"/>
      <c r="L477" s="145"/>
      <c r="M477" s="145"/>
      <c r="N477" s="145"/>
      <c r="O477" s="145"/>
      <c r="P477" s="145"/>
      <c r="Q477" s="146"/>
      <c r="R477" s="146"/>
    </row>
    <row r="478" spans="1:18" ht="30" customHeight="1" x14ac:dyDescent="0.45">
      <c r="A478" s="243">
        <v>40</v>
      </c>
      <c r="B478" s="144" t="str">
        <f>IF(OR(VLOOKUP(Table13130333740[[#This Row],[Ln'#]],Excellent!A$65:AU$114,7,FALSE)="E",VLOOKUP(Table13130333740[[#This Row],[Ln'#]],Excellent!A$65:AU$114,7,FALSE)="FEO"),"x","")</f>
        <v/>
      </c>
      <c r="C478" s="144" t="str">
        <f>IF(OR(VLOOKUP(Table13130333740[[#This Row],[Ln'#]],Excellent!A$65:AU$114,23,FALSE)="E",VLOOKUP(Table13130333740[[#This Row],[Ln'#]],Excellent!A$65:AU$114,23,FALSE)="FEO"),"x","")</f>
        <v/>
      </c>
      <c r="D478" s="48"/>
      <c r="E478" s="48"/>
      <c r="F478" s="48" t="str">
        <f>IF(AND(Table13130333740[[#This Row],[Status Container]]="",Table13130333740[[#This Row],[Status Exterior]]=""),"",VLOOKUP(Table13130333740[[#This Row],[Ln'#]],Excellent!$A$65:$AU$114,3,FALSE))</f>
        <v/>
      </c>
      <c r="G47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8" s="51" t="str">
        <f>IF(Table13130333740[[#This Row],[Dog ID]]="","",(VLOOKUP(Table13130333740[[#This Row],[Dog ID]],Excellent!C$65:$AU153,45,FALSE)))</f>
        <v/>
      </c>
      <c r="J478" s="145"/>
      <c r="K478" s="145"/>
      <c r="L478" s="145"/>
      <c r="M478" s="145"/>
      <c r="N478" s="145"/>
      <c r="O478" s="145"/>
      <c r="P478" s="145"/>
      <c r="Q478" s="146"/>
      <c r="R478" s="146"/>
    </row>
    <row r="479" spans="1:18" ht="30" customHeight="1" x14ac:dyDescent="0.45">
      <c r="A479" s="243">
        <v>41</v>
      </c>
      <c r="B479" s="144" t="str">
        <f>IF(OR(VLOOKUP(Table13130333740[[#This Row],[Ln'#]],Excellent!A$65:AU$114,7,FALSE)="E",VLOOKUP(Table13130333740[[#This Row],[Ln'#]],Excellent!A$65:AU$114,7,FALSE)="FEO"),"x","")</f>
        <v/>
      </c>
      <c r="C479" s="144" t="str">
        <f>IF(OR(VLOOKUP(Table13130333740[[#This Row],[Ln'#]],Excellent!A$65:AU$114,23,FALSE)="E",VLOOKUP(Table13130333740[[#This Row],[Ln'#]],Excellent!A$65:AU$114,23,FALSE)="FEO"),"x","")</f>
        <v/>
      </c>
      <c r="D479" s="48"/>
      <c r="E479" s="48"/>
      <c r="F479" s="48" t="str">
        <f>IF(AND(Table13130333740[[#This Row],[Status Container]]="",Table13130333740[[#This Row],[Status Exterior]]=""),"",VLOOKUP(Table13130333740[[#This Row],[Ln'#]],Excellent!$A$65:$AU$114,3,FALSE))</f>
        <v/>
      </c>
      <c r="G47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9" s="51" t="str">
        <f>IF(Table13130333740[[#This Row],[Dog ID]]="","",(VLOOKUP(Table13130333740[[#This Row],[Dog ID]],Excellent!C$65:$AU154,45,FALSE)))</f>
        <v/>
      </c>
      <c r="J479" s="145"/>
      <c r="K479" s="145"/>
      <c r="L479" s="145"/>
      <c r="M479" s="145"/>
      <c r="N479" s="145"/>
      <c r="O479" s="145"/>
      <c r="P479" s="145"/>
      <c r="Q479" s="146"/>
      <c r="R479" s="146"/>
    </row>
    <row r="480" spans="1:18" ht="30" customHeight="1" x14ac:dyDescent="0.45">
      <c r="A480" s="243">
        <v>42</v>
      </c>
      <c r="B480" s="144" t="str">
        <f>IF(OR(VLOOKUP(Table13130333740[[#This Row],[Ln'#]],Excellent!A$65:AU$114,7,FALSE)="E",VLOOKUP(Table13130333740[[#This Row],[Ln'#]],Excellent!A$65:AU$114,7,FALSE)="FEO"),"x","")</f>
        <v/>
      </c>
      <c r="C480" s="144" t="str">
        <f>IF(OR(VLOOKUP(Table13130333740[[#This Row],[Ln'#]],Excellent!A$65:AU$114,23,FALSE)="E",VLOOKUP(Table13130333740[[#This Row],[Ln'#]],Excellent!A$65:AU$114,23,FALSE)="FEO"),"x","")</f>
        <v/>
      </c>
      <c r="D480" s="48"/>
      <c r="E480" s="48"/>
      <c r="F480" s="48" t="str">
        <f>IF(AND(Table13130333740[[#This Row],[Status Container]]="",Table13130333740[[#This Row],[Status Exterior]]=""),"",VLOOKUP(Table13130333740[[#This Row],[Ln'#]],Excellent!$A$65:$AU$114,3,FALSE))</f>
        <v/>
      </c>
      <c r="G48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0" s="51" t="str">
        <f>IF(Table13130333740[[#This Row],[Dog ID]]="","",(VLOOKUP(Table13130333740[[#This Row],[Dog ID]],Excellent!C$65:$AU155,45,FALSE)))</f>
        <v/>
      </c>
      <c r="J480" s="145"/>
      <c r="K480" s="145"/>
      <c r="L480" s="145"/>
      <c r="M480" s="145"/>
      <c r="N480" s="145"/>
      <c r="O480" s="145"/>
      <c r="P480" s="145"/>
      <c r="Q480" s="146"/>
      <c r="R480" s="146"/>
    </row>
    <row r="481" spans="1:19" ht="30" customHeight="1" x14ac:dyDescent="0.45">
      <c r="A481" s="243">
        <v>43</v>
      </c>
      <c r="B481" s="144" t="str">
        <f>IF(OR(VLOOKUP(Table13130333740[[#This Row],[Ln'#]],Excellent!A$65:AU$114,7,FALSE)="E",VLOOKUP(Table13130333740[[#This Row],[Ln'#]],Excellent!A$65:AU$114,7,FALSE)="FEO"),"x","")</f>
        <v/>
      </c>
      <c r="C481" s="144" t="str">
        <f>IF(OR(VLOOKUP(Table13130333740[[#This Row],[Ln'#]],Excellent!A$65:AU$114,23,FALSE)="E",VLOOKUP(Table13130333740[[#This Row],[Ln'#]],Excellent!A$65:AU$114,23,FALSE)="FEO"),"x","")</f>
        <v/>
      </c>
      <c r="D481" s="48"/>
      <c r="E481" s="48"/>
      <c r="F481" s="48" t="str">
        <f>IF(AND(Table13130333740[[#This Row],[Status Container]]="",Table13130333740[[#This Row],[Status Exterior]]=""),"",VLOOKUP(Table13130333740[[#This Row],[Ln'#]],Excellent!$A$65:$AU$114,3,FALSE))</f>
        <v/>
      </c>
      <c r="G48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1" s="51" t="str">
        <f>IF(Table13130333740[[#This Row],[Dog ID]]="","",(VLOOKUP(Table13130333740[[#This Row],[Dog ID]],Excellent!C$65:$AU156,45,FALSE)))</f>
        <v/>
      </c>
      <c r="J481" s="145"/>
      <c r="K481" s="145"/>
      <c r="L481" s="145"/>
      <c r="M481" s="145"/>
      <c r="N481" s="145"/>
      <c r="O481" s="145"/>
      <c r="P481" s="145"/>
      <c r="Q481" s="146"/>
      <c r="R481" s="146"/>
    </row>
    <row r="482" spans="1:19" ht="30" customHeight="1" x14ac:dyDescent="0.45">
      <c r="A482" s="243">
        <v>44</v>
      </c>
      <c r="B482" s="144" t="str">
        <f>IF(OR(VLOOKUP(Table13130333740[[#This Row],[Ln'#]],Excellent!A$65:AU$114,7,FALSE)="E",VLOOKUP(Table13130333740[[#This Row],[Ln'#]],Excellent!A$65:AU$114,7,FALSE)="FEO"),"x","")</f>
        <v/>
      </c>
      <c r="C482" s="144" t="str">
        <f>IF(OR(VLOOKUP(Table13130333740[[#This Row],[Ln'#]],Excellent!A$65:AU$114,23,FALSE)="E",VLOOKUP(Table13130333740[[#This Row],[Ln'#]],Excellent!A$65:AU$114,23,FALSE)="FEO"),"x","")</f>
        <v/>
      </c>
      <c r="D482" s="48"/>
      <c r="E482" s="48"/>
      <c r="F482" s="48" t="str">
        <f>IF(AND(Table13130333740[[#This Row],[Status Container]]="",Table13130333740[[#This Row],[Status Exterior]]=""),"",VLOOKUP(Table13130333740[[#This Row],[Ln'#]],Excellent!$A$65:$AU$114,3,FALSE))</f>
        <v/>
      </c>
      <c r="G48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2" s="51" t="str">
        <f>IF(Table13130333740[[#This Row],[Dog ID]]="","",(VLOOKUP(Table13130333740[[#This Row],[Dog ID]],Excellent!C$65:$AU157,45,FALSE)))</f>
        <v/>
      </c>
      <c r="J482" s="145"/>
      <c r="K482" s="145"/>
      <c r="L482" s="145"/>
      <c r="M482" s="145"/>
      <c r="N482" s="145"/>
      <c r="O482" s="145"/>
      <c r="P482" s="145"/>
      <c r="Q482" s="146"/>
      <c r="R482" s="146"/>
    </row>
    <row r="483" spans="1:19" ht="30" customHeight="1" x14ac:dyDescent="0.45">
      <c r="A483" s="243">
        <v>45</v>
      </c>
      <c r="B483" s="144" t="str">
        <f>IF(OR(VLOOKUP(Table13130333740[[#This Row],[Ln'#]],Excellent!A$65:AU$114,7,FALSE)="E",VLOOKUP(Table13130333740[[#This Row],[Ln'#]],Excellent!A$65:AU$114,7,FALSE)="FEO"),"x","")</f>
        <v/>
      </c>
      <c r="C483" s="144" t="str">
        <f>IF(OR(VLOOKUP(Table13130333740[[#This Row],[Ln'#]],Excellent!A$65:AU$114,23,FALSE)="E",VLOOKUP(Table13130333740[[#This Row],[Ln'#]],Excellent!A$65:AU$114,23,FALSE)="FEO"),"x","")</f>
        <v/>
      </c>
      <c r="D483" s="48"/>
      <c r="E483" s="48"/>
      <c r="F483" s="48" t="str">
        <f>IF(AND(Table13130333740[[#This Row],[Status Container]]="",Table13130333740[[#This Row],[Status Exterior]]=""),"",VLOOKUP(Table13130333740[[#This Row],[Ln'#]],Excellent!$A$65:$AU$114,3,FALSE))</f>
        <v/>
      </c>
      <c r="G48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3" s="51" t="str">
        <f>IF(Table13130333740[[#This Row],[Dog ID]]="","",(VLOOKUP(Table13130333740[[#This Row],[Dog ID]],Excellent!C$65:$AU158,45,FALSE)))</f>
        <v/>
      </c>
      <c r="J483" s="145"/>
      <c r="K483" s="145"/>
      <c r="L483" s="145"/>
      <c r="M483" s="145"/>
      <c r="N483" s="145"/>
      <c r="O483" s="145"/>
      <c r="P483" s="145"/>
      <c r="Q483" s="146"/>
      <c r="R483" s="146"/>
    </row>
    <row r="484" spans="1:19" ht="30" customHeight="1" x14ac:dyDescent="0.45">
      <c r="A484" s="243">
        <v>46</v>
      </c>
      <c r="B484" s="144" t="str">
        <f>IF(OR(VLOOKUP(Table13130333740[[#This Row],[Ln'#]],Excellent!A$65:AU$114,7,FALSE)="E",VLOOKUP(Table13130333740[[#This Row],[Ln'#]],Excellent!A$65:AU$114,7,FALSE)="FEO"),"x","")</f>
        <v/>
      </c>
      <c r="C484" s="144" t="str">
        <f>IF(OR(VLOOKUP(Table13130333740[[#This Row],[Ln'#]],Excellent!A$65:AU$114,23,FALSE)="E",VLOOKUP(Table13130333740[[#This Row],[Ln'#]],Excellent!A$65:AU$114,23,FALSE)="FEO"),"x","")</f>
        <v/>
      </c>
      <c r="D484" s="48"/>
      <c r="E484" s="48"/>
      <c r="F484" s="48" t="str">
        <f>IF(AND(Table13130333740[[#This Row],[Status Container]]="",Table13130333740[[#This Row],[Status Exterior]]=""),"",VLOOKUP(Table13130333740[[#This Row],[Ln'#]],Excellent!$A$65:$AU$114,3,FALSE))</f>
        <v/>
      </c>
      <c r="G48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4" s="51" t="str">
        <f>IF(Table13130333740[[#This Row],[Dog ID]]="","",(VLOOKUP(Table13130333740[[#This Row],[Dog ID]],Excellent!C$65:$AU159,45,FALSE)))</f>
        <v/>
      </c>
      <c r="J484" s="145"/>
      <c r="K484" s="145"/>
      <c r="L484" s="145"/>
      <c r="M484" s="145"/>
      <c r="N484" s="145"/>
      <c r="O484" s="145"/>
      <c r="P484" s="145"/>
      <c r="Q484" s="146"/>
      <c r="R484" s="146"/>
    </row>
    <row r="485" spans="1:19" ht="30" customHeight="1" x14ac:dyDescent="0.45">
      <c r="A485" s="243">
        <v>47</v>
      </c>
      <c r="B485" s="144" t="str">
        <f>IF(OR(VLOOKUP(Table13130333740[[#This Row],[Ln'#]],Excellent!A$65:AU$114,7,FALSE)="E",VLOOKUP(Table13130333740[[#This Row],[Ln'#]],Excellent!A$65:AU$114,7,FALSE)="FEO"),"x","")</f>
        <v/>
      </c>
      <c r="C485" s="144" t="str">
        <f>IF(OR(VLOOKUP(Table13130333740[[#This Row],[Ln'#]],Excellent!A$65:AU$114,23,FALSE)="E",VLOOKUP(Table13130333740[[#This Row],[Ln'#]],Excellent!A$65:AU$114,23,FALSE)="FEO"),"x","")</f>
        <v/>
      </c>
      <c r="D485" s="48"/>
      <c r="E485" s="48"/>
      <c r="F485" s="48" t="str">
        <f>IF(AND(Table13130333740[[#This Row],[Status Container]]="",Table13130333740[[#This Row],[Status Exterior]]=""),"",VLOOKUP(Table13130333740[[#This Row],[Ln'#]],Excellent!$A$65:$AU$114,3,FALSE))</f>
        <v/>
      </c>
      <c r="G48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5" s="51" t="str">
        <f>IF(Table13130333740[[#This Row],[Dog ID]]="","",(VLOOKUP(Table13130333740[[#This Row],[Dog ID]],Excellent!C$65:$AU160,45,FALSE)))</f>
        <v/>
      </c>
      <c r="J485" s="145"/>
      <c r="K485" s="145"/>
      <c r="L485" s="145"/>
      <c r="M485" s="145"/>
      <c r="N485" s="145"/>
      <c r="O485" s="145"/>
      <c r="P485" s="145"/>
      <c r="Q485" s="146"/>
      <c r="R485" s="146"/>
    </row>
    <row r="486" spans="1:19" ht="30" customHeight="1" x14ac:dyDescent="0.45">
      <c r="A486" s="243">
        <v>48</v>
      </c>
      <c r="B486" s="144" t="str">
        <f>IF(OR(VLOOKUP(Table13130333740[[#This Row],[Ln'#]],Excellent!A$65:AU$114,7,FALSE)="E",VLOOKUP(Table13130333740[[#This Row],[Ln'#]],Excellent!A$65:AU$114,7,FALSE)="FEO"),"x","")</f>
        <v/>
      </c>
      <c r="C486" s="144" t="str">
        <f>IF(OR(VLOOKUP(Table13130333740[[#This Row],[Ln'#]],Excellent!A$65:AU$114,23,FALSE)="E",VLOOKUP(Table13130333740[[#This Row],[Ln'#]],Excellent!A$65:AU$114,23,FALSE)="FEO"),"x","")</f>
        <v/>
      </c>
      <c r="D486" s="48"/>
      <c r="E486" s="48"/>
      <c r="F486" s="48" t="str">
        <f>IF(AND(Table13130333740[[#This Row],[Status Container]]="",Table13130333740[[#This Row],[Status Exterior]]=""),"",VLOOKUP(Table13130333740[[#This Row],[Ln'#]],Excellent!$A$65:$AU$114,3,FALSE))</f>
        <v/>
      </c>
      <c r="G48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6" s="51" t="str">
        <f>IF(Table13130333740[[#This Row],[Dog ID]]="","",(VLOOKUP(Table13130333740[[#This Row],[Dog ID]],Excellent!C$65:$AU161,45,FALSE)))</f>
        <v/>
      </c>
      <c r="J486" s="145"/>
      <c r="K486" s="145"/>
      <c r="L486" s="145"/>
      <c r="M486" s="145"/>
      <c r="N486" s="145"/>
      <c r="O486" s="145"/>
      <c r="P486" s="145"/>
      <c r="Q486" s="146"/>
      <c r="R486" s="146"/>
    </row>
    <row r="487" spans="1:19" ht="30" customHeight="1" x14ac:dyDescent="0.45">
      <c r="A487" s="243">
        <v>49</v>
      </c>
      <c r="B487" s="144" t="str">
        <f>IF(OR(VLOOKUP(Table13130333740[[#This Row],[Ln'#]],Excellent!A$65:AU$114,7,FALSE)="E",VLOOKUP(Table13130333740[[#This Row],[Ln'#]],Excellent!A$65:AU$114,7,FALSE)="FEO"),"x","")</f>
        <v/>
      </c>
      <c r="C487" s="144" t="str">
        <f>IF(OR(VLOOKUP(Table13130333740[[#This Row],[Ln'#]],Excellent!A$65:AU$114,23,FALSE)="E",VLOOKUP(Table13130333740[[#This Row],[Ln'#]],Excellent!A$65:AU$114,23,FALSE)="FEO"),"x","")</f>
        <v/>
      </c>
      <c r="D487" s="48"/>
      <c r="E487" s="48"/>
      <c r="F487" s="48" t="str">
        <f>IF(AND(Table13130333740[[#This Row],[Status Container]]="",Table13130333740[[#This Row],[Status Exterior]]=""),"",VLOOKUP(Table13130333740[[#This Row],[Ln'#]],Excellent!$A$65:$AU$114,3,FALSE))</f>
        <v/>
      </c>
      <c r="G48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7" s="51" t="str">
        <f>IF(Table13130333740[[#This Row],[Dog ID]]="","",(VLOOKUP(Table13130333740[[#This Row],[Dog ID]],Excellent!C$65:$AU162,45,FALSE)))</f>
        <v/>
      </c>
      <c r="J487" s="145"/>
      <c r="K487" s="145"/>
      <c r="L487" s="145"/>
      <c r="M487" s="145"/>
      <c r="N487" s="145"/>
      <c r="O487" s="145"/>
      <c r="P487" s="145"/>
      <c r="Q487" s="146"/>
      <c r="R487" s="146"/>
    </row>
    <row r="488" spans="1:19" ht="30" customHeight="1" x14ac:dyDescent="0.45">
      <c r="A488" s="243">
        <v>50</v>
      </c>
      <c r="B488" s="144" t="str">
        <f>IF(OR(VLOOKUP(Table13130333740[[#This Row],[Ln'#]],Excellent!A$65:AU$114,7,FALSE)="E",VLOOKUP(Table13130333740[[#This Row],[Ln'#]],Excellent!A$65:AU$114,7,FALSE)="FEO"),"x","")</f>
        <v/>
      </c>
      <c r="C488" s="144" t="str">
        <f>IF(OR(VLOOKUP(Table13130333740[[#This Row],[Ln'#]],Excellent!A$65:AU$114,23,FALSE)="E",VLOOKUP(Table13130333740[[#This Row],[Ln'#]],Excellent!A$65:AU$114,23,FALSE)="FEO"),"x","")</f>
        <v/>
      </c>
      <c r="D488" s="48"/>
      <c r="E488" s="48"/>
      <c r="F488" s="48" t="str">
        <f>IF(AND(Table13130333740[[#This Row],[Status Container]]="",Table13130333740[[#This Row],[Status Exterior]]=""),"",VLOOKUP(Table13130333740[[#This Row],[Ln'#]],Excellent!$A$65:$AU$114,3,FALSE))</f>
        <v/>
      </c>
      <c r="G48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8" s="51" t="str">
        <f>IF(Table13130333740[[#This Row],[Dog ID]]="","",(VLOOKUP(Table13130333740[[#This Row],[Dog ID]],Excellent!C$65:$AU163,45,FALSE)))</f>
        <v/>
      </c>
      <c r="J488" s="145"/>
      <c r="K488" s="145"/>
      <c r="L488" s="145"/>
      <c r="M488" s="145"/>
      <c r="N488" s="145"/>
      <c r="O488" s="145"/>
      <c r="P488" s="145"/>
      <c r="Q488" s="146"/>
      <c r="R488" s="146"/>
    </row>
    <row r="489" spans="1:19" ht="30" customHeight="1" x14ac:dyDescent="0.4">
      <c r="A489" s="48"/>
      <c r="B489" s="48"/>
      <c r="C489" s="48"/>
      <c r="D489" s="48" t="s">
        <v>1141</v>
      </c>
      <c r="E489" s="48">
        <f>SUBTOTAL(102,Table13130333740[Running Order])</f>
        <v>0</v>
      </c>
      <c r="F489" s="48"/>
      <c r="G489" s="51"/>
      <c r="H489" s="51"/>
      <c r="J489" s="145"/>
      <c r="K489" s="145"/>
      <c r="L489" s="145"/>
      <c r="M489" s="145"/>
      <c r="N489" s="145"/>
      <c r="O489" s="145"/>
      <c r="P489" s="145"/>
      <c r="Q489" s="146"/>
      <c r="R489" s="146"/>
    </row>
    <row r="490" spans="1:19" ht="30" customHeight="1" x14ac:dyDescent="0.4">
      <c r="A490" s="48"/>
      <c r="B490" s="48"/>
      <c r="C490" s="48"/>
      <c r="D490" s="48"/>
      <c r="E490" s="48"/>
      <c r="F490" s="48"/>
      <c r="G490" s="48"/>
      <c r="H490" s="51"/>
      <c r="I490" s="51"/>
      <c r="K490" s="145"/>
      <c r="L490" s="145"/>
      <c r="M490" s="145"/>
      <c r="N490" s="145"/>
      <c r="O490" s="145"/>
      <c r="P490" s="145"/>
      <c r="Q490" s="145"/>
      <c r="R490" s="146"/>
      <c r="S490" s="146"/>
    </row>
    <row r="492" spans="1:19" ht="30" customHeight="1" x14ac:dyDescent="0.4">
      <c r="A492" s="402" t="s">
        <v>1143</v>
      </c>
      <c r="B492" s="402"/>
      <c r="C492" s="43"/>
      <c r="D492" s="403" t="s">
        <v>1724</v>
      </c>
      <c r="E492" s="403"/>
      <c r="F492" s="403"/>
      <c r="G492" s="403"/>
      <c r="H492" s="403"/>
      <c r="I492" s="403"/>
    </row>
    <row r="493" spans="1:19" ht="47.25" x14ac:dyDescent="0.4">
      <c r="A493" s="67" t="s">
        <v>605</v>
      </c>
      <c r="B493" s="67" t="s">
        <v>1139</v>
      </c>
      <c r="C493" s="68" t="s">
        <v>12407</v>
      </c>
      <c r="D493" s="67" t="s">
        <v>1142</v>
      </c>
      <c r="E493" s="67" t="s">
        <v>1135</v>
      </c>
      <c r="F493" s="67" t="s">
        <v>1136</v>
      </c>
      <c r="G493" s="69" t="s">
        <v>1207</v>
      </c>
      <c r="H493" s="69" t="s">
        <v>1137</v>
      </c>
      <c r="J493" s="71"/>
      <c r="K493" s="71"/>
      <c r="L493" s="71"/>
      <c r="M493" s="71"/>
      <c r="N493" s="71"/>
      <c r="O493" s="71"/>
      <c r="P493" s="71"/>
      <c r="Q493" s="71"/>
      <c r="R493" s="71"/>
    </row>
    <row r="494" spans="1:19" ht="30" customHeight="1" x14ac:dyDescent="0.4">
      <c r="A494" s="49">
        <v>1</v>
      </c>
      <c r="B494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494" s="50"/>
      <c r="D494" s="48"/>
      <c r="E494" s="48"/>
      <c r="F494" s="48" t="str">
        <f>IF(Table171012823[[#This Row],[Status]]="Not Entered","",VLOOKUP(Table171012823[[#This Row],[Ln'#]],Excellent!$A$65:$AW$114,3,FALSE))</f>
        <v/>
      </c>
      <c r="G494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4" s="51" t="str">
        <f>IF(Table171012823[[#This Row],[Status]]="Not Entered","",VLOOKUP(Table171012823[[#This Row],[Ln'#]],Excellent!$A$65:$AW$114,47,FALSE))</f>
        <v/>
      </c>
    </row>
    <row r="495" spans="1:19" ht="30" customHeight="1" x14ac:dyDescent="0.4">
      <c r="A495" s="49">
        <v>2</v>
      </c>
      <c r="B495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5" s="244"/>
      <c r="D495" s="245"/>
      <c r="E495" s="245"/>
      <c r="F495" s="245" t="str">
        <f>IF(Table171012823[[#This Row],[Status]]="Not Entered","",VLOOKUP(Table171012823[[#This Row],[Ln'#]],Excellent!$A$65:$AW$114,3,FALSE))</f>
        <v/>
      </c>
      <c r="G495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5" s="247" t="str">
        <f>IF(Table171012823[[#This Row],[Status]]="Not Entered","",VLOOKUP(Table171012823[[#This Row],[Ln'#]],Excellent!$A$65:$AW$114,47,FALSE))</f>
        <v/>
      </c>
    </row>
    <row r="496" spans="1:19" ht="30" customHeight="1" x14ac:dyDescent="0.4">
      <c r="A496" s="49">
        <v>3</v>
      </c>
      <c r="B496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6" s="244"/>
      <c r="D496" s="245"/>
      <c r="E496" s="245"/>
      <c r="F496" s="245" t="str">
        <f>IF(Table171012823[[#This Row],[Status]]="Not Entered","",VLOOKUP(Table171012823[[#This Row],[Ln'#]],Excellent!$A$65:$AW$114,3,FALSE))</f>
        <v/>
      </c>
      <c r="G496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6" s="247" t="str">
        <f>IF(Table171012823[[#This Row],[Status]]="Not Entered","",VLOOKUP(Table171012823[[#This Row],[Ln'#]],Excellent!$A$65:$AW$114,47,FALSE))</f>
        <v/>
      </c>
    </row>
    <row r="497" spans="1:8" ht="30" customHeight="1" x14ac:dyDescent="0.4">
      <c r="A497" s="49">
        <v>4</v>
      </c>
      <c r="B497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7" s="244"/>
      <c r="D497" s="245"/>
      <c r="E497" s="245"/>
      <c r="F497" s="245" t="str">
        <f>IF(Table171012823[[#This Row],[Status]]="Not Entered","",VLOOKUP(Table171012823[[#This Row],[Ln'#]],Excellent!$A$65:$AW$114,3,FALSE))</f>
        <v/>
      </c>
      <c r="G497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7" s="247" t="str">
        <f>IF(Table171012823[[#This Row],[Status]]="Not Entered","",VLOOKUP(Table171012823[[#This Row],[Ln'#]],Excellent!$A$65:$AW$114,47,FALSE))</f>
        <v/>
      </c>
    </row>
    <row r="498" spans="1:8" ht="30" customHeight="1" x14ac:dyDescent="0.4">
      <c r="A498" s="49">
        <v>5</v>
      </c>
      <c r="B498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8" s="244"/>
      <c r="D498" s="245"/>
      <c r="E498" s="245"/>
      <c r="F498" s="245" t="str">
        <f>IF(Table171012823[[#This Row],[Status]]="Not Entered","",VLOOKUP(Table171012823[[#This Row],[Ln'#]],Excellent!$A$65:$AW$114,3,FALSE))</f>
        <v/>
      </c>
      <c r="G498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8" s="247" t="str">
        <f>IF(Table171012823[[#This Row],[Status]]="Not Entered","",VLOOKUP(Table171012823[[#This Row],[Ln'#]],Excellent!$A$65:$AW$114,47,FALSE))</f>
        <v/>
      </c>
    </row>
    <row r="499" spans="1:8" ht="30" customHeight="1" x14ac:dyDescent="0.4">
      <c r="A499" s="49">
        <v>6</v>
      </c>
      <c r="B499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9" s="244"/>
      <c r="D499" s="245"/>
      <c r="E499" s="245"/>
      <c r="F499" s="245" t="str">
        <f>IF(Table171012823[[#This Row],[Status]]="Not Entered","",VLOOKUP(Table171012823[[#This Row],[Ln'#]],Excellent!$A$65:$AW$114,3,FALSE))</f>
        <v/>
      </c>
      <c r="G499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9" s="247" t="str">
        <f>IF(Table171012823[[#This Row],[Status]]="Not Entered","",VLOOKUP(Table171012823[[#This Row],[Ln'#]],Excellent!$A$65:$AW$114,47,FALSE))</f>
        <v/>
      </c>
    </row>
    <row r="500" spans="1:8" ht="30" customHeight="1" x14ac:dyDescent="0.4">
      <c r="A500" s="49">
        <v>7</v>
      </c>
      <c r="B500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0" s="244"/>
      <c r="D500" s="245"/>
      <c r="E500" s="245"/>
      <c r="F500" s="245" t="str">
        <f>IF(Table171012823[[#This Row],[Status]]="Not Entered","",VLOOKUP(Table171012823[[#This Row],[Ln'#]],Excellent!$A$65:$AW$114,3,FALSE))</f>
        <v/>
      </c>
      <c r="G500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0" s="247" t="str">
        <f>IF(Table171012823[[#This Row],[Status]]="Not Entered","",VLOOKUP(Table171012823[[#This Row],[Ln'#]],Excellent!$A$65:$AW$114,47,FALSE))</f>
        <v/>
      </c>
    </row>
    <row r="501" spans="1:8" ht="30" customHeight="1" x14ac:dyDescent="0.4">
      <c r="A501" s="49">
        <v>8</v>
      </c>
      <c r="B501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1" s="244"/>
      <c r="D501" s="245"/>
      <c r="E501" s="245"/>
      <c r="F501" s="245" t="str">
        <f>IF(Table171012823[[#This Row],[Status]]="Not Entered","",VLOOKUP(Table171012823[[#This Row],[Ln'#]],Excellent!$A$65:$AW$114,3,FALSE))</f>
        <v/>
      </c>
      <c r="G501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1" s="247" t="str">
        <f>IF(Table171012823[[#This Row],[Status]]="Not Entered","",VLOOKUP(Table171012823[[#This Row],[Ln'#]],Excellent!$A$65:$AW$114,47,FALSE))</f>
        <v/>
      </c>
    </row>
    <row r="502" spans="1:8" ht="30" customHeight="1" x14ac:dyDescent="0.4">
      <c r="A502" s="49">
        <v>9</v>
      </c>
      <c r="B502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2" s="244"/>
      <c r="D502" s="245"/>
      <c r="E502" s="245"/>
      <c r="F502" s="245" t="str">
        <f>IF(Table171012823[[#This Row],[Status]]="Not Entered","",VLOOKUP(Table171012823[[#This Row],[Ln'#]],Excellent!$A$65:$AW$114,3,FALSE))</f>
        <v/>
      </c>
      <c r="G502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2" s="247" t="str">
        <f>IF(Table171012823[[#This Row],[Status]]="Not Entered","",VLOOKUP(Table171012823[[#This Row],[Ln'#]],Excellent!$A$65:$AW$114,47,FALSE))</f>
        <v/>
      </c>
    </row>
    <row r="503" spans="1:8" ht="30" customHeight="1" x14ac:dyDescent="0.4">
      <c r="A503" s="49">
        <v>10</v>
      </c>
      <c r="B503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3" s="244"/>
      <c r="D503" s="245"/>
      <c r="E503" s="245"/>
      <c r="F503" s="245" t="str">
        <f>IF(Table171012823[[#This Row],[Status]]="Not Entered","",VLOOKUP(Table171012823[[#This Row],[Ln'#]],Excellent!$A$65:$AW$114,3,FALSE))</f>
        <v/>
      </c>
      <c r="G503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3" s="247" t="str">
        <f>IF(Table171012823[[#This Row],[Status]]="Not Entered","",VLOOKUP(Table171012823[[#This Row],[Ln'#]],Excellent!$A$65:$AW$114,47,FALSE))</f>
        <v/>
      </c>
    </row>
    <row r="504" spans="1:8" ht="30" customHeight="1" x14ac:dyDescent="0.4">
      <c r="A504" s="49">
        <v>11</v>
      </c>
      <c r="B504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4" s="244"/>
      <c r="D504" s="245"/>
      <c r="E504" s="245"/>
      <c r="F504" s="245" t="str">
        <f>IF(Table171012823[[#This Row],[Status]]="Not Entered","",VLOOKUP(Table171012823[[#This Row],[Ln'#]],Excellent!$A$65:$AW$114,3,FALSE))</f>
        <v/>
      </c>
      <c r="G504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4" s="247" t="str">
        <f>IF(Table171012823[[#This Row],[Status]]="Not Entered","",VLOOKUP(Table171012823[[#This Row],[Ln'#]],Excellent!$A$65:$AW$114,47,FALSE))</f>
        <v/>
      </c>
    </row>
    <row r="505" spans="1:8" ht="30" customHeight="1" x14ac:dyDescent="0.4">
      <c r="A505" s="49">
        <v>12</v>
      </c>
      <c r="B505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5" s="244"/>
      <c r="D505" s="245"/>
      <c r="E505" s="245"/>
      <c r="F505" s="245" t="str">
        <f>IF(Table171012823[[#This Row],[Status]]="Not Entered","",VLOOKUP(Table171012823[[#This Row],[Ln'#]],Excellent!$A$65:$AW$114,3,FALSE))</f>
        <v/>
      </c>
      <c r="G505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5" s="247" t="str">
        <f>IF(Table171012823[[#This Row],[Status]]="Not Entered","",VLOOKUP(Table171012823[[#This Row],[Ln'#]],Excellent!$A$65:$AW$114,47,FALSE))</f>
        <v/>
      </c>
    </row>
    <row r="506" spans="1:8" ht="30" customHeight="1" x14ac:dyDescent="0.4">
      <c r="A506" s="49">
        <v>13</v>
      </c>
      <c r="B506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6" s="244"/>
      <c r="D506" s="245"/>
      <c r="E506" s="245"/>
      <c r="F506" s="245" t="str">
        <f>IF(Table171012823[[#This Row],[Status]]="Not Entered","",VLOOKUP(Table171012823[[#This Row],[Ln'#]],Excellent!$A$65:$AW$114,3,FALSE))</f>
        <v/>
      </c>
      <c r="G506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6" s="247" t="str">
        <f>IF(Table171012823[[#This Row],[Status]]="Not Entered","",VLOOKUP(Table171012823[[#This Row],[Ln'#]],Excellent!$A$65:$AW$114,47,FALSE))</f>
        <v/>
      </c>
    </row>
    <row r="507" spans="1:8" ht="30" customHeight="1" x14ac:dyDescent="0.4">
      <c r="A507" s="49">
        <v>14</v>
      </c>
      <c r="B507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7" s="244"/>
      <c r="D507" s="245"/>
      <c r="E507" s="245"/>
      <c r="F507" s="245" t="str">
        <f>IF(Table171012823[[#This Row],[Status]]="Not Entered","",VLOOKUP(Table171012823[[#This Row],[Ln'#]],Excellent!$A$65:$AW$114,3,FALSE))</f>
        <v/>
      </c>
      <c r="G507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7" s="247" t="str">
        <f>IF(Table171012823[[#This Row],[Status]]="Not Entered","",VLOOKUP(Table171012823[[#This Row],[Ln'#]],Excellent!$A$65:$AW$114,47,FALSE))</f>
        <v/>
      </c>
    </row>
    <row r="508" spans="1:8" ht="30" customHeight="1" x14ac:dyDescent="0.4">
      <c r="A508" s="49">
        <v>15</v>
      </c>
      <c r="B508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8" s="244"/>
      <c r="D508" s="245"/>
      <c r="E508" s="245"/>
      <c r="F508" s="245" t="str">
        <f>IF(Table171012823[[#This Row],[Status]]="Not Entered","",VLOOKUP(Table171012823[[#This Row],[Ln'#]],Excellent!$A$65:$AW$114,3,FALSE))</f>
        <v/>
      </c>
      <c r="G508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8" s="247" t="str">
        <f>IF(Table171012823[[#This Row],[Status]]="Not Entered","",VLOOKUP(Table171012823[[#This Row],[Ln'#]],Excellent!$A$65:$AW$114,47,FALSE))</f>
        <v/>
      </c>
    </row>
    <row r="509" spans="1:8" ht="30" customHeight="1" x14ac:dyDescent="0.4">
      <c r="A509" s="49">
        <v>16</v>
      </c>
      <c r="B509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9" s="244"/>
      <c r="D509" s="245"/>
      <c r="E509" s="245"/>
      <c r="F509" s="245" t="str">
        <f>IF(Table171012823[[#This Row],[Status]]="Not Entered","",VLOOKUP(Table171012823[[#This Row],[Ln'#]],Excellent!$A$65:$AW$114,3,FALSE))</f>
        <v/>
      </c>
      <c r="G509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9" s="247" t="str">
        <f>IF(Table171012823[[#This Row],[Status]]="Not Entered","",VLOOKUP(Table171012823[[#This Row],[Ln'#]],Excellent!$A$65:$AW$114,47,FALSE))</f>
        <v/>
      </c>
    </row>
    <row r="510" spans="1:8" ht="30" customHeight="1" x14ac:dyDescent="0.4">
      <c r="A510" s="49">
        <v>17</v>
      </c>
      <c r="B510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0" s="244"/>
      <c r="D510" s="245"/>
      <c r="E510" s="245"/>
      <c r="F510" s="245" t="str">
        <f>IF(Table171012823[[#This Row],[Status]]="Not Entered","",VLOOKUP(Table171012823[[#This Row],[Ln'#]],Excellent!$A$65:$AW$114,3,FALSE))</f>
        <v/>
      </c>
      <c r="G510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0" s="247" t="str">
        <f>IF(Table171012823[[#This Row],[Status]]="Not Entered","",VLOOKUP(Table171012823[[#This Row],[Ln'#]],Excellent!$A$65:$AW$114,47,FALSE))</f>
        <v/>
      </c>
    </row>
    <row r="511" spans="1:8" ht="30" customHeight="1" x14ac:dyDescent="0.4">
      <c r="A511" s="49">
        <v>18</v>
      </c>
      <c r="B511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1" s="244"/>
      <c r="D511" s="245"/>
      <c r="E511" s="245"/>
      <c r="F511" s="245" t="str">
        <f>IF(Table171012823[[#This Row],[Status]]="Not Entered","",VLOOKUP(Table171012823[[#This Row],[Ln'#]],Excellent!$A$65:$AW$114,3,FALSE))</f>
        <v/>
      </c>
      <c r="G511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1" s="247" t="str">
        <f>IF(Table171012823[[#This Row],[Status]]="Not Entered","",VLOOKUP(Table171012823[[#This Row],[Ln'#]],Excellent!$A$65:$AW$114,47,FALSE))</f>
        <v/>
      </c>
    </row>
    <row r="512" spans="1:8" ht="30" customHeight="1" x14ac:dyDescent="0.4">
      <c r="A512" s="49">
        <v>19</v>
      </c>
      <c r="B512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2" s="244"/>
      <c r="D512" s="245"/>
      <c r="E512" s="245"/>
      <c r="F512" s="245" t="str">
        <f>IF(Table171012823[[#This Row],[Status]]="Not Entered","",VLOOKUP(Table171012823[[#This Row],[Ln'#]],Excellent!$A$65:$AW$114,3,FALSE))</f>
        <v/>
      </c>
      <c r="G512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2" s="247" t="str">
        <f>IF(Table171012823[[#This Row],[Status]]="Not Entered","",VLOOKUP(Table171012823[[#This Row],[Ln'#]],Excellent!$A$65:$AW$114,47,FALSE))</f>
        <v/>
      </c>
    </row>
    <row r="513" spans="1:8" ht="30" customHeight="1" x14ac:dyDescent="0.4">
      <c r="A513" s="49">
        <v>20</v>
      </c>
      <c r="B513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3" s="244"/>
      <c r="D513" s="245"/>
      <c r="E513" s="245"/>
      <c r="F513" s="245" t="str">
        <f>IF(Table171012823[[#This Row],[Status]]="Not Entered","",VLOOKUP(Table171012823[[#This Row],[Ln'#]],Excellent!$A$65:$AW$114,3,FALSE))</f>
        <v/>
      </c>
      <c r="G513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3" s="247" t="str">
        <f>IF(Table171012823[[#This Row],[Status]]="Not Entered","",VLOOKUP(Table171012823[[#This Row],[Ln'#]],Excellent!$A$65:$AW$114,47,FALSE))</f>
        <v/>
      </c>
    </row>
    <row r="514" spans="1:8" ht="30" customHeight="1" x14ac:dyDescent="0.4">
      <c r="A514" s="49">
        <v>21</v>
      </c>
      <c r="B514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4" s="244"/>
      <c r="D514" s="245"/>
      <c r="E514" s="245"/>
      <c r="F514" s="245" t="str">
        <f>IF(Table171012823[[#This Row],[Status]]="Not Entered","",VLOOKUP(Table171012823[[#This Row],[Ln'#]],Excellent!$A$65:$AW$114,3,FALSE))</f>
        <v/>
      </c>
      <c r="G514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4" s="247" t="str">
        <f>IF(Table171012823[[#This Row],[Status]]="Not Entered","",VLOOKUP(Table171012823[[#This Row],[Ln'#]],Excellent!$A$65:$AW$114,47,FALSE))</f>
        <v/>
      </c>
    </row>
    <row r="515" spans="1:8" ht="30" customHeight="1" x14ac:dyDescent="0.4">
      <c r="A515" s="243">
        <v>22</v>
      </c>
      <c r="B515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5" s="50"/>
      <c r="D515" s="48"/>
      <c r="E515" s="48"/>
      <c r="F515" s="48" t="str">
        <f>IF(Table171012823[[#This Row],[Status]]="Not Entered","",VLOOKUP(Table171012823[[#This Row],[Ln'#]],Excellent!$A$65:$AW$114,3,FALSE))</f>
        <v/>
      </c>
      <c r="G515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5" s="51" t="str">
        <f>IF(Table171012823[[#This Row],[Status]]="Not Entered","",VLOOKUP(Table171012823[[#This Row],[Ln'#]],Excellent!$A$65:$AW$114,47,FALSE))</f>
        <v/>
      </c>
    </row>
    <row r="516" spans="1:8" ht="30" customHeight="1" x14ac:dyDescent="0.4">
      <c r="A516" s="243">
        <v>23</v>
      </c>
      <c r="B516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6" s="50"/>
      <c r="D516" s="48"/>
      <c r="E516" s="48"/>
      <c r="F516" s="48" t="str">
        <f>IF(Table171012823[[#This Row],[Status]]="Not Entered","",VLOOKUP(Table171012823[[#This Row],[Ln'#]],Excellent!$A$65:$AW$114,3,FALSE))</f>
        <v/>
      </c>
      <c r="G516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6" s="51" t="str">
        <f>IF(Table171012823[[#This Row],[Status]]="Not Entered","",VLOOKUP(Table171012823[[#This Row],[Ln'#]],Excellent!$A$65:$AW$114,47,FALSE))</f>
        <v/>
      </c>
    </row>
    <row r="517" spans="1:8" ht="30" customHeight="1" x14ac:dyDescent="0.4">
      <c r="A517" s="243">
        <v>24</v>
      </c>
      <c r="B517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7" s="50"/>
      <c r="D517" s="48"/>
      <c r="E517" s="48"/>
      <c r="F517" s="48" t="str">
        <f>IF(Table171012823[[#This Row],[Status]]="Not Entered","",VLOOKUP(Table171012823[[#This Row],[Ln'#]],Excellent!$A$65:$AW$114,3,FALSE))</f>
        <v/>
      </c>
      <c r="G517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7" s="51" t="str">
        <f>IF(Table171012823[[#This Row],[Status]]="Not Entered","",VLOOKUP(Table171012823[[#This Row],[Ln'#]],Excellent!$A$65:$AW$114,47,FALSE))</f>
        <v/>
      </c>
    </row>
    <row r="518" spans="1:8" ht="30" customHeight="1" x14ac:dyDescent="0.4">
      <c r="A518" s="243">
        <v>25</v>
      </c>
      <c r="B518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8" s="50"/>
      <c r="D518" s="48"/>
      <c r="E518" s="48"/>
      <c r="F518" s="48" t="str">
        <f>IF(Table171012823[[#This Row],[Status]]="Not Entered","",VLOOKUP(Table171012823[[#This Row],[Ln'#]],Excellent!$A$65:$AW$114,3,FALSE))</f>
        <v/>
      </c>
      <c r="G518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8" s="51" t="str">
        <f>IF(Table171012823[[#This Row],[Status]]="Not Entered","",VLOOKUP(Table171012823[[#This Row],[Ln'#]],Excellent!$A$65:$AW$114,47,FALSE))</f>
        <v/>
      </c>
    </row>
    <row r="519" spans="1:8" ht="30" customHeight="1" x14ac:dyDescent="0.4">
      <c r="A519" s="243">
        <v>26</v>
      </c>
      <c r="B519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9" s="50"/>
      <c r="D519" s="48"/>
      <c r="E519" s="48"/>
      <c r="F519" s="48" t="str">
        <f>IF(Table171012823[[#This Row],[Status]]="Not Entered","",VLOOKUP(Table171012823[[#This Row],[Ln'#]],Excellent!$A$65:$AW$114,3,FALSE))</f>
        <v/>
      </c>
      <c r="G519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9" s="51" t="str">
        <f>IF(Table171012823[[#This Row],[Status]]="Not Entered","",VLOOKUP(Table171012823[[#This Row],[Ln'#]],Excellent!$A$65:$AW$114,47,FALSE))</f>
        <v/>
      </c>
    </row>
    <row r="520" spans="1:8" ht="30" customHeight="1" x14ac:dyDescent="0.4">
      <c r="A520" s="243">
        <v>27</v>
      </c>
      <c r="B520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0" s="50"/>
      <c r="D520" s="48"/>
      <c r="E520" s="48"/>
      <c r="F520" s="48" t="str">
        <f>IF(Table171012823[[#This Row],[Status]]="Not Entered","",VLOOKUP(Table171012823[[#This Row],[Ln'#]],Excellent!$A$65:$AW$114,3,FALSE))</f>
        <v/>
      </c>
      <c r="G520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0" s="51" t="str">
        <f>IF(Table171012823[[#This Row],[Status]]="Not Entered","",VLOOKUP(Table171012823[[#This Row],[Ln'#]],Excellent!$A$65:$AW$114,47,FALSE))</f>
        <v/>
      </c>
    </row>
    <row r="521" spans="1:8" ht="30" customHeight="1" x14ac:dyDescent="0.4">
      <c r="A521" s="243">
        <v>28</v>
      </c>
      <c r="B521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1" s="50"/>
      <c r="D521" s="48"/>
      <c r="E521" s="48"/>
      <c r="F521" s="48" t="str">
        <f>IF(Table171012823[[#This Row],[Status]]="Not Entered","",VLOOKUP(Table171012823[[#This Row],[Ln'#]],Excellent!$A$65:$AW$114,3,FALSE))</f>
        <v/>
      </c>
      <c r="G521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1" s="51" t="str">
        <f>IF(Table171012823[[#This Row],[Status]]="Not Entered","",VLOOKUP(Table171012823[[#This Row],[Ln'#]],Excellent!$A$65:$AW$114,47,FALSE))</f>
        <v/>
      </c>
    </row>
    <row r="522" spans="1:8" ht="30" customHeight="1" x14ac:dyDescent="0.4">
      <c r="A522" s="243">
        <v>29</v>
      </c>
      <c r="B522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2" s="50"/>
      <c r="D522" s="48"/>
      <c r="E522" s="48"/>
      <c r="F522" s="48" t="str">
        <f>IF(Table171012823[[#This Row],[Status]]="Not Entered","",VLOOKUP(Table171012823[[#This Row],[Ln'#]],Excellent!$A$65:$AW$114,3,FALSE))</f>
        <v/>
      </c>
      <c r="G522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2" s="51" t="str">
        <f>IF(Table171012823[[#This Row],[Status]]="Not Entered","",VLOOKUP(Table171012823[[#This Row],[Ln'#]],Excellent!$A$65:$AW$114,47,FALSE))</f>
        <v/>
      </c>
    </row>
    <row r="523" spans="1:8" ht="30" customHeight="1" x14ac:dyDescent="0.4">
      <c r="A523" s="243">
        <v>30</v>
      </c>
      <c r="B523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3" s="50"/>
      <c r="D523" s="48"/>
      <c r="E523" s="48"/>
      <c r="F523" s="48" t="str">
        <f>IF(Table171012823[[#This Row],[Status]]="Not Entered","",VLOOKUP(Table171012823[[#This Row],[Ln'#]],Excellent!$A$65:$AW$114,3,FALSE))</f>
        <v/>
      </c>
      <c r="G523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3" s="51" t="str">
        <f>IF(Table171012823[[#This Row],[Status]]="Not Entered","",VLOOKUP(Table171012823[[#This Row],[Ln'#]],Excellent!$A$65:$AW$114,47,FALSE))</f>
        <v/>
      </c>
    </row>
    <row r="524" spans="1:8" ht="30" customHeight="1" x14ac:dyDescent="0.4">
      <c r="A524" s="243">
        <v>31</v>
      </c>
      <c r="B524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4" s="50"/>
      <c r="D524" s="48"/>
      <c r="E524" s="48"/>
      <c r="F524" s="48" t="str">
        <f>IF(Table171012823[[#This Row],[Status]]="Not Entered","",VLOOKUP(Table171012823[[#This Row],[Ln'#]],Excellent!$A$65:$AW$114,3,FALSE))</f>
        <v/>
      </c>
      <c r="G524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4" s="51" t="str">
        <f>IF(Table171012823[[#This Row],[Status]]="Not Entered","",VLOOKUP(Table171012823[[#This Row],[Ln'#]],Excellent!$A$65:$AW$114,47,FALSE))</f>
        <v/>
      </c>
    </row>
    <row r="525" spans="1:8" ht="30" customHeight="1" x14ac:dyDescent="0.4">
      <c r="A525" s="243">
        <v>32</v>
      </c>
      <c r="B525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5" s="50"/>
      <c r="D525" s="48"/>
      <c r="E525" s="48"/>
      <c r="F525" s="48" t="str">
        <f>IF(Table171012823[[#This Row],[Status]]="Not Entered","",VLOOKUP(Table171012823[[#This Row],[Ln'#]],Excellent!$A$65:$AW$114,3,FALSE))</f>
        <v/>
      </c>
      <c r="G525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5" s="51" t="str">
        <f>IF(Table171012823[[#This Row],[Status]]="Not Entered","",VLOOKUP(Table171012823[[#This Row],[Ln'#]],Excellent!$A$65:$AW$114,47,FALSE))</f>
        <v/>
      </c>
    </row>
    <row r="526" spans="1:8" ht="30" customHeight="1" x14ac:dyDescent="0.4">
      <c r="A526" s="243">
        <v>33</v>
      </c>
      <c r="B526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6" s="50"/>
      <c r="D526" s="48"/>
      <c r="E526" s="48"/>
      <c r="F526" s="48" t="str">
        <f>IF(Table171012823[[#This Row],[Status]]="Not Entered","",VLOOKUP(Table171012823[[#This Row],[Ln'#]],Excellent!$A$65:$AW$114,3,FALSE))</f>
        <v/>
      </c>
      <c r="G526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6" s="51" t="str">
        <f>IF(Table171012823[[#This Row],[Status]]="Not Entered","",VLOOKUP(Table171012823[[#This Row],[Ln'#]],Excellent!$A$65:$AW$114,47,FALSE))</f>
        <v/>
      </c>
    </row>
    <row r="527" spans="1:8" ht="30" customHeight="1" x14ac:dyDescent="0.4">
      <c r="A527" s="243">
        <v>34</v>
      </c>
      <c r="B527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7" s="50"/>
      <c r="D527" s="48"/>
      <c r="E527" s="48"/>
      <c r="F527" s="48" t="str">
        <f>IF(Table171012823[[#This Row],[Status]]="Not Entered","",VLOOKUP(Table171012823[[#This Row],[Ln'#]],Excellent!$A$65:$AW$114,3,FALSE))</f>
        <v/>
      </c>
      <c r="G527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7" s="51" t="str">
        <f>IF(Table171012823[[#This Row],[Status]]="Not Entered","",VLOOKUP(Table171012823[[#This Row],[Ln'#]],Excellent!$A$65:$AW$114,47,FALSE))</f>
        <v/>
      </c>
    </row>
    <row r="528" spans="1:8" ht="30" customHeight="1" x14ac:dyDescent="0.4">
      <c r="A528" s="243">
        <v>35</v>
      </c>
      <c r="B528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8" s="50"/>
      <c r="D528" s="48"/>
      <c r="E528" s="48"/>
      <c r="F528" s="48" t="str">
        <f>IF(Table171012823[[#This Row],[Status]]="Not Entered","",VLOOKUP(Table171012823[[#This Row],[Ln'#]],Excellent!$A$65:$AW$114,3,FALSE))</f>
        <v/>
      </c>
      <c r="G528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8" s="51" t="str">
        <f>IF(Table171012823[[#This Row],[Status]]="Not Entered","",VLOOKUP(Table171012823[[#This Row],[Ln'#]],Excellent!$A$65:$AW$114,47,FALSE))</f>
        <v/>
      </c>
    </row>
    <row r="529" spans="1:8" ht="30" customHeight="1" x14ac:dyDescent="0.4">
      <c r="A529" s="243">
        <v>36</v>
      </c>
      <c r="B529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9" s="50"/>
      <c r="D529" s="48"/>
      <c r="E529" s="48"/>
      <c r="F529" s="48" t="str">
        <f>IF(Table171012823[[#This Row],[Status]]="Not Entered","",VLOOKUP(Table171012823[[#This Row],[Ln'#]],Excellent!$A$65:$AW$114,3,FALSE))</f>
        <v/>
      </c>
      <c r="G529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9" s="51" t="str">
        <f>IF(Table171012823[[#This Row],[Status]]="Not Entered","",VLOOKUP(Table171012823[[#This Row],[Ln'#]],Excellent!$A$65:$AW$114,47,FALSE))</f>
        <v/>
      </c>
    </row>
    <row r="530" spans="1:8" ht="30" customHeight="1" x14ac:dyDescent="0.4">
      <c r="A530" s="243">
        <v>37</v>
      </c>
      <c r="B530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0" s="50"/>
      <c r="D530" s="48"/>
      <c r="E530" s="48"/>
      <c r="F530" s="48" t="str">
        <f>IF(Table171012823[[#This Row],[Status]]="Not Entered","",VLOOKUP(Table171012823[[#This Row],[Ln'#]],Excellent!$A$65:$AW$114,3,FALSE))</f>
        <v/>
      </c>
      <c r="G530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0" s="51" t="str">
        <f>IF(Table171012823[[#This Row],[Status]]="Not Entered","",VLOOKUP(Table171012823[[#This Row],[Ln'#]],Excellent!$A$65:$AW$114,47,FALSE))</f>
        <v/>
      </c>
    </row>
    <row r="531" spans="1:8" ht="30" customHeight="1" x14ac:dyDescent="0.4">
      <c r="A531" s="243">
        <v>38</v>
      </c>
      <c r="B531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1" s="50"/>
      <c r="D531" s="48"/>
      <c r="E531" s="48"/>
      <c r="F531" s="48" t="str">
        <f>IF(Table171012823[[#This Row],[Status]]="Not Entered","",VLOOKUP(Table171012823[[#This Row],[Ln'#]],Excellent!$A$65:$AW$114,3,FALSE))</f>
        <v/>
      </c>
      <c r="G531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1" s="51" t="str">
        <f>IF(Table171012823[[#This Row],[Status]]="Not Entered","",VLOOKUP(Table171012823[[#This Row],[Ln'#]],Excellent!$A$65:$AW$114,47,FALSE))</f>
        <v/>
      </c>
    </row>
    <row r="532" spans="1:8" ht="30" customHeight="1" x14ac:dyDescent="0.4">
      <c r="A532" s="243">
        <v>39</v>
      </c>
      <c r="B532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2" s="50"/>
      <c r="D532" s="48"/>
      <c r="E532" s="48"/>
      <c r="F532" s="48" t="str">
        <f>IF(Table171012823[[#This Row],[Status]]="Not Entered","",VLOOKUP(Table171012823[[#This Row],[Ln'#]],Excellent!$A$65:$AW$114,3,FALSE))</f>
        <v/>
      </c>
      <c r="G532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2" s="51" t="str">
        <f>IF(Table171012823[[#This Row],[Status]]="Not Entered","",VLOOKUP(Table171012823[[#This Row],[Ln'#]],Excellent!$A$65:$AW$114,47,FALSE))</f>
        <v/>
      </c>
    </row>
    <row r="533" spans="1:8" ht="30" customHeight="1" x14ac:dyDescent="0.4">
      <c r="A533" s="243">
        <v>40</v>
      </c>
      <c r="B533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3" s="50"/>
      <c r="D533" s="48"/>
      <c r="E533" s="48"/>
      <c r="F533" s="48" t="str">
        <f>IF(Table171012823[[#This Row],[Status]]="Not Entered","",VLOOKUP(Table171012823[[#This Row],[Ln'#]],Excellent!$A$65:$AW$114,3,FALSE))</f>
        <v/>
      </c>
      <c r="G533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3" s="51" t="str">
        <f>IF(Table171012823[[#This Row],[Status]]="Not Entered","",VLOOKUP(Table171012823[[#This Row],[Ln'#]],Excellent!$A$65:$AW$114,47,FALSE))</f>
        <v/>
      </c>
    </row>
    <row r="534" spans="1:8" ht="30" customHeight="1" x14ac:dyDescent="0.4">
      <c r="A534" s="243">
        <v>41</v>
      </c>
      <c r="B534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4" s="50"/>
      <c r="D534" s="48"/>
      <c r="E534" s="48"/>
      <c r="F534" s="48" t="str">
        <f>IF(Table171012823[[#This Row],[Status]]="Not Entered","",VLOOKUP(Table171012823[[#This Row],[Ln'#]],Excellent!$A$65:$AW$114,3,FALSE))</f>
        <v/>
      </c>
      <c r="G534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4" s="51" t="str">
        <f>IF(Table171012823[[#This Row],[Status]]="Not Entered","",VLOOKUP(Table171012823[[#This Row],[Ln'#]],Excellent!$A$65:$AW$114,47,FALSE))</f>
        <v/>
      </c>
    </row>
    <row r="535" spans="1:8" ht="30" customHeight="1" x14ac:dyDescent="0.4">
      <c r="A535" s="243">
        <v>42</v>
      </c>
      <c r="B535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5" s="50"/>
      <c r="D535" s="48"/>
      <c r="E535" s="48"/>
      <c r="F535" s="48" t="str">
        <f>IF(Table171012823[[#This Row],[Status]]="Not Entered","",VLOOKUP(Table171012823[[#This Row],[Ln'#]],Excellent!$A$65:$AW$114,3,FALSE))</f>
        <v/>
      </c>
      <c r="G535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5" s="51" t="str">
        <f>IF(Table171012823[[#This Row],[Status]]="Not Entered","",VLOOKUP(Table171012823[[#This Row],[Ln'#]],Excellent!$A$65:$AW$114,47,FALSE))</f>
        <v/>
      </c>
    </row>
    <row r="536" spans="1:8" ht="30" customHeight="1" x14ac:dyDescent="0.4">
      <c r="A536" s="243">
        <v>43</v>
      </c>
      <c r="B536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6" s="50"/>
      <c r="D536" s="48"/>
      <c r="E536" s="48"/>
      <c r="F536" s="48" t="str">
        <f>IF(Table171012823[[#This Row],[Status]]="Not Entered","",VLOOKUP(Table171012823[[#This Row],[Ln'#]],Excellent!$A$65:$AW$114,3,FALSE))</f>
        <v/>
      </c>
      <c r="G536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6" s="51" t="str">
        <f>IF(Table171012823[[#This Row],[Status]]="Not Entered","",VLOOKUP(Table171012823[[#This Row],[Ln'#]],Excellent!$A$65:$AW$114,47,FALSE))</f>
        <v/>
      </c>
    </row>
    <row r="537" spans="1:8" ht="30" customHeight="1" x14ac:dyDescent="0.4">
      <c r="A537" s="243">
        <v>44</v>
      </c>
      <c r="B537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7" s="50"/>
      <c r="D537" s="48"/>
      <c r="E537" s="48"/>
      <c r="F537" s="48" t="str">
        <f>IF(Table171012823[[#This Row],[Status]]="Not Entered","",VLOOKUP(Table171012823[[#This Row],[Ln'#]],Excellent!$A$65:$AW$114,3,FALSE))</f>
        <v/>
      </c>
      <c r="G537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7" s="51" t="str">
        <f>IF(Table171012823[[#This Row],[Status]]="Not Entered","",VLOOKUP(Table171012823[[#This Row],[Ln'#]],Excellent!$A$65:$AW$114,47,FALSE))</f>
        <v/>
      </c>
    </row>
    <row r="538" spans="1:8" ht="30" customHeight="1" x14ac:dyDescent="0.4">
      <c r="A538" s="243">
        <v>45</v>
      </c>
      <c r="B538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8" s="50"/>
      <c r="D538" s="48"/>
      <c r="E538" s="48"/>
      <c r="F538" s="48" t="str">
        <f>IF(Table171012823[[#This Row],[Status]]="Not Entered","",VLOOKUP(Table171012823[[#This Row],[Ln'#]],Excellent!$A$65:$AW$114,3,FALSE))</f>
        <v/>
      </c>
      <c r="G538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8" s="51" t="str">
        <f>IF(Table171012823[[#This Row],[Status]]="Not Entered","",VLOOKUP(Table171012823[[#This Row],[Ln'#]],Excellent!$A$65:$AW$114,47,FALSE))</f>
        <v/>
      </c>
    </row>
    <row r="539" spans="1:8" ht="30" customHeight="1" x14ac:dyDescent="0.4">
      <c r="A539" s="243">
        <v>46</v>
      </c>
      <c r="B539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9" s="50"/>
      <c r="D539" s="48"/>
      <c r="E539" s="48"/>
      <c r="F539" s="48" t="str">
        <f>IF(Table171012823[[#This Row],[Status]]="Not Entered","",VLOOKUP(Table171012823[[#This Row],[Ln'#]],Excellent!$A$65:$AW$114,3,FALSE))</f>
        <v/>
      </c>
      <c r="G539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9" s="51" t="str">
        <f>IF(Table171012823[[#This Row],[Status]]="Not Entered","",VLOOKUP(Table171012823[[#This Row],[Ln'#]],Excellent!$A$65:$AW$114,47,FALSE))</f>
        <v/>
      </c>
    </row>
    <row r="540" spans="1:8" ht="30" customHeight="1" x14ac:dyDescent="0.4">
      <c r="A540" s="243">
        <v>47</v>
      </c>
      <c r="B540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0" s="50"/>
      <c r="D540" s="48"/>
      <c r="E540" s="48"/>
      <c r="F540" s="48" t="str">
        <f>IF(Table171012823[[#This Row],[Status]]="Not Entered","",VLOOKUP(Table171012823[[#This Row],[Ln'#]],Excellent!$A$65:$AW$114,3,FALSE))</f>
        <v/>
      </c>
      <c r="G540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0" s="51" t="str">
        <f>IF(Table171012823[[#This Row],[Status]]="Not Entered","",VLOOKUP(Table171012823[[#This Row],[Ln'#]],Excellent!$A$65:$AW$114,47,FALSE))</f>
        <v/>
      </c>
    </row>
    <row r="541" spans="1:8" ht="30" customHeight="1" x14ac:dyDescent="0.4">
      <c r="A541" s="243">
        <v>48</v>
      </c>
      <c r="B541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1" s="50"/>
      <c r="D541" s="48"/>
      <c r="E541" s="48"/>
      <c r="F541" s="48" t="str">
        <f>IF(Table171012823[[#This Row],[Status]]="Not Entered","",VLOOKUP(Table171012823[[#This Row],[Ln'#]],Excellent!$A$65:$AW$114,3,FALSE))</f>
        <v/>
      </c>
      <c r="G541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1" s="51" t="str">
        <f>IF(Table171012823[[#This Row],[Status]]="Not Entered","",VLOOKUP(Table171012823[[#This Row],[Ln'#]],Excellent!$A$65:$AW$114,47,FALSE))</f>
        <v/>
      </c>
    </row>
    <row r="542" spans="1:8" ht="30" customHeight="1" x14ac:dyDescent="0.4">
      <c r="A542" s="243">
        <v>49</v>
      </c>
      <c r="B542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2" s="50"/>
      <c r="D542" s="48"/>
      <c r="E542" s="48"/>
      <c r="F542" s="48" t="str">
        <f>IF(Table171012823[[#This Row],[Status]]="Not Entered","",VLOOKUP(Table171012823[[#This Row],[Ln'#]],Excellent!$A$65:$AW$114,3,FALSE))</f>
        <v/>
      </c>
      <c r="G542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2" s="51" t="str">
        <f>IF(Table171012823[[#This Row],[Status]]="Not Entered","",VLOOKUP(Table171012823[[#This Row],[Ln'#]],Excellent!$A$65:$AW$114,47,FALSE))</f>
        <v/>
      </c>
    </row>
    <row r="543" spans="1:8" ht="30" customHeight="1" x14ac:dyDescent="0.4">
      <c r="A543" s="243">
        <v>50</v>
      </c>
      <c r="B543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3" s="50"/>
      <c r="D543" s="48"/>
      <c r="E543" s="48"/>
      <c r="F543" s="48" t="str">
        <f>IF(Table171012823[[#This Row],[Status]]="Not Entered","",VLOOKUP(Table171012823[[#This Row],[Ln'#]],Excellent!$A$65:$AW$114,3,FALSE))</f>
        <v/>
      </c>
      <c r="G543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3" s="51" t="str">
        <f>IF(Table171012823[[#This Row],[Status]]="Not Entered","",VLOOKUP(Table171012823[[#This Row],[Ln'#]],Excellent!$A$65:$AW$114,47,FALSE))</f>
        <v/>
      </c>
    </row>
    <row r="544" spans="1:8" ht="30" customHeight="1" x14ac:dyDescent="0.4">
      <c r="A544" s="48"/>
      <c r="B544" s="48"/>
      <c r="C544" s="48"/>
      <c r="D544" s="48" t="s">
        <v>1141</v>
      </c>
      <c r="E544" s="48">
        <f>SUBTOTAL(102,Table171012823[Running Order])</f>
        <v>0</v>
      </c>
      <c r="F544" s="48"/>
      <c r="G544" s="51"/>
      <c r="H544" s="51"/>
    </row>
  </sheetData>
  <sheetProtection selectLockedCells="1"/>
  <mergeCells count="16">
    <mergeCell ref="A492:B492"/>
    <mergeCell ref="D492:I492"/>
    <mergeCell ref="A2:B2"/>
    <mergeCell ref="A111:B111"/>
    <mergeCell ref="A220:B220"/>
    <mergeCell ref="D2:I2"/>
    <mergeCell ref="D111:I111"/>
    <mergeCell ref="D220:I220"/>
    <mergeCell ref="B56:I56"/>
    <mergeCell ref="B165:I165"/>
    <mergeCell ref="B328:I328"/>
    <mergeCell ref="B437:I437"/>
    <mergeCell ref="A274:B274"/>
    <mergeCell ref="D274:I274"/>
    <mergeCell ref="A383:B383"/>
    <mergeCell ref="D383:I383"/>
  </mergeCells>
  <printOptions horizontalCentered="1" gridLines="1"/>
  <pageMargins left="0.7" right="0.7" top="0.75" bottom="0.75" header="0.3" footer="0.3"/>
  <pageSetup scale="72" fitToHeight="0" orientation="landscape" r:id="rId1"/>
  <rowBreaks count="6" manualBreakCount="6">
    <brk id="109" max="16383" man="1"/>
    <brk id="218" max="16383" man="1"/>
    <brk id="272" max="16383" man="1"/>
    <brk id="381" max="16383" man="1"/>
    <brk id="490" max="16383" man="1"/>
    <brk id="544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5"/>
  <sheetViews>
    <sheetView workbookViewId="0">
      <pane xSplit="4" ySplit="4" topLeftCell="E5" activePane="bottomRight" state="frozen"/>
      <selection activeCell="AT1" sqref="AT1:AT1048576"/>
      <selection pane="topRight" activeCell="AT1" sqref="AT1:AT1048576"/>
      <selection pane="bottomLeft" activeCell="AT1" sqref="AT1:AT1048576"/>
      <selection pane="bottomRight" activeCell="F5" sqref="F5"/>
    </sheetView>
  </sheetViews>
  <sheetFormatPr defaultColWidth="10.7109375" defaultRowHeight="15" x14ac:dyDescent="0.25"/>
  <cols>
    <col min="1" max="1" width="3.85546875" customWidth="1"/>
    <col min="2" max="2" width="4.85546875" customWidth="1"/>
    <col min="3" max="3" width="5.85546875" customWidth="1"/>
    <col min="4" max="4" width="10.85546875" customWidth="1"/>
    <col min="5" max="5" width="3.85546875" hidden="1" customWidth="1"/>
    <col min="6" max="6" width="4.85546875" style="2" customWidth="1"/>
    <col min="7" max="7" width="8" style="2" customWidth="1"/>
    <col min="8" max="8" width="4.85546875" style="2" customWidth="1"/>
    <col min="9" max="9" width="9" style="2" hidden="1" customWidth="1"/>
    <col min="10" max="10" width="4.85546875" style="2" hidden="1" customWidth="1"/>
    <col min="11" max="11" width="9" style="2" hidden="1" customWidth="1"/>
    <col min="12" max="12" width="4.85546875" style="2" customWidth="1"/>
    <col min="13" max="13" width="3.85546875" style="2" hidden="1" customWidth="1"/>
    <col min="14" max="14" width="4.85546875" style="2" customWidth="1"/>
    <col min="15" max="15" width="8" style="2" customWidth="1"/>
    <col min="16" max="16" width="4.85546875" style="2" customWidth="1"/>
    <col min="17" max="17" width="9" style="2" hidden="1" customWidth="1"/>
    <col min="18" max="18" width="4.85546875" style="2" customWidth="1"/>
    <col min="19" max="19" width="9" style="2" hidden="1" customWidth="1"/>
    <col min="20" max="20" width="4.85546875" style="2" customWidth="1"/>
    <col min="21" max="21" width="3.85546875" style="2" hidden="1" customWidth="1"/>
    <col min="22" max="22" width="4.85546875" style="2" customWidth="1"/>
    <col min="23" max="23" width="8" style="2" customWidth="1"/>
    <col min="24" max="24" width="4.85546875" style="2" customWidth="1"/>
    <col min="25" max="25" width="9" style="2" hidden="1" customWidth="1"/>
    <col min="26" max="26" width="4.85546875" style="2" customWidth="1"/>
    <col min="27" max="27" width="9" style="2" hidden="1" customWidth="1"/>
    <col min="28" max="28" width="4.85546875" style="2" customWidth="1"/>
    <col min="29" max="29" width="5.85546875" style="2" customWidth="1"/>
    <col min="30" max="30" width="7" style="2" hidden="1" customWidth="1"/>
    <col min="31" max="31" width="6.140625" style="2" hidden="1" customWidth="1"/>
    <col min="32" max="32" width="8" style="2" hidden="1" customWidth="1"/>
    <col min="33" max="33" width="4.85546875" style="2" hidden="1" customWidth="1"/>
    <col min="34" max="35" width="7" style="2" hidden="1" customWidth="1"/>
    <col min="36" max="36" width="8.7109375" style="2" hidden="1" customWidth="1"/>
    <col min="37" max="37" width="6.5703125" style="2" customWidth="1"/>
    <col min="38" max="38" width="4.140625" style="2" customWidth="1"/>
    <col min="39" max="41" width="9.140625" style="2" hidden="1" customWidth="1"/>
    <col min="42" max="42" width="4.140625" style="2" customWidth="1"/>
    <col min="43" max="43" width="4" style="83" hidden="1" customWidth="1"/>
    <col min="44" max="45" width="7.7109375" customWidth="1"/>
    <col min="46" max="46" width="13.140625" bestFit="1" customWidth="1"/>
    <col min="47" max="48" width="7" style="2" customWidth="1"/>
    <col min="50" max="50" width="9.140625" hidden="1" customWidth="1"/>
    <col min="51" max="52" width="9.140625" style="62" hidden="1" customWidth="1"/>
    <col min="53" max="53" width="27.7109375" customWidth="1"/>
  </cols>
  <sheetData>
    <row r="1" spans="1:53" ht="15.75" hidden="1" customHeight="1" x14ac:dyDescent="0.25">
      <c r="C1">
        <v>1</v>
      </c>
      <c r="D1">
        <f>C1+1</f>
        <v>2</v>
      </c>
      <c r="E1">
        <f t="shared" ref="E1:AW1" si="0">D1+1</f>
        <v>3</v>
      </c>
      <c r="F1">
        <f t="shared" si="0"/>
        <v>4</v>
      </c>
      <c r="G1">
        <f t="shared" si="0"/>
        <v>5</v>
      </c>
      <c r="H1">
        <f t="shared" si="0"/>
        <v>6</v>
      </c>
      <c r="I1">
        <f t="shared" si="0"/>
        <v>7</v>
      </c>
      <c r="J1">
        <f t="shared" si="0"/>
        <v>8</v>
      </c>
      <c r="K1">
        <f t="shared" si="0"/>
        <v>9</v>
      </c>
      <c r="L1">
        <f t="shared" si="0"/>
        <v>10</v>
      </c>
      <c r="M1">
        <f t="shared" si="0"/>
        <v>11</v>
      </c>
      <c r="N1">
        <f t="shared" si="0"/>
        <v>12</v>
      </c>
      <c r="O1">
        <f t="shared" si="0"/>
        <v>13</v>
      </c>
      <c r="P1">
        <f t="shared" si="0"/>
        <v>14</v>
      </c>
      <c r="Q1">
        <f t="shared" si="0"/>
        <v>15</v>
      </c>
      <c r="R1">
        <f t="shared" si="0"/>
        <v>16</v>
      </c>
      <c r="S1">
        <f t="shared" si="0"/>
        <v>17</v>
      </c>
      <c r="T1">
        <f t="shared" si="0"/>
        <v>18</v>
      </c>
      <c r="U1">
        <f t="shared" si="0"/>
        <v>19</v>
      </c>
      <c r="V1">
        <f t="shared" si="0"/>
        <v>20</v>
      </c>
      <c r="W1">
        <f t="shared" si="0"/>
        <v>21</v>
      </c>
      <c r="X1">
        <f t="shared" si="0"/>
        <v>22</v>
      </c>
      <c r="Y1">
        <f t="shared" si="0"/>
        <v>23</v>
      </c>
      <c r="Z1">
        <f t="shared" si="0"/>
        <v>24</v>
      </c>
      <c r="AA1">
        <f t="shared" si="0"/>
        <v>25</v>
      </c>
      <c r="AB1">
        <f t="shared" si="0"/>
        <v>26</v>
      </c>
      <c r="AC1">
        <f t="shared" si="0"/>
        <v>27</v>
      </c>
      <c r="AD1">
        <f t="shared" si="0"/>
        <v>28</v>
      </c>
      <c r="AE1">
        <f t="shared" si="0"/>
        <v>29</v>
      </c>
      <c r="AF1">
        <f t="shared" si="0"/>
        <v>30</v>
      </c>
      <c r="AG1">
        <f t="shared" si="0"/>
        <v>31</v>
      </c>
      <c r="AH1">
        <f t="shared" si="0"/>
        <v>32</v>
      </c>
      <c r="AI1">
        <f t="shared" si="0"/>
        <v>33</v>
      </c>
      <c r="AJ1">
        <f t="shared" si="0"/>
        <v>34</v>
      </c>
      <c r="AK1">
        <f t="shared" si="0"/>
        <v>35</v>
      </c>
      <c r="AL1">
        <f t="shared" si="0"/>
        <v>36</v>
      </c>
      <c r="AM1">
        <f t="shared" si="0"/>
        <v>37</v>
      </c>
      <c r="AN1">
        <f t="shared" si="0"/>
        <v>38</v>
      </c>
      <c r="AO1">
        <f t="shared" si="0"/>
        <v>39</v>
      </c>
      <c r="AP1">
        <f t="shared" si="0"/>
        <v>40</v>
      </c>
      <c r="AQ1"/>
      <c r="AR1">
        <f t="shared" si="0"/>
        <v>1</v>
      </c>
      <c r="AS1">
        <f t="shared" si="0"/>
        <v>2</v>
      </c>
      <c r="AT1">
        <f t="shared" si="0"/>
        <v>3</v>
      </c>
      <c r="AU1">
        <f t="shared" si="0"/>
        <v>4</v>
      </c>
      <c r="AV1">
        <f t="shared" si="0"/>
        <v>5</v>
      </c>
      <c r="AW1">
        <f t="shared" si="0"/>
        <v>6</v>
      </c>
    </row>
    <row r="2" spans="1:53" s="9" customFormat="1" ht="12.75" x14ac:dyDescent="0.2">
      <c r="A2" s="9" t="s">
        <v>624</v>
      </c>
      <c r="C2" s="9">
        <f>TrialNumber</f>
        <v>0</v>
      </c>
      <c r="D2" s="10"/>
      <c r="E2" s="10"/>
      <c r="G2" s="10" t="s">
        <v>3505</v>
      </c>
      <c r="H2" s="398">
        <f>TrialVenue</f>
        <v>0</v>
      </c>
      <c r="I2" s="398"/>
      <c r="J2" s="398"/>
      <c r="K2" s="398"/>
      <c r="L2" s="398"/>
      <c r="M2" s="398"/>
      <c r="N2" s="398"/>
      <c r="O2" s="398"/>
      <c r="Q2" s="10"/>
      <c r="R2" s="10"/>
      <c r="S2" s="10"/>
      <c r="T2" s="10"/>
      <c r="U2" s="10"/>
      <c r="W2" s="10" t="s">
        <v>10</v>
      </c>
      <c r="X2" s="399" t="str">
        <f>TEXT(TrialDate, "mmm-dd-yyyy")</f>
        <v/>
      </c>
      <c r="Y2" s="399"/>
      <c r="Z2" s="399"/>
      <c r="AA2" s="399"/>
      <c r="AB2" s="399"/>
      <c r="AC2" s="399"/>
      <c r="AD2" s="38"/>
      <c r="AE2" s="10"/>
      <c r="AF2" s="38"/>
      <c r="AG2" s="38"/>
      <c r="AH2" s="38"/>
      <c r="AI2" s="38"/>
      <c r="AJ2" s="38"/>
      <c r="AK2" s="38"/>
      <c r="AL2" s="57"/>
      <c r="AM2" s="57"/>
      <c r="AN2" s="57"/>
      <c r="AO2" s="57"/>
      <c r="AP2" s="57"/>
      <c r="AQ2" s="80"/>
      <c r="AR2" s="404"/>
      <c r="AS2" s="404"/>
      <c r="AT2" s="404"/>
      <c r="AU2" s="404"/>
      <c r="AV2" s="404"/>
      <c r="AW2" s="404"/>
      <c r="AY2" s="60"/>
      <c r="AZ2" s="60"/>
    </row>
    <row r="3" spans="1:53" s="25" customFormat="1" ht="12" x14ac:dyDescent="0.25">
      <c r="A3" s="30"/>
      <c r="B3" s="395" t="s">
        <v>611</v>
      </c>
      <c r="C3" s="396"/>
      <c r="D3" s="397"/>
      <c r="E3" s="31"/>
      <c r="F3" s="395" t="s">
        <v>30</v>
      </c>
      <c r="G3" s="396"/>
      <c r="H3" s="396"/>
      <c r="I3" s="396"/>
      <c r="J3" s="396"/>
      <c r="K3" s="396"/>
      <c r="L3" s="397"/>
      <c r="M3" s="31"/>
      <c r="N3" s="395" t="s">
        <v>31</v>
      </c>
      <c r="O3" s="396"/>
      <c r="P3" s="396"/>
      <c r="Q3" s="396"/>
      <c r="R3" s="396"/>
      <c r="S3" s="396"/>
      <c r="T3" s="397"/>
      <c r="U3" s="31"/>
      <c r="V3" s="395" t="s">
        <v>32</v>
      </c>
      <c r="W3" s="396"/>
      <c r="X3" s="396"/>
      <c r="Y3" s="396"/>
      <c r="Z3" s="396"/>
      <c r="AA3" s="396"/>
      <c r="AB3" s="397"/>
      <c r="AC3" s="31" t="s">
        <v>2041</v>
      </c>
      <c r="AD3" s="37"/>
      <c r="AE3" s="37"/>
      <c r="AF3" s="31"/>
      <c r="AG3" s="391" t="s">
        <v>651</v>
      </c>
      <c r="AH3" s="392"/>
      <c r="AI3" s="392"/>
      <c r="AJ3" s="392"/>
      <c r="AK3" s="395"/>
      <c r="AL3" s="58"/>
      <c r="AM3" s="58"/>
      <c r="AN3" s="58"/>
      <c r="AO3" s="58"/>
      <c r="AP3" s="58"/>
      <c r="AQ3" s="81"/>
      <c r="AU3" s="58"/>
      <c r="AV3" s="58"/>
      <c r="AY3" s="61"/>
      <c r="AZ3" s="61"/>
    </row>
    <row r="4" spans="1:53" s="3" customFormat="1" ht="42.75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32" t="s">
        <v>660</v>
      </c>
      <c r="F4" s="26" t="s">
        <v>1131</v>
      </c>
      <c r="G4" s="7" t="s">
        <v>602</v>
      </c>
      <c r="H4" s="7" t="s">
        <v>603</v>
      </c>
      <c r="I4" s="24" t="s">
        <v>607</v>
      </c>
      <c r="J4" s="24" t="s">
        <v>618</v>
      </c>
      <c r="K4" s="24" t="s">
        <v>601</v>
      </c>
      <c r="L4" s="28" t="s">
        <v>621</v>
      </c>
      <c r="M4" s="33" t="s">
        <v>661</v>
      </c>
      <c r="N4" s="26" t="s">
        <v>1134</v>
      </c>
      <c r="O4" s="7" t="s">
        <v>606</v>
      </c>
      <c r="P4" s="7" t="s">
        <v>610</v>
      </c>
      <c r="Q4" s="24" t="s">
        <v>608</v>
      </c>
      <c r="R4" s="24" t="s">
        <v>619</v>
      </c>
      <c r="S4" s="24" t="s">
        <v>609</v>
      </c>
      <c r="T4" s="28" t="s">
        <v>622</v>
      </c>
      <c r="U4" s="33" t="s">
        <v>662</v>
      </c>
      <c r="V4" s="26" t="s">
        <v>1133</v>
      </c>
      <c r="W4" s="7" t="s">
        <v>615</v>
      </c>
      <c r="X4" s="7" t="s">
        <v>617</v>
      </c>
      <c r="Y4" s="24" t="s">
        <v>613</v>
      </c>
      <c r="Z4" s="24" t="s">
        <v>620</v>
      </c>
      <c r="AA4" s="24" t="s">
        <v>614</v>
      </c>
      <c r="AB4" s="28" t="s">
        <v>623</v>
      </c>
      <c r="AC4" s="34" t="s">
        <v>616</v>
      </c>
      <c r="AD4" s="26" t="s">
        <v>654</v>
      </c>
      <c r="AE4" s="7" t="s">
        <v>655</v>
      </c>
      <c r="AF4" s="34" t="s">
        <v>650</v>
      </c>
      <c r="AG4" s="32" t="s">
        <v>653</v>
      </c>
      <c r="AH4" s="26" t="s">
        <v>656</v>
      </c>
      <c r="AI4" s="7" t="s">
        <v>657</v>
      </c>
      <c r="AJ4" s="26" t="s">
        <v>658</v>
      </c>
      <c r="AK4" s="26" t="s">
        <v>652</v>
      </c>
      <c r="AL4" s="59" t="s">
        <v>2048</v>
      </c>
      <c r="AM4" s="59" t="s">
        <v>1075</v>
      </c>
      <c r="AN4" s="59" t="s">
        <v>1076</v>
      </c>
      <c r="AO4" s="59" t="s">
        <v>1077</v>
      </c>
      <c r="AP4" s="59" t="s">
        <v>2049</v>
      </c>
      <c r="AQ4" s="82"/>
      <c r="AR4" s="59" t="s">
        <v>1286</v>
      </c>
      <c r="AS4" s="59" t="s">
        <v>1287</v>
      </c>
      <c r="AT4" s="3" t="s">
        <v>1137</v>
      </c>
      <c r="AU4" s="59" t="s">
        <v>1145</v>
      </c>
      <c r="AV4" s="59" t="s">
        <v>1146</v>
      </c>
      <c r="AW4" s="3" t="s">
        <v>1147</v>
      </c>
      <c r="AY4" s="63" t="s">
        <v>1172</v>
      </c>
      <c r="AZ4" s="63" t="s">
        <v>1173</v>
      </c>
      <c r="BA4" s="3" t="s">
        <v>1561</v>
      </c>
    </row>
    <row r="5" spans="1:53" x14ac:dyDescent="0.25">
      <c r="A5" s="99">
        <v>1</v>
      </c>
      <c r="B5" s="89" t="s">
        <v>3255</v>
      </c>
      <c r="C5" s="101"/>
      <c r="D5" s="102" t="str">
        <f>IF($C5="","",VLOOKUP($C5,'SDDA Dogs'!$A:$F,2,FALSE))</f>
        <v/>
      </c>
      <c r="E5" s="103" t="str">
        <f>IF($C5="","",VLOOKUP($C5,'SDDA Dogs'!$A:$O,13,FALSE))</f>
        <v/>
      </c>
      <c r="F5" s="137"/>
      <c r="G5" s="217"/>
      <c r="H5" s="84" t="str">
        <f>IF(OR(F5="",F5="NE",F5="e",F5="feo"),"",(IF(F5&gt;=30,"Pass","Fail")))</f>
        <v/>
      </c>
      <c r="I5" s="105">
        <f t="shared" ref="I5:I34" si="1">IF(OR(AND($H5="Pass",$B5="A"),AND($H5="Fail",UseFail="Y",$B5="A")),$F5,0)+IF(OR(AND($H5="Pass",$B5="A"),AND($H5="Fail",UseFail="Y",$B5="A")),(MaxTmCSL-VALUE($G5)),0)</f>
        <v>0</v>
      </c>
      <c r="J5" s="84" t="str">
        <f>IF(AND($B5="A",$F5&lt;&gt;0,$G5&lt;&gt;0,I5&lt;&gt;0),(RANK(I5,I$5:I$34,0)),"")</f>
        <v/>
      </c>
      <c r="K5" s="105">
        <f t="shared" ref="K5:K34" si="2">IF(OR(AND($H5="Pass",$B5="W"),AND($H5="Fail",UseFail="Y",$B5="W")),$F5,0)+IF(OR(AND($H5="Pass",$B5="W"),AND($H5="Fail",UseFail="Y",$B5="W")),(MaxTmCSL-VALUE($G5)),0)</f>
        <v>0</v>
      </c>
      <c r="L5" s="84" t="str">
        <f>IF(AND($B5="W",$F5&lt;&gt;0,$G5&lt;&gt;0,K5&lt;&gt;0),(RANK(K5,K$5:K$34,0)),"")</f>
        <v/>
      </c>
      <c r="M5" s="106" t="str">
        <f>IF($C5="","",VLOOKUP($C5,'SDDA Dogs'!$A:$O,14,FALSE))</f>
        <v/>
      </c>
      <c r="N5" s="137"/>
      <c r="O5" s="217"/>
      <c r="P5" s="84" t="str">
        <f>IF(OR(N5="",N5="NE",N5="e",N5="feo"),"",(IF(N5&gt;=40,"Pass","Fail")))</f>
        <v/>
      </c>
      <c r="Q5" s="105">
        <f t="shared" ref="Q5:Q34" si="3">IF(OR(AND($P5="Pass",$B5="A"),AND($P5="Fail",UseFail="Y",$B5="A")),$N5,0)+IF(OR(AND($P5="Pass",$B5="A"),AND($P5="Fail",UseFail="Y",$B5="A")),(MaxTmISL-VALUE($O5)),0)</f>
        <v>0</v>
      </c>
      <c r="R5" s="84" t="str">
        <f>IF(AND($B5="A",$N5&lt;&gt;0,$O5&lt;&gt;0,Q5&lt;&gt;0),(RANK(Q5,Q$5:Q$34,0)),"")</f>
        <v/>
      </c>
      <c r="S5" s="105">
        <f t="shared" ref="S5:S34" si="4">IF(OR(AND($P5="Pass",$B5="W"),AND($P5="Fail",UseFail="Y",$B5="W")),$N5,0)+IF(OR(AND($P5="Pass",$B5="W"),AND($P5="Fail",UseFail="Y",$B5="W")),(MaxTmISL-VALUE($O5)),0)</f>
        <v>0</v>
      </c>
      <c r="T5" s="84" t="str">
        <f>IF(AND($B5="w",$N5&lt;&gt;0,$O5&lt;&gt;0,S5&lt;&gt;0),(RANK(S5,S$5:S$34,0)),"")</f>
        <v/>
      </c>
      <c r="U5" s="106" t="str">
        <f>IF($C5="","",VLOOKUP($C5,'SDDA Dogs'!$A:$O,15,FALSE))</f>
        <v/>
      </c>
      <c r="V5" s="137"/>
      <c r="W5" s="217"/>
      <c r="X5" s="84" t="str">
        <f>IF(OR(V5="",V5="NE",V5="e",V5="feo"),"",(IF(V5&gt;=30,"Pass","Fail")))</f>
        <v/>
      </c>
      <c r="Y5" s="105">
        <f t="shared" ref="Y5:Y34" si="5">IF(OR(AND($X5="Pass",$B5="A"),AND($X5="Fail",UseFail="Y",$B5="A")),$V5,0)+IF(OR(AND($X5="Pass",$B5="A"),AND($X5="Fail",UseFail="Y",$B5="A")),(MaxTmESL-VALUE($W5)),0)</f>
        <v>0</v>
      </c>
      <c r="Z5" s="84" t="str">
        <f>IF(AND($B5="A",$V5&lt;&gt;0,$W5&lt;&gt;0,Y5&lt;&gt;0),(RANK(Y5,Y$5:Y$34,0)),"")</f>
        <v/>
      </c>
      <c r="AA5" s="105">
        <f t="shared" ref="AA5:AA34" si="6">IF(OR(AND($X5="Pass",$B5="w"),AND($X5="Fail",UseFail="Y",$B5="w")),$V5,0)+IF(OR(AND($X5="Pass",$B5="w"),AND($X5="Fail",UseFail="Y",$B5="w")),(MaxTmESL-VALUE($W5)),0)</f>
        <v>0</v>
      </c>
      <c r="AB5" s="84" t="str">
        <f>IF(AND($B5="w",$V5&lt;&gt;0,$W5&lt;&gt;0,AA5&lt;&gt;0),(RANK(AA5,AA$5:AA$34,0)),"")</f>
        <v/>
      </c>
      <c r="AC5" s="92" t="str">
        <f t="shared" ref="AC5:AC34" si="7">IF(H5="Pass",IF(P5="Pass",IF(X5="Pass",F5+N5+V5,""),""),"")</f>
        <v/>
      </c>
      <c r="AD5" s="89" t="str">
        <f>IF(AND(ISNUMBER($J5),ISNUMBER($R5),ISNUMBER($Z5))=TRUE,$F5+$N5+$V5,"")</f>
        <v/>
      </c>
      <c r="AE5" s="104" t="str">
        <f>IF(AND(ISNUMBER($J5),ISNUMBER($R5),ISNUMBER($Z5))=TRUE,$G5+$O5+$W5,"")</f>
        <v/>
      </c>
      <c r="AF5" s="107" t="str">
        <f>IF(ISNUMBER(AD5),(RANK(AD5,AD$5:AD$34,0)*10)+RANK(AE5,AE$5:AE$34,1),"")</f>
        <v/>
      </c>
      <c r="AG5" s="92" t="str">
        <f>IF(ISNUMBER(AF5),RANK(AF5,AF$5:AF$34,1),"")</f>
        <v/>
      </c>
      <c r="AH5" s="89" t="str">
        <f>IF(AND(ISNUMBER($L5),ISNUMBER($T5),ISNUMBER($AB5))=TRUE,$F5+$N5+$V5,"")</f>
        <v/>
      </c>
      <c r="AI5" s="104" t="str">
        <f>IF(AND(ISNUMBER($L5),ISNUMBER($T5),ISNUMBER($AB5))=TRUE,$G5+$O5+$W5,"")</f>
        <v/>
      </c>
      <c r="AJ5" s="84" t="str">
        <f>IF(ISNUMBER(AH5),(RANK(AH5,AH$5:AH$34,0)*10)+RANK(AI5,AI$5:AI$34,1),"")</f>
        <v/>
      </c>
      <c r="AK5" s="108" t="str">
        <f>IF(ISNUMBER(AJ5),RANK(AJ5,AJ$5:AJ$34,1),"")</f>
        <v/>
      </c>
      <c r="AL5" s="89">
        <f>IFERROR(VLOOKUP(C5 &amp; "-Elite",DogInfo!A:B,2,FALSE),0)</f>
        <v>0</v>
      </c>
      <c r="AM5" s="84" t="str">
        <f t="shared" ref="AM5:AM34" si="8">IF(H5="Pass",E5+1,E5)</f>
        <v/>
      </c>
      <c r="AN5" s="84" t="str">
        <f t="shared" ref="AN5:AN34" si="9">IF(P5="Pass", M5+1,M5)</f>
        <v/>
      </c>
      <c r="AO5" s="84" t="str">
        <f t="shared" ref="AO5:AO34" si="10">IF(X5="Pass",U5+1,U5)</f>
        <v/>
      </c>
      <c r="AP5" s="84">
        <f>IF(AND(H5="pass",P5="Pass",X5="Pass"),AL5+1,AL5)</f>
        <v>0</v>
      </c>
      <c r="AQ5" s="115"/>
      <c r="AR5" s="47"/>
      <c r="AS5" s="47"/>
      <c r="AT5" s="47" t="str">
        <f>IF(ISERROR(VLOOKUP(C5,'SDDA Dogs'!A:O,6,FALSE)),"",VLOOKUP(C5,'SDDA Dogs'!A:O,6,FALSE))</f>
        <v/>
      </c>
      <c r="AU5" s="57">
        <f t="shared" ref="AU5:AU34" si="11">IF(OR(ISNUMBER(F5),F5="e"),1,0)+IF(OR(ISNUMBER(N5),N5="e"),1,0)+IF(OR(ISNUMBER(V5),V5="e"),1,0)</f>
        <v>0</v>
      </c>
      <c r="AV5" s="57">
        <f t="shared" ref="AV5:AV34" si="12">IF(F5="FEO",1,0)+IF(N5="FEO",1,0)+IF(V5="FEO",1,0)</f>
        <v>0</v>
      </c>
      <c r="AW5" s="56">
        <f t="shared" ref="AW5:AW34" si="13">((AU5*TrialFeeElite)+(AV5*FeoFeeElite))/3</f>
        <v>0</v>
      </c>
      <c r="AY5" s="60">
        <f t="shared" ref="AY5" si="14">IF(ISNUMBER(AC5),AC5/((MinScoreCSA + MinScoreISA + MinScoreESA)*2),0)</f>
        <v>0</v>
      </c>
      <c r="AZ5" s="60">
        <f t="shared" ref="AZ5:AZ34" si="15">IF(ISNUMBER(AC5),(G5+O5+W5)/(MaxTmCSL+MaxTmESL+MaxTmISL),0)</f>
        <v>0</v>
      </c>
      <c r="BA5" s="114"/>
    </row>
    <row r="6" spans="1:53" x14ac:dyDescent="0.25">
      <c r="A6" s="99">
        <v>2</v>
      </c>
      <c r="B6" s="89" t="s">
        <v>3255</v>
      </c>
      <c r="C6" s="101"/>
      <c r="D6" s="102" t="str">
        <f>IF($C6="","",VLOOKUP($C6,'SDDA Dogs'!$A:$F,2,FALSE))</f>
        <v/>
      </c>
      <c r="E6" s="103" t="str">
        <f>IF($C6="","",VLOOKUP($C6,'SDDA Dogs'!$A:$O,13,FALSE))</f>
        <v/>
      </c>
      <c r="F6" s="137"/>
      <c r="G6" s="217"/>
      <c r="H6" s="84" t="str">
        <f t="shared" ref="H6:H34" si="16">IF(OR(F6="",F6="NE",F6="e",F6="feo"),"",(IF(F6&gt;=30,"Pass","Fail")))</f>
        <v/>
      </c>
      <c r="I6" s="105">
        <f t="shared" si="1"/>
        <v>0</v>
      </c>
      <c r="J6" s="84" t="str">
        <f t="shared" ref="J6:J34" si="17">IF(AND($B6="A",$F6&lt;&gt;0,$G6&lt;&gt;0,I6&lt;&gt;0),(RANK(I6,I$5:I$34,0)),"")</f>
        <v/>
      </c>
      <c r="K6" s="105">
        <f t="shared" si="2"/>
        <v>0</v>
      </c>
      <c r="L6" s="84" t="str">
        <f t="shared" ref="L6:L34" si="18">IF(AND($B6="W",$F6&lt;&gt;0,$G6&lt;&gt;0,K6&lt;&gt;0),(RANK(K6,K$5:K$34,0)),"")</f>
        <v/>
      </c>
      <c r="M6" s="106" t="str">
        <f>IF($C6="","",VLOOKUP($C6,'SDDA Dogs'!$A:$O,14,FALSE))</f>
        <v/>
      </c>
      <c r="N6" s="137"/>
      <c r="O6" s="217"/>
      <c r="P6" s="84" t="str">
        <f t="shared" ref="P6:P34" si="19">IF(OR(N6="",N6="NE",N6="e",N6="feo"),"",(IF(N6&gt;=40,"Pass","Fail")))</f>
        <v/>
      </c>
      <c r="Q6" s="105">
        <f t="shared" si="3"/>
        <v>0</v>
      </c>
      <c r="R6" s="84" t="str">
        <f t="shared" ref="R6:R34" si="20">IF(AND($B6="A",$N6&lt;&gt;0,$O6&lt;&gt;0,Q6&lt;&gt;0),(RANK(Q6,Q$5:Q$34,0)),"")</f>
        <v/>
      </c>
      <c r="S6" s="105">
        <f t="shared" si="4"/>
        <v>0</v>
      </c>
      <c r="T6" s="84" t="str">
        <f t="shared" ref="T6:T34" si="21">IF(AND($B6="w",$N6&lt;&gt;0,$O6&lt;&gt;0,S6&lt;&gt;0),(RANK(S6,S$5:S$34,0)),"")</f>
        <v/>
      </c>
      <c r="U6" s="106" t="str">
        <f>IF($C6="","",VLOOKUP($C6,'SDDA Dogs'!$A:$O,15,FALSE))</f>
        <v/>
      </c>
      <c r="V6" s="137"/>
      <c r="W6" s="217"/>
      <c r="X6" s="84" t="str">
        <f t="shared" ref="X6:X34" si="22">IF(OR(V6="",V6="NE",V6="e",V6="feo"),"",(IF(V6&gt;=30,"Pass","Fail")))</f>
        <v/>
      </c>
      <c r="Y6" s="105">
        <f t="shared" si="5"/>
        <v>0</v>
      </c>
      <c r="Z6" s="84" t="str">
        <f t="shared" ref="Z6:Z34" si="23">IF(AND($B6="A",$V6&lt;&gt;0,$W6&lt;&gt;0,Y6&lt;&gt;0),(RANK(Y6,Y$5:Y$34,0)),"")</f>
        <v/>
      </c>
      <c r="AA6" s="105">
        <f t="shared" si="6"/>
        <v>0</v>
      </c>
      <c r="AB6" s="84" t="str">
        <f t="shared" ref="AB6:AB34" si="24">IF(AND($B6="w",$V6&lt;&gt;0,$W6&lt;&gt;0,AA6&lt;&gt;0),(RANK(AA6,AA$5:AA$34,0)),"")</f>
        <v/>
      </c>
      <c r="AC6" s="92" t="str">
        <f t="shared" si="7"/>
        <v/>
      </c>
      <c r="AD6" s="89" t="str">
        <f t="shared" ref="AD6:AD34" si="25">IF(AND(ISNUMBER($J6),ISNUMBER($R6),ISNUMBER($Z6))=TRUE,$F6+$N6+$V6,"")</f>
        <v/>
      </c>
      <c r="AE6" s="104" t="str">
        <f t="shared" ref="AE6:AE34" si="26">IF(AND(ISNUMBER($J6),ISNUMBER($R6),ISNUMBER($Z6))=TRUE,$G6+$O6+$W6,"")</f>
        <v/>
      </c>
      <c r="AF6" s="107" t="str">
        <f t="shared" ref="AF6:AF34" si="27">IF(ISNUMBER(AD6),(RANK(AD6,AD$5:AD$34,0)*10)+RANK(AE6,AE$5:AE$34,1),"")</f>
        <v/>
      </c>
      <c r="AG6" s="92" t="str">
        <f>IF(ISNUMBER(AF6),RANK(AF6,AF$5:AF$34,1),"")</f>
        <v/>
      </c>
      <c r="AH6" s="89" t="str">
        <f t="shared" ref="AH6:AH34" si="28">IF(AND(ISNUMBER($L6),ISNUMBER($T6),ISNUMBER($AB6))=TRUE,$F6+$N6+$V6,"")</f>
        <v/>
      </c>
      <c r="AI6" s="104" t="str">
        <f t="shared" ref="AI6:AI34" si="29">IF(AND(ISNUMBER($L6),ISNUMBER($T6),ISNUMBER($AB6))=TRUE,$G6+$O6+$W6,"")</f>
        <v/>
      </c>
      <c r="AJ6" s="84" t="str">
        <f t="shared" ref="AJ6:AJ34" si="30">IF(ISNUMBER(AH6),(RANK(AH6,AH$5:AH$34,0)*10)+RANK(AI6,AI$5:AI$34,1),"")</f>
        <v/>
      </c>
      <c r="AK6" s="108" t="str">
        <f t="shared" ref="AK6:AK34" si="31">IF(ISNUMBER(AJ6),RANK(AJ6,AJ$5:AJ$34,1),"")</f>
        <v/>
      </c>
      <c r="AL6" s="89">
        <f>IFERROR(VLOOKUP(C6 &amp; "-Elite",DogInfo!A:B,2,FALSE),0)</f>
        <v>0</v>
      </c>
      <c r="AM6" s="84" t="str">
        <f t="shared" si="8"/>
        <v/>
      </c>
      <c r="AN6" s="84" t="str">
        <f t="shared" si="9"/>
        <v/>
      </c>
      <c r="AO6" s="84" t="str">
        <f t="shared" si="10"/>
        <v/>
      </c>
      <c r="AP6" s="84">
        <f t="shared" ref="AP6:AP34" si="32">IF(AND(H6="pass",P6="Pass",X6="Pass"),AL6+1,AL6)</f>
        <v>0</v>
      </c>
      <c r="AQ6" s="115"/>
      <c r="AR6" s="47"/>
      <c r="AS6" s="47"/>
      <c r="AT6" s="47" t="str">
        <f>IF(ISERROR(VLOOKUP(C6,'SDDA Dogs'!A:O,6,FALSE)),"",VLOOKUP(C6,'SDDA Dogs'!A:O,6,FALSE))</f>
        <v/>
      </c>
      <c r="AU6" s="57">
        <f t="shared" si="11"/>
        <v>0</v>
      </c>
      <c r="AV6" s="57">
        <f t="shared" si="12"/>
        <v>0</v>
      </c>
      <c r="AW6" s="56">
        <f t="shared" si="13"/>
        <v>0</v>
      </c>
      <c r="AY6" s="60">
        <f t="shared" ref="AY6:AY34" si="33">IF(ISNUMBER(AC6),AC6/((MinScoreCSA + MinScoreISA + MinScoreESA)*2),0)</f>
        <v>0</v>
      </c>
      <c r="AZ6" s="60">
        <f t="shared" si="15"/>
        <v>0</v>
      </c>
      <c r="BA6" s="114"/>
    </row>
    <row r="7" spans="1:53" x14ac:dyDescent="0.25">
      <c r="A7" s="99">
        <v>3</v>
      </c>
      <c r="B7" s="89" t="s">
        <v>3255</v>
      </c>
      <c r="C7" s="101"/>
      <c r="D7" s="102" t="str">
        <f>IF($C7="","",VLOOKUP($C7,'SDDA Dogs'!$A:$F,2,FALSE))</f>
        <v/>
      </c>
      <c r="E7" s="103" t="str">
        <f>IF($C7="","",VLOOKUP($C7,'SDDA Dogs'!$A:$O,13,FALSE))</f>
        <v/>
      </c>
      <c r="F7" s="137"/>
      <c r="G7" s="217"/>
      <c r="H7" s="84" t="str">
        <f t="shared" si="16"/>
        <v/>
      </c>
      <c r="I7" s="105">
        <f t="shared" si="1"/>
        <v>0</v>
      </c>
      <c r="J7" s="84" t="str">
        <f t="shared" si="17"/>
        <v/>
      </c>
      <c r="K7" s="105">
        <f t="shared" si="2"/>
        <v>0</v>
      </c>
      <c r="L7" s="84" t="str">
        <f t="shared" si="18"/>
        <v/>
      </c>
      <c r="M7" s="106" t="str">
        <f>IF($C7="","",VLOOKUP($C7,'SDDA Dogs'!$A:$O,14,FALSE))</f>
        <v/>
      </c>
      <c r="N7" s="137"/>
      <c r="O7" s="217"/>
      <c r="P7" s="84" t="str">
        <f t="shared" si="19"/>
        <v/>
      </c>
      <c r="Q7" s="105">
        <f t="shared" si="3"/>
        <v>0</v>
      </c>
      <c r="R7" s="84" t="str">
        <f t="shared" si="20"/>
        <v/>
      </c>
      <c r="S7" s="105">
        <f t="shared" si="4"/>
        <v>0</v>
      </c>
      <c r="T7" s="84" t="str">
        <f t="shared" si="21"/>
        <v/>
      </c>
      <c r="U7" s="106" t="str">
        <f>IF($C7="","",VLOOKUP($C7,'SDDA Dogs'!$A:$O,15,FALSE))</f>
        <v/>
      </c>
      <c r="V7" s="137"/>
      <c r="W7" s="217"/>
      <c r="X7" s="84" t="str">
        <f t="shared" si="22"/>
        <v/>
      </c>
      <c r="Y7" s="105">
        <f t="shared" si="5"/>
        <v>0</v>
      </c>
      <c r="Z7" s="84" t="str">
        <f t="shared" si="23"/>
        <v/>
      </c>
      <c r="AA7" s="105">
        <f t="shared" si="6"/>
        <v>0</v>
      </c>
      <c r="AB7" s="84" t="str">
        <f t="shared" si="24"/>
        <v/>
      </c>
      <c r="AC7" s="92" t="str">
        <f t="shared" si="7"/>
        <v/>
      </c>
      <c r="AD7" s="89" t="str">
        <f t="shared" si="25"/>
        <v/>
      </c>
      <c r="AE7" s="104" t="str">
        <f t="shared" si="26"/>
        <v/>
      </c>
      <c r="AF7" s="107" t="str">
        <f t="shared" si="27"/>
        <v/>
      </c>
      <c r="AG7" s="92" t="str">
        <f t="shared" ref="AG7:AG34" si="34">IF(ISNUMBER(AF7),RANK(AF7,AF$5:AF$34,1),"")</f>
        <v/>
      </c>
      <c r="AH7" s="89" t="str">
        <f t="shared" si="28"/>
        <v/>
      </c>
      <c r="AI7" s="104" t="str">
        <f t="shared" si="29"/>
        <v/>
      </c>
      <c r="AJ7" s="84" t="str">
        <f t="shared" si="30"/>
        <v/>
      </c>
      <c r="AK7" s="108" t="str">
        <f t="shared" si="31"/>
        <v/>
      </c>
      <c r="AL7" s="89">
        <f>IFERROR(VLOOKUP(C7 &amp; "-Elite",DogInfo!A:B,2,FALSE),0)</f>
        <v>0</v>
      </c>
      <c r="AM7" s="84" t="str">
        <f t="shared" si="8"/>
        <v/>
      </c>
      <c r="AN7" s="84" t="str">
        <f t="shared" si="9"/>
        <v/>
      </c>
      <c r="AO7" s="84" t="str">
        <f t="shared" si="10"/>
        <v/>
      </c>
      <c r="AP7" s="84">
        <f t="shared" si="32"/>
        <v>0</v>
      </c>
      <c r="AQ7" s="115"/>
      <c r="AR7" s="47"/>
      <c r="AS7" s="47"/>
      <c r="AT7" s="47" t="str">
        <f>IF(ISERROR(VLOOKUP(C7,'SDDA Dogs'!A:O,6,FALSE)),"",VLOOKUP(C7,'SDDA Dogs'!A:O,6,FALSE))</f>
        <v/>
      </c>
      <c r="AU7" s="57">
        <f t="shared" si="11"/>
        <v>0</v>
      </c>
      <c r="AV7" s="57">
        <f t="shared" si="12"/>
        <v>0</v>
      </c>
      <c r="AW7" s="56">
        <f t="shared" si="13"/>
        <v>0</v>
      </c>
      <c r="AY7" s="60">
        <f t="shared" si="33"/>
        <v>0</v>
      </c>
      <c r="AZ7" s="60">
        <f t="shared" si="15"/>
        <v>0</v>
      </c>
      <c r="BA7" s="114"/>
    </row>
    <row r="8" spans="1:53" x14ac:dyDescent="0.25">
      <c r="A8" s="99">
        <v>4</v>
      </c>
      <c r="B8" s="89" t="s">
        <v>3255</v>
      </c>
      <c r="C8" s="101"/>
      <c r="D8" s="102" t="str">
        <f>IF($C8="","",VLOOKUP($C8,'SDDA Dogs'!$A:$F,2,FALSE))</f>
        <v/>
      </c>
      <c r="E8" s="103" t="str">
        <f>IF($C8="","",VLOOKUP($C8,'SDDA Dogs'!$A:$O,13,FALSE))</f>
        <v/>
      </c>
      <c r="F8" s="137"/>
      <c r="G8" s="217"/>
      <c r="H8" s="84" t="str">
        <f t="shared" si="16"/>
        <v/>
      </c>
      <c r="I8" s="105">
        <f t="shared" si="1"/>
        <v>0</v>
      </c>
      <c r="J8" s="84" t="str">
        <f t="shared" si="17"/>
        <v/>
      </c>
      <c r="K8" s="105">
        <f t="shared" si="2"/>
        <v>0</v>
      </c>
      <c r="L8" s="84" t="str">
        <f t="shared" si="18"/>
        <v/>
      </c>
      <c r="M8" s="106" t="str">
        <f>IF($C8="","",VLOOKUP($C8,'SDDA Dogs'!$A:$O,14,FALSE))</f>
        <v/>
      </c>
      <c r="N8" s="137"/>
      <c r="O8" s="217"/>
      <c r="P8" s="84" t="str">
        <f t="shared" si="19"/>
        <v/>
      </c>
      <c r="Q8" s="105">
        <f t="shared" si="3"/>
        <v>0</v>
      </c>
      <c r="R8" s="84" t="str">
        <f t="shared" si="20"/>
        <v/>
      </c>
      <c r="S8" s="105">
        <f t="shared" si="4"/>
        <v>0</v>
      </c>
      <c r="T8" s="84" t="str">
        <f t="shared" si="21"/>
        <v/>
      </c>
      <c r="U8" s="106" t="str">
        <f>IF($C8="","",VLOOKUP($C8,'SDDA Dogs'!$A:$O,15,FALSE))</f>
        <v/>
      </c>
      <c r="V8" s="137"/>
      <c r="W8" s="217"/>
      <c r="X8" s="84" t="str">
        <f t="shared" si="22"/>
        <v/>
      </c>
      <c r="Y8" s="105">
        <f t="shared" si="5"/>
        <v>0</v>
      </c>
      <c r="Z8" s="84" t="str">
        <f t="shared" si="23"/>
        <v/>
      </c>
      <c r="AA8" s="105">
        <f t="shared" si="6"/>
        <v>0</v>
      </c>
      <c r="AB8" s="84" t="str">
        <f t="shared" si="24"/>
        <v/>
      </c>
      <c r="AC8" s="92" t="str">
        <f t="shared" si="7"/>
        <v/>
      </c>
      <c r="AD8" s="89" t="str">
        <f t="shared" si="25"/>
        <v/>
      </c>
      <c r="AE8" s="104" t="str">
        <f t="shared" si="26"/>
        <v/>
      </c>
      <c r="AF8" s="107" t="str">
        <f t="shared" si="27"/>
        <v/>
      </c>
      <c r="AG8" s="92" t="str">
        <f t="shared" si="34"/>
        <v/>
      </c>
      <c r="AH8" s="89" t="str">
        <f t="shared" si="28"/>
        <v/>
      </c>
      <c r="AI8" s="104" t="str">
        <f t="shared" si="29"/>
        <v/>
      </c>
      <c r="AJ8" s="84" t="str">
        <f t="shared" si="30"/>
        <v/>
      </c>
      <c r="AK8" s="108" t="str">
        <f t="shared" si="31"/>
        <v/>
      </c>
      <c r="AL8" s="89">
        <f>IFERROR(VLOOKUP(C8 &amp; "-Elite",DogInfo!A:B,2,FALSE),0)</f>
        <v>0</v>
      </c>
      <c r="AM8" s="84" t="str">
        <f t="shared" si="8"/>
        <v/>
      </c>
      <c r="AN8" s="84" t="str">
        <f t="shared" si="9"/>
        <v/>
      </c>
      <c r="AO8" s="84" t="str">
        <f t="shared" si="10"/>
        <v/>
      </c>
      <c r="AP8" s="84">
        <f t="shared" si="32"/>
        <v>0</v>
      </c>
      <c r="AQ8" s="115"/>
      <c r="AR8" s="47"/>
      <c r="AS8" s="47"/>
      <c r="AT8" s="47" t="str">
        <f>IF(ISERROR(VLOOKUP(C8,'SDDA Dogs'!A:O,6,FALSE)),"",VLOOKUP(C8,'SDDA Dogs'!A:O,6,FALSE))</f>
        <v/>
      </c>
      <c r="AU8" s="57">
        <f t="shared" si="11"/>
        <v>0</v>
      </c>
      <c r="AV8" s="57">
        <f t="shared" si="12"/>
        <v>0</v>
      </c>
      <c r="AW8" s="56">
        <f t="shared" si="13"/>
        <v>0</v>
      </c>
      <c r="AY8" s="60">
        <f t="shared" si="33"/>
        <v>0</v>
      </c>
      <c r="AZ8" s="60">
        <f t="shared" si="15"/>
        <v>0</v>
      </c>
      <c r="BA8" s="114"/>
    </row>
    <row r="9" spans="1:53" x14ac:dyDescent="0.25">
      <c r="A9" s="99">
        <v>5</v>
      </c>
      <c r="B9" s="89" t="s">
        <v>3255</v>
      </c>
      <c r="C9" s="101"/>
      <c r="D9" s="102" t="str">
        <f>IF($C9="","",VLOOKUP($C9,'SDDA Dogs'!$A:$F,2,FALSE))</f>
        <v/>
      </c>
      <c r="E9" s="103" t="str">
        <f>IF($C9="","",VLOOKUP($C9,'SDDA Dogs'!$A:$O,13,FALSE))</f>
        <v/>
      </c>
      <c r="F9" s="137"/>
      <c r="G9" s="217"/>
      <c r="H9" s="84" t="str">
        <f t="shared" si="16"/>
        <v/>
      </c>
      <c r="I9" s="105">
        <f t="shared" si="1"/>
        <v>0</v>
      </c>
      <c r="J9" s="84" t="str">
        <f t="shared" si="17"/>
        <v/>
      </c>
      <c r="K9" s="105">
        <f t="shared" si="2"/>
        <v>0</v>
      </c>
      <c r="L9" s="84" t="str">
        <f t="shared" si="18"/>
        <v/>
      </c>
      <c r="M9" s="106" t="str">
        <f>IF($C9="","",VLOOKUP($C9,'SDDA Dogs'!$A:$O,14,FALSE))</f>
        <v/>
      </c>
      <c r="N9" s="137"/>
      <c r="O9" s="217"/>
      <c r="P9" s="84" t="str">
        <f t="shared" si="19"/>
        <v/>
      </c>
      <c r="Q9" s="105">
        <f t="shared" si="3"/>
        <v>0</v>
      </c>
      <c r="R9" s="84" t="str">
        <f t="shared" si="20"/>
        <v/>
      </c>
      <c r="S9" s="105">
        <f t="shared" si="4"/>
        <v>0</v>
      </c>
      <c r="T9" s="84" t="str">
        <f t="shared" si="21"/>
        <v/>
      </c>
      <c r="U9" s="106" t="str">
        <f>IF($C9="","",VLOOKUP($C9,'SDDA Dogs'!$A:$O,15,FALSE))</f>
        <v/>
      </c>
      <c r="V9" s="137"/>
      <c r="W9" s="217"/>
      <c r="X9" s="84" t="str">
        <f t="shared" si="22"/>
        <v/>
      </c>
      <c r="Y9" s="105">
        <f t="shared" si="5"/>
        <v>0</v>
      </c>
      <c r="Z9" s="84" t="str">
        <f t="shared" si="23"/>
        <v/>
      </c>
      <c r="AA9" s="105">
        <f t="shared" si="6"/>
        <v>0</v>
      </c>
      <c r="AB9" s="84" t="str">
        <f t="shared" si="24"/>
        <v/>
      </c>
      <c r="AC9" s="92" t="str">
        <f t="shared" si="7"/>
        <v/>
      </c>
      <c r="AD9" s="89" t="str">
        <f t="shared" si="25"/>
        <v/>
      </c>
      <c r="AE9" s="104" t="str">
        <f t="shared" si="26"/>
        <v/>
      </c>
      <c r="AF9" s="107" t="str">
        <f t="shared" si="27"/>
        <v/>
      </c>
      <c r="AG9" s="92" t="str">
        <f t="shared" si="34"/>
        <v/>
      </c>
      <c r="AH9" s="89" t="str">
        <f t="shared" si="28"/>
        <v/>
      </c>
      <c r="AI9" s="104" t="str">
        <f t="shared" si="29"/>
        <v/>
      </c>
      <c r="AJ9" s="84" t="str">
        <f t="shared" si="30"/>
        <v/>
      </c>
      <c r="AK9" s="99" t="str">
        <f t="shared" si="31"/>
        <v/>
      </c>
      <c r="AL9" s="89">
        <f>IFERROR(VLOOKUP(C9 &amp; "-Elite",DogInfo!A:B,2,FALSE),0)</f>
        <v>0</v>
      </c>
      <c r="AM9" s="84" t="str">
        <f t="shared" si="8"/>
        <v/>
      </c>
      <c r="AN9" s="84" t="str">
        <f t="shared" si="9"/>
        <v/>
      </c>
      <c r="AO9" s="84" t="str">
        <f t="shared" si="10"/>
        <v/>
      </c>
      <c r="AP9" s="84">
        <f t="shared" si="32"/>
        <v>0</v>
      </c>
      <c r="AQ9" s="115"/>
      <c r="AR9" s="47"/>
      <c r="AS9" s="47"/>
      <c r="AT9" s="47" t="str">
        <f>IF(ISERROR(VLOOKUP(C9,'SDDA Dogs'!A:O,6,FALSE)),"",VLOOKUP(C9,'SDDA Dogs'!A:O,6,FALSE))</f>
        <v/>
      </c>
      <c r="AU9" s="57">
        <f t="shared" si="11"/>
        <v>0</v>
      </c>
      <c r="AV9" s="57">
        <f t="shared" si="12"/>
        <v>0</v>
      </c>
      <c r="AW9" s="56">
        <f t="shared" si="13"/>
        <v>0</v>
      </c>
      <c r="AY9" s="60">
        <f t="shared" si="33"/>
        <v>0</v>
      </c>
      <c r="AZ9" s="60">
        <f t="shared" si="15"/>
        <v>0</v>
      </c>
      <c r="BA9" s="114"/>
    </row>
    <row r="10" spans="1:53" x14ac:dyDescent="0.25">
      <c r="A10" s="99">
        <v>6</v>
      </c>
      <c r="B10" s="89" t="s">
        <v>3255</v>
      </c>
      <c r="C10" s="101"/>
      <c r="D10" s="102" t="str">
        <f>IF($C10="","",VLOOKUP($C10,'SDDA Dogs'!$A:$F,2,FALSE))</f>
        <v/>
      </c>
      <c r="E10" s="103" t="str">
        <f>IF($C10="","",VLOOKUP($C10,'SDDA Dogs'!$A:$O,13,FALSE))</f>
        <v/>
      </c>
      <c r="F10" s="137"/>
      <c r="G10" s="217"/>
      <c r="H10" s="84" t="str">
        <f t="shared" si="16"/>
        <v/>
      </c>
      <c r="I10" s="105">
        <f t="shared" si="1"/>
        <v>0</v>
      </c>
      <c r="J10" s="84" t="str">
        <f t="shared" si="17"/>
        <v/>
      </c>
      <c r="K10" s="105">
        <f t="shared" si="2"/>
        <v>0</v>
      </c>
      <c r="L10" s="84" t="str">
        <f t="shared" si="18"/>
        <v/>
      </c>
      <c r="M10" s="106" t="str">
        <f>IF($C10="","",VLOOKUP($C10,'SDDA Dogs'!$A:$O,14,FALSE))</f>
        <v/>
      </c>
      <c r="N10" s="137"/>
      <c r="O10" s="217"/>
      <c r="P10" s="84" t="str">
        <f t="shared" si="19"/>
        <v/>
      </c>
      <c r="Q10" s="105">
        <f t="shared" si="3"/>
        <v>0</v>
      </c>
      <c r="R10" s="84" t="str">
        <f t="shared" si="20"/>
        <v/>
      </c>
      <c r="S10" s="105">
        <f t="shared" si="4"/>
        <v>0</v>
      </c>
      <c r="T10" s="84" t="str">
        <f t="shared" si="21"/>
        <v/>
      </c>
      <c r="U10" s="106" t="str">
        <f>IF($C10="","",VLOOKUP($C10,'SDDA Dogs'!$A:$O,15,FALSE))</f>
        <v/>
      </c>
      <c r="V10" s="137"/>
      <c r="W10" s="217"/>
      <c r="X10" s="84" t="str">
        <f t="shared" si="22"/>
        <v/>
      </c>
      <c r="Y10" s="105">
        <f t="shared" si="5"/>
        <v>0</v>
      </c>
      <c r="Z10" s="84" t="str">
        <f t="shared" si="23"/>
        <v/>
      </c>
      <c r="AA10" s="105">
        <f t="shared" si="6"/>
        <v>0</v>
      </c>
      <c r="AB10" s="84" t="str">
        <f t="shared" si="24"/>
        <v/>
      </c>
      <c r="AC10" s="92" t="str">
        <f t="shared" si="7"/>
        <v/>
      </c>
      <c r="AD10" s="89" t="str">
        <f t="shared" si="25"/>
        <v/>
      </c>
      <c r="AE10" s="104" t="str">
        <f t="shared" si="26"/>
        <v/>
      </c>
      <c r="AF10" s="107" t="str">
        <f t="shared" si="27"/>
        <v/>
      </c>
      <c r="AG10" s="92" t="str">
        <f t="shared" si="34"/>
        <v/>
      </c>
      <c r="AH10" s="89" t="str">
        <f t="shared" si="28"/>
        <v/>
      </c>
      <c r="AI10" s="104" t="str">
        <f t="shared" si="29"/>
        <v/>
      </c>
      <c r="AJ10" s="84" t="str">
        <f t="shared" si="30"/>
        <v/>
      </c>
      <c r="AK10" s="99" t="str">
        <f t="shared" si="31"/>
        <v/>
      </c>
      <c r="AL10" s="89">
        <f>IFERROR(VLOOKUP(C10 &amp; "-Elite",DogInfo!A:B,2,FALSE),0)</f>
        <v>0</v>
      </c>
      <c r="AM10" s="84" t="str">
        <f t="shared" si="8"/>
        <v/>
      </c>
      <c r="AN10" s="84" t="str">
        <f t="shared" si="9"/>
        <v/>
      </c>
      <c r="AO10" s="84" t="str">
        <f t="shared" si="10"/>
        <v/>
      </c>
      <c r="AP10" s="84">
        <f t="shared" si="32"/>
        <v>0</v>
      </c>
      <c r="AQ10" s="115"/>
      <c r="AR10" s="47"/>
      <c r="AS10" s="47"/>
      <c r="AT10" s="47" t="str">
        <f>IF(ISERROR(VLOOKUP(C10,'SDDA Dogs'!A:O,6,FALSE)),"",VLOOKUP(C10,'SDDA Dogs'!A:O,6,FALSE))</f>
        <v/>
      </c>
      <c r="AU10" s="57">
        <f t="shared" si="11"/>
        <v>0</v>
      </c>
      <c r="AV10" s="57">
        <f t="shared" si="12"/>
        <v>0</v>
      </c>
      <c r="AW10" s="56">
        <f t="shared" si="13"/>
        <v>0</v>
      </c>
      <c r="AY10" s="60">
        <f t="shared" si="33"/>
        <v>0</v>
      </c>
      <c r="AZ10" s="60">
        <f t="shared" si="15"/>
        <v>0</v>
      </c>
      <c r="BA10" s="114"/>
    </row>
    <row r="11" spans="1:53" x14ac:dyDescent="0.25">
      <c r="A11" s="99">
        <v>7</v>
      </c>
      <c r="B11" s="89" t="s">
        <v>3255</v>
      </c>
      <c r="C11" s="101"/>
      <c r="D11" s="102" t="str">
        <f>IF($C11="","",VLOOKUP($C11,'SDDA Dogs'!$A:$F,2,FALSE))</f>
        <v/>
      </c>
      <c r="E11" s="103" t="str">
        <f>IF($C11="","",VLOOKUP($C11,'SDDA Dogs'!$A:$O,13,FALSE))</f>
        <v/>
      </c>
      <c r="F11" s="137"/>
      <c r="G11" s="217"/>
      <c r="H11" s="84" t="str">
        <f t="shared" si="16"/>
        <v/>
      </c>
      <c r="I11" s="105">
        <f t="shared" si="1"/>
        <v>0</v>
      </c>
      <c r="J11" s="84" t="str">
        <f t="shared" si="17"/>
        <v/>
      </c>
      <c r="K11" s="105">
        <f t="shared" si="2"/>
        <v>0</v>
      </c>
      <c r="L11" s="84" t="str">
        <f t="shared" si="18"/>
        <v/>
      </c>
      <c r="M11" s="106" t="str">
        <f>IF($C11="","",VLOOKUP($C11,'SDDA Dogs'!$A:$O,14,FALSE))</f>
        <v/>
      </c>
      <c r="N11" s="137"/>
      <c r="O11" s="217"/>
      <c r="P11" s="84" t="str">
        <f t="shared" si="19"/>
        <v/>
      </c>
      <c r="Q11" s="105">
        <f t="shared" si="3"/>
        <v>0</v>
      </c>
      <c r="R11" s="84" t="str">
        <f t="shared" si="20"/>
        <v/>
      </c>
      <c r="S11" s="105">
        <f t="shared" si="4"/>
        <v>0</v>
      </c>
      <c r="T11" s="84" t="str">
        <f t="shared" si="21"/>
        <v/>
      </c>
      <c r="U11" s="106" t="str">
        <f>IF($C11="","",VLOOKUP($C11,'SDDA Dogs'!$A:$O,15,FALSE))</f>
        <v/>
      </c>
      <c r="V11" s="137"/>
      <c r="W11" s="217"/>
      <c r="X11" s="84" t="str">
        <f t="shared" si="22"/>
        <v/>
      </c>
      <c r="Y11" s="105">
        <f t="shared" si="5"/>
        <v>0</v>
      </c>
      <c r="Z11" s="84" t="str">
        <f t="shared" si="23"/>
        <v/>
      </c>
      <c r="AA11" s="105">
        <f t="shared" si="6"/>
        <v>0</v>
      </c>
      <c r="AB11" s="84" t="str">
        <f t="shared" si="24"/>
        <v/>
      </c>
      <c r="AC11" s="92" t="str">
        <f t="shared" si="7"/>
        <v/>
      </c>
      <c r="AD11" s="89" t="str">
        <f t="shared" si="25"/>
        <v/>
      </c>
      <c r="AE11" s="104" t="str">
        <f t="shared" si="26"/>
        <v/>
      </c>
      <c r="AF11" s="107" t="str">
        <f t="shared" si="27"/>
        <v/>
      </c>
      <c r="AG11" s="92" t="str">
        <f t="shared" si="34"/>
        <v/>
      </c>
      <c r="AH11" s="89" t="str">
        <f t="shared" si="28"/>
        <v/>
      </c>
      <c r="AI11" s="104" t="str">
        <f t="shared" si="29"/>
        <v/>
      </c>
      <c r="AJ11" s="84" t="str">
        <f t="shared" si="30"/>
        <v/>
      </c>
      <c r="AK11" s="99" t="str">
        <f t="shared" si="31"/>
        <v/>
      </c>
      <c r="AL11" s="89">
        <f>IFERROR(VLOOKUP(C11 &amp; "-Elite",DogInfo!A:B,2,FALSE),0)</f>
        <v>0</v>
      </c>
      <c r="AM11" s="84" t="str">
        <f t="shared" si="8"/>
        <v/>
      </c>
      <c r="AN11" s="84" t="str">
        <f t="shared" si="9"/>
        <v/>
      </c>
      <c r="AO11" s="84" t="str">
        <f t="shared" si="10"/>
        <v/>
      </c>
      <c r="AP11" s="84">
        <f t="shared" si="32"/>
        <v>0</v>
      </c>
      <c r="AQ11" s="115"/>
      <c r="AR11" s="47"/>
      <c r="AS11" s="47"/>
      <c r="AT11" s="47" t="str">
        <f>IF(ISERROR(VLOOKUP(C11,'SDDA Dogs'!A:O,6,FALSE)),"",VLOOKUP(C11,'SDDA Dogs'!A:O,6,FALSE))</f>
        <v/>
      </c>
      <c r="AU11" s="57">
        <f t="shared" si="11"/>
        <v>0</v>
      </c>
      <c r="AV11" s="57">
        <f t="shared" si="12"/>
        <v>0</v>
      </c>
      <c r="AW11" s="56">
        <f t="shared" si="13"/>
        <v>0</v>
      </c>
      <c r="AY11" s="60">
        <f t="shared" si="33"/>
        <v>0</v>
      </c>
      <c r="AZ11" s="60">
        <f t="shared" si="15"/>
        <v>0</v>
      </c>
      <c r="BA11" s="114"/>
    </row>
    <row r="12" spans="1:53" x14ac:dyDescent="0.25">
      <c r="A12" s="99">
        <v>8</v>
      </c>
      <c r="B12" s="89" t="s">
        <v>3255</v>
      </c>
      <c r="C12" s="101"/>
      <c r="D12" s="102" t="str">
        <f>IF($C12="","",VLOOKUP($C12,'SDDA Dogs'!$A:$F,2,FALSE))</f>
        <v/>
      </c>
      <c r="E12" s="103" t="str">
        <f>IF($C12="","",VLOOKUP($C12,'SDDA Dogs'!$A:$O,13,FALSE))</f>
        <v/>
      </c>
      <c r="F12" s="137"/>
      <c r="G12" s="217"/>
      <c r="H12" s="84" t="str">
        <f t="shared" si="16"/>
        <v/>
      </c>
      <c r="I12" s="105">
        <f t="shared" si="1"/>
        <v>0</v>
      </c>
      <c r="J12" s="84" t="str">
        <f t="shared" si="17"/>
        <v/>
      </c>
      <c r="K12" s="105">
        <f t="shared" si="2"/>
        <v>0</v>
      </c>
      <c r="L12" s="84" t="str">
        <f t="shared" si="18"/>
        <v/>
      </c>
      <c r="M12" s="106" t="str">
        <f>IF($C12="","",VLOOKUP($C12,'SDDA Dogs'!$A:$O,14,FALSE))</f>
        <v/>
      </c>
      <c r="N12" s="137"/>
      <c r="O12" s="217"/>
      <c r="P12" s="84" t="str">
        <f t="shared" si="19"/>
        <v/>
      </c>
      <c r="Q12" s="105">
        <f t="shared" si="3"/>
        <v>0</v>
      </c>
      <c r="R12" s="84" t="str">
        <f t="shared" si="20"/>
        <v/>
      </c>
      <c r="S12" s="105">
        <f t="shared" si="4"/>
        <v>0</v>
      </c>
      <c r="T12" s="84" t="str">
        <f t="shared" si="21"/>
        <v/>
      </c>
      <c r="U12" s="106" t="str">
        <f>IF($C12="","",VLOOKUP($C12,'SDDA Dogs'!$A:$O,15,FALSE))</f>
        <v/>
      </c>
      <c r="V12" s="137"/>
      <c r="W12" s="217"/>
      <c r="X12" s="84" t="str">
        <f t="shared" si="22"/>
        <v/>
      </c>
      <c r="Y12" s="105">
        <f t="shared" si="5"/>
        <v>0</v>
      </c>
      <c r="Z12" s="84" t="str">
        <f t="shared" si="23"/>
        <v/>
      </c>
      <c r="AA12" s="105">
        <f t="shared" si="6"/>
        <v>0</v>
      </c>
      <c r="AB12" s="84" t="str">
        <f t="shared" si="24"/>
        <v/>
      </c>
      <c r="AC12" s="92" t="str">
        <f t="shared" si="7"/>
        <v/>
      </c>
      <c r="AD12" s="89" t="str">
        <f t="shared" si="25"/>
        <v/>
      </c>
      <c r="AE12" s="104" t="str">
        <f t="shared" si="26"/>
        <v/>
      </c>
      <c r="AF12" s="107" t="str">
        <f t="shared" si="27"/>
        <v/>
      </c>
      <c r="AG12" s="92" t="str">
        <f t="shared" si="34"/>
        <v/>
      </c>
      <c r="AH12" s="89" t="str">
        <f t="shared" si="28"/>
        <v/>
      </c>
      <c r="AI12" s="104" t="str">
        <f t="shared" si="29"/>
        <v/>
      </c>
      <c r="AJ12" s="84" t="str">
        <f t="shared" si="30"/>
        <v/>
      </c>
      <c r="AK12" s="99" t="str">
        <f t="shared" si="31"/>
        <v/>
      </c>
      <c r="AL12" s="89">
        <f>IFERROR(VLOOKUP(C12 &amp; "-Elite",DogInfo!A:B,2,FALSE),0)</f>
        <v>0</v>
      </c>
      <c r="AM12" s="84" t="str">
        <f t="shared" si="8"/>
        <v/>
      </c>
      <c r="AN12" s="84" t="str">
        <f t="shared" si="9"/>
        <v/>
      </c>
      <c r="AO12" s="84" t="str">
        <f t="shared" si="10"/>
        <v/>
      </c>
      <c r="AP12" s="84">
        <f t="shared" si="32"/>
        <v>0</v>
      </c>
      <c r="AQ12" s="115"/>
      <c r="AR12" s="47"/>
      <c r="AS12" s="47"/>
      <c r="AT12" s="47" t="str">
        <f>IF(ISERROR(VLOOKUP(C12,'SDDA Dogs'!A:O,6,FALSE)),"",VLOOKUP(C12,'SDDA Dogs'!A:O,6,FALSE))</f>
        <v/>
      </c>
      <c r="AU12" s="57">
        <f t="shared" si="11"/>
        <v>0</v>
      </c>
      <c r="AV12" s="57">
        <f t="shared" si="12"/>
        <v>0</v>
      </c>
      <c r="AW12" s="56">
        <f t="shared" si="13"/>
        <v>0</v>
      </c>
      <c r="AY12" s="60">
        <f t="shared" si="33"/>
        <v>0</v>
      </c>
      <c r="AZ12" s="60">
        <f t="shared" si="15"/>
        <v>0</v>
      </c>
      <c r="BA12" s="114"/>
    </row>
    <row r="13" spans="1:53" x14ac:dyDescent="0.25">
      <c r="A13" s="99">
        <v>9</v>
      </c>
      <c r="B13" s="89" t="s">
        <v>3255</v>
      </c>
      <c r="C13" s="101"/>
      <c r="D13" s="102" t="str">
        <f>IF($C13="","",VLOOKUP($C13,'SDDA Dogs'!$A:$F,2,FALSE))</f>
        <v/>
      </c>
      <c r="E13" s="103" t="str">
        <f>IF($C13="","",VLOOKUP($C13,'SDDA Dogs'!$A:$O,13,FALSE))</f>
        <v/>
      </c>
      <c r="F13" s="137"/>
      <c r="G13" s="217"/>
      <c r="H13" s="84" t="str">
        <f t="shared" si="16"/>
        <v/>
      </c>
      <c r="I13" s="105">
        <f t="shared" si="1"/>
        <v>0</v>
      </c>
      <c r="J13" s="84" t="str">
        <f t="shared" si="17"/>
        <v/>
      </c>
      <c r="K13" s="105">
        <f t="shared" si="2"/>
        <v>0</v>
      </c>
      <c r="L13" s="84" t="str">
        <f t="shared" si="18"/>
        <v/>
      </c>
      <c r="M13" s="106" t="str">
        <f>IF($C13="","",VLOOKUP($C13,'SDDA Dogs'!$A:$O,14,FALSE))</f>
        <v/>
      </c>
      <c r="N13" s="137"/>
      <c r="O13" s="217"/>
      <c r="P13" s="84" t="str">
        <f t="shared" si="19"/>
        <v/>
      </c>
      <c r="Q13" s="105">
        <f t="shared" si="3"/>
        <v>0</v>
      </c>
      <c r="R13" s="84" t="str">
        <f t="shared" si="20"/>
        <v/>
      </c>
      <c r="S13" s="105">
        <f t="shared" si="4"/>
        <v>0</v>
      </c>
      <c r="T13" s="84" t="str">
        <f t="shared" si="21"/>
        <v/>
      </c>
      <c r="U13" s="106" t="str">
        <f>IF($C13="","",VLOOKUP($C13,'SDDA Dogs'!$A:$O,15,FALSE))</f>
        <v/>
      </c>
      <c r="V13" s="137"/>
      <c r="W13" s="217"/>
      <c r="X13" s="84" t="str">
        <f t="shared" si="22"/>
        <v/>
      </c>
      <c r="Y13" s="105">
        <f t="shared" si="5"/>
        <v>0</v>
      </c>
      <c r="Z13" s="84" t="str">
        <f t="shared" si="23"/>
        <v/>
      </c>
      <c r="AA13" s="105">
        <f t="shared" si="6"/>
        <v>0</v>
      </c>
      <c r="AB13" s="84" t="str">
        <f t="shared" si="24"/>
        <v/>
      </c>
      <c r="AC13" s="92" t="str">
        <f t="shared" si="7"/>
        <v/>
      </c>
      <c r="AD13" s="89" t="str">
        <f t="shared" si="25"/>
        <v/>
      </c>
      <c r="AE13" s="104" t="str">
        <f t="shared" si="26"/>
        <v/>
      </c>
      <c r="AF13" s="107" t="str">
        <f t="shared" si="27"/>
        <v/>
      </c>
      <c r="AG13" s="92" t="str">
        <f t="shared" si="34"/>
        <v/>
      </c>
      <c r="AH13" s="89" t="str">
        <f t="shared" si="28"/>
        <v/>
      </c>
      <c r="AI13" s="104" t="str">
        <f t="shared" si="29"/>
        <v/>
      </c>
      <c r="AJ13" s="84" t="str">
        <f t="shared" si="30"/>
        <v/>
      </c>
      <c r="AK13" s="99" t="str">
        <f t="shared" si="31"/>
        <v/>
      </c>
      <c r="AL13" s="89">
        <f>IFERROR(VLOOKUP(C13 &amp; "-Elite",DogInfo!A:B,2,FALSE),0)</f>
        <v>0</v>
      </c>
      <c r="AM13" s="84" t="str">
        <f t="shared" si="8"/>
        <v/>
      </c>
      <c r="AN13" s="84" t="str">
        <f t="shared" si="9"/>
        <v/>
      </c>
      <c r="AO13" s="84" t="str">
        <f t="shared" si="10"/>
        <v/>
      </c>
      <c r="AP13" s="84">
        <f t="shared" si="32"/>
        <v>0</v>
      </c>
      <c r="AQ13" s="115"/>
      <c r="AR13" s="47"/>
      <c r="AS13" s="47"/>
      <c r="AT13" s="47" t="str">
        <f>IF(ISERROR(VLOOKUP(C13,'SDDA Dogs'!A:O,6,FALSE)),"",VLOOKUP(C13,'SDDA Dogs'!A:O,6,FALSE))</f>
        <v/>
      </c>
      <c r="AU13" s="57">
        <f t="shared" si="11"/>
        <v>0</v>
      </c>
      <c r="AV13" s="57">
        <f t="shared" si="12"/>
        <v>0</v>
      </c>
      <c r="AW13" s="56">
        <f t="shared" si="13"/>
        <v>0</v>
      </c>
      <c r="AY13" s="60">
        <f t="shared" si="33"/>
        <v>0</v>
      </c>
      <c r="AZ13" s="60">
        <f t="shared" si="15"/>
        <v>0</v>
      </c>
      <c r="BA13" s="114"/>
    </row>
    <row r="14" spans="1:53" x14ac:dyDescent="0.25">
      <c r="A14" s="99">
        <f t="shared" ref="A14:A34" si="35">A13+1</f>
        <v>10</v>
      </c>
      <c r="B14" s="89" t="s">
        <v>3255</v>
      </c>
      <c r="C14" s="101"/>
      <c r="D14" s="102" t="str">
        <f>IF($C14="","",VLOOKUP($C14,'SDDA Dogs'!$A:$F,2,FALSE))</f>
        <v/>
      </c>
      <c r="E14" s="103" t="str">
        <f>IF($C14="","",VLOOKUP($C14,'SDDA Dogs'!$A:$O,13,FALSE))</f>
        <v/>
      </c>
      <c r="F14" s="137"/>
      <c r="G14" s="217"/>
      <c r="H14" s="84" t="str">
        <f t="shared" si="16"/>
        <v/>
      </c>
      <c r="I14" s="105">
        <f t="shared" si="1"/>
        <v>0</v>
      </c>
      <c r="J14" s="84" t="str">
        <f t="shared" si="17"/>
        <v/>
      </c>
      <c r="K14" s="105">
        <f t="shared" si="2"/>
        <v>0</v>
      </c>
      <c r="L14" s="84" t="str">
        <f t="shared" si="18"/>
        <v/>
      </c>
      <c r="M14" s="106" t="str">
        <f>IF($C14="","",VLOOKUP($C14,'SDDA Dogs'!$A:$O,14,FALSE))</f>
        <v/>
      </c>
      <c r="N14" s="137"/>
      <c r="O14" s="217"/>
      <c r="P14" s="84" t="str">
        <f t="shared" si="19"/>
        <v/>
      </c>
      <c r="Q14" s="105">
        <f t="shared" si="3"/>
        <v>0</v>
      </c>
      <c r="R14" s="84" t="str">
        <f t="shared" si="20"/>
        <v/>
      </c>
      <c r="S14" s="105">
        <f t="shared" si="4"/>
        <v>0</v>
      </c>
      <c r="T14" s="84" t="str">
        <f t="shared" si="21"/>
        <v/>
      </c>
      <c r="U14" s="106" t="str">
        <f>IF($C14="","",VLOOKUP($C14,'SDDA Dogs'!$A:$O,15,FALSE))</f>
        <v/>
      </c>
      <c r="V14" s="137"/>
      <c r="W14" s="217"/>
      <c r="X14" s="84" t="str">
        <f t="shared" si="22"/>
        <v/>
      </c>
      <c r="Y14" s="105">
        <f t="shared" si="5"/>
        <v>0</v>
      </c>
      <c r="Z14" s="84" t="str">
        <f t="shared" si="23"/>
        <v/>
      </c>
      <c r="AA14" s="105">
        <f t="shared" si="6"/>
        <v>0</v>
      </c>
      <c r="AB14" s="84" t="str">
        <f t="shared" si="24"/>
        <v/>
      </c>
      <c r="AC14" s="92" t="str">
        <f t="shared" si="7"/>
        <v/>
      </c>
      <c r="AD14" s="89" t="str">
        <f t="shared" si="25"/>
        <v/>
      </c>
      <c r="AE14" s="104" t="str">
        <f t="shared" si="26"/>
        <v/>
      </c>
      <c r="AF14" s="107" t="str">
        <f t="shared" si="27"/>
        <v/>
      </c>
      <c r="AG14" s="92" t="str">
        <f t="shared" si="34"/>
        <v/>
      </c>
      <c r="AH14" s="89" t="str">
        <f t="shared" si="28"/>
        <v/>
      </c>
      <c r="AI14" s="104" t="str">
        <f t="shared" si="29"/>
        <v/>
      </c>
      <c r="AJ14" s="84" t="str">
        <f t="shared" si="30"/>
        <v/>
      </c>
      <c r="AK14" s="99" t="str">
        <f t="shared" si="31"/>
        <v/>
      </c>
      <c r="AL14" s="89">
        <f>IFERROR(VLOOKUP(C14 &amp; "-Elite",DogInfo!A:B,2,FALSE),0)</f>
        <v>0</v>
      </c>
      <c r="AM14" s="84" t="str">
        <f t="shared" si="8"/>
        <v/>
      </c>
      <c r="AN14" s="84" t="str">
        <f t="shared" si="9"/>
        <v/>
      </c>
      <c r="AO14" s="84" t="str">
        <f t="shared" si="10"/>
        <v/>
      </c>
      <c r="AP14" s="84">
        <f t="shared" si="32"/>
        <v>0</v>
      </c>
      <c r="AQ14" s="115"/>
      <c r="AR14" s="47"/>
      <c r="AS14" s="47"/>
      <c r="AT14" s="47" t="str">
        <f>IF(ISERROR(VLOOKUP(C14,'SDDA Dogs'!A:O,6,FALSE)),"",VLOOKUP(C14,'SDDA Dogs'!A:O,6,FALSE))</f>
        <v/>
      </c>
      <c r="AU14" s="57">
        <f t="shared" si="11"/>
        <v>0</v>
      </c>
      <c r="AV14" s="57">
        <f t="shared" si="12"/>
        <v>0</v>
      </c>
      <c r="AW14" s="56">
        <f t="shared" si="13"/>
        <v>0</v>
      </c>
      <c r="AY14" s="60">
        <f t="shared" si="33"/>
        <v>0</v>
      </c>
      <c r="AZ14" s="60">
        <f t="shared" si="15"/>
        <v>0</v>
      </c>
      <c r="BA14" s="114"/>
    </row>
    <row r="15" spans="1:53" x14ac:dyDescent="0.25">
      <c r="A15" s="99">
        <f t="shared" si="35"/>
        <v>11</v>
      </c>
      <c r="B15" s="89" t="s">
        <v>3255</v>
      </c>
      <c r="C15" s="101"/>
      <c r="D15" s="102" t="str">
        <f>IF($C15="","",VLOOKUP($C15,'SDDA Dogs'!$A:$F,2,FALSE))</f>
        <v/>
      </c>
      <c r="E15" s="103" t="str">
        <f>IF($C15="","",VLOOKUP($C15,'SDDA Dogs'!$A:$O,13,FALSE))</f>
        <v/>
      </c>
      <c r="F15" s="137"/>
      <c r="G15" s="217"/>
      <c r="H15" s="84" t="str">
        <f t="shared" si="16"/>
        <v/>
      </c>
      <c r="I15" s="105">
        <f t="shared" si="1"/>
        <v>0</v>
      </c>
      <c r="J15" s="84" t="str">
        <f t="shared" si="17"/>
        <v/>
      </c>
      <c r="K15" s="105">
        <f t="shared" si="2"/>
        <v>0</v>
      </c>
      <c r="L15" s="84" t="str">
        <f t="shared" si="18"/>
        <v/>
      </c>
      <c r="M15" s="106" t="str">
        <f>IF($C15="","",VLOOKUP($C15,'SDDA Dogs'!$A:$O,14,FALSE))</f>
        <v/>
      </c>
      <c r="N15" s="137"/>
      <c r="O15" s="217"/>
      <c r="P15" s="84" t="str">
        <f t="shared" si="19"/>
        <v/>
      </c>
      <c r="Q15" s="105">
        <f t="shared" si="3"/>
        <v>0</v>
      </c>
      <c r="R15" s="84" t="str">
        <f t="shared" si="20"/>
        <v/>
      </c>
      <c r="S15" s="105">
        <f t="shared" si="4"/>
        <v>0</v>
      </c>
      <c r="T15" s="84" t="str">
        <f t="shared" si="21"/>
        <v/>
      </c>
      <c r="U15" s="106" t="str">
        <f>IF($C15="","",VLOOKUP($C15,'SDDA Dogs'!$A:$O,15,FALSE))</f>
        <v/>
      </c>
      <c r="V15" s="137"/>
      <c r="W15" s="217"/>
      <c r="X15" s="84" t="str">
        <f t="shared" si="22"/>
        <v/>
      </c>
      <c r="Y15" s="105">
        <f t="shared" si="5"/>
        <v>0</v>
      </c>
      <c r="Z15" s="84" t="str">
        <f t="shared" si="23"/>
        <v/>
      </c>
      <c r="AA15" s="105">
        <f t="shared" si="6"/>
        <v>0</v>
      </c>
      <c r="AB15" s="84" t="str">
        <f t="shared" si="24"/>
        <v/>
      </c>
      <c r="AC15" s="92" t="str">
        <f t="shared" si="7"/>
        <v/>
      </c>
      <c r="AD15" s="89" t="str">
        <f t="shared" si="25"/>
        <v/>
      </c>
      <c r="AE15" s="104" t="str">
        <f t="shared" si="26"/>
        <v/>
      </c>
      <c r="AF15" s="107" t="str">
        <f t="shared" si="27"/>
        <v/>
      </c>
      <c r="AG15" s="92" t="str">
        <f t="shared" si="34"/>
        <v/>
      </c>
      <c r="AH15" s="89" t="str">
        <f t="shared" si="28"/>
        <v/>
      </c>
      <c r="AI15" s="104" t="str">
        <f t="shared" si="29"/>
        <v/>
      </c>
      <c r="AJ15" s="84" t="str">
        <f t="shared" si="30"/>
        <v/>
      </c>
      <c r="AK15" s="99" t="str">
        <f t="shared" si="31"/>
        <v/>
      </c>
      <c r="AL15" s="89">
        <f>IFERROR(VLOOKUP(C15 &amp; "-Elite",DogInfo!A:B,2,FALSE),0)</f>
        <v>0</v>
      </c>
      <c r="AM15" s="84" t="str">
        <f t="shared" si="8"/>
        <v/>
      </c>
      <c r="AN15" s="84" t="str">
        <f t="shared" si="9"/>
        <v/>
      </c>
      <c r="AO15" s="84" t="str">
        <f t="shared" si="10"/>
        <v/>
      </c>
      <c r="AP15" s="84">
        <f t="shared" si="32"/>
        <v>0</v>
      </c>
      <c r="AQ15" s="115"/>
      <c r="AR15" s="47"/>
      <c r="AS15" s="47"/>
      <c r="AT15" s="47" t="str">
        <f>IF(ISERROR(VLOOKUP(C15,'SDDA Dogs'!A:O,6,FALSE)),"",VLOOKUP(C15,'SDDA Dogs'!A:O,6,FALSE))</f>
        <v/>
      </c>
      <c r="AU15" s="57">
        <f t="shared" si="11"/>
        <v>0</v>
      </c>
      <c r="AV15" s="57">
        <f t="shared" si="12"/>
        <v>0</v>
      </c>
      <c r="AW15" s="56">
        <f t="shared" si="13"/>
        <v>0</v>
      </c>
      <c r="AY15" s="60">
        <f t="shared" si="33"/>
        <v>0</v>
      </c>
      <c r="AZ15" s="60">
        <f t="shared" si="15"/>
        <v>0</v>
      </c>
      <c r="BA15" s="114"/>
    </row>
    <row r="16" spans="1:53" x14ac:dyDescent="0.25">
      <c r="A16" s="99">
        <f t="shared" si="35"/>
        <v>12</v>
      </c>
      <c r="B16" s="89" t="s">
        <v>3255</v>
      </c>
      <c r="C16" s="101"/>
      <c r="D16" s="102" t="str">
        <f>IF($C16="","",VLOOKUP($C16,'SDDA Dogs'!$A:$F,2,FALSE))</f>
        <v/>
      </c>
      <c r="E16" s="103" t="str">
        <f>IF($C16="","",VLOOKUP($C16,'SDDA Dogs'!$A:$O,13,FALSE))</f>
        <v/>
      </c>
      <c r="F16" s="137"/>
      <c r="G16" s="217"/>
      <c r="H16" s="84" t="str">
        <f t="shared" si="16"/>
        <v/>
      </c>
      <c r="I16" s="105">
        <f t="shared" si="1"/>
        <v>0</v>
      </c>
      <c r="J16" s="84" t="str">
        <f t="shared" si="17"/>
        <v/>
      </c>
      <c r="K16" s="105">
        <f t="shared" si="2"/>
        <v>0</v>
      </c>
      <c r="L16" s="84" t="str">
        <f t="shared" si="18"/>
        <v/>
      </c>
      <c r="M16" s="106" t="str">
        <f>IF($C16="","",VLOOKUP($C16,'SDDA Dogs'!$A:$O,14,FALSE))</f>
        <v/>
      </c>
      <c r="N16" s="137"/>
      <c r="O16" s="217"/>
      <c r="P16" s="84" t="str">
        <f t="shared" si="19"/>
        <v/>
      </c>
      <c r="Q16" s="105">
        <f t="shared" si="3"/>
        <v>0</v>
      </c>
      <c r="R16" s="84" t="str">
        <f t="shared" si="20"/>
        <v/>
      </c>
      <c r="S16" s="105">
        <f t="shared" si="4"/>
        <v>0</v>
      </c>
      <c r="T16" s="84" t="str">
        <f t="shared" si="21"/>
        <v/>
      </c>
      <c r="U16" s="106" t="str">
        <f>IF($C16="","",VLOOKUP($C16,'SDDA Dogs'!$A:$O,15,FALSE))</f>
        <v/>
      </c>
      <c r="V16" s="137"/>
      <c r="W16" s="217"/>
      <c r="X16" s="84" t="str">
        <f t="shared" si="22"/>
        <v/>
      </c>
      <c r="Y16" s="105">
        <f t="shared" si="5"/>
        <v>0</v>
      </c>
      <c r="Z16" s="84" t="str">
        <f t="shared" si="23"/>
        <v/>
      </c>
      <c r="AA16" s="105">
        <f t="shared" si="6"/>
        <v>0</v>
      </c>
      <c r="AB16" s="84" t="str">
        <f t="shared" si="24"/>
        <v/>
      </c>
      <c r="AC16" s="92" t="str">
        <f t="shared" si="7"/>
        <v/>
      </c>
      <c r="AD16" s="89" t="str">
        <f t="shared" si="25"/>
        <v/>
      </c>
      <c r="AE16" s="104" t="str">
        <f t="shared" si="26"/>
        <v/>
      </c>
      <c r="AF16" s="107" t="str">
        <f t="shared" si="27"/>
        <v/>
      </c>
      <c r="AG16" s="92" t="str">
        <f t="shared" si="34"/>
        <v/>
      </c>
      <c r="AH16" s="89" t="str">
        <f t="shared" si="28"/>
        <v/>
      </c>
      <c r="AI16" s="104" t="str">
        <f t="shared" si="29"/>
        <v/>
      </c>
      <c r="AJ16" s="84" t="str">
        <f t="shared" si="30"/>
        <v/>
      </c>
      <c r="AK16" s="99" t="str">
        <f t="shared" si="31"/>
        <v/>
      </c>
      <c r="AL16" s="89">
        <f>IFERROR(VLOOKUP(C16 &amp; "-Elite",DogInfo!A:B,2,FALSE),0)</f>
        <v>0</v>
      </c>
      <c r="AM16" s="84" t="str">
        <f t="shared" si="8"/>
        <v/>
      </c>
      <c r="AN16" s="84" t="str">
        <f t="shared" si="9"/>
        <v/>
      </c>
      <c r="AO16" s="84" t="str">
        <f t="shared" si="10"/>
        <v/>
      </c>
      <c r="AP16" s="84">
        <f t="shared" si="32"/>
        <v>0</v>
      </c>
      <c r="AQ16" s="115"/>
      <c r="AR16" s="47"/>
      <c r="AS16" s="47"/>
      <c r="AT16" s="47" t="str">
        <f>IF(ISERROR(VLOOKUP(C16,'SDDA Dogs'!A:O,6,FALSE)),"",VLOOKUP(C16,'SDDA Dogs'!A:O,6,FALSE))</f>
        <v/>
      </c>
      <c r="AU16" s="57">
        <f t="shared" si="11"/>
        <v>0</v>
      </c>
      <c r="AV16" s="57">
        <f t="shared" si="12"/>
        <v>0</v>
      </c>
      <c r="AW16" s="56">
        <f t="shared" si="13"/>
        <v>0</v>
      </c>
      <c r="AY16" s="60">
        <f t="shared" si="33"/>
        <v>0</v>
      </c>
      <c r="AZ16" s="60">
        <f t="shared" si="15"/>
        <v>0</v>
      </c>
      <c r="BA16" s="114"/>
    </row>
    <row r="17" spans="1:53" x14ac:dyDescent="0.25">
      <c r="A17" s="99">
        <f t="shared" si="35"/>
        <v>13</v>
      </c>
      <c r="B17" s="89" t="s">
        <v>3255</v>
      </c>
      <c r="C17" s="101"/>
      <c r="D17" s="102" t="str">
        <f>IF($C17="","",VLOOKUP($C17,'SDDA Dogs'!$A:$F,2,FALSE))</f>
        <v/>
      </c>
      <c r="E17" s="103" t="str">
        <f>IF($C17="","",VLOOKUP($C17,'SDDA Dogs'!$A:$O,13,FALSE))</f>
        <v/>
      </c>
      <c r="F17" s="137"/>
      <c r="G17" s="217"/>
      <c r="H17" s="84" t="str">
        <f t="shared" si="16"/>
        <v/>
      </c>
      <c r="I17" s="105">
        <f t="shared" si="1"/>
        <v>0</v>
      </c>
      <c r="J17" s="84" t="str">
        <f t="shared" si="17"/>
        <v/>
      </c>
      <c r="K17" s="105">
        <f t="shared" si="2"/>
        <v>0</v>
      </c>
      <c r="L17" s="84" t="str">
        <f t="shared" si="18"/>
        <v/>
      </c>
      <c r="M17" s="106" t="str">
        <f>IF($C17="","",VLOOKUP($C17,'SDDA Dogs'!$A:$O,14,FALSE))</f>
        <v/>
      </c>
      <c r="N17" s="137"/>
      <c r="O17" s="217"/>
      <c r="P17" s="84" t="str">
        <f t="shared" si="19"/>
        <v/>
      </c>
      <c r="Q17" s="105">
        <f t="shared" si="3"/>
        <v>0</v>
      </c>
      <c r="R17" s="84" t="str">
        <f t="shared" si="20"/>
        <v/>
      </c>
      <c r="S17" s="105">
        <f t="shared" si="4"/>
        <v>0</v>
      </c>
      <c r="T17" s="84" t="str">
        <f t="shared" si="21"/>
        <v/>
      </c>
      <c r="U17" s="106" t="str">
        <f>IF($C17="","",VLOOKUP($C17,'SDDA Dogs'!$A:$O,15,FALSE))</f>
        <v/>
      </c>
      <c r="V17" s="137"/>
      <c r="W17" s="217"/>
      <c r="X17" s="84" t="str">
        <f t="shared" si="22"/>
        <v/>
      </c>
      <c r="Y17" s="105">
        <f t="shared" si="5"/>
        <v>0</v>
      </c>
      <c r="Z17" s="84" t="str">
        <f t="shared" si="23"/>
        <v/>
      </c>
      <c r="AA17" s="105">
        <f t="shared" si="6"/>
        <v>0</v>
      </c>
      <c r="AB17" s="84" t="str">
        <f t="shared" si="24"/>
        <v/>
      </c>
      <c r="AC17" s="92" t="str">
        <f t="shared" si="7"/>
        <v/>
      </c>
      <c r="AD17" s="89" t="str">
        <f t="shared" si="25"/>
        <v/>
      </c>
      <c r="AE17" s="104" t="str">
        <f t="shared" si="26"/>
        <v/>
      </c>
      <c r="AF17" s="107" t="str">
        <f t="shared" si="27"/>
        <v/>
      </c>
      <c r="AG17" s="92" t="str">
        <f t="shared" si="34"/>
        <v/>
      </c>
      <c r="AH17" s="89" t="str">
        <f t="shared" si="28"/>
        <v/>
      </c>
      <c r="AI17" s="104" t="str">
        <f t="shared" si="29"/>
        <v/>
      </c>
      <c r="AJ17" s="84" t="str">
        <f t="shared" si="30"/>
        <v/>
      </c>
      <c r="AK17" s="99" t="str">
        <f t="shared" si="31"/>
        <v/>
      </c>
      <c r="AL17" s="89">
        <f>IFERROR(VLOOKUP(C17 &amp; "-Elite",DogInfo!A:B,2,FALSE),0)</f>
        <v>0</v>
      </c>
      <c r="AM17" s="84" t="str">
        <f t="shared" si="8"/>
        <v/>
      </c>
      <c r="AN17" s="84" t="str">
        <f t="shared" si="9"/>
        <v/>
      </c>
      <c r="AO17" s="84" t="str">
        <f t="shared" si="10"/>
        <v/>
      </c>
      <c r="AP17" s="84">
        <f t="shared" si="32"/>
        <v>0</v>
      </c>
      <c r="AQ17" s="115"/>
      <c r="AR17" s="47"/>
      <c r="AS17" s="47"/>
      <c r="AT17" s="47" t="str">
        <f>IF(ISERROR(VLOOKUP(C17,'SDDA Dogs'!A:O,6,FALSE)),"",VLOOKUP(C17,'SDDA Dogs'!A:O,6,FALSE))</f>
        <v/>
      </c>
      <c r="AU17" s="57">
        <f t="shared" si="11"/>
        <v>0</v>
      </c>
      <c r="AV17" s="57">
        <f t="shared" si="12"/>
        <v>0</v>
      </c>
      <c r="AW17" s="56">
        <f t="shared" si="13"/>
        <v>0</v>
      </c>
      <c r="AY17" s="60">
        <f t="shared" si="33"/>
        <v>0</v>
      </c>
      <c r="AZ17" s="60">
        <f t="shared" si="15"/>
        <v>0</v>
      </c>
      <c r="BA17" s="114"/>
    </row>
    <row r="18" spans="1:53" x14ac:dyDescent="0.25">
      <c r="A18" s="99">
        <f t="shared" si="35"/>
        <v>14</v>
      </c>
      <c r="B18" s="89" t="s">
        <v>3255</v>
      </c>
      <c r="C18" s="101"/>
      <c r="D18" s="102" t="str">
        <f>IF($C18="","",VLOOKUP($C18,'SDDA Dogs'!$A:$F,2,FALSE))</f>
        <v/>
      </c>
      <c r="E18" s="103" t="str">
        <f>IF($C18="","",VLOOKUP($C18,'SDDA Dogs'!$A:$O,13,FALSE))</f>
        <v/>
      </c>
      <c r="F18" s="137"/>
      <c r="G18" s="217"/>
      <c r="H18" s="84" t="str">
        <f t="shared" si="16"/>
        <v/>
      </c>
      <c r="I18" s="105">
        <f t="shared" si="1"/>
        <v>0</v>
      </c>
      <c r="J18" s="84" t="str">
        <f t="shared" si="17"/>
        <v/>
      </c>
      <c r="K18" s="105">
        <f t="shared" si="2"/>
        <v>0</v>
      </c>
      <c r="L18" s="84" t="str">
        <f t="shared" si="18"/>
        <v/>
      </c>
      <c r="M18" s="106" t="str">
        <f>IF($C18="","",VLOOKUP($C18,'SDDA Dogs'!$A:$O,14,FALSE))</f>
        <v/>
      </c>
      <c r="N18" s="137"/>
      <c r="O18" s="217"/>
      <c r="P18" s="84" t="str">
        <f t="shared" si="19"/>
        <v/>
      </c>
      <c r="Q18" s="105">
        <f t="shared" si="3"/>
        <v>0</v>
      </c>
      <c r="R18" s="84" t="str">
        <f t="shared" si="20"/>
        <v/>
      </c>
      <c r="S18" s="105">
        <f t="shared" si="4"/>
        <v>0</v>
      </c>
      <c r="T18" s="84" t="str">
        <f t="shared" si="21"/>
        <v/>
      </c>
      <c r="U18" s="106" t="str">
        <f>IF($C18="","",VLOOKUP($C18,'SDDA Dogs'!$A:$O,15,FALSE))</f>
        <v/>
      </c>
      <c r="V18" s="137"/>
      <c r="W18" s="217"/>
      <c r="X18" s="84" t="str">
        <f t="shared" si="22"/>
        <v/>
      </c>
      <c r="Y18" s="105">
        <f t="shared" si="5"/>
        <v>0</v>
      </c>
      <c r="Z18" s="84" t="str">
        <f t="shared" si="23"/>
        <v/>
      </c>
      <c r="AA18" s="105">
        <f t="shared" si="6"/>
        <v>0</v>
      </c>
      <c r="AB18" s="84" t="str">
        <f t="shared" si="24"/>
        <v/>
      </c>
      <c r="AC18" s="92" t="str">
        <f t="shared" si="7"/>
        <v/>
      </c>
      <c r="AD18" s="89" t="str">
        <f t="shared" si="25"/>
        <v/>
      </c>
      <c r="AE18" s="104" t="str">
        <f t="shared" si="26"/>
        <v/>
      </c>
      <c r="AF18" s="107" t="str">
        <f t="shared" si="27"/>
        <v/>
      </c>
      <c r="AG18" s="92" t="str">
        <f t="shared" si="34"/>
        <v/>
      </c>
      <c r="AH18" s="89" t="str">
        <f t="shared" si="28"/>
        <v/>
      </c>
      <c r="AI18" s="104" t="str">
        <f t="shared" si="29"/>
        <v/>
      </c>
      <c r="AJ18" s="84" t="str">
        <f t="shared" si="30"/>
        <v/>
      </c>
      <c r="AK18" s="99" t="str">
        <f t="shared" si="31"/>
        <v/>
      </c>
      <c r="AL18" s="89">
        <f>IFERROR(VLOOKUP(C18 &amp; "-Elite",DogInfo!A:B,2,FALSE),0)</f>
        <v>0</v>
      </c>
      <c r="AM18" s="84" t="str">
        <f t="shared" si="8"/>
        <v/>
      </c>
      <c r="AN18" s="84" t="str">
        <f t="shared" si="9"/>
        <v/>
      </c>
      <c r="AO18" s="84" t="str">
        <f t="shared" si="10"/>
        <v/>
      </c>
      <c r="AP18" s="84">
        <f t="shared" si="32"/>
        <v>0</v>
      </c>
      <c r="AQ18" s="115"/>
      <c r="AR18" s="47"/>
      <c r="AS18" s="47"/>
      <c r="AT18" s="47" t="str">
        <f>IF(ISERROR(VLOOKUP(C18,'SDDA Dogs'!A:O,6,FALSE)),"",VLOOKUP(C18,'SDDA Dogs'!A:O,6,FALSE))</f>
        <v/>
      </c>
      <c r="AU18" s="57">
        <f t="shared" si="11"/>
        <v>0</v>
      </c>
      <c r="AV18" s="57">
        <f t="shared" si="12"/>
        <v>0</v>
      </c>
      <c r="AW18" s="56">
        <f t="shared" si="13"/>
        <v>0</v>
      </c>
      <c r="AY18" s="60">
        <f t="shared" si="33"/>
        <v>0</v>
      </c>
      <c r="AZ18" s="60">
        <f t="shared" si="15"/>
        <v>0</v>
      </c>
      <c r="BA18" s="114"/>
    </row>
    <row r="19" spans="1:53" x14ac:dyDescent="0.25">
      <c r="A19" s="99">
        <f t="shared" si="35"/>
        <v>15</v>
      </c>
      <c r="B19" s="89" t="s">
        <v>3255</v>
      </c>
      <c r="C19" s="101"/>
      <c r="D19" s="102" t="str">
        <f>IF($C19="","",VLOOKUP($C19,'SDDA Dogs'!$A:$F,2,FALSE))</f>
        <v/>
      </c>
      <c r="E19" s="103" t="str">
        <f>IF($C19="","",VLOOKUP($C19,'SDDA Dogs'!$A:$O,13,FALSE))</f>
        <v/>
      </c>
      <c r="F19" s="137"/>
      <c r="G19" s="217"/>
      <c r="H19" s="84" t="str">
        <f t="shared" si="16"/>
        <v/>
      </c>
      <c r="I19" s="105">
        <f t="shared" si="1"/>
        <v>0</v>
      </c>
      <c r="J19" s="84" t="str">
        <f t="shared" si="17"/>
        <v/>
      </c>
      <c r="K19" s="105">
        <f t="shared" si="2"/>
        <v>0</v>
      </c>
      <c r="L19" s="84" t="str">
        <f t="shared" si="18"/>
        <v/>
      </c>
      <c r="M19" s="106" t="str">
        <f>IF($C19="","",VLOOKUP($C19,'SDDA Dogs'!$A:$O,14,FALSE))</f>
        <v/>
      </c>
      <c r="N19" s="137"/>
      <c r="O19" s="217"/>
      <c r="P19" s="84" t="str">
        <f t="shared" si="19"/>
        <v/>
      </c>
      <c r="Q19" s="105">
        <f t="shared" si="3"/>
        <v>0</v>
      </c>
      <c r="R19" s="84" t="str">
        <f t="shared" si="20"/>
        <v/>
      </c>
      <c r="S19" s="105">
        <f t="shared" si="4"/>
        <v>0</v>
      </c>
      <c r="T19" s="84" t="str">
        <f t="shared" si="21"/>
        <v/>
      </c>
      <c r="U19" s="106" t="str">
        <f>IF($C19="","",VLOOKUP($C19,'SDDA Dogs'!$A:$O,15,FALSE))</f>
        <v/>
      </c>
      <c r="V19" s="137"/>
      <c r="W19" s="217"/>
      <c r="X19" s="84" t="str">
        <f t="shared" si="22"/>
        <v/>
      </c>
      <c r="Y19" s="105">
        <f t="shared" si="5"/>
        <v>0</v>
      </c>
      <c r="Z19" s="84" t="str">
        <f t="shared" si="23"/>
        <v/>
      </c>
      <c r="AA19" s="105">
        <f t="shared" si="6"/>
        <v>0</v>
      </c>
      <c r="AB19" s="84" t="str">
        <f t="shared" si="24"/>
        <v/>
      </c>
      <c r="AC19" s="92" t="str">
        <f t="shared" si="7"/>
        <v/>
      </c>
      <c r="AD19" s="89" t="str">
        <f t="shared" si="25"/>
        <v/>
      </c>
      <c r="AE19" s="104" t="str">
        <f t="shared" si="26"/>
        <v/>
      </c>
      <c r="AF19" s="107" t="str">
        <f t="shared" si="27"/>
        <v/>
      </c>
      <c r="AG19" s="92" t="str">
        <f t="shared" si="34"/>
        <v/>
      </c>
      <c r="AH19" s="89" t="str">
        <f t="shared" si="28"/>
        <v/>
      </c>
      <c r="AI19" s="104" t="str">
        <f t="shared" si="29"/>
        <v/>
      </c>
      <c r="AJ19" s="84" t="str">
        <f t="shared" si="30"/>
        <v/>
      </c>
      <c r="AK19" s="99" t="str">
        <f t="shared" si="31"/>
        <v/>
      </c>
      <c r="AL19" s="89">
        <f>IFERROR(VLOOKUP(C19 &amp; "-Elite",DogInfo!A:B,2,FALSE),0)</f>
        <v>0</v>
      </c>
      <c r="AM19" s="84" t="str">
        <f t="shared" si="8"/>
        <v/>
      </c>
      <c r="AN19" s="84" t="str">
        <f t="shared" si="9"/>
        <v/>
      </c>
      <c r="AO19" s="84" t="str">
        <f t="shared" si="10"/>
        <v/>
      </c>
      <c r="AP19" s="84">
        <f t="shared" si="32"/>
        <v>0</v>
      </c>
      <c r="AQ19" s="115"/>
      <c r="AR19" s="47"/>
      <c r="AS19" s="47"/>
      <c r="AT19" s="47" t="str">
        <f>IF(ISERROR(VLOOKUP(C19,'SDDA Dogs'!A:O,6,FALSE)),"",VLOOKUP(C19,'SDDA Dogs'!A:O,6,FALSE))</f>
        <v/>
      </c>
      <c r="AU19" s="57">
        <f t="shared" si="11"/>
        <v>0</v>
      </c>
      <c r="AV19" s="57">
        <f t="shared" si="12"/>
        <v>0</v>
      </c>
      <c r="AW19" s="56">
        <f t="shared" si="13"/>
        <v>0</v>
      </c>
      <c r="AY19" s="60">
        <f t="shared" si="33"/>
        <v>0</v>
      </c>
      <c r="AZ19" s="60">
        <f t="shared" si="15"/>
        <v>0</v>
      </c>
      <c r="BA19" s="114"/>
    </row>
    <row r="20" spans="1:53" x14ac:dyDescent="0.25">
      <c r="A20" s="99">
        <f t="shared" si="35"/>
        <v>16</v>
      </c>
      <c r="B20" s="89" t="s">
        <v>3255</v>
      </c>
      <c r="C20" s="101"/>
      <c r="D20" s="102" t="str">
        <f>IF($C20="","",VLOOKUP($C20,'SDDA Dogs'!$A:$F,2,FALSE))</f>
        <v/>
      </c>
      <c r="E20" s="103" t="str">
        <f>IF($C20="","",VLOOKUP($C20,'SDDA Dogs'!$A:$O,13,FALSE))</f>
        <v/>
      </c>
      <c r="F20" s="137"/>
      <c r="G20" s="217"/>
      <c r="H20" s="84" t="str">
        <f t="shared" si="16"/>
        <v/>
      </c>
      <c r="I20" s="105">
        <f t="shared" si="1"/>
        <v>0</v>
      </c>
      <c r="J20" s="84" t="str">
        <f t="shared" si="17"/>
        <v/>
      </c>
      <c r="K20" s="105">
        <f t="shared" si="2"/>
        <v>0</v>
      </c>
      <c r="L20" s="84" t="str">
        <f t="shared" si="18"/>
        <v/>
      </c>
      <c r="M20" s="106" t="str">
        <f>IF($C20="","",VLOOKUP($C20,'SDDA Dogs'!$A:$O,14,FALSE))</f>
        <v/>
      </c>
      <c r="N20" s="137"/>
      <c r="O20" s="217"/>
      <c r="P20" s="84" t="str">
        <f t="shared" si="19"/>
        <v/>
      </c>
      <c r="Q20" s="105">
        <f t="shared" si="3"/>
        <v>0</v>
      </c>
      <c r="R20" s="84" t="str">
        <f t="shared" si="20"/>
        <v/>
      </c>
      <c r="S20" s="105">
        <f t="shared" si="4"/>
        <v>0</v>
      </c>
      <c r="T20" s="84" t="str">
        <f t="shared" si="21"/>
        <v/>
      </c>
      <c r="U20" s="106" t="str">
        <f>IF($C20="","",VLOOKUP($C20,'SDDA Dogs'!$A:$O,15,FALSE))</f>
        <v/>
      </c>
      <c r="V20" s="137"/>
      <c r="W20" s="217"/>
      <c r="X20" s="84" t="str">
        <f t="shared" si="22"/>
        <v/>
      </c>
      <c r="Y20" s="105">
        <f t="shared" si="5"/>
        <v>0</v>
      </c>
      <c r="Z20" s="84" t="str">
        <f t="shared" si="23"/>
        <v/>
      </c>
      <c r="AA20" s="105">
        <f t="shared" si="6"/>
        <v>0</v>
      </c>
      <c r="AB20" s="84" t="str">
        <f t="shared" si="24"/>
        <v/>
      </c>
      <c r="AC20" s="92" t="str">
        <f t="shared" si="7"/>
        <v/>
      </c>
      <c r="AD20" s="89" t="str">
        <f t="shared" si="25"/>
        <v/>
      </c>
      <c r="AE20" s="104" t="str">
        <f t="shared" si="26"/>
        <v/>
      </c>
      <c r="AF20" s="107" t="str">
        <f t="shared" si="27"/>
        <v/>
      </c>
      <c r="AG20" s="92" t="str">
        <f t="shared" si="34"/>
        <v/>
      </c>
      <c r="AH20" s="89" t="str">
        <f t="shared" si="28"/>
        <v/>
      </c>
      <c r="AI20" s="104" t="str">
        <f t="shared" si="29"/>
        <v/>
      </c>
      <c r="AJ20" s="84" t="str">
        <f t="shared" si="30"/>
        <v/>
      </c>
      <c r="AK20" s="99" t="str">
        <f t="shared" si="31"/>
        <v/>
      </c>
      <c r="AL20" s="89">
        <f>IFERROR(VLOOKUP(C20 &amp; "-Elite",DogInfo!A:B,2,FALSE),0)</f>
        <v>0</v>
      </c>
      <c r="AM20" s="84" t="str">
        <f t="shared" si="8"/>
        <v/>
      </c>
      <c r="AN20" s="84" t="str">
        <f t="shared" si="9"/>
        <v/>
      </c>
      <c r="AO20" s="84" t="str">
        <f t="shared" si="10"/>
        <v/>
      </c>
      <c r="AP20" s="84">
        <f t="shared" si="32"/>
        <v>0</v>
      </c>
      <c r="AQ20" s="115"/>
      <c r="AR20" s="47"/>
      <c r="AS20" s="47"/>
      <c r="AT20" s="47" t="str">
        <f>IF(ISERROR(VLOOKUP(C20,'SDDA Dogs'!A:O,6,FALSE)),"",VLOOKUP(C20,'SDDA Dogs'!A:O,6,FALSE))</f>
        <v/>
      </c>
      <c r="AU20" s="57">
        <f t="shared" si="11"/>
        <v>0</v>
      </c>
      <c r="AV20" s="57">
        <f t="shared" si="12"/>
        <v>0</v>
      </c>
      <c r="AW20" s="56">
        <f t="shared" si="13"/>
        <v>0</v>
      </c>
      <c r="AY20" s="60">
        <f t="shared" si="33"/>
        <v>0</v>
      </c>
      <c r="AZ20" s="60">
        <f t="shared" si="15"/>
        <v>0</v>
      </c>
      <c r="BA20" s="114"/>
    </row>
    <row r="21" spans="1:53" x14ac:dyDescent="0.25">
      <c r="A21" s="99">
        <f t="shared" si="35"/>
        <v>17</v>
      </c>
      <c r="B21" s="89" t="s">
        <v>3255</v>
      </c>
      <c r="C21" s="101"/>
      <c r="D21" s="102" t="str">
        <f>IF($C21="","",VLOOKUP($C21,'SDDA Dogs'!$A:$F,2,FALSE))</f>
        <v/>
      </c>
      <c r="E21" s="103" t="str">
        <f>IF($C21="","",VLOOKUP($C21,'SDDA Dogs'!$A:$O,13,FALSE))</f>
        <v/>
      </c>
      <c r="F21" s="137"/>
      <c r="G21" s="217"/>
      <c r="H21" s="84" t="str">
        <f t="shared" si="16"/>
        <v/>
      </c>
      <c r="I21" s="105">
        <f t="shared" si="1"/>
        <v>0</v>
      </c>
      <c r="J21" s="84" t="str">
        <f t="shared" si="17"/>
        <v/>
      </c>
      <c r="K21" s="105">
        <f t="shared" si="2"/>
        <v>0</v>
      </c>
      <c r="L21" s="84" t="str">
        <f t="shared" si="18"/>
        <v/>
      </c>
      <c r="M21" s="106" t="str">
        <f>IF($C21="","",VLOOKUP($C21,'SDDA Dogs'!$A:$O,14,FALSE))</f>
        <v/>
      </c>
      <c r="N21" s="137"/>
      <c r="O21" s="217"/>
      <c r="P21" s="84" t="str">
        <f t="shared" si="19"/>
        <v/>
      </c>
      <c r="Q21" s="105">
        <f t="shared" si="3"/>
        <v>0</v>
      </c>
      <c r="R21" s="84" t="str">
        <f t="shared" si="20"/>
        <v/>
      </c>
      <c r="S21" s="105">
        <f t="shared" si="4"/>
        <v>0</v>
      </c>
      <c r="T21" s="84" t="str">
        <f t="shared" si="21"/>
        <v/>
      </c>
      <c r="U21" s="106" t="str">
        <f>IF($C21="","",VLOOKUP($C21,'SDDA Dogs'!$A:$O,15,FALSE))</f>
        <v/>
      </c>
      <c r="V21" s="137"/>
      <c r="W21" s="217"/>
      <c r="X21" s="84" t="str">
        <f t="shared" si="22"/>
        <v/>
      </c>
      <c r="Y21" s="105">
        <f t="shared" si="5"/>
        <v>0</v>
      </c>
      <c r="Z21" s="84" t="str">
        <f t="shared" si="23"/>
        <v/>
      </c>
      <c r="AA21" s="105">
        <f t="shared" si="6"/>
        <v>0</v>
      </c>
      <c r="AB21" s="84" t="str">
        <f t="shared" si="24"/>
        <v/>
      </c>
      <c r="AC21" s="92" t="str">
        <f t="shared" si="7"/>
        <v/>
      </c>
      <c r="AD21" s="89" t="str">
        <f t="shared" si="25"/>
        <v/>
      </c>
      <c r="AE21" s="104" t="str">
        <f t="shared" si="26"/>
        <v/>
      </c>
      <c r="AF21" s="107" t="str">
        <f t="shared" si="27"/>
        <v/>
      </c>
      <c r="AG21" s="92" t="str">
        <f t="shared" si="34"/>
        <v/>
      </c>
      <c r="AH21" s="89" t="str">
        <f t="shared" si="28"/>
        <v/>
      </c>
      <c r="AI21" s="104" t="str">
        <f t="shared" si="29"/>
        <v/>
      </c>
      <c r="AJ21" s="84" t="str">
        <f t="shared" si="30"/>
        <v/>
      </c>
      <c r="AK21" s="99" t="str">
        <f t="shared" si="31"/>
        <v/>
      </c>
      <c r="AL21" s="89">
        <f>IFERROR(VLOOKUP(C21 &amp; "-Elite",DogInfo!A:B,2,FALSE),0)</f>
        <v>0</v>
      </c>
      <c r="AM21" s="84" t="str">
        <f t="shared" si="8"/>
        <v/>
      </c>
      <c r="AN21" s="84" t="str">
        <f t="shared" si="9"/>
        <v/>
      </c>
      <c r="AO21" s="84" t="str">
        <f t="shared" si="10"/>
        <v/>
      </c>
      <c r="AP21" s="84">
        <f t="shared" si="32"/>
        <v>0</v>
      </c>
      <c r="AQ21" s="115"/>
      <c r="AR21" s="47"/>
      <c r="AS21" s="47"/>
      <c r="AT21" s="47" t="str">
        <f>IF(ISERROR(VLOOKUP(C21,'SDDA Dogs'!A:O,6,FALSE)),"",VLOOKUP(C21,'SDDA Dogs'!A:O,6,FALSE))</f>
        <v/>
      </c>
      <c r="AU21" s="57">
        <f t="shared" si="11"/>
        <v>0</v>
      </c>
      <c r="AV21" s="57">
        <f t="shared" si="12"/>
        <v>0</v>
      </c>
      <c r="AW21" s="56">
        <f t="shared" si="13"/>
        <v>0</v>
      </c>
      <c r="AY21" s="60">
        <f t="shared" si="33"/>
        <v>0</v>
      </c>
      <c r="AZ21" s="60">
        <f t="shared" si="15"/>
        <v>0</v>
      </c>
      <c r="BA21" s="114"/>
    </row>
    <row r="22" spans="1:53" x14ac:dyDescent="0.25">
      <c r="A22" s="99">
        <f t="shared" si="35"/>
        <v>18</v>
      </c>
      <c r="B22" s="89" t="s">
        <v>3255</v>
      </c>
      <c r="C22" s="101"/>
      <c r="D22" s="102" t="str">
        <f>IF($C22="","",VLOOKUP($C22,'SDDA Dogs'!$A:$F,2,FALSE))</f>
        <v/>
      </c>
      <c r="E22" s="103" t="str">
        <f>IF($C22="","",VLOOKUP($C22,'SDDA Dogs'!$A:$O,13,FALSE))</f>
        <v/>
      </c>
      <c r="F22" s="137"/>
      <c r="G22" s="217"/>
      <c r="H22" s="84" t="str">
        <f t="shared" si="16"/>
        <v/>
      </c>
      <c r="I22" s="105">
        <f t="shared" si="1"/>
        <v>0</v>
      </c>
      <c r="J22" s="84" t="str">
        <f t="shared" si="17"/>
        <v/>
      </c>
      <c r="K22" s="105">
        <f t="shared" si="2"/>
        <v>0</v>
      </c>
      <c r="L22" s="84" t="str">
        <f t="shared" si="18"/>
        <v/>
      </c>
      <c r="M22" s="106" t="str">
        <f>IF($C22="","",VLOOKUP($C22,'SDDA Dogs'!$A:$O,14,FALSE))</f>
        <v/>
      </c>
      <c r="N22" s="137"/>
      <c r="O22" s="217"/>
      <c r="P22" s="84" t="str">
        <f t="shared" si="19"/>
        <v/>
      </c>
      <c r="Q22" s="105">
        <f t="shared" si="3"/>
        <v>0</v>
      </c>
      <c r="R22" s="84" t="str">
        <f t="shared" si="20"/>
        <v/>
      </c>
      <c r="S22" s="105">
        <f t="shared" si="4"/>
        <v>0</v>
      </c>
      <c r="T22" s="84" t="str">
        <f t="shared" si="21"/>
        <v/>
      </c>
      <c r="U22" s="106" t="str">
        <f>IF($C22="","",VLOOKUP($C22,'SDDA Dogs'!$A:$O,15,FALSE))</f>
        <v/>
      </c>
      <c r="V22" s="137"/>
      <c r="W22" s="217"/>
      <c r="X22" s="84" t="str">
        <f t="shared" si="22"/>
        <v/>
      </c>
      <c r="Y22" s="105">
        <f t="shared" si="5"/>
        <v>0</v>
      </c>
      <c r="Z22" s="84" t="str">
        <f t="shared" si="23"/>
        <v/>
      </c>
      <c r="AA22" s="105">
        <f t="shared" si="6"/>
        <v>0</v>
      </c>
      <c r="AB22" s="84" t="str">
        <f t="shared" si="24"/>
        <v/>
      </c>
      <c r="AC22" s="92" t="str">
        <f t="shared" si="7"/>
        <v/>
      </c>
      <c r="AD22" s="89" t="str">
        <f t="shared" si="25"/>
        <v/>
      </c>
      <c r="AE22" s="104" t="str">
        <f t="shared" si="26"/>
        <v/>
      </c>
      <c r="AF22" s="107" t="str">
        <f t="shared" si="27"/>
        <v/>
      </c>
      <c r="AG22" s="92" t="str">
        <f t="shared" si="34"/>
        <v/>
      </c>
      <c r="AH22" s="89" t="str">
        <f t="shared" si="28"/>
        <v/>
      </c>
      <c r="AI22" s="104" t="str">
        <f t="shared" si="29"/>
        <v/>
      </c>
      <c r="AJ22" s="84" t="str">
        <f t="shared" si="30"/>
        <v/>
      </c>
      <c r="AK22" s="99" t="str">
        <f t="shared" si="31"/>
        <v/>
      </c>
      <c r="AL22" s="89">
        <f>IFERROR(VLOOKUP(C22 &amp; "-Elite",DogInfo!A:B,2,FALSE),0)</f>
        <v>0</v>
      </c>
      <c r="AM22" s="84" t="str">
        <f t="shared" si="8"/>
        <v/>
      </c>
      <c r="AN22" s="84" t="str">
        <f t="shared" si="9"/>
        <v/>
      </c>
      <c r="AO22" s="84" t="str">
        <f t="shared" si="10"/>
        <v/>
      </c>
      <c r="AP22" s="84">
        <f t="shared" si="32"/>
        <v>0</v>
      </c>
      <c r="AQ22" s="115"/>
      <c r="AR22" s="47"/>
      <c r="AS22" s="47"/>
      <c r="AT22" s="47" t="str">
        <f>IF(ISERROR(VLOOKUP(C22,'SDDA Dogs'!A:O,6,FALSE)),"",VLOOKUP(C22,'SDDA Dogs'!A:O,6,FALSE))</f>
        <v/>
      </c>
      <c r="AU22" s="57">
        <f t="shared" si="11"/>
        <v>0</v>
      </c>
      <c r="AV22" s="57">
        <f t="shared" si="12"/>
        <v>0</v>
      </c>
      <c r="AW22" s="56">
        <f t="shared" si="13"/>
        <v>0</v>
      </c>
      <c r="AY22" s="60">
        <f t="shared" si="33"/>
        <v>0</v>
      </c>
      <c r="AZ22" s="60">
        <f t="shared" si="15"/>
        <v>0</v>
      </c>
      <c r="BA22" s="114"/>
    </row>
    <row r="23" spans="1:53" x14ac:dyDescent="0.25">
      <c r="A23" s="99">
        <f t="shared" si="35"/>
        <v>19</v>
      </c>
      <c r="B23" s="89" t="s">
        <v>3255</v>
      </c>
      <c r="C23" s="101"/>
      <c r="D23" s="102" t="str">
        <f>IF($C23="","",VLOOKUP($C23,'SDDA Dogs'!$A:$F,2,FALSE))</f>
        <v/>
      </c>
      <c r="E23" s="103" t="str">
        <f>IF($C23="","",VLOOKUP($C23,'SDDA Dogs'!$A:$O,13,FALSE))</f>
        <v/>
      </c>
      <c r="F23" s="137"/>
      <c r="G23" s="217"/>
      <c r="H23" s="84" t="str">
        <f t="shared" si="16"/>
        <v/>
      </c>
      <c r="I23" s="105">
        <f t="shared" si="1"/>
        <v>0</v>
      </c>
      <c r="J23" s="84" t="str">
        <f t="shared" si="17"/>
        <v/>
      </c>
      <c r="K23" s="105">
        <f t="shared" si="2"/>
        <v>0</v>
      </c>
      <c r="L23" s="84" t="str">
        <f t="shared" si="18"/>
        <v/>
      </c>
      <c r="M23" s="106" t="str">
        <f>IF($C23="","",VLOOKUP($C23,'SDDA Dogs'!$A:$O,14,FALSE))</f>
        <v/>
      </c>
      <c r="N23" s="137"/>
      <c r="O23" s="217"/>
      <c r="P23" s="84" t="str">
        <f t="shared" si="19"/>
        <v/>
      </c>
      <c r="Q23" s="105">
        <f t="shared" si="3"/>
        <v>0</v>
      </c>
      <c r="R23" s="84" t="str">
        <f t="shared" si="20"/>
        <v/>
      </c>
      <c r="S23" s="105">
        <f t="shared" si="4"/>
        <v>0</v>
      </c>
      <c r="T23" s="84" t="str">
        <f t="shared" si="21"/>
        <v/>
      </c>
      <c r="U23" s="106" t="str">
        <f>IF($C23="","",VLOOKUP($C23,'SDDA Dogs'!$A:$O,15,FALSE))</f>
        <v/>
      </c>
      <c r="V23" s="137"/>
      <c r="W23" s="217"/>
      <c r="X23" s="84" t="str">
        <f t="shared" si="22"/>
        <v/>
      </c>
      <c r="Y23" s="105">
        <f t="shared" si="5"/>
        <v>0</v>
      </c>
      <c r="Z23" s="84" t="str">
        <f t="shared" si="23"/>
        <v/>
      </c>
      <c r="AA23" s="105">
        <f t="shared" si="6"/>
        <v>0</v>
      </c>
      <c r="AB23" s="84" t="str">
        <f t="shared" si="24"/>
        <v/>
      </c>
      <c r="AC23" s="92" t="str">
        <f t="shared" si="7"/>
        <v/>
      </c>
      <c r="AD23" s="89" t="str">
        <f t="shared" si="25"/>
        <v/>
      </c>
      <c r="AE23" s="104" t="str">
        <f t="shared" si="26"/>
        <v/>
      </c>
      <c r="AF23" s="107" t="str">
        <f t="shared" si="27"/>
        <v/>
      </c>
      <c r="AG23" s="92" t="str">
        <f t="shared" si="34"/>
        <v/>
      </c>
      <c r="AH23" s="89" t="str">
        <f t="shared" si="28"/>
        <v/>
      </c>
      <c r="AI23" s="104" t="str">
        <f t="shared" si="29"/>
        <v/>
      </c>
      <c r="AJ23" s="84" t="str">
        <f t="shared" si="30"/>
        <v/>
      </c>
      <c r="AK23" s="99" t="str">
        <f t="shared" si="31"/>
        <v/>
      </c>
      <c r="AL23" s="89">
        <f>IFERROR(VLOOKUP(C23 &amp; "-Elite",DogInfo!A:B,2,FALSE),0)</f>
        <v>0</v>
      </c>
      <c r="AM23" s="84" t="str">
        <f t="shared" si="8"/>
        <v/>
      </c>
      <c r="AN23" s="84" t="str">
        <f t="shared" si="9"/>
        <v/>
      </c>
      <c r="AO23" s="84" t="str">
        <f t="shared" si="10"/>
        <v/>
      </c>
      <c r="AP23" s="84">
        <f t="shared" si="32"/>
        <v>0</v>
      </c>
      <c r="AQ23" s="115"/>
      <c r="AR23" s="47"/>
      <c r="AS23" s="47"/>
      <c r="AT23" s="47" t="str">
        <f>IF(ISERROR(VLOOKUP(C23,'SDDA Dogs'!A:O,6,FALSE)),"",VLOOKUP(C23,'SDDA Dogs'!A:O,6,FALSE))</f>
        <v/>
      </c>
      <c r="AU23" s="57">
        <f t="shared" si="11"/>
        <v>0</v>
      </c>
      <c r="AV23" s="57">
        <f t="shared" si="12"/>
        <v>0</v>
      </c>
      <c r="AW23" s="56">
        <f t="shared" si="13"/>
        <v>0</v>
      </c>
      <c r="AY23" s="60">
        <f t="shared" si="33"/>
        <v>0</v>
      </c>
      <c r="AZ23" s="60">
        <f t="shared" si="15"/>
        <v>0</v>
      </c>
      <c r="BA23" s="114"/>
    </row>
    <row r="24" spans="1:53" x14ac:dyDescent="0.25">
      <c r="A24" s="99">
        <f t="shared" si="35"/>
        <v>20</v>
      </c>
      <c r="B24" s="89" t="s">
        <v>3255</v>
      </c>
      <c r="C24" s="101"/>
      <c r="D24" s="102" t="str">
        <f>IF($C24="","",VLOOKUP($C24,'SDDA Dogs'!$A:$F,2,FALSE))</f>
        <v/>
      </c>
      <c r="E24" s="103" t="str">
        <f>IF($C24="","",VLOOKUP($C24,'SDDA Dogs'!$A:$O,13,FALSE))</f>
        <v/>
      </c>
      <c r="F24" s="137"/>
      <c r="G24" s="217"/>
      <c r="H24" s="84" t="str">
        <f t="shared" si="16"/>
        <v/>
      </c>
      <c r="I24" s="105">
        <f t="shared" si="1"/>
        <v>0</v>
      </c>
      <c r="J24" s="84" t="str">
        <f t="shared" si="17"/>
        <v/>
      </c>
      <c r="K24" s="105">
        <f t="shared" si="2"/>
        <v>0</v>
      </c>
      <c r="L24" s="84" t="str">
        <f t="shared" si="18"/>
        <v/>
      </c>
      <c r="M24" s="106" t="str">
        <f>IF($C24="","",VLOOKUP($C24,'SDDA Dogs'!$A:$O,14,FALSE))</f>
        <v/>
      </c>
      <c r="N24" s="137"/>
      <c r="O24" s="217"/>
      <c r="P24" s="84" t="str">
        <f t="shared" si="19"/>
        <v/>
      </c>
      <c r="Q24" s="105">
        <f t="shared" si="3"/>
        <v>0</v>
      </c>
      <c r="R24" s="84" t="str">
        <f t="shared" si="20"/>
        <v/>
      </c>
      <c r="S24" s="105">
        <f t="shared" si="4"/>
        <v>0</v>
      </c>
      <c r="T24" s="84" t="str">
        <f t="shared" si="21"/>
        <v/>
      </c>
      <c r="U24" s="106" t="str">
        <f>IF($C24="","",VLOOKUP($C24,'SDDA Dogs'!$A:$O,15,FALSE))</f>
        <v/>
      </c>
      <c r="V24" s="137"/>
      <c r="W24" s="217"/>
      <c r="X24" s="84" t="str">
        <f t="shared" si="22"/>
        <v/>
      </c>
      <c r="Y24" s="105">
        <f t="shared" si="5"/>
        <v>0</v>
      </c>
      <c r="Z24" s="84" t="str">
        <f t="shared" si="23"/>
        <v/>
      </c>
      <c r="AA24" s="105">
        <f t="shared" si="6"/>
        <v>0</v>
      </c>
      <c r="AB24" s="84" t="str">
        <f t="shared" si="24"/>
        <v/>
      </c>
      <c r="AC24" s="92" t="str">
        <f t="shared" si="7"/>
        <v/>
      </c>
      <c r="AD24" s="89" t="str">
        <f t="shared" si="25"/>
        <v/>
      </c>
      <c r="AE24" s="104" t="str">
        <f t="shared" si="26"/>
        <v/>
      </c>
      <c r="AF24" s="107" t="str">
        <f t="shared" si="27"/>
        <v/>
      </c>
      <c r="AG24" s="92" t="str">
        <f t="shared" si="34"/>
        <v/>
      </c>
      <c r="AH24" s="89" t="str">
        <f t="shared" si="28"/>
        <v/>
      </c>
      <c r="AI24" s="104" t="str">
        <f t="shared" si="29"/>
        <v/>
      </c>
      <c r="AJ24" s="84" t="str">
        <f t="shared" si="30"/>
        <v/>
      </c>
      <c r="AK24" s="99" t="str">
        <f t="shared" si="31"/>
        <v/>
      </c>
      <c r="AL24" s="89">
        <f>IFERROR(VLOOKUP(C24 &amp; "-Elite",DogInfo!A:B,2,FALSE),0)</f>
        <v>0</v>
      </c>
      <c r="AM24" s="84" t="str">
        <f t="shared" si="8"/>
        <v/>
      </c>
      <c r="AN24" s="84" t="str">
        <f t="shared" si="9"/>
        <v/>
      </c>
      <c r="AO24" s="84" t="str">
        <f t="shared" si="10"/>
        <v/>
      </c>
      <c r="AP24" s="84">
        <f t="shared" si="32"/>
        <v>0</v>
      </c>
      <c r="AQ24" s="115"/>
      <c r="AR24" s="47"/>
      <c r="AS24" s="47"/>
      <c r="AT24" s="47" t="str">
        <f>IF(ISERROR(VLOOKUP(C24,'SDDA Dogs'!A:O,6,FALSE)),"",VLOOKUP(C24,'SDDA Dogs'!A:O,6,FALSE))</f>
        <v/>
      </c>
      <c r="AU24" s="57">
        <f t="shared" si="11"/>
        <v>0</v>
      </c>
      <c r="AV24" s="57">
        <f t="shared" si="12"/>
        <v>0</v>
      </c>
      <c r="AW24" s="56">
        <f t="shared" si="13"/>
        <v>0</v>
      </c>
      <c r="AY24" s="60">
        <f t="shared" si="33"/>
        <v>0</v>
      </c>
      <c r="AZ24" s="60">
        <f t="shared" si="15"/>
        <v>0</v>
      </c>
      <c r="BA24" s="114"/>
    </row>
    <row r="25" spans="1:53" x14ac:dyDescent="0.25">
      <c r="A25" s="99">
        <f t="shared" si="35"/>
        <v>21</v>
      </c>
      <c r="B25" s="89" t="s">
        <v>3255</v>
      </c>
      <c r="C25" s="101"/>
      <c r="D25" s="102" t="str">
        <f>IF($C25="","",VLOOKUP($C25,'SDDA Dogs'!$A:$F,2,FALSE))</f>
        <v/>
      </c>
      <c r="E25" s="103" t="str">
        <f>IF($C25="","",VLOOKUP($C25,'SDDA Dogs'!$A:$O,13,FALSE))</f>
        <v/>
      </c>
      <c r="F25" s="137"/>
      <c r="G25" s="217"/>
      <c r="H25" s="84" t="str">
        <f t="shared" si="16"/>
        <v/>
      </c>
      <c r="I25" s="105">
        <f t="shared" si="1"/>
        <v>0</v>
      </c>
      <c r="J25" s="84" t="str">
        <f t="shared" si="17"/>
        <v/>
      </c>
      <c r="K25" s="105">
        <f t="shared" si="2"/>
        <v>0</v>
      </c>
      <c r="L25" s="84" t="str">
        <f t="shared" si="18"/>
        <v/>
      </c>
      <c r="M25" s="106" t="str">
        <f>IF($C25="","",VLOOKUP($C25,'SDDA Dogs'!$A:$O,14,FALSE))</f>
        <v/>
      </c>
      <c r="N25" s="137"/>
      <c r="O25" s="217"/>
      <c r="P25" s="84" t="str">
        <f t="shared" si="19"/>
        <v/>
      </c>
      <c r="Q25" s="105">
        <f t="shared" si="3"/>
        <v>0</v>
      </c>
      <c r="R25" s="84" t="str">
        <f t="shared" si="20"/>
        <v/>
      </c>
      <c r="S25" s="105">
        <f t="shared" si="4"/>
        <v>0</v>
      </c>
      <c r="T25" s="84" t="str">
        <f t="shared" si="21"/>
        <v/>
      </c>
      <c r="U25" s="106" t="str">
        <f>IF($C25="","",VLOOKUP($C25,'SDDA Dogs'!$A:$O,15,FALSE))</f>
        <v/>
      </c>
      <c r="V25" s="137"/>
      <c r="W25" s="217"/>
      <c r="X25" s="84" t="str">
        <f t="shared" si="22"/>
        <v/>
      </c>
      <c r="Y25" s="105">
        <f t="shared" si="5"/>
        <v>0</v>
      </c>
      <c r="Z25" s="84" t="str">
        <f t="shared" si="23"/>
        <v/>
      </c>
      <c r="AA25" s="105">
        <f t="shared" si="6"/>
        <v>0</v>
      </c>
      <c r="AB25" s="84" t="str">
        <f t="shared" si="24"/>
        <v/>
      </c>
      <c r="AC25" s="92" t="str">
        <f t="shared" si="7"/>
        <v/>
      </c>
      <c r="AD25" s="89" t="str">
        <f t="shared" si="25"/>
        <v/>
      </c>
      <c r="AE25" s="104" t="str">
        <f t="shared" si="26"/>
        <v/>
      </c>
      <c r="AF25" s="107" t="str">
        <f t="shared" si="27"/>
        <v/>
      </c>
      <c r="AG25" s="92" t="str">
        <f t="shared" si="34"/>
        <v/>
      </c>
      <c r="AH25" s="89" t="str">
        <f t="shared" si="28"/>
        <v/>
      </c>
      <c r="AI25" s="104" t="str">
        <f t="shared" si="29"/>
        <v/>
      </c>
      <c r="AJ25" s="84" t="str">
        <f t="shared" si="30"/>
        <v/>
      </c>
      <c r="AK25" s="99" t="str">
        <f t="shared" si="31"/>
        <v/>
      </c>
      <c r="AL25" s="89">
        <f>IFERROR(VLOOKUP(C25 &amp; "-Elite",DogInfo!A:B,2,FALSE),0)</f>
        <v>0</v>
      </c>
      <c r="AM25" s="84" t="str">
        <f t="shared" si="8"/>
        <v/>
      </c>
      <c r="AN25" s="84" t="str">
        <f t="shared" si="9"/>
        <v/>
      </c>
      <c r="AO25" s="84" t="str">
        <f t="shared" si="10"/>
        <v/>
      </c>
      <c r="AP25" s="84">
        <f t="shared" si="32"/>
        <v>0</v>
      </c>
      <c r="AQ25" s="115"/>
      <c r="AR25" s="47"/>
      <c r="AS25" s="47"/>
      <c r="AT25" s="47" t="str">
        <f>IF(ISERROR(VLOOKUP(C25,'SDDA Dogs'!A:O,6,FALSE)),"",VLOOKUP(C25,'SDDA Dogs'!A:O,6,FALSE))</f>
        <v/>
      </c>
      <c r="AU25" s="57">
        <f t="shared" si="11"/>
        <v>0</v>
      </c>
      <c r="AV25" s="57">
        <f t="shared" si="12"/>
        <v>0</v>
      </c>
      <c r="AW25" s="56">
        <f t="shared" si="13"/>
        <v>0</v>
      </c>
      <c r="AY25" s="60">
        <f t="shared" si="33"/>
        <v>0</v>
      </c>
      <c r="AZ25" s="60">
        <f t="shared" si="15"/>
        <v>0</v>
      </c>
      <c r="BA25" s="114"/>
    </row>
    <row r="26" spans="1:53" x14ac:dyDescent="0.25">
      <c r="A26" s="99">
        <f t="shared" si="35"/>
        <v>22</v>
      </c>
      <c r="B26" s="89" t="s">
        <v>3255</v>
      </c>
      <c r="C26" s="101"/>
      <c r="D26" s="102" t="str">
        <f>IF($C26="","",VLOOKUP($C26,'SDDA Dogs'!$A:$F,2,FALSE))</f>
        <v/>
      </c>
      <c r="E26" s="103" t="str">
        <f>IF($C26="","",VLOOKUP($C26,'SDDA Dogs'!$A:$O,13,FALSE))</f>
        <v/>
      </c>
      <c r="F26" s="137"/>
      <c r="G26" s="217"/>
      <c r="H26" s="84" t="str">
        <f t="shared" si="16"/>
        <v/>
      </c>
      <c r="I26" s="105">
        <f t="shared" si="1"/>
        <v>0</v>
      </c>
      <c r="J26" s="84" t="str">
        <f t="shared" si="17"/>
        <v/>
      </c>
      <c r="K26" s="105">
        <f t="shared" si="2"/>
        <v>0</v>
      </c>
      <c r="L26" s="84" t="str">
        <f t="shared" si="18"/>
        <v/>
      </c>
      <c r="M26" s="106" t="str">
        <f>IF($C26="","",VLOOKUP($C26,'SDDA Dogs'!$A:$O,14,FALSE))</f>
        <v/>
      </c>
      <c r="N26" s="137"/>
      <c r="O26" s="217"/>
      <c r="P26" s="84" t="str">
        <f t="shared" si="19"/>
        <v/>
      </c>
      <c r="Q26" s="105">
        <f t="shared" si="3"/>
        <v>0</v>
      </c>
      <c r="R26" s="84" t="str">
        <f t="shared" si="20"/>
        <v/>
      </c>
      <c r="S26" s="105">
        <f t="shared" si="4"/>
        <v>0</v>
      </c>
      <c r="T26" s="84" t="str">
        <f t="shared" si="21"/>
        <v/>
      </c>
      <c r="U26" s="106" t="str">
        <f>IF($C26="","",VLOOKUP($C26,'SDDA Dogs'!$A:$O,15,FALSE))</f>
        <v/>
      </c>
      <c r="V26" s="137"/>
      <c r="W26" s="217"/>
      <c r="X26" s="84" t="str">
        <f t="shared" si="22"/>
        <v/>
      </c>
      <c r="Y26" s="105">
        <f t="shared" si="5"/>
        <v>0</v>
      </c>
      <c r="Z26" s="84" t="str">
        <f t="shared" si="23"/>
        <v/>
      </c>
      <c r="AA26" s="105">
        <f t="shared" si="6"/>
        <v>0</v>
      </c>
      <c r="AB26" s="84" t="str">
        <f t="shared" si="24"/>
        <v/>
      </c>
      <c r="AC26" s="92" t="str">
        <f t="shared" si="7"/>
        <v/>
      </c>
      <c r="AD26" s="89" t="str">
        <f t="shared" si="25"/>
        <v/>
      </c>
      <c r="AE26" s="104" t="str">
        <f t="shared" si="26"/>
        <v/>
      </c>
      <c r="AF26" s="107" t="str">
        <f t="shared" si="27"/>
        <v/>
      </c>
      <c r="AG26" s="92" t="str">
        <f t="shared" si="34"/>
        <v/>
      </c>
      <c r="AH26" s="89" t="str">
        <f t="shared" si="28"/>
        <v/>
      </c>
      <c r="AI26" s="104" t="str">
        <f t="shared" si="29"/>
        <v/>
      </c>
      <c r="AJ26" s="84" t="str">
        <f t="shared" si="30"/>
        <v/>
      </c>
      <c r="AK26" s="99" t="str">
        <f t="shared" si="31"/>
        <v/>
      </c>
      <c r="AL26" s="89">
        <f>IFERROR(VLOOKUP(C26 &amp; "-Elite",DogInfo!A:B,2,FALSE),0)</f>
        <v>0</v>
      </c>
      <c r="AM26" s="84" t="str">
        <f t="shared" si="8"/>
        <v/>
      </c>
      <c r="AN26" s="84" t="str">
        <f t="shared" si="9"/>
        <v/>
      </c>
      <c r="AO26" s="84" t="str">
        <f t="shared" si="10"/>
        <v/>
      </c>
      <c r="AP26" s="84">
        <f t="shared" si="32"/>
        <v>0</v>
      </c>
      <c r="AQ26" s="115"/>
      <c r="AR26" s="47"/>
      <c r="AS26" s="47"/>
      <c r="AT26" s="47" t="str">
        <f>IF(ISERROR(VLOOKUP(C26,'SDDA Dogs'!A:O,6,FALSE)),"",VLOOKUP(C26,'SDDA Dogs'!A:O,6,FALSE))</f>
        <v/>
      </c>
      <c r="AU26" s="57">
        <f t="shared" si="11"/>
        <v>0</v>
      </c>
      <c r="AV26" s="57">
        <f t="shared" si="12"/>
        <v>0</v>
      </c>
      <c r="AW26" s="56">
        <f t="shared" si="13"/>
        <v>0</v>
      </c>
      <c r="AY26" s="60">
        <f t="shared" si="33"/>
        <v>0</v>
      </c>
      <c r="AZ26" s="60">
        <f t="shared" si="15"/>
        <v>0</v>
      </c>
      <c r="BA26" s="114"/>
    </row>
    <row r="27" spans="1:53" x14ac:dyDescent="0.25">
      <c r="A27" s="99">
        <f t="shared" si="35"/>
        <v>23</v>
      </c>
      <c r="B27" s="89" t="s">
        <v>3255</v>
      </c>
      <c r="C27" s="101"/>
      <c r="D27" s="102" t="str">
        <f>IF($C27="","",VLOOKUP($C27,'SDDA Dogs'!$A:$F,2,FALSE))</f>
        <v/>
      </c>
      <c r="E27" s="103" t="str">
        <f>IF($C27="","",VLOOKUP($C27,'SDDA Dogs'!$A:$O,13,FALSE))</f>
        <v/>
      </c>
      <c r="F27" s="137"/>
      <c r="G27" s="217"/>
      <c r="H27" s="84" t="str">
        <f t="shared" si="16"/>
        <v/>
      </c>
      <c r="I27" s="105">
        <f t="shared" si="1"/>
        <v>0</v>
      </c>
      <c r="J27" s="84" t="str">
        <f t="shared" si="17"/>
        <v/>
      </c>
      <c r="K27" s="105">
        <f t="shared" si="2"/>
        <v>0</v>
      </c>
      <c r="L27" s="84" t="str">
        <f t="shared" si="18"/>
        <v/>
      </c>
      <c r="M27" s="106" t="str">
        <f>IF($C27="","",VLOOKUP($C27,'SDDA Dogs'!$A:$O,14,FALSE))</f>
        <v/>
      </c>
      <c r="N27" s="137"/>
      <c r="O27" s="217"/>
      <c r="P27" s="84" t="str">
        <f t="shared" si="19"/>
        <v/>
      </c>
      <c r="Q27" s="105">
        <f t="shared" si="3"/>
        <v>0</v>
      </c>
      <c r="R27" s="84" t="str">
        <f t="shared" si="20"/>
        <v/>
      </c>
      <c r="S27" s="105">
        <f t="shared" si="4"/>
        <v>0</v>
      </c>
      <c r="T27" s="84" t="str">
        <f t="shared" si="21"/>
        <v/>
      </c>
      <c r="U27" s="106" t="str">
        <f>IF($C27="","",VLOOKUP($C27,'SDDA Dogs'!$A:$O,15,FALSE))</f>
        <v/>
      </c>
      <c r="V27" s="137"/>
      <c r="W27" s="217"/>
      <c r="X27" s="84" t="str">
        <f t="shared" si="22"/>
        <v/>
      </c>
      <c r="Y27" s="105">
        <f t="shared" si="5"/>
        <v>0</v>
      </c>
      <c r="Z27" s="84" t="str">
        <f t="shared" si="23"/>
        <v/>
      </c>
      <c r="AA27" s="105">
        <f t="shared" si="6"/>
        <v>0</v>
      </c>
      <c r="AB27" s="84" t="str">
        <f t="shared" si="24"/>
        <v/>
      </c>
      <c r="AC27" s="92" t="str">
        <f t="shared" si="7"/>
        <v/>
      </c>
      <c r="AD27" s="89" t="str">
        <f t="shared" si="25"/>
        <v/>
      </c>
      <c r="AE27" s="104" t="str">
        <f t="shared" si="26"/>
        <v/>
      </c>
      <c r="AF27" s="107" t="str">
        <f t="shared" si="27"/>
        <v/>
      </c>
      <c r="AG27" s="92" t="str">
        <f t="shared" si="34"/>
        <v/>
      </c>
      <c r="AH27" s="89" t="str">
        <f t="shared" si="28"/>
        <v/>
      </c>
      <c r="AI27" s="104" t="str">
        <f t="shared" si="29"/>
        <v/>
      </c>
      <c r="AJ27" s="84" t="str">
        <f t="shared" si="30"/>
        <v/>
      </c>
      <c r="AK27" s="99" t="str">
        <f t="shared" si="31"/>
        <v/>
      </c>
      <c r="AL27" s="89">
        <f>IFERROR(VLOOKUP(C27 &amp; "-Elite",DogInfo!A:B,2,FALSE),0)</f>
        <v>0</v>
      </c>
      <c r="AM27" s="84" t="str">
        <f t="shared" si="8"/>
        <v/>
      </c>
      <c r="AN27" s="84" t="str">
        <f t="shared" si="9"/>
        <v/>
      </c>
      <c r="AO27" s="84" t="str">
        <f t="shared" si="10"/>
        <v/>
      </c>
      <c r="AP27" s="84">
        <f t="shared" si="32"/>
        <v>0</v>
      </c>
      <c r="AQ27" s="115"/>
      <c r="AR27" s="47"/>
      <c r="AS27" s="47"/>
      <c r="AT27" s="47" t="str">
        <f>IF(ISERROR(VLOOKUP(C27,'SDDA Dogs'!A:O,6,FALSE)),"",VLOOKUP(C27,'SDDA Dogs'!A:O,6,FALSE))</f>
        <v/>
      </c>
      <c r="AU27" s="57">
        <f t="shared" si="11"/>
        <v>0</v>
      </c>
      <c r="AV27" s="57">
        <f t="shared" si="12"/>
        <v>0</v>
      </c>
      <c r="AW27" s="56">
        <f t="shared" si="13"/>
        <v>0</v>
      </c>
      <c r="AY27" s="60">
        <f t="shared" si="33"/>
        <v>0</v>
      </c>
      <c r="AZ27" s="60">
        <f t="shared" si="15"/>
        <v>0</v>
      </c>
      <c r="BA27" s="114"/>
    </row>
    <row r="28" spans="1:53" x14ac:dyDescent="0.25">
      <c r="A28" s="99">
        <f t="shared" si="35"/>
        <v>24</v>
      </c>
      <c r="B28" s="89" t="s">
        <v>3255</v>
      </c>
      <c r="C28" s="101"/>
      <c r="D28" s="102" t="str">
        <f>IF($C28="","",VLOOKUP($C28,'SDDA Dogs'!$A:$F,2,FALSE))</f>
        <v/>
      </c>
      <c r="E28" s="103" t="str">
        <f>IF($C28="","",VLOOKUP($C28,'SDDA Dogs'!$A:$O,13,FALSE))</f>
        <v/>
      </c>
      <c r="F28" s="137"/>
      <c r="G28" s="217"/>
      <c r="H28" s="84" t="str">
        <f t="shared" si="16"/>
        <v/>
      </c>
      <c r="I28" s="105">
        <f t="shared" si="1"/>
        <v>0</v>
      </c>
      <c r="J28" s="84" t="str">
        <f t="shared" si="17"/>
        <v/>
      </c>
      <c r="K28" s="105">
        <f t="shared" si="2"/>
        <v>0</v>
      </c>
      <c r="L28" s="84" t="str">
        <f t="shared" si="18"/>
        <v/>
      </c>
      <c r="M28" s="106" t="str">
        <f>IF($C28="","",VLOOKUP($C28,'SDDA Dogs'!$A:$O,14,FALSE))</f>
        <v/>
      </c>
      <c r="N28" s="137"/>
      <c r="O28" s="217"/>
      <c r="P28" s="84" t="str">
        <f t="shared" si="19"/>
        <v/>
      </c>
      <c r="Q28" s="105">
        <f t="shared" si="3"/>
        <v>0</v>
      </c>
      <c r="R28" s="84" t="str">
        <f t="shared" si="20"/>
        <v/>
      </c>
      <c r="S28" s="105">
        <f t="shared" si="4"/>
        <v>0</v>
      </c>
      <c r="T28" s="84" t="str">
        <f t="shared" si="21"/>
        <v/>
      </c>
      <c r="U28" s="106" t="str">
        <f>IF($C28="","",VLOOKUP($C28,'SDDA Dogs'!$A:$O,15,FALSE))</f>
        <v/>
      </c>
      <c r="V28" s="137"/>
      <c r="W28" s="217"/>
      <c r="X28" s="84" t="str">
        <f t="shared" si="22"/>
        <v/>
      </c>
      <c r="Y28" s="105">
        <f t="shared" si="5"/>
        <v>0</v>
      </c>
      <c r="Z28" s="84" t="str">
        <f t="shared" si="23"/>
        <v/>
      </c>
      <c r="AA28" s="105">
        <f t="shared" si="6"/>
        <v>0</v>
      </c>
      <c r="AB28" s="84" t="str">
        <f t="shared" si="24"/>
        <v/>
      </c>
      <c r="AC28" s="92" t="str">
        <f t="shared" si="7"/>
        <v/>
      </c>
      <c r="AD28" s="89" t="str">
        <f t="shared" si="25"/>
        <v/>
      </c>
      <c r="AE28" s="104" t="str">
        <f t="shared" si="26"/>
        <v/>
      </c>
      <c r="AF28" s="107" t="str">
        <f t="shared" si="27"/>
        <v/>
      </c>
      <c r="AG28" s="92" t="str">
        <f t="shared" si="34"/>
        <v/>
      </c>
      <c r="AH28" s="89" t="str">
        <f t="shared" si="28"/>
        <v/>
      </c>
      <c r="AI28" s="104" t="str">
        <f t="shared" si="29"/>
        <v/>
      </c>
      <c r="AJ28" s="84" t="str">
        <f t="shared" si="30"/>
        <v/>
      </c>
      <c r="AK28" s="99" t="str">
        <f t="shared" si="31"/>
        <v/>
      </c>
      <c r="AL28" s="89">
        <f>IFERROR(VLOOKUP(C28 &amp; "-Elite",DogInfo!A:B,2,FALSE),0)</f>
        <v>0</v>
      </c>
      <c r="AM28" s="84" t="str">
        <f t="shared" si="8"/>
        <v/>
      </c>
      <c r="AN28" s="84" t="str">
        <f t="shared" si="9"/>
        <v/>
      </c>
      <c r="AO28" s="84" t="str">
        <f t="shared" si="10"/>
        <v/>
      </c>
      <c r="AP28" s="84">
        <f t="shared" si="32"/>
        <v>0</v>
      </c>
      <c r="AQ28" s="115"/>
      <c r="AR28" s="47"/>
      <c r="AS28" s="47"/>
      <c r="AT28" s="47" t="str">
        <f>IF(ISERROR(VLOOKUP(C28,'SDDA Dogs'!A:O,6,FALSE)),"",VLOOKUP(C28,'SDDA Dogs'!A:O,6,FALSE))</f>
        <v/>
      </c>
      <c r="AU28" s="57">
        <f t="shared" si="11"/>
        <v>0</v>
      </c>
      <c r="AV28" s="57">
        <f t="shared" si="12"/>
        <v>0</v>
      </c>
      <c r="AW28" s="56">
        <f t="shared" si="13"/>
        <v>0</v>
      </c>
      <c r="AY28" s="60">
        <f t="shared" si="33"/>
        <v>0</v>
      </c>
      <c r="AZ28" s="60">
        <f t="shared" si="15"/>
        <v>0</v>
      </c>
      <c r="BA28" s="114"/>
    </row>
    <row r="29" spans="1:53" x14ac:dyDescent="0.25">
      <c r="A29" s="99">
        <f t="shared" si="35"/>
        <v>25</v>
      </c>
      <c r="B29" s="89" t="s">
        <v>3255</v>
      </c>
      <c r="C29" s="101"/>
      <c r="D29" s="102" t="str">
        <f>IF($C29="","",VLOOKUP($C29,'SDDA Dogs'!$A:$F,2,FALSE))</f>
        <v/>
      </c>
      <c r="E29" s="103" t="str">
        <f>IF($C29="","",VLOOKUP($C29,'SDDA Dogs'!$A:$O,13,FALSE))</f>
        <v/>
      </c>
      <c r="F29" s="137"/>
      <c r="G29" s="217"/>
      <c r="H29" s="84" t="str">
        <f t="shared" si="16"/>
        <v/>
      </c>
      <c r="I29" s="105">
        <f t="shared" si="1"/>
        <v>0</v>
      </c>
      <c r="J29" s="84" t="str">
        <f t="shared" si="17"/>
        <v/>
      </c>
      <c r="K29" s="105">
        <f t="shared" si="2"/>
        <v>0</v>
      </c>
      <c r="L29" s="84" t="str">
        <f t="shared" si="18"/>
        <v/>
      </c>
      <c r="M29" s="106" t="str">
        <f>IF($C29="","",VLOOKUP($C29,'SDDA Dogs'!$A:$O,14,FALSE))</f>
        <v/>
      </c>
      <c r="N29" s="137"/>
      <c r="O29" s="217"/>
      <c r="P29" s="84" t="str">
        <f t="shared" si="19"/>
        <v/>
      </c>
      <c r="Q29" s="105">
        <f t="shared" si="3"/>
        <v>0</v>
      </c>
      <c r="R29" s="84" t="str">
        <f t="shared" si="20"/>
        <v/>
      </c>
      <c r="S29" s="105">
        <f t="shared" si="4"/>
        <v>0</v>
      </c>
      <c r="T29" s="84" t="str">
        <f t="shared" si="21"/>
        <v/>
      </c>
      <c r="U29" s="106" t="str">
        <f>IF($C29="","",VLOOKUP($C29,'SDDA Dogs'!$A:$O,15,FALSE))</f>
        <v/>
      </c>
      <c r="V29" s="137"/>
      <c r="W29" s="217"/>
      <c r="X29" s="84" t="str">
        <f t="shared" si="22"/>
        <v/>
      </c>
      <c r="Y29" s="105">
        <f t="shared" si="5"/>
        <v>0</v>
      </c>
      <c r="Z29" s="84" t="str">
        <f t="shared" si="23"/>
        <v/>
      </c>
      <c r="AA29" s="105">
        <f t="shared" si="6"/>
        <v>0</v>
      </c>
      <c r="AB29" s="84" t="str">
        <f t="shared" si="24"/>
        <v/>
      </c>
      <c r="AC29" s="92" t="str">
        <f t="shared" si="7"/>
        <v/>
      </c>
      <c r="AD29" s="89" t="str">
        <f t="shared" si="25"/>
        <v/>
      </c>
      <c r="AE29" s="104" t="str">
        <f t="shared" si="26"/>
        <v/>
      </c>
      <c r="AF29" s="107" t="str">
        <f t="shared" si="27"/>
        <v/>
      </c>
      <c r="AG29" s="92" t="str">
        <f t="shared" si="34"/>
        <v/>
      </c>
      <c r="AH29" s="89" t="str">
        <f t="shared" si="28"/>
        <v/>
      </c>
      <c r="AI29" s="104" t="str">
        <f t="shared" si="29"/>
        <v/>
      </c>
      <c r="AJ29" s="84" t="str">
        <f t="shared" si="30"/>
        <v/>
      </c>
      <c r="AK29" s="99" t="str">
        <f t="shared" si="31"/>
        <v/>
      </c>
      <c r="AL29" s="89">
        <f>IFERROR(VLOOKUP(C29 &amp; "-Elite",DogInfo!A:B,2,FALSE),0)</f>
        <v>0</v>
      </c>
      <c r="AM29" s="84" t="str">
        <f t="shared" si="8"/>
        <v/>
      </c>
      <c r="AN29" s="84" t="str">
        <f t="shared" si="9"/>
        <v/>
      </c>
      <c r="AO29" s="84" t="str">
        <f t="shared" si="10"/>
        <v/>
      </c>
      <c r="AP29" s="84">
        <f t="shared" si="32"/>
        <v>0</v>
      </c>
      <c r="AQ29" s="115"/>
      <c r="AR29" s="47"/>
      <c r="AS29" s="47"/>
      <c r="AT29" s="47" t="str">
        <f>IF(ISERROR(VLOOKUP(C29,'SDDA Dogs'!A:O,6,FALSE)),"",VLOOKUP(C29,'SDDA Dogs'!A:O,6,FALSE))</f>
        <v/>
      </c>
      <c r="AU29" s="57">
        <f t="shared" si="11"/>
        <v>0</v>
      </c>
      <c r="AV29" s="57">
        <f t="shared" si="12"/>
        <v>0</v>
      </c>
      <c r="AW29" s="56">
        <f t="shared" si="13"/>
        <v>0</v>
      </c>
      <c r="AY29" s="60">
        <f t="shared" si="33"/>
        <v>0</v>
      </c>
      <c r="AZ29" s="60">
        <f t="shared" si="15"/>
        <v>0</v>
      </c>
      <c r="BA29" s="114"/>
    </row>
    <row r="30" spans="1:53" x14ac:dyDescent="0.25">
      <c r="A30" s="99">
        <f t="shared" si="35"/>
        <v>26</v>
      </c>
      <c r="B30" s="89" t="s">
        <v>3255</v>
      </c>
      <c r="C30" s="101"/>
      <c r="D30" s="102" t="str">
        <f>IF($C30="","",VLOOKUP($C30,'SDDA Dogs'!$A:$F,2,FALSE))</f>
        <v/>
      </c>
      <c r="E30" s="103" t="str">
        <f>IF($C30="","",VLOOKUP($C30,'SDDA Dogs'!$A:$O,13,FALSE))</f>
        <v/>
      </c>
      <c r="F30" s="137"/>
      <c r="G30" s="217"/>
      <c r="H30" s="84" t="str">
        <f t="shared" si="16"/>
        <v/>
      </c>
      <c r="I30" s="105">
        <f t="shared" si="1"/>
        <v>0</v>
      </c>
      <c r="J30" s="84" t="str">
        <f t="shared" si="17"/>
        <v/>
      </c>
      <c r="K30" s="105">
        <f t="shared" si="2"/>
        <v>0</v>
      </c>
      <c r="L30" s="84" t="str">
        <f t="shared" si="18"/>
        <v/>
      </c>
      <c r="M30" s="106" t="str">
        <f>IF($C30="","",VLOOKUP($C30,'SDDA Dogs'!$A:$O,14,FALSE))</f>
        <v/>
      </c>
      <c r="N30" s="137"/>
      <c r="O30" s="217"/>
      <c r="P30" s="84" t="str">
        <f t="shared" si="19"/>
        <v/>
      </c>
      <c r="Q30" s="105">
        <f t="shared" si="3"/>
        <v>0</v>
      </c>
      <c r="R30" s="84" t="str">
        <f t="shared" si="20"/>
        <v/>
      </c>
      <c r="S30" s="105">
        <f t="shared" si="4"/>
        <v>0</v>
      </c>
      <c r="T30" s="84" t="str">
        <f t="shared" si="21"/>
        <v/>
      </c>
      <c r="U30" s="106" t="str">
        <f>IF($C30="","",VLOOKUP($C30,'SDDA Dogs'!$A:$O,15,FALSE))</f>
        <v/>
      </c>
      <c r="V30" s="137"/>
      <c r="W30" s="217"/>
      <c r="X30" s="84" t="str">
        <f t="shared" si="22"/>
        <v/>
      </c>
      <c r="Y30" s="105">
        <f t="shared" si="5"/>
        <v>0</v>
      </c>
      <c r="Z30" s="84" t="str">
        <f t="shared" si="23"/>
        <v/>
      </c>
      <c r="AA30" s="105">
        <f t="shared" si="6"/>
        <v>0</v>
      </c>
      <c r="AB30" s="84" t="str">
        <f t="shared" si="24"/>
        <v/>
      </c>
      <c r="AC30" s="92" t="str">
        <f t="shared" si="7"/>
        <v/>
      </c>
      <c r="AD30" s="89" t="str">
        <f t="shared" si="25"/>
        <v/>
      </c>
      <c r="AE30" s="104" t="str">
        <f t="shared" si="26"/>
        <v/>
      </c>
      <c r="AF30" s="107" t="str">
        <f t="shared" si="27"/>
        <v/>
      </c>
      <c r="AG30" s="92" t="str">
        <f t="shared" si="34"/>
        <v/>
      </c>
      <c r="AH30" s="89" t="str">
        <f t="shared" si="28"/>
        <v/>
      </c>
      <c r="AI30" s="104" t="str">
        <f t="shared" si="29"/>
        <v/>
      </c>
      <c r="AJ30" s="84" t="str">
        <f t="shared" si="30"/>
        <v/>
      </c>
      <c r="AK30" s="99" t="str">
        <f t="shared" si="31"/>
        <v/>
      </c>
      <c r="AL30" s="89">
        <f>IFERROR(VLOOKUP(C30 &amp; "-Elite",DogInfo!A:B,2,FALSE),0)</f>
        <v>0</v>
      </c>
      <c r="AM30" s="84" t="str">
        <f t="shared" si="8"/>
        <v/>
      </c>
      <c r="AN30" s="84" t="str">
        <f t="shared" si="9"/>
        <v/>
      </c>
      <c r="AO30" s="84" t="str">
        <f t="shared" si="10"/>
        <v/>
      </c>
      <c r="AP30" s="84">
        <f t="shared" si="32"/>
        <v>0</v>
      </c>
      <c r="AQ30" s="115"/>
      <c r="AR30" s="47"/>
      <c r="AS30" s="47"/>
      <c r="AT30" s="47" t="str">
        <f>IF(ISERROR(VLOOKUP(C30,'SDDA Dogs'!A:O,6,FALSE)),"",VLOOKUP(C30,'SDDA Dogs'!A:O,6,FALSE))</f>
        <v/>
      </c>
      <c r="AU30" s="57">
        <f t="shared" si="11"/>
        <v>0</v>
      </c>
      <c r="AV30" s="57">
        <f t="shared" si="12"/>
        <v>0</v>
      </c>
      <c r="AW30" s="56">
        <f t="shared" si="13"/>
        <v>0</v>
      </c>
      <c r="AY30" s="60">
        <f t="shared" si="33"/>
        <v>0</v>
      </c>
      <c r="AZ30" s="60">
        <f t="shared" si="15"/>
        <v>0</v>
      </c>
      <c r="BA30" s="114"/>
    </row>
    <row r="31" spans="1:53" x14ac:dyDescent="0.25">
      <c r="A31" s="99">
        <f t="shared" si="35"/>
        <v>27</v>
      </c>
      <c r="B31" s="89" t="s">
        <v>3255</v>
      </c>
      <c r="C31" s="101"/>
      <c r="D31" s="102" t="str">
        <f>IF($C31="","",VLOOKUP($C31,'SDDA Dogs'!$A:$F,2,FALSE))</f>
        <v/>
      </c>
      <c r="E31" s="103" t="str">
        <f>IF($C31="","",VLOOKUP($C31,'SDDA Dogs'!$A:$O,13,FALSE))</f>
        <v/>
      </c>
      <c r="F31" s="137"/>
      <c r="G31" s="217"/>
      <c r="H31" s="84" t="str">
        <f t="shared" si="16"/>
        <v/>
      </c>
      <c r="I31" s="105">
        <f t="shared" si="1"/>
        <v>0</v>
      </c>
      <c r="J31" s="84" t="str">
        <f t="shared" si="17"/>
        <v/>
      </c>
      <c r="K31" s="105">
        <f t="shared" si="2"/>
        <v>0</v>
      </c>
      <c r="L31" s="84" t="str">
        <f t="shared" si="18"/>
        <v/>
      </c>
      <c r="M31" s="106" t="str">
        <f>IF($C31="","",VLOOKUP($C31,'SDDA Dogs'!$A:$O,14,FALSE))</f>
        <v/>
      </c>
      <c r="N31" s="137"/>
      <c r="O31" s="217"/>
      <c r="P31" s="84" t="str">
        <f t="shared" si="19"/>
        <v/>
      </c>
      <c r="Q31" s="105">
        <f t="shared" si="3"/>
        <v>0</v>
      </c>
      <c r="R31" s="84" t="str">
        <f t="shared" si="20"/>
        <v/>
      </c>
      <c r="S31" s="105">
        <f t="shared" si="4"/>
        <v>0</v>
      </c>
      <c r="T31" s="84" t="str">
        <f t="shared" si="21"/>
        <v/>
      </c>
      <c r="U31" s="106" t="str">
        <f>IF($C31="","",VLOOKUP($C31,'SDDA Dogs'!$A:$O,15,FALSE))</f>
        <v/>
      </c>
      <c r="V31" s="137"/>
      <c r="W31" s="217"/>
      <c r="X31" s="84" t="str">
        <f t="shared" si="22"/>
        <v/>
      </c>
      <c r="Y31" s="105">
        <f t="shared" si="5"/>
        <v>0</v>
      </c>
      <c r="Z31" s="84" t="str">
        <f t="shared" si="23"/>
        <v/>
      </c>
      <c r="AA31" s="105">
        <f t="shared" si="6"/>
        <v>0</v>
      </c>
      <c r="AB31" s="84" t="str">
        <f t="shared" si="24"/>
        <v/>
      </c>
      <c r="AC31" s="92" t="str">
        <f t="shared" si="7"/>
        <v/>
      </c>
      <c r="AD31" s="89" t="str">
        <f t="shared" si="25"/>
        <v/>
      </c>
      <c r="AE31" s="104" t="str">
        <f t="shared" si="26"/>
        <v/>
      </c>
      <c r="AF31" s="107" t="str">
        <f t="shared" si="27"/>
        <v/>
      </c>
      <c r="AG31" s="92" t="str">
        <f t="shared" si="34"/>
        <v/>
      </c>
      <c r="AH31" s="89" t="str">
        <f t="shared" si="28"/>
        <v/>
      </c>
      <c r="AI31" s="104" t="str">
        <f t="shared" si="29"/>
        <v/>
      </c>
      <c r="AJ31" s="84" t="str">
        <f t="shared" si="30"/>
        <v/>
      </c>
      <c r="AK31" s="99" t="str">
        <f t="shared" si="31"/>
        <v/>
      </c>
      <c r="AL31" s="89">
        <f>IFERROR(VLOOKUP(C31 &amp; "-Elite",DogInfo!A:B,2,FALSE),0)</f>
        <v>0</v>
      </c>
      <c r="AM31" s="84" t="str">
        <f t="shared" si="8"/>
        <v/>
      </c>
      <c r="AN31" s="84" t="str">
        <f t="shared" si="9"/>
        <v/>
      </c>
      <c r="AO31" s="84" t="str">
        <f t="shared" si="10"/>
        <v/>
      </c>
      <c r="AP31" s="84">
        <f t="shared" si="32"/>
        <v>0</v>
      </c>
      <c r="AQ31" s="115"/>
      <c r="AR31" s="47"/>
      <c r="AS31" s="47"/>
      <c r="AT31" s="47" t="str">
        <f>IF(ISERROR(VLOOKUP(C31,'SDDA Dogs'!A:O,6,FALSE)),"",VLOOKUP(C31,'SDDA Dogs'!A:O,6,FALSE))</f>
        <v/>
      </c>
      <c r="AU31" s="57">
        <f t="shared" si="11"/>
        <v>0</v>
      </c>
      <c r="AV31" s="57">
        <f t="shared" si="12"/>
        <v>0</v>
      </c>
      <c r="AW31" s="56">
        <f t="shared" si="13"/>
        <v>0</v>
      </c>
      <c r="AY31" s="60">
        <f t="shared" si="33"/>
        <v>0</v>
      </c>
      <c r="AZ31" s="60">
        <f t="shared" si="15"/>
        <v>0</v>
      </c>
      <c r="BA31" s="114"/>
    </row>
    <row r="32" spans="1:53" x14ac:dyDescent="0.25">
      <c r="A32" s="99">
        <f t="shared" si="35"/>
        <v>28</v>
      </c>
      <c r="B32" s="89" t="s">
        <v>3255</v>
      </c>
      <c r="C32" s="101"/>
      <c r="D32" s="102" t="str">
        <f>IF($C32="","",VLOOKUP($C32,'SDDA Dogs'!$A:$F,2,FALSE))</f>
        <v/>
      </c>
      <c r="E32" s="103" t="str">
        <f>IF($C32="","",VLOOKUP($C32,'SDDA Dogs'!$A:$O,13,FALSE))</f>
        <v/>
      </c>
      <c r="F32" s="137"/>
      <c r="G32" s="217"/>
      <c r="H32" s="84" t="str">
        <f t="shared" si="16"/>
        <v/>
      </c>
      <c r="I32" s="105">
        <f t="shared" si="1"/>
        <v>0</v>
      </c>
      <c r="J32" s="84" t="str">
        <f t="shared" si="17"/>
        <v/>
      </c>
      <c r="K32" s="105">
        <f t="shared" si="2"/>
        <v>0</v>
      </c>
      <c r="L32" s="84" t="str">
        <f t="shared" si="18"/>
        <v/>
      </c>
      <c r="M32" s="106" t="str">
        <f>IF($C32="","",VLOOKUP($C32,'SDDA Dogs'!$A:$O,14,FALSE))</f>
        <v/>
      </c>
      <c r="N32" s="137"/>
      <c r="O32" s="217"/>
      <c r="P32" s="84" t="str">
        <f t="shared" si="19"/>
        <v/>
      </c>
      <c r="Q32" s="105">
        <f t="shared" si="3"/>
        <v>0</v>
      </c>
      <c r="R32" s="84" t="str">
        <f t="shared" si="20"/>
        <v/>
      </c>
      <c r="S32" s="105">
        <f t="shared" si="4"/>
        <v>0</v>
      </c>
      <c r="T32" s="84" t="str">
        <f t="shared" si="21"/>
        <v/>
      </c>
      <c r="U32" s="106" t="str">
        <f>IF($C32="","",VLOOKUP($C32,'SDDA Dogs'!$A:$O,15,FALSE))</f>
        <v/>
      </c>
      <c r="V32" s="137"/>
      <c r="W32" s="217"/>
      <c r="X32" s="84" t="str">
        <f t="shared" si="22"/>
        <v/>
      </c>
      <c r="Y32" s="105">
        <f t="shared" si="5"/>
        <v>0</v>
      </c>
      <c r="Z32" s="84" t="str">
        <f t="shared" si="23"/>
        <v/>
      </c>
      <c r="AA32" s="105">
        <f t="shared" si="6"/>
        <v>0</v>
      </c>
      <c r="AB32" s="84" t="str">
        <f t="shared" si="24"/>
        <v/>
      </c>
      <c r="AC32" s="92" t="str">
        <f t="shared" si="7"/>
        <v/>
      </c>
      <c r="AD32" s="89" t="str">
        <f t="shared" si="25"/>
        <v/>
      </c>
      <c r="AE32" s="104" t="str">
        <f t="shared" si="26"/>
        <v/>
      </c>
      <c r="AF32" s="107" t="str">
        <f t="shared" si="27"/>
        <v/>
      </c>
      <c r="AG32" s="92" t="str">
        <f t="shared" si="34"/>
        <v/>
      </c>
      <c r="AH32" s="89" t="str">
        <f t="shared" si="28"/>
        <v/>
      </c>
      <c r="AI32" s="104" t="str">
        <f t="shared" si="29"/>
        <v/>
      </c>
      <c r="AJ32" s="84" t="str">
        <f t="shared" si="30"/>
        <v/>
      </c>
      <c r="AK32" s="99" t="str">
        <f t="shared" si="31"/>
        <v/>
      </c>
      <c r="AL32" s="89">
        <f>IFERROR(VLOOKUP(C32 &amp; "-Elite",DogInfo!A:B,2,FALSE),0)</f>
        <v>0</v>
      </c>
      <c r="AM32" s="84" t="str">
        <f t="shared" si="8"/>
        <v/>
      </c>
      <c r="AN32" s="84" t="str">
        <f t="shared" si="9"/>
        <v/>
      </c>
      <c r="AO32" s="84" t="str">
        <f t="shared" si="10"/>
        <v/>
      </c>
      <c r="AP32" s="84">
        <f t="shared" si="32"/>
        <v>0</v>
      </c>
      <c r="AQ32" s="115"/>
      <c r="AR32" s="47"/>
      <c r="AS32" s="47"/>
      <c r="AT32" s="47" t="str">
        <f>IF(ISERROR(VLOOKUP(C32,'SDDA Dogs'!A:O,6,FALSE)),"",VLOOKUP(C32,'SDDA Dogs'!A:O,6,FALSE))</f>
        <v/>
      </c>
      <c r="AU32" s="57">
        <f t="shared" si="11"/>
        <v>0</v>
      </c>
      <c r="AV32" s="57">
        <f t="shared" si="12"/>
        <v>0</v>
      </c>
      <c r="AW32" s="56">
        <f t="shared" si="13"/>
        <v>0</v>
      </c>
      <c r="AY32" s="60">
        <f t="shared" si="33"/>
        <v>0</v>
      </c>
      <c r="AZ32" s="60">
        <f t="shared" si="15"/>
        <v>0</v>
      </c>
      <c r="BA32" s="114"/>
    </row>
    <row r="33" spans="1:53" x14ac:dyDescent="0.25">
      <c r="A33" s="99">
        <f t="shared" si="35"/>
        <v>29</v>
      </c>
      <c r="B33" s="89" t="s">
        <v>3255</v>
      </c>
      <c r="C33" s="101"/>
      <c r="D33" s="102" t="str">
        <f>IF($C33="","",VLOOKUP($C33,'SDDA Dogs'!$A:$F,2,FALSE))</f>
        <v/>
      </c>
      <c r="E33" s="103" t="str">
        <f>IF($C33="","",VLOOKUP($C33,'SDDA Dogs'!$A:$O,13,FALSE))</f>
        <v/>
      </c>
      <c r="F33" s="137"/>
      <c r="G33" s="217"/>
      <c r="H33" s="84" t="str">
        <f t="shared" si="16"/>
        <v/>
      </c>
      <c r="I33" s="105">
        <f t="shared" si="1"/>
        <v>0</v>
      </c>
      <c r="J33" s="84" t="str">
        <f t="shared" si="17"/>
        <v/>
      </c>
      <c r="K33" s="105">
        <f t="shared" si="2"/>
        <v>0</v>
      </c>
      <c r="L33" s="84" t="str">
        <f t="shared" si="18"/>
        <v/>
      </c>
      <c r="M33" s="106" t="str">
        <f>IF($C33="","",VLOOKUP($C33,'SDDA Dogs'!$A:$O,14,FALSE))</f>
        <v/>
      </c>
      <c r="N33" s="137"/>
      <c r="O33" s="217"/>
      <c r="P33" s="84" t="str">
        <f t="shared" si="19"/>
        <v/>
      </c>
      <c r="Q33" s="105">
        <f t="shared" si="3"/>
        <v>0</v>
      </c>
      <c r="R33" s="84" t="str">
        <f t="shared" si="20"/>
        <v/>
      </c>
      <c r="S33" s="105">
        <f t="shared" si="4"/>
        <v>0</v>
      </c>
      <c r="T33" s="84" t="str">
        <f t="shared" si="21"/>
        <v/>
      </c>
      <c r="U33" s="106" t="str">
        <f>IF($C33="","",VLOOKUP($C33,'SDDA Dogs'!$A:$O,15,FALSE))</f>
        <v/>
      </c>
      <c r="V33" s="137"/>
      <c r="W33" s="217"/>
      <c r="X33" s="84" t="str">
        <f t="shared" si="22"/>
        <v/>
      </c>
      <c r="Y33" s="105">
        <f t="shared" si="5"/>
        <v>0</v>
      </c>
      <c r="Z33" s="84" t="str">
        <f t="shared" si="23"/>
        <v/>
      </c>
      <c r="AA33" s="105">
        <f t="shared" si="6"/>
        <v>0</v>
      </c>
      <c r="AB33" s="84" t="str">
        <f t="shared" si="24"/>
        <v/>
      </c>
      <c r="AC33" s="92" t="str">
        <f t="shared" si="7"/>
        <v/>
      </c>
      <c r="AD33" s="89" t="str">
        <f t="shared" si="25"/>
        <v/>
      </c>
      <c r="AE33" s="104" t="str">
        <f t="shared" si="26"/>
        <v/>
      </c>
      <c r="AF33" s="107" t="str">
        <f t="shared" si="27"/>
        <v/>
      </c>
      <c r="AG33" s="92" t="str">
        <f t="shared" si="34"/>
        <v/>
      </c>
      <c r="AH33" s="89" t="str">
        <f t="shared" si="28"/>
        <v/>
      </c>
      <c r="AI33" s="104" t="str">
        <f t="shared" si="29"/>
        <v/>
      </c>
      <c r="AJ33" s="84" t="str">
        <f t="shared" si="30"/>
        <v/>
      </c>
      <c r="AK33" s="99" t="str">
        <f t="shared" si="31"/>
        <v/>
      </c>
      <c r="AL33" s="89">
        <f>IFERROR(VLOOKUP(C33 &amp; "-Elite",DogInfo!A:B,2,FALSE),0)</f>
        <v>0</v>
      </c>
      <c r="AM33" s="84" t="str">
        <f t="shared" si="8"/>
        <v/>
      </c>
      <c r="AN33" s="84" t="str">
        <f t="shared" si="9"/>
        <v/>
      </c>
      <c r="AO33" s="84" t="str">
        <f t="shared" si="10"/>
        <v/>
      </c>
      <c r="AP33" s="84">
        <f t="shared" si="32"/>
        <v>0</v>
      </c>
      <c r="AQ33" s="115"/>
      <c r="AR33" s="47"/>
      <c r="AS33" s="47"/>
      <c r="AT33" s="47" t="str">
        <f>IF(ISERROR(VLOOKUP(C33,'SDDA Dogs'!A:O,6,FALSE)),"",VLOOKUP(C33,'SDDA Dogs'!A:O,6,FALSE))</f>
        <v/>
      </c>
      <c r="AU33" s="57">
        <f t="shared" si="11"/>
        <v>0</v>
      </c>
      <c r="AV33" s="57">
        <f t="shared" si="12"/>
        <v>0</v>
      </c>
      <c r="AW33" s="56">
        <f t="shared" si="13"/>
        <v>0</v>
      </c>
      <c r="AY33" s="60">
        <f t="shared" si="33"/>
        <v>0</v>
      </c>
      <c r="AZ33" s="60">
        <f t="shared" si="15"/>
        <v>0</v>
      </c>
      <c r="BA33" s="114"/>
    </row>
    <row r="34" spans="1:53" x14ac:dyDescent="0.25">
      <c r="A34" s="99">
        <f t="shared" si="35"/>
        <v>30</v>
      </c>
      <c r="B34" s="89" t="s">
        <v>3255</v>
      </c>
      <c r="C34" s="101"/>
      <c r="D34" s="102" t="str">
        <f>IF($C34="","",VLOOKUP($C34,'SDDA Dogs'!$A:$F,2,FALSE))</f>
        <v/>
      </c>
      <c r="E34" s="103" t="str">
        <f>IF($C34="","",VLOOKUP($C34,'SDDA Dogs'!$A:$O,13,FALSE))</f>
        <v/>
      </c>
      <c r="F34" s="137"/>
      <c r="G34" s="217"/>
      <c r="H34" s="84" t="str">
        <f t="shared" si="16"/>
        <v/>
      </c>
      <c r="I34" s="105">
        <f t="shared" si="1"/>
        <v>0</v>
      </c>
      <c r="J34" s="84" t="str">
        <f t="shared" si="17"/>
        <v/>
      </c>
      <c r="K34" s="105">
        <f t="shared" si="2"/>
        <v>0</v>
      </c>
      <c r="L34" s="84" t="str">
        <f t="shared" si="18"/>
        <v/>
      </c>
      <c r="M34" s="106" t="str">
        <f>IF($C34="","",VLOOKUP($C34,'SDDA Dogs'!$A:$O,14,FALSE))</f>
        <v/>
      </c>
      <c r="N34" s="137"/>
      <c r="O34" s="217"/>
      <c r="P34" s="84" t="str">
        <f t="shared" si="19"/>
        <v/>
      </c>
      <c r="Q34" s="105">
        <f t="shared" si="3"/>
        <v>0</v>
      </c>
      <c r="R34" s="84" t="str">
        <f t="shared" si="20"/>
        <v/>
      </c>
      <c r="S34" s="105">
        <f t="shared" si="4"/>
        <v>0</v>
      </c>
      <c r="T34" s="84" t="str">
        <f t="shared" si="21"/>
        <v/>
      </c>
      <c r="U34" s="106" t="str">
        <f>IF($C34="","",VLOOKUP($C34,'SDDA Dogs'!$A:$O,15,FALSE))</f>
        <v/>
      </c>
      <c r="V34" s="137"/>
      <c r="W34" s="217"/>
      <c r="X34" s="84" t="str">
        <f t="shared" si="22"/>
        <v/>
      </c>
      <c r="Y34" s="105">
        <f t="shared" si="5"/>
        <v>0</v>
      </c>
      <c r="Z34" s="84" t="str">
        <f t="shared" si="23"/>
        <v/>
      </c>
      <c r="AA34" s="105">
        <f t="shared" si="6"/>
        <v>0</v>
      </c>
      <c r="AB34" s="84" t="str">
        <f t="shared" si="24"/>
        <v/>
      </c>
      <c r="AC34" s="92" t="str">
        <f t="shared" si="7"/>
        <v/>
      </c>
      <c r="AD34" s="89" t="str">
        <f t="shared" si="25"/>
        <v/>
      </c>
      <c r="AE34" s="104" t="str">
        <f t="shared" si="26"/>
        <v/>
      </c>
      <c r="AF34" s="107" t="str">
        <f t="shared" si="27"/>
        <v/>
      </c>
      <c r="AG34" s="92" t="str">
        <f t="shared" si="34"/>
        <v/>
      </c>
      <c r="AH34" s="89" t="str">
        <f t="shared" si="28"/>
        <v/>
      </c>
      <c r="AI34" s="104" t="str">
        <f t="shared" si="29"/>
        <v/>
      </c>
      <c r="AJ34" s="84" t="str">
        <f t="shared" si="30"/>
        <v/>
      </c>
      <c r="AK34" s="99" t="str">
        <f t="shared" si="31"/>
        <v/>
      </c>
      <c r="AL34" s="89">
        <f>IFERROR(VLOOKUP(C34 &amp; "-Elite",DogInfo!A:B,2,FALSE),0)</f>
        <v>0</v>
      </c>
      <c r="AM34" s="84" t="str">
        <f t="shared" si="8"/>
        <v/>
      </c>
      <c r="AN34" s="84" t="str">
        <f t="shared" si="9"/>
        <v/>
      </c>
      <c r="AO34" s="84" t="str">
        <f t="shared" si="10"/>
        <v/>
      </c>
      <c r="AP34" s="84">
        <f t="shared" si="32"/>
        <v>0</v>
      </c>
      <c r="AQ34" s="115"/>
      <c r="AR34" s="47"/>
      <c r="AS34" s="47"/>
      <c r="AT34" s="47" t="str">
        <f>IF(ISERROR(VLOOKUP(C34,'SDDA Dogs'!A:O,6,FALSE)),"",VLOOKUP(C34,'SDDA Dogs'!A:O,6,FALSE))</f>
        <v/>
      </c>
      <c r="AU34" s="57">
        <f t="shared" si="11"/>
        <v>0</v>
      </c>
      <c r="AV34" s="57">
        <f t="shared" si="12"/>
        <v>0</v>
      </c>
      <c r="AW34" s="56">
        <f t="shared" si="13"/>
        <v>0</v>
      </c>
      <c r="AY34" s="60">
        <f t="shared" si="33"/>
        <v>0</v>
      </c>
      <c r="AZ34" s="60">
        <f t="shared" si="15"/>
        <v>0</v>
      </c>
      <c r="BA34" s="114"/>
    </row>
    <row r="35" spans="1:53" x14ac:dyDescent="0.25">
      <c r="A35" s="9" t="s">
        <v>1548</v>
      </c>
      <c r="B35" s="9"/>
      <c r="C35" s="9"/>
      <c r="D35" s="9"/>
      <c r="E35" s="9"/>
      <c r="F35" s="57">
        <f>COUNT(F5:F34)+ COUNTIF(F5:F34,"E") + COUNTIF(F5:F34,"FEO")</f>
        <v>0</v>
      </c>
      <c r="G35" s="57"/>
      <c r="H35" s="57"/>
      <c r="I35" s="57"/>
      <c r="J35" s="57"/>
      <c r="K35" s="57"/>
      <c r="L35" s="57"/>
      <c r="M35" s="57"/>
      <c r="N35" s="57">
        <f>COUNT(N5:N34)+ COUNTIF(N5:N34,"E") + COUNTIF(N5:N34,"FEO")</f>
        <v>0</v>
      </c>
      <c r="O35" s="57"/>
      <c r="P35" s="57"/>
      <c r="Q35" s="57"/>
      <c r="R35" s="57"/>
      <c r="S35" s="57"/>
      <c r="T35" s="57"/>
      <c r="U35" s="57"/>
      <c r="V35" s="57">
        <f>COUNT(V5:V34)+ COUNTIF(V5:V34,"E") + COUNTIF(V5:V34,"FEO")</f>
        <v>0</v>
      </c>
      <c r="W35" s="57"/>
      <c r="X35" s="10" t="s">
        <v>1549</v>
      </c>
      <c r="Y35" s="57"/>
      <c r="Z35" s="57"/>
      <c r="AA35" s="57"/>
      <c r="AB35" s="57"/>
      <c r="AC35" s="57"/>
      <c r="AD35" s="57"/>
      <c r="AE35" s="57"/>
      <c r="AF35" s="57"/>
      <c r="AG35" s="57">
        <f>F35+N35+V35</f>
        <v>0</v>
      </c>
      <c r="AH35" s="57"/>
      <c r="AI35" s="57"/>
      <c r="AJ35" s="57"/>
      <c r="AK35" s="57"/>
      <c r="AL35" s="57" t="s">
        <v>2455</v>
      </c>
      <c r="AM35" s="57"/>
      <c r="AN35" s="57"/>
      <c r="AO35" s="57"/>
      <c r="AP35" s="57">
        <f>COUNTIFS(AL5:AL34,0,AP5:AP34,1)</f>
        <v>0</v>
      </c>
    </row>
    <row r="42" spans="1:53" s="9" customFormat="1" ht="12.75" x14ac:dyDescent="0.2">
      <c r="A42" s="9" t="s">
        <v>624</v>
      </c>
      <c r="C42" s="9">
        <f>TrialNumberDay2</f>
        <v>0</v>
      </c>
      <c r="D42" s="10"/>
      <c r="E42" s="10"/>
      <c r="G42" s="10" t="s">
        <v>3505</v>
      </c>
      <c r="H42" s="398">
        <f>TrialVenue</f>
        <v>0</v>
      </c>
      <c r="I42" s="398"/>
      <c r="J42" s="398"/>
      <c r="K42" s="398"/>
      <c r="L42" s="398"/>
      <c r="M42" s="398"/>
      <c r="N42" s="398"/>
      <c r="O42" s="398"/>
      <c r="Q42" s="10"/>
      <c r="R42" s="10"/>
      <c r="S42" s="10"/>
      <c r="T42" s="10"/>
      <c r="U42" s="10"/>
      <c r="W42" s="10" t="s">
        <v>10</v>
      </c>
      <c r="X42" s="399" t="str">
        <f>TEXT(TrialDateDay2, "mmm-dd-yyyy")</f>
        <v/>
      </c>
      <c r="Y42" s="399"/>
      <c r="Z42" s="399"/>
      <c r="AA42" s="399"/>
      <c r="AB42" s="399"/>
      <c r="AC42" s="399"/>
      <c r="AD42" s="38"/>
      <c r="AE42" s="10"/>
      <c r="AF42" s="38"/>
      <c r="AG42" s="38"/>
      <c r="AH42" s="38"/>
      <c r="AI42" s="38"/>
      <c r="AJ42" s="38"/>
      <c r="AK42" s="38"/>
      <c r="AL42" s="57"/>
      <c r="AM42" s="57"/>
      <c r="AN42" s="57"/>
      <c r="AO42" s="57"/>
      <c r="AP42" s="57"/>
      <c r="AQ42" s="80"/>
      <c r="AR42" s="404"/>
      <c r="AS42" s="404"/>
      <c r="AT42" s="404"/>
      <c r="AU42" s="404"/>
      <c r="AV42" s="404"/>
      <c r="AW42" s="404"/>
      <c r="AY42" s="60"/>
      <c r="AZ42" s="60"/>
    </row>
    <row r="43" spans="1:53" s="25" customFormat="1" ht="12" x14ac:dyDescent="0.25">
      <c r="A43" s="30"/>
      <c r="B43" s="395" t="s">
        <v>611</v>
      </c>
      <c r="C43" s="396"/>
      <c r="D43" s="397"/>
      <c r="E43" s="31"/>
      <c r="F43" s="395" t="s">
        <v>30</v>
      </c>
      <c r="G43" s="396"/>
      <c r="H43" s="396"/>
      <c r="I43" s="396"/>
      <c r="J43" s="396"/>
      <c r="K43" s="396"/>
      <c r="L43" s="397"/>
      <c r="M43" s="31"/>
      <c r="N43" s="395" t="s">
        <v>31</v>
      </c>
      <c r="O43" s="396"/>
      <c r="P43" s="396"/>
      <c r="Q43" s="396"/>
      <c r="R43" s="396"/>
      <c r="S43" s="396"/>
      <c r="T43" s="397"/>
      <c r="U43" s="31"/>
      <c r="V43" s="395" t="s">
        <v>32</v>
      </c>
      <c r="W43" s="396"/>
      <c r="X43" s="396"/>
      <c r="Y43" s="396"/>
      <c r="Z43" s="396"/>
      <c r="AA43" s="396"/>
      <c r="AB43" s="397"/>
      <c r="AC43" s="31" t="s">
        <v>659</v>
      </c>
      <c r="AD43" s="37"/>
      <c r="AE43" s="37"/>
      <c r="AF43" s="31"/>
      <c r="AG43" s="391" t="s">
        <v>651</v>
      </c>
      <c r="AH43" s="392"/>
      <c r="AI43" s="392"/>
      <c r="AJ43" s="392"/>
      <c r="AK43" s="395"/>
      <c r="AL43" s="58"/>
      <c r="AM43" s="58"/>
      <c r="AN43" s="58"/>
      <c r="AO43" s="58"/>
      <c r="AP43" s="58"/>
      <c r="AQ43" s="81"/>
      <c r="AU43" s="58"/>
      <c r="AV43" s="58"/>
      <c r="AY43" s="61"/>
      <c r="AZ43" s="61"/>
    </row>
    <row r="44" spans="1:53" s="3" customFormat="1" ht="42.75" customHeight="1" x14ac:dyDescent="0.25">
      <c r="A44" s="29" t="s">
        <v>605</v>
      </c>
      <c r="B44" s="26" t="s">
        <v>604</v>
      </c>
      <c r="C44" s="7" t="s">
        <v>612</v>
      </c>
      <c r="D44" s="27" t="s">
        <v>2</v>
      </c>
      <c r="E44" s="32" t="s">
        <v>660</v>
      </c>
      <c r="F44" s="26" t="s">
        <v>1131</v>
      </c>
      <c r="G44" s="7" t="s">
        <v>602</v>
      </c>
      <c r="H44" s="7" t="s">
        <v>603</v>
      </c>
      <c r="I44" s="24" t="s">
        <v>607</v>
      </c>
      <c r="J44" s="24" t="s">
        <v>618</v>
      </c>
      <c r="K44" s="24" t="s">
        <v>601</v>
      </c>
      <c r="L44" s="28" t="s">
        <v>621</v>
      </c>
      <c r="M44" s="33" t="s">
        <v>661</v>
      </c>
      <c r="N44" s="26" t="s">
        <v>1134</v>
      </c>
      <c r="O44" s="7" t="s">
        <v>606</v>
      </c>
      <c r="P44" s="7" t="s">
        <v>610</v>
      </c>
      <c r="Q44" s="24" t="s">
        <v>608</v>
      </c>
      <c r="R44" s="24" t="s">
        <v>619</v>
      </c>
      <c r="S44" s="24" t="s">
        <v>609</v>
      </c>
      <c r="T44" s="28" t="s">
        <v>622</v>
      </c>
      <c r="U44" s="33" t="s">
        <v>662</v>
      </c>
      <c r="V44" s="26" t="s">
        <v>1133</v>
      </c>
      <c r="W44" s="7" t="s">
        <v>615</v>
      </c>
      <c r="X44" s="7" t="s">
        <v>617</v>
      </c>
      <c r="Y44" s="24" t="s">
        <v>613</v>
      </c>
      <c r="Z44" s="24" t="s">
        <v>620</v>
      </c>
      <c r="AA44" s="24" t="s">
        <v>614</v>
      </c>
      <c r="AB44" s="28" t="s">
        <v>623</v>
      </c>
      <c r="AC44" s="34" t="s">
        <v>616</v>
      </c>
      <c r="AD44" s="26" t="s">
        <v>654</v>
      </c>
      <c r="AE44" s="7" t="s">
        <v>655</v>
      </c>
      <c r="AF44" s="34" t="s">
        <v>650</v>
      </c>
      <c r="AG44" s="32" t="s">
        <v>653</v>
      </c>
      <c r="AH44" s="26" t="s">
        <v>656</v>
      </c>
      <c r="AI44" s="7" t="s">
        <v>657</v>
      </c>
      <c r="AJ44" s="26" t="s">
        <v>658</v>
      </c>
      <c r="AK44" s="26" t="s">
        <v>652</v>
      </c>
      <c r="AL44" s="59" t="s">
        <v>2048</v>
      </c>
      <c r="AM44" s="59" t="s">
        <v>1075</v>
      </c>
      <c r="AN44" s="59" t="s">
        <v>1076</v>
      </c>
      <c r="AO44" s="59" t="s">
        <v>1077</v>
      </c>
      <c r="AP44" s="59" t="s">
        <v>2049</v>
      </c>
      <c r="AQ44" s="82"/>
      <c r="AR44" s="59" t="s">
        <v>1286</v>
      </c>
      <c r="AS44" s="59" t="s">
        <v>1287</v>
      </c>
      <c r="AT44" s="3" t="s">
        <v>1137</v>
      </c>
      <c r="AU44" s="59" t="s">
        <v>1145</v>
      </c>
      <c r="AV44" s="59" t="s">
        <v>1146</v>
      </c>
      <c r="AW44" s="3" t="s">
        <v>1147</v>
      </c>
      <c r="AY44" s="63" t="s">
        <v>1172</v>
      </c>
      <c r="AZ44" s="63" t="s">
        <v>1173</v>
      </c>
      <c r="BA44" s="3" t="s">
        <v>1561</v>
      </c>
    </row>
    <row r="45" spans="1:53" x14ac:dyDescent="0.25">
      <c r="A45" s="99">
        <v>1</v>
      </c>
      <c r="B45" s="89" t="s">
        <v>3255</v>
      </c>
      <c r="C45" s="101"/>
      <c r="D45" s="102" t="str">
        <f>IF($C45="","",VLOOKUP($C45,'SDDA Dogs'!$A:$F,2,FALSE))</f>
        <v/>
      </c>
      <c r="E45" s="103" t="str">
        <f>IF($C45="","",VLOOKUP($C45,'SDDA Dogs'!$A:$O,13,FALSE))</f>
        <v/>
      </c>
      <c r="F45" s="137"/>
      <c r="G45" s="217"/>
      <c r="H45" s="84" t="str">
        <f>IF(OR(F45="",F45="NE",F45="e",F45="feo"),"",(IF(F45&gt;=30,"Pass","Fail")))</f>
        <v/>
      </c>
      <c r="I45" s="105">
        <f t="shared" ref="I45:I74" si="36">IF(OR(AND($H45="Pass",$B45="A"),AND($H45="Fail",UseFail="Y",$B45="A")),$F45,0)+IF(OR(AND($H45="Pass",$B45="A"),AND($H45="Fail",UseFail="Y",$B45="A")),(MaxTmCSL-VALUE($G45)),0)</f>
        <v>0</v>
      </c>
      <c r="J45" s="84" t="str">
        <f>IF(AND($B45="A",$F45&lt;&gt;0,$G45&lt;&gt;0,I45&lt;&gt;0),(RANK(I45,I$45:I$74,0)),"")</f>
        <v/>
      </c>
      <c r="K45" s="105">
        <f t="shared" ref="K45:K74" si="37">IF(OR(AND($H45="Pass",$B45="W"),AND($H45="Fail",UseFail="Y",$B45="W")),$F45,0)+IF(OR(AND($H45="Pass",$B45="W"),AND($H45="Fail",UseFail="Y",$B45="W")),(MaxTmCSL-VALUE($G45)),0)</f>
        <v>0</v>
      </c>
      <c r="L45" s="84" t="str">
        <f>IF(AND($B45="W",$F45&lt;&gt;0,$G45&lt;&gt;0,K45&lt;&gt;0),(RANK(K45,K$45:K$74,0)),"")</f>
        <v/>
      </c>
      <c r="M45" s="106" t="str">
        <f>IF($C45="","",VLOOKUP($C45,'SDDA Dogs'!$A:$O,14,FALSE))</f>
        <v/>
      </c>
      <c r="N45" s="137"/>
      <c r="O45" s="217"/>
      <c r="P45" s="84" t="str">
        <f>IF(OR(N45="",N45="NE",N45="e",N45="feo"),"",(IF(N45&gt;=40,"Pass","Fail")))</f>
        <v/>
      </c>
      <c r="Q45" s="105">
        <f t="shared" ref="Q45:Q74" si="38">IF(OR(AND($P45="Pass",$B45="A"),AND($P45="Fail",UseFail="Y",$B45="A")),$N45,0)+IF(OR(AND($P45="Pass",$B45="A"),AND($P45="Fail",UseFail="Y",$B45="A")),(MaxTmISL-VALUE($O45)),0)</f>
        <v>0</v>
      </c>
      <c r="R45" s="84" t="str">
        <f>IF(AND($B45="A",$N45&lt;&gt;0,$O45&lt;&gt;0,Q45&lt;&gt;0),(RANK(Q45,Q$45:Q$74,0)),"")</f>
        <v/>
      </c>
      <c r="S45" s="105">
        <f t="shared" ref="S45:S74" si="39">IF(OR(AND($P45="Pass",$B45="W"),AND($P45="Fail",UseFail="Y",$B45="W")),$N45,0)+IF(OR(AND($P45="Pass",$B45="W"),AND($P45="Fail",UseFail="Y",$B45="W")),(MaxTmISL-VALUE($O45)),0)</f>
        <v>0</v>
      </c>
      <c r="T45" s="84" t="str">
        <f>IF(AND($B45="w",$N45&lt;&gt;0,$O45&lt;&gt;0,S45&lt;&gt;0),(RANK(S45,S$45:S$74,0)),"")</f>
        <v/>
      </c>
      <c r="U45" s="106" t="str">
        <f>IF($C45="","",VLOOKUP($C45,'SDDA Dogs'!$A:$O,15,FALSE))</f>
        <v/>
      </c>
      <c r="V45" s="137"/>
      <c r="W45" s="217"/>
      <c r="X45" s="84" t="str">
        <f>IF(OR(V45="",V45="NE",V45="e",V45="feo"),"",(IF(V45&gt;=30,"Pass","Fail")))</f>
        <v/>
      </c>
      <c r="Y45" s="105">
        <f t="shared" ref="Y45:Y74" si="40">IF(OR(AND($X45="Pass",$B45="A"),AND($X45="Fail",UseFail="Y",$B45="A")),$V45,0)+IF(OR(AND($X45="Pass",$B45="A"),AND($X45="Fail",UseFail="Y",$B45="A")),(MaxTmESL-VALUE($W45)),0)</f>
        <v>0</v>
      </c>
      <c r="Z45" s="84" t="str">
        <f>IF(AND($B45="A",$V45&lt;&gt;0,$W45&lt;&gt;0,Y45&lt;&gt;0),(RANK(Y45,Y$45:Y$74,0)),"")</f>
        <v/>
      </c>
      <c r="AA45" s="105">
        <f t="shared" ref="AA45:AA74" si="41">IF(OR(AND($X45="Pass",$B45="w"),AND($X45="Fail",UseFail="Y",$B45="w")),$V45,0)+IF(OR(AND($X45="Pass",$B45="w"),AND($X45="Fail",UseFail="Y",$B45="w")),(MaxTmESL-VALUE($W45)),0)</f>
        <v>0</v>
      </c>
      <c r="AB45" s="84" t="str">
        <f>IF(AND($B45="w",$V45&lt;&gt;0,$W45&lt;&gt;0,AA45&lt;&gt;0),(RANK(AA45,AA$45:AA$74,0)),"")</f>
        <v/>
      </c>
      <c r="AC45" s="92" t="str">
        <f t="shared" ref="AC45:AC74" si="42">IF(H45="Pass",IF(P45="Pass",IF(X45="Pass",F45+N45+V45,""),""),"")</f>
        <v/>
      </c>
      <c r="AD45" s="89" t="str">
        <f>IF(AND(ISNUMBER($J45),ISNUMBER($R45),ISNUMBER($Z45))=TRUE,$F45+$N45+$V45,"")</f>
        <v/>
      </c>
      <c r="AE45" s="104" t="str">
        <f>IF(AND(ISNUMBER($J45),ISNUMBER($R45),ISNUMBER($Z45))=TRUE,$G45+$O45+$W45,"")</f>
        <v/>
      </c>
      <c r="AF45" s="107" t="str">
        <f>IF(ISNUMBER(AD45),(RANK(AD45,AD$45:AD$74,0)*10)+RANK(AE45,AE$45:AE$74,1),"")</f>
        <v/>
      </c>
      <c r="AG45" s="92" t="str">
        <f>IF(ISNUMBER(AF45),RANK(AF45,AF$45:AF$74,1),"")</f>
        <v/>
      </c>
      <c r="AH45" s="89" t="str">
        <f>IF(AND(ISNUMBER($L45),ISNUMBER($T45),ISNUMBER($AB45))=TRUE,$F45+$N45+$V45,"")</f>
        <v/>
      </c>
      <c r="AI45" s="104" t="str">
        <f>IF(AND(ISNUMBER($L45),ISNUMBER($T45),ISNUMBER($AB45))=TRUE,$G45+$O45+$W45,"")</f>
        <v/>
      </c>
      <c r="AJ45" s="84" t="str">
        <f>IF(ISNUMBER(AH45),(RANK(AH45,AH$45:AH$74,0)*10)+RANK(AI45,AI$45:AI$74,1),"")</f>
        <v/>
      </c>
      <c r="AK45" s="108" t="str">
        <f>IF(ISNUMBER(AJ45),RANK(AJ45,AJ$45:AJ$74,1),"")</f>
        <v/>
      </c>
      <c r="AL45" s="89">
        <f>IFERROR(VLOOKUP(C45 &amp; "-Elite",DogInfo!A:B,2,FALSE),0)</f>
        <v>0</v>
      </c>
      <c r="AM45" s="84" t="str">
        <f t="shared" ref="AM45:AM74" si="43">IF(H45="Pass",E45+1,E45)</f>
        <v/>
      </c>
      <c r="AN45" s="84" t="str">
        <f t="shared" ref="AN45:AN74" si="44">IF(P45="Pass", M45+1,M45)</f>
        <v/>
      </c>
      <c r="AO45" s="84" t="str">
        <f t="shared" ref="AO45:AO74" si="45">IF(X45="Pass",U45+1,U45)</f>
        <v/>
      </c>
      <c r="AP45" s="84">
        <f>IF(AND(H45="pass",P45="Pass",X45="Pass"),AL45+1,AL45)</f>
        <v>0</v>
      </c>
      <c r="AQ45" s="115"/>
      <c r="AR45" s="47"/>
      <c r="AS45" s="47"/>
      <c r="AT45" s="47" t="str">
        <f>IF(ISERROR(VLOOKUP(C45,'SDDA Dogs'!A:O,6,FALSE)),"",VLOOKUP(C45,'SDDA Dogs'!A:O,6,FALSE))</f>
        <v/>
      </c>
      <c r="AU45" s="57">
        <f t="shared" ref="AU45:AU74" si="46">IF(OR(ISNUMBER(F45),F45="e"),1,0)+IF(OR(ISNUMBER(N45),N45="e"),1,0)+IF(OR(ISNUMBER(V45),V45="e"),1,0)</f>
        <v>0</v>
      </c>
      <c r="AV45" s="57">
        <f t="shared" ref="AV45:AV74" si="47">IF(F45="FEO",1,0)+IF(N45="FEO",1,0)+IF(V45="FEO",1,0)</f>
        <v>0</v>
      </c>
      <c r="AW45" s="56">
        <f t="shared" ref="AW45:AW74" si="48">((AU45*TrialFeeElite)+(AV45*FeoFeeElite))/3</f>
        <v>0</v>
      </c>
      <c r="AY45" s="60">
        <f t="shared" ref="AY45:AY74" si="49">IF(ISNUMBER(AC45),AC45/((MinScoreCSA + MinScoreISA + MinScoreESA)*2),0)</f>
        <v>0</v>
      </c>
      <c r="AZ45" s="60">
        <f t="shared" ref="AZ45:AZ74" si="50">IF(ISNUMBER(AC45),(G45+O45+W45)/(MaxTmCSL+MaxTmESL+MaxTmISL),0)</f>
        <v>0</v>
      </c>
      <c r="BA45" s="114"/>
    </row>
    <row r="46" spans="1:53" x14ac:dyDescent="0.25">
      <c r="A46" s="99">
        <v>2</v>
      </c>
      <c r="B46" s="89" t="s">
        <v>3255</v>
      </c>
      <c r="C46" s="101"/>
      <c r="D46" s="102" t="str">
        <f>IF($C46="","",VLOOKUP($C46,'SDDA Dogs'!$A:$F,2,FALSE))</f>
        <v/>
      </c>
      <c r="E46" s="103" t="str">
        <f>IF($C46="","",VLOOKUP($C46,'SDDA Dogs'!$A:$O,13,FALSE))</f>
        <v/>
      </c>
      <c r="F46" s="137"/>
      <c r="G46" s="217"/>
      <c r="H46" s="84" t="str">
        <f t="shared" ref="H46:H74" si="51">IF(OR(F46="",F46="NE",F46="e",F46="feo"),"",(IF(F46&gt;=30,"Pass","Fail")))</f>
        <v/>
      </c>
      <c r="I46" s="105">
        <f t="shared" si="36"/>
        <v>0</v>
      </c>
      <c r="J46" s="84" t="str">
        <f t="shared" ref="J46:J74" si="52">IF(AND($B46="A",$F46&lt;&gt;0,$G46&lt;&gt;0,I46&lt;&gt;0),(RANK(I46,I$45:I$74,0)),"")</f>
        <v/>
      </c>
      <c r="K46" s="105">
        <f t="shared" si="37"/>
        <v>0</v>
      </c>
      <c r="L46" s="84" t="str">
        <f t="shared" ref="L46:L74" si="53">IF(AND($B46="W",$F46&lt;&gt;0,$G46&lt;&gt;0,K46&lt;&gt;0),(RANK(K46,K$45:K$74,0)),"")</f>
        <v/>
      </c>
      <c r="M46" s="106" t="str">
        <f>IF($C46="","",VLOOKUP($C46,'SDDA Dogs'!$A:$O,14,FALSE))</f>
        <v/>
      </c>
      <c r="N46" s="137"/>
      <c r="O46" s="217"/>
      <c r="P46" s="84" t="str">
        <f t="shared" ref="P46:P74" si="54">IF(OR(N46="",N46="NE",N46="e",N46="feo"),"",(IF(N46&gt;=40,"Pass","Fail")))</f>
        <v/>
      </c>
      <c r="Q46" s="105">
        <f t="shared" si="38"/>
        <v>0</v>
      </c>
      <c r="R46" s="84" t="str">
        <f t="shared" ref="R46:R74" si="55">IF(AND($B46="A",$N46&lt;&gt;0,$O46&lt;&gt;0,Q46&lt;&gt;0),(RANK(Q46,Q$45:Q$74,0)),"")</f>
        <v/>
      </c>
      <c r="S46" s="105">
        <f t="shared" si="39"/>
        <v>0</v>
      </c>
      <c r="T46" s="84" t="str">
        <f t="shared" ref="T46:T74" si="56">IF(AND($B46="w",$N46&lt;&gt;0,$O46&lt;&gt;0,S46&lt;&gt;0),(RANK(S46,S$45:S$74,0)),"")</f>
        <v/>
      </c>
      <c r="U46" s="106" t="str">
        <f>IF($C46="","",VLOOKUP($C46,'SDDA Dogs'!$A:$O,15,FALSE))</f>
        <v/>
      </c>
      <c r="V46" s="137"/>
      <c r="W46" s="217"/>
      <c r="X46" s="84" t="str">
        <f t="shared" ref="X46:X74" si="57">IF(OR(V46="",V46="NE",V46="e",V46="feo"),"",(IF(V46&gt;=30,"Pass","Fail")))</f>
        <v/>
      </c>
      <c r="Y46" s="105">
        <f t="shared" si="40"/>
        <v>0</v>
      </c>
      <c r="Z46" s="84" t="str">
        <f t="shared" ref="Z46:Z74" si="58">IF(AND($B46="A",$V46&lt;&gt;0,$W46&lt;&gt;0,Y46&lt;&gt;0),(RANK(Y46,Y$45:Y$74,0)),"")</f>
        <v/>
      </c>
      <c r="AA46" s="105">
        <f t="shared" si="41"/>
        <v>0</v>
      </c>
      <c r="AB46" s="84" t="str">
        <f t="shared" ref="AB46:AB74" si="59">IF(AND($B46="w",$V46&lt;&gt;0,$W46&lt;&gt;0,AA46&lt;&gt;0),(RANK(AA46,AA$45:AA$74,0)),"")</f>
        <v/>
      </c>
      <c r="AC46" s="92" t="str">
        <f t="shared" si="42"/>
        <v/>
      </c>
      <c r="AD46" s="89" t="str">
        <f t="shared" ref="AD46:AD74" si="60">IF(AND(ISNUMBER($J46),ISNUMBER($R46),ISNUMBER($Z46))=TRUE,$F46+$N46+$V46,"")</f>
        <v/>
      </c>
      <c r="AE46" s="104" t="str">
        <f t="shared" ref="AE46:AE74" si="61">IF(AND(ISNUMBER($J46),ISNUMBER($R46),ISNUMBER($Z46))=TRUE,$G46+$O46+$W46,"")</f>
        <v/>
      </c>
      <c r="AF46" s="107" t="str">
        <f t="shared" ref="AF46:AF74" si="62">IF(ISNUMBER(AD46),(RANK(AD46,AD$45:AD$74,0)*10)+RANK(AE46,AE$45:AE$74,1),"")</f>
        <v/>
      </c>
      <c r="AG46" s="92" t="str">
        <f t="shared" ref="AG46:AG74" si="63">IF(ISNUMBER(AF46),RANK(AF46,AF$45:AF$74,1),"")</f>
        <v/>
      </c>
      <c r="AH46" s="89" t="str">
        <f t="shared" ref="AH46:AH74" si="64">IF(AND(ISNUMBER($L46),ISNUMBER($T46),ISNUMBER($AB46))=TRUE,$F46+$N46+$V46,"")</f>
        <v/>
      </c>
      <c r="AI46" s="104" t="str">
        <f t="shared" ref="AI46:AI74" si="65">IF(AND(ISNUMBER($L46),ISNUMBER($T46),ISNUMBER($AB46))=TRUE,$G46+$O46+$W46,"")</f>
        <v/>
      </c>
      <c r="AJ46" s="84" t="str">
        <f t="shared" ref="AJ46:AJ74" si="66">IF(ISNUMBER(AH46),(RANK(AH46,AH$45:AH$74,0)*10)+RANK(AI46,AI$45:AI$74,1),"")</f>
        <v/>
      </c>
      <c r="AK46" s="108" t="str">
        <f t="shared" ref="AK46:AK74" si="67">IF(ISNUMBER(AJ46),RANK(AJ46,AJ$45:AJ$74,1),"")</f>
        <v/>
      </c>
      <c r="AL46" s="89">
        <f>IFERROR(VLOOKUP(C46 &amp; "-Elite",DogInfo!A:B,2,FALSE),0)</f>
        <v>0</v>
      </c>
      <c r="AM46" s="84" t="str">
        <f t="shared" si="43"/>
        <v/>
      </c>
      <c r="AN46" s="84" t="str">
        <f t="shared" si="44"/>
        <v/>
      </c>
      <c r="AO46" s="84" t="str">
        <f t="shared" si="45"/>
        <v/>
      </c>
      <c r="AP46" s="84">
        <f t="shared" ref="AP46:AP74" si="68">IF(AND(H46="pass",P46="Pass",X46="Pass"),AL46+1,AL46)</f>
        <v>0</v>
      </c>
      <c r="AQ46" s="115"/>
      <c r="AR46" s="47"/>
      <c r="AS46" s="47"/>
      <c r="AT46" s="47" t="str">
        <f>IF(ISERROR(VLOOKUP(C46,'SDDA Dogs'!A:O,6,FALSE)),"",VLOOKUP(C46,'SDDA Dogs'!A:O,6,FALSE))</f>
        <v/>
      </c>
      <c r="AU46" s="57">
        <f t="shared" si="46"/>
        <v>0</v>
      </c>
      <c r="AV46" s="57">
        <f t="shared" si="47"/>
        <v>0</v>
      </c>
      <c r="AW46" s="56">
        <f t="shared" si="48"/>
        <v>0</v>
      </c>
      <c r="AY46" s="60">
        <f t="shared" si="49"/>
        <v>0</v>
      </c>
      <c r="AZ46" s="60">
        <f t="shared" si="50"/>
        <v>0</v>
      </c>
      <c r="BA46" s="114"/>
    </row>
    <row r="47" spans="1:53" x14ac:dyDescent="0.25">
      <c r="A47" s="99">
        <v>3</v>
      </c>
      <c r="B47" s="89" t="s">
        <v>3255</v>
      </c>
      <c r="C47" s="101"/>
      <c r="D47" s="102" t="str">
        <f>IF($C47="","",VLOOKUP($C47,'SDDA Dogs'!$A:$F,2,FALSE))</f>
        <v/>
      </c>
      <c r="E47" s="103" t="str">
        <f>IF($C47="","",VLOOKUP($C47,'SDDA Dogs'!$A:$O,13,FALSE))</f>
        <v/>
      </c>
      <c r="F47" s="137"/>
      <c r="G47" s="217"/>
      <c r="H47" s="84" t="str">
        <f t="shared" si="51"/>
        <v/>
      </c>
      <c r="I47" s="105">
        <f t="shared" si="36"/>
        <v>0</v>
      </c>
      <c r="J47" s="84" t="str">
        <f t="shared" si="52"/>
        <v/>
      </c>
      <c r="K47" s="105">
        <f t="shared" si="37"/>
        <v>0</v>
      </c>
      <c r="L47" s="84" t="str">
        <f t="shared" si="53"/>
        <v/>
      </c>
      <c r="M47" s="106" t="str">
        <f>IF($C47="","",VLOOKUP($C47,'SDDA Dogs'!$A:$O,14,FALSE))</f>
        <v/>
      </c>
      <c r="N47" s="137"/>
      <c r="O47" s="217"/>
      <c r="P47" s="84" t="str">
        <f t="shared" si="54"/>
        <v/>
      </c>
      <c r="Q47" s="105">
        <f t="shared" si="38"/>
        <v>0</v>
      </c>
      <c r="R47" s="84" t="str">
        <f t="shared" si="55"/>
        <v/>
      </c>
      <c r="S47" s="105">
        <f t="shared" si="39"/>
        <v>0</v>
      </c>
      <c r="T47" s="84" t="str">
        <f t="shared" si="56"/>
        <v/>
      </c>
      <c r="U47" s="106" t="str">
        <f>IF($C47="","",VLOOKUP($C47,'SDDA Dogs'!$A:$O,15,FALSE))</f>
        <v/>
      </c>
      <c r="V47" s="137"/>
      <c r="W47" s="217"/>
      <c r="X47" s="84" t="str">
        <f t="shared" si="57"/>
        <v/>
      </c>
      <c r="Y47" s="105">
        <f t="shared" si="40"/>
        <v>0</v>
      </c>
      <c r="Z47" s="84" t="str">
        <f t="shared" si="58"/>
        <v/>
      </c>
      <c r="AA47" s="105">
        <f t="shared" si="41"/>
        <v>0</v>
      </c>
      <c r="AB47" s="84" t="str">
        <f t="shared" si="59"/>
        <v/>
      </c>
      <c r="AC47" s="92" t="str">
        <f t="shared" si="42"/>
        <v/>
      </c>
      <c r="AD47" s="89" t="str">
        <f t="shared" si="60"/>
        <v/>
      </c>
      <c r="AE47" s="104" t="str">
        <f t="shared" si="61"/>
        <v/>
      </c>
      <c r="AF47" s="107" t="str">
        <f t="shared" si="62"/>
        <v/>
      </c>
      <c r="AG47" s="92" t="str">
        <f t="shared" si="63"/>
        <v/>
      </c>
      <c r="AH47" s="89" t="str">
        <f t="shared" si="64"/>
        <v/>
      </c>
      <c r="AI47" s="104" t="str">
        <f t="shared" si="65"/>
        <v/>
      </c>
      <c r="AJ47" s="84" t="str">
        <f t="shared" si="66"/>
        <v/>
      </c>
      <c r="AK47" s="108" t="str">
        <f t="shared" si="67"/>
        <v/>
      </c>
      <c r="AL47" s="89">
        <f>IFERROR(VLOOKUP(C47 &amp; "-Elite",DogInfo!A:B,2,FALSE),0)</f>
        <v>0</v>
      </c>
      <c r="AM47" s="84" t="str">
        <f t="shared" si="43"/>
        <v/>
      </c>
      <c r="AN47" s="84" t="str">
        <f t="shared" si="44"/>
        <v/>
      </c>
      <c r="AO47" s="84" t="str">
        <f t="shared" si="45"/>
        <v/>
      </c>
      <c r="AP47" s="84">
        <f t="shared" si="68"/>
        <v>0</v>
      </c>
      <c r="AQ47" s="115"/>
      <c r="AR47" s="47"/>
      <c r="AS47" s="47"/>
      <c r="AT47" s="47" t="str">
        <f>IF(ISERROR(VLOOKUP(C47,'SDDA Dogs'!A:O,6,FALSE)),"",VLOOKUP(C47,'SDDA Dogs'!A:O,6,FALSE))</f>
        <v/>
      </c>
      <c r="AU47" s="57">
        <f t="shared" si="46"/>
        <v>0</v>
      </c>
      <c r="AV47" s="57">
        <f t="shared" si="47"/>
        <v>0</v>
      </c>
      <c r="AW47" s="56">
        <f t="shared" si="48"/>
        <v>0</v>
      </c>
      <c r="AY47" s="60">
        <f t="shared" si="49"/>
        <v>0</v>
      </c>
      <c r="AZ47" s="60">
        <f t="shared" si="50"/>
        <v>0</v>
      </c>
      <c r="BA47" s="114"/>
    </row>
    <row r="48" spans="1:53" x14ac:dyDescent="0.25">
      <c r="A48" s="99">
        <v>4</v>
      </c>
      <c r="B48" s="89" t="s">
        <v>3255</v>
      </c>
      <c r="C48" s="101"/>
      <c r="D48" s="102" t="str">
        <f>IF($C48="","",VLOOKUP($C48,'SDDA Dogs'!$A:$F,2,FALSE))</f>
        <v/>
      </c>
      <c r="E48" s="103" t="str">
        <f>IF($C48="","",VLOOKUP($C48,'SDDA Dogs'!$A:$O,13,FALSE))</f>
        <v/>
      </c>
      <c r="F48" s="137"/>
      <c r="G48" s="217"/>
      <c r="H48" s="84" t="str">
        <f t="shared" si="51"/>
        <v/>
      </c>
      <c r="I48" s="105">
        <f t="shared" si="36"/>
        <v>0</v>
      </c>
      <c r="J48" s="84" t="str">
        <f t="shared" si="52"/>
        <v/>
      </c>
      <c r="K48" s="105">
        <f t="shared" si="37"/>
        <v>0</v>
      </c>
      <c r="L48" s="84" t="str">
        <f t="shared" si="53"/>
        <v/>
      </c>
      <c r="M48" s="106" t="str">
        <f>IF($C48="","",VLOOKUP($C48,'SDDA Dogs'!$A:$O,14,FALSE))</f>
        <v/>
      </c>
      <c r="N48" s="137"/>
      <c r="O48" s="217"/>
      <c r="P48" s="84" t="str">
        <f t="shared" si="54"/>
        <v/>
      </c>
      <c r="Q48" s="105">
        <f t="shared" si="38"/>
        <v>0</v>
      </c>
      <c r="R48" s="84" t="str">
        <f t="shared" si="55"/>
        <v/>
      </c>
      <c r="S48" s="105">
        <f t="shared" si="39"/>
        <v>0</v>
      </c>
      <c r="T48" s="84" t="str">
        <f t="shared" si="56"/>
        <v/>
      </c>
      <c r="U48" s="106" t="str">
        <f>IF($C48="","",VLOOKUP($C48,'SDDA Dogs'!$A:$O,15,FALSE))</f>
        <v/>
      </c>
      <c r="V48" s="137"/>
      <c r="W48" s="217"/>
      <c r="X48" s="84" t="str">
        <f t="shared" si="57"/>
        <v/>
      </c>
      <c r="Y48" s="105">
        <f t="shared" si="40"/>
        <v>0</v>
      </c>
      <c r="Z48" s="84" t="str">
        <f t="shared" si="58"/>
        <v/>
      </c>
      <c r="AA48" s="105">
        <f t="shared" si="41"/>
        <v>0</v>
      </c>
      <c r="AB48" s="84" t="str">
        <f t="shared" si="59"/>
        <v/>
      </c>
      <c r="AC48" s="92" t="str">
        <f t="shared" si="42"/>
        <v/>
      </c>
      <c r="AD48" s="89" t="str">
        <f t="shared" si="60"/>
        <v/>
      </c>
      <c r="AE48" s="104" t="str">
        <f t="shared" si="61"/>
        <v/>
      </c>
      <c r="AF48" s="107" t="str">
        <f t="shared" si="62"/>
        <v/>
      </c>
      <c r="AG48" s="92" t="str">
        <f t="shared" si="63"/>
        <v/>
      </c>
      <c r="AH48" s="89" t="str">
        <f t="shared" si="64"/>
        <v/>
      </c>
      <c r="AI48" s="104" t="str">
        <f t="shared" si="65"/>
        <v/>
      </c>
      <c r="AJ48" s="84" t="str">
        <f t="shared" si="66"/>
        <v/>
      </c>
      <c r="AK48" s="108" t="str">
        <f t="shared" si="67"/>
        <v/>
      </c>
      <c r="AL48" s="89">
        <f>IFERROR(VLOOKUP(C48 &amp; "-Elite",DogInfo!A:B,2,FALSE),0)</f>
        <v>0</v>
      </c>
      <c r="AM48" s="84" t="str">
        <f t="shared" si="43"/>
        <v/>
      </c>
      <c r="AN48" s="84" t="str">
        <f t="shared" si="44"/>
        <v/>
      </c>
      <c r="AO48" s="84" t="str">
        <f t="shared" si="45"/>
        <v/>
      </c>
      <c r="AP48" s="84">
        <f t="shared" si="68"/>
        <v>0</v>
      </c>
      <c r="AQ48" s="115"/>
      <c r="AR48" s="47"/>
      <c r="AS48" s="47"/>
      <c r="AT48" s="47" t="str">
        <f>IF(ISERROR(VLOOKUP(C48,'SDDA Dogs'!A:O,6,FALSE)),"",VLOOKUP(C48,'SDDA Dogs'!A:O,6,FALSE))</f>
        <v/>
      </c>
      <c r="AU48" s="57">
        <f t="shared" si="46"/>
        <v>0</v>
      </c>
      <c r="AV48" s="57">
        <f t="shared" si="47"/>
        <v>0</v>
      </c>
      <c r="AW48" s="56">
        <f t="shared" si="48"/>
        <v>0</v>
      </c>
      <c r="AY48" s="60">
        <f t="shared" si="49"/>
        <v>0</v>
      </c>
      <c r="AZ48" s="60">
        <f t="shared" si="50"/>
        <v>0</v>
      </c>
      <c r="BA48" s="114"/>
    </row>
    <row r="49" spans="1:53" x14ac:dyDescent="0.25">
      <c r="A49" s="99">
        <v>5</v>
      </c>
      <c r="B49" s="89" t="s">
        <v>3255</v>
      </c>
      <c r="C49" s="101"/>
      <c r="D49" s="102" t="str">
        <f>IF($C49="","",VLOOKUP($C49,'SDDA Dogs'!$A:$F,2,FALSE))</f>
        <v/>
      </c>
      <c r="E49" s="103" t="str">
        <f>IF($C49="","",VLOOKUP($C49,'SDDA Dogs'!$A:$O,13,FALSE))</f>
        <v/>
      </c>
      <c r="F49" s="137"/>
      <c r="G49" s="217"/>
      <c r="H49" s="84" t="str">
        <f t="shared" si="51"/>
        <v/>
      </c>
      <c r="I49" s="105">
        <f t="shared" si="36"/>
        <v>0</v>
      </c>
      <c r="J49" s="84" t="str">
        <f t="shared" si="52"/>
        <v/>
      </c>
      <c r="K49" s="105">
        <f t="shared" si="37"/>
        <v>0</v>
      </c>
      <c r="L49" s="84" t="str">
        <f t="shared" si="53"/>
        <v/>
      </c>
      <c r="M49" s="106" t="str">
        <f>IF($C49="","",VLOOKUP($C49,'SDDA Dogs'!$A:$O,14,FALSE))</f>
        <v/>
      </c>
      <c r="N49" s="137"/>
      <c r="O49" s="217"/>
      <c r="P49" s="84" t="str">
        <f t="shared" si="54"/>
        <v/>
      </c>
      <c r="Q49" s="105">
        <f t="shared" si="38"/>
        <v>0</v>
      </c>
      <c r="R49" s="84" t="str">
        <f t="shared" si="55"/>
        <v/>
      </c>
      <c r="S49" s="105">
        <f t="shared" si="39"/>
        <v>0</v>
      </c>
      <c r="T49" s="84" t="str">
        <f t="shared" si="56"/>
        <v/>
      </c>
      <c r="U49" s="106" t="str">
        <f>IF($C49="","",VLOOKUP($C49,'SDDA Dogs'!$A:$O,15,FALSE))</f>
        <v/>
      </c>
      <c r="V49" s="137"/>
      <c r="W49" s="217"/>
      <c r="X49" s="84" t="str">
        <f t="shared" si="57"/>
        <v/>
      </c>
      <c r="Y49" s="105">
        <f t="shared" si="40"/>
        <v>0</v>
      </c>
      <c r="Z49" s="84" t="str">
        <f t="shared" si="58"/>
        <v/>
      </c>
      <c r="AA49" s="105">
        <f t="shared" si="41"/>
        <v>0</v>
      </c>
      <c r="AB49" s="84" t="str">
        <f t="shared" si="59"/>
        <v/>
      </c>
      <c r="AC49" s="92" t="str">
        <f t="shared" si="42"/>
        <v/>
      </c>
      <c r="AD49" s="89" t="str">
        <f t="shared" si="60"/>
        <v/>
      </c>
      <c r="AE49" s="104" t="str">
        <f t="shared" si="61"/>
        <v/>
      </c>
      <c r="AF49" s="107" t="str">
        <f t="shared" si="62"/>
        <v/>
      </c>
      <c r="AG49" s="92" t="str">
        <f t="shared" si="63"/>
        <v/>
      </c>
      <c r="AH49" s="89" t="str">
        <f t="shared" si="64"/>
        <v/>
      </c>
      <c r="AI49" s="104" t="str">
        <f t="shared" si="65"/>
        <v/>
      </c>
      <c r="AJ49" s="84" t="str">
        <f t="shared" si="66"/>
        <v/>
      </c>
      <c r="AK49" s="99" t="str">
        <f t="shared" si="67"/>
        <v/>
      </c>
      <c r="AL49" s="89">
        <f>IFERROR(VLOOKUP(C49 &amp; "-Elite",DogInfo!A:B,2,FALSE),0)</f>
        <v>0</v>
      </c>
      <c r="AM49" s="84" t="str">
        <f t="shared" si="43"/>
        <v/>
      </c>
      <c r="AN49" s="84" t="str">
        <f t="shared" si="44"/>
        <v/>
      </c>
      <c r="AO49" s="84" t="str">
        <f t="shared" si="45"/>
        <v/>
      </c>
      <c r="AP49" s="84">
        <f t="shared" si="68"/>
        <v>0</v>
      </c>
      <c r="AQ49" s="115"/>
      <c r="AR49" s="47"/>
      <c r="AS49" s="47"/>
      <c r="AT49" s="47" t="str">
        <f>IF(ISERROR(VLOOKUP(C49,'SDDA Dogs'!A:O,6,FALSE)),"",VLOOKUP(C49,'SDDA Dogs'!A:O,6,FALSE))</f>
        <v/>
      </c>
      <c r="AU49" s="57">
        <f t="shared" si="46"/>
        <v>0</v>
      </c>
      <c r="AV49" s="57">
        <f t="shared" si="47"/>
        <v>0</v>
      </c>
      <c r="AW49" s="56">
        <f t="shared" si="48"/>
        <v>0</v>
      </c>
      <c r="AY49" s="60">
        <f t="shared" si="49"/>
        <v>0</v>
      </c>
      <c r="AZ49" s="60">
        <f t="shared" si="50"/>
        <v>0</v>
      </c>
      <c r="BA49" s="114"/>
    </row>
    <row r="50" spans="1:53" x14ac:dyDescent="0.25">
      <c r="A50" s="99">
        <v>6</v>
      </c>
      <c r="B50" s="89" t="s">
        <v>3255</v>
      </c>
      <c r="C50" s="101"/>
      <c r="D50" s="102" t="str">
        <f>IF($C50="","",VLOOKUP($C50,'SDDA Dogs'!$A:$F,2,FALSE))</f>
        <v/>
      </c>
      <c r="E50" s="103" t="str">
        <f>IF($C50="","",VLOOKUP($C50,'SDDA Dogs'!$A:$O,13,FALSE))</f>
        <v/>
      </c>
      <c r="F50" s="137"/>
      <c r="G50" s="217"/>
      <c r="H50" s="84" t="str">
        <f t="shared" si="51"/>
        <v/>
      </c>
      <c r="I50" s="105">
        <f t="shared" si="36"/>
        <v>0</v>
      </c>
      <c r="J50" s="84" t="str">
        <f t="shared" si="52"/>
        <v/>
      </c>
      <c r="K50" s="105">
        <f t="shared" si="37"/>
        <v>0</v>
      </c>
      <c r="L50" s="84" t="str">
        <f t="shared" si="53"/>
        <v/>
      </c>
      <c r="M50" s="106" t="str">
        <f>IF($C50="","",VLOOKUP($C50,'SDDA Dogs'!$A:$O,14,FALSE))</f>
        <v/>
      </c>
      <c r="N50" s="137"/>
      <c r="O50" s="217"/>
      <c r="P50" s="84" t="str">
        <f t="shared" si="54"/>
        <v/>
      </c>
      <c r="Q50" s="105">
        <f t="shared" si="38"/>
        <v>0</v>
      </c>
      <c r="R50" s="84" t="str">
        <f t="shared" si="55"/>
        <v/>
      </c>
      <c r="S50" s="105">
        <f t="shared" si="39"/>
        <v>0</v>
      </c>
      <c r="T50" s="84" t="str">
        <f t="shared" si="56"/>
        <v/>
      </c>
      <c r="U50" s="106" t="str">
        <f>IF($C50="","",VLOOKUP($C50,'SDDA Dogs'!$A:$O,15,FALSE))</f>
        <v/>
      </c>
      <c r="V50" s="137"/>
      <c r="W50" s="217"/>
      <c r="X50" s="84" t="str">
        <f t="shared" si="57"/>
        <v/>
      </c>
      <c r="Y50" s="105">
        <f t="shared" si="40"/>
        <v>0</v>
      </c>
      <c r="Z50" s="84" t="str">
        <f t="shared" si="58"/>
        <v/>
      </c>
      <c r="AA50" s="105">
        <f t="shared" si="41"/>
        <v>0</v>
      </c>
      <c r="AB50" s="84" t="str">
        <f t="shared" si="59"/>
        <v/>
      </c>
      <c r="AC50" s="92" t="str">
        <f t="shared" si="42"/>
        <v/>
      </c>
      <c r="AD50" s="89" t="str">
        <f t="shared" si="60"/>
        <v/>
      </c>
      <c r="AE50" s="104" t="str">
        <f t="shared" si="61"/>
        <v/>
      </c>
      <c r="AF50" s="107" t="str">
        <f t="shared" si="62"/>
        <v/>
      </c>
      <c r="AG50" s="92" t="str">
        <f t="shared" si="63"/>
        <v/>
      </c>
      <c r="AH50" s="89" t="str">
        <f t="shared" si="64"/>
        <v/>
      </c>
      <c r="AI50" s="104" t="str">
        <f t="shared" si="65"/>
        <v/>
      </c>
      <c r="AJ50" s="84" t="str">
        <f t="shared" si="66"/>
        <v/>
      </c>
      <c r="AK50" s="99" t="str">
        <f t="shared" si="67"/>
        <v/>
      </c>
      <c r="AL50" s="89">
        <f>IFERROR(VLOOKUP(C50 &amp; "-Elite",DogInfo!A:B,2,FALSE),0)</f>
        <v>0</v>
      </c>
      <c r="AM50" s="84" t="str">
        <f t="shared" si="43"/>
        <v/>
      </c>
      <c r="AN50" s="84" t="str">
        <f t="shared" si="44"/>
        <v/>
      </c>
      <c r="AO50" s="84" t="str">
        <f t="shared" si="45"/>
        <v/>
      </c>
      <c r="AP50" s="84">
        <f t="shared" si="68"/>
        <v>0</v>
      </c>
      <c r="AQ50" s="115"/>
      <c r="AR50" s="47"/>
      <c r="AS50" s="47"/>
      <c r="AT50" s="47" t="str">
        <f>IF(ISERROR(VLOOKUP(C50,'SDDA Dogs'!A:O,6,FALSE)),"",VLOOKUP(C50,'SDDA Dogs'!A:O,6,FALSE))</f>
        <v/>
      </c>
      <c r="AU50" s="57">
        <f t="shared" si="46"/>
        <v>0</v>
      </c>
      <c r="AV50" s="57">
        <f t="shared" si="47"/>
        <v>0</v>
      </c>
      <c r="AW50" s="56">
        <f t="shared" si="48"/>
        <v>0</v>
      </c>
      <c r="AY50" s="60">
        <f t="shared" si="49"/>
        <v>0</v>
      </c>
      <c r="AZ50" s="60">
        <f t="shared" si="50"/>
        <v>0</v>
      </c>
      <c r="BA50" s="114"/>
    </row>
    <row r="51" spans="1:53" x14ac:dyDescent="0.25">
      <c r="A51" s="99">
        <v>7</v>
      </c>
      <c r="B51" s="89" t="s">
        <v>3255</v>
      </c>
      <c r="C51" s="101"/>
      <c r="D51" s="102" t="str">
        <f>IF($C51="","",VLOOKUP($C51,'SDDA Dogs'!$A:$F,2,FALSE))</f>
        <v/>
      </c>
      <c r="E51" s="103" t="str">
        <f>IF($C51="","",VLOOKUP($C51,'SDDA Dogs'!$A:$O,13,FALSE))</f>
        <v/>
      </c>
      <c r="F51" s="137"/>
      <c r="G51" s="217"/>
      <c r="H51" s="84" t="str">
        <f t="shared" si="51"/>
        <v/>
      </c>
      <c r="I51" s="105">
        <f t="shared" si="36"/>
        <v>0</v>
      </c>
      <c r="J51" s="84" t="str">
        <f t="shared" si="52"/>
        <v/>
      </c>
      <c r="K51" s="105">
        <f t="shared" si="37"/>
        <v>0</v>
      </c>
      <c r="L51" s="84" t="str">
        <f t="shared" si="53"/>
        <v/>
      </c>
      <c r="M51" s="106" t="str">
        <f>IF($C51="","",VLOOKUP($C51,'SDDA Dogs'!$A:$O,14,FALSE))</f>
        <v/>
      </c>
      <c r="N51" s="137"/>
      <c r="O51" s="217"/>
      <c r="P51" s="84" t="str">
        <f t="shared" si="54"/>
        <v/>
      </c>
      <c r="Q51" s="105">
        <f t="shared" si="38"/>
        <v>0</v>
      </c>
      <c r="R51" s="84" t="str">
        <f t="shared" si="55"/>
        <v/>
      </c>
      <c r="S51" s="105">
        <f t="shared" si="39"/>
        <v>0</v>
      </c>
      <c r="T51" s="84" t="str">
        <f t="shared" si="56"/>
        <v/>
      </c>
      <c r="U51" s="106" t="str">
        <f>IF($C51="","",VLOOKUP($C51,'SDDA Dogs'!$A:$O,15,FALSE))</f>
        <v/>
      </c>
      <c r="V51" s="137"/>
      <c r="W51" s="217"/>
      <c r="X51" s="84" t="str">
        <f t="shared" si="57"/>
        <v/>
      </c>
      <c r="Y51" s="105">
        <f t="shared" si="40"/>
        <v>0</v>
      </c>
      <c r="Z51" s="84" t="str">
        <f t="shared" si="58"/>
        <v/>
      </c>
      <c r="AA51" s="105">
        <f t="shared" si="41"/>
        <v>0</v>
      </c>
      <c r="AB51" s="84" t="str">
        <f t="shared" si="59"/>
        <v/>
      </c>
      <c r="AC51" s="92" t="str">
        <f t="shared" si="42"/>
        <v/>
      </c>
      <c r="AD51" s="89" t="str">
        <f t="shared" si="60"/>
        <v/>
      </c>
      <c r="AE51" s="104" t="str">
        <f t="shared" si="61"/>
        <v/>
      </c>
      <c r="AF51" s="107" t="str">
        <f t="shared" si="62"/>
        <v/>
      </c>
      <c r="AG51" s="92" t="str">
        <f t="shared" si="63"/>
        <v/>
      </c>
      <c r="AH51" s="89" t="str">
        <f t="shared" si="64"/>
        <v/>
      </c>
      <c r="AI51" s="104" t="str">
        <f t="shared" si="65"/>
        <v/>
      </c>
      <c r="AJ51" s="84" t="str">
        <f t="shared" si="66"/>
        <v/>
      </c>
      <c r="AK51" s="99" t="str">
        <f t="shared" si="67"/>
        <v/>
      </c>
      <c r="AL51" s="89">
        <f>IFERROR(VLOOKUP(C51 &amp; "-Elite",DogInfo!A:B,2,FALSE),0)</f>
        <v>0</v>
      </c>
      <c r="AM51" s="84" t="str">
        <f t="shared" si="43"/>
        <v/>
      </c>
      <c r="AN51" s="84" t="str">
        <f t="shared" si="44"/>
        <v/>
      </c>
      <c r="AO51" s="84" t="str">
        <f t="shared" si="45"/>
        <v/>
      </c>
      <c r="AP51" s="84">
        <f t="shared" si="68"/>
        <v>0</v>
      </c>
      <c r="AQ51" s="115"/>
      <c r="AR51" s="47"/>
      <c r="AS51" s="47"/>
      <c r="AT51" s="47" t="str">
        <f>IF(ISERROR(VLOOKUP(C51,'SDDA Dogs'!A:O,6,FALSE)),"",VLOOKUP(C51,'SDDA Dogs'!A:O,6,FALSE))</f>
        <v/>
      </c>
      <c r="AU51" s="57">
        <f t="shared" si="46"/>
        <v>0</v>
      </c>
      <c r="AV51" s="57">
        <f t="shared" si="47"/>
        <v>0</v>
      </c>
      <c r="AW51" s="56">
        <f t="shared" si="48"/>
        <v>0</v>
      </c>
      <c r="AY51" s="60">
        <f t="shared" si="49"/>
        <v>0</v>
      </c>
      <c r="AZ51" s="60">
        <f t="shared" si="50"/>
        <v>0</v>
      </c>
      <c r="BA51" s="114"/>
    </row>
    <row r="52" spans="1:53" x14ac:dyDescent="0.25">
      <c r="A52" s="99">
        <v>8</v>
      </c>
      <c r="B52" s="89" t="s">
        <v>3255</v>
      </c>
      <c r="C52" s="101"/>
      <c r="D52" s="102" t="str">
        <f>IF($C52="","",VLOOKUP($C52,'SDDA Dogs'!$A:$F,2,FALSE))</f>
        <v/>
      </c>
      <c r="E52" s="103" t="str">
        <f>IF($C52="","",VLOOKUP($C52,'SDDA Dogs'!$A:$O,13,FALSE))</f>
        <v/>
      </c>
      <c r="F52" s="137"/>
      <c r="G52" s="217"/>
      <c r="H52" s="84" t="str">
        <f t="shared" si="51"/>
        <v/>
      </c>
      <c r="I52" s="105">
        <f t="shared" si="36"/>
        <v>0</v>
      </c>
      <c r="J52" s="84" t="str">
        <f t="shared" si="52"/>
        <v/>
      </c>
      <c r="K52" s="105">
        <f t="shared" si="37"/>
        <v>0</v>
      </c>
      <c r="L52" s="84" t="str">
        <f t="shared" si="53"/>
        <v/>
      </c>
      <c r="M52" s="106" t="str">
        <f>IF($C52="","",VLOOKUP($C52,'SDDA Dogs'!$A:$O,14,FALSE))</f>
        <v/>
      </c>
      <c r="N52" s="137"/>
      <c r="O52" s="217"/>
      <c r="P52" s="84" t="str">
        <f t="shared" si="54"/>
        <v/>
      </c>
      <c r="Q52" s="105">
        <f t="shared" si="38"/>
        <v>0</v>
      </c>
      <c r="R52" s="84" t="str">
        <f t="shared" si="55"/>
        <v/>
      </c>
      <c r="S52" s="105">
        <f t="shared" si="39"/>
        <v>0</v>
      </c>
      <c r="T52" s="84" t="str">
        <f t="shared" si="56"/>
        <v/>
      </c>
      <c r="U52" s="106" t="str">
        <f>IF($C52="","",VLOOKUP($C52,'SDDA Dogs'!$A:$O,15,FALSE))</f>
        <v/>
      </c>
      <c r="V52" s="137"/>
      <c r="W52" s="217"/>
      <c r="X52" s="84" t="str">
        <f t="shared" si="57"/>
        <v/>
      </c>
      <c r="Y52" s="105">
        <f t="shared" si="40"/>
        <v>0</v>
      </c>
      <c r="Z52" s="84" t="str">
        <f t="shared" si="58"/>
        <v/>
      </c>
      <c r="AA52" s="105">
        <f t="shared" si="41"/>
        <v>0</v>
      </c>
      <c r="AB52" s="84" t="str">
        <f t="shared" si="59"/>
        <v/>
      </c>
      <c r="AC52" s="92" t="str">
        <f t="shared" si="42"/>
        <v/>
      </c>
      <c r="AD52" s="89" t="str">
        <f t="shared" si="60"/>
        <v/>
      </c>
      <c r="AE52" s="104" t="str">
        <f t="shared" si="61"/>
        <v/>
      </c>
      <c r="AF52" s="107" t="str">
        <f t="shared" si="62"/>
        <v/>
      </c>
      <c r="AG52" s="92" t="str">
        <f t="shared" si="63"/>
        <v/>
      </c>
      <c r="AH52" s="89" t="str">
        <f t="shared" si="64"/>
        <v/>
      </c>
      <c r="AI52" s="104" t="str">
        <f t="shared" si="65"/>
        <v/>
      </c>
      <c r="AJ52" s="84" t="str">
        <f t="shared" si="66"/>
        <v/>
      </c>
      <c r="AK52" s="99" t="str">
        <f t="shared" si="67"/>
        <v/>
      </c>
      <c r="AL52" s="89">
        <f>IFERROR(VLOOKUP(C52 &amp; "-Elite",DogInfo!A:B,2,FALSE),0)</f>
        <v>0</v>
      </c>
      <c r="AM52" s="84" t="str">
        <f t="shared" si="43"/>
        <v/>
      </c>
      <c r="AN52" s="84" t="str">
        <f t="shared" si="44"/>
        <v/>
      </c>
      <c r="AO52" s="84" t="str">
        <f t="shared" si="45"/>
        <v/>
      </c>
      <c r="AP52" s="84">
        <f t="shared" si="68"/>
        <v>0</v>
      </c>
      <c r="AQ52" s="115"/>
      <c r="AR52" s="47"/>
      <c r="AS52" s="47"/>
      <c r="AT52" s="47" t="str">
        <f>IF(ISERROR(VLOOKUP(C52,'SDDA Dogs'!A:O,6,FALSE)),"",VLOOKUP(C52,'SDDA Dogs'!A:O,6,FALSE))</f>
        <v/>
      </c>
      <c r="AU52" s="57">
        <f t="shared" si="46"/>
        <v>0</v>
      </c>
      <c r="AV52" s="57">
        <f t="shared" si="47"/>
        <v>0</v>
      </c>
      <c r="AW52" s="56">
        <f t="shared" si="48"/>
        <v>0</v>
      </c>
      <c r="AY52" s="60">
        <f t="shared" si="49"/>
        <v>0</v>
      </c>
      <c r="AZ52" s="60">
        <f t="shared" si="50"/>
        <v>0</v>
      </c>
      <c r="BA52" s="114"/>
    </row>
    <row r="53" spans="1:53" x14ac:dyDescent="0.25">
      <c r="A53" s="99">
        <v>9</v>
      </c>
      <c r="B53" s="89" t="s">
        <v>3255</v>
      </c>
      <c r="C53" s="101"/>
      <c r="D53" s="102" t="str">
        <f>IF($C53="","",VLOOKUP($C53,'SDDA Dogs'!$A:$F,2,FALSE))</f>
        <v/>
      </c>
      <c r="E53" s="103" t="str">
        <f>IF($C53="","",VLOOKUP($C53,'SDDA Dogs'!$A:$O,13,FALSE))</f>
        <v/>
      </c>
      <c r="F53" s="137"/>
      <c r="G53" s="217"/>
      <c r="H53" s="84" t="str">
        <f t="shared" si="51"/>
        <v/>
      </c>
      <c r="I53" s="105">
        <f t="shared" si="36"/>
        <v>0</v>
      </c>
      <c r="J53" s="84" t="str">
        <f t="shared" si="52"/>
        <v/>
      </c>
      <c r="K53" s="105">
        <f t="shared" si="37"/>
        <v>0</v>
      </c>
      <c r="L53" s="84" t="str">
        <f t="shared" si="53"/>
        <v/>
      </c>
      <c r="M53" s="106" t="str">
        <f>IF($C53="","",VLOOKUP($C53,'SDDA Dogs'!$A:$O,14,FALSE))</f>
        <v/>
      </c>
      <c r="N53" s="137"/>
      <c r="O53" s="217"/>
      <c r="P53" s="84" t="str">
        <f t="shared" si="54"/>
        <v/>
      </c>
      <c r="Q53" s="105">
        <f t="shared" si="38"/>
        <v>0</v>
      </c>
      <c r="R53" s="84" t="str">
        <f t="shared" si="55"/>
        <v/>
      </c>
      <c r="S53" s="105">
        <f t="shared" si="39"/>
        <v>0</v>
      </c>
      <c r="T53" s="84" t="str">
        <f t="shared" si="56"/>
        <v/>
      </c>
      <c r="U53" s="106" t="str">
        <f>IF($C53="","",VLOOKUP($C53,'SDDA Dogs'!$A:$O,15,FALSE))</f>
        <v/>
      </c>
      <c r="V53" s="137"/>
      <c r="W53" s="217"/>
      <c r="X53" s="84" t="str">
        <f t="shared" si="57"/>
        <v/>
      </c>
      <c r="Y53" s="105">
        <f t="shared" si="40"/>
        <v>0</v>
      </c>
      <c r="Z53" s="84" t="str">
        <f t="shared" si="58"/>
        <v/>
      </c>
      <c r="AA53" s="105">
        <f t="shared" si="41"/>
        <v>0</v>
      </c>
      <c r="AB53" s="84" t="str">
        <f t="shared" si="59"/>
        <v/>
      </c>
      <c r="AC53" s="92" t="str">
        <f t="shared" si="42"/>
        <v/>
      </c>
      <c r="AD53" s="89" t="str">
        <f t="shared" si="60"/>
        <v/>
      </c>
      <c r="AE53" s="104" t="str">
        <f t="shared" si="61"/>
        <v/>
      </c>
      <c r="AF53" s="107" t="str">
        <f t="shared" si="62"/>
        <v/>
      </c>
      <c r="AG53" s="92" t="str">
        <f t="shared" si="63"/>
        <v/>
      </c>
      <c r="AH53" s="89" t="str">
        <f t="shared" si="64"/>
        <v/>
      </c>
      <c r="AI53" s="104" t="str">
        <f t="shared" si="65"/>
        <v/>
      </c>
      <c r="AJ53" s="84" t="str">
        <f t="shared" si="66"/>
        <v/>
      </c>
      <c r="AK53" s="99" t="str">
        <f t="shared" si="67"/>
        <v/>
      </c>
      <c r="AL53" s="89">
        <f>IFERROR(VLOOKUP(C53 &amp; "-Elite",DogInfo!A:B,2,FALSE),0)</f>
        <v>0</v>
      </c>
      <c r="AM53" s="84" t="str">
        <f t="shared" si="43"/>
        <v/>
      </c>
      <c r="AN53" s="84" t="str">
        <f t="shared" si="44"/>
        <v/>
      </c>
      <c r="AO53" s="84" t="str">
        <f t="shared" si="45"/>
        <v/>
      </c>
      <c r="AP53" s="84">
        <f t="shared" si="68"/>
        <v>0</v>
      </c>
      <c r="AQ53" s="115"/>
      <c r="AR53" s="47"/>
      <c r="AS53" s="47"/>
      <c r="AT53" s="47" t="str">
        <f>IF(ISERROR(VLOOKUP(C53,'SDDA Dogs'!A:O,6,FALSE)),"",VLOOKUP(C53,'SDDA Dogs'!A:O,6,FALSE))</f>
        <v/>
      </c>
      <c r="AU53" s="57">
        <f t="shared" si="46"/>
        <v>0</v>
      </c>
      <c r="AV53" s="57">
        <f t="shared" si="47"/>
        <v>0</v>
      </c>
      <c r="AW53" s="56">
        <f t="shared" si="48"/>
        <v>0</v>
      </c>
      <c r="AY53" s="60">
        <f t="shared" si="49"/>
        <v>0</v>
      </c>
      <c r="AZ53" s="60">
        <f t="shared" si="50"/>
        <v>0</v>
      </c>
      <c r="BA53" s="114"/>
    </row>
    <row r="54" spans="1:53" x14ac:dyDescent="0.25">
      <c r="A54" s="99">
        <f t="shared" ref="A54:A74" si="69">A53+1</f>
        <v>10</v>
      </c>
      <c r="B54" s="89" t="s">
        <v>3255</v>
      </c>
      <c r="C54" s="101"/>
      <c r="D54" s="102" t="str">
        <f>IF($C54="","",VLOOKUP($C54,'SDDA Dogs'!$A:$F,2,FALSE))</f>
        <v/>
      </c>
      <c r="E54" s="103" t="str">
        <f>IF($C54="","",VLOOKUP($C54,'SDDA Dogs'!$A:$O,13,FALSE))</f>
        <v/>
      </c>
      <c r="F54" s="137"/>
      <c r="G54" s="217"/>
      <c r="H54" s="84" t="str">
        <f t="shared" si="51"/>
        <v/>
      </c>
      <c r="I54" s="105">
        <f t="shared" si="36"/>
        <v>0</v>
      </c>
      <c r="J54" s="84" t="str">
        <f t="shared" si="52"/>
        <v/>
      </c>
      <c r="K54" s="105">
        <f t="shared" si="37"/>
        <v>0</v>
      </c>
      <c r="L54" s="84" t="str">
        <f t="shared" si="53"/>
        <v/>
      </c>
      <c r="M54" s="106" t="str">
        <f>IF($C54="","",VLOOKUP($C54,'SDDA Dogs'!$A:$O,14,FALSE))</f>
        <v/>
      </c>
      <c r="N54" s="137"/>
      <c r="O54" s="217"/>
      <c r="P54" s="84" t="str">
        <f t="shared" si="54"/>
        <v/>
      </c>
      <c r="Q54" s="105">
        <f t="shared" si="38"/>
        <v>0</v>
      </c>
      <c r="R54" s="84" t="str">
        <f t="shared" si="55"/>
        <v/>
      </c>
      <c r="S54" s="105">
        <f t="shared" si="39"/>
        <v>0</v>
      </c>
      <c r="T54" s="84" t="str">
        <f t="shared" si="56"/>
        <v/>
      </c>
      <c r="U54" s="106" t="str">
        <f>IF($C54="","",VLOOKUP($C54,'SDDA Dogs'!$A:$O,15,FALSE))</f>
        <v/>
      </c>
      <c r="V54" s="137"/>
      <c r="W54" s="217"/>
      <c r="X54" s="84" t="str">
        <f t="shared" si="57"/>
        <v/>
      </c>
      <c r="Y54" s="105">
        <f t="shared" si="40"/>
        <v>0</v>
      </c>
      <c r="Z54" s="84" t="str">
        <f t="shared" si="58"/>
        <v/>
      </c>
      <c r="AA54" s="105">
        <f t="shared" si="41"/>
        <v>0</v>
      </c>
      <c r="AB54" s="84" t="str">
        <f t="shared" si="59"/>
        <v/>
      </c>
      <c r="AC54" s="92" t="str">
        <f t="shared" si="42"/>
        <v/>
      </c>
      <c r="AD54" s="89" t="str">
        <f t="shared" si="60"/>
        <v/>
      </c>
      <c r="AE54" s="104" t="str">
        <f t="shared" si="61"/>
        <v/>
      </c>
      <c r="AF54" s="107" t="str">
        <f t="shared" si="62"/>
        <v/>
      </c>
      <c r="AG54" s="92" t="str">
        <f t="shared" si="63"/>
        <v/>
      </c>
      <c r="AH54" s="89" t="str">
        <f t="shared" si="64"/>
        <v/>
      </c>
      <c r="AI54" s="104" t="str">
        <f t="shared" si="65"/>
        <v/>
      </c>
      <c r="AJ54" s="84" t="str">
        <f t="shared" si="66"/>
        <v/>
      </c>
      <c r="AK54" s="99" t="str">
        <f t="shared" si="67"/>
        <v/>
      </c>
      <c r="AL54" s="89">
        <f>IFERROR(VLOOKUP(C54 &amp; "-Elite",DogInfo!A:B,2,FALSE),0)</f>
        <v>0</v>
      </c>
      <c r="AM54" s="84" t="str">
        <f t="shared" si="43"/>
        <v/>
      </c>
      <c r="AN54" s="84" t="str">
        <f t="shared" si="44"/>
        <v/>
      </c>
      <c r="AO54" s="84" t="str">
        <f t="shared" si="45"/>
        <v/>
      </c>
      <c r="AP54" s="84">
        <f t="shared" si="68"/>
        <v>0</v>
      </c>
      <c r="AQ54" s="115"/>
      <c r="AR54" s="47"/>
      <c r="AS54" s="47"/>
      <c r="AT54" s="47" t="str">
        <f>IF(ISERROR(VLOOKUP(C54,'SDDA Dogs'!A:O,6,FALSE)),"",VLOOKUP(C54,'SDDA Dogs'!A:O,6,FALSE))</f>
        <v/>
      </c>
      <c r="AU54" s="57">
        <f t="shared" si="46"/>
        <v>0</v>
      </c>
      <c r="AV54" s="57">
        <f t="shared" si="47"/>
        <v>0</v>
      </c>
      <c r="AW54" s="56">
        <f t="shared" si="48"/>
        <v>0</v>
      </c>
      <c r="AY54" s="60">
        <f t="shared" si="49"/>
        <v>0</v>
      </c>
      <c r="AZ54" s="60">
        <f t="shared" si="50"/>
        <v>0</v>
      </c>
      <c r="BA54" s="114"/>
    </row>
    <row r="55" spans="1:53" x14ac:dyDescent="0.25">
      <c r="A55" s="99">
        <f t="shared" si="69"/>
        <v>11</v>
      </c>
      <c r="B55" s="89" t="s">
        <v>3255</v>
      </c>
      <c r="C55" s="101"/>
      <c r="D55" s="102" t="str">
        <f>IF($C55="","",VLOOKUP($C55,'SDDA Dogs'!$A:$F,2,FALSE))</f>
        <v/>
      </c>
      <c r="E55" s="103" t="str">
        <f>IF($C55="","",VLOOKUP($C55,'SDDA Dogs'!$A:$O,13,FALSE))</f>
        <v/>
      </c>
      <c r="F55" s="137"/>
      <c r="G55" s="217"/>
      <c r="H55" s="84" t="str">
        <f t="shared" si="51"/>
        <v/>
      </c>
      <c r="I55" s="105">
        <f t="shared" si="36"/>
        <v>0</v>
      </c>
      <c r="J55" s="84" t="str">
        <f t="shared" si="52"/>
        <v/>
      </c>
      <c r="K55" s="105">
        <f t="shared" si="37"/>
        <v>0</v>
      </c>
      <c r="L55" s="84" t="str">
        <f t="shared" si="53"/>
        <v/>
      </c>
      <c r="M55" s="106" t="str">
        <f>IF($C55="","",VLOOKUP($C55,'SDDA Dogs'!$A:$O,14,FALSE))</f>
        <v/>
      </c>
      <c r="N55" s="137"/>
      <c r="O55" s="217"/>
      <c r="P55" s="84" t="str">
        <f t="shared" si="54"/>
        <v/>
      </c>
      <c r="Q55" s="105">
        <f t="shared" si="38"/>
        <v>0</v>
      </c>
      <c r="R55" s="84" t="str">
        <f t="shared" si="55"/>
        <v/>
      </c>
      <c r="S55" s="105">
        <f t="shared" si="39"/>
        <v>0</v>
      </c>
      <c r="T55" s="84" t="str">
        <f t="shared" si="56"/>
        <v/>
      </c>
      <c r="U55" s="106" t="str">
        <f>IF($C55="","",VLOOKUP($C55,'SDDA Dogs'!$A:$O,15,FALSE))</f>
        <v/>
      </c>
      <c r="V55" s="137"/>
      <c r="W55" s="217"/>
      <c r="X55" s="84" t="str">
        <f t="shared" si="57"/>
        <v/>
      </c>
      <c r="Y55" s="105">
        <f t="shared" si="40"/>
        <v>0</v>
      </c>
      <c r="Z55" s="84" t="str">
        <f t="shared" si="58"/>
        <v/>
      </c>
      <c r="AA55" s="105">
        <f t="shared" si="41"/>
        <v>0</v>
      </c>
      <c r="AB55" s="84" t="str">
        <f t="shared" si="59"/>
        <v/>
      </c>
      <c r="AC55" s="92" t="str">
        <f t="shared" si="42"/>
        <v/>
      </c>
      <c r="AD55" s="89" t="str">
        <f t="shared" si="60"/>
        <v/>
      </c>
      <c r="AE55" s="104" t="str">
        <f t="shared" si="61"/>
        <v/>
      </c>
      <c r="AF55" s="107" t="str">
        <f t="shared" si="62"/>
        <v/>
      </c>
      <c r="AG55" s="92" t="str">
        <f t="shared" si="63"/>
        <v/>
      </c>
      <c r="AH55" s="89" t="str">
        <f t="shared" si="64"/>
        <v/>
      </c>
      <c r="AI55" s="104" t="str">
        <f t="shared" si="65"/>
        <v/>
      </c>
      <c r="AJ55" s="84" t="str">
        <f t="shared" si="66"/>
        <v/>
      </c>
      <c r="AK55" s="99" t="str">
        <f t="shared" si="67"/>
        <v/>
      </c>
      <c r="AL55" s="89">
        <f>IFERROR(VLOOKUP(C55 &amp; "-Elite",DogInfo!A:B,2,FALSE),0)</f>
        <v>0</v>
      </c>
      <c r="AM55" s="84" t="str">
        <f t="shared" si="43"/>
        <v/>
      </c>
      <c r="AN55" s="84" t="str">
        <f t="shared" si="44"/>
        <v/>
      </c>
      <c r="AO55" s="84" t="str">
        <f t="shared" si="45"/>
        <v/>
      </c>
      <c r="AP55" s="84">
        <f t="shared" si="68"/>
        <v>0</v>
      </c>
      <c r="AQ55" s="115"/>
      <c r="AR55" s="47"/>
      <c r="AS55" s="47"/>
      <c r="AT55" s="47" t="str">
        <f>IF(ISERROR(VLOOKUP(C55,'SDDA Dogs'!A:O,6,FALSE)),"",VLOOKUP(C55,'SDDA Dogs'!A:O,6,FALSE))</f>
        <v/>
      </c>
      <c r="AU55" s="57">
        <f t="shared" si="46"/>
        <v>0</v>
      </c>
      <c r="AV55" s="57">
        <f t="shared" si="47"/>
        <v>0</v>
      </c>
      <c r="AW55" s="56">
        <f t="shared" si="48"/>
        <v>0</v>
      </c>
      <c r="AY55" s="60">
        <f t="shared" si="49"/>
        <v>0</v>
      </c>
      <c r="AZ55" s="60">
        <f t="shared" si="50"/>
        <v>0</v>
      </c>
      <c r="BA55" s="114"/>
    </row>
    <row r="56" spans="1:53" x14ac:dyDescent="0.25">
      <c r="A56" s="99">
        <f t="shared" si="69"/>
        <v>12</v>
      </c>
      <c r="B56" s="89" t="s">
        <v>3255</v>
      </c>
      <c r="C56" s="101"/>
      <c r="D56" s="102" t="str">
        <f>IF($C56="","",VLOOKUP($C56,'SDDA Dogs'!$A:$F,2,FALSE))</f>
        <v/>
      </c>
      <c r="E56" s="103" t="str">
        <f>IF($C56="","",VLOOKUP($C56,'SDDA Dogs'!$A:$O,13,FALSE))</f>
        <v/>
      </c>
      <c r="F56" s="137"/>
      <c r="G56" s="217"/>
      <c r="H56" s="84" t="str">
        <f t="shared" si="51"/>
        <v/>
      </c>
      <c r="I56" s="105">
        <f t="shared" si="36"/>
        <v>0</v>
      </c>
      <c r="J56" s="84" t="str">
        <f t="shared" si="52"/>
        <v/>
      </c>
      <c r="K56" s="105">
        <f t="shared" si="37"/>
        <v>0</v>
      </c>
      <c r="L56" s="84" t="str">
        <f t="shared" si="53"/>
        <v/>
      </c>
      <c r="M56" s="106" t="str">
        <f>IF($C56="","",VLOOKUP($C56,'SDDA Dogs'!$A:$O,14,FALSE))</f>
        <v/>
      </c>
      <c r="N56" s="137"/>
      <c r="O56" s="217"/>
      <c r="P56" s="84" t="str">
        <f t="shared" si="54"/>
        <v/>
      </c>
      <c r="Q56" s="105">
        <f t="shared" si="38"/>
        <v>0</v>
      </c>
      <c r="R56" s="84" t="str">
        <f t="shared" si="55"/>
        <v/>
      </c>
      <c r="S56" s="105">
        <f t="shared" si="39"/>
        <v>0</v>
      </c>
      <c r="T56" s="84" t="str">
        <f t="shared" si="56"/>
        <v/>
      </c>
      <c r="U56" s="106" t="str">
        <f>IF($C56="","",VLOOKUP($C56,'SDDA Dogs'!$A:$O,15,FALSE))</f>
        <v/>
      </c>
      <c r="V56" s="137"/>
      <c r="W56" s="217"/>
      <c r="X56" s="84" t="str">
        <f t="shared" si="57"/>
        <v/>
      </c>
      <c r="Y56" s="105">
        <f t="shared" si="40"/>
        <v>0</v>
      </c>
      <c r="Z56" s="84" t="str">
        <f t="shared" si="58"/>
        <v/>
      </c>
      <c r="AA56" s="105">
        <f t="shared" si="41"/>
        <v>0</v>
      </c>
      <c r="AB56" s="84" t="str">
        <f t="shared" si="59"/>
        <v/>
      </c>
      <c r="AC56" s="92" t="str">
        <f t="shared" si="42"/>
        <v/>
      </c>
      <c r="AD56" s="89" t="str">
        <f t="shared" si="60"/>
        <v/>
      </c>
      <c r="AE56" s="104" t="str">
        <f t="shared" si="61"/>
        <v/>
      </c>
      <c r="AF56" s="107" t="str">
        <f t="shared" si="62"/>
        <v/>
      </c>
      <c r="AG56" s="92" t="str">
        <f t="shared" si="63"/>
        <v/>
      </c>
      <c r="AH56" s="89" t="str">
        <f t="shared" si="64"/>
        <v/>
      </c>
      <c r="AI56" s="104" t="str">
        <f t="shared" si="65"/>
        <v/>
      </c>
      <c r="AJ56" s="84" t="str">
        <f t="shared" si="66"/>
        <v/>
      </c>
      <c r="AK56" s="99" t="str">
        <f t="shared" si="67"/>
        <v/>
      </c>
      <c r="AL56" s="89">
        <f>IFERROR(VLOOKUP(C56 &amp; "-Elite",DogInfo!A:B,2,FALSE),0)</f>
        <v>0</v>
      </c>
      <c r="AM56" s="84" t="str">
        <f t="shared" si="43"/>
        <v/>
      </c>
      <c r="AN56" s="84" t="str">
        <f t="shared" si="44"/>
        <v/>
      </c>
      <c r="AO56" s="84" t="str">
        <f t="shared" si="45"/>
        <v/>
      </c>
      <c r="AP56" s="84">
        <f t="shared" si="68"/>
        <v>0</v>
      </c>
      <c r="AQ56" s="115"/>
      <c r="AR56" s="47"/>
      <c r="AS56" s="47"/>
      <c r="AT56" s="47" t="str">
        <f>IF(ISERROR(VLOOKUP(C56,'SDDA Dogs'!A:O,6,FALSE)),"",VLOOKUP(C56,'SDDA Dogs'!A:O,6,FALSE))</f>
        <v/>
      </c>
      <c r="AU56" s="57">
        <f t="shared" si="46"/>
        <v>0</v>
      </c>
      <c r="AV56" s="57">
        <f t="shared" si="47"/>
        <v>0</v>
      </c>
      <c r="AW56" s="56">
        <f t="shared" si="48"/>
        <v>0</v>
      </c>
      <c r="AY56" s="60">
        <f t="shared" si="49"/>
        <v>0</v>
      </c>
      <c r="AZ56" s="60">
        <f t="shared" si="50"/>
        <v>0</v>
      </c>
      <c r="BA56" s="114"/>
    </row>
    <row r="57" spans="1:53" x14ac:dyDescent="0.25">
      <c r="A57" s="99">
        <f t="shared" si="69"/>
        <v>13</v>
      </c>
      <c r="B57" s="89" t="s">
        <v>3255</v>
      </c>
      <c r="C57" s="101"/>
      <c r="D57" s="102" t="str">
        <f>IF($C57="","",VLOOKUP($C57,'SDDA Dogs'!$A:$F,2,FALSE))</f>
        <v/>
      </c>
      <c r="E57" s="103" t="str">
        <f>IF($C57="","",VLOOKUP($C57,'SDDA Dogs'!$A:$O,13,FALSE))</f>
        <v/>
      </c>
      <c r="F57" s="137"/>
      <c r="G57" s="217"/>
      <c r="H57" s="84" t="str">
        <f t="shared" si="51"/>
        <v/>
      </c>
      <c r="I57" s="105">
        <f t="shared" si="36"/>
        <v>0</v>
      </c>
      <c r="J57" s="84" t="str">
        <f t="shared" si="52"/>
        <v/>
      </c>
      <c r="K57" s="105">
        <f t="shared" si="37"/>
        <v>0</v>
      </c>
      <c r="L57" s="84" t="str">
        <f t="shared" si="53"/>
        <v/>
      </c>
      <c r="M57" s="106" t="str">
        <f>IF($C57="","",VLOOKUP($C57,'SDDA Dogs'!$A:$O,14,FALSE))</f>
        <v/>
      </c>
      <c r="N57" s="137"/>
      <c r="O57" s="217"/>
      <c r="P57" s="84" t="str">
        <f t="shared" si="54"/>
        <v/>
      </c>
      <c r="Q57" s="105">
        <f t="shared" si="38"/>
        <v>0</v>
      </c>
      <c r="R57" s="84" t="str">
        <f t="shared" si="55"/>
        <v/>
      </c>
      <c r="S57" s="105">
        <f t="shared" si="39"/>
        <v>0</v>
      </c>
      <c r="T57" s="84" t="str">
        <f t="shared" si="56"/>
        <v/>
      </c>
      <c r="U57" s="106" t="str">
        <f>IF($C57="","",VLOOKUP($C57,'SDDA Dogs'!$A:$O,15,FALSE))</f>
        <v/>
      </c>
      <c r="V57" s="137"/>
      <c r="W57" s="217"/>
      <c r="X57" s="84" t="str">
        <f t="shared" si="57"/>
        <v/>
      </c>
      <c r="Y57" s="105">
        <f t="shared" si="40"/>
        <v>0</v>
      </c>
      <c r="Z57" s="84" t="str">
        <f t="shared" si="58"/>
        <v/>
      </c>
      <c r="AA57" s="105">
        <f t="shared" si="41"/>
        <v>0</v>
      </c>
      <c r="AB57" s="84" t="str">
        <f t="shared" si="59"/>
        <v/>
      </c>
      <c r="AC57" s="92" t="str">
        <f t="shared" si="42"/>
        <v/>
      </c>
      <c r="AD57" s="89" t="str">
        <f t="shared" si="60"/>
        <v/>
      </c>
      <c r="AE57" s="104" t="str">
        <f t="shared" si="61"/>
        <v/>
      </c>
      <c r="AF57" s="107" t="str">
        <f t="shared" si="62"/>
        <v/>
      </c>
      <c r="AG57" s="92" t="str">
        <f t="shared" si="63"/>
        <v/>
      </c>
      <c r="AH57" s="89" t="str">
        <f t="shared" si="64"/>
        <v/>
      </c>
      <c r="AI57" s="104" t="str">
        <f t="shared" si="65"/>
        <v/>
      </c>
      <c r="AJ57" s="84" t="str">
        <f t="shared" si="66"/>
        <v/>
      </c>
      <c r="AK57" s="99" t="str">
        <f t="shared" si="67"/>
        <v/>
      </c>
      <c r="AL57" s="89">
        <f>IFERROR(VLOOKUP(C57 &amp; "-Elite",DogInfo!A:B,2,FALSE),0)</f>
        <v>0</v>
      </c>
      <c r="AM57" s="84" t="str">
        <f t="shared" si="43"/>
        <v/>
      </c>
      <c r="AN57" s="84" t="str">
        <f t="shared" si="44"/>
        <v/>
      </c>
      <c r="AO57" s="84" t="str">
        <f t="shared" si="45"/>
        <v/>
      </c>
      <c r="AP57" s="84">
        <f t="shared" si="68"/>
        <v>0</v>
      </c>
      <c r="AQ57" s="115"/>
      <c r="AR57" s="47"/>
      <c r="AS57" s="47"/>
      <c r="AT57" s="47" t="str">
        <f>IF(ISERROR(VLOOKUP(C57,'SDDA Dogs'!A:O,6,FALSE)),"",VLOOKUP(C57,'SDDA Dogs'!A:O,6,FALSE))</f>
        <v/>
      </c>
      <c r="AU57" s="57">
        <f t="shared" si="46"/>
        <v>0</v>
      </c>
      <c r="AV57" s="57">
        <f t="shared" si="47"/>
        <v>0</v>
      </c>
      <c r="AW57" s="56">
        <f t="shared" si="48"/>
        <v>0</v>
      </c>
      <c r="AY57" s="60">
        <f t="shared" si="49"/>
        <v>0</v>
      </c>
      <c r="AZ57" s="60">
        <f t="shared" si="50"/>
        <v>0</v>
      </c>
      <c r="BA57" s="114"/>
    </row>
    <row r="58" spans="1:53" x14ac:dyDescent="0.25">
      <c r="A58" s="99">
        <f t="shared" si="69"/>
        <v>14</v>
      </c>
      <c r="B58" s="89" t="s">
        <v>3255</v>
      </c>
      <c r="C58" s="101"/>
      <c r="D58" s="102" t="str">
        <f>IF($C58="","",VLOOKUP($C58,'SDDA Dogs'!$A:$F,2,FALSE))</f>
        <v/>
      </c>
      <c r="E58" s="103" t="str">
        <f>IF($C58="","",VLOOKUP($C58,'SDDA Dogs'!$A:$O,13,FALSE))</f>
        <v/>
      </c>
      <c r="F58" s="137"/>
      <c r="G58" s="217"/>
      <c r="H58" s="84" t="str">
        <f t="shared" si="51"/>
        <v/>
      </c>
      <c r="I58" s="105">
        <f t="shared" si="36"/>
        <v>0</v>
      </c>
      <c r="J58" s="84" t="str">
        <f t="shared" si="52"/>
        <v/>
      </c>
      <c r="K58" s="105">
        <f t="shared" si="37"/>
        <v>0</v>
      </c>
      <c r="L58" s="84" t="str">
        <f t="shared" si="53"/>
        <v/>
      </c>
      <c r="M58" s="106" t="str">
        <f>IF($C58="","",VLOOKUP($C58,'SDDA Dogs'!$A:$O,14,FALSE))</f>
        <v/>
      </c>
      <c r="N58" s="137"/>
      <c r="O58" s="217"/>
      <c r="P58" s="84" t="str">
        <f t="shared" si="54"/>
        <v/>
      </c>
      <c r="Q58" s="105">
        <f t="shared" si="38"/>
        <v>0</v>
      </c>
      <c r="R58" s="84" t="str">
        <f t="shared" si="55"/>
        <v/>
      </c>
      <c r="S58" s="105">
        <f t="shared" si="39"/>
        <v>0</v>
      </c>
      <c r="T58" s="84" t="str">
        <f t="shared" si="56"/>
        <v/>
      </c>
      <c r="U58" s="106" t="str">
        <f>IF($C58="","",VLOOKUP($C58,'SDDA Dogs'!$A:$O,15,FALSE))</f>
        <v/>
      </c>
      <c r="V58" s="137"/>
      <c r="W58" s="217"/>
      <c r="X58" s="84" t="str">
        <f t="shared" si="57"/>
        <v/>
      </c>
      <c r="Y58" s="105">
        <f t="shared" si="40"/>
        <v>0</v>
      </c>
      <c r="Z58" s="84" t="str">
        <f t="shared" si="58"/>
        <v/>
      </c>
      <c r="AA58" s="105">
        <f t="shared" si="41"/>
        <v>0</v>
      </c>
      <c r="AB58" s="84" t="str">
        <f t="shared" si="59"/>
        <v/>
      </c>
      <c r="AC58" s="92" t="str">
        <f t="shared" si="42"/>
        <v/>
      </c>
      <c r="AD58" s="89" t="str">
        <f t="shared" si="60"/>
        <v/>
      </c>
      <c r="AE58" s="104" t="str">
        <f t="shared" si="61"/>
        <v/>
      </c>
      <c r="AF58" s="107" t="str">
        <f t="shared" si="62"/>
        <v/>
      </c>
      <c r="AG58" s="92" t="str">
        <f t="shared" si="63"/>
        <v/>
      </c>
      <c r="AH58" s="89" t="str">
        <f t="shared" si="64"/>
        <v/>
      </c>
      <c r="AI58" s="104" t="str">
        <f t="shared" si="65"/>
        <v/>
      </c>
      <c r="AJ58" s="84" t="str">
        <f t="shared" si="66"/>
        <v/>
      </c>
      <c r="AK58" s="99" t="str">
        <f t="shared" si="67"/>
        <v/>
      </c>
      <c r="AL58" s="89">
        <f>IFERROR(VLOOKUP(C58 &amp; "-Elite",DogInfo!A:B,2,FALSE),0)</f>
        <v>0</v>
      </c>
      <c r="AM58" s="84" t="str">
        <f t="shared" si="43"/>
        <v/>
      </c>
      <c r="AN58" s="84" t="str">
        <f t="shared" si="44"/>
        <v/>
      </c>
      <c r="AO58" s="84" t="str">
        <f t="shared" si="45"/>
        <v/>
      </c>
      <c r="AP58" s="84">
        <f t="shared" si="68"/>
        <v>0</v>
      </c>
      <c r="AQ58" s="115"/>
      <c r="AR58" s="47"/>
      <c r="AS58" s="47"/>
      <c r="AT58" s="47" t="str">
        <f>IF(ISERROR(VLOOKUP(C58,'SDDA Dogs'!A:O,6,FALSE)),"",VLOOKUP(C58,'SDDA Dogs'!A:O,6,FALSE))</f>
        <v/>
      </c>
      <c r="AU58" s="57">
        <f t="shared" si="46"/>
        <v>0</v>
      </c>
      <c r="AV58" s="57">
        <f t="shared" si="47"/>
        <v>0</v>
      </c>
      <c r="AW58" s="56">
        <f t="shared" si="48"/>
        <v>0</v>
      </c>
      <c r="AY58" s="60">
        <f t="shared" si="49"/>
        <v>0</v>
      </c>
      <c r="AZ58" s="60">
        <f t="shared" si="50"/>
        <v>0</v>
      </c>
      <c r="BA58" s="114"/>
    </row>
    <row r="59" spans="1:53" x14ac:dyDescent="0.25">
      <c r="A59" s="99">
        <f t="shared" si="69"/>
        <v>15</v>
      </c>
      <c r="B59" s="89" t="s">
        <v>3255</v>
      </c>
      <c r="C59" s="101"/>
      <c r="D59" s="102" t="str">
        <f>IF($C59="","",VLOOKUP($C59,'SDDA Dogs'!$A:$F,2,FALSE))</f>
        <v/>
      </c>
      <c r="E59" s="103" t="str">
        <f>IF($C59="","",VLOOKUP($C59,'SDDA Dogs'!$A:$O,13,FALSE))</f>
        <v/>
      </c>
      <c r="F59" s="137"/>
      <c r="G59" s="217"/>
      <c r="H59" s="84" t="str">
        <f t="shared" si="51"/>
        <v/>
      </c>
      <c r="I59" s="105">
        <f t="shared" si="36"/>
        <v>0</v>
      </c>
      <c r="J59" s="84" t="str">
        <f t="shared" si="52"/>
        <v/>
      </c>
      <c r="K59" s="105">
        <f t="shared" si="37"/>
        <v>0</v>
      </c>
      <c r="L59" s="84" t="str">
        <f t="shared" si="53"/>
        <v/>
      </c>
      <c r="M59" s="106" t="str">
        <f>IF($C59="","",VLOOKUP($C59,'SDDA Dogs'!$A:$O,14,FALSE))</f>
        <v/>
      </c>
      <c r="N59" s="137"/>
      <c r="O59" s="217"/>
      <c r="P59" s="84" t="str">
        <f t="shared" si="54"/>
        <v/>
      </c>
      <c r="Q59" s="105">
        <f t="shared" si="38"/>
        <v>0</v>
      </c>
      <c r="R59" s="84" t="str">
        <f t="shared" si="55"/>
        <v/>
      </c>
      <c r="S59" s="105">
        <f t="shared" si="39"/>
        <v>0</v>
      </c>
      <c r="T59" s="84" t="str">
        <f t="shared" si="56"/>
        <v/>
      </c>
      <c r="U59" s="106" t="str">
        <f>IF($C59="","",VLOOKUP($C59,'SDDA Dogs'!$A:$O,15,FALSE))</f>
        <v/>
      </c>
      <c r="V59" s="137"/>
      <c r="W59" s="217"/>
      <c r="X59" s="84" t="str">
        <f t="shared" si="57"/>
        <v/>
      </c>
      <c r="Y59" s="105">
        <f t="shared" si="40"/>
        <v>0</v>
      </c>
      <c r="Z59" s="84" t="str">
        <f t="shared" si="58"/>
        <v/>
      </c>
      <c r="AA59" s="105">
        <f t="shared" si="41"/>
        <v>0</v>
      </c>
      <c r="AB59" s="84" t="str">
        <f t="shared" si="59"/>
        <v/>
      </c>
      <c r="AC59" s="92" t="str">
        <f t="shared" si="42"/>
        <v/>
      </c>
      <c r="AD59" s="89" t="str">
        <f t="shared" si="60"/>
        <v/>
      </c>
      <c r="AE59" s="104" t="str">
        <f t="shared" si="61"/>
        <v/>
      </c>
      <c r="AF59" s="107" t="str">
        <f t="shared" si="62"/>
        <v/>
      </c>
      <c r="AG59" s="92" t="str">
        <f t="shared" si="63"/>
        <v/>
      </c>
      <c r="AH59" s="89" t="str">
        <f t="shared" si="64"/>
        <v/>
      </c>
      <c r="AI59" s="104" t="str">
        <f t="shared" si="65"/>
        <v/>
      </c>
      <c r="AJ59" s="84" t="str">
        <f t="shared" si="66"/>
        <v/>
      </c>
      <c r="AK59" s="99" t="str">
        <f t="shared" si="67"/>
        <v/>
      </c>
      <c r="AL59" s="89">
        <f>IFERROR(VLOOKUP(C59 &amp; "-Elite",DogInfo!A:B,2,FALSE),0)</f>
        <v>0</v>
      </c>
      <c r="AM59" s="84" t="str">
        <f t="shared" si="43"/>
        <v/>
      </c>
      <c r="AN59" s="84" t="str">
        <f t="shared" si="44"/>
        <v/>
      </c>
      <c r="AO59" s="84" t="str">
        <f t="shared" si="45"/>
        <v/>
      </c>
      <c r="AP59" s="84">
        <f t="shared" si="68"/>
        <v>0</v>
      </c>
      <c r="AQ59" s="115"/>
      <c r="AR59" s="47"/>
      <c r="AS59" s="47"/>
      <c r="AT59" s="47" t="str">
        <f>IF(ISERROR(VLOOKUP(C59,'SDDA Dogs'!A:O,6,FALSE)),"",VLOOKUP(C59,'SDDA Dogs'!A:O,6,FALSE))</f>
        <v/>
      </c>
      <c r="AU59" s="57">
        <f t="shared" si="46"/>
        <v>0</v>
      </c>
      <c r="AV59" s="57">
        <f t="shared" si="47"/>
        <v>0</v>
      </c>
      <c r="AW59" s="56">
        <f t="shared" si="48"/>
        <v>0</v>
      </c>
      <c r="AY59" s="60">
        <f t="shared" si="49"/>
        <v>0</v>
      </c>
      <c r="AZ59" s="60">
        <f t="shared" si="50"/>
        <v>0</v>
      </c>
      <c r="BA59" s="114"/>
    </row>
    <row r="60" spans="1:53" x14ac:dyDescent="0.25">
      <c r="A60" s="99">
        <f t="shared" si="69"/>
        <v>16</v>
      </c>
      <c r="B60" s="89" t="s">
        <v>3255</v>
      </c>
      <c r="C60" s="101"/>
      <c r="D60" s="102" t="str">
        <f>IF($C60="","",VLOOKUP($C60,'SDDA Dogs'!$A:$F,2,FALSE))</f>
        <v/>
      </c>
      <c r="E60" s="103" t="str">
        <f>IF($C60="","",VLOOKUP($C60,'SDDA Dogs'!$A:$O,13,FALSE))</f>
        <v/>
      </c>
      <c r="F60" s="137"/>
      <c r="G60" s="217"/>
      <c r="H60" s="84" t="str">
        <f t="shared" si="51"/>
        <v/>
      </c>
      <c r="I60" s="105">
        <f t="shared" si="36"/>
        <v>0</v>
      </c>
      <c r="J60" s="84" t="str">
        <f t="shared" si="52"/>
        <v/>
      </c>
      <c r="K60" s="105">
        <f t="shared" si="37"/>
        <v>0</v>
      </c>
      <c r="L60" s="84" t="str">
        <f t="shared" si="53"/>
        <v/>
      </c>
      <c r="M60" s="106" t="str">
        <f>IF($C60="","",VLOOKUP($C60,'SDDA Dogs'!$A:$O,14,FALSE))</f>
        <v/>
      </c>
      <c r="N60" s="137"/>
      <c r="O60" s="217"/>
      <c r="P60" s="84" t="str">
        <f t="shared" si="54"/>
        <v/>
      </c>
      <c r="Q60" s="105">
        <f t="shared" si="38"/>
        <v>0</v>
      </c>
      <c r="R60" s="84" t="str">
        <f t="shared" si="55"/>
        <v/>
      </c>
      <c r="S60" s="105">
        <f t="shared" si="39"/>
        <v>0</v>
      </c>
      <c r="T60" s="84" t="str">
        <f t="shared" si="56"/>
        <v/>
      </c>
      <c r="U60" s="106" t="str">
        <f>IF($C60="","",VLOOKUP($C60,'SDDA Dogs'!$A:$O,15,FALSE))</f>
        <v/>
      </c>
      <c r="V60" s="137"/>
      <c r="W60" s="217"/>
      <c r="X60" s="84" t="str">
        <f t="shared" si="57"/>
        <v/>
      </c>
      <c r="Y60" s="105">
        <f t="shared" si="40"/>
        <v>0</v>
      </c>
      <c r="Z60" s="84" t="str">
        <f t="shared" si="58"/>
        <v/>
      </c>
      <c r="AA60" s="105">
        <f t="shared" si="41"/>
        <v>0</v>
      </c>
      <c r="AB60" s="84" t="str">
        <f t="shared" si="59"/>
        <v/>
      </c>
      <c r="AC60" s="92" t="str">
        <f t="shared" si="42"/>
        <v/>
      </c>
      <c r="AD60" s="89" t="str">
        <f t="shared" si="60"/>
        <v/>
      </c>
      <c r="AE60" s="104" t="str">
        <f t="shared" si="61"/>
        <v/>
      </c>
      <c r="AF60" s="107" t="str">
        <f t="shared" si="62"/>
        <v/>
      </c>
      <c r="AG60" s="92" t="str">
        <f t="shared" si="63"/>
        <v/>
      </c>
      <c r="AH60" s="89" t="str">
        <f t="shared" si="64"/>
        <v/>
      </c>
      <c r="AI60" s="104" t="str">
        <f t="shared" si="65"/>
        <v/>
      </c>
      <c r="AJ60" s="84" t="str">
        <f t="shared" si="66"/>
        <v/>
      </c>
      <c r="AK60" s="99" t="str">
        <f t="shared" si="67"/>
        <v/>
      </c>
      <c r="AL60" s="89">
        <f>IFERROR(VLOOKUP(C60 &amp; "-Elite",DogInfo!A:B,2,FALSE),0)</f>
        <v>0</v>
      </c>
      <c r="AM60" s="84" t="str">
        <f t="shared" si="43"/>
        <v/>
      </c>
      <c r="AN60" s="84" t="str">
        <f t="shared" si="44"/>
        <v/>
      </c>
      <c r="AO60" s="84" t="str">
        <f t="shared" si="45"/>
        <v/>
      </c>
      <c r="AP60" s="84">
        <f t="shared" si="68"/>
        <v>0</v>
      </c>
      <c r="AQ60" s="115"/>
      <c r="AR60" s="47"/>
      <c r="AS60" s="47"/>
      <c r="AT60" s="47" t="str">
        <f>IF(ISERROR(VLOOKUP(C60,'SDDA Dogs'!A:O,6,FALSE)),"",VLOOKUP(C60,'SDDA Dogs'!A:O,6,FALSE))</f>
        <v/>
      </c>
      <c r="AU60" s="57">
        <f t="shared" si="46"/>
        <v>0</v>
      </c>
      <c r="AV60" s="57">
        <f t="shared" si="47"/>
        <v>0</v>
      </c>
      <c r="AW60" s="56">
        <f t="shared" si="48"/>
        <v>0</v>
      </c>
      <c r="AY60" s="60">
        <f t="shared" si="49"/>
        <v>0</v>
      </c>
      <c r="AZ60" s="60">
        <f t="shared" si="50"/>
        <v>0</v>
      </c>
      <c r="BA60" s="114"/>
    </row>
    <row r="61" spans="1:53" x14ac:dyDescent="0.25">
      <c r="A61" s="99">
        <f t="shared" si="69"/>
        <v>17</v>
      </c>
      <c r="B61" s="89" t="s">
        <v>3255</v>
      </c>
      <c r="C61" s="101"/>
      <c r="D61" s="102" t="str">
        <f>IF($C61="","",VLOOKUP($C61,'SDDA Dogs'!$A:$F,2,FALSE))</f>
        <v/>
      </c>
      <c r="E61" s="103" t="str">
        <f>IF($C61="","",VLOOKUP($C61,'SDDA Dogs'!$A:$O,13,FALSE))</f>
        <v/>
      </c>
      <c r="F61" s="137"/>
      <c r="G61" s="217"/>
      <c r="H61" s="84" t="str">
        <f t="shared" si="51"/>
        <v/>
      </c>
      <c r="I61" s="105">
        <f t="shared" si="36"/>
        <v>0</v>
      </c>
      <c r="J61" s="84" t="str">
        <f t="shared" si="52"/>
        <v/>
      </c>
      <c r="K61" s="105">
        <f t="shared" si="37"/>
        <v>0</v>
      </c>
      <c r="L61" s="84" t="str">
        <f t="shared" si="53"/>
        <v/>
      </c>
      <c r="M61" s="106" t="str">
        <f>IF($C61="","",VLOOKUP($C61,'SDDA Dogs'!$A:$O,14,FALSE))</f>
        <v/>
      </c>
      <c r="N61" s="137"/>
      <c r="O61" s="217"/>
      <c r="P61" s="84" t="str">
        <f t="shared" si="54"/>
        <v/>
      </c>
      <c r="Q61" s="105">
        <f t="shared" si="38"/>
        <v>0</v>
      </c>
      <c r="R61" s="84" t="str">
        <f t="shared" si="55"/>
        <v/>
      </c>
      <c r="S61" s="105">
        <f t="shared" si="39"/>
        <v>0</v>
      </c>
      <c r="T61" s="84" t="str">
        <f t="shared" si="56"/>
        <v/>
      </c>
      <c r="U61" s="106" t="str">
        <f>IF($C61="","",VLOOKUP($C61,'SDDA Dogs'!$A:$O,15,FALSE))</f>
        <v/>
      </c>
      <c r="V61" s="137"/>
      <c r="W61" s="217"/>
      <c r="X61" s="84" t="str">
        <f t="shared" si="57"/>
        <v/>
      </c>
      <c r="Y61" s="105">
        <f t="shared" si="40"/>
        <v>0</v>
      </c>
      <c r="Z61" s="84" t="str">
        <f t="shared" si="58"/>
        <v/>
      </c>
      <c r="AA61" s="105">
        <f t="shared" si="41"/>
        <v>0</v>
      </c>
      <c r="AB61" s="84" t="str">
        <f t="shared" si="59"/>
        <v/>
      </c>
      <c r="AC61" s="92" t="str">
        <f t="shared" si="42"/>
        <v/>
      </c>
      <c r="AD61" s="89" t="str">
        <f t="shared" si="60"/>
        <v/>
      </c>
      <c r="AE61" s="104" t="str">
        <f t="shared" si="61"/>
        <v/>
      </c>
      <c r="AF61" s="107" t="str">
        <f t="shared" si="62"/>
        <v/>
      </c>
      <c r="AG61" s="92" t="str">
        <f t="shared" si="63"/>
        <v/>
      </c>
      <c r="AH61" s="89" t="str">
        <f t="shared" si="64"/>
        <v/>
      </c>
      <c r="AI61" s="104" t="str">
        <f t="shared" si="65"/>
        <v/>
      </c>
      <c r="AJ61" s="84" t="str">
        <f t="shared" si="66"/>
        <v/>
      </c>
      <c r="AK61" s="99" t="str">
        <f t="shared" si="67"/>
        <v/>
      </c>
      <c r="AL61" s="89">
        <f>IFERROR(VLOOKUP(C61 &amp; "-Elite",DogInfo!A:B,2,FALSE),0)</f>
        <v>0</v>
      </c>
      <c r="AM61" s="84" t="str">
        <f t="shared" si="43"/>
        <v/>
      </c>
      <c r="AN61" s="84" t="str">
        <f t="shared" si="44"/>
        <v/>
      </c>
      <c r="AO61" s="84" t="str">
        <f t="shared" si="45"/>
        <v/>
      </c>
      <c r="AP61" s="84">
        <f t="shared" si="68"/>
        <v>0</v>
      </c>
      <c r="AQ61" s="115"/>
      <c r="AR61" s="47"/>
      <c r="AS61" s="47"/>
      <c r="AT61" s="47" t="str">
        <f>IF(ISERROR(VLOOKUP(C61,'SDDA Dogs'!A:O,6,FALSE)),"",VLOOKUP(C61,'SDDA Dogs'!A:O,6,FALSE))</f>
        <v/>
      </c>
      <c r="AU61" s="57">
        <f t="shared" si="46"/>
        <v>0</v>
      </c>
      <c r="AV61" s="57">
        <f t="shared" si="47"/>
        <v>0</v>
      </c>
      <c r="AW61" s="56">
        <f t="shared" si="48"/>
        <v>0</v>
      </c>
      <c r="AY61" s="60">
        <f t="shared" si="49"/>
        <v>0</v>
      </c>
      <c r="AZ61" s="60">
        <f t="shared" si="50"/>
        <v>0</v>
      </c>
      <c r="BA61" s="114"/>
    </row>
    <row r="62" spans="1:53" x14ac:dyDescent="0.25">
      <c r="A62" s="99">
        <f t="shared" si="69"/>
        <v>18</v>
      </c>
      <c r="B62" s="89" t="s">
        <v>3255</v>
      </c>
      <c r="C62" s="101"/>
      <c r="D62" s="102" t="str">
        <f>IF($C62="","",VLOOKUP($C62,'SDDA Dogs'!$A:$F,2,FALSE))</f>
        <v/>
      </c>
      <c r="E62" s="103" t="str">
        <f>IF($C62="","",VLOOKUP($C62,'SDDA Dogs'!$A:$O,13,FALSE))</f>
        <v/>
      </c>
      <c r="F62" s="137"/>
      <c r="G62" s="217"/>
      <c r="H62" s="84" t="str">
        <f t="shared" si="51"/>
        <v/>
      </c>
      <c r="I62" s="105">
        <f t="shared" si="36"/>
        <v>0</v>
      </c>
      <c r="J62" s="84" t="str">
        <f t="shared" si="52"/>
        <v/>
      </c>
      <c r="K62" s="105">
        <f t="shared" si="37"/>
        <v>0</v>
      </c>
      <c r="L62" s="84" t="str">
        <f t="shared" si="53"/>
        <v/>
      </c>
      <c r="M62" s="106" t="str">
        <f>IF($C62="","",VLOOKUP($C62,'SDDA Dogs'!$A:$O,14,FALSE))</f>
        <v/>
      </c>
      <c r="N62" s="137"/>
      <c r="O62" s="217"/>
      <c r="P62" s="84" t="str">
        <f t="shared" si="54"/>
        <v/>
      </c>
      <c r="Q62" s="105">
        <f t="shared" si="38"/>
        <v>0</v>
      </c>
      <c r="R62" s="84" t="str">
        <f t="shared" si="55"/>
        <v/>
      </c>
      <c r="S62" s="105">
        <f t="shared" si="39"/>
        <v>0</v>
      </c>
      <c r="T62" s="84" t="str">
        <f t="shared" si="56"/>
        <v/>
      </c>
      <c r="U62" s="106" t="str">
        <f>IF($C62="","",VLOOKUP($C62,'SDDA Dogs'!$A:$O,15,FALSE))</f>
        <v/>
      </c>
      <c r="V62" s="137"/>
      <c r="W62" s="217"/>
      <c r="X62" s="84" t="str">
        <f t="shared" si="57"/>
        <v/>
      </c>
      <c r="Y62" s="105">
        <f t="shared" si="40"/>
        <v>0</v>
      </c>
      <c r="Z62" s="84" t="str">
        <f t="shared" si="58"/>
        <v/>
      </c>
      <c r="AA62" s="105">
        <f t="shared" si="41"/>
        <v>0</v>
      </c>
      <c r="AB62" s="84" t="str">
        <f t="shared" si="59"/>
        <v/>
      </c>
      <c r="AC62" s="92" t="str">
        <f t="shared" si="42"/>
        <v/>
      </c>
      <c r="AD62" s="89" t="str">
        <f t="shared" si="60"/>
        <v/>
      </c>
      <c r="AE62" s="104" t="str">
        <f t="shared" si="61"/>
        <v/>
      </c>
      <c r="AF62" s="107" t="str">
        <f t="shared" si="62"/>
        <v/>
      </c>
      <c r="AG62" s="92" t="str">
        <f t="shared" si="63"/>
        <v/>
      </c>
      <c r="AH62" s="89" t="str">
        <f t="shared" si="64"/>
        <v/>
      </c>
      <c r="AI62" s="104" t="str">
        <f t="shared" si="65"/>
        <v/>
      </c>
      <c r="AJ62" s="84" t="str">
        <f t="shared" si="66"/>
        <v/>
      </c>
      <c r="AK62" s="99" t="str">
        <f t="shared" si="67"/>
        <v/>
      </c>
      <c r="AL62" s="89">
        <f>IFERROR(VLOOKUP(C62 &amp; "-Elite",DogInfo!A:B,2,FALSE),0)</f>
        <v>0</v>
      </c>
      <c r="AM62" s="84" t="str">
        <f t="shared" si="43"/>
        <v/>
      </c>
      <c r="AN62" s="84" t="str">
        <f t="shared" si="44"/>
        <v/>
      </c>
      <c r="AO62" s="84" t="str">
        <f t="shared" si="45"/>
        <v/>
      </c>
      <c r="AP62" s="84">
        <f t="shared" si="68"/>
        <v>0</v>
      </c>
      <c r="AQ62" s="115"/>
      <c r="AR62" s="47"/>
      <c r="AS62" s="47"/>
      <c r="AT62" s="47" t="str">
        <f>IF(ISERROR(VLOOKUP(C62,'SDDA Dogs'!A:O,6,FALSE)),"",VLOOKUP(C62,'SDDA Dogs'!A:O,6,FALSE))</f>
        <v/>
      </c>
      <c r="AU62" s="57">
        <f t="shared" si="46"/>
        <v>0</v>
      </c>
      <c r="AV62" s="57">
        <f t="shared" si="47"/>
        <v>0</v>
      </c>
      <c r="AW62" s="56">
        <f t="shared" si="48"/>
        <v>0</v>
      </c>
      <c r="AY62" s="60">
        <f t="shared" si="49"/>
        <v>0</v>
      </c>
      <c r="AZ62" s="60">
        <f t="shared" si="50"/>
        <v>0</v>
      </c>
      <c r="BA62" s="114"/>
    </row>
    <row r="63" spans="1:53" x14ac:dyDescent="0.25">
      <c r="A63" s="99">
        <f t="shared" si="69"/>
        <v>19</v>
      </c>
      <c r="B63" s="89" t="s">
        <v>3255</v>
      </c>
      <c r="C63" s="101"/>
      <c r="D63" s="102" t="str">
        <f>IF($C63="","",VLOOKUP($C63,'SDDA Dogs'!$A:$F,2,FALSE))</f>
        <v/>
      </c>
      <c r="E63" s="103" t="str">
        <f>IF($C63="","",VLOOKUP($C63,'SDDA Dogs'!$A:$O,13,FALSE))</f>
        <v/>
      </c>
      <c r="F63" s="137"/>
      <c r="G63" s="217"/>
      <c r="H63" s="84" t="str">
        <f t="shared" si="51"/>
        <v/>
      </c>
      <c r="I63" s="105">
        <f t="shared" si="36"/>
        <v>0</v>
      </c>
      <c r="J63" s="84" t="str">
        <f t="shared" si="52"/>
        <v/>
      </c>
      <c r="K63" s="105">
        <f t="shared" si="37"/>
        <v>0</v>
      </c>
      <c r="L63" s="84" t="str">
        <f t="shared" si="53"/>
        <v/>
      </c>
      <c r="M63" s="106" t="str">
        <f>IF($C63="","",VLOOKUP($C63,'SDDA Dogs'!$A:$O,14,FALSE))</f>
        <v/>
      </c>
      <c r="N63" s="137"/>
      <c r="O63" s="217"/>
      <c r="P63" s="84" t="str">
        <f t="shared" si="54"/>
        <v/>
      </c>
      <c r="Q63" s="105">
        <f t="shared" si="38"/>
        <v>0</v>
      </c>
      <c r="R63" s="84" t="str">
        <f t="shared" si="55"/>
        <v/>
      </c>
      <c r="S63" s="105">
        <f t="shared" si="39"/>
        <v>0</v>
      </c>
      <c r="T63" s="84" t="str">
        <f t="shared" si="56"/>
        <v/>
      </c>
      <c r="U63" s="106" t="str">
        <f>IF($C63="","",VLOOKUP($C63,'SDDA Dogs'!$A:$O,15,FALSE))</f>
        <v/>
      </c>
      <c r="V63" s="137"/>
      <c r="W63" s="217"/>
      <c r="X63" s="84" t="str">
        <f t="shared" si="57"/>
        <v/>
      </c>
      <c r="Y63" s="105">
        <f t="shared" si="40"/>
        <v>0</v>
      </c>
      <c r="Z63" s="84" t="str">
        <f t="shared" si="58"/>
        <v/>
      </c>
      <c r="AA63" s="105">
        <f t="shared" si="41"/>
        <v>0</v>
      </c>
      <c r="AB63" s="84" t="str">
        <f t="shared" si="59"/>
        <v/>
      </c>
      <c r="AC63" s="92" t="str">
        <f t="shared" si="42"/>
        <v/>
      </c>
      <c r="AD63" s="89" t="str">
        <f t="shared" si="60"/>
        <v/>
      </c>
      <c r="AE63" s="104" t="str">
        <f t="shared" si="61"/>
        <v/>
      </c>
      <c r="AF63" s="107" t="str">
        <f t="shared" si="62"/>
        <v/>
      </c>
      <c r="AG63" s="92" t="str">
        <f t="shared" si="63"/>
        <v/>
      </c>
      <c r="AH63" s="89" t="str">
        <f t="shared" si="64"/>
        <v/>
      </c>
      <c r="AI63" s="104" t="str">
        <f t="shared" si="65"/>
        <v/>
      </c>
      <c r="AJ63" s="84" t="str">
        <f t="shared" si="66"/>
        <v/>
      </c>
      <c r="AK63" s="99" t="str">
        <f t="shared" si="67"/>
        <v/>
      </c>
      <c r="AL63" s="89">
        <f>IFERROR(VLOOKUP(C63 &amp; "-Elite",DogInfo!A:B,2,FALSE),0)</f>
        <v>0</v>
      </c>
      <c r="AM63" s="84" t="str">
        <f t="shared" si="43"/>
        <v/>
      </c>
      <c r="AN63" s="84" t="str">
        <f t="shared" si="44"/>
        <v/>
      </c>
      <c r="AO63" s="84" t="str">
        <f t="shared" si="45"/>
        <v/>
      </c>
      <c r="AP63" s="84">
        <f t="shared" si="68"/>
        <v>0</v>
      </c>
      <c r="AQ63" s="115"/>
      <c r="AR63" s="47"/>
      <c r="AS63" s="47"/>
      <c r="AT63" s="47" t="str">
        <f>IF(ISERROR(VLOOKUP(C63,'SDDA Dogs'!A:O,6,FALSE)),"",VLOOKUP(C63,'SDDA Dogs'!A:O,6,FALSE))</f>
        <v/>
      </c>
      <c r="AU63" s="57">
        <f t="shared" si="46"/>
        <v>0</v>
      </c>
      <c r="AV63" s="57">
        <f t="shared" si="47"/>
        <v>0</v>
      </c>
      <c r="AW63" s="56">
        <f t="shared" si="48"/>
        <v>0</v>
      </c>
      <c r="AY63" s="60">
        <f t="shared" si="49"/>
        <v>0</v>
      </c>
      <c r="AZ63" s="60">
        <f t="shared" si="50"/>
        <v>0</v>
      </c>
      <c r="BA63" s="114"/>
    </row>
    <row r="64" spans="1:53" x14ac:dyDescent="0.25">
      <c r="A64" s="99">
        <f t="shared" si="69"/>
        <v>20</v>
      </c>
      <c r="B64" s="89" t="s">
        <v>3255</v>
      </c>
      <c r="C64" s="101"/>
      <c r="D64" s="102" t="str">
        <f>IF($C64="","",VLOOKUP($C64,'SDDA Dogs'!$A:$F,2,FALSE))</f>
        <v/>
      </c>
      <c r="E64" s="103" t="str">
        <f>IF($C64="","",VLOOKUP($C64,'SDDA Dogs'!$A:$O,13,FALSE))</f>
        <v/>
      </c>
      <c r="F64" s="137"/>
      <c r="G64" s="217"/>
      <c r="H64" s="84" t="str">
        <f t="shared" si="51"/>
        <v/>
      </c>
      <c r="I64" s="105">
        <f t="shared" si="36"/>
        <v>0</v>
      </c>
      <c r="J64" s="84" t="str">
        <f t="shared" si="52"/>
        <v/>
      </c>
      <c r="K64" s="105">
        <f t="shared" si="37"/>
        <v>0</v>
      </c>
      <c r="L64" s="84" t="str">
        <f t="shared" si="53"/>
        <v/>
      </c>
      <c r="M64" s="106" t="str">
        <f>IF($C64="","",VLOOKUP($C64,'SDDA Dogs'!$A:$O,14,FALSE))</f>
        <v/>
      </c>
      <c r="N64" s="137"/>
      <c r="O64" s="217"/>
      <c r="P64" s="84" t="str">
        <f t="shared" si="54"/>
        <v/>
      </c>
      <c r="Q64" s="105">
        <f t="shared" si="38"/>
        <v>0</v>
      </c>
      <c r="R64" s="84" t="str">
        <f t="shared" si="55"/>
        <v/>
      </c>
      <c r="S64" s="105">
        <f t="shared" si="39"/>
        <v>0</v>
      </c>
      <c r="T64" s="84" t="str">
        <f t="shared" si="56"/>
        <v/>
      </c>
      <c r="U64" s="106" t="str">
        <f>IF($C64="","",VLOOKUP($C64,'SDDA Dogs'!$A:$O,15,FALSE))</f>
        <v/>
      </c>
      <c r="V64" s="137"/>
      <c r="W64" s="217"/>
      <c r="X64" s="84" t="str">
        <f t="shared" si="57"/>
        <v/>
      </c>
      <c r="Y64" s="105">
        <f t="shared" si="40"/>
        <v>0</v>
      </c>
      <c r="Z64" s="84" t="str">
        <f t="shared" si="58"/>
        <v/>
      </c>
      <c r="AA64" s="105">
        <f t="shared" si="41"/>
        <v>0</v>
      </c>
      <c r="AB64" s="84" t="str">
        <f t="shared" si="59"/>
        <v/>
      </c>
      <c r="AC64" s="92" t="str">
        <f t="shared" si="42"/>
        <v/>
      </c>
      <c r="AD64" s="89" t="str">
        <f t="shared" si="60"/>
        <v/>
      </c>
      <c r="AE64" s="104" t="str">
        <f t="shared" si="61"/>
        <v/>
      </c>
      <c r="AF64" s="107" t="str">
        <f t="shared" si="62"/>
        <v/>
      </c>
      <c r="AG64" s="92" t="str">
        <f t="shared" si="63"/>
        <v/>
      </c>
      <c r="AH64" s="89" t="str">
        <f t="shared" si="64"/>
        <v/>
      </c>
      <c r="AI64" s="104" t="str">
        <f t="shared" si="65"/>
        <v/>
      </c>
      <c r="AJ64" s="84" t="str">
        <f t="shared" si="66"/>
        <v/>
      </c>
      <c r="AK64" s="99" t="str">
        <f t="shared" si="67"/>
        <v/>
      </c>
      <c r="AL64" s="89">
        <f>IFERROR(VLOOKUP(C64 &amp; "-Elite",DogInfo!A:B,2,FALSE),0)</f>
        <v>0</v>
      </c>
      <c r="AM64" s="84" t="str">
        <f t="shared" si="43"/>
        <v/>
      </c>
      <c r="AN64" s="84" t="str">
        <f t="shared" si="44"/>
        <v/>
      </c>
      <c r="AO64" s="84" t="str">
        <f t="shared" si="45"/>
        <v/>
      </c>
      <c r="AP64" s="84">
        <f t="shared" si="68"/>
        <v>0</v>
      </c>
      <c r="AQ64" s="115"/>
      <c r="AR64" s="47"/>
      <c r="AS64" s="47"/>
      <c r="AT64" s="47" t="str">
        <f>IF(ISERROR(VLOOKUP(C64,'SDDA Dogs'!A:O,6,FALSE)),"",VLOOKUP(C64,'SDDA Dogs'!A:O,6,FALSE))</f>
        <v/>
      </c>
      <c r="AU64" s="57">
        <f t="shared" si="46"/>
        <v>0</v>
      </c>
      <c r="AV64" s="57">
        <f t="shared" si="47"/>
        <v>0</v>
      </c>
      <c r="AW64" s="56">
        <f t="shared" si="48"/>
        <v>0</v>
      </c>
      <c r="AY64" s="60">
        <f t="shared" si="49"/>
        <v>0</v>
      </c>
      <c r="AZ64" s="60">
        <f t="shared" si="50"/>
        <v>0</v>
      </c>
      <c r="BA64" s="114"/>
    </row>
    <row r="65" spans="1:53" x14ac:dyDescent="0.25">
      <c r="A65" s="99">
        <f t="shared" si="69"/>
        <v>21</v>
      </c>
      <c r="B65" s="89" t="s">
        <v>3255</v>
      </c>
      <c r="C65" s="101"/>
      <c r="D65" s="102" t="str">
        <f>IF($C65="","",VLOOKUP($C65,'SDDA Dogs'!$A:$F,2,FALSE))</f>
        <v/>
      </c>
      <c r="E65" s="103" t="str">
        <f>IF($C65="","",VLOOKUP($C65,'SDDA Dogs'!$A:$O,13,FALSE))</f>
        <v/>
      </c>
      <c r="F65" s="137"/>
      <c r="G65" s="217"/>
      <c r="H65" s="84" t="str">
        <f t="shared" si="51"/>
        <v/>
      </c>
      <c r="I65" s="105">
        <f t="shared" si="36"/>
        <v>0</v>
      </c>
      <c r="J65" s="84" t="str">
        <f t="shared" si="52"/>
        <v/>
      </c>
      <c r="K65" s="105">
        <f t="shared" si="37"/>
        <v>0</v>
      </c>
      <c r="L65" s="84" t="str">
        <f t="shared" si="53"/>
        <v/>
      </c>
      <c r="M65" s="106" t="str">
        <f>IF($C65="","",VLOOKUP($C65,'SDDA Dogs'!$A:$O,14,FALSE))</f>
        <v/>
      </c>
      <c r="N65" s="137"/>
      <c r="O65" s="217"/>
      <c r="P65" s="84" t="str">
        <f t="shared" si="54"/>
        <v/>
      </c>
      <c r="Q65" s="105">
        <f t="shared" si="38"/>
        <v>0</v>
      </c>
      <c r="R65" s="84" t="str">
        <f t="shared" si="55"/>
        <v/>
      </c>
      <c r="S65" s="105">
        <f t="shared" si="39"/>
        <v>0</v>
      </c>
      <c r="T65" s="84" t="str">
        <f t="shared" si="56"/>
        <v/>
      </c>
      <c r="U65" s="106" t="str">
        <f>IF($C65="","",VLOOKUP($C65,'SDDA Dogs'!$A:$O,15,FALSE))</f>
        <v/>
      </c>
      <c r="V65" s="137"/>
      <c r="W65" s="217"/>
      <c r="X65" s="84" t="str">
        <f t="shared" si="57"/>
        <v/>
      </c>
      <c r="Y65" s="105">
        <f t="shared" si="40"/>
        <v>0</v>
      </c>
      <c r="Z65" s="84" t="str">
        <f t="shared" si="58"/>
        <v/>
      </c>
      <c r="AA65" s="105">
        <f t="shared" si="41"/>
        <v>0</v>
      </c>
      <c r="AB65" s="84" t="str">
        <f t="shared" si="59"/>
        <v/>
      </c>
      <c r="AC65" s="92" t="str">
        <f t="shared" si="42"/>
        <v/>
      </c>
      <c r="AD65" s="89" t="str">
        <f t="shared" si="60"/>
        <v/>
      </c>
      <c r="AE65" s="104" t="str">
        <f t="shared" si="61"/>
        <v/>
      </c>
      <c r="AF65" s="107" t="str">
        <f t="shared" si="62"/>
        <v/>
      </c>
      <c r="AG65" s="92" t="str">
        <f t="shared" si="63"/>
        <v/>
      </c>
      <c r="AH65" s="89" t="str">
        <f t="shared" si="64"/>
        <v/>
      </c>
      <c r="AI65" s="104" t="str">
        <f t="shared" si="65"/>
        <v/>
      </c>
      <c r="AJ65" s="84" t="str">
        <f t="shared" si="66"/>
        <v/>
      </c>
      <c r="AK65" s="99" t="str">
        <f t="shared" si="67"/>
        <v/>
      </c>
      <c r="AL65" s="89">
        <f>IFERROR(VLOOKUP(C65 &amp; "-Elite",DogInfo!A:B,2,FALSE),0)</f>
        <v>0</v>
      </c>
      <c r="AM65" s="84" t="str">
        <f t="shared" si="43"/>
        <v/>
      </c>
      <c r="AN65" s="84" t="str">
        <f t="shared" si="44"/>
        <v/>
      </c>
      <c r="AO65" s="84" t="str">
        <f t="shared" si="45"/>
        <v/>
      </c>
      <c r="AP65" s="84">
        <f t="shared" si="68"/>
        <v>0</v>
      </c>
      <c r="AQ65" s="115"/>
      <c r="AR65" s="47"/>
      <c r="AS65" s="47"/>
      <c r="AT65" s="47" t="str">
        <f>IF(ISERROR(VLOOKUP(C65,'SDDA Dogs'!A:O,6,FALSE)),"",VLOOKUP(C65,'SDDA Dogs'!A:O,6,FALSE))</f>
        <v/>
      </c>
      <c r="AU65" s="57">
        <f t="shared" si="46"/>
        <v>0</v>
      </c>
      <c r="AV65" s="57">
        <f t="shared" si="47"/>
        <v>0</v>
      </c>
      <c r="AW65" s="56">
        <f t="shared" si="48"/>
        <v>0</v>
      </c>
      <c r="AY65" s="60">
        <f t="shared" si="49"/>
        <v>0</v>
      </c>
      <c r="AZ65" s="60">
        <f t="shared" si="50"/>
        <v>0</v>
      </c>
      <c r="BA65" s="114"/>
    </row>
    <row r="66" spans="1:53" x14ac:dyDescent="0.25">
      <c r="A66" s="99">
        <f t="shared" si="69"/>
        <v>22</v>
      </c>
      <c r="B66" s="89" t="s">
        <v>3255</v>
      </c>
      <c r="C66" s="101"/>
      <c r="D66" s="102" t="str">
        <f>IF($C66="","",VLOOKUP($C66,'SDDA Dogs'!$A:$F,2,FALSE))</f>
        <v/>
      </c>
      <c r="E66" s="103" t="str">
        <f>IF($C66="","",VLOOKUP($C66,'SDDA Dogs'!$A:$O,13,FALSE))</f>
        <v/>
      </c>
      <c r="F66" s="137"/>
      <c r="G66" s="217"/>
      <c r="H66" s="84" t="str">
        <f t="shared" si="51"/>
        <v/>
      </c>
      <c r="I66" s="105">
        <f t="shared" si="36"/>
        <v>0</v>
      </c>
      <c r="J66" s="84" t="str">
        <f t="shared" si="52"/>
        <v/>
      </c>
      <c r="K66" s="105">
        <f t="shared" si="37"/>
        <v>0</v>
      </c>
      <c r="L66" s="84" t="str">
        <f t="shared" si="53"/>
        <v/>
      </c>
      <c r="M66" s="106" t="str">
        <f>IF($C66="","",VLOOKUP($C66,'SDDA Dogs'!$A:$O,14,FALSE))</f>
        <v/>
      </c>
      <c r="N66" s="137"/>
      <c r="O66" s="217"/>
      <c r="P66" s="84" t="str">
        <f t="shared" si="54"/>
        <v/>
      </c>
      <c r="Q66" s="105">
        <f t="shared" si="38"/>
        <v>0</v>
      </c>
      <c r="R66" s="84" t="str">
        <f t="shared" si="55"/>
        <v/>
      </c>
      <c r="S66" s="105">
        <f t="shared" si="39"/>
        <v>0</v>
      </c>
      <c r="T66" s="84" t="str">
        <f t="shared" si="56"/>
        <v/>
      </c>
      <c r="U66" s="106" t="str">
        <f>IF($C66="","",VLOOKUP($C66,'SDDA Dogs'!$A:$O,15,FALSE))</f>
        <v/>
      </c>
      <c r="V66" s="137"/>
      <c r="W66" s="217"/>
      <c r="X66" s="84" t="str">
        <f t="shared" si="57"/>
        <v/>
      </c>
      <c r="Y66" s="105">
        <f t="shared" si="40"/>
        <v>0</v>
      </c>
      <c r="Z66" s="84" t="str">
        <f t="shared" si="58"/>
        <v/>
      </c>
      <c r="AA66" s="105">
        <f t="shared" si="41"/>
        <v>0</v>
      </c>
      <c r="AB66" s="84" t="str">
        <f t="shared" si="59"/>
        <v/>
      </c>
      <c r="AC66" s="92" t="str">
        <f t="shared" si="42"/>
        <v/>
      </c>
      <c r="AD66" s="89" t="str">
        <f t="shared" si="60"/>
        <v/>
      </c>
      <c r="AE66" s="104" t="str">
        <f t="shared" si="61"/>
        <v/>
      </c>
      <c r="AF66" s="107" t="str">
        <f t="shared" si="62"/>
        <v/>
      </c>
      <c r="AG66" s="92" t="str">
        <f t="shared" si="63"/>
        <v/>
      </c>
      <c r="AH66" s="89" t="str">
        <f t="shared" si="64"/>
        <v/>
      </c>
      <c r="AI66" s="104" t="str">
        <f t="shared" si="65"/>
        <v/>
      </c>
      <c r="AJ66" s="84" t="str">
        <f t="shared" si="66"/>
        <v/>
      </c>
      <c r="AK66" s="99" t="str">
        <f t="shared" si="67"/>
        <v/>
      </c>
      <c r="AL66" s="89">
        <f>IFERROR(VLOOKUP(C66 &amp; "-Elite",DogInfo!A:B,2,FALSE),0)</f>
        <v>0</v>
      </c>
      <c r="AM66" s="84" t="str">
        <f t="shared" si="43"/>
        <v/>
      </c>
      <c r="AN66" s="84" t="str">
        <f t="shared" si="44"/>
        <v/>
      </c>
      <c r="AO66" s="84" t="str">
        <f t="shared" si="45"/>
        <v/>
      </c>
      <c r="AP66" s="84">
        <f t="shared" si="68"/>
        <v>0</v>
      </c>
      <c r="AQ66" s="115"/>
      <c r="AR66" s="47"/>
      <c r="AS66" s="47"/>
      <c r="AT66" s="47" t="str">
        <f>IF(ISERROR(VLOOKUP(C66,'SDDA Dogs'!A:O,6,FALSE)),"",VLOOKUP(C66,'SDDA Dogs'!A:O,6,FALSE))</f>
        <v/>
      </c>
      <c r="AU66" s="57">
        <f t="shared" si="46"/>
        <v>0</v>
      </c>
      <c r="AV66" s="57">
        <f t="shared" si="47"/>
        <v>0</v>
      </c>
      <c r="AW66" s="56">
        <f t="shared" si="48"/>
        <v>0</v>
      </c>
      <c r="AY66" s="60">
        <f t="shared" si="49"/>
        <v>0</v>
      </c>
      <c r="AZ66" s="60">
        <f t="shared" si="50"/>
        <v>0</v>
      </c>
      <c r="BA66" s="114"/>
    </row>
    <row r="67" spans="1:53" x14ac:dyDescent="0.25">
      <c r="A67" s="99">
        <f t="shared" si="69"/>
        <v>23</v>
      </c>
      <c r="B67" s="89" t="s">
        <v>3255</v>
      </c>
      <c r="C67" s="101"/>
      <c r="D67" s="102" t="str">
        <f>IF($C67="","",VLOOKUP($C67,'SDDA Dogs'!$A:$F,2,FALSE))</f>
        <v/>
      </c>
      <c r="E67" s="103" t="str">
        <f>IF($C67="","",VLOOKUP($C67,'SDDA Dogs'!$A:$O,13,FALSE))</f>
        <v/>
      </c>
      <c r="F67" s="137"/>
      <c r="G67" s="217"/>
      <c r="H67" s="84" t="str">
        <f t="shared" si="51"/>
        <v/>
      </c>
      <c r="I67" s="105">
        <f t="shared" si="36"/>
        <v>0</v>
      </c>
      <c r="J67" s="84" t="str">
        <f t="shared" si="52"/>
        <v/>
      </c>
      <c r="K67" s="105">
        <f t="shared" si="37"/>
        <v>0</v>
      </c>
      <c r="L67" s="84" t="str">
        <f t="shared" si="53"/>
        <v/>
      </c>
      <c r="M67" s="106" t="str">
        <f>IF($C67="","",VLOOKUP($C67,'SDDA Dogs'!$A:$O,14,FALSE))</f>
        <v/>
      </c>
      <c r="N67" s="137"/>
      <c r="O67" s="217"/>
      <c r="P67" s="84" t="str">
        <f t="shared" si="54"/>
        <v/>
      </c>
      <c r="Q67" s="105">
        <f t="shared" si="38"/>
        <v>0</v>
      </c>
      <c r="R67" s="84" t="str">
        <f t="shared" si="55"/>
        <v/>
      </c>
      <c r="S67" s="105">
        <f t="shared" si="39"/>
        <v>0</v>
      </c>
      <c r="T67" s="84" t="str">
        <f t="shared" si="56"/>
        <v/>
      </c>
      <c r="U67" s="106" t="str">
        <f>IF($C67="","",VLOOKUP($C67,'SDDA Dogs'!$A:$O,15,FALSE))</f>
        <v/>
      </c>
      <c r="V67" s="137"/>
      <c r="W67" s="217"/>
      <c r="X67" s="84" t="str">
        <f t="shared" si="57"/>
        <v/>
      </c>
      <c r="Y67" s="105">
        <f t="shared" si="40"/>
        <v>0</v>
      </c>
      <c r="Z67" s="84" t="str">
        <f t="shared" si="58"/>
        <v/>
      </c>
      <c r="AA67" s="105">
        <f t="shared" si="41"/>
        <v>0</v>
      </c>
      <c r="AB67" s="84" t="str">
        <f t="shared" si="59"/>
        <v/>
      </c>
      <c r="AC67" s="92" t="str">
        <f t="shared" si="42"/>
        <v/>
      </c>
      <c r="AD67" s="89" t="str">
        <f t="shared" si="60"/>
        <v/>
      </c>
      <c r="AE67" s="104" t="str">
        <f t="shared" si="61"/>
        <v/>
      </c>
      <c r="AF67" s="107" t="str">
        <f t="shared" si="62"/>
        <v/>
      </c>
      <c r="AG67" s="92" t="str">
        <f t="shared" si="63"/>
        <v/>
      </c>
      <c r="AH67" s="89" t="str">
        <f t="shared" si="64"/>
        <v/>
      </c>
      <c r="AI67" s="104" t="str">
        <f t="shared" si="65"/>
        <v/>
      </c>
      <c r="AJ67" s="84" t="str">
        <f t="shared" si="66"/>
        <v/>
      </c>
      <c r="AK67" s="99" t="str">
        <f t="shared" si="67"/>
        <v/>
      </c>
      <c r="AL67" s="89">
        <f>IFERROR(VLOOKUP(C67 &amp; "-Elite",DogInfo!A:B,2,FALSE),0)</f>
        <v>0</v>
      </c>
      <c r="AM67" s="84" t="str">
        <f t="shared" si="43"/>
        <v/>
      </c>
      <c r="AN67" s="84" t="str">
        <f t="shared" si="44"/>
        <v/>
      </c>
      <c r="AO67" s="84" t="str">
        <f t="shared" si="45"/>
        <v/>
      </c>
      <c r="AP67" s="84">
        <f t="shared" si="68"/>
        <v>0</v>
      </c>
      <c r="AQ67" s="115"/>
      <c r="AR67" s="47"/>
      <c r="AS67" s="47"/>
      <c r="AT67" s="47" t="str">
        <f>IF(ISERROR(VLOOKUP(C67,'SDDA Dogs'!A:O,6,FALSE)),"",VLOOKUP(C67,'SDDA Dogs'!A:O,6,FALSE))</f>
        <v/>
      </c>
      <c r="AU67" s="57">
        <f t="shared" si="46"/>
        <v>0</v>
      </c>
      <c r="AV67" s="57">
        <f t="shared" si="47"/>
        <v>0</v>
      </c>
      <c r="AW67" s="56">
        <f t="shared" si="48"/>
        <v>0</v>
      </c>
      <c r="AY67" s="60">
        <f t="shared" si="49"/>
        <v>0</v>
      </c>
      <c r="AZ67" s="60">
        <f t="shared" si="50"/>
        <v>0</v>
      </c>
      <c r="BA67" s="114"/>
    </row>
    <row r="68" spans="1:53" x14ac:dyDescent="0.25">
      <c r="A68" s="99">
        <f t="shared" si="69"/>
        <v>24</v>
      </c>
      <c r="B68" s="89" t="s">
        <v>3255</v>
      </c>
      <c r="C68" s="101"/>
      <c r="D68" s="102" t="str">
        <f>IF($C68="","",VLOOKUP($C68,'SDDA Dogs'!$A:$F,2,FALSE))</f>
        <v/>
      </c>
      <c r="E68" s="103" t="str">
        <f>IF($C68="","",VLOOKUP($C68,'SDDA Dogs'!$A:$O,13,FALSE))</f>
        <v/>
      </c>
      <c r="F68" s="137"/>
      <c r="G68" s="217"/>
      <c r="H68" s="84" t="str">
        <f t="shared" si="51"/>
        <v/>
      </c>
      <c r="I68" s="105">
        <f t="shared" si="36"/>
        <v>0</v>
      </c>
      <c r="J68" s="84" t="str">
        <f t="shared" si="52"/>
        <v/>
      </c>
      <c r="K68" s="105">
        <f t="shared" si="37"/>
        <v>0</v>
      </c>
      <c r="L68" s="84" t="str">
        <f t="shared" si="53"/>
        <v/>
      </c>
      <c r="M68" s="106" t="str">
        <f>IF($C68="","",VLOOKUP($C68,'SDDA Dogs'!$A:$O,14,FALSE))</f>
        <v/>
      </c>
      <c r="N68" s="137"/>
      <c r="O68" s="217"/>
      <c r="P68" s="84" t="str">
        <f t="shared" si="54"/>
        <v/>
      </c>
      <c r="Q68" s="105">
        <f t="shared" si="38"/>
        <v>0</v>
      </c>
      <c r="R68" s="84" t="str">
        <f t="shared" si="55"/>
        <v/>
      </c>
      <c r="S68" s="105">
        <f t="shared" si="39"/>
        <v>0</v>
      </c>
      <c r="T68" s="84" t="str">
        <f t="shared" si="56"/>
        <v/>
      </c>
      <c r="U68" s="106" t="str">
        <f>IF($C68="","",VLOOKUP($C68,'SDDA Dogs'!$A:$O,15,FALSE))</f>
        <v/>
      </c>
      <c r="V68" s="137"/>
      <c r="W68" s="217"/>
      <c r="X68" s="84" t="str">
        <f t="shared" si="57"/>
        <v/>
      </c>
      <c r="Y68" s="105">
        <f t="shared" si="40"/>
        <v>0</v>
      </c>
      <c r="Z68" s="84" t="str">
        <f t="shared" si="58"/>
        <v/>
      </c>
      <c r="AA68" s="105">
        <f t="shared" si="41"/>
        <v>0</v>
      </c>
      <c r="AB68" s="84" t="str">
        <f t="shared" si="59"/>
        <v/>
      </c>
      <c r="AC68" s="92" t="str">
        <f t="shared" si="42"/>
        <v/>
      </c>
      <c r="AD68" s="89" t="str">
        <f t="shared" si="60"/>
        <v/>
      </c>
      <c r="AE68" s="104" t="str">
        <f t="shared" si="61"/>
        <v/>
      </c>
      <c r="AF68" s="107" t="str">
        <f t="shared" si="62"/>
        <v/>
      </c>
      <c r="AG68" s="92" t="str">
        <f t="shared" si="63"/>
        <v/>
      </c>
      <c r="AH68" s="89" t="str">
        <f t="shared" si="64"/>
        <v/>
      </c>
      <c r="AI68" s="104" t="str">
        <f t="shared" si="65"/>
        <v/>
      </c>
      <c r="AJ68" s="84" t="str">
        <f t="shared" si="66"/>
        <v/>
      </c>
      <c r="AK68" s="99" t="str">
        <f t="shared" si="67"/>
        <v/>
      </c>
      <c r="AL68" s="89">
        <f>IFERROR(VLOOKUP(C68 &amp; "-Elite",DogInfo!A:B,2,FALSE),0)</f>
        <v>0</v>
      </c>
      <c r="AM68" s="84" t="str">
        <f t="shared" si="43"/>
        <v/>
      </c>
      <c r="AN68" s="84" t="str">
        <f t="shared" si="44"/>
        <v/>
      </c>
      <c r="AO68" s="84" t="str">
        <f t="shared" si="45"/>
        <v/>
      </c>
      <c r="AP68" s="84">
        <f t="shared" si="68"/>
        <v>0</v>
      </c>
      <c r="AQ68" s="115"/>
      <c r="AR68" s="47"/>
      <c r="AS68" s="47"/>
      <c r="AT68" s="47" t="str">
        <f>IF(ISERROR(VLOOKUP(C68,'SDDA Dogs'!A:O,6,FALSE)),"",VLOOKUP(C68,'SDDA Dogs'!A:O,6,FALSE))</f>
        <v/>
      </c>
      <c r="AU68" s="57">
        <f t="shared" si="46"/>
        <v>0</v>
      </c>
      <c r="AV68" s="57">
        <f t="shared" si="47"/>
        <v>0</v>
      </c>
      <c r="AW68" s="56">
        <f t="shared" si="48"/>
        <v>0</v>
      </c>
      <c r="AY68" s="60">
        <f t="shared" si="49"/>
        <v>0</v>
      </c>
      <c r="AZ68" s="60">
        <f t="shared" si="50"/>
        <v>0</v>
      </c>
      <c r="BA68" s="114"/>
    </row>
    <row r="69" spans="1:53" x14ac:dyDescent="0.25">
      <c r="A69" s="99">
        <f t="shared" si="69"/>
        <v>25</v>
      </c>
      <c r="B69" s="89" t="s">
        <v>3255</v>
      </c>
      <c r="C69" s="101"/>
      <c r="D69" s="102" t="str">
        <f>IF($C69="","",VLOOKUP($C69,'SDDA Dogs'!$A:$F,2,FALSE))</f>
        <v/>
      </c>
      <c r="E69" s="103" t="str">
        <f>IF($C69="","",VLOOKUP($C69,'SDDA Dogs'!$A:$O,13,FALSE))</f>
        <v/>
      </c>
      <c r="F69" s="137"/>
      <c r="G69" s="217"/>
      <c r="H69" s="84" t="str">
        <f t="shared" si="51"/>
        <v/>
      </c>
      <c r="I69" s="105">
        <f t="shared" si="36"/>
        <v>0</v>
      </c>
      <c r="J69" s="84" t="str">
        <f t="shared" si="52"/>
        <v/>
      </c>
      <c r="K69" s="105">
        <f t="shared" si="37"/>
        <v>0</v>
      </c>
      <c r="L69" s="84" t="str">
        <f t="shared" si="53"/>
        <v/>
      </c>
      <c r="M69" s="106" t="str">
        <f>IF($C69="","",VLOOKUP($C69,'SDDA Dogs'!$A:$O,14,FALSE))</f>
        <v/>
      </c>
      <c r="N69" s="137"/>
      <c r="O69" s="217"/>
      <c r="P69" s="84" t="str">
        <f t="shared" si="54"/>
        <v/>
      </c>
      <c r="Q69" s="105">
        <f t="shared" si="38"/>
        <v>0</v>
      </c>
      <c r="R69" s="84" t="str">
        <f t="shared" si="55"/>
        <v/>
      </c>
      <c r="S69" s="105">
        <f t="shared" si="39"/>
        <v>0</v>
      </c>
      <c r="T69" s="84" t="str">
        <f t="shared" si="56"/>
        <v/>
      </c>
      <c r="U69" s="106" t="str">
        <f>IF($C69="","",VLOOKUP($C69,'SDDA Dogs'!$A:$O,15,FALSE))</f>
        <v/>
      </c>
      <c r="V69" s="137"/>
      <c r="W69" s="217"/>
      <c r="X69" s="84" t="str">
        <f t="shared" si="57"/>
        <v/>
      </c>
      <c r="Y69" s="105">
        <f t="shared" si="40"/>
        <v>0</v>
      </c>
      <c r="Z69" s="84" t="str">
        <f t="shared" si="58"/>
        <v/>
      </c>
      <c r="AA69" s="105">
        <f t="shared" si="41"/>
        <v>0</v>
      </c>
      <c r="AB69" s="84" t="str">
        <f t="shared" si="59"/>
        <v/>
      </c>
      <c r="AC69" s="92" t="str">
        <f t="shared" si="42"/>
        <v/>
      </c>
      <c r="AD69" s="89" t="str">
        <f t="shared" si="60"/>
        <v/>
      </c>
      <c r="AE69" s="104" t="str">
        <f t="shared" si="61"/>
        <v/>
      </c>
      <c r="AF69" s="107" t="str">
        <f t="shared" si="62"/>
        <v/>
      </c>
      <c r="AG69" s="92" t="str">
        <f t="shared" si="63"/>
        <v/>
      </c>
      <c r="AH69" s="89" t="str">
        <f t="shared" si="64"/>
        <v/>
      </c>
      <c r="AI69" s="104" t="str">
        <f t="shared" si="65"/>
        <v/>
      </c>
      <c r="AJ69" s="84" t="str">
        <f t="shared" si="66"/>
        <v/>
      </c>
      <c r="AK69" s="99" t="str">
        <f t="shared" si="67"/>
        <v/>
      </c>
      <c r="AL69" s="89">
        <f>IFERROR(VLOOKUP(C69 &amp; "-Elite",DogInfo!A:B,2,FALSE),0)</f>
        <v>0</v>
      </c>
      <c r="AM69" s="84" t="str">
        <f t="shared" si="43"/>
        <v/>
      </c>
      <c r="AN69" s="84" t="str">
        <f t="shared" si="44"/>
        <v/>
      </c>
      <c r="AO69" s="84" t="str">
        <f t="shared" si="45"/>
        <v/>
      </c>
      <c r="AP69" s="84">
        <f t="shared" si="68"/>
        <v>0</v>
      </c>
      <c r="AQ69" s="115"/>
      <c r="AR69" s="47"/>
      <c r="AS69" s="47"/>
      <c r="AT69" s="47" t="str">
        <f>IF(ISERROR(VLOOKUP(C69,'SDDA Dogs'!A:O,6,FALSE)),"",VLOOKUP(C69,'SDDA Dogs'!A:O,6,FALSE))</f>
        <v/>
      </c>
      <c r="AU69" s="57">
        <f t="shared" si="46"/>
        <v>0</v>
      </c>
      <c r="AV69" s="57">
        <f t="shared" si="47"/>
        <v>0</v>
      </c>
      <c r="AW69" s="56">
        <f t="shared" si="48"/>
        <v>0</v>
      </c>
      <c r="AY69" s="60">
        <f t="shared" si="49"/>
        <v>0</v>
      </c>
      <c r="AZ69" s="60">
        <f t="shared" si="50"/>
        <v>0</v>
      </c>
      <c r="BA69" s="114"/>
    </row>
    <row r="70" spans="1:53" x14ac:dyDescent="0.25">
      <c r="A70" s="99">
        <f t="shared" si="69"/>
        <v>26</v>
      </c>
      <c r="B70" s="89" t="s">
        <v>3255</v>
      </c>
      <c r="C70" s="101"/>
      <c r="D70" s="102" t="str">
        <f>IF($C70="","",VLOOKUP($C70,'SDDA Dogs'!$A:$F,2,FALSE))</f>
        <v/>
      </c>
      <c r="E70" s="103" t="str">
        <f>IF($C70="","",VLOOKUP($C70,'SDDA Dogs'!$A:$O,13,FALSE))</f>
        <v/>
      </c>
      <c r="F70" s="137"/>
      <c r="G70" s="217"/>
      <c r="H70" s="84" t="str">
        <f t="shared" si="51"/>
        <v/>
      </c>
      <c r="I70" s="105">
        <f t="shared" si="36"/>
        <v>0</v>
      </c>
      <c r="J70" s="84" t="str">
        <f t="shared" si="52"/>
        <v/>
      </c>
      <c r="K70" s="105">
        <f t="shared" si="37"/>
        <v>0</v>
      </c>
      <c r="L70" s="84" t="str">
        <f t="shared" si="53"/>
        <v/>
      </c>
      <c r="M70" s="106" t="str">
        <f>IF($C70="","",VLOOKUP($C70,'SDDA Dogs'!$A:$O,14,FALSE))</f>
        <v/>
      </c>
      <c r="N70" s="137"/>
      <c r="O70" s="217"/>
      <c r="P70" s="84" t="str">
        <f t="shared" si="54"/>
        <v/>
      </c>
      <c r="Q70" s="105">
        <f t="shared" si="38"/>
        <v>0</v>
      </c>
      <c r="R70" s="84" t="str">
        <f t="shared" si="55"/>
        <v/>
      </c>
      <c r="S70" s="105">
        <f t="shared" si="39"/>
        <v>0</v>
      </c>
      <c r="T70" s="84" t="str">
        <f t="shared" si="56"/>
        <v/>
      </c>
      <c r="U70" s="106" t="str">
        <f>IF($C70="","",VLOOKUP($C70,'SDDA Dogs'!$A:$O,15,FALSE))</f>
        <v/>
      </c>
      <c r="V70" s="137"/>
      <c r="W70" s="217"/>
      <c r="X70" s="84" t="str">
        <f t="shared" si="57"/>
        <v/>
      </c>
      <c r="Y70" s="105">
        <f t="shared" si="40"/>
        <v>0</v>
      </c>
      <c r="Z70" s="84" t="str">
        <f t="shared" si="58"/>
        <v/>
      </c>
      <c r="AA70" s="105">
        <f t="shared" si="41"/>
        <v>0</v>
      </c>
      <c r="AB70" s="84" t="str">
        <f t="shared" si="59"/>
        <v/>
      </c>
      <c r="AC70" s="92" t="str">
        <f t="shared" si="42"/>
        <v/>
      </c>
      <c r="AD70" s="89" t="str">
        <f t="shared" si="60"/>
        <v/>
      </c>
      <c r="AE70" s="104" t="str">
        <f t="shared" si="61"/>
        <v/>
      </c>
      <c r="AF70" s="107" t="str">
        <f t="shared" si="62"/>
        <v/>
      </c>
      <c r="AG70" s="92" t="str">
        <f t="shared" si="63"/>
        <v/>
      </c>
      <c r="AH70" s="89" t="str">
        <f t="shared" si="64"/>
        <v/>
      </c>
      <c r="AI70" s="104" t="str">
        <f t="shared" si="65"/>
        <v/>
      </c>
      <c r="AJ70" s="84" t="str">
        <f t="shared" si="66"/>
        <v/>
      </c>
      <c r="AK70" s="99" t="str">
        <f t="shared" si="67"/>
        <v/>
      </c>
      <c r="AL70" s="89">
        <f>IFERROR(VLOOKUP(C70 &amp; "-Elite",DogInfo!A:B,2,FALSE),0)</f>
        <v>0</v>
      </c>
      <c r="AM70" s="84" t="str">
        <f t="shared" si="43"/>
        <v/>
      </c>
      <c r="AN70" s="84" t="str">
        <f t="shared" si="44"/>
        <v/>
      </c>
      <c r="AO70" s="84" t="str">
        <f t="shared" si="45"/>
        <v/>
      </c>
      <c r="AP70" s="84">
        <f t="shared" si="68"/>
        <v>0</v>
      </c>
      <c r="AQ70" s="115"/>
      <c r="AR70" s="47"/>
      <c r="AS70" s="47"/>
      <c r="AT70" s="47" t="str">
        <f>IF(ISERROR(VLOOKUP(C70,'SDDA Dogs'!A:O,6,FALSE)),"",VLOOKUP(C70,'SDDA Dogs'!A:O,6,FALSE))</f>
        <v/>
      </c>
      <c r="AU70" s="57">
        <f t="shared" si="46"/>
        <v>0</v>
      </c>
      <c r="AV70" s="57">
        <f t="shared" si="47"/>
        <v>0</v>
      </c>
      <c r="AW70" s="56">
        <f t="shared" si="48"/>
        <v>0</v>
      </c>
      <c r="AY70" s="60">
        <f t="shared" si="49"/>
        <v>0</v>
      </c>
      <c r="AZ70" s="60">
        <f t="shared" si="50"/>
        <v>0</v>
      </c>
      <c r="BA70" s="114"/>
    </row>
    <row r="71" spans="1:53" x14ac:dyDescent="0.25">
      <c r="A71" s="99">
        <f t="shared" si="69"/>
        <v>27</v>
      </c>
      <c r="B71" s="89" t="s">
        <v>3255</v>
      </c>
      <c r="C71" s="101"/>
      <c r="D71" s="102" t="str">
        <f>IF($C71="","",VLOOKUP($C71,'SDDA Dogs'!$A:$F,2,FALSE))</f>
        <v/>
      </c>
      <c r="E71" s="103" t="str">
        <f>IF($C71="","",VLOOKUP($C71,'SDDA Dogs'!$A:$O,13,FALSE))</f>
        <v/>
      </c>
      <c r="F71" s="137"/>
      <c r="G71" s="217"/>
      <c r="H71" s="84" t="str">
        <f t="shared" si="51"/>
        <v/>
      </c>
      <c r="I71" s="105">
        <f t="shared" si="36"/>
        <v>0</v>
      </c>
      <c r="J71" s="84" t="str">
        <f t="shared" si="52"/>
        <v/>
      </c>
      <c r="K71" s="105">
        <f t="shared" si="37"/>
        <v>0</v>
      </c>
      <c r="L71" s="84" t="str">
        <f t="shared" si="53"/>
        <v/>
      </c>
      <c r="M71" s="106" t="str">
        <f>IF($C71="","",VLOOKUP($C71,'SDDA Dogs'!$A:$O,14,FALSE))</f>
        <v/>
      </c>
      <c r="N71" s="137"/>
      <c r="O71" s="217"/>
      <c r="P71" s="84" t="str">
        <f t="shared" si="54"/>
        <v/>
      </c>
      <c r="Q71" s="105">
        <f t="shared" si="38"/>
        <v>0</v>
      </c>
      <c r="R71" s="84" t="str">
        <f t="shared" si="55"/>
        <v/>
      </c>
      <c r="S71" s="105">
        <f t="shared" si="39"/>
        <v>0</v>
      </c>
      <c r="T71" s="84" t="str">
        <f t="shared" si="56"/>
        <v/>
      </c>
      <c r="U71" s="106" t="str">
        <f>IF($C71="","",VLOOKUP($C71,'SDDA Dogs'!$A:$O,15,FALSE))</f>
        <v/>
      </c>
      <c r="V71" s="137"/>
      <c r="W71" s="217"/>
      <c r="X71" s="84" t="str">
        <f t="shared" si="57"/>
        <v/>
      </c>
      <c r="Y71" s="105">
        <f t="shared" si="40"/>
        <v>0</v>
      </c>
      <c r="Z71" s="84" t="str">
        <f t="shared" si="58"/>
        <v/>
      </c>
      <c r="AA71" s="105">
        <f t="shared" si="41"/>
        <v>0</v>
      </c>
      <c r="AB71" s="84" t="str">
        <f t="shared" si="59"/>
        <v/>
      </c>
      <c r="AC71" s="92" t="str">
        <f t="shared" si="42"/>
        <v/>
      </c>
      <c r="AD71" s="89" t="str">
        <f t="shared" si="60"/>
        <v/>
      </c>
      <c r="AE71" s="104" t="str">
        <f t="shared" si="61"/>
        <v/>
      </c>
      <c r="AF71" s="107" t="str">
        <f t="shared" si="62"/>
        <v/>
      </c>
      <c r="AG71" s="92" t="str">
        <f t="shared" si="63"/>
        <v/>
      </c>
      <c r="AH71" s="89" t="str">
        <f t="shared" si="64"/>
        <v/>
      </c>
      <c r="AI71" s="104" t="str">
        <f t="shared" si="65"/>
        <v/>
      </c>
      <c r="AJ71" s="84" t="str">
        <f t="shared" si="66"/>
        <v/>
      </c>
      <c r="AK71" s="99" t="str">
        <f t="shared" si="67"/>
        <v/>
      </c>
      <c r="AL71" s="89">
        <f>IFERROR(VLOOKUP(C71 &amp; "-Elite",DogInfo!A:B,2,FALSE),0)</f>
        <v>0</v>
      </c>
      <c r="AM71" s="84" t="str">
        <f t="shared" si="43"/>
        <v/>
      </c>
      <c r="AN71" s="84" t="str">
        <f t="shared" si="44"/>
        <v/>
      </c>
      <c r="AO71" s="84" t="str">
        <f t="shared" si="45"/>
        <v/>
      </c>
      <c r="AP71" s="84">
        <f t="shared" si="68"/>
        <v>0</v>
      </c>
      <c r="AQ71" s="115"/>
      <c r="AR71" s="47"/>
      <c r="AS71" s="47"/>
      <c r="AT71" s="47" t="str">
        <f>IF(ISERROR(VLOOKUP(C71,'SDDA Dogs'!A:O,6,FALSE)),"",VLOOKUP(C71,'SDDA Dogs'!A:O,6,FALSE))</f>
        <v/>
      </c>
      <c r="AU71" s="57">
        <f t="shared" si="46"/>
        <v>0</v>
      </c>
      <c r="AV71" s="57">
        <f t="shared" si="47"/>
        <v>0</v>
      </c>
      <c r="AW71" s="56">
        <f t="shared" si="48"/>
        <v>0</v>
      </c>
      <c r="AY71" s="60">
        <f t="shared" si="49"/>
        <v>0</v>
      </c>
      <c r="AZ71" s="60">
        <f t="shared" si="50"/>
        <v>0</v>
      </c>
      <c r="BA71" s="114"/>
    </row>
    <row r="72" spans="1:53" x14ac:dyDescent="0.25">
      <c r="A72" s="99">
        <f t="shared" si="69"/>
        <v>28</v>
      </c>
      <c r="B72" s="89" t="s">
        <v>3255</v>
      </c>
      <c r="C72" s="101"/>
      <c r="D72" s="102" t="str">
        <f>IF($C72="","",VLOOKUP($C72,'SDDA Dogs'!$A:$F,2,FALSE))</f>
        <v/>
      </c>
      <c r="E72" s="103" t="str">
        <f>IF($C72="","",VLOOKUP($C72,'SDDA Dogs'!$A:$O,13,FALSE))</f>
        <v/>
      </c>
      <c r="F72" s="137"/>
      <c r="G72" s="217"/>
      <c r="H72" s="84" t="str">
        <f t="shared" si="51"/>
        <v/>
      </c>
      <c r="I72" s="105">
        <f t="shared" si="36"/>
        <v>0</v>
      </c>
      <c r="J72" s="84" t="str">
        <f t="shared" si="52"/>
        <v/>
      </c>
      <c r="K72" s="105">
        <f t="shared" si="37"/>
        <v>0</v>
      </c>
      <c r="L72" s="84" t="str">
        <f t="shared" si="53"/>
        <v/>
      </c>
      <c r="M72" s="106" t="str">
        <f>IF($C72="","",VLOOKUP($C72,'SDDA Dogs'!$A:$O,14,FALSE))</f>
        <v/>
      </c>
      <c r="N72" s="137"/>
      <c r="O72" s="217"/>
      <c r="P72" s="84" t="str">
        <f t="shared" si="54"/>
        <v/>
      </c>
      <c r="Q72" s="105">
        <f t="shared" si="38"/>
        <v>0</v>
      </c>
      <c r="R72" s="84" t="str">
        <f t="shared" si="55"/>
        <v/>
      </c>
      <c r="S72" s="105">
        <f t="shared" si="39"/>
        <v>0</v>
      </c>
      <c r="T72" s="84" t="str">
        <f t="shared" si="56"/>
        <v/>
      </c>
      <c r="U72" s="106" t="str">
        <f>IF($C72="","",VLOOKUP($C72,'SDDA Dogs'!$A:$O,15,FALSE))</f>
        <v/>
      </c>
      <c r="V72" s="137"/>
      <c r="W72" s="217"/>
      <c r="X72" s="84" t="str">
        <f t="shared" si="57"/>
        <v/>
      </c>
      <c r="Y72" s="105">
        <f t="shared" si="40"/>
        <v>0</v>
      </c>
      <c r="Z72" s="84" t="str">
        <f t="shared" si="58"/>
        <v/>
      </c>
      <c r="AA72" s="105">
        <f t="shared" si="41"/>
        <v>0</v>
      </c>
      <c r="AB72" s="84" t="str">
        <f t="shared" si="59"/>
        <v/>
      </c>
      <c r="AC72" s="92" t="str">
        <f t="shared" si="42"/>
        <v/>
      </c>
      <c r="AD72" s="89" t="str">
        <f t="shared" si="60"/>
        <v/>
      </c>
      <c r="AE72" s="104" t="str">
        <f t="shared" si="61"/>
        <v/>
      </c>
      <c r="AF72" s="107" t="str">
        <f t="shared" si="62"/>
        <v/>
      </c>
      <c r="AG72" s="92" t="str">
        <f t="shared" si="63"/>
        <v/>
      </c>
      <c r="AH72" s="89" t="str">
        <f t="shared" si="64"/>
        <v/>
      </c>
      <c r="AI72" s="104" t="str">
        <f t="shared" si="65"/>
        <v/>
      </c>
      <c r="AJ72" s="84" t="str">
        <f t="shared" si="66"/>
        <v/>
      </c>
      <c r="AK72" s="99" t="str">
        <f t="shared" si="67"/>
        <v/>
      </c>
      <c r="AL72" s="89">
        <f>IFERROR(VLOOKUP(C72 &amp; "-Elite",DogInfo!A:B,2,FALSE),0)</f>
        <v>0</v>
      </c>
      <c r="AM72" s="84" t="str">
        <f t="shared" si="43"/>
        <v/>
      </c>
      <c r="AN72" s="84" t="str">
        <f t="shared" si="44"/>
        <v/>
      </c>
      <c r="AO72" s="84" t="str">
        <f t="shared" si="45"/>
        <v/>
      </c>
      <c r="AP72" s="84">
        <f t="shared" si="68"/>
        <v>0</v>
      </c>
      <c r="AQ72" s="115"/>
      <c r="AR72" s="47"/>
      <c r="AS72" s="47"/>
      <c r="AT72" s="47" t="str">
        <f>IF(ISERROR(VLOOKUP(C72,'SDDA Dogs'!A:O,6,FALSE)),"",VLOOKUP(C72,'SDDA Dogs'!A:O,6,FALSE))</f>
        <v/>
      </c>
      <c r="AU72" s="57">
        <f t="shared" si="46"/>
        <v>0</v>
      </c>
      <c r="AV72" s="57">
        <f t="shared" si="47"/>
        <v>0</v>
      </c>
      <c r="AW72" s="56">
        <f t="shared" si="48"/>
        <v>0</v>
      </c>
      <c r="AY72" s="60">
        <f t="shared" si="49"/>
        <v>0</v>
      </c>
      <c r="AZ72" s="60">
        <f t="shared" si="50"/>
        <v>0</v>
      </c>
      <c r="BA72" s="114"/>
    </row>
    <row r="73" spans="1:53" x14ac:dyDescent="0.25">
      <c r="A73" s="99">
        <f t="shared" si="69"/>
        <v>29</v>
      </c>
      <c r="B73" s="89" t="s">
        <v>3255</v>
      </c>
      <c r="C73" s="101"/>
      <c r="D73" s="102" t="str">
        <f>IF($C73="","",VLOOKUP($C73,'SDDA Dogs'!$A:$F,2,FALSE))</f>
        <v/>
      </c>
      <c r="E73" s="103" t="str">
        <f>IF($C73="","",VLOOKUP($C73,'SDDA Dogs'!$A:$O,13,FALSE))</f>
        <v/>
      </c>
      <c r="F73" s="137"/>
      <c r="G73" s="217"/>
      <c r="H73" s="84" t="str">
        <f t="shared" si="51"/>
        <v/>
      </c>
      <c r="I73" s="105">
        <f t="shared" si="36"/>
        <v>0</v>
      </c>
      <c r="J73" s="84" t="str">
        <f t="shared" si="52"/>
        <v/>
      </c>
      <c r="K73" s="105">
        <f t="shared" si="37"/>
        <v>0</v>
      </c>
      <c r="L73" s="84" t="str">
        <f t="shared" si="53"/>
        <v/>
      </c>
      <c r="M73" s="106" t="str">
        <f>IF($C73="","",VLOOKUP($C73,'SDDA Dogs'!$A:$O,14,FALSE))</f>
        <v/>
      </c>
      <c r="N73" s="137"/>
      <c r="O73" s="217"/>
      <c r="P73" s="84" t="str">
        <f t="shared" si="54"/>
        <v/>
      </c>
      <c r="Q73" s="105">
        <f t="shared" si="38"/>
        <v>0</v>
      </c>
      <c r="R73" s="84" t="str">
        <f t="shared" si="55"/>
        <v/>
      </c>
      <c r="S73" s="105">
        <f t="shared" si="39"/>
        <v>0</v>
      </c>
      <c r="T73" s="84" t="str">
        <f t="shared" si="56"/>
        <v/>
      </c>
      <c r="U73" s="106" t="str">
        <f>IF($C73="","",VLOOKUP($C73,'SDDA Dogs'!$A:$O,15,FALSE))</f>
        <v/>
      </c>
      <c r="V73" s="137"/>
      <c r="W73" s="217"/>
      <c r="X73" s="84" t="str">
        <f t="shared" si="57"/>
        <v/>
      </c>
      <c r="Y73" s="105">
        <f t="shared" si="40"/>
        <v>0</v>
      </c>
      <c r="Z73" s="84" t="str">
        <f t="shared" si="58"/>
        <v/>
      </c>
      <c r="AA73" s="105">
        <f t="shared" si="41"/>
        <v>0</v>
      </c>
      <c r="AB73" s="84" t="str">
        <f t="shared" si="59"/>
        <v/>
      </c>
      <c r="AC73" s="92" t="str">
        <f t="shared" si="42"/>
        <v/>
      </c>
      <c r="AD73" s="89" t="str">
        <f t="shared" si="60"/>
        <v/>
      </c>
      <c r="AE73" s="104" t="str">
        <f t="shared" si="61"/>
        <v/>
      </c>
      <c r="AF73" s="107" t="str">
        <f t="shared" si="62"/>
        <v/>
      </c>
      <c r="AG73" s="92" t="str">
        <f t="shared" si="63"/>
        <v/>
      </c>
      <c r="AH73" s="89" t="str">
        <f t="shared" si="64"/>
        <v/>
      </c>
      <c r="AI73" s="104" t="str">
        <f t="shared" si="65"/>
        <v/>
      </c>
      <c r="AJ73" s="84" t="str">
        <f t="shared" si="66"/>
        <v/>
      </c>
      <c r="AK73" s="99" t="str">
        <f t="shared" si="67"/>
        <v/>
      </c>
      <c r="AL73" s="89">
        <f>IFERROR(VLOOKUP(C73 &amp; "-Elite",DogInfo!A:B,2,FALSE),0)</f>
        <v>0</v>
      </c>
      <c r="AM73" s="84" t="str">
        <f t="shared" si="43"/>
        <v/>
      </c>
      <c r="AN73" s="84" t="str">
        <f t="shared" si="44"/>
        <v/>
      </c>
      <c r="AO73" s="84" t="str">
        <f t="shared" si="45"/>
        <v/>
      </c>
      <c r="AP73" s="84">
        <f t="shared" si="68"/>
        <v>0</v>
      </c>
      <c r="AQ73" s="115"/>
      <c r="AR73" s="47"/>
      <c r="AS73" s="47"/>
      <c r="AT73" s="47" t="str">
        <f>IF(ISERROR(VLOOKUP(C73,'SDDA Dogs'!A:O,6,FALSE)),"",VLOOKUP(C73,'SDDA Dogs'!A:O,6,FALSE))</f>
        <v/>
      </c>
      <c r="AU73" s="57">
        <f t="shared" si="46"/>
        <v>0</v>
      </c>
      <c r="AV73" s="57">
        <f t="shared" si="47"/>
        <v>0</v>
      </c>
      <c r="AW73" s="56">
        <f t="shared" si="48"/>
        <v>0</v>
      </c>
      <c r="AY73" s="60">
        <f t="shared" si="49"/>
        <v>0</v>
      </c>
      <c r="AZ73" s="60">
        <f t="shared" si="50"/>
        <v>0</v>
      </c>
      <c r="BA73" s="114"/>
    </row>
    <row r="74" spans="1:53" x14ac:dyDescent="0.25">
      <c r="A74" s="99">
        <f t="shared" si="69"/>
        <v>30</v>
      </c>
      <c r="B74" s="89" t="s">
        <v>3255</v>
      </c>
      <c r="C74" s="101"/>
      <c r="D74" s="102" t="str">
        <f>IF($C74="","",VLOOKUP($C74,'SDDA Dogs'!$A:$F,2,FALSE))</f>
        <v/>
      </c>
      <c r="E74" s="103" t="str">
        <f>IF($C74="","",VLOOKUP($C74,'SDDA Dogs'!$A:$O,13,FALSE))</f>
        <v/>
      </c>
      <c r="F74" s="137"/>
      <c r="G74" s="217"/>
      <c r="H74" s="84" t="str">
        <f t="shared" si="51"/>
        <v/>
      </c>
      <c r="I74" s="105">
        <f t="shared" si="36"/>
        <v>0</v>
      </c>
      <c r="J74" s="84" t="str">
        <f t="shared" si="52"/>
        <v/>
      </c>
      <c r="K74" s="105">
        <f t="shared" si="37"/>
        <v>0</v>
      </c>
      <c r="L74" s="84" t="str">
        <f t="shared" si="53"/>
        <v/>
      </c>
      <c r="M74" s="106" t="str">
        <f>IF($C74="","",VLOOKUP($C74,'SDDA Dogs'!$A:$O,14,FALSE))</f>
        <v/>
      </c>
      <c r="N74" s="137"/>
      <c r="O74" s="217"/>
      <c r="P74" s="84" t="str">
        <f t="shared" si="54"/>
        <v/>
      </c>
      <c r="Q74" s="105">
        <f t="shared" si="38"/>
        <v>0</v>
      </c>
      <c r="R74" s="84" t="str">
        <f t="shared" si="55"/>
        <v/>
      </c>
      <c r="S74" s="105">
        <f t="shared" si="39"/>
        <v>0</v>
      </c>
      <c r="T74" s="84" t="str">
        <f t="shared" si="56"/>
        <v/>
      </c>
      <c r="U74" s="106" t="str">
        <f>IF($C74="","",VLOOKUP($C74,'SDDA Dogs'!$A:$O,15,FALSE))</f>
        <v/>
      </c>
      <c r="V74" s="137"/>
      <c r="W74" s="217"/>
      <c r="X74" s="84" t="str">
        <f t="shared" si="57"/>
        <v/>
      </c>
      <c r="Y74" s="105">
        <f t="shared" si="40"/>
        <v>0</v>
      </c>
      <c r="Z74" s="84" t="str">
        <f t="shared" si="58"/>
        <v/>
      </c>
      <c r="AA74" s="105">
        <f t="shared" si="41"/>
        <v>0</v>
      </c>
      <c r="AB74" s="84" t="str">
        <f t="shared" si="59"/>
        <v/>
      </c>
      <c r="AC74" s="92" t="str">
        <f t="shared" si="42"/>
        <v/>
      </c>
      <c r="AD74" s="89" t="str">
        <f t="shared" si="60"/>
        <v/>
      </c>
      <c r="AE74" s="104" t="str">
        <f t="shared" si="61"/>
        <v/>
      </c>
      <c r="AF74" s="107" t="str">
        <f t="shared" si="62"/>
        <v/>
      </c>
      <c r="AG74" s="92" t="str">
        <f t="shared" si="63"/>
        <v/>
      </c>
      <c r="AH74" s="89" t="str">
        <f t="shared" si="64"/>
        <v/>
      </c>
      <c r="AI74" s="104" t="str">
        <f t="shared" si="65"/>
        <v/>
      </c>
      <c r="AJ74" s="84" t="str">
        <f t="shared" si="66"/>
        <v/>
      </c>
      <c r="AK74" s="99" t="str">
        <f t="shared" si="67"/>
        <v/>
      </c>
      <c r="AL74" s="89">
        <f>IFERROR(VLOOKUP(C74 &amp; "-Elite",DogInfo!A:B,2,FALSE),0)</f>
        <v>0</v>
      </c>
      <c r="AM74" s="84" t="str">
        <f t="shared" si="43"/>
        <v/>
      </c>
      <c r="AN74" s="84" t="str">
        <f t="shared" si="44"/>
        <v/>
      </c>
      <c r="AO74" s="84" t="str">
        <f t="shared" si="45"/>
        <v/>
      </c>
      <c r="AP74" s="84">
        <f t="shared" si="68"/>
        <v>0</v>
      </c>
      <c r="AQ74" s="115"/>
      <c r="AR74" s="47"/>
      <c r="AS74" s="47"/>
      <c r="AT74" s="47" t="str">
        <f>IF(ISERROR(VLOOKUP(C74,'SDDA Dogs'!A:O,6,FALSE)),"",VLOOKUP(C74,'SDDA Dogs'!A:O,6,FALSE))</f>
        <v/>
      </c>
      <c r="AU74" s="57">
        <f t="shared" si="46"/>
        <v>0</v>
      </c>
      <c r="AV74" s="57">
        <f t="shared" si="47"/>
        <v>0</v>
      </c>
      <c r="AW74" s="56">
        <f t="shared" si="48"/>
        <v>0</v>
      </c>
      <c r="AY74" s="60">
        <f t="shared" si="49"/>
        <v>0</v>
      </c>
      <c r="AZ74" s="60">
        <f t="shared" si="50"/>
        <v>0</v>
      </c>
      <c r="BA74" s="114"/>
    </row>
    <row r="75" spans="1:53" x14ac:dyDescent="0.25">
      <c r="A75" s="9" t="s">
        <v>1548</v>
      </c>
      <c r="B75" s="9"/>
      <c r="C75" s="9"/>
      <c r="D75" s="9"/>
      <c r="E75" s="9"/>
      <c r="F75" s="57">
        <f>COUNT(F45:F74)+ COUNTIF(F45:F74,"E") + COUNTIF(F45:F74,"FEO")</f>
        <v>0</v>
      </c>
      <c r="G75" s="57"/>
      <c r="H75" s="57"/>
      <c r="I75" s="57"/>
      <c r="J75" s="57"/>
      <c r="K75" s="57"/>
      <c r="L75" s="57"/>
      <c r="M75" s="57"/>
      <c r="N75" s="57">
        <f>COUNT(N45:N74)+ COUNTIF(N45:N74,"E") + COUNTIF(N45:N74,"FEO")</f>
        <v>0</v>
      </c>
      <c r="O75" s="57"/>
      <c r="P75" s="57"/>
      <c r="Q75" s="57"/>
      <c r="R75" s="57"/>
      <c r="S75" s="57"/>
      <c r="T75" s="57"/>
      <c r="U75" s="57"/>
      <c r="V75" s="57">
        <f>COUNT(V45:V74)+ COUNTIF(V45:V74,"E") + COUNTIF(V45:V74,"FEO")</f>
        <v>0</v>
      </c>
      <c r="W75" s="57"/>
      <c r="X75" s="10" t="s">
        <v>1549</v>
      </c>
      <c r="Y75" s="57"/>
      <c r="Z75" s="57"/>
      <c r="AA75" s="57"/>
      <c r="AB75" s="57"/>
      <c r="AC75" s="57"/>
      <c r="AD75" s="57"/>
      <c r="AE75" s="57"/>
      <c r="AF75" s="57"/>
      <c r="AG75" s="57">
        <f>F75+N75+V75</f>
        <v>0</v>
      </c>
      <c r="AH75" s="57"/>
      <c r="AI75" s="57"/>
      <c r="AJ75" s="57"/>
      <c r="AK75" s="57"/>
      <c r="AL75" s="57" t="s">
        <v>2455</v>
      </c>
      <c r="AM75" s="57"/>
      <c r="AN75" s="57"/>
      <c r="AO75" s="57"/>
      <c r="AP75" s="57">
        <f>COUNTIFS(AL45:AL74,0,AP45:AP74,1)</f>
        <v>0</v>
      </c>
    </row>
  </sheetData>
  <sheetProtection algorithmName="SHA-512" hashValue="TUW6LjNdObFHIAVCapb0HZrxABouWgVV2zgR8zDeWvfeX+keX0a1M8kSm7bYmPZzakWBfoCEiJeomVUqWqFTYA==" saltValue="TirnuKOOxQYRfhK8UoWYNA==" spinCount="100000" sheet="1" selectLockedCells="1"/>
  <mergeCells count="16">
    <mergeCell ref="H42:O42"/>
    <mergeCell ref="X42:AC42"/>
    <mergeCell ref="AR42:AW42"/>
    <mergeCell ref="B43:D43"/>
    <mergeCell ref="F43:L43"/>
    <mergeCell ref="N43:T43"/>
    <mergeCell ref="V43:AB43"/>
    <mergeCell ref="AG43:AK43"/>
    <mergeCell ref="H2:O2"/>
    <mergeCell ref="X2:AC2"/>
    <mergeCell ref="AR2:AW2"/>
    <mergeCell ref="B3:D3"/>
    <mergeCell ref="F3:L3"/>
    <mergeCell ref="N3:T3"/>
    <mergeCell ref="V3:AB3"/>
    <mergeCell ref="AG3:AK3"/>
  </mergeCells>
  <conditionalFormatting sqref="A45:F74">
    <cfRule type="expression" dxfId="48" priority="15">
      <formula>MOD(ROW(),2)=0</formula>
    </cfRule>
  </conditionalFormatting>
  <conditionalFormatting sqref="A4:AK4">
    <cfRule type="expression" dxfId="47" priority="143">
      <formula>(MOD(ROW(),2))=0</formula>
    </cfRule>
  </conditionalFormatting>
  <conditionalFormatting sqref="A44:AK44">
    <cfRule type="expression" dxfId="46" priority="137">
      <formula>(MOD(ROW(),2))=0</formula>
    </cfRule>
  </conditionalFormatting>
  <conditionalFormatting sqref="A5:XFD34">
    <cfRule type="expression" dxfId="45" priority="113">
      <formula>MOD(ROW(),2)=0</formula>
    </cfRule>
  </conditionalFormatting>
  <conditionalFormatting sqref="C5:C34">
    <cfRule type="expression" dxfId="44" priority="3">
      <formula>AND(COUNTIF(C$5:C$34,C5)&gt;1,C5&gt;0)</formula>
    </cfRule>
  </conditionalFormatting>
  <conditionalFormatting sqref="C45:C74">
    <cfRule type="expression" dxfId="43" priority="2">
      <formula>AND(COUNTIF(C$45:C$74,C45)&gt;1,C45&gt;0)</formula>
    </cfRule>
  </conditionalFormatting>
  <conditionalFormatting sqref="F5:F34">
    <cfRule type="top10" dxfId="41" priority="29" rank="1"/>
  </conditionalFormatting>
  <conditionalFormatting sqref="F45:F74">
    <cfRule type="top10" dxfId="39" priority="14" rank="1"/>
  </conditionalFormatting>
  <conditionalFormatting sqref="G5:G34">
    <cfRule type="top10" dxfId="38" priority="102" bottom="1" rank="1"/>
  </conditionalFormatting>
  <conditionalFormatting sqref="G45:G74">
    <cfRule type="top10" dxfId="37" priority="23" bottom="1" rank="1"/>
  </conditionalFormatting>
  <conditionalFormatting sqref="N5:N34">
    <cfRule type="top10" dxfId="35" priority="30" rank="1"/>
  </conditionalFormatting>
  <conditionalFormatting sqref="N45:N74">
    <cfRule type="top10" dxfId="33" priority="10" rank="1"/>
    <cfRule type="expression" dxfId="32" priority="11">
      <formula>MOD(ROW(),2)=0</formula>
    </cfRule>
  </conditionalFormatting>
  <conditionalFormatting sqref="O5:O34">
    <cfRule type="top10" dxfId="31" priority="104" bottom="1" rank="1"/>
  </conditionalFormatting>
  <conditionalFormatting sqref="O45:O74">
    <cfRule type="top10" dxfId="30" priority="24" bottom="1" rank="1"/>
  </conditionalFormatting>
  <conditionalFormatting sqref="V5:V34">
    <cfRule type="top10" dxfId="28" priority="34" rank="1"/>
  </conditionalFormatting>
  <conditionalFormatting sqref="V45:V74">
    <cfRule type="top10" dxfId="26" priority="6" rank="1"/>
    <cfRule type="expression" dxfId="25" priority="7">
      <formula>MOD(ROW(),2)=0</formula>
    </cfRule>
  </conditionalFormatting>
  <conditionalFormatting sqref="W5:W34">
    <cfRule type="top10" dxfId="24" priority="106" bottom="1" rank="1"/>
  </conditionalFormatting>
  <conditionalFormatting sqref="W45:W74">
    <cfRule type="top10" dxfId="23" priority="25" bottom="1" rank="1"/>
  </conditionalFormatting>
  <conditionalFormatting sqref="W45:AK74 O45:U74 G45:M74">
    <cfRule type="expression" dxfId="22" priority="28">
      <formula>MOD(ROW(),2)=0</formula>
    </cfRule>
  </conditionalFormatting>
  <conditionalFormatting sqref="AG5:AG34">
    <cfRule type="cellIs" dxfId="21" priority="112" operator="equal">
      <formula>1</formula>
    </cfRule>
  </conditionalFormatting>
  <conditionalFormatting sqref="AG45:AG74">
    <cfRule type="cellIs" dxfId="20" priority="27" operator="equal">
      <formula>1</formula>
    </cfRule>
  </conditionalFormatting>
  <conditionalFormatting sqref="AK5:AK34">
    <cfRule type="cellIs" dxfId="19" priority="109" operator="equal">
      <formula>1</formula>
    </cfRule>
  </conditionalFormatting>
  <conditionalFormatting sqref="AK45:AK74">
    <cfRule type="cellIs" dxfId="18" priority="26" operator="equal">
      <formula>1</formula>
    </cfRule>
  </conditionalFormatting>
  <conditionalFormatting sqref="AL45:XFD74">
    <cfRule type="expression" dxfId="17" priority="1">
      <formula>MOD(ROW(),2)=0</formula>
    </cfRule>
  </conditionalFormatting>
  <dataValidations count="7">
    <dataValidation type="custom" allowBlank="1" showInputMessage="1" showErrorMessage="1" errorTitle="Error in Stream" error="The stream is either (A)mateur or (W)orking." sqref="B5:B34 B45:B74" xr:uid="{00000000-0002-0000-0800-000003000000}">
      <formula1>OR(B5="A",B5="W")</formula1>
    </dataValidation>
    <dataValidation type="custom" allowBlank="1" showInputMessage="1" showErrorMessage="1" error="Interior scores should be between 40 and 80, 0 for fail, blank &quot;E&quot; for &quot;Entered&quot; or &quot;NE&quot; (Not Entered)." sqref="N5:N34 N45:N74" xr:uid="{00000000-0002-0000-0800-000004000000}">
      <formula1>OR(AND(N5&gt;=40,N5&lt;=80),N5=0,N5="NE",N5="e",N5="feo")</formula1>
    </dataValidation>
    <dataValidation type="custom" allowBlank="1" showInputMessage="1" showErrorMessage="1" error="Container scores should be between 30 and 60, 0 for fail, blank &quot;E&quot; for &quot;Entered&quot; or &quot;NE&quot; (Not Entered)." sqref="F5:F34 F45:F74" xr:uid="{00000000-0002-0000-0800-000005000000}">
      <formula1>OR(AND(F5&gt;=30,F5&lt;=60),F5=0,F5="NE",F5="e",F5="feo")</formula1>
    </dataValidation>
    <dataValidation type="custom" allowBlank="1" showInputMessage="1" showErrorMessage="1" error="Exterior scores should be between 30 and 60, 0 for fail, blank &quot;E&quot; for &quot;Entered&quot; or &quot;NE&quot; (Not Entered)." sqref="V5:V34 V45:V74" xr:uid="{00000000-0002-0000-0800-000006000000}">
      <formula1>OR(AND(V5&gt;=30,V5&lt;=60),V5=0,V5="NE",V5="e",V5="feo")</formula1>
    </dataValidation>
    <dataValidation type="time" allowBlank="1" showInputMessage="1" showErrorMessage="1" errorTitle="Time Error" error="Time cannot exceed 4 minutes (mm:ss.0)" sqref="G5:G34 G45:G74" xr:uid="{82108658-5720-4CC9-B885-2597044A5A26}">
      <formula1>0</formula1>
      <formula2>0.00277777777777778</formula2>
    </dataValidation>
    <dataValidation type="time" allowBlank="1" showInputMessage="1" showErrorMessage="1" errorTitle="Time Error" error="Time cannot exceed 10 minutes (mm:ss.0)" sqref="O5:O34 O45:O74" xr:uid="{1DF88BE7-8A5A-4651-991C-C8595B39EAEA}">
      <formula1>0</formula1>
      <formula2>0.00694444444444444</formula2>
    </dataValidation>
    <dataValidation type="time" allowBlank="1" showInputMessage="1" showErrorMessage="1" errorTitle="Time Error" error="Time cannot exceed 5 minutes (mm:ss.0)" sqref="W45:W74 W5:W34" xr:uid="{024AE77B-2E50-4933-9330-C745533D9796}">
      <formula1>0</formula1>
      <formula2>0.00347222222222222</formula2>
    </dataValidation>
  </dataValidations>
  <printOptions horizontalCentered="1"/>
  <pageMargins left="0.5" right="0.5" top="0.5" bottom="0.5" header="0.3" footer="0.3"/>
  <pageSetup orientation="landscape" r:id="rId1"/>
  <headerFooter>
    <oddHeader>&amp;L&amp;G&amp;RScore Sheet Excellent</oddHeader>
    <oddFooter>&amp;L&amp;8The use of this workbook is at the sole discretion of the trial organizer.  SDDA or its agents shall not be held liable for any errors in the data.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85846A3D-486A-42AA-B2B7-9A48A9B586B7}">
            <xm:f>AND(F5="E",VLOOKUP($C5,'SDDA Dogs'!$A:$O,13)+0=0)</xm:f>
            <x14:dxf>
              <fill>
                <patternFill>
                  <bgColor rgb="FFFF0000"/>
                </patternFill>
              </fill>
            </x14:dxf>
          </x14:cfRule>
          <xm:sqref>F5:F34</xm:sqref>
        </x14:conditionalFormatting>
        <x14:conditionalFormatting xmlns:xm="http://schemas.microsoft.com/office/excel/2006/main">
          <x14:cfRule type="expression" priority="13" id="{4155F209-95CC-4E81-A634-6EA737CF9923}">
            <xm:f>AND(F45="E",VLOOKUP($C45,'SDDA Dogs'!$A:$O,13)+0=0)</xm:f>
            <x14:dxf>
              <fill>
                <patternFill>
                  <bgColor rgb="FFFF0000"/>
                </patternFill>
              </fill>
            </x14:dxf>
          </x14:cfRule>
          <xm:sqref>F45:F74</xm:sqref>
        </x14:conditionalFormatting>
        <x14:conditionalFormatting xmlns:xm="http://schemas.microsoft.com/office/excel/2006/main">
          <x14:cfRule type="expression" priority="12" id="{D7A6C012-5563-4A62-A45B-3F1713F53B82}">
            <xm:f>AND(N5="E",VLOOKUP($C5,'SDDA Dogs'!$A:$O,14)+0=0)</xm:f>
            <x14:dxf>
              <fill>
                <patternFill>
                  <bgColor rgb="FFFF0000"/>
                </patternFill>
              </fill>
            </x14:dxf>
          </x14:cfRule>
          <xm:sqref>N5:N34</xm:sqref>
        </x14:conditionalFormatting>
        <x14:conditionalFormatting xmlns:xm="http://schemas.microsoft.com/office/excel/2006/main">
          <x14:cfRule type="expression" priority="9" id="{EDD95645-AF2A-4CBB-BA46-14D14690EFD7}">
            <xm:f>AND(N45="E",VLOOKUP($C45,'SDDA Dogs'!$A:$O,14)+0=0)</xm:f>
            <x14:dxf>
              <fill>
                <patternFill>
                  <bgColor rgb="FFFF0000"/>
                </patternFill>
              </fill>
            </x14:dxf>
          </x14:cfRule>
          <xm:sqref>N45:N74</xm:sqref>
        </x14:conditionalFormatting>
        <x14:conditionalFormatting xmlns:xm="http://schemas.microsoft.com/office/excel/2006/main">
          <x14:cfRule type="expression" priority="8" id="{8BA95290-D9C2-4183-B195-CD267984CD0F}">
            <xm:f>AND(V5="E",VLOOKUP($C5,'SDDA Dogs'!$A:$O,15)+0=0)</xm:f>
            <x14:dxf>
              <fill>
                <patternFill>
                  <bgColor rgb="FFFF0000"/>
                </patternFill>
              </fill>
            </x14:dxf>
          </x14:cfRule>
          <xm:sqref>V5:V34</xm:sqref>
        </x14:conditionalFormatting>
        <x14:conditionalFormatting xmlns:xm="http://schemas.microsoft.com/office/excel/2006/main">
          <x14:cfRule type="expression" priority="5" id="{BFFE5D10-5A65-42FD-A05E-9249D9912799}">
            <xm:f>AND(V45="E",VLOOKUP($C45,'SDDA Dogs'!$A:$O,15)+0=0)</xm:f>
            <x14:dxf>
              <fill>
                <patternFill>
                  <bgColor rgb="FFFF0000"/>
                </patternFill>
              </fill>
            </x14:dxf>
          </x14:cfRule>
          <xm:sqref>V45:V74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errorTitle="Error in Dog Number" error="The dog number has not been registered.  Please enter a valid number." xr:uid="{00000000-0002-0000-0800-000007000000}">
          <x14:formula1>
            <xm:f>'SDDA Dogs'!$A:$A</xm:f>
          </x14:formula1>
          <xm:sqref>C5:C34 C45:C74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7 1 4 4 5 3 d - d c e 4 - 4 7 2 0 - b 7 b 5 - e a 0 9 5 9 d 2 7 b 4 6 "   x m l n s = " h t t p : / / s c h e m a s . m i c r o s o f t . c o m / D a t a M a s h u p " > A A A A A E 4 E A A B Q S w M E F A A C A A g A O q s h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O q s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q r I V 1 2 7 q 8 R S A E A A I c G A A A T A B w A R m 9 y b X V s Y X M v U 2 V j d G l v b j E u b S C i G A A o o B Q A A A A A A A A A A A A A A A A A A A A A A A A A A A D d l E 1 r g 0 A Y h O + C / 0 E 8 R Z D Q n I O H k D S Q H k K o h R 5 E y m a d R s n q p v s R W q T / v b u 1 o S L R n J J D v C j u z O w 7 D 7 o S V B W 8 8 u L m P p m 6 j u v I n A h k 3 o c E e w Z F p d j X R n A K K Z G 9 i I I w 6 U U e g 3 I d z 1 z L g m F D V G 7 e P X 5 S s P F c C 2 F M r 1 z s t 5 z v R 0 G d r E m J y J 9 R m 3 H S + + l 3 M u e V M t K 0 f r D P T J f V J A 3 t C D Y 4 5 l p Q m N j G N 1 4 Q R b Z E Y m Q T x n 9 W O T r l B a G X z A W I w p o c i x 2 x f c z Y B w h V Q E Z K a K R B 2 E S / D X d r d q 6 T m O Y o S e T 7 4 U q h j P w B l 2 1 j B 0 x d p 6 g u b 9 L l v O A 7 u e T i d z E + m B a Z z A F 1 d c 6 3 I d 3 f b o h 0 j 6 u P d I / 8 D O l V 9 c 7 v 4 g v + 7 3 K B o 1 U N c L P L X U 4 z c y A c 8 a S z H a 7 9 u 9 v Y 2 w D r l B q i 1 p b 2 o W t r u v y W W m m B O z o u O 4 W G 2 L W l f e z a m u k P U E s B A i 0 A F A A C A A g A O q s h X Z 8 4 F 5 6 k A A A A 9 g A A A B I A A A A A A A A A A A A A A A A A A A A A A E N v b m Z p Z y 9 Q Y W N r Y W d l L n h t b F B L A Q I t A B Q A A g A I A D q r I V 0 P y u m r p A A A A O k A A A A T A A A A A A A A A A A A A A A A A P A A A A B b Q 2 9 u d G V u d F 9 U e X B l c 1 0 u e G 1 s U E s B A i 0 A F A A C A A g A O q s h X X b u r x F I A Q A A h w Y A A B M A A A A A A A A A A A A A A A A A 4 Q E A A E Z v c m 1 1 b G F z L 1 N l Y 3 R p b 2 4 x L m 1 Q S w U G A A A A A A M A A w D C A A A A d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D w A A A A A A A D O P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c X N l b F J l Y 2 V u d G x 5 U H J v Y 2 V z c 2 V k V H J p Y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B l Y j B l N W I t M W Q 4 M y 0 0 Z T M 5 L T g 0 Z T g t Z j Y z Y j Z j Z D J i N j M y I i A v P j x F b n R y e S B U e X B l P S J G a W x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U Y X J n Z X Q i I F Z h b H V l P S J z c X N l b F J l Y 2 V u d G x 5 U H J v Y 2 V z c 2 V k V H J p Y W x z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R m l s b E x h c 3 R V c G R h d G V k I i B W Y W x 1 Z T 0 i Z D I w M j Y t M D k t M D J U M D E 6 M j U 6 M z k u N z Q 0 N j Q 1 N 1 o i I C 8 + P E V u d H J 5 I F R 5 c G U 9 I k Z p b G x F c n J v c k N v d W 5 0 I i B W Y W x 1 Z T 0 i b D A i I C 8 + P E V u d H J 5 I F R 5 c G U 9 I k Z p b G x D b 2 x 1 b W 5 U e X B l c y I g V m F s d W U 9 I n N B Z 2 N H Q n c 9 P S I g L z 4 8 R W 5 0 c n k g V H l w Z T 0 i R m l s b E V y c m 9 y Q 2 9 k Z S I g V m F s d W U 9 I n N V b m t u b 3 d u I i A v P j x F b n R y e S B U e X B l P S J G a W x s Q 2 9 s d W 1 u T m F t Z X M i I F Z h b H V l P S J z W y Z x d W 9 0 O 1 R y a W F s I E 5 1 b W J l c i Z x d W 9 0 O y w m c X V v d D t U c m l h b C B E Y X R l J n F 1 b 3 Q 7 L C Z x d W 9 0 O 1 R y a W F s I E N p d H k v V G 9 3 b i Z x d W 9 0 O y w m c X V v d D t Q c m 9 j Z X N z Z W Q g R G F 0 Z S Z x d W 9 0 O 1 0 i I C 8 + P E V u d H J 5 I F R 5 c G U 9 I k Z p b G x D b 3 V u d C I g V m F s d W U 9 I m w 1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c 2 V s U m V j Z W 5 0 b H l Q c m 9 j Z X N z Z W R U c m l h b H M v Q X V 0 b 1 J l b W 9 2 Z W R D b 2 x 1 b W 5 z M S 5 7 V H J p Y W w g T n V t Y m V y L D B 9 J n F 1 b 3 Q 7 L C Z x d W 9 0 O 1 N l Y 3 R p b 2 4 x L 3 F z Z W x S Z W N l b n R s e V B y b 2 N l c 3 N l Z F R y a W F s c y 9 B d X R v U m V t b 3 Z l Z E N v b H V t b n M x L n t U c m l h b C B E Y X R l L D F 9 J n F 1 b 3 Q 7 L C Z x d W 9 0 O 1 N l Y 3 R p b 2 4 x L 3 F z Z W x S Z W N l b n R s e V B y b 2 N l c 3 N l Z F R y a W F s c y 9 B d X R v U m V t b 3 Z l Z E N v b H V t b n M x L n t U c m l h b C B D a X R 5 L 1 R v d 2 4 s M n 0 m c X V v d D s s J n F 1 b 3 Q 7 U 2 V j d G l v b j E v c X N l b F J l Y 2 V u d G x 5 U H J v Y 2 V z c 2 V k V H J p Y W x z L 0 F 1 d G 9 S Z W 1 v d m V k Q 2 9 s d W 1 u c z E u e 1 B y b 2 N l c 3 N l Z C B E Y X R l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F z Z W x S Z W N l b n R s e V B y b 2 N l c 3 N l Z F R y a W F s c y 9 B d X R v U m V t b 3 Z l Z E N v b H V t b n M x L n t U c m l h b C B O d W 1 i Z X I s M H 0 m c X V v d D s s J n F 1 b 3 Q 7 U 2 V j d G l v b j E v c X N l b F J l Y 2 V u d G x 5 U H J v Y 2 V z c 2 V k V H J p Y W x z L 0 F 1 d G 9 S Z W 1 v d m V k Q 2 9 s d W 1 u c z E u e 1 R y a W F s I E R h d G U s M X 0 m c X V v d D s s J n F 1 b 3 Q 7 U 2 V j d G l v b j E v c X N l b F J l Y 2 V u d G x 5 U H J v Y 2 V z c 2 V k V H J p Y W x z L 0 F 1 d G 9 S Z W 1 v d m V k Q 2 9 s d W 1 u c z E u e 1 R y a W F s I E N p d H k v V G 9 3 b i w y f S Z x d W 9 0 O y w m c X V v d D t T Z W N 0 a W 9 u M S 9 x c 2 V s U m V j Z W 5 0 b H l Q c m 9 j Z X N z Z W R U c m l h b H M v Q X V 0 b 1 J l b W 9 2 Z W R D b 2 x 1 b W 5 z M S 5 7 U H J v Y 2 V z c 2 V k I E R h d G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F z Z W x S Z W N l b n R s e V B y b 2 N l c 3 N l Z F R y a W F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U m V j Z W 5 0 b H l Q c m 9 j Z X N z Z W R U c m l h b H M v X 3 F z Z W x S Z W N l b n R s e V B y b 2 N l c 3 N l Z F R y a W F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S Z W N l b n R s e V B y b 2 N l c 3 N l Z F R y a W F s c y 9 G a W x l U G F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z R m 9 y V H J p Y W x T c H J l Y W R z a G V l d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w N z l l Z T F j L T l h M T Y t N D h j N C 1 h M z Q 2 L T l l Y m M 5 M D l k Y T l m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0 R E Q S B E b 2 d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3 F z Z W x E b 2 d z R m 9 y V H J p Y W x T c H J l Y W R z a G V l d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S 0 w M l Q w M T o y N T o 1 M i 4 w M z U 1 O D Q y W i I g L z 4 8 R W 5 0 c n k g V H l w Z T 0 i R m l s b E V y c m 9 y Q 2 9 1 b n Q i I F Z h b H V l P S J s M C I g L z 4 8 R W 5 0 c n k g V H l w Z T 0 i R m l s b E N v b H V t b l R 5 c G V z I i B W Y W x 1 Z T 0 i c 0 J R W U d C Z 0 l H Q W d J Q 0 F n S U N B Z 0 l D I i A v P j x F b n R y e S B U e X B l P S J G a W x s R X J y b 3 J D b 2 R l I i B W Y W x 1 Z T 0 i c 1 V u a 2 5 v d 2 4 i I C 8 + P E V u d H J 5 I F R 5 c G U 9 I k Z p b G x D b 2 x 1 b W 5 O Y W 1 l c y I g V m F s d W U 9 I n N b J n F 1 b 3 Q 7 Z G d T R E R B X 0 R v Z 0 5 1 b W J l c i Z x d W 9 0 O y w m c X V v d D t k Z 0 R v Z 0 N h b G x O Y W 1 l J n F 1 b 3 Q 7 L C Z x d W 9 0 O 2 J y Z E 5 h b W U m c X V v d D s s J n F 1 b 3 Q 7 Z G d T Z X g m c X V v d D s s J n F 1 b 3 Q 7 Y 2 5 0 U 0 R E Q V 9 J Z C Z x d W 9 0 O y w m c X V v d D t G d W x s T m F t Z S Z x d W 9 0 O y w m c X V v d D s x L S B D b 2 5 0 Y W l u Z X I g U 2 V h c m N o I C h T K S Z x d W 9 0 O y w m c X V v d D s x L S B J b n R l c m l v c i B T Z W F y Y 2 g g K F M p J n F 1 b 3 Q 7 L C Z x d W 9 0 O z E t I E V 4 d G V y a W 9 y I F N l Y X J j a C A o U y k m c X V v d D s s J n F 1 b 3 Q 7 M i 0 g Q 2 9 u d G F p b m V y I F N l Y X J j a C A o Q S k m c X V v d D s s J n F 1 b 3 Q 7 M i 0 g S W 5 0 Z X J p b 3 I g U 2 V h c m N o I C h B K S Z x d W 9 0 O y w m c X V v d D s y L S B F e H R l c m l v c i B T Z W F y Y 2 g g K E E p J n F 1 b 3 Q 7 L C Z x d W 9 0 O z M t I E N v b n R h a W 5 l c i B T Z W F y Y 2 g g K E U p J n F 1 b 3 Q 7 L C Z x d W 9 0 O z M t I E l u d G V y a W 9 y I F N l Y X J j a C A o R S k m c X V v d D s s J n F 1 b 3 Q 7 M y 0 g R X h 0 Z X J p b 3 I g U 2 V h c m N o I C h F K S Z x d W 9 0 O 1 0 i I C 8 + P E V u d H J 5 I F R 5 c G U 9 I k Z p b G x D b 3 V u d C I g V m F s d W U 9 I m w 3 M T E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c 2 V s R G 9 n c 0 Z v c l R y a W F s U 3 B y Z W F k c 2 h l Z X Q v Q X V 0 b 1 J l b W 9 2 Z W R D b 2 x 1 b W 5 z M S 5 7 Z G d T R E R B X 0 R v Z 0 5 1 b W J l c i w w f S Z x d W 9 0 O y w m c X V v d D t T Z W N 0 a W 9 u M S 9 x c 2 V s R G 9 n c 0 Z v c l R y a W F s U 3 B y Z W F k c 2 h l Z X Q v Q X V 0 b 1 J l b W 9 2 Z W R D b 2 x 1 b W 5 z M S 5 7 Z G d E b 2 d D Y W x s T m F t Z S w x f S Z x d W 9 0 O y w m c X V v d D t T Z W N 0 a W 9 u M S 9 x c 2 V s R G 9 n c 0 Z v c l R y a W F s U 3 B y Z W F k c 2 h l Z X Q v Q X V 0 b 1 J l b W 9 2 Z W R D b 2 x 1 b W 5 z M S 5 7 Y n J k T m F t Z S w y f S Z x d W 9 0 O y w m c X V v d D t T Z W N 0 a W 9 u M S 9 x c 2 V s R G 9 n c 0 Z v c l R y a W F s U 3 B y Z W F k c 2 h l Z X Q v Q X V 0 b 1 J l b W 9 2 Z W R D b 2 x 1 b W 5 z M S 5 7 Z G d T Z X g s M 3 0 m c X V v d D s s J n F 1 b 3 Q 7 U 2 V j d G l v b j E v c X N l b E R v Z 3 N G b 3 J U c m l h b F N w c m V h Z H N o Z W V 0 L 0 F 1 d G 9 S Z W 1 v d m V k Q 2 9 s d W 1 u c z E u e 2 N u d F N E R E F f S W Q s N H 0 m c X V v d D s s J n F 1 b 3 Q 7 U 2 V j d G l v b j E v c X N l b E R v Z 3 N G b 3 J U c m l h b F N w c m V h Z H N o Z W V 0 L 0 F 1 d G 9 S Z W 1 v d m V k Q 2 9 s d W 1 u c z E u e 0 Z 1 b G x O Y W 1 l L D V 9 J n F 1 b 3 Q 7 L C Z x d W 9 0 O 1 N l Y 3 R p b 2 4 x L 3 F z Z W x E b 2 d z R m 9 y V H J p Y W x T c H J l Y W R z a G V l d C 9 B d X R v U m V t b 3 Z l Z E N v b H V t b n M x L n s x L S B D b 2 5 0 Y W l u Z X I g U 2 V h c m N o I C h T K S w 2 f S Z x d W 9 0 O y w m c X V v d D t T Z W N 0 a W 9 u M S 9 x c 2 V s R G 9 n c 0 Z v c l R y a W F s U 3 B y Z W F k c 2 h l Z X Q v Q X V 0 b 1 J l b W 9 2 Z W R D b 2 x 1 b W 5 z M S 5 7 M S 0 g S W 5 0 Z X J p b 3 I g U 2 V h c m N o I C h T K S w 3 f S Z x d W 9 0 O y w m c X V v d D t T Z W N 0 a W 9 u M S 9 x c 2 V s R G 9 n c 0 Z v c l R y a W F s U 3 B y Z W F k c 2 h l Z X Q v Q X V 0 b 1 J l b W 9 2 Z W R D b 2 x 1 b W 5 z M S 5 7 M S 0 g R X h 0 Z X J p b 3 I g U 2 V h c m N o I C h T K S w 4 f S Z x d W 9 0 O y w m c X V v d D t T Z W N 0 a W 9 u M S 9 x c 2 V s R G 9 n c 0 Z v c l R y a W F s U 3 B y Z W F k c 2 h l Z X Q v Q X V 0 b 1 J l b W 9 2 Z W R D b 2 x 1 b W 5 z M S 5 7 M i 0 g Q 2 9 u d G F p b m V y I F N l Y X J j a C A o Q S k s O X 0 m c X V v d D s s J n F 1 b 3 Q 7 U 2 V j d G l v b j E v c X N l b E R v Z 3 N G b 3 J U c m l h b F N w c m V h Z H N o Z W V 0 L 0 F 1 d G 9 S Z W 1 v d m V k Q 2 9 s d W 1 u c z E u e z I t I E l u d G V y a W 9 y I F N l Y X J j a C A o Q S k s M T B 9 J n F 1 b 3 Q 7 L C Z x d W 9 0 O 1 N l Y 3 R p b 2 4 x L 3 F z Z W x E b 2 d z R m 9 y V H J p Y W x T c H J l Y W R z a G V l d C 9 B d X R v U m V t b 3 Z l Z E N v b H V t b n M x L n s y L S B F e H R l c m l v c i B T Z W F y Y 2 g g K E E p L D E x f S Z x d W 9 0 O y w m c X V v d D t T Z W N 0 a W 9 u M S 9 x c 2 V s R G 9 n c 0 Z v c l R y a W F s U 3 B y Z W F k c 2 h l Z X Q v Q X V 0 b 1 J l b W 9 2 Z W R D b 2 x 1 b W 5 z M S 5 7 M y 0 g Q 2 9 u d G F p b m V y I F N l Y X J j a C A o R S k s M T J 9 J n F 1 b 3 Q 7 L C Z x d W 9 0 O 1 N l Y 3 R p b 2 4 x L 3 F z Z W x E b 2 d z R m 9 y V H J p Y W x T c H J l Y W R z a G V l d C 9 B d X R v U m V t b 3 Z l Z E N v b H V t b n M x L n s z L S B J b n R l c m l v c i B T Z W F y Y 2 g g K E U p L D E z f S Z x d W 9 0 O y w m c X V v d D t T Z W N 0 a W 9 u M S 9 x c 2 V s R G 9 n c 0 Z v c l R y a W F s U 3 B y Z W F k c 2 h l Z X Q v Q X V 0 b 1 J l b W 9 2 Z W R D b 2 x 1 b W 5 z M S 5 7 M y 0 g R X h 0 Z X J p b 3 I g U 2 V h c m N o I C h F K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F z Z W x E b 2 d z R m 9 y V H J p Y W x T c H J l Y W R z a G V l d C 9 B d X R v U m V t b 3 Z l Z E N v b H V t b n M x L n t k Z 1 N E R E F f R G 9 n T n V t Y m V y L D B 9 J n F 1 b 3 Q 7 L C Z x d W 9 0 O 1 N l Y 3 R p b 2 4 x L 3 F z Z W x E b 2 d z R m 9 y V H J p Y W x T c H J l Y W R z a G V l d C 9 B d X R v U m V t b 3 Z l Z E N v b H V t b n M x L n t k Z 0 R v Z 0 N h b G x O Y W 1 l L D F 9 J n F 1 b 3 Q 7 L C Z x d W 9 0 O 1 N l Y 3 R p b 2 4 x L 3 F z Z W x E b 2 d z R m 9 y V H J p Y W x T c H J l Y W R z a G V l d C 9 B d X R v U m V t b 3 Z l Z E N v b H V t b n M x L n t i c m R O Y W 1 l L D J 9 J n F 1 b 3 Q 7 L C Z x d W 9 0 O 1 N l Y 3 R p b 2 4 x L 3 F z Z W x E b 2 d z R m 9 y V H J p Y W x T c H J l Y W R z a G V l d C 9 B d X R v U m V t b 3 Z l Z E N v b H V t b n M x L n t k Z 1 N l e C w z f S Z x d W 9 0 O y w m c X V v d D t T Z W N 0 a W 9 u M S 9 x c 2 V s R G 9 n c 0 Z v c l R y a W F s U 3 B y Z W F k c 2 h l Z X Q v Q X V 0 b 1 J l b W 9 2 Z W R D b 2 x 1 b W 5 z M S 5 7 Y 2 5 0 U 0 R E Q V 9 J Z C w 0 f S Z x d W 9 0 O y w m c X V v d D t T Z W N 0 a W 9 u M S 9 x c 2 V s R G 9 n c 0 Z v c l R y a W F s U 3 B y Z W F k c 2 h l Z X Q v Q X V 0 b 1 J l b W 9 2 Z W R D b 2 x 1 b W 5 z M S 5 7 R n V s b E 5 h b W U s N X 0 m c X V v d D s s J n F 1 b 3 Q 7 U 2 V j d G l v b j E v c X N l b E R v Z 3 N G b 3 J U c m l h b F N w c m V h Z H N o Z W V 0 L 0 F 1 d G 9 S Z W 1 v d m V k Q 2 9 s d W 1 u c z E u e z E t I E N v b n R h a W 5 l c i B T Z W F y Y 2 g g K F M p L D Z 9 J n F 1 b 3 Q 7 L C Z x d W 9 0 O 1 N l Y 3 R p b 2 4 x L 3 F z Z W x E b 2 d z R m 9 y V H J p Y W x T c H J l Y W R z a G V l d C 9 B d X R v U m V t b 3 Z l Z E N v b H V t b n M x L n s x L S B J b n R l c m l v c i B T Z W F y Y 2 g g K F M p L D d 9 J n F 1 b 3 Q 7 L C Z x d W 9 0 O 1 N l Y 3 R p b 2 4 x L 3 F z Z W x E b 2 d z R m 9 y V H J p Y W x T c H J l Y W R z a G V l d C 9 B d X R v U m V t b 3 Z l Z E N v b H V t b n M x L n s x L S B F e H R l c m l v c i B T Z W F y Y 2 g g K F M p L D h 9 J n F 1 b 3 Q 7 L C Z x d W 9 0 O 1 N l Y 3 R p b 2 4 x L 3 F z Z W x E b 2 d z R m 9 y V H J p Y W x T c H J l Y W R z a G V l d C 9 B d X R v U m V t b 3 Z l Z E N v b H V t b n M x L n s y L S B D b 2 5 0 Y W l u Z X I g U 2 V h c m N o I C h B K S w 5 f S Z x d W 9 0 O y w m c X V v d D t T Z W N 0 a W 9 u M S 9 x c 2 V s R G 9 n c 0 Z v c l R y a W F s U 3 B y Z W F k c 2 h l Z X Q v Q X V 0 b 1 J l b W 9 2 Z W R D b 2 x 1 b W 5 z M S 5 7 M i 0 g S W 5 0 Z X J p b 3 I g U 2 V h c m N o I C h B K S w x M H 0 m c X V v d D s s J n F 1 b 3 Q 7 U 2 V j d G l v b j E v c X N l b E R v Z 3 N G b 3 J U c m l h b F N w c m V h Z H N o Z W V 0 L 0 F 1 d G 9 S Z W 1 v d m V k Q 2 9 s d W 1 u c z E u e z I t I E V 4 d G V y a W 9 y I F N l Y X J j a C A o Q S k s M T F 9 J n F 1 b 3 Q 7 L C Z x d W 9 0 O 1 N l Y 3 R p b 2 4 x L 3 F z Z W x E b 2 d z R m 9 y V H J p Y W x T c H J l Y W R z a G V l d C 9 B d X R v U m V t b 3 Z l Z E N v b H V t b n M x L n s z L S B D b 2 5 0 Y W l u Z X I g U 2 V h c m N o I C h F K S w x M n 0 m c X V v d D s s J n F 1 b 3 Q 7 U 2 V j d G l v b j E v c X N l b E R v Z 3 N G b 3 J U c m l h b F N w c m V h Z H N o Z W V 0 L 0 F 1 d G 9 S Z W 1 v d m V k Q 2 9 s d W 1 u c z E u e z M t I E l u d G V y a W 9 y I F N l Y X J j a C A o R S k s M T N 9 J n F 1 b 3 Q 7 L C Z x d W 9 0 O 1 N l Y 3 R p b 2 4 x L 3 F z Z W x E b 2 d z R m 9 y V H J p Y W x T c H J l Y W R z a G V l d C 9 B d X R v U m V t b 3 Z l Z E N v b H V t b n M x L n s z L S B F e H R l c m l v c i B T Z W F y Y 2 g g K E U p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X N l b E R v Z 3 N G b 3 J U c m l h b F N w c m V h Z H N o Z W V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z R m 9 y V H J p Y W x T c H J l Y W R z a G V l d C 9 f c X N l b E R v Z 3 N G b 3 J U c m l h b F N w c m V h Z H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R v Z 3 N G b 3 J U c m l h b F N w c m V h Z H N o Z W V 0 L 0 Z p b G V Q Y X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R v Z 0 l u Z m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N D A y M z A w Z i 1 k Z T Y 0 L T R i M z c t Y W Q w Y y 0 4 Y j A 2 Z D g 1 Y m I z M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N v d m V y e V R h c m d l d F N o Z W V 0 I i B W Y W x 1 Z T 0 i c 0 R v Z 0 l u Z m 8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c X N l b E R v Z 0 l u Z m 8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k t M D J U M D E 6 M j U 6 N D Q u M T Y x N T Y z M l o i I C 8 + P E V u d H J 5 I F R 5 c G U 9 I k Z p b G x F c n J v c k N v d W 5 0 I i B W Y W x 1 Z T 0 i b D A i I C 8 + P E V u d H J 5 I F R 5 c G U 9 I k Z p b G x D b 2 x 1 b W 5 U e X B l c y I g V m F s d W U 9 I n N C Z 1 U 9 I i A v P j x F b n R y e S B U e X B l P S J G a W x s R X J y b 3 J D b 2 R l I i B W Y W x 1 Z T 0 i c 1 V u a 2 5 v d 2 4 i I C 8 + P E V u d H J 5 I F R 5 c G U 9 I k Z p b G x D b 2 x 1 b W 5 O Y W 1 l c y I g V m F s d W U 9 I n N b J n F 1 b 3 Q 7 S U Q m c X V v d D s s J n F 1 b 3 Q 7 R G F 0 Y S Z x d W 9 0 O 1 0 i I C 8 + P E V u d H J 5 I F R 5 c G U 9 I k Z p b G x D b 3 V u d C I g V m F s d W U 9 I m w 4 N D U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F z Z W x E b 2 d J b m Z v L 0 F 1 d G 9 S Z W 1 v d m V k Q 2 9 s d W 1 u c z E u e 0 l E L D B 9 J n F 1 b 3 Q 7 L C Z x d W 9 0 O 1 N l Y 3 R p b 2 4 x L 3 F z Z W x E b 2 d J b m Z v L 0 F 1 d G 9 S Z W 1 v d m V k Q 2 9 s d W 1 u c z E u e 0 R h d G E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c X N l b E R v Z 0 l u Z m 8 v Q X V 0 b 1 J l b W 9 2 Z W R D b 2 x 1 b W 5 z M S 5 7 S U Q s M H 0 m c X V v d D s s J n F 1 b 3 Q 7 U 2 V j d G l v b j E v c X N l b E R v Z 0 l u Z m 8 v Q X V 0 b 1 J l b W 9 2 Z W R D b 2 x 1 b W 5 z M S 5 7 R G F 0 Y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X N l b E R v Z 0 l u Z m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R v Z 0 l u Z m 8 v X 3 F z Z W x E b 2 d J b m Z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R v Z 0 l u Z m 8 v R m l s Z V B h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Q W N 0 a X Z l S n V k Z 2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E x Y z g z Y j E t Z D J l N y 0 0 Y j d k L W F i N D I t Y 2 Y x M D J l Z G M 4 N 2 Z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U c m l h b C B J b m Z v I i A v P j x F b n R y e S B U e X B l P S J S Z W N v d m V y e V R h c m d l d E N v b H V t b i I g V m F s d W U 9 I m w x I i A v P j x F b n R y e S B U e X B l P S J S Z W N v d m V y e V R h c m d l d F J v d y I g V m F s d W U 9 I m w x N z E i I C 8 + P E V u d H J 5 I F R 5 c G U 9 I k Z p b G x U Y X J n Z X Q i I F Z h b H V l P S J z c X N l b E F j d G l 2 Z U p 1 Z G d l c y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S 0 w M l Q w M T o y N T o y N S 4 3 O D U x N D M x W i I g L z 4 8 R W 5 0 c n k g V H l w Z T 0 i R m l s b E V y c m 9 y Q 2 9 1 b n Q i I F Z h b H V l P S J s M C I g L z 4 8 R W 5 0 c n k g V H l w Z T 0 i R m l s b E N v b H V t b l R 5 c G V z I i B W Y W x 1 Z T 0 i c 0 J n S T 0 i I C 8 + P E V u d H J 5 I F R 5 c G U 9 I k Z p b G x F c n J v c k N v Z G U i I F Z h b H V l P S J z V W 5 r b m 9 3 b i I g L z 4 8 R W 5 0 c n k g V H l w Z T 0 i R m l s b E N v b H V t b k 5 h b W V z I i B W Y W x 1 Z T 0 i c 1 s m c X V v d D t K d W R n Z S Z x d W 9 0 O y w m c X V v d D t D b 2 5 0 Y W N 0 I E l E J n F 1 b 3 Q 7 X S I g L z 4 8 R W 5 0 c n k g V H l w Z T 0 i R m l s b E N v d W 5 0 I i B W Y W x 1 Z T 0 i b D Q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F z Z W x B Y 3 R p d m V K d W R n Z X M v Q X V 0 b 1 J l b W 9 2 Z W R D b 2 x 1 b W 5 z M S 5 7 S n V k Z 2 U s M H 0 m c X V v d D s s J n F 1 b 3 Q 7 U 2 V j d G l v b j E v c X N l b E F j d G l 2 Z U p 1 Z G d l c y 9 B d X R v U m V t b 3 Z l Z E N v b H V t b n M x L n t D b 2 5 0 Y W N 0 I E l E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F z Z W x B Y 3 R p d m V K d W R n Z X M v Q X V 0 b 1 J l b W 9 2 Z W R D b 2 x 1 b W 5 z M S 5 7 S n V k Z 2 U s M H 0 m c X V v d D s s J n F 1 b 3 Q 7 U 2 V j d G l v b j E v c X N l b E F j d G l 2 Z U p 1 Z G d l c y 9 B d X R v U m V t b 3 Z l Z E N v b H V t b n M x L n t D b 2 5 0 Y W N 0 I E l E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c 2 V s Q W N 0 a X Z l S n V k Z 2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B Y 3 R p d m V K d W R n Z X M v X 3 F z Z W x B Y 3 R p d m V K d W R n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Q W N 0 a X Z l S n V k Z 2 V z L 0 Z p b G V Q Y X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Z 1 d H V y Z V R y a W F s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l N D Y 3 Z j E 4 L T Y 2 M T c t N D E y Y i 0 5 Z j Z k L W F k Y T Y 5 Y 2 U 4 Y z c 2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m V j Z W 5 0 b H k g U H J v Y 2 V z c 2 V k I F R y a W F s c y I g L z 4 8 R W 5 0 c n k g V H l w Z T 0 i U m V j b 3 Z l c n l U Y X J n Z X R D b 2 x 1 b W 4 i I F Z h b H V l P S J s N y I g L z 4 8 R W 5 0 c n k g V H l w Z T 0 i U m V j b 3 Z l c n l U Y X J n Z X R S b 3 c i I F Z h b H V l P S J s M i I g L z 4 8 R W 5 0 c n k g V H l w Z T 0 i R m l s b F R h c m d l d C I g V m F s d W U 9 I n N x c 2 V s R n V 0 d X J l V H J p Y W x z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5 L T A y V D A x O j I 1 O j M 1 L j U 2 N z A x O D R a I i A v P j x F b n R y e S B U e X B l P S J G a W x s R X J y b 3 J D b 3 V u d C I g V m F s d W U 9 I m w w I i A v P j x F b n R y e S B U e X B l P S J G a W x s Q 2 9 s d W 1 u V H l w Z X M i I F Z h b H V l P S J z Q W d j R 0 J n Y z 0 i I C 8 + P E V u d H J 5 I F R 5 c G U 9 I k Z p b G x F c n J v c k N v Z G U i I F Z h b H V l P S J z V W 5 r b m 9 3 b i I g L z 4 8 R W 5 0 c n k g V H l w Z T 0 i R m l s b E N v b H V t b k 5 h b W V z I i B W Y W x 1 Z T 0 i c 1 s m c X V v d D t U c m l h b C B O d W 1 i Z X I m c X V v d D s s J n F 1 b 3 Q 7 V H J p Y W w g R G F 0 Z S Z x d W 9 0 O y w m c X V v d D t U c m l h b C B D a X R 5 L 1 R v d 2 4 m c X V v d D s s J n F 1 b 3 Q 7 R W 1 h a W w m c X V v d D s s J n F 1 b 3 Q 7 Z X Z u U m V j Z W l 2 Z W R G c m 9 t S G 9 z d E R h d G U m c X V v d D t d I i A v P j x F b n R y e S B U e X B l P S J G a W x s Q 2 9 1 b n Q i I F Z h b H V l P S J s M j U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F z Z W x G d X R 1 c m V U c m l h b H M v Q X V 0 b 1 J l b W 9 2 Z W R D b 2 x 1 b W 5 z M S 5 7 V H J p Y W w g T n V t Y m V y L D B 9 J n F 1 b 3 Q 7 L C Z x d W 9 0 O 1 N l Y 3 R p b 2 4 x L 3 F z Z W x G d X R 1 c m V U c m l h b H M v Q X V 0 b 1 J l b W 9 2 Z W R D b 2 x 1 b W 5 z M S 5 7 V H J p Y W w g R G F 0 Z S w x f S Z x d W 9 0 O y w m c X V v d D t T Z W N 0 a W 9 u M S 9 x c 2 V s R n V 0 d X J l V H J p Y W x z L 0 F 1 d G 9 S Z W 1 v d m V k Q 2 9 s d W 1 u c z E u e 1 R y a W F s I E N p d H k v V G 9 3 b i w y f S Z x d W 9 0 O y w m c X V v d D t T Z W N 0 a W 9 u M S 9 x c 2 V s R n V 0 d X J l V H J p Y W x z L 0 F 1 d G 9 S Z W 1 v d m V k Q 2 9 s d W 1 u c z E u e 0 V t Y W l s L D N 9 J n F 1 b 3 Q 7 L C Z x d W 9 0 O 1 N l Y 3 R p b 2 4 x L 3 F z Z W x G d X R 1 c m V U c m l h b H M v Q X V 0 b 1 J l b W 9 2 Z W R D b 2 x 1 b W 5 z M S 5 7 Z X Z u U m V j Z W l 2 Z W R G c m 9 t S G 9 z d E R h d G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X N l b E Z 1 d H V y Z V R y a W F s c y 9 B d X R v U m V t b 3 Z l Z E N v b H V t b n M x L n t U c m l h b C B O d W 1 i Z X I s M H 0 m c X V v d D s s J n F 1 b 3 Q 7 U 2 V j d G l v b j E v c X N l b E Z 1 d H V y Z V R y a W F s c y 9 B d X R v U m V t b 3 Z l Z E N v b H V t b n M x L n t U c m l h b C B E Y X R l L D F 9 J n F 1 b 3 Q 7 L C Z x d W 9 0 O 1 N l Y 3 R p b 2 4 x L 3 F z Z W x G d X R 1 c m V U c m l h b H M v Q X V 0 b 1 J l b W 9 2 Z W R D b 2 x 1 b W 5 z M S 5 7 V H J p Y W w g Q 2 l 0 e S 9 U b 3 d u L D J 9 J n F 1 b 3 Q 7 L C Z x d W 9 0 O 1 N l Y 3 R p b 2 4 x L 3 F z Z W x G d X R 1 c m V U c m l h b H M v Q X V 0 b 1 J l b W 9 2 Z W R D b 2 x 1 b W 5 z M S 5 7 R W 1 h a W w s M 3 0 m c X V v d D s s J n F 1 b 3 Q 7 U 2 V j d G l v b j E v c X N l b E Z 1 d H V y Z V R y a W F s c y 9 B d X R v U m V t b 3 Z l Z E N v b H V t b n M x L n t l d m 5 S Z W N l a X Z l Z E Z y b 2 1 I b 3 N 0 R G F 0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X N l b E Z 1 d H V y Z V R y a W F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R n V 0 d X J l V H J p Y W x z L 1 9 x c 2 V s R n V 0 d X J l V H J p Y W x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Z 1 d H V y Z V R y a W F s c y 9 G a W x l U G F 0 a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3 D q K P 5 X n Q Z o b L Q / 4 9 E V P A A A A A A I A A A A A A B B m A A A A A Q A A I A A A A C V l j z c f k 9 y 9 8 P E N n t x u 0 9 L w W n C a G p t q 5 F V E B y 8 H z j S Q A A A A A A 6 A A A A A A g A A I A A A A C o / 3 Y P b 1 + X T z u N U W s c j Z R r Z g N X p k r M a s 9 t G v E 8 5 p I 1 X U A A A A N 1 i e n H 2 s H g v w R D r A p 7 j T / q d c Q N 8 g Q i d k y j u K x Z f 9 K + 2 8 b 5 c Y i b j r H + r f v z Q S y Y J d j H u 0 u Y p 0 S E 9 S V l A g U Z X Y l C Z u b y f i A f D Y b 4 T m b t y h 9 J 2 Q A A A A E A T r d N 5 s i Z p O f q Q 4 K f 9 v Y I R j z c W N e I 3 k / S 7 h y r C 3 B G 5 4 k w / i 0 J 7 8 O t 8 8 2 d H V 3 i / 3 l B g l m Z 4 G B T N h f g b k 9 x b k d I = < / D a t a M a s h u p > 
</file>

<file path=customXml/itemProps1.xml><?xml version="1.0" encoding="utf-8"?>
<ds:datastoreItem xmlns:ds="http://schemas.openxmlformats.org/officeDocument/2006/customXml" ds:itemID="{295D89D7-531D-470F-9A50-D341AE6CE7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130</vt:i4>
      </vt:variant>
    </vt:vector>
  </HeadingPairs>
  <TitlesOfParts>
    <vt:vector size="149" baseType="lpstr">
      <vt:lpstr>Trial Info</vt:lpstr>
      <vt:lpstr>Summary</vt:lpstr>
      <vt:lpstr>Started</vt:lpstr>
      <vt:lpstr>Str - Order</vt:lpstr>
      <vt:lpstr>Advanced</vt:lpstr>
      <vt:lpstr>Adv - Order</vt:lpstr>
      <vt:lpstr>Excellent</vt:lpstr>
      <vt:lpstr>Ext - Order</vt:lpstr>
      <vt:lpstr>Elite</vt:lpstr>
      <vt:lpstr>Elite - Order</vt:lpstr>
      <vt:lpstr>Games</vt:lpstr>
      <vt:lpstr>H-i-T</vt:lpstr>
      <vt:lpstr>Entry Fees</vt:lpstr>
      <vt:lpstr>Labels</vt:lpstr>
      <vt:lpstr>FormattedResults</vt:lpstr>
      <vt:lpstr>DogInfo</vt:lpstr>
      <vt:lpstr>SDDA Dogs</vt:lpstr>
      <vt:lpstr>Processed and Future Trials</vt:lpstr>
      <vt:lpstr>Judges</vt:lpstr>
      <vt:lpstr>AccessFilePath</vt:lpstr>
      <vt:lpstr>AdvancedDay1FirstTitles</vt:lpstr>
      <vt:lpstr>AdvancedDay2FirstTitles</vt:lpstr>
      <vt:lpstr>ChampTitles</vt:lpstr>
      <vt:lpstr>Advanced!DataStarted</vt:lpstr>
      <vt:lpstr>Elite!DataStarted</vt:lpstr>
      <vt:lpstr>Excellent!DataStarted</vt:lpstr>
      <vt:lpstr>DataStarted</vt:lpstr>
      <vt:lpstr>EliteDay1FirstTitles</vt:lpstr>
      <vt:lpstr>EliteDay2FirstTitles</vt:lpstr>
      <vt:lpstr>EntryFeeGamesAerial</vt:lpstr>
      <vt:lpstr>EntryFeeGamesDistance</vt:lpstr>
      <vt:lpstr>EntryFeeGamesFEO</vt:lpstr>
      <vt:lpstr>EntryFeeGamesSpeed</vt:lpstr>
      <vt:lpstr>EntryFeeGamesTeam</vt:lpstr>
      <vt:lpstr>ExcellentDay1FirstTitles</vt:lpstr>
      <vt:lpstr>ExcellentDay2FirstTitles</vt:lpstr>
      <vt:lpstr>FeoFee</vt:lpstr>
      <vt:lpstr>FeoFeeElite</vt:lpstr>
      <vt:lpstr>FilePath</vt:lpstr>
      <vt:lpstr>GamesRunningOrderType</vt:lpstr>
      <vt:lpstr>JudgeD1CSA</vt:lpstr>
      <vt:lpstr>JudgeD1CSE</vt:lpstr>
      <vt:lpstr>JudgeD1CSL</vt:lpstr>
      <vt:lpstr>JudgeD1CSS</vt:lpstr>
      <vt:lpstr>JudgeD1ESA</vt:lpstr>
      <vt:lpstr>JudgeD1ESE</vt:lpstr>
      <vt:lpstr>JudgeD1ESL</vt:lpstr>
      <vt:lpstr>JudgeD1ESS</vt:lpstr>
      <vt:lpstr>JudgeD1GamesAerial</vt:lpstr>
      <vt:lpstr>JudgeD1GamesDistance</vt:lpstr>
      <vt:lpstr>JudgeD1GamesSpeed</vt:lpstr>
      <vt:lpstr>JudgeD1GamesTeam</vt:lpstr>
      <vt:lpstr>JudgeD1ISA</vt:lpstr>
      <vt:lpstr>JudgeD1ISE</vt:lpstr>
      <vt:lpstr>JudgeD1ISL</vt:lpstr>
      <vt:lpstr>JudgeD1ISS</vt:lpstr>
      <vt:lpstr>JudgeD2CSA</vt:lpstr>
      <vt:lpstr>JudgeD2CSE</vt:lpstr>
      <vt:lpstr>JudgeD2CSL</vt:lpstr>
      <vt:lpstr>JudgeD2CSS</vt:lpstr>
      <vt:lpstr>JudgeD2ESA</vt:lpstr>
      <vt:lpstr>JudgeD2ESE</vt:lpstr>
      <vt:lpstr>JudgeD2ESL</vt:lpstr>
      <vt:lpstr>JudgeD2ESS</vt:lpstr>
      <vt:lpstr>JudgeD2GamesAerial</vt:lpstr>
      <vt:lpstr>JudgeD2GamesDistance</vt:lpstr>
      <vt:lpstr>JudgeD2GamesSpeed</vt:lpstr>
      <vt:lpstr>JudgeD2GamesTeam</vt:lpstr>
      <vt:lpstr>JudgeD2ISA</vt:lpstr>
      <vt:lpstr>JudgeD2ISE</vt:lpstr>
      <vt:lpstr>JudgeD2ISL</vt:lpstr>
      <vt:lpstr>JudgeD2ISS</vt:lpstr>
      <vt:lpstr>JudgeDay1GamesAerial</vt:lpstr>
      <vt:lpstr>JudgesFeeFEOGames</vt:lpstr>
      <vt:lpstr>JudgesFeeRegular</vt:lpstr>
      <vt:lpstr>JudgesList</vt:lpstr>
      <vt:lpstr>ListGamesValidEntries</vt:lpstr>
      <vt:lpstr>MaxTmCSA</vt:lpstr>
      <vt:lpstr>MaxTmCSE</vt:lpstr>
      <vt:lpstr>MaxTmCSL</vt:lpstr>
      <vt:lpstr>MaxTmCSS</vt:lpstr>
      <vt:lpstr>MaxTmESA</vt:lpstr>
      <vt:lpstr>MaxTmESE</vt:lpstr>
      <vt:lpstr>MaxTmESL</vt:lpstr>
      <vt:lpstr>MaxTmESS</vt:lpstr>
      <vt:lpstr>MaxTmISA</vt:lpstr>
      <vt:lpstr>MaxTmISE</vt:lpstr>
      <vt:lpstr>MaxTmISL</vt:lpstr>
      <vt:lpstr>MaxTmISS</vt:lpstr>
      <vt:lpstr>MaxTmL</vt:lpstr>
      <vt:lpstr>MinScoreCSA</vt:lpstr>
      <vt:lpstr>MinScoreCSE</vt:lpstr>
      <vt:lpstr>MinScoreCSL</vt:lpstr>
      <vt:lpstr>MinScoreCSS</vt:lpstr>
      <vt:lpstr>MinScoreESA</vt:lpstr>
      <vt:lpstr>MinScoreESE</vt:lpstr>
      <vt:lpstr>MinScoreESL</vt:lpstr>
      <vt:lpstr>MinScoreESS</vt:lpstr>
      <vt:lpstr>MinScoreISA</vt:lpstr>
      <vt:lpstr>MinScoreISE</vt:lpstr>
      <vt:lpstr>MinScoreISL</vt:lpstr>
      <vt:lpstr>MinScoreISS</vt:lpstr>
      <vt:lpstr>MinScoreL</vt:lpstr>
      <vt:lpstr>'Adv - Order'!Print_Area</vt:lpstr>
      <vt:lpstr>Advanced!Print_Area</vt:lpstr>
      <vt:lpstr>Elite!Print_Area</vt:lpstr>
      <vt:lpstr>'Elite - Order'!Print_Area</vt:lpstr>
      <vt:lpstr>'Entry Fees'!Print_Area</vt:lpstr>
      <vt:lpstr>Excellent!Print_Area</vt:lpstr>
      <vt:lpstr>'Ext - Order'!Print_Area</vt:lpstr>
      <vt:lpstr>Games!Print_Area</vt:lpstr>
      <vt:lpstr>Started!Print_Area</vt:lpstr>
      <vt:lpstr>'Str - Order'!Print_Area</vt:lpstr>
      <vt:lpstr>Summary!Print_Area</vt:lpstr>
      <vt:lpstr>'Trial Info'!Print_Area</vt:lpstr>
      <vt:lpstr>Advanced!Print_Titles</vt:lpstr>
      <vt:lpstr>Elite!Print_Titles</vt:lpstr>
      <vt:lpstr>'Entry Fees'!Print_Titles</vt:lpstr>
      <vt:lpstr>Excellent!Print_Titles</vt:lpstr>
      <vt:lpstr>Games!Print_Titles</vt:lpstr>
      <vt:lpstr>Started!Print_Titles</vt:lpstr>
      <vt:lpstr>Ready</vt:lpstr>
      <vt:lpstr>SddaFee</vt:lpstr>
      <vt:lpstr>SddaFeeElite</vt:lpstr>
      <vt:lpstr>SpecialTitles</vt:lpstr>
      <vt:lpstr>StartedDay1FirstTitles</vt:lpstr>
      <vt:lpstr>StartedDay2FirstTitles</vt:lpstr>
      <vt:lpstr>TotalFeesGames</vt:lpstr>
      <vt:lpstr>TotalRunsGames</vt:lpstr>
      <vt:lpstr>TrialCityDay1</vt:lpstr>
      <vt:lpstr>TrialCityDay2</vt:lpstr>
      <vt:lpstr>TrialDate</vt:lpstr>
      <vt:lpstr>TrialDateDay2</vt:lpstr>
      <vt:lpstr>TrialEmail</vt:lpstr>
      <vt:lpstr>TrialEmailDay1</vt:lpstr>
      <vt:lpstr>TrialEmailDay2</vt:lpstr>
      <vt:lpstr>TrialFeeAdv</vt:lpstr>
      <vt:lpstr>TrialFeeElite</vt:lpstr>
      <vt:lpstr>TrialFeeExc</vt:lpstr>
      <vt:lpstr>TrialFeeStr</vt:lpstr>
      <vt:lpstr>TrialHost</vt:lpstr>
      <vt:lpstr>TrialNumber</vt:lpstr>
      <vt:lpstr>TrialNumberDay2</vt:lpstr>
      <vt:lpstr>TrialSecretary</vt:lpstr>
      <vt:lpstr>TrialVenue</vt:lpstr>
      <vt:lpstr>UpdatedBy</vt:lpstr>
      <vt:lpstr>UseFail</vt:lpstr>
      <vt:lpstr>UseFailValue</vt:lpstr>
      <vt:lpstr>ValidScores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Eric Jansen</cp:lastModifiedBy>
  <cp:lastPrinted>2023-11-15T16:41:30Z</cp:lastPrinted>
  <dcterms:created xsi:type="dcterms:W3CDTF">2013-08-04T13:00:38Z</dcterms:created>
  <dcterms:modified xsi:type="dcterms:W3CDTF">2026-09-02T01:26:08Z</dcterms:modified>
</cp:coreProperties>
</file>